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c212468b00ba1be/Work/Seungil/교육/온사이트교육/BS/2일차_20251125/데이터 원본/"/>
    </mc:Choice>
  </mc:AlternateContent>
  <xr:revisionPtr revIDLastSave="7" documentId="11_DDD57D3646D89B24046DB3E6E7948B83CCC752C7" xr6:coauthVersionLast="47" xr6:coauthVersionMax="47" xr10:uidLastSave="{514DC273-6D5F-466B-9C37-6ACB87E27C62}"/>
  <bookViews>
    <workbookView xWindow="-98" yWindow="-98" windowWidth="21795" windowHeight="12975" xr2:uid="{00000000-000D-0000-FFFF-FFFF00000000}"/>
  </bookViews>
  <sheets>
    <sheet name="AAPL" sheetId="1" r:id="rId1"/>
    <sheet name="AMZN" sheetId="2" r:id="rId2"/>
    <sheet name="GOOGL" sheetId="3" r:id="rId3"/>
    <sheet name="META" sheetId="4" r:id="rId4"/>
    <sheet name="MSFT" sheetId="5" r:id="rId5"/>
    <sheet name="NVDA" sheetId="6" r:id="rId6"/>
    <sheet name="TSLA" sheetId="7" r:id="rId7"/>
  </sheets>
  <calcPr calcId="181029"/>
</workbook>
</file>

<file path=xl/calcChain.xml><?xml version="1.0" encoding="utf-8"?>
<calcChain xmlns="http://schemas.openxmlformats.org/spreadsheetml/2006/main">
  <c r="F2742" i="7" l="1"/>
  <c r="E2742" i="7"/>
  <c r="D2742" i="7"/>
  <c r="C2742" i="7"/>
  <c r="B2742" i="7"/>
  <c r="A2742" i="7"/>
  <c r="F2741" i="7"/>
  <c r="E2741" i="7"/>
  <c r="D2741" i="7"/>
  <c r="C2741" i="7"/>
  <c r="B2741" i="7"/>
  <c r="A2741" i="7"/>
  <c r="F2740" i="7"/>
  <c r="E2740" i="7"/>
  <c r="D2740" i="7"/>
  <c r="C2740" i="7"/>
  <c r="B2740" i="7"/>
  <c r="A2740" i="7"/>
  <c r="F2739" i="7"/>
  <c r="E2739" i="7"/>
  <c r="D2739" i="7"/>
  <c r="C2739" i="7"/>
  <c r="B2739" i="7"/>
  <c r="A2739" i="7"/>
  <c r="F2738" i="7"/>
  <c r="E2738" i="7"/>
  <c r="D2738" i="7"/>
  <c r="C2738" i="7"/>
  <c r="B2738" i="7"/>
  <c r="A2738" i="7"/>
  <c r="F2737" i="7"/>
  <c r="E2737" i="7"/>
  <c r="D2737" i="7"/>
  <c r="C2737" i="7"/>
  <c r="B2737" i="7"/>
  <c r="A2737" i="7"/>
  <c r="F2736" i="7"/>
  <c r="E2736" i="7"/>
  <c r="D2736" i="7"/>
  <c r="C2736" i="7"/>
  <c r="B2736" i="7"/>
  <c r="A2736" i="7"/>
  <c r="F2735" i="7"/>
  <c r="E2735" i="7"/>
  <c r="D2735" i="7"/>
  <c r="C2735" i="7"/>
  <c r="B2735" i="7"/>
  <c r="A2735" i="7"/>
  <c r="F2734" i="7"/>
  <c r="E2734" i="7"/>
  <c r="D2734" i="7"/>
  <c r="C2734" i="7"/>
  <c r="B2734" i="7"/>
  <c r="A2734" i="7"/>
  <c r="F2733" i="7"/>
  <c r="E2733" i="7"/>
  <c r="D2733" i="7"/>
  <c r="C2733" i="7"/>
  <c r="B2733" i="7"/>
  <c r="A2733" i="7"/>
  <c r="F2732" i="7"/>
  <c r="E2732" i="7"/>
  <c r="D2732" i="7"/>
  <c r="C2732" i="7"/>
  <c r="B2732" i="7"/>
  <c r="A2732" i="7"/>
  <c r="F2731" i="7"/>
  <c r="E2731" i="7"/>
  <c r="D2731" i="7"/>
  <c r="C2731" i="7"/>
  <c r="B2731" i="7"/>
  <c r="A2731" i="7"/>
  <c r="F2730" i="7"/>
  <c r="E2730" i="7"/>
  <c r="D2730" i="7"/>
  <c r="C2730" i="7"/>
  <c r="B2730" i="7"/>
  <c r="A2730" i="7"/>
  <c r="F2729" i="7"/>
  <c r="E2729" i="7"/>
  <c r="D2729" i="7"/>
  <c r="C2729" i="7"/>
  <c r="B2729" i="7"/>
  <c r="A2729" i="7"/>
  <c r="F2728" i="7"/>
  <c r="E2728" i="7"/>
  <c r="D2728" i="7"/>
  <c r="C2728" i="7"/>
  <c r="B2728" i="7"/>
  <c r="A2728" i="7"/>
  <c r="F2727" i="7"/>
  <c r="E2727" i="7"/>
  <c r="D2727" i="7"/>
  <c r="C2727" i="7"/>
  <c r="B2727" i="7"/>
  <c r="A2727" i="7"/>
  <c r="F2726" i="7"/>
  <c r="E2726" i="7"/>
  <c r="D2726" i="7"/>
  <c r="C2726" i="7"/>
  <c r="B2726" i="7"/>
  <c r="A2726" i="7"/>
  <c r="F2725" i="7"/>
  <c r="E2725" i="7"/>
  <c r="D2725" i="7"/>
  <c r="C2725" i="7"/>
  <c r="B2725" i="7"/>
  <c r="A2725" i="7"/>
  <c r="F2724" i="7"/>
  <c r="E2724" i="7"/>
  <c r="D2724" i="7"/>
  <c r="C2724" i="7"/>
  <c r="B2724" i="7"/>
  <c r="A2724" i="7"/>
  <c r="F2723" i="7"/>
  <c r="E2723" i="7"/>
  <c r="D2723" i="7"/>
  <c r="C2723" i="7"/>
  <c r="B2723" i="7"/>
  <c r="A2723" i="7"/>
  <c r="F2722" i="7"/>
  <c r="E2722" i="7"/>
  <c r="D2722" i="7"/>
  <c r="C2722" i="7"/>
  <c r="B2722" i="7"/>
  <c r="A2722" i="7"/>
  <c r="F2721" i="7"/>
  <c r="E2721" i="7"/>
  <c r="D2721" i="7"/>
  <c r="C2721" i="7"/>
  <c r="B2721" i="7"/>
  <c r="A2721" i="7"/>
  <c r="F2720" i="7"/>
  <c r="E2720" i="7"/>
  <c r="D2720" i="7"/>
  <c r="C2720" i="7"/>
  <c r="B2720" i="7"/>
  <c r="A2720" i="7"/>
  <c r="F2719" i="7"/>
  <c r="E2719" i="7"/>
  <c r="D2719" i="7"/>
  <c r="C2719" i="7"/>
  <c r="B2719" i="7"/>
  <c r="A2719" i="7"/>
  <c r="F2718" i="7"/>
  <c r="E2718" i="7"/>
  <c r="D2718" i="7"/>
  <c r="C2718" i="7"/>
  <c r="B2718" i="7"/>
  <c r="A2718" i="7"/>
  <c r="F2717" i="7"/>
  <c r="E2717" i="7"/>
  <c r="D2717" i="7"/>
  <c r="C2717" i="7"/>
  <c r="B2717" i="7"/>
  <c r="A2717" i="7"/>
  <c r="F2716" i="7"/>
  <c r="E2716" i="7"/>
  <c r="D2716" i="7"/>
  <c r="C2716" i="7"/>
  <c r="B2716" i="7"/>
  <c r="A2716" i="7"/>
  <c r="F2715" i="7"/>
  <c r="E2715" i="7"/>
  <c r="D2715" i="7"/>
  <c r="C2715" i="7"/>
  <c r="B2715" i="7"/>
  <c r="A2715" i="7"/>
  <c r="F2714" i="7"/>
  <c r="E2714" i="7"/>
  <c r="D2714" i="7"/>
  <c r="C2714" i="7"/>
  <c r="B2714" i="7"/>
  <c r="A2714" i="7"/>
  <c r="F2713" i="7"/>
  <c r="E2713" i="7"/>
  <c r="D2713" i="7"/>
  <c r="C2713" i="7"/>
  <c r="B2713" i="7"/>
  <c r="A2713" i="7"/>
  <c r="F2712" i="7"/>
  <c r="E2712" i="7"/>
  <c r="D2712" i="7"/>
  <c r="C2712" i="7"/>
  <c r="B2712" i="7"/>
  <c r="A2712" i="7"/>
  <c r="F2711" i="7"/>
  <c r="E2711" i="7"/>
  <c r="D2711" i="7"/>
  <c r="C2711" i="7"/>
  <c r="B2711" i="7"/>
  <c r="A2711" i="7"/>
  <c r="F2710" i="7"/>
  <c r="E2710" i="7"/>
  <c r="D2710" i="7"/>
  <c r="C2710" i="7"/>
  <c r="B2710" i="7"/>
  <c r="A2710" i="7"/>
  <c r="F2709" i="7"/>
  <c r="E2709" i="7"/>
  <c r="D2709" i="7"/>
  <c r="C2709" i="7"/>
  <c r="B2709" i="7"/>
  <c r="A2709" i="7"/>
  <c r="F2708" i="7"/>
  <c r="E2708" i="7"/>
  <c r="D2708" i="7"/>
  <c r="C2708" i="7"/>
  <c r="B2708" i="7"/>
  <c r="A2708" i="7"/>
  <c r="F2707" i="7"/>
  <c r="E2707" i="7"/>
  <c r="D2707" i="7"/>
  <c r="C2707" i="7"/>
  <c r="B2707" i="7"/>
  <c r="A2707" i="7"/>
  <c r="F2706" i="7"/>
  <c r="E2706" i="7"/>
  <c r="D2706" i="7"/>
  <c r="C2706" i="7"/>
  <c r="B2706" i="7"/>
  <c r="A2706" i="7"/>
  <c r="F2705" i="7"/>
  <c r="E2705" i="7"/>
  <c r="D2705" i="7"/>
  <c r="C2705" i="7"/>
  <c r="B2705" i="7"/>
  <c r="A2705" i="7"/>
  <c r="F2704" i="7"/>
  <c r="E2704" i="7"/>
  <c r="D2704" i="7"/>
  <c r="C2704" i="7"/>
  <c r="B2704" i="7"/>
  <c r="A2704" i="7"/>
  <c r="F2703" i="7"/>
  <c r="E2703" i="7"/>
  <c r="D2703" i="7"/>
  <c r="C2703" i="7"/>
  <c r="B2703" i="7"/>
  <c r="A2703" i="7"/>
  <c r="F2702" i="7"/>
  <c r="E2702" i="7"/>
  <c r="D2702" i="7"/>
  <c r="C2702" i="7"/>
  <c r="B2702" i="7"/>
  <c r="A2702" i="7"/>
  <c r="F2701" i="7"/>
  <c r="E2701" i="7"/>
  <c r="D2701" i="7"/>
  <c r="C2701" i="7"/>
  <c r="B2701" i="7"/>
  <c r="A2701" i="7"/>
  <c r="F2700" i="7"/>
  <c r="E2700" i="7"/>
  <c r="D2700" i="7"/>
  <c r="C2700" i="7"/>
  <c r="B2700" i="7"/>
  <c r="A2700" i="7"/>
  <c r="F2699" i="7"/>
  <c r="E2699" i="7"/>
  <c r="D2699" i="7"/>
  <c r="C2699" i="7"/>
  <c r="B2699" i="7"/>
  <c r="A2699" i="7"/>
  <c r="F2698" i="7"/>
  <c r="E2698" i="7"/>
  <c r="D2698" i="7"/>
  <c r="C2698" i="7"/>
  <c r="B2698" i="7"/>
  <c r="A2698" i="7"/>
  <c r="F2697" i="7"/>
  <c r="E2697" i="7"/>
  <c r="D2697" i="7"/>
  <c r="C2697" i="7"/>
  <c r="B2697" i="7"/>
  <c r="A2697" i="7"/>
  <c r="F2696" i="7"/>
  <c r="E2696" i="7"/>
  <c r="D2696" i="7"/>
  <c r="C2696" i="7"/>
  <c r="B2696" i="7"/>
  <c r="A2696" i="7"/>
  <c r="F2695" i="7"/>
  <c r="E2695" i="7"/>
  <c r="D2695" i="7"/>
  <c r="C2695" i="7"/>
  <c r="B2695" i="7"/>
  <c r="A2695" i="7"/>
  <c r="F2694" i="7"/>
  <c r="E2694" i="7"/>
  <c r="D2694" i="7"/>
  <c r="C2694" i="7"/>
  <c r="B2694" i="7"/>
  <c r="A2694" i="7"/>
  <c r="F2693" i="7"/>
  <c r="E2693" i="7"/>
  <c r="D2693" i="7"/>
  <c r="C2693" i="7"/>
  <c r="B2693" i="7"/>
  <c r="A2693" i="7"/>
  <c r="F2692" i="7"/>
  <c r="E2692" i="7"/>
  <c r="D2692" i="7"/>
  <c r="C2692" i="7"/>
  <c r="B2692" i="7"/>
  <c r="A2692" i="7"/>
  <c r="F2691" i="7"/>
  <c r="E2691" i="7"/>
  <c r="D2691" i="7"/>
  <c r="C2691" i="7"/>
  <c r="B2691" i="7"/>
  <c r="A2691" i="7"/>
  <c r="F2690" i="7"/>
  <c r="E2690" i="7"/>
  <c r="D2690" i="7"/>
  <c r="C2690" i="7"/>
  <c r="B2690" i="7"/>
  <c r="A2690" i="7"/>
  <c r="F2689" i="7"/>
  <c r="E2689" i="7"/>
  <c r="D2689" i="7"/>
  <c r="C2689" i="7"/>
  <c r="B2689" i="7"/>
  <c r="A2689" i="7"/>
  <c r="F2688" i="7"/>
  <c r="E2688" i="7"/>
  <c r="D2688" i="7"/>
  <c r="C2688" i="7"/>
  <c r="B2688" i="7"/>
  <c r="A2688" i="7"/>
  <c r="F2687" i="7"/>
  <c r="E2687" i="7"/>
  <c r="D2687" i="7"/>
  <c r="C2687" i="7"/>
  <c r="B2687" i="7"/>
  <c r="A2687" i="7"/>
  <c r="F2686" i="7"/>
  <c r="E2686" i="7"/>
  <c r="D2686" i="7"/>
  <c r="C2686" i="7"/>
  <c r="B2686" i="7"/>
  <c r="A2686" i="7"/>
  <c r="F2685" i="7"/>
  <c r="E2685" i="7"/>
  <c r="D2685" i="7"/>
  <c r="C2685" i="7"/>
  <c r="B2685" i="7"/>
  <c r="A2685" i="7"/>
  <c r="F2684" i="7"/>
  <c r="E2684" i="7"/>
  <c r="D2684" i="7"/>
  <c r="C2684" i="7"/>
  <c r="B2684" i="7"/>
  <c r="A2684" i="7"/>
  <c r="F2683" i="7"/>
  <c r="E2683" i="7"/>
  <c r="D2683" i="7"/>
  <c r="C2683" i="7"/>
  <c r="B2683" i="7"/>
  <c r="A2683" i="7"/>
  <c r="F2682" i="7"/>
  <c r="E2682" i="7"/>
  <c r="D2682" i="7"/>
  <c r="C2682" i="7"/>
  <c r="B2682" i="7"/>
  <c r="A2682" i="7"/>
  <c r="F2681" i="7"/>
  <c r="E2681" i="7"/>
  <c r="D2681" i="7"/>
  <c r="C2681" i="7"/>
  <c r="B2681" i="7"/>
  <c r="A2681" i="7"/>
  <c r="F2680" i="7"/>
  <c r="E2680" i="7"/>
  <c r="D2680" i="7"/>
  <c r="C2680" i="7"/>
  <c r="B2680" i="7"/>
  <c r="A2680" i="7"/>
  <c r="F2679" i="7"/>
  <c r="E2679" i="7"/>
  <c r="D2679" i="7"/>
  <c r="C2679" i="7"/>
  <c r="B2679" i="7"/>
  <c r="A2679" i="7"/>
  <c r="F2678" i="7"/>
  <c r="E2678" i="7"/>
  <c r="D2678" i="7"/>
  <c r="C2678" i="7"/>
  <c r="B2678" i="7"/>
  <c r="A2678" i="7"/>
  <c r="F2677" i="7"/>
  <c r="E2677" i="7"/>
  <c r="D2677" i="7"/>
  <c r="C2677" i="7"/>
  <c r="B2677" i="7"/>
  <c r="A2677" i="7"/>
  <c r="F2676" i="7"/>
  <c r="E2676" i="7"/>
  <c r="D2676" i="7"/>
  <c r="C2676" i="7"/>
  <c r="B2676" i="7"/>
  <c r="A2676" i="7"/>
  <c r="F2675" i="7"/>
  <c r="E2675" i="7"/>
  <c r="D2675" i="7"/>
  <c r="C2675" i="7"/>
  <c r="B2675" i="7"/>
  <c r="A2675" i="7"/>
  <c r="F2674" i="7"/>
  <c r="E2674" i="7"/>
  <c r="D2674" i="7"/>
  <c r="C2674" i="7"/>
  <c r="B2674" i="7"/>
  <c r="A2674" i="7"/>
  <c r="F2673" i="7"/>
  <c r="E2673" i="7"/>
  <c r="D2673" i="7"/>
  <c r="C2673" i="7"/>
  <c r="B2673" i="7"/>
  <c r="A2673" i="7"/>
  <c r="F2672" i="7"/>
  <c r="E2672" i="7"/>
  <c r="D2672" i="7"/>
  <c r="C2672" i="7"/>
  <c r="B2672" i="7"/>
  <c r="A2672" i="7"/>
  <c r="F2671" i="7"/>
  <c r="E2671" i="7"/>
  <c r="D2671" i="7"/>
  <c r="C2671" i="7"/>
  <c r="B2671" i="7"/>
  <c r="A2671" i="7"/>
  <c r="F2670" i="7"/>
  <c r="E2670" i="7"/>
  <c r="D2670" i="7"/>
  <c r="C2670" i="7"/>
  <c r="B2670" i="7"/>
  <c r="A2670" i="7"/>
  <c r="F2669" i="7"/>
  <c r="E2669" i="7"/>
  <c r="D2669" i="7"/>
  <c r="C2669" i="7"/>
  <c r="B2669" i="7"/>
  <c r="A2669" i="7"/>
  <c r="F2668" i="7"/>
  <c r="E2668" i="7"/>
  <c r="D2668" i="7"/>
  <c r="C2668" i="7"/>
  <c r="B2668" i="7"/>
  <c r="A2668" i="7"/>
  <c r="F2667" i="7"/>
  <c r="E2667" i="7"/>
  <c r="D2667" i="7"/>
  <c r="C2667" i="7"/>
  <c r="B2667" i="7"/>
  <c r="A2667" i="7"/>
  <c r="F2666" i="7"/>
  <c r="E2666" i="7"/>
  <c r="D2666" i="7"/>
  <c r="C2666" i="7"/>
  <c r="B2666" i="7"/>
  <c r="A2666" i="7"/>
  <c r="F2665" i="7"/>
  <c r="E2665" i="7"/>
  <c r="D2665" i="7"/>
  <c r="C2665" i="7"/>
  <c r="B2665" i="7"/>
  <c r="A2665" i="7"/>
  <c r="F2664" i="7"/>
  <c r="E2664" i="7"/>
  <c r="D2664" i="7"/>
  <c r="C2664" i="7"/>
  <c r="B2664" i="7"/>
  <c r="A2664" i="7"/>
  <c r="F2663" i="7"/>
  <c r="E2663" i="7"/>
  <c r="D2663" i="7"/>
  <c r="C2663" i="7"/>
  <c r="B2663" i="7"/>
  <c r="A2663" i="7"/>
  <c r="F2662" i="7"/>
  <c r="E2662" i="7"/>
  <c r="D2662" i="7"/>
  <c r="C2662" i="7"/>
  <c r="B2662" i="7"/>
  <c r="A2662" i="7"/>
  <c r="F2661" i="7"/>
  <c r="E2661" i="7"/>
  <c r="D2661" i="7"/>
  <c r="C2661" i="7"/>
  <c r="B2661" i="7"/>
  <c r="A2661" i="7"/>
  <c r="F2660" i="7"/>
  <c r="E2660" i="7"/>
  <c r="D2660" i="7"/>
  <c r="C2660" i="7"/>
  <c r="B2660" i="7"/>
  <c r="A2660" i="7"/>
  <c r="F2659" i="7"/>
  <c r="E2659" i="7"/>
  <c r="D2659" i="7"/>
  <c r="C2659" i="7"/>
  <c r="B2659" i="7"/>
  <c r="A2659" i="7"/>
  <c r="F2658" i="7"/>
  <c r="E2658" i="7"/>
  <c r="D2658" i="7"/>
  <c r="C2658" i="7"/>
  <c r="B2658" i="7"/>
  <c r="A2658" i="7"/>
  <c r="F2657" i="7"/>
  <c r="E2657" i="7"/>
  <c r="D2657" i="7"/>
  <c r="C2657" i="7"/>
  <c r="B2657" i="7"/>
  <c r="A2657" i="7"/>
  <c r="F2656" i="7"/>
  <c r="E2656" i="7"/>
  <c r="D2656" i="7"/>
  <c r="C2656" i="7"/>
  <c r="B2656" i="7"/>
  <c r="A2656" i="7"/>
  <c r="F2655" i="7"/>
  <c r="E2655" i="7"/>
  <c r="D2655" i="7"/>
  <c r="C2655" i="7"/>
  <c r="B2655" i="7"/>
  <c r="A2655" i="7"/>
  <c r="F2654" i="7"/>
  <c r="E2654" i="7"/>
  <c r="D2654" i="7"/>
  <c r="C2654" i="7"/>
  <c r="B2654" i="7"/>
  <c r="A2654" i="7"/>
  <c r="F2653" i="7"/>
  <c r="E2653" i="7"/>
  <c r="D2653" i="7"/>
  <c r="C2653" i="7"/>
  <c r="B2653" i="7"/>
  <c r="A2653" i="7"/>
  <c r="F2652" i="7"/>
  <c r="E2652" i="7"/>
  <c r="D2652" i="7"/>
  <c r="C2652" i="7"/>
  <c r="B2652" i="7"/>
  <c r="A2652" i="7"/>
  <c r="F2651" i="7"/>
  <c r="E2651" i="7"/>
  <c r="D2651" i="7"/>
  <c r="C2651" i="7"/>
  <c r="B2651" i="7"/>
  <c r="A2651" i="7"/>
  <c r="F2650" i="7"/>
  <c r="E2650" i="7"/>
  <c r="D2650" i="7"/>
  <c r="C2650" i="7"/>
  <c r="B2650" i="7"/>
  <c r="A2650" i="7"/>
  <c r="F2649" i="7"/>
  <c r="E2649" i="7"/>
  <c r="D2649" i="7"/>
  <c r="C2649" i="7"/>
  <c r="B2649" i="7"/>
  <c r="A2649" i="7"/>
  <c r="F2648" i="7"/>
  <c r="E2648" i="7"/>
  <c r="D2648" i="7"/>
  <c r="C2648" i="7"/>
  <c r="B2648" i="7"/>
  <c r="A2648" i="7"/>
  <c r="F2647" i="7"/>
  <c r="E2647" i="7"/>
  <c r="D2647" i="7"/>
  <c r="C2647" i="7"/>
  <c r="B2647" i="7"/>
  <c r="A2647" i="7"/>
  <c r="F2646" i="7"/>
  <c r="E2646" i="7"/>
  <c r="D2646" i="7"/>
  <c r="C2646" i="7"/>
  <c r="B2646" i="7"/>
  <c r="A2646" i="7"/>
  <c r="F2645" i="7"/>
  <c r="E2645" i="7"/>
  <c r="D2645" i="7"/>
  <c r="C2645" i="7"/>
  <c r="B2645" i="7"/>
  <c r="A2645" i="7"/>
  <c r="F2644" i="7"/>
  <c r="E2644" i="7"/>
  <c r="D2644" i="7"/>
  <c r="C2644" i="7"/>
  <c r="B2644" i="7"/>
  <c r="A2644" i="7"/>
  <c r="F2643" i="7"/>
  <c r="E2643" i="7"/>
  <c r="D2643" i="7"/>
  <c r="C2643" i="7"/>
  <c r="B2643" i="7"/>
  <c r="A2643" i="7"/>
  <c r="F2642" i="7"/>
  <c r="E2642" i="7"/>
  <c r="D2642" i="7"/>
  <c r="C2642" i="7"/>
  <c r="B2642" i="7"/>
  <c r="A2642" i="7"/>
  <c r="F2641" i="7"/>
  <c r="E2641" i="7"/>
  <c r="D2641" i="7"/>
  <c r="C2641" i="7"/>
  <c r="B2641" i="7"/>
  <c r="A2641" i="7"/>
  <c r="F2640" i="7"/>
  <c r="E2640" i="7"/>
  <c r="D2640" i="7"/>
  <c r="C2640" i="7"/>
  <c r="B2640" i="7"/>
  <c r="A2640" i="7"/>
  <c r="F2639" i="7"/>
  <c r="E2639" i="7"/>
  <c r="D2639" i="7"/>
  <c r="C2639" i="7"/>
  <c r="B2639" i="7"/>
  <c r="A2639" i="7"/>
  <c r="F2638" i="7"/>
  <c r="E2638" i="7"/>
  <c r="D2638" i="7"/>
  <c r="C2638" i="7"/>
  <c r="B2638" i="7"/>
  <c r="A2638" i="7"/>
  <c r="F2637" i="7"/>
  <c r="E2637" i="7"/>
  <c r="D2637" i="7"/>
  <c r="C2637" i="7"/>
  <c r="B2637" i="7"/>
  <c r="A2637" i="7"/>
  <c r="F2636" i="7"/>
  <c r="E2636" i="7"/>
  <c r="D2636" i="7"/>
  <c r="C2636" i="7"/>
  <c r="B2636" i="7"/>
  <c r="A2636" i="7"/>
  <c r="F2635" i="7"/>
  <c r="E2635" i="7"/>
  <c r="D2635" i="7"/>
  <c r="C2635" i="7"/>
  <c r="B2635" i="7"/>
  <c r="A2635" i="7"/>
  <c r="F2634" i="7"/>
  <c r="E2634" i="7"/>
  <c r="D2634" i="7"/>
  <c r="C2634" i="7"/>
  <c r="B2634" i="7"/>
  <c r="A2634" i="7"/>
  <c r="F2633" i="7"/>
  <c r="E2633" i="7"/>
  <c r="D2633" i="7"/>
  <c r="C2633" i="7"/>
  <c r="B2633" i="7"/>
  <c r="A2633" i="7"/>
  <c r="F2632" i="7"/>
  <c r="E2632" i="7"/>
  <c r="D2632" i="7"/>
  <c r="C2632" i="7"/>
  <c r="B2632" i="7"/>
  <c r="A2632" i="7"/>
  <c r="F2631" i="7"/>
  <c r="E2631" i="7"/>
  <c r="D2631" i="7"/>
  <c r="C2631" i="7"/>
  <c r="B2631" i="7"/>
  <c r="A2631" i="7"/>
  <c r="F2630" i="7"/>
  <c r="E2630" i="7"/>
  <c r="D2630" i="7"/>
  <c r="C2630" i="7"/>
  <c r="B2630" i="7"/>
  <c r="A2630" i="7"/>
  <c r="F2629" i="7"/>
  <c r="E2629" i="7"/>
  <c r="D2629" i="7"/>
  <c r="C2629" i="7"/>
  <c r="B2629" i="7"/>
  <c r="A2629" i="7"/>
  <c r="F2628" i="7"/>
  <c r="E2628" i="7"/>
  <c r="D2628" i="7"/>
  <c r="C2628" i="7"/>
  <c r="B2628" i="7"/>
  <c r="A2628" i="7"/>
  <c r="F2627" i="7"/>
  <c r="E2627" i="7"/>
  <c r="D2627" i="7"/>
  <c r="C2627" i="7"/>
  <c r="B2627" i="7"/>
  <c r="A2627" i="7"/>
  <c r="F2626" i="7"/>
  <c r="E2626" i="7"/>
  <c r="D2626" i="7"/>
  <c r="C2626" i="7"/>
  <c r="B2626" i="7"/>
  <c r="A2626" i="7"/>
  <c r="F2625" i="7"/>
  <c r="E2625" i="7"/>
  <c r="D2625" i="7"/>
  <c r="C2625" i="7"/>
  <c r="B2625" i="7"/>
  <c r="A2625" i="7"/>
  <c r="F2624" i="7"/>
  <c r="E2624" i="7"/>
  <c r="D2624" i="7"/>
  <c r="C2624" i="7"/>
  <c r="B2624" i="7"/>
  <c r="A2624" i="7"/>
  <c r="F2623" i="7"/>
  <c r="E2623" i="7"/>
  <c r="D2623" i="7"/>
  <c r="C2623" i="7"/>
  <c r="B2623" i="7"/>
  <c r="A2623" i="7"/>
  <c r="F2622" i="7"/>
  <c r="E2622" i="7"/>
  <c r="D2622" i="7"/>
  <c r="C2622" i="7"/>
  <c r="B2622" i="7"/>
  <c r="A2622" i="7"/>
  <c r="F2621" i="7"/>
  <c r="E2621" i="7"/>
  <c r="D2621" i="7"/>
  <c r="C2621" i="7"/>
  <c r="B2621" i="7"/>
  <c r="A2621" i="7"/>
  <c r="F2620" i="7"/>
  <c r="E2620" i="7"/>
  <c r="D2620" i="7"/>
  <c r="C2620" i="7"/>
  <c r="B2620" i="7"/>
  <c r="A2620" i="7"/>
  <c r="F2619" i="7"/>
  <c r="E2619" i="7"/>
  <c r="D2619" i="7"/>
  <c r="C2619" i="7"/>
  <c r="B2619" i="7"/>
  <c r="A2619" i="7"/>
  <c r="F2618" i="7"/>
  <c r="E2618" i="7"/>
  <c r="D2618" i="7"/>
  <c r="C2618" i="7"/>
  <c r="B2618" i="7"/>
  <c r="A2618" i="7"/>
  <c r="F2617" i="7"/>
  <c r="E2617" i="7"/>
  <c r="D2617" i="7"/>
  <c r="C2617" i="7"/>
  <c r="B2617" i="7"/>
  <c r="A2617" i="7"/>
  <c r="F2616" i="7"/>
  <c r="E2616" i="7"/>
  <c r="D2616" i="7"/>
  <c r="C2616" i="7"/>
  <c r="B2616" i="7"/>
  <c r="A2616" i="7"/>
  <c r="F2615" i="7"/>
  <c r="E2615" i="7"/>
  <c r="D2615" i="7"/>
  <c r="C2615" i="7"/>
  <c r="B2615" i="7"/>
  <c r="A2615" i="7"/>
  <c r="F2614" i="7"/>
  <c r="E2614" i="7"/>
  <c r="D2614" i="7"/>
  <c r="C2614" i="7"/>
  <c r="B2614" i="7"/>
  <c r="A2614" i="7"/>
  <c r="F2613" i="7"/>
  <c r="E2613" i="7"/>
  <c r="D2613" i="7"/>
  <c r="C2613" i="7"/>
  <c r="B2613" i="7"/>
  <c r="A2613" i="7"/>
  <c r="F2612" i="7"/>
  <c r="E2612" i="7"/>
  <c r="D2612" i="7"/>
  <c r="C2612" i="7"/>
  <c r="B2612" i="7"/>
  <c r="A2612" i="7"/>
  <c r="F2611" i="7"/>
  <c r="E2611" i="7"/>
  <c r="D2611" i="7"/>
  <c r="C2611" i="7"/>
  <c r="B2611" i="7"/>
  <c r="A2611" i="7"/>
  <c r="F2610" i="7"/>
  <c r="E2610" i="7"/>
  <c r="D2610" i="7"/>
  <c r="C2610" i="7"/>
  <c r="B2610" i="7"/>
  <c r="A2610" i="7"/>
  <c r="F2609" i="7"/>
  <c r="E2609" i="7"/>
  <c r="D2609" i="7"/>
  <c r="C2609" i="7"/>
  <c r="B2609" i="7"/>
  <c r="A2609" i="7"/>
  <c r="F2608" i="7"/>
  <c r="E2608" i="7"/>
  <c r="D2608" i="7"/>
  <c r="C2608" i="7"/>
  <c r="B2608" i="7"/>
  <c r="A2608" i="7"/>
  <c r="F2607" i="7"/>
  <c r="E2607" i="7"/>
  <c r="D2607" i="7"/>
  <c r="C2607" i="7"/>
  <c r="B2607" i="7"/>
  <c r="A2607" i="7"/>
  <c r="F2606" i="7"/>
  <c r="E2606" i="7"/>
  <c r="D2606" i="7"/>
  <c r="C2606" i="7"/>
  <c r="B2606" i="7"/>
  <c r="A2606" i="7"/>
  <c r="F2605" i="7"/>
  <c r="E2605" i="7"/>
  <c r="D2605" i="7"/>
  <c r="C2605" i="7"/>
  <c r="B2605" i="7"/>
  <c r="A2605" i="7"/>
  <c r="F2604" i="7"/>
  <c r="E2604" i="7"/>
  <c r="D2604" i="7"/>
  <c r="C2604" i="7"/>
  <c r="B2604" i="7"/>
  <c r="A2604" i="7"/>
  <c r="F2603" i="7"/>
  <c r="E2603" i="7"/>
  <c r="D2603" i="7"/>
  <c r="C2603" i="7"/>
  <c r="B2603" i="7"/>
  <c r="A2603" i="7"/>
  <c r="F2602" i="7"/>
  <c r="E2602" i="7"/>
  <c r="D2602" i="7"/>
  <c r="C2602" i="7"/>
  <c r="B2602" i="7"/>
  <c r="A2602" i="7"/>
  <c r="F2601" i="7"/>
  <c r="E2601" i="7"/>
  <c r="D2601" i="7"/>
  <c r="C2601" i="7"/>
  <c r="B2601" i="7"/>
  <c r="A2601" i="7"/>
  <c r="F2600" i="7"/>
  <c r="E2600" i="7"/>
  <c r="D2600" i="7"/>
  <c r="C2600" i="7"/>
  <c r="B2600" i="7"/>
  <c r="A2600" i="7"/>
  <c r="F2599" i="7"/>
  <c r="E2599" i="7"/>
  <c r="D2599" i="7"/>
  <c r="C2599" i="7"/>
  <c r="B2599" i="7"/>
  <c r="A2599" i="7"/>
  <c r="F2598" i="7"/>
  <c r="E2598" i="7"/>
  <c r="D2598" i="7"/>
  <c r="C2598" i="7"/>
  <c r="B2598" i="7"/>
  <c r="A2598" i="7"/>
  <c r="F2597" i="7"/>
  <c r="E2597" i="7"/>
  <c r="D2597" i="7"/>
  <c r="C2597" i="7"/>
  <c r="B2597" i="7"/>
  <c r="A2597" i="7"/>
  <c r="F2596" i="7"/>
  <c r="E2596" i="7"/>
  <c r="D2596" i="7"/>
  <c r="C2596" i="7"/>
  <c r="B2596" i="7"/>
  <c r="A2596" i="7"/>
  <c r="F2595" i="7"/>
  <c r="E2595" i="7"/>
  <c r="D2595" i="7"/>
  <c r="C2595" i="7"/>
  <c r="B2595" i="7"/>
  <c r="A2595" i="7"/>
  <c r="F2594" i="7"/>
  <c r="E2594" i="7"/>
  <c r="D2594" i="7"/>
  <c r="C2594" i="7"/>
  <c r="B2594" i="7"/>
  <c r="A2594" i="7"/>
  <c r="F2593" i="7"/>
  <c r="E2593" i="7"/>
  <c r="D2593" i="7"/>
  <c r="C2593" i="7"/>
  <c r="B2593" i="7"/>
  <c r="A2593" i="7"/>
  <c r="F2592" i="7"/>
  <c r="E2592" i="7"/>
  <c r="D2592" i="7"/>
  <c r="C2592" i="7"/>
  <c r="B2592" i="7"/>
  <c r="A2592" i="7"/>
  <c r="F2591" i="7"/>
  <c r="E2591" i="7"/>
  <c r="D2591" i="7"/>
  <c r="C2591" i="7"/>
  <c r="B2591" i="7"/>
  <c r="A2591" i="7"/>
  <c r="F2590" i="7"/>
  <c r="E2590" i="7"/>
  <c r="D2590" i="7"/>
  <c r="C2590" i="7"/>
  <c r="B2590" i="7"/>
  <c r="A2590" i="7"/>
  <c r="F2589" i="7"/>
  <c r="E2589" i="7"/>
  <c r="D2589" i="7"/>
  <c r="C2589" i="7"/>
  <c r="B2589" i="7"/>
  <c r="A2589" i="7"/>
  <c r="F2588" i="7"/>
  <c r="E2588" i="7"/>
  <c r="D2588" i="7"/>
  <c r="C2588" i="7"/>
  <c r="B2588" i="7"/>
  <c r="A2588" i="7"/>
  <c r="F2587" i="7"/>
  <c r="E2587" i="7"/>
  <c r="D2587" i="7"/>
  <c r="C2587" i="7"/>
  <c r="B2587" i="7"/>
  <c r="A2587" i="7"/>
  <c r="F2586" i="7"/>
  <c r="E2586" i="7"/>
  <c r="D2586" i="7"/>
  <c r="C2586" i="7"/>
  <c r="B2586" i="7"/>
  <c r="A2586" i="7"/>
  <c r="F2585" i="7"/>
  <c r="E2585" i="7"/>
  <c r="D2585" i="7"/>
  <c r="C2585" i="7"/>
  <c r="B2585" i="7"/>
  <c r="A2585" i="7"/>
  <c r="F2584" i="7"/>
  <c r="E2584" i="7"/>
  <c r="D2584" i="7"/>
  <c r="C2584" i="7"/>
  <c r="B2584" i="7"/>
  <c r="A2584" i="7"/>
  <c r="F2583" i="7"/>
  <c r="E2583" i="7"/>
  <c r="D2583" i="7"/>
  <c r="C2583" i="7"/>
  <c r="B2583" i="7"/>
  <c r="A2583" i="7"/>
  <c r="F2582" i="7"/>
  <c r="E2582" i="7"/>
  <c r="D2582" i="7"/>
  <c r="C2582" i="7"/>
  <c r="B2582" i="7"/>
  <c r="A2582" i="7"/>
  <c r="F2581" i="7"/>
  <c r="E2581" i="7"/>
  <c r="D2581" i="7"/>
  <c r="C2581" i="7"/>
  <c r="B2581" i="7"/>
  <c r="A2581" i="7"/>
  <c r="F2580" i="7"/>
  <c r="E2580" i="7"/>
  <c r="D2580" i="7"/>
  <c r="C2580" i="7"/>
  <c r="B2580" i="7"/>
  <c r="A2580" i="7"/>
  <c r="F2579" i="7"/>
  <c r="E2579" i="7"/>
  <c r="D2579" i="7"/>
  <c r="C2579" i="7"/>
  <c r="B2579" i="7"/>
  <c r="A2579" i="7"/>
  <c r="F2578" i="7"/>
  <c r="E2578" i="7"/>
  <c r="D2578" i="7"/>
  <c r="C2578" i="7"/>
  <c r="B2578" i="7"/>
  <c r="A2578" i="7"/>
  <c r="F2577" i="7"/>
  <c r="E2577" i="7"/>
  <c r="D2577" i="7"/>
  <c r="C2577" i="7"/>
  <c r="B2577" i="7"/>
  <c r="A2577" i="7"/>
  <c r="F2576" i="7"/>
  <c r="E2576" i="7"/>
  <c r="D2576" i="7"/>
  <c r="C2576" i="7"/>
  <c r="B2576" i="7"/>
  <c r="A2576" i="7"/>
  <c r="F2575" i="7"/>
  <c r="E2575" i="7"/>
  <c r="D2575" i="7"/>
  <c r="C2575" i="7"/>
  <c r="B2575" i="7"/>
  <c r="A2575" i="7"/>
  <c r="F2574" i="7"/>
  <c r="E2574" i="7"/>
  <c r="D2574" i="7"/>
  <c r="C2574" i="7"/>
  <c r="B2574" i="7"/>
  <c r="A2574" i="7"/>
  <c r="F2573" i="7"/>
  <c r="E2573" i="7"/>
  <c r="D2573" i="7"/>
  <c r="C2573" i="7"/>
  <c r="B2573" i="7"/>
  <c r="A2573" i="7"/>
  <c r="F2572" i="7"/>
  <c r="E2572" i="7"/>
  <c r="D2572" i="7"/>
  <c r="C2572" i="7"/>
  <c r="B2572" i="7"/>
  <c r="A2572" i="7"/>
  <c r="F2571" i="7"/>
  <c r="E2571" i="7"/>
  <c r="D2571" i="7"/>
  <c r="C2571" i="7"/>
  <c r="B2571" i="7"/>
  <c r="A2571" i="7"/>
  <c r="F2570" i="7"/>
  <c r="E2570" i="7"/>
  <c r="D2570" i="7"/>
  <c r="C2570" i="7"/>
  <c r="B2570" i="7"/>
  <c r="A2570" i="7"/>
  <c r="F2569" i="7"/>
  <c r="E2569" i="7"/>
  <c r="D2569" i="7"/>
  <c r="C2569" i="7"/>
  <c r="B2569" i="7"/>
  <c r="A2569" i="7"/>
  <c r="F2568" i="7"/>
  <c r="E2568" i="7"/>
  <c r="D2568" i="7"/>
  <c r="C2568" i="7"/>
  <c r="B2568" i="7"/>
  <c r="A2568" i="7"/>
  <c r="F2567" i="7"/>
  <c r="E2567" i="7"/>
  <c r="D2567" i="7"/>
  <c r="C2567" i="7"/>
  <c r="B2567" i="7"/>
  <c r="A2567" i="7"/>
  <c r="F2566" i="7"/>
  <c r="E2566" i="7"/>
  <c r="D2566" i="7"/>
  <c r="C2566" i="7"/>
  <c r="B2566" i="7"/>
  <c r="A2566" i="7"/>
  <c r="F2565" i="7"/>
  <c r="E2565" i="7"/>
  <c r="D2565" i="7"/>
  <c r="C2565" i="7"/>
  <c r="B2565" i="7"/>
  <c r="A2565" i="7"/>
  <c r="F2564" i="7"/>
  <c r="E2564" i="7"/>
  <c r="D2564" i="7"/>
  <c r="C2564" i="7"/>
  <c r="B2564" i="7"/>
  <c r="A2564" i="7"/>
  <c r="F2563" i="7"/>
  <c r="E2563" i="7"/>
  <c r="D2563" i="7"/>
  <c r="C2563" i="7"/>
  <c r="B2563" i="7"/>
  <c r="A2563" i="7"/>
  <c r="F2562" i="7"/>
  <c r="E2562" i="7"/>
  <c r="D2562" i="7"/>
  <c r="C2562" i="7"/>
  <c r="B2562" i="7"/>
  <c r="A2562" i="7"/>
  <c r="F2561" i="7"/>
  <c r="E2561" i="7"/>
  <c r="D2561" i="7"/>
  <c r="C2561" i="7"/>
  <c r="B2561" i="7"/>
  <c r="A2561" i="7"/>
  <c r="F2560" i="7"/>
  <c r="E2560" i="7"/>
  <c r="D2560" i="7"/>
  <c r="C2560" i="7"/>
  <c r="B2560" i="7"/>
  <c r="A2560" i="7"/>
  <c r="F2559" i="7"/>
  <c r="E2559" i="7"/>
  <c r="D2559" i="7"/>
  <c r="C2559" i="7"/>
  <c r="B2559" i="7"/>
  <c r="A2559" i="7"/>
  <c r="F2558" i="7"/>
  <c r="E2558" i="7"/>
  <c r="D2558" i="7"/>
  <c r="C2558" i="7"/>
  <c r="B2558" i="7"/>
  <c r="A2558" i="7"/>
  <c r="F2557" i="7"/>
  <c r="E2557" i="7"/>
  <c r="D2557" i="7"/>
  <c r="C2557" i="7"/>
  <c r="B2557" i="7"/>
  <c r="A2557" i="7"/>
  <c r="F2556" i="7"/>
  <c r="E2556" i="7"/>
  <c r="D2556" i="7"/>
  <c r="C2556" i="7"/>
  <c r="B2556" i="7"/>
  <c r="A2556" i="7"/>
  <c r="F2555" i="7"/>
  <c r="E2555" i="7"/>
  <c r="D2555" i="7"/>
  <c r="C2555" i="7"/>
  <c r="B2555" i="7"/>
  <c r="A2555" i="7"/>
  <c r="F2554" i="7"/>
  <c r="E2554" i="7"/>
  <c r="D2554" i="7"/>
  <c r="C2554" i="7"/>
  <c r="B2554" i="7"/>
  <c r="A2554" i="7"/>
  <c r="F2553" i="7"/>
  <c r="E2553" i="7"/>
  <c r="D2553" i="7"/>
  <c r="C2553" i="7"/>
  <c r="B2553" i="7"/>
  <c r="A2553" i="7"/>
  <c r="F2552" i="7"/>
  <c r="E2552" i="7"/>
  <c r="D2552" i="7"/>
  <c r="C2552" i="7"/>
  <c r="B2552" i="7"/>
  <c r="A2552" i="7"/>
  <c r="F2551" i="7"/>
  <c r="E2551" i="7"/>
  <c r="D2551" i="7"/>
  <c r="C2551" i="7"/>
  <c r="B2551" i="7"/>
  <c r="A2551" i="7"/>
  <c r="F2550" i="7"/>
  <c r="E2550" i="7"/>
  <c r="D2550" i="7"/>
  <c r="C2550" i="7"/>
  <c r="B2550" i="7"/>
  <c r="A2550" i="7"/>
  <c r="F2549" i="7"/>
  <c r="E2549" i="7"/>
  <c r="D2549" i="7"/>
  <c r="C2549" i="7"/>
  <c r="B2549" i="7"/>
  <c r="A2549" i="7"/>
  <c r="F2548" i="7"/>
  <c r="E2548" i="7"/>
  <c r="D2548" i="7"/>
  <c r="C2548" i="7"/>
  <c r="B2548" i="7"/>
  <c r="A2548" i="7"/>
  <c r="F2547" i="7"/>
  <c r="E2547" i="7"/>
  <c r="D2547" i="7"/>
  <c r="C2547" i="7"/>
  <c r="B2547" i="7"/>
  <c r="A2547" i="7"/>
  <c r="F2546" i="7"/>
  <c r="E2546" i="7"/>
  <c r="D2546" i="7"/>
  <c r="C2546" i="7"/>
  <c r="B2546" i="7"/>
  <c r="A2546" i="7"/>
  <c r="F2545" i="7"/>
  <c r="E2545" i="7"/>
  <c r="D2545" i="7"/>
  <c r="C2545" i="7"/>
  <c r="B2545" i="7"/>
  <c r="A2545" i="7"/>
  <c r="F2544" i="7"/>
  <c r="E2544" i="7"/>
  <c r="D2544" i="7"/>
  <c r="C2544" i="7"/>
  <c r="B2544" i="7"/>
  <c r="A2544" i="7"/>
  <c r="F2543" i="7"/>
  <c r="E2543" i="7"/>
  <c r="D2543" i="7"/>
  <c r="C2543" i="7"/>
  <c r="B2543" i="7"/>
  <c r="A2543" i="7"/>
  <c r="F2542" i="7"/>
  <c r="E2542" i="7"/>
  <c r="D2542" i="7"/>
  <c r="C2542" i="7"/>
  <c r="B2542" i="7"/>
  <c r="A2542" i="7"/>
  <c r="F2541" i="7"/>
  <c r="E2541" i="7"/>
  <c r="D2541" i="7"/>
  <c r="C2541" i="7"/>
  <c r="B2541" i="7"/>
  <c r="A2541" i="7"/>
  <c r="F2540" i="7"/>
  <c r="E2540" i="7"/>
  <c r="D2540" i="7"/>
  <c r="C2540" i="7"/>
  <c r="B2540" i="7"/>
  <c r="A2540" i="7"/>
  <c r="F2539" i="7"/>
  <c r="E2539" i="7"/>
  <c r="D2539" i="7"/>
  <c r="C2539" i="7"/>
  <c r="B2539" i="7"/>
  <c r="A2539" i="7"/>
  <c r="F2538" i="7"/>
  <c r="E2538" i="7"/>
  <c r="D2538" i="7"/>
  <c r="C2538" i="7"/>
  <c r="B2538" i="7"/>
  <c r="A2538" i="7"/>
  <c r="F2537" i="7"/>
  <c r="E2537" i="7"/>
  <c r="D2537" i="7"/>
  <c r="C2537" i="7"/>
  <c r="B2537" i="7"/>
  <c r="A2537" i="7"/>
  <c r="F2536" i="7"/>
  <c r="E2536" i="7"/>
  <c r="D2536" i="7"/>
  <c r="C2536" i="7"/>
  <c r="B2536" i="7"/>
  <c r="A2536" i="7"/>
  <c r="F2535" i="7"/>
  <c r="E2535" i="7"/>
  <c r="D2535" i="7"/>
  <c r="C2535" i="7"/>
  <c r="B2535" i="7"/>
  <c r="A2535" i="7"/>
  <c r="F2534" i="7"/>
  <c r="E2534" i="7"/>
  <c r="D2534" i="7"/>
  <c r="C2534" i="7"/>
  <c r="B2534" i="7"/>
  <c r="A2534" i="7"/>
  <c r="F2533" i="7"/>
  <c r="E2533" i="7"/>
  <c r="D2533" i="7"/>
  <c r="C2533" i="7"/>
  <c r="B2533" i="7"/>
  <c r="A2533" i="7"/>
  <c r="F2532" i="7"/>
  <c r="E2532" i="7"/>
  <c r="D2532" i="7"/>
  <c r="C2532" i="7"/>
  <c r="B2532" i="7"/>
  <c r="A2532" i="7"/>
  <c r="F2531" i="7"/>
  <c r="E2531" i="7"/>
  <c r="D2531" i="7"/>
  <c r="C2531" i="7"/>
  <c r="B2531" i="7"/>
  <c r="A2531" i="7"/>
  <c r="F2530" i="7"/>
  <c r="E2530" i="7"/>
  <c r="D2530" i="7"/>
  <c r="C2530" i="7"/>
  <c r="B2530" i="7"/>
  <c r="A2530" i="7"/>
  <c r="F2529" i="7"/>
  <c r="E2529" i="7"/>
  <c r="D2529" i="7"/>
  <c r="C2529" i="7"/>
  <c r="B2529" i="7"/>
  <c r="A2529" i="7"/>
  <c r="F2528" i="7"/>
  <c r="E2528" i="7"/>
  <c r="D2528" i="7"/>
  <c r="C2528" i="7"/>
  <c r="B2528" i="7"/>
  <c r="A2528" i="7"/>
  <c r="F2527" i="7"/>
  <c r="E2527" i="7"/>
  <c r="D2527" i="7"/>
  <c r="C2527" i="7"/>
  <c r="B2527" i="7"/>
  <c r="A2527" i="7"/>
  <c r="F2526" i="7"/>
  <c r="E2526" i="7"/>
  <c r="D2526" i="7"/>
  <c r="C2526" i="7"/>
  <c r="B2526" i="7"/>
  <c r="A2526" i="7"/>
  <c r="F2525" i="7"/>
  <c r="E2525" i="7"/>
  <c r="D2525" i="7"/>
  <c r="C2525" i="7"/>
  <c r="B2525" i="7"/>
  <c r="A2525" i="7"/>
  <c r="F2524" i="7"/>
  <c r="E2524" i="7"/>
  <c r="D2524" i="7"/>
  <c r="C2524" i="7"/>
  <c r="B2524" i="7"/>
  <c r="A2524" i="7"/>
  <c r="F2523" i="7"/>
  <c r="E2523" i="7"/>
  <c r="D2523" i="7"/>
  <c r="C2523" i="7"/>
  <c r="B2523" i="7"/>
  <c r="A2523" i="7"/>
  <c r="F2522" i="7"/>
  <c r="E2522" i="7"/>
  <c r="D2522" i="7"/>
  <c r="C2522" i="7"/>
  <c r="B2522" i="7"/>
  <c r="A2522" i="7"/>
  <c r="F2521" i="7"/>
  <c r="E2521" i="7"/>
  <c r="D2521" i="7"/>
  <c r="C2521" i="7"/>
  <c r="B2521" i="7"/>
  <c r="A2521" i="7"/>
  <c r="F2520" i="7"/>
  <c r="E2520" i="7"/>
  <c r="D2520" i="7"/>
  <c r="C2520" i="7"/>
  <c r="B2520" i="7"/>
  <c r="A2520" i="7"/>
  <c r="F2519" i="7"/>
  <c r="E2519" i="7"/>
  <c r="D2519" i="7"/>
  <c r="C2519" i="7"/>
  <c r="B2519" i="7"/>
  <c r="A2519" i="7"/>
  <c r="F2518" i="7"/>
  <c r="E2518" i="7"/>
  <c r="D2518" i="7"/>
  <c r="C2518" i="7"/>
  <c r="B2518" i="7"/>
  <c r="A2518" i="7"/>
  <c r="F2517" i="7"/>
  <c r="E2517" i="7"/>
  <c r="D2517" i="7"/>
  <c r="C2517" i="7"/>
  <c r="B2517" i="7"/>
  <c r="A2517" i="7"/>
  <c r="F2516" i="7"/>
  <c r="E2516" i="7"/>
  <c r="D2516" i="7"/>
  <c r="C2516" i="7"/>
  <c r="B2516" i="7"/>
  <c r="A2516" i="7"/>
  <c r="F2515" i="7"/>
  <c r="E2515" i="7"/>
  <c r="D2515" i="7"/>
  <c r="C2515" i="7"/>
  <c r="B2515" i="7"/>
  <c r="A2515" i="7"/>
  <c r="F2514" i="7"/>
  <c r="E2514" i="7"/>
  <c r="D2514" i="7"/>
  <c r="C2514" i="7"/>
  <c r="B2514" i="7"/>
  <c r="A2514" i="7"/>
  <c r="F2513" i="7"/>
  <c r="E2513" i="7"/>
  <c r="D2513" i="7"/>
  <c r="C2513" i="7"/>
  <c r="B2513" i="7"/>
  <c r="A2513" i="7"/>
  <c r="F2512" i="7"/>
  <c r="E2512" i="7"/>
  <c r="D2512" i="7"/>
  <c r="C2512" i="7"/>
  <c r="B2512" i="7"/>
  <c r="A2512" i="7"/>
  <c r="F2511" i="7"/>
  <c r="E2511" i="7"/>
  <c r="D2511" i="7"/>
  <c r="C2511" i="7"/>
  <c r="B2511" i="7"/>
  <c r="A2511" i="7"/>
  <c r="F2510" i="7"/>
  <c r="E2510" i="7"/>
  <c r="D2510" i="7"/>
  <c r="C2510" i="7"/>
  <c r="B2510" i="7"/>
  <c r="A2510" i="7"/>
  <c r="F2509" i="7"/>
  <c r="E2509" i="7"/>
  <c r="D2509" i="7"/>
  <c r="C2509" i="7"/>
  <c r="B2509" i="7"/>
  <c r="A2509" i="7"/>
  <c r="F2508" i="7"/>
  <c r="E2508" i="7"/>
  <c r="D2508" i="7"/>
  <c r="C2508" i="7"/>
  <c r="B2508" i="7"/>
  <c r="A2508" i="7"/>
  <c r="F2507" i="7"/>
  <c r="E2507" i="7"/>
  <c r="D2507" i="7"/>
  <c r="C2507" i="7"/>
  <c r="B2507" i="7"/>
  <c r="A2507" i="7"/>
  <c r="F2506" i="7"/>
  <c r="E2506" i="7"/>
  <c r="D2506" i="7"/>
  <c r="C2506" i="7"/>
  <c r="B2506" i="7"/>
  <c r="A2506" i="7"/>
  <c r="F2505" i="7"/>
  <c r="E2505" i="7"/>
  <c r="D2505" i="7"/>
  <c r="C2505" i="7"/>
  <c r="B2505" i="7"/>
  <c r="A2505" i="7"/>
  <c r="F2504" i="7"/>
  <c r="E2504" i="7"/>
  <c r="D2504" i="7"/>
  <c r="C2504" i="7"/>
  <c r="B2504" i="7"/>
  <c r="A2504" i="7"/>
  <c r="F2503" i="7"/>
  <c r="E2503" i="7"/>
  <c r="D2503" i="7"/>
  <c r="C2503" i="7"/>
  <c r="B2503" i="7"/>
  <c r="A2503" i="7"/>
  <c r="F2502" i="7"/>
  <c r="E2502" i="7"/>
  <c r="D2502" i="7"/>
  <c r="C2502" i="7"/>
  <c r="B2502" i="7"/>
  <c r="A2502" i="7"/>
  <c r="F2501" i="7"/>
  <c r="E2501" i="7"/>
  <c r="D2501" i="7"/>
  <c r="C2501" i="7"/>
  <c r="B2501" i="7"/>
  <c r="A2501" i="7"/>
  <c r="F2500" i="7"/>
  <c r="E2500" i="7"/>
  <c r="D2500" i="7"/>
  <c r="C2500" i="7"/>
  <c r="B2500" i="7"/>
  <c r="A2500" i="7"/>
  <c r="F2499" i="7"/>
  <c r="E2499" i="7"/>
  <c r="D2499" i="7"/>
  <c r="C2499" i="7"/>
  <c r="B2499" i="7"/>
  <c r="A2499" i="7"/>
  <c r="F2498" i="7"/>
  <c r="E2498" i="7"/>
  <c r="D2498" i="7"/>
  <c r="C2498" i="7"/>
  <c r="B2498" i="7"/>
  <c r="A2498" i="7"/>
  <c r="F2497" i="7"/>
  <c r="E2497" i="7"/>
  <c r="D2497" i="7"/>
  <c r="C2497" i="7"/>
  <c r="B2497" i="7"/>
  <c r="A2497" i="7"/>
  <c r="F2496" i="7"/>
  <c r="E2496" i="7"/>
  <c r="D2496" i="7"/>
  <c r="C2496" i="7"/>
  <c r="B2496" i="7"/>
  <c r="A2496" i="7"/>
  <c r="F2495" i="7"/>
  <c r="E2495" i="7"/>
  <c r="D2495" i="7"/>
  <c r="C2495" i="7"/>
  <c r="B2495" i="7"/>
  <c r="A2495" i="7"/>
  <c r="F2494" i="7"/>
  <c r="E2494" i="7"/>
  <c r="D2494" i="7"/>
  <c r="C2494" i="7"/>
  <c r="B2494" i="7"/>
  <c r="A2494" i="7"/>
  <c r="F2493" i="7"/>
  <c r="E2493" i="7"/>
  <c r="D2493" i="7"/>
  <c r="C2493" i="7"/>
  <c r="B2493" i="7"/>
  <c r="A2493" i="7"/>
  <c r="F2492" i="7"/>
  <c r="E2492" i="7"/>
  <c r="D2492" i="7"/>
  <c r="C2492" i="7"/>
  <c r="B2492" i="7"/>
  <c r="A2492" i="7"/>
  <c r="F2491" i="7"/>
  <c r="E2491" i="7"/>
  <c r="D2491" i="7"/>
  <c r="C2491" i="7"/>
  <c r="B2491" i="7"/>
  <c r="A2491" i="7"/>
  <c r="F2490" i="7"/>
  <c r="E2490" i="7"/>
  <c r="D2490" i="7"/>
  <c r="C2490" i="7"/>
  <c r="B2490" i="7"/>
  <c r="A2490" i="7"/>
  <c r="F2489" i="7"/>
  <c r="E2489" i="7"/>
  <c r="D2489" i="7"/>
  <c r="C2489" i="7"/>
  <c r="B2489" i="7"/>
  <c r="A2489" i="7"/>
  <c r="F2488" i="7"/>
  <c r="E2488" i="7"/>
  <c r="D2488" i="7"/>
  <c r="C2488" i="7"/>
  <c r="B2488" i="7"/>
  <c r="A2488" i="7"/>
  <c r="F2487" i="7"/>
  <c r="E2487" i="7"/>
  <c r="D2487" i="7"/>
  <c r="C2487" i="7"/>
  <c r="B2487" i="7"/>
  <c r="A2487" i="7"/>
  <c r="F2486" i="7"/>
  <c r="E2486" i="7"/>
  <c r="D2486" i="7"/>
  <c r="C2486" i="7"/>
  <c r="B2486" i="7"/>
  <c r="A2486" i="7"/>
  <c r="F2485" i="7"/>
  <c r="E2485" i="7"/>
  <c r="D2485" i="7"/>
  <c r="C2485" i="7"/>
  <c r="B2485" i="7"/>
  <c r="A2485" i="7"/>
  <c r="F2484" i="7"/>
  <c r="E2484" i="7"/>
  <c r="D2484" i="7"/>
  <c r="C2484" i="7"/>
  <c r="B2484" i="7"/>
  <c r="A2484" i="7"/>
  <c r="F2483" i="7"/>
  <c r="E2483" i="7"/>
  <c r="D2483" i="7"/>
  <c r="C2483" i="7"/>
  <c r="B2483" i="7"/>
  <c r="A2483" i="7"/>
  <c r="F2482" i="7"/>
  <c r="E2482" i="7"/>
  <c r="D2482" i="7"/>
  <c r="C2482" i="7"/>
  <c r="B2482" i="7"/>
  <c r="A2482" i="7"/>
  <c r="F2481" i="7"/>
  <c r="E2481" i="7"/>
  <c r="D2481" i="7"/>
  <c r="C2481" i="7"/>
  <c r="B2481" i="7"/>
  <c r="A2481" i="7"/>
  <c r="F2480" i="7"/>
  <c r="E2480" i="7"/>
  <c r="D2480" i="7"/>
  <c r="C2480" i="7"/>
  <c r="B2480" i="7"/>
  <c r="A2480" i="7"/>
  <c r="F2479" i="7"/>
  <c r="E2479" i="7"/>
  <c r="D2479" i="7"/>
  <c r="C2479" i="7"/>
  <c r="B2479" i="7"/>
  <c r="A2479" i="7"/>
  <c r="F2478" i="7"/>
  <c r="E2478" i="7"/>
  <c r="D2478" i="7"/>
  <c r="C2478" i="7"/>
  <c r="B2478" i="7"/>
  <c r="A2478" i="7"/>
  <c r="F2477" i="7"/>
  <c r="E2477" i="7"/>
  <c r="D2477" i="7"/>
  <c r="C2477" i="7"/>
  <c r="B2477" i="7"/>
  <c r="A2477" i="7"/>
  <c r="F2476" i="7"/>
  <c r="E2476" i="7"/>
  <c r="D2476" i="7"/>
  <c r="C2476" i="7"/>
  <c r="B2476" i="7"/>
  <c r="A2476" i="7"/>
  <c r="F2475" i="7"/>
  <c r="E2475" i="7"/>
  <c r="D2475" i="7"/>
  <c r="C2475" i="7"/>
  <c r="B2475" i="7"/>
  <c r="A2475" i="7"/>
  <c r="F2474" i="7"/>
  <c r="E2474" i="7"/>
  <c r="D2474" i="7"/>
  <c r="C2474" i="7"/>
  <c r="B2474" i="7"/>
  <c r="A2474" i="7"/>
  <c r="F2473" i="7"/>
  <c r="E2473" i="7"/>
  <c r="D2473" i="7"/>
  <c r="C2473" i="7"/>
  <c r="B2473" i="7"/>
  <c r="A2473" i="7"/>
  <c r="F2472" i="7"/>
  <c r="E2472" i="7"/>
  <c r="D2472" i="7"/>
  <c r="C2472" i="7"/>
  <c r="B2472" i="7"/>
  <c r="A2472" i="7"/>
  <c r="F2471" i="7"/>
  <c r="E2471" i="7"/>
  <c r="D2471" i="7"/>
  <c r="C2471" i="7"/>
  <c r="B2471" i="7"/>
  <c r="A2471" i="7"/>
  <c r="F2470" i="7"/>
  <c r="E2470" i="7"/>
  <c r="D2470" i="7"/>
  <c r="C2470" i="7"/>
  <c r="B2470" i="7"/>
  <c r="A2470" i="7"/>
  <c r="F2469" i="7"/>
  <c r="E2469" i="7"/>
  <c r="D2469" i="7"/>
  <c r="C2469" i="7"/>
  <c r="B2469" i="7"/>
  <c r="A2469" i="7"/>
  <c r="F2468" i="7"/>
  <c r="E2468" i="7"/>
  <c r="D2468" i="7"/>
  <c r="C2468" i="7"/>
  <c r="B2468" i="7"/>
  <c r="A2468" i="7"/>
  <c r="F2467" i="7"/>
  <c r="E2467" i="7"/>
  <c r="D2467" i="7"/>
  <c r="C2467" i="7"/>
  <c r="B2467" i="7"/>
  <c r="A2467" i="7"/>
  <c r="F2466" i="7"/>
  <c r="E2466" i="7"/>
  <c r="D2466" i="7"/>
  <c r="C2466" i="7"/>
  <c r="B2466" i="7"/>
  <c r="A2466" i="7"/>
  <c r="F2465" i="7"/>
  <c r="E2465" i="7"/>
  <c r="D2465" i="7"/>
  <c r="C2465" i="7"/>
  <c r="B2465" i="7"/>
  <c r="A2465" i="7"/>
  <c r="F2464" i="7"/>
  <c r="E2464" i="7"/>
  <c r="D2464" i="7"/>
  <c r="C2464" i="7"/>
  <c r="B2464" i="7"/>
  <c r="A2464" i="7"/>
  <c r="F2463" i="7"/>
  <c r="E2463" i="7"/>
  <c r="D2463" i="7"/>
  <c r="C2463" i="7"/>
  <c r="B2463" i="7"/>
  <c r="A2463" i="7"/>
  <c r="F2462" i="7"/>
  <c r="E2462" i="7"/>
  <c r="D2462" i="7"/>
  <c r="C2462" i="7"/>
  <c r="B2462" i="7"/>
  <c r="A2462" i="7"/>
  <c r="F2461" i="7"/>
  <c r="E2461" i="7"/>
  <c r="D2461" i="7"/>
  <c r="C2461" i="7"/>
  <c r="B2461" i="7"/>
  <c r="A2461" i="7"/>
  <c r="F2460" i="7"/>
  <c r="E2460" i="7"/>
  <c r="D2460" i="7"/>
  <c r="C2460" i="7"/>
  <c r="B2460" i="7"/>
  <c r="A2460" i="7"/>
  <c r="F2459" i="7"/>
  <c r="E2459" i="7"/>
  <c r="D2459" i="7"/>
  <c r="C2459" i="7"/>
  <c r="B2459" i="7"/>
  <c r="A2459" i="7"/>
  <c r="F2458" i="7"/>
  <c r="E2458" i="7"/>
  <c r="D2458" i="7"/>
  <c r="C2458" i="7"/>
  <c r="B2458" i="7"/>
  <c r="A2458" i="7"/>
  <c r="F2457" i="7"/>
  <c r="E2457" i="7"/>
  <c r="D2457" i="7"/>
  <c r="C2457" i="7"/>
  <c r="B2457" i="7"/>
  <c r="A2457" i="7"/>
  <c r="F2456" i="7"/>
  <c r="E2456" i="7"/>
  <c r="D2456" i="7"/>
  <c r="C2456" i="7"/>
  <c r="B2456" i="7"/>
  <c r="A2456" i="7"/>
  <c r="F2455" i="7"/>
  <c r="E2455" i="7"/>
  <c r="D2455" i="7"/>
  <c r="C2455" i="7"/>
  <c r="B2455" i="7"/>
  <c r="A2455" i="7"/>
  <c r="F2454" i="7"/>
  <c r="E2454" i="7"/>
  <c r="D2454" i="7"/>
  <c r="C2454" i="7"/>
  <c r="B2454" i="7"/>
  <c r="A2454" i="7"/>
  <c r="F2453" i="7"/>
  <c r="E2453" i="7"/>
  <c r="D2453" i="7"/>
  <c r="C2453" i="7"/>
  <c r="B2453" i="7"/>
  <c r="A2453" i="7"/>
  <c r="F2452" i="7"/>
  <c r="E2452" i="7"/>
  <c r="D2452" i="7"/>
  <c r="C2452" i="7"/>
  <c r="B2452" i="7"/>
  <c r="A2452" i="7"/>
  <c r="F2451" i="7"/>
  <c r="E2451" i="7"/>
  <c r="D2451" i="7"/>
  <c r="C2451" i="7"/>
  <c r="B2451" i="7"/>
  <c r="A2451" i="7"/>
  <c r="F2450" i="7"/>
  <c r="E2450" i="7"/>
  <c r="D2450" i="7"/>
  <c r="C2450" i="7"/>
  <c r="B2450" i="7"/>
  <c r="A2450" i="7"/>
  <c r="F2449" i="7"/>
  <c r="E2449" i="7"/>
  <c r="D2449" i="7"/>
  <c r="C2449" i="7"/>
  <c r="B2449" i="7"/>
  <c r="A2449" i="7"/>
  <c r="F2448" i="7"/>
  <c r="E2448" i="7"/>
  <c r="D2448" i="7"/>
  <c r="C2448" i="7"/>
  <c r="B2448" i="7"/>
  <c r="A2448" i="7"/>
  <c r="F2447" i="7"/>
  <c r="E2447" i="7"/>
  <c r="D2447" i="7"/>
  <c r="C2447" i="7"/>
  <c r="B2447" i="7"/>
  <c r="A2447" i="7"/>
  <c r="F2446" i="7"/>
  <c r="E2446" i="7"/>
  <c r="D2446" i="7"/>
  <c r="C2446" i="7"/>
  <c r="B2446" i="7"/>
  <c r="A2446" i="7"/>
  <c r="F2445" i="7"/>
  <c r="E2445" i="7"/>
  <c r="D2445" i="7"/>
  <c r="C2445" i="7"/>
  <c r="B2445" i="7"/>
  <c r="A2445" i="7"/>
  <c r="F2444" i="7"/>
  <c r="E2444" i="7"/>
  <c r="D2444" i="7"/>
  <c r="C2444" i="7"/>
  <c r="B2444" i="7"/>
  <c r="A2444" i="7"/>
  <c r="F2443" i="7"/>
  <c r="E2443" i="7"/>
  <c r="D2443" i="7"/>
  <c r="C2443" i="7"/>
  <c r="B2443" i="7"/>
  <c r="A2443" i="7"/>
  <c r="F2442" i="7"/>
  <c r="E2442" i="7"/>
  <c r="D2442" i="7"/>
  <c r="C2442" i="7"/>
  <c r="B2442" i="7"/>
  <c r="A2442" i="7"/>
  <c r="F2441" i="7"/>
  <c r="E2441" i="7"/>
  <c r="D2441" i="7"/>
  <c r="C2441" i="7"/>
  <c r="B2441" i="7"/>
  <c r="A2441" i="7"/>
  <c r="F2440" i="7"/>
  <c r="E2440" i="7"/>
  <c r="D2440" i="7"/>
  <c r="C2440" i="7"/>
  <c r="B2440" i="7"/>
  <c r="A2440" i="7"/>
  <c r="F2439" i="7"/>
  <c r="E2439" i="7"/>
  <c r="D2439" i="7"/>
  <c r="C2439" i="7"/>
  <c r="B2439" i="7"/>
  <c r="A2439" i="7"/>
  <c r="F2438" i="7"/>
  <c r="E2438" i="7"/>
  <c r="D2438" i="7"/>
  <c r="C2438" i="7"/>
  <c r="B2438" i="7"/>
  <c r="A2438" i="7"/>
  <c r="F2437" i="7"/>
  <c r="E2437" i="7"/>
  <c r="D2437" i="7"/>
  <c r="C2437" i="7"/>
  <c r="B2437" i="7"/>
  <c r="A2437" i="7"/>
  <c r="F2436" i="7"/>
  <c r="E2436" i="7"/>
  <c r="D2436" i="7"/>
  <c r="C2436" i="7"/>
  <c r="B2436" i="7"/>
  <c r="A2436" i="7"/>
  <c r="F2435" i="7"/>
  <c r="E2435" i="7"/>
  <c r="D2435" i="7"/>
  <c r="C2435" i="7"/>
  <c r="B2435" i="7"/>
  <c r="A2435" i="7"/>
  <c r="F2434" i="7"/>
  <c r="E2434" i="7"/>
  <c r="D2434" i="7"/>
  <c r="C2434" i="7"/>
  <c r="B2434" i="7"/>
  <c r="A2434" i="7"/>
  <c r="F2433" i="7"/>
  <c r="E2433" i="7"/>
  <c r="D2433" i="7"/>
  <c r="C2433" i="7"/>
  <c r="B2433" i="7"/>
  <c r="A2433" i="7"/>
  <c r="F2432" i="7"/>
  <c r="E2432" i="7"/>
  <c r="D2432" i="7"/>
  <c r="C2432" i="7"/>
  <c r="B2432" i="7"/>
  <c r="A2432" i="7"/>
  <c r="F2431" i="7"/>
  <c r="E2431" i="7"/>
  <c r="D2431" i="7"/>
  <c r="C2431" i="7"/>
  <c r="B2431" i="7"/>
  <c r="A2431" i="7"/>
  <c r="F2430" i="7"/>
  <c r="E2430" i="7"/>
  <c r="D2430" i="7"/>
  <c r="C2430" i="7"/>
  <c r="B2430" i="7"/>
  <c r="A2430" i="7"/>
  <c r="F2429" i="7"/>
  <c r="E2429" i="7"/>
  <c r="D2429" i="7"/>
  <c r="C2429" i="7"/>
  <c r="B2429" i="7"/>
  <c r="A2429" i="7"/>
  <c r="F2428" i="7"/>
  <c r="E2428" i="7"/>
  <c r="D2428" i="7"/>
  <c r="C2428" i="7"/>
  <c r="B2428" i="7"/>
  <c r="A2428" i="7"/>
  <c r="F2427" i="7"/>
  <c r="E2427" i="7"/>
  <c r="D2427" i="7"/>
  <c r="C2427" i="7"/>
  <c r="B2427" i="7"/>
  <c r="A2427" i="7"/>
  <c r="F2426" i="7"/>
  <c r="E2426" i="7"/>
  <c r="D2426" i="7"/>
  <c r="C2426" i="7"/>
  <c r="B2426" i="7"/>
  <c r="A2426" i="7"/>
  <c r="F2425" i="7"/>
  <c r="E2425" i="7"/>
  <c r="D2425" i="7"/>
  <c r="C2425" i="7"/>
  <c r="B2425" i="7"/>
  <c r="A2425" i="7"/>
  <c r="F2424" i="7"/>
  <c r="E2424" i="7"/>
  <c r="D2424" i="7"/>
  <c r="C2424" i="7"/>
  <c r="B2424" i="7"/>
  <c r="A2424" i="7"/>
  <c r="F2423" i="7"/>
  <c r="E2423" i="7"/>
  <c r="D2423" i="7"/>
  <c r="C2423" i="7"/>
  <c r="B2423" i="7"/>
  <c r="A2423" i="7"/>
  <c r="F2422" i="7"/>
  <c r="E2422" i="7"/>
  <c r="D2422" i="7"/>
  <c r="C2422" i="7"/>
  <c r="B2422" i="7"/>
  <c r="A2422" i="7"/>
  <c r="F2421" i="7"/>
  <c r="E2421" i="7"/>
  <c r="D2421" i="7"/>
  <c r="C2421" i="7"/>
  <c r="B2421" i="7"/>
  <c r="A2421" i="7"/>
  <c r="F2420" i="7"/>
  <c r="E2420" i="7"/>
  <c r="D2420" i="7"/>
  <c r="C2420" i="7"/>
  <c r="B2420" i="7"/>
  <c r="A2420" i="7"/>
  <c r="F2419" i="7"/>
  <c r="E2419" i="7"/>
  <c r="D2419" i="7"/>
  <c r="C2419" i="7"/>
  <c r="B2419" i="7"/>
  <c r="A2419" i="7"/>
  <c r="F2418" i="7"/>
  <c r="E2418" i="7"/>
  <c r="D2418" i="7"/>
  <c r="C2418" i="7"/>
  <c r="B2418" i="7"/>
  <c r="A2418" i="7"/>
  <c r="F2417" i="7"/>
  <c r="E2417" i="7"/>
  <c r="D2417" i="7"/>
  <c r="C2417" i="7"/>
  <c r="B2417" i="7"/>
  <c r="A2417" i="7"/>
  <c r="F2416" i="7"/>
  <c r="E2416" i="7"/>
  <c r="D2416" i="7"/>
  <c r="C2416" i="7"/>
  <c r="B2416" i="7"/>
  <c r="A2416" i="7"/>
  <c r="F2415" i="7"/>
  <c r="E2415" i="7"/>
  <c r="D2415" i="7"/>
  <c r="C2415" i="7"/>
  <c r="B2415" i="7"/>
  <c r="A2415" i="7"/>
  <c r="F2414" i="7"/>
  <c r="E2414" i="7"/>
  <c r="D2414" i="7"/>
  <c r="C2414" i="7"/>
  <c r="B2414" i="7"/>
  <c r="A2414" i="7"/>
  <c r="F2413" i="7"/>
  <c r="E2413" i="7"/>
  <c r="D2413" i="7"/>
  <c r="C2413" i="7"/>
  <c r="B2413" i="7"/>
  <c r="A2413" i="7"/>
  <c r="F2412" i="7"/>
  <c r="E2412" i="7"/>
  <c r="D2412" i="7"/>
  <c r="C2412" i="7"/>
  <c r="B2412" i="7"/>
  <c r="A2412" i="7"/>
  <c r="F2411" i="7"/>
  <c r="E2411" i="7"/>
  <c r="D2411" i="7"/>
  <c r="C2411" i="7"/>
  <c r="B2411" i="7"/>
  <c r="A2411" i="7"/>
  <c r="F2410" i="7"/>
  <c r="E2410" i="7"/>
  <c r="D2410" i="7"/>
  <c r="C2410" i="7"/>
  <c r="B2410" i="7"/>
  <c r="A2410" i="7"/>
  <c r="F2409" i="7"/>
  <c r="E2409" i="7"/>
  <c r="D2409" i="7"/>
  <c r="C2409" i="7"/>
  <c r="B2409" i="7"/>
  <c r="A2409" i="7"/>
  <c r="F2408" i="7"/>
  <c r="E2408" i="7"/>
  <c r="D2408" i="7"/>
  <c r="C2408" i="7"/>
  <c r="B2408" i="7"/>
  <c r="A2408" i="7"/>
  <c r="F2407" i="7"/>
  <c r="E2407" i="7"/>
  <c r="D2407" i="7"/>
  <c r="C2407" i="7"/>
  <c r="B2407" i="7"/>
  <c r="A2407" i="7"/>
  <c r="F2406" i="7"/>
  <c r="E2406" i="7"/>
  <c r="D2406" i="7"/>
  <c r="C2406" i="7"/>
  <c r="B2406" i="7"/>
  <c r="A2406" i="7"/>
  <c r="F2405" i="7"/>
  <c r="E2405" i="7"/>
  <c r="D2405" i="7"/>
  <c r="C2405" i="7"/>
  <c r="B2405" i="7"/>
  <c r="A2405" i="7"/>
  <c r="F2404" i="7"/>
  <c r="E2404" i="7"/>
  <c r="D2404" i="7"/>
  <c r="C2404" i="7"/>
  <c r="B2404" i="7"/>
  <c r="A2404" i="7"/>
  <c r="F2403" i="7"/>
  <c r="E2403" i="7"/>
  <c r="D2403" i="7"/>
  <c r="C2403" i="7"/>
  <c r="B2403" i="7"/>
  <c r="A2403" i="7"/>
  <c r="F2402" i="7"/>
  <c r="E2402" i="7"/>
  <c r="D2402" i="7"/>
  <c r="C2402" i="7"/>
  <c r="B2402" i="7"/>
  <c r="A2402" i="7"/>
  <c r="F2401" i="7"/>
  <c r="E2401" i="7"/>
  <c r="D2401" i="7"/>
  <c r="C2401" i="7"/>
  <c r="B2401" i="7"/>
  <c r="A2401" i="7"/>
  <c r="F2400" i="7"/>
  <c r="E2400" i="7"/>
  <c r="D2400" i="7"/>
  <c r="C2400" i="7"/>
  <c r="B2400" i="7"/>
  <c r="A2400" i="7"/>
  <c r="F2399" i="7"/>
  <c r="E2399" i="7"/>
  <c r="D2399" i="7"/>
  <c r="C2399" i="7"/>
  <c r="B2399" i="7"/>
  <c r="A2399" i="7"/>
  <c r="F2398" i="7"/>
  <c r="E2398" i="7"/>
  <c r="D2398" i="7"/>
  <c r="C2398" i="7"/>
  <c r="B2398" i="7"/>
  <c r="A2398" i="7"/>
  <c r="F2397" i="7"/>
  <c r="E2397" i="7"/>
  <c r="D2397" i="7"/>
  <c r="C2397" i="7"/>
  <c r="B2397" i="7"/>
  <c r="A2397" i="7"/>
  <c r="F2396" i="7"/>
  <c r="E2396" i="7"/>
  <c r="D2396" i="7"/>
  <c r="C2396" i="7"/>
  <c r="B2396" i="7"/>
  <c r="A2396" i="7"/>
  <c r="F2395" i="7"/>
  <c r="E2395" i="7"/>
  <c r="D2395" i="7"/>
  <c r="C2395" i="7"/>
  <c r="B2395" i="7"/>
  <c r="A2395" i="7"/>
  <c r="F2394" i="7"/>
  <c r="E2394" i="7"/>
  <c r="D2394" i="7"/>
  <c r="C2394" i="7"/>
  <c r="B2394" i="7"/>
  <c r="A2394" i="7"/>
  <c r="F2393" i="7"/>
  <c r="E2393" i="7"/>
  <c r="D2393" i="7"/>
  <c r="C2393" i="7"/>
  <c r="B2393" i="7"/>
  <c r="A2393" i="7"/>
  <c r="F2392" i="7"/>
  <c r="E2392" i="7"/>
  <c r="D2392" i="7"/>
  <c r="C2392" i="7"/>
  <c r="B2392" i="7"/>
  <c r="A2392" i="7"/>
  <c r="F2391" i="7"/>
  <c r="E2391" i="7"/>
  <c r="D2391" i="7"/>
  <c r="C2391" i="7"/>
  <c r="B2391" i="7"/>
  <c r="A2391" i="7"/>
  <c r="F2390" i="7"/>
  <c r="E2390" i="7"/>
  <c r="D2390" i="7"/>
  <c r="C2390" i="7"/>
  <c r="B2390" i="7"/>
  <c r="A2390" i="7"/>
  <c r="F2389" i="7"/>
  <c r="E2389" i="7"/>
  <c r="D2389" i="7"/>
  <c r="C2389" i="7"/>
  <c r="B2389" i="7"/>
  <c r="A2389" i="7"/>
  <c r="F2388" i="7"/>
  <c r="E2388" i="7"/>
  <c r="D2388" i="7"/>
  <c r="C2388" i="7"/>
  <c r="B2388" i="7"/>
  <c r="A2388" i="7"/>
  <c r="F2387" i="7"/>
  <c r="E2387" i="7"/>
  <c r="D2387" i="7"/>
  <c r="C2387" i="7"/>
  <c r="B2387" i="7"/>
  <c r="A2387" i="7"/>
  <c r="F2386" i="7"/>
  <c r="E2386" i="7"/>
  <c r="D2386" i="7"/>
  <c r="C2386" i="7"/>
  <c r="B2386" i="7"/>
  <c r="A2386" i="7"/>
  <c r="F2385" i="7"/>
  <c r="E2385" i="7"/>
  <c r="D2385" i="7"/>
  <c r="C2385" i="7"/>
  <c r="B2385" i="7"/>
  <c r="A2385" i="7"/>
  <c r="F2384" i="7"/>
  <c r="E2384" i="7"/>
  <c r="D2384" i="7"/>
  <c r="C2384" i="7"/>
  <c r="B2384" i="7"/>
  <c r="A2384" i="7"/>
  <c r="F2383" i="7"/>
  <c r="E2383" i="7"/>
  <c r="D2383" i="7"/>
  <c r="C2383" i="7"/>
  <c r="B2383" i="7"/>
  <c r="A2383" i="7"/>
  <c r="F2382" i="7"/>
  <c r="E2382" i="7"/>
  <c r="D2382" i="7"/>
  <c r="C2382" i="7"/>
  <c r="B2382" i="7"/>
  <c r="A2382" i="7"/>
  <c r="F2381" i="7"/>
  <c r="E2381" i="7"/>
  <c r="D2381" i="7"/>
  <c r="C2381" i="7"/>
  <c r="B2381" i="7"/>
  <c r="A2381" i="7"/>
  <c r="F2380" i="7"/>
  <c r="E2380" i="7"/>
  <c r="D2380" i="7"/>
  <c r="C2380" i="7"/>
  <c r="B2380" i="7"/>
  <c r="A2380" i="7"/>
  <c r="F2379" i="7"/>
  <c r="E2379" i="7"/>
  <c r="D2379" i="7"/>
  <c r="C2379" i="7"/>
  <c r="B2379" i="7"/>
  <c r="A2379" i="7"/>
  <c r="F2378" i="7"/>
  <c r="E2378" i="7"/>
  <c r="D2378" i="7"/>
  <c r="C2378" i="7"/>
  <c r="B2378" i="7"/>
  <c r="A2378" i="7"/>
  <c r="F2377" i="7"/>
  <c r="E2377" i="7"/>
  <c r="D2377" i="7"/>
  <c r="C2377" i="7"/>
  <c r="B2377" i="7"/>
  <c r="A2377" i="7"/>
  <c r="F2376" i="7"/>
  <c r="E2376" i="7"/>
  <c r="D2376" i="7"/>
  <c r="C2376" i="7"/>
  <c r="B2376" i="7"/>
  <c r="A2376" i="7"/>
  <c r="F2375" i="7"/>
  <c r="E2375" i="7"/>
  <c r="D2375" i="7"/>
  <c r="C2375" i="7"/>
  <c r="B2375" i="7"/>
  <c r="A2375" i="7"/>
  <c r="F2374" i="7"/>
  <c r="E2374" i="7"/>
  <c r="D2374" i="7"/>
  <c r="C2374" i="7"/>
  <c r="B2374" i="7"/>
  <c r="A2374" i="7"/>
  <c r="F2373" i="7"/>
  <c r="E2373" i="7"/>
  <c r="D2373" i="7"/>
  <c r="C2373" i="7"/>
  <c r="B2373" i="7"/>
  <c r="A2373" i="7"/>
  <c r="F2372" i="7"/>
  <c r="E2372" i="7"/>
  <c r="D2372" i="7"/>
  <c r="C2372" i="7"/>
  <c r="B2372" i="7"/>
  <c r="A2372" i="7"/>
  <c r="F2371" i="7"/>
  <c r="E2371" i="7"/>
  <c r="D2371" i="7"/>
  <c r="C2371" i="7"/>
  <c r="B2371" i="7"/>
  <c r="A2371" i="7"/>
  <c r="F2370" i="7"/>
  <c r="E2370" i="7"/>
  <c r="D2370" i="7"/>
  <c r="C2370" i="7"/>
  <c r="B2370" i="7"/>
  <c r="A2370" i="7"/>
  <c r="F2369" i="7"/>
  <c r="E2369" i="7"/>
  <c r="D2369" i="7"/>
  <c r="C2369" i="7"/>
  <c r="B2369" i="7"/>
  <c r="A2369" i="7"/>
  <c r="F2368" i="7"/>
  <c r="E2368" i="7"/>
  <c r="D2368" i="7"/>
  <c r="C2368" i="7"/>
  <c r="B2368" i="7"/>
  <c r="A2368" i="7"/>
  <c r="F2367" i="7"/>
  <c r="E2367" i="7"/>
  <c r="D2367" i="7"/>
  <c r="C2367" i="7"/>
  <c r="B2367" i="7"/>
  <c r="A2367" i="7"/>
  <c r="F2366" i="7"/>
  <c r="E2366" i="7"/>
  <c r="D2366" i="7"/>
  <c r="C2366" i="7"/>
  <c r="B2366" i="7"/>
  <c r="A2366" i="7"/>
  <c r="F2365" i="7"/>
  <c r="E2365" i="7"/>
  <c r="D2365" i="7"/>
  <c r="C2365" i="7"/>
  <c r="B2365" i="7"/>
  <c r="A2365" i="7"/>
  <c r="F2364" i="7"/>
  <c r="E2364" i="7"/>
  <c r="D2364" i="7"/>
  <c r="C2364" i="7"/>
  <c r="B2364" i="7"/>
  <c r="A2364" i="7"/>
  <c r="F2363" i="7"/>
  <c r="E2363" i="7"/>
  <c r="D2363" i="7"/>
  <c r="C2363" i="7"/>
  <c r="B2363" i="7"/>
  <c r="A2363" i="7"/>
  <c r="F2362" i="7"/>
  <c r="E2362" i="7"/>
  <c r="D2362" i="7"/>
  <c r="C2362" i="7"/>
  <c r="B2362" i="7"/>
  <c r="A2362" i="7"/>
  <c r="F2361" i="7"/>
  <c r="E2361" i="7"/>
  <c r="D2361" i="7"/>
  <c r="C2361" i="7"/>
  <c r="B2361" i="7"/>
  <c r="A2361" i="7"/>
  <c r="F2360" i="7"/>
  <c r="E2360" i="7"/>
  <c r="D2360" i="7"/>
  <c r="C2360" i="7"/>
  <c r="B2360" i="7"/>
  <c r="A2360" i="7"/>
  <c r="F2359" i="7"/>
  <c r="E2359" i="7"/>
  <c r="D2359" i="7"/>
  <c r="C2359" i="7"/>
  <c r="B2359" i="7"/>
  <c r="A2359" i="7"/>
  <c r="F2358" i="7"/>
  <c r="E2358" i="7"/>
  <c r="D2358" i="7"/>
  <c r="C2358" i="7"/>
  <c r="B2358" i="7"/>
  <c r="A2358" i="7"/>
  <c r="F2357" i="7"/>
  <c r="E2357" i="7"/>
  <c r="D2357" i="7"/>
  <c r="C2357" i="7"/>
  <c r="B2357" i="7"/>
  <c r="A2357" i="7"/>
  <c r="F2356" i="7"/>
  <c r="E2356" i="7"/>
  <c r="D2356" i="7"/>
  <c r="C2356" i="7"/>
  <c r="B2356" i="7"/>
  <c r="A2356" i="7"/>
  <c r="F2355" i="7"/>
  <c r="E2355" i="7"/>
  <c r="D2355" i="7"/>
  <c r="C2355" i="7"/>
  <c r="B2355" i="7"/>
  <c r="A2355" i="7"/>
  <c r="F2354" i="7"/>
  <c r="E2354" i="7"/>
  <c r="D2354" i="7"/>
  <c r="C2354" i="7"/>
  <c r="B2354" i="7"/>
  <c r="A2354" i="7"/>
  <c r="F2353" i="7"/>
  <c r="E2353" i="7"/>
  <c r="D2353" i="7"/>
  <c r="C2353" i="7"/>
  <c r="B2353" i="7"/>
  <c r="A2353" i="7"/>
  <c r="F2352" i="7"/>
  <c r="E2352" i="7"/>
  <c r="D2352" i="7"/>
  <c r="C2352" i="7"/>
  <c r="B2352" i="7"/>
  <c r="A2352" i="7"/>
  <c r="F2351" i="7"/>
  <c r="E2351" i="7"/>
  <c r="D2351" i="7"/>
  <c r="C2351" i="7"/>
  <c r="B2351" i="7"/>
  <c r="A2351" i="7"/>
  <c r="F2350" i="7"/>
  <c r="E2350" i="7"/>
  <c r="D2350" i="7"/>
  <c r="C2350" i="7"/>
  <c r="B2350" i="7"/>
  <c r="A2350" i="7"/>
  <c r="F2349" i="7"/>
  <c r="E2349" i="7"/>
  <c r="D2349" i="7"/>
  <c r="C2349" i="7"/>
  <c r="B2349" i="7"/>
  <c r="A2349" i="7"/>
  <c r="F2348" i="7"/>
  <c r="E2348" i="7"/>
  <c r="D2348" i="7"/>
  <c r="C2348" i="7"/>
  <c r="B2348" i="7"/>
  <c r="A2348" i="7"/>
  <c r="F2347" i="7"/>
  <c r="E2347" i="7"/>
  <c r="D2347" i="7"/>
  <c r="C2347" i="7"/>
  <c r="B2347" i="7"/>
  <c r="A2347" i="7"/>
  <c r="F2346" i="7"/>
  <c r="E2346" i="7"/>
  <c r="D2346" i="7"/>
  <c r="C2346" i="7"/>
  <c r="B2346" i="7"/>
  <c r="A2346" i="7"/>
  <c r="F2345" i="7"/>
  <c r="E2345" i="7"/>
  <c r="D2345" i="7"/>
  <c r="C2345" i="7"/>
  <c r="B2345" i="7"/>
  <c r="A2345" i="7"/>
  <c r="F2344" i="7"/>
  <c r="E2344" i="7"/>
  <c r="D2344" i="7"/>
  <c r="C2344" i="7"/>
  <c r="B2344" i="7"/>
  <c r="A2344" i="7"/>
  <c r="F2343" i="7"/>
  <c r="E2343" i="7"/>
  <c r="D2343" i="7"/>
  <c r="C2343" i="7"/>
  <c r="B2343" i="7"/>
  <c r="A2343" i="7"/>
  <c r="F2342" i="7"/>
  <c r="E2342" i="7"/>
  <c r="D2342" i="7"/>
  <c r="C2342" i="7"/>
  <c r="B2342" i="7"/>
  <c r="A2342" i="7"/>
  <c r="F2341" i="7"/>
  <c r="E2341" i="7"/>
  <c r="D2341" i="7"/>
  <c r="C2341" i="7"/>
  <c r="B2341" i="7"/>
  <c r="A2341" i="7"/>
  <c r="F2340" i="7"/>
  <c r="E2340" i="7"/>
  <c r="D2340" i="7"/>
  <c r="C2340" i="7"/>
  <c r="B2340" i="7"/>
  <c r="A2340" i="7"/>
  <c r="F2339" i="7"/>
  <c r="E2339" i="7"/>
  <c r="D2339" i="7"/>
  <c r="C2339" i="7"/>
  <c r="B2339" i="7"/>
  <c r="A2339" i="7"/>
  <c r="F2338" i="7"/>
  <c r="E2338" i="7"/>
  <c r="D2338" i="7"/>
  <c r="C2338" i="7"/>
  <c r="B2338" i="7"/>
  <c r="A2338" i="7"/>
  <c r="F2337" i="7"/>
  <c r="E2337" i="7"/>
  <c r="D2337" i="7"/>
  <c r="C2337" i="7"/>
  <c r="B2337" i="7"/>
  <c r="A2337" i="7"/>
  <c r="F2336" i="7"/>
  <c r="E2336" i="7"/>
  <c r="D2336" i="7"/>
  <c r="C2336" i="7"/>
  <c r="B2336" i="7"/>
  <c r="A2336" i="7"/>
  <c r="F2335" i="7"/>
  <c r="E2335" i="7"/>
  <c r="D2335" i="7"/>
  <c r="C2335" i="7"/>
  <c r="B2335" i="7"/>
  <c r="A2335" i="7"/>
  <c r="F2334" i="7"/>
  <c r="E2334" i="7"/>
  <c r="D2334" i="7"/>
  <c r="C2334" i="7"/>
  <c r="B2334" i="7"/>
  <c r="A2334" i="7"/>
  <c r="F2333" i="7"/>
  <c r="E2333" i="7"/>
  <c r="D2333" i="7"/>
  <c r="C2333" i="7"/>
  <c r="B2333" i="7"/>
  <c r="A2333" i="7"/>
  <c r="F2332" i="7"/>
  <c r="E2332" i="7"/>
  <c r="D2332" i="7"/>
  <c r="C2332" i="7"/>
  <c r="B2332" i="7"/>
  <c r="A2332" i="7"/>
  <c r="F2331" i="7"/>
  <c r="E2331" i="7"/>
  <c r="D2331" i="7"/>
  <c r="C2331" i="7"/>
  <c r="B2331" i="7"/>
  <c r="A2331" i="7"/>
  <c r="F2330" i="7"/>
  <c r="E2330" i="7"/>
  <c r="D2330" i="7"/>
  <c r="C2330" i="7"/>
  <c r="B2330" i="7"/>
  <c r="A2330" i="7"/>
  <c r="F2329" i="7"/>
  <c r="E2329" i="7"/>
  <c r="D2329" i="7"/>
  <c r="C2329" i="7"/>
  <c r="B2329" i="7"/>
  <c r="A2329" i="7"/>
  <c r="F2328" i="7"/>
  <c r="E2328" i="7"/>
  <c r="D2328" i="7"/>
  <c r="C2328" i="7"/>
  <c r="B2328" i="7"/>
  <c r="A2328" i="7"/>
  <c r="F2327" i="7"/>
  <c r="E2327" i="7"/>
  <c r="D2327" i="7"/>
  <c r="C2327" i="7"/>
  <c r="B2327" i="7"/>
  <c r="A2327" i="7"/>
  <c r="F2326" i="7"/>
  <c r="E2326" i="7"/>
  <c r="D2326" i="7"/>
  <c r="C2326" i="7"/>
  <c r="B2326" i="7"/>
  <c r="A2326" i="7"/>
  <c r="F2325" i="7"/>
  <c r="E2325" i="7"/>
  <c r="D2325" i="7"/>
  <c r="C2325" i="7"/>
  <c r="B2325" i="7"/>
  <c r="A2325" i="7"/>
  <c r="F2324" i="7"/>
  <c r="E2324" i="7"/>
  <c r="D2324" i="7"/>
  <c r="C2324" i="7"/>
  <c r="B2324" i="7"/>
  <c r="A2324" i="7"/>
  <c r="F2323" i="7"/>
  <c r="E2323" i="7"/>
  <c r="D2323" i="7"/>
  <c r="C2323" i="7"/>
  <c r="B2323" i="7"/>
  <c r="A2323" i="7"/>
  <c r="F2322" i="7"/>
  <c r="E2322" i="7"/>
  <c r="D2322" i="7"/>
  <c r="C2322" i="7"/>
  <c r="B2322" i="7"/>
  <c r="A2322" i="7"/>
  <c r="F2321" i="7"/>
  <c r="E2321" i="7"/>
  <c r="D2321" i="7"/>
  <c r="C2321" i="7"/>
  <c r="B2321" i="7"/>
  <c r="A2321" i="7"/>
  <c r="F2320" i="7"/>
  <c r="E2320" i="7"/>
  <c r="D2320" i="7"/>
  <c r="C2320" i="7"/>
  <c r="B2320" i="7"/>
  <c r="A2320" i="7"/>
  <c r="F2319" i="7"/>
  <c r="E2319" i="7"/>
  <c r="D2319" i="7"/>
  <c r="C2319" i="7"/>
  <c r="B2319" i="7"/>
  <c r="A2319" i="7"/>
  <c r="F2318" i="7"/>
  <c r="E2318" i="7"/>
  <c r="D2318" i="7"/>
  <c r="C2318" i="7"/>
  <c r="B2318" i="7"/>
  <c r="A2318" i="7"/>
  <c r="F2317" i="7"/>
  <c r="E2317" i="7"/>
  <c r="D2317" i="7"/>
  <c r="C2317" i="7"/>
  <c r="B2317" i="7"/>
  <c r="A2317" i="7"/>
  <c r="F2316" i="7"/>
  <c r="E2316" i="7"/>
  <c r="D2316" i="7"/>
  <c r="C2316" i="7"/>
  <c r="B2316" i="7"/>
  <c r="A2316" i="7"/>
  <c r="F2315" i="7"/>
  <c r="E2315" i="7"/>
  <c r="D2315" i="7"/>
  <c r="C2315" i="7"/>
  <c r="B2315" i="7"/>
  <c r="A2315" i="7"/>
  <c r="F2314" i="7"/>
  <c r="E2314" i="7"/>
  <c r="D2314" i="7"/>
  <c r="C2314" i="7"/>
  <c r="B2314" i="7"/>
  <c r="A2314" i="7"/>
  <c r="F2313" i="7"/>
  <c r="E2313" i="7"/>
  <c r="D2313" i="7"/>
  <c r="C2313" i="7"/>
  <c r="B2313" i="7"/>
  <c r="A2313" i="7"/>
  <c r="F2312" i="7"/>
  <c r="E2312" i="7"/>
  <c r="D2312" i="7"/>
  <c r="C2312" i="7"/>
  <c r="B2312" i="7"/>
  <c r="A2312" i="7"/>
  <c r="F2311" i="7"/>
  <c r="E2311" i="7"/>
  <c r="D2311" i="7"/>
  <c r="C2311" i="7"/>
  <c r="B2311" i="7"/>
  <c r="A2311" i="7"/>
  <c r="F2310" i="7"/>
  <c r="E2310" i="7"/>
  <c r="D2310" i="7"/>
  <c r="C2310" i="7"/>
  <c r="B2310" i="7"/>
  <c r="A2310" i="7"/>
  <c r="F2309" i="7"/>
  <c r="E2309" i="7"/>
  <c r="D2309" i="7"/>
  <c r="C2309" i="7"/>
  <c r="B2309" i="7"/>
  <c r="A2309" i="7"/>
  <c r="F2308" i="7"/>
  <c r="E2308" i="7"/>
  <c r="D2308" i="7"/>
  <c r="C2308" i="7"/>
  <c r="B2308" i="7"/>
  <c r="A2308" i="7"/>
  <c r="F2307" i="7"/>
  <c r="E2307" i="7"/>
  <c r="D2307" i="7"/>
  <c r="C2307" i="7"/>
  <c r="B2307" i="7"/>
  <c r="A2307" i="7"/>
  <c r="F2306" i="7"/>
  <c r="E2306" i="7"/>
  <c r="D2306" i="7"/>
  <c r="C2306" i="7"/>
  <c r="B2306" i="7"/>
  <c r="A2306" i="7"/>
  <c r="F2305" i="7"/>
  <c r="E2305" i="7"/>
  <c r="D2305" i="7"/>
  <c r="C2305" i="7"/>
  <c r="B2305" i="7"/>
  <c r="A2305" i="7"/>
  <c r="F2304" i="7"/>
  <c r="E2304" i="7"/>
  <c r="D2304" i="7"/>
  <c r="C2304" i="7"/>
  <c r="B2304" i="7"/>
  <c r="A2304" i="7"/>
  <c r="F2303" i="7"/>
  <c r="E2303" i="7"/>
  <c r="D2303" i="7"/>
  <c r="C2303" i="7"/>
  <c r="B2303" i="7"/>
  <c r="A2303" i="7"/>
  <c r="F2302" i="7"/>
  <c r="E2302" i="7"/>
  <c r="D2302" i="7"/>
  <c r="C2302" i="7"/>
  <c r="B2302" i="7"/>
  <c r="A2302" i="7"/>
  <c r="F2301" i="7"/>
  <c r="E2301" i="7"/>
  <c r="D2301" i="7"/>
  <c r="C2301" i="7"/>
  <c r="B2301" i="7"/>
  <c r="A2301" i="7"/>
  <c r="F2300" i="7"/>
  <c r="E2300" i="7"/>
  <c r="D2300" i="7"/>
  <c r="C2300" i="7"/>
  <c r="B2300" i="7"/>
  <c r="A2300" i="7"/>
  <c r="F2299" i="7"/>
  <c r="E2299" i="7"/>
  <c r="D2299" i="7"/>
  <c r="C2299" i="7"/>
  <c r="B2299" i="7"/>
  <c r="A2299" i="7"/>
  <c r="F2298" i="7"/>
  <c r="E2298" i="7"/>
  <c r="D2298" i="7"/>
  <c r="C2298" i="7"/>
  <c r="B2298" i="7"/>
  <c r="A2298" i="7"/>
  <c r="F2297" i="7"/>
  <c r="E2297" i="7"/>
  <c r="D2297" i="7"/>
  <c r="C2297" i="7"/>
  <c r="B2297" i="7"/>
  <c r="A2297" i="7"/>
  <c r="F2296" i="7"/>
  <c r="E2296" i="7"/>
  <c r="D2296" i="7"/>
  <c r="C2296" i="7"/>
  <c r="B2296" i="7"/>
  <c r="A2296" i="7"/>
  <c r="F2295" i="7"/>
  <c r="E2295" i="7"/>
  <c r="D2295" i="7"/>
  <c r="C2295" i="7"/>
  <c r="B2295" i="7"/>
  <c r="A2295" i="7"/>
  <c r="F2294" i="7"/>
  <c r="E2294" i="7"/>
  <c r="D2294" i="7"/>
  <c r="C2294" i="7"/>
  <c r="B2294" i="7"/>
  <c r="A2294" i="7"/>
  <c r="F2293" i="7"/>
  <c r="E2293" i="7"/>
  <c r="D2293" i="7"/>
  <c r="C2293" i="7"/>
  <c r="B2293" i="7"/>
  <c r="A2293" i="7"/>
  <c r="F2292" i="7"/>
  <c r="E2292" i="7"/>
  <c r="D2292" i="7"/>
  <c r="C2292" i="7"/>
  <c r="B2292" i="7"/>
  <c r="A2292" i="7"/>
  <c r="F2291" i="7"/>
  <c r="E2291" i="7"/>
  <c r="D2291" i="7"/>
  <c r="C2291" i="7"/>
  <c r="B2291" i="7"/>
  <c r="A2291" i="7"/>
  <c r="F2290" i="7"/>
  <c r="E2290" i="7"/>
  <c r="D2290" i="7"/>
  <c r="C2290" i="7"/>
  <c r="B2290" i="7"/>
  <c r="A2290" i="7"/>
  <c r="F2289" i="7"/>
  <c r="E2289" i="7"/>
  <c r="D2289" i="7"/>
  <c r="C2289" i="7"/>
  <c r="B2289" i="7"/>
  <c r="A2289" i="7"/>
  <c r="F2288" i="7"/>
  <c r="E2288" i="7"/>
  <c r="D2288" i="7"/>
  <c r="C2288" i="7"/>
  <c r="B2288" i="7"/>
  <c r="A2288" i="7"/>
  <c r="F2287" i="7"/>
  <c r="E2287" i="7"/>
  <c r="D2287" i="7"/>
  <c r="C2287" i="7"/>
  <c r="B2287" i="7"/>
  <c r="A2287" i="7"/>
  <c r="F2286" i="7"/>
  <c r="E2286" i="7"/>
  <c r="D2286" i="7"/>
  <c r="C2286" i="7"/>
  <c r="B2286" i="7"/>
  <c r="A2286" i="7"/>
  <c r="F2285" i="7"/>
  <c r="E2285" i="7"/>
  <c r="D2285" i="7"/>
  <c r="C2285" i="7"/>
  <c r="B2285" i="7"/>
  <c r="A2285" i="7"/>
  <c r="F2284" i="7"/>
  <c r="E2284" i="7"/>
  <c r="D2284" i="7"/>
  <c r="C2284" i="7"/>
  <c r="B2284" i="7"/>
  <c r="A2284" i="7"/>
  <c r="F2283" i="7"/>
  <c r="E2283" i="7"/>
  <c r="D2283" i="7"/>
  <c r="C2283" i="7"/>
  <c r="B2283" i="7"/>
  <c r="A2283" i="7"/>
  <c r="F2282" i="7"/>
  <c r="E2282" i="7"/>
  <c r="D2282" i="7"/>
  <c r="C2282" i="7"/>
  <c r="B2282" i="7"/>
  <c r="A2282" i="7"/>
  <c r="F2281" i="7"/>
  <c r="E2281" i="7"/>
  <c r="D2281" i="7"/>
  <c r="C2281" i="7"/>
  <c r="B2281" i="7"/>
  <c r="A2281" i="7"/>
  <c r="F2280" i="7"/>
  <c r="E2280" i="7"/>
  <c r="D2280" i="7"/>
  <c r="C2280" i="7"/>
  <c r="B2280" i="7"/>
  <c r="A2280" i="7"/>
  <c r="F2279" i="7"/>
  <c r="E2279" i="7"/>
  <c r="D2279" i="7"/>
  <c r="C2279" i="7"/>
  <c r="B2279" i="7"/>
  <c r="A2279" i="7"/>
  <c r="F2278" i="7"/>
  <c r="E2278" i="7"/>
  <c r="D2278" i="7"/>
  <c r="C2278" i="7"/>
  <c r="B2278" i="7"/>
  <c r="A2278" i="7"/>
  <c r="F2277" i="7"/>
  <c r="E2277" i="7"/>
  <c r="D2277" i="7"/>
  <c r="C2277" i="7"/>
  <c r="B2277" i="7"/>
  <c r="A2277" i="7"/>
  <c r="F2276" i="7"/>
  <c r="E2276" i="7"/>
  <c r="D2276" i="7"/>
  <c r="C2276" i="7"/>
  <c r="B2276" i="7"/>
  <c r="A2276" i="7"/>
  <c r="F2275" i="7"/>
  <c r="E2275" i="7"/>
  <c r="D2275" i="7"/>
  <c r="C2275" i="7"/>
  <c r="B2275" i="7"/>
  <c r="A2275" i="7"/>
  <c r="F2274" i="7"/>
  <c r="E2274" i="7"/>
  <c r="D2274" i="7"/>
  <c r="C2274" i="7"/>
  <c r="B2274" i="7"/>
  <c r="A2274" i="7"/>
  <c r="F2273" i="7"/>
  <c r="E2273" i="7"/>
  <c r="D2273" i="7"/>
  <c r="C2273" i="7"/>
  <c r="B2273" i="7"/>
  <c r="A2273" i="7"/>
  <c r="F2272" i="7"/>
  <c r="E2272" i="7"/>
  <c r="D2272" i="7"/>
  <c r="C2272" i="7"/>
  <c r="B2272" i="7"/>
  <c r="A2272" i="7"/>
  <c r="F2271" i="7"/>
  <c r="E2271" i="7"/>
  <c r="D2271" i="7"/>
  <c r="C2271" i="7"/>
  <c r="B2271" i="7"/>
  <c r="A2271" i="7"/>
  <c r="F2270" i="7"/>
  <c r="E2270" i="7"/>
  <c r="D2270" i="7"/>
  <c r="C2270" i="7"/>
  <c r="B2270" i="7"/>
  <c r="A2270" i="7"/>
  <c r="F2269" i="7"/>
  <c r="E2269" i="7"/>
  <c r="D2269" i="7"/>
  <c r="C2269" i="7"/>
  <c r="B2269" i="7"/>
  <c r="A2269" i="7"/>
  <c r="F2268" i="7"/>
  <c r="E2268" i="7"/>
  <c r="D2268" i="7"/>
  <c r="C2268" i="7"/>
  <c r="B2268" i="7"/>
  <c r="A2268" i="7"/>
  <c r="F2267" i="7"/>
  <c r="E2267" i="7"/>
  <c r="D2267" i="7"/>
  <c r="C2267" i="7"/>
  <c r="B2267" i="7"/>
  <c r="A2267" i="7"/>
  <c r="F2266" i="7"/>
  <c r="E2266" i="7"/>
  <c r="D2266" i="7"/>
  <c r="C2266" i="7"/>
  <c r="B2266" i="7"/>
  <c r="A2266" i="7"/>
  <c r="F2265" i="7"/>
  <c r="E2265" i="7"/>
  <c r="D2265" i="7"/>
  <c r="C2265" i="7"/>
  <c r="B2265" i="7"/>
  <c r="A2265" i="7"/>
  <c r="F2264" i="7"/>
  <c r="E2264" i="7"/>
  <c r="D2264" i="7"/>
  <c r="C2264" i="7"/>
  <c r="B2264" i="7"/>
  <c r="A2264" i="7"/>
  <c r="F2263" i="7"/>
  <c r="E2263" i="7"/>
  <c r="D2263" i="7"/>
  <c r="C2263" i="7"/>
  <c r="B2263" i="7"/>
  <c r="A2263" i="7"/>
  <c r="F2262" i="7"/>
  <c r="E2262" i="7"/>
  <c r="D2262" i="7"/>
  <c r="C2262" i="7"/>
  <c r="B2262" i="7"/>
  <c r="A2262" i="7"/>
  <c r="F2261" i="7"/>
  <c r="E2261" i="7"/>
  <c r="D2261" i="7"/>
  <c r="C2261" i="7"/>
  <c r="B2261" i="7"/>
  <c r="A2261" i="7"/>
  <c r="F2260" i="7"/>
  <c r="E2260" i="7"/>
  <c r="D2260" i="7"/>
  <c r="C2260" i="7"/>
  <c r="B2260" i="7"/>
  <c r="A2260" i="7"/>
  <c r="F2259" i="7"/>
  <c r="E2259" i="7"/>
  <c r="D2259" i="7"/>
  <c r="C2259" i="7"/>
  <c r="B2259" i="7"/>
  <c r="A2259" i="7"/>
  <c r="F2258" i="7"/>
  <c r="E2258" i="7"/>
  <c r="D2258" i="7"/>
  <c r="C2258" i="7"/>
  <c r="B2258" i="7"/>
  <c r="A2258" i="7"/>
  <c r="F2257" i="7"/>
  <c r="E2257" i="7"/>
  <c r="D2257" i="7"/>
  <c r="C2257" i="7"/>
  <c r="B2257" i="7"/>
  <c r="A2257" i="7"/>
  <c r="F2256" i="7"/>
  <c r="E2256" i="7"/>
  <c r="D2256" i="7"/>
  <c r="C2256" i="7"/>
  <c r="B2256" i="7"/>
  <c r="A2256" i="7"/>
  <c r="F2255" i="7"/>
  <c r="E2255" i="7"/>
  <c r="D2255" i="7"/>
  <c r="C2255" i="7"/>
  <c r="B2255" i="7"/>
  <c r="A2255" i="7"/>
  <c r="F2254" i="7"/>
  <c r="E2254" i="7"/>
  <c r="D2254" i="7"/>
  <c r="C2254" i="7"/>
  <c r="B2254" i="7"/>
  <c r="A2254" i="7"/>
  <c r="F2253" i="7"/>
  <c r="E2253" i="7"/>
  <c r="D2253" i="7"/>
  <c r="C2253" i="7"/>
  <c r="B2253" i="7"/>
  <c r="A2253" i="7"/>
  <c r="F2252" i="7"/>
  <c r="E2252" i="7"/>
  <c r="D2252" i="7"/>
  <c r="C2252" i="7"/>
  <c r="B2252" i="7"/>
  <c r="A2252" i="7"/>
  <c r="F2251" i="7"/>
  <c r="E2251" i="7"/>
  <c r="D2251" i="7"/>
  <c r="C2251" i="7"/>
  <c r="B2251" i="7"/>
  <c r="A2251" i="7"/>
  <c r="F2250" i="7"/>
  <c r="E2250" i="7"/>
  <c r="D2250" i="7"/>
  <c r="C2250" i="7"/>
  <c r="B2250" i="7"/>
  <c r="A2250" i="7"/>
  <c r="F2249" i="7"/>
  <c r="E2249" i="7"/>
  <c r="D2249" i="7"/>
  <c r="C2249" i="7"/>
  <c r="B2249" i="7"/>
  <c r="A2249" i="7"/>
  <c r="F2248" i="7"/>
  <c r="E2248" i="7"/>
  <c r="D2248" i="7"/>
  <c r="C2248" i="7"/>
  <c r="B2248" i="7"/>
  <c r="A2248" i="7"/>
  <c r="F2247" i="7"/>
  <c r="E2247" i="7"/>
  <c r="D2247" i="7"/>
  <c r="C2247" i="7"/>
  <c r="B2247" i="7"/>
  <c r="A2247" i="7"/>
  <c r="F2246" i="7"/>
  <c r="E2246" i="7"/>
  <c r="D2246" i="7"/>
  <c r="C2246" i="7"/>
  <c r="B2246" i="7"/>
  <c r="A2246" i="7"/>
  <c r="F2245" i="7"/>
  <c r="E2245" i="7"/>
  <c r="D2245" i="7"/>
  <c r="C2245" i="7"/>
  <c r="B2245" i="7"/>
  <c r="A2245" i="7"/>
  <c r="F2244" i="7"/>
  <c r="E2244" i="7"/>
  <c r="D2244" i="7"/>
  <c r="C2244" i="7"/>
  <c r="B2244" i="7"/>
  <c r="A2244" i="7"/>
  <c r="F2243" i="7"/>
  <c r="E2243" i="7"/>
  <c r="D2243" i="7"/>
  <c r="C2243" i="7"/>
  <c r="B2243" i="7"/>
  <c r="A2243" i="7"/>
  <c r="F2242" i="7"/>
  <c r="E2242" i="7"/>
  <c r="D2242" i="7"/>
  <c r="C2242" i="7"/>
  <c r="B2242" i="7"/>
  <c r="A2242" i="7"/>
  <c r="F2241" i="7"/>
  <c r="E2241" i="7"/>
  <c r="D2241" i="7"/>
  <c r="C2241" i="7"/>
  <c r="B2241" i="7"/>
  <c r="A2241" i="7"/>
  <c r="F2240" i="7"/>
  <c r="E2240" i="7"/>
  <c r="D2240" i="7"/>
  <c r="C2240" i="7"/>
  <c r="B2240" i="7"/>
  <c r="A2240" i="7"/>
  <c r="F2239" i="7"/>
  <c r="E2239" i="7"/>
  <c r="D2239" i="7"/>
  <c r="C2239" i="7"/>
  <c r="B2239" i="7"/>
  <c r="A2239" i="7"/>
  <c r="F2238" i="7"/>
  <c r="E2238" i="7"/>
  <c r="D2238" i="7"/>
  <c r="C2238" i="7"/>
  <c r="B2238" i="7"/>
  <c r="A2238" i="7"/>
  <c r="F2237" i="7"/>
  <c r="E2237" i="7"/>
  <c r="D2237" i="7"/>
  <c r="C2237" i="7"/>
  <c r="B2237" i="7"/>
  <c r="A2237" i="7"/>
  <c r="F2236" i="7"/>
  <c r="E2236" i="7"/>
  <c r="D2236" i="7"/>
  <c r="C2236" i="7"/>
  <c r="B2236" i="7"/>
  <c r="A2236" i="7"/>
  <c r="F2235" i="7"/>
  <c r="E2235" i="7"/>
  <c r="D2235" i="7"/>
  <c r="C2235" i="7"/>
  <c r="B2235" i="7"/>
  <c r="A2235" i="7"/>
  <c r="F2234" i="7"/>
  <c r="E2234" i="7"/>
  <c r="D2234" i="7"/>
  <c r="C2234" i="7"/>
  <c r="B2234" i="7"/>
  <c r="A2234" i="7"/>
  <c r="F2233" i="7"/>
  <c r="E2233" i="7"/>
  <c r="D2233" i="7"/>
  <c r="C2233" i="7"/>
  <c r="B2233" i="7"/>
  <c r="A2233" i="7"/>
  <c r="F2232" i="7"/>
  <c r="E2232" i="7"/>
  <c r="D2232" i="7"/>
  <c r="C2232" i="7"/>
  <c r="B2232" i="7"/>
  <c r="A2232" i="7"/>
  <c r="F2231" i="7"/>
  <c r="E2231" i="7"/>
  <c r="D2231" i="7"/>
  <c r="C2231" i="7"/>
  <c r="B2231" i="7"/>
  <c r="A2231" i="7"/>
  <c r="F2230" i="7"/>
  <c r="E2230" i="7"/>
  <c r="D2230" i="7"/>
  <c r="C2230" i="7"/>
  <c r="B2230" i="7"/>
  <c r="A2230" i="7"/>
  <c r="F2229" i="7"/>
  <c r="E2229" i="7"/>
  <c r="D2229" i="7"/>
  <c r="C2229" i="7"/>
  <c r="B2229" i="7"/>
  <c r="A2229" i="7"/>
  <c r="F2228" i="7"/>
  <c r="E2228" i="7"/>
  <c r="D2228" i="7"/>
  <c r="C2228" i="7"/>
  <c r="B2228" i="7"/>
  <c r="A2228" i="7"/>
  <c r="F2227" i="7"/>
  <c r="E2227" i="7"/>
  <c r="D2227" i="7"/>
  <c r="C2227" i="7"/>
  <c r="B2227" i="7"/>
  <c r="A2227" i="7"/>
  <c r="F2226" i="7"/>
  <c r="E2226" i="7"/>
  <c r="D2226" i="7"/>
  <c r="C2226" i="7"/>
  <c r="B2226" i="7"/>
  <c r="A2226" i="7"/>
  <c r="F2225" i="7"/>
  <c r="E2225" i="7"/>
  <c r="D2225" i="7"/>
  <c r="C2225" i="7"/>
  <c r="B2225" i="7"/>
  <c r="A2225" i="7"/>
  <c r="F2224" i="7"/>
  <c r="E2224" i="7"/>
  <c r="D2224" i="7"/>
  <c r="C2224" i="7"/>
  <c r="B2224" i="7"/>
  <c r="A2224" i="7"/>
  <c r="F2223" i="7"/>
  <c r="E2223" i="7"/>
  <c r="D2223" i="7"/>
  <c r="C2223" i="7"/>
  <c r="B2223" i="7"/>
  <c r="A2223" i="7"/>
  <c r="F2222" i="7"/>
  <c r="E2222" i="7"/>
  <c r="D2222" i="7"/>
  <c r="C2222" i="7"/>
  <c r="B2222" i="7"/>
  <c r="A2222" i="7"/>
  <c r="F2221" i="7"/>
  <c r="E2221" i="7"/>
  <c r="D2221" i="7"/>
  <c r="C2221" i="7"/>
  <c r="B2221" i="7"/>
  <c r="A2221" i="7"/>
  <c r="F2220" i="7"/>
  <c r="E2220" i="7"/>
  <c r="D2220" i="7"/>
  <c r="C2220" i="7"/>
  <c r="B2220" i="7"/>
  <c r="A2220" i="7"/>
  <c r="F2219" i="7"/>
  <c r="E2219" i="7"/>
  <c r="D2219" i="7"/>
  <c r="C2219" i="7"/>
  <c r="B2219" i="7"/>
  <c r="A2219" i="7"/>
  <c r="F2218" i="7"/>
  <c r="E2218" i="7"/>
  <c r="D2218" i="7"/>
  <c r="C2218" i="7"/>
  <c r="B2218" i="7"/>
  <c r="A2218" i="7"/>
  <c r="F2217" i="7"/>
  <c r="E2217" i="7"/>
  <c r="D2217" i="7"/>
  <c r="C2217" i="7"/>
  <c r="B2217" i="7"/>
  <c r="A2217" i="7"/>
  <c r="F2216" i="7"/>
  <c r="E2216" i="7"/>
  <c r="D2216" i="7"/>
  <c r="C2216" i="7"/>
  <c r="B2216" i="7"/>
  <c r="A2216" i="7"/>
  <c r="F2215" i="7"/>
  <c r="E2215" i="7"/>
  <c r="D2215" i="7"/>
  <c r="C2215" i="7"/>
  <c r="B2215" i="7"/>
  <c r="A2215" i="7"/>
  <c r="F2214" i="7"/>
  <c r="E2214" i="7"/>
  <c r="D2214" i="7"/>
  <c r="C2214" i="7"/>
  <c r="B2214" i="7"/>
  <c r="A2214" i="7"/>
  <c r="F2213" i="7"/>
  <c r="E2213" i="7"/>
  <c r="D2213" i="7"/>
  <c r="C2213" i="7"/>
  <c r="B2213" i="7"/>
  <c r="A2213" i="7"/>
  <c r="F2212" i="7"/>
  <c r="E2212" i="7"/>
  <c r="D2212" i="7"/>
  <c r="C2212" i="7"/>
  <c r="B2212" i="7"/>
  <c r="A2212" i="7"/>
  <c r="F2211" i="7"/>
  <c r="E2211" i="7"/>
  <c r="D2211" i="7"/>
  <c r="C2211" i="7"/>
  <c r="B2211" i="7"/>
  <c r="A2211" i="7"/>
  <c r="F2210" i="7"/>
  <c r="E2210" i="7"/>
  <c r="D2210" i="7"/>
  <c r="C2210" i="7"/>
  <c r="B2210" i="7"/>
  <c r="A2210" i="7"/>
  <c r="F2209" i="7"/>
  <c r="E2209" i="7"/>
  <c r="D2209" i="7"/>
  <c r="C2209" i="7"/>
  <c r="B2209" i="7"/>
  <c r="A2209" i="7"/>
  <c r="F2208" i="7"/>
  <c r="E2208" i="7"/>
  <c r="D2208" i="7"/>
  <c r="C2208" i="7"/>
  <c r="B2208" i="7"/>
  <c r="A2208" i="7"/>
  <c r="F2207" i="7"/>
  <c r="E2207" i="7"/>
  <c r="D2207" i="7"/>
  <c r="C2207" i="7"/>
  <c r="B2207" i="7"/>
  <c r="A2207" i="7"/>
  <c r="F2206" i="7"/>
  <c r="E2206" i="7"/>
  <c r="D2206" i="7"/>
  <c r="C2206" i="7"/>
  <c r="B2206" i="7"/>
  <c r="A2206" i="7"/>
  <c r="F2205" i="7"/>
  <c r="E2205" i="7"/>
  <c r="D2205" i="7"/>
  <c r="C2205" i="7"/>
  <c r="B2205" i="7"/>
  <c r="A2205" i="7"/>
  <c r="F2204" i="7"/>
  <c r="E2204" i="7"/>
  <c r="D2204" i="7"/>
  <c r="C2204" i="7"/>
  <c r="B2204" i="7"/>
  <c r="A2204" i="7"/>
  <c r="F2203" i="7"/>
  <c r="E2203" i="7"/>
  <c r="D2203" i="7"/>
  <c r="C2203" i="7"/>
  <c r="B2203" i="7"/>
  <c r="A2203" i="7"/>
  <c r="F2202" i="7"/>
  <c r="E2202" i="7"/>
  <c r="D2202" i="7"/>
  <c r="C2202" i="7"/>
  <c r="B2202" i="7"/>
  <c r="A2202" i="7"/>
  <c r="F2201" i="7"/>
  <c r="E2201" i="7"/>
  <c r="D2201" i="7"/>
  <c r="C2201" i="7"/>
  <c r="B2201" i="7"/>
  <c r="A2201" i="7"/>
  <c r="F2200" i="7"/>
  <c r="E2200" i="7"/>
  <c r="D2200" i="7"/>
  <c r="C2200" i="7"/>
  <c r="B2200" i="7"/>
  <c r="A2200" i="7"/>
  <c r="F2199" i="7"/>
  <c r="E2199" i="7"/>
  <c r="D2199" i="7"/>
  <c r="C2199" i="7"/>
  <c r="B2199" i="7"/>
  <c r="A2199" i="7"/>
  <c r="F2198" i="7"/>
  <c r="E2198" i="7"/>
  <c r="D2198" i="7"/>
  <c r="C2198" i="7"/>
  <c r="B2198" i="7"/>
  <c r="A2198" i="7"/>
  <c r="F2197" i="7"/>
  <c r="E2197" i="7"/>
  <c r="D2197" i="7"/>
  <c r="C2197" i="7"/>
  <c r="B2197" i="7"/>
  <c r="A2197" i="7"/>
  <c r="F2196" i="7"/>
  <c r="E2196" i="7"/>
  <c r="D2196" i="7"/>
  <c r="C2196" i="7"/>
  <c r="B2196" i="7"/>
  <c r="A2196" i="7"/>
  <c r="F2195" i="7"/>
  <c r="E2195" i="7"/>
  <c r="D2195" i="7"/>
  <c r="C2195" i="7"/>
  <c r="B2195" i="7"/>
  <c r="A2195" i="7"/>
  <c r="F2194" i="7"/>
  <c r="E2194" i="7"/>
  <c r="D2194" i="7"/>
  <c r="C2194" i="7"/>
  <c r="B2194" i="7"/>
  <c r="A2194" i="7"/>
  <c r="F2193" i="7"/>
  <c r="E2193" i="7"/>
  <c r="D2193" i="7"/>
  <c r="C2193" i="7"/>
  <c r="B2193" i="7"/>
  <c r="A2193" i="7"/>
  <c r="F2192" i="7"/>
  <c r="E2192" i="7"/>
  <c r="D2192" i="7"/>
  <c r="C2192" i="7"/>
  <c r="B2192" i="7"/>
  <c r="A2192" i="7"/>
  <c r="F2191" i="7"/>
  <c r="E2191" i="7"/>
  <c r="D2191" i="7"/>
  <c r="C2191" i="7"/>
  <c r="B2191" i="7"/>
  <c r="A2191" i="7"/>
  <c r="F2190" i="7"/>
  <c r="E2190" i="7"/>
  <c r="D2190" i="7"/>
  <c r="C2190" i="7"/>
  <c r="B2190" i="7"/>
  <c r="A2190" i="7"/>
  <c r="F2189" i="7"/>
  <c r="E2189" i="7"/>
  <c r="D2189" i="7"/>
  <c r="C2189" i="7"/>
  <c r="B2189" i="7"/>
  <c r="A2189" i="7"/>
  <c r="F2188" i="7"/>
  <c r="E2188" i="7"/>
  <c r="D2188" i="7"/>
  <c r="C2188" i="7"/>
  <c r="B2188" i="7"/>
  <c r="A2188" i="7"/>
  <c r="F2187" i="7"/>
  <c r="E2187" i="7"/>
  <c r="D2187" i="7"/>
  <c r="C2187" i="7"/>
  <c r="B2187" i="7"/>
  <c r="A2187" i="7"/>
  <c r="F2186" i="7"/>
  <c r="E2186" i="7"/>
  <c r="D2186" i="7"/>
  <c r="C2186" i="7"/>
  <c r="B2186" i="7"/>
  <c r="A2186" i="7"/>
  <c r="F2185" i="7"/>
  <c r="E2185" i="7"/>
  <c r="D2185" i="7"/>
  <c r="C2185" i="7"/>
  <c r="B2185" i="7"/>
  <c r="A2185" i="7"/>
  <c r="F2184" i="7"/>
  <c r="E2184" i="7"/>
  <c r="D2184" i="7"/>
  <c r="C2184" i="7"/>
  <c r="B2184" i="7"/>
  <c r="A2184" i="7"/>
  <c r="F2183" i="7"/>
  <c r="E2183" i="7"/>
  <c r="D2183" i="7"/>
  <c r="C2183" i="7"/>
  <c r="B2183" i="7"/>
  <c r="A2183" i="7"/>
  <c r="F2182" i="7"/>
  <c r="E2182" i="7"/>
  <c r="D2182" i="7"/>
  <c r="C2182" i="7"/>
  <c r="B2182" i="7"/>
  <c r="A2182" i="7"/>
  <c r="F2181" i="7"/>
  <c r="E2181" i="7"/>
  <c r="D2181" i="7"/>
  <c r="C2181" i="7"/>
  <c r="B2181" i="7"/>
  <c r="A2181" i="7"/>
  <c r="F2180" i="7"/>
  <c r="E2180" i="7"/>
  <c r="D2180" i="7"/>
  <c r="C2180" i="7"/>
  <c r="B2180" i="7"/>
  <c r="A2180" i="7"/>
  <c r="F2179" i="7"/>
  <c r="E2179" i="7"/>
  <c r="D2179" i="7"/>
  <c r="C2179" i="7"/>
  <c r="B2179" i="7"/>
  <c r="A2179" i="7"/>
  <c r="F2178" i="7"/>
  <c r="E2178" i="7"/>
  <c r="D2178" i="7"/>
  <c r="C2178" i="7"/>
  <c r="B2178" i="7"/>
  <c r="A2178" i="7"/>
  <c r="F2177" i="7"/>
  <c r="E2177" i="7"/>
  <c r="D2177" i="7"/>
  <c r="C2177" i="7"/>
  <c r="B2177" i="7"/>
  <c r="A2177" i="7"/>
  <c r="F2176" i="7"/>
  <c r="E2176" i="7"/>
  <c r="D2176" i="7"/>
  <c r="C2176" i="7"/>
  <c r="B2176" i="7"/>
  <c r="A2176" i="7"/>
  <c r="F2175" i="7"/>
  <c r="E2175" i="7"/>
  <c r="D2175" i="7"/>
  <c r="C2175" i="7"/>
  <c r="B2175" i="7"/>
  <c r="A2175" i="7"/>
  <c r="F2174" i="7"/>
  <c r="E2174" i="7"/>
  <c r="D2174" i="7"/>
  <c r="C2174" i="7"/>
  <c r="B2174" i="7"/>
  <c r="A2174" i="7"/>
  <c r="F2173" i="7"/>
  <c r="E2173" i="7"/>
  <c r="D2173" i="7"/>
  <c r="C2173" i="7"/>
  <c r="B2173" i="7"/>
  <c r="A2173" i="7"/>
  <c r="F2172" i="7"/>
  <c r="E2172" i="7"/>
  <c r="D2172" i="7"/>
  <c r="C2172" i="7"/>
  <c r="B2172" i="7"/>
  <c r="A2172" i="7"/>
  <c r="F2171" i="7"/>
  <c r="E2171" i="7"/>
  <c r="D2171" i="7"/>
  <c r="C2171" i="7"/>
  <c r="B2171" i="7"/>
  <c r="A2171" i="7"/>
  <c r="F2170" i="7"/>
  <c r="E2170" i="7"/>
  <c r="D2170" i="7"/>
  <c r="C2170" i="7"/>
  <c r="B2170" i="7"/>
  <c r="A2170" i="7"/>
  <c r="F2169" i="7"/>
  <c r="E2169" i="7"/>
  <c r="D2169" i="7"/>
  <c r="C2169" i="7"/>
  <c r="B2169" i="7"/>
  <c r="A2169" i="7"/>
  <c r="F2168" i="7"/>
  <c r="E2168" i="7"/>
  <c r="D2168" i="7"/>
  <c r="C2168" i="7"/>
  <c r="B2168" i="7"/>
  <c r="A2168" i="7"/>
  <c r="F2167" i="7"/>
  <c r="E2167" i="7"/>
  <c r="D2167" i="7"/>
  <c r="C2167" i="7"/>
  <c r="B2167" i="7"/>
  <c r="A2167" i="7"/>
  <c r="F2166" i="7"/>
  <c r="E2166" i="7"/>
  <c r="D2166" i="7"/>
  <c r="C2166" i="7"/>
  <c r="B2166" i="7"/>
  <c r="A2166" i="7"/>
  <c r="F2165" i="7"/>
  <c r="E2165" i="7"/>
  <c r="D2165" i="7"/>
  <c r="C2165" i="7"/>
  <c r="B2165" i="7"/>
  <c r="A2165" i="7"/>
  <c r="F2164" i="7"/>
  <c r="E2164" i="7"/>
  <c r="D2164" i="7"/>
  <c r="C2164" i="7"/>
  <c r="B2164" i="7"/>
  <c r="A2164" i="7"/>
  <c r="F2163" i="7"/>
  <c r="E2163" i="7"/>
  <c r="D2163" i="7"/>
  <c r="C2163" i="7"/>
  <c r="B2163" i="7"/>
  <c r="A2163" i="7"/>
  <c r="F2162" i="7"/>
  <c r="E2162" i="7"/>
  <c r="D2162" i="7"/>
  <c r="C2162" i="7"/>
  <c r="B2162" i="7"/>
  <c r="A2162" i="7"/>
  <c r="F2161" i="7"/>
  <c r="E2161" i="7"/>
  <c r="D2161" i="7"/>
  <c r="C2161" i="7"/>
  <c r="B2161" i="7"/>
  <c r="A2161" i="7"/>
  <c r="F2160" i="7"/>
  <c r="E2160" i="7"/>
  <c r="D2160" i="7"/>
  <c r="C2160" i="7"/>
  <c r="B2160" i="7"/>
  <c r="A2160" i="7"/>
  <c r="F2159" i="7"/>
  <c r="E2159" i="7"/>
  <c r="D2159" i="7"/>
  <c r="C2159" i="7"/>
  <c r="B2159" i="7"/>
  <c r="A2159" i="7"/>
  <c r="F2158" i="7"/>
  <c r="E2158" i="7"/>
  <c r="D2158" i="7"/>
  <c r="C2158" i="7"/>
  <c r="B2158" i="7"/>
  <c r="A2158" i="7"/>
  <c r="F2157" i="7"/>
  <c r="E2157" i="7"/>
  <c r="D2157" i="7"/>
  <c r="C2157" i="7"/>
  <c r="B2157" i="7"/>
  <c r="A2157" i="7"/>
  <c r="F2156" i="7"/>
  <c r="E2156" i="7"/>
  <c r="D2156" i="7"/>
  <c r="C2156" i="7"/>
  <c r="B2156" i="7"/>
  <c r="A2156" i="7"/>
  <c r="F2155" i="7"/>
  <c r="E2155" i="7"/>
  <c r="D2155" i="7"/>
  <c r="C2155" i="7"/>
  <c r="B2155" i="7"/>
  <c r="A2155" i="7"/>
  <c r="F2154" i="7"/>
  <c r="E2154" i="7"/>
  <c r="D2154" i="7"/>
  <c r="C2154" i="7"/>
  <c r="B2154" i="7"/>
  <c r="A2154" i="7"/>
  <c r="F2153" i="7"/>
  <c r="E2153" i="7"/>
  <c r="D2153" i="7"/>
  <c r="C2153" i="7"/>
  <c r="B2153" i="7"/>
  <c r="A2153" i="7"/>
  <c r="F2152" i="7"/>
  <c r="E2152" i="7"/>
  <c r="D2152" i="7"/>
  <c r="C2152" i="7"/>
  <c r="B2152" i="7"/>
  <c r="A2152" i="7"/>
  <c r="F2151" i="7"/>
  <c r="E2151" i="7"/>
  <c r="D2151" i="7"/>
  <c r="C2151" i="7"/>
  <c r="B2151" i="7"/>
  <c r="A2151" i="7"/>
  <c r="F2150" i="7"/>
  <c r="E2150" i="7"/>
  <c r="D2150" i="7"/>
  <c r="C2150" i="7"/>
  <c r="B2150" i="7"/>
  <c r="A2150" i="7"/>
  <c r="F2149" i="7"/>
  <c r="E2149" i="7"/>
  <c r="D2149" i="7"/>
  <c r="C2149" i="7"/>
  <c r="B2149" i="7"/>
  <c r="A2149" i="7"/>
  <c r="F2148" i="7"/>
  <c r="E2148" i="7"/>
  <c r="D2148" i="7"/>
  <c r="C2148" i="7"/>
  <c r="B2148" i="7"/>
  <c r="A2148" i="7"/>
  <c r="F2147" i="7"/>
  <c r="E2147" i="7"/>
  <c r="D2147" i="7"/>
  <c r="C2147" i="7"/>
  <c r="B2147" i="7"/>
  <c r="A2147" i="7"/>
  <c r="F2146" i="7"/>
  <c r="E2146" i="7"/>
  <c r="D2146" i="7"/>
  <c r="C2146" i="7"/>
  <c r="B2146" i="7"/>
  <c r="A2146" i="7"/>
  <c r="F2145" i="7"/>
  <c r="E2145" i="7"/>
  <c r="D2145" i="7"/>
  <c r="C2145" i="7"/>
  <c r="B2145" i="7"/>
  <c r="A2145" i="7"/>
  <c r="F2144" i="7"/>
  <c r="E2144" i="7"/>
  <c r="D2144" i="7"/>
  <c r="C2144" i="7"/>
  <c r="B2144" i="7"/>
  <c r="A2144" i="7"/>
  <c r="F2143" i="7"/>
  <c r="E2143" i="7"/>
  <c r="D2143" i="7"/>
  <c r="C2143" i="7"/>
  <c r="B2143" i="7"/>
  <c r="A2143" i="7"/>
  <c r="F2142" i="7"/>
  <c r="E2142" i="7"/>
  <c r="D2142" i="7"/>
  <c r="C2142" i="7"/>
  <c r="B2142" i="7"/>
  <c r="A2142" i="7"/>
  <c r="F2141" i="7"/>
  <c r="E2141" i="7"/>
  <c r="D2141" i="7"/>
  <c r="C2141" i="7"/>
  <c r="B2141" i="7"/>
  <c r="A2141" i="7"/>
  <c r="F2140" i="7"/>
  <c r="E2140" i="7"/>
  <c r="D2140" i="7"/>
  <c r="C2140" i="7"/>
  <c r="B2140" i="7"/>
  <c r="A2140" i="7"/>
  <c r="F2139" i="7"/>
  <c r="E2139" i="7"/>
  <c r="D2139" i="7"/>
  <c r="C2139" i="7"/>
  <c r="B2139" i="7"/>
  <c r="A2139" i="7"/>
  <c r="F2138" i="7"/>
  <c r="E2138" i="7"/>
  <c r="D2138" i="7"/>
  <c r="C2138" i="7"/>
  <c r="B2138" i="7"/>
  <c r="A2138" i="7"/>
  <c r="F2137" i="7"/>
  <c r="E2137" i="7"/>
  <c r="D2137" i="7"/>
  <c r="C2137" i="7"/>
  <c r="B2137" i="7"/>
  <c r="A2137" i="7"/>
  <c r="F2136" i="7"/>
  <c r="E2136" i="7"/>
  <c r="D2136" i="7"/>
  <c r="C2136" i="7"/>
  <c r="B2136" i="7"/>
  <c r="A2136" i="7"/>
  <c r="F2135" i="7"/>
  <c r="E2135" i="7"/>
  <c r="D2135" i="7"/>
  <c r="C2135" i="7"/>
  <c r="B2135" i="7"/>
  <c r="A2135" i="7"/>
  <c r="F2134" i="7"/>
  <c r="E2134" i="7"/>
  <c r="D2134" i="7"/>
  <c r="C2134" i="7"/>
  <c r="B2134" i="7"/>
  <c r="A2134" i="7"/>
  <c r="F2133" i="7"/>
  <c r="E2133" i="7"/>
  <c r="D2133" i="7"/>
  <c r="C2133" i="7"/>
  <c r="B2133" i="7"/>
  <c r="A2133" i="7"/>
  <c r="F2132" i="7"/>
  <c r="E2132" i="7"/>
  <c r="D2132" i="7"/>
  <c r="C2132" i="7"/>
  <c r="B2132" i="7"/>
  <c r="A2132" i="7"/>
  <c r="F2131" i="7"/>
  <c r="E2131" i="7"/>
  <c r="D2131" i="7"/>
  <c r="C2131" i="7"/>
  <c r="B2131" i="7"/>
  <c r="A2131" i="7"/>
  <c r="F2130" i="7"/>
  <c r="E2130" i="7"/>
  <c r="D2130" i="7"/>
  <c r="C2130" i="7"/>
  <c r="B2130" i="7"/>
  <c r="A2130" i="7"/>
  <c r="F2129" i="7"/>
  <c r="E2129" i="7"/>
  <c r="D2129" i="7"/>
  <c r="C2129" i="7"/>
  <c r="B2129" i="7"/>
  <c r="A2129" i="7"/>
  <c r="F2128" i="7"/>
  <c r="E2128" i="7"/>
  <c r="D2128" i="7"/>
  <c r="C2128" i="7"/>
  <c r="B2128" i="7"/>
  <c r="A2128" i="7"/>
  <c r="F2127" i="7"/>
  <c r="E2127" i="7"/>
  <c r="D2127" i="7"/>
  <c r="C2127" i="7"/>
  <c r="B2127" i="7"/>
  <c r="A2127" i="7"/>
  <c r="F2126" i="7"/>
  <c r="E2126" i="7"/>
  <c r="D2126" i="7"/>
  <c r="C2126" i="7"/>
  <c r="B2126" i="7"/>
  <c r="A2126" i="7"/>
  <c r="F2125" i="7"/>
  <c r="E2125" i="7"/>
  <c r="D2125" i="7"/>
  <c r="C2125" i="7"/>
  <c r="B2125" i="7"/>
  <c r="A2125" i="7"/>
  <c r="F2124" i="7"/>
  <c r="E2124" i="7"/>
  <c r="D2124" i="7"/>
  <c r="C2124" i="7"/>
  <c r="B2124" i="7"/>
  <c r="A2124" i="7"/>
  <c r="F2123" i="7"/>
  <c r="E2123" i="7"/>
  <c r="D2123" i="7"/>
  <c r="C2123" i="7"/>
  <c r="B2123" i="7"/>
  <c r="A2123" i="7"/>
  <c r="F2122" i="7"/>
  <c r="E2122" i="7"/>
  <c r="D2122" i="7"/>
  <c r="C2122" i="7"/>
  <c r="B2122" i="7"/>
  <c r="A2122" i="7"/>
  <c r="F2121" i="7"/>
  <c r="E2121" i="7"/>
  <c r="D2121" i="7"/>
  <c r="C2121" i="7"/>
  <c r="B2121" i="7"/>
  <c r="A2121" i="7"/>
  <c r="F2120" i="7"/>
  <c r="E2120" i="7"/>
  <c r="D2120" i="7"/>
  <c r="C2120" i="7"/>
  <c r="B2120" i="7"/>
  <c r="A2120" i="7"/>
  <c r="F2119" i="7"/>
  <c r="E2119" i="7"/>
  <c r="D2119" i="7"/>
  <c r="C2119" i="7"/>
  <c r="B2119" i="7"/>
  <c r="A2119" i="7"/>
  <c r="F2118" i="7"/>
  <c r="E2118" i="7"/>
  <c r="D2118" i="7"/>
  <c r="C2118" i="7"/>
  <c r="B2118" i="7"/>
  <c r="A2118" i="7"/>
  <c r="F2117" i="7"/>
  <c r="E2117" i="7"/>
  <c r="D2117" i="7"/>
  <c r="C2117" i="7"/>
  <c r="B2117" i="7"/>
  <c r="A2117" i="7"/>
  <c r="F2116" i="7"/>
  <c r="E2116" i="7"/>
  <c r="D2116" i="7"/>
  <c r="C2116" i="7"/>
  <c r="B2116" i="7"/>
  <c r="A2116" i="7"/>
  <c r="F2115" i="7"/>
  <c r="E2115" i="7"/>
  <c r="D2115" i="7"/>
  <c r="C2115" i="7"/>
  <c r="B2115" i="7"/>
  <c r="A2115" i="7"/>
  <c r="F2114" i="7"/>
  <c r="E2114" i="7"/>
  <c r="D2114" i="7"/>
  <c r="C2114" i="7"/>
  <c r="B2114" i="7"/>
  <c r="A2114" i="7"/>
  <c r="F2113" i="7"/>
  <c r="E2113" i="7"/>
  <c r="D2113" i="7"/>
  <c r="C2113" i="7"/>
  <c r="B2113" i="7"/>
  <c r="A2113" i="7"/>
  <c r="F2112" i="7"/>
  <c r="E2112" i="7"/>
  <c r="D2112" i="7"/>
  <c r="C2112" i="7"/>
  <c r="B2112" i="7"/>
  <c r="A2112" i="7"/>
  <c r="F2111" i="7"/>
  <c r="E2111" i="7"/>
  <c r="D2111" i="7"/>
  <c r="C2111" i="7"/>
  <c r="B2111" i="7"/>
  <c r="A2111" i="7"/>
  <c r="F2110" i="7"/>
  <c r="E2110" i="7"/>
  <c r="D2110" i="7"/>
  <c r="C2110" i="7"/>
  <c r="B2110" i="7"/>
  <c r="A2110" i="7"/>
  <c r="F2109" i="7"/>
  <c r="E2109" i="7"/>
  <c r="D2109" i="7"/>
  <c r="C2109" i="7"/>
  <c r="B2109" i="7"/>
  <c r="A2109" i="7"/>
  <c r="F2108" i="7"/>
  <c r="E2108" i="7"/>
  <c r="D2108" i="7"/>
  <c r="C2108" i="7"/>
  <c r="B2108" i="7"/>
  <c r="A2108" i="7"/>
  <c r="F2107" i="7"/>
  <c r="E2107" i="7"/>
  <c r="D2107" i="7"/>
  <c r="C2107" i="7"/>
  <c r="B2107" i="7"/>
  <c r="A2107" i="7"/>
  <c r="F2106" i="7"/>
  <c r="E2106" i="7"/>
  <c r="D2106" i="7"/>
  <c r="C2106" i="7"/>
  <c r="B2106" i="7"/>
  <c r="A2106" i="7"/>
  <c r="F2105" i="7"/>
  <c r="E2105" i="7"/>
  <c r="D2105" i="7"/>
  <c r="C2105" i="7"/>
  <c r="B2105" i="7"/>
  <c r="A2105" i="7"/>
  <c r="F2104" i="7"/>
  <c r="E2104" i="7"/>
  <c r="D2104" i="7"/>
  <c r="C2104" i="7"/>
  <c r="B2104" i="7"/>
  <c r="A2104" i="7"/>
  <c r="F2103" i="7"/>
  <c r="E2103" i="7"/>
  <c r="D2103" i="7"/>
  <c r="C2103" i="7"/>
  <c r="B2103" i="7"/>
  <c r="A2103" i="7"/>
  <c r="F2102" i="7"/>
  <c r="E2102" i="7"/>
  <c r="D2102" i="7"/>
  <c r="C2102" i="7"/>
  <c r="B2102" i="7"/>
  <c r="A2102" i="7"/>
  <c r="F2101" i="7"/>
  <c r="E2101" i="7"/>
  <c r="D2101" i="7"/>
  <c r="C2101" i="7"/>
  <c r="B2101" i="7"/>
  <c r="A2101" i="7"/>
  <c r="F2100" i="7"/>
  <c r="E2100" i="7"/>
  <c r="D2100" i="7"/>
  <c r="C2100" i="7"/>
  <c r="B2100" i="7"/>
  <c r="A2100" i="7"/>
  <c r="F2099" i="7"/>
  <c r="E2099" i="7"/>
  <c r="D2099" i="7"/>
  <c r="C2099" i="7"/>
  <c r="B2099" i="7"/>
  <c r="A2099" i="7"/>
  <c r="F2098" i="7"/>
  <c r="E2098" i="7"/>
  <c r="D2098" i="7"/>
  <c r="C2098" i="7"/>
  <c r="B2098" i="7"/>
  <c r="A2098" i="7"/>
  <c r="F2097" i="7"/>
  <c r="E2097" i="7"/>
  <c r="D2097" i="7"/>
  <c r="C2097" i="7"/>
  <c r="B2097" i="7"/>
  <c r="A2097" i="7"/>
  <c r="F2096" i="7"/>
  <c r="E2096" i="7"/>
  <c r="D2096" i="7"/>
  <c r="C2096" i="7"/>
  <c r="B2096" i="7"/>
  <c r="A2096" i="7"/>
  <c r="F2095" i="7"/>
  <c r="E2095" i="7"/>
  <c r="D2095" i="7"/>
  <c r="C2095" i="7"/>
  <c r="B2095" i="7"/>
  <c r="A2095" i="7"/>
  <c r="F2094" i="7"/>
  <c r="E2094" i="7"/>
  <c r="D2094" i="7"/>
  <c r="C2094" i="7"/>
  <c r="B2094" i="7"/>
  <c r="A2094" i="7"/>
  <c r="F2093" i="7"/>
  <c r="E2093" i="7"/>
  <c r="D2093" i="7"/>
  <c r="C2093" i="7"/>
  <c r="B2093" i="7"/>
  <c r="A2093" i="7"/>
  <c r="F2092" i="7"/>
  <c r="E2092" i="7"/>
  <c r="D2092" i="7"/>
  <c r="C2092" i="7"/>
  <c r="B2092" i="7"/>
  <c r="A2092" i="7"/>
  <c r="F2091" i="7"/>
  <c r="E2091" i="7"/>
  <c r="D2091" i="7"/>
  <c r="C2091" i="7"/>
  <c r="B2091" i="7"/>
  <c r="A2091" i="7"/>
  <c r="F2090" i="7"/>
  <c r="E2090" i="7"/>
  <c r="D2090" i="7"/>
  <c r="C2090" i="7"/>
  <c r="B2090" i="7"/>
  <c r="A2090" i="7"/>
  <c r="F2089" i="7"/>
  <c r="E2089" i="7"/>
  <c r="D2089" i="7"/>
  <c r="C2089" i="7"/>
  <c r="B2089" i="7"/>
  <c r="A2089" i="7"/>
  <c r="F2088" i="7"/>
  <c r="E2088" i="7"/>
  <c r="D2088" i="7"/>
  <c r="C2088" i="7"/>
  <c r="B2088" i="7"/>
  <c r="A2088" i="7"/>
  <c r="F2087" i="7"/>
  <c r="E2087" i="7"/>
  <c r="D2087" i="7"/>
  <c r="C2087" i="7"/>
  <c r="B2087" i="7"/>
  <c r="A2087" i="7"/>
  <c r="F2086" i="7"/>
  <c r="E2086" i="7"/>
  <c r="D2086" i="7"/>
  <c r="C2086" i="7"/>
  <c r="B2086" i="7"/>
  <c r="A2086" i="7"/>
  <c r="F2085" i="7"/>
  <c r="E2085" i="7"/>
  <c r="D2085" i="7"/>
  <c r="C2085" i="7"/>
  <c r="B2085" i="7"/>
  <c r="A2085" i="7"/>
  <c r="F2084" i="7"/>
  <c r="E2084" i="7"/>
  <c r="D2084" i="7"/>
  <c r="C2084" i="7"/>
  <c r="B2084" i="7"/>
  <c r="A2084" i="7"/>
  <c r="F2083" i="7"/>
  <c r="E2083" i="7"/>
  <c r="D2083" i="7"/>
  <c r="C2083" i="7"/>
  <c r="B2083" i="7"/>
  <c r="A2083" i="7"/>
  <c r="F2082" i="7"/>
  <c r="E2082" i="7"/>
  <c r="D2082" i="7"/>
  <c r="C2082" i="7"/>
  <c r="B2082" i="7"/>
  <c r="A2082" i="7"/>
  <c r="F2081" i="7"/>
  <c r="E2081" i="7"/>
  <c r="D2081" i="7"/>
  <c r="C2081" i="7"/>
  <c r="B2081" i="7"/>
  <c r="A2081" i="7"/>
  <c r="F2080" i="7"/>
  <c r="E2080" i="7"/>
  <c r="D2080" i="7"/>
  <c r="C2080" i="7"/>
  <c r="B2080" i="7"/>
  <c r="A2080" i="7"/>
  <c r="F2079" i="7"/>
  <c r="E2079" i="7"/>
  <c r="D2079" i="7"/>
  <c r="C2079" i="7"/>
  <c r="B2079" i="7"/>
  <c r="A2079" i="7"/>
  <c r="F2078" i="7"/>
  <c r="E2078" i="7"/>
  <c r="D2078" i="7"/>
  <c r="C2078" i="7"/>
  <c r="B2078" i="7"/>
  <c r="A2078" i="7"/>
  <c r="F2077" i="7"/>
  <c r="E2077" i="7"/>
  <c r="D2077" i="7"/>
  <c r="C2077" i="7"/>
  <c r="B2077" i="7"/>
  <c r="A2077" i="7"/>
  <c r="F2076" i="7"/>
  <c r="E2076" i="7"/>
  <c r="D2076" i="7"/>
  <c r="C2076" i="7"/>
  <c r="B2076" i="7"/>
  <c r="A2076" i="7"/>
  <c r="F2075" i="7"/>
  <c r="E2075" i="7"/>
  <c r="D2075" i="7"/>
  <c r="C2075" i="7"/>
  <c r="B2075" i="7"/>
  <c r="A2075" i="7"/>
  <c r="F2074" i="7"/>
  <c r="E2074" i="7"/>
  <c r="D2074" i="7"/>
  <c r="C2074" i="7"/>
  <c r="B2074" i="7"/>
  <c r="A2074" i="7"/>
  <c r="F2073" i="7"/>
  <c r="E2073" i="7"/>
  <c r="D2073" i="7"/>
  <c r="C2073" i="7"/>
  <c r="B2073" i="7"/>
  <c r="A2073" i="7"/>
  <c r="F2072" i="7"/>
  <c r="E2072" i="7"/>
  <c r="D2072" i="7"/>
  <c r="C2072" i="7"/>
  <c r="B2072" i="7"/>
  <c r="A2072" i="7"/>
  <c r="F2071" i="7"/>
  <c r="E2071" i="7"/>
  <c r="D2071" i="7"/>
  <c r="C2071" i="7"/>
  <c r="B2071" i="7"/>
  <c r="A2071" i="7"/>
  <c r="F2070" i="7"/>
  <c r="E2070" i="7"/>
  <c r="D2070" i="7"/>
  <c r="C2070" i="7"/>
  <c r="B2070" i="7"/>
  <c r="A2070" i="7"/>
  <c r="F2069" i="7"/>
  <c r="E2069" i="7"/>
  <c r="D2069" i="7"/>
  <c r="C2069" i="7"/>
  <c r="B2069" i="7"/>
  <c r="A2069" i="7"/>
  <c r="F2068" i="7"/>
  <c r="E2068" i="7"/>
  <c r="D2068" i="7"/>
  <c r="C2068" i="7"/>
  <c r="B2068" i="7"/>
  <c r="A2068" i="7"/>
  <c r="F2067" i="7"/>
  <c r="E2067" i="7"/>
  <c r="D2067" i="7"/>
  <c r="C2067" i="7"/>
  <c r="B2067" i="7"/>
  <c r="A2067" i="7"/>
  <c r="F2066" i="7"/>
  <c r="E2066" i="7"/>
  <c r="D2066" i="7"/>
  <c r="C2066" i="7"/>
  <c r="B2066" i="7"/>
  <c r="A2066" i="7"/>
  <c r="F2065" i="7"/>
  <c r="E2065" i="7"/>
  <c r="D2065" i="7"/>
  <c r="C2065" i="7"/>
  <c r="B2065" i="7"/>
  <c r="A2065" i="7"/>
  <c r="F2064" i="7"/>
  <c r="E2064" i="7"/>
  <c r="D2064" i="7"/>
  <c r="C2064" i="7"/>
  <c r="B2064" i="7"/>
  <c r="A2064" i="7"/>
  <c r="F2063" i="7"/>
  <c r="E2063" i="7"/>
  <c r="D2063" i="7"/>
  <c r="C2063" i="7"/>
  <c r="B2063" i="7"/>
  <c r="A2063" i="7"/>
  <c r="F2062" i="7"/>
  <c r="E2062" i="7"/>
  <c r="D2062" i="7"/>
  <c r="C2062" i="7"/>
  <c r="B2062" i="7"/>
  <c r="A2062" i="7"/>
  <c r="F2061" i="7"/>
  <c r="E2061" i="7"/>
  <c r="D2061" i="7"/>
  <c r="C2061" i="7"/>
  <c r="B2061" i="7"/>
  <c r="A2061" i="7"/>
  <c r="F2060" i="7"/>
  <c r="E2060" i="7"/>
  <c r="D2060" i="7"/>
  <c r="C2060" i="7"/>
  <c r="B2060" i="7"/>
  <c r="A2060" i="7"/>
  <c r="F2059" i="7"/>
  <c r="E2059" i="7"/>
  <c r="D2059" i="7"/>
  <c r="C2059" i="7"/>
  <c r="B2059" i="7"/>
  <c r="A2059" i="7"/>
  <c r="F2058" i="7"/>
  <c r="E2058" i="7"/>
  <c r="D2058" i="7"/>
  <c r="C2058" i="7"/>
  <c r="B2058" i="7"/>
  <c r="A2058" i="7"/>
  <c r="F2057" i="7"/>
  <c r="E2057" i="7"/>
  <c r="D2057" i="7"/>
  <c r="C2057" i="7"/>
  <c r="B2057" i="7"/>
  <c r="A2057" i="7"/>
  <c r="F2056" i="7"/>
  <c r="E2056" i="7"/>
  <c r="D2056" i="7"/>
  <c r="C2056" i="7"/>
  <c r="B2056" i="7"/>
  <c r="A2056" i="7"/>
  <c r="F2055" i="7"/>
  <c r="E2055" i="7"/>
  <c r="D2055" i="7"/>
  <c r="C2055" i="7"/>
  <c r="B2055" i="7"/>
  <c r="A2055" i="7"/>
  <c r="F2054" i="7"/>
  <c r="E2054" i="7"/>
  <c r="D2054" i="7"/>
  <c r="C2054" i="7"/>
  <c r="B2054" i="7"/>
  <c r="A2054" i="7"/>
  <c r="F2053" i="7"/>
  <c r="E2053" i="7"/>
  <c r="D2053" i="7"/>
  <c r="C2053" i="7"/>
  <c r="B2053" i="7"/>
  <c r="A2053" i="7"/>
  <c r="F2052" i="7"/>
  <c r="E2052" i="7"/>
  <c r="D2052" i="7"/>
  <c r="C2052" i="7"/>
  <c r="B2052" i="7"/>
  <c r="A2052" i="7"/>
  <c r="F2051" i="7"/>
  <c r="E2051" i="7"/>
  <c r="D2051" i="7"/>
  <c r="C2051" i="7"/>
  <c r="B2051" i="7"/>
  <c r="A2051" i="7"/>
  <c r="F2050" i="7"/>
  <c r="E2050" i="7"/>
  <c r="D2050" i="7"/>
  <c r="C2050" i="7"/>
  <c r="B2050" i="7"/>
  <c r="A2050" i="7"/>
  <c r="F2049" i="7"/>
  <c r="E2049" i="7"/>
  <c r="D2049" i="7"/>
  <c r="C2049" i="7"/>
  <c r="B2049" i="7"/>
  <c r="A2049" i="7"/>
  <c r="F2048" i="7"/>
  <c r="E2048" i="7"/>
  <c r="D2048" i="7"/>
  <c r="C2048" i="7"/>
  <c r="B2048" i="7"/>
  <c r="A2048" i="7"/>
  <c r="F2047" i="7"/>
  <c r="E2047" i="7"/>
  <c r="D2047" i="7"/>
  <c r="C2047" i="7"/>
  <c r="B2047" i="7"/>
  <c r="A2047" i="7"/>
  <c r="F2046" i="7"/>
  <c r="E2046" i="7"/>
  <c r="D2046" i="7"/>
  <c r="C2046" i="7"/>
  <c r="B2046" i="7"/>
  <c r="A2046" i="7"/>
  <c r="F2045" i="7"/>
  <c r="E2045" i="7"/>
  <c r="D2045" i="7"/>
  <c r="C2045" i="7"/>
  <c r="B2045" i="7"/>
  <c r="A2045" i="7"/>
  <c r="F2044" i="7"/>
  <c r="E2044" i="7"/>
  <c r="D2044" i="7"/>
  <c r="C2044" i="7"/>
  <c r="B2044" i="7"/>
  <c r="A2044" i="7"/>
  <c r="F2043" i="7"/>
  <c r="E2043" i="7"/>
  <c r="D2043" i="7"/>
  <c r="C2043" i="7"/>
  <c r="B2043" i="7"/>
  <c r="A2043" i="7"/>
  <c r="F2042" i="7"/>
  <c r="E2042" i="7"/>
  <c r="D2042" i="7"/>
  <c r="C2042" i="7"/>
  <c r="B2042" i="7"/>
  <c r="A2042" i="7"/>
  <c r="F2041" i="7"/>
  <c r="E2041" i="7"/>
  <c r="D2041" i="7"/>
  <c r="C2041" i="7"/>
  <c r="B2041" i="7"/>
  <c r="A2041" i="7"/>
  <c r="F2040" i="7"/>
  <c r="E2040" i="7"/>
  <c r="D2040" i="7"/>
  <c r="C2040" i="7"/>
  <c r="B2040" i="7"/>
  <c r="A2040" i="7"/>
  <c r="F2039" i="7"/>
  <c r="E2039" i="7"/>
  <c r="D2039" i="7"/>
  <c r="C2039" i="7"/>
  <c r="B2039" i="7"/>
  <c r="A2039" i="7"/>
  <c r="F2038" i="7"/>
  <c r="E2038" i="7"/>
  <c r="D2038" i="7"/>
  <c r="C2038" i="7"/>
  <c r="B2038" i="7"/>
  <c r="A2038" i="7"/>
  <c r="F2037" i="7"/>
  <c r="E2037" i="7"/>
  <c r="D2037" i="7"/>
  <c r="C2037" i="7"/>
  <c r="B2037" i="7"/>
  <c r="A2037" i="7"/>
  <c r="F2036" i="7"/>
  <c r="E2036" i="7"/>
  <c r="D2036" i="7"/>
  <c r="C2036" i="7"/>
  <c r="B2036" i="7"/>
  <c r="A2036" i="7"/>
  <c r="F2035" i="7"/>
  <c r="E2035" i="7"/>
  <c r="D2035" i="7"/>
  <c r="C2035" i="7"/>
  <c r="B2035" i="7"/>
  <c r="A2035" i="7"/>
  <c r="F2034" i="7"/>
  <c r="E2034" i="7"/>
  <c r="D2034" i="7"/>
  <c r="C2034" i="7"/>
  <c r="B2034" i="7"/>
  <c r="A2034" i="7"/>
  <c r="F2033" i="7"/>
  <c r="E2033" i="7"/>
  <c r="D2033" i="7"/>
  <c r="C2033" i="7"/>
  <c r="B2033" i="7"/>
  <c r="A2033" i="7"/>
  <c r="F2032" i="7"/>
  <c r="E2032" i="7"/>
  <c r="D2032" i="7"/>
  <c r="C2032" i="7"/>
  <c r="B2032" i="7"/>
  <c r="A2032" i="7"/>
  <c r="F2031" i="7"/>
  <c r="E2031" i="7"/>
  <c r="D2031" i="7"/>
  <c r="C2031" i="7"/>
  <c r="B2031" i="7"/>
  <c r="A2031" i="7"/>
  <c r="F2030" i="7"/>
  <c r="E2030" i="7"/>
  <c r="D2030" i="7"/>
  <c r="C2030" i="7"/>
  <c r="B2030" i="7"/>
  <c r="A2030" i="7"/>
  <c r="F2029" i="7"/>
  <c r="E2029" i="7"/>
  <c r="D2029" i="7"/>
  <c r="C2029" i="7"/>
  <c r="B2029" i="7"/>
  <c r="A2029" i="7"/>
  <c r="F2028" i="7"/>
  <c r="E2028" i="7"/>
  <c r="D2028" i="7"/>
  <c r="C2028" i="7"/>
  <c r="B2028" i="7"/>
  <c r="A2028" i="7"/>
  <c r="F2027" i="7"/>
  <c r="E2027" i="7"/>
  <c r="D2027" i="7"/>
  <c r="C2027" i="7"/>
  <c r="B2027" i="7"/>
  <c r="A2027" i="7"/>
  <c r="F2026" i="7"/>
  <c r="E2026" i="7"/>
  <c r="D2026" i="7"/>
  <c r="C2026" i="7"/>
  <c r="B2026" i="7"/>
  <c r="A2026" i="7"/>
  <c r="F2025" i="7"/>
  <c r="E2025" i="7"/>
  <c r="D2025" i="7"/>
  <c r="C2025" i="7"/>
  <c r="B2025" i="7"/>
  <c r="A2025" i="7"/>
  <c r="F2024" i="7"/>
  <c r="E2024" i="7"/>
  <c r="D2024" i="7"/>
  <c r="C2024" i="7"/>
  <c r="B2024" i="7"/>
  <c r="A2024" i="7"/>
  <c r="F2023" i="7"/>
  <c r="E2023" i="7"/>
  <c r="D2023" i="7"/>
  <c r="C2023" i="7"/>
  <c r="B2023" i="7"/>
  <c r="A2023" i="7"/>
  <c r="F2022" i="7"/>
  <c r="E2022" i="7"/>
  <c r="D2022" i="7"/>
  <c r="C2022" i="7"/>
  <c r="B2022" i="7"/>
  <c r="A2022" i="7"/>
  <c r="F2021" i="7"/>
  <c r="E2021" i="7"/>
  <c r="D2021" i="7"/>
  <c r="C2021" i="7"/>
  <c r="B2021" i="7"/>
  <c r="A2021" i="7"/>
  <c r="F2020" i="7"/>
  <c r="E2020" i="7"/>
  <c r="D2020" i="7"/>
  <c r="C2020" i="7"/>
  <c r="B2020" i="7"/>
  <c r="A2020" i="7"/>
  <c r="F2019" i="7"/>
  <c r="E2019" i="7"/>
  <c r="D2019" i="7"/>
  <c r="C2019" i="7"/>
  <c r="B2019" i="7"/>
  <c r="A2019" i="7"/>
  <c r="F2018" i="7"/>
  <c r="E2018" i="7"/>
  <c r="D2018" i="7"/>
  <c r="C2018" i="7"/>
  <c r="B2018" i="7"/>
  <c r="A2018" i="7"/>
  <c r="F2017" i="7"/>
  <c r="E2017" i="7"/>
  <c r="D2017" i="7"/>
  <c r="C2017" i="7"/>
  <c r="B2017" i="7"/>
  <c r="A2017" i="7"/>
  <c r="F2016" i="7"/>
  <c r="E2016" i="7"/>
  <c r="D2016" i="7"/>
  <c r="C2016" i="7"/>
  <c r="B2016" i="7"/>
  <c r="A2016" i="7"/>
  <c r="F2015" i="7"/>
  <c r="E2015" i="7"/>
  <c r="D2015" i="7"/>
  <c r="C2015" i="7"/>
  <c r="B2015" i="7"/>
  <c r="A2015" i="7"/>
  <c r="F2014" i="7"/>
  <c r="E2014" i="7"/>
  <c r="D2014" i="7"/>
  <c r="C2014" i="7"/>
  <c r="B2014" i="7"/>
  <c r="A2014" i="7"/>
  <c r="F2013" i="7"/>
  <c r="E2013" i="7"/>
  <c r="D2013" i="7"/>
  <c r="C2013" i="7"/>
  <c r="B2013" i="7"/>
  <c r="A2013" i="7"/>
  <c r="F2012" i="7"/>
  <c r="E2012" i="7"/>
  <c r="D2012" i="7"/>
  <c r="C2012" i="7"/>
  <c r="B2012" i="7"/>
  <c r="A2012" i="7"/>
  <c r="F2011" i="7"/>
  <c r="E2011" i="7"/>
  <c r="D2011" i="7"/>
  <c r="C2011" i="7"/>
  <c r="B2011" i="7"/>
  <c r="A2011" i="7"/>
  <c r="F2010" i="7"/>
  <c r="E2010" i="7"/>
  <c r="D2010" i="7"/>
  <c r="C2010" i="7"/>
  <c r="B2010" i="7"/>
  <c r="A2010" i="7"/>
  <c r="F2009" i="7"/>
  <c r="E2009" i="7"/>
  <c r="D2009" i="7"/>
  <c r="C2009" i="7"/>
  <c r="B2009" i="7"/>
  <c r="A2009" i="7"/>
  <c r="F2008" i="7"/>
  <c r="E2008" i="7"/>
  <c r="D2008" i="7"/>
  <c r="C2008" i="7"/>
  <c r="B2008" i="7"/>
  <c r="A2008" i="7"/>
  <c r="F2007" i="7"/>
  <c r="E2007" i="7"/>
  <c r="D2007" i="7"/>
  <c r="C2007" i="7"/>
  <c r="B2007" i="7"/>
  <c r="A2007" i="7"/>
  <c r="F2006" i="7"/>
  <c r="E2006" i="7"/>
  <c r="D2006" i="7"/>
  <c r="C2006" i="7"/>
  <c r="B2006" i="7"/>
  <c r="A2006" i="7"/>
  <c r="F2005" i="7"/>
  <c r="E2005" i="7"/>
  <c r="D2005" i="7"/>
  <c r="C2005" i="7"/>
  <c r="B2005" i="7"/>
  <c r="A2005" i="7"/>
  <c r="F2004" i="7"/>
  <c r="E2004" i="7"/>
  <c r="D2004" i="7"/>
  <c r="C2004" i="7"/>
  <c r="B2004" i="7"/>
  <c r="A2004" i="7"/>
  <c r="F2003" i="7"/>
  <c r="E2003" i="7"/>
  <c r="D2003" i="7"/>
  <c r="C2003" i="7"/>
  <c r="B2003" i="7"/>
  <c r="A2003" i="7"/>
  <c r="F2002" i="7"/>
  <c r="E2002" i="7"/>
  <c r="D2002" i="7"/>
  <c r="C2002" i="7"/>
  <c r="B2002" i="7"/>
  <c r="A2002" i="7"/>
  <c r="F2001" i="7"/>
  <c r="E2001" i="7"/>
  <c r="D2001" i="7"/>
  <c r="C2001" i="7"/>
  <c r="B2001" i="7"/>
  <c r="A2001" i="7"/>
  <c r="F2000" i="7"/>
  <c r="E2000" i="7"/>
  <c r="D2000" i="7"/>
  <c r="C2000" i="7"/>
  <c r="B2000" i="7"/>
  <c r="A2000" i="7"/>
  <c r="F1999" i="7"/>
  <c r="E1999" i="7"/>
  <c r="D1999" i="7"/>
  <c r="C1999" i="7"/>
  <c r="B1999" i="7"/>
  <c r="A1999" i="7"/>
  <c r="F1998" i="7"/>
  <c r="E1998" i="7"/>
  <c r="D1998" i="7"/>
  <c r="C1998" i="7"/>
  <c r="B1998" i="7"/>
  <c r="A1998" i="7"/>
  <c r="F1997" i="7"/>
  <c r="E1997" i="7"/>
  <c r="D1997" i="7"/>
  <c r="C1997" i="7"/>
  <c r="B1997" i="7"/>
  <c r="A1997" i="7"/>
  <c r="F1996" i="7"/>
  <c r="E1996" i="7"/>
  <c r="D1996" i="7"/>
  <c r="C1996" i="7"/>
  <c r="B1996" i="7"/>
  <c r="A1996" i="7"/>
  <c r="F1995" i="7"/>
  <c r="E1995" i="7"/>
  <c r="D1995" i="7"/>
  <c r="C1995" i="7"/>
  <c r="B1995" i="7"/>
  <c r="A1995" i="7"/>
  <c r="F1994" i="7"/>
  <c r="E1994" i="7"/>
  <c r="D1994" i="7"/>
  <c r="C1994" i="7"/>
  <c r="B1994" i="7"/>
  <c r="A1994" i="7"/>
  <c r="F1993" i="7"/>
  <c r="E1993" i="7"/>
  <c r="D1993" i="7"/>
  <c r="C1993" i="7"/>
  <c r="B1993" i="7"/>
  <c r="A1993" i="7"/>
  <c r="F1992" i="7"/>
  <c r="E1992" i="7"/>
  <c r="D1992" i="7"/>
  <c r="C1992" i="7"/>
  <c r="B1992" i="7"/>
  <c r="A1992" i="7"/>
  <c r="F1991" i="7"/>
  <c r="E1991" i="7"/>
  <c r="D1991" i="7"/>
  <c r="C1991" i="7"/>
  <c r="B1991" i="7"/>
  <c r="A1991" i="7"/>
  <c r="F1990" i="7"/>
  <c r="E1990" i="7"/>
  <c r="D1990" i="7"/>
  <c r="C1990" i="7"/>
  <c r="B1990" i="7"/>
  <c r="A1990" i="7"/>
  <c r="F1989" i="7"/>
  <c r="E1989" i="7"/>
  <c r="D1989" i="7"/>
  <c r="C1989" i="7"/>
  <c r="B1989" i="7"/>
  <c r="A1989" i="7"/>
  <c r="F1988" i="7"/>
  <c r="E1988" i="7"/>
  <c r="D1988" i="7"/>
  <c r="C1988" i="7"/>
  <c r="B1988" i="7"/>
  <c r="A1988" i="7"/>
  <c r="F1987" i="7"/>
  <c r="E1987" i="7"/>
  <c r="D1987" i="7"/>
  <c r="C1987" i="7"/>
  <c r="B1987" i="7"/>
  <c r="A1987" i="7"/>
  <c r="F1986" i="7"/>
  <c r="E1986" i="7"/>
  <c r="D1986" i="7"/>
  <c r="C1986" i="7"/>
  <c r="B1986" i="7"/>
  <c r="A1986" i="7"/>
  <c r="F1985" i="7"/>
  <c r="E1985" i="7"/>
  <c r="D1985" i="7"/>
  <c r="C1985" i="7"/>
  <c r="B1985" i="7"/>
  <c r="A1985" i="7"/>
  <c r="F1984" i="7"/>
  <c r="E1984" i="7"/>
  <c r="D1984" i="7"/>
  <c r="C1984" i="7"/>
  <c r="B1984" i="7"/>
  <c r="A1984" i="7"/>
  <c r="F1983" i="7"/>
  <c r="E1983" i="7"/>
  <c r="D1983" i="7"/>
  <c r="C1983" i="7"/>
  <c r="B1983" i="7"/>
  <c r="A1983" i="7"/>
  <c r="F1982" i="7"/>
  <c r="E1982" i="7"/>
  <c r="D1982" i="7"/>
  <c r="C1982" i="7"/>
  <c r="B1982" i="7"/>
  <c r="A1982" i="7"/>
  <c r="F1981" i="7"/>
  <c r="E1981" i="7"/>
  <c r="D1981" i="7"/>
  <c r="C1981" i="7"/>
  <c r="B1981" i="7"/>
  <c r="A1981" i="7"/>
  <c r="F1980" i="7"/>
  <c r="E1980" i="7"/>
  <c r="D1980" i="7"/>
  <c r="C1980" i="7"/>
  <c r="B1980" i="7"/>
  <c r="A1980" i="7"/>
  <c r="F1979" i="7"/>
  <c r="E1979" i="7"/>
  <c r="D1979" i="7"/>
  <c r="C1979" i="7"/>
  <c r="B1979" i="7"/>
  <c r="A1979" i="7"/>
  <c r="F1978" i="7"/>
  <c r="E1978" i="7"/>
  <c r="D1978" i="7"/>
  <c r="C1978" i="7"/>
  <c r="B1978" i="7"/>
  <c r="A1978" i="7"/>
  <c r="F1977" i="7"/>
  <c r="E1977" i="7"/>
  <c r="D1977" i="7"/>
  <c r="C1977" i="7"/>
  <c r="B1977" i="7"/>
  <c r="A1977" i="7"/>
  <c r="F1976" i="7"/>
  <c r="E1976" i="7"/>
  <c r="D1976" i="7"/>
  <c r="C1976" i="7"/>
  <c r="B1976" i="7"/>
  <c r="A1976" i="7"/>
  <c r="F1975" i="7"/>
  <c r="E1975" i="7"/>
  <c r="D1975" i="7"/>
  <c r="C1975" i="7"/>
  <c r="B1975" i="7"/>
  <c r="A1975" i="7"/>
  <c r="F1974" i="7"/>
  <c r="E1974" i="7"/>
  <c r="D1974" i="7"/>
  <c r="C1974" i="7"/>
  <c r="B1974" i="7"/>
  <c r="A1974" i="7"/>
  <c r="F1973" i="7"/>
  <c r="E1973" i="7"/>
  <c r="D1973" i="7"/>
  <c r="C1973" i="7"/>
  <c r="B1973" i="7"/>
  <c r="A1973" i="7"/>
  <c r="F1972" i="7"/>
  <c r="E1972" i="7"/>
  <c r="D1972" i="7"/>
  <c r="C1972" i="7"/>
  <c r="B1972" i="7"/>
  <c r="A1972" i="7"/>
  <c r="F1971" i="7"/>
  <c r="E1971" i="7"/>
  <c r="D1971" i="7"/>
  <c r="C1971" i="7"/>
  <c r="B1971" i="7"/>
  <c r="A1971" i="7"/>
  <c r="F1970" i="7"/>
  <c r="E1970" i="7"/>
  <c r="D1970" i="7"/>
  <c r="C1970" i="7"/>
  <c r="B1970" i="7"/>
  <c r="A1970" i="7"/>
  <c r="F1969" i="7"/>
  <c r="E1969" i="7"/>
  <c r="D1969" i="7"/>
  <c r="C1969" i="7"/>
  <c r="B1969" i="7"/>
  <c r="A1969" i="7"/>
  <c r="F1968" i="7"/>
  <c r="E1968" i="7"/>
  <c r="D1968" i="7"/>
  <c r="C1968" i="7"/>
  <c r="B1968" i="7"/>
  <c r="A1968" i="7"/>
  <c r="F1967" i="7"/>
  <c r="E1967" i="7"/>
  <c r="D1967" i="7"/>
  <c r="C1967" i="7"/>
  <c r="B1967" i="7"/>
  <c r="A1967" i="7"/>
  <c r="F1966" i="7"/>
  <c r="E1966" i="7"/>
  <c r="D1966" i="7"/>
  <c r="C1966" i="7"/>
  <c r="B1966" i="7"/>
  <c r="A1966" i="7"/>
  <c r="F1965" i="7"/>
  <c r="E1965" i="7"/>
  <c r="D1965" i="7"/>
  <c r="C1965" i="7"/>
  <c r="B1965" i="7"/>
  <c r="A1965" i="7"/>
  <c r="F1964" i="7"/>
  <c r="E1964" i="7"/>
  <c r="D1964" i="7"/>
  <c r="C1964" i="7"/>
  <c r="B1964" i="7"/>
  <c r="A1964" i="7"/>
  <c r="F1963" i="7"/>
  <c r="E1963" i="7"/>
  <c r="D1963" i="7"/>
  <c r="C1963" i="7"/>
  <c r="B1963" i="7"/>
  <c r="A1963" i="7"/>
  <c r="F1962" i="7"/>
  <c r="E1962" i="7"/>
  <c r="D1962" i="7"/>
  <c r="C1962" i="7"/>
  <c r="B1962" i="7"/>
  <c r="A1962" i="7"/>
  <c r="F1961" i="7"/>
  <c r="E1961" i="7"/>
  <c r="D1961" i="7"/>
  <c r="C1961" i="7"/>
  <c r="B1961" i="7"/>
  <c r="A1961" i="7"/>
  <c r="F1960" i="7"/>
  <c r="E1960" i="7"/>
  <c r="D1960" i="7"/>
  <c r="C1960" i="7"/>
  <c r="B1960" i="7"/>
  <c r="A1960" i="7"/>
  <c r="F1959" i="7"/>
  <c r="E1959" i="7"/>
  <c r="D1959" i="7"/>
  <c r="C1959" i="7"/>
  <c r="B1959" i="7"/>
  <c r="A1959" i="7"/>
  <c r="F1958" i="7"/>
  <c r="E1958" i="7"/>
  <c r="D1958" i="7"/>
  <c r="C1958" i="7"/>
  <c r="B1958" i="7"/>
  <c r="A1958" i="7"/>
  <c r="F1957" i="7"/>
  <c r="E1957" i="7"/>
  <c r="D1957" i="7"/>
  <c r="C1957" i="7"/>
  <c r="B1957" i="7"/>
  <c r="A1957" i="7"/>
  <c r="F1956" i="7"/>
  <c r="E1956" i="7"/>
  <c r="D1956" i="7"/>
  <c r="C1956" i="7"/>
  <c r="B1956" i="7"/>
  <c r="A1956" i="7"/>
  <c r="F1955" i="7"/>
  <c r="E1955" i="7"/>
  <c r="D1955" i="7"/>
  <c r="C1955" i="7"/>
  <c r="B1955" i="7"/>
  <c r="A1955" i="7"/>
  <c r="F1954" i="7"/>
  <c r="E1954" i="7"/>
  <c r="D1954" i="7"/>
  <c r="C1954" i="7"/>
  <c r="B1954" i="7"/>
  <c r="A1954" i="7"/>
  <c r="F1953" i="7"/>
  <c r="E1953" i="7"/>
  <c r="D1953" i="7"/>
  <c r="C1953" i="7"/>
  <c r="B1953" i="7"/>
  <c r="A1953" i="7"/>
  <c r="F1952" i="7"/>
  <c r="E1952" i="7"/>
  <c r="D1952" i="7"/>
  <c r="C1952" i="7"/>
  <c r="B1952" i="7"/>
  <c r="A1952" i="7"/>
  <c r="F1951" i="7"/>
  <c r="E1951" i="7"/>
  <c r="D1951" i="7"/>
  <c r="C1951" i="7"/>
  <c r="B1951" i="7"/>
  <c r="A1951" i="7"/>
  <c r="F1950" i="7"/>
  <c r="E1950" i="7"/>
  <c r="D1950" i="7"/>
  <c r="C1950" i="7"/>
  <c r="B1950" i="7"/>
  <c r="A1950" i="7"/>
  <c r="F1949" i="7"/>
  <c r="E1949" i="7"/>
  <c r="D1949" i="7"/>
  <c r="C1949" i="7"/>
  <c r="B1949" i="7"/>
  <c r="A1949" i="7"/>
  <c r="F1948" i="7"/>
  <c r="E1948" i="7"/>
  <c r="D1948" i="7"/>
  <c r="C1948" i="7"/>
  <c r="B1948" i="7"/>
  <c r="A1948" i="7"/>
  <c r="F1947" i="7"/>
  <c r="E1947" i="7"/>
  <c r="D1947" i="7"/>
  <c r="C1947" i="7"/>
  <c r="B1947" i="7"/>
  <c r="A1947" i="7"/>
  <c r="F1946" i="7"/>
  <c r="E1946" i="7"/>
  <c r="D1946" i="7"/>
  <c r="C1946" i="7"/>
  <c r="B1946" i="7"/>
  <c r="A1946" i="7"/>
  <c r="F1945" i="7"/>
  <c r="E1945" i="7"/>
  <c r="D1945" i="7"/>
  <c r="C1945" i="7"/>
  <c r="B1945" i="7"/>
  <c r="A1945" i="7"/>
  <c r="F1944" i="7"/>
  <c r="E1944" i="7"/>
  <c r="D1944" i="7"/>
  <c r="C1944" i="7"/>
  <c r="B1944" i="7"/>
  <c r="A1944" i="7"/>
  <c r="F1943" i="7"/>
  <c r="E1943" i="7"/>
  <c r="D1943" i="7"/>
  <c r="C1943" i="7"/>
  <c r="B1943" i="7"/>
  <c r="A1943" i="7"/>
  <c r="F1942" i="7"/>
  <c r="E1942" i="7"/>
  <c r="D1942" i="7"/>
  <c r="C1942" i="7"/>
  <c r="B1942" i="7"/>
  <c r="A1942" i="7"/>
  <c r="F1941" i="7"/>
  <c r="E1941" i="7"/>
  <c r="D1941" i="7"/>
  <c r="C1941" i="7"/>
  <c r="B1941" i="7"/>
  <c r="A1941" i="7"/>
  <c r="F1940" i="7"/>
  <c r="E1940" i="7"/>
  <c r="D1940" i="7"/>
  <c r="C1940" i="7"/>
  <c r="B1940" i="7"/>
  <c r="A1940" i="7"/>
  <c r="F1939" i="7"/>
  <c r="E1939" i="7"/>
  <c r="D1939" i="7"/>
  <c r="C1939" i="7"/>
  <c r="B1939" i="7"/>
  <c r="A1939" i="7"/>
  <c r="F1938" i="7"/>
  <c r="E1938" i="7"/>
  <c r="D1938" i="7"/>
  <c r="C1938" i="7"/>
  <c r="B1938" i="7"/>
  <c r="A1938" i="7"/>
  <c r="F1937" i="7"/>
  <c r="E1937" i="7"/>
  <c r="D1937" i="7"/>
  <c r="C1937" i="7"/>
  <c r="B1937" i="7"/>
  <c r="A1937" i="7"/>
  <c r="F1936" i="7"/>
  <c r="E1936" i="7"/>
  <c r="D1936" i="7"/>
  <c r="C1936" i="7"/>
  <c r="B1936" i="7"/>
  <c r="A1936" i="7"/>
  <c r="F1935" i="7"/>
  <c r="E1935" i="7"/>
  <c r="D1935" i="7"/>
  <c r="C1935" i="7"/>
  <c r="B1935" i="7"/>
  <c r="A1935" i="7"/>
  <c r="F1934" i="7"/>
  <c r="E1934" i="7"/>
  <c r="D1934" i="7"/>
  <c r="C1934" i="7"/>
  <c r="B1934" i="7"/>
  <c r="A1934" i="7"/>
  <c r="F1933" i="7"/>
  <c r="E1933" i="7"/>
  <c r="D1933" i="7"/>
  <c r="C1933" i="7"/>
  <c r="B1933" i="7"/>
  <c r="A1933" i="7"/>
  <c r="F1932" i="7"/>
  <c r="E1932" i="7"/>
  <c r="D1932" i="7"/>
  <c r="C1932" i="7"/>
  <c r="B1932" i="7"/>
  <c r="A1932" i="7"/>
  <c r="F1931" i="7"/>
  <c r="E1931" i="7"/>
  <c r="D1931" i="7"/>
  <c r="C1931" i="7"/>
  <c r="B1931" i="7"/>
  <c r="A1931" i="7"/>
  <c r="F1930" i="7"/>
  <c r="E1930" i="7"/>
  <c r="D1930" i="7"/>
  <c r="C1930" i="7"/>
  <c r="B1930" i="7"/>
  <c r="A1930" i="7"/>
  <c r="F1929" i="7"/>
  <c r="E1929" i="7"/>
  <c r="D1929" i="7"/>
  <c r="C1929" i="7"/>
  <c r="B1929" i="7"/>
  <c r="A1929" i="7"/>
  <c r="F1928" i="7"/>
  <c r="E1928" i="7"/>
  <c r="D1928" i="7"/>
  <c r="C1928" i="7"/>
  <c r="B1928" i="7"/>
  <c r="A1928" i="7"/>
  <c r="F1927" i="7"/>
  <c r="E1927" i="7"/>
  <c r="D1927" i="7"/>
  <c r="C1927" i="7"/>
  <c r="B1927" i="7"/>
  <c r="A1927" i="7"/>
  <c r="F1926" i="7"/>
  <c r="E1926" i="7"/>
  <c r="D1926" i="7"/>
  <c r="C1926" i="7"/>
  <c r="B1926" i="7"/>
  <c r="A1926" i="7"/>
  <c r="F1925" i="7"/>
  <c r="E1925" i="7"/>
  <c r="D1925" i="7"/>
  <c r="C1925" i="7"/>
  <c r="B1925" i="7"/>
  <c r="A1925" i="7"/>
  <c r="F1924" i="7"/>
  <c r="E1924" i="7"/>
  <c r="D1924" i="7"/>
  <c r="C1924" i="7"/>
  <c r="B1924" i="7"/>
  <c r="A1924" i="7"/>
  <c r="F1923" i="7"/>
  <c r="E1923" i="7"/>
  <c r="D1923" i="7"/>
  <c r="C1923" i="7"/>
  <c r="B1923" i="7"/>
  <c r="A1923" i="7"/>
  <c r="F1922" i="7"/>
  <c r="E1922" i="7"/>
  <c r="D1922" i="7"/>
  <c r="C1922" i="7"/>
  <c r="B1922" i="7"/>
  <c r="A1922" i="7"/>
  <c r="F1921" i="7"/>
  <c r="E1921" i="7"/>
  <c r="D1921" i="7"/>
  <c r="C1921" i="7"/>
  <c r="B1921" i="7"/>
  <c r="A1921" i="7"/>
  <c r="F1920" i="7"/>
  <c r="E1920" i="7"/>
  <c r="D1920" i="7"/>
  <c r="C1920" i="7"/>
  <c r="B1920" i="7"/>
  <c r="A1920" i="7"/>
  <c r="F1919" i="7"/>
  <c r="E1919" i="7"/>
  <c r="D1919" i="7"/>
  <c r="C1919" i="7"/>
  <c r="B1919" i="7"/>
  <c r="A1919" i="7"/>
  <c r="F1918" i="7"/>
  <c r="E1918" i="7"/>
  <c r="D1918" i="7"/>
  <c r="C1918" i="7"/>
  <c r="B1918" i="7"/>
  <c r="A1918" i="7"/>
  <c r="F1917" i="7"/>
  <c r="E1917" i="7"/>
  <c r="D1917" i="7"/>
  <c r="C1917" i="7"/>
  <c r="B1917" i="7"/>
  <c r="A1917" i="7"/>
  <c r="F1916" i="7"/>
  <c r="E1916" i="7"/>
  <c r="D1916" i="7"/>
  <c r="C1916" i="7"/>
  <c r="B1916" i="7"/>
  <c r="A1916" i="7"/>
  <c r="F1915" i="7"/>
  <c r="E1915" i="7"/>
  <c r="D1915" i="7"/>
  <c r="C1915" i="7"/>
  <c r="B1915" i="7"/>
  <c r="A1915" i="7"/>
  <c r="F1914" i="7"/>
  <c r="E1914" i="7"/>
  <c r="D1914" i="7"/>
  <c r="C1914" i="7"/>
  <c r="B1914" i="7"/>
  <c r="A1914" i="7"/>
  <c r="F1913" i="7"/>
  <c r="E1913" i="7"/>
  <c r="D1913" i="7"/>
  <c r="C1913" i="7"/>
  <c r="B1913" i="7"/>
  <c r="A1913" i="7"/>
  <c r="F1912" i="7"/>
  <c r="E1912" i="7"/>
  <c r="D1912" i="7"/>
  <c r="C1912" i="7"/>
  <c r="B1912" i="7"/>
  <c r="A1912" i="7"/>
  <c r="F1911" i="7"/>
  <c r="E1911" i="7"/>
  <c r="D1911" i="7"/>
  <c r="C1911" i="7"/>
  <c r="B1911" i="7"/>
  <c r="A1911" i="7"/>
  <c r="F1910" i="7"/>
  <c r="E1910" i="7"/>
  <c r="D1910" i="7"/>
  <c r="C1910" i="7"/>
  <c r="B1910" i="7"/>
  <c r="A1910" i="7"/>
  <c r="F1909" i="7"/>
  <c r="E1909" i="7"/>
  <c r="D1909" i="7"/>
  <c r="C1909" i="7"/>
  <c r="B1909" i="7"/>
  <c r="A1909" i="7"/>
  <c r="F1908" i="7"/>
  <c r="E1908" i="7"/>
  <c r="D1908" i="7"/>
  <c r="C1908" i="7"/>
  <c r="B1908" i="7"/>
  <c r="A1908" i="7"/>
  <c r="F1907" i="7"/>
  <c r="E1907" i="7"/>
  <c r="D1907" i="7"/>
  <c r="C1907" i="7"/>
  <c r="B1907" i="7"/>
  <c r="A1907" i="7"/>
  <c r="F1906" i="7"/>
  <c r="E1906" i="7"/>
  <c r="D1906" i="7"/>
  <c r="C1906" i="7"/>
  <c r="B1906" i="7"/>
  <c r="A1906" i="7"/>
  <c r="F1905" i="7"/>
  <c r="E1905" i="7"/>
  <c r="D1905" i="7"/>
  <c r="C1905" i="7"/>
  <c r="B1905" i="7"/>
  <c r="A1905" i="7"/>
  <c r="F1904" i="7"/>
  <c r="E1904" i="7"/>
  <c r="D1904" i="7"/>
  <c r="C1904" i="7"/>
  <c r="B1904" i="7"/>
  <c r="A1904" i="7"/>
  <c r="F1903" i="7"/>
  <c r="E1903" i="7"/>
  <c r="D1903" i="7"/>
  <c r="C1903" i="7"/>
  <c r="B1903" i="7"/>
  <c r="A1903" i="7"/>
  <c r="F1902" i="7"/>
  <c r="E1902" i="7"/>
  <c r="D1902" i="7"/>
  <c r="C1902" i="7"/>
  <c r="B1902" i="7"/>
  <c r="A1902" i="7"/>
  <c r="F1901" i="7"/>
  <c r="E1901" i="7"/>
  <c r="D1901" i="7"/>
  <c r="C1901" i="7"/>
  <c r="B1901" i="7"/>
  <c r="A1901" i="7"/>
  <c r="F1900" i="7"/>
  <c r="E1900" i="7"/>
  <c r="D1900" i="7"/>
  <c r="C1900" i="7"/>
  <c r="B1900" i="7"/>
  <c r="A1900" i="7"/>
  <c r="F1899" i="7"/>
  <c r="E1899" i="7"/>
  <c r="D1899" i="7"/>
  <c r="C1899" i="7"/>
  <c r="B1899" i="7"/>
  <c r="A1899" i="7"/>
  <c r="F1898" i="7"/>
  <c r="E1898" i="7"/>
  <c r="D1898" i="7"/>
  <c r="C1898" i="7"/>
  <c r="B1898" i="7"/>
  <c r="A1898" i="7"/>
  <c r="F1897" i="7"/>
  <c r="E1897" i="7"/>
  <c r="D1897" i="7"/>
  <c r="C1897" i="7"/>
  <c r="B1897" i="7"/>
  <c r="A1897" i="7"/>
  <c r="F1896" i="7"/>
  <c r="E1896" i="7"/>
  <c r="D1896" i="7"/>
  <c r="C1896" i="7"/>
  <c r="B1896" i="7"/>
  <c r="A1896" i="7"/>
  <c r="F1895" i="7"/>
  <c r="E1895" i="7"/>
  <c r="D1895" i="7"/>
  <c r="C1895" i="7"/>
  <c r="B1895" i="7"/>
  <c r="A1895" i="7"/>
  <c r="F1894" i="7"/>
  <c r="E1894" i="7"/>
  <c r="D1894" i="7"/>
  <c r="C1894" i="7"/>
  <c r="B1894" i="7"/>
  <c r="A1894" i="7"/>
  <c r="F1893" i="7"/>
  <c r="E1893" i="7"/>
  <c r="D1893" i="7"/>
  <c r="C1893" i="7"/>
  <c r="B1893" i="7"/>
  <c r="A1893" i="7"/>
  <c r="F1892" i="7"/>
  <c r="E1892" i="7"/>
  <c r="D1892" i="7"/>
  <c r="C1892" i="7"/>
  <c r="B1892" i="7"/>
  <c r="A1892" i="7"/>
  <c r="F1891" i="7"/>
  <c r="E1891" i="7"/>
  <c r="D1891" i="7"/>
  <c r="C1891" i="7"/>
  <c r="B1891" i="7"/>
  <c r="A1891" i="7"/>
  <c r="F1890" i="7"/>
  <c r="E1890" i="7"/>
  <c r="D1890" i="7"/>
  <c r="C1890" i="7"/>
  <c r="B1890" i="7"/>
  <c r="A1890" i="7"/>
  <c r="F1889" i="7"/>
  <c r="E1889" i="7"/>
  <c r="D1889" i="7"/>
  <c r="C1889" i="7"/>
  <c r="B1889" i="7"/>
  <c r="A1889" i="7"/>
  <c r="F1888" i="7"/>
  <c r="E1888" i="7"/>
  <c r="D1888" i="7"/>
  <c r="C1888" i="7"/>
  <c r="B1888" i="7"/>
  <c r="A1888" i="7"/>
  <c r="F1887" i="7"/>
  <c r="E1887" i="7"/>
  <c r="D1887" i="7"/>
  <c r="C1887" i="7"/>
  <c r="B1887" i="7"/>
  <c r="A1887" i="7"/>
  <c r="F1886" i="7"/>
  <c r="E1886" i="7"/>
  <c r="D1886" i="7"/>
  <c r="C1886" i="7"/>
  <c r="B1886" i="7"/>
  <c r="A1886" i="7"/>
  <c r="F1885" i="7"/>
  <c r="E1885" i="7"/>
  <c r="D1885" i="7"/>
  <c r="C1885" i="7"/>
  <c r="B1885" i="7"/>
  <c r="A1885" i="7"/>
  <c r="F1884" i="7"/>
  <c r="E1884" i="7"/>
  <c r="D1884" i="7"/>
  <c r="C1884" i="7"/>
  <c r="B1884" i="7"/>
  <c r="A1884" i="7"/>
  <c r="F1883" i="7"/>
  <c r="E1883" i="7"/>
  <c r="D1883" i="7"/>
  <c r="C1883" i="7"/>
  <c r="B1883" i="7"/>
  <c r="A1883" i="7"/>
  <c r="F1882" i="7"/>
  <c r="E1882" i="7"/>
  <c r="D1882" i="7"/>
  <c r="C1882" i="7"/>
  <c r="B1882" i="7"/>
  <c r="A1882" i="7"/>
  <c r="F1881" i="7"/>
  <c r="E1881" i="7"/>
  <c r="D1881" i="7"/>
  <c r="C1881" i="7"/>
  <c r="B1881" i="7"/>
  <c r="A1881" i="7"/>
  <c r="F1880" i="7"/>
  <c r="E1880" i="7"/>
  <c r="D1880" i="7"/>
  <c r="C1880" i="7"/>
  <c r="B1880" i="7"/>
  <c r="A1880" i="7"/>
  <c r="F1879" i="7"/>
  <c r="E1879" i="7"/>
  <c r="D1879" i="7"/>
  <c r="C1879" i="7"/>
  <c r="B1879" i="7"/>
  <c r="A1879" i="7"/>
  <c r="F1878" i="7"/>
  <c r="E1878" i="7"/>
  <c r="D1878" i="7"/>
  <c r="C1878" i="7"/>
  <c r="B1878" i="7"/>
  <c r="A1878" i="7"/>
  <c r="F1877" i="7"/>
  <c r="E1877" i="7"/>
  <c r="D1877" i="7"/>
  <c r="C1877" i="7"/>
  <c r="B1877" i="7"/>
  <c r="A1877" i="7"/>
  <c r="F1876" i="7"/>
  <c r="E1876" i="7"/>
  <c r="D1876" i="7"/>
  <c r="C1876" i="7"/>
  <c r="B1876" i="7"/>
  <c r="A1876" i="7"/>
  <c r="F1875" i="7"/>
  <c r="E1875" i="7"/>
  <c r="D1875" i="7"/>
  <c r="C1875" i="7"/>
  <c r="B1875" i="7"/>
  <c r="A1875" i="7"/>
  <c r="F1874" i="7"/>
  <c r="E1874" i="7"/>
  <c r="D1874" i="7"/>
  <c r="C1874" i="7"/>
  <c r="B1874" i="7"/>
  <c r="A1874" i="7"/>
  <c r="F1873" i="7"/>
  <c r="E1873" i="7"/>
  <c r="D1873" i="7"/>
  <c r="C1873" i="7"/>
  <c r="B1873" i="7"/>
  <c r="A1873" i="7"/>
  <c r="F1872" i="7"/>
  <c r="E1872" i="7"/>
  <c r="D1872" i="7"/>
  <c r="C1872" i="7"/>
  <c r="B1872" i="7"/>
  <c r="A1872" i="7"/>
  <c r="F1871" i="7"/>
  <c r="E1871" i="7"/>
  <c r="D1871" i="7"/>
  <c r="C1871" i="7"/>
  <c r="B1871" i="7"/>
  <c r="A1871" i="7"/>
  <c r="F1870" i="7"/>
  <c r="E1870" i="7"/>
  <c r="D1870" i="7"/>
  <c r="C1870" i="7"/>
  <c r="B1870" i="7"/>
  <c r="A1870" i="7"/>
  <c r="F1869" i="7"/>
  <c r="E1869" i="7"/>
  <c r="D1869" i="7"/>
  <c r="C1869" i="7"/>
  <c r="B1869" i="7"/>
  <c r="A1869" i="7"/>
  <c r="F1868" i="7"/>
  <c r="E1868" i="7"/>
  <c r="D1868" i="7"/>
  <c r="C1868" i="7"/>
  <c r="B1868" i="7"/>
  <c r="A1868" i="7"/>
  <c r="F1867" i="7"/>
  <c r="E1867" i="7"/>
  <c r="D1867" i="7"/>
  <c r="C1867" i="7"/>
  <c r="B1867" i="7"/>
  <c r="A1867" i="7"/>
  <c r="F1866" i="7"/>
  <c r="E1866" i="7"/>
  <c r="D1866" i="7"/>
  <c r="C1866" i="7"/>
  <c r="B1866" i="7"/>
  <c r="A1866" i="7"/>
  <c r="F1865" i="7"/>
  <c r="E1865" i="7"/>
  <c r="D1865" i="7"/>
  <c r="C1865" i="7"/>
  <c r="B1865" i="7"/>
  <c r="A1865" i="7"/>
  <c r="F1864" i="7"/>
  <c r="E1864" i="7"/>
  <c r="D1864" i="7"/>
  <c r="C1864" i="7"/>
  <c r="B1864" i="7"/>
  <c r="A1864" i="7"/>
  <c r="F1863" i="7"/>
  <c r="E1863" i="7"/>
  <c r="D1863" i="7"/>
  <c r="C1863" i="7"/>
  <c r="B1863" i="7"/>
  <c r="A1863" i="7"/>
  <c r="F1862" i="7"/>
  <c r="E1862" i="7"/>
  <c r="D1862" i="7"/>
  <c r="C1862" i="7"/>
  <c r="B1862" i="7"/>
  <c r="A1862" i="7"/>
  <c r="F1861" i="7"/>
  <c r="E1861" i="7"/>
  <c r="D1861" i="7"/>
  <c r="C1861" i="7"/>
  <c r="B1861" i="7"/>
  <c r="A1861" i="7"/>
  <c r="F1860" i="7"/>
  <c r="E1860" i="7"/>
  <c r="D1860" i="7"/>
  <c r="C1860" i="7"/>
  <c r="B1860" i="7"/>
  <c r="A1860" i="7"/>
  <c r="F1859" i="7"/>
  <c r="E1859" i="7"/>
  <c r="D1859" i="7"/>
  <c r="C1859" i="7"/>
  <c r="B1859" i="7"/>
  <c r="A1859" i="7"/>
  <c r="F1858" i="7"/>
  <c r="E1858" i="7"/>
  <c r="D1858" i="7"/>
  <c r="C1858" i="7"/>
  <c r="B1858" i="7"/>
  <c r="A1858" i="7"/>
  <c r="F1857" i="7"/>
  <c r="E1857" i="7"/>
  <c r="D1857" i="7"/>
  <c r="C1857" i="7"/>
  <c r="B1857" i="7"/>
  <c r="A1857" i="7"/>
  <c r="F1856" i="7"/>
  <c r="E1856" i="7"/>
  <c r="D1856" i="7"/>
  <c r="C1856" i="7"/>
  <c r="B1856" i="7"/>
  <c r="A1856" i="7"/>
  <c r="F1855" i="7"/>
  <c r="E1855" i="7"/>
  <c r="D1855" i="7"/>
  <c r="C1855" i="7"/>
  <c r="B1855" i="7"/>
  <c r="A1855" i="7"/>
  <c r="F1854" i="7"/>
  <c r="E1854" i="7"/>
  <c r="D1854" i="7"/>
  <c r="C1854" i="7"/>
  <c r="B1854" i="7"/>
  <c r="A1854" i="7"/>
  <c r="F1853" i="7"/>
  <c r="E1853" i="7"/>
  <c r="D1853" i="7"/>
  <c r="C1853" i="7"/>
  <c r="B1853" i="7"/>
  <c r="A1853" i="7"/>
  <c r="F1852" i="7"/>
  <c r="E1852" i="7"/>
  <c r="D1852" i="7"/>
  <c r="C1852" i="7"/>
  <c r="B1852" i="7"/>
  <c r="A1852" i="7"/>
  <c r="F1851" i="7"/>
  <c r="E1851" i="7"/>
  <c r="D1851" i="7"/>
  <c r="C1851" i="7"/>
  <c r="B1851" i="7"/>
  <c r="A1851" i="7"/>
  <c r="F1850" i="7"/>
  <c r="E1850" i="7"/>
  <c r="D1850" i="7"/>
  <c r="C1850" i="7"/>
  <c r="B1850" i="7"/>
  <c r="A1850" i="7"/>
  <c r="F1849" i="7"/>
  <c r="E1849" i="7"/>
  <c r="D1849" i="7"/>
  <c r="C1849" i="7"/>
  <c r="B1849" i="7"/>
  <c r="A1849" i="7"/>
  <c r="F1848" i="7"/>
  <c r="E1848" i="7"/>
  <c r="D1848" i="7"/>
  <c r="C1848" i="7"/>
  <c r="B1848" i="7"/>
  <c r="A1848" i="7"/>
  <c r="F1847" i="7"/>
  <c r="E1847" i="7"/>
  <c r="D1847" i="7"/>
  <c r="C1847" i="7"/>
  <c r="B1847" i="7"/>
  <c r="A1847" i="7"/>
  <c r="F1846" i="7"/>
  <c r="E1846" i="7"/>
  <c r="D1846" i="7"/>
  <c r="C1846" i="7"/>
  <c r="B1846" i="7"/>
  <c r="A1846" i="7"/>
  <c r="F1845" i="7"/>
  <c r="E1845" i="7"/>
  <c r="D1845" i="7"/>
  <c r="C1845" i="7"/>
  <c r="B1845" i="7"/>
  <c r="A1845" i="7"/>
  <c r="F1844" i="7"/>
  <c r="E1844" i="7"/>
  <c r="D1844" i="7"/>
  <c r="C1844" i="7"/>
  <c r="B1844" i="7"/>
  <c r="A1844" i="7"/>
  <c r="F1843" i="7"/>
  <c r="E1843" i="7"/>
  <c r="D1843" i="7"/>
  <c r="C1843" i="7"/>
  <c r="B1843" i="7"/>
  <c r="A1843" i="7"/>
  <c r="F1842" i="7"/>
  <c r="E1842" i="7"/>
  <c r="D1842" i="7"/>
  <c r="C1842" i="7"/>
  <c r="B1842" i="7"/>
  <c r="A1842" i="7"/>
  <c r="F1841" i="7"/>
  <c r="E1841" i="7"/>
  <c r="D1841" i="7"/>
  <c r="C1841" i="7"/>
  <c r="B1841" i="7"/>
  <c r="A1841" i="7"/>
  <c r="F1840" i="7"/>
  <c r="E1840" i="7"/>
  <c r="D1840" i="7"/>
  <c r="C1840" i="7"/>
  <c r="B1840" i="7"/>
  <c r="A1840" i="7"/>
  <c r="F1839" i="7"/>
  <c r="E1839" i="7"/>
  <c r="D1839" i="7"/>
  <c r="C1839" i="7"/>
  <c r="B1839" i="7"/>
  <c r="A1839" i="7"/>
  <c r="F1838" i="7"/>
  <c r="E1838" i="7"/>
  <c r="D1838" i="7"/>
  <c r="C1838" i="7"/>
  <c r="B1838" i="7"/>
  <c r="A1838" i="7"/>
  <c r="F1837" i="7"/>
  <c r="E1837" i="7"/>
  <c r="D1837" i="7"/>
  <c r="C1837" i="7"/>
  <c r="B1837" i="7"/>
  <c r="A1837" i="7"/>
  <c r="F1836" i="7"/>
  <c r="E1836" i="7"/>
  <c r="D1836" i="7"/>
  <c r="C1836" i="7"/>
  <c r="B1836" i="7"/>
  <c r="A1836" i="7"/>
  <c r="F1835" i="7"/>
  <c r="E1835" i="7"/>
  <c r="D1835" i="7"/>
  <c r="C1835" i="7"/>
  <c r="B1835" i="7"/>
  <c r="A1835" i="7"/>
  <c r="F1834" i="7"/>
  <c r="E1834" i="7"/>
  <c r="D1834" i="7"/>
  <c r="C1834" i="7"/>
  <c r="B1834" i="7"/>
  <c r="A1834" i="7"/>
  <c r="F1833" i="7"/>
  <c r="E1833" i="7"/>
  <c r="D1833" i="7"/>
  <c r="C1833" i="7"/>
  <c r="B1833" i="7"/>
  <c r="A1833" i="7"/>
  <c r="F1832" i="7"/>
  <c r="E1832" i="7"/>
  <c r="D1832" i="7"/>
  <c r="C1832" i="7"/>
  <c r="B1832" i="7"/>
  <c r="A1832" i="7"/>
  <c r="F1831" i="7"/>
  <c r="E1831" i="7"/>
  <c r="D1831" i="7"/>
  <c r="C1831" i="7"/>
  <c r="B1831" i="7"/>
  <c r="A1831" i="7"/>
  <c r="F1830" i="7"/>
  <c r="E1830" i="7"/>
  <c r="D1830" i="7"/>
  <c r="C1830" i="7"/>
  <c r="B1830" i="7"/>
  <c r="A1830" i="7"/>
  <c r="F1829" i="7"/>
  <c r="E1829" i="7"/>
  <c r="D1829" i="7"/>
  <c r="C1829" i="7"/>
  <c r="B1829" i="7"/>
  <c r="A1829" i="7"/>
  <c r="F1828" i="7"/>
  <c r="E1828" i="7"/>
  <c r="D1828" i="7"/>
  <c r="C1828" i="7"/>
  <c r="B1828" i="7"/>
  <c r="A1828" i="7"/>
  <c r="F1827" i="7"/>
  <c r="E1827" i="7"/>
  <c r="D1827" i="7"/>
  <c r="C1827" i="7"/>
  <c r="B1827" i="7"/>
  <c r="A1827" i="7"/>
  <c r="F1826" i="7"/>
  <c r="E1826" i="7"/>
  <c r="D1826" i="7"/>
  <c r="C1826" i="7"/>
  <c r="B1826" i="7"/>
  <c r="A1826" i="7"/>
  <c r="F1825" i="7"/>
  <c r="E1825" i="7"/>
  <c r="D1825" i="7"/>
  <c r="C1825" i="7"/>
  <c r="B1825" i="7"/>
  <c r="A1825" i="7"/>
  <c r="F1824" i="7"/>
  <c r="E1824" i="7"/>
  <c r="D1824" i="7"/>
  <c r="C1824" i="7"/>
  <c r="B1824" i="7"/>
  <c r="A1824" i="7"/>
  <c r="F1823" i="7"/>
  <c r="E1823" i="7"/>
  <c r="D1823" i="7"/>
  <c r="C1823" i="7"/>
  <c r="B1823" i="7"/>
  <c r="A1823" i="7"/>
  <c r="F1822" i="7"/>
  <c r="E1822" i="7"/>
  <c r="D1822" i="7"/>
  <c r="C1822" i="7"/>
  <c r="B1822" i="7"/>
  <c r="A1822" i="7"/>
  <c r="F1821" i="7"/>
  <c r="E1821" i="7"/>
  <c r="D1821" i="7"/>
  <c r="C1821" i="7"/>
  <c r="B1821" i="7"/>
  <c r="A1821" i="7"/>
  <c r="F1820" i="7"/>
  <c r="E1820" i="7"/>
  <c r="D1820" i="7"/>
  <c r="C1820" i="7"/>
  <c r="B1820" i="7"/>
  <c r="A1820" i="7"/>
  <c r="F1819" i="7"/>
  <c r="E1819" i="7"/>
  <c r="D1819" i="7"/>
  <c r="C1819" i="7"/>
  <c r="B1819" i="7"/>
  <c r="A1819" i="7"/>
  <c r="F1818" i="7"/>
  <c r="E1818" i="7"/>
  <c r="D1818" i="7"/>
  <c r="C1818" i="7"/>
  <c r="B1818" i="7"/>
  <c r="A1818" i="7"/>
  <c r="F1817" i="7"/>
  <c r="E1817" i="7"/>
  <c r="D1817" i="7"/>
  <c r="C1817" i="7"/>
  <c r="B1817" i="7"/>
  <c r="A1817" i="7"/>
  <c r="F1816" i="7"/>
  <c r="E1816" i="7"/>
  <c r="D1816" i="7"/>
  <c r="C1816" i="7"/>
  <c r="B1816" i="7"/>
  <c r="A1816" i="7"/>
  <c r="F1815" i="7"/>
  <c r="E1815" i="7"/>
  <c r="D1815" i="7"/>
  <c r="C1815" i="7"/>
  <c r="B1815" i="7"/>
  <c r="A1815" i="7"/>
  <c r="F1814" i="7"/>
  <c r="E1814" i="7"/>
  <c r="D1814" i="7"/>
  <c r="C1814" i="7"/>
  <c r="B1814" i="7"/>
  <c r="A1814" i="7"/>
  <c r="F1813" i="7"/>
  <c r="E1813" i="7"/>
  <c r="D1813" i="7"/>
  <c r="C1813" i="7"/>
  <c r="B1813" i="7"/>
  <c r="A1813" i="7"/>
  <c r="F1812" i="7"/>
  <c r="E1812" i="7"/>
  <c r="D1812" i="7"/>
  <c r="C1812" i="7"/>
  <c r="B1812" i="7"/>
  <c r="A1812" i="7"/>
  <c r="F1811" i="7"/>
  <c r="E1811" i="7"/>
  <c r="D1811" i="7"/>
  <c r="C1811" i="7"/>
  <c r="B1811" i="7"/>
  <c r="A1811" i="7"/>
  <c r="F1810" i="7"/>
  <c r="E1810" i="7"/>
  <c r="D1810" i="7"/>
  <c r="C1810" i="7"/>
  <c r="B1810" i="7"/>
  <c r="A1810" i="7"/>
  <c r="F1809" i="7"/>
  <c r="E1809" i="7"/>
  <c r="D1809" i="7"/>
  <c r="C1809" i="7"/>
  <c r="B1809" i="7"/>
  <c r="A1809" i="7"/>
  <c r="F1808" i="7"/>
  <c r="E1808" i="7"/>
  <c r="D1808" i="7"/>
  <c r="C1808" i="7"/>
  <c r="B1808" i="7"/>
  <c r="A1808" i="7"/>
  <c r="F1807" i="7"/>
  <c r="E1807" i="7"/>
  <c r="D1807" i="7"/>
  <c r="C1807" i="7"/>
  <c r="B1807" i="7"/>
  <c r="A1807" i="7"/>
  <c r="F1806" i="7"/>
  <c r="E1806" i="7"/>
  <c r="D1806" i="7"/>
  <c r="C1806" i="7"/>
  <c r="B1806" i="7"/>
  <c r="A1806" i="7"/>
  <c r="F1805" i="7"/>
  <c r="E1805" i="7"/>
  <c r="D1805" i="7"/>
  <c r="C1805" i="7"/>
  <c r="B1805" i="7"/>
  <c r="A1805" i="7"/>
  <c r="F1804" i="7"/>
  <c r="E1804" i="7"/>
  <c r="D1804" i="7"/>
  <c r="C1804" i="7"/>
  <c r="B1804" i="7"/>
  <c r="A1804" i="7"/>
  <c r="F1803" i="7"/>
  <c r="E1803" i="7"/>
  <c r="D1803" i="7"/>
  <c r="C1803" i="7"/>
  <c r="B1803" i="7"/>
  <c r="A1803" i="7"/>
  <c r="F1802" i="7"/>
  <c r="E1802" i="7"/>
  <c r="D1802" i="7"/>
  <c r="C1802" i="7"/>
  <c r="B1802" i="7"/>
  <c r="A1802" i="7"/>
  <c r="F1801" i="7"/>
  <c r="E1801" i="7"/>
  <c r="D1801" i="7"/>
  <c r="C1801" i="7"/>
  <c r="B1801" i="7"/>
  <c r="A1801" i="7"/>
  <c r="F1800" i="7"/>
  <c r="E1800" i="7"/>
  <c r="D1800" i="7"/>
  <c r="C1800" i="7"/>
  <c r="B1800" i="7"/>
  <c r="A1800" i="7"/>
  <c r="F1799" i="7"/>
  <c r="E1799" i="7"/>
  <c r="D1799" i="7"/>
  <c r="C1799" i="7"/>
  <c r="B1799" i="7"/>
  <c r="A1799" i="7"/>
  <c r="F1798" i="7"/>
  <c r="E1798" i="7"/>
  <c r="D1798" i="7"/>
  <c r="C1798" i="7"/>
  <c r="B1798" i="7"/>
  <c r="A1798" i="7"/>
  <c r="F1797" i="7"/>
  <c r="E1797" i="7"/>
  <c r="D1797" i="7"/>
  <c r="C1797" i="7"/>
  <c r="B1797" i="7"/>
  <c r="A1797" i="7"/>
  <c r="F1796" i="7"/>
  <c r="E1796" i="7"/>
  <c r="D1796" i="7"/>
  <c r="C1796" i="7"/>
  <c r="B1796" i="7"/>
  <c r="A1796" i="7"/>
  <c r="F1795" i="7"/>
  <c r="E1795" i="7"/>
  <c r="D1795" i="7"/>
  <c r="C1795" i="7"/>
  <c r="B1795" i="7"/>
  <c r="A1795" i="7"/>
  <c r="F1794" i="7"/>
  <c r="E1794" i="7"/>
  <c r="D1794" i="7"/>
  <c r="C1794" i="7"/>
  <c r="B1794" i="7"/>
  <c r="A1794" i="7"/>
  <c r="F1793" i="7"/>
  <c r="E1793" i="7"/>
  <c r="D1793" i="7"/>
  <c r="C1793" i="7"/>
  <c r="B1793" i="7"/>
  <c r="A1793" i="7"/>
  <c r="F1792" i="7"/>
  <c r="E1792" i="7"/>
  <c r="D1792" i="7"/>
  <c r="C1792" i="7"/>
  <c r="B1792" i="7"/>
  <c r="A1792" i="7"/>
  <c r="F1791" i="7"/>
  <c r="E1791" i="7"/>
  <c r="D1791" i="7"/>
  <c r="C1791" i="7"/>
  <c r="B1791" i="7"/>
  <c r="A1791" i="7"/>
  <c r="F1790" i="7"/>
  <c r="E1790" i="7"/>
  <c r="D1790" i="7"/>
  <c r="C1790" i="7"/>
  <c r="B1790" i="7"/>
  <c r="A1790" i="7"/>
  <c r="F1789" i="7"/>
  <c r="E1789" i="7"/>
  <c r="D1789" i="7"/>
  <c r="C1789" i="7"/>
  <c r="B1789" i="7"/>
  <c r="A1789" i="7"/>
  <c r="F1788" i="7"/>
  <c r="E1788" i="7"/>
  <c r="D1788" i="7"/>
  <c r="C1788" i="7"/>
  <c r="B1788" i="7"/>
  <c r="A1788" i="7"/>
  <c r="F1787" i="7"/>
  <c r="E1787" i="7"/>
  <c r="D1787" i="7"/>
  <c r="C1787" i="7"/>
  <c r="B1787" i="7"/>
  <c r="A1787" i="7"/>
  <c r="F1786" i="7"/>
  <c r="E1786" i="7"/>
  <c r="D1786" i="7"/>
  <c r="C1786" i="7"/>
  <c r="B1786" i="7"/>
  <c r="A1786" i="7"/>
  <c r="F1785" i="7"/>
  <c r="E1785" i="7"/>
  <c r="D1785" i="7"/>
  <c r="C1785" i="7"/>
  <c r="B1785" i="7"/>
  <c r="A1785" i="7"/>
  <c r="F1784" i="7"/>
  <c r="E1784" i="7"/>
  <c r="D1784" i="7"/>
  <c r="C1784" i="7"/>
  <c r="B1784" i="7"/>
  <c r="A1784" i="7"/>
  <c r="F1783" i="7"/>
  <c r="E1783" i="7"/>
  <c r="D1783" i="7"/>
  <c r="C1783" i="7"/>
  <c r="B1783" i="7"/>
  <c r="A1783" i="7"/>
  <c r="F1782" i="7"/>
  <c r="E1782" i="7"/>
  <c r="D1782" i="7"/>
  <c r="C1782" i="7"/>
  <c r="B1782" i="7"/>
  <c r="A1782" i="7"/>
  <c r="F1781" i="7"/>
  <c r="E1781" i="7"/>
  <c r="D1781" i="7"/>
  <c r="C1781" i="7"/>
  <c r="B1781" i="7"/>
  <c r="A1781" i="7"/>
  <c r="F1780" i="7"/>
  <c r="E1780" i="7"/>
  <c r="D1780" i="7"/>
  <c r="C1780" i="7"/>
  <c r="B1780" i="7"/>
  <c r="A1780" i="7"/>
  <c r="F1779" i="7"/>
  <c r="E1779" i="7"/>
  <c r="D1779" i="7"/>
  <c r="C1779" i="7"/>
  <c r="B1779" i="7"/>
  <c r="A1779" i="7"/>
  <c r="F1778" i="7"/>
  <c r="E1778" i="7"/>
  <c r="D1778" i="7"/>
  <c r="C1778" i="7"/>
  <c r="B1778" i="7"/>
  <c r="A1778" i="7"/>
  <c r="F1777" i="7"/>
  <c r="E1777" i="7"/>
  <c r="D1777" i="7"/>
  <c r="C1777" i="7"/>
  <c r="B1777" i="7"/>
  <c r="A1777" i="7"/>
  <c r="F1776" i="7"/>
  <c r="E1776" i="7"/>
  <c r="D1776" i="7"/>
  <c r="C1776" i="7"/>
  <c r="B1776" i="7"/>
  <c r="A1776" i="7"/>
  <c r="F1775" i="7"/>
  <c r="E1775" i="7"/>
  <c r="D1775" i="7"/>
  <c r="C1775" i="7"/>
  <c r="B1775" i="7"/>
  <c r="A1775" i="7"/>
  <c r="F1774" i="7"/>
  <c r="E1774" i="7"/>
  <c r="D1774" i="7"/>
  <c r="C1774" i="7"/>
  <c r="B1774" i="7"/>
  <c r="A1774" i="7"/>
  <c r="F1773" i="7"/>
  <c r="E1773" i="7"/>
  <c r="D1773" i="7"/>
  <c r="C1773" i="7"/>
  <c r="B1773" i="7"/>
  <c r="A1773" i="7"/>
  <c r="F1772" i="7"/>
  <c r="E1772" i="7"/>
  <c r="D1772" i="7"/>
  <c r="C1772" i="7"/>
  <c r="B1772" i="7"/>
  <c r="A1772" i="7"/>
  <c r="F1771" i="7"/>
  <c r="E1771" i="7"/>
  <c r="D1771" i="7"/>
  <c r="C1771" i="7"/>
  <c r="B1771" i="7"/>
  <c r="A1771" i="7"/>
  <c r="F1770" i="7"/>
  <c r="E1770" i="7"/>
  <c r="D1770" i="7"/>
  <c r="C1770" i="7"/>
  <c r="B1770" i="7"/>
  <c r="A1770" i="7"/>
  <c r="F1769" i="7"/>
  <c r="E1769" i="7"/>
  <c r="D1769" i="7"/>
  <c r="C1769" i="7"/>
  <c r="B1769" i="7"/>
  <c r="A1769" i="7"/>
  <c r="F1768" i="7"/>
  <c r="E1768" i="7"/>
  <c r="D1768" i="7"/>
  <c r="C1768" i="7"/>
  <c r="B1768" i="7"/>
  <c r="A1768" i="7"/>
  <c r="F1767" i="7"/>
  <c r="E1767" i="7"/>
  <c r="D1767" i="7"/>
  <c r="C1767" i="7"/>
  <c r="B1767" i="7"/>
  <c r="A1767" i="7"/>
  <c r="F1766" i="7"/>
  <c r="E1766" i="7"/>
  <c r="D1766" i="7"/>
  <c r="C1766" i="7"/>
  <c r="B1766" i="7"/>
  <c r="A1766" i="7"/>
  <c r="F1765" i="7"/>
  <c r="E1765" i="7"/>
  <c r="D1765" i="7"/>
  <c r="C1765" i="7"/>
  <c r="B1765" i="7"/>
  <c r="A1765" i="7"/>
  <c r="F1764" i="7"/>
  <c r="E1764" i="7"/>
  <c r="D1764" i="7"/>
  <c r="C1764" i="7"/>
  <c r="B1764" i="7"/>
  <c r="A1764" i="7"/>
  <c r="F1763" i="7"/>
  <c r="E1763" i="7"/>
  <c r="D1763" i="7"/>
  <c r="C1763" i="7"/>
  <c r="B1763" i="7"/>
  <c r="A1763" i="7"/>
  <c r="F1762" i="7"/>
  <c r="E1762" i="7"/>
  <c r="D1762" i="7"/>
  <c r="C1762" i="7"/>
  <c r="B1762" i="7"/>
  <c r="A1762" i="7"/>
  <c r="F1761" i="7"/>
  <c r="E1761" i="7"/>
  <c r="D1761" i="7"/>
  <c r="C1761" i="7"/>
  <c r="B1761" i="7"/>
  <c r="A1761" i="7"/>
  <c r="F1760" i="7"/>
  <c r="E1760" i="7"/>
  <c r="D1760" i="7"/>
  <c r="C1760" i="7"/>
  <c r="B1760" i="7"/>
  <c r="A1760" i="7"/>
  <c r="F1759" i="7"/>
  <c r="E1759" i="7"/>
  <c r="D1759" i="7"/>
  <c r="C1759" i="7"/>
  <c r="B1759" i="7"/>
  <c r="A1759" i="7"/>
  <c r="F1758" i="7"/>
  <c r="E1758" i="7"/>
  <c r="D1758" i="7"/>
  <c r="C1758" i="7"/>
  <c r="B1758" i="7"/>
  <c r="A1758" i="7"/>
  <c r="F1757" i="7"/>
  <c r="E1757" i="7"/>
  <c r="D1757" i="7"/>
  <c r="C1757" i="7"/>
  <c r="B1757" i="7"/>
  <c r="A1757" i="7"/>
  <c r="F1756" i="7"/>
  <c r="E1756" i="7"/>
  <c r="D1756" i="7"/>
  <c r="C1756" i="7"/>
  <c r="B1756" i="7"/>
  <c r="A1756" i="7"/>
  <c r="F1755" i="7"/>
  <c r="E1755" i="7"/>
  <c r="D1755" i="7"/>
  <c r="C1755" i="7"/>
  <c r="B1755" i="7"/>
  <c r="A1755" i="7"/>
  <c r="F1754" i="7"/>
  <c r="E1754" i="7"/>
  <c r="D1754" i="7"/>
  <c r="C1754" i="7"/>
  <c r="B1754" i="7"/>
  <c r="A1754" i="7"/>
  <c r="F1753" i="7"/>
  <c r="E1753" i="7"/>
  <c r="D1753" i="7"/>
  <c r="C1753" i="7"/>
  <c r="B1753" i="7"/>
  <c r="A1753" i="7"/>
  <c r="F1752" i="7"/>
  <c r="E1752" i="7"/>
  <c r="D1752" i="7"/>
  <c r="C1752" i="7"/>
  <c r="B1752" i="7"/>
  <c r="A1752" i="7"/>
  <c r="F1751" i="7"/>
  <c r="E1751" i="7"/>
  <c r="D1751" i="7"/>
  <c r="C1751" i="7"/>
  <c r="B1751" i="7"/>
  <c r="A1751" i="7"/>
  <c r="F1750" i="7"/>
  <c r="E1750" i="7"/>
  <c r="D1750" i="7"/>
  <c r="C1750" i="7"/>
  <c r="B1750" i="7"/>
  <c r="A1750" i="7"/>
  <c r="F1749" i="7"/>
  <c r="E1749" i="7"/>
  <c r="D1749" i="7"/>
  <c r="C1749" i="7"/>
  <c r="B1749" i="7"/>
  <c r="A1749" i="7"/>
  <c r="F1748" i="7"/>
  <c r="E1748" i="7"/>
  <c r="D1748" i="7"/>
  <c r="C1748" i="7"/>
  <c r="B1748" i="7"/>
  <c r="A1748" i="7"/>
  <c r="F1747" i="7"/>
  <c r="E1747" i="7"/>
  <c r="D1747" i="7"/>
  <c r="C1747" i="7"/>
  <c r="B1747" i="7"/>
  <c r="A1747" i="7"/>
  <c r="F1746" i="7"/>
  <c r="E1746" i="7"/>
  <c r="D1746" i="7"/>
  <c r="C1746" i="7"/>
  <c r="B1746" i="7"/>
  <c r="A1746" i="7"/>
  <c r="F1745" i="7"/>
  <c r="E1745" i="7"/>
  <c r="D1745" i="7"/>
  <c r="C1745" i="7"/>
  <c r="B1745" i="7"/>
  <c r="A1745" i="7"/>
  <c r="F1744" i="7"/>
  <c r="E1744" i="7"/>
  <c r="D1744" i="7"/>
  <c r="C1744" i="7"/>
  <c r="B1744" i="7"/>
  <c r="A1744" i="7"/>
  <c r="F1743" i="7"/>
  <c r="E1743" i="7"/>
  <c r="D1743" i="7"/>
  <c r="C1743" i="7"/>
  <c r="B1743" i="7"/>
  <c r="A1743" i="7"/>
  <c r="F1742" i="7"/>
  <c r="E1742" i="7"/>
  <c r="D1742" i="7"/>
  <c r="C1742" i="7"/>
  <c r="B1742" i="7"/>
  <c r="A1742" i="7"/>
  <c r="F1741" i="7"/>
  <c r="E1741" i="7"/>
  <c r="D1741" i="7"/>
  <c r="C1741" i="7"/>
  <c r="B1741" i="7"/>
  <c r="A1741" i="7"/>
  <c r="F1740" i="7"/>
  <c r="E1740" i="7"/>
  <c r="D1740" i="7"/>
  <c r="C1740" i="7"/>
  <c r="B1740" i="7"/>
  <c r="A1740" i="7"/>
  <c r="F1739" i="7"/>
  <c r="E1739" i="7"/>
  <c r="D1739" i="7"/>
  <c r="C1739" i="7"/>
  <c r="B1739" i="7"/>
  <c r="A1739" i="7"/>
  <c r="F1738" i="7"/>
  <c r="E1738" i="7"/>
  <c r="D1738" i="7"/>
  <c r="C1738" i="7"/>
  <c r="B1738" i="7"/>
  <c r="A1738" i="7"/>
  <c r="F1737" i="7"/>
  <c r="E1737" i="7"/>
  <c r="D1737" i="7"/>
  <c r="C1737" i="7"/>
  <c r="B1737" i="7"/>
  <c r="A1737" i="7"/>
  <c r="F1736" i="7"/>
  <c r="E1736" i="7"/>
  <c r="D1736" i="7"/>
  <c r="C1736" i="7"/>
  <c r="B1736" i="7"/>
  <c r="A1736" i="7"/>
  <c r="F1735" i="7"/>
  <c r="E1735" i="7"/>
  <c r="D1735" i="7"/>
  <c r="C1735" i="7"/>
  <c r="B1735" i="7"/>
  <c r="A1735" i="7"/>
  <c r="F1734" i="7"/>
  <c r="E1734" i="7"/>
  <c r="D1734" i="7"/>
  <c r="C1734" i="7"/>
  <c r="B1734" i="7"/>
  <c r="A1734" i="7"/>
  <c r="F1733" i="7"/>
  <c r="E1733" i="7"/>
  <c r="D1733" i="7"/>
  <c r="C1733" i="7"/>
  <c r="B1733" i="7"/>
  <c r="A1733" i="7"/>
  <c r="F1732" i="7"/>
  <c r="E1732" i="7"/>
  <c r="D1732" i="7"/>
  <c r="C1732" i="7"/>
  <c r="B1732" i="7"/>
  <c r="A1732" i="7"/>
  <c r="F1731" i="7"/>
  <c r="E1731" i="7"/>
  <c r="D1731" i="7"/>
  <c r="C1731" i="7"/>
  <c r="B1731" i="7"/>
  <c r="A1731" i="7"/>
  <c r="F1730" i="7"/>
  <c r="E1730" i="7"/>
  <c r="D1730" i="7"/>
  <c r="C1730" i="7"/>
  <c r="B1730" i="7"/>
  <c r="A1730" i="7"/>
  <c r="F1729" i="7"/>
  <c r="E1729" i="7"/>
  <c r="D1729" i="7"/>
  <c r="C1729" i="7"/>
  <c r="B1729" i="7"/>
  <c r="A1729" i="7"/>
  <c r="F1728" i="7"/>
  <c r="E1728" i="7"/>
  <c r="D1728" i="7"/>
  <c r="C1728" i="7"/>
  <c r="B1728" i="7"/>
  <c r="A1728" i="7"/>
  <c r="F1727" i="7"/>
  <c r="E1727" i="7"/>
  <c r="D1727" i="7"/>
  <c r="C1727" i="7"/>
  <c r="B1727" i="7"/>
  <c r="A1727" i="7"/>
  <c r="F1726" i="7"/>
  <c r="E1726" i="7"/>
  <c r="D1726" i="7"/>
  <c r="C1726" i="7"/>
  <c r="B1726" i="7"/>
  <c r="A1726" i="7"/>
  <c r="F1725" i="7"/>
  <c r="E1725" i="7"/>
  <c r="D1725" i="7"/>
  <c r="C1725" i="7"/>
  <c r="B1725" i="7"/>
  <c r="A1725" i="7"/>
  <c r="F1724" i="7"/>
  <c r="E1724" i="7"/>
  <c r="D1724" i="7"/>
  <c r="C1724" i="7"/>
  <c r="B1724" i="7"/>
  <c r="A1724" i="7"/>
  <c r="F1723" i="7"/>
  <c r="E1723" i="7"/>
  <c r="D1723" i="7"/>
  <c r="C1723" i="7"/>
  <c r="B1723" i="7"/>
  <c r="A1723" i="7"/>
  <c r="F1722" i="7"/>
  <c r="E1722" i="7"/>
  <c r="D1722" i="7"/>
  <c r="C1722" i="7"/>
  <c r="B1722" i="7"/>
  <c r="A1722" i="7"/>
  <c r="F1721" i="7"/>
  <c r="E1721" i="7"/>
  <c r="D1721" i="7"/>
  <c r="C1721" i="7"/>
  <c r="B1721" i="7"/>
  <c r="A1721" i="7"/>
  <c r="F1720" i="7"/>
  <c r="E1720" i="7"/>
  <c r="D1720" i="7"/>
  <c r="C1720" i="7"/>
  <c r="B1720" i="7"/>
  <c r="A1720" i="7"/>
  <c r="F1719" i="7"/>
  <c r="E1719" i="7"/>
  <c r="D1719" i="7"/>
  <c r="C1719" i="7"/>
  <c r="B1719" i="7"/>
  <c r="A1719" i="7"/>
  <c r="F1718" i="7"/>
  <c r="E1718" i="7"/>
  <c r="D1718" i="7"/>
  <c r="C1718" i="7"/>
  <c r="B1718" i="7"/>
  <c r="A1718" i="7"/>
  <c r="F1717" i="7"/>
  <c r="E1717" i="7"/>
  <c r="D1717" i="7"/>
  <c r="C1717" i="7"/>
  <c r="B1717" i="7"/>
  <c r="A1717" i="7"/>
  <c r="F1716" i="7"/>
  <c r="E1716" i="7"/>
  <c r="D1716" i="7"/>
  <c r="C1716" i="7"/>
  <c r="B1716" i="7"/>
  <c r="A1716" i="7"/>
  <c r="F1715" i="7"/>
  <c r="E1715" i="7"/>
  <c r="D1715" i="7"/>
  <c r="C1715" i="7"/>
  <c r="B1715" i="7"/>
  <c r="A1715" i="7"/>
  <c r="F1714" i="7"/>
  <c r="E1714" i="7"/>
  <c r="D1714" i="7"/>
  <c r="C1714" i="7"/>
  <c r="B1714" i="7"/>
  <c r="A1714" i="7"/>
  <c r="F1713" i="7"/>
  <c r="E1713" i="7"/>
  <c r="D1713" i="7"/>
  <c r="C1713" i="7"/>
  <c r="B1713" i="7"/>
  <c r="A1713" i="7"/>
  <c r="F1712" i="7"/>
  <c r="E1712" i="7"/>
  <c r="D1712" i="7"/>
  <c r="C1712" i="7"/>
  <c r="B1712" i="7"/>
  <c r="A1712" i="7"/>
  <c r="F1711" i="7"/>
  <c r="E1711" i="7"/>
  <c r="D1711" i="7"/>
  <c r="C1711" i="7"/>
  <c r="B1711" i="7"/>
  <c r="A1711" i="7"/>
  <c r="F1710" i="7"/>
  <c r="E1710" i="7"/>
  <c r="D1710" i="7"/>
  <c r="C1710" i="7"/>
  <c r="B1710" i="7"/>
  <c r="A1710" i="7"/>
  <c r="F1709" i="7"/>
  <c r="E1709" i="7"/>
  <c r="D1709" i="7"/>
  <c r="C1709" i="7"/>
  <c r="B1709" i="7"/>
  <c r="A1709" i="7"/>
  <c r="F1708" i="7"/>
  <c r="E1708" i="7"/>
  <c r="D1708" i="7"/>
  <c r="C1708" i="7"/>
  <c r="B1708" i="7"/>
  <c r="A1708" i="7"/>
  <c r="F1707" i="7"/>
  <c r="E1707" i="7"/>
  <c r="D1707" i="7"/>
  <c r="C1707" i="7"/>
  <c r="B1707" i="7"/>
  <c r="A1707" i="7"/>
  <c r="F1706" i="7"/>
  <c r="E1706" i="7"/>
  <c r="D1706" i="7"/>
  <c r="C1706" i="7"/>
  <c r="B1706" i="7"/>
  <c r="A1706" i="7"/>
  <c r="F1705" i="7"/>
  <c r="E1705" i="7"/>
  <c r="D1705" i="7"/>
  <c r="C1705" i="7"/>
  <c r="B1705" i="7"/>
  <c r="A1705" i="7"/>
  <c r="F1704" i="7"/>
  <c r="E1704" i="7"/>
  <c r="D1704" i="7"/>
  <c r="C1704" i="7"/>
  <c r="B1704" i="7"/>
  <c r="A1704" i="7"/>
  <c r="F1703" i="7"/>
  <c r="E1703" i="7"/>
  <c r="D1703" i="7"/>
  <c r="C1703" i="7"/>
  <c r="B1703" i="7"/>
  <c r="A1703" i="7"/>
  <c r="F1702" i="7"/>
  <c r="E1702" i="7"/>
  <c r="D1702" i="7"/>
  <c r="C1702" i="7"/>
  <c r="B1702" i="7"/>
  <c r="A1702" i="7"/>
  <c r="F1701" i="7"/>
  <c r="E1701" i="7"/>
  <c r="D1701" i="7"/>
  <c r="C1701" i="7"/>
  <c r="B1701" i="7"/>
  <c r="A1701" i="7"/>
  <c r="F1700" i="7"/>
  <c r="E1700" i="7"/>
  <c r="D1700" i="7"/>
  <c r="C1700" i="7"/>
  <c r="B1700" i="7"/>
  <c r="A1700" i="7"/>
  <c r="F1699" i="7"/>
  <c r="E1699" i="7"/>
  <c r="D1699" i="7"/>
  <c r="C1699" i="7"/>
  <c r="B1699" i="7"/>
  <c r="A1699" i="7"/>
  <c r="F1698" i="7"/>
  <c r="E1698" i="7"/>
  <c r="D1698" i="7"/>
  <c r="C1698" i="7"/>
  <c r="B1698" i="7"/>
  <c r="A1698" i="7"/>
  <c r="F1697" i="7"/>
  <c r="E1697" i="7"/>
  <c r="D1697" i="7"/>
  <c r="C1697" i="7"/>
  <c r="B1697" i="7"/>
  <c r="A1697" i="7"/>
  <c r="F1696" i="7"/>
  <c r="E1696" i="7"/>
  <c r="D1696" i="7"/>
  <c r="C1696" i="7"/>
  <c r="B1696" i="7"/>
  <c r="A1696" i="7"/>
  <c r="F1695" i="7"/>
  <c r="E1695" i="7"/>
  <c r="D1695" i="7"/>
  <c r="C1695" i="7"/>
  <c r="B1695" i="7"/>
  <c r="A1695" i="7"/>
  <c r="F1694" i="7"/>
  <c r="E1694" i="7"/>
  <c r="D1694" i="7"/>
  <c r="C1694" i="7"/>
  <c r="B1694" i="7"/>
  <c r="A1694" i="7"/>
  <c r="F1693" i="7"/>
  <c r="E1693" i="7"/>
  <c r="D1693" i="7"/>
  <c r="C1693" i="7"/>
  <c r="B1693" i="7"/>
  <c r="A1693" i="7"/>
  <c r="F1692" i="7"/>
  <c r="E1692" i="7"/>
  <c r="D1692" i="7"/>
  <c r="C1692" i="7"/>
  <c r="B1692" i="7"/>
  <c r="A1692" i="7"/>
  <c r="F1691" i="7"/>
  <c r="E1691" i="7"/>
  <c r="D1691" i="7"/>
  <c r="C1691" i="7"/>
  <c r="B1691" i="7"/>
  <c r="A1691" i="7"/>
  <c r="F1690" i="7"/>
  <c r="E1690" i="7"/>
  <c r="D1690" i="7"/>
  <c r="C1690" i="7"/>
  <c r="B1690" i="7"/>
  <c r="A1690" i="7"/>
  <c r="F1689" i="7"/>
  <c r="E1689" i="7"/>
  <c r="D1689" i="7"/>
  <c r="C1689" i="7"/>
  <c r="B1689" i="7"/>
  <c r="A1689" i="7"/>
  <c r="F1688" i="7"/>
  <c r="E1688" i="7"/>
  <c r="D1688" i="7"/>
  <c r="C1688" i="7"/>
  <c r="B1688" i="7"/>
  <c r="A1688" i="7"/>
  <c r="F1687" i="7"/>
  <c r="E1687" i="7"/>
  <c r="D1687" i="7"/>
  <c r="C1687" i="7"/>
  <c r="B1687" i="7"/>
  <c r="A1687" i="7"/>
  <c r="F1686" i="7"/>
  <c r="E1686" i="7"/>
  <c r="D1686" i="7"/>
  <c r="C1686" i="7"/>
  <c r="B1686" i="7"/>
  <c r="A1686" i="7"/>
  <c r="F1685" i="7"/>
  <c r="E1685" i="7"/>
  <c r="D1685" i="7"/>
  <c r="C1685" i="7"/>
  <c r="B1685" i="7"/>
  <c r="A1685" i="7"/>
  <c r="F1684" i="7"/>
  <c r="E1684" i="7"/>
  <c r="D1684" i="7"/>
  <c r="C1684" i="7"/>
  <c r="B1684" i="7"/>
  <c r="A1684" i="7"/>
  <c r="F1683" i="7"/>
  <c r="E1683" i="7"/>
  <c r="D1683" i="7"/>
  <c r="C1683" i="7"/>
  <c r="B1683" i="7"/>
  <c r="A1683" i="7"/>
  <c r="F1682" i="7"/>
  <c r="E1682" i="7"/>
  <c r="D1682" i="7"/>
  <c r="C1682" i="7"/>
  <c r="B1682" i="7"/>
  <c r="A1682" i="7"/>
  <c r="F1681" i="7"/>
  <c r="E1681" i="7"/>
  <c r="D1681" i="7"/>
  <c r="C1681" i="7"/>
  <c r="B1681" i="7"/>
  <c r="A1681" i="7"/>
  <c r="F1680" i="7"/>
  <c r="E1680" i="7"/>
  <c r="D1680" i="7"/>
  <c r="C1680" i="7"/>
  <c r="B1680" i="7"/>
  <c r="A1680" i="7"/>
  <c r="F1679" i="7"/>
  <c r="E1679" i="7"/>
  <c r="D1679" i="7"/>
  <c r="C1679" i="7"/>
  <c r="B1679" i="7"/>
  <c r="A1679" i="7"/>
  <c r="F1678" i="7"/>
  <c r="E1678" i="7"/>
  <c r="D1678" i="7"/>
  <c r="C1678" i="7"/>
  <c r="B1678" i="7"/>
  <c r="A1678" i="7"/>
  <c r="F1677" i="7"/>
  <c r="E1677" i="7"/>
  <c r="D1677" i="7"/>
  <c r="C1677" i="7"/>
  <c r="B1677" i="7"/>
  <c r="A1677" i="7"/>
  <c r="F1676" i="7"/>
  <c r="E1676" i="7"/>
  <c r="D1676" i="7"/>
  <c r="C1676" i="7"/>
  <c r="B1676" i="7"/>
  <c r="A1676" i="7"/>
  <c r="F1675" i="7"/>
  <c r="E1675" i="7"/>
  <c r="D1675" i="7"/>
  <c r="C1675" i="7"/>
  <c r="B1675" i="7"/>
  <c r="A1675" i="7"/>
  <c r="F1674" i="7"/>
  <c r="E1674" i="7"/>
  <c r="D1674" i="7"/>
  <c r="C1674" i="7"/>
  <c r="B1674" i="7"/>
  <c r="A1674" i="7"/>
  <c r="F1673" i="7"/>
  <c r="E1673" i="7"/>
  <c r="D1673" i="7"/>
  <c r="C1673" i="7"/>
  <c r="B1673" i="7"/>
  <c r="A1673" i="7"/>
  <c r="F1672" i="7"/>
  <c r="E1672" i="7"/>
  <c r="D1672" i="7"/>
  <c r="C1672" i="7"/>
  <c r="B1672" i="7"/>
  <c r="A1672" i="7"/>
  <c r="F1671" i="7"/>
  <c r="E1671" i="7"/>
  <c r="D1671" i="7"/>
  <c r="C1671" i="7"/>
  <c r="B1671" i="7"/>
  <c r="A1671" i="7"/>
  <c r="F1670" i="7"/>
  <c r="E1670" i="7"/>
  <c r="D1670" i="7"/>
  <c r="C1670" i="7"/>
  <c r="B1670" i="7"/>
  <c r="A1670" i="7"/>
  <c r="F1669" i="7"/>
  <c r="E1669" i="7"/>
  <c r="D1669" i="7"/>
  <c r="C1669" i="7"/>
  <c r="B1669" i="7"/>
  <c r="A1669" i="7"/>
  <c r="F1668" i="7"/>
  <c r="E1668" i="7"/>
  <c r="D1668" i="7"/>
  <c r="C1668" i="7"/>
  <c r="B1668" i="7"/>
  <c r="A1668" i="7"/>
  <c r="F1667" i="7"/>
  <c r="E1667" i="7"/>
  <c r="D1667" i="7"/>
  <c r="C1667" i="7"/>
  <c r="B1667" i="7"/>
  <c r="A1667" i="7"/>
  <c r="F1666" i="7"/>
  <c r="E1666" i="7"/>
  <c r="D1666" i="7"/>
  <c r="C1666" i="7"/>
  <c r="B1666" i="7"/>
  <c r="A1666" i="7"/>
  <c r="F1665" i="7"/>
  <c r="E1665" i="7"/>
  <c r="D1665" i="7"/>
  <c r="C1665" i="7"/>
  <c r="B1665" i="7"/>
  <c r="A1665" i="7"/>
  <c r="F1664" i="7"/>
  <c r="E1664" i="7"/>
  <c r="D1664" i="7"/>
  <c r="C1664" i="7"/>
  <c r="B1664" i="7"/>
  <c r="A1664" i="7"/>
  <c r="F1663" i="7"/>
  <c r="E1663" i="7"/>
  <c r="D1663" i="7"/>
  <c r="C1663" i="7"/>
  <c r="B1663" i="7"/>
  <c r="A1663" i="7"/>
  <c r="F1662" i="7"/>
  <c r="E1662" i="7"/>
  <c r="D1662" i="7"/>
  <c r="C1662" i="7"/>
  <c r="B1662" i="7"/>
  <c r="A1662" i="7"/>
  <c r="F1661" i="7"/>
  <c r="E1661" i="7"/>
  <c r="D1661" i="7"/>
  <c r="C1661" i="7"/>
  <c r="B1661" i="7"/>
  <c r="A1661" i="7"/>
  <c r="F1660" i="7"/>
  <c r="E1660" i="7"/>
  <c r="D1660" i="7"/>
  <c r="C1660" i="7"/>
  <c r="B1660" i="7"/>
  <c r="A1660" i="7"/>
  <c r="F1659" i="7"/>
  <c r="E1659" i="7"/>
  <c r="D1659" i="7"/>
  <c r="C1659" i="7"/>
  <c r="B1659" i="7"/>
  <c r="A1659" i="7"/>
  <c r="F1658" i="7"/>
  <c r="E1658" i="7"/>
  <c r="D1658" i="7"/>
  <c r="C1658" i="7"/>
  <c r="B1658" i="7"/>
  <c r="A1658" i="7"/>
  <c r="F1657" i="7"/>
  <c r="E1657" i="7"/>
  <c r="D1657" i="7"/>
  <c r="C1657" i="7"/>
  <c r="B1657" i="7"/>
  <c r="A1657" i="7"/>
  <c r="F1656" i="7"/>
  <c r="E1656" i="7"/>
  <c r="D1656" i="7"/>
  <c r="C1656" i="7"/>
  <c r="B1656" i="7"/>
  <c r="A1656" i="7"/>
  <c r="F1655" i="7"/>
  <c r="E1655" i="7"/>
  <c r="D1655" i="7"/>
  <c r="C1655" i="7"/>
  <c r="B1655" i="7"/>
  <c r="A1655" i="7"/>
  <c r="F1654" i="7"/>
  <c r="E1654" i="7"/>
  <c r="D1654" i="7"/>
  <c r="C1654" i="7"/>
  <c r="B1654" i="7"/>
  <c r="A1654" i="7"/>
  <c r="F1653" i="7"/>
  <c r="E1653" i="7"/>
  <c r="D1653" i="7"/>
  <c r="C1653" i="7"/>
  <c r="B1653" i="7"/>
  <c r="A1653" i="7"/>
  <c r="F1652" i="7"/>
  <c r="E1652" i="7"/>
  <c r="D1652" i="7"/>
  <c r="C1652" i="7"/>
  <c r="B1652" i="7"/>
  <c r="A1652" i="7"/>
  <c r="F1651" i="7"/>
  <c r="E1651" i="7"/>
  <c r="D1651" i="7"/>
  <c r="C1651" i="7"/>
  <c r="B1651" i="7"/>
  <c r="A1651" i="7"/>
  <c r="F1650" i="7"/>
  <c r="E1650" i="7"/>
  <c r="D1650" i="7"/>
  <c r="C1650" i="7"/>
  <c r="B1650" i="7"/>
  <c r="A1650" i="7"/>
  <c r="F1649" i="7"/>
  <c r="E1649" i="7"/>
  <c r="D1649" i="7"/>
  <c r="C1649" i="7"/>
  <c r="B1649" i="7"/>
  <c r="A1649" i="7"/>
  <c r="F1648" i="7"/>
  <c r="E1648" i="7"/>
  <c r="D1648" i="7"/>
  <c r="C1648" i="7"/>
  <c r="B1648" i="7"/>
  <c r="A1648" i="7"/>
  <c r="F1647" i="7"/>
  <c r="E1647" i="7"/>
  <c r="D1647" i="7"/>
  <c r="C1647" i="7"/>
  <c r="B1647" i="7"/>
  <c r="A1647" i="7"/>
  <c r="F1646" i="7"/>
  <c r="E1646" i="7"/>
  <c r="D1646" i="7"/>
  <c r="C1646" i="7"/>
  <c r="B1646" i="7"/>
  <c r="A1646" i="7"/>
  <c r="F1645" i="7"/>
  <c r="E1645" i="7"/>
  <c r="D1645" i="7"/>
  <c r="C1645" i="7"/>
  <c r="B1645" i="7"/>
  <c r="A1645" i="7"/>
  <c r="F1644" i="7"/>
  <c r="E1644" i="7"/>
  <c r="D1644" i="7"/>
  <c r="C1644" i="7"/>
  <c r="B1644" i="7"/>
  <c r="A1644" i="7"/>
  <c r="F1643" i="7"/>
  <c r="E1643" i="7"/>
  <c r="D1643" i="7"/>
  <c r="C1643" i="7"/>
  <c r="B1643" i="7"/>
  <c r="A1643" i="7"/>
  <c r="F1642" i="7"/>
  <c r="E1642" i="7"/>
  <c r="D1642" i="7"/>
  <c r="C1642" i="7"/>
  <c r="B1642" i="7"/>
  <c r="A1642" i="7"/>
  <c r="F1641" i="7"/>
  <c r="E1641" i="7"/>
  <c r="D1641" i="7"/>
  <c r="C1641" i="7"/>
  <c r="B1641" i="7"/>
  <c r="A1641" i="7"/>
  <c r="F1640" i="7"/>
  <c r="E1640" i="7"/>
  <c r="D1640" i="7"/>
  <c r="C1640" i="7"/>
  <c r="B1640" i="7"/>
  <c r="A1640" i="7"/>
  <c r="F1639" i="7"/>
  <c r="E1639" i="7"/>
  <c r="D1639" i="7"/>
  <c r="C1639" i="7"/>
  <c r="B1639" i="7"/>
  <c r="A1639" i="7"/>
  <c r="F1638" i="7"/>
  <c r="E1638" i="7"/>
  <c r="D1638" i="7"/>
  <c r="C1638" i="7"/>
  <c r="B1638" i="7"/>
  <c r="A1638" i="7"/>
  <c r="F1637" i="7"/>
  <c r="E1637" i="7"/>
  <c r="D1637" i="7"/>
  <c r="C1637" i="7"/>
  <c r="B1637" i="7"/>
  <c r="A1637" i="7"/>
  <c r="F1636" i="7"/>
  <c r="E1636" i="7"/>
  <c r="D1636" i="7"/>
  <c r="C1636" i="7"/>
  <c r="B1636" i="7"/>
  <c r="A1636" i="7"/>
  <c r="F1635" i="7"/>
  <c r="E1635" i="7"/>
  <c r="D1635" i="7"/>
  <c r="C1635" i="7"/>
  <c r="B1635" i="7"/>
  <c r="A1635" i="7"/>
  <c r="F1634" i="7"/>
  <c r="E1634" i="7"/>
  <c r="D1634" i="7"/>
  <c r="C1634" i="7"/>
  <c r="B1634" i="7"/>
  <c r="A1634" i="7"/>
  <c r="F1633" i="7"/>
  <c r="E1633" i="7"/>
  <c r="D1633" i="7"/>
  <c r="C1633" i="7"/>
  <c r="B1633" i="7"/>
  <c r="A1633" i="7"/>
  <c r="F1632" i="7"/>
  <c r="E1632" i="7"/>
  <c r="D1632" i="7"/>
  <c r="C1632" i="7"/>
  <c r="B1632" i="7"/>
  <c r="A1632" i="7"/>
  <c r="F1631" i="7"/>
  <c r="E1631" i="7"/>
  <c r="D1631" i="7"/>
  <c r="C1631" i="7"/>
  <c r="B1631" i="7"/>
  <c r="A1631" i="7"/>
  <c r="F1630" i="7"/>
  <c r="E1630" i="7"/>
  <c r="D1630" i="7"/>
  <c r="C1630" i="7"/>
  <c r="B1630" i="7"/>
  <c r="A1630" i="7"/>
  <c r="F1629" i="7"/>
  <c r="E1629" i="7"/>
  <c r="D1629" i="7"/>
  <c r="C1629" i="7"/>
  <c r="B1629" i="7"/>
  <c r="A1629" i="7"/>
  <c r="F1628" i="7"/>
  <c r="E1628" i="7"/>
  <c r="D1628" i="7"/>
  <c r="C1628" i="7"/>
  <c r="B1628" i="7"/>
  <c r="A1628" i="7"/>
  <c r="F1627" i="7"/>
  <c r="E1627" i="7"/>
  <c r="D1627" i="7"/>
  <c r="C1627" i="7"/>
  <c r="B1627" i="7"/>
  <c r="A1627" i="7"/>
  <c r="F1626" i="7"/>
  <c r="E1626" i="7"/>
  <c r="D1626" i="7"/>
  <c r="C1626" i="7"/>
  <c r="B1626" i="7"/>
  <c r="A1626" i="7"/>
  <c r="F1625" i="7"/>
  <c r="E1625" i="7"/>
  <c r="D1625" i="7"/>
  <c r="C1625" i="7"/>
  <c r="B1625" i="7"/>
  <c r="A1625" i="7"/>
  <c r="F1624" i="7"/>
  <c r="E1624" i="7"/>
  <c r="D1624" i="7"/>
  <c r="C1624" i="7"/>
  <c r="B1624" i="7"/>
  <c r="A1624" i="7"/>
  <c r="F1623" i="7"/>
  <c r="E1623" i="7"/>
  <c r="D1623" i="7"/>
  <c r="C1623" i="7"/>
  <c r="B1623" i="7"/>
  <c r="A1623" i="7"/>
  <c r="F1622" i="7"/>
  <c r="E1622" i="7"/>
  <c r="D1622" i="7"/>
  <c r="C1622" i="7"/>
  <c r="B1622" i="7"/>
  <c r="A1622" i="7"/>
  <c r="F1621" i="7"/>
  <c r="E1621" i="7"/>
  <c r="D1621" i="7"/>
  <c r="C1621" i="7"/>
  <c r="B1621" i="7"/>
  <c r="A1621" i="7"/>
  <c r="F1620" i="7"/>
  <c r="E1620" i="7"/>
  <c r="D1620" i="7"/>
  <c r="C1620" i="7"/>
  <c r="B1620" i="7"/>
  <c r="A1620" i="7"/>
  <c r="F1619" i="7"/>
  <c r="E1619" i="7"/>
  <c r="D1619" i="7"/>
  <c r="C1619" i="7"/>
  <c r="B1619" i="7"/>
  <c r="A1619" i="7"/>
  <c r="F1618" i="7"/>
  <c r="E1618" i="7"/>
  <c r="D1618" i="7"/>
  <c r="C1618" i="7"/>
  <c r="B1618" i="7"/>
  <c r="A1618" i="7"/>
  <c r="F1617" i="7"/>
  <c r="E1617" i="7"/>
  <c r="D1617" i="7"/>
  <c r="C1617" i="7"/>
  <c r="B1617" i="7"/>
  <c r="A1617" i="7"/>
  <c r="F1616" i="7"/>
  <c r="E1616" i="7"/>
  <c r="D1616" i="7"/>
  <c r="C1616" i="7"/>
  <c r="B1616" i="7"/>
  <c r="A1616" i="7"/>
  <c r="F1615" i="7"/>
  <c r="E1615" i="7"/>
  <c r="D1615" i="7"/>
  <c r="C1615" i="7"/>
  <c r="B1615" i="7"/>
  <c r="A1615" i="7"/>
  <c r="F1614" i="7"/>
  <c r="E1614" i="7"/>
  <c r="D1614" i="7"/>
  <c r="C1614" i="7"/>
  <c r="B1614" i="7"/>
  <c r="A1614" i="7"/>
  <c r="F1613" i="7"/>
  <c r="E1613" i="7"/>
  <c r="D1613" i="7"/>
  <c r="C1613" i="7"/>
  <c r="B1613" i="7"/>
  <c r="A1613" i="7"/>
  <c r="F1612" i="7"/>
  <c r="E1612" i="7"/>
  <c r="D1612" i="7"/>
  <c r="C1612" i="7"/>
  <c r="B1612" i="7"/>
  <c r="A1612" i="7"/>
  <c r="F1611" i="7"/>
  <c r="E1611" i="7"/>
  <c r="D1611" i="7"/>
  <c r="C1611" i="7"/>
  <c r="B1611" i="7"/>
  <c r="A1611" i="7"/>
  <c r="F1610" i="7"/>
  <c r="E1610" i="7"/>
  <c r="D1610" i="7"/>
  <c r="C1610" i="7"/>
  <c r="B1610" i="7"/>
  <c r="A1610" i="7"/>
  <c r="F1609" i="7"/>
  <c r="E1609" i="7"/>
  <c r="D1609" i="7"/>
  <c r="C1609" i="7"/>
  <c r="B1609" i="7"/>
  <c r="A1609" i="7"/>
  <c r="F1608" i="7"/>
  <c r="E1608" i="7"/>
  <c r="D1608" i="7"/>
  <c r="C1608" i="7"/>
  <c r="B1608" i="7"/>
  <c r="A1608" i="7"/>
  <c r="F1607" i="7"/>
  <c r="E1607" i="7"/>
  <c r="D1607" i="7"/>
  <c r="C1607" i="7"/>
  <c r="B1607" i="7"/>
  <c r="A1607" i="7"/>
  <c r="F1606" i="7"/>
  <c r="E1606" i="7"/>
  <c r="D1606" i="7"/>
  <c r="C1606" i="7"/>
  <c r="B1606" i="7"/>
  <c r="A1606" i="7"/>
  <c r="F1605" i="7"/>
  <c r="E1605" i="7"/>
  <c r="D1605" i="7"/>
  <c r="C1605" i="7"/>
  <c r="B1605" i="7"/>
  <c r="A1605" i="7"/>
  <c r="F1604" i="7"/>
  <c r="E1604" i="7"/>
  <c r="D1604" i="7"/>
  <c r="C1604" i="7"/>
  <c r="B1604" i="7"/>
  <c r="A1604" i="7"/>
  <c r="F1603" i="7"/>
  <c r="E1603" i="7"/>
  <c r="D1603" i="7"/>
  <c r="C1603" i="7"/>
  <c r="B1603" i="7"/>
  <c r="A1603" i="7"/>
  <c r="F1602" i="7"/>
  <c r="E1602" i="7"/>
  <c r="D1602" i="7"/>
  <c r="C1602" i="7"/>
  <c r="B1602" i="7"/>
  <c r="A1602" i="7"/>
  <c r="F1601" i="7"/>
  <c r="E1601" i="7"/>
  <c r="D1601" i="7"/>
  <c r="C1601" i="7"/>
  <c r="B1601" i="7"/>
  <c r="A1601" i="7"/>
  <c r="F1600" i="7"/>
  <c r="E1600" i="7"/>
  <c r="D1600" i="7"/>
  <c r="C1600" i="7"/>
  <c r="B1600" i="7"/>
  <c r="A1600" i="7"/>
  <c r="F1599" i="7"/>
  <c r="E1599" i="7"/>
  <c r="D1599" i="7"/>
  <c r="C1599" i="7"/>
  <c r="B1599" i="7"/>
  <c r="A1599" i="7"/>
  <c r="F1598" i="7"/>
  <c r="E1598" i="7"/>
  <c r="D1598" i="7"/>
  <c r="C1598" i="7"/>
  <c r="B1598" i="7"/>
  <c r="A1598" i="7"/>
  <c r="F1597" i="7"/>
  <c r="E1597" i="7"/>
  <c r="D1597" i="7"/>
  <c r="C1597" i="7"/>
  <c r="B1597" i="7"/>
  <c r="A1597" i="7"/>
  <c r="F1596" i="7"/>
  <c r="E1596" i="7"/>
  <c r="D1596" i="7"/>
  <c r="C1596" i="7"/>
  <c r="B1596" i="7"/>
  <c r="A1596" i="7"/>
  <c r="F1595" i="7"/>
  <c r="E1595" i="7"/>
  <c r="D1595" i="7"/>
  <c r="C1595" i="7"/>
  <c r="B1595" i="7"/>
  <c r="A1595" i="7"/>
  <c r="F1594" i="7"/>
  <c r="E1594" i="7"/>
  <c r="D1594" i="7"/>
  <c r="C1594" i="7"/>
  <c r="B1594" i="7"/>
  <c r="A1594" i="7"/>
  <c r="F1593" i="7"/>
  <c r="E1593" i="7"/>
  <c r="D1593" i="7"/>
  <c r="C1593" i="7"/>
  <c r="B1593" i="7"/>
  <c r="A1593" i="7"/>
  <c r="F1592" i="7"/>
  <c r="E1592" i="7"/>
  <c r="D1592" i="7"/>
  <c r="C1592" i="7"/>
  <c r="B1592" i="7"/>
  <c r="A1592" i="7"/>
  <c r="F1591" i="7"/>
  <c r="E1591" i="7"/>
  <c r="D1591" i="7"/>
  <c r="C1591" i="7"/>
  <c r="B1591" i="7"/>
  <c r="A1591" i="7"/>
  <c r="F1590" i="7"/>
  <c r="E1590" i="7"/>
  <c r="D1590" i="7"/>
  <c r="C1590" i="7"/>
  <c r="B1590" i="7"/>
  <c r="A1590" i="7"/>
  <c r="F1589" i="7"/>
  <c r="E1589" i="7"/>
  <c r="D1589" i="7"/>
  <c r="C1589" i="7"/>
  <c r="B1589" i="7"/>
  <c r="A1589" i="7"/>
  <c r="F1588" i="7"/>
  <c r="E1588" i="7"/>
  <c r="D1588" i="7"/>
  <c r="C1588" i="7"/>
  <c r="B1588" i="7"/>
  <c r="A1588" i="7"/>
  <c r="F1587" i="7"/>
  <c r="E1587" i="7"/>
  <c r="D1587" i="7"/>
  <c r="C1587" i="7"/>
  <c r="B1587" i="7"/>
  <c r="A1587" i="7"/>
  <c r="F1586" i="7"/>
  <c r="E1586" i="7"/>
  <c r="D1586" i="7"/>
  <c r="C1586" i="7"/>
  <c r="B1586" i="7"/>
  <c r="A1586" i="7"/>
  <c r="F1585" i="7"/>
  <c r="E1585" i="7"/>
  <c r="D1585" i="7"/>
  <c r="C1585" i="7"/>
  <c r="B1585" i="7"/>
  <c r="A1585" i="7"/>
  <c r="F1584" i="7"/>
  <c r="E1584" i="7"/>
  <c r="D1584" i="7"/>
  <c r="C1584" i="7"/>
  <c r="B1584" i="7"/>
  <c r="A1584" i="7"/>
  <c r="F1583" i="7"/>
  <c r="E1583" i="7"/>
  <c r="D1583" i="7"/>
  <c r="C1583" i="7"/>
  <c r="B1583" i="7"/>
  <c r="A1583" i="7"/>
  <c r="F1582" i="7"/>
  <c r="E1582" i="7"/>
  <c r="D1582" i="7"/>
  <c r="C1582" i="7"/>
  <c r="B1582" i="7"/>
  <c r="A1582" i="7"/>
  <c r="F1581" i="7"/>
  <c r="E1581" i="7"/>
  <c r="D1581" i="7"/>
  <c r="C1581" i="7"/>
  <c r="B1581" i="7"/>
  <c r="A1581" i="7"/>
  <c r="F1580" i="7"/>
  <c r="E1580" i="7"/>
  <c r="D1580" i="7"/>
  <c r="C1580" i="7"/>
  <c r="B1580" i="7"/>
  <c r="A1580" i="7"/>
  <c r="F1579" i="7"/>
  <c r="E1579" i="7"/>
  <c r="D1579" i="7"/>
  <c r="C1579" i="7"/>
  <c r="B1579" i="7"/>
  <c r="A1579" i="7"/>
  <c r="F1578" i="7"/>
  <c r="E1578" i="7"/>
  <c r="D1578" i="7"/>
  <c r="C1578" i="7"/>
  <c r="B1578" i="7"/>
  <c r="A1578" i="7"/>
  <c r="F1577" i="7"/>
  <c r="E1577" i="7"/>
  <c r="D1577" i="7"/>
  <c r="C1577" i="7"/>
  <c r="B1577" i="7"/>
  <c r="A1577" i="7"/>
  <c r="F1576" i="7"/>
  <c r="E1576" i="7"/>
  <c r="D1576" i="7"/>
  <c r="C1576" i="7"/>
  <c r="B1576" i="7"/>
  <c r="A1576" i="7"/>
  <c r="F1575" i="7"/>
  <c r="E1575" i="7"/>
  <c r="D1575" i="7"/>
  <c r="C1575" i="7"/>
  <c r="B1575" i="7"/>
  <c r="A1575" i="7"/>
  <c r="F1574" i="7"/>
  <c r="E1574" i="7"/>
  <c r="D1574" i="7"/>
  <c r="C1574" i="7"/>
  <c r="B1574" i="7"/>
  <c r="A1574" i="7"/>
  <c r="F1573" i="7"/>
  <c r="E1573" i="7"/>
  <c r="D1573" i="7"/>
  <c r="C1573" i="7"/>
  <c r="B1573" i="7"/>
  <c r="A1573" i="7"/>
  <c r="F1572" i="7"/>
  <c r="E1572" i="7"/>
  <c r="D1572" i="7"/>
  <c r="C1572" i="7"/>
  <c r="B1572" i="7"/>
  <c r="A1572" i="7"/>
  <c r="F1571" i="7"/>
  <c r="E1571" i="7"/>
  <c r="D1571" i="7"/>
  <c r="C1571" i="7"/>
  <c r="B1571" i="7"/>
  <c r="A1571" i="7"/>
  <c r="F1570" i="7"/>
  <c r="E1570" i="7"/>
  <c r="D1570" i="7"/>
  <c r="C1570" i="7"/>
  <c r="B1570" i="7"/>
  <c r="A1570" i="7"/>
  <c r="F1569" i="7"/>
  <c r="E1569" i="7"/>
  <c r="D1569" i="7"/>
  <c r="C1569" i="7"/>
  <c r="B1569" i="7"/>
  <c r="A1569" i="7"/>
  <c r="F1568" i="7"/>
  <c r="E1568" i="7"/>
  <c r="D1568" i="7"/>
  <c r="C1568" i="7"/>
  <c r="B1568" i="7"/>
  <c r="A1568" i="7"/>
  <c r="F1567" i="7"/>
  <c r="E1567" i="7"/>
  <c r="D1567" i="7"/>
  <c r="C1567" i="7"/>
  <c r="B1567" i="7"/>
  <c r="A1567" i="7"/>
  <c r="F1566" i="7"/>
  <c r="E1566" i="7"/>
  <c r="D1566" i="7"/>
  <c r="C1566" i="7"/>
  <c r="B1566" i="7"/>
  <c r="A1566" i="7"/>
  <c r="F1565" i="7"/>
  <c r="E1565" i="7"/>
  <c r="D1565" i="7"/>
  <c r="C1565" i="7"/>
  <c r="B1565" i="7"/>
  <c r="A1565" i="7"/>
  <c r="F1564" i="7"/>
  <c r="E1564" i="7"/>
  <c r="D1564" i="7"/>
  <c r="C1564" i="7"/>
  <c r="B1564" i="7"/>
  <c r="A1564" i="7"/>
  <c r="F1563" i="7"/>
  <c r="E1563" i="7"/>
  <c r="D1563" i="7"/>
  <c r="C1563" i="7"/>
  <c r="B1563" i="7"/>
  <c r="A1563" i="7"/>
  <c r="F1562" i="7"/>
  <c r="E1562" i="7"/>
  <c r="D1562" i="7"/>
  <c r="C1562" i="7"/>
  <c r="B1562" i="7"/>
  <c r="A1562" i="7"/>
  <c r="F1561" i="7"/>
  <c r="E1561" i="7"/>
  <c r="D1561" i="7"/>
  <c r="C1561" i="7"/>
  <c r="B1561" i="7"/>
  <c r="A1561" i="7"/>
  <c r="F1560" i="7"/>
  <c r="E1560" i="7"/>
  <c r="D1560" i="7"/>
  <c r="C1560" i="7"/>
  <c r="B1560" i="7"/>
  <c r="A1560" i="7"/>
  <c r="F1559" i="7"/>
  <c r="E1559" i="7"/>
  <c r="D1559" i="7"/>
  <c r="C1559" i="7"/>
  <c r="B1559" i="7"/>
  <c r="A1559" i="7"/>
  <c r="F1558" i="7"/>
  <c r="E1558" i="7"/>
  <c r="D1558" i="7"/>
  <c r="C1558" i="7"/>
  <c r="B1558" i="7"/>
  <c r="A1558" i="7"/>
  <c r="F1557" i="7"/>
  <c r="E1557" i="7"/>
  <c r="D1557" i="7"/>
  <c r="C1557" i="7"/>
  <c r="B1557" i="7"/>
  <c r="A1557" i="7"/>
  <c r="F1556" i="7"/>
  <c r="E1556" i="7"/>
  <c r="D1556" i="7"/>
  <c r="C1556" i="7"/>
  <c r="B1556" i="7"/>
  <c r="A1556" i="7"/>
  <c r="F1555" i="7"/>
  <c r="E1555" i="7"/>
  <c r="D1555" i="7"/>
  <c r="C1555" i="7"/>
  <c r="B1555" i="7"/>
  <c r="A1555" i="7"/>
  <c r="F1554" i="7"/>
  <c r="E1554" i="7"/>
  <c r="D1554" i="7"/>
  <c r="C1554" i="7"/>
  <c r="B1554" i="7"/>
  <c r="A1554" i="7"/>
  <c r="F1553" i="7"/>
  <c r="E1553" i="7"/>
  <c r="D1553" i="7"/>
  <c r="C1553" i="7"/>
  <c r="B1553" i="7"/>
  <c r="A1553" i="7"/>
  <c r="F1552" i="7"/>
  <c r="E1552" i="7"/>
  <c r="D1552" i="7"/>
  <c r="C1552" i="7"/>
  <c r="B1552" i="7"/>
  <c r="A1552" i="7"/>
  <c r="F1551" i="7"/>
  <c r="E1551" i="7"/>
  <c r="D1551" i="7"/>
  <c r="C1551" i="7"/>
  <c r="B1551" i="7"/>
  <c r="A1551" i="7"/>
  <c r="F1550" i="7"/>
  <c r="E1550" i="7"/>
  <c r="D1550" i="7"/>
  <c r="C1550" i="7"/>
  <c r="B1550" i="7"/>
  <c r="A1550" i="7"/>
  <c r="F1549" i="7"/>
  <c r="E1549" i="7"/>
  <c r="D1549" i="7"/>
  <c r="C1549" i="7"/>
  <c r="B1549" i="7"/>
  <c r="A1549" i="7"/>
  <c r="F1548" i="7"/>
  <c r="E1548" i="7"/>
  <c r="D1548" i="7"/>
  <c r="C1548" i="7"/>
  <c r="B1548" i="7"/>
  <c r="A1548" i="7"/>
  <c r="F1547" i="7"/>
  <c r="E1547" i="7"/>
  <c r="D1547" i="7"/>
  <c r="C1547" i="7"/>
  <c r="B1547" i="7"/>
  <c r="A1547" i="7"/>
  <c r="F1546" i="7"/>
  <c r="E1546" i="7"/>
  <c r="D1546" i="7"/>
  <c r="C1546" i="7"/>
  <c r="B1546" i="7"/>
  <c r="A1546" i="7"/>
  <c r="F1545" i="7"/>
  <c r="E1545" i="7"/>
  <c r="D1545" i="7"/>
  <c r="C1545" i="7"/>
  <c r="B1545" i="7"/>
  <c r="A1545" i="7"/>
  <c r="F1544" i="7"/>
  <c r="E1544" i="7"/>
  <c r="D1544" i="7"/>
  <c r="C1544" i="7"/>
  <c r="B1544" i="7"/>
  <c r="A1544" i="7"/>
  <c r="F1543" i="7"/>
  <c r="E1543" i="7"/>
  <c r="D1543" i="7"/>
  <c r="C1543" i="7"/>
  <c r="B1543" i="7"/>
  <c r="A1543" i="7"/>
  <c r="F1542" i="7"/>
  <c r="E1542" i="7"/>
  <c r="D1542" i="7"/>
  <c r="C1542" i="7"/>
  <c r="B1542" i="7"/>
  <c r="A1542" i="7"/>
  <c r="F1541" i="7"/>
  <c r="E1541" i="7"/>
  <c r="D1541" i="7"/>
  <c r="C1541" i="7"/>
  <c r="B1541" i="7"/>
  <c r="A1541" i="7"/>
  <c r="F1540" i="7"/>
  <c r="E1540" i="7"/>
  <c r="D1540" i="7"/>
  <c r="C1540" i="7"/>
  <c r="B1540" i="7"/>
  <c r="A1540" i="7"/>
  <c r="F1539" i="7"/>
  <c r="E1539" i="7"/>
  <c r="D1539" i="7"/>
  <c r="C1539" i="7"/>
  <c r="B1539" i="7"/>
  <c r="A1539" i="7"/>
  <c r="F1538" i="7"/>
  <c r="E1538" i="7"/>
  <c r="D1538" i="7"/>
  <c r="C1538" i="7"/>
  <c r="B1538" i="7"/>
  <c r="A1538" i="7"/>
  <c r="F1537" i="7"/>
  <c r="E1537" i="7"/>
  <c r="D1537" i="7"/>
  <c r="C1537" i="7"/>
  <c r="B1537" i="7"/>
  <c r="A1537" i="7"/>
  <c r="F1536" i="7"/>
  <c r="E1536" i="7"/>
  <c r="D1536" i="7"/>
  <c r="C1536" i="7"/>
  <c r="B1536" i="7"/>
  <c r="A1536" i="7"/>
  <c r="F1535" i="7"/>
  <c r="E1535" i="7"/>
  <c r="D1535" i="7"/>
  <c r="C1535" i="7"/>
  <c r="B1535" i="7"/>
  <c r="A1535" i="7"/>
  <c r="F1534" i="7"/>
  <c r="E1534" i="7"/>
  <c r="D1534" i="7"/>
  <c r="C1534" i="7"/>
  <c r="B1534" i="7"/>
  <c r="A1534" i="7"/>
  <c r="F1533" i="7"/>
  <c r="E1533" i="7"/>
  <c r="D1533" i="7"/>
  <c r="C1533" i="7"/>
  <c r="B1533" i="7"/>
  <c r="A1533" i="7"/>
  <c r="F1532" i="7"/>
  <c r="E1532" i="7"/>
  <c r="D1532" i="7"/>
  <c r="C1532" i="7"/>
  <c r="B1532" i="7"/>
  <c r="A1532" i="7"/>
  <c r="F1531" i="7"/>
  <c r="E1531" i="7"/>
  <c r="D1531" i="7"/>
  <c r="C1531" i="7"/>
  <c r="B1531" i="7"/>
  <c r="A1531" i="7"/>
  <c r="F1530" i="7"/>
  <c r="E1530" i="7"/>
  <c r="D1530" i="7"/>
  <c r="C1530" i="7"/>
  <c r="B1530" i="7"/>
  <c r="A1530" i="7"/>
  <c r="F1529" i="7"/>
  <c r="E1529" i="7"/>
  <c r="D1529" i="7"/>
  <c r="C1529" i="7"/>
  <c r="B1529" i="7"/>
  <c r="A1529" i="7"/>
  <c r="F1528" i="7"/>
  <c r="E1528" i="7"/>
  <c r="D1528" i="7"/>
  <c r="C1528" i="7"/>
  <c r="B1528" i="7"/>
  <c r="A1528" i="7"/>
  <c r="F1527" i="7"/>
  <c r="E1527" i="7"/>
  <c r="D1527" i="7"/>
  <c r="C1527" i="7"/>
  <c r="B1527" i="7"/>
  <c r="A1527" i="7"/>
  <c r="F1526" i="7"/>
  <c r="E1526" i="7"/>
  <c r="D1526" i="7"/>
  <c r="C1526" i="7"/>
  <c r="B1526" i="7"/>
  <c r="A1526" i="7"/>
  <c r="F1525" i="7"/>
  <c r="E1525" i="7"/>
  <c r="D1525" i="7"/>
  <c r="C1525" i="7"/>
  <c r="B1525" i="7"/>
  <c r="A1525" i="7"/>
  <c r="F1524" i="7"/>
  <c r="E1524" i="7"/>
  <c r="D1524" i="7"/>
  <c r="C1524" i="7"/>
  <c r="B1524" i="7"/>
  <c r="A1524" i="7"/>
  <c r="F1523" i="7"/>
  <c r="E1523" i="7"/>
  <c r="D1523" i="7"/>
  <c r="C1523" i="7"/>
  <c r="B1523" i="7"/>
  <c r="A1523" i="7"/>
  <c r="F1522" i="7"/>
  <c r="E1522" i="7"/>
  <c r="D1522" i="7"/>
  <c r="C1522" i="7"/>
  <c r="B1522" i="7"/>
  <c r="A1522" i="7"/>
  <c r="F1521" i="7"/>
  <c r="E1521" i="7"/>
  <c r="D1521" i="7"/>
  <c r="C1521" i="7"/>
  <c r="B1521" i="7"/>
  <c r="A1521" i="7"/>
  <c r="F1520" i="7"/>
  <c r="E1520" i="7"/>
  <c r="D1520" i="7"/>
  <c r="C1520" i="7"/>
  <c r="B1520" i="7"/>
  <c r="A1520" i="7"/>
  <c r="F1519" i="7"/>
  <c r="E1519" i="7"/>
  <c r="D1519" i="7"/>
  <c r="C1519" i="7"/>
  <c r="B1519" i="7"/>
  <c r="A1519" i="7"/>
  <c r="F1518" i="7"/>
  <c r="E1518" i="7"/>
  <c r="D1518" i="7"/>
  <c r="C1518" i="7"/>
  <c r="B1518" i="7"/>
  <c r="A1518" i="7"/>
  <c r="F1517" i="7"/>
  <c r="E1517" i="7"/>
  <c r="D1517" i="7"/>
  <c r="C1517" i="7"/>
  <c r="B1517" i="7"/>
  <c r="A1517" i="7"/>
  <c r="F1516" i="7"/>
  <c r="E1516" i="7"/>
  <c r="D1516" i="7"/>
  <c r="C1516" i="7"/>
  <c r="B1516" i="7"/>
  <c r="A1516" i="7"/>
  <c r="F1515" i="7"/>
  <c r="E1515" i="7"/>
  <c r="D1515" i="7"/>
  <c r="C1515" i="7"/>
  <c r="B1515" i="7"/>
  <c r="A1515" i="7"/>
  <c r="F1514" i="7"/>
  <c r="E1514" i="7"/>
  <c r="D1514" i="7"/>
  <c r="C1514" i="7"/>
  <c r="B1514" i="7"/>
  <c r="A1514" i="7"/>
  <c r="F1513" i="7"/>
  <c r="E1513" i="7"/>
  <c r="D1513" i="7"/>
  <c r="C1513" i="7"/>
  <c r="B1513" i="7"/>
  <c r="A1513" i="7"/>
  <c r="F1512" i="7"/>
  <c r="E1512" i="7"/>
  <c r="D1512" i="7"/>
  <c r="C1512" i="7"/>
  <c r="B1512" i="7"/>
  <c r="A1512" i="7"/>
  <c r="F1511" i="7"/>
  <c r="E1511" i="7"/>
  <c r="D1511" i="7"/>
  <c r="C1511" i="7"/>
  <c r="B1511" i="7"/>
  <c r="A1511" i="7"/>
  <c r="F1510" i="7"/>
  <c r="E1510" i="7"/>
  <c r="D1510" i="7"/>
  <c r="C1510" i="7"/>
  <c r="B1510" i="7"/>
  <c r="A1510" i="7"/>
  <c r="F1509" i="7"/>
  <c r="E1509" i="7"/>
  <c r="D1509" i="7"/>
  <c r="C1509" i="7"/>
  <c r="B1509" i="7"/>
  <c r="A1509" i="7"/>
  <c r="F1508" i="7"/>
  <c r="E1508" i="7"/>
  <c r="D1508" i="7"/>
  <c r="C1508" i="7"/>
  <c r="B1508" i="7"/>
  <c r="A1508" i="7"/>
  <c r="F1507" i="7"/>
  <c r="E1507" i="7"/>
  <c r="D1507" i="7"/>
  <c r="C1507" i="7"/>
  <c r="B1507" i="7"/>
  <c r="A1507" i="7"/>
  <c r="F1506" i="7"/>
  <c r="E1506" i="7"/>
  <c r="D1506" i="7"/>
  <c r="C1506" i="7"/>
  <c r="B1506" i="7"/>
  <c r="A1506" i="7"/>
  <c r="F1505" i="7"/>
  <c r="E1505" i="7"/>
  <c r="D1505" i="7"/>
  <c r="C1505" i="7"/>
  <c r="B1505" i="7"/>
  <c r="A1505" i="7"/>
  <c r="F1504" i="7"/>
  <c r="E1504" i="7"/>
  <c r="D1504" i="7"/>
  <c r="C1504" i="7"/>
  <c r="B1504" i="7"/>
  <c r="A1504" i="7"/>
  <c r="F1503" i="7"/>
  <c r="E1503" i="7"/>
  <c r="D1503" i="7"/>
  <c r="C1503" i="7"/>
  <c r="B1503" i="7"/>
  <c r="A1503" i="7"/>
  <c r="F1502" i="7"/>
  <c r="E1502" i="7"/>
  <c r="D1502" i="7"/>
  <c r="C1502" i="7"/>
  <c r="B1502" i="7"/>
  <c r="A1502" i="7"/>
  <c r="F1501" i="7"/>
  <c r="E1501" i="7"/>
  <c r="D1501" i="7"/>
  <c r="C1501" i="7"/>
  <c r="B1501" i="7"/>
  <c r="A1501" i="7"/>
  <c r="F1500" i="7"/>
  <c r="E1500" i="7"/>
  <c r="D1500" i="7"/>
  <c r="C1500" i="7"/>
  <c r="B1500" i="7"/>
  <c r="A1500" i="7"/>
  <c r="F1499" i="7"/>
  <c r="E1499" i="7"/>
  <c r="D1499" i="7"/>
  <c r="C1499" i="7"/>
  <c r="B1499" i="7"/>
  <c r="A1499" i="7"/>
  <c r="F1498" i="7"/>
  <c r="E1498" i="7"/>
  <c r="D1498" i="7"/>
  <c r="C1498" i="7"/>
  <c r="B1498" i="7"/>
  <c r="A1498" i="7"/>
  <c r="F1497" i="7"/>
  <c r="E1497" i="7"/>
  <c r="D1497" i="7"/>
  <c r="C1497" i="7"/>
  <c r="B1497" i="7"/>
  <c r="A1497" i="7"/>
  <c r="F1496" i="7"/>
  <c r="E1496" i="7"/>
  <c r="D1496" i="7"/>
  <c r="C1496" i="7"/>
  <c r="B1496" i="7"/>
  <c r="A1496" i="7"/>
  <c r="F1495" i="7"/>
  <c r="E1495" i="7"/>
  <c r="D1495" i="7"/>
  <c r="C1495" i="7"/>
  <c r="B1495" i="7"/>
  <c r="A1495" i="7"/>
  <c r="F1494" i="7"/>
  <c r="E1494" i="7"/>
  <c r="D1494" i="7"/>
  <c r="C1494" i="7"/>
  <c r="B1494" i="7"/>
  <c r="A1494" i="7"/>
  <c r="F1493" i="7"/>
  <c r="E1493" i="7"/>
  <c r="D1493" i="7"/>
  <c r="C1493" i="7"/>
  <c r="B1493" i="7"/>
  <c r="A1493" i="7"/>
  <c r="F1492" i="7"/>
  <c r="E1492" i="7"/>
  <c r="D1492" i="7"/>
  <c r="C1492" i="7"/>
  <c r="B1492" i="7"/>
  <c r="A1492" i="7"/>
  <c r="F1491" i="7"/>
  <c r="E1491" i="7"/>
  <c r="D1491" i="7"/>
  <c r="C1491" i="7"/>
  <c r="B1491" i="7"/>
  <c r="A1491" i="7"/>
  <c r="F1490" i="7"/>
  <c r="E1490" i="7"/>
  <c r="D1490" i="7"/>
  <c r="C1490" i="7"/>
  <c r="B1490" i="7"/>
  <c r="A1490" i="7"/>
  <c r="F1489" i="7"/>
  <c r="E1489" i="7"/>
  <c r="D1489" i="7"/>
  <c r="C1489" i="7"/>
  <c r="B1489" i="7"/>
  <c r="A1489" i="7"/>
  <c r="F1488" i="7"/>
  <c r="E1488" i="7"/>
  <c r="D1488" i="7"/>
  <c r="C1488" i="7"/>
  <c r="B1488" i="7"/>
  <c r="A1488" i="7"/>
  <c r="F1487" i="7"/>
  <c r="E1487" i="7"/>
  <c r="D1487" i="7"/>
  <c r="C1487" i="7"/>
  <c r="B1487" i="7"/>
  <c r="A1487" i="7"/>
  <c r="F1486" i="7"/>
  <c r="E1486" i="7"/>
  <c r="D1486" i="7"/>
  <c r="C1486" i="7"/>
  <c r="B1486" i="7"/>
  <c r="A1486" i="7"/>
  <c r="F1485" i="7"/>
  <c r="E1485" i="7"/>
  <c r="D1485" i="7"/>
  <c r="C1485" i="7"/>
  <c r="B1485" i="7"/>
  <c r="A1485" i="7"/>
  <c r="F1484" i="7"/>
  <c r="E1484" i="7"/>
  <c r="D1484" i="7"/>
  <c r="C1484" i="7"/>
  <c r="B1484" i="7"/>
  <c r="A1484" i="7"/>
  <c r="F1483" i="7"/>
  <c r="E1483" i="7"/>
  <c r="D1483" i="7"/>
  <c r="C1483" i="7"/>
  <c r="B1483" i="7"/>
  <c r="A1483" i="7"/>
  <c r="F1482" i="7"/>
  <c r="E1482" i="7"/>
  <c r="D1482" i="7"/>
  <c r="C1482" i="7"/>
  <c r="B1482" i="7"/>
  <c r="A1482" i="7"/>
  <c r="F1481" i="7"/>
  <c r="E1481" i="7"/>
  <c r="D1481" i="7"/>
  <c r="C1481" i="7"/>
  <c r="B1481" i="7"/>
  <c r="A1481" i="7"/>
  <c r="F1480" i="7"/>
  <c r="E1480" i="7"/>
  <c r="D1480" i="7"/>
  <c r="C1480" i="7"/>
  <c r="B1480" i="7"/>
  <c r="A1480" i="7"/>
  <c r="F1479" i="7"/>
  <c r="E1479" i="7"/>
  <c r="D1479" i="7"/>
  <c r="C1479" i="7"/>
  <c r="B1479" i="7"/>
  <c r="A1479" i="7"/>
  <c r="F1478" i="7"/>
  <c r="E1478" i="7"/>
  <c r="D1478" i="7"/>
  <c r="C1478" i="7"/>
  <c r="B1478" i="7"/>
  <c r="A1478" i="7"/>
  <c r="F1477" i="7"/>
  <c r="E1477" i="7"/>
  <c r="D1477" i="7"/>
  <c r="C1477" i="7"/>
  <c r="B1477" i="7"/>
  <c r="A1477" i="7"/>
  <c r="F1476" i="7"/>
  <c r="E1476" i="7"/>
  <c r="D1476" i="7"/>
  <c r="C1476" i="7"/>
  <c r="B1476" i="7"/>
  <c r="A1476" i="7"/>
  <c r="F1475" i="7"/>
  <c r="E1475" i="7"/>
  <c r="D1475" i="7"/>
  <c r="C1475" i="7"/>
  <c r="B1475" i="7"/>
  <c r="A1475" i="7"/>
  <c r="F1474" i="7"/>
  <c r="E1474" i="7"/>
  <c r="D1474" i="7"/>
  <c r="C1474" i="7"/>
  <c r="B1474" i="7"/>
  <c r="A1474" i="7"/>
  <c r="F1473" i="7"/>
  <c r="E1473" i="7"/>
  <c r="D1473" i="7"/>
  <c r="C1473" i="7"/>
  <c r="B1473" i="7"/>
  <c r="A1473" i="7"/>
  <c r="F1472" i="7"/>
  <c r="E1472" i="7"/>
  <c r="D1472" i="7"/>
  <c r="C1472" i="7"/>
  <c r="B1472" i="7"/>
  <c r="A1472" i="7"/>
  <c r="F1471" i="7"/>
  <c r="E1471" i="7"/>
  <c r="D1471" i="7"/>
  <c r="C1471" i="7"/>
  <c r="B1471" i="7"/>
  <c r="A1471" i="7"/>
  <c r="F1470" i="7"/>
  <c r="E1470" i="7"/>
  <c r="D1470" i="7"/>
  <c r="C1470" i="7"/>
  <c r="B1470" i="7"/>
  <c r="A1470" i="7"/>
  <c r="F1469" i="7"/>
  <c r="E1469" i="7"/>
  <c r="D1469" i="7"/>
  <c r="C1469" i="7"/>
  <c r="B1469" i="7"/>
  <c r="A1469" i="7"/>
  <c r="F1468" i="7"/>
  <c r="E1468" i="7"/>
  <c r="D1468" i="7"/>
  <c r="C1468" i="7"/>
  <c r="B1468" i="7"/>
  <c r="A1468" i="7"/>
  <c r="F1467" i="7"/>
  <c r="E1467" i="7"/>
  <c r="D1467" i="7"/>
  <c r="C1467" i="7"/>
  <c r="B1467" i="7"/>
  <c r="A1467" i="7"/>
  <c r="F1466" i="7"/>
  <c r="E1466" i="7"/>
  <c r="D1466" i="7"/>
  <c r="C1466" i="7"/>
  <c r="B1466" i="7"/>
  <c r="A1466" i="7"/>
  <c r="F1465" i="7"/>
  <c r="E1465" i="7"/>
  <c r="D1465" i="7"/>
  <c r="C1465" i="7"/>
  <c r="B1465" i="7"/>
  <c r="A1465" i="7"/>
  <c r="F1464" i="7"/>
  <c r="E1464" i="7"/>
  <c r="D1464" i="7"/>
  <c r="C1464" i="7"/>
  <c r="B1464" i="7"/>
  <c r="A1464" i="7"/>
  <c r="F1463" i="7"/>
  <c r="E1463" i="7"/>
  <c r="D1463" i="7"/>
  <c r="C1463" i="7"/>
  <c r="B1463" i="7"/>
  <c r="A1463" i="7"/>
  <c r="F1462" i="7"/>
  <c r="E1462" i="7"/>
  <c r="D1462" i="7"/>
  <c r="C1462" i="7"/>
  <c r="B1462" i="7"/>
  <c r="A1462" i="7"/>
  <c r="F1461" i="7"/>
  <c r="E1461" i="7"/>
  <c r="D1461" i="7"/>
  <c r="C1461" i="7"/>
  <c r="B1461" i="7"/>
  <c r="A1461" i="7"/>
  <c r="F1460" i="7"/>
  <c r="E1460" i="7"/>
  <c r="D1460" i="7"/>
  <c r="C1460" i="7"/>
  <c r="B1460" i="7"/>
  <c r="A1460" i="7"/>
  <c r="F1459" i="7"/>
  <c r="E1459" i="7"/>
  <c r="D1459" i="7"/>
  <c r="C1459" i="7"/>
  <c r="B1459" i="7"/>
  <c r="A1459" i="7"/>
  <c r="F1458" i="7"/>
  <c r="E1458" i="7"/>
  <c r="D1458" i="7"/>
  <c r="C1458" i="7"/>
  <c r="B1458" i="7"/>
  <c r="A1458" i="7"/>
  <c r="F1457" i="7"/>
  <c r="E1457" i="7"/>
  <c r="D1457" i="7"/>
  <c r="C1457" i="7"/>
  <c r="B1457" i="7"/>
  <c r="A1457" i="7"/>
  <c r="F1456" i="7"/>
  <c r="E1456" i="7"/>
  <c r="D1456" i="7"/>
  <c r="C1456" i="7"/>
  <c r="B1456" i="7"/>
  <c r="A1456" i="7"/>
  <c r="F1455" i="7"/>
  <c r="E1455" i="7"/>
  <c r="D1455" i="7"/>
  <c r="C1455" i="7"/>
  <c r="B1455" i="7"/>
  <c r="A1455" i="7"/>
  <c r="F1454" i="7"/>
  <c r="E1454" i="7"/>
  <c r="D1454" i="7"/>
  <c r="C1454" i="7"/>
  <c r="B1454" i="7"/>
  <c r="A1454" i="7"/>
  <c r="F1453" i="7"/>
  <c r="E1453" i="7"/>
  <c r="D1453" i="7"/>
  <c r="C1453" i="7"/>
  <c r="B1453" i="7"/>
  <c r="A1453" i="7"/>
  <c r="F1452" i="7"/>
  <c r="E1452" i="7"/>
  <c r="D1452" i="7"/>
  <c r="C1452" i="7"/>
  <c r="B1452" i="7"/>
  <c r="A1452" i="7"/>
  <c r="F1451" i="7"/>
  <c r="E1451" i="7"/>
  <c r="D1451" i="7"/>
  <c r="C1451" i="7"/>
  <c r="B1451" i="7"/>
  <c r="A1451" i="7"/>
  <c r="F1450" i="7"/>
  <c r="E1450" i="7"/>
  <c r="D1450" i="7"/>
  <c r="C1450" i="7"/>
  <c r="B1450" i="7"/>
  <c r="A1450" i="7"/>
  <c r="F1449" i="7"/>
  <c r="E1449" i="7"/>
  <c r="D1449" i="7"/>
  <c r="C1449" i="7"/>
  <c r="B1449" i="7"/>
  <c r="A1449" i="7"/>
  <c r="F1448" i="7"/>
  <c r="E1448" i="7"/>
  <c r="D1448" i="7"/>
  <c r="C1448" i="7"/>
  <c r="B1448" i="7"/>
  <c r="A1448" i="7"/>
  <c r="F1447" i="7"/>
  <c r="E1447" i="7"/>
  <c r="D1447" i="7"/>
  <c r="C1447" i="7"/>
  <c r="B1447" i="7"/>
  <c r="A1447" i="7"/>
  <c r="F1446" i="7"/>
  <c r="E1446" i="7"/>
  <c r="D1446" i="7"/>
  <c r="C1446" i="7"/>
  <c r="B1446" i="7"/>
  <c r="A1446" i="7"/>
  <c r="F1445" i="7"/>
  <c r="E1445" i="7"/>
  <c r="D1445" i="7"/>
  <c r="C1445" i="7"/>
  <c r="B1445" i="7"/>
  <c r="A1445" i="7"/>
  <c r="F1444" i="7"/>
  <c r="E1444" i="7"/>
  <c r="D1444" i="7"/>
  <c r="C1444" i="7"/>
  <c r="B1444" i="7"/>
  <c r="A1444" i="7"/>
  <c r="F1443" i="7"/>
  <c r="E1443" i="7"/>
  <c r="D1443" i="7"/>
  <c r="C1443" i="7"/>
  <c r="B1443" i="7"/>
  <c r="A1443" i="7"/>
  <c r="F1442" i="7"/>
  <c r="E1442" i="7"/>
  <c r="D1442" i="7"/>
  <c r="C1442" i="7"/>
  <c r="B1442" i="7"/>
  <c r="A1442" i="7"/>
  <c r="F1441" i="7"/>
  <c r="E1441" i="7"/>
  <c r="D1441" i="7"/>
  <c r="C1441" i="7"/>
  <c r="B1441" i="7"/>
  <c r="A1441" i="7"/>
  <c r="F1440" i="7"/>
  <c r="E1440" i="7"/>
  <c r="D1440" i="7"/>
  <c r="C1440" i="7"/>
  <c r="B1440" i="7"/>
  <c r="A1440" i="7"/>
  <c r="F1439" i="7"/>
  <c r="E1439" i="7"/>
  <c r="D1439" i="7"/>
  <c r="C1439" i="7"/>
  <c r="B1439" i="7"/>
  <c r="A1439" i="7"/>
  <c r="F1438" i="7"/>
  <c r="E1438" i="7"/>
  <c r="D1438" i="7"/>
  <c r="C1438" i="7"/>
  <c r="B1438" i="7"/>
  <c r="A1438" i="7"/>
  <c r="F1437" i="7"/>
  <c r="E1437" i="7"/>
  <c r="D1437" i="7"/>
  <c r="C1437" i="7"/>
  <c r="B1437" i="7"/>
  <c r="A1437" i="7"/>
  <c r="F1436" i="7"/>
  <c r="E1436" i="7"/>
  <c r="D1436" i="7"/>
  <c r="C1436" i="7"/>
  <c r="B1436" i="7"/>
  <c r="A1436" i="7"/>
  <c r="F1435" i="7"/>
  <c r="E1435" i="7"/>
  <c r="D1435" i="7"/>
  <c r="C1435" i="7"/>
  <c r="B1435" i="7"/>
  <c r="A1435" i="7"/>
  <c r="F1434" i="7"/>
  <c r="E1434" i="7"/>
  <c r="D1434" i="7"/>
  <c r="C1434" i="7"/>
  <c r="B1434" i="7"/>
  <c r="A1434" i="7"/>
  <c r="F1433" i="7"/>
  <c r="E1433" i="7"/>
  <c r="D1433" i="7"/>
  <c r="C1433" i="7"/>
  <c r="B1433" i="7"/>
  <c r="A1433" i="7"/>
  <c r="F1432" i="7"/>
  <c r="E1432" i="7"/>
  <c r="D1432" i="7"/>
  <c r="C1432" i="7"/>
  <c r="B1432" i="7"/>
  <c r="A1432" i="7"/>
  <c r="F1431" i="7"/>
  <c r="E1431" i="7"/>
  <c r="D1431" i="7"/>
  <c r="C1431" i="7"/>
  <c r="B1431" i="7"/>
  <c r="A1431" i="7"/>
  <c r="F1430" i="7"/>
  <c r="E1430" i="7"/>
  <c r="D1430" i="7"/>
  <c r="C1430" i="7"/>
  <c r="B1430" i="7"/>
  <c r="A1430" i="7"/>
  <c r="F1429" i="7"/>
  <c r="E1429" i="7"/>
  <c r="D1429" i="7"/>
  <c r="C1429" i="7"/>
  <c r="B1429" i="7"/>
  <c r="A1429" i="7"/>
  <c r="F1428" i="7"/>
  <c r="E1428" i="7"/>
  <c r="D1428" i="7"/>
  <c r="C1428" i="7"/>
  <c r="B1428" i="7"/>
  <c r="A1428" i="7"/>
  <c r="F1427" i="7"/>
  <c r="E1427" i="7"/>
  <c r="D1427" i="7"/>
  <c r="C1427" i="7"/>
  <c r="B1427" i="7"/>
  <c r="A1427" i="7"/>
  <c r="F1426" i="7"/>
  <c r="E1426" i="7"/>
  <c r="D1426" i="7"/>
  <c r="C1426" i="7"/>
  <c r="B1426" i="7"/>
  <c r="A1426" i="7"/>
  <c r="F1425" i="7"/>
  <c r="E1425" i="7"/>
  <c r="D1425" i="7"/>
  <c r="C1425" i="7"/>
  <c r="B1425" i="7"/>
  <c r="A1425" i="7"/>
  <c r="F1424" i="7"/>
  <c r="E1424" i="7"/>
  <c r="D1424" i="7"/>
  <c r="C1424" i="7"/>
  <c r="B1424" i="7"/>
  <c r="A1424" i="7"/>
  <c r="F1423" i="7"/>
  <c r="E1423" i="7"/>
  <c r="D1423" i="7"/>
  <c r="C1423" i="7"/>
  <c r="B1423" i="7"/>
  <c r="A1423" i="7"/>
  <c r="F1422" i="7"/>
  <c r="E1422" i="7"/>
  <c r="D1422" i="7"/>
  <c r="C1422" i="7"/>
  <c r="B1422" i="7"/>
  <c r="A1422" i="7"/>
  <c r="F1421" i="7"/>
  <c r="E1421" i="7"/>
  <c r="D1421" i="7"/>
  <c r="C1421" i="7"/>
  <c r="B1421" i="7"/>
  <c r="A1421" i="7"/>
  <c r="F1420" i="7"/>
  <c r="E1420" i="7"/>
  <c r="D1420" i="7"/>
  <c r="C1420" i="7"/>
  <c r="B1420" i="7"/>
  <c r="A1420" i="7"/>
  <c r="F1419" i="7"/>
  <c r="E1419" i="7"/>
  <c r="D1419" i="7"/>
  <c r="C1419" i="7"/>
  <c r="B1419" i="7"/>
  <c r="A1419" i="7"/>
  <c r="F1418" i="7"/>
  <c r="E1418" i="7"/>
  <c r="D1418" i="7"/>
  <c r="C1418" i="7"/>
  <c r="B1418" i="7"/>
  <c r="A1418" i="7"/>
  <c r="F1417" i="7"/>
  <c r="E1417" i="7"/>
  <c r="D1417" i="7"/>
  <c r="C1417" i="7"/>
  <c r="B1417" i="7"/>
  <c r="A1417" i="7"/>
  <c r="F1416" i="7"/>
  <c r="E1416" i="7"/>
  <c r="D1416" i="7"/>
  <c r="C1416" i="7"/>
  <c r="B1416" i="7"/>
  <c r="A1416" i="7"/>
  <c r="F1415" i="7"/>
  <c r="E1415" i="7"/>
  <c r="D1415" i="7"/>
  <c r="C1415" i="7"/>
  <c r="B1415" i="7"/>
  <c r="A1415" i="7"/>
  <c r="F1414" i="7"/>
  <c r="E1414" i="7"/>
  <c r="D1414" i="7"/>
  <c r="C1414" i="7"/>
  <c r="B1414" i="7"/>
  <c r="A1414" i="7"/>
  <c r="F1413" i="7"/>
  <c r="E1413" i="7"/>
  <c r="D1413" i="7"/>
  <c r="C1413" i="7"/>
  <c r="B1413" i="7"/>
  <c r="A1413" i="7"/>
  <c r="F1412" i="7"/>
  <c r="E1412" i="7"/>
  <c r="D1412" i="7"/>
  <c r="C1412" i="7"/>
  <c r="B1412" i="7"/>
  <c r="A1412" i="7"/>
  <c r="F1411" i="7"/>
  <c r="E1411" i="7"/>
  <c r="D1411" i="7"/>
  <c r="C1411" i="7"/>
  <c r="B1411" i="7"/>
  <c r="A1411" i="7"/>
  <c r="F1410" i="7"/>
  <c r="E1410" i="7"/>
  <c r="D1410" i="7"/>
  <c r="C1410" i="7"/>
  <c r="B1410" i="7"/>
  <c r="A1410" i="7"/>
  <c r="F1409" i="7"/>
  <c r="E1409" i="7"/>
  <c r="D1409" i="7"/>
  <c r="C1409" i="7"/>
  <c r="B1409" i="7"/>
  <c r="A1409" i="7"/>
  <c r="F1408" i="7"/>
  <c r="E1408" i="7"/>
  <c r="D1408" i="7"/>
  <c r="C1408" i="7"/>
  <c r="B1408" i="7"/>
  <c r="A1408" i="7"/>
  <c r="F1407" i="7"/>
  <c r="E1407" i="7"/>
  <c r="D1407" i="7"/>
  <c r="C1407" i="7"/>
  <c r="B1407" i="7"/>
  <c r="A1407" i="7"/>
  <c r="F1406" i="7"/>
  <c r="E1406" i="7"/>
  <c r="D1406" i="7"/>
  <c r="C1406" i="7"/>
  <c r="B1406" i="7"/>
  <c r="A1406" i="7"/>
  <c r="F1405" i="7"/>
  <c r="E1405" i="7"/>
  <c r="D1405" i="7"/>
  <c r="C1405" i="7"/>
  <c r="B1405" i="7"/>
  <c r="A1405" i="7"/>
  <c r="F1404" i="7"/>
  <c r="E1404" i="7"/>
  <c r="D1404" i="7"/>
  <c r="C1404" i="7"/>
  <c r="B1404" i="7"/>
  <c r="A1404" i="7"/>
  <c r="F1403" i="7"/>
  <c r="E1403" i="7"/>
  <c r="D1403" i="7"/>
  <c r="C1403" i="7"/>
  <c r="B1403" i="7"/>
  <c r="A1403" i="7"/>
  <c r="F1402" i="7"/>
  <c r="E1402" i="7"/>
  <c r="D1402" i="7"/>
  <c r="C1402" i="7"/>
  <c r="B1402" i="7"/>
  <c r="A1402" i="7"/>
  <c r="F1401" i="7"/>
  <c r="E1401" i="7"/>
  <c r="D1401" i="7"/>
  <c r="C1401" i="7"/>
  <c r="B1401" i="7"/>
  <c r="A1401" i="7"/>
  <c r="F1400" i="7"/>
  <c r="E1400" i="7"/>
  <c r="D1400" i="7"/>
  <c r="C1400" i="7"/>
  <c r="B1400" i="7"/>
  <c r="A1400" i="7"/>
  <c r="F1399" i="7"/>
  <c r="E1399" i="7"/>
  <c r="D1399" i="7"/>
  <c r="C1399" i="7"/>
  <c r="B1399" i="7"/>
  <c r="A1399" i="7"/>
  <c r="F1398" i="7"/>
  <c r="E1398" i="7"/>
  <c r="D1398" i="7"/>
  <c r="C1398" i="7"/>
  <c r="B1398" i="7"/>
  <c r="A1398" i="7"/>
  <c r="F1397" i="7"/>
  <c r="E1397" i="7"/>
  <c r="D1397" i="7"/>
  <c r="C1397" i="7"/>
  <c r="B1397" i="7"/>
  <c r="A1397" i="7"/>
  <c r="F1396" i="7"/>
  <c r="E1396" i="7"/>
  <c r="D1396" i="7"/>
  <c r="C1396" i="7"/>
  <c r="B1396" i="7"/>
  <c r="A1396" i="7"/>
  <c r="F1395" i="7"/>
  <c r="E1395" i="7"/>
  <c r="D1395" i="7"/>
  <c r="C1395" i="7"/>
  <c r="B1395" i="7"/>
  <c r="A1395" i="7"/>
  <c r="F1394" i="7"/>
  <c r="E1394" i="7"/>
  <c r="D1394" i="7"/>
  <c r="C1394" i="7"/>
  <c r="B1394" i="7"/>
  <c r="A1394" i="7"/>
  <c r="F1393" i="7"/>
  <c r="E1393" i="7"/>
  <c r="D1393" i="7"/>
  <c r="C1393" i="7"/>
  <c r="B1393" i="7"/>
  <c r="A1393" i="7"/>
  <c r="F1392" i="7"/>
  <c r="E1392" i="7"/>
  <c r="D1392" i="7"/>
  <c r="C1392" i="7"/>
  <c r="B1392" i="7"/>
  <c r="A1392" i="7"/>
  <c r="F1391" i="7"/>
  <c r="E1391" i="7"/>
  <c r="D1391" i="7"/>
  <c r="C1391" i="7"/>
  <c r="B1391" i="7"/>
  <c r="A1391" i="7"/>
  <c r="F1390" i="7"/>
  <c r="E1390" i="7"/>
  <c r="D1390" i="7"/>
  <c r="C1390" i="7"/>
  <c r="B1390" i="7"/>
  <c r="A1390" i="7"/>
  <c r="F1389" i="7"/>
  <c r="E1389" i="7"/>
  <c r="D1389" i="7"/>
  <c r="C1389" i="7"/>
  <c r="B1389" i="7"/>
  <c r="A1389" i="7"/>
  <c r="F1388" i="7"/>
  <c r="E1388" i="7"/>
  <c r="D1388" i="7"/>
  <c r="C1388" i="7"/>
  <c r="B1388" i="7"/>
  <c r="A1388" i="7"/>
  <c r="F1387" i="7"/>
  <c r="E1387" i="7"/>
  <c r="D1387" i="7"/>
  <c r="C1387" i="7"/>
  <c r="B1387" i="7"/>
  <c r="A1387" i="7"/>
  <c r="F1386" i="7"/>
  <c r="E1386" i="7"/>
  <c r="D1386" i="7"/>
  <c r="C1386" i="7"/>
  <c r="B1386" i="7"/>
  <c r="A1386" i="7"/>
  <c r="F1385" i="7"/>
  <c r="E1385" i="7"/>
  <c r="D1385" i="7"/>
  <c r="C1385" i="7"/>
  <c r="B1385" i="7"/>
  <c r="A1385" i="7"/>
  <c r="F1384" i="7"/>
  <c r="E1384" i="7"/>
  <c r="D1384" i="7"/>
  <c r="C1384" i="7"/>
  <c r="B1384" i="7"/>
  <c r="A1384" i="7"/>
  <c r="F1383" i="7"/>
  <c r="E1383" i="7"/>
  <c r="D1383" i="7"/>
  <c r="C1383" i="7"/>
  <c r="B1383" i="7"/>
  <c r="A1383" i="7"/>
  <c r="F1382" i="7"/>
  <c r="E1382" i="7"/>
  <c r="D1382" i="7"/>
  <c r="C1382" i="7"/>
  <c r="B1382" i="7"/>
  <c r="A1382" i="7"/>
  <c r="F1381" i="7"/>
  <c r="E1381" i="7"/>
  <c r="D1381" i="7"/>
  <c r="C1381" i="7"/>
  <c r="B1381" i="7"/>
  <c r="A1381" i="7"/>
  <c r="F1380" i="7"/>
  <c r="E1380" i="7"/>
  <c r="D1380" i="7"/>
  <c r="C1380" i="7"/>
  <c r="B1380" i="7"/>
  <c r="A1380" i="7"/>
  <c r="F1379" i="7"/>
  <c r="E1379" i="7"/>
  <c r="D1379" i="7"/>
  <c r="C1379" i="7"/>
  <c r="B1379" i="7"/>
  <c r="A1379" i="7"/>
  <c r="F1378" i="7"/>
  <c r="E1378" i="7"/>
  <c r="D1378" i="7"/>
  <c r="C1378" i="7"/>
  <c r="B1378" i="7"/>
  <c r="A1378" i="7"/>
  <c r="F1377" i="7"/>
  <c r="E1377" i="7"/>
  <c r="D1377" i="7"/>
  <c r="C1377" i="7"/>
  <c r="B1377" i="7"/>
  <c r="A1377" i="7"/>
  <c r="F1376" i="7"/>
  <c r="E1376" i="7"/>
  <c r="D1376" i="7"/>
  <c r="C1376" i="7"/>
  <c r="B1376" i="7"/>
  <c r="A1376" i="7"/>
  <c r="F1375" i="7"/>
  <c r="E1375" i="7"/>
  <c r="D1375" i="7"/>
  <c r="C1375" i="7"/>
  <c r="B1375" i="7"/>
  <c r="A1375" i="7"/>
  <c r="F1374" i="7"/>
  <c r="E1374" i="7"/>
  <c r="D1374" i="7"/>
  <c r="C1374" i="7"/>
  <c r="B1374" i="7"/>
  <c r="A1374" i="7"/>
  <c r="F1373" i="7"/>
  <c r="E1373" i="7"/>
  <c r="D1373" i="7"/>
  <c r="C1373" i="7"/>
  <c r="B1373" i="7"/>
  <c r="A1373" i="7"/>
  <c r="F1372" i="7"/>
  <c r="E1372" i="7"/>
  <c r="D1372" i="7"/>
  <c r="C1372" i="7"/>
  <c r="B1372" i="7"/>
  <c r="A1372" i="7"/>
  <c r="F1371" i="7"/>
  <c r="E1371" i="7"/>
  <c r="D1371" i="7"/>
  <c r="C1371" i="7"/>
  <c r="B1371" i="7"/>
  <c r="A1371" i="7"/>
  <c r="F1370" i="7"/>
  <c r="E1370" i="7"/>
  <c r="D1370" i="7"/>
  <c r="C1370" i="7"/>
  <c r="B1370" i="7"/>
  <c r="A1370" i="7"/>
  <c r="F1369" i="7"/>
  <c r="E1369" i="7"/>
  <c r="D1369" i="7"/>
  <c r="C1369" i="7"/>
  <c r="B1369" i="7"/>
  <c r="A1369" i="7"/>
  <c r="F1368" i="7"/>
  <c r="E1368" i="7"/>
  <c r="D1368" i="7"/>
  <c r="C1368" i="7"/>
  <c r="B1368" i="7"/>
  <c r="A1368" i="7"/>
  <c r="F1367" i="7"/>
  <c r="E1367" i="7"/>
  <c r="D1367" i="7"/>
  <c r="C1367" i="7"/>
  <c r="B1367" i="7"/>
  <c r="A1367" i="7"/>
  <c r="F1366" i="7"/>
  <c r="E1366" i="7"/>
  <c r="D1366" i="7"/>
  <c r="C1366" i="7"/>
  <c r="B1366" i="7"/>
  <c r="A1366" i="7"/>
  <c r="F1365" i="7"/>
  <c r="E1365" i="7"/>
  <c r="D1365" i="7"/>
  <c r="C1365" i="7"/>
  <c r="B1365" i="7"/>
  <c r="A1365" i="7"/>
  <c r="F1364" i="7"/>
  <c r="E1364" i="7"/>
  <c r="D1364" i="7"/>
  <c r="C1364" i="7"/>
  <c r="B1364" i="7"/>
  <c r="A1364" i="7"/>
  <c r="F1363" i="7"/>
  <c r="E1363" i="7"/>
  <c r="D1363" i="7"/>
  <c r="C1363" i="7"/>
  <c r="B1363" i="7"/>
  <c r="A1363" i="7"/>
  <c r="F1362" i="7"/>
  <c r="E1362" i="7"/>
  <c r="D1362" i="7"/>
  <c r="C1362" i="7"/>
  <c r="B1362" i="7"/>
  <c r="A1362" i="7"/>
  <c r="F1361" i="7"/>
  <c r="E1361" i="7"/>
  <c r="D1361" i="7"/>
  <c r="C1361" i="7"/>
  <c r="B1361" i="7"/>
  <c r="A1361" i="7"/>
  <c r="F1360" i="7"/>
  <c r="E1360" i="7"/>
  <c r="D1360" i="7"/>
  <c r="C1360" i="7"/>
  <c r="B1360" i="7"/>
  <c r="A1360" i="7"/>
  <c r="F1359" i="7"/>
  <c r="E1359" i="7"/>
  <c r="D1359" i="7"/>
  <c r="C1359" i="7"/>
  <c r="B1359" i="7"/>
  <c r="A1359" i="7"/>
  <c r="F1358" i="7"/>
  <c r="E1358" i="7"/>
  <c r="D1358" i="7"/>
  <c r="C1358" i="7"/>
  <c r="B1358" i="7"/>
  <c r="A1358" i="7"/>
  <c r="F1357" i="7"/>
  <c r="E1357" i="7"/>
  <c r="D1357" i="7"/>
  <c r="C1357" i="7"/>
  <c r="B1357" i="7"/>
  <c r="A1357" i="7"/>
  <c r="F1356" i="7"/>
  <c r="E1356" i="7"/>
  <c r="D1356" i="7"/>
  <c r="C1356" i="7"/>
  <c r="B1356" i="7"/>
  <c r="A1356" i="7"/>
  <c r="F1355" i="7"/>
  <c r="E1355" i="7"/>
  <c r="D1355" i="7"/>
  <c r="C1355" i="7"/>
  <c r="B1355" i="7"/>
  <c r="A1355" i="7"/>
  <c r="F1354" i="7"/>
  <c r="E1354" i="7"/>
  <c r="D1354" i="7"/>
  <c r="C1354" i="7"/>
  <c r="B1354" i="7"/>
  <c r="A1354" i="7"/>
  <c r="F1353" i="7"/>
  <c r="E1353" i="7"/>
  <c r="D1353" i="7"/>
  <c r="C1353" i="7"/>
  <c r="B1353" i="7"/>
  <c r="A1353" i="7"/>
  <c r="F1352" i="7"/>
  <c r="E1352" i="7"/>
  <c r="D1352" i="7"/>
  <c r="C1352" i="7"/>
  <c r="B1352" i="7"/>
  <c r="A1352" i="7"/>
  <c r="F1351" i="7"/>
  <c r="E1351" i="7"/>
  <c r="D1351" i="7"/>
  <c r="C1351" i="7"/>
  <c r="B1351" i="7"/>
  <c r="A1351" i="7"/>
  <c r="F1350" i="7"/>
  <c r="E1350" i="7"/>
  <c r="D1350" i="7"/>
  <c r="C1350" i="7"/>
  <c r="B1350" i="7"/>
  <c r="A1350" i="7"/>
  <c r="F1349" i="7"/>
  <c r="E1349" i="7"/>
  <c r="D1349" i="7"/>
  <c r="C1349" i="7"/>
  <c r="B1349" i="7"/>
  <c r="A1349" i="7"/>
  <c r="F1348" i="7"/>
  <c r="E1348" i="7"/>
  <c r="D1348" i="7"/>
  <c r="C1348" i="7"/>
  <c r="B1348" i="7"/>
  <c r="A1348" i="7"/>
  <c r="F1347" i="7"/>
  <c r="E1347" i="7"/>
  <c r="D1347" i="7"/>
  <c r="C1347" i="7"/>
  <c r="B1347" i="7"/>
  <c r="A1347" i="7"/>
  <c r="F1346" i="7"/>
  <c r="E1346" i="7"/>
  <c r="D1346" i="7"/>
  <c r="C1346" i="7"/>
  <c r="B1346" i="7"/>
  <c r="A1346" i="7"/>
  <c r="F1345" i="7"/>
  <c r="E1345" i="7"/>
  <c r="D1345" i="7"/>
  <c r="C1345" i="7"/>
  <c r="B1345" i="7"/>
  <c r="A1345" i="7"/>
  <c r="F1344" i="7"/>
  <c r="E1344" i="7"/>
  <c r="D1344" i="7"/>
  <c r="C1344" i="7"/>
  <c r="B1344" i="7"/>
  <c r="A1344" i="7"/>
  <c r="F1343" i="7"/>
  <c r="E1343" i="7"/>
  <c r="D1343" i="7"/>
  <c r="C1343" i="7"/>
  <c r="B1343" i="7"/>
  <c r="A1343" i="7"/>
  <c r="F1342" i="7"/>
  <c r="E1342" i="7"/>
  <c r="D1342" i="7"/>
  <c r="C1342" i="7"/>
  <c r="B1342" i="7"/>
  <c r="A1342" i="7"/>
  <c r="F1341" i="7"/>
  <c r="E1341" i="7"/>
  <c r="D1341" i="7"/>
  <c r="C1341" i="7"/>
  <c r="B1341" i="7"/>
  <c r="A1341" i="7"/>
  <c r="F1340" i="7"/>
  <c r="E1340" i="7"/>
  <c r="D1340" i="7"/>
  <c r="C1340" i="7"/>
  <c r="B1340" i="7"/>
  <c r="A1340" i="7"/>
  <c r="F1339" i="7"/>
  <c r="E1339" i="7"/>
  <c r="D1339" i="7"/>
  <c r="C1339" i="7"/>
  <c r="B1339" i="7"/>
  <c r="A1339" i="7"/>
  <c r="F1338" i="7"/>
  <c r="E1338" i="7"/>
  <c r="D1338" i="7"/>
  <c r="C1338" i="7"/>
  <c r="B1338" i="7"/>
  <c r="A1338" i="7"/>
  <c r="F1337" i="7"/>
  <c r="E1337" i="7"/>
  <c r="D1337" i="7"/>
  <c r="C1337" i="7"/>
  <c r="B1337" i="7"/>
  <c r="A1337" i="7"/>
  <c r="F1336" i="7"/>
  <c r="E1336" i="7"/>
  <c r="D1336" i="7"/>
  <c r="C1336" i="7"/>
  <c r="B1336" i="7"/>
  <c r="A1336" i="7"/>
  <c r="F1335" i="7"/>
  <c r="E1335" i="7"/>
  <c r="D1335" i="7"/>
  <c r="C1335" i="7"/>
  <c r="B1335" i="7"/>
  <c r="A1335" i="7"/>
  <c r="F1334" i="7"/>
  <c r="E1334" i="7"/>
  <c r="D1334" i="7"/>
  <c r="C1334" i="7"/>
  <c r="B1334" i="7"/>
  <c r="A1334" i="7"/>
  <c r="F1333" i="7"/>
  <c r="E1333" i="7"/>
  <c r="D1333" i="7"/>
  <c r="C1333" i="7"/>
  <c r="B1333" i="7"/>
  <c r="A1333" i="7"/>
  <c r="F1332" i="7"/>
  <c r="E1332" i="7"/>
  <c r="D1332" i="7"/>
  <c r="C1332" i="7"/>
  <c r="B1332" i="7"/>
  <c r="A1332" i="7"/>
  <c r="F1331" i="7"/>
  <c r="E1331" i="7"/>
  <c r="D1331" i="7"/>
  <c r="C1331" i="7"/>
  <c r="B1331" i="7"/>
  <c r="A1331" i="7"/>
  <c r="F1330" i="7"/>
  <c r="E1330" i="7"/>
  <c r="D1330" i="7"/>
  <c r="C1330" i="7"/>
  <c r="B1330" i="7"/>
  <c r="A1330" i="7"/>
  <c r="F1329" i="7"/>
  <c r="E1329" i="7"/>
  <c r="D1329" i="7"/>
  <c r="C1329" i="7"/>
  <c r="B1329" i="7"/>
  <c r="A1329" i="7"/>
  <c r="F1328" i="7"/>
  <c r="E1328" i="7"/>
  <c r="D1328" i="7"/>
  <c r="C1328" i="7"/>
  <c r="B1328" i="7"/>
  <c r="A1328" i="7"/>
  <c r="F1327" i="7"/>
  <c r="E1327" i="7"/>
  <c r="D1327" i="7"/>
  <c r="C1327" i="7"/>
  <c r="B1327" i="7"/>
  <c r="A1327" i="7"/>
  <c r="F1326" i="7"/>
  <c r="E1326" i="7"/>
  <c r="D1326" i="7"/>
  <c r="C1326" i="7"/>
  <c r="B1326" i="7"/>
  <c r="A1326" i="7"/>
  <c r="F1325" i="7"/>
  <c r="E1325" i="7"/>
  <c r="D1325" i="7"/>
  <c r="C1325" i="7"/>
  <c r="B1325" i="7"/>
  <c r="A1325" i="7"/>
  <c r="F1324" i="7"/>
  <c r="E1324" i="7"/>
  <c r="D1324" i="7"/>
  <c r="C1324" i="7"/>
  <c r="B1324" i="7"/>
  <c r="A1324" i="7"/>
  <c r="F1323" i="7"/>
  <c r="E1323" i="7"/>
  <c r="D1323" i="7"/>
  <c r="C1323" i="7"/>
  <c r="B1323" i="7"/>
  <c r="A1323" i="7"/>
  <c r="F1322" i="7"/>
  <c r="E1322" i="7"/>
  <c r="D1322" i="7"/>
  <c r="C1322" i="7"/>
  <c r="B1322" i="7"/>
  <c r="A1322" i="7"/>
  <c r="F1321" i="7"/>
  <c r="E1321" i="7"/>
  <c r="D1321" i="7"/>
  <c r="C1321" i="7"/>
  <c r="B1321" i="7"/>
  <c r="A1321" i="7"/>
  <c r="F1320" i="7"/>
  <c r="E1320" i="7"/>
  <c r="D1320" i="7"/>
  <c r="C1320" i="7"/>
  <c r="B1320" i="7"/>
  <c r="A1320" i="7"/>
  <c r="F1319" i="7"/>
  <c r="E1319" i="7"/>
  <c r="D1319" i="7"/>
  <c r="C1319" i="7"/>
  <c r="B1319" i="7"/>
  <c r="A1319" i="7"/>
  <c r="F1318" i="7"/>
  <c r="E1318" i="7"/>
  <c r="D1318" i="7"/>
  <c r="C1318" i="7"/>
  <c r="B1318" i="7"/>
  <c r="A1318" i="7"/>
  <c r="F1317" i="7"/>
  <c r="E1317" i="7"/>
  <c r="D1317" i="7"/>
  <c r="C1317" i="7"/>
  <c r="B1317" i="7"/>
  <c r="A1317" i="7"/>
  <c r="F1316" i="7"/>
  <c r="E1316" i="7"/>
  <c r="D1316" i="7"/>
  <c r="C1316" i="7"/>
  <c r="B1316" i="7"/>
  <c r="A1316" i="7"/>
  <c r="F1315" i="7"/>
  <c r="E1315" i="7"/>
  <c r="D1315" i="7"/>
  <c r="C1315" i="7"/>
  <c r="B1315" i="7"/>
  <c r="A1315" i="7"/>
  <c r="F1314" i="7"/>
  <c r="E1314" i="7"/>
  <c r="D1314" i="7"/>
  <c r="C1314" i="7"/>
  <c r="B1314" i="7"/>
  <c r="A1314" i="7"/>
  <c r="F1313" i="7"/>
  <c r="E1313" i="7"/>
  <c r="D1313" i="7"/>
  <c r="C1313" i="7"/>
  <c r="B1313" i="7"/>
  <c r="A1313" i="7"/>
  <c r="F1312" i="7"/>
  <c r="E1312" i="7"/>
  <c r="D1312" i="7"/>
  <c r="C1312" i="7"/>
  <c r="B1312" i="7"/>
  <c r="A1312" i="7"/>
  <c r="F1311" i="7"/>
  <c r="E1311" i="7"/>
  <c r="D1311" i="7"/>
  <c r="C1311" i="7"/>
  <c r="B1311" i="7"/>
  <c r="A1311" i="7"/>
  <c r="F1310" i="7"/>
  <c r="E1310" i="7"/>
  <c r="D1310" i="7"/>
  <c r="C1310" i="7"/>
  <c r="B1310" i="7"/>
  <c r="A1310" i="7"/>
  <c r="F1309" i="7"/>
  <c r="E1309" i="7"/>
  <c r="D1309" i="7"/>
  <c r="C1309" i="7"/>
  <c r="B1309" i="7"/>
  <c r="A1309" i="7"/>
  <c r="F1308" i="7"/>
  <c r="E1308" i="7"/>
  <c r="D1308" i="7"/>
  <c r="C1308" i="7"/>
  <c r="B1308" i="7"/>
  <c r="A1308" i="7"/>
  <c r="F1307" i="7"/>
  <c r="E1307" i="7"/>
  <c r="D1307" i="7"/>
  <c r="C1307" i="7"/>
  <c r="B1307" i="7"/>
  <c r="A1307" i="7"/>
  <c r="F1306" i="7"/>
  <c r="E1306" i="7"/>
  <c r="D1306" i="7"/>
  <c r="C1306" i="7"/>
  <c r="B1306" i="7"/>
  <c r="A1306" i="7"/>
  <c r="F1305" i="7"/>
  <c r="E1305" i="7"/>
  <c r="D1305" i="7"/>
  <c r="C1305" i="7"/>
  <c r="B1305" i="7"/>
  <c r="A1305" i="7"/>
  <c r="F1304" i="7"/>
  <c r="E1304" i="7"/>
  <c r="D1304" i="7"/>
  <c r="C1304" i="7"/>
  <c r="B1304" i="7"/>
  <c r="A1304" i="7"/>
  <c r="F1303" i="7"/>
  <c r="E1303" i="7"/>
  <c r="D1303" i="7"/>
  <c r="C1303" i="7"/>
  <c r="B1303" i="7"/>
  <c r="A1303" i="7"/>
  <c r="F1302" i="7"/>
  <c r="E1302" i="7"/>
  <c r="D1302" i="7"/>
  <c r="C1302" i="7"/>
  <c r="B1302" i="7"/>
  <c r="A1302" i="7"/>
  <c r="F1301" i="7"/>
  <c r="E1301" i="7"/>
  <c r="D1301" i="7"/>
  <c r="C1301" i="7"/>
  <c r="B1301" i="7"/>
  <c r="A1301" i="7"/>
  <c r="F1300" i="7"/>
  <c r="E1300" i="7"/>
  <c r="D1300" i="7"/>
  <c r="C1300" i="7"/>
  <c r="B1300" i="7"/>
  <c r="A1300" i="7"/>
  <c r="F1299" i="7"/>
  <c r="E1299" i="7"/>
  <c r="D1299" i="7"/>
  <c r="C1299" i="7"/>
  <c r="B1299" i="7"/>
  <c r="A1299" i="7"/>
  <c r="F1298" i="7"/>
  <c r="E1298" i="7"/>
  <c r="D1298" i="7"/>
  <c r="C1298" i="7"/>
  <c r="B1298" i="7"/>
  <c r="A1298" i="7"/>
  <c r="F1297" i="7"/>
  <c r="E1297" i="7"/>
  <c r="D1297" i="7"/>
  <c r="C1297" i="7"/>
  <c r="B1297" i="7"/>
  <c r="A1297" i="7"/>
  <c r="F1296" i="7"/>
  <c r="E1296" i="7"/>
  <c r="D1296" i="7"/>
  <c r="C1296" i="7"/>
  <c r="B1296" i="7"/>
  <c r="A1296" i="7"/>
  <c r="F1295" i="7"/>
  <c r="E1295" i="7"/>
  <c r="D1295" i="7"/>
  <c r="C1295" i="7"/>
  <c r="B1295" i="7"/>
  <c r="A1295" i="7"/>
  <c r="F1294" i="7"/>
  <c r="E1294" i="7"/>
  <c r="D1294" i="7"/>
  <c r="C1294" i="7"/>
  <c r="B1294" i="7"/>
  <c r="A1294" i="7"/>
  <c r="F1293" i="7"/>
  <c r="E1293" i="7"/>
  <c r="D1293" i="7"/>
  <c r="C1293" i="7"/>
  <c r="B1293" i="7"/>
  <c r="A1293" i="7"/>
  <c r="F1292" i="7"/>
  <c r="E1292" i="7"/>
  <c r="D1292" i="7"/>
  <c r="C1292" i="7"/>
  <c r="B1292" i="7"/>
  <c r="A1292" i="7"/>
  <c r="F1291" i="7"/>
  <c r="E1291" i="7"/>
  <c r="D1291" i="7"/>
  <c r="C1291" i="7"/>
  <c r="B1291" i="7"/>
  <c r="A1291" i="7"/>
  <c r="F1290" i="7"/>
  <c r="E1290" i="7"/>
  <c r="D1290" i="7"/>
  <c r="C1290" i="7"/>
  <c r="B1290" i="7"/>
  <c r="A1290" i="7"/>
  <c r="F1289" i="7"/>
  <c r="E1289" i="7"/>
  <c r="D1289" i="7"/>
  <c r="C1289" i="7"/>
  <c r="B1289" i="7"/>
  <c r="A1289" i="7"/>
  <c r="F1288" i="7"/>
  <c r="E1288" i="7"/>
  <c r="D1288" i="7"/>
  <c r="C1288" i="7"/>
  <c r="B1288" i="7"/>
  <c r="A1288" i="7"/>
  <c r="F1287" i="7"/>
  <c r="E1287" i="7"/>
  <c r="D1287" i="7"/>
  <c r="C1287" i="7"/>
  <c r="B1287" i="7"/>
  <c r="A1287" i="7"/>
  <c r="F1286" i="7"/>
  <c r="E1286" i="7"/>
  <c r="D1286" i="7"/>
  <c r="C1286" i="7"/>
  <c r="B1286" i="7"/>
  <c r="A1286" i="7"/>
  <c r="F1285" i="7"/>
  <c r="E1285" i="7"/>
  <c r="D1285" i="7"/>
  <c r="C1285" i="7"/>
  <c r="B1285" i="7"/>
  <c r="A1285" i="7"/>
  <c r="F1284" i="7"/>
  <c r="E1284" i="7"/>
  <c r="D1284" i="7"/>
  <c r="C1284" i="7"/>
  <c r="B1284" i="7"/>
  <c r="A1284" i="7"/>
  <c r="F1283" i="7"/>
  <c r="E1283" i="7"/>
  <c r="D1283" i="7"/>
  <c r="C1283" i="7"/>
  <c r="B1283" i="7"/>
  <c r="A1283" i="7"/>
  <c r="F1282" i="7"/>
  <c r="E1282" i="7"/>
  <c r="D1282" i="7"/>
  <c r="C1282" i="7"/>
  <c r="B1282" i="7"/>
  <c r="A1282" i="7"/>
  <c r="F1281" i="7"/>
  <c r="E1281" i="7"/>
  <c r="D1281" i="7"/>
  <c r="C1281" i="7"/>
  <c r="B1281" i="7"/>
  <c r="A1281" i="7"/>
  <c r="F1280" i="7"/>
  <c r="E1280" i="7"/>
  <c r="D1280" i="7"/>
  <c r="C1280" i="7"/>
  <c r="B1280" i="7"/>
  <c r="A1280" i="7"/>
  <c r="F1279" i="7"/>
  <c r="E1279" i="7"/>
  <c r="D1279" i="7"/>
  <c r="C1279" i="7"/>
  <c r="B1279" i="7"/>
  <c r="A1279" i="7"/>
  <c r="F1278" i="7"/>
  <c r="E1278" i="7"/>
  <c r="D1278" i="7"/>
  <c r="C1278" i="7"/>
  <c r="B1278" i="7"/>
  <c r="A1278" i="7"/>
  <c r="F1277" i="7"/>
  <c r="E1277" i="7"/>
  <c r="D1277" i="7"/>
  <c r="C1277" i="7"/>
  <c r="B1277" i="7"/>
  <c r="A1277" i="7"/>
  <c r="F1276" i="7"/>
  <c r="E1276" i="7"/>
  <c r="D1276" i="7"/>
  <c r="C1276" i="7"/>
  <c r="B1276" i="7"/>
  <c r="A1276" i="7"/>
  <c r="F1275" i="7"/>
  <c r="E1275" i="7"/>
  <c r="D1275" i="7"/>
  <c r="C1275" i="7"/>
  <c r="B1275" i="7"/>
  <c r="A1275" i="7"/>
  <c r="F1274" i="7"/>
  <c r="E1274" i="7"/>
  <c r="D1274" i="7"/>
  <c r="C1274" i="7"/>
  <c r="B1274" i="7"/>
  <c r="A1274" i="7"/>
  <c r="F1273" i="7"/>
  <c r="E1273" i="7"/>
  <c r="D1273" i="7"/>
  <c r="C1273" i="7"/>
  <c r="B1273" i="7"/>
  <c r="A1273" i="7"/>
  <c r="F1272" i="7"/>
  <c r="E1272" i="7"/>
  <c r="D1272" i="7"/>
  <c r="C1272" i="7"/>
  <c r="B1272" i="7"/>
  <c r="A1272" i="7"/>
  <c r="F1271" i="7"/>
  <c r="E1271" i="7"/>
  <c r="D1271" i="7"/>
  <c r="C1271" i="7"/>
  <c r="B1271" i="7"/>
  <c r="A1271" i="7"/>
  <c r="F1270" i="7"/>
  <c r="E1270" i="7"/>
  <c r="D1270" i="7"/>
  <c r="C1270" i="7"/>
  <c r="B1270" i="7"/>
  <c r="A1270" i="7"/>
  <c r="F1269" i="7"/>
  <c r="E1269" i="7"/>
  <c r="D1269" i="7"/>
  <c r="C1269" i="7"/>
  <c r="B1269" i="7"/>
  <c r="A1269" i="7"/>
  <c r="F1268" i="7"/>
  <c r="E1268" i="7"/>
  <c r="D1268" i="7"/>
  <c r="C1268" i="7"/>
  <c r="B1268" i="7"/>
  <c r="A1268" i="7"/>
  <c r="F1267" i="7"/>
  <c r="E1267" i="7"/>
  <c r="D1267" i="7"/>
  <c r="C1267" i="7"/>
  <c r="B1267" i="7"/>
  <c r="A1267" i="7"/>
  <c r="F1266" i="7"/>
  <c r="E1266" i="7"/>
  <c r="D1266" i="7"/>
  <c r="C1266" i="7"/>
  <c r="B1266" i="7"/>
  <c r="A1266" i="7"/>
  <c r="F1265" i="7"/>
  <c r="E1265" i="7"/>
  <c r="D1265" i="7"/>
  <c r="C1265" i="7"/>
  <c r="B1265" i="7"/>
  <c r="A1265" i="7"/>
  <c r="F1264" i="7"/>
  <c r="E1264" i="7"/>
  <c r="D1264" i="7"/>
  <c r="C1264" i="7"/>
  <c r="B1264" i="7"/>
  <c r="A1264" i="7"/>
  <c r="F1263" i="7"/>
  <c r="E1263" i="7"/>
  <c r="D1263" i="7"/>
  <c r="C1263" i="7"/>
  <c r="B1263" i="7"/>
  <c r="A1263" i="7"/>
  <c r="F1262" i="7"/>
  <c r="E1262" i="7"/>
  <c r="D1262" i="7"/>
  <c r="C1262" i="7"/>
  <c r="B1262" i="7"/>
  <c r="A1262" i="7"/>
  <c r="F1261" i="7"/>
  <c r="E1261" i="7"/>
  <c r="D1261" i="7"/>
  <c r="C1261" i="7"/>
  <c r="B1261" i="7"/>
  <c r="A1261" i="7"/>
  <c r="F1260" i="7"/>
  <c r="E1260" i="7"/>
  <c r="D1260" i="7"/>
  <c r="C1260" i="7"/>
  <c r="B1260" i="7"/>
  <c r="A1260" i="7"/>
  <c r="F1259" i="7"/>
  <c r="E1259" i="7"/>
  <c r="D1259" i="7"/>
  <c r="C1259" i="7"/>
  <c r="B1259" i="7"/>
  <c r="A1259" i="7"/>
  <c r="F1258" i="7"/>
  <c r="E1258" i="7"/>
  <c r="D1258" i="7"/>
  <c r="C1258" i="7"/>
  <c r="B1258" i="7"/>
  <c r="A1258" i="7"/>
  <c r="F1257" i="7"/>
  <c r="E1257" i="7"/>
  <c r="D1257" i="7"/>
  <c r="C1257" i="7"/>
  <c r="B1257" i="7"/>
  <c r="A1257" i="7"/>
  <c r="F1256" i="7"/>
  <c r="E1256" i="7"/>
  <c r="D1256" i="7"/>
  <c r="C1256" i="7"/>
  <c r="B1256" i="7"/>
  <c r="A1256" i="7"/>
  <c r="F1255" i="7"/>
  <c r="E1255" i="7"/>
  <c r="D1255" i="7"/>
  <c r="C1255" i="7"/>
  <c r="B1255" i="7"/>
  <c r="A1255" i="7"/>
  <c r="F1254" i="7"/>
  <c r="E1254" i="7"/>
  <c r="D1254" i="7"/>
  <c r="C1254" i="7"/>
  <c r="B1254" i="7"/>
  <c r="A1254" i="7"/>
  <c r="F1253" i="7"/>
  <c r="E1253" i="7"/>
  <c r="D1253" i="7"/>
  <c r="C1253" i="7"/>
  <c r="B1253" i="7"/>
  <c r="A1253" i="7"/>
  <c r="F1252" i="7"/>
  <c r="E1252" i="7"/>
  <c r="D1252" i="7"/>
  <c r="C1252" i="7"/>
  <c r="B1252" i="7"/>
  <c r="A1252" i="7"/>
  <c r="F1251" i="7"/>
  <c r="E1251" i="7"/>
  <c r="D1251" i="7"/>
  <c r="C1251" i="7"/>
  <c r="B1251" i="7"/>
  <c r="A1251" i="7"/>
  <c r="F1250" i="7"/>
  <c r="E1250" i="7"/>
  <c r="D1250" i="7"/>
  <c r="C1250" i="7"/>
  <c r="B1250" i="7"/>
  <c r="A1250" i="7"/>
  <c r="F1249" i="7"/>
  <c r="E1249" i="7"/>
  <c r="D1249" i="7"/>
  <c r="C1249" i="7"/>
  <c r="B1249" i="7"/>
  <c r="A1249" i="7"/>
  <c r="F1248" i="7"/>
  <c r="E1248" i="7"/>
  <c r="D1248" i="7"/>
  <c r="C1248" i="7"/>
  <c r="B1248" i="7"/>
  <c r="A1248" i="7"/>
  <c r="F1247" i="7"/>
  <c r="E1247" i="7"/>
  <c r="D1247" i="7"/>
  <c r="C1247" i="7"/>
  <c r="B1247" i="7"/>
  <c r="A1247" i="7"/>
  <c r="F1246" i="7"/>
  <c r="E1246" i="7"/>
  <c r="D1246" i="7"/>
  <c r="C1246" i="7"/>
  <c r="B1246" i="7"/>
  <c r="A1246" i="7"/>
  <c r="F1245" i="7"/>
  <c r="E1245" i="7"/>
  <c r="D1245" i="7"/>
  <c r="C1245" i="7"/>
  <c r="B1245" i="7"/>
  <c r="A1245" i="7"/>
  <c r="F1244" i="7"/>
  <c r="E1244" i="7"/>
  <c r="D1244" i="7"/>
  <c r="C1244" i="7"/>
  <c r="B1244" i="7"/>
  <c r="A1244" i="7"/>
  <c r="F1243" i="7"/>
  <c r="E1243" i="7"/>
  <c r="D1243" i="7"/>
  <c r="C1243" i="7"/>
  <c r="B1243" i="7"/>
  <c r="A1243" i="7"/>
  <c r="F1242" i="7"/>
  <c r="E1242" i="7"/>
  <c r="D1242" i="7"/>
  <c r="C1242" i="7"/>
  <c r="B1242" i="7"/>
  <c r="A1242" i="7"/>
  <c r="F1241" i="7"/>
  <c r="E1241" i="7"/>
  <c r="D1241" i="7"/>
  <c r="C1241" i="7"/>
  <c r="B1241" i="7"/>
  <c r="A1241" i="7"/>
  <c r="F1240" i="7"/>
  <c r="E1240" i="7"/>
  <c r="D1240" i="7"/>
  <c r="C1240" i="7"/>
  <c r="B1240" i="7"/>
  <c r="A1240" i="7"/>
  <c r="F1239" i="7"/>
  <c r="E1239" i="7"/>
  <c r="D1239" i="7"/>
  <c r="C1239" i="7"/>
  <c r="B1239" i="7"/>
  <c r="A1239" i="7"/>
  <c r="F1238" i="7"/>
  <c r="E1238" i="7"/>
  <c r="D1238" i="7"/>
  <c r="C1238" i="7"/>
  <c r="B1238" i="7"/>
  <c r="A1238" i="7"/>
  <c r="F1237" i="7"/>
  <c r="E1237" i="7"/>
  <c r="D1237" i="7"/>
  <c r="C1237" i="7"/>
  <c r="B1237" i="7"/>
  <c r="A1237" i="7"/>
  <c r="F1236" i="7"/>
  <c r="E1236" i="7"/>
  <c r="D1236" i="7"/>
  <c r="C1236" i="7"/>
  <c r="B1236" i="7"/>
  <c r="A1236" i="7"/>
  <c r="F1235" i="7"/>
  <c r="E1235" i="7"/>
  <c r="D1235" i="7"/>
  <c r="C1235" i="7"/>
  <c r="B1235" i="7"/>
  <c r="A1235" i="7"/>
  <c r="F1234" i="7"/>
  <c r="E1234" i="7"/>
  <c r="D1234" i="7"/>
  <c r="C1234" i="7"/>
  <c r="B1234" i="7"/>
  <c r="A1234" i="7"/>
  <c r="F1233" i="7"/>
  <c r="E1233" i="7"/>
  <c r="D1233" i="7"/>
  <c r="C1233" i="7"/>
  <c r="B1233" i="7"/>
  <c r="A1233" i="7"/>
  <c r="F1232" i="7"/>
  <c r="E1232" i="7"/>
  <c r="D1232" i="7"/>
  <c r="C1232" i="7"/>
  <c r="B1232" i="7"/>
  <c r="A1232" i="7"/>
  <c r="F1231" i="7"/>
  <c r="E1231" i="7"/>
  <c r="D1231" i="7"/>
  <c r="C1231" i="7"/>
  <c r="B1231" i="7"/>
  <c r="A1231" i="7"/>
  <c r="F1230" i="7"/>
  <c r="E1230" i="7"/>
  <c r="D1230" i="7"/>
  <c r="C1230" i="7"/>
  <c r="B1230" i="7"/>
  <c r="A1230" i="7"/>
  <c r="F1229" i="7"/>
  <c r="E1229" i="7"/>
  <c r="D1229" i="7"/>
  <c r="C1229" i="7"/>
  <c r="B1229" i="7"/>
  <c r="A1229" i="7"/>
  <c r="F1228" i="7"/>
  <c r="E1228" i="7"/>
  <c r="D1228" i="7"/>
  <c r="C1228" i="7"/>
  <c r="B1228" i="7"/>
  <c r="A1228" i="7"/>
  <c r="F1227" i="7"/>
  <c r="E1227" i="7"/>
  <c r="D1227" i="7"/>
  <c r="C1227" i="7"/>
  <c r="B1227" i="7"/>
  <c r="A1227" i="7"/>
  <c r="F1226" i="7"/>
  <c r="E1226" i="7"/>
  <c r="D1226" i="7"/>
  <c r="C1226" i="7"/>
  <c r="B1226" i="7"/>
  <c r="A1226" i="7"/>
  <c r="F1225" i="7"/>
  <c r="E1225" i="7"/>
  <c r="D1225" i="7"/>
  <c r="C1225" i="7"/>
  <c r="B1225" i="7"/>
  <c r="A1225" i="7"/>
  <c r="F1224" i="7"/>
  <c r="E1224" i="7"/>
  <c r="D1224" i="7"/>
  <c r="C1224" i="7"/>
  <c r="B1224" i="7"/>
  <c r="A1224" i="7"/>
  <c r="F1223" i="7"/>
  <c r="E1223" i="7"/>
  <c r="D1223" i="7"/>
  <c r="C1223" i="7"/>
  <c r="B1223" i="7"/>
  <c r="A1223" i="7"/>
  <c r="F1222" i="7"/>
  <c r="E1222" i="7"/>
  <c r="D1222" i="7"/>
  <c r="C1222" i="7"/>
  <c r="B1222" i="7"/>
  <c r="A1222" i="7"/>
  <c r="F1221" i="7"/>
  <c r="E1221" i="7"/>
  <c r="D1221" i="7"/>
  <c r="C1221" i="7"/>
  <c r="B1221" i="7"/>
  <c r="A1221" i="7"/>
  <c r="F1220" i="7"/>
  <c r="E1220" i="7"/>
  <c r="D1220" i="7"/>
  <c r="C1220" i="7"/>
  <c r="B1220" i="7"/>
  <c r="A1220" i="7"/>
  <c r="F1219" i="7"/>
  <c r="E1219" i="7"/>
  <c r="D1219" i="7"/>
  <c r="C1219" i="7"/>
  <c r="B1219" i="7"/>
  <c r="A1219" i="7"/>
  <c r="F1218" i="7"/>
  <c r="E1218" i="7"/>
  <c r="D1218" i="7"/>
  <c r="C1218" i="7"/>
  <c r="B1218" i="7"/>
  <c r="A1218" i="7"/>
  <c r="F1217" i="7"/>
  <c r="E1217" i="7"/>
  <c r="D1217" i="7"/>
  <c r="C1217" i="7"/>
  <c r="B1217" i="7"/>
  <c r="A1217" i="7"/>
  <c r="F1216" i="7"/>
  <c r="E1216" i="7"/>
  <c r="D1216" i="7"/>
  <c r="C1216" i="7"/>
  <c r="B1216" i="7"/>
  <c r="A1216" i="7"/>
  <c r="F1215" i="7"/>
  <c r="E1215" i="7"/>
  <c r="D1215" i="7"/>
  <c r="C1215" i="7"/>
  <c r="B1215" i="7"/>
  <c r="A1215" i="7"/>
  <c r="F1214" i="7"/>
  <c r="E1214" i="7"/>
  <c r="D1214" i="7"/>
  <c r="C1214" i="7"/>
  <c r="B1214" i="7"/>
  <c r="A1214" i="7"/>
  <c r="F1213" i="7"/>
  <c r="E1213" i="7"/>
  <c r="D1213" i="7"/>
  <c r="C1213" i="7"/>
  <c r="B1213" i="7"/>
  <c r="A1213" i="7"/>
  <c r="F1212" i="7"/>
  <c r="E1212" i="7"/>
  <c r="D1212" i="7"/>
  <c r="C1212" i="7"/>
  <c r="B1212" i="7"/>
  <c r="A1212" i="7"/>
  <c r="F1211" i="7"/>
  <c r="E1211" i="7"/>
  <c r="D1211" i="7"/>
  <c r="C1211" i="7"/>
  <c r="B1211" i="7"/>
  <c r="A1211" i="7"/>
  <c r="F1210" i="7"/>
  <c r="E1210" i="7"/>
  <c r="D1210" i="7"/>
  <c r="C1210" i="7"/>
  <c r="B1210" i="7"/>
  <c r="A1210" i="7"/>
  <c r="F1209" i="7"/>
  <c r="E1209" i="7"/>
  <c r="D1209" i="7"/>
  <c r="C1209" i="7"/>
  <c r="B1209" i="7"/>
  <c r="A1209" i="7"/>
  <c r="F1208" i="7"/>
  <c r="E1208" i="7"/>
  <c r="D1208" i="7"/>
  <c r="C1208" i="7"/>
  <c r="B1208" i="7"/>
  <c r="A1208" i="7"/>
  <c r="F1207" i="7"/>
  <c r="E1207" i="7"/>
  <c r="D1207" i="7"/>
  <c r="C1207" i="7"/>
  <c r="B1207" i="7"/>
  <c r="A1207" i="7"/>
  <c r="F1206" i="7"/>
  <c r="E1206" i="7"/>
  <c r="D1206" i="7"/>
  <c r="C1206" i="7"/>
  <c r="B1206" i="7"/>
  <c r="A1206" i="7"/>
  <c r="F1205" i="7"/>
  <c r="E1205" i="7"/>
  <c r="D1205" i="7"/>
  <c r="C1205" i="7"/>
  <c r="B1205" i="7"/>
  <c r="A1205" i="7"/>
  <c r="F1204" i="7"/>
  <c r="E1204" i="7"/>
  <c r="D1204" i="7"/>
  <c r="C1204" i="7"/>
  <c r="B1204" i="7"/>
  <c r="A1204" i="7"/>
  <c r="F1203" i="7"/>
  <c r="E1203" i="7"/>
  <c r="D1203" i="7"/>
  <c r="C1203" i="7"/>
  <c r="B1203" i="7"/>
  <c r="A1203" i="7"/>
  <c r="F1202" i="7"/>
  <c r="E1202" i="7"/>
  <c r="D1202" i="7"/>
  <c r="C1202" i="7"/>
  <c r="B1202" i="7"/>
  <c r="A1202" i="7"/>
  <c r="F1201" i="7"/>
  <c r="E1201" i="7"/>
  <c r="D1201" i="7"/>
  <c r="C1201" i="7"/>
  <c r="B1201" i="7"/>
  <c r="A1201" i="7"/>
  <c r="F1200" i="7"/>
  <c r="E1200" i="7"/>
  <c r="D1200" i="7"/>
  <c r="C1200" i="7"/>
  <c r="B1200" i="7"/>
  <c r="A1200" i="7"/>
  <c r="F1199" i="7"/>
  <c r="E1199" i="7"/>
  <c r="D1199" i="7"/>
  <c r="C1199" i="7"/>
  <c r="B1199" i="7"/>
  <c r="A1199" i="7"/>
  <c r="F1198" i="7"/>
  <c r="E1198" i="7"/>
  <c r="D1198" i="7"/>
  <c r="C1198" i="7"/>
  <c r="B1198" i="7"/>
  <c r="A1198" i="7"/>
  <c r="F1197" i="7"/>
  <c r="E1197" i="7"/>
  <c r="D1197" i="7"/>
  <c r="C1197" i="7"/>
  <c r="B1197" i="7"/>
  <c r="A1197" i="7"/>
  <c r="F1196" i="7"/>
  <c r="E1196" i="7"/>
  <c r="D1196" i="7"/>
  <c r="C1196" i="7"/>
  <c r="B1196" i="7"/>
  <c r="A1196" i="7"/>
  <c r="F1195" i="7"/>
  <c r="E1195" i="7"/>
  <c r="D1195" i="7"/>
  <c r="C1195" i="7"/>
  <c r="B1195" i="7"/>
  <c r="A1195" i="7"/>
  <c r="F1194" i="7"/>
  <c r="E1194" i="7"/>
  <c r="D1194" i="7"/>
  <c r="C1194" i="7"/>
  <c r="B1194" i="7"/>
  <c r="A1194" i="7"/>
  <c r="F1193" i="7"/>
  <c r="E1193" i="7"/>
  <c r="D1193" i="7"/>
  <c r="C1193" i="7"/>
  <c r="B1193" i="7"/>
  <c r="A1193" i="7"/>
  <c r="F1192" i="7"/>
  <c r="E1192" i="7"/>
  <c r="D1192" i="7"/>
  <c r="C1192" i="7"/>
  <c r="B1192" i="7"/>
  <c r="A1192" i="7"/>
  <c r="F1191" i="7"/>
  <c r="E1191" i="7"/>
  <c r="D1191" i="7"/>
  <c r="C1191" i="7"/>
  <c r="B1191" i="7"/>
  <c r="A1191" i="7"/>
  <c r="F1190" i="7"/>
  <c r="E1190" i="7"/>
  <c r="D1190" i="7"/>
  <c r="C1190" i="7"/>
  <c r="B1190" i="7"/>
  <c r="A1190" i="7"/>
  <c r="F1189" i="7"/>
  <c r="E1189" i="7"/>
  <c r="D1189" i="7"/>
  <c r="C1189" i="7"/>
  <c r="B1189" i="7"/>
  <c r="A1189" i="7"/>
  <c r="F1188" i="7"/>
  <c r="E1188" i="7"/>
  <c r="D1188" i="7"/>
  <c r="C1188" i="7"/>
  <c r="B1188" i="7"/>
  <c r="A1188" i="7"/>
  <c r="F1187" i="7"/>
  <c r="E1187" i="7"/>
  <c r="D1187" i="7"/>
  <c r="C1187" i="7"/>
  <c r="B1187" i="7"/>
  <c r="A1187" i="7"/>
  <c r="F1186" i="7"/>
  <c r="E1186" i="7"/>
  <c r="D1186" i="7"/>
  <c r="C1186" i="7"/>
  <c r="B1186" i="7"/>
  <c r="A1186" i="7"/>
  <c r="F1185" i="7"/>
  <c r="E1185" i="7"/>
  <c r="D1185" i="7"/>
  <c r="C1185" i="7"/>
  <c r="B1185" i="7"/>
  <c r="A1185" i="7"/>
  <c r="F1184" i="7"/>
  <c r="E1184" i="7"/>
  <c r="D1184" i="7"/>
  <c r="C1184" i="7"/>
  <c r="B1184" i="7"/>
  <c r="A1184" i="7"/>
  <c r="F1183" i="7"/>
  <c r="E1183" i="7"/>
  <c r="D1183" i="7"/>
  <c r="C1183" i="7"/>
  <c r="B1183" i="7"/>
  <c r="A1183" i="7"/>
  <c r="F1182" i="7"/>
  <c r="E1182" i="7"/>
  <c r="D1182" i="7"/>
  <c r="C1182" i="7"/>
  <c r="B1182" i="7"/>
  <c r="A1182" i="7"/>
  <c r="F1181" i="7"/>
  <c r="E1181" i="7"/>
  <c r="D1181" i="7"/>
  <c r="C1181" i="7"/>
  <c r="B1181" i="7"/>
  <c r="A1181" i="7"/>
  <c r="F1180" i="7"/>
  <c r="E1180" i="7"/>
  <c r="D1180" i="7"/>
  <c r="C1180" i="7"/>
  <c r="B1180" i="7"/>
  <c r="A1180" i="7"/>
  <c r="F1179" i="7"/>
  <c r="E1179" i="7"/>
  <c r="D1179" i="7"/>
  <c r="C1179" i="7"/>
  <c r="B1179" i="7"/>
  <c r="A1179" i="7"/>
  <c r="F1178" i="7"/>
  <c r="E1178" i="7"/>
  <c r="D1178" i="7"/>
  <c r="C1178" i="7"/>
  <c r="B1178" i="7"/>
  <c r="A1178" i="7"/>
  <c r="F1177" i="7"/>
  <c r="E1177" i="7"/>
  <c r="D1177" i="7"/>
  <c r="C1177" i="7"/>
  <c r="B1177" i="7"/>
  <c r="A1177" i="7"/>
  <c r="F1176" i="7"/>
  <c r="E1176" i="7"/>
  <c r="D1176" i="7"/>
  <c r="C1176" i="7"/>
  <c r="B1176" i="7"/>
  <c r="A1176" i="7"/>
  <c r="F1175" i="7"/>
  <c r="E1175" i="7"/>
  <c r="D1175" i="7"/>
  <c r="C1175" i="7"/>
  <c r="B1175" i="7"/>
  <c r="A1175" i="7"/>
  <c r="F1174" i="7"/>
  <c r="E1174" i="7"/>
  <c r="D1174" i="7"/>
  <c r="C1174" i="7"/>
  <c r="B1174" i="7"/>
  <c r="A1174" i="7"/>
  <c r="F1173" i="7"/>
  <c r="E1173" i="7"/>
  <c r="D1173" i="7"/>
  <c r="C1173" i="7"/>
  <c r="B1173" i="7"/>
  <c r="A1173" i="7"/>
  <c r="F1172" i="7"/>
  <c r="E1172" i="7"/>
  <c r="D1172" i="7"/>
  <c r="C1172" i="7"/>
  <c r="B1172" i="7"/>
  <c r="A1172" i="7"/>
  <c r="F1171" i="7"/>
  <c r="E1171" i="7"/>
  <c r="D1171" i="7"/>
  <c r="C1171" i="7"/>
  <c r="B1171" i="7"/>
  <c r="A1171" i="7"/>
  <c r="F1170" i="7"/>
  <c r="E1170" i="7"/>
  <c r="D1170" i="7"/>
  <c r="C1170" i="7"/>
  <c r="B1170" i="7"/>
  <c r="A1170" i="7"/>
  <c r="F1169" i="7"/>
  <c r="E1169" i="7"/>
  <c r="D1169" i="7"/>
  <c r="C1169" i="7"/>
  <c r="B1169" i="7"/>
  <c r="A1169" i="7"/>
  <c r="F1168" i="7"/>
  <c r="E1168" i="7"/>
  <c r="D1168" i="7"/>
  <c r="C1168" i="7"/>
  <c r="B1168" i="7"/>
  <c r="A1168" i="7"/>
  <c r="F1167" i="7"/>
  <c r="E1167" i="7"/>
  <c r="D1167" i="7"/>
  <c r="C1167" i="7"/>
  <c r="B1167" i="7"/>
  <c r="A1167" i="7"/>
  <c r="F1166" i="7"/>
  <c r="E1166" i="7"/>
  <c r="D1166" i="7"/>
  <c r="C1166" i="7"/>
  <c r="B1166" i="7"/>
  <c r="A1166" i="7"/>
  <c r="F1165" i="7"/>
  <c r="E1165" i="7"/>
  <c r="D1165" i="7"/>
  <c r="C1165" i="7"/>
  <c r="B1165" i="7"/>
  <c r="A1165" i="7"/>
  <c r="F1164" i="7"/>
  <c r="E1164" i="7"/>
  <c r="D1164" i="7"/>
  <c r="C1164" i="7"/>
  <c r="B1164" i="7"/>
  <c r="A1164" i="7"/>
  <c r="F1163" i="7"/>
  <c r="E1163" i="7"/>
  <c r="D1163" i="7"/>
  <c r="C1163" i="7"/>
  <c r="B1163" i="7"/>
  <c r="A1163" i="7"/>
  <c r="F1162" i="7"/>
  <c r="E1162" i="7"/>
  <c r="D1162" i="7"/>
  <c r="C1162" i="7"/>
  <c r="B1162" i="7"/>
  <c r="A1162" i="7"/>
  <c r="F1161" i="7"/>
  <c r="E1161" i="7"/>
  <c r="D1161" i="7"/>
  <c r="C1161" i="7"/>
  <c r="B1161" i="7"/>
  <c r="A1161" i="7"/>
  <c r="F1160" i="7"/>
  <c r="E1160" i="7"/>
  <c r="D1160" i="7"/>
  <c r="C1160" i="7"/>
  <c r="B1160" i="7"/>
  <c r="A1160" i="7"/>
  <c r="F1159" i="7"/>
  <c r="E1159" i="7"/>
  <c r="D1159" i="7"/>
  <c r="C1159" i="7"/>
  <c r="B1159" i="7"/>
  <c r="A1159" i="7"/>
  <c r="F1158" i="7"/>
  <c r="E1158" i="7"/>
  <c r="D1158" i="7"/>
  <c r="C1158" i="7"/>
  <c r="B1158" i="7"/>
  <c r="A1158" i="7"/>
  <c r="F1157" i="7"/>
  <c r="E1157" i="7"/>
  <c r="D1157" i="7"/>
  <c r="C1157" i="7"/>
  <c r="B1157" i="7"/>
  <c r="A1157" i="7"/>
  <c r="F1156" i="7"/>
  <c r="E1156" i="7"/>
  <c r="D1156" i="7"/>
  <c r="C1156" i="7"/>
  <c r="B1156" i="7"/>
  <c r="A1156" i="7"/>
  <c r="F1155" i="7"/>
  <c r="E1155" i="7"/>
  <c r="D1155" i="7"/>
  <c r="C1155" i="7"/>
  <c r="B1155" i="7"/>
  <c r="A1155" i="7"/>
  <c r="F1154" i="7"/>
  <c r="E1154" i="7"/>
  <c r="D1154" i="7"/>
  <c r="C1154" i="7"/>
  <c r="B1154" i="7"/>
  <c r="A1154" i="7"/>
  <c r="F1153" i="7"/>
  <c r="E1153" i="7"/>
  <c r="D1153" i="7"/>
  <c r="C1153" i="7"/>
  <c r="B1153" i="7"/>
  <c r="A1153" i="7"/>
  <c r="F1152" i="7"/>
  <c r="E1152" i="7"/>
  <c r="D1152" i="7"/>
  <c r="C1152" i="7"/>
  <c r="B1152" i="7"/>
  <c r="A1152" i="7"/>
  <c r="F1151" i="7"/>
  <c r="E1151" i="7"/>
  <c r="D1151" i="7"/>
  <c r="C1151" i="7"/>
  <c r="B1151" i="7"/>
  <c r="A1151" i="7"/>
  <c r="F1150" i="7"/>
  <c r="E1150" i="7"/>
  <c r="D1150" i="7"/>
  <c r="C1150" i="7"/>
  <c r="B1150" i="7"/>
  <c r="A1150" i="7"/>
  <c r="F1149" i="7"/>
  <c r="E1149" i="7"/>
  <c r="D1149" i="7"/>
  <c r="C1149" i="7"/>
  <c r="B1149" i="7"/>
  <c r="A1149" i="7"/>
  <c r="F1148" i="7"/>
  <c r="E1148" i="7"/>
  <c r="D1148" i="7"/>
  <c r="C1148" i="7"/>
  <c r="B1148" i="7"/>
  <c r="A1148" i="7"/>
  <c r="F1147" i="7"/>
  <c r="E1147" i="7"/>
  <c r="D1147" i="7"/>
  <c r="C1147" i="7"/>
  <c r="B1147" i="7"/>
  <c r="A1147" i="7"/>
  <c r="F1146" i="7"/>
  <c r="E1146" i="7"/>
  <c r="D1146" i="7"/>
  <c r="C1146" i="7"/>
  <c r="B1146" i="7"/>
  <c r="A1146" i="7"/>
  <c r="F1145" i="7"/>
  <c r="E1145" i="7"/>
  <c r="D1145" i="7"/>
  <c r="C1145" i="7"/>
  <c r="B1145" i="7"/>
  <c r="A1145" i="7"/>
  <c r="F1144" i="7"/>
  <c r="E1144" i="7"/>
  <c r="D1144" i="7"/>
  <c r="C1144" i="7"/>
  <c r="B1144" i="7"/>
  <c r="A1144" i="7"/>
  <c r="F1143" i="7"/>
  <c r="E1143" i="7"/>
  <c r="D1143" i="7"/>
  <c r="C1143" i="7"/>
  <c r="B1143" i="7"/>
  <c r="A1143" i="7"/>
  <c r="F1142" i="7"/>
  <c r="E1142" i="7"/>
  <c r="D1142" i="7"/>
  <c r="C1142" i="7"/>
  <c r="B1142" i="7"/>
  <c r="A1142" i="7"/>
  <c r="F1141" i="7"/>
  <c r="E1141" i="7"/>
  <c r="D1141" i="7"/>
  <c r="C1141" i="7"/>
  <c r="B1141" i="7"/>
  <c r="A1141" i="7"/>
  <c r="F1140" i="7"/>
  <c r="E1140" i="7"/>
  <c r="D1140" i="7"/>
  <c r="C1140" i="7"/>
  <c r="B1140" i="7"/>
  <c r="A1140" i="7"/>
  <c r="F1139" i="7"/>
  <c r="E1139" i="7"/>
  <c r="D1139" i="7"/>
  <c r="C1139" i="7"/>
  <c r="B1139" i="7"/>
  <c r="A1139" i="7"/>
  <c r="F1138" i="7"/>
  <c r="E1138" i="7"/>
  <c r="D1138" i="7"/>
  <c r="C1138" i="7"/>
  <c r="B1138" i="7"/>
  <c r="A1138" i="7"/>
  <c r="F1137" i="7"/>
  <c r="E1137" i="7"/>
  <c r="D1137" i="7"/>
  <c r="C1137" i="7"/>
  <c r="B1137" i="7"/>
  <c r="A1137" i="7"/>
  <c r="F1136" i="7"/>
  <c r="E1136" i="7"/>
  <c r="D1136" i="7"/>
  <c r="C1136" i="7"/>
  <c r="B1136" i="7"/>
  <c r="A1136" i="7"/>
  <c r="F1135" i="7"/>
  <c r="E1135" i="7"/>
  <c r="D1135" i="7"/>
  <c r="C1135" i="7"/>
  <c r="B1135" i="7"/>
  <c r="A1135" i="7"/>
  <c r="F1134" i="7"/>
  <c r="E1134" i="7"/>
  <c r="D1134" i="7"/>
  <c r="C1134" i="7"/>
  <c r="B1134" i="7"/>
  <c r="A1134" i="7"/>
  <c r="F1133" i="7"/>
  <c r="E1133" i="7"/>
  <c r="D1133" i="7"/>
  <c r="C1133" i="7"/>
  <c r="B1133" i="7"/>
  <c r="A1133" i="7"/>
  <c r="F1132" i="7"/>
  <c r="E1132" i="7"/>
  <c r="D1132" i="7"/>
  <c r="C1132" i="7"/>
  <c r="B1132" i="7"/>
  <c r="A1132" i="7"/>
  <c r="F1131" i="7"/>
  <c r="E1131" i="7"/>
  <c r="D1131" i="7"/>
  <c r="C1131" i="7"/>
  <c r="B1131" i="7"/>
  <c r="A1131" i="7"/>
  <c r="F1130" i="7"/>
  <c r="E1130" i="7"/>
  <c r="D1130" i="7"/>
  <c r="C1130" i="7"/>
  <c r="B1130" i="7"/>
  <c r="A1130" i="7"/>
  <c r="F1129" i="7"/>
  <c r="E1129" i="7"/>
  <c r="D1129" i="7"/>
  <c r="C1129" i="7"/>
  <c r="B1129" i="7"/>
  <c r="A1129" i="7"/>
  <c r="F1128" i="7"/>
  <c r="E1128" i="7"/>
  <c r="D1128" i="7"/>
  <c r="C1128" i="7"/>
  <c r="B1128" i="7"/>
  <c r="A1128" i="7"/>
  <c r="F1127" i="7"/>
  <c r="E1127" i="7"/>
  <c r="D1127" i="7"/>
  <c r="C1127" i="7"/>
  <c r="B1127" i="7"/>
  <c r="A1127" i="7"/>
  <c r="F1126" i="7"/>
  <c r="E1126" i="7"/>
  <c r="D1126" i="7"/>
  <c r="C1126" i="7"/>
  <c r="B1126" i="7"/>
  <c r="A1126" i="7"/>
  <c r="F1125" i="7"/>
  <c r="E1125" i="7"/>
  <c r="D1125" i="7"/>
  <c r="C1125" i="7"/>
  <c r="B1125" i="7"/>
  <c r="A1125" i="7"/>
  <c r="F1124" i="7"/>
  <c r="E1124" i="7"/>
  <c r="D1124" i="7"/>
  <c r="C1124" i="7"/>
  <c r="B1124" i="7"/>
  <c r="A1124" i="7"/>
  <c r="F1123" i="7"/>
  <c r="E1123" i="7"/>
  <c r="D1123" i="7"/>
  <c r="C1123" i="7"/>
  <c r="B1123" i="7"/>
  <c r="A1123" i="7"/>
  <c r="F1122" i="7"/>
  <c r="E1122" i="7"/>
  <c r="D1122" i="7"/>
  <c r="C1122" i="7"/>
  <c r="B1122" i="7"/>
  <c r="A1122" i="7"/>
  <c r="F1121" i="7"/>
  <c r="E1121" i="7"/>
  <c r="D1121" i="7"/>
  <c r="C1121" i="7"/>
  <c r="B1121" i="7"/>
  <c r="A1121" i="7"/>
  <c r="F1120" i="7"/>
  <c r="E1120" i="7"/>
  <c r="D1120" i="7"/>
  <c r="C1120" i="7"/>
  <c r="B1120" i="7"/>
  <c r="A1120" i="7"/>
  <c r="F1119" i="7"/>
  <c r="E1119" i="7"/>
  <c r="D1119" i="7"/>
  <c r="C1119" i="7"/>
  <c r="B1119" i="7"/>
  <c r="A1119" i="7"/>
  <c r="F1118" i="7"/>
  <c r="E1118" i="7"/>
  <c r="D1118" i="7"/>
  <c r="C1118" i="7"/>
  <c r="B1118" i="7"/>
  <c r="A1118" i="7"/>
  <c r="F1117" i="7"/>
  <c r="E1117" i="7"/>
  <c r="D1117" i="7"/>
  <c r="C1117" i="7"/>
  <c r="B1117" i="7"/>
  <c r="A1117" i="7"/>
  <c r="F1116" i="7"/>
  <c r="E1116" i="7"/>
  <c r="D1116" i="7"/>
  <c r="C1116" i="7"/>
  <c r="B1116" i="7"/>
  <c r="A1116" i="7"/>
  <c r="F1115" i="7"/>
  <c r="E1115" i="7"/>
  <c r="D1115" i="7"/>
  <c r="C1115" i="7"/>
  <c r="B1115" i="7"/>
  <c r="A1115" i="7"/>
  <c r="F1114" i="7"/>
  <c r="E1114" i="7"/>
  <c r="D1114" i="7"/>
  <c r="C1114" i="7"/>
  <c r="B1114" i="7"/>
  <c r="A1114" i="7"/>
  <c r="F1113" i="7"/>
  <c r="E1113" i="7"/>
  <c r="D1113" i="7"/>
  <c r="C1113" i="7"/>
  <c r="B1113" i="7"/>
  <c r="A1113" i="7"/>
  <c r="F1112" i="7"/>
  <c r="E1112" i="7"/>
  <c r="D1112" i="7"/>
  <c r="C1112" i="7"/>
  <c r="B1112" i="7"/>
  <c r="A1112" i="7"/>
  <c r="F1111" i="7"/>
  <c r="E1111" i="7"/>
  <c r="D1111" i="7"/>
  <c r="C1111" i="7"/>
  <c r="B1111" i="7"/>
  <c r="A1111" i="7"/>
  <c r="F1110" i="7"/>
  <c r="E1110" i="7"/>
  <c r="D1110" i="7"/>
  <c r="C1110" i="7"/>
  <c r="B1110" i="7"/>
  <c r="A1110" i="7"/>
  <c r="F1109" i="7"/>
  <c r="E1109" i="7"/>
  <c r="D1109" i="7"/>
  <c r="C1109" i="7"/>
  <c r="B1109" i="7"/>
  <c r="A1109" i="7"/>
  <c r="F1108" i="7"/>
  <c r="E1108" i="7"/>
  <c r="D1108" i="7"/>
  <c r="C1108" i="7"/>
  <c r="B1108" i="7"/>
  <c r="A1108" i="7"/>
  <c r="F1107" i="7"/>
  <c r="E1107" i="7"/>
  <c r="D1107" i="7"/>
  <c r="C1107" i="7"/>
  <c r="B1107" i="7"/>
  <c r="A1107" i="7"/>
  <c r="F1106" i="7"/>
  <c r="E1106" i="7"/>
  <c r="D1106" i="7"/>
  <c r="C1106" i="7"/>
  <c r="B1106" i="7"/>
  <c r="A1106" i="7"/>
  <c r="F1105" i="7"/>
  <c r="E1105" i="7"/>
  <c r="D1105" i="7"/>
  <c r="C1105" i="7"/>
  <c r="B1105" i="7"/>
  <c r="A1105" i="7"/>
  <c r="F1104" i="7"/>
  <c r="E1104" i="7"/>
  <c r="D1104" i="7"/>
  <c r="C1104" i="7"/>
  <c r="B1104" i="7"/>
  <c r="A1104" i="7"/>
  <c r="F1103" i="7"/>
  <c r="E1103" i="7"/>
  <c r="D1103" i="7"/>
  <c r="C1103" i="7"/>
  <c r="B1103" i="7"/>
  <c r="A1103" i="7"/>
  <c r="F1102" i="7"/>
  <c r="E1102" i="7"/>
  <c r="D1102" i="7"/>
  <c r="C1102" i="7"/>
  <c r="B1102" i="7"/>
  <c r="A1102" i="7"/>
  <c r="F1101" i="7"/>
  <c r="E1101" i="7"/>
  <c r="D1101" i="7"/>
  <c r="C1101" i="7"/>
  <c r="B1101" i="7"/>
  <c r="A1101" i="7"/>
  <c r="F1100" i="7"/>
  <c r="E1100" i="7"/>
  <c r="D1100" i="7"/>
  <c r="C1100" i="7"/>
  <c r="B1100" i="7"/>
  <c r="A1100" i="7"/>
  <c r="F1099" i="7"/>
  <c r="E1099" i="7"/>
  <c r="D1099" i="7"/>
  <c r="C1099" i="7"/>
  <c r="B1099" i="7"/>
  <c r="A1099" i="7"/>
  <c r="F1098" i="7"/>
  <c r="E1098" i="7"/>
  <c r="D1098" i="7"/>
  <c r="C1098" i="7"/>
  <c r="B1098" i="7"/>
  <c r="A1098" i="7"/>
  <c r="F1097" i="7"/>
  <c r="E1097" i="7"/>
  <c r="D1097" i="7"/>
  <c r="C1097" i="7"/>
  <c r="B1097" i="7"/>
  <c r="A1097" i="7"/>
  <c r="F1096" i="7"/>
  <c r="E1096" i="7"/>
  <c r="D1096" i="7"/>
  <c r="C1096" i="7"/>
  <c r="B1096" i="7"/>
  <c r="A1096" i="7"/>
  <c r="F1095" i="7"/>
  <c r="E1095" i="7"/>
  <c r="D1095" i="7"/>
  <c r="C1095" i="7"/>
  <c r="B1095" i="7"/>
  <c r="A1095" i="7"/>
  <c r="F1094" i="7"/>
  <c r="E1094" i="7"/>
  <c r="D1094" i="7"/>
  <c r="C1094" i="7"/>
  <c r="B1094" i="7"/>
  <c r="A1094" i="7"/>
  <c r="F1093" i="7"/>
  <c r="E1093" i="7"/>
  <c r="D1093" i="7"/>
  <c r="C1093" i="7"/>
  <c r="B1093" i="7"/>
  <c r="A1093" i="7"/>
  <c r="F1092" i="7"/>
  <c r="E1092" i="7"/>
  <c r="D1092" i="7"/>
  <c r="C1092" i="7"/>
  <c r="B1092" i="7"/>
  <c r="A1092" i="7"/>
  <c r="F1091" i="7"/>
  <c r="E1091" i="7"/>
  <c r="D1091" i="7"/>
  <c r="C1091" i="7"/>
  <c r="B1091" i="7"/>
  <c r="A1091" i="7"/>
  <c r="F1090" i="7"/>
  <c r="E1090" i="7"/>
  <c r="D1090" i="7"/>
  <c r="C1090" i="7"/>
  <c r="B1090" i="7"/>
  <c r="A1090" i="7"/>
  <c r="F1089" i="7"/>
  <c r="E1089" i="7"/>
  <c r="D1089" i="7"/>
  <c r="C1089" i="7"/>
  <c r="B1089" i="7"/>
  <c r="A1089" i="7"/>
  <c r="F1088" i="7"/>
  <c r="E1088" i="7"/>
  <c r="D1088" i="7"/>
  <c r="C1088" i="7"/>
  <c r="B1088" i="7"/>
  <c r="A1088" i="7"/>
  <c r="F1087" i="7"/>
  <c r="E1087" i="7"/>
  <c r="D1087" i="7"/>
  <c r="C1087" i="7"/>
  <c r="B1087" i="7"/>
  <c r="A1087" i="7"/>
  <c r="F1086" i="7"/>
  <c r="E1086" i="7"/>
  <c r="D1086" i="7"/>
  <c r="C1086" i="7"/>
  <c r="B1086" i="7"/>
  <c r="A1086" i="7"/>
  <c r="F1085" i="7"/>
  <c r="E1085" i="7"/>
  <c r="D1085" i="7"/>
  <c r="C1085" i="7"/>
  <c r="B1085" i="7"/>
  <c r="A1085" i="7"/>
  <c r="F1084" i="7"/>
  <c r="E1084" i="7"/>
  <c r="D1084" i="7"/>
  <c r="C1084" i="7"/>
  <c r="B1084" i="7"/>
  <c r="A1084" i="7"/>
  <c r="F1083" i="7"/>
  <c r="E1083" i="7"/>
  <c r="D1083" i="7"/>
  <c r="C1083" i="7"/>
  <c r="B1083" i="7"/>
  <c r="A1083" i="7"/>
  <c r="F1082" i="7"/>
  <c r="E1082" i="7"/>
  <c r="D1082" i="7"/>
  <c r="C1082" i="7"/>
  <c r="B1082" i="7"/>
  <c r="A1082" i="7"/>
  <c r="F1081" i="7"/>
  <c r="E1081" i="7"/>
  <c r="D1081" i="7"/>
  <c r="C1081" i="7"/>
  <c r="B1081" i="7"/>
  <c r="A1081" i="7"/>
  <c r="F1080" i="7"/>
  <c r="E1080" i="7"/>
  <c r="D1080" i="7"/>
  <c r="C1080" i="7"/>
  <c r="B1080" i="7"/>
  <c r="A1080" i="7"/>
  <c r="F1079" i="7"/>
  <c r="E1079" i="7"/>
  <c r="D1079" i="7"/>
  <c r="C1079" i="7"/>
  <c r="B1079" i="7"/>
  <c r="A1079" i="7"/>
  <c r="F1078" i="7"/>
  <c r="E1078" i="7"/>
  <c r="D1078" i="7"/>
  <c r="C1078" i="7"/>
  <c r="B1078" i="7"/>
  <c r="A1078" i="7"/>
  <c r="F1077" i="7"/>
  <c r="E1077" i="7"/>
  <c r="D1077" i="7"/>
  <c r="C1077" i="7"/>
  <c r="B1077" i="7"/>
  <c r="A1077" i="7"/>
  <c r="F1076" i="7"/>
  <c r="E1076" i="7"/>
  <c r="D1076" i="7"/>
  <c r="C1076" i="7"/>
  <c r="B1076" i="7"/>
  <c r="A1076" i="7"/>
  <c r="F1075" i="7"/>
  <c r="E1075" i="7"/>
  <c r="D1075" i="7"/>
  <c r="C1075" i="7"/>
  <c r="B1075" i="7"/>
  <c r="A1075" i="7"/>
  <c r="F1074" i="7"/>
  <c r="E1074" i="7"/>
  <c r="D1074" i="7"/>
  <c r="C1074" i="7"/>
  <c r="B1074" i="7"/>
  <c r="A1074" i="7"/>
  <c r="F1073" i="7"/>
  <c r="E1073" i="7"/>
  <c r="D1073" i="7"/>
  <c r="C1073" i="7"/>
  <c r="B1073" i="7"/>
  <c r="A1073" i="7"/>
  <c r="F1072" i="7"/>
  <c r="E1072" i="7"/>
  <c r="D1072" i="7"/>
  <c r="C1072" i="7"/>
  <c r="B1072" i="7"/>
  <c r="A1072" i="7"/>
  <c r="F1071" i="7"/>
  <c r="E1071" i="7"/>
  <c r="D1071" i="7"/>
  <c r="C1071" i="7"/>
  <c r="B1071" i="7"/>
  <c r="A1071" i="7"/>
  <c r="F1070" i="7"/>
  <c r="E1070" i="7"/>
  <c r="D1070" i="7"/>
  <c r="C1070" i="7"/>
  <c r="B1070" i="7"/>
  <c r="A1070" i="7"/>
  <c r="F1069" i="7"/>
  <c r="E1069" i="7"/>
  <c r="D1069" i="7"/>
  <c r="C1069" i="7"/>
  <c r="B1069" i="7"/>
  <c r="A1069" i="7"/>
  <c r="F1068" i="7"/>
  <c r="E1068" i="7"/>
  <c r="D1068" i="7"/>
  <c r="C1068" i="7"/>
  <c r="B1068" i="7"/>
  <c r="A1068" i="7"/>
  <c r="F1067" i="7"/>
  <c r="E1067" i="7"/>
  <c r="D1067" i="7"/>
  <c r="C1067" i="7"/>
  <c r="B1067" i="7"/>
  <c r="A1067" i="7"/>
  <c r="F1066" i="7"/>
  <c r="E1066" i="7"/>
  <c r="D1066" i="7"/>
  <c r="C1066" i="7"/>
  <c r="B1066" i="7"/>
  <c r="A1066" i="7"/>
  <c r="F1065" i="7"/>
  <c r="E1065" i="7"/>
  <c r="D1065" i="7"/>
  <c r="C1065" i="7"/>
  <c r="B1065" i="7"/>
  <c r="A1065" i="7"/>
  <c r="F1064" i="7"/>
  <c r="E1064" i="7"/>
  <c r="D1064" i="7"/>
  <c r="C1064" i="7"/>
  <c r="B1064" i="7"/>
  <c r="A1064" i="7"/>
  <c r="F1063" i="7"/>
  <c r="E1063" i="7"/>
  <c r="D1063" i="7"/>
  <c r="C1063" i="7"/>
  <c r="B1063" i="7"/>
  <c r="A1063" i="7"/>
  <c r="F1062" i="7"/>
  <c r="E1062" i="7"/>
  <c r="D1062" i="7"/>
  <c r="C1062" i="7"/>
  <c r="B1062" i="7"/>
  <c r="A1062" i="7"/>
  <c r="F1061" i="7"/>
  <c r="E1061" i="7"/>
  <c r="D1061" i="7"/>
  <c r="C1061" i="7"/>
  <c r="B1061" i="7"/>
  <c r="A1061" i="7"/>
  <c r="F1060" i="7"/>
  <c r="E1060" i="7"/>
  <c r="D1060" i="7"/>
  <c r="C1060" i="7"/>
  <c r="B1060" i="7"/>
  <c r="A1060" i="7"/>
  <c r="F1059" i="7"/>
  <c r="E1059" i="7"/>
  <c r="D1059" i="7"/>
  <c r="C1059" i="7"/>
  <c r="B1059" i="7"/>
  <c r="A1059" i="7"/>
  <c r="F1058" i="7"/>
  <c r="E1058" i="7"/>
  <c r="D1058" i="7"/>
  <c r="C1058" i="7"/>
  <c r="B1058" i="7"/>
  <c r="A1058" i="7"/>
  <c r="F1057" i="7"/>
  <c r="E1057" i="7"/>
  <c r="D1057" i="7"/>
  <c r="C1057" i="7"/>
  <c r="B1057" i="7"/>
  <c r="A1057" i="7"/>
  <c r="F1056" i="7"/>
  <c r="E1056" i="7"/>
  <c r="D1056" i="7"/>
  <c r="C1056" i="7"/>
  <c r="B1056" i="7"/>
  <c r="A1056" i="7"/>
  <c r="F1055" i="7"/>
  <c r="E1055" i="7"/>
  <c r="D1055" i="7"/>
  <c r="C1055" i="7"/>
  <c r="B1055" i="7"/>
  <c r="A1055" i="7"/>
  <c r="F1054" i="7"/>
  <c r="E1054" i="7"/>
  <c r="D1054" i="7"/>
  <c r="C1054" i="7"/>
  <c r="B1054" i="7"/>
  <c r="A1054" i="7"/>
  <c r="F1053" i="7"/>
  <c r="E1053" i="7"/>
  <c r="D1053" i="7"/>
  <c r="C1053" i="7"/>
  <c r="B1053" i="7"/>
  <c r="A1053" i="7"/>
  <c r="F1052" i="7"/>
  <c r="E1052" i="7"/>
  <c r="D1052" i="7"/>
  <c r="C1052" i="7"/>
  <c r="B1052" i="7"/>
  <c r="A1052" i="7"/>
  <c r="F1051" i="7"/>
  <c r="E1051" i="7"/>
  <c r="D1051" i="7"/>
  <c r="C1051" i="7"/>
  <c r="B1051" i="7"/>
  <c r="A1051" i="7"/>
  <c r="F1050" i="7"/>
  <c r="E1050" i="7"/>
  <c r="D1050" i="7"/>
  <c r="C1050" i="7"/>
  <c r="B1050" i="7"/>
  <c r="A1050" i="7"/>
  <c r="F1049" i="7"/>
  <c r="E1049" i="7"/>
  <c r="D1049" i="7"/>
  <c r="C1049" i="7"/>
  <c r="B1049" i="7"/>
  <c r="A1049" i="7"/>
  <c r="F1048" i="7"/>
  <c r="E1048" i="7"/>
  <c r="D1048" i="7"/>
  <c r="C1048" i="7"/>
  <c r="B1048" i="7"/>
  <c r="A1048" i="7"/>
  <c r="F1047" i="7"/>
  <c r="E1047" i="7"/>
  <c r="D1047" i="7"/>
  <c r="C1047" i="7"/>
  <c r="B1047" i="7"/>
  <c r="A1047" i="7"/>
  <c r="F1046" i="7"/>
  <c r="E1046" i="7"/>
  <c r="D1046" i="7"/>
  <c r="C1046" i="7"/>
  <c r="B1046" i="7"/>
  <c r="A1046" i="7"/>
  <c r="F1045" i="7"/>
  <c r="E1045" i="7"/>
  <c r="D1045" i="7"/>
  <c r="C1045" i="7"/>
  <c r="B1045" i="7"/>
  <c r="A1045" i="7"/>
  <c r="F1044" i="7"/>
  <c r="E1044" i="7"/>
  <c r="D1044" i="7"/>
  <c r="C1044" i="7"/>
  <c r="B1044" i="7"/>
  <c r="A1044" i="7"/>
  <c r="F1043" i="7"/>
  <c r="E1043" i="7"/>
  <c r="D1043" i="7"/>
  <c r="C1043" i="7"/>
  <c r="B1043" i="7"/>
  <c r="A1043" i="7"/>
  <c r="F1042" i="7"/>
  <c r="E1042" i="7"/>
  <c r="D1042" i="7"/>
  <c r="C1042" i="7"/>
  <c r="B1042" i="7"/>
  <c r="A1042" i="7"/>
  <c r="F1041" i="7"/>
  <c r="E1041" i="7"/>
  <c r="D1041" i="7"/>
  <c r="C1041" i="7"/>
  <c r="B1041" i="7"/>
  <c r="A1041" i="7"/>
  <c r="F1040" i="7"/>
  <c r="E1040" i="7"/>
  <c r="D1040" i="7"/>
  <c r="C1040" i="7"/>
  <c r="B1040" i="7"/>
  <c r="A1040" i="7"/>
  <c r="F1039" i="7"/>
  <c r="E1039" i="7"/>
  <c r="D1039" i="7"/>
  <c r="C1039" i="7"/>
  <c r="B1039" i="7"/>
  <c r="A1039" i="7"/>
  <c r="F1038" i="7"/>
  <c r="E1038" i="7"/>
  <c r="D1038" i="7"/>
  <c r="C1038" i="7"/>
  <c r="B1038" i="7"/>
  <c r="A1038" i="7"/>
  <c r="F1037" i="7"/>
  <c r="E1037" i="7"/>
  <c r="D1037" i="7"/>
  <c r="C1037" i="7"/>
  <c r="B1037" i="7"/>
  <c r="A1037" i="7"/>
  <c r="F1036" i="7"/>
  <c r="E1036" i="7"/>
  <c r="D1036" i="7"/>
  <c r="C1036" i="7"/>
  <c r="B1036" i="7"/>
  <c r="A1036" i="7"/>
  <c r="F1035" i="7"/>
  <c r="E1035" i="7"/>
  <c r="D1035" i="7"/>
  <c r="C1035" i="7"/>
  <c r="B1035" i="7"/>
  <c r="A1035" i="7"/>
  <c r="F1034" i="7"/>
  <c r="E1034" i="7"/>
  <c r="D1034" i="7"/>
  <c r="C1034" i="7"/>
  <c r="B1034" i="7"/>
  <c r="A1034" i="7"/>
  <c r="F1033" i="7"/>
  <c r="E1033" i="7"/>
  <c r="D1033" i="7"/>
  <c r="C1033" i="7"/>
  <c r="B1033" i="7"/>
  <c r="A1033" i="7"/>
  <c r="F1032" i="7"/>
  <c r="E1032" i="7"/>
  <c r="D1032" i="7"/>
  <c r="C1032" i="7"/>
  <c r="B1032" i="7"/>
  <c r="A1032" i="7"/>
  <c r="F1031" i="7"/>
  <c r="E1031" i="7"/>
  <c r="D1031" i="7"/>
  <c r="C1031" i="7"/>
  <c r="B1031" i="7"/>
  <c r="A1031" i="7"/>
  <c r="F1030" i="7"/>
  <c r="E1030" i="7"/>
  <c r="D1030" i="7"/>
  <c r="C1030" i="7"/>
  <c r="B1030" i="7"/>
  <c r="A1030" i="7"/>
  <c r="F1029" i="7"/>
  <c r="E1029" i="7"/>
  <c r="D1029" i="7"/>
  <c r="C1029" i="7"/>
  <c r="B1029" i="7"/>
  <c r="A1029" i="7"/>
  <c r="F1028" i="7"/>
  <c r="E1028" i="7"/>
  <c r="D1028" i="7"/>
  <c r="C1028" i="7"/>
  <c r="B1028" i="7"/>
  <c r="A1028" i="7"/>
  <c r="F1027" i="7"/>
  <c r="E1027" i="7"/>
  <c r="D1027" i="7"/>
  <c r="C1027" i="7"/>
  <c r="B1027" i="7"/>
  <c r="A1027" i="7"/>
  <c r="F1026" i="7"/>
  <c r="E1026" i="7"/>
  <c r="D1026" i="7"/>
  <c r="C1026" i="7"/>
  <c r="B1026" i="7"/>
  <c r="A1026" i="7"/>
  <c r="F1025" i="7"/>
  <c r="E1025" i="7"/>
  <c r="D1025" i="7"/>
  <c r="C1025" i="7"/>
  <c r="B1025" i="7"/>
  <c r="A1025" i="7"/>
  <c r="F1024" i="7"/>
  <c r="E1024" i="7"/>
  <c r="D1024" i="7"/>
  <c r="C1024" i="7"/>
  <c r="B1024" i="7"/>
  <c r="A1024" i="7"/>
  <c r="F1023" i="7"/>
  <c r="E1023" i="7"/>
  <c r="D1023" i="7"/>
  <c r="C1023" i="7"/>
  <c r="B1023" i="7"/>
  <c r="A1023" i="7"/>
  <c r="F1022" i="7"/>
  <c r="E1022" i="7"/>
  <c r="D1022" i="7"/>
  <c r="C1022" i="7"/>
  <c r="B1022" i="7"/>
  <c r="A1022" i="7"/>
  <c r="F1021" i="7"/>
  <c r="E1021" i="7"/>
  <c r="D1021" i="7"/>
  <c r="C1021" i="7"/>
  <c r="B1021" i="7"/>
  <c r="A1021" i="7"/>
  <c r="F1020" i="7"/>
  <c r="E1020" i="7"/>
  <c r="D1020" i="7"/>
  <c r="C1020" i="7"/>
  <c r="B1020" i="7"/>
  <c r="A1020" i="7"/>
  <c r="F1019" i="7"/>
  <c r="E1019" i="7"/>
  <c r="D1019" i="7"/>
  <c r="C1019" i="7"/>
  <c r="B1019" i="7"/>
  <c r="A1019" i="7"/>
  <c r="F1018" i="7"/>
  <c r="E1018" i="7"/>
  <c r="D1018" i="7"/>
  <c r="C1018" i="7"/>
  <c r="B1018" i="7"/>
  <c r="A1018" i="7"/>
  <c r="F1017" i="7"/>
  <c r="E1017" i="7"/>
  <c r="D1017" i="7"/>
  <c r="C1017" i="7"/>
  <c r="B1017" i="7"/>
  <c r="A1017" i="7"/>
  <c r="F1016" i="7"/>
  <c r="E1016" i="7"/>
  <c r="D1016" i="7"/>
  <c r="C1016" i="7"/>
  <c r="B1016" i="7"/>
  <c r="A1016" i="7"/>
  <c r="F1015" i="7"/>
  <c r="E1015" i="7"/>
  <c r="D1015" i="7"/>
  <c r="C1015" i="7"/>
  <c r="B1015" i="7"/>
  <c r="A1015" i="7"/>
  <c r="F1014" i="7"/>
  <c r="E1014" i="7"/>
  <c r="D1014" i="7"/>
  <c r="C1014" i="7"/>
  <c r="B1014" i="7"/>
  <c r="A1014" i="7"/>
  <c r="F1013" i="7"/>
  <c r="E1013" i="7"/>
  <c r="D1013" i="7"/>
  <c r="C1013" i="7"/>
  <c r="B1013" i="7"/>
  <c r="A1013" i="7"/>
  <c r="F1012" i="7"/>
  <c r="E1012" i="7"/>
  <c r="D1012" i="7"/>
  <c r="C1012" i="7"/>
  <c r="B1012" i="7"/>
  <c r="A1012" i="7"/>
  <c r="F1011" i="7"/>
  <c r="E1011" i="7"/>
  <c r="D1011" i="7"/>
  <c r="C1011" i="7"/>
  <c r="B1011" i="7"/>
  <c r="A1011" i="7"/>
  <c r="F1010" i="7"/>
  <c r="E1010" i="7"/>
  <c r="D1010" i="7"/>
  <c r="C1010" i="7"/>
  <c r="B1010" i="7"/>
  <c r="A1010" i="7"/>
  <c r="F1009" i="7"/>
  <c r="E1009" i="7"/>
  <c r="D1009" i="7"/>
  <c r="C1009" i="7"/>
  <c r="B1009" i="7"/>
  <c r="A1009" i="7"/>
  <c r="F1008" i="7"/>
  <c r="E1008" i="7"/>
  <c r="D1008" i="7"/>
  <c r="C1008" i="7"/>
  <c r="B1008" i="7"/>
  <c r="A1008" i="7"/>
  <c r="F1007" i="7"/>
  <c r="E1007" i="7"/>
  <c r="D1007" i="7"/>
  <c r="C1007" i="7"/>
  <c r="B1007" i="7"/>
  <c r="A1007" i="7"/>
  <c r="F1006" i="7"/>
  <c r="E1006" i="7"/>
  <c r="D1006" i="7"/>
  <c r="C1006" i="7"/>
  <c r="B1006" i="7"/>
  <c r="A1006" i="7"/>
  <c r="F1005" i="7"/>
  <c r="E1005" i="7"/>
  <c r="D1005" i="7"/>
  <c r="C1005" i="7"/>
  <c r="B1005" i="7"/>
  <c r="A1005" i="7"/>
  <c r="F1004" i="7"/>
  <c r="E1004" i="7"/>
  <c r="D1004" i="7"/>
  <c r="C1004" i="7"/>
  <c r="B1004" i="7"/>
  <c r="A1004" i="7"/>
  <c r="F1003" i="7"/>
  <c r="E1003" i="7"/>
  <c r="D1003" i="7"/>
  <c r="C1003" i="7"/>
  <c r="B1003" i="7"/>
  <c r="A1003" i="7"/>
  <c r="F1002" i="7"/>
  <c r="E1002" i="7"/>
  <c r="D1002" i="7"/>
  <c r="C1002" i="7"/>
  <c r="B1002" i="7"/>
  <c r="A1002" i="7"/>
  <c r="F1001" i="7"/>
  <c r="E1001" i="7"/>
  <c r="D1001" i="7"/>
  <c r="C1001" i="7"/>
  <c r="B1001" i="7"/>
  <c r="A1001" i="7"/>
  <c r="F1000" i="7"/>
  <c r="E1000" i="7"/>
  <c r="D1000" i="7"/>
  <c r="C1000" i="7"/>
  <c r="B1000" i="7"/>
  <c r="A1000" i="7"/>
  <c r="F999" i="7"/>
  <c r="E999" i="7"/>
  <c r="D999" i="7"/>
  <c r="C999" i="7"/>
  <c r="B999" i="7"/>
  <c r="A999" i="7"/>
  <c r="F998" i="7"/>
  <c r="E998" i="7"/>
  <c r="D998" i="7"/>
  <c r="C998" i="7"/>
  <c r="B998" i="7"/>
  <c r="A998" i="7"/>
  <c r="F997" i="7"/>
  <c r="E997" i="7"/>
  <c r="D997" i="7"/>
  <c r="C997" i="7"/>
  <c r="B997" i="7"/>
  <c r="A997" i="7"/>
  <c r="F996" i="7"/>
  <c r="E996" i="7"/>
  <c r="D996" i="7"/>
  <c r="C996" i="7"/>
  <c r="B996" i="7"/>
  <c r="A996" i="7"/>
  <c r="F995" i="7"/>
  <c r="E995" i="7"/>
  <c r="D995" i="7"/>
  <c r="C995" i="7"/>
  <c r="B995" i="7"/>
  <c r="A995" i="7"/>
  <c r="F994" i="7"/>
  <c r="E994" i="7"/>
  <c r="D994" i="7"/>
  <c r="C994" i="7"/>
  <c r="B994" i="7"/>
  <c r="A994" i="7"/>
  <c r="F993" i="7"/>
  <c r="E993" i="7"/>
  <c r="D993" i="7"/>
  <c r="C993" i="7"/>
  <c r="B993" i="7"/>
  <c r="A993" i="7"/>
  <c r="F992" i="7"/>
  <c r="E992" i="7"/>
  <c r="D992" i="7"/>
  <c r="C992" i="7"/>
  <c r="B992" i="7"/>
  <c r="A992" i="7"/>
  <c r="F991" i="7"/>
  <c r="E991" i="7"/>
  <c r="D991" i="7"/>
  <c r="C991" i="7"/>
  <c r="B991" i="7"/>
  <c r="A991" i="7"/>
  <c r="F990" i="7"/>
  <c r="E990" i="7"/>
  <c r="D990" i="7"/>
  <c r="C990" i="7"/>
  <c r="B990" i="7"/>
  <c r="A990" i="7"/>
  <c r="F989" i="7"/>
  <c r="E989" i="7"/>
  <c r="D989" i="7"/>
  <c r="C989" i="7"/>
  <c r="B989" i="7"/>
  <c r="A989" i="7"/>
  <c r="F988" i="7"/>
  <c r="E988" i="7"/>
  <c r="D988" i="7"/>
  <c r="C988" i="7"/>
  <c r="B988" i="7"/>
  <c r="A988" i="7"/>
  <c r="F987" i="7"/>
  <c r="E987" i="7"/>
  <c r="D987" i="7"/>
  <c r="C987" i="7"/>
  <c r="B987" i="7"/>
  <c r="A987" i="7"/>
  <c r="F986" i="7"/>
  <c r="E986" i="7"/>
  <c r="D986" i="7"/>
  <c r="C986" i="7"/>
  <c r="B986" i="7"/>
  <c r="A986" i="7"/>
  <c r="F985" i="7"/>
  <c r="E985" i="7"/>
  <c r="D985" i="7"/>
  <c r="C985" i="7"/>
  <c r="B985" i="7"/>
  <c r="A985" i="7"/>
  <c r="F984" i="7"/>
  <c r="E984" i="7"/>
  <c r="D984" i="7"/>
  <c r="C984" i="7"/>
  <c r="B984" i="7"/>
  <c r="A984" i="7"/>
  <c r="F983" i="7"/>
  <c r="E983" i="7"/>
  <c r="D983" i="7"/>
  <c r="C983" i="7"/>
  <c r="B983" i="7"/>
  <c r="A983" i="7"/>
  <c r="F982" i="7"/>
  <c r="E982" i="7"/>
  <c r="D982" i="7"/>
  <c r="C982" i="7"/>
  <c r="B982" i="7"/>
  <c r="A982" i="7"/>
  <c r="F981" i="7"/>
  <c r="E981" i="7"/>
  <c r="D981" i="7"/>
  <c r="C981" i="7"/>
  <c r="B981" i="7"/>
  <c r="A981" i="7"/>
  <c r="F980" i="7"/>
  <c r="E980" i="7"/>
  <c r="D980" i="7"/>
  <c r="C980" i="7"/>
  <c r="B980" i="7"/>
  <c r="A980" i="7"/>
  <c r="F979" i="7"/>
  <c r="E979" i="7"/>
  <c r="D979" i="7"/>
  <c r="C979" i="7"/>
  <c r="B979" i="7"/>
  <c r="A979" i="7"/>
  <c r="F978" i="7"/>
  <c r="E978" i="7"/>
  <c r="D978" i="7"/>
  <c r="C978" i="7"/>
  <c r="B978" i="7"/>
  <c r="A978" i="7"/>
  <c r="F977" i="7"/>
  <c r="E977" i="7"/>
  <c r="D977" i="7"/>
  <c r="C977" i="7"/>
  <c r="B977" i="7"/>
  <c r="A977" i="7"/>
  <c r="F976" i="7"/>
  <c r="E976" i="7"/>
  <c r="D976" i="7"/>
  <c r="C976" i="7"/>
  <c r="B976" i="7"/>
  <c r="A976" i="7"/>
  <c r="F975" i="7"/>
  <c r="E975" i="7"/>
  <c r="D975" i="7"/>
  <c r="C975" i="7"/>
  <c r="B975" i="7"/>
  <c r="A975" i="7"/>
  <c r="F974" i="7"/>
  <c r="E974" i="7"/>
  <c r="D974" i="7"/>
  <c r="C974" i="7"/>
  <c r="B974" i="7"/>
  <c r="A974" i="7"/>
  <c r="F973" i="7"/>
  <c r="E973" i="7"/>
  <c r="D973" i="7"/>
  <c r="C973" i="7"/>
  <c r="B973" i="7"/>
  <c r="A973" i="7"/>
  <c r="F972" i="7"/>
  <c r="E972" i="7"/>
  <c r="D972" i="7"/>
  <c r="C972" i="7"/>
  <c r="B972" i="7"/>
  <c r="A972" i="7"/>
  <c r="F971" i="7"/>
  <c r="E971" i="7"/>
  <c r="D971" i="7"/>
  <c r="C971" i="7"/>
  <c r="B971" i="7"/>
  <c r="A971" i="7"/>
  <c r="F970" i="7"/>
  <c r="E970" i="7"/>
  <c r="D970" i="7"/>
  <c r="C970" i="7"/>
  <c r="B970" i="7"/>
  <c r="A970" i="7"/>
  <c r="F969" i="7"/>
  <c r="E969" i="7"/>
  <c r="D969" i="7"/>
  <c r="C969" i="7"/>
  <c r="B969" i="7"/>
  <c r="A969" i="7"/>
  <c r="F968" i="7"/>
  <c r="E968" i="7"/>
  <c r="D968" i="7"/>
  <c r="C968" i="7"/>
  <c r="B968" i="7"/>
  <c r="A968" i="7"/>
  <c r="F967" i="7"/>
  <c r="E967" i="7"/>
  <c r="D967" i="7"/>
  <c r="C967" i="7"/>
  <c r="B967" i="7"/>
  <c r="A967" i="7"/>
  <c r="F966" i="7"/>
  <c r="E966" i="7"/>
  <c r="D966" i="7"/>
  <c r="C966" i="7"/>
  <c r="B966" i="7"/>
  <c r="A966" i="7"/>
  <c r="F965" i="7"/>
  <c r="E965" i="7"/>
  <c r="D965" i="7"/>
  <c r="C965" i="7"/>
  <c r="B965" i="7"/>
  <c r="A965" i="7"/>
  <c r="F964" i="7"/>
  <c r="E964" i="7"/>
  <c r="D964" i="7"/>
  <c r="C964" i="7"/>
  <c r="B964" i="7"/>
  <c r="A964" i="7"/>
  <c r="F963" i="7"/>
  <c r="E963" i="7"/>
  <c r="D963" i="7"/>
  <c r="C963" i="7"/>
  <c r="B963" i="7"/>
  <c r="A963" i="7"/>
  <c r="F962" i="7"/>
  <c r="E962" i="7"/>
  <c r="D962" i="7"/>
  <c r="C962" i="7"/>
  <c r="B962" i="7"/>
  <c r="A962" i="7"/>
  <c r="F961" i="7"/>
  <c r="E961" i="7"/>
  <c r="D961" i="7"/>
  <c r="C961" i="7"/>
  <c r="B961" i="7"/>
  <c r="A961" i="7"/>
  <c r="F960" i="7"/>
  <c r="E960" i="7"/>
  <c r="D960" i="7"/>
  <c r="C960" i="7"/>
  <c r="B960" i="7"/>
  <c r="A960" i="7"/>
  <c r="F959" i="7"/>
  <c r="E959" i="7"/>
  <c r="D959" i="7"/>
  <c r="C959" i="7"/>
  <c r="B959" i="7"/>
  <c r="A959" i="7"/>
  <c r="F958" i="7"/>
  <c r="E958" i="7"/>
  <c r="D958" i="7"/>
  <c r="C958" i="7"/>
  <c r="B958" i="7"/>
  <c r="A958" i="7"/>
  <c r="F957" i="7"/>
  <c r="E957" i="7"/>
  <c r="D957" i="7"/>
  <c r="C957" i="7"/>
  <c r="B957" i="7"/>
  <c r="A957" i="7"/>
  <c r="F956" i="7"/>
  <c r="E956" i="7"/>
  <c r="D956" i="7"/>
  <c r="C956" i="7"/>
  <c r="B956" i="7"/>
  <c r="A956" i="7"/>
  <c r="F955" i="7"/>
  <c r="E955" i="7"/>
  <c r="D955" i="7"/>
  <c r="C955" i="7"/>
  <c r="B955" i="7"/>
  <c r="A955" i="7"/>
  <c r="F954" i="7"/>
  <c r="E954" i="7"/>
  <c r="D954" i="7"/>
  <c r="C954" i="7"/>
  <c r="B954" i="7"/>
  <c r="A954" i="7"/>
  <c r="F953" i="7"/>
  <c r="E953" i="7"/>
  <c r="D953" i="7"/>
  <c r="C953" i="7"/>
  <c r="B953" i="7"/>
  <c r="A953" i="7"/>
  <c r="F952" i="7"/>
  <c r="E952" i="7"/>
  <c r="D952" i="7"/>
  <c r="C952" i="7"/>
  <c r="B952" i="7"/>
  <c r="A952" i="7"/>
  <c r="F951" i="7"/>
  <c r="E951" i="7"/>
  <c r="D951" i="7"/>
  <c r="C951" i="7"/>
  <c r="B951" i="7"/>
  <c r="A951" i="7"/>
  <c r="F950" i="7"/>
  <c r="E950" i="7"/>
  <c r="D950" i="7"/>
  <c r="C950" i="7"/>
  <c r="B950" i="7"/>
  <c r="A950" i="7"/>
  <c r="F949" i="7"/>
  <c r="E949" i="7"/>
  <c r="D949" i="7"/>
  <c r="C949" i="7"/>
  <c r="B949" i="7"/>
  <c r="A949" i="7"/>
  <c r="F948" i="7"/>
  <c r="E948" i="7"/>
  <c r="D948" i="7"/>
  <c r="C948" i="7"/>
  <c r="B948" i="7"/>
  <c r="A948" i="7"/>
  <c r="F947" i="7"/>
  <c r="E947" i="7"/>
  <c r="D947" i="7"/>
  <c r="C947" i="7"/>
  <c r="B947" i="7"/>
  <c r="A947" i="7"/>
  <c r="F946" i="7"/>
  <c r="E946" i="7"/>
  <c r="D946" i="7"/>
  <c r="C946" i="7"/>
  <c r="B946" i="7"/>
  <c r="A946" i="7"/>
  <c r="F945" i="7"/>
  <c r="E945" i="7"/>
  <c r="D945" i="7"/>
  <c r="C945" i="7"/>
  <c r="B945" i="7"/>
  <c r="A945" i="7"/>
  <c r="F944" i="7"/>
  <c r="E944" i="7"/>
  <c r="D944" i="7"/>
  <c r="C944" i="7"/>
  <c r="B944" i="7"/>
  <c r="A944" i="7"/>
  <c r="F943" i="7"/>
  <c r="E943" i="7"/>
  <c r="D943" i="7"/>
  <c r="C943" i="7"/>
  <c r="B943" i="7"/>
  <c r="A943" i="7"/>
  <c r="F942" i="7"/>
  <c r="E942" i="7"/>
  <c r="D942" i="7"/>
  <c r="C942" i="7"/>
  <c r="B942" i="7"/>
  <c r="A942" i="7"/>
  <c r="F941" i="7"/>
  <c r="E941" i="7"/>
  <c r="D941" i="7"/>
  <c r="C941" i="7"/>
  <c r="B941" i="7"/>
  <c r="A941" i="7"/>
  <c r="F940" i="7"/>
  <c r="E940" i="7"/>
  <c r="D940" i="7"/>
  <c r="C940" i="7"/>
  <c r="B940" i="7"/>
  <c r="A940" i="7"/>
  <c r="F939" i="7"/>
  <c r="E939" i="7"/>
  <c r="D939" i="7"/>
  <c r="C939" i="7"/>
  <c r="B939" i="7"/>
  <c r="A939" i="7"/>
  <c r="F938" i="7"/>
  <c r="E938" i="7"/>
  <c r="D938" i="7"/>
  <c r="C938" i="7"/>
  <c r="B938" i="7"/>
  <c r="A938" i="7"/>
  <c r="F937" i="7"/>
  <c r="E937" i="7"/>
  <c r="D937" i="7"/>
  <c r="C937" i="7"/>
  <c r="B937" i="7"/>
  <c r="A937" i="7"/>
  <c r="F936" i="7"/>
  <c r="E936" i="7"/>
  <c r="D936" i="7"/>
  <c r="C936" i="7"/>
  <c r="B936" i="7"/>
  <c r="A936" i="7"/>
  <c r="F935" i="7"/>
  <c r="E935" i="7"/>
  <c r="D935" i="7"/>
  <c r="C935" i="7"/>
  <c r="B935" i="7"/>
  <c r="A935" i="7"/>
  <c r="F934" i="7"/>
  <c r="E934" i="7"/>
  <c r="D934" i="7"/>
  <c r="C934" i="7"/>
  <c r="B934" i="7"/>
  <c r="A934" i="7"/>
  <c r="F933" i="7"/>
  <c r="E933" i="7"/>
  <c r="D933" i="7"/>
  <c r="C933" i="7"/>
  <c r="B933" i="7"/>
  <c r="A933" i="7"/>
  <c r="F932" i="7"/>
  <c r="E932" i="7"/>
  <c r="D932" i="7"/>
  <c r="C932" i="7"/>
  <c r="B932" i="7"/>
  <c r="A932" i="7"/>
  <c r="F931" i="7"/>
  <c r="E931" i="7"/>
  <c r="D931" i="7"/>
  <c r="C931" i="7"/>
  <c r="B931" i="7"/>
  <c r="A931" i="7"/>
  <c r="F930" i="7"/>
  <c r="E930" i="7"/>
  <c r="D930" i="7"/>
  <c r="C930" i="7"/>
  <c r="B930" i="7"/>
  <c r="A930" i="7"/>
  <c r="F929" i="7"/>
  <c r="E929" i="7"/>
  <c r="D929" i="7"/>
  <c r="C929" i="7"/>
  <c r="B929" i="7"/>
  <c r="A929" i="7"/>
  <c r="F928" i="7"/>
  <c r="E928" i="7"/>
  <c r="D928" i="7"/>
  <c r="C928" i="7"/>
  <c r="B928" i="7"/>
  <c r="A928" i="7"/>
  <c r="F927" i="7"/>
  <c r="E927" i="7"/>
  <c r="D927" i="7"/>
  <c r="C927" i="7"/>
  <c r="B927" i="7"/>
  <c r="A927" i="7"/>
  <c r="F926" i="7"/>
  <c r="E926" i="7"/>
  <c r="D926" i="7"/>
  <c r="C926" i="7"/>
  <c r="B926" i="7"/>
  <c r="A926" i="7"/>
  <c r="F925" i="7"/>
  <c r="E925" i="7"/>
  <c r="D925" i="7"/>
  <c r="C925" i="7"/>
  <c r="B925" i="7"/>
  <c r="A925" i="7"/>
  <c r="F924" i="7"/>
  <c r="E924" i="7"/>
  <c r="D924" i="7"/>
  <c r="C924" i="7"/>
  <c r="B924" i="7"/>
  <c r="A924" i="7"/>
  <c r="F923" i="7"/>
  <c r="E923" i="7"/>
  <c r="D923" i="7"/>
  <c r="C923" i="7"/>
  <c r="B923" i="7"/>
  <c r="A923" i="7"/>
  <c r="F922" i="7"/>
  <c r="E922" i="7"/>
  <c r="D922" i="7"/>
  <c r="C922" i="7"/>
  <c r="B922" i="7"/>
  <c r="A922" i="7"/>
  <c r="F921" i="7"/>
  <c r="E921" i="7"/>
  <c r="D921" i="7"/>
  <c r="C921" i="7"/>
  <c r="B921" i="7"/>
  <c r="A921" i="7"/>
  <c r="F920" i="7"/>
  <c r="E920" i="7"/>
  <c r="D920" i="7"/>
  <c r="C920" i="7"/>
  <c r="B920" i="7"/>
  <c r="A920" i="7"/>
  <c r="F919" i="7"/>
  <c r="E919" i="7"/>
  <c r="D919" i="7"/>
  <c r="C919" i="7"/>
  <c r="B919" i="7"/>
  <c r="A919" i="7"/>
  <c r="F918" i="7"/>
  <c r="E918" i="7"/>
  <c r="D918" i="7"/>
  <c r="C918" i="7"/>
  <c r="B918" i="7"/>
  <c r="A918" i="7"/>
  <c r="F917" i="7"/>
  <c r="E917" i="7"/>
  <c r="D917" i="7"/>
  <c r="C917" i="7"/>
  <c r="B917" i="7"/>
  <c r="A917" i="7"/>
  <c r="F916" i="7"/>
  <c r="E916" i="7"/>
  <c r="D916" i="7"/>
  <c r="C916" i="7"/>
  <c r="B916" i="7"/>
  <c r="A916" i="7"/>
  <c r="F915" i="7"/>
  <c r="E915" i="7"/>
  <c r="D915" i="7"/>
  <c r="C915" i="7"/>
  <c r="B915" i="7"/>
  <c r="A915" i="7"/>
  <c r="F914" i="7"/>
  <c r="E914" i="7"/>
  <c r="D914" i="7"/>
  <c r="C914" i="7"/>
  <c r="B914" i="7"/>
  <c r="A914" i="7"/>
  <c r="F913" i="7"/>
  <c r="E913" i="7"/>
  <c r="D913" i="7"/>
  <c r="C913" i="7"/>
  <c r="B913" i="7"/>
  <c r="A913" i="7"/>
  <c r="F912" i="7"/>
  <c r="E912" i="7"/>
  <c r="D912" i="7"/>
  <c r="C912" i="7"/>
  <c r="B912" i="7"/>
  <c r="A912" i="7"/>
  <c r="F911" i="7"/>
  <c r="E911" i="7"/>
  <c r="D911" i="7"/>
  <c r="C911" i="7"/>
  <c r="B911" i="7"/>
  <c r="A911" i="7"/>
  <c r="F910" i="7"/>
  <c r="E910" i="7"/>
  <c r="D910" i="7"/>
  <c r="C910" i="7"/>
  <c r="B910" i="7"/>
  <c r="A910" i="7"/>
  <c r="F909" i="7"/>
  <c r="E909" i="7"/>
  <c r="D909" i="7"/>
  <c r="C909" i="7"/>
  <c r="B909" i="7"/>
  <c r="A909" i="7"/>
  <c r="F908" i="7"/>
  <c r="E908" i="7"/>
  <c r="D908" i="7"/>
  <c r="C908" i="7"/>
  <c r="B908" i="7"/>
  <c r="A908" i="7"/>
  <c r="F907" i="7"/>
  <c r="E907" i="7"/>
  <c r="D907" i="7"/>
  <c r="C907" i="7"/>
  <c r="B907" i="7"/>
  <c r="A907" i="7"/>
  <c r="F906" i="7"/>
  <c r="E906" i="7"/>
  <c r="D906" i="7"/>
  <c r="C906" i="7"/>
  <c r="B906" i="7"/>
  <c r="A906" i="7"/>
  <c r="F905" i="7"/>
  <c r="E905" i="7"/>
  <c r="D905" i="7"/>
  <c r="C905" i="7"/>
  <c r="B905" i="7"/>
  <c r="A905" i="7"/>
  <c r="F904" i="7"/>
  <c r="E904" i="7"/>
  <c r="D904" i="7"/>
  <c r="C904" i="7"/>
  <c r="B904" i="7"/>
  <c r="A904" i="7"/>
  <c r="F903" i="7"/>
  <c r="E903" i="7"/>
  <c r="D903" i="7"/>
  <c r="C903" i="7"/>
  <c r="B903" i="7"/>
  <c r="A903" i="7"/>
  <c r="F902" i="7"/>
  <c r="E902" i="7"/>
  <c r="D902" i="7"/>
  <c r="C902" i="7"/>
  <c r="B902" i="7"/>
  <c r="A902" i="7"/>
  <c r="F901" i="7"/>
  <c r="E901" i="7"/>
  <c r="D901" i="7"/>
  <c r="C901" i="7"/>
  <c r="B901" i="7"/>
  <c r="A901" i="7"/>
  <c r="F900" i="7"/>
  <c r="E900" i="7"/>
  <c r="D900" i="7"/>
  <c r="C900" i="7"/>
  <c r="B900" i="7"/>
  <c r="A900" i="7"/>
  <c r="F899" i="7"/>
  <c r="E899" i="7"/>
  <c r="D899" i="7"/>
  <c r="C899" i="7"/>
  <c r="B899" i="7"/>
  <c r="A899" i="7"/>
  <c r="F898" i="7"/>
  <c r="E898" i="7"/>
  <c r="D898" i="7"/>
  <c r="C898" i="7"/>
  <c r="B898" i="7"/>
  <c r="A898" i="7"/>
  <c r="F897" i="7"/>
  <c r="E897" i="7"/>
  <c r="D897" i="7"/>
  <c r="C897" i="7"/>
  <c r="B897" i="7"/>
  <c r="A897" i="7"/>
  <c r="F896" i="7"/>
  <c r="E896" i="7"/>
  <c r="D896" i="7"/>
  <c r="C896" i="7"/>
  <c r="B896" i="7"/>
  <c r="A896" i="7"/>
  <c r="F895" i="7"/>
  <c r="E895" i="7"/>
  <c r="D895" i="7"/>
  <c r="C895" i="7"/>
  <c r="B895" i="7"/>
  <c r="A895" i="7"/>
  <c r="F894" i="7"/>
  <c r="E894" i="7"/>
  <c r="D894" i="7"/>
  <c r="C894" i="7"/>
  <c r="B894" i="7"/>
  <c r="A894" i="7"/>
  <c r="F893" i="7"/>
  <c r="E893" i="7"/>
  <c r="D893" i="7"/>
  <c r="C893" i="7"/>
  <c r="B893" i="7"/>
  <c r="A893" i="7"/>
  <c r="F892" i="7"/>
  <c r="E892" i="7"/>
  <c r="D892" i="7"/>
  <c r="C892" i="7"/>
  <c r="B892" i="7"/>
  <c r="A892" i="7"/>
  <c r="F891" i="7"/>
  <c r="E891" i="7"/>
  <c r="D891" i="7"/>
  <c r="C891" i="7"/>
  <c r="B891" i="7"/>
  <c r="A891" i="7"/>
  <c r="F890" i="7"/>
  <c r="E890" i="7"/>
  <c r="D890" i="7"/>
  <c r="C890" i="7"/>
  <c r="B890" i="7"/>
  <c r="A890" i="7"/>
  <c r="F889" i="7"/>
  <c r="E889" i="7"/>
  <c r="D889" i="7"/>
  <c r="C889" i="7"/>
  <c r="B889" i="7"/>
  <c r="A889" i="7"/>
  <c r="F888" i="7"/>
  <c r="E888" i="7"/>
  <c r="D888" i="7"/>
  <c r="C888" i="7"/>
  <c r="B888" i="7"/>
  <c r="A888" i="7"/>
  <c r="F887" i="7"/>
  <c r="E887" i="7"/>
  <c r="D887" i="7"/>
  <c r="C887" i="7"/>
  <c r="B887" i="7"/>
  <c r="A887" i="7"/>
  <c r="F886" i="7"/>
  <c r="E886" i="7"/>
  <c r="D886" i="7"/>
  <c r="C886" i="7"/>
  <c r="B886" i="7"/>
  <c r="A886" i="7"/>
  <c r="F885" i="7"/>
  <c r="E885" i="7"/>
  <c r="D885" i="7"/>
  <c r="C885" i="7"/>
  <c r="B885" i="7"/>
  <c r="A885" i="7"/>
  <c r="F884" i="7"/>
  <c r="E884" i="7"/>
  <c r="D884" i="7"/>
  <c r="C884" i="7"/>
  <c r="B884" i="7"/>
  <c r="A884" i="7"/>
  <c r="F883" i="7"/>
  <c r="E883" i="7"/>
  <c r="D883" i="7"/>
  <c r="C883" i="7"/>
  <c r="B883" i="7"/>
  <c r="A883" i="7"/>
  <c r="F882" i="7"/>
  <c r="E882" i="7"/>
  <c r="D882" i="7"/>
  <c r="C882" i="7"/>
  <c r="B882" i="7"/>
  <c r="A882" i="7"/>
  <c r="F881" i="7"/>
  <c r="E881" i="7"/>
  <c r="D881" i="7"/>
  <c r="C881" i="7"/>
  <c r="B881" i="7"/>
  <c r="A881" i="7"/>
  <c r="F880" i="7"/>
  <c r="E880" i="7"/>
  <c r="D880" i="7"/>
  <c r="C880" i="7"/>
  <c r="B880" i="7"/>
  <c r="A880" i="7"/>
  <c r="F879" i="7"/>
  <c r="E879" i="7"/>
  <c r="D879" i="7"/>
  <c r="C879" i="7"/>
  <c r="B879" i="7"/>
  <c r="A879" i="7"/>
  <c r="F878" i="7"/>
  <c r="E878" i="7"/>
  <c r="D878" i="7"/>
  <c r="C878" i="7"/>
  <c r="B878" i="7"/>
  <c r="A878" i="7"/>
  <c r="F877" i="7"/>
  <c r="E877" i="7"/>
  <c r="D877" i="7"/>
  <c r="C877" i="7"/>
  <c r="B877" i="7"/>
  <c r="A877" i="7"/>
  <c r="F876" i="7"/>
  <c r="E876" i="7"/>
  <c r="D876" i="7"/>
  <c r="C876" i="7"/>
  <c r="B876" i="7"/>
  <c r="A876" i="7"/>
  <c r="F875" i="7"/>
  <c r="E875" i="7"/>
  <c r="D875" i="7"/>
  <c r="C875" i="7"/>
  <c r="B875" i="7"/>
  <c r="A875" i="7"/>
  <c r="F874" i="7"/>
  <c r="E874" i="7"/>
  <c r="D874" i="7"/>
  <c r="C874" i="7"/>
  <c r="B874" i="7"/>
  <c r="A874" i="7"/>
  <c r="F873" i="7"/>
  <c r="E873" i="7"/>
  <c r="D873" i="7"/>
  <c r="C873" i="7"/>
  <c r="B873" i="7"/>
  <c r="A873" i="7"/>
  <c r="F872" i="7"/>
  <c r="E872" i="7"/>
  <c r="D872" i="7"/>
  <c r="C872" i="7"/>
  <c r="B872" i="7"/>
  <c r="A872" i="7"/>
  <c r="F871" i="7"/>
  <c r="E871" i="7"/>
  <c r="D871" i="7"/>
  <c r="C871" i="7"/>
  <c r="B871" i="7"/>
  <c r="A871" i="7"/>
  <c r="F870" i="7"/>
  <c r="E870" i="7"/>
  <c r="D870" i="7"/>
  <c r="C870" i="7"/>
  <c r="B870" i="7"/>
  <c r="A870" i="7"/>
  <c r="F869" i="7"/>
  <c r="E869" i="7"/>
  <c r="D869" i="7"/>
  <c r="C869" i="7"/>
  <c r="B869" i="7"/>
  <c r="A869" i="7"/>
  <c r="F868" i="7"/>
  <c r="E868" i="7"/>
  <c r="D868" i="7"/>
  <c r="C868" i="7"/>
  <c r="B868" i="7"/>
  <c r="A868" i="7"/>
  <c r="F867" i="7"/>
  <c r="E867" i="7"/>
  <c r="D867" i="7"/>
  <c r="C867" i="7"/>
  <c r="B867" i="7"/>
  <c r="A867" i="7"/>
  <c r="F866" i="7"/>
  <c r="E866" i="7"/>
  <c r="D866" i="7"/>
  <c r="C866" i="7"/>
  <c r="B866" i="7"/>
  <c r="A866" i="7"/>
  <c r="F865" i="7"/>
  <c r="E865" i="7"/>
  <c r="D865" i="7"/>
  <c r="C865" i="7"/>
  <c r="B865" i="7"/>
  <c r="A865" i="7"/>
  <c r="F864" i="7"/>
  <c r="E864" i="7"/>
  <c r="D864" i="7"/>
  <c r="C864" i="7"/>
  <c r="B864" i="7"/>
  <c r="A864" i="7"/>
  <c r="F863" i="7"/>
  <c r="E863" i="7"/>
  <c r="D863" i="7"/>
  <c r="C863" i="7"/>
  <c r="B863" i="7"/>
  <c r="A863" i="7"/>
  <c r="F862" i="7"/>
  <c r="E862" i="7"/>
  <c r="D862" i="7"/>
  <c r="C862" i="7"/>
  <c r="B862" i="7"/>
  <c r="A862" i="7"/>
  <c r="F861" i="7"/>
  <c r="E861" i="7"/>
  <c r="D861" i="7"/>
  <c r="C861" i="7"/>
  <c r="B861" i="7"/>
  <c r="A861" i="7"/>
  <c r="F860" i="7"/>
  <c r="E860" i="7"/>
  <c r="D860" i="7"/>
  <c r="C860" i="7"/>
  <c r="B860" i="7"/>
  <c r="A860" i="7"/>
  <c r="F859" i="7"/>
  <c r="E859" i="7"/>
  <c r="D859" i="7"/>
  <c r="C859" i="7"/>
  <c r="B859" i="7"/>
  <c r="A859" i="7"/>
  <c r="F858" i="7"/>
  <c r="E858" i="7"/>
  <c r="D858" i="7"/>
  <c r="C858" i="7"/>
  <c r="B858" i="7"/>
  <c r="A858" i="7"/>
  <c r="F857" i="7"/>
  <c r="E857" i="7"/>
  <c r="D857" i="7"/>
  <c r="C857" i="7"/>
  <c r="B857" i="7"/>
  <c r="A857" i="7"/>
  <c r="F856" i="7"/>
  <c r="E856" i="7"/>
  <c r="D856" i="7"/>
  <c r="C856" i="7"/>
  <c r="B856" i="7"/>
  <c r="A856" i="7"/>
  <c r="F855" i="7"/>
  <c r="E855" i="7"/>
  <c r="D855" i="7"/>
  <c r="C855" i="7"/>
  <c r="B855" i="7"/>
  <c r="A855" i="7"/>
  <c r="F854" i="7"/>
  <c r="E854" i="7"/>
  <c r="D854" i="7"/>
  <c r="C854" i="7"/>
  <c r="B854" i="7"/>
  <c r="A854" i="7"/>
  <c r="F853" i="7"/>
  <c r="E853" i="7"/>
  <c r="D853" i="7"/>
  <c r="C853" i="7"/>
  <c r="B853" i="7"/>
  <c r="A853" i="7"/>
  <c r="F852" i="7"/>
  <c r="E852" i="7"/>
  <c r="D852" i="7"/>
  <c r="C852" i="7"/>
  <c r="B852" i="7"/>
  <c r="A852" i="7"/>
  <c r="F851" i="7"/>
  <c r="E851" i="7"/>
  <c r="D851" i="7"/>
  <c r="C851" i="7"/>
  <c r="B851" i="7"/>
  <c r="A851" i="7"/>
  <c r="F850" i="7"/>
  <c r="E850" i="7"/>
  <c r="D850" i="7"/>
  <c r="C850" i="7"/>
  <c r="B850" i="7"/>
  <c r="A850" i="7"/>
  <c r="F849" i="7"/>
  <c r="E849" i="7"/>
  <c r="D849" i="7"/>
  <c r="C849" i="7"/>
  <c r="B849" i="7"/>
  <c r="A849" i="7"/>
  <c r="F848" i="7"/>
  <c r="E848" i="7"/>
  <c r="D848" i="7"/>
  <c r="C848" i="7"/>
  <c r="B848" i="7"/>
  <c r="A848" i="7"/>
  <c r="F847" i="7"/>
  <c r="E847" i="7"/>
  <c r="D847" i="7"/>
  <c r="C847" i="7"/>
  <c r="B847" i="7"/>
  <c r="A847" i="7"/>
  <c r="F846" i="7"/>
  <c r="E846" i="7"/>
  <c r="D846" i="7"/>
  <c r="C846" i="7"/>
  <c r="B846" i="7"/>
  <c r="A846" i="7"/>
  <c r="F845" i="7"/>
  <c r="E845" i="7"/>
  <c r="D845" i="7"/>
  <c r="C845" i="7"/>
  <c r="B845" i="7"/>
  <c r="A845" i="7"/>
  <c r="F844" i="7"/>
  <c r="E844" i="7"/>
  <c r="D844" i="7"/>
  <c r="C844" i="7"/>
  <c r="B844" i="7"/>
  <c r="A844" i="7"/>
  <c r="F843" i="7"/>
  <c r="E843" i="7"/>
  <c r="D843" i="7"/>
  <c r="C843" i="7"/>
  <c r="B843" i="7"/>
  <c r="A843" i="7"/>
  <c r="F842" i="7"/>
  <c r="E842" i="7"/>
  <c r="D842" i="7"/>
  <c r="C842" i="7"/>
  <c r="B842" i="7"/>
  <c r="A842" i="7"/>
  <c r="F841" i="7"/>
  <c r="E841" i="7"/>
  <c r="D841" i="7"/>
  <c r="C841" i="7"/>
  <c r="B841" i="7"/>
  <c r="A841" i="7"/>
  <c r="F840" i="7"/>
  <c r="E840" i="7"/>
  <c r="D840" i="7"/>
  <c r="C840" i="7"/>
  <c r="B840" i="7"/>
  <c r="A840" i="7"/>
  <c r="F839" i="7"/>
  <c r="E839" i="7"/>
  <c r="D839" i="7"/>
  <c r="C839" i="7"/>
  <c r="B839" i="7"/>
  <c r="A839" i="7"/>
  <c r="F838" i="7"/>
  <c r="E838" i="7"/>
  <c r="D838" i="7"/>
  <c r="C838" i="7"/>
  <c r="B838" i="7"/>
  <c r="A838" i="7"/>
  <c r="F837" i="7"/>
  <c r="E837" i="7"/>
  <c r="D837" i="7"/>
  <c r="C837" i="7"/>
  <c r="B837" i="7"/>
  <c r="A837" i="7"/>
  <c r="F836" i="7"/>
  <c r="E836" i="7"/>
  <c r="D836" i="7"/>
  <c r="C836" i="7"/>
  <c r="B836" i="7"/>
  <c r="A836" i="7"/>
  <c r="F835" i="7"/>
  <c r="E835" i="7"/>
  <c r="D835" i="7"/>
  <c r="C835" i="7"/>
  <c r="B835" i="7"/>
  <c r="A835" i="7"/>
  <c r="F834" i="7"/>
  <c r="E834" i="7"/>
  <c r="D834" i="7"/>
  <c r="C834" i="7"/>
  <c r="B834" i="7"/>
  <c r="A834" i="7"/>
  <c r="F833" i="7"/>
  <c r="E833" i="7"/>
  <c r="D833" i="7"/>
  <c r="C833" i="7"/>
  <c r="B833" i="7"/>
  <c r="A833" i="7"/>
  <c r="F832" i="7"/>
  <c r="E832" i="7"/>
  <c r="D832" i="7"/>
  <c r="C832" i="7"/>
  <c r="B832" i="7"/>
  <c r="A832" i="7"/>
  <c r="F831" i="7"/>
  <c r="E831" i="7"/>
  <c r="D831" i="7"/>
  <c r="C831" i="7"/>
  <c r="B831" i="7"/>
  <c r="A831" i="7"/>
  <c r="F830" i="7"/>
  <c r="E830" i="7"/>
  <c r="D830" i="7"/>
  <c r="C830" i="7"/>
  <c r="B830" i="7"/>
  <c r="A830" i="7"/>
  <c r="F829" i="7"/>
  <c r="E829" i="7"/>
  <c r="D829" i="7"/>
  <c r="C829" i="7"/>
  <c r="B829" i="7"/>
  <c r="A829" i="7"/>
  <c r="F828" i="7"/>
  <c r="E828" i="7"/>
  <c r="D828" i="7"/>
  <c r="C828" i="7"/>
  <c r="B828" i="7"/>
  <c r="A828" i="7"/>
  <c r="F827" i="7"/>
  <c r="E827" i="7"/>
  <c r="D827" i="7"/>
  <c r="C827" i="7"/>
  <c r="B827" i="7"/>
  <c r="A827" i="7"/>
  <c r="F826" i="7"/>
  <c r="E826" i="7"/>
  <c r="D826" i="7"/>
  <c r="C826" i="7"/>
  <c r="B826" i="7"/>
  <c r="A826" i="7"/>
  <c r="F825" i="7"/>
  <c r="E825" i="7"/>
  <c r="D825" i="7"/>
  <c r="C825" i="7"/>
  <c r="B825" i="7"/>
  <c r="A825" i="7"/>
  <c r="F824" i="7"/>
  <c r="E824" i="7"/>
  <c r="D824" i="7"/>
  <c r="C824" i="7"/>
  <c r="B824" i="7"/>
  <c r="A824" i="7"/>
  <c r="F823" i="7"/>
  <c r="E823" i="7"/>
  <c r="D823" i="7"/>
  <c r="C823" i="7"/>
  <c r="B823" i="7"/>
  <c r="A823" i="7"/>
  <c r="F822" i="7"/>
  <c r="E822" i="7"/>
  <c r="D822" i="7"/>
  <c r="C822" i="7"/>
  <c r="B822" i="7"/>
  <c r="A822" i="7"/>
  <c r="F821" i="7"/>
  <c r="E821" i="7"/>
  <c r="D821" i="7"/>
  <c r="C821" i="7"/>
  <c r="B821" i="7"/>
  <c r="A821" i="7"/>
  <c r="F820" i="7"/>
  <c r="E820" i="7"/>
  <c r="D820" i="7"/>
  <c r="C820" i="7"/>
  <c r="B820" i="7"/>
  <c r="A820" i="7"/>
  <c r="F819" i="7"/>
  <c r="E819" i="7"/>
  <c r="D819" i="7"/>
  <c r="C819" i="7"/>
  <c r="B819" i="7"/>
  <c r="A819" i="7"/>
  <c r="F818" i="7"/>
  <c r="E818" i="7"/>
  <c r="D818" i="7"/>
  <c r="C818" i="7"/>
  <c r="B818" i="7"/>
  <c r="A818" i="7"/>
  <c r="F817" i="7"/>
  <c r="E817" i="7"/>
  <c r="D817" i="7"/>
  <c r="C817" i="7"/>
  <c r="B817" i="7"/>
  <c r="A817" i="7"/>
  <c r="F816" i="7"/>
  <c r="E816" i="7"/>
  <c r="D816" i="7"/>
  <c r="C816" i="7"/>
  <c r="B816" i="7"/>
  <c r="A816" i="7"/>
  <c r="F815" i="7"/>
  <c r="E815" i="7"/>
  <c r="D815" i="7"/>
  <c r="C815" i="7"/>
  <c r="B815" i="7"/>
  <c r="A815" i="7"/>
  <c r="F814" i="7"/>
  <c r="E814" i="7"/>
  <c r="D814" i="7"/>
  <c r="C814" i="7"/>
  <c r="B814" i="7"/>
  <c r="A814" i="7"/>
  <c r="F813" i="7"/>
  <c r="E813" i="7"/>
  <c r="D813" i="7"/>
  <c r="C813" i="7"/>
  <c r="B813" i="7"/>
  <c r="A813" i="7"/>
  <c r="F812" i="7"/>
  <c r="E812" i="7"/>
  <c r="D812" i="7"/>
  <c r="C812" i="7"/>
  <c r="B812" i="7"/>
  <c r="A812" i="7"/>
  <c r="F811" i="7"/>
  <c r="E811" i="7"/>
  <c r="D811" i="7"/>
  <c r="C811" i="7"/>
  <c r="B811" i="7"/>
  <c r="A811" i="7"/>
  <c r="F810" i="7"/>
  <c r="E810" i="7"/>
  <c r="D810" i="7"/>
  <c r="C810" i="7"/>
  <c r="B810" i="7"/>
  <c r="A810" i="7"/>
  <c r="F809" i="7"/>
  <c r="E809" i="7"/>
  <c r="D809" i="7"/>
  <c r="C809" i="7"/>
  <c r="B809" i="7"/>
  <c r="A809" i="7"/>
  <c r="F808" i="7"/>
  <c r="E808" i="7"/>
  <c r="D808" i="7"/>
  <c r="C808" i="7"/>
  <c r="B808" i="7"/>
  <c r="A808" i="7"/>
  <c r="F807" i="7"/>
  <c r="E807" i="7"/>
  <c r="D807" i="7"/>
  <c r="C807" i="7"/>
  <c r="B807" i="7"/>
  <c r="A807" i="7"/>
  <c r="F806" i="7"/>
  <c r="E806" i="7"/>
  <c r="D806" i="7"/>
  <c r="C806" i="7"/>
  <c r="B806" i="7"/>
  <c r="A806" i="7"/>
  <c r="F805" i="7"/>
  <c r="E805" i="7"/>
  <c r="D805" i="7"/>
  <c r="C805" i="7"/>
  <c r="B805" i="7"/>
  <c r="A805" i="7"/>
  <c r="F804" i="7"/>
  <c r="E804" i="7"/>
  <c r="D804" i="7"/>
  <c r="C804" i="7"/>
  <c r="B804" i="7"/>
  <c r="A804" i="7"/>
  <c r="F803" i="7"/>
  <c r="E803" i="7"/>
  <c r="D803" i="7"/>
  <c r="C803" i="7"/>
  <c r="B803" i="7"/>
  <c r="A803" i="7"/>
  <c r="F802" i="7"/>
  <c r="E802" i="7"/>
  <c r="D802" i="7"/>
  <c r="C802" i="7"/>
  <c r="B802" i="7"/>
  <c r="A802" i="7"/>
  <c r="F801" i="7"/>
  <c r="E801" i="7"/>
  <c r="D801" i="7"/>
  <c r="C801" i="7"/>
  <c r="B801" i="7"/>
  <c r="A801" i="7"/>
  <c r="F800" i="7"/>
  <c r="E800" i="7"/>
  <c r="D800" i="7"/>
  <c r="C800" i="7"/>
  <c r="B800" i="7"/>
  <c r="A800" i="7"/>
  <c r="F799" i="7"/>
  <c r="E799" i="7"/>
  <c r="D799" i="7"/>
  <c r="C799" i="7"/>
  <c r="B799" i="7"/>
  <c r="A799" i="7"/>
  <c r="F798" i="7"/>
  <c r="E798" i="7"/>
  <c r="D798" i="7"/>
  <c r="C798" i="7"/>
  <c r="B798" i="7"/>
  <c r="A798" i="7"/>
  <c r="F797" i="7"/>
  <c r="E797" i="7"/>
  <c r="D797" i="7"/>
  <c r="C797" i="7"/>
  <c r="B797" i="7"/>
  <c r="A797" i="7"/>
  <c r="F796" i="7"/>
  <c r="E796" i="7"/>
  <c r="D796" i="7"/>
  <c r="C796" i="7"/>
  <c r="B796" i="7"/>
  <c r="A796" i="7"/>
  <c r="F795" i="7"/>
  <c r="E795" i="7"/>
  <c r="D795" i="7"/>
  <c r="C795" i="7"/>
  <c r="B795" i="7"/>
  <c r="A795" i="7"/>
  <c r="F794" i="7"/>
  <c r="E794" i="7"/>
  <c r="D794" i="7"/>
  <c r="C794" i="7"/>
  <c r="B794" i="7"/>
  <c r="A794" i="7"/>
  <c r="F793" i="7"/>
  <c r="E793" i="7"/>
  <c r="D793" i="7"/>
  <c r="C793" i="7"/>
  <c r="B793" i="7"/>
  <c r="A793" i="7"/>
  <c r="F792" i="7"/>
  <c r="E792" i="7"/>
  <c r="D792" i="7"/>
  <c r="C792" i="7"/>
  <c r="B792" i="7"/>
  <c r="A792" i="7"/>
  <c r="F791" i="7"/>
  <c r="E791" i="7"/>
  <c r="D791" i="7"/>
  <c r="C791" i="7"/>
  <c r="B791" i="7"/>
  <c r="A791" i="7"/>
  <c r="F790" i="7"/>
  <c r="E790" i="7"/>
  <c r="D790" i="7"/>
  <c r="C790" i="7"/>
  <c r="B790" i="7"/>
  <c r="A790" i="7"/>
  <c r="F789" i="7"/>
  <c r="E789" i="7"/>
  <c r="D789" i="7"/>
  <c r="C789" i="7"/>
  <c r="B789" i="7"/>
  <c r="A789" i="7"/>
  <c r="F788" i="7"/>
  <c r="E788" i="7"/>
  <c r="D788" i="7"/>
  <c r="C788" i="7"/>
  <c r="B788" i="7"/>
  <c r="A788" i="7"/>
  <c r="F787" i="7"/>
  <c r="E787" i="7"/>
  <c r="D787" i="7"/>
  <c r="C787" i="7"/>
  <c r="B787" i="7"/>
  <c r="A787" i="7"/>
  <c r="F786" i="7"/>
  <c r="E786" i="7"/>
  <c r="D786" i="7"/>
  <c r="C786" i="7"/>
  <c r="B786" i="7"/>
  <c r="A786" i="7"/>
  <c r="F785" i="7"/>
  <c r="E785" i="7"/>
  <c r="D785" i="7"/>
  <c r="C785" i="7"/>
  <c r="B785" i="7"/>
  <c r="A785" i="7"/>
  <c r="F784" i="7"/>
  <c r="E784" i="7"/>
  <c r="D784" i="7"/>
  <c r="C784" i="7"/>
  <c r="B784" i="7"/>
  <c r="A784" i="7"/>
  <c r="F783" i="7"/>
  <c r="E783" i="7"/>
  <c r="D783" i="7"/>
  <c r="C783" i="7"/>
  <c r="B783" i="7"/>
  <c r="A783" i="7"/>
  <c r="F782" i="7"/>
  <c r="E782" i="7"/>
  <c r="D782" i="7"/>
  <c r="C782" i="7"/>
  <c r="B782" i="7"/>
  <c r="A782" i="7"/>
  <c r="F781" i="7"/>
  <c r="E781" i="7"/>
  <c r="D781" i="7"/>
  <c r="C781" i="7"/>
  <c r="B781" i="7"/>
  <c r="A781" i="7"/>
  <c r="F780" i="7"/>
  <c r="E780" i="7"/>
  <c r="D780" i="7"/>
  <c r="C780" i="7"/>
  <c r="B780" i="7"/>
  <c r="A780" i="7"/>
  <c r="F779" i="7"/>
  <c r="E779" i="7"/>
  <c r="D779" i="7"/>
  <c r="C779" i="7"/>
  <c r="B779" i="7"/>
  <c r="A779" i="7"/>
  <c r="F778" i="7"/>
  <c r="E778" i="7"/>
  <c r="D778" i="7"/>
  <c r="C778" i="7"/>
  <c r="B778" i="7"/>
  <c r="A778" i="7"/>
  <c r="F777" i="7"/>
  <c r="E777" i="7"/>
  <c r="D777" i="7"/>
  <c r="C777" i="7"/>
  <c r="B777" i="7"/>
  <c r="A777" i="7"/>
  <c r="F776" i="7"/>
  <c r="E776" i="7"/>
  <c r="D776" i="7"/>
  <c r="C776" i="7"/>
  <c r="B776" i="7"/>
  <c r="A776" i="7"/>
  <c r="F775" i="7"/>
  <c r="E775" i="7"/>
  <c r="D775" i="7"/>
  <c r="C775" i="7"/>
  <c r="B775" i="7"/>
  <c r="A775" i="7"/>
  <c r="F774" i="7"/>
  <c r="E774" i="7"/>
  <c r="D774" i="7"/>
  <c r="C774" i="7"/>
  <c r="B774" i="7"/>
  <c r="A774" i="7"/>
  <c r="F773" i="7"/>
  <c r="E773" i="7"/>
  <c r="D773" i="7"/>
  <c r="C773" i="7"/>
  <c r="B773" i="7"/>
  <c r="A773" i="7"/>
  <c r="F772" i="7"/>
  <c r="E772" i="7"/>
  <c r="D772" i="7"/>
  <c r="C772" i="7"/>
  <c r="B772" i="7"/>
  <c r="A772" i="7"/>
  <c r="F771" i="7"/>
  <c r="E771" i="7"/>
  <c r="D771" i="7"/>
  <c r="C771" i="7"/>
  <c r="B771" i="7"/>
  <c r="A771" i="7"/>
  <c r="F770" i="7"/>
  <c r="E770" i="7"/>
  <c r="D770" i="7"/>
  <c r="C770" i="7"/>
  <c r="B770" i="7"/>
  <c r="A770" i="7"/>
  <c r="F769" i="7"/>
  <c r="E769" i="7"/>
  <c r="D769" i="7"/>
  <c r="C769" i="7"/>
  <c r="B769" i="7"/>
  <c r="A769" i="7"/>
  <c r="F768" i="7"/>
  <c r="E768" i="7"/>
  <c r="D768" i="7"/>
  <c r="C768" i="7"/>
  <c r="B768" i="7"/>
  <c r="A768" i="7"/>
  <c r="F767" i="7"/>
  <c r="E767" i="7"/>
  <c r="D767" i="7"/>
  <c r="C767" i="7"/>
  <c r="B767" i="7"/>
  <c r="A767" i="7"/>
  <c r="F766" i="7"/>
  <c r="E766" i="7"/>
  <c r="D766" i="7"/>
  <c r="C766" i="7"/>
  <c r="B766" i="7"/>
  <c r="A766" i="7"/>
  <c r="F765" i="7"/>
  <c r="E765" i="7"/>
  <c r="D765" i="7"/>
  <c r="C765" i="7"/>
  <c r="B765" i="7"/>
  <c r="A765" i="7"/>
  <c r="F764" i="7"/>
  <c r="E764" i="7"/>
  <c r="D764" i="7"/>
  <c r="C764" i="7"/>
  <c r="B764" i="7"/>
  <c r="A764" i="7"/>
  <c r="F763" i="7"/>
  <c r="E763" i="7"/>
  <c r="D763" i="7"/>
  <c r="C763" i="7"/>
  <c r="B763" i="7"/>
  <c r="A763" i="7"/>
  <c r="F762" i="7"/>
  <c r="E762" i="7"/>
  <c r="D762" i="7"/>
  <c r="C762" i="7"/>
  <c r="B762" i="7"/>
  <c r="A762" i="7"/>
  <c r="F761" i="7"/>
  <c r="E761" i="7"/>
  <c r="D761" i="7"/>
  <c r="C761" i="7"/>
  <c r="B761" i="7"/>
  <c r="A761" i="7"/>
  <c r="F760" i="7"/>
  <c r="E760" i="7"/>
  <c r="D760" i="7"/>
  <c r="C760" i="7"/>
  <c r="B760" i="7"/>
  <c r="A760" i="7"/>
  <c r="F759" i="7"/>
  <c r="E759" i="7"/>
  <c r="D759" i="7"/>
  <c r="C759" i="7"/>
  <c r="B759" i="7"/>
  <c r="A759" i="7"/>
  <c r="F758" i="7"/>
  <c r="E758" i="7"/>
  <c r="D758" i="7"/>
  <c r="C758" i="7"/>
  <c r="B758" i="7"/>
  <c r="A758" i="7"/>
  <c r="F757" i="7"/>
  <c r="E757" i="7"/>
  <c r="D757" i="7"/>
  <c r="C757" i="7"/>
  <c r="B757" i="7"/>
  <c r="A757" i="7"/>
  <c r="F756" i="7"/>
  <c r="E756" i="7"/>
  <c r="D756" i="7"/>
  <c r="C756" i="7"/>
  <c r="B756" i="7"/>
  <c r="A756" i="7"/>
  <c r="F755" i="7"/>
  <c r="E755" i="7"/>
  <c r="D755" i="7"/>
  <c r="C755" i="7"/>
  <c r="B755" i="7"/>
  <c r="A755" i="7"/>
  <c r="F754" i="7"/>
  <c r="E754" i="7"/>
  <c r="D754" i="7"/>
  <c r="C754" i="7"/>
  <c r="B754" i="7"/>
  <c r="A754" i="7"/>
  <c r="F753" i="7"/>
  <c r="E753" i="7"/>
  <c r="D753" i="7"/>
  <c r="C753" i="7"/>
  <c r="B753" i="7"/>
  <c r="A753" i="7"/>
  <c r="F752" i="7"/>
  <c r="E752" i="7"/>
  <c r="D752" i="7"/>
  <c r="C752" i="7"/>
  <c r="B752" i="7"/>
  <c r="A752" i="7"/>
  <c r="F751" i="7"/>
  <c r="E751" i="7"/>
  <c r="D751" i="7"/>
  <c r="C751" i="7"/>
  <c r="B751" i="7"/>
  <c r="A751" i="7"/>
  <c r="F750" i="7"/>
  <c r="E750" i="7"/>
  <c r="D750" i="7"/>
  <c r="C750" i="7"/>
  <c r="B750" i="7"/>
  <c r="A750" i="7"/>
  <c r="F749" i="7"/>
  <c r="E749" i="7"/>
  <c r="D749" i="7"/>
  <c r="C749" i="7"/>
  <c r="B749" i="7"/>
  <c r="A749" i="7"/>
  <c r="F748" i="7"/>
  <c r="E748" i="7"/>
  <c r="D748" i="7"/>
  <c r="C748" i="7"/>
  <c r="B748" i="7"/>
  <c r="A748" i="7"/>
  <c r="F747" i="7"/>
  <c r="E747" i="7"/>
  <c r="D747" i="7"/>
  <c r="C747" i="7"/>
  <c r="B747" i="7"/>
  <c r="A747" i="7"/>
  <c r="F746" i="7"/>
  <c r="E746" i="7"/>
  <c r="D746" i="7"/>
  <c r="C746" i="7"/>
  <c r="B746" i="7"/>
  <c r="A746" i="7"/>
  <c r="F745" i="7"/>
  <c r="E745" i="7"/>
  <c r="D745" i="7"/>
  <c r="C745" i="7"/>
  <c r="B745" i="7"/>
  <c r="A745" i="7"/>
  <c r="F744" i="7"/>
  <c r="E744" i="7"/>
  <c r="D744" i="7"/>
  <c r="C744" i="7"/>
  <c r="B744" i="7"/>
  <c r="A744" i="7"/>
  <c r="F743" i="7"/>
  <c r="E743" i="7"/>
  <c r="D743" i="7"/>
  <c r="C743" i="7"/>
  <c r="B743" i="7"/>
  <c r="A743" i="7"/>
  <c r="F742" i="7"/>
  <c r="E742" i="7"/>
  <c r="D742" i="7"/>
  <c r="C742" i="7"/>
  <c r="B742" i="7"/>
  <c r="A742" i="7"/>
  <c r="F741" i="7"/>
  <c r="E741" i="7"/>
  <c r="D741" i="7"/>
  <c r="C741" i="7"/>
  <c r="B741" i="7"/>
  <c r="A741" i="7"/>
  <c r="F740" i="7"/>
  <c r="E740" i="7"/>
  <c r="D740" i="7"/>
  <c r="C740" i="7"/>
  <c r="B740" i="7"/>
  <c r="A740" i="7"/>
  <c r="F739" i="7"/>
  <c r="E739" i="7"/>
  <c r="D739" i="7"/>
  <c r="C739" i="7"/>
  <c r="B739" i="7"/>
  <c r="A739" i="7"/>
  <c r="F738" i="7"/>
  <c r="E738" i="7"/>
  <c r="D738" i="7"/>
  <c r="C738" i="7"/>
  <c r="B738" i="7"/>
  <c r="A738" i="7"/>
  <c r="F737" i="7"/>
  <c r="E737" i="7"/>
  <c r="D737" i="7"/>
  <c r="C737" i="7"/>
  <c r="B737" i="7"/>
  <c r="A737" i="7"/>
  <c r="F736" i="7"/>
  <c r="E736" i="7"/>
  <c r="D736" i="7"/>
  <c r="C736" i="7"/>
  <c r="B736" i="7"/>
  <c r="A736" i="7"/>
  <c r="F735" i="7"/>
  <c r="E735" i="7"/>
  <c r="D735" i="7"/>
  <c r="C735" i="7"/>
  <c r="B735" i="7"/>
  <c r="A735" i="7"/>
  <c r="F734" i="7"/>
  <c r="E734" i="7"/>
  <c r="D734" i="7"/>
  <c r="C734" i="7"/>
  <c r="B734" i="7"/>
  <c r="A734" i="7"/>
  <c r="F733" i="7"/>
  <c r="E733" i="7"/>
  <c r="D733" i="7"/>
  <c r="C733" i="7"/>
  <c r="B733" i="7"/>
  <c r="A733" i="7"/>
  <c r="F732" i="7"/>
  <c r="E732" i="7"/>
  <c r="D732" i="7"/>
  <c r="C732" i="7"/>
  <c r="B732" i="7"/>
  <c r="A732" i="7"/>
  <c r="F731" i="7"/>
  <c r="E731" i="7"/>
  <c r="D731" i="7"/>
  <c r="C731" i="7"/>
  <c r="B731" i="7"/>
  <c r="A731" i="7"/>
  <c r="F730" i="7"/>
  <c r="E730" i="7"/>
  <c r="D730" i="7"/>
  <c r="C730" i="7"/>
  <c r="B730" i="7"/>
  <c r="A730" i="7"/>
  <c r="F729" i="7"/>
  <c r="E729" i="7"/>
  <c r="D729" i="7"/>
  <c r="C729" i="7"/>
  <c r="B729" i="7"/>
  <c r="A729" i="7"/>
  <c r="F728" i="7"/>
  <c r="E728" i="7"/>
  <c r="D728" i="7"/>
  <c r="C728" i="7"/>
  <c r="B728" i="7"/>
  <c r="A728" i="7"/>
  <c r="F727" i="7"/>
  <c r="E727" i="7"/>
  <c r="D727" i="7"/>
  <c r="C727" i="7"/>
  <c r="B727" i="7"/>
  <c r="A727" i="7"/>
  <c r="F726" i="7"/>
  <c r="E726" i="7"/>
  <c r="D726" i="7"/>
  <c r="C726" i="7"/>
  <c r="B726" i="7"/>
  <c r="A726" i="7"/>
  <c r="F725" i="7"/>
  <c r="E725" i="7"/>
  <c r="D725" i="7"/>
  <c r="C725" i="7"/>
  <c r="B725" i="7"/>
  <c r="A725" i="7"/>
  <c r="F724" i="7"/>
  <c r="E724" i="7"/>
  <c r="D724" i="7"/>
  <c r="C724" i="7"/>
  <c r="B724" i="7"/>
  <c r="A724" i="7"/>
  <c r="F723" i="7"/>
  <c r="E723" i="7"/>
  <c r="D723" i="7"/>
  <c r="C723" i="7"/>
  <c r="B723" i="7"/>
  <c r="A723" i="7"/>
  <c r="F722" i="7"/>
  <c r="E722" i="7"/>
  <c r="D722" i="7"/>
  <c r="C722" i="7"/>
  <c r="B722" i="7"/>
  <c r="A722" i="7"/>
  <c r="F721" i="7"/>
  <c r="E721" i="7"/>
  <c r="D721" i="7"/>
  <c r="C721" i="7"/>
  <c r="B721" i="7"/>
  <c r="A721" i="7"/>
  <c r="F720" i="7"/>
  <c r="E720" i="7"/>
  <c r="D720" i="7"/>
  <c r="C720" i="7"/>
  <c r="B720" i="7"/>
  <c r="A720" i="7"/>
  <c r="F719" i="7"/>
  <c r="E719" i="7"/>
  <c r="D719" i="7"/>
  <c r="C719" i="7"/>
  <c r="B719" i="7"/>
  <c r="A719" i="7"/>
  <c r="F718" i="7"/>
  <c r="E718" i="7"/>
  <c r="D718" i="7"/>
  <c r="C718" i="7"/>
  <c r="B718" i="7"/>
  <c r="A718" i="7"/>
  <c r="F717" i="7"/>
  <c r="E717" i="7"/>
  <c r="D717" i="7"/>
  <c r="C717" i="7"/>
  <c r="B717" i="7"/>
  <c r="A717" i="7"/>
  <c r="F716" i="7"/>
  <c r="E716" i="7"/>
  <c r="D716" i="7"/>
  <c r="C716" i="7"/>
  <c r="B716" i="7"/>
  <c r="A716" i="7"/>
  <c r="F715" i="7"/>
  <c r="E715" i="7"/>
  <c r="D715" i="7"/>
  <c r="C715" i="7"/>
  <c r="B715" i="7"/>
  <c r="A715" i="7"/>
  <c r="F714" i="7"/>
  <c r="E714" i="7"/>
  <c r="D714" i="7"/>
  <c r="C714" i="7"/>
  <c r="B714" i="7"/>
  <c r="A714" i="7"/>
  <c r="F713" i="7"/>
  <c r="E713" i="7"/>
  <c r="D713" i="7"/>
  <c r="C713" i="7"/>
  <c r="B713" i="7"/>
  <c r="A713" i="7"/>
  <c r="F712" i="7"/>
  <c r="E712" i="7"/>
  <c r="D712" i="7"/>
  <c r="C712" i="7"/>
  <c r="B712" i="7"/>
  <c r="A712" i="7"/>
  <c r="F711" i="7"/>
  <c r="E711" i="7"/>
  <c r="D711" i="7"/>
  <c r="C711" i="7"/>
  <c r="B711" i="7"/>
  <c r="A711" i="7"/>
  <c r="F710" i="7"/>
  <c r="E710" i="7"/>
  <c r="D710" i="7"/>
  <c r="C710" i="7"/>
  <c r="B710" i="7"/>
  <c r="A710" i="7"/>
  <c r="F709" i="7"/>
  <c r="E709" i="7"/>
  <c r="D709" i="7"/>
  <c r="C709" i="7"/>
  <c r="B709" i="7"/>
  <c r="A709" i="7"/>
  <c r="F708" i="7"/>
  <c r="E708" i="7"/>
  <c r="D708" i="7"/>
  <c r="C708" i="7"/>
  <c r="B708" i="7"/>
  <c r="A708" i="7"/>
  <c r="F707" i="7"/>
  <c r="E707" i="7"/>
  <c r="D707" i="7"/>
  <c r="C707" i="7"/>
  <c r="B707" i="7"/>
  <c r="A707" i="7"/>
  <c r="F706" i="7"/>
  <c r="E706" i="7"/>
  <c r="D706" i="7"/>
  <c r="C706" i="7"/>
  <c r="B706" i="7"/>
  <c r="A706" i="7"/>
  <c r="F705" i="7"/>
  <c r="E705" i="7"/>
  <c r="D705" i="7"/>
  <c r="C705" i="7"/>
  <c r="B705" i="7"/>
  <c r="A705" i="7"/>
  <c r="F704" i="7"/>
  <c r="E704" i="7"/>
  <c r="D704" i="7"/>
  <c r="C704" i="7"/>
  <c r="B704" i="7"/>
  <c r="A704" i="7"/>
  <c r="F703" i="7"/>
  <c r="E703" i="7"/>
  <c r="D703" i="7"/>
  <c r="C703" i="7"/>
  <c r="B703" i="7"/>
  <c r="A703" i="7"/>
  <c r="F702" i="7"/>
  <c r="E702" i="7"/>
  <c r="D702" i="7"/>
  <c r="C702" i="7"/>
  <c r="B702" i="7"/>
  <c r="A702" i="7"/>
  <c r="F701" i="7"/>
  <c r="E701" i="7"/>
  <c r="D701" i="7"/>
  <c r="C701" i="7"/>
  <c r="B701" i="7"/>
  <c r="A701" i="7"/>
  <c r="F700" i="7"/>
  <c r="E700" i="7"/>
  <c r="D700" i="7"/>
  <c r="C700" i="7"/>
  <c r="B700" i="7"/>
  <c r="A700" i="7"/>
  <c r="F699" i="7"/>
  <c r="E699" i="7"/>
  <c r="D699" i="7"/>
  <c r="C699" i="7"/>
  <c r="B699" i="7"/>
  <c r="A699" i="7"/>
  <c r="F698" i="7"/>
  <c r="E698" i="7"/>
  <c r="D698" i="7"/>
  <c r="C698" i="7"/>
  <c r="B698" i="7"/>
  <c r="A698" i="7"/>
  <c r="F697" i="7"/>
  <c r="E697" i="7"/>
  <c r="D697" i="7"/>
  <c r="C697" i="7"/>
  <c r="B697" i="7"/>
  <c r="A697" i="7"/>
  <c r="F696" i="7"/>
  <c r="E696" i="7"/>
  <c r="D696" i="7"/>
  <c r="C696" i="7"/>
  <c r="B696" i="7"/>
  <c r="A696" i="7"/>
  <c r="F695" i="7"/>
  <c r="E695" i="7"/>
  <c r="D695" i="7"/>
  <c r="C695" i="7"/>
  <c r="B695" i="7"/>
  <c r="A695" i="7"/>
  <c r="F694" i="7"/>
  <c r="E694" i="7"/>
  <c r="D694" i="7"/>
  <c r="C694" i="7"/>
  <c r="B694" i="7"/>
  <c r="A694" i="7"/>
  <c r="F693" i="7"/>
  <c r="E693" i="7"/>
  <c r="D693" i="7"/>
  <c r="C693" i="7"/>
  <c r="B693" i="7"/>
  <c r="A693" i="7"/>
  <c r="F692" i="7"/>
  <c r="E692" i="7"/>
  <c r="D692" i="7"/>
  <c r="C692" i="7"/>
  <c r="B692" i="7"/>
  <c r="A692" i="7"/>
  <c r="F691" i="7"/>
  <c r="E691" i="7"/>
  <c r="D691" i="7"/>
  <c r="C691" i="7"/>
  <c r="B691" i="7"/>
  <c r="A691" i="7"/>
  <c r="F690" i="7"/>
  <c r="E690" i="7"/>
  <c r="D690" i="7"/>
  <c r="C690" i="7"/>
  <c r="B690" i="7"/>
  <c r="A690" i="7"/>
  <c r="F689" i="7"/>
  <c r="E689" i="7"/>
  <c r="D689" i="7"/>
  <c r="C689" i="7"/>
  <c r="B689" i="7"/>
  <c r="A689" i="7"/>
  <c r="F688" i="7"/>
  <c r="E688" i="7"/>
  <c r="D688" i="7"/>
  <c r="C688" i="7"/>
  <c r="B688" i="7"/>
  <c r="A688" i="7"/>
  <c r="F687" i="7"/>
  <c r="E687" i="7"/>
  <c r="D687" i="7"/>
  <c r="C687" i="7"/>
  <c r="B687" i="7"/>
  <c r="A687" i="7"/>
  <c r="F686" i="7"/>
  <c r="E686" i="7"/>
  <c r="D686" i="7"/>
  <c r="C686" i="7"/>
  <c r="B686" i="7"/>
  <c r="A686" i="7"/>
  <c r="F685" i="7"/>
  <c r="E685" i="7"/>
  <c r="D685" i="7"/>
  <c r="C685" i="7"/>
  <c r="B685" i="7"/>
  <c r="A685" i="7"/>
  <c r="F684" i="7"/>
  <c r="E684" i="7"/>
  <c r="D684" i="7"/>
  <c r="C684" i="7"/>
  <c r="B684" i="7"/>
  <c r="A684" i="7"/>
  <c r="F683" i="7"/>
  <c r="E683" i="7"/>
  <c r="D683" i="7"/>
  <c r="C683" i="7"/>
  <c r="B683" i="7"/>
  <c r="A683" i="7"/>
  <c r="F682" i="7"/>
  <c r="E682" i="7"/>
  <c r="D682" i="7"/>
  <c r="C682" i="7"/>
  <c r="B682" i="7"/>
  <c r="A682" i="7"/>
  <c r="F681" i="7"/>
  <c r="E681" i="7"/>
  <c r="D681" i="7"/>
  <c r="C681" i="7"/>
  <c r="B681" i="7"/>
  <c r="A681" i="7"/>
  <c r="F680" i="7"/>
  <c r="E680" i="7"/>
  <c r="D680" i="7"/>
  <c r="C680" i="7"/>
  <c r="B680" i="7"/>
  <c r="A680" i="7"/>
  <c r="F679" i="7"/>
  <c r="E679" i="7"/>
  <c r="D679" i="7"/>
  <c r="C679" i="7"/>
  <c r="B679" i="7"/>
  <c r="A679" i="7"/>
  <c r="F678" i="7"/>
  <c r="E678" i="7"/>
  <c r="D678" i="7"/>
  <c r="C678" i="7"/>
  <c r="B678" i="7"/>
  <c r="A678" i="7"/>
  <c r="F677" i="7"/>
  <c r="E677" i="7"/>
  <c r="D677" i="7"/>
  <c r="C677" i="7"/>
  <c r="B677" i="7"/>
  <c r="A677" i="7"/>
  <c r="F676" i="7"/>
  <c r="E676" i="7"/>
  <c r="D676" i="7"/>
  <c r="C676" i="7"/>
  <c r="B676" i="7"/>
  <c r="A676" i="7"/>
  <c r="F675" i="7"/>
  <c r="E675" i="7"/>
  <c r="D675" i="7"/>
  <c r="C675" i="7"/>
  <c r="B675" i="7"/>
  <c r="A675" i="7"/>
  <c r="F674" i="7"/>
  <c r="E674" i="7"/>
  <c r="D674" i="7"/>
  <c r="C674" i="7"/>
  <c r="B674" i="7"/>
  <c r="A674" i="7"/>
  <c r="F673" i="7"/>
  <c r="E673" i="7"/>
  <c r="D673" i="7"/>
  <c r="C673" i="7"/>
  <c r="B673" i="7"/>
  <c r="A673" i="7"/>
  <c r="F672" i="7"/>
  <c r="E672" i="7"/>
  <c r="D672" i="7"/>
  <c r="C672" i="7"/>
  <c r="B672" i="7"/>
  <c r="A672" i="7"/>
  <c r="F671" i="7"/>
  <c r="E671" i="7"/>
  <c r="D671" i="7"/>
  <c r="C671" i="7"/>
  <c r="B671" i="7"/>
  <c r="A671" i="7"/>
  <c r="F670" i="7"/>
  <c r="E670" i="7"/>
  <c r="D670" i="7"/>
  <c r="C670" i="7"/>
  <c r="B670" i="7"/>
  <c r="A670" i="7"/>
  <c r="F669" i="7"/>
  <c r="E669" i="7"/>
  <c r="D669" i="7"/>
  <c r="C669" i="7"/>
  <c r="B669" i="7"/>
  <c r="A669" i="7"/>
  <c r="F668" i="7"/>
  <c r="E668" i="7"/>
  <c r="D668" i="7"/>
  <c r="C668" i="7"/>
  <c r="B668" i="7"/>
  <c r="A668" i="7"/>
  <c r="F667" i="7"/>
  <c r="E667" i="7"/>
  <c r="D667" i="7"/>
  <c r="C667" i="7"/>
  <c r="B667" i="7"/>
  <c r="A667" i="7"/>
  <c r="F666" i="7"/>
  <c r="E666" i="7"/>
  <c r="D666" i="7"/>
  <c r="C666" i="7"/>
  <c r="B666" i="7"/>
  <c r="A666" i="7"/>
  <c r="F665" i="7"/>
  <c r="E665" i="7"/>
  <c r="D665" i="7"/>
  <c r="C665" i="7"/>
  <c r="B665" i="7"/>
  <c r="A665" i="7"/>
  <c r="F664" i="7"/>
  <c r="E664" i="7"/>
  <c r="D664" i="7"/>
  <c r="C664" i="7"/>
  <c r="B664" i="7"/>
  <c r="A664" i="7"/>
  <c r="F663" i="7"/>
  <c r="E663" i="7"/>
  <c r="D663" i="7"/>
  <c r="C663" i="7"/>
  <c r="B663" i="7"/>
  <c r="A663" i="7"/>
  <c r="F662" i="7"/>
  <c r="E662" i="7"/>
  <c r="D662" i="7"/>
  <c r="C662" i="7"/>
  <c r="B662" i="7"/>
  <c r="A662" i="7"/>
  <c r="F661" i="7"/>
  <c r="E661" i="7"/>
  <c r="D661" i="7"/>
  <c r="C661" i="7"/>
  <c r="B661" i="7"/>
  <c r="A661" i="7"/>
  <c r="F660" i="7"/>
  <c r="E660" i="7"/>
  <c r="D660" i="7"/>
  <c r="C660" i="7"/>
  <c r="B660" i="7"/>
  <c r="A660" i="7"/>
  <c r="F659" i="7"/>
  <c r="E659" i="7"/>
  <c r="D659" i="7"/>
  <c r="C659" i="7"/>
  <c r="B659" i="7"/>
  <c r="A659" i="7"/>
  <c r="F658" i="7"/>
  <c r="E658" i="7"/>
  <c r="D658" i="7"/>
  <c r="C658" i="7"/>
  <c r="B658" i="7"/>
  <c r="A658" i="7"/>
  <c r="F657" i="7"/>
  <c r="E657" i="7"/>
  <c r="D657" i="7"/>
  <c r="C657" i="7"/>
  <c r="B657" i="7"/>
  <c r="A657" i="7"/>
  <c r="F656" i="7"/>
  <c r="E656" i="7"/>
  <c r="D656" i="7"/>
  <c r="C656" i="7"/>
  <c r="B656" i="7"/>
  <c r="A656" i="7"/>
  <c r="F655" i="7"/>
  <c r="E655" i="7"/>
  <c r="D655" i="7"/>
  <c r="C655" i="7"/>
  <c r="B655" i="7"/>
  <c r="A655" i="7"/>
  <c r="F654" i="7"/>
  <c r="E654" i="7"/>
  <c r="D654" i="7"/>
  <c r="C654" i="7"/>
  <c r="B654" i="7"/>
  <c r="A654" i="7"/>
  <c r="F653" i="7"/>
  <c r="E653" i="7"/>
  <c r="D653" i="7"/>
  <c r="C653" i="7"/>
  <c r="B653" i="7"/>
  <c r="A653" i="7"/>
  <c r="F652" i="7"/>
  <c r="E652" i="7"/>
  <c r="D652" i="7"/>
  <c r="C652" i="7"/>
  <c r="B652" i="7"/>
  <c r="A652" i="7"/>
  <c r="F651" i="7"/>
  <c r="E651" i="7"/>
  <c r="D651" i="7"/>
  <c r="C651" i="7"/>
  <c r="B651" i="7"/>
  <c r="A651" i="7"/>
  <c r="F650" i="7"/>
  <c r="E650" i="7"/>
  <c r="D650" i="7"/>
  <c r="C650" i="7"/>
  <c r="B650" i="7"/>
  <c r="A650" i="7"/>
  <c r="F649" i="7"/>
  <c r="E649" i="7"/>
  <c r="D649" i="7"/>
  <c r="C649" i="7"/>
  <c r="B649" i="7"/>
  <c r="A649" i="7"/>
  <c r="F648" i="7"/>
  <c r="E648" i="7"/>
  <c r="D648" i="7"/>
  <c r="C648" i="7"/>
  <c r="B648" i="7"/>
  <c r="A648" i="7"/>
  <c r="F647" i="7"/>
  <c r="E647" i="7"/>
  <c r="D647" i="7"/>
  <c r="C647" i="7"/>
  <c r="B647" i="7"/>
  <c r="A647" i="7"/>
  <c r="F646" i="7"/>
  <c r="E646" i="7"/>
  <c r="D646" i="7"/>
  <c r="C646" i="7"/>
  <c r="B646" i="7"/>
  <c r="A646" i="7"/>
  <c r="F645" i="7"/>
  <c r="E645" i="7"/>
  <c r="D645" i="7"/>
  <c r="C645" i="7"/>
  <c r="B645" i="7"/>
  <c r="A645" i="7"/>
  <c r="F644" i="7"/>
  <c r="E644" i="7"/>
  <c r="D644" i="7"/>
  <c r="C644" i="7"/>
  <c r="B644" i="7"/>
  <c r="A644" i="7"/>
  <c r="F643" i="7"/>
  <c r="E643" i="7"/>
  <c r="D643" i="7"/>
  <c r="C643" i="7"/>
  <c r="B643" i="7"/>
  <c r="A643" i="7"/>
  <c r="F642" i="7"/>
  <c r="E642" i="7"/>
  <c r="D642" i="7"/>
  <c r="C642" i="7"/>
  <c r="B642" i="7"/>
  <c r="A642" i="7"/>
  <c r="F641" i="7"/>
  <c r="E641" i="7"/>
  <c r="D641" i="7"/>
  <c r="C641" i="7"/>
  <c r="B641" i="7"/>
  <c r="A641" i="7"/>
  <c r="F640" i="7"/>
  <c r="E640" i="7"/>
  <c r="D640" i="7"/>
  <c r="C640" i="7"/>
  <c r="B640" i="7"/>
  <c r="A640" i="7"/>
  <c r="F639" i="7"/>
  <c r="E639" i="7"/>
  <c r="D639" i="7"/>
  <c r="C639" i="7"/>
  <c r="B639" i="7"/>
  <c r="A639" i="7"/>
  <c r="F638" i="7"/>
  <c r="E638" i="7"/>
  <c r="D638" i="7"/>
  <c r="C638" i="7"/>
  <c r="B638" i="7"/>
  <c r="A638" i="7"/>
  <c r="F637" i="7"/>
  <c r="E637" i="7"/>
  <c r="D637" i="7"/>
  <c r="C637" i="7"/>
  <c r="B637" i="7"/>
  <c r="A637" i="7"/>
  <c r="F636" i="7"/>
  <c r="E636" i="7"/>
  <c r="D636" i="7"/>
  <c r="C636" i="7"/>
  <c r="B636" i="7"/>
  <c r="A636" i="7"/>
  <c r="F635" i="7"/>
  <c r="E635" i="7"/>
  <c r="D635" i="7"/>
  <c r="C635" i="7"/>
  <c r="B635" i="7"/>
  <c r="A635" i="7"/>
  <c r="F634" i="7"/>
  <c r="E634" i="7"/>
  <c r="D634" i="7"/>
  <c r="C634" i="7"/>
  <c r="B634" i="7"/>
  <c r="A634" i="7"/>
  <c r="F633" i="7"/>
  <c r="E633" i="7"/>
  <c r="D633" i="7"/>
  <c r="C633" i="7"/>
  <c r="B633" i="7"/>
  <c r="A633" i="7"/>
  <c r="F632" i="7"/>
  <c r="E632" i="7"/>
  <c r="D632" i="7"/>
  <c r="C632" i="7"/>
  <c r="B632" i="7"/>
  <c r="A632" i="7"/>
  <c r="F631" i="7"/>
  <c r="E631" i="7"/>
  <c r="D631" i="7"/>
  <c r="C631" i="7"/>
  <c r="B631" i="7"/>
  <c r="A631" i="7"/>
  <c r="F630" i="7"/>
  <c r="E630" i="7"/>
  <c r="D630" i="7"/>
  <c r="C630" i="7"/>
  <c r="B630" i="7"/>
  <c r="A630" i="7"/>
  <c r="F629" i="7"/>
  <c r="E629" i="7"/>
  <c r="D629" i="7"/>
  <c r="C629" i="7"/>
  <c r="B629" i="7"/>
  <c r="A629" i="7"/>
  <c r="F628" i="7"/>
  <c r="E628" i="7"/>
  <c r="D628" i="7"/>
  <c r="C628" i="7"/>
  <c r="B628" i="7"/>
  <c r="A628" i="7"/>
  <c r="F627" i="7"/>
  <c r="E627" i="7"/>
  <c r="D627" i="7"/>
  <c r="C627" i="7"/>
  <c r="B627" i="7"/>
  <c r="A627" i="7"/>
  <c r="F626" i="7"/>
  <c r="E626" i="7"/>
  <c r="D626" i="7"/>
  <c r="C626" i="7"/>
  <c r="B626" i="7"/>
  <c r="A626" i="7"/>
  <c r="F625" i="7"/>
  <c r="E625" i="7"/>
  <c r="D625" i="7"/>
  <c r="C625" i="7"/>
  <c r="B625" i="7"/>
  <c r="A625" i="7"/>
  <c r="F624" i="7"/>
  <c r="E624" i="7"/>
  <c r="D624" i="7"/>
  <c r="C624" i="7"/>
  <c r="B624" i="7"/>
  <c r="A624" i="7"/>
  <c r="F623" i="7"/>
  <c r="E623" i="7"/>
  <c r="D623" i="7"/>
  <c r="C623" i="7"/>
  <c r="B623" i="7"/>
  <c r="A623" i="7"/>
  <c r="F622" i="7"/>
  <c r="E622" i="7"/>
  <c r="D622" i="7"/>
  <c r="C622" i="7"/>
  <c r="B622" i="7"/>
  <c r="A622" i="7"/>
  <c r="F621" i="7"/>
  <c r="E621" i="7"/>
  <c r="D621" i="7"/>
  <c r="C621" i="7"/>
  <c r="B621" i="7"/>
  <c r="A621" i="7"/>
  <c r="F620" i="7"/>
  <c r="E620" i="7"/>
  <c r="D620" i="7"/>
  <c r="C620" i="7"/>
  <c r="B620" i="7"/>
  <c r="A620" i="7"/>
  <c r="F619" i="7"/>
  <c r="E619" i="7"/>
  <c r="D619" i="7"/>
  <c r="C619" i="7"/>
  <c r="B619" i="7"/>
  <c r="A619" i="7"/>
  <c r="F618" i="7"/>
  <c r="E618" i="7"/>
  <c r="D618" i="7"/>
  <c r="C618" i="7"/>
  <c r="B618" i="7"/>
  <c r="A618" i="7"/>
  <c r="F617" i="7"/>
  <c r="E617" i="7"/>
  <c r="D617" i="7"/>
  <c r="C617" i="7"/>
  <c r="B617" i="7"/>
  <c r="A617" i="7"/>
  <c r="F616" i="7"/>
  <c r="E616" i="7"/>
  <c r="D616" i="7"/>
  <c r="C616" i="7"/>
  <c r="B616" i="7"/>
  <c r="A616" i="7"/>
  <c r="F615" i="7"/>
  <c r="E615" i="7"/>
  <c r="D615" i="7"/>
  <c r="C615" i="7"/>
  <c r="B615" i="7"/>
  <c r="A615" i="7"/>
  <c r="F614" i="7"/>
  <c r="E614" i="7"/>
  <c r="D614" i="7"/>
  <c r="C614" i="7"/>
  <c r="B614" i="7"/>
  <c r="A614" i="7"/>
  <c r="F613" i="7"/>
  <c r="E613" i="7"/>
  <c r="D613" i="7"/>
  <c r="C613" i="7"/>
  <c r="B613" i="7"/>
  <c r="A613" i="7"/>
  <c r="F612" i="7"/>
  <c r="E612" i="7"/>
  <c r="D612" i="7"/>
  <c r="C612" i="7"/>
  <c r="B612" i="7"/>
  <c r="A612" i="7"/>
  <c r="F611" i="7"/>
  <c r="E611" i="7"/>
  <c r="D611" i="7"/>
  <c r="C611" i="7"/>
  <c r="B611" i="7"/>
  <c r="A611" i="7"/>
  <c r="F610" i="7"/>
  <c r="E610" i="7"/>
  <c r="D610" i="7"/>
  <c r="C610" i="7"/>
  <c r="B610" i="7"/>
  <c r="A610" i="7"/>
  <c r="F609" i="7"/>
  <c r="E609" i="7"/>
  <c r="D609" i="7"/>
  <c r="C609" i="7"/>
  <c r="B609" i="7"/>
  <c r="A609" i="7"/>
  <c r="F608" i="7"/>
  <c r="E608" i="7"/>
  <c r="D608" i="7"/>
  <c r="C608" i="7"/>
  <c r="B608" i="7"/>
  <c r="A608" i="7"/>
  <c r="F607" i="7"/>
  <c r="E607" i="7"/>
  <c r="D607" i="7"/>
  <c r="C607" i="7"/>
  <c r="B607" i="7"/>
  <c r="A607" i="7"/>
  <c r="F606" i="7"/>
  <c r="E606" i="7"/>
  <c r="D606" i="7"/>
  <c r="C606" i="7"/>
  <c r="B606" i="7"/>
  <c r="A606" i="7"/>
  <c r="F605" i="7"/>
  <c r="E605" i="7"/>
  <c r="D605" i="7"/>
  <c r="C605" i="7"/>
  <c r="B605" i="7"/>
  <c r="A605" i="7"/>
  <c r="F604" i="7"/>
  <c r="E604" i="7"/>
  <c r="D604" i="7"/>
  <c r="C604" i="7"/>
  <c r="B604" i="7"/>
  <c r="A604" i="7"/>
  <c r="F603" i="7"/>
  <c r="E603" i="7"/>
  <c r="D603" i="7"/>
  <c r="C603" i="7"/>
  <c r="B603" i="7"/>
  <c r="A603" i="7"/>
  <c r="F602" i="7"/>
  <c r="E602" i="7"/>
  <c r="D602" i="7"/>
  <c r="C602" i="7"/>
  <c r="B602" i="7"/>
  <c r="A602" i="7"/>
  <c r="F601" i="7"/>
  <c r="E601" i="7"/>
  <c r="D601" i="7"/>
  <c r="C601" i="7"/>
  <c r="B601" i="7"/>
  <c r="A601" i="7"/>
  <c r="F600" i="7"/>
  <c r="E600" i="7"/>
  <c r="D600" i="7"/>
  <c r="C600" i="7"/>
  <c r="B600" i="7"/>
  <c r="A600" i="7"/>
  <c r="F599" i="7"/>
  <c r="E599" i="7"/>
  <c r="D599" i="7"/>
  <c r="C599" i="7"/>
  <c r="B599" i="7"/>
  <c r="A599" i="7"/>
  <c r="F598" i="7"/>
  <c r="E598" i="7"/>
  <c r="D598" i="7"/>
  <c r="C598" i="7"/>
  <c r="B598" i="7"/>
  <c r="A598" i="7"/>
  <c r="F597" i="7"/>
  <c r="E597" i="7"/>
  <c r="D597" i="7"/>
  <c r="C597" i="7"/>
  <c r="B597" i="7"/>
  <c r="A597" i="7"/>
  <c r="F596" i="7"/>
  <c r="E596" i="7"/>
  <c r="D596" i="7"/>
  <c r="C596" i="7"/>
  <c r="B596" i="7"/>
  <c r="A596" i="7"/>
  <c r="F595" i="7"/>
  <c r="E595" i="7"/>
  <c r="D595" i="7"/>
  <c r="C595" i="7"/>
  <c r="B595" i="7"/>
  <c r="A595" i="7"/>
  <c r="F594" i="7"/>
  <c r="E594" i="7"/>
  <c r="D594" i="7"/>
  <c r="C594" i="7"/>
  <c r="B594" i="7"/>
  <c r="A594" i="7"/>
  <c r="F593" i="7"/>
  <c r="E593" i="7"/>
  <c r="D593" i="7"/>
  <c r="C593" i="7"/>
  <c r="B593" i="7"/>
  <c r="A593" i="7"/>
  <c r="F592" i="7"/>
  <c r="E592" i="7"/>
  <c r="D592" i="7"/>
  <c r="C592" i="7"/>
  <c r="B592" i="7"/>
  <c r="A592" i="7"/>
  <c r="F591" i="7"/>
  <c r="E591" i="7"/>
  <c r="D591" i="7"/>
  <c r="C591" i="7"/>
  <c r="B591" i="7"/>
  <c r="A591" i="7"/>
  <c r="F590" i="7"/>
  <c r="E590" i="7"/>
  <c r="D590" i="7"/>
  <c r="C590" i="7"/>
  <c r="B590" i="7"/>
  <c r="A590" i="7"/>
  <c r="F589" i="7"/>
  <c r="E589" i="7"/>
  <c r="D589" i="7"/>
  <c r="C589" i="7"/>
  <c r="B589" i="7"/>
  <c r="A589" i="7"/>
  <c r="F588" i="7"/>
  <c r="E588" i="7"/>
  <c r="D588" i="7"/>
  <c r="C588" i="7"/>
  <c r="B588" i="7"/>
  <c r="A588" i="7"/>
  <c r="F587" i="7"/>
  <c r="E587" i="7"/>
  <c r="D587" i="7"/>
  <c r="C587" i="7"/>
  <c r="B587" i="7"/>
  <c r="A587" i="7"/>
  <c r="F586" i="7"/>
  <c r="E586" i="7"/>
  <c r="D586" i="7"/>
  <c r="C586" i="7"/>
  <c r="B586" i="7"/>
  <c r="A586" i="7"/>
  <c r="F585" i="7"/>
  <c r="E585" i="7"/>
  <c r="D585" i="7"/>
  <c r="C585" i="7"/>
  <c r="B585" i="7"/>
  <c r="A585" i="7"/>
  <c r="F584" i="7"/>
  <c r="E584" i="7"/>
  <c r="D584" i="7"/>
  <c r="C584" i="7"/>
  <c r="B584" i="7"/>
  <c r="A584" i="7"/>
  <c r="F583" i="7"/>
  <c r="E583" i="7"/>
  <c r="D583" i="7"/>
  <c r="C583" i="7"/>
  <c r="B583" i="7"/>
  <c r="A583" i="7"/>
  <c r="F582" i="7"/>
  <c r="E582" i="7"/>
  <c r="D582" i="7"/>
  <c r="C582" i="7"/>
  <c r="B582" i="7"/>
  <c r="A582" i="7"/>
  <c r="F581" i="7"/>
  <c r="E581" i="7"/>
  <c r="D581" i="7"/>
  <c r="C581" i="7"/>
  <c r="B581" i="7"/>
  <c r="A581" i="7"/>
  <c r="F580" i="7"/>
  <c r="E580" i="7"/>
  <c r="D580" i="7"/>
  <c r="C580" i="7"/>
  <c r="B580" i="7"/>
  <c r="A580" i="7"/>
  <c r="F579" i="7"/>
  <c r="E579" i="7"/>
  <c r="D579" i="7"/>
  <c r="C579" i="7"/>
  <c r="B579" i="7"/>
  <c r="A579" i="7"/>
  <c r="F578" i="7"/>
  <c r="E578" i="7"/>
  <c r="D578" i="7"/>
  <c r="C578" i="7"/>
  <c r="B578" i="7"/>
  <c r="A578" i="7"/>
  <c r="F577" i="7"/>
  <c r="E577" i="7"/>
  <c r="D577" i="7"/>
  <c r="C577" i="7"/>
  <c r="B577" i="7"/>
  <c r="A577" i="7"/>
  <c r="F576" i="7"/>
  <c r="E576" i="7"/>
  <c r="D576" i="7"/>
  <c r="C576" i="7"/>
  <c r="B576" i="7"/>
  <c r="A576" i="7"/>
  <c r="F575" i="7"/>
  <c r="E575" i="7"/>
  <c r="D575" i="7"/>
  <c r="C575" i="7"/>
  <c r="B575" i="7"/>
  <c r="A575" i="7"/>
  <c r="F574" i="7"/>
  <c r="E574" i="7"/>
  <c r="D574" i="7"/>
  <c r="C574" i="7"/>
  <c r="B574" i="7"/>
  <c r="A574" i="7"/>
  <c r="F573" i="7"/>
  <c r="E573" i="7"/>
  <c r="D573" i="7"/>
  <c r="C573" i="7"/>
  <c r="B573" i="7"/>
  <c r="A573" i="7"/>
  <c r="F572" i="7"/>
  <c r="E572" i="7"/>
  <c r="D572" i="7"/>
  <c r="C572" i="7"/>
  <c r="B572" i="7"/>
  <c r="A572" i="7"/>
  <c r="F571" i="7"/>
  <c r="E571" i="7"/>
  <c r="D571" i="7"/>
  <c r="C571" i="7"/>
  <c r="B571" i="7"/>
  <c r="A571" i="7"/>
  <c r="F570" i="7"/>
  <c r="E570" i="7"/>
  <c r="D570" i="7"/>
  <c r="C570" i="7"/>
  <c r="B570" i="7"/>
  <c r="A570" i="7"/>
  <c r="F569" i="7"/>
  <c r="E569" i="7"/>
  <c r="D569" i="7"/>
  <c r="C569" i="7"/>
  <c r="B569" i="7"/>
  <c r="A569" i="7"/>
  <c r="F568" i="7"/>
  <c r="E568" i="7"/>
  <c r="D568" i="7"/>
  <c r="C568" i="7"/>
  <c r="B568" i="7"/>
  <c r="A568" i="7"/>
  <c r="F567" i="7"/>
  <c r="E567" i="7"/>
  <c r="D567" i="7"/>
  <c r="C567" i="7"/>
  <c r="B567" i="7"/>
  <c r="A567" i="7"/>
  <c r="F566" i="7"/>
  <c r="E566" i="7"/>
  <c r="D566" i="7"/>
  <c r="C566" i="7"/>
  <c r="B566" i="7"/>
  <c r="A566" i="7"/>
  <c r="F565" i="7"/>
  <c r="E565" i="7"/>
  <c r="D565" i="7"/>
  <c r="C565" i="7"/>
  <c r="B565" i="7"/>
  <c r="A565" i="7"/>
  <c r="F564" i="7"/>
  <c r="E564" i="7"/>
  <c r="D564" i="7"/>
  <c r="C564" i="7"/>
  <c r="B564" i="7"/>
  <c r="A564" i="7"/>
  <c r="F563" i="7"/>
  <c r="E563" i="7"/>
  <c r="D563" i="7"/>
  <c r="C563" i="7"/>
  <c r="B563" i="7"/>
  <c r="A563" i="7"/>
  <c r="F562" i="7"/>
  <c r="E562" i="7"/>
  <c r="D562" i="7"/>
  <c r="C562" i="7"/>
  <c r="B562" i="7"/>
  <c r="A562" i="7"/>
  <c r="F561" i="7"/>
  <c r="E561" i="7"/>
  <c r="D561" i="7"/>
  <c r="C561" i="7"/>
  <c r="B561" i="7"/>
  <c r="A561" i="7"/>
  <c r="F560" i="7"/>
  <c r="E560" i="7"/>
  <c r="D560" i="7"/>
  <c r="C560" i="7"/>
  <c r="B560" i="7"/>
  <c r="A560" i="7"/>
  <c r="F559" i="7"/>
  <c r="E559" i="7"/>
  <c r="D559" i="7"/>
  <c r="C559" i="7"/>
  <c r="B559" i="7"/>
  <c r="A559" i="7"/>
  <c r="F558" i="7"/>
  <c r="E558" i="7"/>
  <c r="D558" i="7"/>
  <c r="C558" i="7"/>
  <c r="B558" i="7"/>
  <c r="A558" i="7"/>
  <c r="F557" i="7"/>
  <c r="E557" i="7"/>
  <c r="D557" i="7"/>
  <c r="C557" i="7"/>
  <c r="B557" i="7"/>
  <c r="A557" i="7"/>
  <c r="F556" i="7"/>
  <c r="E556" i="7"/>
  <c r="D556" i="7"/>
  <c r="C556" i="7"/>
  <c r="B556" i="7"/>
  <c r="A556" i="7"/>
  <c r="F555" i="7"/>
  <c r="E555" i="7"/>
  <c r="D555" i="7"/>
  <c r="C555" i="7"/>
  <c r="B555" i="7"/>
  <c r="A555" i="7"/>
  <c r="F554" i="7"/>
  <c r="E554" i="7"/>
  <c r="D554" i="7"/>
  <c r="C554" i="7"/>
  <c r="B554" i="7"/>
  <c r="A554" i="7"/>
  <c r="F553" i="7"/>
  <c r="E553" i="7"/>
  <c r="D553" i="7"/>
  <c r="C553" i="7"/>
  <c r="B553" i="7"/>
  <c r="A553" i="7"/>
  <c r="F552" i="7"/>
  <c r="E552" i="7"/>
  <c r="D552" i="7"/>
  <c r="C552" i="7"/>
  <c r="B552" i="7"/>
  <c r="A552" i="7"/>
  <c r="F551" i="7"/>
  <c r="E551" i="7"/>
  <c r="D551" i="7"/>
  <c r="C551" i="7"/>
  <c r="B551" i="7"/>
  <c r="A551" i="7"/>
  <c r="F550" i="7"/>
  <c r="E550" i="7"/>
  <c r="D550" i="7"/>
  <c r="C550" i="7"/>
  <c r="B550" i="7"/>
  <c r="A550" i="7"/>
  <c r="F549" i="7"/>
  <c r="E549" i="7"/>
  <c r="D549" i="7"/>
  <c r="C549" i="7"/>
  <c r="B549" i="7"/>
  <c r="A549" i="7"/>
  <c r="F548" i="7"/>
  <c r="E548" i="7"/>
  <c r="D548" i="7"/>
  <c r="C548" i="7"/>
  <c r="B548" i="7"/>
  <c r="A548" i="7"/>
  <c r="F547" i="7"/>
  <c r="E547" i="7"/>
  <c r="D547" i="7"/>
  <c r="C547" i="7"/>
  <c r="B547" i="7"/>
  <c r="A547" i="7"/>
  <c r="F546" i="7"/>
  <c r="E546" i="7"/>
  <c r="D546" i="7"/>
  <c r="C546" i="7"/>
  <c r="B546" i="7"/>
  <c r="A546" i="7"/>
  <c r="F545" i="7"/>
  <c r="E545" i="7"/>
  <c r="D545" i="7"/>
  <c r="C545" i="7"/>
  <c r="B545" i="7"/>
  <c r="A545" i="7"/>
  <c r="F544" i="7"/>
  <c r="E544" i="7"/>
  <c r="D544" i="7"/>
  <c r="C544" i="7"/>
  <c r="B544" i="7"/>
  <c r="A544" i="7"/>
  <c r="F543" i="7"/>
  <c r="E543" i="7"/>
  <c r="D543" i="7"/>
  <c r="C543" i="7"/>
  <c r="B543" i="7"/>
  <c r="A543" i="7"/>
  <c r="F542" i="7"/>
  <c r="E542" i="7"/>
  <c r="D542" i="7"/>
  <c r="C542" i="7"/>
  <c r="B542" i="7"/>
  <c r="A542" i="7"/>
  <c r="F541" i="7"/>
  <c r="E541" i="7"/>
  <c r="D541" i="7"/>
  <c r="C541" i="7"/>
  <c r="B541" i="7"/>
  <c r="A541" i="7"/>
  <c r="F540" i="7"/>
  <c r="E540" i="7"/>
  <c r="D540" i="7"/>
  <c r="C540" i="7"/>
  <c r="B540" i="7"/>
  <c r="A540" i="7"/>
  <c r="F539" i="7"/>
  <c r="E539" i="7"/>
  <c r="D539" i="7"/>
  <c r="C539" i="7"/>
  <c r="B539" i="7"/>
  <c r="A539" i="7"/>
  <c r="F538" i="7"/>
  <c r="E538" i="7"/>
  <c r="D538" i="7"/>
  <c r="C538" i="7"/>
  <c r="B538" i="7"/>
  <c r="A538" i="7"/>
  <c r="F537" i="7"/>
  <c r="E537" i="7"/>
  <c r="D537" i="7"/>
  <c r="C537" i="7"/>
  <c r="B537" i="7"/>
  <c r="A537" i="7"/>
  <c r="F536" i="7"/>
  <c r="E536" i="7"/>
  <c r="D536" i="7"/>
  <c r="C536" i="7"/>
  <c r="B536" i="7"/>
  <c r="A536" i="7"/>
  <c r="F535" i="7"/>
  <c r="E535" i="7"/>
  <c r="D535" i="7"/>
  <c r="C535" i="7"/>
  <c r="B535" i="7"/>
  <c r="A535" i="7"/>
  <c r="F534" i="7"/>
  <c r="E534" i="7"/>
  <c r="D534" i="7"/>
  <c r="C534" i="7"/>
  <c r="B534" i="7"/>
  <c r="A534" i="7"/>
  <c r="F533" i="7"/>
  <c r="E533" i="7"/>
  <c r="D533" i="7"/>
  <c r="C533" i="7"/>
  <c r="B533" i="7"/>
  <c r="A533" i="7"/>
  <c r="F532" i="7"/>
  <c r="E532" i="7"/>
  <c r="D532" i="7"/>
  <c r="C532" i="7"/>
  <c r="B532" i="7"/>
  <c r="A532" i="7"/>
  <c r="F531" i="7"/>
  <c r="E531" i="7"/>
  <c r="D531" i="7"/>
  <c r="C531" i="7"/>
  <c r="B531" i="7"/>
  <c r="A531" i="7"/>
  <c r="F530" i="7"/>
  <c r="E530" i="7"/>
  <c r="D530" i="7"/>
  <c r="C530" i="7"/>
  <c r="B530" i="7"/>
  <c r="A530" i="7"/>
  <c r="F529" i="7"/>
  <c r="E529" i="7"/>
  <c r="D529" i="7"/>
  <c r="C529" i="7"/>
  <c r="B529" i="7"/>
  <c r="A529" i="7"/>
  <c r="F528" i="7"/>
  <c r="E528" i="7"/>
  <c r="D528" i="7"/>
  <c r="C528" i="7"/>
  <c r="B528" i="7"/>
  <c r="A528" i="7"/>
  <c r="F527" i="7"/>
  <c r="E527" i="7"/>
  <c r="D527" i="7"/>
  <c r="C527" i="7"/>
  <c r="B527" i="7"/>
  <c r="A527" i="7"/>
  <c r="F526" i="7"/>
  <c r="E526" i="7"/>
  <c r="D526" i="7"/>
  <c r="C526" i="7"/>
  <c r="B526" i="7"/>
  <c r="A526" i="7"/>
  <c r="F525" i="7"/>
  <c r="E525" i="7"/>
  <c r="D525" i="7"/>
  <c r="C525" i="7"/>
  <c r="B525" i="7"/>
  <c r="A525" i="7"/>
  <c r="F524" i="7"/>
  <c r="E524" i="7"/>
  <c r="D524" i="7"/>
  <c r="C524" i="7"/>
  <c r="B524" i="7"/>
  <c r="A524" i="7"/>
  <c r="F523" i="7"/>
  <c r="E523" i="7"/>
  <c r="D523" i="7"/>
  <c r="C523" i="7"/>
  <c r="B523" i="7"/>
  <c r="A523" i="7"/>
  <c r="F522" i="7"/>
  <c r="E522" i="7"/>
  <c r="D522" i="7"/>
  <c r="C522" i="7"/>
  <c r="B522" i="7"/>
  <c r="A522" i="7"/>
  <c r="F521" i="7"/>
  <c r="E521" i="7"/>
  <c r="D521" i="7"/>
  <c r="C521" i="7"/>
  <c r="B521" i="7"/>
  <c r="A521" i="7"/>
  <c r="F520" i="7"/>
  <c r="E520" i="7"/>
  <c r="D520" i="7"/>
  <c r="C520" i="7"/>
  <c r="B520" i="7"/>
  <c r="A520" i="7"/>
  <c r="F519" i="7"/>
  <c r="E519" i="7"/>
  <c r="D519" i="7"/>
  <c r="C519" i="7"/>
  <c r="B519" i="7"/>
  <c r="A519" i="7"/>
  <c r="F518" i="7"/>
  <c r="E518" i="7"/>
  <c r="D518" i="7"/>
  <c r="C518" i="7"/>
  <c r="B518" i="7"/>
  <c r="A518" i="7"/>
  <c r="F517" i="7"/>
  <c r="E517" i="7"/>
  <c r="D517" i="7"/>
  <c r="C517" i="7"/>
  <c r="B517" i="7"/>
  <c r="A517" i="7"/>
  <c r="F516" i="7"/>
  <c r="E516" i="7"/>
  <c r="D516" i="7"/>
  <c r="C516" i="7"/>
  <c r="B516" i="7"/>
  <c r="A516" i="7"/>
  <c r="F515" i="7"/>
  <c r="E515" i="7"/>
  <c r="D515" i="7"/>
  <c r="C515" i="7"/>
  <c r="B515" i="7"/>
  <c r="A515" i="7"/>
  <c r="F514" i="7"/>
  <c r="E514" i="7"/>
  <c r="D514" i="7"/>
  <c r="C514" i="7"/>
  <c r="B514" i="7"/>
  <c r="A514" i="7"/>
  <c r="F513" i="7"/>
  <c r="E513" i="7"/>
  <c r="D513" i="7"/>
  <c r="C513" i="7"/>
  <c r="B513" i="7"/>
  <c r="A513" i="7"/>
  <c r="F512" i="7"/>
  <c r="E512" i="7"/>
  <c r="D512" i="7"/>
  <c r="C512" i="7"/>
  <c r="B512" i="7"/>
  <c r="A512" i="7"/>
  <c r="F511" i="7"/>
  <c r="E511" i="7"/>
  <c r="D511" i="7"/>
  <c r="C511" i="7"/>
  <c r="B511" i="7"/>
  <c r="A511" i="7"/>
  <c r="F510" i="7"/>
  <c r="E510" i="7"/>
  <c r="D510" i="7"/>
  <c r="C510" i="7"/>
  <c r="B510" i="7"/>
  <c r="A510" i="7"/>
  <c r="F509" i="7"/>
  <c r="E509" i="7"/>
  <c r="D509" i="7"/>
  <c r="C509" i="7"/>
  <c r="B509" i="7"/>
  <c r="A509" i="7"/>
  <c r="F508" i="7"/>
  <c r="E508" i="7"/>
  <c r="D508" i="7"/>
  <c r="C508" i="7"/>
  <c r="B508" i="7"/>
  <c r="A508" i="7"/>
  <c r="F507" i="7"/>
  <c r="E507" i="7"/>
  <c r="D507" i="7"/>
  <c r="C507" i="7"/>
  <c r="B507" i="7"/>
  <c r="A507" i="7"/>
  <c r="F506" i="7"/>
  <c r="E506" i="7"/>
  <c r="D506" i="7"/>
  <c r="C506" i="7"/>
  <c r="B506" i="7"/>
  <c r="A506" i="7"/>
  <c r="F505" i="7"/>
  <c r="E505" i="7"/>
  <c r="D505" i="7"/>
  <c r="C505" i="7"/>
  <c r="B505" i="7"/>
  <c r="A505" i="7"/>
  <c r="F504" i="7"/>
  <c r="E504" i="7"/>
  <c r="D504" i="7"/>
  <c r="C504" i="7"/>
  <c r="B504" i="7"/>
  <c r="A504" i="7"/>
  <c r="F503" i="7"/>
  <c r="E503" i="7"/>
  <c r="D503" i="7"/>
  <c r="C503" i="7"/>
  <c r="B503" i="7"/>
  <c r="A503" i="7"/>
  <c r="F502" i="7"/>
  <c r="E502" i="7"/>
  <c r="D502" i="7"/>
  <c r="C502" i="7"/>
  <c r="B502" i="7"/>
  <c r="A502" i="7"/>
  <c r="F501" i="7"/>
  <c r="E501" i="7"/>
  <c r="D501" i="7"/>
  <c r="C501" i="7"/>
  <c r="B501" i="7"/>
  <c r="A501" i="7"/>
  <c r="F500" i="7"/>
  <c r="E500" i="7"/>
  <c r="D500" i="7"/>
  <c r="C500" i="7"/>
  <c r="B500" i="7"/>
  <c r="A500" i="7"/>
  <c r="F499" i="7"/>
  <c r="E499" i="7"/>
  <c r="D499" i="7"/>
  <c r="C499" i="7"/>
  <c r="B499" i="7"/>
  <c r="A499" i="7"/>
  <c r="F498" i="7"/>
  <c r="E498" i="7"/>
  <c r="D498" i="7"/>
  <c r="C498" i="7"/>
  <c r="B498" i="7"/>
  <c r="A498" i="7"/>
  <c r="F497" i="7"/>
  <c r="E497" i="7"/>
  <c r="D497" i="7"/>
  <c r="C497" i="7"/>
  <c r="B497" i="7"/>
  <c r="A497" i="7"/>
  <c r="F496" i="7"/>
  <c r="E496" i="7"/>
  <c r="D496" i="7"/>
  <c r="C496" i="7"/>
  <c r="B496" i="7"/>
  <c r="A496" i="7"/>
  <c r="F495" i="7"/>
  <c r="E495" i="7"/>
  <c r="D495" i="7"/>
  <c r="C495" i="7"/>
  <c r="B495" i="7"/>
  <c r="A495" i="7"/>
  <c r="F494" i="7"/>
  <c r="E494" i="7"/>
  <c r="D494" i="7"/>
  <c r="C494" i="7"/>
  <c r="B494" i="7"/>
  <c r="A494" i="7"/>
  <c r="F493" i="7"/>
  <c r="E493" i="7"/>
  <c r="D493" i="7"/>
  <c r="C493" i="7"/>
  <c r="B493" i="7"/>
  <c r="A493" i="7"/>
  <c r="F492" i="7"/>
  <c r="E492" i="7"/>
  <c r="D492" i="7"/>
  <c r="C492" i="7"/>
  <c r="B492" i="7"/>
  <c r="A492" i="7"/>
  <c r="F491" i="7"/>
  <c r="E491" i="7"/>
  <c r="D491" i="7"/>
  <c r="C491" i="7"/>
  <c r="B491" i="7"/>
  <c r="A491" i="7"/>
  <c r="F490" i="7"/>
  <c r="E490" i="7"/>
  <c r="D490" i="7"/>
  <c r="C490" i="7"/>
  <c r="B490" i="7"/>
  <c r="A490" i="7"/>
  <c r="F489" i="7"/>
  <c r="E489" i="7"/>
  <c r="D489" i="7"/>
  <c r="C489" i="7"/>
  <c r="B489" i="7"/>
  <c r="A489" i="7"/>
  <c r="F488" i="7"/>
  <c r="E488" i="7"/>
  <c r="D488" i="7"/>
  <c r="C488" i="7"/>
  <c r="B488" i="7"/>
  <c r="A488" i="7"/>
  <c r="F487" i="7"/>
  <c r="E487" i="7"/>
  <c r="D487" i="7"/>
  <c r="C487" i="7"/>
  <c r="B487" i="7"/>
  <c r="A487" i="7"/>
  <c r="F486" i="7"/>
  <c r="E486" i="7"/>
  <c r="D486" i="7"/>
  <c r="C486" i="7"/>
  <c r="B486" i="7"/>
  <c r="A486" i="7"/>
  <c r="F485" i="7"/>
  <c r="E485" i="7"/>
  <c r="D485" i="7"/>
  <c r="C485" i="7"/>
  <c r="B485" i="7"/>
  <c r="A485" i="7"/>
  <c r="F484" i="7"/>
  <c r="E484" i="7"/>
  <c r="D484" i="7"/>
  <c r="C484" i="7"/>
  <c r="B484" i="7"/>
  <c r="A484" i="7"/>
  <c r="F483" i="7"/>
  <c r="E483" i="7"/>
  <c r="D483" i="7"/>
  <c r="C483" i="7"/>
  <c r="B483" i="7"/>
  <c r="A483" i="7"/>
  <c r="F482" i="7"/>
  <c r="E482" i="7"/>
  <c r="D482" i="7"/>
  <c r="C482" i="7"/>
  <c r="B482" i="7"/>
  <c r="A482" i="7"/>
  <c r="F481" i="7"/>
  <c r="E481" i="7"/>
  <c r="D481" i="7"/>
  <c r="C481" i="7"/>
  <c r="B481" i="7"/>
  <c r="A481" i="7"/>
  <c r="F480" i="7"/>
  <c r="E480" i="7"/>
  <c r="D480" i="7"/>
  <c r="C480" i="7"/>
  <c r="B480" i="7"/>
  <c r="A480" i="7"/>
  <c r="F479" i="7"/>
  <c r="E479" i="7"/>
  <c r="D479" i="7"/>
  <c r="C479" i="7"/>
  <c r="B479" i="7"/>
  <c r="A479" i="7"/>
  <c r="F478" i="7"/>
  <c r="E478" i="7"/>
  <c r="D478" i="7"/>
  <c r="C478" i="7"/>
  <c r="B478" i="7"/>
  <c r="A478" i="7"/>
  <c r="F477" i="7"/>
  <c r="E477" i="7"/>
  <c r="D477" i="7"/>
  <c r="C477" i="7"/>
  <c r="B477" i="7"/>
  <c r="A477" i="7"/>
  <c r="F476" i="7"/>
  <c r="E476" i="7"/>
  <c r="D476" i="7"/>
  <c r="C476" i="7"/>
  <c r="B476" i="7"/>
  <c r="A476" i="7"/>
  <c r="F475" i="7"/>
  <c r="E475" i="7"/>
  <c r="D475" i="7"/>
  <c r="C475" i="7"/>
  <c r="B475" i="7"/>
  <c r="A475" i="7"/>
  <c r="F474" i="7"/>
  <c r="E474" i="7"/>
  <c r="D474" i="7"/>
  <c r="C474" i="7"/>
  <c r="B474" i="7"/>
  <c r="A474" i="7"/>
  <c r="F473" i="7"/>
  <c r="E473" i="7"/>
  <c r="D473" i="7"/>
  <c r="C473" i="7"/>
  <c r="B473" i="7"/>
  <c r="A473" i="7"/>
  <c r="F472" i="7"/>
  <c r="E472" i="7"/>
  <c r="D472" i="7"/>
  <c r="C472" i="7"/>
  <c r="B472" i="7"/>
  <c r="A472" i="7"/>
  <c r="F471" i="7"/>
  <c r="E471" i="7"/>
  <c r="D471" i="7"/>
  <c r="C471" i="7"/>
  <c r="B471" i="7"/>
  <c r="A471" i="7"/>
  <c r="F470" i="7"/>
  <c r="E470" i="7"/>
  <c r="D470" i="7"/>
  <c r="C470" i="7"/>
  <c r="B470" i="7"/>
  <c r="A470" i="7"/>
  <c r="F469" i="7"/>
  <c r="E469" i="7"/>
  <c r="D469" i="7"/>
  <c r="C469" i="7"/>
  <c r="B469" i="7"/>
  <c r="A469" i="7"/>
  <c r="F468" i="7"/>
  <c r="E468" i="7"/>
  <c r="D468" i="7"/>
  <c r="C468" i="7"/>
  <c r="B468" i="7"/>
  <c r="A468" i="7"/>
  <c r="F467" i="7"/>
  <c r="E467" i="7"/>
  <c r="D467" i="7"/>
  <c r="C467" i="7"/>
  <c r="B467" i="7"/>
  <c r="A467" i="7"/>
  <c r="F466" i="7"/>
  <c r="E466" i="7"/>
  <c r="D466" i="7"/>
  <c r="C466" i="7"/>
  <c r="B466" i="7"/>
  <c r="A466" i="7"/>
  <c r="F465" i="7"/>
  <c r="E465" i="7"/>
  <c r="D465" i="7"/>
  <c r="C465" i="7"/>
  <c r="B465" i="7"/>
  <c r="A465" i="7"/>
  <c r="F464" i="7"/>
  <c r="E464" i="7"/>
  <c r="D464" i="7"/>
  <c r="C464" i="7"/>
  <c r="B464" i="7"/>
  <c r="A464" i="7"/>
  <c r="F463" i="7"/>
  <c r="E463" i="7"/>
  <c r="D463" i="7"/>
  <c r="C463" i="7"/>
  <c r="B463" i="7"/>
  <c r="A463" i="7"/>
  <c r="F462" i="7"/>
  <c r="E462" i="7"/>
  <c r="D462" i="7"/>
  <c r="C462" i="7"/>
  <c r="B462" i="7"/>
  <c r="A462" i="7"/>
  <c r="F461" i="7"/>
  <c r="E461" i="7"/>
  <c r="D461" i="7"/>
  <c r="C461" i="7"/>
  <c r="B461" i="7"/>
  <c r="A461" i="7"/>
  <c r="F460" i="7"/>
  <c r="E460" i="7"/>
  <c r="D460" i="7"/>
  <c r="C460" i="7"/>
  <c r="B460" i="7"/>
  <c r="A460" i="7"/>
  <c r="F459" i="7"/>
  <c r="E459" i="7"/>
  <c r="D459" i="7"/>
  <c r="C459" i="7"/>
  <c r="B459" i="7"/>
  <c r="A459" i="7"/>
  <c r="F458" i="7"/>
  <c r="E458" i="7"/>
  <c r="D458" i="7"/>
  <c r="C458" i="7"/>
  <c r="B458" i="7"/>
  <c r="A458" i="7"/>
  <c r="F457" i="7"/>
  <c r="E457" i="7"/>
  <c r="D457" i="7"/>
  <c r="C457" i="7"/>
  <c r="B457" i="7"/>
  <c r="A457" i="7"/>
  <c r="F456" i="7"/>
  <c r="E456" i="7"/>
  <c r="D456" i="7"/>
  <c r="C456" i="7"/>
  <c r="B456" i="7"/>
  <c r="A456" i="7"/>
  <c r="F455" i="7"/>
  <c r="E455" i="7"/>
  <c r="D455" i="7"/>
  <c r="C455" i="7"/>
  <c r="B455" i="7"/>
  <c r="A455" i="7"/>
  <c r="F454" i="7"/>
  <c r="E454" i="7"/>
  <c r="D454" i="7"/>
  <c r="C454" i="7"/>
  <c r="B454" i="7"/>
  <c r="A454" i="7"/>
  <c r="F453" i="7"/>
  <c r="E453" i="7"/>
  <c r="D453" i="7"/>
  <c r="C453" i="7"/>
  <c r="B453" i="7"/>
  <c r="A453" i="7"/>
  <c r="F452" i="7"/>
  <c r="E452" i="7"/>
  <c r="D452" i="7"/>
  <c r="C452" i="7"/>
  <c r="B452" i="7"/>
  <c r="A452" i="7"/>
  <c r="F451" i="7"/>
  <c r="E451" i="7"/>
  <c r="D451" i="7"/>
  <c r="C451" i="7"/>
  <c r="B451" i="7"/>
  <c r="A451" i="7"/>
  <c r="F450" i="7"/>
  <c r="E450" i="7"/>
  <c r="D450" i="7"/>
  <c r="C450" i="7"/>
  <c r="B450" i="7"/>
  <c r="A450" i="7"/>
  <c r="F449" i="7"/>
  <c r="E449" i="7"/>
  <c r="D449" i="7"/>
  <c r="C449" i="7"/>
  <c r="B449" i="7"/>
  <c r="A449" i="7"/>
  <c r="F448" i="7"/>
  <c r="E448" i="7"/>
  <c r="D448" i="7"/>
  <c r="C448" i="7"/>
  <c r="B448" i="7"/>
  <c r="A448" i="7"/>
  <c r="F447" i="7"/>
  <c r="E447" i="7"/>
  <c r="D447" i="7"/>
  <c r="C447" i="7"/>
  <c r="B447" i="7"/>
  <c r="A447" i="7"/>
  <c r="F446" i="7"/>
  <c r="E446" i="7"/>
  <c r="D446" i="7"/>
  <c r="C446" i="7"/>
  <c r="B446" i="7"/>
  <c r="A446" i="7"/>
  <c r="F445" i="7"/>
  <c r="E445" i="7"/>
  <c r="D445" i="7"/>
  <c r="C445" i="7"/>
  <c r="B445" i="7"/>
  <c r="A445" i="7"/>
  <c r="F444" i="7"/>
  <c r="E444" i="7"/>
  <c r="D444" i="7"/>
  <c r="C444" i="7"/>
  <c r="B444" i="7"/>
  <c r="A444" i="7"/>
  <c r="F443" i="7"/>
  <c r="E443" i="7"/>
  <c r="D443" i="7"/>
  <c r="C443" i="7"/>
  <c r="B443" i="7"/>
  <c r="A443" i="7"/>
  <c r="F442" i="7"/>
  <c r="E442" i="7"/>
  <c r="D442" i="7"/>
  <c r="C442" i="7"/>
  <c r="B442" i="7"/>
  <c r="A442" i="7"/>
  <c r="F441" i="7"/>
  <c r="E441" i="7"/>
  <c r="D441" i="7"/>
  <c r="C441" i="7"/>
  <c r="B441" i="7"/>
  <c r="A441" i="7"/>
  <c r="F440" i="7"/>
  <c r="E440" i="7"/>
  <c r="D440" i="7"/>
  <c r="C440" i="7"/>
  <c r="B440" i="7"/>
  <c r="A440" i="7"/>
  <c r="F439" i="7"/>
  <c r="E439" i="7"/>
  <c r="D439" i="7"/>
  <c r="C439" i="7"/>
  <c r="B439" i="7"/>
  <c r="A439" i="7"/>
  <c r="F438" i="7"/>
  <c r="E438" i="7"/>
  <c r="D438" i="7"/>
  <c r="C438" i="7"/>
  <c r="B438" i="7"/>
  <c r="A438" i="7"/>
  <c r="F437" i="7"/>
  <c r="E437" i="7"/>
  <c r="D437" i="7"/>
  <c r="C437" i="7"/>
  <c r="B437" i="7"/>
  <c r="A437" i="7"/>
  <c r="F436" i="7"/>
  <c r="E436" i="7"/>
  <c r="D436" i="7"/>
  <c r="C436" i="7"/>
  <c r="B436" i="7"/>
  <c r="A436" i="7"/>
  <c r="F435" i="7"/>
  <c r="E435" i="7"/>
  <c r="D435" i="7"/>
  <c r="C435" i="7"/>
  <c r="B435" i="7"/>
  <c r="A435" i="7"/>
  <c r="F434" i="7"/>
  <c r="E434" i="7"/>
  <c r="D434" i="7"/>
  <c r="C434" i="7"/>
  <c r="B434" i="7"/>
  <c r="A434" i="7"/>
  <c r="F433" i="7"/>
  <c r="E433" i="7"/>
  <c r="D433" i="7"/>
  <c r="C433" i="7"/>
  <c r="B433" i="7"/>
  <c r="A433" i="7"/>
  <c r="F432" i="7"/>
  <c r="E432" i="7"/>
  <c r="D432" i="7"/>
  <c r="C432" i="7"/>
  <c r="B432" i="7"/>
  <c r="A432" i="7"/>
  <c r="F431" i="7"/>
  <c r="E431" i="7"/>
  <c r="D431" i="7"/>
  <c r="C431" i="7"/>
  <c r="B431" i="7"/>
  <c r="A431" i="7"/>
  <c r="F430" i="7"/>
  <c r="E430" i="7"/>
  <c r="D430" i="7"/>
  <c r="C430" i="7"/>
  <c r="B430" i="7"/>
  <c r="A430" i="7"/>
  <c r="F429" i="7"/>
  <c r="E429" i="7"/>
  <c r="D429" i="7"/>
  <c r="C429" i="7"/>
  <c r="B429" i="7"/>
  <c r="A429" i="7"/>
  <c r="F428" i="7"/>
  <c r="E428" i="7"/>
  <c r="D428" i="7"/>
  <c r="C428" i="7"/>
  <c r="B428" i="7"/>
  <c r="A428" i="7"/>
  <c r="F427" i="7"/>
  <c r="E427" i="7"/>
  <c r="D427" i="7"/>
  <c r="C427" i="7"/>
  <c r="B427" i="7"/>
  <c r="A427" i="7"/>
  <c r="F426" i="7"/>
  <c r="E426" i="7"/>
  <c r="D426" i="7"/>
  <c r="C426" i="7"/>
  <c r="B426" i="7"/>
  <c r="A426" i="7"/>
  <c r="F425" i="7"/>
  <c r="E425" i="7"/>
  <c r="D425" i="7"/>
  <c r="C425" i="7"/>
  <c r="B425" i="7"/>
  <c r="A425" i="7"/>
  <c r="F424" i="7"/>
  <c r="E424" i="7"/>
  <c r="D424" i="7"/>
  <c r="C424" i="7"/>
  <c r="B424" i="7"/>
  <c r="A424" i="7"/>
  <c r="F423" i="7"/>
  <c r="E423" i="7"/>
  <c r="D423" i="7"/>
  <c r="C423" i="7"/>
  <c r="B423" i="7"/>
  <c r="A423" i="7"/>
  <c r="F422" i="7"/>
  <c r="E422" i="7"/>
  <c r="D422" i="7"/>
  <c r="C422" i="7"/>
  <c r="B422" i="7"/>
  <c r="A422" i="7"/>
  <c r="F421" i="7"/>
  <c r="E421" i="7"/>
  <c r="D421" i="7"/>
  <c r="C421" i="7"/>
  <c r="B421" i="7"/>
  <c r="A421" i="7"/>
  <c r="F420" i="7"/>
  <c r="E420" i="7"/>
  <c r="D420" i="7"/>
  <c r="C420" i="7"/>
  <c r="B420" i="7"/>
  <c r="A420" i="7"/>
  <c r="F419" i="7"/>
  <c r="E419" i="7"/>
  <c r="D419" i="7"/>
  <c r="C419" i="7"/>
  <c r="B419" i="7"/>
  <c r="A419" i="7"/>
  <c r="F418" i="7"/>
  <c r="E418" i="7"/>
  <c r="D418" i="7"/>
  <c r="C418" i="7"/>
  <c r="B418" i="7"/>
  <c r="A418" i="7"/>
  <c r="F417" i="7"/>
  <c r="E417" i="7"/>
  <c r="D417" i="7"/>
  <c r="C417" i="7"/>
  <c r="B417" i="7"/>
  <c r="A417" i="7"/>
  <c r="F416" i="7"/>
  <c r="E416" i="7"/>
  <c r="D416" i="7"/>
  <c r="C416" i="7"/>
  <c r="B416" i="7"/>
  <c r="A416" i="7"/>
  <c r="F415" i="7"/>
  <c r="E415" i="7"/>
  <c r="D415" i="7"/>
  <c r="C415" i="7"/>
  <c r="B415" i="7"/>
  <c r="A415" i="7"/>
  <c r="F414" i="7"/>
  <c r="E414" i="7"/>
  <c r="D414" i="7"/>
  <c r="C414" i="7"/>
  <c r="B414" i="7"/>
  <c r="A414" i="7"/>
  <c r="F413" i="7"/>
  <c r="E413" i="7"/>
  <c r="D413" i="7"/>
  <c r="C413" i="7"/>
  <c r="B413" i="7"/>
  <c r="A413" i="7"/>
  <c r="F412" i="7"/>
  <c r="E412" i="7"/>
  <c r="D412" i="7"/>
  <c r="C412" i="7"/>
  <c r="B412" i="7"/>
  <c r="A412" i="7"/>
  <c r="F411" i="7"/>
  <c r="E411" i="7"/>
  <c r="D411" i="7"/>
  <c r="C411" i="7"/>
  <c r="B411" i="7"/>
  <c r="A411" i="7"/>
  <c r="F410" i="7"/>
  <c r="E410" i="7"/>
  <c r="D410" i="7"/>
  <c r="C410" i="7"/>
  <c r="B410" i="7"/>
  <c r="A410" i="7"/>
  <c r="F409" i="7"/>
  <c r="E409" i="7"/>
  <c r="D409" i="7"/>
  <c r="C409" i="7"/>
  <c r="B409" i="7"/>
  <c r="A409" i="7"/>
  <c r="F408" i="7"/>
  <c r="E408" i="7"/>
  <c r="D408" i="7"/>
  <c r="C408" i="7"/>
  <c r="B408" i="7"/>
  <c r="A408" i="7"/>
  <c r="F407" i="7"/>
  <c r="E407" i="7"/>
  <c r="D407" i="7"/>
  <c r="C407" i="7"/>
  <c r="B407" i="7"/>
  <c r="A407" i="7"/>
  <c r="F406" i="7"/>
  <c r="E406" i="7"/>
  <c r="D406" i="7"/>
  <c r="C406" i="7"/>
  <c r="B406" i="7"/>
  <c r="A406" i="7"/>
  <c r="F405" i="7"/>
  <c r="E405" i="7"/>
  <c r="D405" i="7"/>
  <c r="C405" i="7"/>
  <c r="B405" i="7"/>
  <c r="A405" i="7"/>
  <c r="F404" i="7"/>
  <c r="E404" i="7"/>
  <c r="D404" i="7"/>
  <c r="C404" i="7"/>
  <c r="B404" i="7"/>
  <c r="A404" i="7"/>
  <c r="F403" i="7"/>
  <c r="E403" i="7"/>
  <c r="D403" i="7"/>
  <c r="C403" i="7"/>
  <c r="B403" i="7"/>
  <c r="A403" i="7"/>
  <c r="F402" i="7"/>
  <c r="E402" i="7"/>
  <c r="D402" i="7"/>
  <c r="C402" i="7"/>
  <c r="B402" i="7"/>
  <c r="A402" i="7"/>
  <c r="F401" i="7"/>
  <c r="E401" i="7"/>
  <c r="D401" i="7"/>
  <c r="C401" i="7"/>
  <c r="B401" i="7"/>
  <c r="A401" i="7"/>
  <c r="F400" i="7"/>
  <c r="E400" i="7"/>
  <c r="D400" i="7"/>
  <c r="C400" i="7"/>
  <c r="B400" i="7"/>
  <c r="A400" i="7"/>
  <c r="F399" i="7"/>
  <c r="E399" i="7"/>
  <c r="D399" i="7"/>
  <c r="C399" i="7"/>
  <c r="B399" i="7"/>
  <c r="A399" i="7"/>
  <c r="F398" i="7"/>
  <c r="E398" i="7"/>
  <c r="D398" i="7"/>
  <c r="C398" i="7"/>
  <c r="B398" i="7"/>
  <c r="A398" i="7"/>
  <c r="F397" i="7"/>
  <c r="E397" i="7"/>
  <c r="D397" i="7"/>
  <c r="C397" i="7"/>
  <c r="B397" i="7"/>
  <c r="A397" i="7"/>
  <c r="F396" i="7"/>
  <c r="E396" i="7"/>
  <c r="D396" i="7"/>
  <c r="C396" i="7"/>
  <c r="B396" i="7"/>
  <c r="A396" i="7"/>
  <c r="F395" i="7"/>
  <c r="E395" i="7"/>
  <c r="D395" i="7"/>
  <c r="C395" i="7"/>
  <c r="B395" i="7"/>
  <c r="A395" i="7"/>
  <c r="F394" i="7"/>
  <c r="E394" i="7"/>
  <c r="D394" i="7"/>
  <c r="C394" i="7"/>
  <c r="B394" i="7"/>
  <c r="A394" i="7"/>
  <c r="F393" i="7"/>
  <c r="E393" i="7"/>
  <c r="D393" i="7"/>
  <c r="C393" i="7"/>
  <c r="B393" i="7"/>
  <c r="A393" i="7"/>
  <c r="F392" i="7"/>
  <c r="E392" i="7"/>
  <c r="D392" i="7"/>
  <c r="C392" i="7"/>
  <c r="B392" i="7"/>
  <c r="A392" i="7"/>
  <c r="F391" i="7"/>
  <c r="E391" i="7"/>
  <c r="D391" i="7"/>
  <c r="C391" i="7"/>
  <c r="B391" i="7"/>
  <c r="A391" i="7"/>
  <c r="F390" i="7"/>
  <c r="E390" i="7"/>
  <c r="D390" i="7"/>
  <c r="C390" i="7"/>
  <c r="B390" i="7"/>
  <c r="A390" i="7"/>
  <c r="F389" i="7"/>
  <c r="E389" i="7"/>
  <c r="D389" i="7"/>
  <c r="C389" i="7"/>
  <c r="B389" i="7"/>
  <c r="A389" i="7"/>
  <c r="F388" i="7"/>
  <c r="E388" i="7"/>
  <c r="D388" i="7"/>
  <c r="C388" i="7"/>
  <c r="B388" i="7"/>
  <c r="A388" i="7"/>
  <c r="F387" i="7"/>
  <c r="E387" i="7"/>
  <c r="D387" i="7"/>
  <c r="C387" i="7"/>
  <c r="B387" i="7"/>
  <c r="A387" i="7"/>
  <c r="F386" i="7"/>
  <c r="E386" i="7"/>
  <c r="D386" i="7"/>
  <c r="C386" i="7"/>
  <c r="B386" i="7"/>
  <c r="A386" i="7"/>
  <c r="F385" i="7"/>
  <c r="E385" i="7"/>
  <c r="D385" i="7"/>
  <c r="C385" i="7"/>
  <c r="B385" i="7"/>
  <c r="A385" i="7"/>
  <c r="F384" i="7"/>
  <c r="E384" i="7"/>
  <c r="D384" i="7"/>
  <c r="C384" i="7"/>
  <c r="B384" i="7"/>
  <c r="A384" i="7"/>
  <c r="F383" i="7"/>
  <c r="E383" i="7"/>
  <c r="D383" i="7"/>
  <c r="C383" i="7"/>
  <c r="B383" i="7"/>
  <c r="A383" i="7"/>
  <c r="F382" i="7"/>
  <c r="E382" i="7"/>
  <c r="D382" i="7"/>
  <c r="C382" i="7"/>
  <c r="B382" i="7"/>
  <c r="A382" i="7"/>
  <c r="F381" i="7"/>
  <c r="E381" i="7"/>
  <c r="D381" i="7"/>
  <c r="C381" i="7"/>
  <c r="B381" i="7"/>
  <c r="A381" i="7"/>
  <c r="F380" i="7"/>
  <c r="E380" i="7"/>
  <c r="D380" i="7"/>
  <c r="C380" i="7"/>
  <c r="B380" i="7"/>
  <c r="A380" i="7"/>
  <c r="F379" i="7"/>
  <c r="E379" i="7"/>
  <c r="D379" i="7"/>
  <c r="C379" i="7"/>
  <c r="B379" i="7"/>
  <c r="A379" i="7"/>
  <c r="F378" i="7"/>
  <c r="E378" i="7"/>
  <c r="D378" i="7"/>
  <c r="C378" i="7"/>
  <c r="B378" i="7"/>
  <c r="A378" i="7"/>
  <c r="F377" i="7"/>
  <c r="E377" i="7"/>
  <c r="D377" i="7"/>
  <c r="C377" i="7"/>
  <c r="B377" i="7"/>
  <c r="A377" i="7"/>
  <c r="F376" i="7"/>
  <c r="E376" i="7"/>
  <c r="D376" i="7"/>
  <c r="C376" i="7"/>
  <c r="B376" i="7"/>
  <c r="A376" i="7"/>
  <c r="F375" i="7"/>
  <c r="E375" i="7"/>
  <c r="D375" i="7"/>
  <c r="C375" i="7"/>
  <c r="B375" i="7"/>
  <c r="A375" i="7"/>
  <c r="F374" i="7"/>
  <c r="E374" i="7"/>
  <c r="D374" i="7"/>
  <c r="C374" i="7"/>
  <c r="B374" i="7"/>
  <c r="A374" i="7"/>
  <c r="F373" i="7"/>
  <c r="E373" i="7"/>
  <c r="D373" i="7"/>
  <c r="C373" i="7"/>
  <c r="B373" i="7"/>
  <c r="A373" i="7"/>
  <c r="F372" i="7"/>
  <c r="E372" i="7"/>
  <c r="D372" i="7"/>
  <c r="C372" i="7"/>
  <c r="B372" i="7"/>
  <c r="A372" i="7"/>
  <c r="F371" i="7"/>
  <c r="E371" i="7"/>
  <c r="D371" i="7"/>
  <c r="C371" i="7"/>
  <c r="B371" i="7"/>
  <c r="A371" i="7"/>
  <c r="F370" i="7"/>
  <c r="E370" i="7"/>
  <c r="D370" i="7"/>
  <c r="C370" i="7"/>
  <c r="B370" i="7"/>
  <c r="A370" i="7"/>
  <c r="F369" i="7"/>
  <c r="E369" i="7"/>
  <c r="D369" i="7"/>
  <c r="C369" i="7"/>
  <c r="B369" i="7"/>
  <c r="A369" i="7"/>
  <c r="F368" i="7"/>
  <c r="E368" i="7"/>
  <c r="D368" i="7"/>
  <c r="C368" i="7"/>
  <c r="B368" i="7"/>
  <c r="A368" i="7"/>
  <c r="F367" i="7"/>
  <c r="E367" i="7"/>
  <c r="D367" i="7"/>
  <c r="C367" i="7"/>
  <c r="B367" i="7"/>
  <c r="A367" i="7"/>
  <c r="F366" i="7"/>
  <c r="E366" i="7"/>
  <c r="D366" i="7"/>
  <c r="C366" i="7"/>
  <c r="B366" i="7"/>
  <c r="A366" i="7"/>
  <c r="F365" i="7"/>
  <c r="E365" i="7"/>
  <c r="D365" i="7"/>
  <c r="C365" i="7"/>
  <c r="B365" i="7"/>
  <c r="A365" i="7"/>
  <c r="F364" i="7"/>
  <c r="E364" i="7"/>
  <c r="D364" i="7"/>
  <c r="C364" i="7"/>
  <c r="B364" i="7"/>
  <c r="A364" i="7"/>
  <c r="F363" i="7"/>
  <c r="E363" i="7"/>
  <c r="D363" i="7"/>
  <c r="C363" i="7"/>
  <c r="B363" i="7"/>
  <c r="A363" i="7"/>
  <c r="F362" i="7"/>
  <c r="E362" i="7"/>
  <c r="D362" i="7"/>
  <c r="C362" i="7"/>
  <c r="B362" i="7"/>
  <c r="A362" i="7"/>
  <c r="F361" i="7"/>
  <c r="E361" i="7"/>
  <c r="D361" i="7"/>
  <c r="C361" i="7"/>
  <c r="B361" i="7"/>
  <c r="A361" i="7"/>
  <c r="F360" i="7"/>
  <c r="E360" i="7"/>
  <c r="D360" i="7"/>
  <c r="C360" i="7"/>
  <c r="B360" i="7"/>
  <c r="A360" i="7"/>
  <c r="F359" i="7"/>
  <c r="E359" i="7"/>
  <c r="D359" i="7"/>
  <c r="C359" i="7"/>
  <c r="B359" i="7"/>
  <c r="A359" i="7"/>
  <c r="F358" i="7"/>
  <c r="E358" i="7"/>
  <c r="D358" i="7"/>
  <c r="C358" i="7"/>
  <c r="B358" i="7"/>
  <c r="A358" i="7"/>
  <c r="F357" i="7"/>
  <c r="E357" i="7"/>
  <c r="D357" i="7"/>
  <c r="C357" i="7"/>
  <c r="B357" i="7"/>
  <c r="A357" i="7"/>
  <c r="F356" i="7"/>
  <c r="E356" i="7"/>
  <c r="D356" i="7"/>
  <c r="C356" i="7"/>
  <c r="B356" i="7"/>
  <c r="A356" i="7"/>
  <c r="F355" i="7"/>
  <c r="E355" i="7"/>
  <c r="D355" i="7"/>
  <c r="C355" i="7"/>
  <c r="B355" i="7"/>
  <c r="A355" i="7"/>
  <c r="F354" i="7"/>
  <c r="E354" i="7"/>
  <c r="D354" i="7"/>
  <c r="C354" i="7"/>
  <c r="B354" i="7"/>
  <c r="A354" i="7"/>
  <c r="F353" i="7"/>
  <c r="E353" i="7"/>
  <c r="D353" i="7"/>
  <c r="C353" i="7"/>
  <c r="B353" i="7"/>
  <c r="A353" i="7"/>
  <c r="F352" i="7"/>
  <c r="E352" i="7"/>
  <c r="D352" i="7"/>
  <c r="C352" i="7"/>
  <c r="B352" i="7"/>
  <c r="A352" i="7"/>
  <c r="F351" i="7"/>
  <c r="E351" i="7"/>
  <c r="D351" i="7"/>
  <c r="C351" i="7"/>
  <c r="B351" i="7"/>
  <c r="A351" i="7"/>
  <c r="F350" i="7"/>
  <c r="E350" i="7"/>
  <c r="D350" i="7"/>
  <c r="C350" i="7"/>
  <c r="B350" i="7"/>
  <c r="A350" i="7"/>
  <c r="F349" i="7"/>
  <c r="E349" i="7"/>
  <c r="D349" i="7"/>
  <c r="C349" i="7"/>
  <c r="B349" i="7"/>
  <c r="A349" i="7"/>
  <c r="F348" i="7"/>
  <c r="E348" i="7"/>
  <c r="D348" i="7"/>
  <c r="C348" i="7"/>
  <c r="B348" i="7"/>
  <c r="A348" i="7"/>
  <c r="F347" i="7"/>
  <c r="E347" i="7"/>
  <c r="D347" i="7"/>
  <c r="C347" i="7"/>
  <c r="B347" i="7"/>
  <c r="A347" i="7"/>
  <c r="F346" i="7"/>
  <c r="E346" i="7"/>
  <c r="D346" i="7"/>
  <c r="C346" i="7"/>
  <c r="B346" i="7"/>
  <c r="A346" i="7"/>
  <c r="F345" i="7"/>
  <c r="E345" i="7"/>
  <c r="D345" i="7"/>
  <c r="C345" i="7"/>
  <c r="B345" i="7"/>
  <c r="A345" i="7"/>
  <c r="F344" i="7"/>
  <c r="E344" i="7"/>
  <c r="D344" i="7"/>
  <c r="C344" i="7"/>
  <c r="B344" i="7"/>
  <c r="A344" i="7"/>
  <c r="F343" i="7"/>
  <c r="E343" i="7"/>
  <c r="D343" i="7"/>
  <c r="C343" i="7"/>
  <c r="B343" i="7"/>
  <c r="A343" i="7"/>
  <c r="F342" i="7"/>
  <c r="E342" i="7"/>
  <c r="D342" i="7"/>
  <c r="C342" i="7"/>
  <c r="B342" i="7"/>
  <c r="A342" i="7"/>
  <c r="F341" i="7"/>
  <c r="E341" i="7"/>
  <c r="D341" i="7"/>
  <c r="C341" i="7"/>
  <c r="B341" i="7"/>
  <c r="A341" i="7"/>
  <c r="F340" i="7"/>
  <c r="E340" i="7"/>
  <c r="D340" i="7"/>
  <c r="C340" i="7"/>
  <c r="B340" i="7"/>
  <c r="A340" i="7"/>
  <c r="F339" i="7"/>
  <c r="E339" i="7"/>
  <c r="D339" i="7"/>
  <c r="C339" i="7"/>
  <c r="B339" i="7"/>
  <c r="A339" i="7"/>
  <c r="F338" i="7"/>
  <c r="E338" i="7"/>
  <c r="D338" i="7"/>
  <c r="C338" i="7"/>
  <c r="B338" i="7"/>
  <c r="A338" i="7"/>
  <c r="F337" i="7"/>
  <c r="E337" i="7"/>
  <c r="D337" i="7"/>
  <c r="C337" i="7"/>
  <c r="B337" i="7"/>
  <c r="A337" i="7"/>
  <c r="F336" i="7"/>
  <c r="E336" i="7"/>
  <c r="D336" i="7"/>
  <c r="C336" i="7"/>
  <c r="B336" i="7"/>
  <c r="A336" i="7"/>
  <c r="F335" i="7"/>
  <c r="E335" i="7"/>
  <c r="D335" i="7"/>
  <c r="C335" i="7"/>
  <c r="B335" i="7"/>
  <c r="A335" i="7"/>
  <c r="F334" i="7"/>
  <c r="E334" i="7"/>
  <c r="D334" i="7"/>
  <c r="C334" i="7"/>
  <c r="B334" i="7"/>
  <c r="A334" i="7"/>
  <c r="F333" i="7"/>
  <c r="E333" i="7"/>
  <c r="D333" i="7"/>
  <c r="C333" i="7"/>
  <c r="B333" i="7"/>
  <c r="A333" i="7"/>
  <c r="F332" i="7"/>
  <c r="E332" i="7"/>
  <c r="D332" i="7"/>
  <c r="C332" i="7"/>
  <c r="B332" i="7"/>
  <c r="A332" i="7"/>
  <c r="F331" i="7"/>
  <c r="E331" i="7"/>
  <c r="D331" i="7"/>
  <c r="C331" i="7"/>
  <c r="B331" i="7"/>
  <c r="A331" i="7"/>
  <c r="F330" i="7"/>
  <c r="E330" i="7"/>
  <c r="D330" i="7"/>
  <c r="C330" i="7"/>
  <c r="B330" i="7"/>
  <c r="A330" i="7"/>
  <c r="F329" i="7"/>
  <c r="E329" i="7"/>
  <c r="D329" i="7"/>
  <c r="C329" i="7"/>
  <c r="B329" i="7"/>
  <c r="A329" i="7"/>
  <c r="F328" i="7"/>
  <c r="E328" i="7"/>
  <c r="D328" i="7"/>
  <c r="C328" i="7"/>
  <c r="B328" i="7"/>
  <c r="A328" i="7"/>
  <c r="F327" i="7"/>
  <c r="E327" i="7"/>
  <c r="D327" i="7"/>
  <c r="C327" i="7"/>
  <c r="B327" i="7"/>
  <c r="A327" i="7"/>
  <c r="F326" i="7"/>
  <c r="E326" i="7"/>
  <c r="D326" i="7"/>
  <c r="C326" i="7"/>
  <c r="B326" i="7"/>
  <c r="A326" i="7"/>
  <c r="F325" i="7"/>
  <c r="E325" i="7"/>
  <c r="D325" i="7"/>
  <c r="C325" i="7"/>
  <c r="B325" i="7"/>
  <c r="A325" i="7"/>
  <c r="F324" i="7"/>
  <c r="E324" i="7"/>
  <c r="D324" i="7"/>
  <c r="C324" i="7"/>
  <c r="B324" i="7"/>
  <c r="A324" i="7"/>
  <c r="F323" i="7"/>
  <c r="E323" i="7"/>
  <c r="D323" i="7"/>
  <c r="C323" i="7"/>
  <c r="B323" i="7"/>
  <c r="A323" i="7"/>
  <c r="F322" i="7"/>
  <c r="E322" i="7"/>
  <c r="D322" i="7"/>
  <c r="C322" i="7"/>
  <c r="B322" i="7"/>
  <c r="A322" i="7"/>
  <c r="F321" i="7"/>
  <c r="E321" i="7"/>
  <c r="D321" i="7"/>
  <c r="C321" i="7"/>
  <c r="B321" i="7"/>
  <c r="A321" i="7"/>
  <c r="F320" i="7"/>
  <c r="E320" i="7"/>
  <c r="D320" i="7"/>
  <c r="C320" i="7"/>
  <c r="B320" i="7"/>
  <c r="A320" i="7"/>
  <c r="F319" i="7"/>
  <c r="E319" i="7"/>
  <c r="D319" i="7"/>
  <c r="C319" i="7"/>
  <c r="B319" i="7"/>
  <c r="A319" i="7"/>
  <c r="F318" i="7"/>
  <c r="E318" i="7"/>
  <c r="D318" i="7"/>
  <c r="C318" i="7"/>
  <c r="B318" i="7"/>
  <c r="A318" i="7"/>
  <c r="F317" i="7"/>
  <c r="E317" i="7"/>
  <c r="D317" i="7"/>
  <c r="C317" i="7"/>
  <c r="B317" i="7"/>
  <c r="A317" i="7"/>
  <c r="F316" i="7"/>
  <c r="E316" i="7"/>
  <c r="D316" i="7"/>
  <c r="C316" i="7"/>
  <c r="B316" i="7"/>
  <c r="A316" i="7"/>
  <c r="F315" i="7"/>
  <c r="E315" i="7"/>
  <c r="D315" i="7"/>
  <c r="C315" i="7"/>
  <c r="B315" i="7"/>
  <c r="A315" i="7"/>
  <c r="F314" i="7"/>
  <c r="E314" i="7"/>
  <c r="D314" i="7"/>
  <c r="C314" i="7"/>
  <c r="B314" i="7"/>
  <c r="A314" i="7"/>
  <c r="F313" i="7"/>
  <c r="E313" i="7"/>
  <c r="D313" i="7"/>
  <c r="C313" i="7"/>
  <c r="B313" i="7"/>
  <c r="A313" i="7"/>
  <c r="F312" i="7"/>
  <c r="E312" i="7"/>
  <c r="D312" i="7"/>
  <c r="C312" i="7"/>
  <c r="B312" i="7"/>
  <c r="A312" i="7"/>
  <c r="F311" i="7"/>
  <c r="E311" i="7"/>
  <c r="D311" i="7"/>
  <c r="C311" i="7"/>
  <c r="B311" i="7"/>
  <c r="A311" i="7"/>
  <c r="F310" i="7"/>
  <c r="E310" i="7"/>
  <c r="D310" i="7"/>
  <c r="C310" i="7"/>
  <c r="B310" i="7"/>
  <c r="A310" i="7"/>
  <c r="F309" i="7"/>
  <c r="E309" i="7"/>
  <c r="D309" i="7"/>
  <c r="C309" i="7"/>
  <c r="B309" i="7"/>
  <c r="A309" i="7"/>
  <c r="F308" i="7"/>
  <c r="E308" i="7"/>
  <c r="D308" i="7"/>
  <c r="C308" i="7"/>
  <c r="B308" i="7"/>
  <c r="A308" i="7"/>
  <c r="F307" i="7"/>
  <c r="E307" i="7"/>
  <c r="D307" i="7"/>
  <c r="C307" i="7"/>
  <c r="B307" i="7"/>
  <c r="A307" i="7"/>
  <c r="F306" i="7"/>
  <c r="E306" i="7"/>
  <c r="D306" i="7"/>
  <c r="C306" i="7"/>
  <c r="B306" i="7"/>
  <c r="A306" i="7"/>
  <c r="F305" i="7"/>
  <c r="E305" i="7"/>
  <c r="D305" i="7"/>
  <c r="C305" i="7"/>
  <c r="B305" i="7"/>
  <c r="A305" i="7"/>
  <c r="F304" i="7"/>
  <c r="E304" i="7"/>
  <c r="D304" i="7"/>
  <c r="C304" i="7"/>
  <c r="B304" i="7"/>
  <c r="A304" i="7"/>
  <c r="F303" i="7"/>
  <c r="E303" i="7"/>
  <c r="D303" i="7"/>
  <c r="C303" i="7"/>
  <c r="B303" i="7"/>
  <c r="A303" i="7"/>
  <c r="F302" i="7"/>
  <c r="E302" i="7"/>
  <c r="D302" i="7"/>
  <c r="C302" i="7"/>
  <c r="B302" i="7"/>
  <c r="A302" i="7"/>
  <c r="F301" i="7"/>
  <c r="E301" i="7"/>
  <c r="D301" i="7"/>
  <c r="C301" i="7"/>
  <c r="B301" i="7"/>
  <c r="A301" i="7"/>
  <c r="F300" i="7"/>
  <c r="E300" i="7"/>
  <c r="D300" i="7"/>
  <c r="C300" i="7"/>
  <c r="B300" i="7"/>
  <c r="A300" i="7"/>
  <c r="F299" i="7"/>
  <c r="E299" i="7"/>
  <c r="D299" i="7"/>
  <c r="C299" i="7"/>
  <c r="B299" i="7"/>
  <c r="A299" i="7"/>
  <c r="F298" i="7"/>
  <c r="E298" i="7"/>
  <c r="D298" i="7"/>
  <c r="C298" i="7"/>
  <c r="B298" i="7"/>
  <c r="A298" i="7"/>
  <c r="F297" i="7"/>
  <c r="E297" i="7"/>
  <c r="D297" i="7"/>
  <c r="C297" i="7"/>
  <c r="B297" i="7"/>
  <c r="A297" i="7"/>
  <c r="F296" i="7"/>
  <c r="E296" i="7"/>
  <c r="D296" i="7"/>
  <c r="C296" i="7"/>
  <c r="B296" i="7"/>
  <c r="A296" i="7"/>
  <c r="F295" i="7"/>
  <c r="E295" i="7"/>
  <c r="D295" i="7"/>
  <c r="C295" i="7"/>
  <c r="B295" i="7"/>
  <c r="A295" i="7"/>
  <c r="F294" i="7"/>
  <c r="E294" i="7"/>
  <c r="D294" i="7"/>
  <c r="C294" i="7"/>
  <c r="B294" i="7"/>
  <c r="A294" i="7"/>
  <c r="F293" i="7"/>
  <c r="E293" i="7"/>
  <c r="D293" i="7"/>
  <c r="C293" i="7"/>
  <c r="B293" i="7"/>
  <c r="A293" i="7"/>
  <c r="F292" i="7"/>
  <c r="E292" i="7"/>
  <c r="D292" i="7"/>
  <c r="C292" i="7"/>
  <c r="B292" i="7"/>
  <c r="A292" i="7"/>
  <c r="F291" i="7"/>
  <c r="E291" i="7"/>
  <c r="D291" i="7"/>
  <c r="C291" i="7"/>
  <c r="B291" i="7"/>
  <c r="A291" i="7"/>
  <c r="F290" i="7"/>
  <c r="E290" i="7"/>
  <c r="D290" i="7"/>
  <c r="C290" i="7"/>
  <c r="B290" i="7"/>
  <c r="A290" i="7"/>
  <c r="F289" i="7"/>
  <c r="E289" i="7"/>
  <c r="D289" i="7"/>
  <c r="C289" i="7"/>
  <c r="B289" i="7"/>
  <c r="A289" i="7"/>
  <c r="F288" i="7"/>
  <c r="E288" i="7"/>
  <c r="D288" i="7"/>
  <c r="C288" i="7"/>
  <c r="B288" i="7"/>
  <c r="A288" i="7"/>
  <c r="F287" i="7"/>
  <c r="E287" i="7"/>
  <c r="D287" i="7"/>
  <c r="C287" i="7"/>
  <c r="B287" i="7"/>
  <c r="A287" i="7"/>
  <c r="F286" i="7"/>
  <c r="E286" i="7"/>
  <c r="D286" i="7"/>
  <c r="C286" i="7"/>
  <c r="B286" i="7"/>
  <c r="A286" i="7"/>
  <c r="F285" i="7"/>
  <c r="E285" i="7"/>
  <c r="D285" i="7"/>
  <c r="C285" i="7"/>
  <c r="B285" i="7"/>
  <c r="A285" i="7"/>
  <c r="F284" i="7"/>
  <c r="E284" i="7"/>
  <c r="D284" i="7"/>
  <c r="C284" i="7"/>
  <c r="B284" i="7"/>
  <c r="A284" i="7"/>
  <c r="F283" i="7"/>
  <c r="E283" i="7"/>
  <c r="D283" i="7"/>
  <c r="C283" i="7"/>
  <c r="B283" i="7"/>
  <c r="A283" i="7"/>
  <c r="F282" i="7"/>
  <c r="E282" i="7"/>
  <c r="D282" i="7"/>
  <c r="C282" i="7"/>
  <c r="B282" i="7"/>
  <c r="A282" i="7"/>
  <c r="F281" i="7"/>
  <c r="E281" i="7"/>
  <c r="D281" i="7"/>
  <c r="C281" i="7"/>
  <c r="B281" i="7"/>
  <c r="A281" i="7"/>
  <c r="F280" i="7"/>
  <c r="E280" i="7"/>
  <c r="D280" i="7"/>
  <c r="C280" i="7"/>
  <c r="B280" i="7"/>
  <c r="A280" i="7"/>
  <c r="F279" i="7"/>
  <c r="E279" i="7"/>
  <c r="D279" i="7"/>
  <c r="C279" i="7"/>
  <c r="B279" i="7"/>
  <c r="A279" i="7"/>
  <c r="F278" i="7"/>
  <c r="E278" i="7"/>
  <c r="D278" i="7"/>
  <c r="C278" i="7"/>
  <c r="B278" i="7"/>
  <c r="A278" i="7"/>
  <c r="F277" i="7"/>
  <c r="E277" i="7"/>
  <c r="D277" i="7"/>
  <c r="C277" i="7"/>
  <c r="B277" i="7"/>
  <c r="A277" i="7"/>
  <c r="F276" i="7"/>
  <c r="E276" i="7"/>
  <c r="D276" i="7"/>
  <c r="C276" i="7"/>
  <c r="B276" i="7"/>
  <c r="A276" i="7"/>
  <c r="F275" i="7"/>
  <c r="E275" i="7"/>
  <c r="D275" i="7"/>
  <c r="C275" i="7"/>
  <c r="B275" i="7"/>
  <c r="A275" i="7"/>
  <c r="F274" i="7"/>
  <c r="E274" i="7"/>
  <c r="D274" i="7"/>
  <c r="C274" i="7"/>
  <c r="B274" i="7"/>
  <c r="A274" i="7"/>
  <c r="F273" i="7"/>
  <c r="E273" i="7"/>
  <c r="D273" i="7"/>
  <c r="C273" i="7"/>
  <c r="B273" i="7"/>
  <c r="A273" i="7"/>
  <c r="F272" i="7"/>
  <c r="E272" i="7"/>
  <c r="D272" i="7"/>
  <c r="C272" i="7"/>
  <c r="B272" i="7"/>
  <c r="A272" i="7"/>
  <c r="F271" i="7"/>
  <c r="E271" i="7"/>
  <c r="D271" i="7"/>
  <c r="C271" i="7"/>
  <c r="B271" i="7"/>
  <c r="A271" i="7"/>
  <c r="F270" i="7"/>
  <c r="E270" i="7"/>
  <c r="D270" i="7"/>
  <c r="C270" i="7"/>
  <c r="B270" i="7"/>
  <c r="A270" i="7"/>
  <c r="F269" i="7"/>
  <c r="E269" i="7"/>
  <c r="D269" i="7"/>
  <c r="C269" i="7"/>
  <c r="B269" i="7"/>
  <c r="A269" i="7"/>
  <c r="F268" i="7"/>
  <c r="E268" i="7"/>
  <c r="D268" i="7"/>
  <c r="C268" i="7"/>
  <c r="B268" i="7"/>
  <c r="A268" i="7"/>
  <c r="F267" i="7"/>
  <c r="E267" i="7"/>
  <c r="D267" i="7"/>
  <c r="C267" i="7"/>
  <c r="B267" i="7"/>
  <c r="A267" i="7"/>
  <c r="F266" i="7"/>
  <c r="E266" i="7"/>
  <c r="D266" i="7"/>
  <c r="C266" i="7"/>
  <c r="B266" i="7"/>
  <c r="A266" i="7"/>
  <c r="F265" i="7"/>
  <c r="E265" i="7"/>
  <c r="D265" i="7"/>
  <c r="C265" i="7"/>
  <c r="B265" i="7"/>
  <c r="A265" i="7"/>
  <c r="F264" i="7"/>
  <c r="E264" i="7"/>
  <c r="D264" i="7"/>
  <c r="C264" i="7"/>
  <c r="B264" i="7"/>
  <c r="A264" i="7"/>
  <c r="F263" i="7"/>
  <c r="E263" i="7"/>
  <c r="D263" i="7"/>
  <c r="C263" i="7"/>
  <c r="B263" i="7"/>
  <c r="A263" i="7"/>
  <c r="F262" i="7"/>
  <c r="E262" i="7"/>
  <c r="D262" i="7"/>
  <c r="C262" i="7"/>
  <c r="B262" i="7"/>
  <c r="A262" i="7"/>
  <c r="F261" i="7"/>
  <c r="E261" i="7"/>
  <c r="D261" i="7"/>
  <c r="C261" i="7"/>
  <c r="B261" i="7"/>
  <c r="A261" i="7"/>
  <c r="F260" i="7"/>
  <c r="E260" i="7"/>
  <c r="D260" i="7"/>
  <c r="C260" i="7"/>
  <c r="B260" i="7"/>
  <c r="A260" i="7"/>
  <c r="F259" i="7"/>
  <c r="E259" i="7"/>
  <c r="D259" i="7"/>
  <c r="C259" i="7"/>
  <c r="B259" i="7"/>
  <c r="A259" i="7"/>
  <c r="F258" i="7"/>
  <c r="E258" i="7"/>
  <c r="D258" i="7"/>
  <c r="C258" i="7"/>
  <c r="B258" i="7"/>
  <c r="A258" i="7"/>
  <c r="F257" i="7"/>
  <c r="E257" i="7"/>
  <c r="D257" i="7"/>
  <c r="C257" i="7"/>
  <c r="B257" i="7"/>
  <c r="A257" i="7"/>
  <c r="F256" i="7"/>
  <c r="E256" i="7"/>
  <c r="D256" i="7"/>
  <c r="C256" i="7"/>
  <c r="B256" i="7"/>
  <c r="A256" i="7"/>
  <c r="F255" i="7"/>
  <c r="E255" i="7"/>
  <c r="D255" i="7"/>
  <c r="C255" i="7"/>
  <c r="B255" i="7"/>
  <c r="A255" i="7"/>
  <c r="F254" i="7"/>
  <c r="E254" i="7"/>
  <c r="D254" i="7"/>
  <c r="C254" i="7"/>
  <c r="B254" i="7"/>
  <c r="A254" i="7"/>
  <c r="F253" i="7"/>
  <c r="E253" i="7"/>
  <c r="D253" i="7"/>
  <c r="C253" i="7"/>
  <c r="B253" i="7"/>
  <c r="A253" i="7"/>
  <c r="F252" i="7"/>
  <c r="E252" i="7"/>
  <c r="D252" i="7"/>
  <c r="C252" i="7"/>
  <c r="B252" i="7"/>
  <c r="A252" i="7"/>
  <c r="F251" i="7"/>
  <c r="E251" i="7"/>
  <c r="D251" i="7"/>
  <c r="C251" i="7"/>
  <c r="B251" i="7"/>
  <c r="A251" i="7"/>
  <c r="F250" i="7"/>
  <c r="E250" i="7"/>
  <c r="D250" i="7"/>
  <c r="C250" i="7"/>
  <c r="B250" i="7"/>
  <c r="A250" i="7"/>
  <c r="F249" i="7"/>
  <c r="E249" i="7"/>
  <c r="D249" i="7"/>
  <c r="C249" i="7"/>
  <c r="B249" i="7"/>
  <c r="A249" i="7"/>
  <c r="F248" i="7"/>
  <c r="E248" i="7"/>
  <c r="D248" i="7"/>
  <c r="C248" i="7"/>
  <c r="B248" i="7"/>
  <c r="A248" i="7"/>
  <c r="F247" i="7"/>
  <c r="E247" i="7"/>
  <c r="D247" i="7"/>
  <c r="C247" i="7"/>
  <c r="B247" i="7"/>
  <c r="A247" i="7"/>
  <c r="F246" i="7"/>
  <c r="E246" i="7"/>
  <c r="D246" i="7"/>
  <c r="C246" i="7"/>
  <c r="B246" i="7"/>
  <c r="A246" i="7"/>
  <c r="F245" i="7"/>
  <c r="E245" i="7"/>
  <c r="D245" i="7"/>
  <c r="C245" i="7"/>
  <c r="B245" i="7"/>
  <c r="A245" i="7"/>
  <c r="F244" i="7"/>
  <c r="E244" i="7"/>
  <c r="D244" i="7"/>
  <c r="C244" i="7"/>
  <c r="B244" i="7"/>
  <c r="A244" i="7"/>
  <c r="F243" i="7"/>
  <c r="E243" i="7"/>
  <c r="D243" i="7"/>
  <c r="C243" i="7"/>
  <c r="B243" i="7"/>
  <c r="A243" i="7"/>
  <c r="F242" i="7"/>
  <c r="E242" i="7"/>
  <c r="D242" i="7"/>
  <c r="C242" i="7"/>
  <c r="B242" i="7"/>
  <c r="A242" i="7"/>
  <c r="F241" i="7"/>
  <c r="E241" i="7"/>
  <c r="D241" i="7"/>
  <c r="C241" i="7"/>
  <c r="B241" i="7"/>
  <c r="A241" i="7"/>
  <c r="F240" i="7"/>
  <c r="E240" i="7"/>
  <c r="D240" i="7"/>
  <c r="C240" i="7"/>
  <c r="B240" i="7"/>
  <c r="A240" i="7"/>
  <c r="F239" i="7"/>
  <c r="E239" i="7"/>
  <c r="D239" i="7"/>
  <c r="C239" i="7"/>
  <c r="B239" i="7"/>
  <c r="A239" i="7"/>
  <c r="F238" i="7"/>
  <c r="E238" i="7"/>
  <c r="D238" i="7"/>
  <c r="C238" i="7"/>
  <c r="B238" i="7"/>
  <c r="A238" i="7"/>
  <c r="F237" i="7"/>
  <c r="E237" i="7"/>
  <c r="D237" i="7"/>
  <c r="C237" i="7"/>
  <c r="B237" i="7"/>
  <c r="A237" i="7"/>
  <c r="F236" i="7"/>
  <c r="E236" i="7"/>
  <c r="D236" i="7"/>
  <c r="C236" i="7"/>
  <c r="B236" i="7"/>
  <c r="A236" i="7"/>
  <c r="F235" i="7"/>
  <c r="E235" i="7"/>
  <c r="D235" i="7"/>
  <c r="C235" i="7"/>
  <c r="B235" i="7"/>
  <c r="A235" i="7"/>
  <c r="F234" i="7"/>
  <c r="E234" i="7"/>
  <c r="D234" i="7"/>
  <c r="C234" i="7"/>
  <c r="B234" i="7"/>
  <c r="A234" i="7"/>
  <c r="F233" i="7"/>
  <c r="E233" i="7"/>
  <c r="D233" i="7"/>
  <c r="C233" i="7"/>
  <c r="B233" i="7"/>
  <c r="A233" i="7"/>
  <c r="F232" i="7"/>
  <c r="E232" i="7"/>
  <c r="D232" i="7"/>
  <c r="C232" i="7"/>
  <c r="B232" i="7"/>
  <c r="A232" i="7"/>
  <c r="F231" i="7"/>
  <c r="E231" i="7"/>
  <c r="D231" i="7"/>
  <c r="C231" i="7"/>
  <c r="B231" i="7"/>
  <c r="A231" i="7"/>
  <c r="F230" i="7"/>
  <c r="E230" i="7"/>
  <c r="D230" i="7"/>
  <c r="C230" i="7"/>
  <c r="B230" i="7"/>
  <c r="A230" i="7"/>
  <c r="F229" i="7"/>
  <c r="E229" i="7"/>
  <c r="D229" i="7"/>
  <c r="C229" i="7"/>
  <c r="B229" i="7"/>
  <c r="A229" i="7"/>
  <c r="F228" i="7"/>
  <c r="E228" i="7"/>
  <c r="D228" i="7"/>
  <c r="C228" i="7"/>
  <c r="B228" i="7"/>
  <c r="A228" i="7"/>
  <c r="F227" i="7"/>
  <c r="E227" i="7"/>
  <c r="D227" i="7"/>
  <c r="C227" i="7"/>
  <c r="B227" i="7"/>
  <c r="A227" i="7"/>
  <c r="F226" i="7"/>
  <c r="E226" i="7"/>
  <c r="D226" i="7"/>
  <c r="C226" i="7"/>
  <c r="B226" i="7"/>
  <c r="A226" i="7"/>
  <c r="F225" i="7"/>
  <c r="E225" i="7"/>
  <c r="D225" i="7"/>
  <c r="C225" i="7"/>
  <c r="B225" i="7"/>
  <c r="A225" i="7"/>
  <c r="F224" i="7"/>
  <c r="E224" i="7"/>
  <c r="D224" i="7"/>
  <c r="C224" i="7"/>
  <c r="B224" i="7"/>
  <c r="A224" i="7"/>
  <c r="F223" i="7"/>
  <c r="E223" i="7"/>
  <c r="D223" i="7"/>
  <c r="C223" i="7"/>
  <c r="B223" i="7"/>
  <c r="A223" i="7"/>
  <c r="F222" i="7"/>
  <c r="E222" i="7"/>
  <c r="D222" i="7"/>
  <c r="C222" i="7"/>
  <c r="B222" i="7"/>
  <c r="A222" i="7"/>
  <c r="F221" i="7"/>
  <c r="E221" i="7"/>
  <c r="D221" i="7"/>
  <c r="C221" i="7"/>
  <c r="B221" i="7"/>
  <c r="A221" i="7"/>
  <c r="F220" i="7"/>
  <c r="E220" i="7"/>
  <c r="D220" i="7"/>
  <c r="C220" i="7"/>
  <c r="B220" i="7"/>
  <c r="A220" i="7"/>
  <c r="F219" i="7"/>
  <c r="E219" i="7"/>
  <c r="D219" i="7"/>
  <c r="C219" i="7"/>
  <c r="B219" i="7"/>
  <c r="A219" i="7"/>
  <c r="F218" i="7"/>
  <c r="E218" i="7"/>
  <c r="D218" i="7"/>
  <c r="C218" i="7"/>
  <c r="B218" i="7"/>
  <c r="A218" i="7"/>
  <c r="F217" i="7"/>
  <c r="E217" i="7"/>
  <c r="D217" i="7"/>
  <c r="C217" i="7"/>
  <c r="B217" i="7"/>
  <c r="A217" i="7"/>
  <c r="F216" i="7"/>
  <c r="E216" i="7"/>
  <c r="D216" i="7"/>
  <c r="C216" i="7"/>
  <c r="B216" i="7"/>
  <c r="A216" i="7"/>
  <c r="F215" i="7"/>
  <c r="E215" i="7"/>
  <c r="D215" i="7"/>
  <c r="C215" i="7"/>
  <c r="B215" i="7"/>
  <c r="A215" i="7"/>
  <c r="F214" i="7"/>
  <c r="E214" i="7"/>
  <c r="D214" i="7"/>
  <c r="C214" i="7"/>
  <c r="B214" i="7"/>
  <c r="A214" i="7"/>
  <c r="F213" i="7"/>
  <c r="E213" i="7"/>
  <c r="D213" i="7"/>
  <c r="C213" i="7"/>
  <c r="B213" i="7"/>
  <c r="A213" i="7"/>
  <c r="F212" i="7"/>
  <c r="E212" i="7"/>
  <c r="D212" i="7"/>
  <c r="C212" i="7"/>
  <c r="B212" i="7"/>
  <c r="A212" i="7"/>
  <c r="F211" i="7"/>
  <c r="E211" i="7"/>
  <c r="D211" i="7"/>
  <c r="C211" i="7"/>
  <c r="B211" i="7"/>
  <c r="A211" i="7"/>
  <c r="F210" i="7"/>
  <c r="E210" i="7"/>
  <c r="D210" i="7"/>
  <c r="C210" i="7"/>
  <c r="B210" i="7"/>
  <c r="A210" i="7"/>
  <c r="F209" i="7"/>
  <c r="E209" i="7"/>
  <c r="D209" i="7"/>
  <c r="C209" i="7"/>
  <c r="B209" i="7"/>
  <c r="A209" i="7"/>
  <c r="F208" i="7"/>
  <c r="E208" i="7"/>
  <c r="D208" i="7"/>
  <c r="C208" i="7"/>
  <c r="B208" i="7"/>
  <c r="A208" i="7"/>
  <c r="F207" i="7"/>
  <c r="E207" i="7"/>
  <c r="D207" i="7"/>
  <c r="C207" i="7"/>
  <c r="B207" i="7"/>
  <c r="A207" i="7"/>
  <c r="F206" i="7"/>
  <c r="E206" i="7"/>
  <c r="D206" i="7"/>
  <c r="C206" i="7"/>
  <c r="B206" i="7"/>
  <c r="A206" i="7"/>
  <c r="F205" i="7"/>
  <c r="E205" i="7"/>
  <c r="D205" i="7"/>
  <c r="C205" i="7"/>
  <c r="B205" i="7"/>
  <c r="A205" i="7"/>
  <c r="F204" i="7"/>
  <c r="E204" i="7"/>
  <c r="D204" i="7"/>
  <c r="C204" i="7"/>
  <c r="B204" i="7"/>
  <c r="A204" i="7"/>
  <c r="F203" i="7"/>
  <c r="E203" i="7"/>
  <c r="D203" i="7"/>
  <c r="C203" i="7"/>
  <c r="B203" i="7"/>
  <c r="A203" i="7"/>
  <c r="F202" i="7"/>
  <c r="E202" i="7"/>
  <c r="D202" i="7"/>
  <c r="C202" i="7"/>
  <c r="B202" i="7"/>
  <c r="A202" i="7"/>
  <c r="F201" i="7"/>
  <c r="E201" i="7"/>
  <c r="D201" i="7"/>
  <c r="C201" i="7"/>
  <c r="B201" i="7"/>
  <c r="A201" i="7"/>
  <c r="F200" i="7"/>
  <c r="E200" i="7"/>
  <c r="D200" i="7"/>
  <c r="C200" i="7"/>
  <c r="B200" i="7"/>
  <c r="A200" i="7"/>
  <c r="F199" i="7"/>
  <c r="E199" i="7"/>
  <c r="D199" i="7"/>
  <c r="C199" i="7"/>
  <c r="B199" i="7"/>
  <c r="A199" i="7"/>
  <c r="F198" i="7"/>
  <c r="E198" i="7"/>
  <c r="D198" i="7"/>
  <c r="C198" i="7"/>
  <c r="B198" i="7"/>
  <c r="A198" i="7"/>
  <c r="F197" i="7"/>
  <c r="E197" i="7"/>
  <c r="D197" i="7"/>
  <c r="C197" i="7"/>
  <c r="B197" i="7"/>
  <c r="A197" i="7"/>
  <c r="F196" i="7"/>
  <c r="E196" i="7"/>
  <c r="D196" i="7"/>
  <c r="C196" i="7"/>
  <c r="B196" i="7"/>
  <c r="A196" i="7"/>
  <c r="F195" i="7"/>
  <c r="E195" i="7"/>
  <c r="D195" i="7"/>
  <c r="C195" i="7"/>
  <c r="B195" i="7"/>
  <c r="A195" i="7"/>
  <c r="F194" i="7"/>
  <c r="E194" i="7"/>
  <c r="D194" i="7"/>
  <c r="C194" i="7"/>
  <c r="B194" i="7"/>
  <c r="A194" i="7"/>
  <c r="F193" i="7"/>
  <c r="E193" i="7"/>
  <c r="D193" i="7"/>
  <c r="C193" i="7"/>
  <c r="B193" i="7"/>
  <c r="A193" i="7"/>
  <c r="F192" i="7"/>
  <c r="E192" i="7"/>
  <c r="D192" i="7"/>
  <c r="C192" i="7"/>
  <c r="B192" i="7"/>
  <c r="A192" i="7"/>
  <c r="F191" i="7"/>
  <c r="E191" i="7"/>
  <c r="D191" i="7"/>
  <c r="C191" i="7"/>
  <c r="B191" i="7"/>
  <c r="A191" i="7"/>
  <c r="F190" i="7"/>
  <c r="E190" i="7"/>
  <c r="D190" i="7"/>
  <c r="C190" i="7"/>
  <c r="B190" i="7"/>
  <c r="A190" i="7"/>
  <c r="F189" i="7"/>
  <c r="E189" i="7"/>
  <c r="D189" i="7"/>
  <c r="C189" i="7"/>
  <c r="B189" i="7"/>
  <c r="A189" i="7"/>
  <c r="F188" i="7"/>
  <c r="E188" i="7"/>
  <c r="D188" i="7"/>
  <c r="C188" i="7"/>
  <c r="B188" i="7"/>
  <c r="A188" i="7"/>
  <c r="F187" i="7"/>
  <c r="E187" i="7"/>
  <c r="D187" i="7"/>
  <c r="C187" i="7"/>
  <c r="B187" i="7"/>
  <c r="A187" i="7"/>
  <c r="F186" i="7"/>
  <c r="E186" i="7"/>
  <c r="D186" i="7"/>
  <c r="C186" i="7"/>
  <c r="B186" i="7"/>
  <c r="A186" i="7"/>
  <c r="F185" i="7"/>
  <c r="E185" i="7"/>
  <c r="D185" i="7"/>
  <c r="C185" i="7"/>
  <c r="B185" i="7"/>
  <c r="A185" i="7"/>
  <c r="F184" i="7"/>
  <c r="E184" i="7"/>
  <c r="D184" i="7"/>
  <c r="C184" i="7"/>
  <c r="B184" i="7"/>
  <c r="A184" i="7"/>
  <c r="F183" i="7"/>
  <c r="E183" i="7"/>
  <c r="D183" i="7"/>
  <c r="C183" i="7"/>
  <c r="B183" i="7"/>
  <c r="A183" i="7"/>
  <c r="F182" i="7"/>
  <c r="E182" i="7"/>
  <c r="D182" i="7"/>
  <c r="C182" i="7"/>
  <c r="B182" i="7"/>
  <c r="A182" i="7"/>
  <c r="F181" i="7"/>
  <c r="E181" i="7"/>
  <c r="D181" i="7"/>
  <c r="C181" i="7"/>
  <c r="B181" i="7"/>
  <c r="A181" i="7"/>
  <c r="F180" i="7"/>
  <c r="E180" i="7"/>
  <c r="D180" i="7"/>
  <c r="C180" i="7"/>
  <c r="B180" i="7"/>
  <c r="A180" i="7"/>
  <c r="F179" i="7"/>
  <c r="E179" i="7"/>
  <c r="D179" i="7"/>
  <c r="C179" i="7"/>
  <c r="B179" i="7"/>
  <c r="A179" i="7"/>
  <c r="F178" i="7"/>
  <c r="E178" i="7"/>
  <c r="D178" i="7"/>
  <c r="C178" i="7"/>
  <c r="B178" i="7"/>
  <c r="A178" i="7"/>
  <c r="F177" i="7"/>
  <c r="E177" i="7"/>
  <c r="D177" i="7"/>
  <c r="C177" i="7"/>
  <c r="B177" i="7"/>
  <c r="A177" i="7"/>
  <c r="F176" i="7"/>
  <c r="E176" i="7"/>
  <c r="D176" i="7"/>
  <c r="C176" i="7"/>
  <c r="B176" i="7"/>
  <c r="A176" i="7"/>
  <c r="F175" i="7"/>
  <c r="E175" i="7"/>
  <c r="D175" i="7"/>
  <c r="C175" i="7"/>
  <c r="B175" i="7"/>
  <c r="A175" i="7"/>
  <c r="F174" i="7"/>
  <c r="E174" i="7"/>
  <c r="D174" i="7"/>
  <c r="C174" i="7"/>
  <c r="B174" i="7"/>
  <c r="A174" i="7"/>
  <c r="F173" i="7"/>
  <c r="E173" i="7"/>
  <c r="D173" i="7"/>
  <c r="C173" i="7"/>
  <c r="B173" i="7"/>
  <c r="A173" i="7"/>
  <c r="F172" i="7"/>
  <c r="E172" i="7"/>
  <c r="D172" i="7"/>
  <c r="C172" i="7"/>
  <c r="B172" i="7"/>
  <c r="A172" i="7"/>
  <c r="F171" i="7"/>
  <c r="E171" i="7"/>
  <c r="D171" i="7"/>
  <c r="C171" i="7"/>
  <c r="B171" i="7"/>
  <c r="A171" i="7"/>
  <c r="F170" i="7"/>
  <c r="E170" i="7"/>
  <c r="D170" i="7"/>
  <c r="C170" i="7"/>
  <c r="B170" i="7"/>
  <c r="A170" i="7"/>
  <c r="F169" i="7"/>
  <c r="E169" i="7"/>
  <c r="D169" i="7"/>
  <c r="C169" i="7"/>
  <c r="B169" i="7"/>
  <c r="A169" i="7"/>
  <c r="F168" i="7"/>
  <c r="E168" i="7"/>
  <c r="D168" i="7"/>
  <c r="C168" i="7"/>
  <c r="B168" i="7"/>
  <c r="A168" i="7"/>
  <c r="F167" i="7"/>
  <c r="E167" i="7"/>
  <c r="D167" i="7"/>
  <c r="C167" i="7"/>
  <c r="B167" i="7"/>
  <c r="A167" i="7"/>
  <c r="F166" i="7"/>
  <c r="E166" i="7"/>
  <c r="D166" i="7"/>
  <c r="C166" i="7"/>
  <c r="B166" i="7"/>
  <c r="A166" i="7"/>
  <c r="F165" i="7"/>
  <c r="E165" i="7"/>
  <c r="D165" i="7"/>
  <c r="C165" i="7"/>
  <c r="B165" i="7"/>
  <c r="A165" i="7"/>
  <c r="F164" i="7"/>
  <c r="E164" i="7"/>
  <c r="D164" i="7"/>
  <c r="C164" i="7"/>
  <c r="B164" i="7"/>
  <c r="A164" i="7"/>
  <c r="F163" i="7"/>
  <c r="E163" i="7"/>
  <c r="D163" i="7"/>
  <c r="C163" i="7"/>
  <c r="B163" i="7"/>
  <c r="A163" i="7"/>
  <c r="F162" i="7"/>
  <c r="E162" i="7"/>
  <c r="D162" i="7"/>
  <c r="C162" i="7"/>
  <c r="B162" i="7"/>
  <c r="A162" i="7"/>
  <c r="F161" i="7"/>
  <c r="E161" i="7"/>
  <c r="D161" i="7"/>
  <c r="C161" i="7"/>
  <c r="B161" i="7"/>
  <c r="A161" i="7"/>
  <c r="F160" i="7"/>
  <c r="E160" i="7"/>
  <c r="D160" i="7"/>
  <c r="C160" i="7"/>
  <c r="B160" i="7"/>
  <c r="A160" i="7"/>
  <c r="F159" i="7"/>
  <c r="E159" i="7"/>
  <c r="D159" i="7"/>
  <c r="C159" i="7"/>
  <c r="B159" i="7"/>
  <c r="A159" i="7"/>
  <c r="F158" i="7"/>
  <c r="E158" i="7"/>
  <c r="D158" i="7"/>
  <c r="C158" i="7"/>
  <c r="B158" i="7"/>
  <c r="A158" i="7"/>
  <c r="F157" i="7"/>
  <c r="E157" i="7"/>
  <c r="D157" i="7"/>
  <c r="C157" i="7"/>
  <c r="B157" i="7"/>
  <c r="A157" i="7"/>
  <c r="F156" i="7"/>
  <c r="E156" i="7"/>
  <c r="D156" i="7"/>
  <c r="C156" i="7"/>
  <c r="B156" i="7"/>
  <c r="A156" i="7"/>
  <c r="F155" i="7"/>
  <c r="E155" i="7"/>
  <c r="D155" i="7"/>
  <c r="C155" i="7"/>
  <c r="B155" i="7"/>
  <c r="A155" i="7"/>
  <c r="F154" i="7"/>
  <c r="E154" i="7"/>
  <c r="D154" i="7"/>
  <c r="C154" i="7"/>
  <c r="B154" i="7"/>
  <c r="A154" i="7"/>
  <c r="F153" i="7"/>
  <c r="E153" i="7"/>
  <c r="D153" i="7"/>
  <c r="C153" i="7"/>
  <c r="B153" i="7"/>
  <c r="A153" i="7"/>
  <c r="F152" i="7"/>
  <c r="E152" i="7"/>
  <c r="D152" i="7"/>
  <c r="C152" i="7"/>
  <c r="B152" i="7"/>
  <c r="A152" i="7"/>
  <c r="F151" i="7"/>
  <c r="E151" i="7"/>
  <c r="D151" i="7"/>
  <c r="C151" i="7"/>
  <c r="B151" i="7"/>
  <c r="A151" i="7"/>
  <c r="F150" i="7"/>
  <c r="E150" i="7"/>
  <c r="D150" i="7"/>
  <c r="C150" i="7"/>
  <c r="B150" i="7"/>
  <c r="A150" i="7"/>
  <c r="F149" i="7"/>
  <c r="E149" i="7"/>
  <c r="D149" i="7"/>
  <c r="C149" i="7"/>
  <c r="B149" i="7"/>
  <c r="A149" i="7"/>
  <c r="F148" i="7"/>
  <c r="E148" i="7"/>
  <c r="D148" i="7"/>
  <c r="C148" i="7"/>
  <c r="B148" i="7"/>
  <c r="A148" i="7"/>
  <c r="F147" i="7"/>
  <c r="E147" i="7"/>
  <c r="D147" i="7"/>
  <c r="C147" i="7"/>
  <c r="B147" i="7"/>
  <c r="A147" i="7"/>
  <c r="F146" i="7"/>
  <c r="E146" i="7"/>
  <c r="D146" i="7"/>
  <c r="C146" i="7"/>
  <c r="B146" i="7"/>
  <c r="A146" i="7"/>
  <c r="F145" i="7"/>
  <c r="E145" i="7"/>
  <c r="D145" i="7"/>
  <c r="C145" i="7"/>
  <c r="B145" i="7"/>
  <c r="A145" i="7"/>
  <c r="F144" i="7"/>
  <c r="E144" i="7"/>
  <c r="D144" i="7"/>
  <c r="C144" i="7"/>
  <c r="B144" i="7"/>
  <c r="A144" i="7"/>
  <c r="F143" i="7"/>
  <c r="E143" i="7"/>
  <c r="D143" i="7"/>
  <c r="C143" i="7"/>
  <c r="B143" i="7"/>
  <c r="A143" i="7"/>
  <c r="F142" i="7"/>
  <c r="E142" i="7"/>
  <c r="D142" i="7"/>
  <c r="C142" i="7"/>
  <c r="B142" i="7"/>
  <c r="A142" i="7"/>
  <c r="F141" i="7"/>
  <c r="E141" i="7"/>
  <c r="D141" i="7"/>
  <c r="C141" i="7"/>
  <c r="B141" i="7"/>
  <c r="A141" i="7"/>
  <c r="F140" i="7"/>
  <c r="E140" i="7"/>
  <c r="D140" i="7"/>
  <c r="C140" i="7"/>
  <c r="B140" i="7"/>
  <c r="A140" i="7"/>
  <c r="F139" i="7"/>
  <c r="E139" i="7"/>
  <c r="D139" i="7"/>
  <c r="C139" i="7"/>
  <c r="B139" i="7"/>
  <c r="A139" i="7"/>
  <c r="F138" i="7"/>
  <c r="E138" i="7"/>
  <c r="D138" i="7"/>
  <c r="C138" i="7"/>
  <c r="B138" i="7"/>
  <c r="A138" i="7"/>
  <c r="F137" i="7"/>
  <c r="E137" i="7"/>
  <c r="D137" i="7"/>
  <c r="C137" i="7"/>
  <c r="B137" i="7"/>
  <c r="A137" i="7"/>
  <c r="F136" i="7"/>
  <c r="E136" i="7"/>
  <c r="D136" i="7"/>
  <c r="C136" i="7"/>
  <c r="B136" i="7"/>
  <c r="A136" i="7"/>
  <c r="F135" i="7"/>
  <c r="E135" i="7"/>
  <c r="D135" i="7"/>
  <c r="C135" i="7"/>
  <c r="B135" i="7"/>
  <c r="A135" i="7"/>
  <c r="F134" i="7"/>
  <c r="E134" i="7"/>
  <c r="D134" i="7"/>
  <c r="C134" i="7"/>
  <c r="B134" i="7"/>
  <c r="A134" i="7"/>
  <c r="F133" i="7"/>
  <c r="E133" i="7"/>
  <c r="D133" i="7"/>
  <c r="C133" i="7"/>
  <c r="B133" i="7"/>
  <c r="A133" i="7"/>
  <c r="F132" i="7"/>
  <c r="E132" i="7"/>
  <c r="D132" i="7"/>
  <c r="C132" i="7"/>
  <c r="B132" i="7"/>
  <c r="A132" i="7"/>
  <c r="F131" i="7"/>
  <c r="E131" i="7"/>
  <c r="D131" i="7"/>
  <c r="C131" i="7"/>
  <c r="B131" i="7"/>
  <c r="A131" i="7"/>
  <c r="F130" i="7"/>
  <c r="E130" i="7"/>
  <c r="D130" i="7"/>
  <c r="C130" i="7"/>
  <c r="B130" i="7"/>
  <c r="A130" i="7"/>
  <c r="F129" i="7"/>
  <c r="E129" i="7"/>
  <c r="D129" i="7"/>
  <c r="C129" i="7"/>
  <c r="B129" i="7"/>
  <c r="A129" i="7"/>
  <c r="F128" i="7"/>
  <c r="E128" i="7"/>
  <c r="D128" i="7"/>
  <c r="C128" i="7"/>
  <c r="B128" i="7"/>
  <c r="A128" i="7"/>
  <c r="F127" i="7"/>
  <c r="E127" i="7"/>
  <c r="D127" i="7"/>
  <c r="C127" i="7"/>
  <c r="B127" i="7"/>
  <c r="A127" i="7"/>
  <c r="F126" i="7"/>
  <c r="E126" i="7"/>
  <c r="D126" i="7"/>
  <c r="C126" i="7"/>
  <c r="B126" i="7"/>
  <c r="A126" i="7"/>
  <c r="F125" i="7"/>
  <c r="E125" i="7"/>
  <c r="D125" i="7"/>
  <c r="C125" i="7"/>
  <c r="B125" i="7"/>
  <c r="A125" i="7"/>
  <c r="F124" i="7"/>
  <c r="E124" i="7"/>
  <c r="D124" i="7"/>
  <c r="C124" i="7"/>
  <c r="B124" i="7"/>
  <c r="A124" i="7"/>
  <c r="F123" i="7"/>
  <c r="E123" i="7"/>
  <c r="D123" i="7"/>
  <c r="C123" i="7"/>
  <c r="B123" i="7"/>
  <c r="A123" i="7"/>
  <c r="F122" i="7"/>
  <c r="E122" i="7"/>
  <c r="D122" i="7"/>
  <c r="C122" i="7"/>
  <c r="B122" i="7"/>
  <c r="A122" i="7"/>
  <c r="F121" i="7"/>
  <c r="E121" i="7"/>
  <c r="D121" i="7"/>
  <c r="C121" i="7"/>
  <c r="B121" i="7"/>
  <c r="A121" i="7"/>
  <c r="F120" i="7"/>
  <c r="E120" i="7"/>
  <c r="D120" i="7"/>
  <c r="C120" i="7"/>
  <c r="B120" i="7"/>
  <c r="A120" i="7"/>
  <c r="F119" i="7"/>
  <c r="E119" i="7"/>
  <c r="D119" i="7"/>
  <c r="C119" i="7"/>
  <c r="B119" i="7"/>
  <c r="A119" i="7"/>
  <c r="F118" i="7"/>
  <c r="E118" i="7"/>
  <c r="D118" i="7"/>
  <c r="C118" i="7"/>
  <c r="B118" i="7"/>
  <c r="A118" i="7"/>
  <c r="F117" i="7"/>
  <c r="E117" i="7"/>
  <c r="D117" i="7"/>
  <c r="C117" i="7"/>
  <c r="B117" i="7"/>
  <c r="A117" i="7"/>
  <c r="F116" i="7"/>
  <c r="E116" i="7"/>
  <c r="D116" i="7"/>
  <c r="C116" i="7"/>
  <c r="B116" i="7"/>
  <c r="A116" i="7"/>
  <c r="F115" i="7"/>
  <c r="E115" i="7"/>
  <c r="D115" i="7"/>
  <c r="C115" i="7"/>
  <c r="B115" i="7"/>
  <c r="A115" i="7"/>
  <c r="F114" i="7"/>
  <c r="E114" i="7"/>
  <c r="D114" i="7"/>
  <c r="C114" i="7"/>
  <c r="B114" i="7"/>
  <c r="A114" i="7"/>
  <c r="F113" i="7"/>
  <c r="E113" i="7"/>
  <c r="D113" i="7"/>
  <c r="C113" i="7"/>
  <c r="B113" i="7"/>
  <c r="A113" i="7"/>
  <c r="F112" i="7"/>
  <c r="E112" i="7"/>
  <c r="D112" i="7"/>
  <c r="C112" i="7"/>
  <c r="B112" i="7"/>
  <c r="A112" i="7"/>
  <c r="F111" i="7"/>
  <c r="E111" i="7"/>
  <c r="D111" i="7"/>
  <c r="C111" i="7"/>
  <c r="B111" i="7"/>
  <c r="A111" i="7"/>
  <c r="F110" i="7"/>
  <c r="E110" i="7"/>
  <c r="D110" i="7"/>
  <c r="C110" i="7"/>
  <c r="B110" i="7"/>
  <c r="A110" i="7"/>
  <c r="F109" i="7"/>
  <c r="E109" i="7"/>
  <c r="D109" i="7"/>
  <c r="C109" i="7"/>
  <c r="B109" i="7"/>
  <c r="A109" i="7"/>
  <c r="F108" i="7"/>
  <c r="E108" i="7"/>
  <c r="D108" i="7"/>
  <c r="C108" i="7"/>
  <c r="B108" i="7"/>
  <c r="A108" i="7"/>
  <c r="F107" i="7"/>
  <c r="E107" i="7"/>
  <c r="D107" i="7"/>
  <c r="C107" i="7"/>
  <c r="B107" i="7"/>
  <c r="A107" i="7"/>
  <c r="F106" i="7"/>
  <c r="E106" i="7"/>
  <c r="D106" i="7"/>
  <c r="C106" i="7"/>
  <c r="B106" i="7"/>
  <c r="A106" i="7"/>
  <c r="F105" i="7"/>
  <c r="E105" i="7"/>
  <c r="D105" i="7"/>
  <c r="C105" i="7"/>
  <c r="B105" i="7"/>
  <c r="A105" i="7"/>
  <c r="F104" i="7"/>
  <c r="E104" i="7"/>
  <c r="D104" i="7"/>
  <c r="C104" i="7"/>
  <c r="B104" i="7"/>
  <c r="A104" i="7"/>
  <c r="F103" i="7"/>
  <c r="E103" i="7"/>
  <c r="D103" i="7"/>
  <c r="C103" i="7"/>
  <c r="B103" i="7"/>
  <c r="A103" i="7"/>
  <c r="F102" i="7"/>
  <c r="E102" i="7"/>
  <c r="D102" i="7"/>
  <c r="C102" i="7"/>
  <c r="B102" i="7"/>
  <c r="A102" i="7"/>
  <c r="F101" i="7"/>
  <c r="E101" i="7"/>
  <c r="D101" i="7"/>
  <c r="C101" i="7"/>
  <c r="B101" i="7"/>
  <c r="A101" i="7"/>
  <c r="F100" i="7"/>
  <c r="E100" i="7"/>
  <c r="D100" i="7"/>
  <c r="C100" i="7"/>
  <c r="B100" i="7"/>
  <c r="A100" i="7"/>
  <c r="F99" i="7"/>
  <c r="E99" i="7"/>
  <c r="D99" i="7"/>
  <c r="C99" i="7"/>
  <c r="B99" i="7"/>
  <c r="A99" i="7"/>
  <c r="F98" i="7"/>
  <c r="E98" i="7"/>
  <c r="D98" i="7"/>
  <c r="C98" i="7"/>
  <c r="B98" i="7"/>
  <c r="A98" i="7"/>
  <c r="F97" i="7"/>
  <c r="E97" i="7"/>
  <c r="D97" i="7"/>
  <c r="C97" i="7"/>
  <c r="B97" i="7"/>
  <c r="A97" i="7"/>
  <c r="F96" i="7"/>
  <c r="E96" i="7"/>
  <c r="D96" i="7"/>
  <c r="C96" i="7"/>
  <c r="B96" i="7"/>
  <c r="A96" i="7"/>
  <c r="F95" i="7"/>
  <c r="E95" i="7"/>
  <c r="D95" i="7"/>
  <c r="C95" i="7"/>
  <c r="B95" i="7"/>
  <c r="A95" i="7"/>
  <c r="F94" i="7"/>
  <c r="E94" i="7"/>
  <c r="D94" i="7"/>
  <c r="C94" i="7"/>
  <c r="B94" i="7"/>
  <c r="A94" i="7"/>
  <c r="F93" i="7"/>
  <c r="E93" i="7"/>
  <c r="D93" i="7"/>
  <c r="C93" i="7"/>
  <c r="B93" i="7"/>
  <c r="A93" i="7"/>
  <c r="F92" i="7"/>
  <c r="E92" i="7"/>
  <c r="D92" i="7"/>
  <c r="C92" i="7"/>
  <c r="B92" i="7"/>
  <c r="A92" i="7"/>
  <c r="F91" i="7"/>
  <c r="E91" i="7"/>
  <c r="D91" i="7"/>
  <c r="C91" i="7"/>
  <c r="B91" i="7"/>
  <c r="A91" i="7"/>
  <c r="F90" i="7"/>
  <c r="E90" i="7"/>
  <c r="D90" i="7"/>
  <c r="C90" i="7"/>
  <c r="B90" i="7"/>
  <c r="A90" i="7"/>
  <c r="F89" i="7"/>
  <c r="E89" i="7"/>
  <c r="D89" i="7"/>
  <c r="C89" i="7"/>
  <c r="B89" i="7"/>
  <c r="A89" i="7"/>
  <c r="F88" i="7"/>
  <c r="E88" i="7"/>
  <c r="D88" i="7"/>
  <c r="C88" i="7"/>
  <c r="B88" i="7"/>
  <c r="A88" i="7"/>
  <c r="F87" i="7"/>
  <c r="E87" i="7"/>
  <c r="D87" i="7"/>
  <c r="C87" i="7"/>
  <c r="B87" i="7"/>
  <c r="A87" i="7"/>
  <c r="F86" i="7"/>
  <c r="E86" i="7"/>
  <c r="D86" i="7"/>
  <c r="C86" i="7"/>
  <c r="B86" i="7"/>
  <c r="A86" i="7"/>
  <c r="F85" i="7"/>
  <c r="E85" i="7"/>
  <c r="D85" i="7"/>
  <c r="C85" i="7"/>
  <c r="B85" i="7"/>
  <c r="A85" i="7"/>
  <c r="F84" i="7"/>
  <c r="E84" i="7"/>
  <c r="D84" i="7"/>
  <c r="C84" i="7"/>
  <c r="B84" i="7"/>
  <c r="A84" i="7"/>
  <c r="F83" i="7"/>
  <c r="E83" i="7"/>
  <c r="D83" i="7"/>
  <c r="C83" i="7"/>
  <c r="B83" i="7"/>
  <c r="A83" i="7"/>
  <c r="F82" i="7"/>
  <c r="E82" i="7"/>
  <c r="D82" i="7"/>
  <c r="C82" i="7"/>
  <c r="B82" i="7"/>
  <c r="A82" i="7"/>
  <c r="F81" i="7"/>
  <c r="E81" i="7"/>
  <c r="D81" i="7"/>
  <c r="C81" i="7"/>
  <c r="B81" i="7"/>
  <c r="A81" i="7"/>
  <c r="F80" i="7"/>
  <c r="E80" i="7"/>
  <c r="D80" i="7"/>
  <c r="C80" i="7"/>
  <c r="B80" i="7"/>
  <c r="A80" i="7"/>
  <c r="F79" i="7"/>
  <c r="E79" i="7"/>
  <c r="D79" i="7"/>
  <c r="C79" i="7"/>
  <c r="B79" i="7"/>
  <c r="A79" i="7"/>
  <c r="F78" i="7"/>
  <c r="E78" i="7"/>
  <c r="D78" i="7"/>
  <c r="C78" i="7"/>
  <c r="B78" i="7"/>
  <c r="A78" i="7"/>
  <c r="F77" i="7"/>
  <c r="E77" i="7"/>
  <c r="D77" i="7"/>
  <c r="C77" i="7"/>
  <c r="B77" i="7"/>
  <c r="A77" i="7"/>
  <c r="F76" i="7"/>
  <c r="E76" i="7"/>
  <c r="D76" i="7"/>
  <c r="C76" i="7"/>
  <c r="B76" i="7"/>
  <c r="A76" i="7"/>
  <c r="F75" i="7"/>
  <c r="E75" i="7"/>
  <c r="D75" i="7"/>
  <c r="C75" i="7"/>
  <c r="B75" i="7"/>
  <c r="A75" i="7"/>
  <c r="F74" i="7"/>
  <c r="E74" i="7"/>
  <c r="D74" i="7"/>
  <c r="C74" i="7"/>
  <c r="B74" i="7"/>
  <c r="A74" i="7"/>
  <c r="F73" i="7"/>
  <c r="E73" i="7"/>
  <c r="D73" i="7"/>
  <c r="C73" i="7"/>
  <c r="B73" i="7"/>
  <c r="A73" i="7"/>
  <c r="F72" i="7"/>
  <c r="E72" i="7"/>
  <c r="D72" i="7"/>
  <c r="C72" i="7"/>
  <c r="B72" i="7"/>
  <c r="A72" i="7"/>
  <c r="F71" i="7"/>
  <c r="E71" i="7"/>
  <c r="D71" i="7"/>
  <c r="C71" i="7"/>
  <c r="B71" i="7"/>
  <c r="A71" i="7"/>
  <c r="F70" i="7"/>
  <c r="E70" i="7"/>
  <c r="D70" i="7"/>
  <c r="C70" i="7"/>
  <c r="B70" i="7"/>
  <c r="A70" i="7"/>
  <c r="F69" i="7"/>
  <c r="E69" i="7"/>
  <c r="D69" i="7"/>
  <c r="C69" i="7"/>
  <c r="B69" i="7"/>
  <c r="A69" i="7"/>
  <c r="F68" i="7"/>
  <c r="E68" i="7"/>
  <c r="D68" i="7"/>
  <c r="C68" i="7"/>
  <c r="B68" i="7"/>
  <c r="A68" i="7"/>
  <c r="F67" i="7"/>
  <c r="E67" i="7"/>
  <c r="D67" i="7"/>
  <c r="C67" i="7"/>
  <c r="B67" i="7"/>
  <c r="A67" i="7"/>
  <c r="F66" i="7"/>
  <c r="E66" i="7"/>
  <c r="D66" i="7"/>
  <c r="C66" i="7"/>
  <c r="B66" i="7"/>
  <c r="A66" i="7"/>
  <c r="F65" i="7"/>
  <c r="E65" i="7"/>
  <c r="D65" i="7"/>
  <c r="C65" i="7"/>
  <c r="B65" i="7"/>
  <c r="A65" i="7"/>
  <c r="F64" i="7"/>
  <c r="E64" i="7"/>
  <c r="D64" i="7"/>
  <c r="C64" i="7"/>
  <c r="B64" i="7"/>
  <c r="A64" i="7"/>
  <c r="F63" i="7"/>
  <c r="E63" i="7"/>
  <c r="D63" i="7"/>
  <c r="C63" i="7"/>
  <c r="B63" i="7"/>
  <c r="A63" i="7"/>
  <c r="F62" i="7"/>
  <c r="E62" i="7"/>
  <c r="D62" i="7"/>
  <c r="C62" i="7"/>
  <c r="B62" i="7"/>
  <c r="A62" i="7"/>
  <c r="F61" i="7"/>
  <c r="E61" i="7"/>
  <c r="D61" i="7"/>
  <c r="C61" i="7"/>
  <c r="B61" i="7"/>
  <c r="A61" i="7"/>
  <c r="F60" i="7"/>
  <c r="E60" i="7"/>
  <c r="D60" i="7"/>
  <c r="C60" i="7"/>
  <c r="B60" i="7"/>
  <c r="A60" i="7"/>
  <c r="F59" i="7"/>
  <c r="E59" i="7"/>
  <c r="D59" i="7"/>
  <c r="C59" i="7"/>
  <c r="B59" i="7"/>
  <c r="A59" i="7"/>
  <c r="F58" i="7"/>
  <c r="E58" i="7"/>
  <c r="D58" i="7"/>
  <c r="C58" i="7"/>
  <c r="B58" i="7"/>
  <c r="A58" i="7"/>
  <c r="F57" i="7"/>
  <c r="E57" i="7"/>
  <c r="D57" i="7"/>
  <c r="C57" i="7"/>
  <c r="B57" i="7"/>
  <c r="A57" i="7"/>
  <c r="F56" i="7"/>
  <c r="E56" i="7"/>
  <c r="D56" i="7"/>
  <c r="C56" i="7"/>
  <c r="B56" i="7"/>
  <c r="A56" i="7"/>
  <c r="F55" i="7"/>
  <c r="E55" i="7"/>
  <c r="D55" i="7"/>
  <c r="C55" i="7"/>
  <c r="B55" i="7"/>
  <c r="A55" i="7"/>
  <c r="F54" i="7"/>
  <c r="E54" i="7"/>
  <c r="D54" i="7"/>
  <c r="C54" i="7"/>
  <c r="B54" i="7"/>
  <c r="A54" i="7"/>
  <c r="F53" i="7"/>
  <c r="E53" i="7"/>
  <c r="D53" i="7"/>
  <c r="C53" i="7"/>
  <c r="B53" i="7"/>
  <c r="A53" i="7"/>
  <c r="F52" i="7"/>
  <c r="E52" i="7"/>
  <c r="D52" i="7"/>
  <c r="C52" i="7"/>
  <c r="B52" i="7"/>
  <c r="A52" i="7"/>
  <c r="F51" i="7"/>
  <c r="E51" i="7"/>
  <c r="D51" i="7"/>
  <c r="C51" i="7"/>
  <c r="B51" i="7"/>
  <c r="A51" i="7"/>
  <c r="F50" i="7"/>
  <c r="E50" i="7"/>
  <c r="D50" i="7"/>
  <c r="C50" i="7"/>
  <c r="B50" i="7"/>
  <c r="A50" i="7"/>
  <c r="F49" i="7"/>
  <c r="E49" i="7"/>
  <c r="D49" i="7"/>
  <c r="C49" i="7"/>
  <c r="B49" i="7"/>
  <c r="A49" i="7"/>
  <c r="F48" i="7"/>
  <c r="E48" i="7"/>
  <c r="D48" i="7"/>
  <c r="C48" i="7"/>
  <c r="B48" i="7"/>
  <c r="A48" i="7"/>
  <c r="F47" i="7"/>
  <c r="E47" i="7"/>
  <c r="D47" i="7"/>
  <c r="C47" i="7"/>
  <c r="B47" i="7"/>
  <c r="A47" i="7"/>
  <c r="F46" i="7"/>
  <c r="E46" i="7"/>
  <c r="D46" i="7"/>
  <c r="C46" i="7"/>
  <c r="B46" i="7"/>
  <c r="A46" i="7"/>
  <c r="F45" i="7"/>
  <c r="E45" i="7"/>
  <c r="D45" i="7"/>
  <c r="C45" i="7"/>
  <c r="B45" i="7"/>
  <c r="A45" i="7"/>
  <c r="F44" i="7"/>
  <c r="E44" i="7"/>
  <c r="D44" i="7"/>
  <c r="C44" i="7"/>
  <c r="B44" i="7"/>
  <c r="A44" i="7"/>
  <c r="F43" i="7"/>
  <c r="E43" i="7"/>
  <c r="D43" i="7"/>
  <c r="C43" i="7"/>
  <c r="B43" i="7"/>
  <c r="A43" i="7"/>
  <c r="F42" i="7"/>
  <c r="E42" i="7"/>
  <c r="D42" i="7"/>
  <c r="C42" i="7"/>
  <c r="B42" i="7"/>
  <c r="A42" i="7"/>
  <c r="F41" i="7"/>
  <c r="E41" i="7"/>
  <c r="D41" i="7"/>
  <c r="C41" i="7"/>
  <c r="B41" i="7"/>
  <c r="A41" i="7"/>
  <c r="F40" i="7"/>
  <c r="E40" i="7"/>
  <c r="D40" i="7"/>
  <c r="C40" i="7"/>
  <c r="B40" i="7"/>
  <c r="A40" i="7"/>
  <c r="F39" i="7"/>
  <c r="E39" i="7"/>
  <c r="D39" i="7"/>
  <c r="C39" i="7"/>
  <c r="B39" i="7"/>
  <c r="A39" i="7"/>
  <c r="F38" i="7"/>
  <c r="E38" i="7"/>
  <c r="D38" i="7"/>
  <c r="C38" i="7"/>
  <c r="B38" i="7"/>
  <c r="A38" i="7"/>
  <c r="F37" i="7"/>
  <c r="E37" i="7"/>
  <c r="D37" i="7"/>
  <c r="C37" i="7"/>
  <c r="B37" i="7"/>
  <c r="A37" i="7"/>
  <c r="F36" i="7"/>
  <c r="E36" i="7"/>
  <c r="D36" i="7"/>
  <c r="C36" i="7"/>
  <c r="B36" i="7"/>
  <c r="A36" i="7"/>
  <c r="F35" i="7"/>
  <c r="E35" i="7"/>
  <c r="D35" i="7"/>
  <c r="C35" i="7"/>
  <c r="B35" i="7"/>
  <c r="A35" i="7"/>
  <c r="F34" i="7"/>
  <c r="E34" i="7"/>
  <c r="D34" i="7"/>
  <c r="C34" i="7"/>
  <c r="B34" i="7"/>
  <c r="A34" i="7"/>
  <c r="F33" i="7"/>
  <c r="E33" i="7"/>
  <c r="D33" i="7"/>
  <c r="C33" i="7"/>
  <c r="B33" i="7"/>
  <c r="A33" i="7"/>
  <c r="F32" i="7"/>
  <c r="E32" i="7"/>
  <c r="D32" i="7"/>
  <c r="C32" i="7"/>
  <c r="B32" i="7"/>
  <c r="A32" i="7"/>
  <c r="F31" i="7"/>
  <c r="E31" i="7"/>
  <c r="D31" i="7"/>
  <c r="C31" i="7"/>
  <c r="B31" i="7"/>
  <c r="A31" i="7"/>
  <c r="F30" i="7"/>
  <c r="E30" i="7"/>
  <c r="D30" i="7"/>
  <c r="C30" i="7"/>
  <c r="B30" i="7"/>
  <c r="A30" i="7"/>
  <c r="F29" i="7"/>
  <c r="E29" i="7"/>
  <c r="D29" i="7"/>
  <c r="C29" i="7"/>
  <c r="B29" i="7"/>
  <c r="A29" i="7"/>
  <c r="F28" i="7"/>
  <c r="E28" i="7"/>
  <c r="D28" i="7"/>
  <c r="C28" i="7"/>
  <c r="B28" i="7"/>
  <c r="A28" i="7"/>
  <c r="F27" i="7"/>
  <c r="E27" i="7"/>
  <c r="D27" i="7"/>
  <c r="C27" i="7"/>
  <c r="B27" i="7"/>
  <c r="A27" i="7"/>
  <c r="F26" i="7"/>
  <c r="E26" i="7"/>
  <c r="D26" i="7"/>
  <c r="C26" i="7"/>
  <c r="B26" i="7"/>
  <c r="A26" i="7"/>
  <c r="F25" i="7"/>
  <c r="E25" i="7"/>
  <c r="D25" i="7"/>
  <c r="C25" i="7"/>
  <c r="B25" i="7"/>
  <c r="A25" i="7"/>
  <c r="F24" i="7"/>
  <c r="E24" i="7"/>
  <c r="D24" i="7"/>
  <c r="C24" i="7"/>
  <c r="B24" i="7"/>
  <c r="A24" i="7"/>
  <c r="F23" i="7"/>
  <c r="E23" i="7"/>
  <c r="D23" i="7"/>
  <c r="C23" i="7"/>
  <c r="B23" i="7"/>
  <c r="A23" i="7"/>
  <c r="F22" i="7"/>
  <c r="E22" i="7"/>
  <c r="D22" i="7"/>
  <c r="C22" i="7"/>
  <c r="B22" i="7"/>
  <c r="A22" i="7"/>
  <c r="F21" i="7"/>
  <c r="E21" i="7"/>
  <c r="D21" i="7"/>
  <c r="C21" i="7"/>
  <c r="B21" i="7"/>
  <c r="A21" i="7"/>
  <c r="F20" i="7"/>
  <c r="E20" i="7"/>
  <c r="D20" i="7"/>
  <c r="C20" i="7"/>
  <c r="B20" i="7"/>
  <c r="A20" i="7"/>
  <c r="F19" i="7"/>
  <c r="E19" i="7"/>
  <c r="D19" i="7"/>
  <c r="C19" i="7"/>
  <c r="B19" i="7"/>
  <c r="A19" i="7"/>
  <c r="F18" i="7"/>
  <c r="E18" i="7"/>
  <c r="D18" i="7"/>
  <c r="C18" i="7"/>
  <c r="B18" i="7"/>
  <c r="A18" i="7"/>
  <c r="F17" i="7"/>
  <c r="E17" i="7"/>
  <c r="D17" i="7"/>
  <c r="C17" i="7"/>
  <c r="B17" i="7"/>
  <c r="A17" i="7"/>
  <c r="F16" i="7"/>
  <c r="E16" i="7"/>
  <c r="D16" i="7"/>
  <c r="C16" i="7"/>
  <c r="B16" i="7"/>
  <c r="A16" i="7"/>
  <c r="F15" i="7"/>
  <c r="E15" i="7"/>
  <c r="D15" i="7"/>
  <c r="C15" i="7"/>
  <c r="B15" i="7"/>
  <c r="A15" i="7"/>
  <c r="F14" i="7"/>
  <c r="E14" i="7"/>
  <c r="D14" i="7"/>
  <c r="C14" i="7"/>
  <c r="B14" i="7"/>
  <c r="A14" i="7"/>
  <c r="F13" i="7"/>
  <c r="E13" i="7"/>
  <c r="D13" i="7"/>
  <c r="C13" i="7"/>
  <c r="B13" i="7"/>
  <c r="A13" i="7"/>
  <c r="F12" i="7"/>
  <c r="E12" i="7"/>
  <c r="D12" i="7"/>
  <c r="C12" i="7"/>
  <c r="B12" i="7"/>
  <c r="A12" i="7"/>
  <c r="F11" i="7"/>
  <c r="E11" i="7"/>
  <c r="D11" i="7"/>
  <c r="C11" i="7"/>
  <c r="B11" i="7"/>
  <c r="A11" i="7"/>
  <c r="F10" i="7"/>
  <c r="E10" i="7"/>
  <c r="D10" i="7"/>
  <c r="C10" i="7"/>
  <c r="B10" i="7"/>
  <c r="A10" i="7"/>
  <c r="F9" i="7"/>
  <c r="E9" i="7"/>
  <c r="D9" i="7"/>
  <c r="C9" i="7"/>
  <c r="B9" i="7"/>
  <c r="A9" i="7"/>
  <c r="F8" i="7"/>
  <c r="E8" i="7"/>
  <c r="D8" i="7"/>
  <c r="C8" i="7"/>
  <c r="B8" i="7"/>
  <c r="A8" i="7"/>
  <c r="F7" i="7"/>
  <c r="E7" i="7"/>
  <c r="D7" i="7"/>
  <c r="C7" i="7"/>
  <c r="B7" i="7"/>
  <c r="A7" i="7"/>
  <c r="F6" i="7"/>
  <c r="E6" i="7"/>
  <c r="D6" i="7"/>
  <c r="C6" i="7"/>
  <c r="B6" i="7"/>
  <c r="A6" i="7"/>
  <c r="F5" i="7"/>
  <c r="E5" i="7"/>
  <c r="D5" i="7"/>
  <c r="C5" i="7"/>
  <c r="B5" i="7"/>
  <c r="A5" i="7"/>
  <c r="F4" i="7"/>
  <c r="E4" i="7"/>
  <c r="D4" i="7"/>
  <c r="C4" i="7"/>
  <c r="B4" i="7"/>
  <c r="A4" i="7"/>
  <c r="F3" i="7"/>
  <c r="E3" i="7"/>
  <c r="D3" i="7"/>
  <c r="C3" i="7"/>
  <c r="B3" i="7"/>
  <c r="A3" i="7"/>
  <c r="F2" i="7"/>
  <c r="E2" i="7"/>
  <c r="D2" i="7"/>
  <c r="C2" i="7"/>
  <c r="B2" i="7"/>
  <c r="A2" i="7"/>
  <c r="F1" i="7"/>
  <c r="E1" i="7"/>
  <c r="D1" i="7"/>
  <c r="C1" i="7"/>
  <c r="B1" i="7"/>
  <c r="A1" i="7"/>
  <c r="F2739" i="6"/>
  <c r="E2739" i="6"/>
  <c r="D2739" i="6"/>
  <c r="C2739" i="6"/>
  <c r="B2739" i="6"/>
  <c r="A2739" i="6"/>
  <c r="F2738" i="6"/>
  <c r="E2738" i="6"/>
  <c r="D2738" i="6"/>
  <c r="C2738" i="6"/>
  <c r="B2738" i="6"/>
  <c r="A2738" i="6"/>
  <c r="F2737" i="6"/>
  <c r="E2737" i="6"/>
  <c r="D2737" i="6"/>
  <c r="C2737" i="6"/>
  <c r="B2737" i="6"/>
  <c r="A2737" i="6"/>
  <c r="F2736" i="6"/>
  <c r="E2736" i="6"/>
  <c r="D2736" i="6"/>
  <c r="C2736" i="6"/>
  <c r="B2736" i="6"/>
  <c r="A2736" i="6"/>
  <c r="F2735" i="6"/>
  <c r="E2735" i="6"/>
  <c r="D2735" i="6"/>
  <c r="C2735" i="6"/>
  <c r="B2735" i="6"/>
  <c r="A2735" i="6"/>
  <c r="F2734" i="6"/>
  <c r="E2734" i="6"/>
  <c r="D2734" i="6"/>
  <c r="C2734" i="6"/>
  <c r="B2734" i="6"/>
  <c r="A2734" i="6"/>
  <c r="F2733" i="6"/>
  <c r="E2733" i="6"/>
  <c r="D2733" i="6"/>
  <c r="C2733" i="6"/>
  <c r="B2733" i="6"/>
  <c r="A2733" i="6"/>
  <c r="F2732" i="6"/>
  <c r="E2732" i="6"/>
  <c r="D2732" i="6"/>
  <c r="C2732" i="6"/>
  <c r="B2732" i="6"/>
  <c r="A2732" i="6"/>
  <c r="F2731" i="6"/>
  <c r="E2731" i="6"/>
  <c r="D2731" i="6"/>
  <c r="C2731" i="6"/>
  <c r="B2731" i="6"/>
  <c r="A2731" i="6"/>
  <c r="F2730" i="6"/>
  <c r="E2730" i="6"/>
  <c r="D2730" i="6"/>
  <c r="C2730" i="6"/>
  <c r="B2730" i="6"/>
  <c r="A2730" i="6"/>
  <c r="F2729" i="6"/>
  <c r="E2729" i="6"/>
  <c r="D2729" i="6"/>
  <c r="C2729" i="6"/>
  <c r="B2729" i="6"/>
  <c r="A2729" i="6"/>
  <c r="F2728" i="6"/>
  <c r="E2728" i="6"/>
  <c r="D2728" i="6"/>
  <c r="C2728" i="6"/>
  <c r="B2728" i="6"/>
  <c r="A2728" i="6"/>
  <c r="F2727" i="6"/>
  <c r="E2727" i="6"/>
  <c r="D2727" i="6"/>
  <c r="C2727" i="6"/>
  <c r="B2727" i="6"/>
  <c r="A2727" i="6"/>
  <c r="F2726" i="6"/>
  <c r="E2726" i="6"/>
  <c r="D2726" i="6"/>
  <c r="C2726" i="6"/>
  <c r="B2726" i="6"/>
  <c r="A2726" i="6"/>
  <c r="F2725" i="6"/>
  <c r="E2725" i="6"/>
  <c r="D2725" i="6"/>
  <c r="C2725" i="6"/>
  <c r="B2725" i="6"/>
  <c r="A2725" i="6"/>
  <c r="F2724" i="6"/>
  <c r="E2724" i="6"/>
  <c r="D2724" i="6"/>
  <c r="C2724" i="6"/>
  <c r="B2724" i="6"/>
  <c r="A2724" i="6"/>
  <c r="F2723" i="6"/>
  <c r="E2723" i="6"/>
  <c r="D2723" i="6"/>
  <c r="C2723" i="6"/>
  <c r="B2723" i="6"/>
  <c r="A2723" i="6"/>
  <c r="F2722" i="6"/>
  <c r="E2722" i="6"/>
  <c r="D2722" i="6"/>
  <c r="C2722" i="6"/>
  <c r="B2722" i="6"/>
  <c r="A2722" i="6"/>
  <c r="F2721" i="6"/>
  <c r="E2721" i="6"/>
  <c r="D2721" i="6"/>
  <c r="C2721" i="6"/>
  <c r="B2721" i="6"/>
  <c r="A2721" i="6"/>
  <c r="F2720" i="6"/>
  <c r="E2720" i="6"/>
  <c r="D2720" i="6"/>
  <c r="C2720" i="6"/>
  <c r="B2720" i="6"/>
  <c r="A2720" i="6"/>
  <c r="F2719" i="6"/>
  <c r="E2719" i="6"/>
  <c r="D2719" i="6"/>
  <c r="C2719" i="6"/>
  <c r="B2719" i="6"/>
  <c r="A2719" i="6"/>
  <c r="F2718" i="6"/>
  <c r="E2718" i="6"/>
  <c r="D2718" i="6"/>
  <c r="C2718" i="6"/>
  <c r="B2718" i="6"/>
  <c r="A2718" i="6"/>
  <c r="F2717" i="6"/>
  <c r="E2717" i="6"/>
  <c r="D2717" i="6"/>
  <c r="C2717" i="6"/>
  <c r="B2717" i="6"/>
  <c r="A2717" i="6"/>
  <c r="F2716" i="6"/>
  <c r="E2716" i="6"/>
  <c r="D2716" i="6"/>
  <c r="C2716" i="6"/>
  <c r="B2716" i="6"/>
  <c r="A2716" i="6"/>
  <c r="F2715" i="6"/>
  <c r="E2715" i="6"/>
  <c r="D2715" i="6"/>
  <c r="C2715" i="6"/>
  <c r="B2715" i="6"/>
  <c r="A2715" i="6"/>
  <c r="F2714" i="6"/>
  <c r="E2714" i="6"/>
  <c r="D2714" i="6"/>
  <c r="C2714" i="6"/>
  <c r="B2714" i="6"/>
  <c r="A2714" i="6"/>
  <c r="F2713" i="6"/>
  <c r="E2713" i="6"/>
  <c r="D2713" i="6"/>
  <c r="C2713" i="6"/>
  <c r="B2713" i="6"/>
  <c r="A2713" i="6"/>
  <c r="F2712" i="6"/>
  <c r="E2712" i="6"/>
  <c r="D2712" i="6"/>
  <c r="C2712" i="6"/>
  <c r="B2712" i="6"/>
  <c r="A2712" i="6"/>
  <c r="F2711" i="6"/>
  <c r="E2711" i="6"/>
  <c r="D2711" i="6"/>
  <c r="C2711" i="6"/>
  <c r="B2711" i="6"/>
  <c r="A2711" i="6"/>
  <c r="F2710" i="6"/>
  <c r="E2710" i="6"/>
  <c r="D2710" i="6"/>
  <c r="C2710" i="6"/>
  <c r="B2710" i="6"/>
  <c r="A2710" i="6"/>
  <c r="F2709" i="6"/>
  <c r="E2709" i="6"/>
  <c r="D2709" i="6"/>
  <c r="C2709" i="6"/>
  <c r="B2709" i="6"/>
  <c r="A2709" i="6"/>
  <c r="F2708" i="6"/>
  <c r="E2708" i="6"/>
  <c r="D2708" i="6"/>
  <c r="C2708" i="6"/>
  <c r="B2708" i="6"/>
  <c r="A2708" i="6"/>
  <c r="F2707" i="6"/>
  <c r="E2707" i="6"/>
  <c r="D2707" i="6"/>
  <c r="C2707" i="6"/>
  <c r="B2707" i="6"/>
  <c r="A2707" i="6"/>
  <c r="F2706" i="6"/>
  <c r="E2706" i="6"/>
  <c r="D2706" i="6"/>
  <c r="C2706" i="6"/>
  <c r="B2706" i="6"/>
  <c r="A2706" i="6"/>
  <c r="F2705" i="6"/>
  <c r="E2705" i="6"/>
  <c r="D2705" i="6"/>
  <c r="C2705" i="6"/>
  <c r="B2705" i="6"/>
  <c r="A2705" i="6"/>
  <c r="F2704" i="6"/>
  <c r="E2704" i="6"/>
  <c r="D2704" i="6"/>
  <c r="C2704" i="6"/>
  <c r="B2704" i="6"/>
  <c r="A2704" i="6"/>
  <c r="F2703" i="6"/>
  <c r="E2703" i="6"/>
  <c r="D2703" i="6"/>
  <c r="C2703" i="6"/>
  <c r="B2703" i="6"/>
  <c r="A2703" i="6"/>
  <c r="F2702" i="6"/>
  <c r="E2702" i="6"/>
  <c r="D2702" i="6"/>
  <c r="C2702" i="6"/>
  <c r="B2702" i="6"/>
  <c r="A2702" i="6"/>
  <c r="F2701" i="6"/>
  <c r="E2701" i="6"/>
  <c r="D2701" i="6"/>
  <c r="C2701" i="6"/>
  <c r="B2701" i="6"/>
  <c r="A2701" i="6"/>
  <c r="F2700" i="6"/>
  <c r="E2700" i="6"/>
  <c r="D2700" i="6"/>
  <c r="C2700" i="6"/>
  <c r="B2700" i="6"/>
  <c r="A2700" i="6"/>
  <c r="F2699" i="6"/>
  <c r="E2699" i="6"/>
  <c r="D2699" i="6"/>
  <c r="C2699" i="6"/>
  <c r="B2699" i="6"/>
  <c r="A2699" i="6"/>
  <c r="F2698" i="6"/>
  <c r="E2698" i="6"/>
  <c r="D2698" i="6"/>
  <c r="C2698" i="6"/>
  <c r="B2698" i="6"/>
  <c r="A2698" i="6"/>
  <c r="F2697" i="6"/>
  <c r="E2697" i="6"/>
  <c r="D2697" i="6"/>
  <c r="C2697" i="6"/>
  <c r="B2697" i="6"/>
  <c r="A2697" i="6"/>
  <c r="F2696" i="6"/>
  <c r="E2696" i="6"/>
  <c r="D2696" i="6"/>
  <c r="C2696" i="6"/>
  <c r="B2696" i="6"/>
  <c r="A2696" i="6"/>
  <c r="F2695" i="6"/>
  <c r="E2695" i="6"/>
  <c r="D2695" i="6"/>
  <c r="C2695" i="6"/>
  <c r="B2695" i="6"/>
  <c r="A2695" i="6"/>
  <c r="F2694" i="6"/>
  <c r="E2694" i="6"/>
  <c r="D2694" i="6"/>
  <c r="C2694" i="6"/>
  <c r="B2694" i="6"/>
  <c r="A2694" i="6"/>
  <c r="F2693" i="6"/>
  <c r="E2693" i="6"/>
  <c r="D2693" i="6"/>
  <c r="C2693" i="6"/>
  <c r="B2693" i="6"/>
  <c r="A2693" i="6"/>
  <c r="F2692" i="6"/>
  <c r="E2692" i="6"/>
  <c r="D2692" i="6"/>
  <c r="C2692" i="6"/>
  <c r="B2692" i="6"/>
  <c r="A2692" i="6"/>
  <c r="F2691" i="6"/>
  <c r="E2691" i="6"/>
  <c r="D2691" i="6"/>
  <c r="C2691" i="6"/>
  <c r="B2691" i="6"/>
  <c r="A2691" i="6"/>
  <c r="F2690" i="6"/>
  <c r="E2690" i="6"/>
  <c r="D2690" i="6"/>
  <c r="C2690" i="6"/>
  <c r="B2690" i="6"/>
  <c r="A2690" i="6"/>
  <c r="F2689" i="6"/>
  <c r="E2689" i="6"/>
  <c r="D2689" i="6"/>
  <c r="C2689" i="6"/>
  <c r="B2689" i="6"/>
  <c r="A2689" i="6"/>
  <c r="F2688" i="6"/>
  <c r="E2688" i="6"/>
  <c r="D2688" i="6"/>
  <c r="C2688" i="6"/>
  <c r="B2688" i="6"/>
  <c r="A2688" i="6"/>
  <c r="F2687" i="6"/>
  <c r="E2687" i="6"/>
  <c r="D2687" i="6"/>
  <c r="C2687" i="6"/>
  <c r="B2687" i="6"/>
  <c r="A2687" i="6"/>
  <c r="F2686" i="6"/>
  <c r="E2686" i="6"/>
  <c r="D2686" i="6"/>
  <c r="C2686" i="6"/>
  <c r="B2686" i="6"/>
  <c r="A2686" i="6"/>
  <c r="F2685" i="6"/>
  <c r="E2685" i="6"/>
  <c r="D2685" i="6"/>
  <c r="C2685" i="6"/>
  <c r="B2685" i="6"/>
  <c r="A2685" i="6"/>
  <c r="F2684" i="6"/>
  <c r="E2684" i="6"/>
  <c r="D2684" i="6"/>
  <c r="C2684" i="6"/>
  <c r="B2684" i="6"/>
  <c r="A2684" i="6"/>
  <c r="F2683" i="6"/>
  <c r="E2683" i="6"/>
  <c r="D2683" i="6"/>
  <c r="C2683" i="6"/>
  <c r="B2683" i="6"/>
  <c r="A2683" i="6"/>
  <c r="F2682" i="6"/>
  <c r="E2682" i="6"/>
  <c r="D2682" i="6"/>
  <c r="C2682" i="6"/>
  <c r="B2682" i="6"/>
  <c r="A2682" i="6"/>
  <c r="F2681" i="6"/>
  <c r="E2681" i="6"/>
  <c r="D2681" i="6"/>
  <c r="C2681" i="6"/>
  <c r="B2681" i="6"/>
  <c r="A2681" i="6"/>
  <c r="F2680" i="6"/>
  <c r="E2680" i="6"/>
  <c r="D2680" i="6"/>
  <c r="C2680" i="6"/>
  <c r="B2680" i="6"/>
  <c r="A2680" i="6"/>
  <c r="F2679" i="6"/>
  <c r="E2679" i="6"/>
  <c r="D2679" i="6"/>
  <c r="C2679" i="6"/>
  <c r="B2679" i="6"/>
  <c r="A2679" i="6"/>
  <c r="F2678" i="6"/>
  <c r="E2678" i="6"/>
  <c r="D2678" i="6"/>
  <c r="C2678" i="6"/>
  <c r="B2678" i="6"/>
  <c r="A2678" i="6"/>
  <c r="F2677" i="6"/>
  <c r="E2677" i="6"/>
  <c r="D2677" i="6"/>
  <c r="C2677" i="6"/>
  <c r="B2677" i="6"/>
  <c r="A2677" i="6"/>
  <c r="F2676" i="6"/>
  <c r="E2676" i="6"/>
  <c r="D2676" i="6"/>
  <c r="C2676" i="6"/>
  <c r="B2676" i="6"/>
  <c r="A2676" i="6"/>
  <c r="F2675" i="6"/>
  <c r="E2675" i="6"/>
  <c r="D2675" i="6"/>
  <c r="C2675" i="6"/>
  <c r="B2675" i="6"/>
  <c r="A2675" i="6"/>
  <c r="F2674" i="6"/>
  <c r="E2674" i="6"/>
  <c r="D2674" i="6"/>
  <c r="C2674" i="6"/>
  <c r="B2674" i="6"/>
  <c r="A2674" i="6"/>
  <c r="F2673" i="6"/>
  <c r="E2673" i="6"/>
  <c r="D2673" i="6"/>
  <c r="C2673" i="6"/>
  <c r="B2673" i="6"/>
  <c r="A2673" i="6"/>
  <c r="F2672" i="6"/>
  <c r="E2672" i="6"/>
  <c r="D2672" i="6"/>
  <c r="C2672" i="6"/>
  <c r="B2672" i="6"/>
  <c r="A2672" i="6"/>
  <c r="F2671" i="6"/>
  <c r="E2671" i="6"/>
  <c r="D2671" i="6"/>
  <c r="C2671" i="6"/>
  <c r="B2671" i="6"/>
  <c r="A2671" i="6"/>
  <c r="F2670" i="6"/>
  <c r="E2670" i="6"/>
  <c r="D2670" i="6"/>
  <c r="C2670" i="6"/>
  <c r="B2670" i="6"/>
  <c r="A2670" i="6"/>
  <c r="F2669" i="6"/>
  <c r="E2669" i="6"/>
  <c r="D2669" i="6"/>
  <c r="C2669" i="6"/>
  <c r="B2669" i="6"/>
  <c r="A2669" i="6"/>
  <c r="F2668" i="6"/>
  <c r="E2668" i="6"/>
  <c r="D2668" i="6"/>
  <c r="C2668" i="6"/>
  <c r="B2668" i="6"/>
  <c r="A2668" i="6"/>
  <c r="F2667" i="6"/>
  <c r="E2667" i="6"/>
  <c r="D2667" i="6"/>
  <c r="C2667" i="6"/>
  <c r="B2667" i="6"/>
  <c r="A2667" i="6"/>
  <c r="F2666" i="6"/>
  <c r="E2666" i="6"/>
  <c r="D2666" i="6"/>
  <c r="C2666" i="6"/>
  <c r="B2666" i="6"/>
  <c r="A2666" i="6"/>
  <c r="F2665" i="6"/>
  <c r="E2665" i="6"/>
  <c r="D2665" i="6"/>
  <c r="C2665" i="6"/>
  <c r="B2665" i="6"/>
  <c r="A2665" i="6"/>
  <c r="F2664" i="6"/>
  <c r="E2664" i="6"/>
  <c r="D2664" i="6"/>
  <c r="C2664" i="6"/>
  <c r="B2664" i="6"/>
  <c r="A2664" i="6"/>
  <c r="F2663" i="6"/>
  <c r="E2663" i="6"/>
  <c r="D2663" i="6"/>
  <c r="C2663" i="6"/>
  <c r="B2663" i="6"/>
  <c r="A2663" i="6"/>
  <c r="F2662" i="6"/>
  <c r="E2662" i="6"/>
  <c r="D2662" i="6"/>
  <c r="C2662" i="6"/>
  <c r="B2662" i="6"/>
  <c r="A2662" i="6"/>
  <c r="F2661" i="6"/>
  <c r="E2661" i="6"/>
  <c r="D2661" i="6"/>
  <c r="C2661" i="6"/>
  <c r="B2661" i="6"/>
  <c r="A2661" i="6"/>
  <c r="F2660" i="6"/>
  <c r="E2660" i="6"/>
  <c r="D2660" i="6"/>
  <c r="C2660" i="6"/>
  <c r="B2660" i="6"/>
  <c r="A2660" i="6"/>
  <c r="F2659" i="6"/>
  <c r="E2659" i="6"/>
  <c r="D2659" i="6"/>
  <c r="C2659" i="6"/>
  <c r="B2659" i="6"/>
  <c r="A2659" i="6"/>
  <c r="F2658" i="6"/>
  <c r="E2658" i="6"/>
  <c r="D2658" i="6"/>
  <c r="C2658" i="6"/>
  <c r="B2658" i="6"/>
  <c r="A2658" i="6"/>
  <c r="F2657" i="6"/>
  <c r="E2657" i="6"/>
  <c r="D2657" i="6"/>
  <c r="C2657" i="6"/>
  <c r="B2657" i="6"/>
  <c r="A2657" i="6"/>
  <c r="F2656" i="6"/>
  <c r="E2656" i="6"/>
  <c r="D2656" i="6"/>
  <c r="C2656" i="6"/>
  <c r="B2656" i="6"/>
  <c r="A2656" i="6"/>
  <c r="F2655" i="6"/>
  <c r="E2655" i="6"/>
  <c r="D2655" i="6"/>
  <c r="C2655" i="6"/>
  <c r="B2655" i="6"/>
  <c r="A2655" i="6"/>
  <c r="F2654" i="6"/>
  <c r="E2654" i="6"/>
  <c r="D2654" i="6"/>
  <c r="C2654" i="6"/>
  <c r="B2654" i="6"/>
  <c r="A2654" i="6"/>
  <c r="F2653" i="6"/>
  <c r="E2653" i="6"/>
  <c r="D2653" i="6"/>
  <c r="C2653" i="6"/>
  <c r="B2653" i="6"/>
  <c r="A2653" i="6"/>
  <c r="F2652" i="6"/>
  <c r="E2652" i="6"/>
  <c r="D2652" i="6"/>
  <c r="C2652" i="6"/>
  <c r="B2652" i="6"/>
  <c r="A2652" i="6"/>
  <c r="F2651" i="6"/>
  <c r="E2651" i="6"/>
  <c r="D2651" i="6"/>
  <c r="C2651" i="6"/>
  <c r="B2651" i="6"/>
  <c r="A2651" i="6"/>
  <c r="F2650" i="6"/>
  <c r="E2650" i="6"/>
  <c r="D2650" i="6"/>
  <c r="C2650" i="6"/>
  <c r="B2650" i="6"/>
  <c r="A2650" i="6"/>
  <c r="F2649" i="6"/>
  <c r="E2649" i="6"/>
  <c r="D2649" i="6"/>
  <c r="C2649" i="6"/>
  <c r="B2649" i="6"/>
  <c r="A2649" i="6"/>
  <c r="F2648" i="6"/>
  <c r="E2648" i="6"/>
  <c r="D2648" i="6"/>
  <c r="C2648" i="6"/>
  <c r="B2648" i="6"/>
  <c r="A2648" i="6"/>
  <c r="F2647" i="6"/>
  <c r="E2647" i="6"/>
  <c r="D2647" i="6"/>
  <c r="C2647" i="6"/>
  <c r="B2647" i="6"/>
  <c r="A2647" i="6"/>
  <c r="F2646" i="6"/>
  <c r="E2646" i="6"/>
  <c r="D2646" i="6"/>
  <c r="C2646" i="6"/>
  <c r="B2646" i="6"/>
  <c r="A2646" i="6"/>
  <c r="F2645" i="6"/>
  <c r="E2645" i="6"/>
  <c r="D2645" i="6"/>
  <c r="C2645" i="6"/>
  <c r="B2645" i="6"/>
  <c r="A2645" i="6"/>
  <c r="F2644" i="6"/>
  <c r="E2644" i="6"/>
  <c r="D2644" i="6"/>
  <c r="C2644" i="6"/>
  <c r="B2644" i="6"/>
  <c r="A2644" i="6"/>
  <c r="F2643" i="6"/>
  <c r="E2643" i="6"/>
  <c r="D2643" i="6"/>
  <c r="C2643" i="6"/>
  <c r="B2643" i="6"/>
  <c r="A2643" i="6"/>
  <c r="F2642" i="6"/>
  <c r="E2642" i="6"/>
  <c r="D2642" i="6"/>
  <c r="C2642" i="6"/>
  <c r="B2642" i="6"/>
  <c r="A2642" i="6"/>
  <c r="F2641" i="6"/>
  <c r="E2641" i="6"/>
  <c r="D2641" i="6"/>
  <c r="C2641" i="6"/>
  <c r="B2641" i="6"/>
  <c r="A2641" i="6"/>
  <c r="F2640" i="6"/>
  <c r="E2640" i="6"/>
  <c r="D2640" i="6"/>
  <c r="C2640" i="6"/>
  <c r="B2640" i="6"/>
  <c r="A2640" i="6"/>
  <c r="F2639" i="6"/>
  <c r="E2639" i="6"/>
  <c r="D2639" i="6"/>
  <c r="C2639" i="6"/>
  <c r="B2639" i="6"/>
  <c r="A2639" i="6"/>
  <c r="F2638" i="6"/>
  <c r="E2638" i="6"/>
  <c r="D2638" i="6"/>
  <c r="C2638" i="6"/>
  <c r="B2638" i="6"/>
  <c r="A2638" i="6"/>
  <c r="F2637" i="6"/>
  <c r="E2637" i="6"/>
  <c r="D2637" i="6"/>
  <c r="C2637" i="6"/>
  <c r="B2637" i="6"/>
  <c r="A2637" i="6"/>
  <c r="F2636" i="6"/>
  <c r="E2636" i="6"/>
  <c r="D2636" i="6"/>
  <c r="C2636" i="6"/>
  <c r="B2636" i="6"/>
  <c r="A2636" i="6"/>
  <c r="F2635" i="6"/>
  <c r="E2635" i="6"/>
  <c r="D2635" i="6"/>
  <c r="C2635" i="6"/>
  <c r="B2635" i="6"/>
  <c r="A2635" i="6"/>
  <c r="F2634" i="6"/>
  <c r="E2634" i="6"/>
  <c r="D2634" i="6"/>
  <c r="C2634" i="6"/>
  <c r="B2634" i="6"/>
  <c r="A2634" i="6"/>
  <c r="F2633" i="6"/>
  <c r="E2633" i="6"/>
  <c r="D2633" i="6"/>
  <c r="C2633" i="6"/>
  <c r="B2633" i="6"/>
  <c r="A2633" i="6"/>
  <c r="F2632" i="6"/>
  <c r="E2632" i="6"/>
  <c r="D2632" i="6"/>
  <c r="C2632" i="6"/>
  <c r="B2632" i="6"/>
  <c r="A2632" i="6"/>
  <c r="F2631" i="6"/>
  <c r="E2631" i="6"/>
  <c r="D2631" i="6"/>
  <c r="C2631" i="6"/>
  <c r="B2631" i="6"/>
  <c r="A2631" i="6"/>
  <c r="F2630" i="6"/>
  <c r="E2630" i="6"/>
  <c r="D2630" i="6"/>
  <c r="C2630" i="6"/>
  <c r="B2630" i="6"/>
  <c r="A2630" i="6"/>
  <c r="F2629" i="6"/>
  <c r="E2629" i="6"/>
  <c r="D2629" i="6"/>
  <c r="C2629" i="6"/>
  <c r="B2629" i="6"/>
  <c r="A2629" i="6"/>
  <c r="F2628" i="6"/>
  <c r="E2628" i="6"/>
  <c r="D2628" i="6"/>
  <c r="C2628" i="6"/>
  <c r="B2628" i="6"/>
  <c r="A2628" i="6"/>
  <c r="F2627" i="6"/>
  <c r="E2627" i="6"/>
  <c r="D2627" i="6"/>
  <c r="C2627" i="6"/>
  <c r="B2627" i="6"/>
  <c r="A2627" i="6"/>
  <c r="F2626" i="6"/>
  <c r="E2626" i="6"/>
  <c r="D2626" i="6"/>
  <c r="C2626" i="6"/>
  <c r="B2626" i="6"/>
  <c r="A2626" i="6"/>
  <c r="F2625" i="6"/>
  <c r="E2625" i="6"/>
  <c r="D2625" i="6"/>
  <c r="C2625" i="6"/>
  <c r="B2625" i="6"/>
  <c r="A2625" i="6"/>
  <c r="F2624" i="6"/>
  <c r="E2624" i="6"/>
  <c r="D2624" i="6"/>
  <c r="C2624" i="6"/>
  <c r="B2624" i="6"/>
  <c r="A2624" i="6"/>
  <c r="F2623" i="6"/>
  <c r="E2623" i="6"/>
  <c r="D2623" i="6"/>
  <c r="C2623" i="6"/>
  <c r="B2623" i="6"/>
  <c r="A2623" i="6"/>
  <c r="F2622" i="6"/>
  <c r="E2622" i="6"/>
  <c r="D2622" i="6"/>
  <c r="C2622" i="6"/>
  <c r="B2622" i="6"/>
  <c r="A2622" i="6"/>
  <c r="F2621" i="6"/>
  <c r="E2621" i="6"/>
  <c r="D2621" i="6"/>
  <c r="C2621" i="6"/>
  <c r="B2621" i="6"/>
  <c r="A2621" i="6"/>
  <c r="F2620" i="6"/>
  <c r="E2620" i="6"/>
  <c r="D2620" i="6"/>
  <c r="C2620" i="6"/>
  <c r="B2620" i="6"/>
  <c r="A2620" i="6"/>
  <c r="F2619" i="6"/>
  <c r="E2619" i="6"/>
  <c r="D2619" i="6"/>
  <c r="C2619" i="6"/>
  <c r="B2619" i="6"/>
  <c r="A2619" i="6"/>
  <c r="F2618" i="6"/>
  <c r="E2618" i="6"/>
  <c r="D2618" i="6"/>
  <c r="C2618" i="6"/>
  <c r="B2618" i="6"/>
  <c r="A2618" i="6"/>
  <c r="F2617" i="6"/>
  <c r="E2617" i="6"/>
  <c r="D2617" i="6"/>
  <c r="C2617" i="6"/>
  <c r="B2617" i="6"/>
  <c r="A2617" i="6"/>
  <c r="F2616" i="6"/>
  <c r="E2616" i="6"/>
  <c r="D2616" i="6"/>
  <c r="C2616" i="6"/>
  <c r="B2616" i="6"/>
  <c r="A2616" i="6"/>
  <c r="F2615" i="6"/>
  <c r="E2615" i="6"/>
  <c r="D2615" i="6"/>
  <c r="C2615" i="6"/>
  <c r="B2615" i="6"/>
  <c r="A2615" i="6"/>
  <c r="F2614" i="6"/>
  <c r="E2614" i="6"/>
  <c r="D2614" i="6"/>
  <c r="C2614" i="6"/>
  <c r="B2614" i="6"/>
  <c r="A2614" i="6"/>
  <c r="F2613" i="6"/>
  <c r="E2613" i="6"/>
  <c r="D2613" i="6"/>
  <c r="C2613" i="6"/>
  <c r="B2613" i="6"/>
  <c r="A2613" i="6"/>
  <c r="F2612" i="6"/>
  <c r="E2612" i="6"/>
  <c r="D2612" i="6"/>
  <c r="C2612" i="6"/>
  <c r="B2612" i="6"/>
  <c r="A2612" i="6"/>
  <c r="F2611" i="6"/>
  <c r="E2611" i="6"/>
  <c r="D2611" i="6"/>
  <c r="C2611" i="6"/>
  <c r="B2611" i="6"/>
  <c r="A2611" i="6"/>
  <c r="F2610" i="6"/>
  <c r="E2610" i="6"/>
  <c r="D2610" i="6"/>
  <c r="C2610" i="6"/>
  <c r="B2610" i="6"/>
  <c r="A2610" i="6"/>
  <c r="F2609" i="6"/>
  <c r="E2609" i="6"/>
  <c r="D2609" i="6"/>
  <c r="C2609" i="6"/>
  <c r="B2609" i="6"/>
  <c r="A2609" i="6"/>
  <c r="F2608" i="6"/>
  <c r="E2608" i="6"/>
  <c r="D2608" i="6"/>
  <c r="C2608" i="6"/>
  <c r="B2608" i="6"/>
  <c r="A2608" i="6"/>
  <c r="F2607" i="6"/>
  <c r="E2607" i="6"/>
  <c r="D2607" i="6"/>
  <c r="C2607" i="6"/>
  <c r="B2607" i="6"/>
  <c r="A2607" i="6"/>
  <c r="F2606" i="6"/>
  <c r="E2606" i="6"/>
  <c r="D2606" i="6"/>
  <c r="C2606" i="6"/>
  <c r="B2606" i="6"/>
  <c r="A2606" i="6"/>
  <c r="F2605" i="6"/>
  <c r="E2605" i="6"/>
  <c r="D2605" i="6"/>
  <c r="C2605" i="6"/>
  <c r="B2605" i="6"/>
  <c r="A2605" i="6"/>
  <c r="F2604" i="6"/>
  <c r="E2604" i="6"/>
  <c r="D2604" i="6"/>
  <c r="C2604" i="6"/>
  <c r="B2604" i="6"/>
  <c r="A2604" i="6"/>
  <c r="F2603" i="6"/>
  <c r="E2603" i="6"/>
  <c r="D2603" i="6"/>
  <c r="C2603" i="6"/>
  <c r="B2603" i="6"/>
  <c r="A2603" i="6"/>
  <c r="F2602" i="6"/>
  <c r="E2602" i="6"/>
  <c r="D2602" i="6"/>
  <c r="C2602" i="6"/>
  <c r="B2602" i="6"/>
  <c r="A2602" i="6"/>
  <c r="F2601" i="6"/>
  <c r="E2601" i="6"/>
  <c r="D2601" i="6"/>
  <c r="C2601" i="6"/>
  <c r="B2601" i="6"/>
  <c r="A2601" i="6"/>
  <c r="F2600" i="6"/>
  <c r="E2600" i="6"/>
  <c r="D2600" i="6"/>
  <c r="C2600" i="6"/>
  <c r="B2600" i="6"/>
  <c r="A2600" i="6"/>
  <c r="F2599" i="6"/>
  <c r="E2599" i="6"/>
  <c r="D2599" i="6"/>
  <c r="C2599" i="6"/>
  <c r="B2599" i="6"/>
  <c r="A2599" i="6"/>
  <c r="F2598" i="6"/>
  <c r="E2598" i="6"/>
  <c r="D2598" i="6"/>
  <c r="C2598" i="6"/>
  <c r="B2598" i="6"/>
  <c r="A2598" i="6"/>
  <c r="F2597" i="6"/>
  <c r="E2597" i="6"/>
  <c r="D2597" i="6"/>
  <c r="C2597" i="6"/>
  <c r="B2597" i="6"/>
  <c r="A2597" i="6"/>
  <c r="F2596" i="6"/>
  <c r="E2596" i="6"/>
  <c r="D2596" i="6"/>
  <c r="C2596" i="6"/>
  <c r="B2596" i="6"/>
  <c r="A2596" i="6"/>
  <c r="F2595" i="6"/>
  <c r="E2595" i="6"/>
  <c r="D2595" i="6"/>
  <c r="C2595" i="6"/>
  <c r="B2595" i="6"/>
  <c r="A2595" i="6"/>
  <c r="F2594" i="6"/>
  <c r="E2594" i="6"/>
  <c r="D2594" i="6"/>
  <c r="C2594" i="6"/>
  <c r="B2594" i="6"/>
  <c r="A2594" i="6"/>
  <c r="F2593" i="6"/>
  <c r="E2593" i="6"/>
  <c r="D2593" i="6"/>
  <c r="C2593" i="6"/>
  <c r="B2593" i="6"/>
  <c r="A2593" i="6"/>
  <c r="F2592" i="6"/>
  <c r="E2592" i="6"/>
  <c r="D2592" i="6"/>
  <c r="C2592" i="6"/>
  <c r="B2592" i="6"/>
  <c r="A2592" i="6"/>
  <c r="F2591" i="6"/>
  <c r="E2591" i="6"/>
  <c r="D2591" i="6"/>
  <c r="C2591" i="6"/>
  <c r="B2591" i="6"/>
  <c r="A2591" i="6"/>
  <c r="F2590" i="6"/>
  <c r="E2590" i="6"/>
  <c r="D2590" i="6"/>
  <c r="C2590" i="6"/>
  <c r="B2590" i="6"/>
  <c r="A2590" i="6"/>
  <c r="F2589" i="6"/>
  <c r="E2589" i="6"/>
  <c r="D2589" i="6"/>
  <c r="C2589" i="6"/>
  <c r="B2589" i="6"/>
  <c r="A2589" i="6"/>
  <c r="F2588" i="6"/>
  <c r="E2588" i="6"/>
  <c r="D2588" i="6"/>
  <c r="C2588" i="6"/>
  <c r="B2588" i="6"/>
  <c r="A2588" i="6"/>
  <c r="F2587" i="6"/>
  <c r="E2587" i="6"/>
  <c r="D2587" i="6"/>
  <c r="C2587" i="6"/>
  <c r="B2587" i="6"/>
  <c r="A2587" i="6"/>
  <c r="F2586" i="6"/>
  <c r="E2586" i="6"/>
  <c r="D2586" i="6"/>
  <c r="C2586" i="6"/>
  <c r="B2586" i="6"/>
  <c r="A2586" i="6"/>
  <c r="F2585" i="6"/>
  <c r="E2585" i="6"/>
  <c r="D2585" i="6"/>
  <c r="C2585" i="6"/>
  <c r="B2585" i="6"/>
  <c r="A2585" i="6"/>
  <c r="F2584" i="6"/>
  <c r="E2584" i="6"/>
  <c r="D2584" i="6"/>
  <c r="C2584" i="6"/>
  <c r="B2584" i="6"/>
  <c r="A2584" i="6"/>
  <c r="F2583" i="6"/>
  <c r="E2583" i="6"/>
  <c r="D2583" i="6"/>
  <c r="C2583" i="6"/>
  <c r="B2583" i="6"/>
  <c r="A2583" i="6"/>
  <c r="F2582" i="6"/>
  <c r="E2582" i="6"/>
  <c r="D2582" i="6"/>
  <c r="C2582" i="6"/>
  <c r="B2582" i="6"/>
  <c r="A2582" i="6"/>
  <c r="F2581" i="6"/>
  <c r="E2581" i="6"/>
  <c r="D2581" i="6"/>
  <c r="C2581" i="6"/>
  <c r="B2581" i="6"/>
  <c r="A2581" i="6"/>
  <c r="F2580" i="6"/>
  <c r="E2580" i="6"/>
  <c r="D2580" i="6"/>
  <c r="C2580" i="6"/>
  <c r="B2580" i="6"/>
  <c r="A2580" i="6"/>
  <c r="F2579" i="6"/>
  <c r="E2579" i="6"/>
  <c r="D2579" i="6"/>
  <c r="C2579" i="6"/>
  <c r="B2579" i="6"/>
  <c r="A2579" i="6"/>
  <c r="F2578" i="6"/>
  <c r="E2578" i="6"/>
  <c r="D2578" i="6"/>
  <c r="C2578" i="6"/>
  <c r="B2578" i="6"/>
  <c r="A2578" i="6"/>
  <c r="F2577" i="6"/>
  <c r="E2577" i="6"/>
  <c r="D2577" i="6"/>
  <c r="C2577" i="6"/>
  <c r="B2577" i="6"/>
  <c r="A2577" i="6"/>
  <c r="F2576" i="6"/>
  <c r="E2576" i="6"/>
  <c r="D2576" i="6"/>
  <c r="C2576" i="6"/>
  <c r="B2576" i="6"/>
  <c r="A2576" i="6"/>
  <c r="F2575" i="6"/>
  <c r="E2575" i="6"/>
  <c r="D2575" i="6"/>
  <c r="C2575" i="6"/>
  <c r="B2575" i="6"/>
  <c r="A2575" i="6"/>
  <c r="F2574" i="6"/>
  <c r="E2574" i="6"/>
  <c r="D2574" i="6"/>
  <c r="C2574" i="6"/>
  <c r="B2574" i="6"/>
  <c r="A2574" i="6"/>
  <c r="F2573" i="6"/>
  <c r="E2573" i="6"/>
  <c r="D2573" i="6"/>
  <c r="C2573" i="6"/>
  <c r="B2573" i="6"/>
  <c r="A2573" i="6"/>
  <c r="F2572" i="6"/>
  <c r="E2572" i="6"/>
  <c r="D2572" i="6"/>
  <c r="C2572" i="6"/>
  <c r="B2572" i="6"/>
  <c r="A2572" i="6"/>
  <c r="F2571" i="6"/>
  <c r="E2571" i="6"/>
  <c r="D2571" i="6"/>
  <c r="C2571" i="6"/>
  <c r="B2571" i="6"/>
  <c r="A2571" i="6"/>
  <c r="F2570" i="6"/>
  <c r="E2570" i="6"/>
  <c r="D2570" i="6"/>
  <c r="C2570" i="6"/>
  <c r="B2570" i="6"/>
  <c r="A2570" i="6"/>
  <c r="F2569" i="6"/>
  <c r="E2569" i="6"/>
  <c r="D2569" i="6"/>
  <c r="C2569" i="6"/>
  <c r="B2569" i="6"/>
  <c r="A2569" i="6"/>
  <c r="F2568" i="6"/>
  <c r="E2568" i="6"/>
  <c r="D2568" i="6"/>
  <c r="C2568" i="6"/>
  <c r="B2568" i="6"/>
  <c r="A2568" i="6"/>
  <c r="F2567" i="6"/>
  <c r="E2567" i="6"/>
  <c r="D2567" i="6"/>
  <c r="C2567" i="6"/>
  <c r="B2567" i="6"/>
  <c r="A2567" i="6"/>
  <c r="F2566" i="6"/>
  <c r="E2566" i="6"/>
  <c r="D2566" i="6"/>
  <c r="C2566" i="6"/>
  <c r="B2566" i="6"/>
  <c r="A2566" i="6"/>
  <c r="F2565" i="6"/>
  <c r="E2565" i="6"/>
  <c r="D2565" i="6"/>
  <c r="C2565" i="6"/>
  <c r="B2565" i="6"/>
  <c r="A2565" i="6"/>
  <c r="F2564" i="6"/>
  <c r="E2564" i="6"/>
  <c r="D2564" i="6"/>
  <c r="C2564" i="6"/>
  <c r="B2564" i="6"/>
  <c r="A2564" i="6"/>
  <c r="F2563" i="6"/>
  <c r="E2563" i="6"/>
  <c r="D2563" i="6"/>
  <c r="C2563" i="6"/>
  <c r="B2563" i="6"/>
  <c r="A2563" i="6"/>
  <c r="F2562" i="6"/>
  <c r="E2562" i="6"/>
  <c r="D2562" i="6"/>
  <c r="C2562" i="6"/>
  <c r="B2562" i="6"/>
  <c r="A2562" i="6"/>
  <c r="F2561" i="6"/>
  <c r="E2561" i="6"/>
  <c r="D2561" i="6"/>
  <c r="C2561" i="6"/>
  <c r="B2561" i="6"/>
  <c r="A2561" i="6"/>
  <c r="F2560" i="6"/>
  <c r="E2560" i="6"/>
  <c r="D2560" i="6"/>
  <c r="C2560" i="6"/>
  <c r="B2560" i="6"/>
  <c r="A2560" i="6"/>
  <c r="F2559" i="6"/>
  <c r="E2559" i="6"/>
  <c r="D2559" i="6"/>
  <c r="C2559" i="6"/>
  <c r="B2559" i="6"/>
  <c r="A2559" i="6"/>
  <c r="F2558" i="6"/>
  <c r="E2558" i="6"/>
  <c r="D2558" i="6"/>
  <c r="C2558" i="6"/>
  <c r="B2558" i="6"/>
  <c r="A2558" i="6"/>
  <c r="F2557" i="6"/>
  <c r="E2557" i="6"/>
  <c r="D2557" i="6"/>
  <c r="C2557" i="6"/>
  <c r="B2557" i="6"/>
  <c r="A2557" i="6"/>
  <c r="F2556" i="6"/>
  <c r="E2556" i="6"/>
  <c r="D2556" i="6"/>
  <c r="C2556" i="6"/>
  <c r="B2556" i="6"/>
  <c r="A2556" i="6"/>
  <c r="F2555" i="6"/>
  <c r="E2555" i="6"/>
  <c r="D2555" i="6"/>
  <c r="C2555" i="6"/>
  <c r="B2555" i="6"/>
  <c r="A2555" i="6"/>
  <c r="F2554" i="6"/>
  <c r="E2554" i="6"/>
  <c r="D2554" i="6"/>
  <c r="C2554" i="6"/>
  <c r="B2554" i="6"/>
  <c r="A2554" i="6"/>
  <c r="F2553" i="6"/>
  <c r="E2553" i="6"/>
  <c r="D2553" i="6"/>
  <c r="C2553" i="6"/>
  <c r="B2553" i="6"/>
  <c r="A2553" i="6"/>
  <c r="F2552" i="6"/>
  <c r="E2552" i="6"/>
  <c r="D2552" i="6"/>
  <c r="C2552" i="6"/>
  <c r="B2552" i="6"/>
  <c r="A2552" i="6"/>
  <c r="F2551" i="6"/>
  <c r="E2551" i="6"/>
  <c r="D2551" i="6"/>
  <c r="C2551" i="6"/>
  <c r="B2551" i="6"/>
  <c r="A2551" i="6"/>
  <c r="F2550" i="6"/>
  <c r="E2550" i="6"/>
  <c r="D2550" i="6"/>
  <c r="C2550" i="6"/>
  <c r="B2550" i="6"/>
  <c r="A2550" i="6"/>
  <c r="F2549" i="6"/>
  <c r="E2549" i="6"/>
  <c r="D2549" i="6"/>
  <c r="C2549" i="6"/>
  <c r="B2549" i="6"/>
  <c r="A2549" i="6"/>
  <c r="F2548" i="6"/>
  <c r="E2548" i="6"/>
  <c r="D2548" i="6"/>
  <c r="C2548" i="6"/>
  <c r="B2548" i="6"/>
  <c r="A2548" i="6"/>
  <c r="F2547" i="6"/>
  <c r="E2547" i="6"/>
  <c r="D2547" i="6"/>
  <c r="C2547" i="6"/>
  <c r="B2547" i="6"/>
  <c r="A2547" i="6"/>
  <c r="F2546" i="6"/>
  <c r="E2546" i="6"/>
  <c r="D2546" i="6"/>
  <c r="C2546" i="6"/>
  <c r="B2546" i="6"/>
  <c r="A2546" i="6"/>
  <c r="F2545" i="6"/>
  <c r="E2545" i="6"/>
  <c r="D2545" i="6"/>
  <c r="C2545" i="6"/>
  <c r="B2545" i="6"/>
  <c r="A2545" i="6"/>
  <c r="F2544" i="6"/>
  <c r="E2544" i="6"/>
  <c r="D2544" i="6"/>
  <c r="C2544" i="6"/>
  <c r="B2544" i="6"/>
  <c r="A2544" i="6"/>
  <c r="F2543" i="6"/>
  <c r="E2543" i="6"/>
  <c r="D2543" i="6"/>
  <c r="C2543" i="6"/>
  <c r="B2543" i="6"/>
  <c r="A2543" i="6"/>
  <c r="F2542" i="6"/>
  <c r="E2542" i="6"/>
  <c r="D2542" i="6"/>
  <c r="C2542" i="6"/>
  <c r="B2542" i="6"/>
  <c r="A2542" i="6"/>
  <c r="F2541" i="6"/>
  <c r="E2541" i="6"/>
  <c r="D2541" i="6"/>
  <c r="C2541" i="6"/>
  <c r="B2541" i="6"/>
  <c r="A2541" i="6"/>
  <c r="F2540" i="6"/>
  <c r="E2540" i="6"/>
  <c r="D2540" i="6"/>
  <c r="C2540" i="6"/>
  <c r="B2540" i="6"/>
  <c r="A2540" i="6"/>
  <c r="F2539" i="6"/>
  <c r="E2539" i="6"/>
  <c r="D2539" i="6"/>
  <c r="C2539" i="6"/>
  <c r="B2539" i="6"/>
  <c r="A2539" i="6"/>
  <c r="F2538" i="6"/>
  <c r="E2538" i="6"/>
  <c r="D2538" i="6"/>
  <c r="C2538" i="6"/>
  <c r="B2538" i="6"/>
  <c r="A2538" i="6"/>
  <c r="F2537" i="6"/>
  <c r="E2537" i="6"/>
  <c r="D2537" i="6"/>
  <c r="C2537" i="6"/>
  <c r="B2537" i="6"/>
  <c r="A2537" i="6"/>
  <c r="F2536" i="6"/>
  <c r="E2536" i="6"/>
  <c r="D2536" i="6"/>
  <c r="C2536" i="6"/>
  <c r="B2536" i="6"/>
  <c r="A2536" i="6"/>
  <c r="F2535" i="6"/>
  <c r="E2535" i="6"/>
  <c r="D2535" i="6"/>
  <c r="C2535" i="6"/>
  <c r="B2535" i="6"/>
  <c r="A2535" i="6"/>
  <c r="F2534" i="6"/>
  <c r="E2534" i="6"/>
  <c r="D2534" i="6"/>
  <c r="C2534" i="6"/>
  <c r="B2534" i="6"/>
  <c r="A2534" i="6"/>
  <c r="F2533" i="6"/>
  <c r="E2533" i="6"/>
  <c r="D2533" i="6"/>
  <c r="C2533" i="6"/>
  <c r="B2533" i="6"/>
  <c r="A2533" i="6"/>
  <c r="F2532" i="6"/>
  <c r="E2532" i="6"/>
  <c r="D2532" i="6"/>
  <c r="C2532" i="6"/>
  <c r="B2532" i="6"/>
  <c r="A2532" i="6"/>
  <c r="F2531" i="6"/>
  <c r="E2531" i="6"/>
  <c r="D2531" i="6"/>
  <c r="C2531" i="6"/>
  <c r="B2531" i="6"/>
  <c r="A2531" i="6"/>
  <c r="F2530" i="6"/>
  <c r="E2530" i="6"/>
  <c r="D2530" i="6"/>
  <c r="C2530" i="6"/>
  <c r="B2530" i="6"/>
  <c r="A2530" i="6"/>
  <c r="F2529" i="6"/>
  <c r="E2529" i="6"/>
  <c r="D2529" i="6"/>
  <c r="C2529" i="6"/>
  <c r="B2529" i="6"/>
  <c r="A2529" i="6"/>
  <c r="F2528" i="6"/>
  <c r="E2528" i="6"/>
  <c r="D2528" i="6"/>
  <c r="C2528" i="6"/>
  <c r="B2528" i="6"/>
  <c r="A2528" i="6"/>
  <c r="F2527" i="6"/>
  <c r="E2527" i="6"/>
  <c r="D2527" i="6"/>
  <c r="C2527" i="6"/>
  <c r="B2527" i="6"/>
  <c r="A2527" i="6"/>
  <c r="F2526" i="6"/>
  <c r="E2526" i="6"/>
  <c r="D2526" i="6"/>
  <c r="C2526" i="6"/>
  <c r="B2526" i="6"/>
  <c r="A2526" i="6"/>
  <c r="F2525" i="6"/>
  <c r="E2525" i="6"/>
  <c r="D2525" i="6"/>
  <c r="C2525" i="6"/>
  <c r="B2525" i="6"/>
  <c r="A2525" i="6"/>
  <c r="F2524" i="6"/>
  <c r="E2524" i="6"/>
  <c r="D2524" i="6"/>
  <c r="C2524" i="6"/>
  <c r="B2524" i="6"/>
  <c r="A2524" i="6"/>
  <c r="F2523" i="6"/>
  <c r="E2523" i="6"/>
  <c r="D2523" i="6"/>
  <c r="C2523" i="6"/>
  <c r="B2523" i="6"/>
  <c r="A2523" i="6"/>
  <c r="F2522" i="6"/>
  <c r="E2522" i="6"/>
  <c r="D2522" i="6"/>
  <c r="C2522" i="6"/>
  <c r="B2522" i="6"/>
  <c r="A2522" i="6"/>
  <c r="F2521" i="6"/>
  <c r="E2521" i="6"/>
  <c r="D2521" i="6"/>
  <c r="C2521" i="6"/>
  <c r="B2521" i="6"/>
  <c r="A2521" i="6"/>
  <c r="F2520" i="6"/>
  <c r="E2520" i="6"/>
  <c r="D2520" i="6"/>
  <c r="C2520" i="6"/>
  <c r="B2520" i="6"/>
  <c r="A2520" i="6"/>
  <c r="F2519" i="6"/>
  <c r="E2519" i="6"/>
  <c r="D2519" i="6"/>
  <c r="C2519" i="6"/>
  <c r="B2519" i="6"/>
  <c r="A2519" i="6"/>
  <c r="F2518" i="6"/>
  <c r="E2518" i="6"/>
  <c r="D2518" i="6"/>
  <c r="C2518" i="6"/>
  <c r="B2518" i="6"/>
  <c r="A2518" i="6"/>
  <c r="F2517" i="6"/>
  <c r="E2517" i="6"/>
  <c r="D2517" i="6"/>
  <c r="C2517" i="6"/>
  <c r="B2517" i="6"/>
  <c r="A2517" i="6"/>
  <c r="F2516" i="6"/>
  <c r="E2516" i="6"/>
  <c r="D2516" i="6"/>
  <c r="C2516" i="6"/>
  <c r="B2516" i="6"/>
  <c r="A2516" i="6"/>
  <c r="F2515" i="6"/>
  <c r="E2515" i="6"/>
  <c r="D2515" i="6"/>
  <c r="C2515" i="6"/>
  <c r="B2515" i="6"/>
  <c r="A2515" i="6"/>
  <c r="F2514" i="6"/>
  <c r="E2514" i="6"/>
  <c r="D2514" i="6"/>
  <c r="C2514" i="6"/>
  <c r="B2514" i="6"/>
  <c r="A2514" i="6"/>
  <c r="F2513" i="6"/>
  <c r="E2513" i="6"/>
  <c r="D2513" i="6"/>
  <c r="C2513" i="6"/>
  <c r="B2513" i="6"/>
  <c r="A2513" i="6"/>
  <c r="F2512" i="6"/>
  <c r="E2512" i="6"/>
  <c r="D2512" i="6"/>
  <c r="C2512" i="6"/>
  <c r="B2512" i="6"/>
  <c r="A2512" i="6"/>
  <c r="F2511" i="6"/>
  <c r="E2511" i="6"/>
  <c r="D2511" i="6"/>
  <c r="C2511" i="6"/>
  <c r="B2511" i="6"/>
  <c r="A2511" i="6"/>
  <c r="F2510" i="6"/>
  <c r="E2510" i="6"/>
  <c r="D2510" i="6"/>
  <c r="C2510" i="6"/>
  <c r="B2510" i="6"/>
  <c r="A2510" i="6"/>
  <c r="F2509" i="6"/>
  <c r="E2509" i="6"/>
  <c r="D2509" i="6"/>
  <c r="C2509" i="6"/>
  <c r="B2509" i="6"/>
  <c r="A2509" i="6"/>
  <c r="F2508" i="6"/>
  <c r="E2508" i="6"/>
  <c r="D2508" i="6"/>
  <c r="C2508" i="6"/>
  <c r="B2508" i="6"/>
  <c r="A2508" i="6"/>
  <c r="F2507" i="6"/>
  <c r="E2507" i="6"/>
  <c r="D2507" i="6"/>
  <c r="C2507" i="6"/>
  <c r="B2507" i="6"/>
  <c r="A2507" i="6"/>
  <c r="F2506" i="6"/>
  <c r="E2506" i="6"/>
  <c r="D2506" i="6"/>
  <c r="C2506" i="6"/>
  <c r="B2506" i="6"/>
  <c r="A2506" i="6"/>
  <c r="F2505" i="6"/>
  <c r="E2505" i="6"/>
  <c r="D2505" i="6"/>
  <c r="C2505" i="6"/>
  <c r="B2505" i="6"/>
  <c r="A2505" i="6"/>
  <c r="F2504" i="6"/>
  <c r="E2504" i="6"/>
  <c r="D2504" i="6"/>
  <c r="C2504" i="6"/>
  <c r="B2504" i="6"/>
  <c r="A2504" i="6"/>
  <c r="F2503" i="6"/>
  <c r="E2503" i="6"/>
  <c r="D2503" i="6"/>
  <c r="C2503" i="6"/>
  <c r="B2503" i="6"/>
  <c r="A2503" i="6"/>
  <c r="F2502" i="6"/>
  <c r="E2502" i="6"/>
  <c r="D2502" i="6"/>
  <c r="C2502" i="6"/>
  <c r="B2502" i="6"/>
  <c r="A2502" i="6"/>
  <c r="F2501" i="6"/>
  <c r="E2501" i="6"/>
  <c r="D2501" i="6"/>
  <c r="C2501" i="6"/>
  <c r="B2501" i="6"/>
  <c r="A2501" i="6"/>
  <c r="F2500" i="6"/>
  <c r="E2500" i="6"/>
  <c r="D2500" i="6"/>
  <c r="C2500" i="6"/>
  <c r="B2500" i="6"/>
  <c r="A2500" i="6"/>
  <c r="F2499" i="6"/>
  <c r="E2499" i="6"/>
  <c r="D2499" i="6"/>
  <c r="C2499" i="6"/>
  <c r="B2499" i="6"/>
  <c r="A2499" i="6"/>
  <c r="F2498" i="6"/>
  <c r="E2498" i="6"/>
  <c r="D2498" i="6"/>
  <c r="C2498" i="6"/>
  <c r="B2498" i="6"/>
  <c r="A2498" i="6"/>
  <c r="F2497" i="6"/>
  <c r="E2497" i="6"/>
  <c r="D2497" i="6"/>
  <c r="C2497" i="6"/>
  <c r="B2497" i="6"/>
  <c r="A2497" i="6"/>
  <c r="F2496" i="6"/>
  <c r="E2496" i="6"/>
  <c r="D2496" i="6"/>
  <c r="C2496" i="6"/>
  <c r="B2496" i="6"/>
  <c r="A2496" i="6"/>
  <c r="F2495" i="6"/>
  <c r="E2495" i="6"/>
  <c r="D2495" i="6"/>
  <c r="C2495" i="6"/>
  <c r="B2495" i="6"/>
  <c r="A2495" i="6"/>
  <c r="F2494" i="6"/>
  <c r="E2494" i="6"/>
  <c r="D2494" i="6"/>
  <c r="C2494" i="6"/>
  <c r="B2494" i="6"/>
  <c r="A2494" i="6"/>
  <c r="F2493" i="6"/>
  <c r="E2493" i="6"/>
  <c r="D2493" i="6"/>
  <c r="C2493" i="6"/>
  <c r="B2493" i="6"/>
  <c r="A2493" i="6"/>
  <c r="F2492" i="6"/>
  <c r="E2492" i="6"/>
  <c r="D2492" i="6"/>
  <c r="C2492" i="6"/>
  <c r="B2492" i="6"/>
  <c r="A2492" i="6"/>
  <c r="F2491" i="6"/>
  <c r="E2491" i="6"/>
  <c r="D2491" i="6"/>
  <c r="C2491" i="6"/>
  <c r="B2491" i="6"/>
  <c r="A2491" i="6"/>
  <c r="F2490" i="6"/>
  <c r="E2490" i="6"/>
  <c r="D2490" i="6"/>
  <c r="C2490" i="6"/>
  <c r="B2490" i="6"/>
  <c r="A2490" i="6"/>
  <c r="F2489" i="6"/>
  <c r="E2489" i="6"/>
  <c r="D2489" i="6"/>
  <c r="C2489" i="6"/>
  <c r="B2489" i="6"/>
  <c r="A2489" i="6"/>
  <c r="F2488" i="6"/>
  <c r="E2488" i="6"/>
  <c r="D2488" i="6"/>
  <c r="C2488" i="6"/>
  <c r="B2488" i="6"/>
  <c r="A2488" i="6"/>
  <c r="F2487" i="6"/>
  <c r="E2487" i="6"/>
  <c r="D2487" i="6"/>
  <c r="C2487" i="6"/>
  <c r="B2487" i="6"/>
  <c r="A2487" i="6"/>
  <c r="F2486" i="6"/>
  <c r="E2486" i="6"/>
  <c r="D2486" i="6"/>
  <c r="C2486" i="6"/>
  <c r="B2486" i="6"/>
  <c r="A2486" i="6"/>
  <c r="F2485" i="6"/>
  <c r="E2485" i="6"/>
  <c r="D2485" i="6"/>
  <c r="C2485" i="6"/>
  <c r="B2485" i="6"/>
  <c r="A2485" i="6"/>
  <c r="F2484" i="6"/>
  <c r="E2484" i="6"/>
  <c r="D2484" i="6"/>
  <c r="C2484" i="6"/>
  <c r="B2484" i="6"/>
  <c r="A2484" i="6"/>
  <c r="F2483" i="6"/>
  <c r="E2483" i="6"/>
  <c r="D2483" i="6"/>
  <c r="C2483" i="6"/>
  <c r="B2483" i="6"/>
  <c r="A2483" i="6"/>
  <c r="F2482" i="6"/>
  <c r="E2482" i="6"/>
  <c r="D2482" i="6"/>
  <c r="C2482" i="6"/>
  <c r="B2482" i="6"/>
  <c r="A2482" i="6"/>
  <c r="F2481" i="6"/>
  <c r="E2481" i="6"/>
  <c r="D2481" i="6"/>
  <c r="C2481" i="6"/>
  <c r="B2481" i="6"/>
  <c r="A2481" i="6"/>
  <c r="F2480" i="6"/>
  <c r="E2480" i="6"/>
  <c r="D2480" i="6"/>
  <c r="C2480" i="6"/>
  <c r="B2480" i="6"/>
  <c r="A2480" i="6"/>
  <c r="F2479" i="6"/>
  <c r="E2479" i="6"/>
  <c r="D2479" i="6"/>
  <c r="C2479" i="6"/>
  <c r="B2479" i="6"/>
  <c r="A2479" i="6"/>
  <c r="F2478" i="6"/>
  <c r="E2478" i="6"/>
  <c r="D2478" i="6"/>
  <c r="C2478" i="6"/>
  <c r="B2478" i="6"/>
  <c r="A2478" i="6"/>
  <c r="F2477" i="6"/>
  <c r="E2477" i="6"/>
  <c r="D2477" i="6"/>
  <c r="C2477" i="6"/>
  <c r="B2477" i="6"/>
  <c r="A2477" i="6"/>
  <c r="F2476" i="6"/>
  <c r="E2476" i="6"/>
  <c r="D2476" i="6"/>
  <c r="C2476" i="6"/>
  <c r="B2476" i="6"/>
  <c r="A2476" i="6"/>
  <c r="F2475" i="6"/>
  <c r="E2475" i="6"/>
  <c r="D2475" i="6"/>
  <c r="C2475" i="6"/>
  <c r="B2475" i="6"/>
  <c r="A2475" i="6"/>
  <c r="F2474" i="6"/>
  <c r="E2474" i="6"/>
  <c r="D2474" i="6"/>
  <c r="C2474" i="6"/>
  <c r="B2474" i="6"/>
  <c r="A2474" i="6"/>
  <c r="F2473" i="6"/>
  <c r="E2473" i="6"/>
  <c r="D2473" i="6"/>
  <c r="C2473" i="6"/>
  <c r="B2473" i="6"/>
  <c r="A2473" i="6"/>
  <c r="F2472" i="6"/>
  <c r="E2472" i="6"/>
  <c r="D2472" i="6"/>
  <c r="C2472" i="6"/>
  <c r="B2472" i="6"/>
  <c r="A2472" i="6"/>
  <c r="F2471" i="6"/>
  <c r="E2471" i="6"/>
  <c r="D2471" i="6"/>
  <c r="C2471" i="6"/>
  <c r="B2471" i="6"/>
  <c r="A2471" i="6"/>
  <c r="F2470" i="6"/>
  <c r="E2470" i="6"/>
  <c r="D2470" i="6"/>
  <c r="C2470" i="6"/>
  <c r="B2470" i="6"/>
  <c r="A2470" i="6"/>
  <c r="F2469" i="6"/>
  <c r="E2469" i="6"/>
  <c r="D2469" i="6"/>
  <c r="C2469" i="6"/>
  <c r="B2469" i="6"/>
  <c r="A2469" i="6"/>
  <c r="F2468" i="6"/>
  <c r="E2468" i="6"/>
  <c r="D2468" i="6"/>
  <c r="C2468" i="6"/>
  <c r="B2468" i="6"/>
  <c r="A2468" i="6"/>
  <c r="F2467" i="6"/>
  <c r="E2467" i="6"/>
  <c r="D2467" i="6"/>
  <c r="C2467" i="6"/>
  <c r="B2467" i="6"/>
  <c r="A2467" i="6"/>
  <c r="F2466" i="6"/>
  <c r="E2466" i="6"/>
  <c r="D2466" i="6"/>
  <c r="C2466" i="6"/>
  <c r="B2466" i="6"/>
  <c r="A2466" i="6"/>
  <c r="F2465" i="6"/>
  <c r="E2465" i="6"/>
  <c r="D2465" i="6"/>
  <c r="C2465" i="6"/>
  <c r="B2465" i="6"/>
  <c r="A2465" i="6"/>
  <c r="F2464" i="6"/>
  <c r="E2464" i="6"/>
  <c r="D2464" i="6"/>
  <c r="C2464" i="6"/>
  <c r="B2464" i="6"/>
  <c r="A2464" i="6"/>
  <c r="F2463" i="6"/>
  <c r="E2463" i="6"/>
  <c r="D2463" i="6"/>
  <c r="C2463" i="6"/>
  <c r="B2463" i="6"/>
  <c r="A2463" i="6"/>
  <c r="F2462" i="6"/>
  <c r="E2462" i="6"/>
  <c r="D2462" i="6"/>
  <c r="C2462" i="6"/>
  <c r="B2462" i="6"/>
  <c r="A2462" i="6"/>
  <c r="F2461" i="6"/>
  <c r="E2461" i="6"/>
  <c r="D2461" i="6"/>
  <c r="C2461" i="6"/>
  <c r="B2461" i="6"/>
  <c r="A2461" i="6"/>
  <c r="F2460" i="6"/>
  <c r="E2460" i="6"/>
  <c r="D2460" i="6"/>
  <c r="C2460" i="6"/>
  <c r="B2460" i="6"/>
  <c r="A2460" i="6"/>
  <c r="F2459" i="6"/>
  <c r="E2459" i="6"/>
  <c r="D2459" i="6"/>
  <c r="C2459" i="6"/>
  <c r="B2459" i="6"/>
  <c r="A2459" i="6"/>
  <c r="F2458" i="6"/>
  <c r="E2458" i="6"/>
  <c r="D2458" i="6"/>
  <c r="C2458" i="6"/>
  <c r="B2458" i="6"/>
  <c r="A2458" i="6"/>
  <c r="F2457" i="6"/>
  <c r="E2457" i="6"/>
  <c r="D2457" i="6"/>
  <c r="C2457" i="6"/>
  <c r="B2457" i="6"/>
  <c r="A2457" i="6"/>
  <c r="F2456" i="6"/>
  <c r="E2456" i="6"/>
  <c r="D2456" i="6"/>
  <c r="C2456" i="6"/>
  <c r="B2456" i="6"/>
  <c r="A2456" i="6"/>
  <c r="F2455" i="6"/>
  <c r="E2455" i="6"/>
  <c r="D2455" i="6"/>
  <c r="C2455" i="6"/>
  <c r="B2455" i="6"/>
  <c r="A2455" i="6"/>
  <c r="F2454" i="6"/>
  <c r="E2454" i="6"/>
  <c r="D2454" i="6"/>
  <c r="C2454" i="6"/>
  <c r="B2454" i="6"/>
  <c r="A2454" i="6"/>
  <c r="F2453" i="6"/>
  <c r="E2453" i="6"/>
  <c r="D2453" i="6"/>
  <c r="C2453" i="6"/>
  <c r="B2453" i="6"/>
  <c r="A2453" i="6"/>
  <c r="F2452" i="6"/>
  <c r="E2452" i="6"/>
  <c r="D2452" i="6"/>
  <c r="C2452" i="6"/>
  <c r="B2452" i="6"/>
  <c r="A2452" i="6"/>
  <c r="F2451" i="6"/>
  <c r="E2451" i="6"/>
  <c r="D2451" i="6"/>
  <c r="C2451" i="6"/>
  <c r="B2451" i="6"/>
  <c r="A2451" i="6"/>
  <c r="F2450" i="6"/>
  <c r="E2450" i="6"/>
  <c r="D2450" i="6"/>
  <c r="C2450" i="6"/>
  <c r="B2450" i="6"/>
  <c r="A2450" i="6"/>
  <c r="F2449" i="6"/>
  <c r="E2449" i="6"/>
  <c r="D2449" i="6"/>
  <c r="C2449" i="6"/>
  <c r="B2449" i="6"/>
  <c r="A2449" i="6"/>
  <c r="F2448" i="6"/>
  <c r="E2448" i="6"/>
  <c r="D2448" i="6"/>
  <c r="C2448" i="6"/>
  <c r="B2448" i="6"/>
  <c r="A2448" i="6"/>
  <c r="F2447" i="6"/>
  <c r="E2447" i="6"/>
  <c r="D2447" i="6"/>
  <c r="C2447" i="6"/>
  <c r="B2447" i="6"/>
  <c r="A2447" i="6"/>
  <c r="F2446" i="6"/>
  <c r="E2446" i="6"/>
  <c r="D2446" i="6"/>
  <c r="C2446" i="6"/>
  <c r="B2446" i="6"/>
  <c r="A2446" i="6"/>
  <c r="F2445" i="6"/>
  <c r="E2445" i="6"/>
  <c r="D2445" i="6"/>
  <c r="C2445" i="6"/>
  <c r="B2445" i="6"/>
  <c r="A2445" i="6"/>
  <c r="F2444" i="6"/>
  <c r="E2444" i="6"/>
  <c r="D2444" i="6"/>
  <c r="C2444" i="6"/>
  <c r="B2444" i="6"/>
  <c r="A2444" i="6"/>
  <c r="F2443" i="6"/>
  <c r="E2443" i="6"/>
  <c r="D2443" i="6"/>
  <c r="C2443" i="6"/>
  <c r="B2443" i="6"/>
  <c r="A2443" i="6"/>
  <c r="F2442" i="6"/>
  <c r="E2442" i="6"/>
  <c r="D2442" i="6"/>
  <c r="C2442" i="6"/>
  <c r="B2442" i="6"/>
  <c r="A2442" i="6"/>
  <c r="F2441" i="6"/>
  <c r="E2441" i="6"/>
  <c r="D2441" i="6"/>
  <c r="C2441" i="6"/>
  <c r="B2441" i="6"/>
  <c r="A2441" i="6"/>
  <c r="F2440" i="6"/>
  <c r="E2440" i="6"/>
  <c r="D2440" i="6"/>
  <c r="C2440" i="6"/>
  <c r="B2440" i="6"/>
  <c r="A2440" i="6"/>
  <c r="F2439" i="6"/>
  <c r="E2439" i="6"/>
  <c r="D2439" i="6"/>
  <c r="C2439" i="6"/>
  <c r="B2439" i="6"/>
  <c r="A2439" i="6"/>
  <c r="F2438" i="6"/>
  <c r="E2438" i="6"/>
  <c r="D2438" i="6"/>
  <c r="C2438" i="6"/>
  <c r="B2438" i="6"/>
  <c r="A2438" i="6"/>
  <c r="F2437" i="6"/>
  <c r="E2437" i="6"/>
  <c r="D2437" i="6"/>
  <c r="C2437" i="6"/>
  <c r="B2437" i="6"/>
  <c r="A2437" i="6"/>
  <c r="F2436" i="6"/>
  <c r="E2436" i="6"/>
  <c r="D2436" i="6"/>
  <c r="C2436" i="6"/>
  <c r="B2436" i="6"/>
  <c r="A2436" i="6"/>
  <c r="F2435" i="6"/>
  <c r="E2435" i="6"/>
  <c r="D2435" i="6"/>
  <c r="C2435" i="6"/>
  <c r="B2435" i="6"/>
  <c r="A2435" i="6"/>
  <c r="F2434" i="6"/>
  <c r="E2434" i="6"/>
  <c r="D2434" i="6"/>
  <c r="C2434" i="6"/>
  <c r="B2434" i="6"/>
  <c r="A2434" i="6"/>
  <c r="F2433" i="6"/>
  <c r="E2433" i="6"/>
  <c r="D2433" i="6"/>
  <c r="C2433" i="6"/>
  <c r="B2433" i="6"/>
  <c r="A2433" i="6"/>
  <c r="F2432" i="6"/>
  <c r="E2432" i="6"/>
  <c r="D2432" i="6"/>
  <c r="C2432" i="6"/>
  <c r="B2432" i="6"/>
  <c r="A2432" i="6"/>
  <c r="F2431" i="6"/>
  <c r="E2431" i="6"/>
  <c r="D2431" i="6"/>
  <c r="C2431" i="6"/>
  <c r="B2431" i="6"/>
  <c r="A2431" i="6"/>
  <c r="F2430" i="6"/>
  <c r="E2430" i="6"/>
  <c r="D2430" i="6"/>
  <c r="C2430" i="6"/>
  <c r="B2430" i="6"/>
  <c r="A2430" i="6"/>
  <c r="F2429" i="6"/>
  <c r="E2429" i="6"/>
  <c r="D2429" i="6"/>
  <c r="C2429" i="6"/>
  <c r="B2429" i="6"/>
  <c r="A2429" i="6"/>
  <c r="F2428" i="6"/>
  <c r="E2428" i="6"/>
  <c r="D2428" i="6"/>
  <c r="C2428" i="6"/>
  <c r="B2428" i="6"/>
  <c r="A2428" i="6"/>
  <c r="F2427" i="6"/>
  <c r="E2427" i="6"/>
  <c r="D2427" i="6"/>
  <c r="C2427" i="6"/>
  <c r="B2427" i="6"/>
  <c r="A2427" i="6"/>
  <c r="F2426" i="6"/>
  <c r="E2426" i="6"/>
  <c r="D2426" i="6"/>
  <c r="C2426" i="6"/>
  <c r="B2426" i="6"/>
  <c r="A2426" i="6"/>
  <c r="F2425" i="6"/>
  <c r="E2425" i="6"/>
  <c r="D2425" i="6"/>
  <c r="C2425" i="6"/>
  <c r="B2425" i="6"/>
  <c r="A2425" i="6"/>
  <c r="F2424" i="6"/>
  <c r="E2424" i="6"/>
  <c r="D2424" i="6"/>
  <c r="C2424" i="6"/>
  <c r="B2424" i="6"/>
  <c r="A2424" i="6"/>
  <c r="F2423" i="6"/>
  <c r="E2423" i="6"/>
  <c r="D2423" i="6"/>
  <c r="C2423" i="6"/>
  <c r="B2423" i="6"/>
  <c r="A2423" i="6"/>
  <c r="F2422" i="6"/>
  <c r="E2422" i="6"/>
  <c r="D2422" i="6"/>
  <c r="C2422" i="6"/>
  <c r="B2422" i="6"/>
  <c r="A2422" i="6"/>
  <c r="F2421" i="6"/>
  <c r="E2421" i="6"/>
  <c r="D2421" i="6"/>
  <c r="C2421" i="6"/>
  <c r="B2421" i="6"/>
  <c r="A2421" i="6"/>
  <c r="F2420" i="6"/>
  <c r="E2420" i="6"/>
  <c r="D2420" i="6"/>
  <c r="C2420" i="6"/>
  <c r="B2420" i="6"/>
  <c r="A2420" i="6"/>
  <c r="F2419" i="6"/>
  <c r="E2419" i="6"/>
  <c r="D2419" i="6"/>
  <c r="C2419" i="6"/>
  <c r="B2419" i="6"/>
  <c r="A2419" i="6"/>
  <c r="F2418" i="6"/>
  <c r="E2418" i="6"/>
  <c r="D2418" i="6"/>
  <c r="C2418" i="6"/>
  <c r="B2418" i="6"/>
  <c r="A2418" i="6"/>
  <c r="F2417" i="6"/>
  <c r="E2417" i="6"/>
  <c r="D2417" i="6"/>
  <c r="C2417" i="6"/>
  <c r="B2417" i="6"/>
  <c r="A2417" i="6"/>
  <c r="F2416" i="6"/>
  <c r="E2416" i="6"/>
  <c r="D2416" i="6"/>
  <c r="C2416" i="6"/>
  <c r="B2416" i="6"/>
  <c r="A2416" i="6"/>
  <c r="F2415" i="6"/>
  <c r="E2415" i="6"/>
  <c r="D2415" i="6"/>
  <c r="C2415" i="6"/>
  <c r="B2415" i="6"/>
  <c r="A2415" i="6"/>
  <c r="F2414" i="6"/>
  <c r="E2414" i="6"/>
  <c r="D2414" i="6"/>
  <c r="C2414" i="6"/>
  <c r="B2414" i="6"/>
  <c r="A2414" i="6"/>
  <c r="F2413" i="6"/>
  <c r="E2413" i="6"/>
  <c r="D2413" i="6"/>
  <c r="C2413" i="6"/>
  <c r="B2413" i="6"/>
  <c r="A2413" i="6"/>
  <c r="F2412" i="6"/>
  <c r="E2412" i="6"/>
  <c r="D2412" i="6"/>
  <c r="C2412" i="6"/>
  <c r="B2412" i="6"/>
  <c r="A2412" i="6"/>
  <c r="F2411" i="6"/>
  <c r="E2411" i="6"/>
  <c r="D2411" i="6"/>
  <c r="C2411" i="6"/>
  <c r="B2411" i="6"/>
  <c r="A2411" i="6"/>
  <c r="F2410" i="6"/>
  <c r="E2410" i="6"/>
  <c r="D2410" i="6"/>
  <c r="C2410" i="6"/>
  <c r="B2410" i="6"/>
  <c r="A2410" i="6"/>
  <c r="F2409" i="6"/>
  <c r="E2409" i="6"/>
  <c r="D2409" i="6"/>
  <c r="C2409" i="6"/>
  <c r="B2409" i="6"/>
  <c r="A2409" i="6"/>
  <c r="F2408" i="6"/>
  <c r="E2408" i="6"/>
  <c r="D2408" i="6"/>
  <c r="C2408" i="6"/>
  <c r="B2408" i="6"/>
  <c r="A2408" i="6"/>
  <c r="F2407" i="6"/>
  <c r="E2407" i="6"/>
  <c r="D2407" i="6"/>
  <c r="C2407" i="6"/>
  <c r="B2407" i="6"/>
  <c r="A2407" i="6"/>
  <c r="F2406" i="6"/>
  <c r="E2406" i="6"/>
  <c r="D2406" i="6"/>
  <c r="C2406" i="6"/>
  <c r="B2406" i="6"/>
  <c r="A2406" i="6"/>
  <c r="F2405" i="6"/>
  <c r="E2405" i="6"/>
  <c r="D2405" i="6"/>
  <c r="C2405" i="6"/>
  <c r="B2405" i="6"/>
  <c r="A2405" i="6"/>
  <c r="F2404" i="6"/>
  <c r="E2404" i="6"/>
  <c r="D2404" i="6"/>
  <c r="C2404" i="6"/>
  <c r="B2404" i="6"/>
  <c r="A2404" i="6"/>
  <c r="F2403" i="6"/>
  <c r="E2403" i="6"/>
  <c r="D2403" i="6"/>
  <c r="C2403" i="6"/>
  <c r="B2403" i="6"/>
  <c r="A2403" i="6"/>
  <c r="F2402" i="6"/>
  <c r="E2402" i="6"/>
  <c r="D2402" i="6"/>
  <c r="C2402" i="6"/>
  <c r="B2402" i="6"/>
  <c r="A2402" i="6"/>
  <c r="F2401" i="6"/>
  <c r="E2401" i="6"/>
  <c r="D2401" i="6"/>
  <c r="C2401" i="6"/>
  <c r="B2401" i="6"/>
  <c r="A2401" i="6"/>
  <c r="F2400" i="6"/>
  <c r="E2400" i="6"/>
  <c r="D2400" i="6"/>
  <c r="C2400" i="6"/>
  <c r="B2400" i="6"/>
  <c r="A2400" i="6"/>
  <c r="F2399" i="6"/>
  <c r="E2399" i="6"/>
  <c r="D2399" i="6"/>
  <c r="C2399" i="6"/>
  <c r="B2399" i="6"/>
  <c r="A2399" i="6"/>
  <c r="F2398" i="6"/>
  <c r="E2398" i="6"/>
  <c r="D2398" i="6"/>
  <c r="C2398" i="6"/>
  <c r="B2398" i="6"/>
  <c r="A2398" i="6"/>
  <c r="F2397" i="6"/>
  <c r="E2397" i="6"/>
  <c r="D2397" i="6"/>
  <c r="C2397" i="6"/>
  <c r="B2397" i="6"/>
  <c r="A2397" i="6"/>
  <c r="F2396" i="6"/>
  <c r="E2396" i="6"/>
  <c r="D2396" i="6"/>
  <c r="C2396" i="6"/>
  <c r="B2396" i="6"/>
  <c r="A2396" i="6"/>
  <c r="F2395" i="6"/>
  <c r="E2395" i="6"/>
  <c r="D2395" i="6"/>
  <c r="C2395" i="6"/>
  <c r="B2395" i="6"/>
  <c r="A2395" i="6"/>
  <c r="F2394" i="6"/>
  <c r="E2394" i="6"/>
  <c r="D2394" i="6"/>
  <c r="C2394" i="6"/>
  <c r="B2394" i="6"/>
  <c r="A2394" i="6"/>
  <c r="F2393" i="6"/>
  <c r="E2393" i="6"/>
  <c r="D2393" i="6"/>
  <c r="C2393" i="6"/>
  <c r="B2393" i="6"/>
  <c r="A2393" i="6"/>
  <c r="F2392" i="6"/>
  <c r="E2392" i="6"/>
  <c r="D2392" i="6"/>
  <c r="C2392" i="6"/>
  <c r="B2392" i="6"/>
  <c r="A2392" i="6"/>
  <c r="F2391" i="6"/>
  <c r="E2391" i="6"/>
  <c r="D2391" i="6"/>
  <c r="C2391" i="6"/>
  <c r="B2391" i="6"/>
  <c r="A2391" i="6"/>
  <c r="F2390" i="6"/>
  <c r="E2390" i="6"/>
  <c r="D2390" i="6"/>
  <c r="C2390" i="6"/>
  <c r="B2390" i="6"/>
  <c r="A2390" i="6"/>
  <c r="F2389" i="6"/>
  <c r="E2389" i="6"/>
  <c r="D2389" i="6"/>
  <c r="C2389" i="6"/>
  <c r="B2389" i="6"/>
  <c r="A2389" i="6"/>
  <c r="F2388" i="6"/>
  <c r="E2388" i="6"/>
  <c r="D2388" i="6"/>
  <c r="C2388" i="6"/>
  <c r="B2388" i="6"/>
  <c r="A2388" i="6"/>
  <c r="F2387" i="6"/>
  <c r="E2387" i="6"/>
  <c r="D2387" i="6"/>
  <c r="C2387" i="6"/>
  <c r="B2387" i="6"/>
  <c r="A2387" i="6"/>
  <c r="F2386" i="6"/>
  <c r="E2386" i="6"/>
  <c r="D2386" i="6"/>
  <c r="C2386" i="6"/>
  <c r="B2386" i="6"/>
  <c r="A2386" i="6"/>
  <c r="F2385" i="6"/>
  <c r="E2385" i="6"/>
  <c r="D2385" i="6"/>
  <c r="C2385" i="6"/>
  <c r="B2385" i="6"/>
  <c r="A2385" i="6"/>
  <c r="F2384" i="6"/>
  <c r="E2384" i="6"/>
  <c r="D2384" i="6"/>
  <c r="C2384" i="6"/>
  <c r="B2384" i="6"/>
  <c r="A2384" i="6"/>
  <c r="F2383" i="6"/>
  <c r="E2383" i="6"/>
  <c r="D2383" i="6"/>
  <c r="C2383" i="6"/>
  <c r="B2383" i="6"/>
  <c r="A2383" i="6"/>
  <c r="F2382" i="6"/>
  <c r="E2382" i="6"/>
  <c r="D2382" i="6"/>
  <c r="C2382" i="6"/>
  <c r="B2382" i="6"/>
  <c r="A2382" i="6"/>
  <c r="F2381" i="6"/>
  <c r="E2381" i="6"/>
  <c r="D2381" i="6"/>
  <c r="C2381" i="6"/>
  <c r="B2381" i="6"/>
  <c r="A2381" i="6"/>
  <c r="F2380" i="6"/>
  <c r="E2380" i="6"/>
  <c r="D2380" i="6"/>
  <c r="C2380" i="6"/>
  <c r="B2380" i="6"/>
  <c r="A2380" i="6"/>
  <c r="F2379" i="6"/>
  <c r="E2379" i="6"/>
  <c r="D2379" i="6"/>
  <c r="C2379" i="6"/>
  <c r="B2379" i="6"/>
  <c r="A2379" i="6"/>
  <c r="F2378" i="6"/>
  <c r="E2378" i="6"/>
  <c r="D2378" i="6"/>
  <c r="C2378" i="6"/>
  <c r="B2378" i="6"/>
  <c r="A2378" i="6"/>
  <c r="F2377" i="6"/>
  <c r="E2377" i="6"/>
  <c r="D2377" i="6"/>
  <c r="C2377" i="6"/>
  <c r="B2377" i="6"/>
  <c r="A2377" i="6"/>
  <c r="F2376" i="6"/>
  <c r="E2376" i="6"/>
  <c r="D2376" i="6"/>
  <c r="C2376" i="6"/>
  <c r="B2376" i="6"/>
  <c r="A2376" i="6"/>
  <c r="F2375" i="6"/>
  <c r="E2375" i="6"/>
  <c r="D2375" i="6"/>
  <c r="C2375" i="6"/>
  <c r="B2375" i="6"/>
  <c r="A2375" i="6"/>
  <c r="F2374" i="6"/>
  <c r="E2374" i="6"/>
  <c r="D2374" i="6"/>
  <c r="C2374" i="6"/>
  <c r="B2374" i="6"/>
  <c r="A2374" i="6"/>
  <c r="F2373" i="6"/>
  <c r="E2373" i="6"/>
  <c r="D2373" i="6"/>
  <c r="C2373" i="6"/>
  <c r="B2373" i="6"/>
  <c r="A2373" i="6"/>
  <c r="F2372" i="6"/>
  <c r="E2372" i="6"/>
  <c r="D2372" i="6"/>
  <c r="C2372" i="6"/>
  <c r="B2372" i="6"/>
  <c r="A2372" i="6"/>
  <c r="F2371" i="6"/>
  <c r="E2371" i="6"/>
  <c r="D2371" i="6"/>
  <c r="C2371" i="6"/>
  <c r="B2371" i="6"/>
  <c r="A2371" i="6"/>
  <c r="F2370" i="6"/>
  <c r="E2370" i="6"/>
  <c r="D2370" i="6"/>
  <c r="C2370" i="6"/>
  <c r="B2370" i="6"/>
  <c r="A2370" i="6"/>
  <c r="F2369" i="6"/>
  <c r="E2369" i="6"/>
  <c r="D2369" i="6"/>
  <c r="C2369" i="6"/>
  <c r="B2369" i="6"/>
  <c r="A2369" i="6"/>
  <c r="F2368" i="6"/>
  <c r="E2368" i="6"/>
  <c r="D2368" i="6"/>
  <c r="C2368" i="6"/>
  <c r="B2368" i="6"/>
  <c r="A2368" i="6"/>
  <c r="F2367" i="6"/>
  <c r="E2367" i="6"/>
  <c r="D2367" i="6"/>
  <c r="C2367" i="6"/>
  <c r="B2367" i="6"/>
  <c r="A2367" i="6"/>
  <c r="F2366" i="6"/>
  <c r="E2366" i="6"/>
  <c r="D2366" i="6"/>
  <c r="C2366" i="6"/>
  <c r="B2366" i="6"/>
  <c r="A2366" i="6"/>
  <c r="F2365" i="6"/>
  <c r="E2365" i="6"/>
  <c r="D2365" i="6"/>
  <c r="C2365" i="6"/>
  <c r="B2365" i="6"/>
  <c r="A2365" i="6"/>
  <c r="F2364" i="6"/>
  <c r="E2364" i="6"/>
  <c r="D2364" i="6"/>
  <c r="C2364" i="6"/>
  <c r="B2364" i="6"/>
  <c r="A2364" i="6"/>
  <c r="F2363" i="6"/>
  <c r="E2363" i="6"/>
  <c r="D2363" i="6"/>
  <c r="C2363" i="6"/>
  <c r="B2363" i="6"/>
  <c r="A2363" i="6"/>
  <c r="F2362" i="6"/>
  <c r="E2362" i="6"/>
  <c r="D2362" i="6"/>
  <c r="C2362" i="6"/>
  <c r="B2362" i="6"/>
  <c r="A2362" i="6"/>
  <c r="F2361" i="6"/>
  <c r="E2361" i="6"/>
  <c r="D2361" i="6"/>
  <c r="C2361" i="6"/>
  <c r="B2361" i="6"/>
  <c r="A2361" i="6"/>
  <c r="F2360" i="6"/>
  <c r="E2360" i="6"/>
  <c r="D2360" i="6"/>
  <c r="C2360" i="6"/>
  <c r="B2360" i="6"/>
  <c r="A2360" i="6"/>
  <c r="F2359" i="6"/>
  <c r="E2359" i="6"/>
  <c r="D2359" i="6"/>
  <c r="C2359" i="6"/>
  <c r="B2359" i="6"/>
  <c r="A2359" i="6"/>
  <c r="F2358" i="6"/>
  <c r="E2358" i="6"/>
  <c r="D2358" i="6"/>
  <c r="C2358" i="6"/>
  <c r="B2358" i="6"/>
  <c r="A2358" i="6"/>
  <c r="F2357" i="6"/>
  <c r="E2357" i="6"/>
  <c r="D2357" i="6"/>
  <c r="C2357" i="6"/>
  <c r="B2357" i="6"/>
  <c r="A2357" i="6"/>
  <c r="F2356" i="6"/>
  <c r="E2356" i="6"/>
  <c r="D2356" i="6"/>
  <c r="C2356" i="6"/>
  <c r="B2356" i="6"/>
  <c r="A2356" i="6"/>
  <c r="F2355" i="6"/>
  <c r="E2355" i="6"/>
  <c r="D2355" i="6"/>
  <c r="C2355" i="6"/>
  <c r="B2355" i="6"/>
  <c r="A2355" i="6"/>
  <c r="F2354" i="6"/>
  <c r="E2354" i="6"/>
  <c r="D2354" i="6"/>
  <c r="C2354" i="6"/>
  <c r="B2354" i="6"/>
  <c r="A2354" i="6"/>
  <c r="F2353" i="6"/>
  <c r="E2353" i="6"/>
  <c r="D2353" i="6"/>
  <c r="C2353" i="6"/>
  <c r="B2353" i="6"/>
  <c r="A2353" i="6"/>
  <c r="F2352" i="6"/>
  <c r="E2352" i="6"/>
  <c r="D2352" i="6"/>
  <c r="C2352" i="6"/>
  <c r="B2352" i="6"/>
  <c r="A2352" i="6"/>
  <c r="F2351" i="6"/>
  <c r="E2351" i="6"/>
  <c r="D2351" i="6"/>
  <c r="C2351" i="6"/>
  <c r="B2351" i="6"/>
  <c r="A2351" i="6"/>
  <c r="F2350" i="6"/>
  <c r="E2350" i="6"/>
  <c r="D2350" i="6"/>
  <c r="C2350" i="6"/>
  <c r="B2350" i="6"/>
  <c r="A2350" i="6"/>
  <c r="F2349" i="6"/>
  <c r="E2349" i="6"/>
  <c r="D2349" i="6"/>
  <c r="C2349" i="6"/>
  <c r="B2349" i="6"/>
  <c r="A2349" i="6"/>
  <c r="F2348" i="6"/>
  <c r="E2348" i="6"/>
  <c r="D2348" i="6"/>
  <c r="C2348" i="6"/>
  <c r="B2348" i="6"/>
  <c r="A2348" i="6"/>
  <c r="F2347" i="6"/>
  <c r="E2347" i="6"/>
  <c r="D2347" i="6"/>
  <c r="C2347" i="6"/>
  <c r="B2347" i="6"/>
  <c r="A2347" i="6"/>
  <c r="F2346" i="6"/>
  <c r="E2346" i="6"/>
  <c r="D2346" i="6"/>
  <c r="C2346" i="6"/>
  <c r="B2346" i="6"/>
  <c r="A2346" i="6"/>
  <c r="F2345" i="6"/>
  <c r="E2345" i="6"/>
  <c r="D2345" i="6"/>
  <c r="C2345" i="6"/>
  <c r="B2345" i="6"/>
  <c r="A2345" i="6"/>
  <c r="F2344" i="6"/>
  <c r="E2344" i="6"/>
  <c r="D2344" i="6"/>
  <c r="C2344" i="6"/>
  <c r="B2344" i="6"/>
  <c r="A2344" i="6"/>
  <c r="F2343" i="6"/>
  <c r="E2343" i="6"/>
  <c r="D2343" i="6"/>
  <c r="C2343" i="6"/>
  <c r="B2343" i="6"/>
  <c r="A2343" i="6"/>
  <c r="F2342" i="6"/>
  <c r="E2342" i="6"/>
  <c r="D2342" i="6"/>
  <c r="C2342" i="6"/>
  <c r="B2342" i="6"/>
  <c r="A2342" i="6"/>
  <c r="F2341" i="6"/>
  <c r="E2341" i="6"/>
  <c r="D2341" i="6"/>
  <c r="C2341" i="6"/>
  <c r="B2341" i="6"/>
  <c r="A2341" i="6"/>
  <c r="F2340" i="6"/>
  <c r="E2340" i="6"/>
  <c r="D2340" i="6"/>
  <c r="C2340" i="6"/>
  <c r="B2340" i="6"/>
  <c r="A2340" i="6"/>
  <c r="F2339" i="6"/>
  <c r="E2339" i="6"/>
  <c r="D2339" i="6"/>
  <c r="C2339" i="6"/>
  <c r="B2339" i="6"/>
  <c r="A2339" i="6"/>
  <c r="F2338" i="6"/>
  <c r="E2338" i="6"/>
  <c r="D2338" i="6"/>
  <c r="C2338" i="6"/>
  <c r="B2338" i="6"/>
  <c r="A2338" i="6"/>
  <c r="F2337" i="6"/>
  <c r="E2337" i="6"/>
  <c r="D2337" i="6"/>
  <c r="C2337" i="6"/>
  <c r="B2337" i="6"/>
  <c r="A2337" i="6"/>
  <c r="F2336" i="6"/>
  <c r="E2336" i="6"/>
  <c r="D2336" i="6"/>
  <c r="C2336" i="6"/>
  <c r="B2336" i="6"/>
  <c r="A2336" i="6"/>
  <c r="F2335" i="6"/>
  <c r="E2335" i="6"/>
  <c r="D2335" i="6"/>
  <c r="C2335" i="6"/>
  <c r="B2335" i="6"/>
  <c r="A2335" i="6"/>
  <c r="F2334" i="6"/>
  <c r="E2334" i="6"/>
  <c r="D2334" i="6"/>
  <c r="C2334" i="6"/>
  <c r="B2334" i="6"/>
  <c r="A2334" i="6"/>
  <c r="F2333" i="6"/>
  <c r="E2333" i="6"/>
  <c r="D2333" i="6"/>
  <c r="C2333" i="6"/>
  <c r="B2333" i="6"/>
  <c r="A2333" i="6"/>
  <c r="F2332" i="6"/>
  <c r="E2332" i="6"/>
  <c r="D2332" i="6"/>
  <c r="C2332" i="6"/>
  <c r="B2332" i="6"/>
  <c r="A2332" i="6"/>
  <c r="F2331" i="6"/>
  <c r="E2331" i="6"/>
  <c r="D2331" i="6"/>
  <c r="C2331" i="6"/>
  <c r="B2331" i="6"/>
  <c r="A2331" i="6"/>
  <c r="F2330" i="6"/>
  <c r="E2330" i="6"/>
  <c r="D2330" i="6"/>
  <c r="C2330" i="6"/>
  <c r="B2330" i="6"/>
  <c r="A2330" i="6"/>
  <c r="F2329" i="6"/>
  <c r="E2329" i="6"/>
  <c r="D2329" i="6"/>
  <c r="C2329" i="6"/>
  <c r="B2329" i="6"/>
  <c r="A2329" i="6"/>
  <c r="F2328" i="6"/>
  <c r="E2328" i="6"/>
  <c r="D2328" i="6"/>
  <c r="C2328" i="6"/>
  <c r="B2328" i="6"/>
  <c r="A2328" i="6"/>
  <c r="F2327" i="6"/>
  <c r="E2327" i="6"/>
  <c r="D2327" i="6"/>
  <c r="C2327" i="6"/>
  <c r="B2327" i="6"/>
  <c r="A2327" i="6"/>
  <c r="F2326" i="6"/>
  <c r="E2326" i="6"/>
  <c r="D2326" i="6"/>
  <c r="C2326" i="6"/>
  <c r="B2326" i="6"/>
  <c r="A2326" i="6"/>
  <c r="F2325" i="6"/>
  <c r="E2325" i="6"/>
  <c r="D2325" i="6"/>
  <c r="C2325" i="6"/>
  <c r="B2325" i="6"/>
  <c r="A2325" i="6"/>
  <c r="F2324" i="6"/>
  <c r="E2324" i="6"/>
  <c r="D2324" i="6"/>
  <c r="C2324" i="6"/>
  <c r="B2324" i="6"/>
  <c r="A2324" i="6"/>
  <c r="F2323" i="6"/>
  <c r="E2323" i="6"/>
  <c r="D2323" i="6"/>
  <c r="C2323" i="6"/>
  <c r="B2323" i="6"/>
  <c r="A2323" i="6"/>
  <c r="F2322" i="6"/>
  <c r="E2322" i="6"/>
  <c r="D2322" i="6"/>
  <c r="C2322" i="6"/>
  <c r="B2322" i="6"/>
  <c r="A2322" i="6"/>
  <c r="F2321" i="6"/>
  <c r="E2321" i="6"/>
  <c r="D2321" i="6"/>
  <c r="C2321" i="6"/>
  <c r="B2321" i="6"/>
  <c r="A2321" i="6"/>
  <c r="F2320" i="6"/>
  <c r="E2320" i="6"/>
  <c r="D2320" i="6"/>
  <c r="C2320" i="6"/>
  <c r="B2320" i="6"/>
  <c r="A2320" i="6"/>
  <c r="F2319" i="6"/>
  <c r="E2319" i="6"/>
  <c r="D2319" i="6"/>
  <c r="C2319" i="6"/>
  <c r="B2319" i="6"/>
  <c r="A2319" i="6"/>
  <c r="F2318" i="6"/>
  <c r="E2318" i="6"/>
  <c r="D2318" i="6"/>
  <c r="C2318" i="6"/>
  <c r="B2318" i="6"/>
  <c r="A2318" i="6"/>
  <c r="F2317" i="6"/>
  <c r="E2317" i="6"/>
  <c r="D2317" i="6"/>
  <c r="C2317" i="6"/>
  <c r="B2317" i="6"/>
  <c r="A2317" i="6"/>
  <c r="F2316" i="6"/>
  <c r="E2316" i="6"/>
  <c r="D2316" i="6"/>
  <c r="C2316" i="6"/>
  <c r="B2316" i="6"/>
  <c r="A2316" i="6"/>
  <c r="F2315" i="6"/>
  <c r="E2315" i="6"/>
  <c r="D2315" i="6"/>
  <c r="C2315" i="6"/>
  <c r="B2315" i="6"/>
  <c r="A2315" i="6"/>
  <c r="F2314" i="6"/>
  <c r="E2314" i="6"/>
  <c r="D2314" i="6"/>
  <c r="C2314" i="6"/>
  <c r="B2314" i="6"/>
  <c r="A2314" i="6"/>
  <c r="F2313" i="6"/>
  <c r="E2313" i="6"/>
  <c r="D2313" i="6"/>
  <c r="C2313" i="6"/>
  <c r="B2313" i="6"/>
  <c r="A2313" i="6"/>
  <c r="F2312" i="6"/>
  <c r="E2312" i="6"/>
  <c r="D2312" i="6"/>
  <c r="C2312" i="6"/>
  <c r="B2312" i="6"/>
  <c r="A2312" i="6"/>
  <c r="F2311" i="6"/>
  <c r="E2311" i="6"/>
  <c r="D2311" i="6"/>
  <c r="C2311" i="6"/>
  <c r="B2311" i="6"/>
  <c r="A2311" i="6"/>
  <c r="F2310" i="6"/>
  <c r="E2310" i="6"/>
  <c r="D2310" i="6"/>
  <c r="C2310" i="6"/>
  <c r="B2310" i="6"/>
  <c r="A2310" i="6"/>
  <c r="F2309" i="6"/>
  <c r="E2309" i="6"/>
  <c r="D2309" i="6"/>
  <c r="C2309" i="6"/>
  <c r="B2309" i="6"/>
  <c r="A2309" i="6"/>
  <c r="F2308" i="6"/>
  <c r="E2308" i="6"/>
  <c r="D2308" i="6"/>
  <c r="C2308" i="6"/>
  <c r="B2308" i="6"/>
  <c r="A2308" i="6"/>
  <c r="F2307" i="6"/>
  <c r="E2307" i="6"/>
  <c r="D2307" i="6"/>
  <c r="C2307" i="6"/>
  <c r="B2307" i="6"/>
  <c r="A2307" i="6"/>
  <c r="F2306" i="6"/>
  <c r="E2306" i="6"/>
  <c r="D2306" i="6"/>
  <c r="C2306" i="6"/>
  <c r="B2306" i="6"/>
  <c r="A2306" i="6"/>
  <c r="F2305" i="6"/>
  <c r="E2305" i="6"/>
  <c r="D2305" i="6"/>
  <c r="C2305" i="6"/>
  <c r="B2305" i="6"/>
  <c r="A2305" i="6"/>
  <c r="F2304" i="6"/>
  <c r="E2304" i="6"/>
  <c r="D2304" i="6"/>
  <c r="C2304" i="6"/>
  <c r="B2304" i="6"/>
  <c r="A2304" i="6"/>
  <c r="F2303" i="6"/>
  <c r="E2303" i="6"/>
  <c r="D2303" i="6"/>
  <c r="C2303" i="6"/>
  <c r="B2303" i="6"/>
  <c r="A2303" i="6"/>
  <c r="F2302" i="6"/>
  <c r="E2302" i="6"/>
  <c r="D2302" i="6"/>
  <c r="C2302" i="6"/>
  <c r="B2302" i="6"/>
  <c r="A2302" i="6"/>
  <c r="F2301" i="6"/>
  <c r="E2301" i="6"/>
  <c r="D2301" i="6"/>
  <c r="C2301" i="6"/>
  <c r="B2301" i="6"/>
  <c r="A2301" i="6"/>
  <c r="F2300" i="6"/>
  <c r="E2300" i="6"/>
  <c r="D2300" i="6"/>
  <c r="C2300" i="6"/>
  <c r="B2300" i="6"/>
  <c r="A2300" i="6"/>
  <c r="F2299" i="6"/>
  <c r="E2299" i="6"/>
  <c r="D2299" i="6"/>
  <c r="C2299" i="6"/>
  <c r="B2299" i="6"/>
  <c r="A2299" i="6"/>
  <c r="F2298" i="6"/>
  <c r="E2298" i="6"/>
  <c r="D2298" i="6"/>
  <c r="C2298" i="6"/>
  <c r="B2298" i="6"/>
  <c r="A2298" i="6"/>
  <c r="F2297" i="6"/>
  <c r="E2297" i="6"/>
  <c r="D2297" i="6"/>
  <c r="C2297" i="6"/>
  <c r="B2297" i="6"/>
  <c r="A2297" i="6"/>
  <c r="F2296" i="6"/>
  <c r="E2296" i="6"/>
  <c r="D2296" i="6"/>
  <c r="C2296" i="6"/>
  <c r="B2296" i="6"/>
  <c r="A2296" i="6"/>
  <c r="F2295" i="6"/>
  <c r="E2295" i="6"/>
  <c r="D2295" i="6"/>
  <c r="C2295" i="6"/>
  <c r="B2295" i="6"/>
  <c r="A2295" i="6"/>
  <c r="F2294" i="6"/>
  <c r="E2294" i="6"/>
  <c r="D2294" i="6"/>
  <c r="C2294" i="6"/>
  <c r="B2294" i="6"/>
  <c r="A2294" i="6"/>
  <c r="F2293" i="6"/>
  <c r="E2293" i="6"/>
  <c r="D2293" i="6"/>
  <c r="C2293" i="6"/>
  <c r="B2293" i="6"/>
  <c r="A2293" i="6"/>
  <c r="F2292" i="6"/>
  <c r="E2292" i="6"/>
  <c r="D2292" i="6"/>
  <c r="C2292" i="6"/>
  <c r="B2292" i="6"/>
  <c r="A2292" i="6"/>
  <c r="F2291" i="6"/>
  <c r="E2291" i="6"/>
  <c r="D2291" i="6"/>
  <c r="C2291" i="6"/>
  <c r="B2291" i="6"/>
  <c r="A2291" i="6"/>
  <c r="F2290" i="6"/>
  <c r="E2290" i="6"/>
  <c r="D2290" i="6"/>
  <c r="C2290" i="6"/>
  <c r="B2290" i="6"/>
  <c r="A2290" i="6"/>
  <c r="F2289" i="6"/>
  <c r="E2289" i="6"/>
  <c r="D2289" i="6"/>
  <c r="C2289" i="6"/>
  <c r="B2289" i="6"/>
  <c r="A2289" i="6"/>
  <c r="F2288" i="6"/>
  <c r="E2288" i="6"/>
  <c r="D2288" i="6"/>
  <c r="C2288" i="6"/>
  <c r="B2288" i="6"/>
  <c r="A2288" i="6"/>
  <c r="F2287" i="6"/>
  <c r="E2287" i="6"/>
  <c r="D2287" i="6"/>
  <c r="C2287" i="6"/>
  <c r="B2287" i="6"/>
  <c r="A2287" i="6"/>
  <c r="F2286" i="6"/>
  <c r="E2286" i="6"/>
  <c r="D2286" i="6"/>
  <c r="C2286" i="6"/>
  <c r="B2286" i="6"/>
  <c r="A2286" i="6"/>
  <c r="F2285" i="6"/>
  <c r="E2285" i="6"/>
  <c r="D2285" i="6"/>
  <c r="C2285" i="6"/>
  <c r="B2285" i="6"/>
  <c r="A2285" i="6"/>
  <c r="F2284" i="6"/>
  <c r="E2284" i="6"/>
  <c r="D2284" i="6"/>
  <c r="C2284" i="6"/>
  <c r="B2284" i="6"/>
  <c r="A2284" i="6"/>
  <c r="F2283" i="6"/>
  <c r="E2283" i="6"/>
  <c r="D2283" i="6"/>
  <c r="C2283" i="6"/>
  <c r="B2283" i="6"/>
  <c r="A2283" i="6"/>
  <c r="F2282" i="6"/>
  <c r="E2282" i="6"/>
  <c r="D2282" i="6"/>
  <c r="C2282" i="6"/>
  <c r="B2282" i="6"/>
  <c r="A2282" i="6"/>
  <c r="F2281" i="6"/>
  <c r="E2281" i="6"/>
  <c r="D2281" i="6"/>
  <c r="C2281" i="6"/>
  <c r="B2281" i="6"/>
  <c r="A2281" i="6"/>
  <c r="F2280" i="6"/>
  <c r="E2280" i="6"/>
  <c r="D2280" i="6"/>
  <c r="C2280" i="6"/>
  <c r="B2280" i="6"/>
  <c r="A2280" i="6"/>
  <c r="F2279" i="6"/>
  <c r="E2279" i="6"/>
  <c r="D2279" i="6"/>
  <c r="C2279" i="6"/>
  <c r="B2279" i="6"/>
  <c r="A2279" i="6"/>
  <c r="F2278" i="6"/>
  <c r="E2278" i="6"/>
  <c r="D2278" i="6"/>
  <c r="C2278" i="6"/>
  <c r="B2278" i="6"/>
  <c r="A2278" i="6"/>
  <c r="F2277" i="6"/>
  <c r="E2277" i="6"/>
  <c r="D2277" i="6"/>
  <c r="C2277" i="6"/>
  <c r="B2277" i="6"/>
  <c r="A2277" i="6"/>
  <c r="F2276" i="6"/>
  <c r="E2276" i="6"/>
  <c r="D2276" i="6"/>
  <c r="C2276" i="6"/>
  <c r="B2276" i="6"/>
  <c r="A2276" i="6"/>
  <c r="F2275" i="6"/>
  <c r="E2275" i="6"/>
  <c r="D2275" i="6"/>
  <c r="C2275" i="6"/>
  <c r="B2275" i="6"/>
  <c r="A2275" i="6"/>
  <c r="F2274" i="6"/>
  <c r="E2274" i="6"/>
  <c r="D2274" i="6"/>
  <c r="C2274" i="6"/>
  <c r="B2274" i="6"/>
  <c r="A2274" i="6"/>
  <c r="F2273" i="6"/>
  <c r="E2273" i="6"/>
  <c r="D2273" i="6"/>
  <c r="C2273" i="6"/>
  <c r="B2273" i="6"/>
  <c r="A2273" i="6"/>
  <c r="F2272" i="6"/>
  <c r="E2272" i="6"/>
  <c r="D2272" i="6"/>
  <c r="C2272" i="6"/>
  <c r="B2272" i="6"/>
  <c r="A2272" i="6"/>
  <c r="F2271" i="6"/>
  <c r="E2271" i="6"/>
  <c r="D2271" i="6"/>
  <c r="C2271" i="6"/>
  <c r="B2271" i="6"/>
  <c r="A2271" i="6"/>
  <c r="F2270" i="6"/>
  <c r="E2270" i="6"/>
  <c r="D2270" i="6"/>
  <c r="C2270" i="6"/>
  <c r="B2270" i="6"/>
  <c r="A2270" i="6"/>
  <c r="F2269" i="6"/>
  <c r="E2269" i="6"/>
  <c r="D2269" i="6"/>
  <c r="C2269" i="6"/>
  <c r="B2269" i="6"/>
  <c r="A2269" i="6"/>
  <c r="F2268" i="6"/>
  <c r="E2268" i="6"/>
  <c r="D2268" i="6"/>
  <c r="C2268" i="6"/>
  <c r="B2268" i="6"/>
  <c r="A2268" i="6"/>
  <c r="F2267" i="6"/>
  <c r="E2267" i="6"/>
  <c r="D2267" i="6"/>
  <c r="C2267" i="6"/>
  <c r="B2267" i="6"/>
  <c r="A2267" i="6"/>
  <c r="F2266" i="6"/>
  <c r="E2266" i="6"/>
  <c r="D2266" i="6"/>
  <c r="C2266" i="6"/>
  <c r="B2266" i="6"/>
  <c r="A2266" i="6"/>
  <c r="F2265" i="6"/>
  <c r="E2265" i="6"/>
  <c r="D2265" i="6"/>
  <c r="C2265" i="6"/>
  <c r="B2265" i="6"/>
  <c r="A2265" i="6"/>
  <c r="F2264" i="6"/>
  <c r="E2264" i="6"/>
  <c r="D2264" i="6"/>
  <c r="C2264" i="6"/>
  <c r="B2264" i="6"/>
  <c r="A2264" i="6"/>
  <c r="F2263" i="6"/>
  <c r="E2263" i="6"/>
  <c r="D2263" i="6"/>
  <c r="C2263" i="6"/>
  <c r="B2263" i="6"/>
  <c r="A2263" i="6"/>
  <c r="F2262" i="6"/>
  <c r="E2262" i="6"/>
  <c r="D2262" i="6"/>
  <c r="C2262" i="6"/>
  <c r="B2262" i="6"/>
  <c r="A2262" i="6"/>
  <c r="F2261" i="6"/>
  <c r="E2261" i="6"/>
  <c r="D2261" i="6"/>
  <c r="C2261" i="6"/>
  <c r="B2261" i="6"/>
  <c r="A2261" i="6"/>
  <c r="F2260" i="6"/>
  <c r="E2260" i="6"/>
  <c r="D2260" i="6"/>
  <c r="C2260" i="6"/>
  <c r="B2260" i="6"/>
  <c r="A2260" i="6"/>
  <c r="F2259" i="6"/>
  <c r="E2259" i="6"/>
  <c r="D2259" i="6"/>
  <c r="C2259" i="6"/>
  <c r="B2259" i="6"/>
  <c r="A2259" i="6"/>
  <c r="F2258" i="6"/>
  <c r="E2258" i="6"/>
  <c r="D2258" i="6"/>
  <c r="C2258" i="6"/>
  <c r="B2258" i="6"/>
  <c r="A2258" i="6"/>
  <c r="F2257" i="6"/>
  <c r="E2257" i="6"/>
  <c r="D2257" i="6"/>
  <c r="C2257" i="6"/>
  <c r="B2257" i="6"/>
  <c r="A2257" i="6"/>
  <c r="F2256" i="6"/>
  <c r="E2256" i="6"/>
  <c r="D2256" i="6"/>
  <c r="C2256" i="6"/>
  <c r="B2256" i="6"/>
  <c r="A2256" i="6"/>
  <c r="F2255" i="6"/>
  <c r="E2255" i="6"/>
  <c r="D2255" i="6"/>
  <c r="C2255" i="6"/>
  <c r="B2255" i="6"/>
  <c r="A2255" i="6"/>
  <c r="F2254" i="6"/>
  <c r="E2254" i="6"/>
  <c r="D2254" i="6"/>
  <c r="C2254" i="6"/>
  <c r="B2254" i="6"/>
  <c r="A2254" i="6"/>
  <c r="F2253" i="6"/>
  <c r="E2253" i="6"/>
  <c r="D2253" i="6"/>
  <c r="C2253" i="6"/>
  <c r="B2253" i="6"/>
  <c r="A2253" i="6"/>
  <c r="F2252" i="6"/>
  <c r="E2252" i="6"/>
  <c r="D2252" i="6"/>
  <c r="C2252" i="6"/>
  <c r="B2252" i="6"/>
  <c r="A2252" i="6"/>
  <c r="F2251" i="6"/>
  <c r="E2251" i="6"/>
  <c r="D2251" i="6"/>
  <c r="C2251" i="6"/>
  <c r="B2251" i="6"/>
  <c r="A2251" i="6"/>
  <c r="F2250" i="6"/>
  <c r="E2250" i="6"/>
  <c r="D2250" i="6"/>
  <c r="C2250" i="6"/>
  <c r="B2250" i="6"/>
  <c r="A2250" i="6"/>
  <c r="F2249" i="6"/>
  <c r="E2249" i="6"/>
  <c r="D2249" i="6"/>
  <c r="C2249" i="6"/>
  <c r="B2249" i="6"/>
  <c r="A2249" i="6"/>
  <c r="F2248" i="6"/>
  <c r="E2248" i="6"/>
  <c r="D2248" i="6"/>
  <c r="C2248" i="6"/>
  <c r="B2248" i="6"/>
  <c r="A2248" i="6"/>
  <c r="F2247" i="6"/>
  <c r="E2247" i="6"/>
  <c r="D2247" i="6"/>
  <c r="C2247" i="6"/>
  <c r="B2247" i="6"/>
  <c r="A2247" i="6"/>
  <c r="F2246" i="6"/>
  <c r="E2246" i="6"/>
  <c r="D2246" i="6"/>
  <c r="C2246" i="6"/>
  <c r="B2246" i="6"/>
  <c r="A2246" i="6"/>
  <c r="F2245" i="6"/>
  <c r="E2245" i="6"/>
  <c r="D2245" i="6"/>
  <c r="C2245" i="6"/>
  <c r="B2245" i="6"/>
  <c r="A2245" i="6"/>
  <c r="F2244" i="6"/>
  <c r="E2244" i="6"/>
  <c r="D2244" i="6"/>
  <c r="C2244" i="6"/>
  <c r="B2244" i="6"/>
  <c r="A2244" i="6"/>
  <c r="F2243" i="6"/>
  <c r="E2243" i="6"/>
  <c r="D2243" i="6"/>
  <c r="C2243" i="6"/>
  <c r="B2243" i="6"/>
  <c r="A2243" i="6"/>
  <c r="F2242" i="6"/>
  <c r="E2242" i="6"/>
  <c r="D2242" i="6"/>
  <c r="C2242" i="6"/>
  <c r="B2242" i="6"/>
  <c r="A2242" i="6"/>
  <c r="F2241" i="6"/>
  <c r="E2241" i="6"/>
  <c r="D2241" i="6"/>
  <c r="C2241" i="6"/>
  <c r="B2241" i="6"/>
  <c r="A2241" i="6"/>
  <c r="F2240" i="6"/>
  <c r="E2240" i="6"/>
  <c r="D2240" i="6"/>
  <c r="C2240" i="6"/>
  <c r="B2240" i="6"/>
  <c r="A2240" i="6"/>
  <c r="F2239" i="6"/>
  <c r="E2239" i="6"/>
  <c r="D2239" i="6"/>
  <c r="C2239" i="6"/>
  <c r="B2239" i="6"/>
  <c r="A2239" i="6"/>
  <c r="F2238" i="6"/>
  <c r="E2238" i="6"/>
  <c r="D2238" i="6"/>
  <c r="C2238" i="6"/>
  <c r="B2238" i="6"/>
  <c r="A2238" i="6"/>
  <c r="F2237" i="6"/>
  <c r="E2237" i="6"/>
  <c r="D2237" i="6"/>
  <c r="C2237" i="6"/>
  <c r="B2237" i="6"/>
  <c r="A2237" i="6"/>
  <c r="F2236" i="6"/>
  <c r="E2236" i="6"/>
  <c r="D2236" i="6"/>
  <c r="C2236" i="6"/>
  <c r="B2236" i="6"/>
  <c r="A2236" i="6"/>
  <c r="F2235" i="6"/>
  <c r="E2235" i="6"/>
  <c r="D2235" i="6"/>
  <c r="C2235" i="6"/>
  <c r="B2235" i="6"/>
  <c r="A2235" i="6"/>
  <c r="F2234" i="6"/>
  <c r="E2234" i="6"/>
  <c r="D2234" i="6"/>
  <c r="C2234" i="6"/>
  <c r="B2234" i="6"/>
  <c r="A2234" i="6"/>
  <c r="F2233" i="6"/>
  <c r="E2233" i="6"/>
  <c r="D2233" i="6"/>
  <c r="C2233" i="6"/>
  <c r="B2233" i="6"/>
  <c r="A2233" i="6"/>
  <c r="F2232" i="6"/>
  <c r="E2232" i="6"/>
  <c r="D2232" i="6"/>
  <c r="C2232" i="6"/>
  <c r="B2232" i="6"/>
  <c r="A2232" i="6"/>
  <c r="F2231" i="6"/>
  <c r="E2231" i="6"/>
  <c r="D2231" i="6"/>
  <c r="C2231" i="6"/>
  <c r="B2231" i="6"/>
  <c r="A2231" i="6"/>
  <c r="F2230" i="6"/>
  <c r="E2230" i="6"/>
  <c r="D2230" i="6"/>
  <c r="C2230" i="6"/>
  <c r="B2230" i="6"/>
  <c r="A2230" i="6"/>
  <c r="F2229" i="6"/>
  <c r="E2229" i="6"/>
  <c r="D2229" i="6"/>
  <c r="C2229" i="6"/>
  <c r="B2229" i="6"/>
  <c r="A2229" i="6"/>
  <c r="F2228" i="6"/>
  <c r="E2228" i="6"/>
  <c r="D2228" i="6"/>
  <c r="C2228" i="6"/>
  <c r="B2228" i="6"/>
  <c r="A2228" i="6"/>
  <c r="F2227" i="6"/>
  <c r="E2227" i="6"/>
  <c r="D2227" i="6"/>
  <c r="C2227" i="6"/>
  <c r="B2227" i="6"/>
  <c r="A2227" i="6"/>
  <c r="F2226" i="6"/>
  <c r="E2226" i="6"/>
  <c r="D2226" i="6"/>
  <c r="C2226" i="6"/>
  <c r="B2226" i="6"/>
  <c r="A2226" i="6"/>
  <c r="F2225" i="6"/>
  <c r="E2225" i="6"/>
  <c r="D2225" i="6"/>
  <c r="C2225" i="6"/>
  <c r="B2225" i="6"/>
  <c r="A2225" i="6"/>
  <c r="F2224" i="6"/>
  <c r="E2224" i="6"/>
  <c r="D2224" i="6"/>
  <c r="C2224" i="6"/>
  <c r="B2224" i="6"/>
  <c r="A2224" i="6"/>
  <c r="F2223" i="6"/>
  <c r="E2223" i="6"/>
  <c r="D2223" i="6"/>
  <c r="C2223" i="6"/>
  <c r="B2223" i="6"/>
  <c r="A2223" i="6"/>
  <c r="F2222" i="6"/>
  <c r="E2222" i="6"/>
  <c r="D2222" i="6"/>
  <c r="C2222" i="6"/>
  <c r="B2222" i="6"/>
  <c r="A2222" i="6"/>
  <c r="F2221" i="6"/>
  <c r="E2221" i="6"/>
  <c r="D2221" i="6"/>
  <c r="C2221" i="6"/>
  <c r="B2221" i="6"/>
  <c r="A2221" i="6"/>
  <c r="F2220" i="6"/>
  <c r="E2220" i="6"/>
  <c r="D2220" i="6"/>
  <c r="C2220" i="6"/>
  <c r="B2220" i="6"/>
  <c r="A2220" i="6"/>
  <c r="F2219" i="6"/>
  <c r="E2219" i="6"/>
  <c r="D2219" i="6"/>
  <c r="C2219" i="6"/>
  <c r="B2219" i="6"/>
  <c r="A2219" i="6"/>
  <c r="F2218" i="6"/>
  <c r="E2218" i="6"/>
  <c r="D2218" i="6"/>
  <c r="C2218" i="6"/>
  <c r="B2218" i="6"/>
  <c r="A2218" i="6"/>
  <c r="F2217" i="6"/>
  <c r="E2217" i="6"/>
  <c r="D2217" i="6"/>
  <c r="C2217" i="6"/>
  <c r="B2217" i="6"/>
  <c r="A2217" i="6"/>
  <c r="F2216" i="6"/>
  <c r="E2216" i="6"/>
  <c r="D2216" i="6"/>
  <c r="C2216" i="6"/>
  <c r="B2216" i="6"/>
  <c r="A2216" i="6"/>
  <c r="F2215" i="6"/>
  <c r="E2215" i="6"/>
  <c r="D2215" i="6"/>
  <c r="C2215" i="6"/>
  <c r="B2215" i="6"/>
  <c r="A2215" i="6"/>
  <c r="F2214" i="6"/>
  <c r="E2214" i="6"/>
  <c r="D2214" i="6"/>
  <c r="C2214" i="6"/>
  <c r="B2214" i="6"/>
  <c r="A2214" i="6"/>
  <c r="F2213" i="6"/>
  <c r="E2213" i="6"/>
  <c r="D2213" i="6"/>
  <c r="C2213" i="6"/>
  <c r="B2213" i="6"/>
  <c r="A2213" i="6"/>
  <c r="F2212" i="6"/>
  <c r="E2212" i="6"/>
  <c r="D2212" i="6"/>
  <c r="C2212" i="6"/>
  <c r="B2212" i="6"/>
  <c r="A2212" i="6"/>
  <c r="F2211" i="6"/>
  <c r="E2211" i="6"/>
  <c r="D2211" i="6"/>
  <c r="C2211" i="6"/>
  <c r="B2211" i="6"/>
  <c r="A2211" i="6"/>
  <c r="F2210" i="6"/>
  <c r="E2210" i="6"/>
  <c r="D2210" i="6"/>
  <c r="C2210" i="6"/>
  <c r="B2210" i="6"/>
  <c r="A2210" i="6"/>
  <c r="F2209" i="6"/>
  <c r="E2209" i="6"/>
  <c r="D2209" i="6"/>
  <c r="C2209" i="6"/>
  <c r="B2209" i="6"/>
  <c r="A2209" i="6"/>
  <c r="F2208" i="6"/>
  <c r="E2208" i="6"/>
  <c r="D2208" i="6"/>
  <c r="C2208" i="6"/>
  <c r="B2208" i="6"/>
  <c r="A2208" i="6"/>
  <c r="F2207" i="6"/>
  <c r="E2207" i="6"/>
  <c r="D2207" i="6"/>
  <c r="C2207" i="6"/>
  <c r="B2207" i="6"/>
  <c r="A2207" i="6"/>
  <c r="F2206" i="6"/>
  <c r="E2206" i="6"/>
  <c r="D2206" i="6"/>
  <c r="C2206" i="6"/>
  <c r="B2206" i="6"/>
  <c r="A2206" i="6"/>
  <c r="F2205" i="6"/>
  <c r="E2205" i="6"/>
  <c r="D2205" i="6"/>
  <c r="C2205" i="6"/>
  <c r="B2205" i="6"/>
  <c r="A2205" i="6"/>
  <c r="F2204" i="6"/>
  <c r="E2204" i="6"/>
  <c r="D2204" i="6"/>
  <c r="C2204" i="6"/>
  <c r="B2204" i="6"/>
  <c r="A2204" i="6"/>
  <c r="F2203" i="6"/>
  <c r="E2203" i="6"/>
  <c r="D2203" i="6"/>
  <c r="C2203" i="6"/>
  <c r="B2203" i="6"/>
  <c r="A2203" i="6"/>
  <c r="F2202" i="6"/>
  <c r="E2202" i="6"/>
  <c r="D2202" i="6"/>
  <c r="C2202" i="6"/>
  <c r="B2202" i="6"/>
  <c r="A2202" i="6"/>
  <c r="F2201" i="6"/>
  <c r="E2201" i="6"/>
  <c r="D2201" i="6"/>
  <c r="C2201" i="6"/>
  <c r="B2201" i="6"/>
  <c r="A2201" i="6"/>
  <c r="F2200" i="6"/>
  <c r="E2200" i="6"/>
  <c r="D2200" i="6"/>
  <c r="C2200" i="6"/>
  <c r="B2200" i="6"/>
  <c r="A2200" i="6"/>
  <c r="F2199" i="6"/>
  <c r="E2199" i="6"/>
  <c r="D2199" i="6"/>
  <c r="C2199" i="6"/>
  <c r="B2199" i="6"/>
  <c r="A2199" i="6"/>
  <c r="F2198" i="6"/>
  <c r="E2198" i="6"/>
  <c r="D2198" i="6"/>
  <c r="C2198" i="6"/>
  <c r="B2198" i="6"/>
  <c r="A2198" i="6"/>
  <c r="F2197" i="6"/>
  <c r="E2197" i="6"/>
  <c r="D2197" i="6"/>
  <c r="C2197" i="6"/>
  <c r="B2197" i="6"/>
  <c r="A2197" i="6"/>
  <c r="F2196" i="6"/>
  <c r="E2196" i="6"/>
  <c r="D2196" i="6"/>
  <c r="C2196" i="6"/>
  <c r="B2196" i="6"/>
  <c r="A2196" i="6"/>
  <c r="F2195" i="6"/>
  <c r="E2195" i="6"/>
  <c r="D2195" i="6"/>
  <c r="C2195" i="6"/>
  <c r="B2195" i="6"/>
  <c r="A2195" i="6"/>
  <c r="F2194" i="6"/>
  <c r="E2194" i="6"/>
  <c r="D2194" i="6"/>
  <c r="C2194" i="6"/>
  <c r="B2194" i="6"/>
  <c r="A2194" i="6"/>
  <c r="F2193" i="6"/>
  <c r="E2193" i="6"/>
  <c r="D2193" i="6"/>
  <c r="C2193" i="6"/>
  <c r="B2193" i="6"/>
  <c r="A2193" i="6"/>
  <c r="F2192" i="6"/>
  <c r="E2192" i="6"/>
  <c r="D2192" i="6"/>
  <c r="C2192" i="6"/>
  <c r="B2192" i="6"/>
  <c r="A2192" i="6"/>
  <c r="F2191" i="6"/>
  <c r="E2191" i="6"/>
  <c r="D2191" i="6"/>
  <c r="C2191" i="6"/>
  <c r="B2191" i="6"/>
  <c r="A2191" i="6"/>
  <c r="F2190" i="6"/>
  <c r="E2190" i="6"/>
  <c r="D2190" i="6"/>
  <c r="C2190" i="6"/>
  <c r="B2190" i="6"/>
  <c r="A2190" i="6"/>
  <c r="F2189" i="6"/>
  <c r="E2189" i="6"/>
  <c r="D2189" i="6"/>
  <c r="C2189" i="6"/>
  <c r="B2189" i="6"/>
  <c r="A2189" i="6"/>
  <c r="F2188" i="6"/>
  <c r="E2188" i="6"/>
  <c r="D2188" i="6"/>
  <c r="C2188" i="6"/>
  <c r="B2188" i="6"/>
  <c r="A2188" i="6"/>
  <c r="F2187" i="6"/>
  <c r="E2187" i="6"/>
  <c r="D2187" i="6"/>
  <c r="C2187" i="6"/>
  <c r="B2187" i="6"/>
  <c r="A2187" i="6"/>
  <c r="F2186" i="6"/>
  <c r="E2186" i="6"/>
  <c r="D2186" i="6"/>
  <c r="C2186" i="6"/>
  <c r="B2186" i="6"/>
  <c r="A2186" i="6"/>
  <c r="F2185" i="6"/>
  <c r="E2185" i="6"/>
  <c r="D2185" i="6"/>
  <c r="C2185" i="6"/>
  <c r="B2185" i="6"/>
  <c r="A2185" i="6"/>
  <c r="F2184" i="6"/>
  <c r="E2184" i="6"/>
  <c r="D2184" i="6"/>
  <c r="C2184" i="6"/>
  <c r="B2184" i="6"/>
  <c r="A2184" i="6"/>
  <c r="F2183" i="6"/>
  <c r="E2183" i="6"/>
  <c r="D2183" i="6"/>
  <c r="C2183" i="6"/>
  <c r="B2183" i="6"/>
  <c r="A2183" i="6"/>
  <c r="F2182" i="6"/>
  <c r="E2182" i="6"/>
  <c r="D2182" i="6"/>
  <c r="C2182" i="6"/>
  <c r="B2182" i="6"/>
  <c r="A2182" i="6"/>
  <c r="F2181" i="6"/>
  <c r="E2181" i="6"/>
  <c r="D2181" i="6"/>
  <c r="C2181" i="6"/>
  <c r="B2181" i="6"/>
  <c r="A2181" i="6"/>
  <c r="F2180" i="6"/>
  <c r="E2180" i="6"/>
  <c r="D2180" i="6"/>
  <c r="C2180" i="6"/>
  <c r="B2180" i="6"/>
  <c r="A2180" i="6"/>
  <c r="F2179" i="6"/>
  <c r="E2179" i="6"/>
  <c r="D2179" i="6"/>
  <c r="C2179" i="6"/>
  <c r="B2179" i="6"/>
  <c r="A2179" i="6"/>
  <c r="F2178" i="6"/>
  <c r="E2178" i="6"/>
  <c r="D2178" i="6"/>
  <c r="C2178" i="6"/>
  <c r="B2178" i="6"/>
  <c r="A2178" i="6"/>
  <c r="F2177" i="6"/>
  <c r="E2177" i="6"/>
  <c r="D2177" i="6"/>
  <c r="C2177" i="6"/>
  <c r="B2177" i="6"/>
  <c r="A2177" i="6"/>
  <c r="F2176" i="6"/>
  <c r="E2176" i="6"/>
  <c r="D2176" i="6"/>
  <c r="C2176" i="6"/>
  <c r="B2176" i="6"/>
  <c r="A2176" i="6"/>
  <c r="F2175" i="6"/>
  <c r="E2175" i="6"/>
  <c r="D2175" i="6"/>
  <c r="C2175" i="6"/>
  <c r="B2175" i="6"/>
  <c r="A2175" i="6"/>
  <c r="F2174" i="6"/>
  <c r="E2174" i="6"/>
  <c r="D2174" i="6"/>
  <c r="C2174" i="6"/>
  <c r="B2174" i="6"/>
  <c r="A2174" i="6"/>
  <c r="F2173" i="6"/>
  <c r="E2173" i="6"/>
  <c r="D2173" i="6"/>
  <c r="C2173" i="6"/>
  <c r="B2173" i="6"/>
  <c r="A2173" i="6"/>
  <c r="F2172" i="6"/>
  <c r="E2172" i="6"/>
  <c r="D2172" i="6"/>
  <c r="C2172" i="6"/>
  <c r="B2172" i="6"/>
  <c r="A2172" i="6"/>
  <c r="F2171" i="6"/>
  <c r="E2171" i="6"/>
  <c r="D2171" i="6"/>
  <c r="C2171" i="6"/>
  <c r="B2171" i="6"/>
  <c r="A2171" i="6"/>
  <c r="F2170" i="6"/>
  <c r="E2170" i="6"/>
  <c r="D2170" i="6"/>
  <c r="C2170" i="6"/>
  <c r="B2170" i="6"/>
  <c r="A2170" i="6"/>
  <c r="F2169" i="6"/>
  <c r="E2169" i="6"/>
  <c r="D2169" i="6"/>
  <c r="C2169" i="6"/>
  <c r="B2169" i="6"/>
  <c r="A2169" i="6"/>
  <c r="F2168" i="6"/>
  <c r="E2168" i="6"/>
  <c r="D2168" i="6"/>
  <c r="C2168" i="6"/>
  <c r="B2168" i="6"/>
  <c r="A2168" i="6"/>
  <c r="F2167" i="6"/>
  <c r="E2167" i="6"/>
  <c r="D2167" i="6"/>
  <c r="C2167" i="6"/>
  <c r="B2167" i="6"/>
  <c r="A2167" i="6"/>
  <c r="F2166" i="6"/>
  <c r="E2166" i="6"/>
  <c r="D2166" i="6"/>
  <c r="C2166" i="6"/>
  <c r="B2166" i="6"/>
  <c r="A2166" i="6"/>
  <c r="F2165" i="6"/>
  <c r="E2165" i="6"/>
  <c r="D2165" i="6"/>
  <c r="C2165" i="6"/>
  <c r="B2165" i="6"/>
  <c r="A2165" i="6"/>
  <c r="F2164" i="6"/>
  <c r="E2164" i="6"/>
  <c r="D2164" i="6"/>
  <c r="C2164" i="6"/>
  <c r="B2164" i="6"/>
  <c r="A2164" i="6"/>
  <c r="F2163" i="6"/>
  <c r="E2163" i="6"/>
  <c r="D2163" i="6"/>
  <c r="C2163" i="6"/>
  <c r="B2163" i="6"/>
  <c r="A2163" i="6"/>
  <c r="F2162" i="6"/>
  <c r="E2162" i="6"/>
  <c r="D2162" i="6"/>
  <c r="C2162" i="6"/>
  <c r="B2162" i="6"/>
  <c r="A2162" i="6"/>
  <c r="F2161" i="6"/>
  <c r="E2161" i="6"/>
  <c r="D2161" i="6"/>
  <c r="C2161" i="6"/>
  <c r="B2161" i="6"/>
  <c r="A2161" i="6"/>
  <c r="F2160" i="6"/>
  <c r="E2160" i="6"/>
  <c r="D2160" i="6"/>
  <c r="C2160" i="6"/>
  <c r="B2160" i="6"/>
  <c r="A2160" i="6"/>
  <c r="F2159" i="6"/>
  <c r="E2159" i="6"/>
  <c r="D2159" i="6"/>
  <c r="C2159" i="6"/>
  <c r="B2159" i="6"/>
  <c r="A2159" i="6"/>
  <c r="F2158" i="6"/>
  <c r="E2158" i="6"/>
  <c r="D2158" i="6"/>
  <c r="C2158" i="6"/>
  <c r="B2158" i="6"/>
  <c r="A2158" i="6"/>
  <c r="F2157" i="6"/>
  <c r="E2157" i="6"/>
  <c r="D2157" i="6"/>
  <c r="C2157" i="6"/>
  <c r="B2157" i="6"/>
  <c r="A2157" i="6"/>
  <c r="F2156" i="6"/>
  <c r="E2156" i="6"/>
  <c r="D2156" i="6"/>
  <c r="C2156" i="6"/>
  <c r="B2156" i="6"/>
  <c r="A2156" i="6"/>
  <c r="F2155" i="6"/>
  <c r="E2155" i="6"/>
  <c r="D2155" i="6"/>
  <c r="C2155" i="6"/>
  <c r="B2155" i="6"/>
  <c r="A2155" i="6"/>
  <c r="F2154" i="6"/>
  <c r="E2154" i="6"/>
  <c r="D2154" i="6"/>
  <c r="C2154" i="6"/>
  <c r="B2154" i="6"/>
  <c r="A2154" i="6"/>
  <c r="F2153" i="6"/>
  <c r="E2153" i="6"/>
  <c r="D2153" i="6"/>
  <c r="C2153" i="6"/>
  <c r="B2153" i="6"/>
  <c r="A2153" i="6"/>
  <c r="F2152" i="6"/>
  <c r="E2152" i="6"/>
  <c r="D2152" i="6"/>
  <c r="C2152" i="6"/>
  <c r="B2152" i="6"/>
  <c r="A2152" i="6"/>
  <c r="F2151" i="6"/>
  <c r="E2151" i="6"/>
  <c r="D2151" i="6"/>
  <c r="C2151" i="6"/>
  <c r="B2151" i="6"/>
  <c r="A2151" i="6"/>
  <c r="F2150" i="6"/>
  <c r="E2150" i="6"/>
  <c r="D2150" i="6"/>
  <c r="C2150" i="6"/>
  <c r="B2150" i="6"/>
  <c r="A2150" i="6"/>
  <c r="F2149" i="6"/>
  <c r="E2149" i="6"/>
  <c r="D2149" i="6"/>
  <c r="C2149" i="6"/>
  <c r="B2149" i="6"/>
  <c r="A2149" i="6"/>
  <c r="F2148" i="6"/>
  <c r="E2148" i="6"/>
  <c r="D2148" i="6"/>
  <c r="C2148" i="6"/>
  <c r="B2148" i="6"/>
  <c r="A2148" i="6"/>
  <c r="F2147" i="6"/>
  <c r="E2147" i="6"/>
  <c r="D2147" i="6"/>
  <c r="C2147" i="6"/>
  <c r="B2147" i="6"/>
  <c r="A2147" i="6"/>
  <c r="F2146" i="6"/>
  <c r="E2146" i="6"/>
  <c r="D2146" i="6"/>
  <c r="C2146" i="6"/>
  <c r="B2146" i="6"/>
  <c r="A2146" i="6"/>
  <c r="F2145" i="6"/>
  <c r="E2145" i="6"/>
  <c r="D2145" i="6"/>
  <c r="C2145" i="6"/>
  <c r="B2145" i="6"/>
  <c r="A2145" i="6"/>
  <c r="F2144" i="6"/>
  <c r="E2144" i="6"/>
  <c r="D2144" i="6"/>
  <c r="C2144" i="6"/>
  <c r="B2144" i="6"/>
  <c r="A2144" i="6"/>
  <c r="F2143" i="6"/>
  <c r="E2143" i="6"/>
  <c r="D2143" i="6"/>
  <c r="C2143" i="6"/>
  <c r="B2143" i="6"/>
  <c r="A2143" i="6"/>
  <c r="F2142" i="6"/>
  <c r="E2142" i="6"/>
  <c r="D2142" i="6"/>
  <c r="C2142" i="6"/>
  <c r="B2142" i="6"/>
  <c r="A2142" i="6"/>
  <c r="F2141" i="6"/>
  <c r="E2141" i="6"/>
  <c r="D2141" i="6"/>
  <c r="C2141" i="6"/>
  <c r="B2141" i="6"/>
  <c r="A2141" i="6"/>
  <c r="F2140" i="6"/>
  <c r="E2140" i="6"/>
  <c r="D2140" i="6"/>
  <c r="C2140" i="6"/>
  <c r="B2140" i="6"/>
  <c r="A2140" i="6"/>
  <c r="F2139" i="6"/>
  <c r="E2139" i="6"/>
  <c r="D2139" i="6"/>
  <c r="C2139" i="6"/>
  <c r="B2139" i="6"/>
  <c r="A2139" i="6"/>
  <c r="F2138" i="6"/>
  <c r="E2138" i="6"/>
  <c r="D2138" i="6"/>
  <c r="C2138" i="6"/>
  <c r="B2138" i="6"/>
  <c r="A2138" i="6"/>
  <c r="F2137" i="6"/>
  <c r="E2137" i="6"/>
  <c r="D2137" i="6"/>
  <c r="C2137" i="6"/>
  <c r="B2137" i="6"/>
  <c r="A2137" i="6"/>
  <c r="F2136" i="6"/>
  <c r="E2136" i="6"/>
  <c r="D2136" i="6"/>
  <c r="C2136" i="6"/>
  <c r="B2136" i="6"/>
  <c r="A2136" i="6"/>
  <c r="F2135" i="6"/>
  <c r="E2135" i="6"/>
  <c r="D2135" i="6"/>
  <c r="C2135" i="6"/>
  <c r="B2135" i="6"/>
  <c r="A2135" i="6"/>
  <c r="F2134" i="6"/>
  <c r="E2134" i="6"/>
  <c r="D2134" i="6"/>
  <c r="C2134" i="6"/>
  <c r="B2134" i="6"/>
  <c r="A2134" i="6"/>
  <c r="F2133" i="6"/>
  <c r="E2133" i="6"/>
  <c r="D2133" i="6"/>
  <c r="C2133" i="6"/>
  <c r="B2133" i="6"/>
  <c r="A2133" i="6"/>
  <c r="F2132" i="6"/>
  <c r="E2132" i="6"/>
  <c r="D2132" i="6"/>
  <c r="C2132" i="6"/>
  <c r="B2132" i="6"/>
  <c r="A2132" i="6"/>
  <c r="F2131" i="6"/>
  <c r="E2131" i="6"/>
  <c r="D2131" i="6"/>
  <c r="C2131" i="6"/>
  <c r="B2131" i="6"/>
  <c r="A2131" i="6"/>
  <c r="F2130" i="6"/>
  <c r="E2130" i="6"/>
  <c r="D2130" i="6"/>
  <c r="C2130" i="6"/>
  <c r="B2130" i="6"/>
  <c r="A2130" i="6"/>
  <c r="F2129" i="6"/>
  <c r="E2129" i="6"/>
  <c r="D2129" i="6"/>
  <c r="C2129" i="6"/>
  <c r="B2129" i="6"/>
  <c r="A2129" i="6"/>
  <c r="F2128" i="6"/>
  <c r="E2128" i="6"/>
  <c r="D2128" i="6"/>
  <c r="C2128" i="6"/>
  <c r="B2128" i="6"/>
  <c r="A2128" i="6"/>
  <c r="F2127" i="6"/>
  <c r="E2127" i="6"/>
  <c r="D2127" i="6"/>
  <c r="C2127" i="6"/>
  <c r="B2127" i="6"/>
  <c r="A2127" i="6"/>
  <c r="F2126" i="6"/>
  <c r="E2126" i="6"/>
  <c r="D2126" i="6"/>
  <c r="C2126" i="6"/>
  <c r="B2126" i="6"/>
  <c r="A2126" i="6"/>
  <c r="F2125" i="6"/>
  <c r="E2125" i="6"/>
  <c r="D2125" i="6"/>
  <c r="C2125" i="6"/>
  <c r="B2125" i="6"/>
  <c r="A2125" i="6"/>
  <c r="F2124" i="6"/>
  <c r="E2124" i="6"/>
  <c r="D2124" i="6"/>
  <c r="C2124" i="6"/>
  <c r="B2124" i="6"/>
  <c r="A2124" i="6"/>
  <c r="F2123" i="6"/>
  <c r="E2123" i="6"/>
  <c r="D2123" i="6"/>
  <c r="C2123" i="6"/>
  <c r="B2123" i="6"/>
  <c r="A2123" i="6"/>
  <c r="F2122" i="6"/>
  <c r="E2122" i="6"/>
  <c r="D2122" i="6"/>
  <c r="C2122" i="6"/>
  <c r="B2122" i="6"/>
  <c r="A2122" i="6"/>
  <c r="F2121" i="6"/>
  <c r="E2121" i="6"/>
  <c r="D2121" i="6"/>
  <c r="C2121" i="6"/>
  <c r="B2121" i="6"/>
  <c r="A2121" i="6"/>
  <c r="F2120" i="6"/>
  <c r="E2120" i="6"/>
  <c r="D2120" i="6"/>
  <c r="C2120" i="6"/>
  <c r="B2120" i="6"/>
  <c r="A2120" i="6"/>
  <c r="F2119" i="6"/>
  <c r="E2119" i="6"/>
  <c r="D2119" i="6"/>
  <c r="C2119" i="6"/>
  <c r="B2119" i="6"/>
  <c r="A2119" i="6"/>
  <c r="F2118" i="6"/>
  <c r="E2118" i="6"/>
  <c r="D2118" i="6"/>
  <c r="C2118" i="6"/>
  <c r="B2118" i="6"/>
  <c r="A2118" i="6"/>
  <c r="F2117" i="6"/>
  <c r="E2117" i="6"/>
  <c r="D2117" i="6"/>
  <c r="C2117" i="6"/>
  <c r="B2117" i="6"/>
  <c r="A2117" i="6"/>
  <c r="F2116" i="6"/>
  <c r="E2116" i="6"/>
  <c r="D2116" i="6"/>
  <c r="C2116" i="6"/>
  <c r="B2116" i="6"/>
  <c r="A2116" i="6"/>
  <c r="F2115" i="6"/>
  <c r="E2115" i="6"/>
  <c r="D2115" i="6"/>
  <c r="C2115" i="6"/>
  <c r="B2115" i="6"/>
  <c r="A2115" i="6"/>
  <c r="F2114" i="6"/>
  <c r="E2114" i="6"/>
  <c r="D2114" i="6"/>
  <c r="C2114" i="6"/>
  <c r="B2114" i="6"/>
  <c r="A2114" i="6"/>
  <c r="F2113" i="6"/>
  <c r="E2113" i="6"/>
  <c r="D2113" i="6"/>
  <c r="C2113" i="6"/>
  <c r="B2113" i="6"/>
  <c r="A2113" i="6"/>
  <c r="F2112" i="6"/>
  <c r="E2112" i="6"/>
  <c r="D2112" i="6"/>
  <c r="C2112" i="6"/>
  <c r="B2112" i="6"/>
  <c r="A2112" i="6"/>
  <c r="F2111" i="6"/>
  <c r="E2111" i="6"/>
  <c r="D2111" i="6"/>
  <c r="C2111" i="6"/>
  <c r="B2111" i="6"/>
  <c r="A2111" i="6"/>
  <c r="F2110" i="6"/>
  <c r="E2110" i="6"/>
  <c r="D2110" i="6"/>
  <c r="C2110" i="6"/>
  <c r="B2110" i="6"/>
  <c r="A2110" i="6"/>
  <c r="F2109" i="6"/>
  <c r="E2109" i="6"/>
  <c r="D2109" i="6"/>
  <c r="C2109" i="6"/>
  <c r="B2109" i="6"/>
  <c r="A2109" i="6"/>
  <c r="F2108" i="6"/>
  <c r="E2108" i="6"/>
  <c r="D2108" i="6"/>
  <c r="C2108" i="6"/>
  <c r="B2108" i="6"/>
  <c r="A2108" i="6"/>
  <c r="F2107" i="6"/>
  <c r="E2107" i="6"/>
  <c r="D2107" i="6"/>
  <c r="C2107" i="6"/>
  <c r="B2107" i="6"/>
  <c r="A2107" i="6"/>
  <c r="F2106" i="6"/>
  <c r="E2106" i="6"/>
  <c r="D2106" i="6"/>
  <c r="C2106" i="6"/>
  <c r="B2106" i="6"/>
  <c r="A2106" i="6"/>
  <c r="F2105" i="6"/>
  <c r="E2105" i="6"/>
  <c r="D2105" i="6"/>
  <c r="C2105" i="6"/>
  <c r="B2105" i="6"/>
  <c r="A2105" i="6"/>
  <c r="F2104" i="6"/>
  <c r="E2104" i="6"/>
  <c r="D2104" i="6"/>
  <c r="C2104" i="6"/>
  <c r="B2104" i="6"/>
  <c r="A2104" i="6"/>
  <c r="F2103" i="6"/>
  <c r="E2103" i="6"/>
  <c r="D2103" i="6"/>
  <c r="C2103" i="6"/>
  <c r="B2103" i="6"/>
  <c r="A2103" i="6"/>
  <c r="F2102" i="6"/>
  <c r="E2102" i="6"/>
  <c r="D2102" i="6"/>
  <c r="C2102" i="6"/>
  <c r="B2102" i="6"/>
  <c r="A2102" i="6"/>
  <c r="F2101" i="6"/>
  <c r="E2101" i="6"/>
  <c r="D2101" i="6"/>
  <c r="C2101" i="6"/>
  <c r="B2101" i="6"/>
  <c r="A2101" i="6"/>
  <c r="F2100" i="6"/>
  <c r="E2100" i="6"/>
  <c r="D2100" i="6"/>
  <c r="C2100" i="6"/>
  <c r="B2100" i="6"/>
  <c r="A2100" i="6"/>
  <c r="F2099" i="6"/>
  <c r="E2099" i="6"/>
  <c r="D2099" i="6"/>
  <c r="C2099" i="6"/>
  <c r="B2099" i="6"/>
  <c r="A2099" i="6"/>
  <c r="F2098" i="6"/>
  <c r="E2098" i="6"/>
  <c r="D2098" i="6"/>
  <c r="C2098" i="6"/>
  <c r="B2098" i="6"/>
  <c r="A2098" i="6"/>
  <c r="F2097" i="6"/>
  <c r="E2097" i="6"/>
  <c r="D2097" i="6"/>
  <c r="C2097" i="6"/>
  <c r="B2097" i="6"/>
  <c r="A2097" i="6"/>
  <c r="F2096" i="6"/>
  <c r="E2096" i="6"/>
  <c r="D2096" i="6"/>
  <c r="C2096" i="6"/>
  <c r="B2096" i="6"/>
  <c r="A2096" i="6"/>
  <c r="F2095" i="6"/>
  <c r="E2095" i="6"/>
  <c r="D2095" i="6"/>
  <c r="C2095" i="6"/>
  <c r="B2095" i="6"/>
  <c r="A2095" i="6"/>
  <c r="F2094" i="6"/>
  <c r="E2094" i="6"/>
  <c r="D2094" i="6"/>
  <c r="C2094" i="6"/>
  <c r="B2094" i="6"/>
  <c r="A2094" i="6"/>
  <c r="F2093" i="6"/>
  <c r="E2093" i="6"/>
  <c r="D2093" i="6"/>
  <c r="C2093" i="6"/>
  <c r="B2093" i="6"/>
  <c r="A2093" i="6"/>
  <c r="F2092" i="6"/>
  <c r="E2092" i="6"/>
  <c r="D2092" i="6"/>
  <c r="C2092" i="6"/>
  <c r="B2092" i="6"/>
  <c r="A2092" i="6"/>
  <c r="F2091" i="6"/>
  <c r="E2091" i="6"/>
  <c r="D2091" i="6"/>
  <c r="C2091" i="6"/>
  <c r="B2091" i="6"/>
  <c r="A2091" i="6"/>
  <c r="F2090" i="6"/>
  <c r="E2090" i="6"/>
  <c r="D2090" i="6"/>
  <c r="C2090" i="6"/>
  <c r="B2090" i="6"/>
  <c r="A2090" i="6"/>
  <c r="F2089" i="6"/>
  <c r="E2089" i="6"/>
  <c r="D2089" i="6"/>
  <c r="C2089" i="6"/>
  <c r="B2089" i="6"/>
  <c r="A2089" i="6"/>
  <c r="F2088" i="6"/>
  <c r="E2088" i="6"/>
  <c r="D2088" i="6"/>
  <c r="C2088" i="6"/>
  <c r="B2088" i="6"/>
  <c r="A2088" i="6"/>
  <c r="F2087" i="6"/>
  <c r="E2087" i="6"/>
  <c r="D2087" i="6"/>
  <c r="C2087" i="6"/>
  <c r="B2087" i="6"/>
  <c r="A2087" i="6"/>
  <c r="F2086" i="6"/>
  <c r="E2086" i="6"/>
  <c r="D2086" i="6"/>
  <c r="C2086" i="6"/>
  <c r="B2086" i="6"/>
  <c r="A2086" i="6"/>
  <c r="F2085" i="6"/>
  <c r="E2085" i="6"/>
  <c r="D2085" i="6"/>
  <c r="C2085" i="6"/>
  <c r="B2085" i="6"/>
  <c r="A2085" i="6"/>
  <c r="F2084" i="6"/>
  <c r="E2084" i="6"/>
  <c r="D2084" i="6"/>
  <c r="C2084" i="6"/>
  <c r="B2084" i="6"/>
  <c r="A2084" i="6"/>
  <c r="F2083" i="6"/>
  <c r="E2083" i="6"/>
  <c r="D2083" i="6"/>
  <c r="C2083" i="6"/>
  <c r="B2083" i="6"/>
  <c r="A2083" i="6"/>
  <c r="F2082" i="6"/>
  <c r="E2082" i="6"/>
  <c r="D2082" i="6"/>
  <c r="C2082" i="6"/>
  <c r="B2082" i="6"/>
  <c r="A2082" i="6"/>
  <c r="F2081" i="6"/>
  <c r="E2081" i="6"/>
  <c r="D2081" i="6"/>
  <c r="C2081" i="6"/>
  <c r="B2081" i="6"/>
  <c r="A2081" i="6"/>
  <c r="F2080" i="6"/>
  <c r="E2080" i="6"/>
  <c r="D2080" i="6"/>
  <c r="C2080" i="6"/>
  <c r="B2080" i="6"/>
  <c r="A2080" i="6"/>
  <c r="F2079" i="6"/>
  <c r="E2079" i="6"/>
  <c r="D2079" i="6"/>
  <c r="C2079" i="6"/>
  <c r="B2079" i="6"/>
  <c r="A2079" i="6"/>
  <c r="F2078" i="6"/>
  <c r="E2078" i="6"/>
  <c r="D2078" i="6"/>
  <c r="C2078" i="6"/>
  <c r="B2078" i="6"/>
  <c r="A2078" i="6"/>
  <c r="F2077" i="6"/>
  <c r="E2077" i="6"/>
  <c r="D2077" i="6"/>
  <c r="C2077" i="6"/>
  <c r="B2077" i="6"/>
  <c r="A2077" i="6"/>
  <c r="F2076" i="6"/>
  <c r="E2076" i="6"/>
  <c r="D2076" i="6"/>
  <c r="C2076" i="6"/>
  <c r="B2076" i="6"/>
  <c r="A2076" i="6"/>
  <c r="F2075" i="6"/>
  <c r="E2075" i="6"/>
  <c r="D2075" i="6"/>
  <c r="C2075" i="6"/>
  <c r="B2075" i="6"/>
  <c r="A2075" i="6"/>
  <c r="F2074" i="6"/>
  <c r="E2074" i="6"/>
  <c r="D2074" i="6"/>
  <c r="C2074" i="6"/>
  <c r="B2074" i="6"/>
  <c r="A2074" i="6"/>
  <c r="F2073" i="6"/>
  <c r="E2073" i="6"/>
  <c r="D2073" i="6"/>
  <c r="C2073" i="6"/>
  <c r="B2073" i="6"/>
  <c r="A2073" i="6"/>
  <c r="F2072" i="6"/>
  <c r="E2072" i="6"/>
  <c r="D2072" i="6"/>
  <c r="C2072" i="6"/>
  <c r="B2072" i="6"/>
  <c r="A2072" i="6"/>
  <c r="F2071" i="6"/>
  <c r="E2071" i="6"/>
  <c r="D2071" i="6"/>
  <c r="C2071" i="6"/>
  <c r="B2071" i="6"/>
  <c r="A2071" i="6"/>
  <c r="F2070" i="6"/>
  <c r="E2070" i="6"/>
  <c r="D2070" i="6"/>
  <c r="C2070" i="6"/>
  <c r="B2070" i="6"/>
  <c r="A2070" i="6"/>
  <c r="F2069" i="6"/>
  <c r="E2069" i="6"/>
  <c r="D2069" i="6"/>
  <c r="C2069" i="6"/>
  <c r="B2069" i="6"/>
  <c r="A2069" i="6"/>
  <c r="F2068" i="6"/>
  <c r="E2068" i="6"/>
  <c r="D2068" i="6"/>
  <c r="C2068" i="6"/>
  <c r="B2068" i="6"/>
  <c r="A2068" i="6"/>
  <c r="F2067" i="6"/>
  <c r="E2067" i="6"/>
  <c r="D2067" i="6"/>
  <c r="C2067" i="6"/>
  <c r="B2067" i="6"/>
  <c r="A2067" i="6"/>
  <c r="F2066" i="6"/>
  <c r="E2066" i="6"/>
  <c r="D2066" i="6"/>
  <c r="C2066" i="6"/>
  <c r="B2066" i="6"/>
  <c r="A2066" i="6"/>
  <c r="F2065" i="6"/>
  <c r="E2065" i="6"/>
  <c r="D2065" i="6"/>
  <c r="C2065" i="6"/>
  <c r="B2065" i="6"/>
  <c r="A2065" i="6"/>
  <c r="F2064" i="6"/>
  <c r="E2064" i="6"/>
  <c r="D2064" i="6"/>
  <c r="C2064" i="6"/>
  <c r="B2064" i="6"/>
  <c r="A2064" i="6"/>
  <c r="F2063" i="6"/>
  <c r="E2063" i="6"/>
  <c r="D2063" i="6"/>
  <c r="C2063" i="6"/>
  <c r="B2063" i="6"/>
  <c r="A2063" i="6"/>
  <c r="F2062" i="6"/>
  <c r="E2062" i="6"/>
  <c r="D2062" i="6"/>
  <c r="C2062" i="6"/>
  <c r="B2062" i="6"/>
  <c r="A2062" i="6"/>
  <c r="F2061" i="6"/>
  <c r="E2061" i="6"/>
  <c r="D2061" i="6"/>
  <c r="C2061" i="6"/>
  <c r="B2061" i="6"/>
  <c r="A2061" i="6"/>
  <c r="F2060" i="6"/>
  <c r="E2060" i="6"/>
  <c r="D2060" i="6"/>
  <c r="C2060" i="6"/>
  <c r="B2060" i="6"/>
  <c r="A2060" i="6"/>
  <c r="F2059" i="6"/>
  <c r="E2059" i="6"/>
  <c r="D2059" i="6"/>
  <c r="C2059" i="6"/>
  <c r="B2059" i="6"/>
  <c r="A2059" i="6"/>
  <c r="F2058" i="6"/>
  <c r="E2058" i="6"/>
  <c r="D2058" i="6"/>
  <c r="C2058" i="6"/>
  <c r="B2058" i="6"/>
  <c r="A2058" i="6"/>
  <c r="F2057" i="6"/>
  <c r="E2057" i="6"/>
  <c r="D2057" i="6"/>
  <c r="C2057" i="6"/>
  <c r="B2057" i="6"/>
  <c r="A2057" i="6"/>
  <c r="F2056" i="6"/>
  <c r="E2056" i="6"/>
  <c r="D2056" i="6"/>
  <c r="C2056" i="6"/>
  <c r="B2056" i="6"/>
  <c r="A2056" i="6"/>
  <c r="F2055" i="6"/>
  <c r="E2055" i="6"/>
  <c r="D2055" i="6"/>
  <c r="C2055" i="6"/>
  <c r="B2055" i="6"/>
  <c r="A2055" i="6"/>
  <c r="F2054" i="6"/>
  <c r="E2054" i="6"/>
  <c r="D2054" i="6"/>
  <c r="C2054" i="6"/>
  <c r="B2054" i="6"/>
  <c r="A2054" i="6"/>
  <c r="F2053" i="6"/>
  <c r="E2053" i="6"/>
  <c r="D2053" i="6"/>
  <c r="C2053" i="6"/>
  <c r="B2053" i="6"/>
  <c r="A2053" i="6"/>
  <c r="F2052" i="6"/>
  <c r="E2052" i="6"/>
  <c r="D2052" i="6"/>
  <c r="C2052" i="6"/>
  <c r="B2052" i="6"/>
  <c r="A2052" i="6"/>
  <c r="F2051" i="6"/>
  <c r="E2051" i="6"/>
  <c r="D2051" i="6"/>
  <c r="C2051" i="6"/>
  <c r="B2051" i="6"/>
  <c r="A2051" i="6"/>
  <c r="F2050" i="6"/>
  <c r="E2050" i="6"/>
  <c r="D2050" i="6"/>
  <c r="C2050" i="6"/>
  <c r="B2050" i="6"/>
  <c r="A2050" i="6"/>
  <c r="F2049" i="6"/>
  <c r="E2049" i="6"/>
  <c r="D2049" i="6"/>
  <c r="C2049" i="6"/>
  <c r="B2049" i="6"/>
  <c r="A2049" i="6"/>
  <c r="F2048" i="6"/>
  <c r="E2048" i="6"/>
  <c r="D2048" i="6"/>
  <c r="C2048" i="6"/>
  <c r="B2048" i="6"/>
  <c r="A2048" i="6"/>
  <c r="F2047" i="6"/>
  <c r="E2047" i="6"/>
  <c r="D2047" i="6"/>
  <c r="C2047" i="6"/>
  <c r="B2047" i="6"/>
  <c r="A2047" i="6"/>
  <c r="F2046" i="6"/>
  <c r="E2046" i="6"/>
  <c r="D2046" i="6"/>
  <c r="C2046" i="6"/>
  <c r="B2046" i="6"/>
  <c r="A2046" i="6"/>
  <c r="F2045" i="6"/>
  <c r="E2045" i="6"/>
  <c r="D2045" i="6"/>
  <c r="C2045" i="6"/>
  <c r="B2045" i="6"/>
  <c r="A2045" i="6"/>
  <c r="F2044" i="6"/>
  <c r="E2044" i="6"/>
  <c r="D2044" i="6"/>
  <c r="C2044" i="6"/>
  <c r="B2044" i="6"/>
  <c r="A2044" i="6"/>
  <c r="F2043" i="6"/>
  <c r="E2043" i="6"/>
  <c r="D2043" i="6"/>
  <c r="C2043" i="6"/>
  <c r="B2043" i="6"/>
  <c r="A2043" i="6"/>
  <c r="F2042" i="6"/>
  <c r="E2042" i="6"/>
  <c r="D2042" i="6"/>
  <c r="C2042" i="6"/>
  <c r="B2042" i="6"/>
  <c r="A2042" i="6"/>
  <c r="F2041" i="6"/>
  <c r="E2041" i="6"/>
  <c r="D2041" i="6"/>
  <c r="C2041" i="6"/>
  <c r="B2041" i="6"/>
  <c r="A2041" i="6"/>
  <c r="F2040" i="6"/>
  <c r="E2040" i="6"/>
  <c r="D2040" i="6"/>
  <c r="C2040" i="6"/>
  <c r="B2040" i="6"/>
  <c r="A2040" i="6"/>
  <c r="F2039" i="6"/>
  <c r="E2039" i="6"/>
  <c r="D2039" i="6"/>
  <c r="C2039" i="6"/>
  <c r="B2039" i="6"/>
  <c r="A2039" i="6"/>
  <c r="F2038" i="6"/>
  <c r="E2038" i="6"/>
  <c r="D2038" i="6"/>
  <c r="C2038" i="6"/>
  <c r="B2038" i="6"/>
  <c r="A2038" i="6"/>
  <c r="F2037" i="6"/>
  <c r="E2037" i="6"/>
  <c r="D2037" i="6"/>
  <c r="C2037" i="6"/>
  <c r="B2037" i="6"/>
  <c r="A2037" i="6"/>
  <c r="F2036" i="6"/>
  <c r="E2036" i="6"/>
  <c r="D2036" i="6"/>
  <c r="C2036" i="6"/>
  <c r="B2036" i="6"/>
  <c r="A2036" i="6"/>
  <c r="F2035" i="6"/>
  <c r="E2035" i="6"/>
  <c r="D2035" i="6"/>
  <c r="C2035" i="6"/>
  <c r="B2035" i="6"/>
  <c r="A2035" i="6"/>
  <c r="F2034" i="6"/>
  <c r="E2034" i="6"/>
  <c r="D2034" i="6"/>
  <c r="C2034" i="6"/>
  <c r="B2034" i="6"/>
  <c r="A2034" i="6"/>
  <c r="F2033" i="6"/>
  <c r="E2033" i="6"/>
  <c r="D2033" i="6"/>
  <c r="C2033" i="6"/>
  <c r="B2033" i="6"/>
  <c r="A2033" i="6"/>
  <c r="F2032" i="6"/>
  <c r="E2032" i="6"/>
  <c r="D2032" i="6"/>
  <c r="C2032" i="6"/>
  <c r="B2032" i="6"/>
  <c r="A2032" i="6"/>
  <c r="F2031" i="6"/>
  <c r="E2031" i="6"/>
  <c r="D2031" i="6"/>
  <c r="C2031" i="6"/>
  <c r="B2031" i="6"/>
  <c r="A2031" i="6"/>
  <c r="F2030" i="6"/>
  <c r="E2030" i="6"/>
  <c r="D2030" i="6"/>
  <c r="C2030" i="6"/>
  <c r="B2030" i="6"/>
  <c r="A2030" i="6"/>
  <c r="F2029" i="6"/>
  <c r="E2029" i="6"/>
  <c r="D2029" i="6"/>
  <c r="C2029" i="6"/>
  <c r="B2029" i="6"/>
  <c r="A2029" i="6"/>
  <c r="F2028" i="6"/>
  <c r="E2028" i="6"/>
  <c r="D2028" i="6"/>
  <c r="C2028" i="6"/>
  <c r="B2028" i="6"/>
  <c r="A2028" i="6"/>
  <c r="F2027" i="6"/>
  <c r="E2027" i="6"/>
  <c r="D2027" i="6"/>
  <c r="C2027" i="6"/>
  <c r="B2027" i="6"/>
  <c r="A2027" i="6"/>
  <c r="F2026" i="6"/>
  <c r="E2026" i="6"/>
  <c r="D2026" i="6"/>
  <c r="C2026" i="6"/>
  <c r="B2026" i="6"/>
  <c r="A2026" i="6"/>
  <c r="F2025" i="6"/>
  <c r="E2025" i="6"/>
  <c r="D2025" i="6"/>
  <c r="C2025" i="6"/>
  <c r="B2025" i="6"/>
  <c r="A2025" i="6"/>
  <c r="F2024" i="6"/>
  <c r="E2024" i="6"/>
  <c r="D2024" i="6"/>
  <c r="C2024" i="6"/>
  <c r="B2024" i="6"/>
  <c r="A2024" i="6"/>
  <c r="F2023" i="6"/>
  <c r="E2023" i="6"/>
  <c r="D2023" i="6"/>
  <c r="C2023" i="6"/>
  <c r="B2023" i="6"/>
  <c r="A2023" i="6"/>
  <c r="F2022" i="6"/>
  <c r="E2022" i="6"/>
  <c r="D2022" i="6"/>
  <c r="C2022" i="6"/>
  <c r="B2022" i="6"/>
  <c r="A2022" i="6"/>
  <c r="F2021" i="6"/>
  <c r="E2021" i="6"/>
  <c r="D2021" i="6"/>
  <c r="C2021" i="6"/>
  <c r="B2021" i="6"/>
  <c r="A2021" i="6"/>
  <c r="F2020" i="6"/>
  <c r="E2020" i="6"/>
  <c r="D2020" i="6"/>
  <c r="C2020" i="6"/>
  <c r="B2020" i="6"/>
  <c r="A2020" i="6"/>
  <c r="F2019" i="6"/>
  <c r="E2019" i="6"/>
  <c r="D2019" i="6"/>
  <c r="C2019" i="6"/>
  <c r="B2019" i="6"/>
  <c r="A2019" i="6"/>
  <c r="F2018" i="6"/>
  <c r="E2018" i="6"/>
  <c r="D2018" i="6"/>
  <c r="C2018" i="6"/>
  <c r="B2018" i="6"/>
  <c r="A2018" i="6"/>
  <c r="F2017" i="6"/>
  <c r="E2017" i="6"/>
  <c r="D2017" i="6"/>
  <c r="C2017" i="6"/>
  <c r="B2017" i="6"/>
  <c r="A2017" i="6"/>
  <c r="F2016" i="6"/>
  <c r="E2016" i="6"/>
  <c r="D2016" i="6"/>
  <c r="C2016" i="6"/>
  <c r="B2016" i="6"/>
  <c r="A2016" i="6"/>
  <c r="F2015" i="6"/>
  <c r="E2015" i="6"/>
  <c r="D2015" i="6"/>
  <c r="C2015" i="6"/>
  <c r="B2015" i="6"/>
  <c r="A2015" i="6"/>
  <c r="F2014" i="6"/>
  <c r="E2014" i="6"/>
  <c r="D2014" i="6"/>
  <c r="C2014" i="6"/>
  <c r="B2014" i="6"/>
  <c r="A2014" i="6"/>
  <c r="F2013" i="6"/>
  <c r="E2013" i="6"/>
  <c r="D2013" i="6"/>
  <c r="C2013" i="6"/>
  <c r="B2013" i="6"/>
  <c r="A2013" i="6"/>
  <c r="F2012" i="6"/>
  <c r="E2012" i="6"/>
  <c r="D2012" i="6"/>
  <c r="C2012" i="6"/>
  <c r="B2012" i="6"/>
  <c r="A2012" i="6"/>
  <c r="F2011" i="6"/>
  <c r="E2011" i="6"/>
  <c r="D2011" i="6"/>
  <c r="C2011" i="6"/>
  <c r="B2011" i="6"/>
  <c r="A2011" i="6"/>
  <c r="F2010" i="6"/>
  <c r="E2010" i="6"/>
  <c r="D2010" i="6"/>
  <c r="C2010" i="6"/>
  <c r="B2010" i="6"/>
  <c r="A2010" i="6"/>
  <c r="F2009" i="6"/>
  <c r="E2009" i="6"/>
  <c r="D2009" i="6"/>
  <c r="C2009" i="6"/>
  <c r="B2009" i="6"/>
  <c r="A2009" i="6"/>
  <c r="F2008" i="6"/>
  <c r="E2008" i="6"/>
  <c r="D2008" i="6"/>
  <c r="C2008" i="6"/>
  <c r="B2008" i="6"/>
  <c r="A2008" i="6"/>
  <c r="F2007" i="6"/>
  <c r="E2007" i="6"/>
  <c r="D2007" i="6"/>
  <c r="C2007" i="6"/>
  <c r="B2007" i="6"/>
  <c r="A2007" i="6"/>
  <c r="F2006" i="6"/>
  <c r="E2006" i="6"/>
  <c r="D2006" i="6"/>
  <c r="C2006" i="6"/>
  <c r="B2006" i="6"/>
  <c r="A2006" i="6"/>
  <c r="F2005" i="6"/>
  <c r="E2005" i="6"/>
  <c r="D2005" i="6"/>
  <c r="C2005" i="6"/>
  <c r="B2005" i="6"/>
  <c r="A2005" i="6"/>
  <c r="F2004" i="6"/>
  <c r="E2004" i="6"/>
  <c r="D2004" i="6"/>
  <c r="C2004" i="6"/>
  <c r="B2004" i="6"/>
  <c r="A2004" i="6"/>
  <c r="F2003" i="6"/>
  <c r="E2003" i="6"/>
  <c r="D2003" i="6"/>
  <c r="C2003" i="6"/>
  <c r="B2003" i="6"/>
  <c r="A2003" i="6"/>
  <c r="F2002" i="6"/>
  <c r="E2002" i="6"/>
  <c r="D2002" i="6"/>
  <c r="C2002" i="6"/>
  <c r="B2002" i="6"/>
  <c r="A2002" i="6"/>
  <c r="F2001" i="6"/>
  <c r="E2001" i="6"/>
  <c r="D2001" i="6"/>
  <c r="C2001" i="6"/>
  <c r="B2001" i="6"/>
  <c r="A2001" i="6"/>
  <c r="F2000" i="6"/>
  <c r="E2000" i="6"/>
  <c r="D2000" i="6"/>
  <c r="C2000" i="6"/>
  <c r="B2000" i="6"/>
  <c r="A2000" i="6"/>
  <c r="F1999" i="6"/>
  <c r="E1999" i="6"/>
  <c r="D1999" i="6"/>
  <c r="C1999" i="6"/>
  <c r="B1999" i="6"/>
  <c r="A1999" i="6"/>
  <c r="F1998" i="6"/>
  <c r="E1998" i="6"/>
  <c r="D1998" i="6"/>
  <c r="C1998" i="6"/>
  <c r="B1998" i="6"/>
  <c r="A1998" i="6"/>
  <c r="F1997" i="6"/>
  <c r="E1997" i="6"/>
  <c r="D1997" i="6"/>
  <c r="C1997" i="6"/>
  <c r="B1997" i="6"/>
  <c r="A1997" i="6"/>
  <c r="F1996" i="6"/>
  <c r="E1996" i="6"/>
  <c r="D1996" i="6"/>
  <c r="C1996" i="6"/>
  <c r="B1996" i="6"/>
  <c r="A1996" i="6"/>
  <c r="F1995" i="6"/>
  <c r="E1995" i="6"/>
  <c r="D1995" i="6"/>
  <c r="C1995" i="6"/>
  <c r="B1995" i="6"/>
  <c r="A1995" i="6"/>
  <c r="F1994" i="6"/>
  <c r="E1994" i="6"/>
  <c r="D1994" i="6"/>
  <c r="C1994" i="6"/>
  <c r="B1994" i="6"/>
  <c r="A1994" i="6"/>
  <c r="F1993" i="6"/>
  <c r="E1993" i="6"/>
  <c r="D1993" i="6"/>
  <c r="C1993" i="6"/>
  <c r="B1993" i="6"/>
  <c r="A1993" i="6"/>
  <c r="F1992" i="6"/>
  <c r="E1992" i="6"/>
  <c r="D1992" i="6"/>
  <c r="C1992" i="6"/>
  <c r="B1992" i="6"/>
  <c r="A1992" i="6"/>
  <c r="F1991" i="6"/>
  <c r="E1991" i="6"/>
  <c r="D1991" i="6"/>
  <c r="C1991" i="6"/>
  <c r="B1991" i="6"/>
  <c r="A1991" i="6"/>
  <c r="F1990" i="6"/>
  <c r="E1990" i="6"/>
  <c r="D1990" i="6"/>
  <c r="C1990" i="6"/>
  <c r="B1990" i="6"/>
  <c r="A1990" i="6"/>
  <c r="F1989" i="6"/>
  <c r="E1989" i="6"/>
  <c r="D1989" i="6"/>
  <c r="C1989" i="6"/>
  <c r="B1989" i="6"/>
  <c r="A1989" i="6"/>
  <c r="F1988" i="6"/>
  <c r="E1988" i="6"/>
  <c r="D1988" i="6"/>
  <c r="C1988" i="6"/>
  <c r="B1988" i="6"/>
  <c r="A1988" i="6"/>
  <c r="F1987" i="6"/>
  <c r="E1987" i="6"/>
  <c r="D1987" i="6"/>
  <c r="C1987" i="6"/>
  <c r="B1987" i="6"/>
  <c r="A1987" i="6"/>
  <c r="F1986" i="6"/>
  <c r="E1986" i="6"/>
  <c r="D1986" i="6"/>
  <c r="C1986" i="6"/>
  <c r="B1986" i="6"/>
  <c r="A1986" i="6"/>
  <c r="F1985" i="6"/>
  <c r="E1985" i="6"/>
  <c r="D1985" i="6"/>
  <c r="C1985" i="6"/>
  <c r="B1985" i="6"/>
  <c r="A1985" i="6"/>
  <c r="F1984" i="6"/>
  <c r="E1984" i="6"/>
  <c r="D1984" i="6"/>
  <c r="C1984" i="6"/>
  <c r="B1984" i="6"/>
  <c r="A1984" i="6"/>
  <c r="F1983" i="6"/>
  <c r="E1983" i="6"/>
  <c r="D1983" i="6"/>
  <c r="C1983" i="6"/>
  <c r="B1983" i="6"/>
  <c r="A1983" i="6"/>
  <c r="F1982" i="6"/>
  <c r="E1982" i="6"/>
  <c r="D1982" i="6"/>
  <c r="C1982" i="6"/>
  <c r="B1982" i="6"/>
  <c r="A1982" i="6"/>
  <c r="F1981" i="6"/>
  <c r="E1981" i="6"/>
  <c r="D1981" i="6"/>
  <c r="C1981" i="6"/>
  <c r="B1981" i="6"/>
  <c r="A1981" i="6"/>
  <c r="F1980" i="6"/>
  <c r="E1980" i="6"/>
  <c r="D1980" i="6"/>
  <c r="C1980" i="6"/>
  <c r="B1980" i="6"/>
  <c r="A1980" i="6"/>
  <c r="F1979" i="6"/>
  <c r="E1979" i="6"/>
  <c r="D1979" i="6"/>
  <c r="C1979" i="6"/>
  <c r="B1979" i="6"/>
  <c r="A1979" i="6"/>
  <c r="F1978" i="6"/>
  <c r="E1978" i="6"/>
  <c r="D1978" i="6"/>
  <c r="C1978" i="6"/>
  <c r="B1978" i="6"/>
  <c r="A1978" i="6"/>
  <c r="F1977" i="6"/>
  <c r="E1977" i="6"/>
  <c r="D1977" i="6"/>
  <c r="C1977" i="6"/>
  <c r="B1977" i="6"/>
  <c r="A1977" i="6"/>
  <c r="F1976" i="6"/>
  <c r="E1976" i="6"/>
  <c r="D1976" i="6"/>
  <c r="C1976" i="6"/>
  <c r="B1976" i="6"/>
  <c r="A1976" i="6"/>
  <c r="F1975" i="6"/>
  <c r="E1975" i="6"/>
  <c r="D1975" i="6"/>
  <c r="C1975" i="6"/>
  <c r="B1975" i="6"/>
  <c r="A1975" i="6"/>
  <c r="F1974" i="6"/>
  <c r="E1974" i="6"/>
  <c r="D1974" i="6"/>
  <c r="C1974" i="6"/>
  <c r="B1974" i="6"/>
  <c r="A1974" i="6"/>
  <c r="F1973" i="6"/>
  <c r="E1973" i="6"/>
  <c r="D1973" i="6"/>
  <c r="C1973" i="6"/>
  <c r="B1973" i="6"/>
  <c r="A1973" i="6"/>
  <c r="F1972" i="6"/>
  <c r="E1972" i="6"/>
  <c r="D1972" i="6"/>
  <c r="C1972" i="6"/>
  <c r="B1972" i="6"/>
  <c r="A1972" i="6"/>
  <c r="F1971" i="6"/>
  <c r="E1971" i="6"/>
  <c r="D1971" i="6"/>
  <c r="C1971" i="6"/>
  <c r="B1971" i="6"/>
  <c r="A1971" i="6"/>
  <c r="F1970" i="6"/>
  <c r="E1970" i="6"/>
  <c r="D1970" i="6"/>
  <c r="C1970" i="6"/>
  <c r="B1970" i="6"/>
  <c r="A1970" i="6"/>
  <c r="F1969" i="6"/>
  <c r="E1969" i="6"/>
  <c r="D1969" i="6"/>
  <c r="C1969" i="6"/>
  <c r="B1969" i="6"/>
  <c r="A1969" i="6"/>
  <c r="F1968" i="6"/>
  <c r="E1968" i="6"/>
  <c r="D1968" i="6"/>
  <c r="C1968" i="6"/>
  <c r="B1968" i="6"/>
  <c r="A1968" i="6"/>
  <c r="F1967" i="6"/>
  <c r="E1967" i="6"/>
  <c r="D1967" i="6"/>
  <c r="C1967" i="6"/>
  <c r="B1967" i="6"/>
  <c r="A1967" i="6"/>
  <c r="F1966" i="6"/>
  <c r="E1966" i="6"/>
  <c r="D1966" i="6"/>
  <c r="C1966" i="6"/>
  <c r="B1966" i="6"/>
  <c r="A1966" i="6"/>
  <c r="F1965" i="6"/>
  <c r="E1965" i="6"/>
  <c r="D1965" i="6"/>
  <c r="C1965" i="6"/>
  <c r="B1965" i="6"/>
  <c r="A1965" i="6"/>
  <c r="F1964" i="6"/>
  <c r="E1964" i="6"/>
  <c r="D1964" i="6"/>
  <c r="C1964" i="6"/>
  <c r="B1964" i="6"/>
  <c r="A1964" i="6"/>
  <c r="F1963" i="6"/>
  <c r="E1963" i="6"/>
  <c r="D1963" i="6"/>
  <c r="C1963" i="6"/>
  <c r="B1963" i="6"/>
  <c r="A1963" i="6"/>
  <c r="F1962" i="6"/>
  <c r="E1962" i="6"/>
  <c r="D1962" i="6"/>
  <c r="C1962" i="6"/>
  <c r="B1962" i="6"/>
  <c r="A1962" i="6"/>
  <c r="F1961" i="6"/>
  <c r="E1961" i="6"/>
  <c r="D1961" i="6"/>
  <c r="C1961" i="6"/>
  <c r="B1961" i="6"/>
  <c r="A1961" i="6"/>
  <c r="F1960" i="6"/>
  <c r="E1960" i="6"/>
  <c r="D1960" i="6"/>
  <c r="C1960" i="6"/>
  <c r="B1960" i="6"/>
  <c r="A1960" i="6"/>
  <c r="F1959" i="6"/>
  <c r="E1959" i="6"/>
  <c r="D1959" i="6"/>
  <c r="C1959" i="6"/>
  <c r="B1959" i="6"/>
  <c r="A1959" i="6"/>
  <c r="F1958" i="6"/>
  <c r="E1958" i="6"/>
  <c r="D1958" i="6"/>
  <c r="C1958" i="6"/>
  <c r="B1958" i="6"/>
  <c r="A1958" i="6"/>
  <c r="F1957" i="6"/>
  <c r="E1957" i="6"/>
  <c r="D1957" i="6"/>
  <c r="C1957" i="6"/>
  <c r="B1957" i="6"/>
  <c r="A1957" i="6"/>
  <c r="F1956" i="6"/>
  <c r="E1956" i="6"/>
  <c r="D1956" i="6"/>
  <c r="C1956" i="6"/>
  <c r="B1956" i="6"/>
  <c r="A1956" i="6"/>
  <c r="F1955" i="6"/>
  <c r="E1955" i="6"/>
  <c r="D1955" i="6"/>
  <c r="C1955" i="6"/>
  <c r="B1955" i="6"/>
  <c r="A1955" i="6"/>
  <c r="F1954" i="6"/>
  <c r="E1954" i="6"/>
  <c r="D1954" i="6"/>
  <c r="C1954" i="6"/>
  <c r="B1954" i="6"/>
  <c r="A1954" i="6"/>
  <c r="F1953" i="6"/>
  <c r="E1953" i="6"/>
  <c r="D1953" i="6"/>
  <c r="C1953" i="6"/>
  <c r="B1953" i="6"/>
  <c r="A1953" i="6"/>
  <c r="F1952" i="6"/>
  <c r="E1952" i="6"/>
  <c r="D1952" i="6"/>
  <c r="C1952" i="6"/>
  <c r="B1952" i="6"/>
  <c r="A1952" i="6"/>
  <c r="F1951" i="6"/>
  <c r="E1951" i="6"/>
  <c r="D1951" i="6"/>
  <c r="C1951" i="6"/>
  <c r="B1951" i="6"/>
  <c r="A1951" i="6"/>
  <c r="F1950" i="6"/>
  <c r="E1950" i="6"/>
  <c r="D1950" i="6"/>
  <c r="C1950" i="6"/>
  <c r="B1950" i="6"/>
  <c r="A1950" i="6"/>
  <c r="F1949" i="6"/>
  <c r="E1949" i="6"/>
  <c r="D1949" i="6"/>
  <c r="C1949" i="6"/>
  <c r="B1949" i="6"/>
  <c r="A1949" i="6"/>
  <c r="F1948" i="6"/>
  <c r="E1948" i="6"/>
  <c r="D1948" i="6"/>
  <c r="C1948" i="6"/>
  <c r="B1948" i="6"/>
  <c r="A1948" i="6"/>
  <c r="F1947" i="6"/>
  <c r="E1947" i="6"/>
  <c r="D1947" i="6"/>
  <c r="C1947" i="6"/>
  <c r="B1947" i="6"/>
  <c r="A1947" i="6"/>
  <c r="F1946" i="6"/>
  <c r="E1946" i="6"/>
  <c r="D1946" i="6"/>
  <c r="C1946" i="6"/>
  <c r="B1946" i="6"/>
  <c r="A1946" i="6"/>
  <c r="F1945" i="6"/>
  <c r="E1945" i="6"/>
  <c r="D1945" i="6"/>
  <c r="C1945" i="6"/>
  <c r="B1945" i="6"/>
  <c r="A1945" i="6"/>
  <c r="F1944" i="6"/>
  <c r="E1944" i="6"/>
  <c r="D1944" i="6"/>
  <c r="C1944" i="6"/>
  <c r="B1944" i="6"/>
  <c r="A1944" i="6"/>
  <c r="F1943" i="6"/>
  <c r="E1943" i="6"/>
  <c r="D1943" i="6"/>
  <c r="C1943" i="6"/>
  <c r="B1943" i="6"/>
  <c r="A1943" i="6"/>
  <c r="F1942" i="6"/>
  <c r="E1942" i="6"/>
  <c r="D1942" i="6"/>
  <c r="C1942" i="6"/>
  <c r="B1942" i="6"/>
  <c r="A1942" i="6"/>
  <c r="F1941" i="6"/>
  <c r="E1941" i="6"/>
  <c r="D1941" i="6"/>
  <c r="C1941" i="6"/>
  <c r="B1941" i="6"/>
  <c r="A1941" i="6"/>
  <c r="F1940" i="6"/>
  <c r="E1940" i="6"/>
  <c r="D1940" i="6"/>
  <c r="C1940" i="6"/>
  <c r="B1940" i="6"/>
  <c r="A1940" i="6"/>
  <c r="F1939" i="6"/>
  <c r="E1939" i="6"/>
  <c r="D1939" i="6"/>
  <c r="C1939" i="6"/>
  <c r="B1939" i="6"/>
  <c r="A1939" i="6"/>
  <c r="F1938" i="6"/>
  <c r="E1938" i="6"/>
  <c r="D1938" i="6"/>
  <c r="C1938" i="6"/>
  <c r="B1938" i="6"/>
  <c r="A1938" i="6"/>
  <c r="F1937" i="6"/>
  <c r="E1937" i="6"/>
  <c r="D1937" i="6"/>
  <c r="C1937" i="6"/>
  <c r="B1937" i="6"/>
  <c r="A1937" i="6"/>
  <c r="F1936" i="6"/>
  <c r="E1936" i="6"/>
  <c r="D1936" i="6"/>
  <c r="C1936" i="6"/>
  <c r="B1936" i="6"/>
  <c r="A1936" i="6"/>
  <c r="F1935" i="6"/>
  <c r="E1935" i="6"/>
  <c r="D1935" i="6"/>
  <c r="C1935" i="6"/>
  <c r="B1935" i="6"/>
  <c r="A1935" i="6"/>
  <c r="F1934" i="6"/>
  <c r="E1934" i="6"/>
  <c r="D1934" i="6"/>
  <c r="C1934" i="6"/>
  <c r="B1934" i="6"/>
  <c r="A1934" i="6"/>
  <c r="F1933" i="6"/>
  <c r="E1933" i="6"/>
  <c r="D1933" i="6"/>
  <c r="C1933" i="6"/>
  <c r="B1933" i="6"/>
  <c r="A1933" i="6"/>
  <c r="F1932" i="6"/>
  <c r="E1932" i="6"/>
  <c r="D1932" i="6"/>
  <c r="C1932" i="6"/>
  <c r="B1932" i="6"/>
  <c r="A1932" i="6"/>
  <c r="F1931" i="6"/>
  <c r="E1931" i="6"/>
  <c r="D1931" i="6"/>
  <c r="C1931" i="6"/>
  <c r="B1931" i="6"/>
  <c r="A1931" i="6"/>
  <c r="F1930" i="6"/>
  <c r="E1930" i="6"/>
  <c r="D1930" i="6"/>
  <c r="C1930" i="6"/>
  <c r="B1930" i="6"/>
  <c r="A1930" i="6"/>
  <c r="F1929" i="6"/>
  <c r="E1929" i="6"/>
  <c r="D1929" i="6"/>
  <c r="C1929" i="6"/>
  <c r="B1929" i="6"/>
  <c r="A1929" i="6"/>
  <c r="F1928" i="6"/>
  <c r="E1928" i="6"/>
  <c r="D1928" i="6"/>
  <c r="C1928" i="6"/>
  <c r="B1928" i="6"/>
  <c r="A1928" i="6"/>
  <c r="F1927" i="6"/>
  <c r="E1927" i="6"/>
  <c r="D1927" i="6"/>
  <c r="C1927" i="6"/>
  <c r="B1927" i="6"/>
  <c r="A1927" i="6"/>
  <c r="F1926" i="6"/>
  <c r="E1926" i="6"/>
  <c r="D1926" i="6"/>
  <c r="C1926" i="6"/>
  <c r="B1926" i="6"/>
  <c r="A1926" i="6"/>
  <c r="F1925" i="6"/>
  <c r="E1925" i="6"/>
  <c r="D1925" i="6"/>
  <c r="C1925" i="6"/>
  <c r="B1925" i="6"/>
  <c r="A1925" i="6"/>
  <c r="F1924" i="6"/>
  <c r="E1924" i="6"/>
  <c r="D1924" i="6"/>
  <c r="C1924" i="6"/>
  <c r="B1924" i="6"/>
  <c r="A1924" i="6"/>
  <c r="F1923" i="6"/>
  <c r="E1923" i="6"/>
  <c r="D1923" i="6"/>
  <c r="C1923" i="6"/>
  <c r="B1923" i="6"/>
  <c r="A1923" i="6"/>
  <c r="F1922" i="6"/>
  <c r="E1922" i="6"/>
  <c r="D1922" i="6"/>
  <c r="C1922" i="6"/>
  <c r="B1922" i="6"/>
  <c r="A1922" i="6"/>
  <c r="F1921" i="6"/>
  <c r="E1921" i="6"/>
  <c r="D1921" i="6"/>
  <c r="C1921" i="6"/>
  <c r="B1921" i="6"/>
  <c r="A1921" i="6"/>
  <c r="F1920" i="6"/>
  <c r="E1920" i="6"/>
  <c r="D1920" i="6"/>
  <c r="C1920" i="6"/>
  <c r="B1920" i="6"/>
  <c r="A1920" i="6"/>
  <c r="F1919" i="6"/>
  <c r="E1919" i="6"/>
  <c r="D1919" i="6"/>
  <c r="C1919" i="6"/>
  <c r="B1919" i="6"/>
  <c r="A1919" i="6"/>
  <c r="F1918" i="6"/>
  <c r="E1918" i="6"/>
  <c r="D1918" i="6"/>
  <c r="C1918" i="6"/>
  <c r="B1918" i="6"/>
  <c r="A1918" i="6"/>
  <c r="F1917" i="6"/>
  <c r="E1917" i="6"/>
  <c r="D1917" i="6"/>
  <c r="C1917" i="6"/>
  <c r="B1917" i="6"/>
  <c r="A1917" i="6"/>
  <c r="F1916" i="6"/>
  <c r="E1916" i="6"/>
  <c r="D1916" i="6"/>
  <c r="C1916" i="6"/>
  <c r="B1916" i="6"/>
  <c r="A1916" i="6"/>
  <c r="F1915" i="6"/>
  <c r="E1915" i="6"/>
  <c r="D1915" i="6"/>
  <c r="C1915" i="6"/>
  <c r="B1915" i="6"/>
  <c r="A1915" i="6"/>
  <c r="F1914" i="6"/>
  <c r="E1914" i="6"/>
  <c r="D1914" i="6"/>
  <c r="C1914" i="6"/>
  <c r="B1914" i="6"/>
  <c r="A1914" i="6"/>
  <c r="F1913" i="6"/>
  <c r="E1913" i="6"/>
  <c r="D1913" i="6"/>
  <c r="C1913" i="6"/>
  <c r="B1913" i="6"/>
  <c r="A1913" i="6"/>
  <c r="F1912" i="6"/>
  <c r="E1912" i="6"/>
  <c r="D1912" i="6"/>
  <c r="C1912" i="6"/>
  <c r="B1912" i="6"/>
  <c r="A1912" i="6"/>
  <c r="F1911" i="6"/>
  <c r="E1911" i="6"/>
  <c r="D1911" i="6"/>
  <c r="C1911" i="6"/>
  <c r="B1911" i="6"/>
  <c r="A1911" i="6"/>
  <c r="F1910" i="6"/>
  <c r="E1910" i="6"/>
  <c r="D1910" i="6"/>
  <c r="C1910" i="6"/>
  <c r="B1910" i="6"/>
  <c r="A1910" i="6"/>
  <c r="F1909" i="6"/>
  <c r="E1909" i="6"/>
  <c r="D1909" i="6"/>
  <c r="C1909" i="6"/>
  <c r="B1909" i="6"/>
  <c r="A1909" i="6"/>
  <c r="F1908" i="6"/>
  <c r="E1908" i="6"/>
  <c r="D1908" i="6"/>
  <c r="C1908" i="6"/>
  <c r="B1908" i="6"/>
  <c r="A1908" i="6"/>
  <c r="F1907" i="6"/>
  <c r="E1907" i="6"/>
  <c r="D1907" i="6"/>
  <c r="C1907" i="6"/>
  <c r="B1907" i="6"/>
  <c r="A1907" i="6"/>
  <c r="F1906" i="6"/>
  <c r="E1906" i="6"/>
  <c r="D1906" i="6"/>
  <c r="C1906" i="6"/>
  <c r="B1906" i="6"/>
  <c r="A1906" i="6"/>
  <c r="F1905" i="6"/>
  <c r="E1905" i="6"/>
  <c r="D1905" i="6"/>
  <c r="C1905" i="6"/>
  <c r="B1905" i="6"/>
  <c r="A1905" i="6"/>
  <c r="F1904" i="6"/>
  <c r="E1904" i="6"/>
  <c r="D1904" i="6"/>
  <c r="C1904" i="6"/>
  <c r="B1904" i="6"/>
  <c r="A1904" i="6"/>
  <c r="F1903" i="6"/>
  <c r="E1903" i="6"/>
  <c r="D1903" i="6"/>
  <c r="C1903" i="6"/>
  <c r="B1903" i="6"/>
  <c r="A1903" i="6"/>
  <c r="F1902" i="6"/>
  <c r="E1902" i="6"/>
  <c r="D1902" i="6"/>
  <c r="C1902" i="6"/>
  <c r="B1902" i="6"/>
  <c r="A1902" i="6"/>
  <c r="F1901" i="6"/>
  <c r="E1901" i="6"/>
  <c r="D1901" i="6"/>
  <c r="C1901" i="6"/>
  <c r="B1901" i="6"/>
  <c r="A1901" i="6"/>
  <c r="F1900" i="6"/>
  <c r="E1900" i="6"/>
  <c r="D1900" i="6"/>
  <c r="C1900" i="6"/>
  <c r="B1900" i="6"/>
  <c r="A1900" i="6"/>
  <c r="F1899" i="6"/>
  <c r="E1899" i="6"/>
  <c r="D1899" i="6"/>
  <c r="C1899" i="6"/>
  <c r="B1899" i="6"/>
  <c r="A1899" i="6"/>
  <c r="F1898" i="6"/>
  <c r="E1898" i="6"/>
  <c r="D1898" i="6"/>
  <c r="C1898" i="6"/>
  <c r="B1898" i="6"/>
  <c r="A1898" i="6"/>
  <c r="F1897" i="6"/>
  <c r="E1897" i="6"/>
  <c r="D1897" i="6"/>
  <c r="C1897" i="6"/>
  <c r="B1897" i="6"/>
  <c r="A1897" i="6"/>
  <c r="F1896" i="6"/>
  <c r="E1896" i="6"/>
  <c r="D1896" i="6"/>
  <c r="C1896" i="6"/>
  <c r="B1896" i="6"/>
  <c r="A1896" i="6"/>
  <c r="F1895" i="6"/>
  <c r="E1895" i="6"/>
  <c r="D1895" i="6"/>
  <c r="C1895" i="6"/>
  <c r="B1895" i="6"/>
  <c r="A1895" i="6"/>
  <c r="F1894" i="6"/>
  <c r="E1894" i="6"/>
  <c r="D1894" i="6"/>
  <c r="C1894" i="6"/>
  <c r="B1894" i="6"/>
  <c r="A1894" i="6"/>
  <c r="F1893" i="6"/>
  <c r="E1893" i="6"/>
  <c r="D1893" i="6"/>
  <c r="C1893" i="6"/>
  <c r="B1893" i="6"/>
  <c r="A1893" i="6"/>
  <c r="F1892" i="6"/>
  <c r="E1892" i="6"/>
  <c r="D1892" i="6"/>
  <c r="C1892" i="6"/>
  <c r="B1892" i="6"/>
  <c r="A1892" i="6"/>
  <c r="F1891" i="6"/>
  <c r="E1891" i="6"/>
  <c r="D1891" i="6"/>
  <c r="C1891" i="6"/>
  <c r="B1891" i="6"/>
  <c r="A1891" i="6"/>
  <c r="F1890" i="6"/>
  <c r="E1890" i="6"/>
  <c r="D1890" i="6"/>
  <c r="C1890" i="6"/>
  <c r="B1890" i="6"/>
  <c r="A1890" i="6"/>
  <c r="F1889" i="6"/>
  <c r="E1889" i="6"/>
  <c r="D1889" i="6"/>
  <c r="C1889" i="6"/>
  <c r="B1889" i="6"/>
  <c r="A1889" i="6"/>
  <c r="F1888" i="6"/>
  <c r="E1888" i="6"/>
  <c r="D1888" i="6"/>
  <c r="C1888" i="6"/>
  <c r="B1888" i="6"/>
  <c r="A1888" i="6"/>
  <c r="F1887" i="6"/>
  <c r="E1887" i="6"/>
  <c r="D1887" i="6"/>
  <c r="C1887" i="6"/>
  <c r="B1887" i="6"/>
  <c r="A1887" i="6"/>
  <c r="F1886" i="6"/>
  <c r="E1886" i="6"/>
  <c r="D1886" i="6"/>
  <c r="C1886" i="6"/>
  <c r="B1886" i="6"/>
  <c r="A1886" i="6"/>
  <c r="F1885" i="6"/>
  <c r="E1885" i="6"/>
  <c r="D1885" i="6"/>
  <c r="C1885" i="6"/>
  <c r="B1885" i="6"/>
  <c r="A1885" i="6"/>
  <c r="F1884" i="6"/>
  <c r="E1884" i="6"/>
  <c r="D1884" i="6"/>
  <c r="C1884" i="6"/>
  <c r="B1884" i="6"/>
  <c r="A1884" i="6"/>
  <c r="F1883" i="6"/>
  <c r="E1883" i="6"/>
  <c r="D1883" i="6"/>
  <c r="C1883" i="6"/>
  <c r="B1883" i="6"/>
  <c r="A1883" i="6"/>
  <c r="F1882" i="6"/>
  <c r="E1882" i="6"/>
  <c r="D1882" i="6"/>
  <c r="C1882" i="6"/>
  <c r="B1882" i="6"/>
  <c r="A1882" i="6"/>
  <c r="F1881" i="6"/>
  <c r="E1881" i="6"/>
  <c r="D1881" i="6"/>
  <c r="C1881" i="6"/>
  <c r="B1881" i="6"/>
  <c r="A1881" i="6"/>
  <c r="F1880" i="6"/>
  <c r="E1880" i="6"/>
  <c r="D1880" i="6"/>
  <c r="C1880" i="6"/>
  <c r="B1880" i="6"/>
  <c r="A1880" i="6"/>
  <c r="F1879" i="6"/>
  <c r="E1879" i="6"/>
  <c r="D1879" i="6"/>
  <c r="C1879" i="6"/>
  <c r="B1879" i="6"/>
  <c r="A1879" i="6"/>
  <c r="F1878" i="6"/>
  <c r="E1878" i="6"/>
  <c r="D1878" i="6"/>
  <c r="C1878" i="6"/>
  <c r="B1878" i="6"/>
  <c r="A1878" i="6"/>
  <c r="F1877" i="6"/>
  <c r="E1877" i="6"/>
  <c r="D1877" i="6"/>
  <c r="C1877" i="6"/>
  <c r="B1877" i="6"/>
  <c r="A1877" i="6"/>
  <c r="F1876" i="6"/>
  <c r="E1876" i="6"/>
  <c r="D1876" i="6"/>
  <c r="C1876" i="6"/>
  <c r="B1876" i="6"/>
  <c r="A1876" i="6"/>
  <c r="F1875" i="6"/>
  <c r="E1875" i="6"/>
  <c r="D1875" i="6"/>
  <c r="C1875" i="6"/>
  <c r="B1875" i="6"/>
  <c r="A1875" i="6"/>
  <c r="F1874" i="6"/>
  <c r="E1874" i="6"/>
  <c r="D1874" i="6"/>
  <c r="C1874" i="6"/>
  <c r="B1874" i="6"/>
  <c r="A1874" i="6"/>
  <c r="F1873" i="6"/>
  <c r="E1873" i="6"/>
  <c r="D1873" i="6"/>
  <c r="C1873" i="6"/>
  <c r="B1873" i="6"/>
  <c r="A1873" i="6"/>
  <c r="F1872" i="6"/>
  <c r="E1872" i="6"/>
  <c r="D1872" i="6"/>
  <c r="C1872" i="6"/>
  <c r="B1872" i="6"/>
  <c r="A1872" i="6"/>
  <c r="F1871" i="6"/>
  <c r="E1871" i="6"/>
  <c r="D1871" i="6"/>
  <c r="C1871" i="6"/>
  <c r="B1871" i="6"/>
  <c r="A1871" i="6"/>
  <c r="F1870" i="6"/>
  <c r="E1870" i="6"/>
  <c r="D1870" i="6"/>
  <c r="C1870" i="6"/>
  <c r="B1870" i="6"/>
  <c r="A1870" i="6"/>
  <c r="F1869" i="6"/>
  <c r="E1869" i="6"/>
  <c r="D1869" i="6"/>
  <c r="C1869" i="6"/>
  <c r="B1869" i="6"/>
  <c r="A1869" i="6"/>
  <c r="F1868" i="6"/>
  <c r="E1868" i="6"/>
  <c r="D1868" i="6"/>
  <c r="C1868" i="6"/>
  <c r="B1868" i="6"/>
  <c r="A1868" i="6"/>
  <c r="F1867" i="6"/>
  <c r="E1867" i="6"/>
  <c r="D1867" i="6"/>
  <c r="C1867" i="6"/>
  <c r="B1867" i="6"/>
  <c r="A1867" i="6"/>
  <c r="F1866" i="6"/>
  <c r="E1866" i="6"/>
  <c r="D1866" i="6"/>
  <c r="C1866" i="6"/>
  <c r="B1866" i="6"/>
  <c r="A1866" i="6"/>
  <c r="F1865" i="6"/>
  <c r="E1865" i="6"/>
  <c r="D1865" i="6"/>
  <c r="C1865" i="6"/>
  <c r="B1865" i="6"/>
  <c r="A1865" i="6"/>
  <c r="F1864" i="6"/>
  <c r="E1864" i="6"/>
  <c r="D1864" i="6"/>
  <c r="C1864" i="6"/>
  <c r="B1864" i="6"/>
  <c r="A1864" i="6"/>
  <c r="F1863" i="6"/>
  <c r="E1863" i="6"/>
  <c r="D1863" i="6"/>
  <c r="C1863" i="6"/>
  <c r="B1863" i="6"/>
  <c r="A1863" i="6"/>
  <c r="F1862" i="6"/>
  <c r="E1862" i="6"/>
  <c r="D1862" i="6"/>
  <c r="C1862" i="6"/>
  <c r="B1862" i="6"/>
  <c r="A1862" i="6"/>
  <c r="F1861" i="6"/>
  <c r="E1861" i="6"/>
  <c r="D1861" i="6"/>
  <c r="C1861" i="6"/>
  <c r="B1861" i="6"/>
  <c r="A1861" i="6"/>
  <c r="F1860" i="6"/>
  <c r="E1860" i="6"/>
  <c r="D1860" i="6"/>
  <c r="C1860" i="6"/>
  <c r="B1860" i="6"/>
  <c r="A1860" i="6"/>
  <c r="F1859" i="6"/>
  <c r="E1859" i="6"/>
  <c r="D1859" i="6"/>
  <c r="C1859" i="6"/>
  <c r="B1859" i="6"/>
  <c r="A1859" i="6"/>
  <c r="F1858" i="6"/>
  <c r="E1858" i="6"/>
  <c r="D1858" i="6"/>
  <c r="C1858" i="6"/>
  <c r="B1858" i="6"/>
  <c r="A1858" i="6"/>
  <c r="F1857" i="6"/>
  <c r="E1857" i="6"/>
  <c r="D1857" i="6"/>
  <c r="C1857" i="6"/>
  <c r="B1857" i="6"/>
  <c r="A1857" i="6"/>
  <c r="F1856" i="6"/>
  <c r="E1856" i="6"/>
  <c r="D1856" i="6"/>
  <c r="C1856" i="6"/>
  <c r="B1856" i="6"/>
  <c r="A1856" i="6"/>
  <c r="F1855" i="6"/>
  <c r="E1855" i="6"/>
  <c r="D1855" i="6"/>
  <c r="C1855" i="6"/>
  <c r="B1855" i="6"/>
  <c r="A1855" i="6"/>
  <c r="F1854" i="6"/>
  <c r="E1854" i="6"/>
  <c r="D1854" i="6"/>
  <c r="C1854" i="6"/>
  <c r="B1854" i="6"/>
  <c r="A1854" i="6"/>
  <c r="F1853" i="6"/>
  <c r="E1853" i="6"/>
  <c r="D1853" i="6"/>
  <c r="C1853" i="6"/>
  <c r="B1853" i="6"/>
  <c r="A1853" i="6"/>
  <c r="F1852" i="6"/>
  <c r="E1852" i="6"/>
  <c r="D1852" i="6"/>
  <c r="C1852" i="6"/>
  <c r="B1852" i="6"/>
  <c r="A1852" i="6"/>
  <c r="F1851" i="6"/>
  <c r="E1851" i="6"/>
  <c r="D1851" i="6"/>
  <c r="C1851" i="6"/>
  <c r="B1851" i="6"/>
  <c r="A1851" i="6"/>
  <c r="F1850" i="6"/>
  <c r="E1850" i="6"/>
  <c r="D1850" i="6"/>
  <c r="C1850" i="6"/>
  <c r="B1850" i="6"/>
  <c r="A1850" i="6"/>
  <c r="F1849" i="6"/>
  <c r="E1849" i="6"/>
  <c r="D1849" i="6"/>
  <c r="C1849" i="6"/>
  <c r="B1849" i="6"/>
  <c r="A1849" i="6"/>
  <c r="F1848" i="6"/>
  <c r="E1848" i="6"/>
  <c r="D1848" i="6"/>
  <c r="C1848" i="6"/>
  <c r="B1848" i="6"/>
  <c r="A1848" i="6"/>
  <c r="F1847" i="6"/>
  <c r="E1847" i="6"/>
  <c r="D1847" i="6"/>
  <c r="C1847" i="6"/>
  <c r="B1847" i="6"/>
  <c r="A1847" i="6"/>
  <c r="F1846" i="6"/>
  <c r="E1846" i="6"/>
  <c r="D1846" i="6"/>
  <c r="C1846" i="6"/>
  <c r="B1846" i="6"/>
  <c r="A1846" i="6"/>
  <c r="F1845" i="6"/>
  <c r="E1845" i="6"/>
  <c r="D1845" i="6"/>
  <c r="C1845" i="6"/>
  <c r="B1845" i="6"/>
  <c r="A1845" i="6"/>
  <c r="F1844" i="6"/>
  <c r="E1844" i="6"/>
  <c r="D1844" i="6"/>
  <c r="C1844" i="6"/>
  <c r="B1844" i="6"/>
  <c r="A1844" i="6"/>
  <c r="F1843" i="6"/>
  <c r="E1843" i="6"/>
  <c r="D1843" i="6"/>
  <c r="C1843" i="6"/>
  <c r="B1843" i="6"/>
  <c r="A1843" i="6"/>
  <c r="F1842" i="6"/>
  <c r="E1842" i="6"/>
  <c r="D1842" i="6"/>
  <c r="C1842" i="6"/>
  <c r="B1842" i="6"/>
  <c r="A1842" i="6"/>
  <c r="F1841" i="6"/>
  <c r="E1841" i="6"/>
  <c r="D1841" i="6"/>
  <c r="C1841" i="6"/>
  <c r="B1841" i="6"/>
  <c r="A1841" i="6"/>
  <c r="F1840" i="6"/>
  <c r="E1840" i="6"/>
  <c r="D1840" i="6"/>
  <c r="C1840" i="6"/>
  <c r="B1840" i="6"/>
  <c r="A1840" i="6"/>
  <c r="F1839" i="6"/>
  <c r="E1839" i="6"/>
  <c r="D1839" i="6"/>
  <c r="C1839" i="6"/>
  <c r="B1839" i="6"/>
  <c r="A1839" i="6"/>
  <c r="F1838" i="6"/>
  <c r="E1838" i="6"/>
  <c r="D1838" i="6"/>
  <c r="C1838" i="6"/>
  <c r="B1838" i="6"/>
  <c r="A1838" i="6"/>
  <c r="F1837" i="6"/>
  <c r="E1837" i="6"/>
  <c r="D1837" i="6"/>
  <c r="C1837" i="6"/>
  <c r="B1837" i="6"/>
  <c r="A1837" i="6"/>
  <c r="F1836" i="6"/>
  <c r="E1836" i="6"/>
  <c r="D1836" i="6"/>
  <c r="C1836" i="6"/>
  <c r="B1836" i="6"/>
  <c r="A1836" i="6"/>
  <c r="F1835" i="6"/>
  <c r="E1835" i="6"/>
  <c r="D1835" i="6"/>
  <c r="C1835" i="6"/>
  <c r="B1835" i="6"/>
  <c r="A1835" i="6"/>
  <c r="F1834" i="6"/>
  <c r="E1834" i="6"/>
  <c r="D1834" i="6"/>
  <c r="C1834" i="6"/>
  <c r="B1834" i="6"/>
  <c r="A1834" i="6"/>
  <c r="F1833" i="6"/>
  <c r="E1833" i="6"/>
  <c r="D1833" i="6"/>
  <c r="C1833" i="6"/>
  <c r="B1833" i="6"/>
  <c r="A1833" i="6"/>
  <c r="F1832" i="6"/>
  <c r="E1832" i="6"/>
  <c r="D1832" i="6"/>
  <c r="C1832" i="6"/>
  <c r="B1832" i="6"/>
  <c r="A1832" i="6"/>
  <c r="F1831" i="6"/>
  <c r="E1831" i="6"/>
  <c r="D1831" i="6"/>
  <c r="C1831" i="6"/>
  <c r="B1831" i="6"/>
  <c r="A1831" i="6"/>
  <c r="F1830" i="6"/>
  <c r="E1830" i="6"/>
  <c r="D1830" i="6"/>
  <c r="C1830" i="6"/>
  <c r="B1830" i="6"/>
  <c r="A1830" i="6"/>
  <c r="F1829" i="6"/>
  <c r="E1829" i="6"/>
  <c r="D1829" i="6"/>
  <c r="C1829" i="6"/>
  <c r="B1829" i="6"/>
  <c r="A1829" i="6"/>
  <c r="F1828" i="6"/>
  <c r="E1828" i="6"/>
  <c r="D1828" i="6"/>
  <c r="C1828" i="6"/>
  <c r="B1828" i="6"/>
  <c r="A1828" i="6"/>
  <c r="F1827" i="6"/>
  <c r="E1827" i="6"/>
  <c r="D1827" i="6"/>
  <c r="C1827" i="6"/>
  <c r="B1827" i="6"/>
  <c r="A1827" i="6"/>
  <c r="F1826" i="6"/>
  <c r="E1826" i="6"/>
  <c r="D1826" i="6"/>
  <c r="C1826" i="6"/>
  <c r="B1826" i="6"/>
  <c r="A1826" i="6"/>
  <c r="F1825" i="6"/>
  <c r="E1825" i="6"/>
  <c r="D1825" i="6"/>
  <c r="C1825" i="6"/>
  <c r="B1825" i="6"/>
  <c r="A1825" i="6"/>
  <c r="F1824" i="6"/>
  <c r="E1824" i="6"/>
  <c r="D1824" i="6"/>
  <c r="C1824" i="6"/>
  <c r="B1824" i="6"/>
  <c r="A1824" i="6"/>
  <c r="F1823" i="6"/>
  <c r="E1823" i="6"/>
  <c r="D1823" i="6"/>
  <c r="C1823" i="6"/>
  <c r="B1823" i="6"/>
  <c r="A1823" i="6"/>
  <c r="F1822" i="6"/>
  <c r="E1822" i="6"/>
  <c r="D1822" i="6"/>
  <c r="C1822" i="6"/>
  <c r="B1822" i="6"/>
  <c r="A1822" i="6"/>
  <c r="F1821" i="6"/>
  <c r="E1821" i="6"/>
  <c r="D1821" i="6"/>
  <c r="C1821" i="6"/>
  <c r="B1821" i="6"/>
  <c r="A1821" i="6"/>
  <c r="F1820" i="6"/>
  <c r="E1820" i="6"/>
  <c r="D1820" i="6"/>
  <c r="C1820" i="6"/>
  <c r="B1820" i="6"/>
  <c r="A1820" i="6"/>
  <c r="F1819" i="6"/>
  <c r="E1819" i="6"/>
  <c r="D1819" i="6"/>
  <c r="C1819" i="6"/>
  <c r="B1819" i="6"/>
  <c r="A1819" i="6"/>
  <c r="F1818" i="6"/>
  <c r="E1818" i="6"/>
  <c r="D1818" i="6"/>
  <c r="C1818" i="6"/>
  <c r="B1818" i="6"/>
  <c r="A1818" i="6"/>
  <c r="F1817" i="6"/>
  <c r="E1817" i="6"/>
  <c r="D1817" i="6"/>
  <c r="C1817" i="6"/>
  <c r="B1817" i="6"/>
  <c r="A1817" i="6"/>
  <c r="F1816" i="6"/>
  <c r="E1816" i="6"/>
  <c r="D1816" i="6"/>
  <c r="C1816" i="6"/>
  <c r="B1816" i="6"/>
  <c r="A1816" i="6"/>
  <c r="F1815" i="6"/>
  <c r="E1815" i="6"/>
  <c r="D1815" i="6"/>
  <c r="C1815" i="6"/>
  <c r="B1815" i="6"/>
  <c r="A1815" i="6"/>
  <c r="F1814" i="6"/>
  <c r="E1814" i="6"/>
  <c r="D1814" i="6"/>
  <c r="C1814" i="6"/>
  <c r="B1814" i="6"/>
  <c r="A1814" i="6"/>
  <c r="F1813" i="6"/>
  <c r="E1813" i="6"/>
  <c r="D1813" i="6"/>
  <c r="C1813" i="6"/>
  <c r="B1813" i="6"/>
  <c r="A1813" i="6"/>
  <c r="F1812" i="6"/>
  <c r="E1812" i="6"/>
  <c r="D1812" i="6"/>
  <c r="C1812" i="6"/>
  <c r="B1812" i="6"/>
  <c r="A1812" i="6"/>
  <c r="F1811" i="6"/>
  <c r="E1811" i="6"/>
  <c r="D1811" i="6"/>
  <c r="C1811" i="6"/>
  <c r="B1811" i="6"/>
  <c r="A1811" i="6"/>
  <c r="F1810" i="6"/>
  <c r="E1810" i="6"/>
  <c r="D1810" i="6"/>
  <c r="C1810" i="6"/>
  <c r="B1810" i="6"/>
  <c r="A1810" i="6"/>
  <c r="F1809" i="6"/>
  <c r="E1809" i="6"/>
  <c r="D1809" i="6"/>
  <c r="C1809" i="6"/>
  <c r="B1809" i="6"/>
  <c r="A1809" i="6"/>
  <c r="F1808" i="6"/>
  <c r="E1808" i="6"/>
  <c r="D1808" i="6"/>
  <c r="C1808" i="6"/>
  <c r="B1808" i="6"/>
  <c r="A1808" i="6"/>
  <c r="F1807" i="6"/>
  <c r="E1807" i="6"/>
  <c r="D1807" i="6"/>
  <c r="C1807" i="6"/>
  <c r="B1807" i="6"/>
  <c r="A1807" i="6"/>
  <c r="F1806" i="6"/>
  <c r="E1806" i="6"/>
  <c r="D1806" i="6"/>
  <c r="C1806" i="6"/>
  <c r="B1806" i="6"/>
  <c r="A1806" i="6"/>
  <c r="F1805" i="6"/>
  <c r="E1805" i="6"/>
  <c r="D1805" i="6"/>
  <c r="C1805" i="6"/>
  <c r="B1805" i="6"/>
  <c r="A1805" i="6"/>
  <c r="F1804" i="6"/>
  <c r="E1804" i="6"/>
  <c r="D1804" i="6"/>
  <c r="C1804" i="6"/>
  <c r="B1804" i="6"/>
  <c r="A1804" i="6"/>
  <c r="F1803" i="6"/>
  <c r="E1803" i="6"/>
  <c r="D1803" i="6"/>
  <c r="C1803" i="6"/>
  <c r="B1803" i="6"/>
  <c r="A1803" i="6"/>
  <c r="F1802" i="6"/>
  <c r="E1802" i="6"/>
  <c r="D1802" i="6"/>
  <c r="C1802" i="6"/>
  <c r="B1802" i="6"/>
  <c r="A1802" i="6"/>
  <c r="F1801" i="6"/>
  <c r="E1801" i="6"/>
  <c r="D1801" i="6"/>
  <c r="C1801" i="6"/>
  <c r="B1801" i="6"/>
  <c r="A1801" i="6"/>
  <c r="F1800" i="6"/>
  <c r="E1800" i="6"/>
  <c r="D1800" i="6"/>
  <c r="C1800" i="6"/>
  <c r="B1800" i="6"/>
  <c r="A1800" i="6"/>
  <c r="F1799" i="6"/>
  <c r="E1799" i="6"/>
  <c r="D1799" i="6"/>
  <c r="C1799" i="6"/>
  <c r="B1799" i="6"/>
  <c r="A1799" i="6"/>
  <c r="F1798" i="6"/>
  <c r="E1798" i="6"/>
  <c r="D1798" i="6"/>
  <c r="C1798" i="6"/>
  <c r="B1798" i="6"/>
  <c r="A1798" i="6"/>
  <c r="F1797" i="6"/>
  <c r="E1797" i="6"/>
  <c r="D1797" i="6"/>
  <c r="C1797" i="6"/>
  <c r="B1797" i="6"/>
  <c r="A1797" i="6"/>
  <c r="F1796" i="6"/>
  <c r="E1796" i="6"/>
  <c r="D1796" i="6"/>
  <c r="C1796" i="6"/>
  <c r="B1796" i="6"/>
  <c r="A1796" i="6"/>
  <c r="F1795" i="6"/>
  <c r="E1795" i="6"/>
  <c r="D1795" i="6"/>
  <c r="C1795" i="6"/>
  <c r="B1795" i="6"/>
  <c r="A1795" i="6"/>
  <c r="F1794" i="6"/>
  <c r="E1794" i="6"/>
  <c r="D1794" i="6"/>
  <c r="C1794" i="6"/>
  <c r="B1794" i="6"/>
  <c r="A1794" i="6"/>
  <c r="F1793" i="6"/>
  <c r="E1793" i="6"/>
  <c r="D1793" i="6"/>
  <c r="C1793" i="6"/>
  <c r="B1793" i="6"/>
  <c r="A1793" i="6"/>
  <c r="F1792" i="6"/>
  <c r="E1792" i="6"/>
  <c r="D1792" i="6"/>
  <c r="C1792" i="6"/>
  <c r="B1792" i="6"/>
  <c r="A1792" i="6"/>
  <c r="F1791" i="6"/>
  <c r="E1791" i="6"/>
  <c r="D1791" i="6"/>
  <c r="C1791" i="6"/>
  <c r="B1791" i="6"/>
  <c r="A1791" i="6"/>
  <c r="F1790" i="6"/>
  <c r="E1790" i="6"/>
  <c r="D1790" i="6"/>
  <c r="C1790" i="6"/>
  <c r="B1790" i="6"/>
  <c r="A1790" i="6"/>
  <c r="F1789" i="6"/>
  <c r="E1789" i="6"/>
  <c r="D1789" i="6"/>
  <c r="C1789" i="6"/>
  <c r="B1789" i="6"/>
  <c r="A1789" i="6"/>
  <c r="F1788" i="6"/>
  <c r="E1788" i="6"/>
  <c r="D1788" i="6"/>
  <c r="C1788" i="6"/>
  <c r="B1788" i="6"/>
  <c r="A1788" i="6"/>
  <c r="F1787" i="6"/>
  <c r="E1787" i="6"/>
  <c r="D1787" i="6"/>
  <c r="C1787" i="6"/>
  <c r="B1787" i="6"/>
  <c r="A1787" i="6"/>
  <c r="F1786" i="6"/>
  <c r="E1786" i="6"/>
  <c r="D1786" i="6"/>
  <c r="C1786" i="6"/>
  <c r="B1786" i="6"/>
  <c r="A1786" i="6"/>
  <c r="F1785" i="6"/>
  <c r="E1785" i="6"/>
  <c r="D1785" i="6"/>
  <c r="C1785" i="6"/>
  <c r="B1785" i="6"/>
  <c r="A1785" i="6"/>
  <c r="F1784" i="6"/>
  <c r="E1784" i="6"/>
  <c r="D1784" i="6"/>
  <c r="C1784" i="6"/>
  <c r="B1784" i="6"/>
  <c r="A1784" i="6"/>
  <c r="F1783" i="6"/>
  <c r="E1783" i="6"/>
  <c r="D1783" i="6"/>
  <c r="C1783" i="6"/>
  <c r="B1783" i="6"/>
  <c r="A1783" i="6"/>
  <c r="F1782" i="6"/>
  <c r="E1782" i="6"/>
  <c r="D1782" i="6"/>
  <c r="C1782" i="6"/>
  <c r="B1782" i="6"/>
  <c r="A1782" i="6"/>
  <c r="F1781" i="6"/>
  <c r="E1781" i="6"/>
  <c r="D1781" i="6"/>
  <c r="C1781" i="6"/>
  <c r="B1781" i="6"/>
  <c r="A1781" i="6"/>
  <c r="F1780" i="6"/>
  <c r="E1780" i="6"/>
  <c r="D1780" i="6"/>
  <c r="C1780" i="6"/>
  <c r="B1780" i="6"/>
  <c r="A1780" i="6"/>
  <c r="F1779" i="6"/>
  <c r="E1779" i="6"/>
  <c r="D1779" i="6"/>
  <c r="C1779" i="6"/>
  <c r="B1779" i="6"/>
  <c r="A1779" i="6"/>
  <c r="F1778" i="6"/>
  <c r="E1778" i="6"/>
  <c r="D1778" i="6"/>
  <c r="C1778" i="6"/>
  <c r="B1778" i="6"/>
  <c r="A1778" i="6"/>
  <c r="F1777" i="6"/>
  <c r="E1777" i="6"/>
  <c r="D1777" i="6"/>
  <c r="C1777" i="6"/>
  <c r="B1777" i="6"/>
  <c r="A1777" i="6"/>
  <c r="F1776" i="6"/>
  <c r="E1776" i="6"/>
  <c r="D1776" i="6"/>
  <c r="C1776" i="6"/>
  <c r="B1776" i="6"/>
  <c r="A1776" i="6"/>
  <c r="F1775" i="6"/>
  <c r="E1775" i="6"/>
  <c r="D1775" i="6"/>
  <c r="C1775" i="6"/>
  <c r="B1775" i="6"/>
  <c r="A1775" i="6"/>
  <c r="F1774" i="6"/>
  <c r="E1774" i="6"/>
  <c r="D1774" i="6"/>
  <c r="C1774" i="6"/>
  <c r="B1774" i="6"/>
  <c r="A1774" i="6"/>
  <c r="F1773" i="6"/>
  <c r="E1773" i="6"/>
  <c r="D1773" i="6"/>
  <c r="C1773" i="6"/>
  <c r="B1773" i="6"/>
  <c r="A1773" i="6"/>
  <c r="F1772" i="6"/>
  <c r="E1772" i="6"/>
  <c r="D1772" i="6"/>
  <c r="C1772" i="6"/>
  <c r="B1772" i="6"/>
  <c r="A1772" i="6"/>
  <c r="F1771" i="6"/>
  <c r="E1771" i="6"/>
  <c r="D1771" i="6"/>
  <c r="C1771" i="6"/>
  <c r="B1771" i="6"/>
  <c r="A1771" i="6"/>
  <c r="F1770" i="6"/>
  <c r="E1770" i="6"/>
  <c r="D1770" i="6"/>
  <c r="C1770" i="6"/>
  <c r="B1770" i="6"/>
  <c r="A1770" i="6"/>
  <c r="F1769" i="6"/>
  <c r="E1769" i="6"/>
  <c r="D1769" i="6"/>
  <c r="C1769" i="6"/>
  <c r="B1769" i="6"/>
  <c r="A1769" i="6"/>
  <c r="F1768" i="6"/>
  <c r="E1768" i="6"/>
  <c r="D1768" i="6"/>
  <c r="C1768" i="6"/>
  <c r="B1768" i="6"/>
  <c r="A1768" i="6"/>
  <c r="F1767" i="6"/>
  <c r="E1767" i="6"/>
  <c r="D1767" i="6"/>
  <c r="C1767" i="6"/>
  <c r="B1767" i="6"/>
  <c r="A1767" i="6"/>
  <c r="F1766" i="6"/>
  <c r="E1766" i="6"/>
  <c r="D1766" i="6"/>
  <c r="C1766" i="6"/>
  <c r="B1766" i="6"/>
  <c r="A1766" i="6"/>
  <c r="F1765" i="6"/>
  <c r="E1765" i="6"/>
  <c r="D1765" i="6"/>
  <c r="C1765" i="6"/>
  <c r="B1765" i="6"/>
  <c r="A1765" i="6"/>
  <c r="F1764" i="6"/>
  <c r="E1764" i="6"/>
  <c r="D1764" i="6"/>
  <c r="C1764" i="6"/>
  <c r="B1764" i="6"/>
  <c r="A1764" i="6"/>
  <c r="F1763" i="6"/>
  <c r="E1763" i="6"/>
  <c r="D1763" i="6"/>
  <c r="C1763" i="6"/>
  <c r="B1763" i="6"/>
  <c r="A1763" i="6"/>
  <c r="F1762" i="6"/>
  <c r="E1762" i="6"/>
  <c r="D1762" i="6"/>
  <c r="C1762" i="6"/>
  <c r="B1762" i="6"/>
  <c r="A1762" i="6"/>
  <c r="F1761" i="6"/>
  <c r="E1761" i="6"/>
  <c r="D1761" i="6"/>
  <c r="C1761" i="6"/>
  <c r="B1761" i="6"/>
  <c r="A1761" i="6"/>
  <c r="F1760" i="6"/>
  <c r="E1760" i="6"/>
  <c r="D1760" i="6"/>
  <c r="C1760" i="6"/>
  <c r="B1760" i="6"/>
  <c r="A1760" i="6"/>
  <c r="F1759" i="6"/>
  <c r="E1759" i="6"/>
  <c r="D1759" i="6"/>
  <c r="C1759" i="6"/>
  <c r="B1759" i="6"/>
  <c r="A1759" i="6"/>
  <c r="F1758" i="6"/>
  <c r="E1758" i="6"/>
  <c r="D1758" i="6"/>
  <c r="C1758" i="6"/>
  <c r="B1758" i="6"/>
  <c r="A1758" i="6"/>
  <c r="F1757" i="6"/>
  <c r="E1757" i="6"/>
  <c r="D1757" i="6"/>
  <c r="C1757" i="6"/>
  <c r="B1757" i="6"/>
  <c r="A1757" i="6"/>
  <c r="F1756" i="6"/>
  <c r="E1756" i="6"/>
  <c r="D1756" i="6"/>
  <c r="C1756" i="6"/>
  <c r="B1756" i="6"/>
  <c r="A1756" i="6"/>
  <c r="F1755" i="6"/>
  <c r="E1755" i="6"/>
  <c r="D1755" i="6"/>
  <c r="C1755" i="6"/>
  <c r="B1755" i="6"/>
  <c r="A1755" i="6"/>
  <c r="F1754" i="6"/>
  <c r="E1754" i="6"/>
  <c r="D1754" i="6"/>
  <c r="C1754" i="6"/>
  <c r="B1754" i="6"/>
  <c r="A1754" i="6"/>
  <c r="F1753" i="6"/>
  <c r="E1753" i="6"/>
  <c r="D1753" i="6"/>
  <c r="C1753" i="6"/>
  <c r="B1753" i="6"/>
  <c r="A1753" i="6"/>
  <c r="F1752" i="6"/>
  <c r="E1752" i="6"/>
  <c r="D1752" i="6"/>
  <c r="C1752" i="6"/>
  <c r="B1752" i="6"/>
  <c r="A1752" i="6"/>
  <c r="F1751" i="6"/>
  <c r="E1751" i="6"/>
  <c r="D1751" i="6"/>
  <c r="C1751" i="6"/>
  <c r="B1751" i="6"/>
  <c r="A1751" i="6"/>
  <c r="F1750" i="6"/>
  <c r="E1750" i="6"/>
  <c r="D1750" i="6"/>
  <c r="C1750" i="6"/>
  <c r="B1750" i="6"/>
  <c r="A1750" i="6"/>
  <c r="F1749" i="6"/>
  <c r="E1749" i="6"/>
  <c r="D1749" i="6"/>
  <c r="C1749" i="6"/>
  <c r="B1749" i="6"/>
  <c r="A1749" i="6"/>
  <c r="F1748" i="6"/>
  <c r="E1748" i="6"/>
  <c r="D1748" i="6"/>
  <c r="C1748" i="6"/>
  <c r="B1748" i="6"/>
  <c r="A1748" i="6"/>
  <c r="F1747" i="6"/>
  <c r="E1747" i="6"/>
  <c r="D1747" i="6"/>
  <c r="C1747" i="6"/>
  <c r="B1747" i="6"/>
  <c r="A1747" i="6"/>
  <c r="F1746" i="6"/>
  <c r="E1746" i="6"/>
  <c r="D1746" i="6"/>
  <c r="C1746" i="6"/>
  <c r="B1746" i="6"/>
  <c r="A1746" i="6"/>
  <c r="F1745" i="6"/>
  <c r="E1745" i="6"/>
  <c r="D1745" i="6"/>
  <c r="C1745" i="6"/>
  <c r="B1745" i="6"/>
  <c r="A1745" i="6"/>
  <c r="F1744" i="6"/>
  <c r="E1744" i="6"/>
  <c r="D1744" i="6"/>
  <c r="C1744" i="6"/>
  <c r="B1744" i="6"/>
  <c r="A1744" i="6"/>
  <c r="F1743" i="6"/>
  <c r="E1743" i="6"/>
  <c r="D1743" i="6"/>
  <c r="C1743" i="6"/>
  <c r="B1743" i="6"/>
  <c r="A1743" i="6"/>
  <c r="F1742" i="6"/>
  <c r="E1742" i="6"/>
  <c r="D1742" i="6"/>
  <c r="C1742" i="6"/>
  <c r="B1742" i="6"/>
  <c r="A1742" i="6"/>
  <c r="F1741" i="6"/>
  <c r="E1741" i="6"/>
  <c r="D1741" i="6"/>
  <c r="C1741" i="6"/>
  <c r="B1741" i="6"/>
  <c r="A1741" i="6"/>
  <c r="F1740" i="6"/>
  <c r="E1740" i="6"/>
  <c r="D1740" i="6"/>
  <c r="C1740" i="6"/>
  <c r="B1740" i="6"/>
  <c r="A1740" i="6"/>
  <c r="F1739" i="6"/>
  <c r="E1739" i="6"/>
  <c r="D1739" i="6"/>
  <c r="C1739" i="6"/>
  <c r="B1739" i="6"/>
  <c r="A1739" i="6"/>
  <c r="F1738" i="6"/>
  <c r="E1738" i="6"/>
  <c r="D1738" i="6"/>
  <c r="C1738" i="6"/>
  <c r="B1738" i="6"/>
  <c r="A1738" i="6"/>
  <c r="F1737" i="6"/>
  <c r="E1737" i="6"/>
  <c r="D1737" i="6"/>
  <c r="C1737" i="6"/>
  <c r="B1737" i="6"/>
  <c r="A1737" i="6"/>
  <c r="F1736" i="6"/>
  <c r="E1736" i="6"/>
  <c r="D1736" i="6"/>
  <c r="C1736" i="6"/>
  <c r="B1736" i="6"/>
  <c r="A1736" i="6"/>
  <c r="F1735" i="6"/>
  <c r="E1735" i="6"/>
  <c r="D1735" i="6"/>
  <c r="C1735" i="6"/>
  <c r="B1735" i="6"/>
  <c r="A1735" i="6"/>
  <c r="F1734" i="6"/>
  <c r="E1734" i="6"/>
  <c r="D1734" i="6"/>
  <c r="C1734" i="6"/>
  <c r="B1734" i="6"/>
  <c r="A1734" i="6"/>
  <c r="F1733" i="6"/>
  <c r="E1733" i="6"/>
  <c r="D1733" i="6"/>
  <c r="C1733" i="6"/>
  <c r="B1733" i="6"/>
  <c r="A1733" i="6"/>
  <c r="F1732" i="6"/>
  <c r="E1732" i="6"/>
  <c r="D1732" i="6"/>
  <c r="C1732" i="6"/>
  <c r="B1732" i="6"/>
  <c r="A1732" i="6"/>
  <c r="F1731" i="6"/>
  <c r="E1731" i="6"/>
  <c r="D1731" i="6"/>
  <c r="C1731" i="6"/>
  <c r="B1731" i="6"/>
  <c r="A1731" i="6"/>
  <c r="F1730" i="6"/>
  <c r="E1730" i="6"/>
  <c r="D1730" i="6"/>
  <c r="C1730" i="6"/>
  <c r="B1730" i="6"/>
  <c r="A1730" i="6"/>
  <c r="F1729" i="6"/>
  <c r="E1729" i="6"/>
  <c r="D1729" i="6"/>
  <c r="C1729" i="6"/>
  <c r="B1729" i="6"/>
  <c r="A1729" i="6"/>
  <c r="F1728" i="6"/>
  <c r="E1728" i="6"/>
  <c r="D1728" i="6"/>
  <c r="C1728" i="6"/>
  <c r="B1728" i="6"/>
  <c r="A1728" i="6"/>
  <c r="F1727" i="6"/>
  <c r="E1727" i="6"/>
  <c r="D1727" i="6"/>
  <c r="C1727" i="6"/>
  <c r="B1727" i="6"/>
  <c r="A1727" i="6"/>
  <c r="F1726" i="6"/>
  <c r="E1726" i="6"/>
  <c r="D1726" i="6"/>
  <c r="C1726" i="6"/>
  <c r="B1726" i="6"/>
  <c r="A1726" i="6"/>
  <c r="F1725" i="6"/>
  <c r="E1725" i="6"/>
  <c r="D1725" i="6"/>
  <c r="C1725" i="6"/>
  <c r="B1725" i="6"/>
  <c r="A1725" i="6"/>
  <c r="F1724" i="6"/>
  <c r="E1724" i="6"/>
  <c r="D1724" i="6"/>
  <c r="C1724" i="6"/>
  <c r="B1724" i="6"/>
  <c r="A1724" i="6"/>
  <c r="F1723" i="6"/>
  <c r="E1723" i="6"/>
  <c r="D1723" i="6"/>
  <c r="C1723" i="6"/>
  <c r="B1723" i="6"/>
  <c r="A1723" i="6"/>
  <c r="F1722" i="6"/>
  <c r="E1722" i="6"/>
  <c r="D1722" i="6"/>
  <c r="C1722" i="6"/>
  <c r="B1722" i="6"/>
  <c r="A1722" i="6"/>
  <c r="F1721" i="6"/>
  <c r="E1721" i="6"/>
  <c r="D1721" i="6"/>
  <c r="C1721" i="6"/>
  <c r="B1721" i="6"/>
  <c r="A1721" i="6"/>
  <c r="F1720" i="6"/>
  <c r="E1720" i="6"/>
  <c r="D1720" i="6"/>
  <c r="C1720" i="6"/>
  <c r="B1720" i="6"/>
  <c r="A1720" i="6"/>
  <c r="F1719" i="6"/>
  <c r="E1719" i="6"/>
  <c r="D1719" i="6"/>
  <c r="C1719" i="6"/>
  <c r="B1719" i="6"/>
  <c r="A1719" i="6"/>
  <c r="F1718" i="6"/>
  <c r="E1718" i="6"/>
  <c r="D1718" i="6"/>
  <c r="C1718" i="6"/>
  <c r="B1718" i="6"/>
  <c r="A1718" i="6"/>
  <c r="F1717" i="6"/>
  <c r="E1717" i="6"/>
  <c r="D1717" i="6"/>
  <c r="C1717" i="6"/>
  <c r="B1717" i="6"/>
  <c r="A1717" i="6"/>
  <c r="F1716" i="6"/>
  <c r="E1716" i="6"/>
  <c r="D1716" i="6"/>
  <c r="C1716" i="6"/>
  <c r="B1716" i="6"/>
  <c r="A1716" i="6"/>
  <c r="F1715" i="6"/>
  <c r="E1715" i="6"/>
  <c r="D1715" i="6"/>
  <c r="C1715" i="6"/>
  <c r="B1715" i="6"/>
  <c r="A1715" i="6"/>
  <c r="F1714" i="6"/>
  <c r="E1714" i="6"/>
  <c r="D1714" i="6"/>
  <c r="C1714" i="6"/>
  <c r="B1714" i="6"/>
  <c r="A1714" i="6"/>
  <c r="F1713" i="6"/>
  <c r="E1713" i="6"/>
  <c r="D1713" i="6"/>
  <c r="C1713" i="6"/>
  <c r="B1713" i="6"/>
  <c r="A1713" i="6"/>
  <c r="F1712" i="6"/>
  <c r="E1712" i="6"/>
  <c r="D1712" i="6"/>
  <c r="C1712" i="6"/>
  <c r="B1712" i="6"/>
  <c r="A1712" i="6"/>
  <c r="F1711" i="6"/>
  <c r="E1711" i="6"/>
  <c r="D1711" i="6"/>
  <c r="C1711" i="6"/>
  <c r="B1711" i="6"/>
  <c r="A1711" i="6"/>
  <c r="F1710" i="6"/>
  <c r="E1710" i="6"/>
  <c r="D1710" i="6"/>
  <c r="C1710" i="6"/>
  <c r="B1710" i="6"/>
  <c r="A1710" i="6"/>
  <c r="F1709" i="6"/>
  <c r="E1709" i="6"/>
  <c r="D1709" i="6"/>
  <c r="C1709" i="6"/>
  <c r="B1709" i="6"/>
  <c r="A1709" i="6"/>
  <c r="F1708" i="6"/>
  <c r="E1708" i="6"/>
  <c r="D1708" i="6"/>
  <c r="C1708" i="6"/>
  <c r="B1708" i="6"/>
  <c r="A1708" i="6"/>
  <c r="F1707" i="6"/>
  <c r="E1707" i="6"/>
  <c r="D1707" i="6"/>
  <c r="C1707" i="6"/>
  <c r="B1707" i="6"/>
  <c r="A1707" i="6"/>
  <c r="F1706" i="6"/>
  <c r="E1706" i="6"/>
  <c r="D1706" i="6"/>
  <c r="C1706" i="6"/>
  <c r="B1706" i="6"/>
  <c r="A1706" i="6"/>
  <c r="F1705" i="6"/>
  <c r="E1705" i="6"/>
  <c r="D1705" i="6"/>
  <c r="C1705" i="6"/>
  <c r="B1705" i="6"/>
  <c r="A1705" i="6"/>
  <c r="F1704" i="6"/>
  <c r="E1704" i="6"/>
  <c r="D1704" i="6"/>
  <c r="C1704" i="6"/>
  <c r="B1704" i="6"/>
  <c r="A1704" i="6"/>
  <c r="F1703" i="6"/>
  <c r="E1703" i="6"/>
  <c r="D1703" i="6"/>
  <c r="C1703" i="6"/>
  <c r="B1703" i="6"/>
  <c r="A1703" i="6"/>
  <c r="F1702" i="6"/>
  <c r="E1702" i="6"/>
  <c r="D1702" i="6"/>
  <c r="C1702" i="6"/>
  <c r="B1702" i="6"/>
  <c r="A1702" i="6"/>
  <c r="F1701" i="6"/>
  <c r="E1701" i="6"/>
  <c r="D1701" i="6"/>
  <c r="C1701" i="6"/>
  <c r="B1701" i="6"/>
  <c r="A1701" i="6"/>
  <c r="F1700" i="6"/>
  <c r="E1700" i="6"/>
  <c r="D1700" i="6"/>
  <c r="C1700" i="6"/>
  <c r="B1700" i="6"/>
  <c r="A1700" i="6"/>
  <c r="F1699" i="6"/>
  <c r="E1699" i="6"/>
  <c r="D1699" i="6"/>
  <c r="C1699" i="6"/>
  <c r="B1699" i="6"/>
  <c r="A1699" i="6"/>
  <c r="F1698" i="6"/>
  <c r="E1698" i="6"/>
  <c r="D1698" i="6"/>
  <c r="C1698" i="6"/>
  <c r="B1698" i="6"/>
  <c r="A1698" i="6"/>
  <c r="F1697" i="6"/>
  <c r="E1697" i="6"/>
  <c r="D1697" i="6"/>
  <c r="C1697" i="6"/>
  <c r="B1697" i="6"/>
  <c r="A1697" i="6"/>
  <c r="F1696" i="6"/>
  <c r="E1696" i="6"/>
  <c r="D1696" i="6"/>
  <c r="C1696" i="6"/>
  <c r="B1696" i="6"/>
  <c r="A1696" i="6"/>
  <c r="F1695" i="6"/>
  <c r="E1695" i="6"/>
  <c r="D1695" i="6"/>
  <c r="C1695" i="6"/>
  <c r="B1695" i="6"/>
  <c r="A1695" i="6"/>
  <c r="F1694" i="6"/>
  <c r="E1694" i="6"/>
  <c r="D1694" i="6"/>
  <c r="C1694" i="6"/>
  <c r="B1694" i="6"/>
  <c r="A1694" i="6"/>
  <c r="F1693" i="6"/>
  <c r="E1693" i="6"/>
  <c r="D1693" i="6"/>
  <c r="C1693" i="6"/>
  <c r="B1693" i="6"/>
  <c r="A1693" i="6"/>
  <c r="F1692" i="6"/>
  <c r="E1692" i="6"/>
  <c r="D1692" i="6"/>
  <c r="C1692" i="6"/>
  <c r="B1692" i="6"/>
  <c r="A1692" i="6"/>
  <c r="F1691" i="6"/>
  <c r="E1691" i="6"/>
  <c r="D1691" i="6"/>
  <c r="C1691" i="6"/>
  <c r="B1691" i="6"/>
  <c r="A1691" i="6"/>
  <c r="F1690" i="6"/>
  <c r="E1690" i="6"/>
  <c r="D1690" i="6"/>
  <c r="C1690" i="6"/>
  <c r="B1690" i="6"/>
  <c r="A1690" i="6"/>
  <c r="F1689" i="6"/>
  <c r="E1689" i="6"/>
  <c r="D1689" i="6"/>
  <c r="C1689" i="6"/>
  <c r="B1689" i="6"/>
  <c r="A1689" i="6"/>
  <c r="F1688" i="6"/>
  <c r="E1688" i="6"/>
  <c r="D1688" i="6"/>
  <c r="C1688" i="6"/>
  <c r="B1688" i="6"/>
  <c r="A1688" i="6"/>
  <c r="F1687" i="6"/>
  <c r="E1687" i="6"/>
  <c r="D1687" i="6"/>
  <c r="C1687" i="6"/>
  <c r="B1687" i="6"/>
  <c r="A1687" i="6"/>
  <c r="F1686" i="6"/>
  <c r="E1686" i="6"/>
  <c r="D1686" i="6"/>
  <c r="C1686" i="6"/>
  <c r="B1686" i="6"/>
  <c r="A1686" i="6"/>
  <c r="F1685" i="6"/>
  <c r="E1685" i="6"/>
  <c r="D1685" i="6"/>
  <c r="C1685" i="6"/>
  <c r="B1685" i="6"/>
  <c r="A1685" i="6"/>
  <c r="F1684" i="6"/>
  <c r="E1684" i="6"/>
  <c r="D1684" i="6"/>
  <c r="C1684" i="6"/>
  <c r="B1684" i="6"/>
  <c r="A1684" i="6"/>
  <c r="F1683" i="6"/>
  <c r="E1683" i="6"/>
  <c r="D1683" i="6"/>
  <c r="C1683" i="6"/>
  <c r="B1683" i="6"/>
  <c r="A1683" i="6"/>
  <c r="F1682" i="6"/>
  <c r="E1682" i="6"/>
  <c r="D1682" i="6"/>
  <c r="C1682" i="6"/>
  <c r="B1682" i="6"/>
  <c r="A1682" i="6"/>
  <c r="F1681" i="6"/>
  <c r="E1681" i="6"/>
  <c r="D1681" i="6"/>
  <c r="C1681" i="6"/>
  <c r="B1681" i="6"/>
  <c r="A1681" i="6"/>
  <c r="F1680" i="6"/>
  <c r="E1680" i="6"/>
  <c r="D1680" i="6"/>
  <c r="C1680" i="6"/>
  <c r="B1680" i="6"/>
  <c r="A1680" i="6"/>
  <c r="F1679" i="6"/>
  <c r="E1679" i="6"/>
  <c r="D1679" i="6"/>
  <c r="C1679" i="6"/>
  <c r="B1679" i="6"/>
  <c r="A1679" i="6"/>
  <c r="F1678" i="6"/>
  <c r="E1678" i="6"/>
  <c r="D1678" i="6"/>
  <c r="C1678" i="6"/>
  <c r="B1678" i="6"/>
  <c r="A1678" i="6"/>
  <c r="F1677" i="6"/>
  <c r="E1677" i="6"/>
  <c r="D1677" i="6"/>
  <c r="C1677" i="6"/>
  <c r="B1677" i="6"/>
  <c r="A1677" i="6"/>
  <c r="F1676" i="6"/>
  <c r="E1676" i="6"/>
  <c r="D1676" i="6"/>
  <c r="C1676" i="6"/>
  <c r="B1676" i="6"/>
  <c r="A1676" i="6"/>
  <c r="F1675" i="6"/>
  <c r="E1675" i="6"/>
  <c r="D1675" i="6"/>
  <c r="C1675" i="6"/>
  <c r="B1675" i="6"/>
  <c r="A1675" i="6"/>
  <c r="F1674" i="6"/>
  <c r="E1674" i="6"/>
  <c r="D1674" i="6"/>
  <c r="C1674" i="6"/>
  <c r="B1674" i="6"/>
  <c r="A1674" i="6"/>
  <c r="F1673" i="6"/>
  <c r="E1673" i="6"/>
  <c r="D1673" i="6"/>
  <c r="C1673" i="6"/>
  <c r="B1673" i="6"/>
  <c r="A1673" i="6"/>
  <c r="F1672" i="6"/>
  <c r="E1672" i="6"/>
  <c r="D1672" i="6"/>
  <c r="C1672" i="6"/>
  <c r="B1672" i="6"/>
  <c r="A1672" i="6"/>
  <c r="F1671" i="6"/>
  <c r="E1671" i="6"/>
  <c r="D1671" i="6"/>
  <c r="C1671" i="6"/>
  <c r="B1671" i="6"/>
  <c r="A1671" i="6"/>
  <c r="F1670" i="6"/>
  <c r="E1670" i="6"/>
  <c r="D1670" i="6"/>
  <c r="C1670" i="6"/>
  <c r="B1670" i="6"/>
  <c r="A1670" i="6"/>
  <c r="F1669" i="6"/>
  <c r="E1669" i="6"/>
  <c r="D1669" i="6"/>
  <c r="C1669" i="6"/>
  <c r="B1669" i="6"/>
  <c r="A1669" i="6"/>
  <c r="F1668" i="6"/>
  <c r="E1668" i="6"/>
  <c r="D1668" i="6"/>
  <c r="C1668" i="6"/>
  <c r="B1668" i="6"/>
  <c r="A1668" i="6"/>
  <c r="F1667" i="6"/>
  <c r="E1667" i="6"/>
  <c r="D1667" i="6"/>
  <c r="C1667" i="6"/>
  <c r="B1667" i="6"/>
  <c r="A1667" i="6"/>
  <c r="F1666" i="6"/>
  <c r="E1666" i="6"/>
  <c r="D1666" i="6"/>
  <c r="C1666" i="6"/>
  <c r="B1666" i="6"/>
  <c r="A1666" i="6"/>
  <c r="F1665" i="6"/>
  <c r="E1665" i="6"/>
  <c r="D1665" i="6"/>
  <c r="C1665" i="6"/>
  <c r="B1665" i="6"/>
  <c r="A1665" i="6"/>
  <c r="F1664" i="6"/>
  <c r="E1664" i="6"/>
  <c r="D1664" i="6"/>
  <c r="C1664" i="6"/>
  <c r="B1664" i="6"/>
  <c r="A1664" i="6"/>
  <c r="F1663" i="6"/>
  <c r="E1663" i="6"/>
  <c r="D1663" i="6"/>
  <c r="C1663" i="6"/>
  <c r="B1663" i="6"/>
  <c r="A1663" i="6"/>
  <c r="F1662" i="6"/>
  <c r="E1662" i="6"/>
  <c r="D1662" i="6"/>
  <c r="C1662" i="6"/>
  <c r="B1662" i="6"/>
  <c r="A1662" i="6"/>
  <c r="F1661" i="6"/>
  <c r="E1661" i="6"/>
  <c r="D1661" i="6"/>
  <c r="C1661" i="6"/>
  <c r="B1661" i="6"/>
  <c r="A1661" i="6"/>
  <c r="F1660" i="6"/>
  <c r="E1660" i="6"/>
  <c r="D1660" i="6"/>
  <c r="C1660" i="6"/>
  <c r="B1660" i="6"/>
  <c r="A1660" i="6"/>
  <c r="F1659" i="6"/>
  <c r="E1659" i="6"/>
  <c r="D1659" i="6"/>
  <c r="C1659" i="6"/>
  <c r="B1659" i="6"/>
  <c r="A1659" i="6"/>
  <c r="F1658" i="6"/>
  <c r="E1658" i="6"/>
  <c r="D1658" i="6"/>
  <c r="C1658" i="6"/>
  <c r="B1658" i="6"/>
  <c r="A1658" i="6"/>
  <c r="F1657" i="6"/>
  <c r="E1657" i="6"/>
  <c r="D1657" i="6"/>
  <c r="C1657" i="6"/>
  <c r="B1657" i="6"/>
  <c r="A1657" i="6"/>
  <c r="F1656" i="6"/>
  <c r="E1656" i="6"/>
  <c r="D1656" i="6"/>
  <c r="C1656" i="6"/>
  <c r="B1656" i="6"/>
  <c r="A1656" i="6"/>
  <c r="F1655" i="6"/>
  <c r="E1655" i="6"/>
  <c r="D1655" i="6"/>
  <c r="C1655" i="6"/>
  <c r="B1655" i="6"/>
  <c r="A1655" i="6"/>
  <c r="F1654" i="6"/>
  <c r="E1654" i="6"/>
  <c r="D1654" i="6"/>
  <c r="C1654" i="6"/>
  <c r="B1654" i="6"/>
  <c r="A1654" i="6"/>
  <c r="F1653" i="6"/>
  <c r="E1653" i="6"/>
  <c r="D1653" i="6"/>
  <c r="C1653" i="6"/>
  <c r="B1653" i="6"/>
  <c r="A1653" i="6"/>
  <c r="F1652" i="6"/>
  <c r="E1652" i="6"/>
  <c r="D1652" i="6"/>
  <c r="C1652" i="6"/>
  <c r="B1652" i="6"/>
  <c r="A1652" i="6"/>
  <c r="F1651" i="6"/>
  <c r="E1651" i="6"/>
  <c r="D1651" i="6"/>
  <c r="C1651" i="6"/>
  <c r="B1651" i="6"/>
  <c r="A1651" i="6"/>
  <c r="F1650" i="6"/>
  <c r="E1650" i="6"/>
  <c r="D1650" i="6"/>
  <c r="C1650" i="6"/>
  <c r="B1650" i="6"/>
  <c r="A1650" i="6"/>
  <c r="F1649" i="6"/>
  <c r="E1649" i="6"/>
  <c r="D1649" i="6"/>
  <c r="C1649" i="6"/>
  <c r="B1649" i="6"/>
  <c r="A1649" i="6"/>
  <c r="F1648" i="6"/>
  <c r="E1648" i="6"/>
  <c r="D1648" i="6"/>
  <c r="C1648" i="6"/>
  <c r="B1648" i="6"/>
  <c r="A1648" i="6"/>
  <c r="F1647" i="6"/>
  <c r="E1647" i="6"/>
  <c r="D1647" i="6"/>
  <c r="C1647" i="6"/>
  <c r="B1647" i="6"/>
  <c r="A1647" i="6"/>
  <c r="F1646" i="6"/>
  <c r="E1646" i="6"/>
  <c r="D1646" i="6"/>
  <c r="C1646" i="6"/>
  <c r="B1646" i="6"/>
  <c r="A1646" i="6"/>
  <c r="F1645" i="6"/>
  <c r="E1645" i="6"/>
  <c r="D1645" i="6"/>
  <c r="C1645" i="6"/>
  <c r="B1645" i="6"/>
  <c r="A1645" i="6"/>
  <c r="F1644" i="6"/>
  <c r="E1644" i="6"/>
  <c r="D1644" i="6"/>
  <c r="C1644" i="6"/>
  <c r="B1644" i="6"/>
  <c r="A1644" i="6"/>
  <c r="F1643" i="6"/>
  <c r="E1643" i="6"/>
  <c r="D1643" i="6"/>
  <c r="C1643" i="6"/>
  <c r="B1643" i="6"/>
  <c r="A1643" i="6"/>
  <c r="F1642" i="6"/>
  <c r="E1642" i="6"/>
  <c r="D1642" i="6"/>
  <c r="C1642" i="6"/>
  <c r="B1642" i="6"/>
  <c r="A1642" i="6"/>
  <c r="F1641" i="6"/>
  <c r="E1641" i="6"/>
  <c r="D1641" i="6"/>
  <c r="C1641" i="6"/>
  <c r="B1641" i="6"/>
  <c r="A1641" i="6"/>
  <c r="F1640" i="6"/>
  <c r="E1640" i="6"/>
  <c r="D1640" i="6"/>
  <c r="C1640" i="6"/>
  <c r="B1640" i="6"/>
  <c r="A1640" i="6"/>
  <c r="F1639" i="6"/>
  <c r="E1639" i="6"/>
  <c r="D1639" i="6"/>
  <c r="C1639" i="6"/>
  <c r="B1639" i="6"/>
  <c r="A1639" i="6"/>
  <c r="F1638" i="6"/>
  <c r="E1638" i="6"/>
  <c r="D1638" i="6"/>
  <c r="C1638" i="6"/>
  <c r="B1638" i="6"/>
  <c r="A1638" i="6"/>
  <c r="F1637" i="6"/>
  <c r="E1637" i="6"/>
  <c r="D1637" i="6"/>
  <c r="C1637" i="6"/>
  <c r="B1637" i="6"/>
  <c r="A1637" i="6"/>
  <c r="F1636" i="6"/>
  <c r="E1636" i="6"/>
  <c r="D1636" i="6"/>
  <c r="C1636" i="6"/>
  <c r="B1636" i="6"/>
  <c r="A1636" i="6"/>
  <c r="F1635" i="6"/>
  <c r="E1635" i="6"/>
  <c r="D1635" i="6"/>
  <c r="C1635" i="6"/>
  <c r="B1635" i="6"/>
  <c r="A1635" i="6"/>
  <c r="F1634" i="6"/>
  <c r="E1634" i="6"/>
  <c r="D1634" i="6"/>
  <c r="C1634" i="6"/>
  <c r="B1634" i="6"/>
  <c r="A1634" i="6"/>
  <c r="F1633" i="6"/>
  <c r="E1633" i="6"/>
  <c r="D1633" i="6"/>
  <c r="C1633" i="6"/>
  <c r="B1633" i="6"/>
  <c r="A1633" i="6"/>
  <c r="F1632" i="6"/>
  <c r="E1632" i="6"/>
  <c r="D1632" i="6"/>
  <c r="C1632" i="6"/>
  <c r="B1632" i="6"/>
  <c r="A1632" i="6"/>
  <c r="F1631" i="6"/>
  <c r="E1631" i="6"/>
  <c r="D1631" i="6"/>
  <c r="C1631" i="6"/>
  <c r="B1631" i="6"/>
  <c r="A1631" i="6"/>
  <c r="F1630" i="6"/>
  <c r="E1630" i="6"/>
  <c r="D1630" i="6"/>
  <c r="C1630" i="6"/>
  <c r="B1630" i="6"/>
  <c r="A1630" i="6"/>
  <c r="F1629" i="6"/>
  <c r="E1629" i="6"/>
  <c r="D1629" i="6"/>
  <c r="C1629" i="6"/>
  <c r="B1629" i="6"/>
  <c r="A1629" i="6"/>
  <c r="F1628" i="6"/>
  <c r="E1628" i="6"/>
  <c r="D1628" i="6"/>
  <c r="C1628" i="6"/>
  <c r="B1628" i="6"/>
  <c r="A1628" i="6"/>
  <c r="F1627" i="6"/>
  <c r="E1627" i="6"/>
  <c r="D1627" i="6"/>
  <c r="C1627" i="6"/>
  <c r="B1627" i="6"/>
  <c r="A1627" i="6"/>
  <c r="F1626" i="6"/>
  <c r="E1626" i="6"/>
  <c r="D1626" i="6"/>
  <c r="C1626" i="6"/>
  <c r="B1626" i="6"/>
  <c r="A1626" i="6"/>
  <c r="F1625" i="6"/>
  <c r="E1625" i="6"/>
  <c r="D1625" i="6"/>
  <c r="C1625" i="6"/>
  <c r="B1625" i="6"/>
  <c r="A1625" i="6"/>
  <c r="F1624" i="6"/>
  <c r="E1624" i="6"/>
  <c r="D1624" i="6"/>
  <c r="C1624" i="6"/>
  <c r="B1624" i="6"/>
  <c r="A1624" i="6"/>
  <c r="F1623" i="6"/>
  <c r="E1623" i="6"/>
  <c r="D1623" i="6"/>
  <c r="C1623" i="6"/>
  <c r="B1623" i="6"/>
  <c r="A1623" i="6"/>
  <c r="F1622" i="6"/>
  <c r="E1622" i="6"/>
  <c r="D1622" i="6"/>
  <c r="C1622" i="6"/>
  <c r="B1622" i="6"/>
  <c r="A1622" i="6"/>
  <c r="F1621" i="6"/>
  <c r="E1621" i="6"/>
  <c r="D1621" i="6"/>
  <c r="C1621" i="6"/>
  <c r="B1621" i="6"/>
  <c r="A1621" i="6"/>
  <c r="F1620" i="6"/>
  <c r="E1620" i="6"/>
  <c r="D1620" i="6"/>
  <c r="C1620" i="6"/>
  <c r="B1620" i="6"/>
  <c r="A1620" i="6"/>
  <c r="F1619" i="6"/>
  <c r="E1619" i="6"/>
  <c r="D1619" i="6"/>
  <c r="C1619" i="6"/>
  <c r="B1619" i="6"/>
  <c r="A1619" i="6"/>
  <c r="F1618" i="6"/>
  <c r="E1618" i="6"/>
  <c r="D1618" i="6"/>
  <c r="C1618" i="6"/>
  <c r="B1618" i="6"/>
  <c r="A1618" i="6"/>
  <c r="F1617" i="6"/>
  <c r="E1617" i="6"/>
  <c r="D1617" i="6"/>
  <c r="C1617" i="6"/>
  <c r="B1617" i="6"/>
  <c r="A1617" i="6"/>
  <c r="F1616" i="6"/>
  <c r="E1616" i="6"/>
  <c r="D1616" i="6"/>
  <c r="C1616" i="6"/>
  <c r="B1616" i="6"/>
  <c r="A1616" i="6"/>
  <c r="F1615" i="6"/>
  <c r="E1615" i="6"/>
  <c r="D1615" i="6"/>
  <c r="C1615" i="6"/>
  <c r="B1615" i="6"/>
  <c r="A1615" i="6"/>
  <c r="F1614" i="6"/>
  <c r="E1614" i="6"/>
  <c r="D1614" i="6"/>
  <c r="C1614" i="6"/>
  <c r="B1614" i="6"/>
  <c r="A1614" i="6"/>
  <c r="F1613" i="6"/>
  <c r="E1613" i="6"/>
  <c r="D1613" i="6"/>
  <c r="C1613" i="6"/>
  <c r="B1613" i="6"/>
  <c r="A1613" i="6"/>
  <c r="F1612" i="6"/>
  <c r="E1612" i="6"/>
  <c r="D1612" i="6"/>
  <c r="C1612" i="6"/>
  <c r="B1612" i="6"/>
  <c r="A1612" i="6"/>
  <c r="F1611" i="6"/>
  <c r="E1611" i="6"/>
  <c r="D1611" i="6"/>
  <c r="C1611" i="6"/>
  <c r="B1611" i="6"/>
  <c r="A1611" i="6"/>
  <c r="F1610" i="6"/>
  <c r="E1610" i="6"/>
  <c r="D1610" i="6"/>
  <c r="C1610" i="6"/>
  <c r="B1610" i="6"/>
  <c r="A1610" i="6"/>
  <c r="F1609" i="6"/>
  <c r="E1609" i="6"/>
  <c r="D1609" i="6"/>
  <c r="C1609" i="6"/>
  <c r="B1609" i="6"/>
  <c r="A1609" i="6"/>
  <c r="F1608" i="6"/>
  <c r="E1608" i="6"/>
  <c r="D1608" i="6"/>
  <c r="C1608" i="6"/>
  <c r="B1608" i="6"/>
  <c r="A1608" i="6"/>
  <c r="F1607" i="6"/>
  <c r="E1607" i="6"/>
  <c r="D1607" i="6"/>
  <c r="C1607" i="6"/>
  <c r="B1607" i="6"/>
  <c r="A1607" i="6"/>
  <c r="F1606" i="6"/>
  <c r="E1606" i="6"/>
  <c r="D1606" i="6"/>
  <c r="C1606" i="6"/>
  <c r="B1606" i="6"/>
  <c r="A1606" i="6"/>
  <c r="F1605" i="6"/>
  <c r="E1605" i="6"/>
  <c r="D1605" i="6"/>
  <c r="C1605" i="6"/>
  <c r="B1605" i="6"/>
  <c r="A1605" i="6"/>
  <c r="F1604" i="6"/>
  <c r="E1604" i="6"/>
  <c r="D1604" i="6"/>
  <c r="C1604" i="6"/>
  <c r="B1604" i="6"/>
  <c r="A1604" i="6"/>
  <c r="F1603" i="6"/>
  <c r="E1603" i="6"/>
  <c r="D1603" i="6"/>
  <c r="C1603" i="6"/>
  <c r="B1603" i="6"/>
  <c r="A1603" i="6"/>
  <c r="F1602" i="6"/>
  <c r="E1602" i="6"/>
  <c r="D1602" i="6"/>
  <c r="C1602" i="6"/>
  <c r="B1602" i="6"/>
  <c r="A1602" i="6"/>
  <c r="F1601" i="6"/>
  <c r="E1601" i="6"/>
  <c r="D1601" i="6"/>
  <c r="C1601" i="6"/>
  <c r="B1601" i="6"/>
  <c r="A1601" i="6"/>
  <c r="F1600" i="6"/>
  <c r="E1600" i="6"/>
  <c r="D1600" i="6"/>
  <c r="C1600" i="6"/>
  <c r="B1600" i="6"/>
  <c r="A1600" i="6"/>
  <c r="F1599" i="6"/>
  <c r="E1599" i="6"/>
  <c r="D1599" i="6"/>
  <c r="C1599" i="6"/>
  <c r="B1599" i="6"/>
  <c r="A1599" i="6"/>
  <c r="F1598" i="6"/>
  <c r="E1598" i="6"/>
  <c r="D1598" i="6"/>
  <c r="C1598" i="6"/>
  <c r="B1598" i="6"/>
  <c r="A1598" i="6"/>
  <c r="F1597" i="6"/>
  <c r="E1597" i="6"/>
  <c r="D1597" i="6"/>
  <c r="C1597" i="6"/>
  <c r="B1597" i="6"/>
  <c r="A1597" i="6"/>
  <c r="F1596" i="6"/>
  <c r="E1596" i="6"/>
  <c r="D1596" i="6"/>
  <c r="C1596" i="6"/>
  <c r="B1596" i="6"/>
  <c r="A1596" i="6"/>
  <c r="F1595" i="6"/>
  <c r="E1595" i="6"/>
  <c r="D1595" i="6"/>
  <c r="C1595" i="6"/>
  <c r="B1595" i="6"/>
  <c r="A1595" i="6"/>
  <c r="F1594" i="6"/>
  <c r="E1594" i="6"/>
  <c r="D1594" i="6"/>
  <c r="C1594" i="6"/>
  <c r="B1594" i="6"/>
  <c r="A1594" i="6"/>
  <c r="F1593" i="6"/>
  <c r="E1593" i="6"/>
  <c r="D1593" i="6"/>
  <c r="C1593" i="6"/>
  <c r="B1593" i="6"/>
  <c r="A1593" i="6"/>
  <c r="F1592" i="6"/>
  <c r="E1592" i="6"/>
  <c r="D1592" i="6"/>
  <c r="C1592" i="6"/>
  <c r="B1592" i="6"/>
  <c r="A1592" i="6"/>
  <c r="F1591" i="6"/>
  <c r="E1591" i="6"/>
  <c r="D1591" i="6"/>
  <c r="C1591" i="6"/>
  <c r="B1591" i="6"/>
  <c r="A1591" i="6"/>
  <c r="F1590" i="6"/>
  <c r="E1590" i="6"/>
  <c r="D1590" i="6"/>
  <c r="C1590" i="6"/>
  <c r="B1590" i="6"/>
  <c r="A1590" i="6"/>
  <c r="F1589" i="6"/>
  <c r="E1589" i="6"/>
  <c r="D1589" i="6"/>
  <c r="C1589" i="6"/>
  <c r="B1589" i="6"/>
  <c r="A1589" i="6"/>
  <c r="F1588" i="6"/>
  <c r="E1588" i="6"/>
  <c r="D1588" i="6"/>
  <c r="C1588" i="6"/>
  <c r="B1588" i="6"/>
  <c r="A1588" i="6"/>
  <c r="F1587" i="6"/>
  <c r="E1587" i="6"/>
  <c r="D1587" i="6"/>
  <c r="C1587" i="6"/>
  <c r="B1587" i="6"/>
  <c r="A1587" i="6"/>
  <c r="F1586" i="6"/>
  <c r="E1586" i="6"/>
  <c r="D1586" i="6"/>
  <c r="C1586" i="6"/>
  <c r="B1586" i="6"/>
  <c r="A1586" i="6"/>
  <c r="F1585" i="6"/>
  <c r="E1585" i="6"/>
  <c r="D1585" i="6"/>
  <c r="C1585" i="6"/>
  <c r="B1585" i="6"/>
  <c r="A1585" i="6"/>
  <c r="F1584" i="6"/>
  <c r="E1584" i="6"/>
  <c r="D1584" i="6"/>
  <c r="C1584" i="6"/>
  <c r="B1584" i="6"/>
  <c r="A1584" i="6"/>
  <c r="F1583" i="6"/>
  <c r="E1583" i="6"/>
  <c r="D1583" i="6"/>
  <c r="C1583" i="6"/>
  <c r="B1583" i="6"/>
  <c r="A1583" i="6"/>
  <c r="F1582" i="6"/>
  <c r="E1582" i="6"/>
  <c r="D1582" i="6"/>
  <c r="C1582" i="6"/>
  <c r="B1582" i="6"/>
  <c r="A1582" i="6"/>
  <c r="F1581" i="6"/>
  <c r="E1581" i="6"/>
  <c r="D1581" i="6"/>
  <c r="C1581" i="6"/>
  <c r="B1581" i="6"/>
  <c r="A1581" i="6"/>
  <c r="F1580" i="6"/>
  <c r="E1580" i="6"/>
  <c r="D1580" i="6"/>
  <c r="C1580" i="6"/>
  <c r="B1580" i="6"/>
  <c r="A1580" i="6"/>
  <c r="F1579" i="6"/>
  <c r="E1579" i="6"/>
  <c r="D1579" i="6"/>
  <c r="C1579" i="6"/>
  <c r="B1579" i="6"/>
  <c r="A1579" i="6"/>
  <c r="F1578" i="6"/>
  <c r="E1578" i="6"/>
  <c r="D1578" i="6"/>
  <c r="C1578" i="6"/>
  <c r="B1578" i="6"/>
  <c r="A1578" i="6"/>
  <c r="F1577" i="6"/>
  <c r="E1577" i="6"/>
  <c r="D1577" i="6"/>
  <c r="C1577" i="6"/>
  <c r="B1577" i="6"/>
  <c r="A1577" i="6"/>
  <c r="F1576" i="6"/>
  <c r="E1576" i="6"/>
  <c r="D1576" i="6"/>
  <c r="C1576" i="6"/>
  <c r="B1576" i="6"/>
  <c r="A1576" i="6"/>
  <c r="F1575" i="6"/>
  <c r="E1575" i="6"/>
  <c r="D1575" i="6"/>
  <c r="C1575" i="6"/>
  <c r="B1575" i="6"/>
  <c r="A1575" i="6"/>
  <c r="F1574" i="6"/>
  <c r="E1574" i="6"/>
  <c r="D1574" i="6"/>
  <c r="C1574" i="6"/>
  <c r="B1574" i="6"/>
  <c r="A1574" i="6"/>
  <c r="F1573" i="6"/>
  <c r="E1573" i="6"/>
  <c r="D1573" i="6"/>
  <c r="C1573" i="6"/>
  <c r="B1573" i="6"/>
  <c r="A1573" i="6"/>
  <c r="F1572" i="6"/>
  <c r="E1572" i="6"/>
  <c r="D1572" i="6"/>
  <c r="C1572" i="6"/>
  <c r="B1572" i="6"/>
  <c r="A1572" i="6"/>
  <c r="F1571" i="6"/>
  <c r="E1571" i="6"/>
  <c r="D1571" i="6"/>
  <c r="C1571" i="6"/>
  <c r="B1571" i="6"/>
  <c r="A1571" i="6"/>
  <c r="F1570" i="6"/>
  <c r="E1570" i="6"/>
  <c r="D1570" i="6"/>
  <c r="C1570" i="6"/>
  <c r="B1570" i="6"/>
  <c r="A1570" i="6"/>
  <c r="F1569" i="6"/>
  <c r="E1569" i="6"/>
  <c r="D1569" i="6"/>
  <c r="C1569" i="6"/>
  <c r="B1569" i="6"/>
  <c r="A1569" i="6"/>
  <c r="F1568" i="6"/>
  <c r="E1568" i="6"/>
  <c r="D1568" i="6"/>
  <c r="C1568" i="6"/>
  <c r="B1568" i="6"/>
  <c r="A1568" i="6"/>
  <c r="F1567" i="6"/>
  <c r="E1567" i="6"/>
  <c r="D1567" i="6"/>
  <c r="C1567" i="6"/>
  <c r="B1567" i="6"/>
  <c r="A1567" i="6"/>
  <c r="F1566" i="6"/>
  <c r="E1566" i="6"/>
  <c r="D1566" i="6"/>
  <c r="C1566" i="6"/>
  <c r="B1566" i="6"/>
  <c r="A1566" i="6"/>
  <c r="F1565" i="6"/>
  <c r="E1565" i="6"/>
  <c r="D1565" i="6"/>
  <c r="C1565" i="6"/>
  <c r="B1565" i="6"/>
  <c r="A1565" i="6"/>
  <c r="F1564" i="6"/>
  <c r="E1564" i="6"/>
  <c r="D1564" i="6"/>
  <c r="C1564" i="6"/>
  <c r="B1564" i="6"/>
  <c r="A1564" i="6"/>
  <c r="F1563" i="6"/>
  <c r="E1563" i="6"/>
  <c r="D1563" i="6"/>
  <c r="C1563" i="6"/>
  <c r="B1563" i="6"/>
  <c r="A1563" i="6"/>
  <c r="F1562" i="6"/>
  <c r="E1562" i="6"/>
  <c r="D1562" i="6"/>
  <c r="C1562" i="6"/>
  <c r="B1562" i="6"/>
  <c r="A1562" i="6"/>
  <c r="F1561" i="6"/>
  <c r="E1561" i="6"/>
  <c r="D1561" i="6"/>
  <c r="C1561" i="6"/>
  <c r="B1561" i="6"/>
  <c r="A1561" i="6"/>
  <c r="F1560" i="6"/>
  <c r="E1560" i="6"/>
  <c r="D1560" i="6"/>
  <c r="C1560" i="6"/>
  <c r="B1560" i="6"/>
  <c r="A1560" i="6"/>
  <c r="F1559" i="6"/>
  <c r="E1559" i="6"/>
  <c r="D1559" i="6"/>
  <c r="C1559" i="6"/>
  <c r="B1559" i="6"/>
  <c r="A1559" i="6"/>
  <c r="F1558" i="6"/>
  <c r="E1558" i="6"/>
  <c r="D1558" i="6"/>
  <c r="C1558" i="6"/>
  <c r="B1558" i="6"/>
  <c r="A1558" i="6"/>
  <c r="F1557" i="6"/>
  <c r="E1557" i="6"/>
  <c r="D1557" i="6"/>
  <c r="C1557" i="6"/>
  <c r="B1557" i="6"/>
  <c r="A1557" i="6"/>
  <c r="F1556" i="6"/>
  <c r="E1556" i="6"/>
  <c r="D1556" i="6"/>
  <c r="C1556" i="6"/>
  <c r="B1556" i="6"/>
  <c r="A1556" i="6"/>
  <c r="F1555" i="6"/>
  <c r="E1555" i="6"/>
  <c r="D1555" i="6"/>
  <c r="C1555" i="6"/>
  <c r="B1555" i="6"/>
  <c r="A1555" i="6"/>
  <c r="F1554" i="6"/>
  <c r="E1554" i="6"/>
  <c r="D1554" i="6"/>
  <c r="C1554" i="6"/>
  <c r="B1554" i="6"/>
  <c r="A1554" i="6"/>
  <c r="F1553" i="6"/>
  <c r="E1553" i="6"/>
  <c r="D1553" i="6"/>
  <c r="C1553" i="6"/>
  <c r="B1553" i="6"/>
  <c r="A1553" i="6"/>
  <c r="F1552" i="6"/>
  <c r="E1552" i="6"/>
  <c r="D1552" i="6"/>
  <c r="C1552" i="6"/>
  <c r="B1552" i="6"/>
  <c r="A1552" i="6"/>
  <c r="F1551" i="6"/>
  <c r="E1551" i="6"/>
  <c r="D1551" i="6"/>
  <c r="C1551" i="6"/>
  <c r="B1551" i="6"/>
  <c r="A1551" i="6"/>
  <c r="F1550" i="6"/>
  <c r="E1550" i="6"/>
  <c r="D1550" i="6"/>
  <c r="C1550" i="6"/>
  <c r="B1550" i="6"/>
  <c r="A1550" i="6"/>
  <c r="F1549" i="6"/>
  <c r="E1549" i="6"/>
  <c r="D1549" i="6"/>
  <c r="C1549" i="6"/>
  <c r="B1549" i="6"/>
  <c r="A1549" i="6"/>
  <c r="F1548" i="6"/>
  <c r="E1548" i="6"/>
  <c r="D1548" i="6"/>
  <c r="C1548" i="6"/>
  <c r="B1548" i="6"/>
  <c r="A1548" i="6"/>
  <c r="F1547" i="6"/>
  <c r="E1547" i="6"/>
  <c r="D1547" i="6"/>
  <c r="C1547" i="6"/>
  <c r="B1547" i="6"/>
  <c r="A1547" i="6"/>
  <c r="F1546" i="6"/>
  <c r="E1546" i="6"/>
  <c r="D1546" i="6"/>
  <c r="C1546" i="6"/>
  <c r="B1546" i="6"/>
  <c r="A1546" i="6"/>
  <c r="F1545" i="6"/>
  <c r="E1545" i="6"/>
  <c r="D1545" i="6"/>
  <c r="C1545" i="6"/>
  <c r="B1545" i="6"/>
  <c r="A1545" i="6"/>
  <c r="F1544" i="6"/>
  <c r="E1544" i="6"/>
  <c r="D1544" i="6"/>
  <c r="C1544" i="6"/>
  <c r="B1544" i="6"/>
  <c r="A1544" i="6"/>
  <c r="F1543" i="6"/>
  <c r="E1543" i="6"/>
  <c r="D1543" i="6"/>
  <c r="C1543" i="6"/>
  <c r="B1543" i="6"/>
  <c r="A1543" i="6"/>
  <c r="F1542" i="6"/>
  <c r="E1542" i="6"/>
  <c r="D1542" i="6"/>
  <c r="C1542" i="6"/>
  <c r="B1542" i="6"/>
  <c r="A1542" i="6"/>
  <c r="F1541" i="6"/>
  <c r="E1541" i="6"/>
  <c r="D1541" i="6"/>
  <c r="C1541" i="6"/>
  <c r="B1541" i="6"/>
  <c r="A1541" i="6"/>
  <c r="F1540" i="6"/>
  <c r="E1540" i="6"/>
  <c r="D1540" i="6"/>
  <c r="C1540" i="6"/>
  <c r="B1540" i="6"/>
  <c r="A1540" i="6"/>
  <c r="F1539" i="6"/>
  <c r="E1539" i="6"/>
  <c r="D1539" i="6"/>
  <c r="C1539" i="6"/>
  <c r="B1539" i="6"/>
  <c r="A1539" i="6"/>
  <c r="F1538" i="6"/>
  <c r="E1538" i="6"/>
  <c r="D1538" i="6"/>
  <c r="C1538" i="6"/>
  <c r="B1538" i="6"/>
  <c r="A1538" i="6"/>
  <c r="F1537" i="6"/>
  <c r="E1537" i="6"/>
  <c r="D1537" i="6"/>
  <c r="C1537" i="6"/>
  <c r="B1537" i="6"/>
  <c r="A1537" i="6"/>
  <c r="F1536" i="6"/>
  <c r="E1536" i="6"/>
  <c r="D1536" i="6"/>
  <c r="C1536" i="6"/>
  <c r="B1536" i="6"/>
  <c r="A1536" i="6"/>
  <c r="F1535" i="6"/>
  <c r="E1535" i="6"/>
  <c r="D1535" i="6"/>
  <c r="C1535" i="6"/>
  <c r="B1535" i="6"/>
  <c r="A1535" i="6"/>
  <c r="F1534" i="6"/>
  <c r="E1534" i="6"/>
  <c r="D1534" i="6"/>
  <c r="C1534" i="6"/>
  <c r="B1534" i="6"/>
  <c r="A1534" i="6"/>
  <c r="F1533" i="6"/>
  <c r="E1533" i="6"/>
  <c r="D1533" i="6"/>
  <c r="C1533" i="6"/>
  <c r="B1533" i="6"/>
  <c r="A1533" i="6"/>
  <c r="F1532" i="6"/>
  <c r="E1532" i="6"/>
  <c r="D1532" i="6"/>
  <c r="C1532" i="6"/>
  <c r="B1532" i="6"/>
  <c r="A1532" i="6"/>
  <c r="F1531" i="6"/>
  <c r="E1531" i="6"/>
  <c r="D1531" i="6"/>
  <c r="C1531" i="6"/>
  <c r="B1531" i="6"/>
  <c r="A1531" i="6"/>
  <c r="F1530" i="6"/>
  <c r="E1530" i="6"/>
  <c r="D1530" i="6"/>
  <c r="C1530" i="6"/>
  <c r="B1530" i="6"/>
  <c r="A1530" i="6"/>
  <c r="F1529" i="6"/>
  <c r="E1529" i="6"/>
  <c r="D1529" i="6"/>
  <c r="C1529" i="6"/>
  <c r="B1529" i="6"/>
  <c r="A1529" i="6"/>
  <c r="F1528" i="6"/>
  <c r="E1528" i="6"/>
  <c r="D1528" i="6"/>
  <c r="C1528" i="6"/>
  <c r="B1528" i="6"/>
  <c r="A1528" i="6"/>
  <c r="F1527" i="6"/>
  <c r="E1527" i="6"/>
  <c r="D1527" i="6"/>
  <c r="C1527" i="6"/>
  <c r="B1527" i="6"/>
  <c r="A1527" i="6"/>
  <c r="F1526" i="6"/>
  <c r="E1526" i="6"/>
  <c r="D1526" i="6"/>
  <c r="C1526" i="6"/>
  <c r="B1526" i="6"/>
  <c r="A1526" i="6"/>
  <c r="F1525" i="6"/>
  <c r="E1525" i="6"/>
  <c r="D1525" i="6"/>
  <c r="C1525" i="6"/>
  <c r="B1525" i="6"/>
  <c r="A1525" i="6"/>
  <c r="F1524" i="6"/>
  <c r="E1524" i="6"/>
  <c r="D1524" i="6"/>
  <c r="C1524" i="6"/>
  <c r="B1524" i="6"/>
  <c r="A1524" i="6"/>
  <c r="F1523" i="6"/>
  <c r="E1523" i="6"/>
  <c r="D1523" i="6"/>
  <c r="C1523" i="6"/>
  <c r="B1523" i="6"/>
  <c r="A1523" i="6"/>
  <c r="F1522" i="6"/>
  <c r="E1522" i="6"/>
  <c r="D1522" i="6"/>
  <c r="C1522" i="6"/>
  <c r="B1522" i="6"/>
  <c r="A1522" i="6"/>
  <c r="F1521" i="6"/>
  <c r="E1521" i="6"/>
  <c r="D1521" i="6"/>
  <c r="C1521" i="6"/>
  <c r="B1521" i="6"/>
  <c r="A1521" i="6"/>
  <c r="F1520" i="6"/>
  <c r="E1520" i="6"/>
  <c r="D1520" i="6"/>
  <c r="C1520" i="6"/>
  <c r="B1520" i="6"/>
  <c r="A1520" i="6"/>
  <c r="F1519" i="6"/>
  <c r="E1519" i="6"/>
  <c r="D1519" i="6"/>
  <c r="C1519" i="6"/>
  <c r="B1519" i="6"/>
  <c r="A1519" i="6"/>
  <c r="F1518" i="6"/>
  <c r="E1518" i="6"/>
  <c r="D1518" i="6"/>
  <c r="C1518" i="6"/>
  <c r="B1518" i="6"/>
  <c r="A1518" i="6"/>
  <c r="F1517" i="6"/>
  <c r="E1517" i="6"/>
  <c r="D1517" i="6"/>
  <c r="C1517" i="6"/>
  <c r="B1517" i="6"/>
  <c r="A1517" i="6"/>
  <c r="F1516" i="6"/>
  <c r="E1516" i="6"/>
  <c r="D1516" i="6"/>
  <c r="C1516" i="6"/>
  <c r="B1516" i="6"/>
  <c r="A1516" i="6"/>
  <c r="F1515" i="6"/>
  <c r="E1515" i="6"/>
  <c r="D1515" i="6"/>
  <c r="C1515" i="6"/>
  <c r="B1515" i="6"/>
  <c r="A1515" i="6"/>
  <c r="F1514" i="6"/>
  <c r="E1514" i="6"/>
  <c r="D1514" i="6"/>
  <c r="C1514" i="6"/>
  <c r="B1514" i="6"/>
  <c r="A1514" i="6"/>
  <c r="F1513" i="6"/>
  <c r="E1513" i="6"/>
  <c r="D1513" i="6"/>
  <c r="C1513" i="6"/>
  <c r="B1513" i="6"/>
  <c r="A1513" i="6"/>
  <c r="F1512" i="6"/>
  <c r="E1512" i="6"/>
  <c r="D1512" i="6"/>
  <c r="C1512" i="6"/>
  <c r="B1512" i="6"/>
  <c r="A1512" i="6"/>
  <c r="F1511" i="6"/>
  <c r="E1511" i="6"/>
  <c r="D1511" i="6"/>
  <c r="C1511" i="6"/>
  <c r="B1511" i="6"/>
  <c r="A1511" i="6"/>
  <c r="F1510" i="6"/>
  <c r="E1510" i="6"/>
  <c r="D1510" i="6"/>
  <c r="C1510" i="6"/>
  <c r="B1510" i="6"/>
  <c r="A1510" i="6"/>
  <c r="F1509" i="6"/>
  <c r="E1509" i="6"/>
  <c r="D1509" i="6"/>
  <c r="C1509" i="6"/>
  <c r="B1509" i="6"/>
  <c r="A1509" i="6"/>
  <c r="F1508" i="6"/>
  <c r="E1508" i="6"/>
  <c r="D1508" i="6"/>
  <c r="C1508" i="6"/>
  <c r="B1508" i="6"/>
  <c r="A1508" i="6"/>
  <c r="F1507" i="6"/>
  <c r="E1507" i="6"/>
  <c r="D1507" i="6"/>
  <c r="C1507" i="6"/>
  <c r="B1507" i="6"/>
  <c r="A1507" i="6"/>
  <c r="F1506" i="6"/>
  <c r="E1506" i="6"/>
  <c r="D1506" i="6"/>
  <c r="C1506" i="6"/>
  <c r="B1506" i="6"/>
  <c r="A1506" i="6"/>
  <c r="F1505" i="6"/>
  <c r="E1505" i="6"/>
  <c r="D1505" i="6"/>
  <c r="C1505" i="6"/>
  <c r="B1505" i="6"/>
  <c r="A1505" i="6"/>
  <c r="F1504" i="6"/>
  <c r="E1504" i="6"/>
  <c r="D1504" i="6"/>
  <c r="C1504" i="6"/>
  <c r="B1504" i="6"/>
  <c r="A1504" i="6"/>
  <c r="F1503" i="6"/>
  <c r="E1503" i="6"/>
  <c r="D1503" i="6"/>
  <c r="C1503" i="6"/>
  <c r="B1503" i="6"/>
  <c r="A1503" i="6"/>
  <c r="F1502" i="6"/>
  <c r="E1502" i="6"/>
  <c r="D1502" i="6"/>
  <c r="C1502" i="6"/>
  <c r="B1502" i="6"/>
  <c r="A1502" i="6"/>
  <c r="F1501" i="6"/>
  <c r="E1501" i="6"/>
  <c r="D1501" i="6"/>
  <c r="C1501" i="6"/>
  <c r="B1501" i="6"/>
  <c r="A1501" i="6"/>
  <c r="F1500" i="6"/>
  <c r="E1500" i="6"/>
  <c r="D1500" i="6"/>
  <c r="C1500" i="6"/>
  <c r="B1500" i="6"/>
  <c r="A1500" i="6"/>
  <c r="F1499" i="6"/>
  <c r="E1499" i="6"/>
  <c r="D1499" i="6"/>
  <c r="C1499" i="6"/>
  <c r="B1499" i="6"/>
  <c r="A1499" i="6"/>
  <c r="F1498" i="6"/>
  <c r="E1498" i="6"/>
  <c r="D1498" i="6"/>
  <c r="C1498" i="6"/>
  <c r="B1498" i="6"/>
  <c r="A1498" i="6"/>
  <c r="F1497" i="6"/>
  <c r="E1497" i="6"/>
  <c r="D1497" i="6"/>
  <c r="C1497" i="6"/>
  <c r="B1497" i="6"/>
  <c r="A1497" i="6"/>
  <c r="F1496" i="6"/>
  <c r="E1496" i="6"/>
  <c r="D1496" i="6"/>
  <c r="C1496" i="6"/>
  <c r="B1496" i="6"/>
  <c r="A1496" i="6"/>
  <c r="F1495" i="6"/>
  <c r="E1495" i="6"/>
  <c r="D1495" i="6"/>
  <c r="C1495" i="6"/>
  <c r="B1495" i="6"/>
  <c r="A1495" i="6"/>
  <c r="F1494" i="6"/>
  <c r="E1494" i="6"/>
  <c r="D1494" i="6"/>
  <c r="C1494" i="6"/>
  <c r="B1494" i="6"/>
  <c r="A1494" i="6"/>
  <c r="F1493" i="6"/>
  <c r="E1493" i="6"/>
  <c r="D1493" i="6"/>
  <c r="C1493" i="6"/>
  <c r="B1493" i="6"/>
  <c r="A1493" i="6"/>
  <c r="F1492" i="6"/>
  <c r="E1492" i="6"/>
  <c r="D1492" i="6"/>
  <c r="C1492" i="6"/>
  <c r="B1492" i="6"/>
  <c r="A1492" i="6"/>
  <c r="F1491" i="6"/>
  <c r="E1491" i="6"/>
  <c r="D1491" i="6"/>
  <c r="C1491" i="6"/>
  <c r="B1491" i="6"/>
  <c r="A1491" i="6"/>
  <c r="F1490" i="6"/>
  <c r="E1490" i="6"/>
  <c r="D1490" i="6"/>
  <c r="C1490" i="6"/>
  <c r="B1490" i="6"/>
  <c r="A1490" i="6"/>
  <c r="F1489" i="6"/>
  <c r="E1489" i="6"/>
  <c r="D1489" i="6"/>
  <c r="C1489" i="6"/>
  <c r="B1489" i="6"/>
  <c r="A1489" i="6"/>
  <c r="F1488" i="6"/>
  <c r="E1488" i="6"/>
  <c r="D1488" i="6"/>
  <c r="C1488" i="6"/>
  <c r="B1488" i="6"/>
  <c r="A1488" i="6"/>
  <c r="F1487" i="6"/>
  <c r="E1487" i="6"/>
  <c r="D1487" i="6"/>
  <c r="C1487" i="6"/>
  <c r="B1487" i="6"/>
  <c r="A1487" i="6"/>
  <c r="F1486" i="6"/>
  <c r="E1486" i="6"/>
  <c r="D1486" i="6"/>
  <c r="C1486" i="6"/>
  <c r="B1486" i="6"/>
  <c r="A1486" i="6"/>
  <c r="F1485" i="6"/>
  <c r="E1485" i="6"/>
  <c r="D1485" i="6"/>
  <c r="C1485" i="6"/>
  <c r="B1485" i="6"/>
  <c r="A1485" i="6"/>
  <c r="F1484" i="6"/>
  <c r="E1484" i="6"/>
  <c r="D1484" i="6"/>
  <c r="C1484" i="6"/>
  <c r="B1484" i="6"/>
  <c r="A1484" i="6"/>
  <c r="F1483" i="6"/>
  <c r="E1483" i="6"/>
  <c r="D1483" i="6"/>
  <c r="C1483" i="6"/>
  <c r="B1483" i="6"/>
  <c r="A1483" i="6"/>
  <c r="F1482" i="6"/>
  <c r="E1482" i="6"/>
  <c r="D1482" i="6"/>
  <c r="C1482" i="6"/>
  <c r="B1482" i="6"/>
  <c r="A1482" i="6"/>
  <c r="F1481" i="6"/>
  <c r="E1481" i="6"/>
  <c r="D1481" i="6"/>
  <c r="C1481" i="6"/>
  <c r="B1481" i="6"/>
  <c r="A1481" i="6"/>
  <c r="F1480" i="6"/>
  <c r="E1480" i="6"/>
  <c r="D1480" i="6"/>
  <c r="C1480" i="6"/>
  <c r="B1480" i="6"/>
  <c r="A1480" i="6"/>
  <c r="F1479" i="6"/>
  <c r="E1479" i="6"/>
  <c r="D1479" i="6"/>
  <c r="C1479" i="6"/>
  <c r="B1479" i="6"/>
  <c r="A1479" i="6"/>
  <c r="F1478" i="6"/>
  <c r="E1478" i="6"/>
  <c r="D1478" i="6"/>
  <c r="C1478" i="6"/>
  <c r="B1478" i="6"/>
  <c r="A1478" i="6"/>
  <c r="F1477" i="6"/>
  <c r="E1477" i="6"/>
  <c r="D1477" i="6"/>
  <c r="C1477" i="6"/>
  <c r="B1477" i="6"/>
  <c r="A1477" i="6"/>
  <c r="F1476" i="6"/>
  <c r="E1476" i="6"/>
  <c r="D1476" i="6"/>
  <c r="C1476" i="6"/>
  <c r="B1476" i="6"/>
  <c r="A1476" i="6"/>
  <c r="F1475" i="6"/>
  <c r="E1475" i="6"/>
  <c r="D1475" i="6"/>
  <c r="C1475" i="6"/>
  <c r="B1475" i="6"/>
  <c r="A1475" i="6"/>
  <c r="F1474" i="6"/>
  <c r="E1474" i="6"/>
  <c r="D1474" i="6"/>
  <c r="C1474" i="6"/>
  <c r="B1474" i="6"/>
  <c r="A1474" i="6"/>
  <c r="F1473" i="6"/>
  <c r="E1473" i="6"/>
  <c r="D1473" i="6"/>
  <c r="C1473" i="6"/>
  <c r="B1473" i="6"/>
  <c r="A1473" i="6"/>
  <c r="F1472" i="6"/>
  <c r="E1472" i="6"/>
  <c r="D1472" i="6"/>
  <c r="C1472" i="6"/>
  <c r="B1472" i="6"/>
  <c r="A1472" i="6"/>
  <c r="F1471" i="6"/>
  <c r="E1471" i="6"/>
  <c r="D1471" i="6"/>
  <c r="C1471" i="6"/>
  <c r="B1471" i="6"/>
  <c r="A1471" i="6"/>
  <c r="F1470" i="6"/>
  <c r="E1470" i="6"/>
  <c r="D1470" i="6"/>
  <c r="C1470" i="6"/>
  <c r="B1470" i="6"/>
  <c r="A1470" i="6"/>
  <c r="F1469" i="6"/>
  <c r="E1469" i="6"/>
  <c r="D1469" i="6"/>
  <c r="C1469" i="6"/>
  <c r="B1469" i="6"/>
  <c r="A1469" i="6"/>
  <c r="F1468" i="6"/>
  <c r="E1468" i="6"/>
  <c r="D1468" i="6"/>
  <c r="C1468" i="6"/>
  <c r="B1468" i="6"/>
  <c r="A1468" i="6"/>
  <c r="F1467" i="6"/>
  <c r="E1467" i="6"/>
  <c r="D1467" i="6"/>
  <c r="C1467" i="6"/>
  <c r="B1467" i="6"/>
  <c r="A1467" i="6"/>
  <c r="F1466" i="6"/>
  <c r="E1466" i="6"/>
  <c r="D1466" i="6"/>
  <c r="C1466" i="6"/>
  <c r="B1466" i="6"/>
  <c r="A1466" i="6"/>
  <c r="F1465" i="6"/>
  <c r="E1465" i="6"/>
  <c r="D1465" i="6"/>
  <c r="C1465" i="6"/>
  <c r="B1465" i="6"/>
  <c r="A1465" i="6"/>
  <c r="F1464" i="6"/>
  <c r="E1464" i="6"/>
  <c r="D1464" i="6"/>
  <c r="C1464" i="6"/>
  <c r="B1464" i="6"/>
  <c r="A1464" i="6"/>
  <c r="F1463" i="6"/>
  <c r="E1463" i="6"/>
  <c r="D1463" i="6"/>
  <c r="C1463" i="6"/>
  <c r="B1463" i="6"/>
  <c r="A1463" i="6"/>
  <c r="F1462" i="6"/>
  <c r="E1462" i="6"/>
  <c r="D1462" i="6"/>
  <c r="C1462" i="6"/>
  <c r="B1462" i="6"/>
  <c r="A1462" i="6"/>
  <c r="F1461" i="6"/>
  <c r="E1461" i="6"/>
  <c r="D1461" i="6"/>
  <c r="C1461" i="6"/>
  <c r="B1461" i="6"/>
  <c r="A1461" i="6"/>
  <c r="F1460" i="6"/>
  <c r="E1460" i="6"/>
  <c r="D1460" i="6"/>
  <c r="C1460" i="6"/>
  <c r="B1460" i="6"/>
  <c r="A1460" i="6"/>
  <c r="F1459" i="6"/>
  <c r="E1459" i="6"/>
  <c r="D1459" i="6"/>
  <c r="C1459" i="6"/>
  <c r="B1459" i="6"/>
  <c r="A1459" i="6"/>
  <c r="F1458" i="6"/>
  <c r="E1458" i="6"/>
  <c r="D1458" i="6"/>
  <c r="C1458" i="6"/>
  <c r="B1458" i="6"/>
  <c r="A1458" i="6"/>
  <c r="F1457" i="6"/>
  <c r="E1457" i="6"/>
  <c r="D1457" i="6"/>
  <c r="C1457" i="6"/>
  <c r="B1457" i="6"/>
  <c r="A1457" i="6"/>
  <c r="F1456" i="6"/>
  <c r="E1456" i="6"/>
  <c r="D1456" i="6"/>
  <c r="C1456" i="6"/>
  <c r="B1456" i="6"/>
  <c r="A1456" i="6"/>
  <c r="F1455" i="6"/>
  <c r="E1455" i="6"/>
  <c r="D1455" i="6"/>
  <c r="C1455" i="6"/>
  <c r="B1455" i="6"/>
  <c r="A1455" i="6"/>
  <c r="F1454" i="6"/>
  <c r="E1454" i="6"/>
  <c r="D1454" i="6"/>
  <c r="C1454" i="6"/>
  <c r="B1454" i="6"/>
  <c r="A1454" i="6"/>
  <c r="F1453" i="6"/>
  <c r="E1453" i="6"/>
  <c r="D1453" i="6"/>
  <c r="C1453" i="6"/>
  <c r="B1453" i="6"/>
  <c r="A1453" i="6"/>
  <c r="F1452" i="6"/>
  <c r="E1452" i="6"/>
  <c r="D1452" i="6"/>
  <c r="C1452" i="6"/>
  <c r="B1452" i="6"/>
  <c r="A1452" i="6"/>
  <c r="F1451" i="6"/>
  <c r="E1451" i="6"/>
  <c r="D1451" i="6"/>
  <c r="C1451" i="6"/>
  <c r="B1451" i="6"/>
  <c r="A1451" i="6"/>
  <c r="F1450" i="6"/>
  <c r="E1450" i="6"/>
  <c r="D1450" i="6"/>
  <c r="C1450" i="6"/>
  <c r="B1450" i="6"/>
  <c r="A1450" i="6"/>
  <c r="F1449" i="6"/>
  <c r="E1449" i="6"/>
  <c r="D1449" i="6"/>
  <c r="C1449" i="6"/>
  <c r="B1449" i="6"/>
  <c r="A1449" i="6"/>
  <c r="F1448" i="6"/>
  <c r="E1448" i="6"/>
  <c r="D1448" i="6"/>
  <c r="C1448" i="6"/>
  <c r="B1448" i="6"/>
  <c r="A1448" i="6"/>
  <c r="F1447" i="6"/>
  <c r="E1447" i="6"/>
  <c r="D1447" i="6"/>
  <c r="C1447" i="6"/>
  <c r="B1447" i="6"/>
  <c r="A1447" i="6"/>
  <c r="F1446" i="6"/>
  <c r="E1446" i="6"/>
  <c r="D1446" i="6"/>
  <c r="C1446" i="6"/>
  <c r="B1446" i="6"/>
  <c r="A1446" i="6"/>
  <c r="F1445" i="6"/>
  <c r="E1445" i="6"/>
  <c r="D1445" i="6"/>
  <c r="C1445" i="6"/>
  <c r="B1445" i="6"/>
  <c r="A1445" i="6"/>
  <c r="F1444" i="6"/>
  <c r="E1444" i="6"/>
  <c r="D1444" i="6"/>
  <c r="C1444" i="6"/>
  <c r="B1444" i="6"/>
  <c r="A1444" i="6"/>
  <c r="F1443" i="6"/>
  <c r="E1443" i="6"/>
  <c r="D1443" i="6"/>
  <c r="C1443" i="6"/>
  <c r="B1443" i="6"/>
  <c r="A1443" i="6"/>
  <c r="F1442" i="6"/>
  <c r="E1442" i="6"/>
  <c r="D1442" i="6"/>
  <c r="C1442" i="6"/>
  <c r="B1442" i="6"/>
  <c r="A1442" i="6"/>
  <c r="F1441" i="6"/>
  <c r="E1441" i="6"/>
  <c r="D1441" i="6"/>
  <c r="C1441" i="6"/>
  <c r="B1441" i="6"/>
  <c r="A1441" i="6"/>
  <c r="F1440" i="6"/>
  <c r="E1440" i="6"/>
  <c r="D1440" i="6"/>
  <c r="C1440" i="6"/>
  <c r="B1440" i="6"/>
  <c r="A1440" i="6"/>
  <c r="F1439" i="6"/>
  <c r="E1439" i="6"/>
  <c r="D1439" i="6"/>
  <c r="C1439" i="6"/>
  <c r="B1439" i="6"/>
  <c r="A1439" i="6"/>
  <c r="F1438" i="6"/>
  <c r="E1438" i="6"/>
  <c r="D1438" i="6"/>
  <c r="C1438" i="6"/>
  <c r="B1438" i="6"/>
  <c r="A1438" i="6"/>
  <c r="F1437" i="6"/>
  <c r="E1437" i="6"/>
  <c r="D1437" i="6"/>
  <c r="C1437" i="6"/>
  <c r="B1437" i="6"/>
  <c r="A1437" i="6"/>
  <c r="F1436" i="6"/>
  <c r="E1436" i="6"/>
  <c r="D1436" i="6"/>
  <c r="C1436" i="6"/>
  <c r="B1436" i="6"/>
  <c r="A1436" i="6"/>
  <c r="F1435" i="6"/>
  <c r="E1435" i="6"/>
  <c r="D1435" i="6"/>
  <c r="C1435" i="6"/>
  <c r="B1435" i="6"/>
  <c r="A1435" i="6"/>
  <c r="F1434" i="6"/>
  <c r="E1434" i="6"/>
  <c r="D1434" i="6"/>
  <c r="C1434" i="6"/>
  <c r="B1434" i="6"/>
  <c r="A1434" i="6"/>
  <c r="F1433" i="6"/>
  <c r="E1433" i="6"/>
  <c r="D1433" i="6"/>
  <c r="C1433" i="6"/>
  <c r="B1433" i="6"/>
  <c r="A1433" i="6"/>
  <c r="F1432" i="6"/>
  <c r="E1432" i="6"/>
  <c r="D1432" i="6"/>
  <c r="C1432" i="6"/>
  <c r="B1432" i="6"/>
  <c r="A1432" i="6"/>
  <c r="F1431" i="6"/>
  <c r="E1431" i="6"/>
  <c r="D1431" i="6"/>
  <c r="C1431" i="6"/>
  <c r="B1431" i="6"/>
  <c r="A1431" i="6"/>
  <c r="F1430" i="6"/>
  <c r="E1430" i="6"/>
  <c r="D1430" i="6"/>
  <c r="C1430" i="6"/>
  <c r="B1430" i="6"/>
  <c r="A1430" i="6"/>
  <c r="F1429" i="6"/>
  <c r="E1429" i="6"/>
  <c r="D1429" i="6"/>
  <c r="C1429" i="6"/>
  <c r="B1429" i="6"/>
  <c r="A1429" i="6"/>
  <c r="F1428" i="6"/>
  <c r="E1428" i="6"/>
  <c r="D1428" i="6"/>
  <c r="C1428" i="6"/>
  <c r="B1428" i="6"/>
  <c r="A1428" i="6"/>
  <c r="F1427" i="6"/>
  <c r="E1427" i="6"/>
  <c r="D1427" i="6"/>
  <c r="C1427" i="6"/>
  <c r="B1427" i="6"/>
  <c r="A1427" i="6"/>
  <c r="F1426" i="6"/>
  <c r="E1426" i="6"/>
  <c r="D1426" i="6"/>
  <c r="C1426" i="6"/>
  <c r="B1426" i="6"/>
  <c r="A1426" i="6"/>
  <c r="F1425" i="6"/>
  <c r="E1425" i="6"/>
  <c r="D1425" i="6"/>
  <c r="C1425" i="6"/>
  <c r="B1425" i="6"/>
  <c r="A1425" i="6"/>
  <c r="F1424" i="6"/>
  <c r="E1424" i="6"/>
  <c r="D1424" i="6"/>
  <c r="C1424" i="6"/>
  <c r="B1424" i="6"/>
  <c r="A1424" i="6"/>
  <c r="F1423" i="6"/>
  <c r="E1423" i="6"/>
  <c r="D1423" i="6"/>
  <c r="C1423" i="6"/>
  <c r="B1423" i="6"/>
  <c r="A1423" i="6"/>
  <c r="F1422" i="6"/>
  <c r="E1422" i="6"/>
  <c r="D1422" i="6"/>
  <c r="C1422" i="6"/>
  <c r="B1422" i="6"/>
  <c r="A1422" i="6"/>
  <c r="F1421" i="6"/>
  <c r="E1421" i="6"/>
  <c r="D1421" i="6"/>
  <c r="C1421" i="6"/>
  <c r="B1421" i="6"/>
  <c r="A1421" i="6"/>
  <c r="F1420" i="6"/>
  <c r="E1420" i="6"/>
  <c r="D1420" i="6"/>
  <c r="C1420" i="6"/>
  <c r="B1420" i="6"/>
  <c r="A1420" i="6"/>
  <c r="F1419" i="6"/>
  <c r="E1419" i="6"/>
  <c r="D1419" i="6"/>
  <c r="C1419" i="6"/>
  <c r="B1419" i="6"/>
  <c r="A1419" i="6"/>
  <c r="F1418" i="6"/>
  <c r="E1418" i="6"/>
  <c r="D1418" i="6"/>
  <c r="C1418" i="6"/>
  <c r="B1418" i="6"/>
  <c r="A1418" i="6"/>
  <c r="F1417" i="6"/>
  <c r="E1417" i="6"/>
  <c r="D1417" i="6"/>
  <c r="C1417" i="6"/>
  <c r="B1417" i="6"/>
  <c r="A1417" i="6"/>
  <c r="F1416" i="6"/>
  <c r="E1416" i="6"/>
  <c r="D1416" i="6"/>
  <c r="C1416" i="6"/>
  <c r="B1416" i="6"/>
  <c r="A1416" i="6"/>
  <c r="F1415" i="6"/>
  <c r="E1415" i="6"/>
  <c r="D1415" i="6"/>
  <c r="C1415" i="6"/>
  <c r="B1415" i="6"/>
  <c r="A1415" i="6"/>
  <c r="F1414" i="6"/>
  <c r="E1414" i="6"/>
  <c r="D1414" i="6"/>
  <c r="C1414" i="6"/>
  <c r="B1414" i="6"/>
  <c r="A1414" i="6"/>
  <c r="F1413" i="6"/>
  <c r="E1413" i="6"/>
  <c r="D1413" i="6"/>
  <c r="C1413" i="6"/>
  <c r="B1413" i="6"/>
  <c r="A1413" i="6"/>
  <c r="F1412" i="6"/>
  <c r="E1412" i="6"/>
  <c r="D1412" i="6"/>
  <c r="C1412" i="6"/>
  <c r="B1412" i="6"/>
  <c r="A1412" i="6"/>
  <c r="F1411" i="6"/>
  <c r="E1411" i="6"/>
  <c r="D1411" i="6"/>
  <c r="C1411" i="6"/>
  <c r="B1411" i="6"/>
  <c r="A1411" i="6"/>
  <c r="F1410" i="6"/>
  <c r="E1410" i="6"/>
  <c r="D1410" i="6"/>
  <c r="C1410" i="6"/>
  <c r="B1410" i="6"/>
  <c r="A1410" i="6"/>
  <c r="F1409" i="6"/>
  <c r="E1409" i="6"/>
  <c r="D1409" i="6"/>
  <c r="C1409" i="6"/>
  <c r="B1409" i="6"/>
  <c r="A1409" i="6"/>
  <c r="F1408" i="6"/>
  <c r="E1408" i="6"/>
  <c r="D1408" i="6"/>
  <c r="C1408" i="6"/>
  <c r="B1408" i="6"/>
  <c r="A1408" i="6"/>
  <c r="F1407" i="6"/>
  <c r="E1407" i="6"/>
  <c r="D1407" i="6"/>
  <c r="C1407" i="6"/>
  <c r="B1407" i="6"/>
  <c r="A1407" i="6"/>
  <c r="F1406" i="6"/>
  <c r="E1406" i="6"/>
  <c r="D1406" i="6"/>
  <c r="C1406" i="6"/>
  <c r="B1406" i="6"/>
  <c r="A1406" i="6"/>
  <c r="F1405" i="6"/>
  <c r="E1405" i="6"/>
  <c r="D1405" i="6"/>
  <c r="C1405" i="6"/>
  <c r="B1405" i="6"/>
  <c r="A1405" i="6"/>
  <c r="F1404" i="6"/>
  <c r="E1404" i="6"/>
  <c r="D1404" i="6"/>
  <c r="C1404" i="6"/>
  <c r="B1404" i="6"/>
  <c r="A1404" i="6"/>
  <c r="F1403" i="6"/>
  <c r="E1403" i="6"/>
  <c r="D1403" i="6"/>
  <c r="C1403" i="6"/>
  <c r="B1403" i="6"/>
  <c r="A1403" i="6"/>
  <c r="F1402" i="6"/>
  <c r="E1402" i="6"/>
  <c r="D1402" i="6"/>
  <c r="C1402" i="6"/>
  <c r="B1402" i="6"/>
  <c r="A1402" i="6"/>
  <c r="F1401" i="6"/>
  <c r="E1401" i="6"/>
  <c r="D1401" i="6"/>
  <c r="C1401" i="6"/>
  <c r="B1401" i="6"/>
  <c r="A1401" i="6"/>
  <c r="F1400" i="6"/>
  <c r="E1400" i="6"/>
  <c r="D1400" i="6"/>
  <c r="C1400" i="6"/>
  <c r="B1400" i="6"/>
  <c r="A1400" i="6"/>
  <c r="F1399" i="6"/>
  <c r="E1399" i="6"/>
  <c r="D1399" i="6"/>
  <c r="C1399" i="6"/>
  <c r="B1399" i="6"/>
  <c r="A1399" i="6"/>
  <c r="F1398" i="6"/>
  <c r="E1398" i="6"/>
  <c r="D1398" i="6"/>
  <c r="C1398" i="6"/>
  <c r="B1398" i="6"/>
  <c r="A1398" i="6"/>
  <c r="F1397" i="6"/>
  <c r="E1397" i="6"/>
  <c r="D1397" i="6"/>
  <c r="C1397" i="6"/>
  <c r="B1397" i="6"/>
  <c r="A1397" i="6"/>
  <c r="F1396" i="6"/>
  <c r="E1396" i="6"/>
  <c r="D1396" i="6"/>
  <c r="C1396" i="6"/>
  <c r="B1396" i="6"/>
  <c r="A1396" i="6"/>
  <c r="F1395" i="6"/>
  <c r="E1395" i="6"/>
  <c r="D1395" i="6"/>
  <c r="C1395" i="6"/>
  <c r="B1395" i="6"/>
  <c r="A1395" i="6"/>
  <c r="F1394" i="6"/>
  <c r="E1394" i="6"/>
  <c r="D1394" i="6"/>
  <c r="C1394" i="6"/>
  <c r="B1394" i="6"/>
  <c r="A1394" i="6"/>
  <c r="F1393" i="6"/>
  <c r="E1393" i="6"/>
  <c r="D1393" i="6"/>
  <c r="C1393" i="6"/>
  <c r="B1393" i="6"/>
  <c r="A1393" i="6"/>
  <c r="F1392" i="6"/>
  <c r="E1392" i="6"/>
  <c r="D1392" i="6"/>
  <c r="C1392" i="6"/>
  <c r="B1392" i="6"/>
  <c r="A1392" i="6"/>
  <c r="F1391" i="6"/>
  <c r="E1391" i="6"/>
  <c r="D1391" i="6"/>
  <c r="C1391" i="6"/>
  <c r="B1391" i="6"/>
  <c r="A1391" i="6"/>
  <c r="F1390" i="6"/>
  <c r="E1390" i="6"/>
  <c r="D1390" i="6"/>
  <c r="C1390" i="6"/>
  <c r="B1390" i="6"/>
  <c r="A1390" i="6"/>
  <c r="F1389" i="6"/>
  <c r="E1389" i="6"/>
  <c r="D1389" i="6"/>
  <c r="C1389" i="6"/>
  <c r="B1389" i="6"/>
  <c r="A1389" i="6"/>
  <c r="F1388" i="6"/>
  <c r="E1388" i="6"/>
  <c r="D1388" i="6"/>
  <c r="C1388" i="6"/>
  <c r="B1388" i="6"/>
  <c r="A1388" i="6"/>
  <c r="F1387" i="6"/>
  <c r="E1387" i="6"/>
  <c r="D1387" i="6"/>
  <c r="C1387" i="6"/>
  <c r="B1387" i="6"/>
  <c r="A1387" i="6"/>
  <c r="F1386" i="6"/>
  <c r="E1386" i="6"/>
  <c r="D1386" i="6"/>
  <c r="C1386" i="6"/>
  <c r="B1386" i="6"/>
  <c r="A1386" i="6"/>
  <c r="F1385" i="6"/>
  <c r="E1385" i="6"/>
  <c r="D1385" i="6"/>
  <c r="C1385" i="6"/>
  <c r="B1385" i="6"/>
  <c r="A1385" i="6"/>
  <c r="F1384" i="6"/>
  <c r="E1384" i="6"/>
  <c r="D1384" i="6"/>
  <c r="C1384" i="6"/>
  <c r="B1384" i="6"/>
  <c r="A1384" i="6"/>
  <c r="F1383" i="6"/>
  <c r="E1383" i="6"/>
  <c r="D1383" i="6"/>
  <c r="C1383" i="6"/>
  <c r="B1383" i="6"/>
  <c r="A1383" i="6"/>
  <c r="F1382" i="6"/>
  <c r="E1382" i="6"/>
  <c r="D1382" i="6"/>
  <c r="C1382" i="6"/>
  <c r="B1382" i="6"/>
  <c r="A1382" i="6"/>
  <c r="F1381" i="6"/>
  <c r="E1381" i="6"/>
  <c r="D1381" i="6"/>
  <c r="C1381" i="6"/>
  <c r="B1381" i="6"/>
  <c r="A1381" i="6"/>
  <c r="F1380" i="6"/>
  <c r="E1380" i="6"/>
  <c r="D1380" i="6"/>
  <c r="C1380" i="6"/>
  <c r="B1380" i="6"/>
  <c r="A1380" i="6"/>
  <c r="F1379" i="6"/>
  <c r="E1379" i="6"/>
  <c r="D1379" i="6"/>
  <c r="C1379" i="6"/>
  <c r="B1379" i="6"/>
  <c r="A1379" i="6"/>
  <c r="F1378" i="6"/>
  <c r="E1378" i="6"/>
  <c r="D1378" i="6"/>
  <c r="C1378" i="6"/>
  <c r="B1378" i="6"/>
  <c r="A1378" i="6"/>
  <c r="F1377" i="6"/>
  <c r="E1377" i="6"/>
  <c r="D1377" i="6"/>
  <c r="C1377" i="6"/>
  <c r="B1377" i="6"/>
  <c r="A1377" i="6"/>
  <c r="F1376" i="6"/>
  <c r="E1376" i="6"/>
  <c r="D1376" i="6"/>
  <c r="C1376" i="6"/>
  <c r="B1376" i="6"/>
  <c r="A1376" i="6"/>
  <c r="F1375" i="6"/>
  <c r="E1375" i="6"/>
  <c r="D1375" i="6"/>
  <c r="C1375" i="6"/>
  <c r="B1375" i="6"/>
  <c r="A1375" i="6"/>
  <c r="F1374" i="6"/>
  <c r="E1374" i="6"/>
  <c r="D1374" i="6"/>
  <c r="C1374" i="6"/>
  <c r="B1374" i="6"/>
  <c r="A1374" i="6"/>
  <c r="F1373" i="6"/>
  <c r="E1373" i="6"/>
  <c r="D1373" i="6"/>
  <c r="C1373" i="6"/>
  <c r="B1373" i="6"/>
  <c r="A1373" i="6"/>
  <c r="F1372" i="6"/>
  <c r="E1372" i="6"/>
  <c r="D1372" i="6"/>
  <c r="C1372" i="6"/>
  <c r="B1372" i="6"/>
  <c r="A1372" i="6"/>
  <c r="F1371" i="6"/>
  <c r="E1371" i="6"/>
  <c r="D1371" i="6"/>
  <c r="C1371" i="6"/>
  <c r="B1371" i="6"/>
  <c r="A1371" i="6"/>
  <c r="F1370" i="6"/>
  <c r="E1370" i="6"/>
  <c r="D1370" i="6"/>
  <c r="C1370" i="6"/>
  <c r="B1370" i="6"/>
  <c r="A1370" i="6"/>
  <c r="F1369" i="6"/>
  <c r="E1369" i="6"/>
  <c r="D1369" i="6"/>
  <c r="C1369" i="6"/>
  <c r="B1369" i="6"/>
  <c r="A1369" i="6"/>
  <c r="F1368" i="6"/>
  <c r="E1368" i="6"/>
  <c r="D1368" i="6"/>
  <c r="C1368" i="6"/>
  <c r="B1368" i="6"/>
  <c r="A1368" i="6"/>
  <c r="F1367" i="6"/>
  <c r="E1367" i="6"/>
  <c r="D1367" i="6"/>
  <c r="C1367" i="6"/>
  <c r="B1367" i="6"/>
  <c r="A1367" i="6"/>
  <c r="F1366" i="6"/>
  <c r="E1366" i="6"/>
  <c r="D1366" i="6"/>
  <c r="C1366" i="6"/>
  <c r="B1366" i="6"/>
  <c r="A1366" i="6"/>
  <c r="F1365" i="6"/>
  <c r="E1365" i="6"/>
  <c r="D1365" i="6"/>
  <c r="C1365" i="6"/>
  <c r="B1365" i="6"/>
  <c r="A1365" i="6"/>
  <c r="F1364" i="6"/>
  <c r="E1364" i="6"/>
  <c r="D1364" i="6"/>
  <c r="C1364" i="6"/>
  <c r="B1364" i="6"/>
  <c r="A1364" i="6"/>
  <c r="F1363" i="6"/>
  <c r="E1363" i="6"/>
  <c r="D1363" i="6"/>
  <c r="C1363" i="6"/>
  <c r="B1363" i="6"/>
  <c r="A1363" i="6"/>
  <c r="F1362" i="6"/>
  <c r="E1362" i="6"/>
  <c r="D1362" i="6"/>
  <c r="C1362" i="6"/>
  <c r="B1362" i="6"/>
  <c r="A1362" i="6"/>
  <c r="F1361" i="6"/>
  <c r="E1361" i="6"/>
  <c r="D1361" i="6"/>
  <c r="C1361" i="6"/>
  <c r="B1361" i="6"/>
  <c r="A1361" i="6"/>
  <c r="F1360" i="6"/>
  <c r="E1360" i="6"/>
  <c r="D1360" i="6"/>
  <c r="C1360" i="6"/>
  <c r="B1360" i="6"/>
  <c r="A1360" i="6"/>
  <c r="F1359" i="6"/>
  <c r="E1359" i="6"/>
  <c r="D1359" i="6"/>
  <c r="C1359" i="6"/>
  <c r="B1359" i="6"/>
  <c r="A1359" i="6"/>
  <c r="F1358" i="6"/>
  <c r="E1358" i="6"/>
  <c r="D1358" i="6"/>
  <c r="C1358" i="6"/>
  <c r="B1358" i="6"/>
  <c r="A1358" i="6"/>
  <c r="F1357" i="6"/>
  <c r="E1357" i="6"/>
  <c r="D1357" i="6"/>
  <c r="C1357" i="6"/>
  <c r="B1357" i="6"/>
  <c r="A1357" i="6"/>
  <c r="F1356" i="6"/>
  <c r="E1356" i="6"/>
  <c r="D1356" i="6"/>
  <c r="C1356" i="6"/>
  <c r="B1356" i="6"/>
  <c r="A1356" i="6"/>
  <c r="F1355" i="6"/>
  <c r="E1355" i="6"/>
  <c r="D1355" i="6"/>
  <c r="C1355" i="6"/>
  <c r="B1355" i="6"/>
  <c r="A1355" i="6"/>
  <c r="F1354" i="6"/>
  <c r="E1354" i="6"/>
  <c r="D1354" i="6"/>
  <c r="C1354" i="6"/>
  <c r="B1354" i="6"/>
  <c r="A1354" i="6"/>
  <c r="F1353" i="6"/>
  <c r="E1353" i="6"/>
  <c r="D1353" i="6"/>
  <c r="C1353" i="6"/>
  <c r="B1353" i="6"/>
  <c r="A1353" i="6"/>
  <c r="F1352" i="6"/>
  <c r="E1352" i="6"/>
  <c r="D1352" i="6"/>
  <c r="C1352" i="6"/>
  <c r="B1352" i="6"/>
  <c r="A1352" i="6"/>
  <c r="F1351" i="6"/>
  <c r="E1351" i="6"/>
  <c r="D1351" i="6"/>
  <c r="C1351" i="6"/>
  <c r="B1351" i="6"/>
  <c r="A1351" i="6"/>
  <c r="F1350" i="6"/>
  <c r="E1350" i="6"/>
  <c r="D1350" i="6"/>
  <c r="C1350" i="6"/>
  <c r="B1350" i="6"/>
  <c r="A1350" i="6"/>
  <c r="F1349" i="6"/>
  <c r="E1349" i="6"/>
  <c r="D1349" i="6"/>
  <c r="C1349" i="6"/>
  <c r="B1349" i="6"/>
  <c r="A1349" i="6"/>
  <c r="F1348" i="6"/>
  <c r="E1348" i="6"/>
  <c r="D1348" i="6"/>
  <c r="C1348" i="6"/>
  <c r="B1348" i="6"/>
  <c r="A1348" i="6"/>
  <c r="F1347" i="6"/>
  <c r="E1347" i="6"/>
  <c r="D1347" i="6"/>
  <c r="C1347" i="6"/>
  <c r="B1347" i="6"/>
  <c r="A1347" i="6"/>
  <c r="F1346" i="6"/>
  <c r="E1346" i="6"/>
  <c r="D1346" i="6"/>
  <c r="C1346" i="6"/>
  <c r="B1346" i="6"/>
  <c r="A1346" i="6"/>
  <c r="F1345" i="6"/>
  <c r="E1345" i="6"/>
  <c r="D1345" i="6"/>
  <c r="C1345" i="6"/>
  <c r="B1345" i="6"/>
  <c r="A1345" i="6"/>
  <c r="F1344" i="6"/>
  <c r="E1344" i="6"/>
  <c r="D1344" i="6"/>
  <c r="C1344" i="6"/>
  <c r="B1344" i="6"/>
  <c r="A1344" i="6"/>
  <c r="F1343" i="6"/>
  <c r="E1343" i="6"/>
  <c r="D1343" i="6"/>
  <c r="C1343" i="6"/>
  <c r="B1343" i="6"/>
  <c r="A1343" i="6"/>
  <c r="F1342" i="6"/>
  <c r="E1342" i="6"/>
  <c r="D1342" i="6"/>
  <c r="C1342" i="6"/>
  <c r="B1342" i="6"/>
  <c r="A1342" i="6"/>
  <c r="F1341" i="6"/>
  <c r="E1341" i="6"/>
  <c r="D1341" i="6"/>
  <c r="C1341" i="6"/>
  <c r="B1341" i="6"/>
  <c r="A1341" i="6"/>
  <c r="F1340" i="6"/>
  <c r="E1340" i="6"/>
  <c r="D1340" i="6"/>
  <c r="C1340" i="6"/>
  <c r="B1340" i="6"/>
  <c r="A1340" i="6"/>
  <c r="F1339" i="6"/>
  <c r="E1339" i="6"/>
  <c r="D1339" i="6"/>
  <c r="C1339" i="6"/>
  <c r="B1339" i="6"/>
  <c r="A1339" i="6"/>
  <c r="F1338" i="6"/>
  <c r="E1338" i="6"/>
  <c r="D1338" i="6"/>
  <c r="C1338" i="6"/>
  <c r="B1338" i="6"/>
  <c r="A1338" i="6"/>
  <c r="F1337" i="6"/>
  <c r="E1337" i="6"/>
  <c r="D1337" i="6"/>
  <c r="C1337" i="6"/>
  <c r="B1337" i="6"/>
  <c r="A1337" i="6"/>
  <c r="F1336" i="6"/>
  <c r="E1336" i="6"/>
  <c r="D1336" i="6"/>
  <c r="C1336" i="6"/>
  <c r="B1336" i="6"/>
  <c r="A1336" i="6"/>
  <c r="F1335" i="6"/>
  <c r="E1335" i="6"/>
  <c r="D1335" i="6"/>
  <c r="C1335" i="6"/>
  <c r="B1335" i="6"/>
  <c r="A1335" i="6"/>
  <c r="F1334" i="6"/>
  <c r="E1334" i="6"/>
  <c r="D1334" i="6"/>
  <c r="C1334" i="6"/>
  <c r="B1334" i="6"/>
  <c r="A1334" i="6"/>
  <c r="F1333" i="6"/>
  <c r="E1333" i="6"/>
  <c r="D1333" i="6"/>
  <c r="C1333" i="6"/>
  <c r="B1333" i="6"/>
  <c r="A1333" i="6"/>
  <c r="F1332" i="6"/>
  <c r="E1332" i="6"/>
  <c r="D1332" i="6"/>
  <c r="C1332" i="6"/>
  <c r="B1332" i="6"/>
  <c r="A1332" i="6"/>
  <c r="F1331" i="6"/>
  <c r="E1331" i="6"/>
  <c r="D1331" i="6"/>
  <c r="C1331" i="6"/>
  <c r="B1331" i="6"/>
  <c r="A1331" i="6"/>
  <c r="F1330" i="6"/>
  <c r="E1330" i="6"/>
  <c r="D1330" i="6"/>
  <c r="C1330" i="6"/>
  <c r="B1330" i="6"/>
  <c r="A1330" i="6"/>
  <c r="F1329" i="6"/>
  <c r="E1329" i="6"/>
  <c r="D1329" i="6"/>
  <c r="C1329" i="6"/>
  <c r="B1329" i="6"/>
  <c r="A1329" i="6"/>
  <c r="F1328" i="6"/>
  <c r="E1328" i="6"/>
  <c r="D1328" i="6"/>
  <c r="C1328" i="6"/>
  <c r="B1328" i="6"/>
  <c r="A1328" i="6"/>
  <c r="F1327" i="6"/>
  <c r="E1327" i="6"/>
  <c r="D1327" i="6"/>
  <c r="C1327" i="6"/>
  <c r="B1327" i="6"/>
  <c r="A1327" i="6"/>
  <c r="F1326" i="6"/>
  <c r="E1326" i="6"/>
  <c r="D1326" i="6"/>
  <c r="C1326" i="6"/>
  <c r="B1326" i="6"/>
  <c r="A1326" i="6"/>
  <c r="F1325" i="6"/>
  <c r="E1325" i="6"/>
  <c r="D1325" i="6"/>
  <c r="C1325" i="6"/>
  <c r="B1325" i="6"/>
  <c r="A1325" i="6"/>
  <c r="F1324" i="6"/>
  <c r="E1324" i="6"/>
  <c r="D1324" i="6"/>
  <c r="C1324" i="6"/>
  <c r="B1324" i="6"/>
  <c r="A1324" i="6"/>
  <c r="F1323" i="6"/>
  <c r="E1323" i="6"/>
  <c r="D1323" i="6"/>
  <c r="C1323" i="6"/>
  <c r="B1323" i="6"/>
  <c r="A1323" i="6"/>
  <c r="F1322" i="6"/>
  <c r="E1322" i="6"/>
  <c r="D1322" i="6"/>
  <c r="C1322" i="6"/>
  <c r="B1322" i="6"/>
  <c r="A1322" i="6"/>
  <c r="F1321" i="6"/>
  <c r="E1321" i="6"/>
  <c r="D1321" i="6"/>
  <c r="C1321" i="6"/>
  <c r="B1321" i="6"/>
  <c r="A1321" i="6"/>
  <c r="F1320" i="6"/>
  <c r="E1320" i="6"/>
  <c r="D1320" i="6"/>
  <c r="C1320" i="6"/>
  <c r="B1320" i="6"/>
  <c r="A1320" i="6"/>
  <c r="F1319" i="6"/>
  <c r="E1319" i="6"/>
  <c r="D1319" i="6"/>
  <c r="C1319" i="6"/>
  <c r="B1319" i="6"/>
  <c r="A1319" i="6"/>
  <c r="F1318" i="6"/>
  <c r="E1318" i="6"/>
  <c r="D1318" i="6"/>
  <c r="C1318" i="6"/>
  <c r="B1318" i="6"/>
  <c r="A1318" i="6"/>
  <c r="F1317" i="6"/>
  <c r="E1317" i="6"/>
  <c r="D1317" i="6"/>
  <c r="C1317" i="6"/>
  <c r="B1317" i="6"/>
  <c r="A1317" i="6"/>
  <c r="F1316" i="6"/>
  <c r="E1316" i="6"/>
  <c r="D1316" i="6"/>
  <c r="C1316" i="6"/>
  <c r="B1316" i="6"/>
  <c r="A1316" i="6"/>
  <c r="F1315" i="6"/>
  <c r="E1315" i="6"/>
  <c r="D1315" i="6"/>
  <c r="C1315" i="6"/>
  <c r="B1315" i="6"/>
  <c r="A1315" i="6"/>
  <c r="F1314" i="6"/>
  <c r="E1314" i="6"/>
  <c r="D1314" i="6"/>
  <c r="C1314" i="6"/>
  <c r="B1314" i="6"/>
  <c r="A1314" i="6"/>
  <c r="F1313" i="6"/>
  <c r="E1313" i="6"/>
  <c r="D1313" i="6"/>
  <c r="C1313" i="6"/>
  <c r="B1313" i="6"/>
  <c r="A1313" i="6"/>
  <c r="F1312" i="6"/>
  <c r="E1312" i="6"/>
  <c r="D1312" i="6"/>
  <c r="C1312" i="6"/>
  <c r="B1312" i="6"/>
  <c r="A1312" i="6"/>
  <c r="F1311" i="6"/>
  <c r="E1311" i="6"/>
  <c r="D1311" i="6"/>
  <c r="C1311" i="6"/>
  <c r="B1311" i="6"/>
  <c r="A1311" i="6"/>
  <c r="F1310" i="6"/>
  <c r="E1310" i="6"/>
  <c r="D1310" i="6"/>
  <c r="C1310" i="6"/>
  <c r="B1310" i="6"/>
  <c r="A1310" i="6"/>
  <c r="F1309" i="6"/>
  <c r="E1309" i="6"/>
  <c r="D1309" i="6"/>
  <c r="C1309" i="6"/>
  <c r="B1309" i="6"/>
  <c r="A1309" i="6"/>
  <c r="F1308" i="6"/>
  <c r="E1308" i="6"/>
  <c r="D1308" i="6"/>
  <c r="C1308" i="6"/>
  <c r="B1308" i="6"/>
  <c r="A1308" i="6"/>
  <c r="F1307" i="6"/>
  <c r="E1307" i="6"/>
  <c r="D1307" i="6"/>
  <c r="C1307" i="6"/>
  <c r="B1307" i="6"/>
  <c r="A1307" i="6"/>
  <c r="F1306" i="6"/>
  <c r="E1306" i="6"/>
  <c r="D1306" i="6"/>
  <c r="C1306" i="6"/>
  <c r="B1306" i="6"/>
  <c r="A1306" i="6"/>
  <c r="F1305" i="6"/>
  <c r="E1305" i="6"/>
  <c r="D1305" i="6"/>
  <c r="C1305" i="6"/>
  <c r="B1305" i="6"/>
  <c r="A1305" i="6"/>
  <c r="F1304" i="6"/>
  <c r="E1304" i="6"/>
  <c r="D1304" i="6"/>
  <c r="C1304" i="6"/>
  <c r="B1304" i="6"/>
  <c r="A1304" i="6"/>
  <c r="F1303" i="6"/>
  <c r="E1303" i="6"/>
  <c r="D1303" i="6"/>
  <c r="C1303" i="6"/>
  <c r="B1303" i="6"/>
  <c r="A1303" i="6"/>
  <c r="F1302" i="6"/>
  <c r="E1302" i="6"/>
  <c r="D1302" i="6"/>
  <c r="C1302" i="6"/>
  <c r="B1302" i="6"/>
  <c r="A1302" i="6"/>
  <c r="F1301" i="6"/>
  <c r="E1301" i="6"/>
  <c r="D1301" i="6"/>
  <c r="C1301" i="6"/>
  <c r="B1301" i="6"/>
  <c r="A1301" i="6"/>
  <c r="F1300" i="6"/>
  <c r="E1300" i="6"/>
  <c r="D1300" i="6"/>
  <c r="C1300" i="6"/>
  <c r="B1300" i="6"/>
  <c r="A1300" i="6"/>
  <c r="F1299" i="6"/>
  <c r="E1299" i="6"/>
  <c r="D1299" i="6"/>
  <c r="C1299" i="6"/>
  <c r="B1299" i="6"/>
  <c r="A1299" i="6"/>
  <c r="F1298" i="6"/>
  <c r="E1298" i="6"/>
  <c r="D1298" i="6"/>
  <c r="C1298" i="6"/>
  <c r="B1298" i="6"/>
  <c r="A1298" i="6"/>
  <c r="F1297" i="6"/>
  <c r="E1297" i="6"/>
  <c r="D1297" i="6"/>
  <c r="C1297" i="6"/>
  <c r="B1297" i="6"/>
  <c r="A1297" i="6"/>
  <c r="F1296" i="6"/>
  <c r="E1296" i="6"/>
  <c r="D1296" i="6"/>
  <c r="C1296" i="6"/>
  <c r="B1296" i="6"/>
  <c r="A1296" i="6"/>
  <c r="F1295" i="6"/>
  <c r="E1295" i="6"/>
  <c r="D1295" i="6"/>
  <c r="C1295" i="6"/>
  <c r="B1295" i="6"/>
  <c r="A1295" i="6"/>
  <c r="F1294" i="6"/>
  <c r="E1294" i="6"/>
  <c r="D1294" i="6"/>
  <c r="C1294" i="6"/>
  <c r="B1294" i="6"/>
  <c r="A1294" i="6"/>
  <c r="F1293" i="6"/>
  <c r="E1293" i="6"/>
  <c r="D1293" i="6"/>
  <c r="C1293" i="6"/>
  <c r="B1293" i="6"/>
  <c r="A1293" i="6"/>
  <c r="F1292" i="6"/>
  <c r="E1292" i="6"/>
  <c r="D1292" i="6"/>
  <c r="C1292" i="6"/>
  <c r="B1292" i="6"/>
  <c r="A1292" i="6"/>
  <c r="F1291" i="6"/>
  <c r="E1291" i="6"/>
  <c r="D1291" i="6"/>
  <c r="C1291" i="6"/>
  <c r="B1291" i="6"/>
  <c r="A1291" i="6"/>
  <c r="F1290" i="6"/>
  <c r="E1290" i="6"/>
  <c r="D1290" i="6"/>
  <c r="C1290" i="6"/>
  <c r="B1290" i="6"/>
  <c r="A1290" i="6"/>
  <c r="F1289" i="6"/>
  <c r="E1289" i="6"/>
  <c r="D1289" i="6"/>
  <c r="C1289" i="6"/>
  <c r="B1289" i="6"/>
  <c r="A1289" i="6"/>
  <c r="F1288" i="6"/>
  <c r="E1288" i="6"/>
  <c r="D1288" i="6"/>
  <c r="C1288" i="6"/>
  <c r="B1288" i="6"/>
  <c r="A1288" i="6"/>
  <c r="F1287" i="6"/>
  <c r="E1287" i="6"/>
  <c r="D1287" i="6"/>
  <c r="C1287" i="6"/>
  <c r="B1287" i="6"/>
  <c r="A1287" i="6"/>
  <c r="F1286" i="6"/>
  <c r="E1286" i="6"/>
  <c r="D1286" i="6"/>
  <c r="C1286" i="6"/>
  <c r="B1286" i="6"/>
  <c r="A1286" i="6"/>
  <c r="F1285" i="6"/>
  <c r="E1285" i="6"/>
  <c r="D1285" i="6"/>
  <c r="C1285" i="6"/>
  <c r="B1285" i="6"/>
  <c r="A1285" i="6"/>
  <c r="F1284" i="6"/>
  <c r="E1284" i="6"/>
  <c r="D1284" i="6"/>
  <c r="C1284" i="6"/>
  <c r="B1284" i="6"/>
  <c r="A1284" i="6"/>
  <c r="F1283" i="6"/>
  <c r="E1283" i="6"/>
  <c r="D1283" i="6"/>
  <c r="C1283" i="6"/>
  <c r="B1283" i="6"/>
  <c r="A1283" i="6"/>
  <c r="F1282" i="6"/>
  <c r="E1282" i="6"/>
  <c r="D1282" i="6"/>
  <c r="C1282" i="6"/>
  <c r="B1282" i="6"/>
  <c r="A1282" i="6"/>
  <c r="F1281" i="6"/>
  <c r="E1281" i="6"/>
  <c r="D1281" i="6"/>
  <c r="C1281" i="6"/>
  <c r="B1281" i="6"/>
  <c r="A1281" i="6"/>
  <c r="F1280" i="6"/>
  <c r="E1280" i="6"/>
  <c r="D1280" i="6"/>
  <c r="C1280" i="6"/>
  <c r="B1280" i="6"/>
  <c r="A1280" i="6"/>
  <c r="F1279" i="6"/>
  <c r="E1279" i="6"/>
  <c r="D1279" i="6"/>
  <c r="C1279" i="6"/>
  <c r="B1279" i="6"/>
  <c r="A1279" i="6"/>
  <c r="F1278" i="6"/>
  <c r="E1278" i="6"/>
  <c r="D1278" i="6"/>
  <c r="C1278" i="6"/>
  <c r="B1278" i="6"/>
  <c r="A1278" i="6"/>
  <c r="F1277" i="6"/>
  <c r="E1277" i="6"/>
  <c r="D1277" i="6"/>
  <c r="C1277" i="6"/>
  <c r="B1277" i="6"/>
  <c r="A1277" i="6"/>
  <c r="F1276" i="6"/>
  <c r="E1276" i="6"/>
  <c r="D1276" i="6"/>
  <c r="C1276" i="6"/>
  <c r="B1276" i="6"/>
  <c r="A1276" i="6"/>
  <c r="F1275" i="6"/>
  <c r="E1275" i="6"/>
  <c r="D1275" i="6"/>
  <c r="C1275" i="6"/>
  <c r="B1275" i="6"/>
  <c r="A1275" i="6"/>
  <c r="F1274" i="6"/>
  <c r="E1274" i="6"/>
  <c r="D1274" i="6"/>
  <c r="C1274" i="6"/>
  <c r="B1274" i="6"/>
  <c r="A1274" i="6"/>
  <c r="F1273" i="6"/>
  <c r="E1273" i="6"/>
  <c r="D1273" i="6"/>
  <c r="C1273" i="6"/>
  <c r="B1273" i="6"/>
  <c r="A1273" i="6"/>
  <c r="F1272" i="6"/>
  <c r="E1272" i="6"/>
  <c r="D1272" i="6"/>
  <c r="C1272" i="6"/>
  <c r="B1272" i="6"/>
  <c r="A1272" i="6"/>
  <c r="F1271" i="6"/>
  <c r="E1271" i="6"/>
  <c r="D1271" i="6"/>
  <c r="C1271" i="6"/>
  <c r="B1271" i="6"/>
  <c r="A1271" i="6"/>
  <c r="F1270" i="6"/>
  <c r="E1270" i="6"/>
  <c r="D1270" i="6"/>
  <c r="C1270" i="6"/>
  <c r="B1270" i="6"/>
  <c r="A1270" i="6"/>
  <c r="F1269" i="6"/>
  <c r="E1269" i="6"/>
  <c r="D1269" i="6"/>
  <c r="C1269" i="6"/>
  <c r="B1269" i="6"/>
  <c r="A1269" i="6"/>
  <c r="F1268" i="6"/>
  <c r="E1268" i="6"/>
  <c r="D1268" i="6"/>
  <c r="C1268" i="6"/>
  <c r="B1268" i="6"/>
  <c r="A1268" i="6"/>
  <c r="F1267" i="6"/>
  <c r="E1267" i="6"/>
  <c r="D1267" i="6"/>
  <c r="C1267" i="6"/>
  <c r="B1267" i="6"/>
  <c r="A1267" i="6"/>
  <c r="F1266" i="6"/>
  <c r="E1266" i="6"/>
  <c r="D1266" i="6"/>
  <c r="C1266" i="6"/>
  <c r="B1266" i="6"/>
  <c r="A1266" i="6"/>
  <c r="F1265" i="6"/>
  <c r="E1265" i="6"/>
  <c r="D1265" i="6"/>
  <c r="C1265" i="6"/>
  <c r="B1265" i="6"/>
  <c r="A1265" i="6"/>
  <c r="F1264" i="6"/>
  <c r="E1264" i="6"/>
  <c r="D1264" i="6"/>
  <c r="C1264" i="6"/>
  <c r="B1264" i="6"/>
  <c r="A1264" i="6"/>
  <c r="F1263" i="6"/>
  <c r="E1263" i="6"/>
  <c r="D1263" i="6"/>
  <c r="C1263" i="6"/>
  <c r="B1263" i="6"/>
  <c r="A1263" i="6"/>
  <c r="F1262" i="6"/>
  <c r="E1262" i="6"/>
  <c r="D1262" i="6"/>
  <c r="C1262" i="6"/>
  <c r="B1262" i="6"/>
  <c r="A1262" i="6"/>
  <c r="F1261" i="6"/>
  <c r="E1261" i="6"/>
  <c r="D1261" i="6"/>
  <c r="C1261" i="6"/>
  <c r="B1261" i="6"/>
  <c r="A1261" i="6"/>
  <c r="F1260" i="6"/>
  <c r="E1260" i="6"/>
  <c r="D1260" i="6"/>
  <c r="C1260" i="6"/>
  <c r="B1260" i="6"/>
  <c r="A1260" i="6"/>
  <c r="F1259" i="6"/>
  <c r="E1259" i="6"/>
  <c r="D1259" i="6"/>
  <c r="C1259" i="6"/>
  <c r="B1259" i="6"/>
  <c r="A1259" i="6"/>
  <c r="F1258" i="6"/>
  <c r="E1258" i="6"/>
  <c r="D1258" i="6"/>
  <c r="C1258" i="6"/>
  <c r="B1258" i="6"/>
  <c r="A1258" i="6"/>
  <c r="F1257" i="6"/>
  <c r="E1257" i="6"/>
  <c r="D1257" i="6"/>
  <c r="C1257" i="6"/>
  <c r="B1257" i="6"/>
  <c r="A1257" i="6"/>
  <c r="F1256" i="6"/>
  <c r="E1256" i="6"/>
  <c r="D1256" i="6"/>
  <c r="C1256" i="6"/>
  <c r="B1256" i="6"/>
  <c r="A1256" i="6"/>
  <c r="F1255" i="6"/>
  <c r="E1255" i="6"/>
  <c r="D1255" i="6"/>
  <c r="C1255" i="6"/>
  <c r="B1255" i="6"/>
  <c r="A1255" i="6"/>
  <c r="F1254" i="6"/>
  <c r="E1254" i="6"/>
  <c r="D1254" i="6"/>
  <c r="C1254" i="6"/>
  <c r="B1254" i="6"/>
  <c r="A1254" i="6"/>
  <c r="F1253" i="6"/>
  <c r="E1253" i="6"/>
  <c r="D1253" i="6"/>
  <c r="C1253" i="6"/>
  <c r="B1253" i="6"/>
  <c r="A1253" i="6"/>
  <c r="F1252" i="6"/>
  <c r="E1252" i="6"/>
  <c r="D1252" i="6"/>
  <c r="C1252" i="6"/>
  <c r="B1252" i="6"/>
  <c r="A1252" i="6"/>
  <c r="F1251" i="6"/>
  <c r="E1251" i="6"/>
  <c r="D1251" i="6"/>
  <c r="C1251" i="6"/>
  <c r="B1251" i="6"/>
  <c r="A1251" i="6"/>
  <c r="F1250" i="6"/>
  <c r="E1250" i="6"/>
  <c r="D1250" i="6"/>
  <c r="C1250" i="6"/>
  <c r="B1250" i="6"/>
  <c r="A1250" i="6"/>
  <c r="F1249" i="6"/>
  <c r="E1249" i="6"/>
  <c r="D1249" i="6"/>
  <c r="C1249" i="6"/>
  <c r="B1249" i="6"/>
  <c r="A1249" i="6"/>
  <c r="F1248" i="6"/>
  <c r="E1248" i="6"/>
  <c r="D1248" i="6"/>
  <c r="C1248" i="6"/>
  <c r="B1248" i="6"/>
  <c r="A1248" i="6"/>
  <c r="F1247" i="6"/>
  <c r="E1247" i="6"/>
  <c r="D1247" i="6"/>
  <c r="C1247" i="6"/>
  <c r="B1247" i="6"/>
  <c r="A1247" i="6"/>
  <c r="F1246" i="6"/>
  <c r="E1246" i="6"/>
  <c r="D1246" i="6"/>
  <c r="C1246" i="6"/>
  <c r="B1246" i="6"/>
  <c r="A1246" i="6"/>
  <c r="F1245" i="6"/>
  <c r="E1245" i="6"/>
  <c r="D1245" i="6"/>
  <c r="C1245" i="6"/>
  <c r="B1245" i="6"/>
  <c r="A1245" i="6"/>
  <c r="F1244" i="6"/>
  <c r="E1244" i="6"/>
  <c r="D1244" i="6"/>
  <c r="C1244" i="6"/>
  <c r="B1244" i="6"/>
  <c r="A1244" i="6"/>
  <c r="F1243" i="6"/>
  <c r="E1243" i="6"/>
  <c r="D1243" i="6"/>
  <c r="C1243" i="6"/>
  <c r="B1243" i="6"/>
  <c r="A1243" i="6"/>
  <c r="F1242" i="6"/>
  <c r="E1242" i="6"/>
  <c r="D1242" i="6"/>
  <c r="C1242" i="6"/>
  <c r="B1242" i="6"/>
  <c r="A1242" i="6"/>
  <c r="F1241" i="6"/>
  <c r="E1241" i="6"/>
  <c r="D1241" i="6"/>
  <c r="C1241" i="6"/>
  <c r="B1241" i="6"/>
  <c r="A1241" i="6"/>
  <c r="F1240" i="6"/>
  <c r="E1240" i="6"/>
  <c r="D1240" i="6"/>
  <c r="C1240" i="6"/>
  <c r="B1240" i="6"/>
  <c r="A1240" i="6"/>
  <c r="F1239" i="6"/>
  <c r="E1239" i="6"/>
  <c r="D1239" i="6"/>
  <c r="C1239" i="6"/>
  <c r="B1239" i="6"/>
  <c r="A1239" i="6"/>
  <c r="F1238" i="6"/>
  <c r="E1238" i="6"/>
  <c r="D1238" i="6"/>
  <c r="C1238" i="6"/>
  <c r="B1238" i="6"/>
  <c r="A1238" i="6"/>
  <c r="F1237" i="6"/>
  <c r="E1237" i="6"/>
  <c r="D1237" i="6"/>
  <c r="C1237" i="6"/>
  <c r="B1237" i="6"/>
  <c r="A1237" i="6"/>
  <c r="F1236" i="6"/>
  <c r="E1236" i="6"/>
  <c r="D1236" i="6"/>
  <c r="C1236" i="6"/>
  <c r="B1236" i="6"/>
  <c r="A1236" i="6"/>
  <c r="F1235" i="6"/>
  <c r="E1235" i="6"/>
  <c r="D1235" i="6"/>
  <c r="C1235" i="6"/>
  <c r="B1235" i="6"/>
  <c r="A1235" i="6"/>
  <c r="F1234" i="6"/>
  <c r="E1234" i="6"/>
  <c r="D1234" i="6"/>
  <c r="C1234" i="6"/>
  <c r="B1234" i="6"/>
  <c r="A1234" i="6"/>
  <c r="F1233" i="6"/>
  <c r="E1233" i="6"/>
  <c r="D1233" i="6"/>
  <c r="C1233" i="6"/>
  <c r="B1233" i="6"/>
  <c r="A1233" i="6"/>
  <c r="F1232" i="6"/>
  <c r="E1232" i="6"/>
  <c r="D1232" i="6"/>
  <c r="C1232" i="6"/>
  <c r="B1232" i="6"/>
  <c r="A1232" i="6"/>
  <c r="F1231" i="6"/>
  <c r="E1231" i="6"/>
  <c r="D1231" i="6"/>
  <c r="C1231" i="6"/>
  <c r="B1231" i="6"/>
  <c r="A1231" i="6"/>
  <c r="F1230" i="6"/>
  <c r="E1230" i="6"/>
  <c r="D1230" i="6"/>
  <c r="C1230" i="6"/>
  <c r="B1230" i="6"/>
  <c r="A1230" i="6"/>
  <c r="F1229" i="6"/>
  <c r="E1229" i="6"/>
  <c r="D1229" i="6"/>
  <c r="C1229" i="6"/>
  <c r="B1229" i="6"/>
  <c r="A1229" i="6"/>
  <c r="F1228" i="6"/>
  <c r="E1228" i="6"/>
  <c r="D1228" i="6"/>
  <c r="C1228" i="6"/>
  <c r="B1228" i="6"/>
  <c r="A1228" i="6"/>
  <c r="F1227" i="6"/>
  <c r="E1227" i="6"/>
  <c r="D1227" i="6"/>
  <c r="C1227" i="6"/>
  <c r="B1227" i="6"/>
  <c r="A1227" i="6"/>
  <c r="F1226" i="6"/>
  <c r="E1226" i="6"/>
  <c r="D1226" i="6"/>
  <c r="C1226" i="6"/>
  <c r="B1226" i="6"/>
  <c r="A1226" i="6"/>
  <c r="F1225" i="6"/>
  <c r="E1225" i="6"/>
  <c r="D1225" i="6"/>
  <c r="C1225" i="6"/>
  <c r="B1225" i="6"/>
  <c r="A1225" i="6"/>
  <c r="F1224" i="6"/>
  <c r="E1224" i="6"/>
  <c r="D1224" i="6"/>
  <c r="C1224" i="6"/>
  <c r="B1224" i="6"/>
  <c r="A1224" i="6"/>
  <c r="F1223" i="6"/>
  <c r="E1223" i="6"/>
  <c r="D1223" i="6"/>
  <c r="C1223" i="6"/>
  <c r="B1223" i="6"/>
  <c r="A1223" i="6"/>
  <c r="F1222" i="6"/>
  <c r="E1222" i="6"/>
  <c r="D1222" i="6"/>
  <c r="C1222" i="6"/>
  <c r="B1222" i="6"/>
  <c r="A1222" i="6"/>
  <c r="F1221" i="6"/>
  <c r="E1221" i="6"/>
  <c r="D1221" i="6"/>
  <c r="C1221" i="6"/>
  <c r="B1221" i="6"/>
  <c r="A1221" i="6"/>
  <c r="F1220" i="6"/>
  <c r="E1220" i="6"/>
  <c r="D1220" i="6"/>
  <c r="C1220" i="6"/>
  <c r="B1220" i="6"/>
  <c r="A1220" i="6"/>
  <c r="F1219" i="6"/>
  <c r="E1219" i="6"/>
  <c r="D1219" i="6"/>
  <c r="C1219" i="6"/>
  <c r="B1219" i="6"/>
  <c r="A1219" i="6"/>
  <c r="F1218" i="6"/>
  <c r="E1218" i="6"/>
  <c r="D1218" i="6"/>
  <c r="C1218" i="6"/>
  <c r="B1218" i="6"/>
  <c r="A1218" i="6"/>
  <c r="F1217" i="6"/>
  <c r="E1217" i="6"/>
  <c r="D1217" i="6"/>
  <c r="C1217" i="6"/>
  <c r="B1217" i="6"/>
  <c r="A1217" i="6"/>
  <c r="F1216" i="6"/>
  <c r="E1216" i="6"/>
  <c r="D1216" i="6"/>
  <c r="C1216" i="6"/>
  <c r="B1216" i="6"/>
  <c r="A1216" i="6"/>
  <c r="F1215" i="6"/>
  <c r="E1215" i="6"/>
  <c r="D1215" i="6"/>
  <c r="C1215" i="6"/>
  <c r="B1215" i="6"/>
  <c r="A1215" i="6"/>
  <c r="F1214" i="6"/>
  <c r="E1214" i="6"/>
  <c r="D1214" i="6"/>
  <c r="C1214" i="6"/>
  <c r="B1214" i="6"/>
  <c r="A1214" i="6"/>
  <c r="F1213" i="6"/>
  <c r="E1213" i="6"/>
  <c r="D1213" i="6"/>
  <c r="C1213" i="6"/>
  <c r="B1213" i="6"/>
  <c r="A1213" i="6"/>
  <c r="F1212" i="6"/>
  <c r="E1212" i="6"/>
  <c r="D1212" i="6"/>
  <c r="C1212" i="6"/>
  <c r="B1212" i="6"/>
  <c r="A1212" i="6"/>
  <c r="F1211" i="6"/>
  <c r="E1211" i="6"/>
  <c r="D1211" i="6"/>
  <c r="C1211" i="6"/>
  <c r="B1211" i="6"/>
  <c r="A1211" i="6"/>
  <c r="F1210" i="6"/>
  <c r="E1210" i="6"/>
  <c r="D1210" i="6"/>
  <c r="C1210" i="6"/>
  <c r="B1210" i="6"/>
  <c r="A1210" i="6"/>
  <c r="F1209" i="6"/>
  <c r="E1209" i="6"/>
  <c r="D1209" i="6"/>
  <c r="C1209" i="6"/>
  <c r="B1209" i="6"/>
  <c r="A1209" i="6"/>
  <c r="F1208" i="6"/>
  <c r="E1208" i="6"/>
  <c r="D1208" i="6"/>
  <c r="C1208" i="6"/>
  <c r="B1208" i="6"/>
  <c r="A1208" i="6"/>
  <c r="F1207" i="6"/>
  <c r="E1207" i="6"/>
  <c r="D1207" i="6"/>
  <c r="C1207" i="6"/>
  <c r="B1207" i="6"/>
  <c r="A1207" i="6"/>
  <c r="F1206" i="6"/>
  <c r="E1206" i="6"/>
  <c r="D1206" i="6"/>
  <c r="C1206" i="6"/>
  <c r="B1206" i="6"/>
  <c r="A1206" i="6"/>
  <c r="F1205" i="6"/>
  <c r="E1205" i="6"/>
  <c r="D1205" i="6"/>
  <c r="C1205" i="6"/>
  <c r="B1205" i="6"/>
  <c r="A1205" i="6"/>
  <c r="F1204" i="6"/>
  <c r="E1204" i="6"/>
  <c r="D1204" i="6"/>
  <c r="C1204" i="6"/>
  <c r="B1204" i="6"/>
  <c r="A1204" i="6"/>
  <c r="F1203" i="6"/>
  <c r="E1203" i="6"/>
  <c r="D1203" i="6"/>
  <c r="C1203" i="6"/>
  <c r="B1203" i="6"/>
  <c r="A1203" i="6"/>
  <c r="F1202" i="6"/>
  <c r="E1202" i="6"/>
  <c r="D1202" i="6"/>
  <c r="C1202" i="6"/>
  <c r="B1202" i="6"/>
  <c r="A1202" i="6"/>
  <c r="F1201" i="6"/>
  <c r="E1201" i="6"/>
  <c r="D1201" i="6"/>
  <c r="C1201" i="6"/>
  <c r="B1201" i="6"/>
  <c r="A1201" i="6"/>
  <c r="F1200" i="6"/>
  <c r="E1200" i="6"/>
  <c r="D1200" i="6"/>
  <c r="C1200" i="6"/>
  <c r="B1200" i="6"/>
  <c r="A1200" i="6"/>
  <c r="F1199" i="6"/>
  <c r="E1199" i="6"/>
  <c r="D1199" i="6"/>
  <c r="C1199" i="6"/>
  <c r="B1199" i="6"/>
  <c r="A1199" i="6"/>
  <c r="F1198" i="6"/>
  <c r="E1198" i="6"/>
  <c r="D1198" i="6"/>
  <c r="C1198" i="6"/>
  <c r="B1198" i="6"/>
  <c r="A1198" i="6"/>
  <c r="F1197" i="6"/>
  <c r="E1197" i="6"/>
  <c r="D1197" i="6"/>
  <c r="C1197" i="6"/>
  <c r="B1197" i="6"/>
  <c r="A1197" i="6"/>
  <c r="F1196" i="6"/>
  <c r="E1196" i="6"/>
  <c r="D1196" i="6"/>
  <c r="C1196" i="6"/>
  <c r="B1196" i="6"/>
  <c r="A1196" i="6"/>
  <c r="F1195" i="6"/>
  <c r="E1195" i="6"/>
  <c r="D1195" i="6"/>
  <c r="C1195" i="6"/>
  <c r="B1195" i="6"/>
  <c r="A1195" i="6"/>
  <c r="F1194" i="6"/>
  <c r="E1194" i="6"/>
  <c r="D1194" i="6"/>
  <c r="C1194" i="6"/>
  <c r="B1194" i="6"/>
  <c r="A1194" i="6"/>
  <c r="F1193" i="6"/>
  <c r="E1193" i="6"/>
  <c r="D1193" i="6"/>
  <c r="C1193" i="6"/>
  <c r="B1193" i="6"/>
  <c r="A1193" i="6"/>
  <c r="F1192" i="6"/>
  <c r="E1192" i="6"/>
  <c r="D1192" i="6"/>
  <c r="C1192" i="6"/>
  <c r="B1192" i="6"/>
  <c r="A1192" i="6"/>
  <c r="F1191" i="6"/>
  <c r="E1191" i="6"/>
  <c r="D1191" i="6"/>
  <c r="C1191" i="6"/>
  <c r="B1191" i="6"/>
  <c r="A1191" i="6"/>
  <c r="F1190" i="6"/>
  <c r="E1190" i="6"/>
  <c r="D1190" i="6"/>
  <c r="C1190" i="6"/>
  <c r="B1190" i="6"/>
  <c r="A1190" i="6"/>
  <c r="F1189" i="6"/>
  <c r="E1189" i="6"/>
  <c r="D1189" i="6"/>
  <c r="C1189" i="6"/>
  <c r="B1189" i="6"/>
  <c r="A1189" i="6"/>
  <c r="F1188" i="6"/>
  <c r="E1188" i="6"/>
  <c r="D1188" i="6"/>
  <c r="C1188" i="6"/>
  <c r="B1188" i="6"/>
  <c r="A1188" i="6"/>
  <c r="F1187" i="6"/>
  <c r="E1187" i="6"/>
  <c r="D1187" i="6"/>
  <c r="C1187" i="6"/>
  <c r="B1187" i="6"/>
  <c r="A1187" i="6"/>
  <c r="F1186" i="6"/>
  <c r="E1186" i="6"/>
  <c r="D1186" i="6"/>
  <c r="C1186" i="6"/>
  <c r="B1186" i="6"/>
  <c r="A1186" i="6"/>
  <c r="F1185" i="6"/>
  <c r="E1185" i="6"/>
  <c r="D1185" i="6"/>
  <c r="C1185" i="6"/>
  <c r="B1185" i="6"/>
  <c r="A1185" i="6"/>
  <c r="F1184" i="6"/>
  <c r="E1184" i="6"/>
  <c r="D1184" i="6"/>
  <c r="C1184" i="6"/>
  <c r="B1184" i="6"/>
  <c r="A1184" i="6"/>
  <c r="F1183" i="6"/>
  <c r="E1183" i="6"/>
  <c r="D1183" i="6"/>
  <c r="C1183" i="6"/>
  <c r="B1183" i="6"/>
  <c r="A1183" i="6"/>
  <c r="F1182" i="6"/>
  <c r="E1182" i="6"/>
  <c r="D1182" i="6"/>
  <c r="C1182" i="6"/>
  <c r="B1182" i="6"/>
  <c r="A1182" i="6"/>
  <c r="F1181" i="6"/>
  <c r="E1181" i="6"/>
  <c r="D1181" i="6"/>
  <c r="C1181" i="6"/>
  <c r="B1181" i="6"/>
  <c r="A1181" i="6"/>
  <c r="F1180" i="6"/>
  <c r="E1180" i="6"/>
  <c r="D1180" i="6"/>
  <c r="C1180" i="6"/>
  <c r="B1180" i="6"/>
  <c r="A1180" i="6"/>
  <c r="F1179" i="6"/>
  <c r="E1179" i="6"/>
  <c r="D1179" i="6"/>
  <c r="C1179" i="6"/>
  <c r="B1179" i="6"/>
  <c r="A1179" i="6"/>
  <c r="F1178" i="6"/>
  <c r="E1178" i="6"/>
  <c r="D1178" i="6"/>
  <c r="C1178" i="6"/>
  <c r="B1178" i="6"/>
  <c r="A1178" i="6"/>
  <c r="F1177" i="6"/>
  <c r="E1177" i="6"/>
  <c r="D1177" i="6"/>
  <c r="C1177" i="6"/>
  <c r="B1177" i="6"/>
  <c r="A1177" i="6"/>
  <c r="F1176" i="6"/>
  <c r="E1176" i="6"/>
  <c r="D1176" i="6"/>
  <c r="C1176" i="6"/>
  <c r="B1176" i="6"/>
  <c r="A1176" i="6"/>
  <c r="F1175" i="6"/>
  <c r="E1175" i="6"/>
  <c r="D1175" i="6"/>
  <c r="C1175" i="6"/>
  <c r="B1175" i="6"/>
  <c r="A1175" i="6"/>
  <c r="F1174" i="6"/>
  <c r="E1174" i="6"/>
  <c r="D1174" i="6"/>
  <c r="C1174" i="6"/>
  <c r="B1174" i="6"/>
  <c r="A1174" i="6"/>
  <c r="F1173" i="6"/>
  <c r="E1173" i="6"/>
  <c r="D1173" i="6"/>
  <c r="C1173" i="6"/>
  <c r="B1173" i="6"/>
  <c r="A1173" i="6"/>
  <c r="F1172" i="6"/>
  <c r="E1172" i="6"/>
  <c r="D1172" i="6"/>
  <c r="C1172" i="6"/>
  <c r="B1172" i="6"/>
  <c r="A1172" i="6"/>
  <c r="F1171" i="6"/>
  <c r="E1171" i="6"/>
  <c r="D1171" i="6"/>
  <c r="C1171" i="6"/>
  <c r="B1171" i="6"/>
  <c r="A1171" i="6"/>
  <c r="F1170" i="6"/>
  <c r="E1170" i="6"/>
  <c r="D1170" i="6"/>
  <c r="C1170" i="6"/>
  <c r="B1170" i="6"/>
  <c r="A1170" i="6"/>
  <c r="F1169" i="6"/>
  <c r="E1169" i="6"/>
  <c r="D1169" i="6"/>
  <c r="C1169" i="6"/>
  <c r="B1169" i="6"/>
  <c r="A1169" i="6"/>
  <c r="F1168" i="6"/>
  <c r="E1168" i="6"/>
  <c r="D1168" i="6"/>
  <c r="C1168" i="6"/>
  <c r="B1168" i="6"/>
  <c r="A1168" i="6"/>
  <c r="F1167" i="6"/>
  <c r="E1167" i="6"/>
  <c r="D1167" i="6"/>
  <c r="C1167" i="6"/>
  <c r="B1167" i="6"/>
  <c r="A1167" i="6"/>
  <c r="F1166" i="6"/>
  <c r="E1166" i="6"/>
  <c r="D1166" i="6"/>
  <c r="C1166" i="6"/>
  <c r="B1166" i="6"/>
  <c r="A1166" i="6"/>
  <c r="F1165" i="6"/>
  <c r="E1165" i="6"/>
  <c r="D1165" i="6"/>
  <c r="C1165" i="6"/>
  <c r="B1165" i="6"/>
  <c r="A1165" i="6"/>
  <c r="F1164" i="6"/>
  <c r="E1164" i="6"/>
  <c r="D1164" i="6"/>
  <c r="C1164" i="6"/>
  <c r="B1164" i="6"/>
  <c r="A1164" i="6"/>
  <c r="F1163" i="6"/>
  <c r="E1163" i="6"/>
  <c r="D1163" i="6"/>
  <c r="C1163" i="6"/>
  <c r="B1163" i="6"/>
  <c r="A1163" i="6"/>
  <c r="F1162" i="6"/>
  <c r="E1162" i="6"/>
  <c r="D1162" i="6"/>
  <c r="C1162" i="6"/>
  <c r="B1162" i="6"/>
  <c r="A1162" i="6"/>
  <c r="F1161" i="6"/>
  <c r="E1161" i="6"/>
  <c r="D1161" i="6"/>
  <c r="C1161" i="6"/>
  <c r="B1161" i="6"/>
  <c r="A1161" i="6"/>
  <c r="F1160" i="6"/>
  <c r="E1160" i="6"/>
  <c r="D1160" i="6"/>
  <c r="C1160" i="6"/>
  <c r="B1160" i="6"/>
  <c r="A1160" i="6"/>
  <c r="F1159" i="6"/>
  <c r="E1159" i="6"/>
  <c r="D1159" i="6"/>
  <c r="C1159" i="6"/>
  <c r="B1159" i="6"/>
  <c r="A1159" i="6"/>
  <c r="F1158" i="6"/>
  <c r="E1158" i="6"/>
  <c r="D1158" i="6"/>
  <c r="C1158" i="6"/>
  <c r="B1158" i="6"/>
  <c r="A1158" i="6"/>
  <c r="F1157" i="6"/>
  <c r="E1157" i="6"/>
  <c r="D1157" i="6"/>
  <c r="C1157" i="6"/>
  <c r="B1157" i="6"/>
  <c r="A1157" i="6"/>
  <c r="F1156" i="6"/>
  <c r="E1156" i="6"/>
  <c r="D1156" i="6"/>
  <c r="C1156" i="6"/>
  <c r="B1156" i="6"/>
  <c r="A1156" i="6"/>
  <c r="F1155" i="6"/>
  <c r="E1155" i="6"/>
  <c r="D1155" i="6"/>
  <c r="C1155" i="6"/>
  <c r="B1155" i="6"/>
  <c r="A1155" i="6"/>
  <c r="F1154" i="6"/>
  <c r="E1154" i="6"/>
  <c r="D1154" i="6"/>
  <c r="C1154" i="6"/>
  <c r="B1154" i="6"/>
  <c r="A1154" i="6"/>
  <c r="F1153" i="6"/>
  <c r="E1153" i="6"/>
  <c r="D1153" i="6"/>
  <c r="C1153" i="6"/>
  <c r="B1153" i="6"/>
  <c r="A1153" i="6"/>
  <c r="F1152" i="6"/>
  <c r="E1152" i="6"/>
  <c r="D1152" i="6"/>
  <c r="C1152" i="6"/>
  <c r="B1152" i="6"/>
  <c r="A1152" i="6"/>
  <c r="F1151" i="6"/>
  <c r="E1151" i="6"/>
  <c r="D1151" i="6"/>
  <c r="C1151" i="6"/>
  <c r="B1151" i="6"/>
  <c r="A1151" i="6"/>
  <c r="F1150" i="6"/>
  <c r="E1150" i="6"/>
  <c r="D1150" i="6"/>
  <c r="C1150" i="6"/>
  <c r="B1150" i="6"/>
  <c r="A1150" i="6"/>
  <c r="F1149" i="6"/>
  <c r="E1149" i="6"/>
  <c r="D1149" i="6"/>
  <c r="C1149" i="6"/>
  <c r="B1149" i="6"/>
  <c r="A1149" i="6"/>
  <c r="F1148" i="6"/>
  <c r="E1148" i="6"/>
  <c r="D1148" i="6"/>
  <c r="C1148" i="6"/>
  <c r="B1148" i="6"/>
  <c r="A1148" i="6"/>
  <c r="F1147" i="6"/>
  <c r="E1147" i="6"/>
  <c r="D1147" i="6"/>
  <c r="C1147" i="6"/>
  <c r="B1147" i="6"/>
  <c r="A1147" i="6"/>
  <c r="F1146" i="6"/>
  <c r="E1146" i="6"/>
  <c r="D1146" i="6"/>
  <c r="C1146" i="6"/>
  <c r="B1146" i="6"/>
  <c r="A1146" i="6"/>
  <c r="F1145" i="6"/>
  <c r="E1145" i="6"/>
  <c r="D1145" i="6"/>
  <c r="C1145" i="6"/>
  <c r="B1145" i="6"/>
  <c r="A1145" i="6"/>
  <c r="F1144" i="6"/>
  <c r="E1144" i="6"/>
  <c r="D1144" i="6"/>
  <c r="C1144" i="6"/>
  <c r="B1144" i="6"/>
  <c r="A1144" i="6"/>
  <c r="F1143" i="6"/>
  <c r="E1143" i="6"/>
  <c r="D1143" i="6"/>
  <c r="C1143" i="6"/>
  <c r="B1143" i="6"/>
  <c r="A1143" i="6"/>
  <c r="F1142" i="6"/>
  <c r="E1142" i="6"/>
  <c r="D1142" i="6"/>
  <c r="C1142" i="6"/>
  <c r="B1142" i="6"/>
  <c r="A1142" i="6"/>
  <c r="F1141" i="6"/>
  <c r="E1141" i="6"/>
  <c r="D1141" i="6"/>
  <c r="C1141" i="6"/>
  <c r="B1141" i="6"/>
  <c r="A1141" i="6"/>
  <c r="F1140" i="6"/>
  <c r="E1140" i="6"/>
  <c r="D1140" i="6"/>
  <c r="C1140" i="6"/>
  <c r="B1140" i="6"/>
  <c r="A1140" i="6"/>
  <c r="F1139" i="6"/>
  <c r="E1139" i="6"/>
  <c r="D1139" i="6"/>
  <c r="C1139" i="6"/>
  <c r="B1139" i="6"/>
  <c r="A1139" i="6"/>
  <c r="F1138" i="6"/>
  <c r="E1138" i="6"/>
  <c r="D1138" i="6"/>
  <c r="C1138" i="6"/>
  <c r="B1138" i="6"/>
  <c r="A1138" i="6"/>
  <c r="F1137" i="6"/>
  <c r="E1137" i="6"/>
  <c r="D1137" i="6"/>
  <c r="C1137" i="6"/>
  <c r="B1137" i="6"/>
  <c r="A1137" i="6"/>
  <c r="F1136" i="6"/>
  <c r="E1136" i="6"/>
  <c r="D1136" i="6"/>
  <c r="C1136" i="6"/>
  <c r="B1136" i="6"/>
  <c r="A1136" i="6"/>
  <c r="F1135" i="6"/>
  <c r="E1135" i="6"/>
  <c r="D1135" i="6"/>
  <c r="C1135" i="6"/>
  <c r="B1135" i="6"/>
  <c r="A1135" i="6"/>
  <c r="F1134" i="6"/>
  <c r="E1134" i="6"/>
  <c r="D1134" i="6"/>
  <c r="C1134" i="6"/>
  <c r="B1134" i="6"/>
  <c r="A1134" i="6"/>
  <c r="F1133" i="6"/>
  <c r="E1133" i="6"/>
  <c r="D1133" i="6"/>
  <c r="C1133" i="6"/>
  <c r="B1133" i="6"/>
  <c r="A1133" i="6"/>
  <c r="F1132" i="6"/>
  <c r="E1132" i="6"/>
  <c r="D1132" i="6"/>
  <c r="C1132" i="6"/>
  <c r="B1132" i="6"/>
  <c r="A1132" i="6"/>
  <c r="F1131" i="6"/>
  <c r="E1131" i="6"/>
  <c r="D1131" i="6"/>
  <c r="C1131" i="6"/>
  <c r="B1131" i="6"/>
  <c r="A1131" i="6"/>
  <c r="F1130" i="6"/>
  <c r="E1130" i="6"/>
  <c r="D1130" i="6"/>
  <c r="C1130" i="6"/>
  <c r="B1130" i="6"/>
  <c r="A1130" i="6"/>
  <c r="F1129" i="6"/>
  <c r="E1129" i="6"/>
  <c r="D1129" i="6"/>
  <c r="C1129" i="6"/>
  <c r="B1129" i="6"/>
  <c r="A1129" i="6"/>
  <c r="F1128" i="6"/>
  <c r="E1128" i="6"/>
  <c r="D1128" i="6"/>
  <c r="C1128" i="6"/>
  <c r="B1128" i="6"/>
  <c r="A1128" i="6"/>
  <c r="F1127" i="6"/>
  <c r="E1127" i="6"/>
  <c r="D1127" i="6"/>
  <c r="C1127" i="6"/>
  <c r="B1127" i="6"/>
  <c r="A1127" i="6"/>
  <c r="F1126" i="6"/>
  <c r="E1126" i="6"/>
  <c r="D1126" i="6"/>
  <c r="C1126" i="6"/>
  <c r="B1126" i="6"/>
  <c r="A1126" i="6"/>
  <c r="F1125" i="6"/>
  <c r="E1125" i="6"/>
  <c r="D1125" i="6"/>
  <c r="C1125" i="6"/>
  <c r="B1125" i="6"/>
  <c r="A1125" i="6"/>
  <c r="F1124" i="6"/>
  <c r="E1124" i="6"/>
  <c r="D1124" i="6"/>
  <c r="C1124" i="6"/>
  <c r="B1124" i="6"/>
  <c r="A1124" i="6"/>
  <c r="F1123" i="6"/>
  <c r="E1123" i="6"/>
  <c r="D1123" i="6"/>
  <c r="C1123" i="6"/>
  <c r="B1123" i="6"/>
  <c r="A1123" i="6"/>
  <c r="F1122" i="6"/>
  <c r="E1122" i="6"/>
  <c r="D1122" i="6"/>
  <c r="C1122" i="6"/>
  <c r="B1122" i="6"/>
  <c r="A1122" i="6"/>
  <c r="F1121" i="6"/>
  <c r="E1121" i="6"/>
  <c r="D1121" i="6"/>
  <c r="C1121" i="6"/>
  <c r="B1121" i="6"/>
  <c r="A1121" i="6"/>
  <c r="F1120" i="6"/>
  <c r="E1120" i="6"/>
  <c r="D1120" i="6"/>
  <c r="C1120" i="6"/>
  <c r="B1120" i="6"/>
  <c r="A1120" i="6"/>
  <c r="F1119" i="6"/>
  <c r="E1119" i="6"/>
  <c r="D1119" i="6"/>
  <c r="C1119" i="6"/>
  <c r="B1119" i="6"/>
  <c r="A1119" i="6"/>
  <c r="F1118" i="6"/>
  <c r="E1118" i="6"/>
  <c r="D1118" i="6"/>
  <c r="C1118" i="6"/>
  <c r="B1118" i="6"/>
  <c r="A1118" i="6"/>
  <c r="F1117" i="6"/>
  <c r="E1117" i="6"/>
  <c r="D1117" i="6"/>
  <c r="C1117" i="6"/>
  <c r="B1117" i="6"/>
  <c r="A1117" i="6"/>
  <c r="F1116" i="6"/>
  <c r="E1116" i="6"/>
  <c r="D1116" i="6"/>
  <c r="C1116" i="6"/>
  <c r="B1116" i="6"/>
  <c r="A1116" i="6"/>
  <c r="F1115" i="6"/>
  <c r="E1115" i="6"/>
  <c r="D1115" i="6"/>
  <c r="C1115" i="6"/>
  <c r="B1115" i="6"/>
  <c r="A1115" i="6"/>
  <c r="F1114" i="6"/>
  <c r="E1114" i="6"/>
  <c r="D1114" i="6"/>
  <c r="C1114" i="6"/>
  <c r="B1114" i="6"/>
  <c r="A1114" i="6"/>
  <c r="F1113" i="6"/>
  <c r="E1113" i="6"/>
  <c r="D1113" i="6"/>
  <c r="C1113" i="6"/>
  <c r="B1113" i="6"/>
  <c r="A1113" i="6"/>
  <c r="F1112" i="6"/>
  <c r="E1112" i="6"/>
  <c r="D1112" i="6"/>
  <c r="C1112" i="6"/>
  <c r="B1112" i="6"/>
  <c r="A1112" i="6"/>
  <c r="F1111" i="6"/>
  <c r="E1111" i="6"/>
  <c r="D1111" i="6"/>
  <c r="C1111" i="6"/>
  <c r="B1111" i="6"/>
  <c r="A1111" i="6"/>
  <c r="F1110" i="6"/>
  <c r="E1110" i="6"/>
  <c r="D1110" i="6"/>
  <c r="C1110" i="6"/>
  <c r="B1110" i="6"/>
  <c r="A1110" i="6"/>
  <c r="F1109" i="6"/>
  <c r="E1109" i="6"/>
  <c r="D1109" i="6"/>
  <c r="C1109" i="6"/>
  <c r="B1109" i="6"/>
  <c r="A1109" i="6"/>
  <c r="F1108" i="6"/>
  <c r="E1108" i="6"/>
  <c r="D1108" i="6"/>
  <c r="C1108" i="6"/>
  <c r="B1108" i="6"/>
  <c r="A1108" i="6"/>
  <c r="F1107" i="6"/>
  <c r="E1107" i="6"/>
  <c r="D1107" i="6"/>
  <c r="C1107" i="6"/>
  <c r="B1107" i="6"/>
  <c r="A1107" i="6"/>
  <c r="F1106" i="6"/>
  <c r="E1106" i="6"/>
  <c r="D1106" i="6"/>
  <c r="C1106" i="6"/>
  <c r="B1106" i="6"/>
  <c r="A1106" i="6"/>
  <c r="F1105" i="6"/>
  <c r="E1105" i="6"/>
  <c r="D1105" i="6"/>
  <c r="C1105" i="6"/>
  <c r="B1105" i="6"/>
  <c r="A1105" i="6"/>
  <c r="F1104" i="6"/>
  <c r="E1104" i="6"/>
  <c r="D1104" i="6"/>
  <c r="C1104" i="6"/>
  <c r="B1104" i="6"/>
  <c r="A1104" i="6"/>
  <c r="F1103" i="6"/>
  <c r="E1103" i="6"/>
  <c r="D1103" i="6"/>
  <c r="C1103" i="6"/>
  <c r="B1103" i="6"/>
  <c r="A1103" i="6"/>
  <c r="F1102" i="6"/>
  <c r="E1102" i="6"/>
  <c r="D1102" i="6"/>
  <c r="C1102" i="6"/>
  <c r="B1102" i="6"/>
  <c r="A1102" i="6"/>
  <c r="F1101" i="6"/>
  <c r="E1101" i="6"/>
  <c r="D1101" i="6"/>
  <c r="C1101" i="6"/>
  <c r="B1101" i="6"/>
  <c r="A1101" i="6"/>
  <c r="F1100" i="6"/>
  <c r="E1100" i="6"/>
  <c r="D1100" i="6"/>
  <c r="C1100" i="6"/>
  <c r="B1100" i="6"/>
  <c r="A1100" i="6"/>
  <c r="F1099" i="6"/>
  <c r="E1099" i="6"/>
  <c r="D1099" i="6"/>
  <c r="C1099" i="6"/>
  <c r="B1099" i="6"/>
  <c r="A1099" i="6"/>
  <c r="F1098" i="6"/>
  <c r="E1098" i="6"/>
  <c r="D1098" i="6"/>
  <c r="C1098" i="6"/>
  <c r="B1098" i="6"/>
  <c r="A1098" i="6"/>
  <c r="F1097" i="6"/>
  <c r="E1097" i="6"/>
  <c r="D1097" i="6"/>
  <c r="C1097" i="6"/>
  <c r="B1097" i="6"/>
  <c r="A1097" i="6"/>
  <c r="F1096" i="6"/>
  <c r="E1096" i="6"/>
  <c r="D1096" i="6"/>
  <c r="C1096" i="6"/>
  <c r="B1096" i="6"/>
  <c r="A1096" i="6"/>
  <c r="F1095" i="6"/>
  <c r="E1095" i="6"/>
  <c r="D1095" i="6"/>
  <c r="C1095" i="6"/>
  <c r="B1095" i="6"/>
  <c r="A1095" i="6"/>
  <c r="F1094" i="6"/>
  <c r="E1094" i="6"/>
  <c r="D1094" i="6"/>
  <c r="C1094" i="6"/>
  <c r="B1094" i="6"/>
  <c r="A1094" i="6"/>
  <c r="F1093" i="6"/>
  <c r="E1093" i="6"/>
  <c r="D1093" i="6"/>
  <c r="C1093" i="6"/>
  <c r="B1093" i="6"/>
  <c r="A1093" i="6"/>
  <c r="F1092" i="6"/>
  <c r="E1092" i="6"/>
  <c r="D1092" i="6"/>
  <c r="C1092" i="6"/>
  <c r="B1092" i="6"/>
  <c r="A1092" i="6"/>
  <c r="F1091" i="6"/>
  <c r="E1091" i="6"/>
  <c r="D1091" i="6"/>
  <c r="C1091" i="6"/>
  <c r="B1091" i="6"/>
  <c r="A1091" i="6"/>
  <c r="F1090" i="6"/>
  <c r="E1090" i="6"/>
  <c r="D1090" i="6"/>
  <c r="C1090" i="6"/>
  <c r="B1090" i="6"/>
  <c r="A1090" i="6"/>
  <c r="F1089" i="6"/>
  <c r="E1089" i="6"/>
  <c r="D1089" i="6"/>
  <c r="C1089" i="6"/>
  <c r="B1089" i="6"/>
  <c r="A1089" i="6"/>
  <c r="F1088" i="6"/>
  <c r="E1088" i="6"/>
  <c r="D1088" i="6"/>
  <c r="C1088" i="6"/>
  <c r="B1088" i="6"/>
  <c r="A1088" i="6"/>
  <c r="F1087" i="6"/>
  <c r="E1087" i="6"/>
  <c r="D1087" i="6"/>
  <c r="C1087" i="6"/>
  <c r="B1087" i="6"/>
  <c r="A1087" i="6"/>
  <c r="F1086" i="6"/>
  <c r="E1086" i="6"/>
  <c r="D1086" i="6"/>
  <c r="C1086" i="6"/>
  <c r="B1086" i="6"/>
  <c r="A1086" i="6"/>
  <c r="F1085" i="6"/>
  <c r="E1085" i="6"/>
  <c r="D1085" i="6"/>
  <c r="C1085" i="6"/>
  <c r="B1085" i="6"/>
  <c r="A1085" i="6"/>
  <c r="F1084" i="6"/>
  <c r="E1084" i="6"/>
  <c r="D1084" i="6"/>
  <c r="C1084" i="6"/>
  <c r="B1084" i="6"/>
  <c r="A1084" i="6"/>
  <c r="F1083" i="6"/>
  <c r="E1083" i="6"/>
  <c r="D1083" i="6"/>
  <c r="C1083" i="6"/>
  <c r="B1083" i="6"/>
  <c r="A1083" i="6"/>
  <c r="F1082" i="6"/>
  <c r="E1082" i="6"/>
  <c r="D1082" i="6"/>
  <c r="C1082" i="6"/>
  <c r="B1082" i="6"/>
  <c r="A1082" i="6"/>
  <c r="F1081" i="6"/>
  <c r="E1081" i="6"/>
  <c r="D1081" i="6"/>
  <c r="C1081" i="6"/>
  <c r="B1081" i="6"/>
  <c r="A1081" i="6"/>
  <c r="F1080" i="6"/>
  <c r="E1080" i="6"/>
  <c r="D1080" i="6"/>
  <c r="C1080" i="6"/>
  <c r="B1080" i="6"/>
  <c r="A1080" i="6"/>
  <c r="F1079" i="6"/>
  <c r="E1079" i="6"/>
  <c r="D1079" i="6"/>
  <c r="C1079" i="6"/>
  <c r="B1079" i="6"/>
  <c r="A1079" i="6"/>
  <c r="F1078" i="6"/>
  <c r="E1078" i="6"/>
  <c r="D1078" i="6"/>
  <c r="C1078" i="6"/>
  <c r="B1078" i="6"/>
  <c r="A1078" i="6"/>
  <c r="F1077" i="6"/>
  <c r="E1077" i="6"/>
  <c r="D1077" i="6"/>
  <c r="C1077" i="6"/>
  <c r="B1077" i="6"/>
  <c r="A1077" i="6"/>
  <c r="F1076" i="6"/>
  <c r="E1076" i="6"/>
  <c r="D1076" i="6"/>
  <c r="C1076" i="6"/>
  <c r="B1076" i="6"/>
  <c r="A1076" i="6"/>
  <c r="F1075" i="6"/>
  <c r="E1075" i="6"/>
  <c r="D1075" i="6"/>
  <c r="C1075" i="6"/>
  <c r="B1075" i="6"/>
  <c r="A1075" i="6"/>
  <c r="F1074" i="6"/>
  <c r="E1074" i="6"/>
  <c r="D1074" i="6"/>
  <c r="C1074" i="6"/>
  <c r="B1074" i="6"/>
  <c r="A1074" i="6"/>
  <c r="F1073" i="6"/>
  <c r="E1073" i="6"/>
  <c r="D1073" i="6"/>
  <c r="C1073" i="6"/>
  <c r="B1073" i="6"/>
  <c r="A1073" i="6"/>
  <c r="F1072" i="6"/>
  <c r="E1072" i="6"/>
  <c r="D1072" i="6"/>
  <c r="C1072" i="6"/>
  <c r="B1072" i="6"/>
  <c r="A1072" i="6"/>
  <c r="F1071" i="6"/>
  <c r="E1071" i="6"/>
  <c r="D1071" i="6"/>
  <c r="C1071" i="6"/>
  <c r="B1071" i="6"/>
  <c r="A1071" i="6"/>
  <c r="F1070" i="6"/>
  <c r="E1070" i="6"/>
  <c r="D1070" i="6"/>
  <c r="C1070" i="6"/>
  <c r="B1070" i="6"/>
  <c r="A1070" i="6"/>
  <c r="F1069" i="6"/>
  <c r="E1069" i="6"/>
  <c r="D1069" i="6"/>
  <c r="C1069" i="6"/>
  <c r="B1069" i="6"/>
  <c r="A1069" i="6"/>
  <c r="F1068" i="6"/>
  <c r="E1068" i="6"/>
  <c r="D1068" i="6"/>
  <c r="C1068" i="6"/>
  <c r="B1068" i="6"/>
  <c r="A1068" i="6"/>
  <c r="F1067" i="6"/>
  <c r="E1067" i="6"/>
  <c r="D1067" i="6"/>
  <c r="C1067" i="6"/>
  <c r="B1067" i="6"/>
  <c r="A1067" i="6"/>
  <c r="F1066" i="6"/>
  <c r="E1066" i="6"/>
  <c r="D1066" i="6"/>
  <c r="C1066" i="6"/>
  <c r="B1066" i="6"/>
  <c r="A1066" i="6"/>
  <c r="F1065" i="6"/>
  <c r="E1065" i="6"/>
  <c r="D1065" i="6"/>
  <c r="C1065" i="6"/>
  <c r="B1065" i="6"/>
  <c r="A1065" i="6"/>
  <c r="F1064" i="6"/>
  <c r="E1064" i="6"/>
  <c r="D1064" i="6"/>
  <c r="C1064" i="6"/>
  <c r="B1064" i="6"/>
  <c r="A1064" i="6"/>
  <c r="F1063" i="6"/>
  <c r="E1063" i="6"/>
  <c r="D1063" i="6"/>
  <c r="C1063" i="6"/>
  <c r="B1063" i="6"/>
  <c r="A1063" i="6"/>
  <c r="F1062" i="6"/>
  <c r="E1062" i="6"/>
  <c r="D1062" i="6"/>
  <c r="C1062" i="6"/>
  <c r="B1062" i="6"/>
  <c r="A1062" i="6"/>
  <c r="F1061" i="6"/>
  <c r="E1061" i="6"/>
  <c r="D1061" i="6"/>
  <c r="C1061" i="6"/>
  <c r="B1061" i="6"/>
  <c r="A1061" i="6"/>
  <c r="F1060" i="6"/>
  <c r="E1060" i="6"/>
  <c r="D1060" i="6"/>
  <c r="C1060" i="6"/>
  <c r="B1060" i="6"/>
  <c r="A1060" i="6"/>
  <c r="F1059" i="6"/>
  <c r="E1059" i="6"/>
  <c r="D1059" i="6"/>
  <c r="C1059" i="6"/>
  <c r="B1059" i="6"/>
  <c r="A1059" i="6"/>
  <c r="F1058" i="6"/>
  <c r="E1058" i="6"/>
  <c r="D1058" i="6"/>
  <c r="C1058" i="6"/>
  <c r="B1058" i="6"/>
  <c r="A1058" i="6"/>
  <c r="F1057" i="6"/>
  <c r="E1057" i="6"/>
  <c r="D1057" i="6"/>
  <c r="C1057" i="6"/>
  <c r="B1057" i="6"/>
  <c r="A1057" i="6"/>
  <c r="F1056" i="6"/>
  <c r="E1056" i="6"/>
  <c r="D1056" i="6"/>
  <c r="C1056" i="6"/>
  <c r="B1056" i="6"/>
  <c r="A1056" i="6"/>
  <c r="F1055" i="6"/>
  <c r="E1055" i="6"/>
  <c r="D1055" i="6"/>
  <c r="C1055" i="6"/>
  <c r="B1055" i="6"/>
  <c r="A1055" i="6"/>
  <c r="F1054" i="6"/>
  <c r="E1054" i="6"/>
  <c r="D1054" i="6"/>
  <c r="C1054" i="6"/>
  <c r="B1054" i="6"/>
  <c r="A1054" i="6"/>
  <c r="F1053" i="6"/>
  <c r="E1053" i="6"/>
  <c r="D1053" i="6"/>
  <c r="C1053" i="6"/>
  <c r="B1053" i="6"/>
  <c r="A1053" i="6"/>
  <c r="F1052" i="6"/>
  <c r="E1052" i="6"/>
  <c r="D1052" i="6"/>
  <c r="C1052" i="6"/>
  <c r="B1052" i="6"/>
  <c r="A1052" i="6"/>
  <c r="F1051" i="6"/>
  <c r="E1051" i="6"/>
  <c r="D1051" i="6"/>
  <c r="C1051" i="6"/>
  <c r="B1051" i="6"/>
  <c r="A1051" i="6"/>
  <c r="F1050" i="6"/>
  <c r="E1050" i="6"/>
  <c r="D1050" i="6"/>
  <c r="C1050" i="6"/>
  <c r="B1050" i="6"/>
  <c r="A1050" i="6"/>
  <c r="F1049" i="6"/>
  <c r="E1049" i="6"/>
  <c r="D1049" i="6"/>
  <c r="C1049" i="6"/>
  <c r="B1049" i="6"/>
  <c r="A1049" i="6"/>
  <c r="F1048" i="6"/>
  <c r="E1048" i="6"/>
  <c r="D1048" i="6"/>
  <c r="C1048" i="6"/>
  <c r="B1048" i="6"/>
  <c r="A1048" i="6"/>
  <c r="F1047" i="6"/>
  <c r="E1047" i="6"/>
  <c r="D1047" i="6"/>
  <c r="C1047" i="6"/>
  <c r="B1047" i="6"/>
  <c r="A1047" i="6"/>
  <c r="F1046" i="6"/>
  <c r="E1046" i="6"/>
  <c r="D1046" i="6"/>
  <c r="C1046" i="6"/>
  <c r="B1046" i="6"/>
  <c r="A1046" i="6"/>
  <c r="F1045" i="6"/>
  <c r="E1045" i="6"/>
  <c r="D1045" i="6"/>
  <c r="C1045" i="6"/>
  <c r="B1045" i="6"/>
  <c r="A1045" i="6"/>
  <c r="F1044" i="6"/>
  <c r="E1044" i="6"/>
  <c r="D1044" i="6"/>
  <c r="C1044" i="6"/>
  <c r="B1044" i="6"/>
  <c r="A1044" i="6"/>
  <c r="F1043" i="6"/>
  <c r="E1043" i="6"/>
  <c r="D1043" i="6"/>
  <c r="C1043" i="6"/>
  <c r="B1043" i="6"/>
  <c r="A1043" i="6"/>
  <c r="F1042" i="6"/>
  <c r="E1042" i="6"/>
  <c r="D1042" i="6"/>
  <c r="C1042" i="6"/>
  <c r="B1042" i="6"/>
  <c r="A1042" i="6"/>
  <c r="F1041" i="6"/>
  <c r="E1041" i="6"/>
  <c r="D1041" i="6"/>
  <c r="C1041" i="6"/>
  <c r="B1041" i="6"/>
  <c r="A1041" i="6"/>
  <c r="F1040" i="6"/>
  <c r="E1040" i="6"/>
  <c r="D1040" i="6"/>
  <c r="C1040" i="6"/>
  <c r="B1040" i="6"/>
  <c r="A1040" i="6"/>
  <c r="F1039" i="6"/>
  <c r="E1039" i="6"/>
  <c r="D1039" i="6"/>
  <c r="C1039" i="6"/>
  <c r="B1039" i="6"/>
  <c r="A1039" i="6"/>
  <c r="F1038" i="6"/>
  <c r="E1038" i="6"/>
  <c r="D1038" i="6"/>
  <c r="C1038" i="6"/>
  <c r="B1038" i="6"/>
  <c r="A1038" i="6"/>
  <c r="F1037" i="6"/>
  <c r="E1037" i="6"/>
  <c r="D1037" i="6"/>
  <c r="C1037" i="6"/>
  <c r="B1037" i="6"/>
  <c r="A1037" i="6"/>
  <c r="F1036" i="6"/>
  <c r="E1036" i="6"/>
  <c r="D1036" i="6"/>
  <c r="C1036" i="6"/>
  <c r="B1036" i="6"/>
  <c r="A1036" i="6"/>
  <c r="F1035" i="6"/>
  <c r="E1035" i="6"/>
  <c r="D1035" i="6"/>
  <c r="C1035" i="6"/>
  <c r="B1035" i="6"/>
  <c r="A1035" i="6"/>
  <c r="F1034" i="6"/>
  <c r="E1034" i="6"/>
  <c r="D1034" i="6"/>
  <c r="C1034" i="6"/>
  <c r="B1034" i="6"/>
  <c r="A1034" i="6"/>
  <c r="F1033" i="6"/>
  <c r="E1033" i="6"/>
  <c r="D1033" i="6"/>
  <c r="C1033" i="6"/>
  <c r="B1033" i="6"/>
  <c r="A1033" i="6"/>
  <c r="F1032" i="6"/>
  <c r="E1032" i="6"/>
  <c r="D1032" i="6"/>
  <c r="C1032" i="6"/>
  <c r="B1032" i="6"/>
  <c r="A1032" i="6"/>
  <c r="F1031" i="6"/>
  <c r="E1031" i="6"/>
  <c r="D1031" i="6"/>
  <c r="C1031" i="6"/>
  <c r="B1031" i="6"/>
  <c r="A1031" i="6"/>
  <c r="F1030" i="6"/>
  <c r="E1030" i="6"/>
  <c r="D1030" i="6"/>
  <c r="C1030" i="6"/>
  <c r="B1030" i="6"/>
  <c r="A1030" i="6"/>
  <c r="F1029" i="6"/>
  <c r="E1029" i="6"/>
  <c r="D1029" i="6"/>
  <c r="C1029" i="6"/>
  <c r="B1029" i="6"/>
  <c r="A1029" i="6"/>
  <c r="F1028" i="6"/>
  <c r="E1028" i="6"/>
  <c r="D1028" i="6"/>
  <c r="C1028" i="6"/>
  <c r="B1028" i="6"/>
  <c r="A1028" i="6"/>
  <c r="F1027" i="6"/>
  <c r="E1027" i="6"/>
  <c r="D1027" i="6"/>
  <c r="C1027" i="6"/>
  <c r="B1027" i="6"/>
  <c r="A1027" i="6"/>
  <c r="F1026" i="6"/>
  <c r="E1026" i="6"/>
  <c r="D1026" i="6"/>
  <c r="C1026" i="6"/>
  <c r="B1026" i="6"/>
  <c r="A1026" i="6"/>
  <c r="F1025" i="6"/>
  <c r="E1025" i="6"/>
  <c r="D1025" i="6"/>
  <c r="C1025" i="6"/>
  <c r="B1025" i="6"/>
  <c r="A1025" i="6"/>
  <c r="F1024" i="6"/>
  <c r="E1024" i="6"/>
  <c r="D1024" i="6"/>
  <c r="C1024" i="6"/>
  <c r="B1024" i="6"/>
  <c r="A1024" i="6"/>
  <c r="F1023" i="6"/>
  <c r="E1023" i="6"/>
  <c r="D1023" i="6"/>
  <c r="C1023" i="6"/>
  <c r="B1023" i="6"/>
  <c r="A1023" i="6"/>
  <c r="F1022" i="6"/>
  <c r="E1022" i="6"/>
  <c r="D1022" i="6"/>
  <c r="C1022" i="6"/>
  <c r="B1022" i="6"/>
  <c r="A1022" i="6"/>
  <c r="F1021" i="6"/>
  <c r="E1021" i="6"/>
  <c r="D1021" i="6"/>
  <c r="C1021" i="6"/>
  <c r="B1021" i="6"/>
  <c r="A1021" i="6"/>
  <c r="F1020" i="6"/>
  <c r="E1020" i="6"/>
  <c r="D1020" i="6"/>
  <c r="C1020" i="6"/>
  <c r="B1020" i="6"/>
  <c r="A1020" i="6"/>
  <c r="F1019" i="6"/>
  <c r="E1019" i="6"/>
  <c r="D1019" i="6"/>
  <c r="C1019" i="6"/>
  <c r="B1019" i="6"/>
  <c r="A1019" i="6"/>
  <c r="F1018" i="6"/>
  <c r="E1018" i="6"/>
  <c r="D1018" i="6"/>
  <c r="C1018" i="6"/>
  <c r="B1018" i="6"/>
  <c r="A1018" i="6"/>
  <c r="F1017" i="6"/>
  <c r="E1017" i="6"/>
  <c r="D1017" i="6"/>
  <c r="C1017" i="6"/>
  <c r="B1017" i="6"/>
  <c r="A1017" i="6"/>
  <c r="F1016" i="6"/>
  <c r="E1016" i="6"/>
  <c r="D1016" i="6"/>
  <c r="C1016" i="6"/>
  <c r="B1016" i="6"/>
  <c r="A1016" i="6"/>
  <c r="F1015" i="6"/>
  <c r="E1015" i="6"/>
  <c r="D1015" i="6"/>
  <c r="C1015" i="6"/>
  <c r="B1015" i="6"/>
  <c r="A1015" i="6"/>
  <c r="F1014" i="6"/>
  <c r="E1014" i="6"/>
  <c r="D1014" i="6"/>
  <c r="C1014" i="6"/>
  <c r="B1014" i="6"/>
  <c r="A1014" i="6"/>
  <c r="F1013" i="6"/>
  <c r="E1013" i="6"/>
  <c r="D1013" i="6"/>
  <c r="C1013" i="6"/>
  <c r="B1013" i="6"/>
  <c r="A1013" i="6"/>
  <c r="F1012" i="6"/>
  <c r="E1012" i="6"/>
  <c r="D1012" i="6"/>
  <c r="C1012" i="6"/>
  <c r="B1012" i="6"/>
  <c r="A1012" i="6"/>
  <c r="F1011" i="6"/>
  <c r="E1011" i="6"/>
  <c r="D1011" i="6"/>
  <c r="C1011" i="6"/>
  <c r="B1011" i="6"/>
  <c r="A1011" i="6"/>
  <c r="F1010" i="6"/>
  <c r="E1010" i="6"/>
  <c r="D1010" i="6"/>
  <c r="C1010" i="6"/>
  <c r="B1010" i="6"/>
  <c r="A1010" i="6"/>
  <c r="F1009" i="6"/>
  <c r="E1009" i="6"/>
  <c r="D1009" i="6"/>
  <c r="C1009" i="6"/>
  <c r="B1009" i="6"/>
  <c r="A1009" i="6"/>
  <c r="F1008" i="6"/>
  <c r="E1008" i="6"/>
  <c r="D1008" i="6"/>
  <c r="C1008" i="6"/>
  <c r="B1008" i="6"/>
  <c r="A1008" i="6"/>
  <c r="F1007" i="6"/>
  <c r="E1007" i="6"/>
  <c r="D1007" i="6"/>
  <c r="C1007" i="6"/>
  <c r="B1007" i="6"/>
  <c r="A1007" i="6"/>
  <c r="F1006" i="6"/>
  <c r="E1006" i="6"/>
  <c r="D1006" i="6"/>
  <c r="C1006" i="6"/>
  <c r="B1006" i="6"/>
  <c r="A1006" i="6"/>
  <c r="F1005" i="6"/>
  <c r="E1005" i="6"/>
  <c r="D1005" i="6"/>
  <c r="C1005" i="6"/>
  <c r="B1005" i="6"/>
  <c r="A1005" i="6"/>
  <c r="F1004" i="6"/>
  <c r="E1004" i="6"/>
  <c r="D1004" i="6"/>
  <c r="C1004" i="6"/>
  <c r="B1004" i="6"/>
  <c r="A1004" i="6"/>
  <c r="F1003" i="6"/>
  <c r="E1003" i="6"/>
  <c r="D1003" i="6"/>
  <c r="C1003" i="6"/>
  <c r="B1003" i="6"/>
  <c r="A1003" i="6"/>
  <c r="F1002" i="6"/>
  <c r="E1002" i="6"/>
  <c r="D1002" i="6"/>
  <c r="C1002" i="6"/>
  <c r="B1002" i="6"/>
  <c r="A1002" i="6"/>
  <c r="F1001" i="6"/>
  <c r="E1001" i="6"/>
  <c r="D1001" i="6"/>
  <c r="C1001" i="6"/>
  <c r="B1001" i="6"/>
  <c r="A1001" i="6"/>
  <c r="F1000" i="6"/>
  <c r="E1000" i="6"/>
  <c r="D1000" i="6"/>
  <c r="C1000" i="6"/>
  <c r="B1000" i="6"/>
  <c r="A1000" i="6"/>
  <c r="F999" i="6"/>
  <c r="E999" i="6"/>
  <c r="D999" i="6"/>
  <c r="C999" i="6"/>
  <c r="B999" i="6"/>
  <c r="A999" i="6"/>
  <c r="F998" i="6"/>
  <c r="E998" i="6"/>
  <c r="D998" i="6"/>
  <c r="C998" i="6"/>
  <c r="B998" i="6"/>
  <c r="A998" i="6"/>
  <c r="F997" i="6"/>
  <c r="E997" i="6"/>
  <c r="D997" i="6"/>
  <c r="C997" i="6"/>
  <c r="B997" i="6"/>
  <c r="A997" i="6"/>
  <c r="F996" i="6"/>
  <c r="E996" i="6"/>
  <c r="D996" i="6"/>
  <c r="C996" i="6"/>
  <c r="B996" i="6"/>
  <c r="A996" i="6"/>
  <c r="F995" i="6"/>
  <c r="E995" i="6"/>
  <c r="D995" i="6"/>
  <c r="C995" i="6"/>
  <c r="B995" i="6"/>
  <c r="A995" i="6"/>
  <c r="F994" i="6"/>
  <c r="E994" i="6"/>
  <c r="D994" i="6"/>
  <c r="C994" i="6"/>
  <c r="B994" i="6"/>
  <c r="A994" i="6"/>
  <c r="F993" i="6"/>
  <c r="E993" i="6"/>
  <c r="D993" i="6"/>
  <c r="C993" i="6"/>
  <c r="B993" i="6"/>
  <c r="A993" i="6"/>
  <c r="F992" i="6"/>
  <c r="E992" i="6"/>
  <c r="D992" i="6"/>
  <c r="C992" i="6"/>
  <c r="B992" i="6"/>
  <c r="A992" i="6"/>
  <c r="F991" i="6"/>
  <c r="E991" i="6"/>
  <c r="D991" i="6"/>
  <c r="C991" i="6"/>
  <c r="B991" i="6"/>
  <c r="A991" i="6"/>
  <c r="F990" i="6"/>
  <c r="E990" i="6"/>
  <c r="D990" i="6"/>
  <c r="C990" i="6"/>
  <c r="B990" i="6"/>
  <c r="A990" i="6"/>
  <c r="F989" i="6"/>
  <c r="E989" i="6"/>
  <c r="D989" i="6"/>
  <c r="C989" i="6"/>
  <c r="B989" i="6"/>
  <c r="A989" i="6"/>
  <c r="F988" i="6"/>
  <c r="E988" i="6"/>
  <c r="D988" i="6"/>
  <c r="C988" i="6"/>
  <c r="B988" i="6"/>
  <c r="A988" i="6"/>
  <c r="F987" i="6"/>
  <c r="E987" i="6"/>
  <c r="D987" i="6"/>
  <c r="C987" i="6"/>
  <c r="B987" i="6"/>
  <c r="A987" i="6"/>
  <c r="F986" i="6"/>
  <c r="E986" i="6"/>
  <c r="D986" i="6"/>
  <c r="C986" i="6"/>
  <c r="B986" i="6"/>
  <c r="A986" i="6"/>
  <c r="F985" i="6"/>
  <c r="E985" i="6"/>
  <c r="D985" i="6"/>
  <c r="C985" i="6"/>
  <c r="B985" i="6"/>
  <c r="A985" i="6"/>
  <c r="F984" i="6"/>
  <c r="E984" i="6"/>
  <c r="D984" i="6"/>
  <c r="C984" i="6"/>
  <c r="B984" i="6"/>
  <c r="A984" i="6"/>
  <c r="F983" i="6"/>
  <c r="E983" i="6"/>
  <c r="D983" i="6"/>
  <c r="C983" i="6"/>
  <c r="B983" i="6"/>
  <c r="A983" i="6"/>
  <c r="F982" i="6"/>
  <c r="E982" i="6"/>
  <c r="D982" i="6"/>
  <c r="C982" i="6"/>
  <c r="B982" i="6"/>
  <c r="A982" i="6"/>
  <c r="F981" i="6"/>
  <c r="E981" i="6"/>
  <c r="D981" i="6"/>
  <c r="C981" i="6"/>
  <c r="B981" i="6"/>
  <c r="A981" i="6"/>
  <c r="F980" i="6"/>
  <c r="E980" i="6"/>
  <c r="D980" i="6"/>
  <c r="C980" i="6"/>
  <c r="B980" i="6"/>
  <c r="A980" i="6"/>
  <c r="F979" i="6"/>
  <c r="E979" i="6"/>
  <c r="D979" i="6"/>
  <c r="C979" i="6"/>
  <c r="B979" i="6"/>
  <c r="A979" i="6"/>
  <c r="F978" i="6"/>
  <c r="E978" i="6"/>
  <c r="D978" i="6"/>
  <c r="C978" i="6"/>
  <c r="B978" i="6"/>
  <c r="A978" i="6"/>
  <c r="F977" i="6"/>
  <c r="E977" i="6"/>
  <c r="D977" i="6"/>
  <c r="C977" i="6"/>
  <c r="B977" i="6"/>
  <c r="A977" i="6"/>
  <c r="F976" i="6"/>
  <c r="E976" i="6"/>
  <c r="D976" i="6"/>
  <c r="C976" i="6"/>
  <c r="B976" i="6"/>
  <c r="A976" i="6"/>
  <c r="F975" i="6"/>
  <c r="E975" i="6"/>
  <c r="D975" i="6"/>
  <c r="C975" i="6"/>
  <c r="B975" i="6"/>
  <c r="A975" i="6"/>
  <c r="F974" i="6"/>
  <c r="E974" i="6"/>
  <c r="D974" i="6"/>
  <c r="C974" i="6"/>
  <c r="B974" i="6"/>
  <c r="A974" i="6"/>
  <c r="F973" i="6"/>
  <c r="E973" i="6"/>
  <c r="D973" i="6"/>
  <c r="C973" i="6"/>
  <c r="B973" i="6"/>
  <c r="A973" i="6"/>
  <c r="F972" i="6"/>
  <c r="E972" i="6"/>
  <c r="D972" i="6"/>
  <c r="C972" i="6"/>
  <c r="B972" i="6"/>
  <c r="A972" i="6"/>
  <c r="F971" i="6"/>
  <c r="E971" i="6"/>
  <c r="D971" i="6"/>
  <c r="C971" i="6"/>
  <c r="B971" i="6"/>
  <c r="A971" i="6"/>
  <c r="F970" i="6"/>
  <c r="E970" i="6"/>
  <c r="D970" i="6"/>
  <c r="C970" i="6"/>
  <c r="B970" i="6"/>
  <c r="A970" i="6"/>
  <c r="F969" i="6"/>
  <c r="E969" i="6"/>
  <c r="D969" i="6"/>
  <c r="C969" i="6"/>
  <c r="B969" i="6"/>
  <c r="A969" i="6"/>
  <c r="F968" i="6"/>
  <c r="E968" i="6"/>
  <c r="D968" i="6"/>
  <c r="C968" i="6"/>
  <c r="B968" i="6"/>
  <c r="A968" i="6"/>
  <c r="F967" i="6"/>
  <c r="E967" i="6"/>
  <c r="D967" i="6"/>
  <c r="C967" i="6"/>
  <c r="B967" i="6"/>
  <c r="A967" i="6"/>
  <c r="F966" i="6"/>
  <c r="E966" i="6"/>
  <c r="D966" i="6"/>
  <c r="C966" i="6"/>
  <c r="B966" i="6"/>
  <c r="A966" i="6"/>
  <c r="F965" i="6"/>
  <c r="E965" i="6"/>
  <c r="D965" i="6"/>
  <c r="C965" i="6"/>
  <c r="B965" i="6"/>
  <c r="A965" i="6"/>
  <c r="F964" i="6"/>
  <c r="E964" i="6"/>
  <c r="D964" i="6"/>
  <c r="C964" i="6"/>
  <c r="B964" i="6"/>
  <c r="A964" i="6"/>
  <c r="F963" i="6"/>
  <c r="E963" i="6"/>
  <c r="D963" i="6"/>
  <c r="C963" i="6"/>
  <c r="B963" i="6"/>
  <c r="A963" i="6"/>
  <c r="F962" i="6"/>
  <c r="E962" i="6"/>
  <c r="D962" i="6"/>
  <c r="C962" i="6"/>
  <c r="B962" i="6"/>
  <c r="A962" i="6"/>
  <c r="F961" i="6"/>
  <c r="E961" i="6"/>
  <c r="D961" i="6"/>
  <c r="C961" i="6"/>
  <c r="B961" i="6"/>
  <c r="A961" i="6"/>
  <c r="F960" i="6"/>
  <c r="E960" i="6"/>
  <c r="D960" i="6"/>
  <c r="C960" i="6"/>
  <c r="B960" i="6"/>
  <c r="A960" i="6"/>
  <c r="F959" i="6"/>
  <c r="E959" i="6"/>
  <c r="D959" i="6"/>
  <c r="C959" i="6"/>
  <c r="B959" i="6"/>
  <c r="A959" i="6"/>
  <c r="F958" i="6"/>
  <c r="E958" i="6"/>
  <c r="D958" i="6"/>
  <c r="C958" i="6"/>
  <c r="B958" i="6"/>
  <c r="A958" i="6"/>
  <c r="F957" i="6"/>
  <c r="E957" i="6"/>
  <c r="D957" i="6"/>
  <c r="C957" i="6"/>
  <c r="B957" i="6"/>
  <c r="A957" i="6"/>
  <c r="F956" i="6"/>
  <c r="E956" i="6"/>
  <c r="D956" i="6"/>
  <c r="C956" i="6"/>
  <c r="B956" i="6"/>
  <c r="A956" i="6"/>
  <c r="F955" i="6"/>
  <c r="E955" i="6"/>
  <c r="D955" i="6"/>
  <c r="C955" i="6"/>
  <c r="B955" i="6"/>
  <c r="A955" i="6"/>
  <c r="F954" i="6"/>
  <c r="E954" i="6"/>
  <c r="D954" i="6"/>
  <c r="C954" i="6"/>
  <c r="B954" i="6"/>
  <c r="A954" i="6"/>
  <c r="F953" i="6"/>
  <c r="E953" i="6"/>
  <c r="D953" i="6"/>
  <c r="C953" i="6"/>
  <c r="B953" i="6"/>
  <c r="A953" i="6"/>
  <c r="F952" i="6"/>
  <c r="E952" i="6"/>
  <c r="D952" i="6"/>
  <c r="C952" i="6"/>
  <c r="B952" i="6"/>
  <c r="A952" i="6"/>
  <c r="F951" i="6"/>
  <c r="E951" i="6"/>
  <c r="D951" i="6"/>
  <c r="C951" i="6"/>
  <c r="B951" i="6"/>
  <c r="A951" i="6"/>
  <c r="F950" i="6"/>
  <c r="E950" i="6"/>
  <c r="D950" i="6"/>
  <c r="C950" i="6"/>
  <c r="B950" i="6"/>
  <c r="A950" i="6"/>
  <c r="F949" i="6"/>
  <c r="E949" i="6"/>
  <c r="D949" i="6"/>
  <c r="C949" i="6"/>
  <c r="B949" i="6"/>
  <c r="A949" i="6"/>
  <c r="F948" i="6"/>
  <c r="E948" i="6"/>
  <c r="D948" i="6"/>
  <c r="C948" i="6"/>
  <c r="B948" i="6"/>
  <c r="A948" i="6"/>
  <c r="F947" i="6"/>
  <c r="E947" i="6"/>
  <c r="D947" i="6"/>
  <c r="C947" i="6"/>
  <c r="B947" i="6"/>
  <c r="A947" i="6"/>
  <c r="F946" i="6"/>
  <c r="E946" i="6"/>
  <c r="D946" i="6"/>
  <c r="C946" i="6"/>
  <c r="B946" i="6"/>
  <c r="A946" i="6"/>
  <c r="F945" i="6"/>
  <c r="E945" i="6"/>
  <c r="D945" i="6"/>
  <c r="C945" i="6"/>
  <c r="B945" i="6"/>
  <c r="A945" i="6"/>
  <c r="F944" i="6"/>
  <c r="E944" i="6"/>
  <c r="D944" i="6"/>
  <c r="C944" i="6"/>
  <c r="B944" i="6"/>
  <c r="A944" i="6"/>
  <c r="F943" i="6"/>
  <c r="E943" i="6"/>
  <c r="D943" i="6"/>
  <c r="C943" i="6"/>
  <c r="B943" i="6"/>
  <c r="A943" i="6"/>
  <c r="F942" i="6"/>
  <c r="E942" i="6"/>
  <c r="D942" i="6"/>
  <c r="C942" i="6"/>
  <c r="B942" i="6"/>
  <c r="A942" i="6"/>
  <c r="F941" i="6"/>
  <c r="E941" i="6"/>
  <c r="D941" i="6"/>
  <c r="C941" i="6"/>
  <c r="B941" i="6"/>
  <c r="A941" i="6"/>
  <c r="F940" i="6"/>
  <c r="E940" i="6"/>
  <c r="D940" i="6"/>
  <c r="C940" i="6"/>
  <c r="B940" i="6"/>
  <c r="A940" i="6"/>
  <c r="F939" i="6"/>
  <c r="E939" i="6"/>
  <c r="D939" i="6"/>
  <c r="C939" i="6"/>
  <c r="B939" i="6"/>
  <c r="A939" i="6"/>
  <c r="F938" i="6"/>
  <c r="E938" i="6"/>
  <c r="D938" i="6"/>
  <c r="C938" i="6"/>
  <c r="B938" i="6"/>
  <c r="A938" i="6"/>
  <c r="F937" i="6"/>
  <c r="E937" i="6"/>
  <c r="D937" i="6"/>
  <c r="C937" i="6"/>
  <c r="B937" i="6"/>
  <c r="A937" i="6"/>
  <c r="F936" i="6"/>
  <c r="E936" i="6"/>
  <c r="D936" i="6"/>
  <c r="C936" i="6"/>
  <c r="B936" i="6"/>
  <c r="A936" i="6"/>
  <c r="F935" i="6"/>
  <c r="E935" i="6"/>
  <c r="D935" i="6"/>
  <c r="C935" i="6"/>
  <c r="B935" i="6"/>
  <c r="A935" i="6"/>
  <c r="F934" i="6"/>
  <c r="E934" i="6"/>
  <c r="D934" i="6"/>
  <c r="C934" i="6"/>
  <c r="B934" i="6"/>
  <c r="A934" i="6"/>
  <c r="F933" i="6"/>
  <c r="E933" i="6"/>
  <c r="D933" i="6"/>
  <c r="C933" i="6"/>
  <c r="B933" i="6"/>
  <c r="A933" i="6"/>
  <c r="F932" i="6"/>
  <c r="E932" i="6"/>
  <c r="D932" i="6"/>
  <c r="C932" i="6"/>
  <c r="B932" i="6"/>
  <c r="A932" i="6"/>
  <c r="F931" i="6"/>
  <c r="E931" i="6"/>
  <c r="D931" i="6"/>
  <c r="C931" i="6"/>
  <c r="B931" i="6"/>
  <c r="A931" i="6"/>
  <c r="F930" i="6"/>
  <c r="E930" i="6"/>
  <c r="D930" i="6"/>
  <c r="C930" i="6"/>
  <c r="B930" i="6"/>
  <c r="A930" i="6"/>
  <c r="F929" i="6"/>
  <c r="E929" i="6"/>
  <c r="D929" i="6"/>
  <c r="C929" i="6"/>
  <c r="B929" i="6"/>
  <c r="A929" i="6"/>
  <c r="F928" i="6"/>
  <c r="E928" i="6"/>
  <c r="D928" i="6"/>
  <c r="C928" i="6"/>
  <c r="B928" i="6"/>
  <c r="A928" i="6"/>
  <c r="F927" i="6"/>
  <c r="E927" i="6"/>
  <c r="D927" i="6"/>
  <c r="C927" i="6"/>
  <c r="B927" i="6"/>
  <c r="A927" i="6"/>
  <c r="F926" i="6"/>
  <c r="E926" i="6"/>
  <c r="D926" i="6"/>
  <c r="C926" i="6"/>
  <c r="B926" i="6"/>
  <c r="A926" i="6"/>
  <c r="F925" i="6"/>
  <c r="E925" i="6"/>
  <c r="D925" i="6"/>
  <c r="C925" i="6"/>
  <c r="B925" i="6"/>
  <c r="A925" i="6"/>
  <c r="F924" i="6"/>
  <c r="E924" i="6"/>
  <c r="D924" i="6"/>
  <c r="C924" i="6"/>
  <c r="B924" i="6"/>
  <c r="A924" i="6"/>
  <c r="F923" i="6"/>
  <c r="E923" i="6"/>
  <c r="D923" i="6"/>
  <c r="C923" i="6"/>
  <c r="B923" i="6"/>
  <c r="A923" i="6"/>
  <c r="F922" i="6"/>
  <c r="E922" i="6"/>
  <c r="D922" i="6"/>
  <c r="C922" i="6"/>
  <c r="B922" i="6"/>
  <c r="A922" i="6"/>
  <c r="F921" i="6"/>
  <c r="E921" i="6"/>
  <c r="D921" i="6"/>
  <c r="C921" i="6"/>
  <c r="B921" i="6"/>
  <c r="A921" i="6"/>
  <c r="F920" i="6"/>
  <c r="E920" i="6"/>
  <c r="D920" i="6"/>
  <c r="C920" i="6"/>
  <c r="B920" i="6"/>
  <c r="A920" i="6"/>
  <c r="F919" i="6"/>
  <c r="E919" i="6"/>
  <c r="D919" i="6"/>
  <c r="C919" i="6"/>
  <c r="B919" i="6"/>
  <c r="A919" i="6"/>
  <c r="F918" i="6"/>
  <c r="E918" i="6"/>
  <c r="D918" i="6"/>
  <c r="C918" i="6"/>
  <c r="B918" i="6"/>
  <c r="A918" i="6"/>
  <c r="F917" i="6"/>
  <c r="E917" i="6"/>
  <c r="D917" i="6"/>
  <c r="C917" i="6"/>
  <c r="B917" i="6"/>
  <c r="A917" i="6"/>
  <c r="F916" i="6"/>
  <c r="E916" i="6"/>
  <c r="D916" i="6"/>
  <c r="C916" i="6"/>
  <c r="B916" i="6"/>
  <c r="A916" i="6"/>
  <c r="F915" i="6"/>
  <c r="E915" i="6"/>
  <c r="D915" i="6"/>
  <c r="C915" i="6"/>
  <c r="B915" i="6"/>
  <c r="A915" i="6"/>
  <c r="F914" i="6"/>
  <c r="E914" i="6"/>
  <c r="D914" i="6"/>
  <c r="C914" i="6"/>
  <c r="B914" i="6"/>
  <c r="A914" i="6"/>
  <c r="F913" i="6"/>
  <c r="E913" i="6"/>
  <c r="D913" i="6"/>
  <c r="C913" i="6"/>
  <c r="B913" i="6"/>
  <c r="A913" i="6"/>
  <c r="F912" i="6"/>
  <c r="E912" i="6"/>
  <c r="D912" i="6"/>
  <c r="C912" i="6"/>
  <c r="B912" i="6"/>
  <c r="A912" i="6"/>
  <c r="F911" i="6"/>
  <c r="E911" i="6"/>
  <c r="D911" i="6"/>
  <c r="C911" i="6"/>
  <c r="B911" i="6"/>
  <c r="A911" i="6"/>
  <c r="F910" i="6"/>
  <c r="E910" i="6"/>
  <c r="D910" i="6"/>
  <c r="C910" i="6"/>
  <c r="B910" i="6"/>
  <c r="A910" i="6"/>
  <c r="F909" i="6"/>
  <c r="E909" i="6"/>
  <c r="D909" i="6"/>
  <c r="C909" i="6"/>
  <c r="B909" i="6"/>
  <c r="A909" i="6"/>
  <c r="F908" i="6"/>
  <c r="E908" i="6"/>
  <c r="D908" i="6"/>
  <c r="C908" i="6"/>
  <c r="B908" i="6"/>
  <c r="A908" i="6"/>
  <c r="F907" i="6"/>
  <c r="E907" i="6"/>
  <c r="D907" i="6"/>
  <c r="C907" i="6"/>
  <c r="B907" i="6"/>
  <c r="A907" i="6"/>
  <c r="F906" i="6"/>
  <c r="E906" i="6"/>
  <c r="D906" i="6"/>
  <c r="C906" i="6"/>
  <c r="B906" i="6"/>
  <c r="A906" i="6"/>
  <c r="F905" i="6"/>
  <c r="E905" i="6"/>
  <c r="D905" i="6"/>
  <c r="C905" i="6"/>
  <c r="B905" i="6"/>
  <c r="A905" i="6"/>
  <c r="F904" i="6"/>
  <c r="E904" i="6"/>
  <c r="D904" i="6"/>
  <c r="C904" i="6"/>
  <c r="B904" i="6"/>
  <c r="A904" i="6"/>
  <c r="F903" i="6"/>
  <c r="E903" i="6"/>
  <c r="D903" i="6"/>
  <c r="C903" i="6"/>
  <c r="B903" i="6"/>
  <c r="A903" i="6"/>
  <c r="F902" i="6"/>
  <c r="E902" i="6"/>
  <c r="D902" i="6"/>
  <c r="C902" i="6"/>
  <c r="B902" i="6"/>
  <c r="A902" i="6"/>
  <c r="F901" i="6"/>
  <c r="E901" i="6"/>
  <c r="D901" i="6"/>
  <c r="C901" i="6"/>
  <c r="B901" i="6"/>
  <c r="A901" i="6"/>
  <c r="F900" i="6"/>
  <c r="E900" i="6"/>
  <c r="D900" i="6"/>
  <c r="C900" i="6"/>
  <c r="B900" i="6"/>
  <c r="A900" i="6"/>
  <c r="F899" i="6"/>
  <c r="E899" i="6"/>
  <c r="D899" i="6"/>
  <c r="C899" i="6"/>
  <c r="B899" i="6"/>
  <c r="A899" i="6"/>
  <c r="F898" i="6"/>
  <c r="E898" i="6"/>
  <c r="D898" i="6"/>
  <c r="C898" i="6"/>
  <c r="B898" i="6"/>
  <c r="A898" i="6"/>
  <c r="F897" i="6"/>
  <c r="E897" i="6"/>
  <c r="D897" i="6"/>
  <c r="C897" i="6"/>
  <c r="B897" i="6"/>
  <c r="A897" i="6"/>
  <c r="F896" i="6"/>
  <c r="E896" i="6"/>
  <c r="D896" i="6"/>
  <c r="C896" i="6"/>
  <c r="B896" i="6"/>
  <c r="A896" i="6"/>
  <c r="F895" i="6"/>
  <c r="E895" i="6"/>
  <c r="D895" i="6"/>
  <c r="C895" i="6"/>
  <c r="B895" i="6"/>
  <c r="A895" i="6"/>
  <c r="F894" i="6"/>
  <c r="E894" i="6"/>
  <c r="D894" i="6"/>
  <c r="C894" i="6"/>
  <c r="B894" i="6"/>
  <c r="A894" i="6"/>
  <c r="F893" i="6"/>
  <c r="E893" i="6"/>
  <c r="D893" i="6"/>
  <c r="C893" i="6"/>
  <c r="B893" i="6"/>
  <c r="A893" i="6"/>
  <c r="F892" i="6"/>
  <c r="E892" i="6"/>
  <c r="D892" i="6"/>
  <c r="C892" i="6"/>
  <c r="B892" i="6"/>
  <c r="A892" i="6"/>
  <c r="F891" i="6"/>
  <c r="E891" i="6"/>
  <c r="D891" i="6"/>
  <c r="C891" i="6"/>
  <c r="B891" i="6"/>
  <c r="A891" i="6"/>
  <c r="F890" i="6"/>
  <c r="E890" i="6"/>
  <c r="D890" i="6"/>
  <c r="C890" i="6"/>
  <c r="B890" i="6"/>
  <c r="A890" i="6"/>
  <c r="F889" i="6"/>
  <c r="E889" i="6"/>
  <c r="D889" i="6"/>
  <c r="C889" i="6"/>
  <c r="B889" i="6"/>
  <c r="A889" i="6"/>
  <c r="F888" i="6"/>
  <c r="E888" i="6"/>
  <c r="D888" i="6"/>
  <c r="C888" i="6"/>
  <c r="B888" i="6"/>
  <c r="A888" i="6"/>
  <c r="F887" i="6"/>
  <c r="E887" i="6"/>
  <c r="D887" i="6"/>
  <c r="C887" i="6"/>
  <c r="B887" i="6"/>
  <c r="A887" i="6"/>
  <c r="F886" i="6"/>
  <c r="E886" i="6"/>
  <c r="D886" i="6"/>
  <c r="C886" i="6"/>
  <c r="B886" i="6"/>
  <c r="A886" i="6"/>
  <c r="F885" i="6"/>
  <c r="E885" i="6"/>
  <c r="D885" i="6"/>
  <c r="C885" i="6"/>
  <c r="B885" i="6"/>
  <c r="A885" i="6"/>
  <c r="F884" i="6"/>
  <c r="E884" i="6"/>
  <c r="D884" i="6"/>
  <c r="C884" i="6"/>
  <c r="B884" i="6"/>
  <c r="A884" i="6"/>
  <c r="F883" i="6"/>
  <c r="E883" i="6"/>
  <c r="D883" i="6"/>
  <c r="C883" i="6"/>
  <c r="B883" i="6"/>
  <c r="A883" i="6"/>
  <c r="F882" i="6"/>
  <c r="E882" i="6"/>
  <c r="D882" i="6"/>
  <c r="C882" i="6"/>
  <c r="B882" i="6"/>
  <c r="A882" i="6"/>
  <c r="F881" i="6"/>
  <c r="E881" i="6"/>
  <c r="D881" i="6"/>
  <c r="C881" i="6"/>
  <c r="B881" i="6"/>
  <c r="A881" i="6"/>
  <c r="F880" i="6"/>
  <c r="E880" i="6"/>
  <c r="D880" i="6"/>
  <c r="C880" i="6"/>
  <c r="B880" i="6"/>
  <c r="A880" i="6"/>
  <c r="F879" i="6"/>
  <c r="E879" i="6"/>
  <c r="D879" i="6"/>
  <c r="C879" i="6"/>
  <c r="B879" i="6"/>
  <c r="A879" i="6"/>
  <c r="F878" i="6"/>
  <c r="E878" i="6"/>
  <c r="D878" i="6"/>
  <c r="C878" i="6"/>
  <c r="B878" i="6"/>
  <c r="A878" i="6"/>
  <c r="F877" i="6"/>
  <c r="E877" i="6"/>
  <c r="D877" i="6"/>
  <c r="C877" i="6"/>
  <c r="B877" i="6"/>
  <c r="A877" i="6"/>
  <c r="F876" i="6"/>
  <c r="E876" i="6"/>
  <c r="D876" i="6"/>
  <c r="C876" i="6"/>
  <c r="B876" i="6"/>
  <c r="A876" i="6"/>
  <c r="F875" i="6"/>
  <c r="E875" i="6"/>
  <c r="D875" i="6"/>
  <c r="C875" i="6"/>
  <c r="B875" i="6"/>
  <c r="A875" i="6"/>
  <c r="F874" i="6"/>
  <c r="E874" i="6"/>
  <c r="D874" i="6"/>
  <c r="C874" i="6"/>
  <c r="B874" i="6"/>
  <c r="A874" i="6"/>
  <c r="F873" i="6"/>
  <c r="E873" i="6"/>
  <c r="D873" i="6"/>
  <c r="C873" i="6"/>
  <c r="B873" i="6"/>
  <c r="A873" i="6"/>
  <c r="F872" i="6"/>
  <c r="E872" i="6"/>
  <c r="D872" i="6"/>
  <c r="C872" i="6"/>
  <c r="B872" i="6"/>
  <c r="A872" i="6"/>
  <c r="F871" i="6"/>
  <c r="E871" i="6"/>
  <c r="D871" i="6"/>
  <c r="C871" i="6"/>
  <c r="B871" i="6"/>
  <c r="A871" i="6"/>
  <c r="F870" i="6"/>
  <c r="E870" i="6"/>
  <c r="D870" i="6"/>
  <c r="C870" i="6"/>
  <c r="B870" i="6"/>
  <c r="A870" i="6"/>
  <c r="F869" i="6"/>
  <c r="E869" i="6"/>
  <c r="D869" i="6"/>
  <c r="C869" i="6"/>
  <c r="B869" i="6"/>
  <c r="A869" i="6"/>
  <c r="F868" i="6"/>
  <c r="E868" i="6"/>
  <c r="D868" i="6"/>
  <c r="C868" i="6"/>
  <c r="B868" i="6"/>
  <c r="A868" i="6"/>
  <c r="F867" i="6"/>
  <c r="E867" i="6"/>
  <c r="D867" i="6"/>
  <c r="C867" i="6"/>
  <c r="B867" i="6"/>
  <c r="A867" i="6"/>
  <c r="F866" i="6"/>
  <c r="E866" i="6"/>
  <c r="D866" i="6"/>
  <c r="C866" i="6"/>
  <c r="B866" i="6"/>
  <c r="A866" i="6"/>
  <c r="F865" i="6"/>
  <c r="E865" i="6"/>
  <c r="D865" i="6"/>
  <c r="C865" i="6"/>
  <c r="B865" i="6"/>
  <c r="A865" i="6"/>
  <c r="F864" i="6"/>
  <c r="E864" i="6"/>
  <c r="D864" i="6"/>
  <c r="C864" i="6"/>
  <c r="B864" i="6"/>
  <c r="A864" i="6"/>
  <c r="F863" i="6"/>
  <c r="E863" i="6"/>
  <c r="D863" i="6"/>
  <c r="C863" i="6"/>
  <c r="B863" i="6"/>
  <c r="A863" i="6"/>
  <c r="F862" i="6"/>
  <c r="E862" i="6"/>
  <c r="D862" i="6"/>
  <c r="C862" i="6"/>
  <c r="B862" i="6"/>
  <c r="A862" i="6"/>
  <c r="F861" i="6"/>
  <c r="E861" i="6"/>
  <c r="D861" i="6"/>
  <c r="C861" i="6"/>
  <c r="B861" i="6"/>
  <c r="A861" i="6"/>
  <c r="F860" i="6"/>
  <c r="E860" i="6"/>
  <c r="D860" i="6"/>
  <c r="C860" i="6"/>
  <c r="B860" i="6"/>
  <c r="A860" i="6"/>
  <c r="F859" i="6"/>
  <c r="E859" i="6"/>
  <c r="D859" i="6"/>
  <c r="C859" i="6"/>
  <c r="B859" i="6"/>
  <c r="A859" i="6"/>
  <c r="F858" i="6"/>
  <c r="E858" i="6"/>
  <c r="D858" i="6"/>
  <c r="C858" i="6"/>
  <c r="B858" i="6"/>
  <c r="A858" i="6"/>
  <c r="F857" i="6"/>
  <c r="E857" i="6"/>
  <c r="D857" i="6"/>
  <c r="C857" i="6"/>
  <c r="B857" i="6"/>
  <c r="A857" i="6"/>
  <c r="F856" i="6"/>
  <c r="E856" i="6"/>
  <c r="D856" i="6"/>
  <c r="C856" i="6"/>
  <c r="B856" i="6"/>
  <c r="A856" i="6"/>
  <c r="F855" i="6"/>
  <c r="E855" i="6"/>
  <c r="D855" i="6"/>
  <c r="C855" i="6"/>
  <c r="B855" i="6"/>
  <c r="A855" i="6"/>
  <c r="F854" i="6"/>
  <c r="E854" i="6"/>
  <c r="D854" i="6"/>
  <c r="C854" i="6"/>
  <c r="B854" i="6"/>
  <c r="A854" i="6"/>
  <c r="F853" i="6"/>
  <c r="E853" i="6"/>
  <c r="D853" i="6"/>
  <c r="C853" i="6"/>
  <c r="B853" i="6"/>
  <c r="A853" i="6"/>
  <c r="F852" i="6"/>
  <c r="E852" i="6"/>
  <c r="D852" i="6"/>
  <c r="C852" i="6"/>
  <c r="B852" i="6"/>
  <c r="A852" i="6"/>
  <c r="F851" i="6"/>
  <c r="E851" i="6"/>
  <c r="D851" i="6"/>
  <c r="C851" i="6"/>
  <c r="B851" i="6"/>
  <c r="A851" i="6"/>
  <c r="F850" i="6"/>
  <c r="E850" i="6"/>
  <c r="D850" i="6"/>
  <c r="C850" i="6"/>
  <c r="B850" i="6"/>
  <c r="A850" i="6"/>
  <c r="F849" i="6"/>
  <c r="E849" i="6"/>
  <c r="D849" i="6"/>
  <c r="C849" i="6"/>
  <c r="B849" i="6"/>
  <c r="A849" i="6"/>
  <c r="F848" i="6"/>
  <c r="E848" i="6"/>
  <c r="D848" i="6"/>
  <c r="C848" i="6"/>
  <c r="B848" i="6"/>
  <c r="A848" i="6"/>
  <c r="F847" i="6"/>
  <c r="E847" i="6"/>
  <c r="D847" i="6"/>
  <c r="C847" i="6"/>
  <c r="B847" i="6"/>
  <c r="A847" i="6"/>
  <c r="F846" i="6"/>
  <c r="E846" i="6"/>
  <c r="D846" i="6"/>
  <c r="C846" i="6"/>
  <c r="B846" i="6"/>
  <c r="A846" i="6"/>
  <c r="F845" i="6"/>
  <c r="E845" i="6"/>
  <c r="D845" i="6"/>
  <c r="C845" i="6"/>
  <c r="B845" i="6"/>
  <c r="A845" i="6"/>
  <c r="F844" i="6"/>
  <c r="E844" i="6"/>
  <c r="D844" i="6"/>
  <c r="C844" i="6"/>
  <c r="B844" i="6"/>
  <c r="A844" i="6"/>
  <c r="F843" i="6"/>
  <c r="E843" i="6"/>
  <c r="D843" i="6"/>
  <c r="C843" i="6"/>
  <c r="B843" i="6"/>
  <c r="A843" i="6"/>
  <c r="F842" i="6"/>
  <c r="E842" i="6"/>
  <c r="D842" i="6"/>
  <c r="C842" i="6"/>
  <c r="B842" i="6"/>
  <c r="A842" i="6"/>
  <c r="F841" i="6"/>
  <c r="E841" i="6"/>
  <c r="D841" i="6"/>
  <c r="C841" i="6"/>
  <c r="B841" i="6"/>
  <c r="A841" i="6"/>
  <c r="F840" i="6"/>
  <c r="E840" i="6"/>
  <c r="D840" i="6"/>
  <c r="C840" i="6"/>
  <c r="B840" i="6"/>
  <c r="A840" i="6"/>
  <c r="F839" i="6"/>
  <c r="E839" i="6"/>
  <c r="D839" i="6"/>
  <c r="C839" i="6"/>
  <c r="B839" i="6"/>
  <c r="A839" i="6"/>
  <c r="F838" i="6"/>
  <c r="E838" i="6"/>
  <c r="D838" i="6"/>
  <c r="C838" i="6"/>
  <c r="B838" i="6"/>
  <c r="A838" i="6"/>
  <c r="F837" i="6"/>
  <c r="E837" i="6"/>
  <c r="D837" i="6"/>
  <c r="C837" i="6"/>
  <c r="B837" i="6"/>
  <c r="A837" i="6"/>
  <c r="F836" i="6"/>
  <c r="E836" i="6"/>
  <c r="D836" i="6"/>
  <c r="C836" i="6"/>
  <c r="B836" i="6"/>
  <c r="A836" i="6"/>
  <c r="F835" i="6"/>
  <c r="E835" i="6"/>
  <c r="D835" i="6"/>
  <c r="C835" i="6"/>
  <c r="B835" i="6"/>
  <c r="A835" i="6"/>
  <c r="F834" i="6"/>
  <c r="E834" i="6"/>
  <c r="D834" i="6"/>
  <c r="C834" i="6"/>
  <c r="B834" i="6"/>
  <c r="A834" i="6"/>
  <c r="F833" i="6"/>
  <c r="E833" i="6"/>
  <c r="D833" i="6"/>
  <c r="C833" i="6"/>
  <c r="B833" i="6"/>
  <c r="A833" i="6"/>
  <c r="F832" i="6"/>
  <c r="E832" i="6"/>
  <c r="D832" i="6"/>
  <c r="C832" i="6"/>
  <c r="B832" i="6"/>
  <c r="A832" i="6"/>
  <c r="F831" i="6"/>
  <c r="E831" i="6"/>
  <c r="D831" i="6"/>
  <c r="C831" i="6"/>
  <c r="B831" i="6"/>
  <c r="A831" i="6"/>
  <c r="F830" i="6"/>
  <c r="E830" i="6"/>
  <c r="D830" i="6"/>
  <c r="C830" i="6"/>
  <c r="B830" i="6"/>
  <c r="A830" i="6"/>
  <c r="F829" i="6"/>
  <c r="E829" i="6"/>
  <c r="D829" i="6"/>
  <c r="C829" i="6"/>
  <c r="B829" i="6"/>
  <c r="A829" i="6"/>
  <c r="F828" i="6"/>
  <c r="E828" i="6"/>
  <c r="D828" i="6"/>
  <c r="C828" i="6"/>
  <c r="B828" i="6"/>
  <c r="A828" i="6"/>
  <c r="F827" i="6"/>
  <c r="E827" i="6"/>
  <c r="D827" i="6"/>
  <c r="C827" i="6"/>
  <c r="B827" i="6"/>
  <c r="A827" i="6"/>
  <c r="F826" i="6"/>
  <c r="E826" i="6"/>
  <c r="D826" i="6"/>
  <c r="C826" i="6"/>
  <c r="B826" i="6"/>
  <c r="A826" i="6"/>
  <c r="F825" i="6"/>
  <c r="E825" i="6"/>
  <c r="D825" i="6"/>
  <c r="C825" i="6"/>
  <c r="B825" i="6"/>
  <c r="A825" i="6"/>
  <c r="F824" i="6"/>
  <c r="E824" i="6"/>
  <c r="D824" i="6"/>
  <c r="C824" i="6"/>
  <c r="B824" i="6"/>
  <c r="A824" i="6"/>
  <c r="F823" i="6"/>
  <c r="E823" i="6"/>
  <c r="D823" i="6"/>
  <c r="C823" i="6"/>
  <c r="B823" i="6"/>
  <c r="A823" i="6"/>
  <c r="F822" i="6"/>
  <c r="E822" i="6"/>
  <c r="D822" i="6"/>
  <c r="C822" i="6"/>
  <c r="B822" i="6"/>
  <c r="A822" i="6"/>
  <c r="F821" i="6"/>
  <c r="E821" i="6"/>
  <c r="D821" i="6"/>
  <c r="C821" i="6"/>
  <c r="B821" i="6"/>
  <c r="A821" i="6"/>
  <c r="F820" i="6"/>
  <c r="E820" i="6"/>
  <c r="D820" i="6"/>
  <c r="C820" i="6"/>
  <c r="B820" i="6"/>
  <c r="A820" i="6"/>
  <c r="F819" i="6"/>
  <c r="E819" i="6"/>
  <c r="D819" i="6"/>
  <c r="C819" i="6"/>
  <c r="B819" i="6"/>
  <c r="A819" i="6"/>
  <c r="F818" i="6"/>
  <c r="E818" i="6"/>
  <c r="D818" i="6"/>
  <c r="C818" i="6"/>
  <c r="B818" i="6"/>
  <c r="A818" i="6"/>
  <c r="F817" i="6"/>
  <c r="E817" i="6"/>
  <c r="D817" i="6"/>
  <c r="C817" i="6"/>
  <c r="B817" i="6"/>
  <c r="A817" i="6"/>
  <c r="F816" i="6"/>
  <c r="E816" i="6"/>
  <c r="D816" i="6"/>
  <c r="C816" i="6"/>
  <c r="B816" i="6"/>
  <c r="A816" i="6"/>
  <c r="F815" i="6"/>
  <c r="E815" i="6"/>
  <c r="D815" i="6"/>
  <c r="C815" i="6"/>
  <c r="B815" i="6"/>
  <c r="A815" i="6"/>
  <c r="F814" i="6"/>
  <c r="E814" i="6"/>
  <c r="D814" i="6"/>
  <c r="C814" i="6"/>
  <c r="B814" i="6"/>
  <c r="A814" i="6"/>
  <c r="F813" i="6"/>
  <c r="E813" i="6"/>
  <c r="D813" i="6"/>
  <c r="C813" i="6"/>
  <c r="B813" i="6"/>
  <c r="A813" i="6"/>
  <c r="F812" i="6"/>
  <c r="E812" i="6"/>
  <c r="D812" i="6"/>
  <c r="C812" i="6"/>
  <c r="B812" i="6"/>
  <c r="A812" i="6"/>
  <c r="F811" i="6"/>
  <c r="E811" i="6"/>
  <c r="D811" i="6"/>
  <c r="C811" i="6"/>
  <c r="B811" i="6"/>
  <c r="A811" i="6"/>
  <c r="F810" i="6"/>
  <c r="E810" i="6"/>
  <c r="D810" i="6"/>
  <c r="C810" i="6"/>
  <c r="B810" i="6"/>
  <c r="A810" i="6"/>
  <c r="F809" i="6"/>
  <c r="E809" i="6"/>
  <c r="D809" i="6"/>
  <c r="C809" i="6"/>
  <c r="B809" i="6"/>
  <c r="A809" i="6"/>
  <c r="F808" i="6"/>
  <c r="E808" i="6"/>
  <c r="D808" i="6"/>
  <c r="C808" i="6"/>
  <c r="B808" i="6"/>
  <c r="A808" i="6"/>
  <c r="F807" i="6"/>
  <c r="E807" i="6"/>
  <c r="D807" i="6"/>
  <c r="C807" i="6"/>
  <c r="B807" i="6"/>
  <c r="A807" i="6"/>
  <c r="F806" i="6"/>
  <c r="E806" i="6"/>
  <c r="D806" i="6"/>
  <c r="C806" i="6"/>
  <c r="B806" i="6"/>
  <c r="A806" i="6"/>
  <c r="F805" i="6"/>
  <c r="E805" i="6"/>
  <c r="D805" i="6"/>
  <c r="C805" i="6"/>
  <c r="B805" i="6"/>
  <c r="A805" i="6"/>
  <c r="F804" i="6"/>
  <c r="E804" i="6"/>
  <c r="D804" i="6"/>
  <c r="C804" i="6"/>
  <c r="B804" i="6"/>
  <c r="A804" i="6"/>
  <c r="F803" i="6"/>
  <c r="E803" i="6"/>
  <c r="D803" i="6"/>
  <c r="C803" i="6"/>
  <c r="B803" i="6"/>
  <c r="A803" i="6"/>
  <c r="F802" i="6"/>
  <c r="E802" i="6"/>
  <c r="D802" i="6"/>
  <c r="C802" i="6"/>
  <c r="B802" i="6"/>
  <c r="A802" i="6"/>
  <c r="F801" i="6"/>
  <c r="E801" i="6"/>
  <c r="D801" i="6"/>
  <c r="C801" i="6"/>
  <c r="B801" i="6"/>
  <c r="A801" i="6"/>
  <c r="F800" i="6"/>
  <c r="E800" i="6"/>
  <c r="D800" i="6"/>
  <c r="C800" i="6"/>
  <c r="B800" i="6"/>
  <c r="A800" i="6"/>
  <c r="F799" i="6"/>
  <c r="E799" i="6"/>
  <c r="D799" i="6"/>
  <c r="C799" i="6"/>
  <c r="B799" i="6"/>
  <c r="A799" i="6"/>
  <c r="F798" i="6"/>
  <c r="E798" i="6"/>
  <c r="D798" i="6"/>
  <c r="C798" i="6"/>
  <c r="B798" i="6"/>
  <c r="A798" i="6"/>
  <c r="F797" i="6"/>
  <c r="E797" i="6"/>
  <c r="D797" i="6"/>
  <c r="C797" i="6"/>
  <c r="B797" i="6"/>
  <c r="A797" i="6"/>
  <c r="F796" i="6"/>
  <c r="E796" i="6"/>
  <c r="D796" i="6"/>
  <c r="C796" i="6"/>
  <c r="B796" i="6"/>
  <c r="A796" i="6"/>
  <c r="F795" i="6"/>
  <c r="E795" i="6"/>
  <c r="D795" i="6"/>
  <c r="C795" i="6"/>
  <c r="B795" i="6"/>
  <c r="A795" i="6"/>
  <c r="F794" i="6"/>
  <c r="E794" i="6"/>
  <c r="D794" i="6"/>
  <c r="C794" i="6"/>
  <c r="B794" i="6"/>
  <c r="A794" i="6"/>
  <c r="F793" i="6"/>
  <c r="E793" i="6"/>
  <c r="D793" i="6"/>
  <c r="C793" i="6"/>
  <c r="B793" i="6"/>
  <c r="A793" i="6"/>
  <c r="F792" i="6"/>
  <c r="E792" i="6"/>
  <c r="D792" i="6"/>
  <c r="C792" i="6"/>
  <c r="B792" i="6"/>
  <c r="A792" i="6"/>
  <c r="F791" i="6"/>
  <c r="E791" i="6"/>
  <c r="D791" i="6"/>
  <c r="C791" i="6"/>
  <c r="B791" i="6"/>
  <c r="A791" i="6"/>
  <c r="F790" i="6"/>
  <c r="E790" i="6"/>
  <c r="D790" i="6"/>
  <c r="C790" i="6"/>
  <c r="B790" i="6"/>
  <c r="A790" i="6"/>
  <c r="F789" i="6"/>
  <c r="E789" i="6"/>
  <c r="D789" i="6"/>
  <c r="C789" i="6"/>
  <c r="B789" i="6"/>
  <c r="A789" i="6"/>
  <c r="F788" i="6"/>
  <c r="E788" i="6"/>
  <c r="D788" i="6"/>
  <c r="C788" i="6"/>
  <c r="B788" i="6"/>
  <c r="A788" i="6"/>
  <c r="F787" i="6"/>
  <c r="E787" i="6"/>
  <c r="D787" i="6"/>
  <c r="C787" i="6"/>
  <c r="B787" i="6"/>
  <c r="A787" i="6"/>
  <c r="F786" i="6"/>
  <c r="E786" i="6"/>
  <c r="D786" i="6"/>
  <c r="C786" i="6"/>
  <c r="B786" i="6"/>
  <c r="A786" i="6"/>
  <c r="F785" i="6"/>
  <c r="E785" i="6"/>
  <c r="D785" i="6"/>
  <c r="C785" i="6"/>
  <c r="B785" i="6"/>
  <c r="A785" i="6"/>
  <c r="F784" i="6"/>
  <c r="E784" i="6"/>
  <c r="D784" i="6"/>
  <c r="C784" i="6"/>
  <c r="B784" i="6"/>
  <c r="A784" i="6"/>
  <c r="F783" i="6"/>
  <c r="E783" i="6"/>
  <c r="D783" i="6"/>
  <c r="C783" i="6"/>
  <c r="B783" i="6"/>
  <c r="A783" i="6"/>
  <c r="F782" i="6"/>
  <c r="E782" i="6"/>
  <c r="D782" i="6"/>
  <c r="C782" i="6"/>
  <c r="B782" i="6"/>
  <c r="A782" i="6"/>
  <c r="F781" i="6"/>
  <c r="E781" i="6"/>
  <c r="D781" i="6"/>
  <c r="C781" i="6"/>
  <c r="B781" i="6"/>
  <c r="A781" i="6"/>
  <c r="F780" i="6"/>
  <c r="E780" i="6"/>
  <c r="D780" i="6"/>
  <c r="C780" i="6"/>
  <c r="B780" i="6"/>
  <c r="A780" i="6"/>
  <c r="F779" i="6"/>
  <c r="E779" i="6"/>
  <c r="D779" i="6"/>
  <c r="C779" i="6"/>
  <c r="B779" i="6"/>
  <c r="A779" i="6"/>
  <c r="F778" i="6"/>
  <c r="E778" i="6"/>
  <c r="D778" i="6"/>
  <c r="C778" i="6"/>
  <c r="B778" i="6"/>
  <c r="A778" i="6"/>
  <c r="F777" i="6"/>
  <c r="E777" i="6"/>
  <c r="D777" i="6"/>
  <c r="C777" i="6"/>
  <c r="B777" i="6"/>
  <c r="A777" i="6"/>
  <c r="F776" i="6"/>
  <c r="E776" i="6"/>
  <c r="D776" i="6"/>
  <c r="C776" i="6"/>
  <c r="B776" i="6"/>
  <c r="A776" i="6"/>
  <c r="F775" i="6"/>
  <c r="E775" i="6"/>
  <c r="D775" i="6"/>
  <c r="C775" i="6"/>
  <c r="B775" i="6"/>
  <c r="A775" i="6"/>
  <c r="F774" i="6"/>
  <c r="E774" i="6"/>
  <c r="D774" i="6"/>
  <c r="C774" i="6"/>
  <c r="B774" i="6"/>
  <c r="A774" i="6"/>
  <c r="F773" i="6"/>
  <c r="E773" i="6"/>
  <c r="D773" i="6"/>
  <c r="C773" i="6"/>
  <c r="B773" i="6"/>
  <c r="A773" i="6"/>
  <c r="F772" i="6"/>
  <c r="E772" i="6"/>
  <c r="D772" i="6"/>
  <c r="C772" i="6"/>
  <c r="B772" i="6"/>
  <c r="A772" i="6"/>
  <c r="F771" i="6"/>
  <c r="E771" i="6"/>
  <c r="D771" i="6"/>
  <c r="C771" i="6"/>
  <c r="B771" i="6"/>
  <c r="A771" i="6"/>
  <c r="F770" i="6"/>
  <c r="E770" i="6"/>
  <c r="D770" i="6"/>
  <c r="C770" i="6"/>
  <c r="B770" i="6"/>
  <c r="A770" i="6"/>
  <c r="F769" i="6"/>
  <c r="E769" i="6"/>
  <c r="D769" i="6"/>
  <c r="C769" i="6"/>
  <c r="B769" i="6"/>
  <c r="A769" i="6"/>
  <c r="F768" i="6"/>
  <c r="E768" i="6"/>
  <c r="D768" i="6"/>
  <c r="C768" i="6"/>
  <c r="B768" i="6"/>
  <c r="A768" i="6"/>
  <c r="F767" i="6"/>
  <c r="E767" i="6"/>
  <c r="D767" i="6"/>
  <c r="C767" i="6"/>
  <c r="B767" i="6"/>
  <c r="A767" i="6"/>
  <c r="F766" i="6"/>
  <c r="E766" i="6"/>
  <c r="D766" i="6"/>
  <c r="C766" i="6"/>
  <c r="B766" i="6"/>
  <c r="A766" i="6"/>
  <c r="F765" i="6"/>
  <c r="E765" i="6"/>
  <c r="D765" i="6"/>
  <c r="C765" i="6"/>
  <c r="B765" i="6"/>
  <c r="A765" i="6"/>
  <c r="F764" i="6"/>
  <c r="E764" i="6"/>
  <c r="D764" i="6"/>
  <c r="C764" i="6"/>
  <c r="B764" i="6"/>
  <c r="A764" i="6"/>
  <c r="F763" i="6"/>
  <c r="E763" i="6"/>
  <c r="D763" i="6"/>
  <c r="C763" i="6"/>
  <c r="B763" i="6"/>
  <c r="A763" i="6"/>
  <c r="F762" i="6"/>
  <c r="E762" i="6"/>
  <c r="D762" i="6"/>
  <c r="C762" i="6"/>
  <c r="B762" i="6"/>
  <c r="A762" i="6"/>
  <c r="F761" i="6"/>
  <c r="E761" i="6"/>
  <c r="D761" i="6"/>
  <c r="C761" i="6"/>
  <c r="B761" i="6"/>
  <c r="A761" i="6"/>
  <c r="F760" i="6"/>
  <c r="E760" i="6"/>
  <c r="D760" i="6"/>
  <c r="C760" i="6"/>
  <c r="B760" i="6"/>
  <c r="A760" i="6"/>
  <c r="F759" i="6"/>
  <c r="E759" i="6"/>
  <c r="D759" i="6"/>
  <c r="C759" i="6"/>
  <c r="B759" i="6"/>
  <c r="A759" i="6"/>
  <c r="F758" i="6"/>
  <c r="E758" i="6"/>
  <c r="D758" i="6"/>
  <c r="C758" i="6"/>
  <c r="B758" i="6"/>
  <c r="A758" i="6"/>
  <c r="F757" i="6"/>
  <c r="E757" i="6"/>
  <c r="D757" i="6"/>
  <c r="C757" i="6"/>
  <c r="B757" i="6"/>
  <c r="A757" i="6"/>
  <c r="F756" i="6"/>
  <c r="E756" i="6"/>
  <c r="D756" i="6"/>
  <c r="C756" i="6"/>
  <c r="B756" i="6"/>
  <c r="A756" i="6"/>
  <c r="F755" i="6"/>
  <c r="E755" i="6"/>
  <c r="D755" i="6"/>
  <c r="C755" i="6"/>
  <c r="B755" i="6"/>
  <c r="A755" i="6"/>
  <c r="F754" i="6"/>
  <c r="E754" i="6"/>
  <c r="D754" i="6"/>
  <c r="C754" i="6"/>
  <c r="B754" i="6"/>
  <c r="A754" i="6"/>
  <c r="F753" i="6"/>
  <c r="E753" i="6"/>
  <c r="D753" i="6"/>
  <c r="C753" i="6"/>
  <c r="B753" i="6"/>
  <c r="A753" i="6"/>
  <c r="F752" i="6"/>
  <c r="E752" i="6"/>
  <c r="D752" i="6"/>
  <c r="C752" i="6"/>
  <c r="B752" i="6"/>
  <c r="A752" i="6"/>
  <c r="F751" i="6"/>
  <c r="E751" i="6"/>
  <c r="D751" i="6"/>
  <c r="C751" i="6"/>
  <c r="B751" i="6"/>
  <c r="A751" i="6"/>
  <c r="F750" i="6"/>
  <c r="E750" i="6"/>
  <c r="D750" i="6"/>
  <c r="C750" i="6"/>
  <c r="B750" i="6"/>
  <c r="A750" i="6"/>
  <c r="F749" i="6"/>
  <c r="E749" i="6"/>
  <c r="D749" i="6"/>
  <c r="C749" i="6"/>
  <c r="B749" i="6"/>
  <c r="A749" i="6"/>
  <c r="F748" i="6"/>
  <c r="E748" i="6"/>
  <c r="D748" i="6"/>
  <c r="C748" i="6"/>
  <c r="B748" i="6"/>
  <c r="A748" i="6"/>
  <c r="F747" i="6"/>
  <c r="E747" i="6"/>
  <c r="D747" i="6"/>
  <c r="C747" i="6"/>
  <c r="B747" i="6"/>
  <c r="A747" i="6"/>
  <c r="F746" i="6"/>
  <c r="E746" i="6"/>
  <c r="D746" i="6"/>
  <c r="C746" i="6"/>
  <c r="B746" i="6"/>
  <c r="A746" i="6"/>
  <c r="F745" i="6"/>
  <c r="E745" i="6"/>
  <c r="D745" i="6"/>
  <c r="C745" i="6"/>
  <c r="B745" i="6"/>
  <c r="A745" i="6"/>
  <c r="F744" i="6"/>
  <c r="E744" i="6"/>
  <c r="D744" i="6"/>
  <c r="C744" i="6"/>
  <c r="B744" i="6"/>
  <c r="A744" i="6"/>
  <c r="F743" i="6"/>
  <c r="E743" i="6"/>
  <c r="D743" i="6"/>
  <c r="C743" i="6"/>
  <c r="B743" i="6"/>
  <c r="A743" i="6"/>
  <c r="F742" i="6"/>
  <c r="E742" i="6"/>
  <c r="D742" i="6"/>
  <c r="C742" i="6"/>
  <c r="B742" i="6"/>
  <c r="A742" i="6"/>
  <c r="F741" i="6"/>
  <c r="E741" i="6"/>
  <c r="D741" i="6"/>
  <c r="C741" i="6"/>
  <c r="B741" i="6"/>
  <c r="A741" i="6"/>
  <c r="F740" i="6"/>
  <c r="E740" i="6"/>
  <c r="D740" i="6"/>
  <c r="C740" i="6"/>
  <c r="B740" i="6"/>
  <c r="A740" i="6"/>
  <c r="F739" i="6"/>
  <c r="E739" i="6"/>
  <c r="D739" i="6"/>
  <c r="C739" i="6"/>
  <c r="B739" i="6"/>
  <c r="A739" i="6"/>
  <c r="F738" i="6"/>
  <c r="E738" i="6"/>
  <c r="D738" i="6"/>
  <c r="C738" i="6"/>
  <c r="B738" i="6"/>
  <c r="A738" i="6"/>
  <c r="F737" i="6"/>
  <c r="E737" i="6"/>
  <c r="D737" i="6"/>
  <c r="C737" i="6"/>
  <c r="B737" i="6"/>
  <c r="A737" i="6"/>
  <c r="F736" i="6"/>
  <c r="E736" i="6"/>
  <c r="D736" i="6"/>
  <c r="C736" i="6"/>
  <c r="B736" i="6"/>
  <c r="A736" i="6"/>
  <c r="F735" i="6"/>
  <c r="E735" i="6"/>
  <c r="D735" i="6"/>
  <c r="C735" i="6"/>
  <c r="B735" i="6"/>
  <c r="A735" i="6"/>
  <c r="F734" i="6"/>
  <c r="E734" i="6"/>
  <c r="D734" i="6"/>
  <c r="C734" i="6"/>
  <c r="B734" i="6"/>
  <c r="A734" i="6"/>
  <c r="F733" i="6"/>
  <c r="E733" i="6"/>
  <c r="D733" i="6"/>
  <c r="C733" i="6"/>
  <c r="B733" i="6"/>
  <c r="A733" i="6"/>
  <c r="F732" i="6"/>
  <c r="E732" i="6"/>
  <c r="D732" i="6"/>
  <c r="C732" i="6"/>
  <c r="B732" i="6"/>
  <c r="A732" i="6"/>
  <c r="F731" i="6"/>
  <c r="E731" i="6"/>
  <c r="D731" i="6"/>
  <c r="C731" i="6"/>
  <c r="B731" i="6"/>
  <c r="A731" i="6"/>
  <c r="F730" i="6"/>
  <c r="E730" i="6"/>
  <c r="D730" i="6"/>
  <c r="C730" i="6"/>
  <c r="B730" i="6"/>
  <c r="A730" i="6"/>
  <c r="F729" i="6"/>
  <c r="E729" i="6"/>
  <c r="D729" i="6"/>
  <c r="C729" i="6"/>
  <c r="B729" i="6"/>
  <c r="A729" i="6"/>
  <c r="F728" i="6"/>
  <c r="E728" i="6"/>
  <c r="D728" i="6"/>
  <c r="C728" i="6"/>
  <c r="B728" i="6"/>
  <c r="A728" i="6"/>
  <c r="F727" i="6"/>
  <c r="E727" i="6"/>
  <c r="D727" i="6"/>
  <c r="C727" i="6"/>
  <c r="B727" i="6"/>
  <c r="A727" i="6"/>
  <c r="F726" i="6"/>
  <c r="E726" i="6"/>
  <c r="D726" i="6"/>
  <c r="C726" i="6"/>
  <c r="B726" i="6"/>
  <c r="A726" i="6"/>
  <c r="F725" i="6"/>
  <c r="E725" i="6"/>
  <c r="D725" i="6"/>
  <c r="C725" i="6"/>
  <c r="B725" i="6"/>
  <c r="A725" i="6"/>
  <c r="F724" i="6"/>
  <c r="E724" i="6"/>
  <c r="D724" i="6"/>
  <c r="C724" i="6"/>
  <c r="B724" i="6"/>
  <c r="A724" i="6"/>
  <c r="F723" i="6"/>
  <c r="E723" i="6"/>
  <c r="D723" i="6"/>
  <c r="C723" i="6"/>
  <c r="B723" i="6"/>
  <c r="A723" i="6"/>
  <c r="F722" i="6"/>
  <c r="E722" i="6"/>
  <c r="D722" i="6"/>
  <c r="C722" i="6"/>
  <c r="B722" i="6"/>
  <c r="A722" i="6"/>
  <c r="F721" i="6"/>
  <c r="E721" i="6"/>
  <c r="D721" i="6"/>
  <c r="C721" i="6"/>
  <c r="B721" i="6"/>
  <c r="A721" i="6"/>
  <c r="F720" i="6"/>
  <c r="E720" i="6"/>
  <c r="D720" i="6"/>
  <c r="C720" i="6"/>
  <c r="B720" i="6"/>
  <c r="A720" i="6"/>
  <c r="F719" i="6"/>
  <c r="E719" i="6"/>
  <c r="D719" i="6"/>
  <c r="C719" i="6"/>
  <c r="B719" i="6"/>
  <c r="A719" i="6"/>
  <c r="F718" i="6"/>
  <c r="E718" i="6"/>
  <c r="D718" i="6"/>
  <c r="C718" i="6"/>
  <c r="B718" i="6"/>
  <c r="A718" i="6"/>
  <c r="F717" i="6"/>
  <c r="E717" i="6"/>
  <c r="D717" i="6"/>
  <c r="C717" i="6"/>
  <c r="B717" i="6"/>
  <c r="A717" i="6"/>
  <c r="F716" i="6"/>
  <c r="E716" i="6"/>
  <c r="D716" i="6"/>
  <c r="C716" i="6"/>
  <c r="B716" i="6"/>
  <c r="A716" i="6"/>
  <c r="F715" i="6"/>
  <c r="E715" i="6"/>
  <c r="D715" i="6"/>
  <c r="C715" i="6"/>
  <c r="B715" i="6"/>
  <c r="A715" i="6"/>
  <c r="F714" i="6"/>
  <c r="E714" i="6"/>
  <c r="D714" i="6"/>
  <c r="C714" i="6"/>
  <c r="B714" i="6"/>
  <c r="A714" i="6"/>
  <c r="F713" i="6"/>
  <c r="E713" i="6"/>
  <c r="D713" i="6"/>
  <c r="C713" i="6"/>
  <c r="B713" i="6"/>
  <c r="A713" i="6"/>
  <c r="F712" i="6"/>
  <c r="E712" i="6"/>
  <c r="D712" i="6"/>
  <c r="C712" i="6"/>
  <c r="B712" i="6"/>
  <c r="A712" i="6"/>
  <c r="F711" i="6"/>
  <c r="E711" i="6"/>
  <c r="D711" i="6"/>
  <c r="C711" i="6"/>
  <c r="B711" i="6"/>
  <c r="A711" i="6"/>
  <c r="F710" i="6"/>
  <c r="E710" i="6"/>
  <c r="D710" i="6"/>
  <c r="C710" i="6"/>
  <c r="B710" i="6"/>
  <c r="A710" i="6"/>
  <c r="F709" i="6"/>
  <c r="E709" i="6"/>
  <c r="D709" i="6"/>
  <c r="C709" i="6"/>
  <c r="B709" i="6"/>
  <c r="A709" i="6"/>
  <c r="F708" i="6"/>
  <c r="E708" i="6"/>
  <c r="D708" i="6"/>
  <c r="C708" i="6"/>
  <c r="B708" i="6"/>
  <c r="A708" i="6"/>
  <c r="F707" i="6"/>
  <c r="E707" i="6"/>
  <c r="D707" i="6"/>
  <c r="C707" i="6"/>
  <c r="B707" i="6"/>
  <c r="A707" i="6"/>
  <c r="F706" i="6"/>
  <c r="E706" i="6"/>
  <c r="D706" i="6"/>
  <c r="C706" i="6"/>
  <c r="B706" i="6"/>
  <c r="A706" i="6"/>
  <c r="F705" i="6"/>
  <c r="E705" i="6"/>
  <c r="D705" i="6"/>
  <c r="C705" i="6"/>
  <c r="B705" i="6"/>
  <c r="A705" i="6"/>
  <c r="F704" i="6"/>
  <c r="E704" i="6"/>
  <c r="D704" i="6"/>
  <c r="C704" i="6"/>
  <c r="B704" i="6"/>
  <c r="A704" i="6"/>
  <c r="F703" i="6"/>
  <c r="E703" i="6"/>
  <c r="D703" i="6"/>
  <c r="C703" i="6"/>
  <c r="B703" i="6"/>
  <c r="A703" i="6"/>
  <c r="F702" i="6"/>
  <c r="E702" i="6"/>
  <c r="D702" i="6"/>
  <c r="C702" i="6"/>
  <c r="B702" i="6"/>
  <c r="A702" i="6"/>
  <c r="F701" i="6"/>
  <c r="E701" i="6"/>
  <c r="D701" i="6"/>
  <c r="C701" i="6"/>
  <c r="B701" i="6"/>
  <c r="A701" i="6"/>
  <c r="F700" i="6"/>
  <c r="E700" i="6"/>
  <c r="D700" i="6"/>
  <c r="C700" i="6"/>
  <c r="B700" i="6"/>
  <c r="A700" i="6"/>
  <c r="F699" i="6"/>
  <c r="E699" i="6"/>
  <c r="D699" i="6"/>
  <c r="C699" i="6"/>
  <c r="B699" i="6"/>
  <c r="A699" i="6"/>
  <c r="F698" i="6"/>
  <c r="E698" i="6"/>
  <c r="D698" i="6"/>
  <c r="C698" i="6"/>
  <c r="B698" i="6"/>
  <c r="A698" i="6"/>
  <c r="F697" i="6"/>
  <c r="E697" i="6"/>
  <c r="D697" i="6"/>
  <c r="C697" i="6"/>
  <c r="B697" i="6"/>
  <c r="A697" i="6"/>
  <c r="F696" i="6"/>
  <c r="E696" i="6"/>
  <c r="D696" i="6"/>
  <c r="C696" i="6"/>
  <c r="B696" i="6"/>
  <c r="A696" i="6"/>
  <c r="F695" i="6"/>
  <c r="E695" i="6"/>
  <c r="D695" i="6"/>
  <c r="C695" i="6"/>
  <c r="B695" i="6"/>
  <c r="A695" i="6"/>
  <c r="F694" i="6"/>
  <c r="E694" i="6"/>
  <c r="D694" i="6"/>
  <c r="C694" i="6"/>
  <c r="B694" i="6"/>
  <c r="A694" i="6"/>
  <c r="F693" i="6"/>
  <c r="E693" i="6"/>
  <c r="D693" i="6"/>
  <c r="C693" i="6"/>
  <c r="B693" i="6"/>
  <c r="A693" i="6"/>
  <c r="F692" i="6"/>
  <c r="E692" i="6"/>
  <c r="D692" i="6"/>
  <c r="C692" i="6"/>
  <c r="B692" i="6"/>
  <c r="A692" i="6"/>
  <c r="F691" i="6"/>
  <c r="E691" i="6"/>
  <c r="D691" i="6"/>
  <c r="C691" i="6"/>
  <c r="B691" i="6"/>
  <c r="A691" i="6"/>
  <c r="F690" i="6"/>
  <c r="E690" i="6"/>
  <c r="D690" i="6"/>
  <c r="C690" i="6"/>
  <c r="B690" i="6"/>
  <c r="A690" i="6"/>
  <c r="F689" i="6"/>
  <c r="E689" i="6"/>
  <c r="D689" i="6"/>
  <c r="C689" i="6"/>
  <c r="B689" i="6"/>
  <c r="A689" i="6"/>
  <c r="F688" i="6"/>
  <c r="E688" i="6"/>
  <c r="D688" i="6"/>
  <c r="C688" i="6"/>
  <c r="B688" i="6"/>
  <c r="A688" i="6"/>
  <c r="F687" i="6"/>
  <c r="E687" i="6"/>
  <c r="D687" i="6"/>
  <c r="C687" i="6"/>
  <c r="B687" i="6"/>
  <c r="A687" i="6"/>
  <c r="F686" i="6"/>
  <c r="E686" i="6"/>
  <c r="D686" i="6"/>
  <c r="C686" i="6"/>
  <c r="B686" i="6"/>
  <c r="A686" i="6"/>
  <c r="F685" i="6"/>
  <c r="E685" i="6"/>
  <c r="D685" i="6"/>
  <c r="C685" i="6"/>
  <c r="B685" i="6"/>
  <c r="A685" i="6"/>
  <c r="F684" i="6"/>
  <c r="E684" i="6"/>
  <c r="D684" i="6"/>
  <c r="C684" i="6"/>
  <c r="B684" i="6"/>
  <c r="A684" i="6"/>
  <c r="F683" i="6"/>
  <c r="E683" i="6"/>
  <c r="D683" i="6"/>
  <c r="C683" i="6"/>
  <c r="B683" i="6"/>
  <c r="A683" i="6"/>
  <c r="F682" i="6"/>
  <c r="E682" i="6"/>
  <c r="D682" i="6"/>
  <c r="C682" i="6"/>
  <c r="B682" i="6"/>
  <c r="A682" i="6"/>
  <c r="F681" i="6"/>
  <c r="E681" i="6"/>
  <c r="D681" i="6"/>
  <c r="C681" i="6"/>
  <c r="B681" i="6"/>
  <c r="A681" i="6"/>
  <c r="F680" i="6"/>
  <c r="E680" i="6"/>
  <c r="D680" i="6"/>
  <c r="C680" i="6"/>
  <c r="B680" i="6"/>
  <c r="A680" i="6"/>
  <c r="F679" i="6"/>
  <c r="E679" i="6"/>
  <c r="D679" i="6"/>
  <c r="C679" i="6"/>
  <c r="B679" i="6"/>
  <c r="A679" i="6"/>
  <c r="F678" i="6"/>
  <c r="E678" i="6"/>
  <c r="D678" i="6"/>
  <c r="C678" i="6"/>
  <c r="B678" i="6"/>
  <c r="A678" i="6"/>
  <c r="F677" i="6"/>
  <c r="E677" i="6"/>
  <c r="D677" i="6"/>
  <c r="C677" i="6"/>
  <c r="B677" i="6"/>
  <c r="A677" i="6"/>
  <c r="F676" i="6"/>
  <c r="E676" i="6"/>
  <c r="D676" i="6"/>
  <c r="C676" i="6"/>
  <c r="B676" i="6"/>
  <c r="A676" i="6"/>
  <c r="F675" i="6"/>
  <c r="E675" i="6"/>
  <c r="D675" i="6"/>
  <c r="C675" i="6"/>
  <c r="B675" i="6"/>
  <c r="A675" i="6"/>
  <c r="F674" i="6"/>
  <c r="E674" i="6"/>
  <c r="D674" i="6"/>
  <c r="C674" i="6"/>
  <c r="B674" i="6"/>
  <c r="A674" i="6"/>
  <c r="F673" i="6"/>
  <c r="E673" i="6"/>
  <c r="D673" i="6"/>
  <c r="C673" i="6"/>
  <c r="B673" i="6"/>
  <c r="A673" i="6"/>
  <c r="F672" i="6"/>
  <c r="E672" i="6"/>
  <c r="D672" i="6"/>
  <c r="C672" i="6"/>
  <c r="B672" i="6"/>
  <c r="A672" i="6"/>
  <c r="F671" i="6"/>
  <c r="E671" i="6"/>
  <c r="D671" i="6"/>
  <c r="C671" i="6"/>
  <c r="B671" i="6"/>
  <c r="A671" i="6"/>
  <c r="F670" i="6"/>
  <c r="E670" i="6"/>
  <c r="D670" i="6"/>
  <c r="C670" i="6"/>
  <c r="B670" i="6"/>
  <c r="A670" i="6"/>
  <c r="F669" i="6"/>
  <c r="E669" i="6"/>
  <c r="D669" i="6"/>
  <c r="C669" i="6"/>
  <c r="B669" i="6"/>
  <c r="A669" i="6"/>
  <c r="F668" i="6"/>
  <c r="E668" i="6"/>
  <c r="D668" i="6"/>
  <c r="C668" i="6"/>
  <c r="B668" i="6"/>
  <c r="A668" i="6"/>
  <c r="F667" i="6"/>
  <c r="E667" i="6"/>
  <c r="D667" i="6"/>
  <c r="C667" i="6"/>
  <c r="B667" i="6"/>
  <c r="A667" i="6"/>
  <c r="F666" i="6"/>
  <c r="E666" i="6"/>
  <c r="D666" i="6"/>
  <c r="C666" i="6"/>
  <c r="B666" i="6"/>
  <c r="A666" i="6"/>
  <c r="F665" i="6"/>
  <c r="E665" i="6"/>
  <c r="D665" i="6"/>
  <c r="C665" i="6"/>
  <c r="B665" i="6"/>
  <c r="A665" i="6"/>
  <c r="F664" i="6"/>
  <c r="E664" i="6"/>
  <c r="D664" i="6"/>
  <c r="C664" i="6"/>
  <c r="B664" i="6"/>
  <c r="A664" i="6"/>
  <c r="F663" i="6"/>
  <c r="E663" i="6"/>
  <c r="D663" i="6"/>
  <c r="C663" i="6"/>
  <c r="B663" i="6"/>
  <c r="A663" i="6"/>
  <c r="F662" i="6"/>
  <c r="E662" i="6"/>
  <c r="D662" i="6"/>
  <c r="C662" i="6"/>
  <c r="B662" i="6"/>
  <c r="A662" i="6"/>
  <c r="F661" i="6"/>
  <c r="E661" i="6"/>
  <c r="D661" i="6"/>
  <c r="C661" i="6"/>
  <c r="B661" i="6"/>
  <c r="A661" i="6"/>
  <c r="F660" i="6"/>
  <c r="E660" i="6"/>
  <c r="D660" i="6"/>
  <c r="C660" i="6"/>
  <c r="B660" i="6"/>
  <c r="A660" i="6"/>
  <c r="F659" i="6"/>
  <c r="E659" i="6"/>
  <c r="D659" i="6"/>
  <c r="C659" i="6"/>
  <c r="B659" i="6"/>
  <c r="A659" i="6"/>
  <c r="F658" i="6"/>
  <c r="E658" i="6"/>
  <c r="D658" i="6"/>
  <c r="C658" i="6"/>
  <c r="B658" i="6"/>
  <c r="A658" i="6"/>
  <c r="F657" i="6"/>
  <c r="E657" i="6"/>
  <c r="D657" i="6"/>
  <c r="C657" i="6"/>
  <c r="B657" i="6"/>
  <c r="A657" i="6"/>
  <c r="F656" i="6"/>
  <c r="E656" i="6"/>
  <c r="D656" i="6"/>
  <c r="C656" i="6"/>
  <c r="B656" i="6"/>
  <c r="A656" i="6"/>
  <c r="F655" i="6"/>
  <c r="E655" i="6"/>
  <c r="D655" i="6"/>
  <c r="C655" i="6"/>
  <c r="B655" i="6"/>
  <c r="A655" i="6"/>
  <c r="F654" i="6"/>
  <c r="E654" i="6"/>
  <c r="D654" i="6"/>
  <c r="C654" i="6"/>
  <c r="B654" i="6"/>
  <c r="A654" i="6"/>
  <c r="F653" i="6"/>
  <c r="E653" i="6"/>
  <c r="D653" i="6"/>
  <c r="C653" i="6"/>
  <c r="B653" i="6"/>
  <c r="A653" i="6"/>
  <c r="F652" i="6"/>
  <c r="E652" i="6"/>
  <c r="D652" i="6"/>
  <c r="C652" i="6"/>
  <c r="B652" i="6"/>
  <c r="A652" i="6"/>
  <c r="F651" i="6"/>
  <c r="E651" i="6"/>
  <c r="D651" i="6"/>
  <c r="C651" i="6"/>
  <c r="B651" i="6"/>
  <c r="A651" i="6"/>
  <c r="F650" i="6"/>
  <c r="E650" i="6"/>
  <c r="D650" i="6"/>
  <c r="C650" i="6"/>
  <c r="B650" i="6"/>
  <c r="A650" i="6"/>
  <c r="F649" i="6"/>
  <c r="E649" i="6"/>
  <c r="D649" i="6"/>
  <c r="C649" i="6"/>
  <c r="B649" i="6"/>
  <c r="A649" i="6"/>
  <c r="F648" i="6"/>
  <c r="E648" i="6"/>
  <c r="D648" i="6"/>
  <c r="C648" i="6"/>
  <c r="B648" i="6"/>
  <c r="A648" i="6"/>
  <c r="F647" i="6"/>
  <c r="E647" i="6"/>
  <c r="D647" i="6"/>
  <c r="C647" i="6"/>
  <c r="B647" i="6"/>
  <c r="A647" i="6"/>
  <c r="F646" i="6"/>
  <c r="E646" i="6"/>
  <c r="D646" i="6"/>
  <c r="C646" i="6"/>
  <c r="B646" i="6"/>
  <c r="A646" i="6"/>
  <c r="F645" i="6"/>
  <c r="E645" i="6"/>
  <c r="D645" i="6"/>
  <c r="C645" i="6"/>
  <c r="B645" i="6"/>
  <c r="A645" i="6"/>
  <c r="F644" i="6"/>
  <c r="E644" i="6"/>
  <c r="D644" i="6"/>
  <c r="C644" i="6"/>
  <c r="B644" i="6"/>
  <c r="A644" i="6"/>
  <c r="F643" i="6"/>
  <c r="E643" i="6"/>
  <c r="D643" i="6"/>
  <c r="C643" i="6"/>
  <c r="B643" i="6"/>
  <c r="A643" i="6"/>
  <c r="F642" i="6"/>
  <c r="E642" i="6"/>
  <c r="D642" i="6"/>
  <c r="C642" i="6"/>
  <c r="B642" i="6"/>
  <c r="A642" i="6"/>
  <c r="F641" i="6"/>
  <c r="E641" i="6"/>
  <c r="D641" i="6"/>
  <c r="C641" i="6"/>
  <c r="B641" i="6"/>
  <c r="A641" i="6"/>
  <c r="F640" i="6"/>
  <c r="E640" i="6"/>
  <c r="D640" i="6"/>
  <c r="C640" i="6"/>
  <c r="B640" i="6"/>
  <c r="A640" i="6"/>
  <c r="F639" i="6"/>
  <c r="E639" i="6"/>
  <c r="D639" i="6"/>
  <c r="C639" i="6"/>
  <c r="B639" i="6"/>
  <c r="A639" i="6"/>
  <c r="F638" i="6"/>
  <c r="E638" i="6"/>
  <c r="D638" i="6"/>
  <c r="C638" i="6"/>
  <c r="B638" i="6"/>
  <c r="A638" i="6"/>
  <c r="F637" i="6"/>
  <c r="E637" i="6"/>
  <c r="D637" i="6"/>
  <c r="C637" i="6"/>
  <c r="B637" i="6"/>
  <c r="A637" i="6"/>
  <c r="F636" i="6"/>
  <c r="E636" i="6"/>
  <c r="D636" i="6"/>
  <c r="C636" i="6"/>
  <c r="B636" i="6"/>
  <c r="A636" i="6"/>
  <c r="F635" i="6"/>
  <c r="E635" i="6"/>
  <c r="D635" i="6"/>
  <c r="C635" i="6"/>
  <c r="B635" i="6"/>
  <c r="A635" i="6"/>
  <c r="F634" i="6"/>
  <c r="E634" i="6"/>
  <c r="D634" i="6"/>
  <c r="C634" i="6"/>
  <c r="B634" i="6"/>
  <c r="A634" i="6"/>
  <c r="F633" i="6"/>
  <c r="E633" i="6"/>
  <c r="D633" i="6"/>
  <c r="C633" i="6"/>
  <c r="B633" i="6"/>
  <c r="A633" i="6"/>
  <c r="F632" i="6"/>
  <c r="E632" i="6"/>
  <c r="D632" i="6"/>
  <c r="C632" i="6"/>
  <c r="B632" i="6"/>
  <c r="A632" i="6"/>
  <c r="F631" i="6"/>
  <c r="E631" i="6"/>
  <c r="D631" i="6"/>
  <c r="C631" i="6"/>
  <c r="B631" i="6"/>
  <c r="A631" i="6"/>
  <c r="F630" i="6"/>
  <c r="E630" i="6"/>
  <c r="D630" i="6"/>
  <c r="C630" i="6"/>
  <c r="B630" i="6"/>
  <c r="A630" i="6"/>
  <c r="F629" i="6"/>
  <c r="E629" i="6"/>
  <c r="D629" i="6"/>
  <c r="C629" i="6"/>
  <c r="B629" i="6"/>
  <c r="A629" i="6"/>
  <c r="F628" i="6"/>
  <c r="E628" i="6"/>
  <c r="D628" i="6"/>
  <c r="C628" i="6"/>
  <c r="B628" i="6"/>
  <c r="A628" i="6"/>
  <c r="F627" i="6"/>
  <c r="E627" i="6"/>
  <c r="D627" i="6"/>
  <c r="C627" i="6"/>
  <c r="B627" i="6"/>
  <c r="A627" i="6"/>
  <c r="F626" i="6"/>
  <c r="E626" i="6"/>
  <c r="D626" i="6"/>
  <c r="C626" i="6"/>
  <c r="B626" i="6"/>
  <c r="A626" i="6"/>
  <c r="F625" i="6"/>
  <c r="E625" i="6"/>
  <c r="D625" i="6"/>
  <c r="C625" i="6"/>
  <c r="B625" i="6"/>
  <c r="A625" i="6"/>
  <c r="F624" i="6"/>
  <c r="E624" i="6"/>
  <c r="D624" i="6"/>
  <c r="C624" i="6"/>
  <c r="B624" i="6"/>
  <c r="A624" i="6"/>
  <c r="F623" i="6"/>
  <c r="E623" i="6"/>
  <c r="D623" i="6"/>
  <c r="C623" i="6"/>
  <c r="B623" i="6"/>
  <c r="A623" i="6"/>
  <c r="F622" i="6"/>
  <c r="E622" i="6"/>
  <c r="D622" i="6"/>
  <c r="C622" i="6"/>
  <c r="B622" i="6"/>
  <c r="A622" i="6"/>
  <c r="F621" i="6"/>
  <c r="E621" i="6"/>
  <c r="D621" i="6"/>
  <c r="C621" i="6"/>
  <c r="B621" i="6"/>
  <c r="A621" i="6"/>
  <c r="F620" i="6"/>
  <c r="E620" i="6"/>
  <c r="D620" i="6"/>
  <c r="C620" i="6"/>
  <c r="B620" i="6"/>
  <c r="A620" i="6"/>
  <c r="F619" i="6"/>
  <c r="E619" i="6"/>
  <c r="D619" i="6"/>
  <c r="C619" i="6"/>
  <c r="B619" i="6"/>
  <c r="A619" i="6"/>
  <c r="F618" i="6"/>
  <c r="E618" i="6"/>
  <c r="D618" i="6"/>
  <c r="C618" i="6"/>
  <c r="B618" i="6"/>
  <c r="A618" i="6"/>
  <c r="F617" i="6"/>
  <c r="E617" i="6"/>
  <c r="D617" i="6"/>
  <c r="C617" i="6"/>
  <c r="B617" i="6"/>
  <c r="A617" i="6"/>
  <c r="F616" i="6"/>
  <c r="E616" i="6"/>
  <c r="D616" i="6"/>
  <c r="C616" i="6"/>
  <c r="B616" i="6"/>
  <c r="A616" i="6"/>
  <c r="F615" i="6"/>
  <c r="E615" i="6"/>
  <c r="D615" i="6"/>
  <c r="C615" i="6"/>
  <c r="B615" i="6"/>
  <c r="A615" i="6"/>
  <c r="F614" i="6"/>
  <c r="E614" i="6"/>
  <c r="D614" i="6"/>
  <c r="C614" i="6"/>
  <c r="B614" i="6"/>
  <c r="A614" i="6"/>
  <c r="F613" i="6"/>
  <c r="E613" i="6"/>
  <c r="D613" i="6"/>
  <c r="C613" i="6"/>
  <c r="B613" i="6"/>
  <c r="A613" i="6"/>
  <c r="F612" i="6"/>
  <c r="E612" i="6"/>
  <c r="D612" i="6"/>
  <c r="C612" i="6"/>
  <c r="B612" i="6"/>
  <c r="A612" i="6"/>
  <c r="F611" i="6"/>
  <c r="E611" i="6"/>
  <c r="D611" i="6"/>
  <c r="C611" i="6"/>
  <c r="B611" i="6"/>
  <c r="A611" i="6"/>
  <c r="F610" i="6"/>
  <c r="E610" i="6"/>
  <c r="D610" i="6"/>
  <c r="C610" i="6"/>
  <c r="B610" i="6"/>
  <c r="A610" i="6"/>
  <c r="F609" i="6"/>
  <c r="E609" i="6"/>
  <c r="D609" i="6"/>
  <c r="C609" i="6"/>
  <c r="B609" i="6"/>
  <c r="A609" i="6"/>
  <c r="F608" i="6"/>
  <c r="E608" i="6"/>
  <c r="D608" i="6"/>
  <c r="C608" i="6"/>
  <c r="B608" i="6"/>
  <c r="A608" i="6"/>
  <c r="F607" i="6"/>
  <c r="E607" i="6"/>
  <c r="D607" i="6"/>
  <c r="C607" i="6"/>
  <c r="B607" i="6"/>
  <c r="A607" i="6"/>
  <c r="F606" i="6"/>
  <c r="E606" i="6"/>
  <c r="D606" i="6"/>
  <c r="C606" i="6"/>
  <c r="B606" i="6"/>
  <c r="A606" i="6"/>
  <c r="F605" i="6"/>
  <c r="E605" i="6"/>
  <c r="D605" i="6"/>
  <c r="C605" i="6"/>
  <c r="B605" i="6"/>
  <c r="A605" i="6"/>
  <c r="F604" i="6"/>
  <c r="E604" i="6"/>
  <c r="D604" i="6"/>
  <c r="C604" i="6"/>
  <c r="B604" i="6"/>
  <c r="A604" i="6"/>
  <c r="F603" i="6"/>
  <c r="E603" i="6"/>
  <c r="D603" i="6"/>
  <c r="C603" i="6"/>
  <c r="B603" i="6"/>
  <c r="A603" i="6"/>
  <c r="F602" i="6"/>
  <c r="E602" i="6"/>
  <c r="D602" i="6"/>
  <c r="C602" i="6"/>
  <c r="B602" i="6"/>
  <c r="A602" i="6"/>
  <c r="F601" i="6"/>
  <c r="E601" i="6"/>
  <c r="D601" i="6"/>
  <c r="C601" i="6"/>
  <c r="B601" i="6"/>
  <c r="A601" i="6"/>
  <c r="F600" i="6"/>
  <c r="E600" i="6"/>
  <c r="D600" i="6"/>
  <c r="C600" i="6"/>
  <c r="B600" i="6"/>
  <c r="A600" i="6"/>
  <c r="F599" i="6"/>
  <c r="E599" i="6"/>
  <c r="D599" i="6"/>
  <c r="C599" i="6"/>
  <c r="B599" i="6"/>
  <c r="A599" i="6"/>
  <c r="F598" i="6"/>
  <c r="E598" i="6"/>
  <c r="D598" i="6"/>
  <c r="C598" i="6"/>
  <c r="B598" i="6"/>
  <c r="A598" i="6"/>
  <c r="F597" i="6"/>
  <c r="E597" i="6"/>
  <c r="D597" i="6"/>
  <c r="C597" i="6"/>
  <c r="B597" i="6"/>
  <c r="A597" i="6"/>
  <c r="F596" i="6"/>
  <c r="E596" i="6"/>
  <c r="D596" i="6"/>
  <c r="C596" i="6"/>
  <c r="B596" i="6"/>
  <c r="A596" i="6"/>
  <c r="F595" i="6"/>
  <c r="E595" i="6"/>
  <c r="D595" i="6"/>
  <c r="C595" i="6"/>
  <c r="B595" i="6"/>
  <c r="A595" i="6"/>
  <c r="F594" i="6"/>
  <c r="E594" i="6"/>
  <c r="D594" i="6"/>
  <c r="C594" i="6"/>
  <c r="B594" i="6"/>
  <c r="A594" i="6"/>
  <c r="F593" i="6"/>
  <c r="E593" i="6"/>
  <c r="D593" i="6"/>
  <c r="C593" i="6"/>
  <c r="B593" i="6"/>
  <c r="A593" i="6"/>
  <c r="F592" i="6"/>
  <c r="E592" i="6"/>
  <c r="D592" i="6"/>
  <c r="C592" i="6"/>
  <c r="B592" i="6"/>
  <c r="A592" i="6"/>
  <c r="F591" i="6"/>
  <c r="E591" i="6"/>
  <c r="D591" i="6"/>
  <c r="C591" i="6"/>
  <c r="B591" i="6"/>
  <c r="A591" i="6"/>
  <c r="F590" i="6"/>
  <c r="E590" i="6"/>
  <c r="D590" i="6"/>
  <c r="C590" i="6"/>
  <c r="B590" i="6"/>
  <c r="A590" i="6"/>
  <c r="F589" i="6"/>
  <c r="E589" i="6"/>
  <c r="D589" i="6"/>
  <c r="C589" i="6"/>
  <c r="B589" i="6"/>
  <c r="A589" i="6"/>
  <c r="F588" i="6"/>
  <c r="E588" i="6"/>
  <c r="D588" i="6"/>
  <c r="C588" i="6"/>
  <c r="B588" i="6"/>
  <c r="A588" i="6"/>
  <c r="F587" i="6"/>
  <c r="E587" i="6"/>
  <c r="D587" i="6"/>
  <c r="C587" i="6"/>
  <c r="B587" i="6"/>
  <c r="A587" i="6"/>
  <c r="F586" i="6"/>
  <c r="E586" i="6"/>
  <c r="D586" i="6"/>
  <c r="C586" i="6"/>
  <c r="B586" i="6"/>
  <c r="A586" i="6"/>
  <c r="F585" i="6"/>
  <c r="E585" i="6"/>
  <c r="D585" i="6"/>
  <c r="C585" i="6"/>
  <c r="B585" i="6"/>
  <c r="A585" i="6"/>
  <c r="F584" i="6"/>
  <c r="E584" i="6"/>
  <c r="D584" i="6"/>
  <c r="C584" i="6"/>
  <c r="B584" i="6"/>
  <c r="A584" i="6"/>
  <c r="F583" i="6"/>
  <c r="E583" i="6"/>
  <c r="D583" i="6"/>
  <c r="C583" i="6"/>
  <c r="B583" i="6"/>
  <c r="A583" i="6"/>
  <c r="F582" i="6"/>
  <c r="E582" i="6"/>
  <c r="D582" i="6"/>
  <c r="C582" i="6"/>
  <c r="B582" i="6"/>
  <c r="A582" i="6"/>
  <c r="F581" i="6"/>
  <c r="E581" i="6"/>
  <c r="D581" i="6"/>
  <c r="C581" i="6"/>
  <c r="B581" i="6"/>
  <c r="A581" i="6"/>
  <c r="F580" i="6"/>
  <c r="E580" i="6"/>
  <c r="D580" i="6"/>
  <c r="C580" i="6"/>
  <c r="B580" i="6"/>
  <c r="A580" i="6"/>
  <c r="F579" i="6"/>
  <c r="E579" i="6"/>
  <c r="D579" i="6"/>
  <c r="C579" i="6"/>
  <c r="B579" i="6"/>
  <c r="A579" i="6"/>
  <c r="F578" i="6"/>
  <c r="E578" i="6"/>
  <c r="D578" i="6"/>
  <c r="C578" i="6"/>
  <c r="B578" i="6"/>
  <c r="A578" i="6"/>
  <c r="F577" i="6"/>
  <c r="E577" i="6"/>
  <c r="D577" i="6"/>
  <c r="C577" i="6"/>
  <c r="B577" i="6"/>
  <c r="A577" i="6"/>
  <c r="F576" i="6"/>
  <c r="E576" i="6"/>
  <c r="D576" i="6"/>
  <c r="C576" i="6"/>
  <c r="B576" i="6"/>
  <c r="A576" i="6"/>
  <c r="F575" i="6"/>
  <c r="E575" i="6"/>
  <c r="D575" i="6"/>
  <c r="C575" i="6"/>
  <c r="B575" i="6"/>
  <c r="A575" i="6"/>
  <c r="F574" i="6"/>
  <c r="E574" i="6"/>
  <c r="D574" i="6"/>
  <c r="C574" i="6"/>
  <c r="B574" i="6"/>
  <c r="A574" i="6"/>
  <c r="F573" i="6"/>
  <c r="E573" i="6"/>
  <c r="D573" i="6"/>
  <c r="C573" i="6"/>
  <c r="B573" i="6"/>
  <c r="A573" i="6"/>
  <c r="F572" i="6"/>
  <c r="E572" i="6"/>
  <c r="D572" i="6"/>
  <c r="C572" i="6"/>
  <c r="B572" i="6"/>
  <c r="A572" i="6"/>
  <c r="F571" i="6"/>
  <c r="E571" i="6"/>
  <c r="D571" i="6"/>
  <c r="C571" i="6"/>
  <c r="B571" i="6"/>
  <c r="A571" i="6"/>
  <c r="F570" i="6"/>
  <c r="E570" i="6"/>
  <c r="D570" i="6"/>
  <c r="C570" i="6"/>
  <c r="B570" i="6"/>
  <c r="A570" i="6"/>
  <c r="F569" i="6"/>
  <c r="E569" i="6"/>
  <c r="D569" i="6"/>
  <c r="C569" i="6"/>
  <c r="B569" i="6"/>
  <c r="A569" i="6"/>
  <c r="F568" i="6"/>
  <c r="E568" i="6"/>
  <c r="D568" i="6"/>
  <c r="C568" i="6"/>
  <c r="B568" i="6"/>
  <c r="A568" i="6"/>
  <c r="F567" i="6"/>
  <c r="E567" i="6"/>
  <c r="D567" i="6"/>
  <c r="C567" i="6"/>
  <c r="B567" i="6"/>
  <c r="A567" i="6"/>
  <c r="F566" i="6"/>
  <c r="E566" i="6"/>
  <c r="D566" i="6"/>
  <c r="C566" i="6"/>
  <c r="B566" i="6"/>
  <c r="A566" i="6"/>
  <c r="F565" i="6"/>
  <c r="E565" i="6"/>
  <c r="D565" i="6"/>
  <c r="C565" i="6"/>
  <c r="B565" i="6"/>
  <c r="A565" i="6"/>
  <c r="F564" i="6"/>
  <c r="E564" i="6"/>
  <c r="D564" i="6"/>
  <c r="C564" i="6"/>
  <c r="B564" i="6"/>
  <c r="A564" i="6"/>
  <c r="F563" i="6"/>
  <c r="E563" i="6"/>
  <c r="D563" i="6"/>
  <c r="C563" i="6"/>
  <c r="B563" i="6"/>
  <c r="A563" i="6"/>
  <c r="F562" i="6"/>
  <c r="E562" i="6"/>
  <c r="D562" i="6"/>
  <c r="C562" i="6"/>
  <c r="B562" i="6"/>
  <c r="A562" i="6"/>
  <c r="F561" i="6"/>
  <c r="E561" i="6"/>
  <c r="D561" i="6"/>
  <c r="C561" i="6"/>
  <c r="B561" i="6"/>
  <c r="A561" i="6"/>
  <c r="F560" i="6"/>
  <c r="E560" i="6"/>
  <c r="D560" i="6"/>
  <c r="C560" i="6"/>
  <c r="B560" i="6"/>
  <c r="A560" i="6"/>
  <c r="F559" i="6"/>
  <c r="E559" i="6"/>
  <c r="D559" i="6"/>
  <c r="C559" i="6"/>
  <c r="B559" i="6"/>
  <c r="A559" i="6"/>
  <c r="F558" i="6"/>
  <c r="E558" i="6"/>
  <c r="D558" i="6"/>
  <c r="C558" i="6"/>
  <c r="B558" i="6"/>
  <c r="A558" i="6"/>
  <c r="F557" i="6"/>
  <c r="E557" i="6"/>
  <c r="D557" i="6"/>
  <c r="C557" i="6"/>
  <c r="B557" i="6"/>
  <c r="A557" i="6"/>
  <c r="F556" i="6"/>
  <c r="E556" i="6"/>
  <c r="D556" i="6"/>
  <c r="C556" i="6"/>
  <c r="B556" i="6"/>
  <c r="A556" i="6"/>
  <c r="F555" i="6"/>
  <c r="E555" i="6"/>
  <c r="D555" i="6"/>
  <c r="C555" i="6"/>
  <c r="B555" i="6"/>
  <c r="A555" i="6"/>
  <c r="F554" i="6"/>
  <c r="E554" i="6"/>
  <c r="D554" i="6"/>
  <c r="C554" i="6"/>
  <c r="B554" i="6"/>
  <c r="A554" i="6"/>
  <c r="F553" i="6"/>
  <c r="E553" i="6"/>
  <c r="D553" i="6"/>
  <c r="C553" i="6"/>
  <c r="B553" i="6"/>
  <c r="A553" i="6"/>
  <c r="F552" i="6"/>
  <c r="E552" i="6"/>
  <c r="D552" i="6"/>
  <c r="C552" i="6"/>
  <c r="B552" i="6"/>
  <c r="A552" i="6"/>
  <c r="F551" i="6"/>
  <c r="E551" i="6"/>
  <c r="D551" i="6"/>
  <c r="C551" i="6"/>
  <c r="B551" i="6"/>
  <c r="A551" i="6"/>
  <c r="F550" i="6"/>
  <c r="E550" i="6"/>
  <c r="D550" i="6"/>
  <c r="C550" i="6"/>
  <c r="B550" i="6"/>
  <c r="A550" i="6"/>
  <c r="F549" i="6"/>
  <c r="E549" i="6"/>
  <c r="D549" i="6"/>
  <c r="C549" i="6"/>
  <c r="B549" i="6"/>
  <c r="A549" i="6"/>
  <c r="F548" i="6"/>
  <c r="E548" i="6"/>
  <c r="D548" i="6"/>
  <c r="C548" i="6"/>
  <c r="B548" i="6"/>
  <c r="A548" i="6"/>
  <c r="F547" i="6"/>
  <c r="E547" i="6"/>
  <c r="D547" i="6"/>
  <c r="C547" i="6"/>
  <c r="B547" i="6"/>
  <c r="A547" i="6"/>
  <c r="F546" i="6"/>
  <c r="E546" i="6"/>
  <c r="D546" i="6"/>
  <c r="C546" i="6"/>
  <c r="B546" i="6"/>
  <c r="A546" i="6"/>
  <c r="F545" i="6"/>
  <c r="E545" i="6"/>
  <c r="D545" i="6"/>
  <c r="C545" i="6"/>
  <c r="B545" i="6"/>
  <c r="A545" i="6"/>
  <c r="F544" i="6"/>
  <c r="E544" i="6"/>
  <c r="D544" i="6"/>
  <c r="C544" i="6"/>
  <c r="B544" i="6"/>
  <c r="A544" i="6"/>
  <c r="F543" i="6"/>
  <c r="E543" i="6"/>
  <c r="D543" i="6"/>
  <c r="C543" i="6"/>
  <c r="B543" i="6"/>
  <c r="A543" i="6"/>
  <c r="F542" i="6"/>
  <c r="E542" i="6"/>
  <c r="D542" i="6"/>
  <c r="C542" i="6"/>
  <c r="B542" i="6"/>
  <c r="A542" i="6"/>
  <c r="F541" i="6"/>
  <c r="E541" i="6"/>
  <c r="D541" i="6"/>
  <c r="C541" i="6"/>
  <c r="B541" i="6"/>
  <c r="A541" i="6"/>
  <c r="F540" i="6"/>
  <c r="E540" i="6"/>
  <c r="D540" i="6"/>
  <c r="C540" i="6"/>
  <c r="B540" i="6"/>
  <c r="A540" i="6"/>
  <c r="F539" i="6"/>
  <c r="E539" i="6"/>
  <c r="D539" i="6"/>
  <c r="C539" i="6"/>
  <c r="B539" i="6"/>
  <c r="A539" i="6"/>
  <c r="F538" i="6"/>
  <c r="E538" i="6"/>
  <c r="D538" i="6"/>
  <c r="C538" i="6"/>
  <c r="B538" i="6"/>
  <c r="A538" i="6"/>
  <c r="F537" i="6"/>
  <c r="E537" i="6"/>
  <c r="D537" i="6"/>
  <c r="C537" i="6"/>
  <c r="B537" i="6"/>
  <c r="A537" i="6"/>
  <c r="F536" i="6"/>
  <c r="E536" i="6"/>
  <c r="D536" i="6"/>
  <c r="C536" i="6"/>
  <c r="B536" i="6"/>
  <c r="A536" i="6"/>
  <c r="F535" i="6"/>
  <c r="E535" i="6"/>
  <c r="D535" i="6"/>
  <c r="C535" i="6"/>
  <c r="B535" i="6"/>
  <c r="A535" i="6"/>
  <c r="F534" i="6"/>
  <c r="E534" i="6"/>
  <c r="D534" i="6"/>
  <c r="C534" i="6"/>
  <c r="B534" i="6"/>
  <c r="A534" i="6"/>
  <c r="F533" i="6"/>
  <c r="E533" i="6"/>
  <c r="D533" i="6"/>
  <c r="C533" i="6"/>
  <c r="B533" i="6"/>
  <c r="A533" i="6"/>
  <c r="F532" i="6"/>
  <c r="E532" i="6"/>
  <c r="D532" i="6"/>
  <c r="C532" i="6"/>
  <c r="B532" i="6"/>
  <c r="A532" i="6"/>
  <c r="F531" i="6"/>
  <c r="E531" i="6"/>
  <c r="D531" i="6"/>
  <c r="C531" i="6"/>
  <c r="B531" i="6"/>
  <c r="A531" i="6"/>
  <c r="F530" i="6"/>
  <c r="E530" i="6"/>
  <c r="D530" i="6"/>
  <c r="C530" i="6"/>
  <c r="B530" i="6"/>
  <c r="A530" i="6"/>
  <c r="F529" i="6"/>
  <c r="E529" i="6"/>
  <c r="D529" i="6"/>
  <c r="C529" i="6"/>
  <c r="B529" i="6"/>
  <c r="A529" i="6"/>
  <c r="F528" i="6"/>
  <c r="E528" i="6"/>
  <c r="D528" i="6"/>
  <c r="C528" i="6"/>
  <c r="B528" i="6"/>
  <c r="A528" i="6"/>
  <c r="F527" i="6"/>
  <c r="E527" i="6"/>
  <c r="D527" i="6"/>
  <c r="C527" i="6"/>
  <c r="B527" i="6"/>
  <c r="A527" i="6"/>
  <c r="F526" i="6"/>
  <c r="E526" i="6"/>
  <c r="D526" i="6"/>
  <c r="C526" i="6"/>
  <c r="B526" i="6"/>
  <c r="A526" i="6"/>
  <c r="F525" i="6"/>
  <c r="E525" i="6"/>
  <c r="D525" i="6"/>
  <c r="C525" i="6"/>
  <c r="B525" i="6"/>
  <c r="A525" i="6"/>
  <c r="F524" i="6"/>
  <c r="E524" i="6"/>
  <c r="D524" i="6"/>
  <c r="C524" i="6"/>
  <c r="B524" i="6"/>
  <c r="A524" i="6"/>
  <c r="F523" i="6"/>
  <c r="E523" i="6"/>
  <c r="D523" i="6"/>
  <c r="C523" i="6"/>
  <c r="B523" i="6"/>
  <c r="A523" i="6"/>
  <c r="F522" i="6"/>
  <c r="E522" i="6"/>
  <c r="D522" i="6"/>
  <c r="C522" i="6"/>
  <c r="B522" i="6"/>
  <c r="A522" i="6"/>
  <c r="F521" i="6"/>
  <c r="E521" i="6"/>
  <c r="D521" i="6"/>
  <c r="C521" i="6"/>
  <c r="B521" i="6"/>
  <c r="A521" i="6"/>
  <c r="F520" i="6"/>
  <c r="E520" i="6"/>
  <c r="D520" i="6"/>
  <c r="C520" i="6"/>
  <c r="B520" i="6"/>
  <c r="A520" i="6"/>
  <c r="F519" i="6"/>
  <c r="E519" i="6"/>
  <c r="D519" i="6"/>
  <c r="C519" i="6"/>
  <c r="B519" i="6"/>
  <c r="A519" i="6"/>
  <c r="F518" i="6"/>
  <c r="E518" i="6"/>
  <c r="D518" i="6"/>
  <c r="C518" i="6"/>
  <c r="B518" i="6"/>
  <c r="A518" i="6"/>
  <c r="F517" i="6"/>
  <c r="E517" i="6"/>
  <c r="D517" i="6"/>
  <c r="C517" i="6"/>
  <c r="B517" i="6"/>
  <c r="A517" i="6"/>
  <c r="F516" i="6"/>
  <c r="E516" i="6"/>
  <c r="D516" i="6"/>
  <c r="C516" i="6"/>
  <c r="B516" i="6"/>
  <c r="A516" i="6"/>
  <c r="F515" i="6"/>
  <c r="E515" i="6"/>
  <c r="D515" i="6"/>
  <c r="C515" i="6"/>
  <c r="B515" i="6"/>
  <c r="A515" i="6"/>
  <c r="F514" i="6"/>
  <c r="E514" i="6"/>
  <c r="D514" i="6"/>
  <c r="C514" i="6"/>
  <c r="B514" i="6"/>
  <c r="A514" i="6"/>
  <c r="F513" i="6"/>
  <c r="E513" i="6"/>
  <c r="D513" i="6"/>
  <c r="C513" i="6"/>
  <c r="B513" i="6"/>
  <c r="A513" i="6"/>
  <c r="F512" i="6"/>
  <c r="E512" i="6"/>
  <c r="D512" i="6"/>
  <c r="C512" i="6"/>
  <c r="B512" i="6"/>
  <c r="A512" i="6"/>
  <c r="F511" i="6"/>
  <c r="E511" i="6"/>
  <c r="D511" i="6"/>
  <c r="C511" i="6"/>
  <c r="B511" i="6"/>
  <c r="A511" i="6"/>
  <c r="F510" i="6"/>
  <c r="E510" i="6"/>
  <c r="D510" i="6"/>
  <c r="C510" i="6"/>
  <c r="B510" i="6"/>
  <c r="A510" i="6"/>
  <c r="F509" i="6"/>
  <c r="E509" i="6"/>
  <c r="D509" i="6"/>
  <c r="C509" i="6"/>
  <c r="B509" i="6"/>
  <c r="A509" i="6"/>
  <c r="F508" i="6"/>
  <c r="E508" i="6"/>
  <c r="D508" i="6"/>
  <c r="C508" i="6"/>
  <c r="B508" i="6"/>
  <c r="A508" i="6"/>
  <c r="F507" i="6"/>
  <c r="E507" i="6"/>
  <c r="D507" i="6"/>
  <c r="C507" i="6"/>
  <c r="B507" i="6"/>
  <c r="A507" i="6"/>
  <c r="F506" i="6"/>
  <c r="E506" i="6"/>
  <c r="D506" i="6"/>
  <c r="C506" i="6"/>
  <c r="B506" i="6"/>
  <c r="A506" i="6"/>
  <c r="F505" i="6"/>
  <c r="E505" i="6"/>
  <c r="D505" i="6"/>
  <c r="C505" i="6"/>
  <c r="B505" i="6"/>
  <c r="A505" i="6"/>
  <c r="F504" i="6"/>
  <c r="E504" i="6"/>
  <c r="D504" i="6"/>
  <c r="C504" i="6"/>
  <c r="B504" i="6"/>
  <c r="A504" i="6"/>
  <c r="F503" i="6"/>
  <c r="E503" i="6"/>
  <c r="D503" i="6"/>
  <c r="C503" i="6"/>
  <c r="B503" i="6"/>
  <c r="A503" i="6"/>
  <c r="F502" i="6"/>
  <c r="E502" i="6"/>
  <c r="D502" i="6"/>
  <c r="C502" i="6"/>
  <c r="B502" i="6"/>
  <c r="A502" i="6"/>
  <c r="F501" i="6"/>
  <c r="E501" i="6"/>
  <c r="D501" i="6"/>
  <c r="C501" i="6"/>
  <c r="B501" i="6"/>
  <c r="A501" i="6"/>
  <c r="F500" i="6"/>
  <c r="E500" i="6"/>
  <c r="D500" i="6"/>
  <c r="C500" i="6"/>
  <c r="B500" i="6"/>
  <c r="A500" i="6"/>
  <c r="F499" i="6"/>
  <c r="E499" i="6"/>
  <c r="D499" i="6"/>
  <c r="C499" i="6"/>
  <c r="B499" i="6"/>
  <c r="A499" i="6"/>
  <c r="F498" i="6"/>
  <c r="E498" i="6"/>
  <c r="D498" i="6"/>
  <c r="C498" i="6"/>
  <c r="B498" i="6"/>
  <c r="A498" i="6"/>
  <c r="F497" i="6"/>
  <c r="E497" i="6"/>
  <c r="D497" i="6"/>
  <c r="C497" i="6"/>
  <c r="B497" i="6"/>
  <c r="A497" i="6"/>
  <c r="F496" i="6"/>
  <c r="E496" i="6"/>
  <c r="D496" i="6"/>
  <c r="C496" i="6"/>
  <c r="B496" i="6"/>
  <c r="A496" i="6"/>
  <c r="F495" i="6"/>
  <c r="E495" i="6"/>
  <c r="D495" i="6"/>
  <c r="C495" i="6"/>
  <c r="B495" i="6"/>
  <c r="A495" i="6"/>
  <c r="F494" i="6"/>
  <c r="E494" i="6"/>
  <c r="D494" i="6"/>
  <c r="C494" i="6"/>
  <c r="B494" i="6"/>
  <c r="A494" i="6"/>
  <c r="F493" i="6"/>
  <c r="E493" i="6"/>
  <c r="D493" i="6"/>
  <c r="C493" i="6"/>
  <c r="B493" i="6"/>
  <c r="A493" i="6"/>
  <c r="F492" i="6"/>
  <c r="E492" i="6"/>
  <c r="D492" i="6"/>
  <c r="C492" i="6"/>
  <c r="B492" i="6"/>
  <c r="A492" i="6"/>
  <c r="F491" i="6"/>
  <c r="E491" i="6"/>
  <c r="D491" i="6"/>
  <c r="C491" i="6"/>
  <c r="B491" i="6"/>
  <c r="A491" i="6"/>
  <c r="F490" i="6"/>
  <c r="E490" i="6"/>
  <c r="D490" i="6"/>
  <c r="C490" i="6"/>
  <c r="B490" i="6"/>
  <c r="A490" i="6"/>
  <c r="F489" i="6"/>
  <c r="E489" i="6"/>
  <c r="D489" i="6"/>
  <c r="C489" i="6"/>
  <c r="B489" i="6"/>
  <c r="A489" i="6"/>
  <c r="F488" i="6"/>
  <c r="E488" i="6"/>
  <c r="D488" i="6"/>
  <c r="C488" i="6"/>
  <c r="B488" i="6"/>
  <c r="A488" i="6"/>
  <c r="F487" i="6"/>
  <c r="E487" i="6"/>
  <c r="D487" i="6"/>
  <c r="C487" i="6"/>
  <c r="B487" i="6"/>
  <c r="A487" i="6"/>
  <c r="F486" i="6"/>
  <c r="E486" i="6"/>
  <c r="D486" i="6"/>
  <c r="C486" i="6"/>
  <c r="B486" i="6"/>
  <c r="A486" i="6"/>
  <c r="F485" i="6"/>
  <c r="E485" i="6"/>
  <c r="D485" i="6"/>
  <c r="C485" i="6"/>
  <c r="B485" i="6"/>
  <c r="A485" i="6"/>
  <c r="F484" i="6"/>
  <c r="E484" i="6"/>
  <c r="D484" i="6"/>
  <c r="C484" i="6"/>
  <c r="B484" i="6"/>
  <c r="A484" i="6"/>
  <c r="F483" i="6"/>
  <c r="E483" i="6"/>
  <c r="D483" i="6"/>
  <c r="C483" i="6"/>
  <c r="B483" i="6"/>
  <c r="A483" i="6"/>
  <c r="F482" i="6"/>
  <c r="E482" i="6"/>
  <c r="D482" i="6"/>
  <c r="C482" i="6"/>
  <c r="B482" i="6"/>
  <c r="A482" i="6"/>
  <c r="F481" i="6"/>
  <c r="E481" i="6"/>
  <c r="D481" i="6"/>
  <c r="C481" i="6"/>
  <c r="B481" i="6"/>
  <c r="A481" i="6"/>
  <c r="F480" i="6"/>
  <c r="E480" i="6"/>
  <c r="D480" i="6"/>
  <c r="C480" i="6"/>
  <c r="B480" i="6"/>
  <c r="A480" i="6"/>
  <c r="F479" i="6"/>
  <c r="E479" i="6"/>
  <c r="D479" i="6"/>
  <c r="C479" i="6"/>
  <c r="B479" i="6"/>
  <c r="A479" i="6"/>
  <c r="F478" i="6"/>
  <c r="E478" i="6"/>
  <c r="D478" i="6"/>
  <c r="C478" i="6"/>
  <c r="B478" i="6"/>
  <c r="A478" i="6"/>
  <c r="F477" i="6"/>
  <c r="E477" i="6"/>
  <c r="D477" i="6"/>
  <c r="C477" i="6"/>
  <c r="B477" i="6"/>
  <c r="A477" i="6"/>
  <c r="F476" i="6"/>
  <c r="E476" i="6"/>
  <c r="D476" i="6"/>
  <c r="C476" i="6"/>
  <c r="B476" i="6"/>
  <c r="A476" i="6"/>
  <c r="F475" i="6"/>
  <c r="E475" i="6"/>
  <c r="D475" i="6"/>
  <c r="C475" i="6"/>
  <c r="B475" i="6"/>
  <c r="A475" i="6"/>
  <c r="F474" i="6"/>
  <c r="E474" i="6"/>
  <c r="D474" i="6"/>
  <c r="C474" i="6"/>
  <c r="B474" i="6"/>
  <c r="A474" i="6"/>
  <c r="F473" i="6"/>
  <c r="E473" i="6"/>
  <c r="D473" i="6"/>
  <c r="C473" i="6"/>
  <c r="B473" i="6"/>
  <c r="A473" i="6"/>
  <c r="F472" i="6"/>
  <c r="E472" i="6"/>
  <c r="D472" i="6"/>
  <c r="C472" i="6"/>
  <c r="B472" i="6"/>
  <c r="A472" i="6"/>
  <c r="F471" i="6"/>
  <c r="E471" i="6"/>
  <c r="D471" i="6"/>
  <c r="C471" i="6"/>
  <c r="B471" i="6"/>
  <c r="A471" i="6"/>
  <c r="F470" i="6"/>
  <c r="E470" i="6"/>
  <c r="D470" i="6"/>
  <c r="C470" i="6"/>
  <c r="B470" i="6"/>
  <c r="A470" i="6"/>
  <c r="F469" i="6"/>
  <c r="E469" i="6"/>
  <c r="D469" i="6"/>
  <c r="C469" i="6"/>
  <c r="B469" i="6"/>
  <c r="A469" i="6"/>
  <c r="F468" i="6"/>
  <c r="E468" i="6"/>
  <c r="D468" i="6"/>
  <c r="C468" i="6"/>
  <c r="B468" i="6"/>
  <c r="A468" i="6"/>
  <c r="F467" i="6"/>
  <c r="E467" i="6"/>
  <c r="D467" i="6"/>
  <c r="C467" i="6"/>
  <c r="B467" i="6"/>
  <c r="A467" i="6"/>
  <c r="F466" i="6"/>
  <c r="E466" i="6"/>
  <c r="D466" i="6"/>
  <c r="C466" i="6"/>
  <c r="B466" i="6"/>
  <c r="A466" i="6"/>
  <c r="F465" i="6"/>
  <c r="E465" i="6"/>
  <c r="D465" i="6"/>
  <c r="C465" i="6"/>
  <c r="B465" i="6"/>
  <c r="A465" i="6"/>
  <c r="F464" i="6"/>
  <c r="E464" i="6"/>
  <c r="D464" i="6"/>
  <c r="C464" i="6"/>
  <c r="B464" i="6"/>
  <c r="A464" i="6"/>
  <c r="F463" i="6"/>
  <c r="E463" i="6"/>
  <c r="D463" i="6"/>
  <c r="C463" i="6"/>
  <c r="B463" i="6"/>
  <c r="A463" i="6"/>
  <c r="F462" i="6"/>
  <c r="E462" i="6"/>
  <c r="D462" i="6"/>
  <c r="C462" i="6"/>
  <c r="B462" i="6"/>
  <c r="A462" i="6"/>
  <c r="F461" i="6"/>
  <c r="E461" i="6"/>
  <c r="D461" i="6"/>
  <c r="C461" i="6"/>
  <c r="B461" i="6"/>
  <c r="A461" i="6"/>
  <c r="F460" i="6"/>
  <c r="E460" i="6"/>
  <c r="D460" i="6"/>
  <c r="C460" i="6"/>
  <c r="B460" i="6"/>
  <c r="A460" i="6"/>
  <c r="F459" i="6"/>
  <c r="E459" i="6"/>
  <c r="D459" i="6"/>
  <c r="C459" i="6"/>
  <c r="B459" i="6"/>
  <c r="A459" i="6"/>
  <c r="F458" i="6"/>
  <c r="E458" i="6"/>
  <c r="D458" i="6"/>
  <c r="C458" i="6"/>
  <c r="B458" i="6"/>
  <c r="A458" i="6"/>
  <c r="F457" i="6"/>
  <c r="E457" i="6"/>
  <c r="D457" i="6"/>
  <c r="C457" i="6"/>
  <c r="B457" i="6"/>
  <c r="A457" i="6"/>
  <c r="F456" i="6"/>
  <c r="E456" i="6"/>
  <c r="D456" i="6"/>
  <c r="C456" i="6"/>
  <c r="B456" i="6"/>
  <c r="A456" i="6"/>
  <c r="F455" i="6"/>
  <c r="E455" i="6"/>
  <c r="D455" i="6"/>
  <c r="C455" i="6"/>
  <c r="B455" i="6"/>
  <c r="A455" i="6"/>
  <c r="F454" i="6"/>
  <c r="E454" i="6"/>
  <c r="D454" i="6"/>
  <c r="C454" i="6"/>
  <c r="B454" i="6"/>
  <c r="A454" i="6"/>
  <c r="F453" i="6"/>
  <c r="E453" i="6"/>
  <c r="D453" i="6"/>
  <c r="C453" i="6"/>
  <c r="B453" i="6"/>
  <c r="A453" i="6"/>
  <c r="F452" i="6"/>
  <c r="E452" i="6"/>
  <c r="D452" i="6"/>
  <c r="C452" i="6"/>
  <c r="B452" i="6"/>
  <c r="A452" i="6"/>
  <c r="F451" i="6"/>
  <c r="E451" i="6"/>
  <c r="D451" i="6"/>
  <c r="C451" i="6"/>
  <c r="B451" i="6"/>
  <c r="A451" i="6"/>
  <c r="F450" i="6"/>
  <c r="E450" i="6"/>
  <c r="D450" i="6"/>
  <c r="C450" i="6"/>
  <c r="B450" i="6"/>
  <c r="A450" i="6"/>
  <c r="F449" i="6"/>
  <c r="E449" i="6"/>
  <c r="D449" i="6"/>
  <c r="C449" i="6"/>
  <c r="B449" i="6"/>
  <c r="A449" i="6"/>
  <c r="F448" i="6"/>
  <c r="E448" i="6"/>
  <c r="D448" i="6"/>
  <c r="C448" i="6"/>
  <c r="B448" i="6"/>
  <c r="A448" i="6"/>
  <c r="F447" i="6"/>
  <c r="E447" i="6"/>
  <c r="D447" i="6"/>
  <c r="C447" i="6"/>
  <c r="B447" i="6"/>
  <c r="A447" i="6"/>
  <c r="F446" i="6"/>
  <c r="E446" i="6"/>
  <c r="D446" i="6"/>
  <c r="C446" i="6"/>
  <c r="B446" i="6"/>
  <c r="A446" i="6"/>
  <c r="F445" i="6"/>
  <c r="E445" i="6"/>
  <c r="D445" i="6"/>
  <c r="C445" i="6"/>
  <c r="B445" i="6"/>
  <c r="A445" i="6"/>
  <c r="F444" i="6"/>
  <c r="E444" i="6"/>
  <c r="D444" i="6"/>
  <c r="C444" i="6"/>
  <c r="B444" i="6"/>
  <c r="A444" i="6"/>
  <c r="F443" i="6"/>
  <c r="E443" i="6"/>
  <c r="D443" i="6"/>
  <c r="C443" i="6"/>
  <c r="B443" i="6"/>
  <c r="A443" i="6"/>
  <c r="F442" i="6"/>
  <c r="E442" i="6"/>
  <c r="D442" i="6"/>
  <c r="C442" i="6"/>
  <c r="B442" i="6"/>
  <c r="A442" i="6"/>
  <c r="F441" i="6"/>
  <c r="E441" i="6"/>
  <c r="D441" i="6"/>
  <c r="C441" i="6"/>
  <c r="B441" i="6"/>
  <c r="A441" i="6"/>
  <c r="F440" i="6"/>
  <c r="E440" i="6"/>
  <c r="D440" i="6"/>
  <c r="C440" i="6"/>
  <c r="B440" i="6"/>
  <c r="A440" i="6"/>
  <c r="F439" i="6"/>
  <c r="E439" i="6"/>
  <c r="D439" i="6"/>
  <c r="C439" i="6"/>
  <c r="B439" i="6"/>
  <c r="A439" i="6"/>
  <c r="F438" i="6"/>
  <c r="E438" i="6"/>
  <c r="D438" i="6"/>
  <c r="C438" i="6"/>
  <c r="B438" i="6"/>
  <c r="A438" i="6"/>
  <c r="F437" i="6"/>
  <c r="E437" i="6"/>
  <c r="D437" i="6"/>
  <c r="C437" i="6"/>
  <c r="B437" i="6"/>
  <c r="A437" i="6"/>
  <c r="F436" i="6"/>
  <c r="E436" i="6"/>
  <c r="D436" i="6"/>
  <c r="C436" i="6"/>
  <c r="B436" i="6"/>
  <c r="A436" i="6"/>
  <c r="F435" i="6"/>
  <c r="E435" i="6"/>
  <c r="D435" i="6"/>
  <c r="C435" i="6"/>
  <c r="B435" i="6"/>
  <c r="A435" i="6"/>
  <c r="F434" i="6"/>
  <c r="E434" i="6"/>
  <c r="D434" i="6"/>
  <c r="C434" i="6"/>
  <c r="B434" i="6"/>
  <c r="A434" i="6"/>
  <c r="F433" i="6"/>
  <c r="E433" i="6"/>
  <c r="D433" i="6"/>
  <c r="C433" i="6"/>
  <c r="B433" i="6"/>
  <c r="A433" i="6"/>
  <c r="F432" i="6"/>
  <c r="E432" i="6"/>
  <c r="D432" i="6"/>
  <c r="C432" i="6"/>
  <c r="B432" i="6"/>
  <c r="A432" i="6"/>
  <c r="F431" i="6"/>
  <c r="E431" i="6"/>
  <c r="D431" i="6"/>
  <c r="C431" i="6"/>
  <c r="B431" i="6"/>
  <c r="A431" i="6"/>
  <c r="F430" i="6"/>
  <c r="E430" i="6"/>
  <c r="D430" i="6"/>
  <c r="C430" i="6"/>
  <c r="B430" i="6"/>
  <c r="A430" i="6"/>
  <c r="F429" i="6"/>
  <c r="E429" i="6"/>
  <c r="D429" i="6"/>
  <c r="C429" i="6"/>
  <c r="B429" i="6"/>
  <c r="A429" i="6"/>
  <c r="F428" i="6"/>
  <c r="E428" i="6"/>
  <c r="D428" i="6"/>
  <c r="C428" i="6"/>
  <c r="B428" i="6"/>
  <c r="A428" i="6"/>
  <c r="F427" i="6"/>
  <c r="E427" i="6"/>
  <c r="D427" i="6"/>
  <c r="C427" i="6"/>
  <c r="B427" i="6"/>
  <c r="A427" i="6"/>
  <c r="F426" i="6"/>
  <c r="E426" i="6"/>
  <c r="D426" i="6"/>
  <c r="C426" i="6"/>
  <c r="B426" i="6"/>
  <c r="A426" i="6"/>
  <c r="F425" i="6"/>
  <c r="E425" i="6"/>
  <c r="D425" i="6"/>
  <c r="C425" i="6"/>
  <c r="B425" i="6"/>
  <c r="A425" i="6"/>
  <c r="F424" i="6"/>
  <c r="E424" i="6"/>
  <c r="D424" i="6"/>
  <c r="C424" i="6"/>
  <c r="B424" i="6"/>
  <c r="A424" i="6"/>
  <c r="F423" i="6"/>
  <c r="E423" i="6"/>
  <c r="D423" i="6"/>
  <c r="C423" i="6"/>
  <c r="B423" i="6"/>
  <c r="A423" i="6"/>
  <c r="F422" i="6"/>
  <c r="E422" i="6"/>
  <c r="D422" i="6"/>
  <c r="C422" i="6"/>
  <c r="B422" i="6"/>
  <c r="A422" i="6"/>
  <c r="F421" i="6"/>
  <c r="E421" i="6"/>
  <c r="D421" i="6"/>
  <c r="C421" i="6"/>
  <c r="B421" i="6"/>
  <c r="A421" i="6"/>
  <c r="F420" i="6"/>
  <c r="E420" i="6"/>
  <c r="D420" i="6"/>
  <c r="C420" i="6"/>
  <c r="B420" i="6"/>
  <c r="A420" i="6"/>
  <c r="F419" i="6"/>
  <c r="E419" i="6"/>
  <c r="D419" i="6"/>
  <c r="C419" i="6"/>
  <c r="B419" i="6"/>
  <c r="A419" i="6"/>
  <c r="F418" i="6"/>
  <c r="E418" i="6"/>
  <c r="D418" i="6"/>
  <c r="C418" i="6"/>
  <c r="B418" i="6"/>
  <c r="A418" i="6"/>
  <c r="F417" i="6"/>
  <c r="E417" i="6"/>
  <c r="D417" i="6"/>
  <c r="C417" i="6"/>
  <c r="B417" i="6"/>
  <c r="A417" i="6"/>
  <c r="F416" i="6"/>
  <c r="E416" i="6"/>
  <c r="D416" i="6"/>
  <c r="C416" i="6"/>
  <c r="B416" i="6"/>
  <c r="A416" i="6"/>
  <c r="F415" i="6"/>
  <c r="E415" i="6"/>
  <c r="D415" i="6"/>
  <c r="C415" i="6"/>
  <c r="B415" i="6"/>
  <c r="A415" i="6"/>
  <c r="F414" i="6"/>
  <c r="E414" i="6"/>
  <c r="D414" i="6"/>
  <c r="C414" i="6"/>
  <c r="B414" i="6"/>
  <c r="A414" i="6"/>
  <c r="F413" i="6"/>
  <c r="E413" i="6"/>
  <c r="D413" i="6"/>
  <c r="C413" i="6"/>
  <c r="B413" i="6"/>
  <c r="A413" i="6"/>
  <c r="F412" i="6"/>
  <c r="E412" i="6"/>
  <c r="D412" i="6"/>
  <c r="C412" i="6"/>
  <c r="B412" i="6"/>
  <c r="A412" i="6"/>
  <c r="F411" i="6"/>
  <c r="E411" i="6"/>
  <c r="D411" i="6"/>
  <c r="C411" i="6"/>
  <c r="B411" i="6"/>
  <c r="A411" i="6"/>
  <c r="F410" i="6"/>
  <c r="E410" i="6"/>
  <c r="D410" i="6"/>
  <c r="C410" i="6"/>
  <c r="B410" i="6"/>
  <c r="A410" i="6"/>
  <c r="F409" i="6"/>
  <c r="E409" i="6"/>
  <c r="D409" i="6"/>
  <c r="C409" i="6"/>
  <c r="B409" i="6"/>
  <c r="A409" i="6"/>
  <c r="F408" i="6"/>
  <c r="E408" i="6"/>
  <c r="D408" i="6"/>
  <c r="C408" i="6"/>
  <c r="B408" i="6"/>
  <c r="A408" i="6"/>
  <c r="F407" i="6"/>
  <c r="E407" i="6"/>
  <c r="D407" i="6"/>
  <c r="C407" i="6"/>
  <c r="B407" i="6"/>
  <c r="A407" i="6"/>
  <c r="F406" i="6"/>
  <c r="E406" i="6"/>
  <c r="D406" i="6"/>
  <c r="C406" i="6"/>
  <c r="B406" i="6"/>
  <c r="A406" i="6"/>
  <c r="F405" i="6"/>
  <c r="E405" i="6"/>
  <c r="D405" i="6"/>
  <c r="C405" i="6"/>
  <c r="B405" i="6"/>
  <c r="A405" i="6"/>
  <c r="F404" i="6"/>
  <c r="E404" i="6"/>
  <c r="D404" i="6"/>
  <c r="C404" i="6"/>
  <c r="B404" i="6"/>
  <c r="A404" i="6"/>
  <c r="F403" i="6"/>
  <c r="E403" i="6"/>
  <c r="D403" i="6"/>
  <c r="C403" i="6"/>
  <c r="B403" i="6"/>
  <c r="A403" i="6"/>
  <c r="F402" i="6"/>
  <c r="E402" i="6"/>
  <c r="D402" i="6"/>
  <c r="C402" i="6"/>
  <c r="B402" i="6"/>
  <c r="A402" i="6"/>
  <c r="F401" i="6"/>
  <c r="E401" i="6"/>
  <c r="D401" i="6"/>
  <c r="C401" i="6"/>
  <c r="B401" i="6"/>
  <c r="A401" i="6"/>
  <c r="F400" i="6"/>
  <c r="E400" i="6"/>
  <c r="D400" i="6"/>
  <c r="C400" i="6"/>
  <c r="B400" i="6"/>
  <c r="A400" i="6"/>
  <c r="F399" i="6"/>
  <c r="E399" i="6"/>
  <c r="D399" i="6"/>
  <c r="C399" i="6"/>
  <c r="B399" i="6"/>
  <c r="A399" i="6"/>
  <c r="F398" i="6"/>
  <c r="E398" i="6"/>
  <c r="D398" i="6"/>
  <c r="C398" i="6"/>
  <c r="B398" i="6"/>
  <c r="A398" i="6"/>
  <c r="F397" i="6"/>
  <c r="E397" i="6"/>
  <c r="D397" i="6"/>
  <c r="C397" i="6"/>
  <c r="B397" i="6"/>
  <c r="A397" i="6"/>
  <c r="F396" i="6"/>
  <c r="E396" i="6"/>
  <c r="D396" i="6"/>
  <c r="C396" i="6"/>
  <c r="B396" i="6"/>
  <c r="A396" i="6"/>
  <c r="F395" i="6"/>
  <c r="E395" i="6"/>
  <c r="D395" i="6"/>
  <c r="C395" i="6"/>
  <c r="B395" i="6"/>
  <c r="A395" i="6"/>
  <c r="F394" i="6"/>
  <c r="E394" i="6"/>
  <c r="D394" i="6"/>
  <c r="C394" i="6"/>
  <c r="B394" i="6"/>
  <c r="A394" i="6"/>
  <c r="F393" i="6"/>
  <c r="E393" i="6"/>
  <c r="D393" i="6"/>
  <c r="C393" i="6"/>
  <c r="B393" i="6"/>
  <c r="A393" i="6"/>
  <c r="F392" i="6"/>
  <c r="E392" i="6"/>
  <c r="D392" i="6"/>
  <c r="C392" i="6"/>
  <c r="B392" i="6"/>
  <c r="A392" i="6"/>
  <c r="F391" i="6"/>
  <c r="E391" i="6"/>
  <c r="D391" i="6"/>
  <c r="C391" i="6"/>
  <c r="B391" i="6"/>
  <c r="A391" i="6"/>
  <c r="F390" i="6"/>
  <c r="E390" i="6"/>
  <c r="D390" i="6"/>
  <c r="C390" i="6"/>
  <c r="B390" i="6"/>
  <c r="A390" i="6"/>
  <c r="F389" i="6"/>
  <c r="E389" i="6"/>
  <c r="D389" i="6"/>
  <c r="C389" i="6"/>
  <c r="B389" i="6"/>
  <c r="A389" i="6"/>
  <c r="F388" i="6"/>
  <c r="E388" i="6"/>
  <c r="D388" i="6"/>
  <c r="C388" i="6"/>
  <c r="B388" i="6"/>
  <c r="A388" i="6"/>
  <c r="F387" i="6"/>
  <c r="E387" i="6"/>
  <c r="D387" i="6"/>
  <c r="C387" i="6"/>
  <c r="B387" i="6"/>
  <c r="A387" i="6"/>
  <c r="F386" i="6"/>
  <c r="E386" i="6"/>
  <c r="D386" i="6"/>
  <c r="C386" i="6"/>
  <c r="B386" i="6"/>
  <c r="A386" i="6"/>
  <c r="F385" i="6"/>
  <c r="E385" i="6"/>
  <c r="D385" i="6"/>
  <c r="C385" i="6"/>
  <c r="B385" i="6"/>
  <c r="A385" i="6"/>
  <c r="F384" i="6"/>
  <c r="E384" i="6"/>
  <c r="D384" i="6"/>
  <c r="C384" i="6"/>
  <c r="B384" i="6"/>
  <c r="A384" i="6"/>
  <c r="F383" i="6"/>
  <c r="E383" i="6"/>
  <c r="D383" i="6"/>
  <c r="C383" i="6"/>
  <c r="B383" i="6"/>
  <c r="A383" i="6"/>
  <c r="F382" i="6"/>
  <c r="E382" i="6"/>
  <c r="D382" i="6"/>
  <c r="C382" i="6"/>
  <c r="B382" i="6"/>
  <c r="A382" i="6"/>
  <c r="F381" i="6"/>
  <c r="E381" i="6"/>
  <c r="D381" i="6"/>
  <c r="C381" i="6"/>
  <c r="B381" i="6"/>
  <c r="A381" i="6"/>
  <c r="F380" i="6"/>
  <c r="E380" i="6"/>
  <c r="D380" i="6"/>
  <c r="C380" i="6"/>
  <c r="B380" i="6"/>
  <c r="A380" i="6"/>
  <c r="F379" i="6"/>
  <c r="E379" i="6"/>
  <c r="D379" i="6"/>
  <c r="C379" i="6"/>
  <c r="B379" i="6"/>
  <c r="A379" i="6"/>
  <c r="F378" i="6"/>
  <c r="E378" i="6"/>
  <c r="D378" i="6"/>
  <c r="C378" i="6"/>
  <c r="B378" i="6"/>
  <c r="A378" i="6"/>
  <c r="F377" i="6"/>
  <c r="E377" i="6"/>
  <c r="D377" i="6"/>
  <c r="C377" i="6"/>
  <c r="B377" i="6"/>
  <c r="A377" i="6"/>
  <c r="F376" i="6"/>
  <c r="E376" i="6"/>
  <c r="D376" i="6"/>
  <c r="C376" i="6"/>
  <c r="B376" i="6"/>
  <c r="A376" i="6"/>
  <c r="F375" i="6"/>
  <c r="E375" i="6"/>
  <c r="D375" i="6"/>
  <c r="C375" i="6"/>
  <c r="B375" i="6"/>
  <c r="A375" i="6"/>
  <c r="F374" i="6"/>
  <c r="E374" i="6"/>
  <c r="D374" i="6"/>
  <c r="C374" i="6"/>
  <c r="B374" i="6"/>
  <c r="A374" i="6"/>
  <c r="F373" i="6"/>
  <c r="E373" i="6"/>
  <c r="D373" i="6"/>
  <c r="C373" i="6"/>
  <c r="B373" i="6"/>
  <c r="A373" i="6"/>
  <c r="F372" i="6"/>
  <c r="E372" i="6"/>
  <c r="D372" i="6"/>
  <c r="C372" i="6"/>
  <c r="B372" i="6"/>
  <c r="A372" i="6"/>
  <c r="F371" i="6"/>
  <c r="E371" i="6"/>
  <c r="D371" i="6"/>
  <c r="C371" i="6"/>
  <c r="B371" i="6"/>
  <c r="A371" i="6"/>
  <c r="F370" i="6"/>
  <c r="E370" i="6"/>
  <c r="D370" i="6"/>
  <c r="C370" i="6"/>
  <c r="B370" i="6"/>
  <c r="A370" i="6"/>
  <c r="F369" i="6"/>
  <c r="E369" i="6"/>
  <c r="D369" i="6"/>
  <c r="C369" i="6"/>
  <c r="B369" i="6"/>
  <c r="A369" i="6"/>
  <c r="F368" i="6"/>
  <c r="E368" i="6"/>
  <c r="D368" i="6"/>
  <c r="C368" i="6"/>
  <c r="B368" i="6"/>
  <c r="A368" i="6"/>
  <c r="F367" i="6"/>
  <c r="E367" i="6"/>
  <c r="D367" i="6"/>
  <c r="C367" i="6"/>
  <c r="B367" i="6"/>
  <c r="A367" i="6"/>
  <c r="F366" i="6"/>
  <c r="E366" i="6"/>
  <c r="D366" i="6"/>
  <c r="C366" i="6"/>
  <c r="B366" i="6"/>
  <c r="A366" i="6"/>
  <c r="F365" i="6"/>
  <c r="E365" i="6"/>
  <c r="D365" i="6"/>
  <c r="C365" i="6"/>
  <c r="B365" i="6"/>
  <c r="A365" i="6"/>
  <c r="F364" i="6"/>
  <c r="E364" i="6"/>
  <c r="D364" i="6"/>
  <c r="C364" i="6"/>
  <c r="B364" i="6"/>
  <c r="A364" i="6"/>
  <c r="F363" i="6"/>
  <c r="E363" i="6"/>
  <c r="D363" i="6"/>
  <c r="C363" i="6"/>
  <c r="B363" i="6"/>
  <c r="A363" i="6"/>
  <c r="F362" i="6"/>
  <c r="E362" i="6"/>
  <c r="D362" i="6"/>
  <c r="C362" i="6"/>
  <c r="B362" i="6"/>
  <c r="A362" i="6"/>
  <c r="F361" i="6"/>
  <c r="E361" i="6"/>
  <c r="D361" i="6"/>
  <c r="C361" i="6"/>
  <c r="B361" i="6"/>
  <c r="A361" i="6"/>
  <c r="F360" i="6"/>
  <c r="E360" i="6"/>
  <c r="D360" i="6"/>
  <c r="C360" i="6"/>
  <c r="B360" i="6"/>
  <c r="A360" i="6"/>
  <c r="F359" i="6"/>
  <c r="E359" i="6"/>
  <c r="D359" i="6"/>
  <c r="C359" i="6"/>
  <c r="B359" i="6"/>
  <c r="A359" i="6"/>
  <c r="F358" i="6"/>
  <c r="E358" i="6"/>
  <c r="D358" i="6"/>
  <c r="C358" i="6"/>
  <c r="B358" i="6"/>
  <c r="A358" i="6"/>
  <c r="F357" i="6"/>
  <c r="E357" i="6"/>
  <c r="D357" i="6"/>
  <c r="C357" i="6"/>
  <c r="B357" i="6"/>
  <c r="A357" i="6"/>
  <c r="F356" i="6"/>
  <c r="E356" i="6"/>
  <c r="D356" i="6"/>
  <c r="C356" i="6"/>
  <c r="B356" i="6"/>
  <c r="A356" i="6"/>
  <c r="F355" i="6"/>
  <c r="E355" i="6"/>
  <c r="D355" i="6"/>
  <c r="C355" i="6"/>
  <c r="B355" i="6"/>
  <c r="A355" i="6"/>
  <c r="F354" i="6"/>
  <c r="E354" i="6"/>
  <c r="D354" i="6"/>
  <c r="C354" i="6"/>
  <c r="B354" i="6"/>
  <c r="A354" i="6"/>
  <c r="F353" i="6"/>
  <c r="E353" i="6"/>
  <c r="D353" i="6"/>
  <c r="C353" i="6"/>
  <c r="B353" i="6"/>
  <c r="A353" i="6"/>
  <c r="F352" i="6"/>
  <c r="E352" i="6"/>
  <c r="D352" i="6"/>
  <c r="C352" i="6"/>
  <c r="B352" i="6"/>
  <c r="A352" i="6"/>
  <c r="F351" i="6"/>
  <c r="E351" i="6"/>
  <c r="D351" i="6"/>
  <c r="C351" i="6"/>
  <c r="B351" i="6"/>
  <c r="A351" i="6"/>
  <c r="F350" i="6"/>
  <c r="E350" i="6"/>
  <c r="D350" i="6"/>
  <c r="C350" i="6"/>
  <c r="B350" i="6"/>
  <c r="A350" i="6"/>
  <c r="F349" i="6"/>
  <c r="E349" i="6"/>
  <c r="D349" i="6"/>
  <c r="C349" i="6"/>
  <c r="B349" i="6"/>
  <c r="A349" i="6"/>
  <c r="F348" i="6"/>
  <c r="E348" i="6"/>
  <c r="D348" i="6"/>
  <c r="C348" i="6"/>
  <c r="B348" i="6"/>
  <c r="A348" i="6"/>
  <c r="F347" i="6"/>
  <c r="E347" i="6"/>
  <c r="D347" i="6"/>
  <c r="C347" i="6"/>
  <c r="B347" i="6"/>
  <c r="A347" i="6"/>
  <c r="F346" i="6"/>
  <c r="E346" i="6"/>
  <c r="D346" i="6"/>
  <c r="C346" i="6"/>
  <c r="B346" i="6"/>
  <c r="A346" i="6"/>
  <c r="F345" i="6"/>
  <c r="E345" i="6"/>
  <c r="D345" i="6"/>
  <c r="C345" i="6"/>
  <c r="B345" i="6"/>
  <c r="A345" i="6"/>
  <c r="F344" i="6"/>
  <c r="E344" i="6"/>
  <c r="D344" i="6"/>
  <c r="C344" i="6"/>
  <c r="B344" i="6"/>
  <c r="A344" i="6"/>
  <c r="F343" i="6"/>
  <c r="E343" i="6"/>
  <c r="D343" i="6"/>
  <c r="C343" i="6"/>
  <c r="B343" i="6"/>
  <c r="A343" i="6"/>
  <c r="F342" i="6"/>
  <c r="E342" i="6"/>
  <c r="D342" i="6"/>
  <c r="C342" i="6"/>
  <c r="B342" i="6"/>
  <c r="A342" i="6"/>
  <c r="F341" i="6"/>
  <c r="E341" i="6"/>
  <c r="D341" i="6"/>
  <c r="C341" i="6"/>
  <c r="B341" i="6"/>
  <c r="A341" i="6"/>
  <c r="F340" i="6"/>
  <c r="E340" i="6"/>
  <c r="D340" i="6"/>
  <c r="C340" i="6"/>
  <c r="B340" i="6"/>
  <c r="A340" i="6"/>
  <c r="F339" i="6"/>
  <c r="E339" i="6"/>
  <c r="D339" i="6"/>
  <c r="C339" i="6"/>
  <c r="B339" i="6"/>
  <c r="A339" i="6"/>
  <c r="F338" i="6"/>
  <c r="E338" i="6"/>
  <c r="D338" i="6"/>
  <c r="C338" i="6"/>
  <c r="B338" i="6"/>
  <c r="A338" i="6"/>
  <c r="F337" i="6"/>
  <c r="E337" i="6"/>
  <c r="D337" i="6"/>
  <c r="C337" i="6"/>
  <c r="B337" i="6"/>
  <c r="A337" i="6"/>
  <c r="F336" i="6"/>
  <c r="E336" i="6"/>
  <c r="D336" i="6"/>
  <c r="C336" i="6"/>
  <c r="B336" i="6"/>
  <c r="A336" i="6"/>
  <c r="F335" i="6"/>
  <c r="E335" i="6"/>
  <c r="D335" i="6"/>
  <c r="C335" i="6"/>
  <c r="B335" i="6"/>
  <c r="A335" i="6"/>
  <c r="F334" i="6"/>
  <c r="E334" i="6"/>
  <c r="D334" i="6"/>
  <c r="C334" i="6"/>
  <c r="B334" i="6"/>
  <c r="A334" i="6"/>
  <c r="F333" i="6"/>
  <c r="E333" i="6"/>
  <c r="D333" i="6"/>
  <c r="C333" i="6"/>
  <c r="B333" i="6"/>
  <c r="A333" i="6"/>
  <c r="F332" i="6"/>
  <c r="E332" i="6"/>
  <c r="D332" i="6"/>
  <c r="C332" i="6"/>
  <c r="B332" i="6"/>
  <c r="A332" i="6"/>
  <c r="F331" i="6"/>
  <c r="E331" i="6"/>
  <c r="D331" i="6"/>
  <c r="C331" i="6"/>
  <c r="B331" i="6"/>
  <c r="A331" i="6"/>
  <c r="F330" i="6"/>
  <c r="E330" i="6"/>
  <c r="D330" i="6"/>
  <c r="C330" i="6"/>
  <c r="B330" i="6"/>
  <c r="A330" i="6"/>
  <c r="F329" i="6"/>
  <c r="E329" i="6"/>
  <c r="D329" i="6"/>
  <c r="C329" i="6"/>
  <c r="B329" i="6"/>
  <c r="A329" i="6"/>
  <c r="F328" i="6"/>
  <c r="E328" i="6"/>
  <c r="D328" i="6"/>
  <c r="C328" i="6"/>
  <c r="B328" i="6"/>
  <c r="A328" i="6"/>
  <c r="F327" i="6"/>
  <c r="E327" i="6"/>
  <c r="D327" i="6"/>
  <c r="C327" i="6"/>
  <c r="B327" i="6"/>
  <c r="A327" i="6"/>
  <c r="F326" i="6"/>
  <c r="E326" i="6"/>
  <c r="D326" i="6"/>
  <c r="C326" i="6"/>
  <c r="B326" i="6"/>
  <c r="A326" i="6"/>
  <c r="F325" i="6"/>
  <c r="E325" i="6"/>
  <c r="D325" i="6"/>
  <c r="C325" i="6"/>
  <c r="B325" i="6"/>
  <c r="A325" i="6"/>
  <c r="F324" i="6"/>
  <c r="E324" i="6"/>
  <c r="D324" i="6"/>
  <c r="C324" i="6"/>
  <c r="B324" i="6"/>
  <c r="A324" i="6"/>
  <c r="F323" i="6"/>
  <c r="E323" i="6"/>
  <c r="D323" i="6"/>
  <c r="C323" i="6"/>
  <c r="B323" i="6"/>
  <c r="A323" i="6"/>
  <c r="F322" i="6"/>
  <c r="E322" i="6"/>
  <c r="D322" i="6"/>
  <c r="C322" i="6"/>
  <c r="B322" i="6"/>
  <c r="A322" i="6"/>
  <c r="F321" i="6"/>
  <c r="E321" i="6"/>
  <c r="D321" i="6"/>
  <c r="C321" i="6"/>
  <c r="B321" i="6"/>
  <c r="A321" i="6"/>
  <c r="F320" i="6"/>
  <c r="E320" i="6"/>
  <c r="D320" i="6"/>
  <c r="C320" i="6"/>
  <c r="B320" i="6"/>
  <c r="A320" i="6"/>
  <c r="F319" i="6"/>
  <c r="E319" i="6"/>
  <c r="D319" i="6"/>
  <c r="C319" i="6"/>
  <c r="B319" i="6"/>
  <c r="A319" i="6"/>
  <c r="F318" i="6"/>
  <c r="E318" i="6"/>
  <c r="D318" i="6"/>
  <c r="C318" i="6"/>
  <c r="B318" i="6"/>
  <c r="A318" i="6"/>
  <c r="F317" i="6"/>
  <c r="E317" i="6"/>
  <c r="D317" i="6"/>
  <c r="C317" i="6"/>
  <c r="B317" i="6"/>
  <c r="A317" i="6"/>
  <c r="F316" i="6"/>
  <c r="E316" i="6"/>
  <c r="D316" i="6"/>
  <c r="C316" i="6"/>
  <c r="B316" i="6"/>
  <c r="A316" i="6"/>
  <c r="F315" i="6"/>
  <c r="E315" i="6"/>
  <c r="D315" i="6"/>
  <c r="C315" i="6"/>
  <c r="B315" i="6"/>
  <c r="A315" i="6"/>
  <c r="F314" i="6"/>
  <c r="E314" i="6"/>
  <c r="D314" i="6"/>
  <c r="C314" i="6"/>
  <c r="B314" i="6"/>
  <c r="A314" i="6"/>
  <c r="F313" i="6"/>
  <c r="E313" i="6"/>
  <c r="D313" i="6"/>
  <c r="C313" i="6"/>
  <c r="B313" i="6"/>
  <c r="A313" i="6"/>
  <c r="F312" i="6"/>
  <c r="E312" i="6"/>
  <c r="D312" i="6"/>
  <c r="C312" i="6"/>
  <c r="B312" i="6"/>
  <c r="A312" i="6"/>
  <c r="F311" i="6"/>
  <c r="E311" i="6"/>
  <c r="D311" i="6"/>
  <c r="C311" i="6"/>
  <c r="B311" i="6"/>
  <c r="A311" i="6"/>
  <c r="F310" i="6"/>
  <c r="E310" i="6"/>
  <c r="D310" i="6"/>
  <c r="C310" i="6"/>
  <c r="B310" i="6"/>
  <c r="A310" i="6"/>
  <c r="F309" i="6"/>
  <c r="E309" i="6"/>
  <c r="D309" i="6"/>
  <c r="C309" i="6"/>
  <c r="B309" i="6"/>
  <c r="A309" i="6"/>
  <c r="F308" i="6"/>
  <c r="E308" i="6"/>
  <c r="D308" i="6"/>
  <c r="C308" i="6"/>
  <c r="B308" i="6"/>
  <c r="A308" i="6"/>
  <c r="F307" i="6"/>
  <c r="E307" i="6"/>
  <c r="D307" i="6"/>
  <c r="C307" i="6"/>
  <c r="B307" i="6"/>
  <c r="A307" i="6"/>
  <c r="F306" i="6"/>
  <c r="E306" i="6"/>
  <c r="D306" i="6"/>
  <c r="C306" i="6"/>
  <c r="B306" i="6"/>
  <c r="A306" i="6"/>
  <c r="F305" i="6"/>
  <c r="E305" i="6"/>
  <c r="D305" i="6"/>
  <c r="C305" i="6"/>
  <c r="B305" i="6"/>
  <c r="A305" i="6"/>
  <c r="F304" i="6"/>
  <c r="E304" i="6"/>
  <c r="D304" i="6"/>
  <c r="C304" i="6"/>
  <c r="B304" i="6"/>
  <c r="A304" i="6"/>
  <c r="F303" i="6"/>
  <c r="E303" i="6"/>
  <c r="D303" i="6"/>
  <c r="C303" i="6"/>
  <c r="B303" i="6"/>
  <c r="A303" i="6"/>
  <c r="F302" i="6"/>
  <c r="E302" i="6"/>
  <c r="D302" i="6"/>
  <c r="C302" i="6"/>
  <c r="B302" i="6"/>
  <c r="A302" i="6"/>
  <c r="F301" i="6"/>
  <c r="E301" i="6"/>
  <c r="D301" i="6"/>
  <c r="C301" i="6"/>
  <c r="B301" i="6"/>
  <c r="A301" i="6"/>
  <c r="F300" i="6"/>
  <c r="E300" i="6"/>
  <c r="D300" i="6"/>
  <c r="C300" i="6"/>
  <c r="B300" i="6"/>
  <c r="A300" i="6"/>
  <c r="F299" i="6"/>
  <c r="E299" i="6"/>
  <c r="D299" i="6"/>
  <c r="C299" i="6"/>
  <c r="B299" i="6"/>
  <c r="A299" i="6"/>
  <c r="F298" i="6"/>
  <c r="E298" i="6"/>
  <c r="D298" i="6"/>
  <c r="C298" i="6"/>
  <c r="B298" i="6"/>
  <c r="A298" i="6"/>
  <c r="F297" i="6"/>
  <c r="E297" i="6"/>
  <c r="D297" i="6"/>
  <c r="C297" i="6"/>
  <c r="B297" i="6"/>
  <c r="A297" i="6"/>
  <c r="F296" i="6"/>
  <c r="E296" i="6"/>
  <c r="D296" i="6"/>
  <c r="C296" i="6"/>
  <c r="B296" i="6"/>
  <c r="A296" i="6"/>
  <c r="F295" i="6"/>
  <c r="E295" i="6"/>
  <c r="D295" i="6"/>
  <c r="C295" i="6"/>
  <c r="B295" i="6"/>
  <c r="A295" i="6"/>
  <c r="F294" i="6"/>
  <c r="E294" i="6"/>
  <c r="D294" i="6"/>
  <c r="C294" i="6"/>
  <c r="B294" i="6"/>
  <c r="A294" i="6"/>
  <c r="F293" i="6"/>
  <c r="E293" i="6"/>
  <c r="D293" i="6"/>
  <c r="C293" i="6"/>
  <c r="B293" i="6"/>
  <c r="A293" i="6"/>
  <c r="F292" i="6"/>
  <c r="E292" i="6"/>
  <c r="D292" i="6"/>
  <c r="C292" i="6"/>
  <c r="B292" i="6"/>
  <c r="A292" i="6"/>
  <c r="F291" i="6"/>
  <c r="E291" i="6"/>
  <c r="D291" i="6"/>
  <c r="C291" i="6"/>
  <c r="B291" i="6"/>
  <c r="A291" i="6"/>
  <c r="F290" i="6"/>
  <c r="E290" i="6"/>
  <c r="D290" i="6"/>
  <c r="C290" i="6"/>
  <c r="B290" i="6"/>
  <c r="A290" i="6"/>
  <c r="F289" i="6"/>
  <c r="E289" i="6"/>
  <c r="D289" i="6"/>
  <c r="C289" i="6"/>
  <c r="B289" i="6"/>
  <c r="A289" i="6"/>
  <c r="F288" i="6"/>
  <c r="E288" i="6"/>
  <c r="D288" i="6"/>
  <c r="C288" i="6"/>
  <c r="B288" i="6"/>
  <c r="A288" i="6"/>
  <c r="F287" i="6"/>
  <c r="E287" i="6"/>
  <c r="D287" i="6"/>
  <c r="C287" i="6"/>
  <c r="B287" i="6"/>
  <c r="A287" i="6"/>
  <c r="F286" i="6"/>
  <c r="E286" i="6"/>
  <c r="D286" i="6"/>
  <c r="C286" i="6"/>
  <c r="B286" i="6"/>
  <c r="A286" i="6"/>
  <c r="F285" i="6"/>
  <c r="E285" i="6"/>
  <c r="D285" i="6"/>
  <c r="C285" i="6"/>
  <c r="B285" i="6"/>
  <c r="A285" i="6"/>
  <c r="F284" i="6"/>
  <c r="E284" i="6"/>
  <c r="D284" i="6"/>
  <c r="C284" i="6"/>
  <c r="B284" i="6"/>
  <c r="A284" i="6"/>
  <c r="F283" i="6"/>
  <c r="E283" i="6"/>
  <c r="D283" i="6"/>
  <c r="C283" i="6"/>
  <c r="B283" i="6"/>
  <c r="A283" i="6"/>
  <c r="F282" i="6"/>
  <c r="E282" i="6"/>
  <c r="D282" i="6"/>
  <c r="C282" i="6"/>
  <c r="B282" i="6"/>
  <c r="A282" i="6"/>
  <c r="F281" i="6"/>
  <c r="E281" i="6"/>
  <c r="D281" i="6"/>
  <c r="C281" i="6"/>
  <c r="B281" i="6"/>
  <c r="A281" i="6"/>
  <c r="F280" i="6"/>
  <c r="E280" i="6"/>
  <c r="D280" i="6"/>
  <c r="C280" i="6"/>
  <c r="B280" i="6"/>
  <c r="A280" i="6"/>
  <c r="F279" i="6"/>
  <c r="E279" i="6"/>
  <c r="D279" i="6"/>
  <c r="C279" i="6"/>
  <c r="B279" i="6"/>
  <c r="A279" i="6"/>
  <c r="F278" i="6"/>
  <c r="E278" i="6"/>
  <c r="D278" i="6"/>
  <c r="C278" i="6"/>
  <c r="B278" i="6"/>
  <c r="A278" i="6"/>
  <c r="F277" i="6"/>
  <c r="E277" i="6"/>
  <c r="D277" i="6"/>
  <c r="C277" i="6"/>
  <c r="B277" i="6"/>
  <c r="A277" i="6"/>
  <c r="F276" i="6"/>
  <c r="E276" i="6"/>
  <c r="D276" i="6"/>
  <c r="C276" i="6"/>
  <c r="B276" i="6"/>
  <c r="A276" i="6"/>
  <c r="F275" i="6"/>
  <c r="E275" i="6"/>
  <c r="D275" i="6"/>
  <c r="C275" i="6"/>
  <c r="B275" i="6"/>
  <c r="A275" i="6"/>
  <c r="F274" i="6"/>
  <c r="E274" i="6"/>
  <c r="D274" i="6"/>
  <c r="C274" i="6"/>
  <c r="B274" i="6"/>
  <c r="A274" i="6"/>
  <c r="F273" i="6"/>
  <c r="E273" i="6"/>
  <c r="D273" i="6"/>
  <c r="C273" i="6"/>
  <c r="B273" i="6"/>
  <c r="A273" i="6"/>
  <c r="F272" i="6"/>
  <c r="E272" i="6"/>
  <c r="D272" i="6"/>
  <c r="C272" i="6"/>
  <c r="B272" i="6"/>
  <c r="A272" i="6"/>
  <c r="F271" i="6"/>
  <c r="E271" i="6"/>
  <c r="D271" i="6"/>
  <c r="C271" i="6"/>
  <c r="B271" i="6"/>
  <c r="A271" i="6"/>
  <c r="F270" i="6"/>
  <c r="E270" i="6"/>
  <c r="D270" i="6"/>
  <c r="C270" i="6"/>
  <c r="B270" i="6"/>
  <c r="A270" i="6"/>
  <c r="F269" i="6"/>
  <c r="E269" i="6"/>
  <c r="D269" i="6"/>
  <c r="C269" i="6"/>
  <c r="B269" i="6"/>
  <c r="A269" i="6"/>
  <c r="F268" i="6"/>
  <c r="E268" i="6"/>
  <c r="D268" i="6"/>
  <c r="C268" i="6"/>
  <c r="B268" i="6"/>
  <c r="A268" i="6"/>
  <c r="F267" i="6"/>
  <c r="E267" i="6"/>
  <c r="D267" i="6"/>
  <c r="C267" i="6"/>
  <c r="B267" i="6"/>
  <c r="A267" i="6"/>
  <c r="F266" i="6"/>
  <c r="E266" i="6"/>
  <c r="D266" i="6"/>
  <c r="C266" i="6"/>
  <c r="B266" i="6"/>
  <c r="A266" i="6"/>
  <c r="F265" i="6"/>
  <c r="E265" i="6"/>
  <c r="D265" i="6"/>
  <c r="C265" i="6"/>
  <c r="B265" i="6"/>
  <c r="A265" i="6"/>
  <c r="F264" i="6"/>
  <c r="E264" i="6"/>
  <c r="D264" i="6"/>
  <c r="C264" i="6"/>
  <c r="B264" i="6"/>
  <c r="A264" i="6"/>
  <c r="F263" i="6"/>
  <c r="E263" i="6"/>
  <c r="D263" i="6"/>
  <c r="C263" i="6"/>
  <c r="B263" i="6"/>
  <c r="A263" i="6"/>
  <c r="F262" i="6"/>
  <c r="E262" i="6"/>
  <c r="D262" i="6"/>
  <c r="C262" i="6"/>
  <c r="B262" i="6"/>
  <c r="A262" i="6"/>
  <c r="F261" i="6"/>
  <c r="E261" i="6"/>
  <c r="D261" i="6"/>
  <c r="C261" i="6"/>
  <c r="B261" i="6"/>
  <c r="A261" i="6"/>
  <c r="F260" i="6"/>
  <c r="E260" i="6"/>
  <c r="D260" i="6"/>
  <c r="C260" i="6"/>
  <c r="B260" i="6"/>
  <c r="A260" i="6"/>
  <c r="F259" i="6"/>
  <c r="E259" i="6"/>
  <c r="D259" i="6"/>
  <c r="C259" i="6"/>
  <c r="B259" i="6"/>
  <c r="A259" i="6"/>
  <c r="F258" i="6"/>
  <c r="E258" i="6"/>
  <c r="D258" i="6"/>
  <c r="C258" i="6"/>
  <c r="B258" i="6"/>
  <c r="A258" i="6"/>
  <c r="F257" i="6"/>
  <c r="E257" i="6"/>
  <c r="D257" i="6"/>
  <c r="C257" i="6"/>
  <c r="B257" i="6"/>
  <c r="A257" i="6"/>
  <c r="F256" i="6"/>
  <c r="E256" i="6"/>
  <c r="D256" i="6"/>
  <c r="C256" i="6"/>
  <c r="B256" i="6"/>
  <c r="A256" i="6"/>
  <c r="F255" i="6"/>
  <c r="E255" i="6"/>
  <c r="D255" i="6"/>
  <c r="C255" i="6"/>
  <c r="B255" i="6"/>
  <c r="A255" i="6"/>
  <c r="F254" i="6"/>
  <c r="E254" i="6"/>
  <c r="D254" i="6"/>
  <c r="C254" i="6"/>
  <c r="B254" i="6"/>
  <c r="A254" i="6"/>
  <c r="F253" i="6"/>
  <c r="E253" i="6"/>
  <c r="D253" i="6"/>
  <c r="C253" i="6"/>
  <c r="B253" i="6"/>
  <c r="A253" i="6"/>
  <c r="F252" i="6"/>
  <c r="E252" i="6"/>
  <c r="D252" i="6"/>
  <c r="C252" i="6"/>
  <c r="B252" i="6"/>
  <c r="A252" i="6"/>
  <c r="F251" i="6"/>
  <c r="E251" i="6"/>
  <c r="D251" i="6"/>
  <c r="C251" i="6"/>
  <c r="B251" i="6"/>
  <c r="A251" i="6"/>
  <c r="F250" i="6"/>
  <c r="E250" i="6"/>
  <c r="D250" i="6"/>
  <c r="C250" i="6"/>
  <c r="B250" i="6"/>
  <c r="A250" i="6"/>
  <c r="F249" i="6"/>
  <c r="E249" i="6"/>
  <c r="D249" i="6"/>
  <c r="C249" i="6"/>
  <c r="B249" i="6"/>
  <c r="A249" i="6"/>
  <c r="F248" i="6"/>
  <c r="E248" i="6"/>
  <c r="D248" i="6"/>
  <c r="C248" i="6"/>
  <c r="B248" i="6"/>
  <c r="A248" i="6"/>
  <c r="F247" i="6"/>
  <c r="E247" i="6"/>
  <c r="D247" i="6"/>
  <c r="C247" i="6"/>
  <c r="B247" i="6"/>
  <c r="A247" i="6"/>
  <c r="F246" i="6"/>
  <c r="E246" i="6"/>
  <c r="D246" i="6"/>
  <c r="C246" i="6"/>
  <c r="B246" i="6"/>
  <c r="A246" i="6"/>
  <c r="F245" i="6"/>
  <c r="E245" i="6"/>
  <c r="D245" i="6"/>
  <c r="C245" i="6"/>
  <c r="B245" i="6"/>
  <c r="A245" i="6"/>
  <c r="F244" i="6"/>
  <c r="E244" i="6"/>
  <c r="D244" i="6"/>
  <c r="C244" i="6"/>
  <c r="B244" i="6"/>
  <c r="A244" i="6"/>
  <c r="F243" i="6"/>
  <c r="E243" i="6"/>
  <c r="D243" i="6"/>
  <c r="C243" i="6"/>
  <c r="B243" i="6"/>
  <c r="A243" i="6"/>
  <c r="F242" i="6"/>
  <c r="E242" i="6"/>
  <c r="D242" i="6"/>
  <c r="C242" i="6"/>
  <c r="B242" i="6"/>
  <c r="A242" i="6"/>
  <c r="F241" i="6"/>
  <c r="E241" i="6"/>
  <c r="D241" i="6"/>
  <c r="C241" i="6"/>
  <c r="B241" i="6"/>
  <c r="A241" i="6"/>
  <c r="F240" i="6"/>
  <c r="E240" i="6"/>
  <c r="D240" i="6"/>
  <c r="C240" i="6"/>
  <c r="B240" i="6"/>
  <c r="A240" i="6"/>
  <c r="F239" i="6"/>
  <c r="E239" i="6"/>
  <c r="D239" i="6"/>
  <c r="C239" i="6"/>
  <c r="B239" i="6"/>
  <c r="A239" i="6"/>
  <c r="F238" i="6"/>
  <c r="E238" i="6"/>
  <c r="D238" i="6"/>
  <c r="C238" i="6"/>
  <c r="B238" i="6"/>
  <c r="A238" i="6"/>
  <c r="F237" i="6"/>
  <c r="E237" i="6"/>
  <c r="D237" i="6"/>
  <c r="C237" i="6"/>
  <c r="B237" i="6"/>
  <c r="A237" i="6"/>
  <c r="F236" i="6"/>
  <c r="E236" i="6"/>
  <c r="D236" i="6"/>
  <c r="C236" i="6"/>
  <c r="B236" i="6"/>
  <c r="A236" i="6"/>
  <c r="F235" i="6"/>
  <c r="E235" i="6"/>
  <c r="D235" i="6"/>
  <c r="C235" i="6"/>
  <c r="B235" i="6"/>
  <c r="A235" i="6"/>
  <c r="F234" i="6"/>
  <c r="E234" i="6"/>
  <c r="D234" i="6"/>
  <c r="C234" i="6"/>
  <c r="B234" i="6"/>
  <c r="A234" i="6"/>
  <c r="F233" i="6"/>
  <c r="E233" i="6"/>
  <c r="D233" i="6"/>
  <c r="C233" i="6"/>
  <c r="B233" i="6"/>
  <c r="A233" i="6"/>
  <c r="F232" i="6"/>
  <c r="E232" i="6"/>
  <c r="D232" i="6"/>
  <c r="C232" i="6"/>
  <c r="B232" i="6"/>
  <c r="A232" i="6"/>
  <c r="F231" i="6"/>
  <c r="E231" i="6"/>
  <c r="D231" i="6"/>
  <c r="C231" i="6"/>
  <c r="B231" i="6"/>
  <c r="A231" i="6"/>
  <c r="F230" i="6"/>
  <c r="E230" i="6"/>
  <c r="D230" i="6"/>
  <c r="C230" i="6"/>
  <c r="B230" i="6"/>
  <c r="A230" i="6"/>
  <c r="F229" i="6"/>
  <c r="E229" i="6"/>
  <c r="D229" i="6"/>
  <c r="C229" i="6"/>
  <c r="B229" i="6"/>
  <c r="A229" i="6"/>
  <c r="F228" i="6"/>
  <c r="E228" i="6"/>
  <c r="D228" i="6"/>
  <c r="C228" i="6"/>
  <c r="B228" i="6"/>
  <c r="A228" i="6"/>
  <c r="F227" i="6"/>
  <c r="E227" i="6"/>
  <c r="D227" i="6"/>
  <c r="C227" i="6"/>
  <c r="B227" i="6"/>
  <c r="A227" i="6"/>
  <c r="F226" i="6"/>
  <c r="E226" i="6"/>
  <c r="D226" i="6"/>
  <c r="C226" i="6"/>
  <c r="B226" i="6"/>
  <c r="A226" i="6"/>
  <c r="F225" i="6"/>
  <c r="E225" i="6"/>
  <c r="D225" i="6"/>
  <c r="C225" i="6"/>
  <c r="B225" i="6"/>
  <c r="A225" i="6"/>
  <c r="F224" i="6"/>
  <c r="E224" i="6"/>
  <c r="D224" i="6"/>
  <c r="C224" i="6"/>
  <c r="B224" i="6"/>
  <c r="A224" i="6"/>
  <c r="F223" i="6"/>
  <c r="E223" i="6"/>
  <c r="D223" i="6"/>
  <c r="C223" i="6"/>
  <c r="B223" i="6"/>
  <c r="A223" i="6"/>
  <c r="F222" i="6"/>
  <c r="E222" i="6"/>
  <c r="D222" i="6"/>
  <c r="C222" i="6"/>
  <c r="B222" i="6"/>
  <c r="A222" i="6"/>
  <c r="F221" i="6"/>
  <c r="E221" i="6"/>
  <c r="D221" i="6"/>
  <c r="C221" i="6"/>
  <c r="B221" i="6"/>
  <c r="A221" i="6"/>
  <c r="F220" i="6"/>
  <c r="E220" i="6"/>
  <c r="D220" i="6"/>
  <c r="C220" i="6"/>
  <c r="B220" i="6"/>
  <c r="A220" i="6"/>
  <c r="F219" i="6"/>
  <c r="E219" i="6"/>
  <c r="D219" i="6"/>
  <c r="C219" i="6"/>
  <c r="B219" i="6"/>
  <c r="A219" i="6"/>
  <c r="F218" i="6"/>
  <c r="E218" i="6"/>
  <c r="D218" i="6"/>
  <c r="C218" i="6"/>
  <c r="B218" i="6"/>
  <c r="A218" i="6"/>
  <c r="F217" i="6"/>
  <c r="E217" i="6"/>
  <c r="D217" i="6"/>
  <c r="C217" i="6"/>
  <c r="B217" i="6"/>
  <c r="A217" i="6"/>
  <c r="F216" i="6"/>
  <c r="E216" i="6"/>
  <c r="D216" i="6"/>
  <c r="C216" i="6"/>
  <c r="B216" i="6"/>
  <c r="A216" i="6"/>
  <c r="F215" i="6"/>
  <c r="E215" i="6"/>
  <c r="D215" i="6"/>
  <c r="C215" i="6"/>
  <c r="B215" i="6"/>
  <c r="A215" i="6"/>
  <c r="F214" i="6"/>
  <c r="E214" i="6"/>
  <c r="D214" i="6"/>
  <c r="C214" i="6"/>
  <c r="B214" i="6"/>
  <c r="A214" i="6"/>
  <c r="F213" i="6"/>
  <c r="E213" i="6"/>
  <c r="D213" i="6"/>
  <c r="C213" i="6"/>
  <c r="B213" i="6"/>
  <c r="A213" i="6"/>
  <c r="F212" i="6"/>
  <c r="E212" i="6"/>
  <c r="D212" i="6"/>
  <c r="C212" i="6"/>
  <c r="B212" i="6"/>
  <c r="A212" i="6"/>
  <c r="F211" i="6"/>
  <c r="E211" i="6"/>
  <c r="D211" i="6"/>
  <c r="C211" i="6"/>
  <c r="B211" i="6"/>
  <c r="A211" i="6"/>
  <c r="F210" i="6"/>
  <c r="E210" i="6"/>
  <c r="D210" i="6"/>
  <c r="C210" i="6"/>
  <c r="B210" i="6"/>
  <c r="A210" i="6"/>
  <c r="F209" i="6"/>
  <c r="E209" i="6"/>
  <c r="D209" i="6"/>
  <c r="C209" i="6"/>
  <c r="B209" i="6"/>
  <c r="A209" i="6"/>
  <c r="F208" i="6"/>
  <c r="E208" i="6"/>
  <c r="D208" i="6"/>
  <c r="C208" i="6"/>
  <c r="B208" i="6"/>
  <c r="A208" i="6"/>
  <c r="F207" i="6"/>
  <c r="E207" i="6"/>
  <c r="D207" i="6"/>
  <c r="C207" i="6"/>
  <c r="B207" i="6"/>
  <c r="A207" i="6"/>
  <c r="F206" i="6"/>
  <c r="E206" i="6"/>
  <c r="D206" i="6"/>
  <c r="C206" i="6"/>
  <c r="B206" i="6"/>
  <c r="A206" i="6"/>
  <c r="F205" i="6"/>
  <c r="E205" i="6"/>
  <c r="D205" i="6"/>
  <c r="C205" i="6"/>
  <c r="B205" i="6"/>
  <c r="A205" i="6"/>
  <c r="F204" i="6"/>
  <c r="E204" i="6"/>
  <c r="D204" i="6"/>
  <c r="C204" i="6"/>
  <c r="B204" i="6"/>
  <c r="A204" i="6"/>
  <c r="F203" i="6"/>
  <c r="E203" i="6"/>
  <c r="D203" i="6"/>
  <c r="C203" i="6"/>
  <c r="B203" i="6"/>
  <c r="A203" i="6"/>
  <c r="F202" i="6"/>
  <c r="E202" i="6"/>
  <c r="D202" i="6"/>
  <c r="C202" i="6"/>
  <c r="B202" i="6"/>
  <c r="A202" i="6"/>
  <c r="F201" i="6"/>
  <c r="E201" i="6"/>
  <c r="D201" i="6"/>
  <c r="C201" i="6"/>
  <c r="B201" i="6"/>
  <c r="A201" i="6"/>
  <c r="F200" i="6"/>
  <c r="E200" i="6"/>
  <c r="D200" i="6"/>
  <c r="C200" i="6"/>
  <c r="B200" i="6"/>
  <c r="A200" i="6"/>
  <c r="F199" i="6"/>
  <c r="E199" i="6"/>
  <c r="D199" i="6"/>
  <c r="C199" i="6"/>
  <c r="B199" i="6"/>
  <c r="A199" i="6"/>
  <c r="F198" i="6"/>
  <c r="E198" i="6"/>
  <c r="D198" i="6"/>
  <c r="C198" i="6"/>
  <c r="B198" i="6"/>
  <c r="A198" i="6"/>
  <c r="F197" i="6"/>
  <c r="E197" i="6"/>
  <c r="D197" i="6"/>
  <c r="C197" i="6"/>
  <c r="B197" i="6"/>
  <c r="A197" i="6"/>
  <c r="F196" i="6"/>
  <c r="E196" i="6"/>
  <c r="D196" i="6"/>
  <c r="C196" i="6"/>
  <c r="B196" i="6"/>
  <c r="A196" i="6"/>
  <c r="F195" i="6"/>
  <c r="E195" i="6"/>
  <c r="D195" i="6"/>
  <c r="C195" i="6"/>
  <c r="B195" i="6"/>
  <c r="A195" i="6"/>
  <c r="F194" i="6"/>
  <c r="E194" i="6"/>
  <c r="D194" i="6"/>
  <c r="C194" i="6"/>
  <c r="B194" i="6"/>
  <c r="A194" i="6"/>
  <c r="F193" i="6"/>
  <c r="E193" i="6"/>
  <c r="D193" i="6"/>
  <c r="C193" i="6"/>
  <c r="B193" i="6"/>
  <c r="A193" i="6"/>
  <c r="F192" i="6"/>
  <c r="E192" i="6"/>
  <c r="D192" i="6"/>
  <c r="C192" i="6"/>
  <c r="B192" i="6"/>
  <c r="A192" i="6"/>
  <c r="F191" i="6"/>
  <c r="E191" i="6"/>
  <c r="D191" i="6"/>
  <c r="C191" i="6"/>
  <c r="B191" i="6"/>
  <c r="A191" i="6"/>
  <c r="F190" i="6"/>
  <c r="E190" i="6"/>
  <c r="D190" i="6"/>
  <c r="C190" i="6"/>
  <c r="B190" i="6"/>
  <c r="A190" i="6"/>
  <c r="F189" i="6"/>
  <c r="E189" i="6"/>
  <c r="D189" i="6"/>
  <c r="C189" i="6"/>
  <c r="B189" i="6"/>
  <c r="A189" i="6"/>
  <c r="F188" i="6"/>
  <c r="E188" i="6"/>
  <c r="D188" i="6"/>
  <c r="C188" i="6"/>
  <c r="B188" i="6"/>
  <c r="A188" i="6"/>
  <c r="F187" i="6"/>
  <c r="E187" i="6"/>
  <c r="D187" i="6"/>
  <c r="C187" i="6"/>
  <c r="B187" i="6"/>
  <c r="A187" i="6"/>
  <c r="F186" i="6"/>
  <c r="E186" i="6"/>
  <c r="D186" i="6"/>
  <c r="C186" i="6"/>
  <c r="B186" i="6"/>
  <c r="A186" i="6"/>
  <c r="F185" i="6"/>
  <c r="E185" i="6"/>
  <c r="D185" i="6"/>
  <c r="C185" i="6"/>
  <c r="B185" i="6"/>
  <c r="A185" i="6"/>
  <c r="F184" i="6"/>
  <c r="E184" i="6"/>
  <c r="D184" i="6"/>
  <c r="C184" i="6"/>
  <c r="B184" i="6"/>
  <c r="A184" i="6"/>
  <c r="F183" i="6"/>
  <c r="E183" i="6"/>
  <c r="D183" i="6"/>
  <c r="C183" i="6"/>
  <c r="B183" i="6"/>
  <c r="A183" i="6"/>
  <c r="F182" i="6"/>
  <c r="E182" i="6"/>
  <c r="D182" i="6"/>
  <c r="C182" i="6"/>
  <c r="B182" i="6"/>
  <c r="A182" i="6"/>
  <c r="F181" i="6"/>
  <c r="E181" i="6"/>
  <c r="D181" i="6"/>
  <c r="C181" i="6"/>
  <c r="B181" i="6"/>
  <c r="A181" i="6"/>
  <c r="F180" i="6"/>
  <c r="E180" i="6"/>
  <c r="D180" i="6"/>
  <c r="C180" i="6"/>
  <c r="B180" i="6"/>
  <c r="A180" i="6"/>
  <c r="F179" i="6"/>
  <c r="E179" i="6"/>
  <c r="D179" i="6"/>
  <c r="C179" i="6"/>
  <c r="B179" i="6"/>
  <c r="A179" i="6"/>
  <c r="F178" i="6"/>
  <c r="E178" i="6"/>
  <c r="D178" i="6"/>
  <c r="C178" i="6"/>
  <c r="B178" i="6"/>
  <c r="A178" i="6"/>
  <c r="F177" i="6"/>
  <c r="E177" i="6"/>
  <c r="D177" i="6"/>
  <c r="C177" i="6"/>
  <c r="B177" i="6"/>
  <c r="A177" i="6"/>
  <c r="F176" i="6"/>
  <c r="E176" i="6"/>
  <c r="D176" i="6"/>
  <c r="C176" i="6"/>
  <c r="B176" i="6"/>
  <c r="A176" i="6"/>
  <c r="F175" i="6"/>
  <c r="E175" i="6"/>
  <c r="D175" i="6"/>
  <c r="C175" i="6"/>
  <c r="B175" i="6"/>
  <c r="A175" i="6"/>
  <c r="F174" i="6"/>
  <c r="E174" i="6"/>
  <c r="D174" i="6"/>
  <c r="C174" i="6"/>
  <c r="B174" i="6"/>
  <c r="A174" i="6"/>
  <c r="F173" i="6"/>
  <c r="E173" i="6"/>
  <c r="D173" i="6"/>
  <c r="C173" i="6"/>
  <c r="B173" i="6"/>
  <c r="A173" i="6"/>
  <c r="F172" i="6"/>
  <c r="E172" i="6"/>
  <c r="D172" i="6"/>
  <c r="C172" i="6"/>
  <c r="B172" i="6"/>
  <c r="A172" i="6"/>
  <c r="F171" i="6"/>
  <c r="E171" i="6"/>
  <c r="D171" i="6"/>
  <c r="C171" i="6"/>
  <c r="B171" i="6"/>
  <c r="A171" i="6"/>
  <c r="F170" i="6"/>
  <c r="E170" i="6"/>
  <c r="D170" i="6"/>
  <c r="C170" i="6"/>
  <c r="B170" i="6"/>
  <c r="A170" i="6"/>
  <c r="F169" i="6"/>
  <c r="E169" i="6"/>
  <c r="D169" i="6"/>
  <c r="C169" i="6"/>
  <c r="B169" i="6"/>
  <c r="A169" i="6"/>
  <c r="F168" i="6"/>
  <c r="E168" i="6"/>
  <c r="D168" i="6"/>
  <c r="C168" i="6"/>
  <c r="B168" i="6"/>
  <c r="A168" i="6"/>
  <c r="F167" i="6"/>
  <c r="E167" i="6"/>
  <c r="D167" i="6"/>
  <c r="C167" i="6"/>
  <c r="B167" i="6"/>
  <c r="A167" i="6"/>
  <c r="F166" i="6"/>
  <c r="E166" i="6"/>
  <c r="D166" i="6"/>
  <c r="C166" i="6"/>
  <c r="B166" i="6"/>
  <c r="A166" i="6"/>
  <c r="F165" i="6"/>
  <c r="E165" i="6"/>
  <c r="D165" i="6"/>
  <c r="C165" i="6"/>
  <c r="B165" i="6"/>
  <c r="A165" i="6"/>
  <c r="F164" i="6"/>
  <c r="E164" i="6"/>
  <c r="D164" i="6"/>
  <c r="C164" i="6"/>
  <c r="B164" i="6"/>
  <c r="A164" i="6"/>
  <c r="F163" i="6"/>
  <c r="E163" i="6"/>
  <c r="D163" i="6"/>
  <c r="C163" i="6"/>
  <c r="B163" i="6"/>
  <c r="A163" i="6"/>
  <c r="F162" i="6"/>
  <c r="E162" i="6"/>
  <c r="D162" i="6"/>
  <c r="C162" i="6"/>
  <c r="B162" i="6"/>
  <c r="A162" i="6"/>
  <c r="F161" i="6"/>
  <c r="E161" i="6"/>
  <c r="D161" i="6"/>
  <c r="C161" i="6"/>
  <c r="B161" i="6"/>
  <c r="A161" i="6"/>
  <c r="F160" i="6"/>
  <c r="E160" i="6"/>
  <c r="D160" i="6"/>
  <c r="C160" i="6"/>
  <c r="B160" i="6"/>
  <c r="A160" i="6"/>
  <c r="F159" i="6"/>
  <c r="E159" i="6"/>
  <c r="D159" i="6"/>
  <c r="C159" i="6"/>
  <c r="B159" i="6"/>
  <c r="A159" i="6"/>
  <c r="F158" i="6"/>
  <c r="E158" i="6"/>
  <c r="D158" i="6"/>
  <c r="C158" i="6"/>
  <c r="B158" i="6"/>
  <c r="A158" i="6"/>
  <c r="F157" i="6"/>
  <c r="E157" i="6"/>
  <c r="D157" i="6"/>
  <c r="C157" i="6"/>
  <c r="B157" i="6"/>
  <c r="A157" i="6"/>
  <c r="F156" i="6"/>
  <c r="E156" i="6"/>
  <c r="D156" i="6"/>
  <c r="C156" i="6"/>
  <c r="B156" i="6"/>
  <c r="A156" i="6"/>
  <c r="F155" i="6"/>
  <c r="E155" i="6"/>
  <c r="D155" i="6"/>
  <c r="C155" i="6"/>
  <c r="B155" i="6"/>
  <c r="A155" i="6"/>
  <c r="F154" i="6"/>
  <c r="E154" i="6"/>
  <c r="D154" i="6"/>
  <c r="C154" i="6"/>
  <c r="B154" i="6"/>
  <c r="A154" i="6"/>
  <c r="F153" i="6"/>
  <c r="E153" i="6"/>
  <c r="D153" i="6"/>
  <c r="C153" i="6"/>
  <c r="B153" i="6"/>
  <c r="A153" i="6"/>
  <c r="F152" i="6"/>
  <c r="E152" i="6"/>
  <c r="D152" i="6"/>
  <c r="C152" i="6"/>
  <c r="B152" i="6"/>
  <c r="A152" i="6"/>
  <c r="F151" i="6"/>
  <c r="E151" i="6"/>
  <c r="D151" i="6"/>
  <c r="C151" i="6"/>
  <c r="B151" i="6"/>
  <c r="A151" i="6"/>
  <c r="F150" i="6"/>
  <c r="E150" i="6"/>
  <c r="D150" i="6"/>
  <c r="C150" i="6"/>
  <c r="B150" i="6"/>
  <c r="A150" i="6"/>
  <c r="F149" i="6"/>
  <c r="E149" i="6"/>
  <c r="D149" i="6"/>
  <c r="C149" i="6"/>
  <c r="B149" i="6"/>
  <c r="A149" i="6"/>
  <c r="F148" i="6"/>
  <c r="E148" i="6"/>
  <c r="D148" i="6"/>
  <c r="C148" i="6"/>
  <c r="B148" i="6"/>
  <c r="A148" i="6"/>
  <c r="F147" i="6"/>
  <c r="E147" i="6"/>
  <c r="D147" i="6"/>
  <c r="C147" i="6"/>
  <c r="B147" i="6"/>
  <c r="A147" i="6"/>
  <c r="F146" i="6"/>
  <c r="E146" i="6"/>
  <c r="D146" i="6"/>
  <c r="C146" i="6"/>
  <c r="B146" i="6"/>
  <c r="A146" i="6"/>
  <c r="F145" i="6"/>
  <c r="E145" i="6"/>
  <c r="D145" i="6"/>
  <c r="C145" i="6"/>
  <c r="B145" i="6"/>
  <c r="A145" i="6"/>
  <c r="F144" i="6"/>
  <c r="E144" i="6"/>
  <c r="D144" i="6"/>
  <c r="C144" i="6"/>
  <c r="B144" i="6"/>
  <c r="A144" i="6"/>
  <c r="F143" i="6"/>
  <c r="E143" i="6"/>
  <c r="D143" i="6"/>
  <c r="C143" i="6"/>
  <c r="B143" i="6"/>
  <c r="A143" i="6"/>
  <c r="F142" i="6"/>
  <c r="E142" i="6"/>
  <c r="D142" i="6"/>
  <c r="C142" i="6"/>
  <c r="B142" i="6"/>
  <c r="A142" i="6"/>
  <c r="F141" i="6"/>
  <c r="E141" i="6"/>
  <c r="D141" i="6"/>
  <c r="C141" i="6"/>
  <c r="B141" i="6"/>
  <c r="A141" i="6"/>
  <c r="F140" i="6"/>
  <c r="E140" i="6"/>
  <c r="D140" i="6"/>
  <c r="C140" i="6"/>
  <c r="B140" i="6"/>
  <c r="A140" i="6"/>
  <c r="F139" i="6"/>
  <c r="E139" i="6"/>
  <c r="D139" i="6"/>
  <c r="C139" i="6"/>
  <c r="B139" i="6"/>
  <c r="A139" i="6"/>
  <c r="F138" i="6"/>
  <c r="E138" i="6"/>
  <c r="D138" i="6"/>
  <c r="C138" i="6"/>
  <c r="B138" i="6"/>
  <c r="A138" i="6"/>
  <c r="F137" i="6"/>
  <c r="E137" i="6"/>
  <c r="D137" i="6"/>
  <c r="C137" i="6"/>
  <c r="B137" i="6"/>
  <c r="A137" i="6"/>
  <c r="F136" i="6"/>
  <c r="E136" i="6"/>
  <c r="D136" i="6"/>
  <c r="C136" i="6"/>
  <c r="B136" i="6"/>
  <c r="A136" i="6"/>
  <c r="F135" i="6"/>
  <c r="E135" i="6"/>
  <c r="D135" i="6"/>
  <c r="C135" i="6"/>
  <c r="B135" i="6"/>
  <c r="A135" i="6"/>
  <c r="F134" i="6"/>
  <c r="E134" i="6"/>
  <c r="D134" i="6"/>
  <c r="C134" i="6"/>
  <c r="B134" i="6"/>
  <c r="A134" i="6"/>
  <c r="F133" i="6"/>
  <c r="E133" i="6"/>
  <c r="D133" i="6"/>
  <c r="C133" i="6"/>
  <c r="B133" i="6"/>
  <c r="A133" i="6"/>
  <c r="F132" i="6"/>
  <c r="E132" i="6"/>
  <c r="D132" i="6"/>
  <c r="C132" i="6"/>
  <c r="B132" i="6"/>
  <c r="A132" i="6"/>
  <c r="F131" i="6"/>
  <c r="E131" i="6"/>
  <c r="D131" i="6"/>
  <c r="C131" i="6"/>
  <c r="B131" i="6"/>
  <c r="A131" i="6"/>
  <c r="F130" i="6"/>
  <c r="E130" i="6"/>
  <c r="D130" i="6"/>
  <c r="C130" i="6"/>
  <c r="B130" i="6"/>
  <c r="A130" i="6"/>
  <c r="F129" i="6"/>
  <c r="E129" i="6"/>
  <c r="D129" i="6"/>
  <c r="C129" i="6"/>
  <c r="B129" i="6"/>
  <c r="A129" i="6"/>
  <c r="F128" i="6"/>
  <c r="E128" i="6"/>
  <c r="D128" i="6"/>
  <c r="C128" i="6"/>
  <c r="B128" i="6"/>
  <c r="A128" i="6"/>
  <c r="F127" i="6"/>
  <c r="E127" i="6"/>
  <c r="D127" i="6"/>
  <c r="C127" i="6"/>
  <c r="B127" i="6"/>
  <c r="A127" i="6"/>
  <c r="F126" i="6"/>
  <c r="E126" i="6"/>
  <c r="D126" i="6"/>
  <c r="C126" i="6"/>
  <c r="B126" i="6"/>
  <c r="A126" i="6"/>
  <c r="F125" i="6"/>
  <c r="E125" i="6"/>
  <c r="D125" i="6"/>
  <c r="C125" i="6"/>
  <c r="B125" i="6"/>
  <c r="A125" i="6"/>
  <c r="F124" i="6"/>
  <c r="E124" i="6"/>
  <c r="D124" i="6"/>
  <c r="C124" i="6"/>
  <c r="B124" i="6"/>
  <c r="A124" i="6"/>
  <c r="F123" i="6"/>
  <c r="E123" i="6"/>
  <c r="D123" i="6"/>
  <c r="C123" i="6"/>
  <c r="B123" i="6"/>
  <c r="A123" i="6"/>
  <c r="F122" i="6"/>
  <c r="E122" i="6"/>
  <c r="D122" i="6"/>
  <c r="C122" i="6"/>
  <c r="B122" i="6"/>
  <c r="A122" i="6"/>
  <c r="F121" i="6"/>
  <c r="E121" i="6"/>
  <c r="D121" i="6"/>
  <c r="C121" i="6"/>
  <c r="B121" i="6"/>
  <c r="A121" i="6"/>
  <c r="F120" i="6"/>
  <c r="E120" i="6"/>
  <c r="D120" i="6"/>
  <c r="C120" i="6"/>
  <c r="B120" i="6"/>
  <c r="A120" i="6"/>
  <c r="F119" i="6"/>
  <c r="E119" i="6"/>
  <c r="D119" i="6"/>
  <c r="C119" i="6"/>
  <c r="B119" i="6"/>
  <c r="A119" i="6"/>
  <c r="F118" i="6"/>
  <c r="E118" i="6"/>
  <c r="D118" i="6"/>
  <c r="C118" i="6"/>
  <c r="B118" i="6"/>
  <c r="A118" i="6"/>
  <c r="F117" i="6"/>
  <c r="E117" i="6"/>
  <c r="D117" i="6"/>
  <c r="C117" i="6"/>
  <c r="B117" i="6"/>
  <c r="A117" i="6"/>
  <c r="F116" i="6"/>
  <c r="E116" i="6"/>
  <c r="D116" i="6"/>
  <c r="C116" i="6"/>
  <c r="B116" i="6"/>
  <c r="A116" i="6"/>
  <c r="F115" i="6"/>
  <c r="E115" i="6"/>
  <c r="D115" i="6"/>
  <c r="C115" i="6"/>
  <c r="B115" i="6"/>
  <c r="A115" i="6"/>
  <c r="F114" i="6"/>
  <c r="E114" i="6"/>
  <c r="D114" i="6"/>
  <c r="C114" i="6"/>
  <c r="B114" i="6"/>
  <c r="A114" i="6"/>
  <c r="F113" i="6"/>
  <c r="E113" i="6"/>
  <c r="D113" i="6"/>
  <c r="C113" i="6"/>
  <c r="B113" i="6"/>
  <c r="A113" i="6"/>
  <c r="F112" i="6"/>
  <c r="E112" i="6"/>
  <c r="D112" i="6"/>
  <c r="C112" i="6"/>
  <c r="B112" i="6"/>
  <c r="A112" i="6"/>
  <c r="F111" i="6"/>
  <c r="E111" i="6"/>
  <c r="D111" i="6"/>
  <c r="C111" i="6"/>
  <c r="B111" i="6"/>
  <c r="A111" i="6"/>
  <c r="F110" i="6"/>
  <c r="E110" i="6"/>
  <c r="D110" i="6"/>
  <c r="C110" i="6"/>
  <c r="B110" i="6"/>
  <c r="A110" i="6"/>
  <c r="F109" i="6"/>
  <c r="E109" i="6"/>
  <c r="D109" i="6"/>
  <c r="C109" i="6"/>
  <c r="B109" i="6"/>
  <c r="A109" i="6"/>
  <c r="F108" i="6"/>
  <c r="E108" i="6"/>
  <c r="D108" i="6"/>
  <c r="C108" i="6"/>
  <c r="B108" i="6"/>
  <c r="A108" i="6"/>
  <c r="F107" i="6"/>
  <c r="E107" i="6"/>
  <c r="D107" i="6"/>
  <c r="C107" i="6"/>
  <c r="B107" i="6"/>
  <c r="A107" i="6"/>
  <c r="F106" i="6"/>
  <c r="E106" i="6"/>
  <c r="D106" i="6"/>
  <c r="C106" i="6"/>
  <c r="B106" i="6"/>
  <c r="A106" i="6"/>
  <c r="F105" i="6"/>
  <c r="E105" i="6"/>
  <c r="D105" i="6"/>
  <c r="C105" i="6"/>
  <c r="B105" i="6"/>
  <c r="A105" i="6"/>
  <c r="F104" i="6"/>
  <c r="E104" i="6"/>
  <c r="D104" i="6"/>
  <c r="C104" i="6"/>
  <c r="B104" i="6"/>
  <c r="A104" i="6"/>
  <c r="F103" i="6"/>
  <c r="E103" i="6"/>
  <c r="D103" i="6"/>
  <c r="C103" i="6"/>
  <c r="B103" i="6"/>
  <c r="A103" i="6"/>
  <c r="F102" i="6"/>
  <c r="E102" i="6"/>
  <c r="D102" i="6"/>
  <c r="C102" i="6"/>
  <c r="B102" i="6"/>
  <c r="A102" i="6"/>
  <c r="F101" i="6"/>
  <c r="E101" i="6"/>
  <c r="D101" i="6"/>
  <c r="C101" i="6"/>
  <c r="B101" i="6"/>
  <c r="A101" i="6"/>
  <c r="F100" i="6"/>
  <c r="E100" i="6"/>
  <c r="D100" i="6"/>
  <c r="C100" i="6"/>
  <c r="B100" i="6"/>
  <c r="A100" i="6"/>
  <c r="F99" i="6"/>
  <c r="E99" i="6"/>
  <c r="D99" i="6"/>
  <c r="C99" i="6"/>
  <c r="B99" i="6"/>
  <c r="A99" i="6"/>
  <c r="F98" i="6"/>
  <c r="E98" i="6"/>
  <c r="D98" i="6"/>
  <c r="C98" i="6"/>
  <c r="B98" i="6"/>
  <c r="A98" i="6"/>
  <c r="F97" i="6"/>
  <c r="E97" i="6"/>
  <c r="D97" i="6"/>
  <c r="C97" i="6"/>
  <c r="B97" i="6"/>
  <c r="A97" i="6"/>
  <c r="F96" i="6"/>
  <c r="E96" i="6"/>
  <c r="D96" i="6"/>
  <c r="C96" i="6"/>
  <c r="B96" i="6"/>
  <c r="A96" i="6"/>
  <c r="F95" i="6"/>
  <c r="E95" i="6"/>
  <c r="D95" i="6"/>
  <c r="C95" i="6"/>
  <c r="B95" i="6"/>
  <c r="A95" i="6"/>
  <c r="F94" i="6"/>
  <c r="E94" i="6"/>
  <c r="D94" i="6"/>
  <c r="C94" i="6"/>
  <c r="B94" i="6"/>
  <c r="A94" i="6"/>
  <c r="F93" i="6"/>
  <c r="E93" i="6"/>
  <c r="D93" i="6"/>
  <c r="C93" i="6"/>
  <c r="B93" i="6"/>
  <c r="A93" i="6"/>
  <c r="F92" i="6"/>
  <c r="E92" i="6"/>
  <c r="D92" i="6"/>
  <c r="C92" i="6"/>
  <c r="B92" i="6"/>
  <c r="A92" i="6"/>
  <c r="F91" i="6"/>
  <c r="E91" i="6"/>
  <c r="D91" i="6"/>
  <c r="C91" i="6"/>
  <c r="B91" i="6"/>
  <c r="A91" i="6"/>
  <c r="F90" i="6"/>
  <c r="E90" i="6"/>
  <c r="D90" i="6"/>
  <c r="C90" i="6"/>
  <c r="B90" i="6"/>
  <c r="A90" i="6"/>
  <c r="F89" i="6"/>
  <c r="E89" i="6"/>
  <c r="D89" i="6"/>
  <c r="C89" i="6"/>
  <c r="B89" i="6"/>
  <c r="A89" i="6"/>
  <c r="F88" i="6"/>
  <c r="E88" i="6"/>
  <c r="D88" i="6"/>
  <c r="C88" i="6"/>
  <c r="B88" i="6"/>
  <c r="A88" i="6"/>
  <c r="F87" i="6"/>
  <c r="E87" i="6"/>
  <c r="D87" i="6"/>
  <c r="C87" i="6"/>
  <c r="B87" i="6"/>
  <c r="A87" i="6"/>
  <c r="F86" i="6"/>
  <c r="E86" i="6"/>
  <c r="D86" i="6"/>
  <c r="C86" i="6"/>
  <c r="B86" i="6"/>
  <c r="A86" i="6"/>
  <c r="F85" i="6"/>
  <c r="E85" i="6"/>
  <c r="D85" i="6"/>
  <c r="C85" i="6"/>
  <c r="B85" i="6"/>
  <c r="A85" i="6"/>
  <c r="F84" i="6"/>
  <c r="E84" i="6"/>
  <c r="D84" i="6"/>
  <c r="C84" i="6"/>
  <c r="B84" i="6"/>
  <c r="A84" i="6"/>
  <c r="F83" i="6"/>
  <c r="E83" i="6"/>
  <c r="D83" i="6"/>
  <c r="C83" i="6"/>
  <c r="B83" i="6"/>
  <c r="A83" i="6"/>
  <c r="F82" i="6"/>
  <c r="E82" i="6"/>
  <c r="D82" i="6"/>
  <c r="C82" i="6"/>
  <c r="B82" i="6"/>
  <c r="A82" i="6"/>
  <c r="F81" i="6"/>
  <c r="E81" i="6"/>
  <c r="D81" i="6"/>
  <c r="C81" i="6"/>
  <c r="B81" i="6"/>
  <c r="A81" i="6"/>
  <c r="F80" i="6"/>
  <c r="E80" i="6"/>
  <c r="D80" i="6"/>
  <c r="C80" i="6"/>
  <c r="B80" i="6"/>
  <c r="A80" i="6"/>
  <c r="F79" i="6"/>
  <c r="E79" i="6"/>
  <c r="D79" i="6"/>
  <c r="C79" i="6"/>
  <c r="B79" i="6"/>
  <c r="A79" i="6"/>
  <c r="F78" i="6"/>
  <c r="E78" i="6"/>
  <c r="D78" i="6"/>
  <c r="C78" i="6"/>
  <c r="B78" i="6"/>
  <c r="A78" i="6"/>
  <c r="F77" i="6"/>
  <c r="E77" i="6"/>
  <c r="D77" i="6"/>
  <c r="C77" i="6"/>
  <c r="B77" i="6"/>
  <c r="A77" i="6"/>
  <c r="F76" i="6"/>
  <c r="E76" i="6"/>
  <c r="D76" i="6"/>
  <c r="C76" i="6"/>
  <c r="B76" i="6"/>
  <c r="A76" i="6"/>
  <c r="F75" i="6"/>
  <c r="E75" i="6"/>
  <c r="D75" i="6"/>
  <c r="C75" i="6"/>
  <c r="B75" i="6"/>
  <c r="A75" i="6"/>
  <c r="F74" i="6"/>
  <c r="E74" i="6"/>
  <c r="D74" i="6"/>
  <c r="C74" i="6"/>
  <c r="B74" i="6"/>
  <c r="A74" i="6"/>
  <c r="F73" i="6"/>
  <c r="E73" i="6"/>
  <c r="D73" i="6"/>
  <c r="C73" i="6"/>
  <c r="B73" i="6"/>
  <c r="A73" i="6"/>
  <c r="F72" i="6"/>
  <c r="E72" i="6"/>
  <c r="D72" i="6"/>
  <c r="C72" i="6"/>
  <c r="B72" i="6"/>
  <c r="A72" i="6"/>
  <c r="F71" i="6"/>
  <c r="E71" i="6"/>
  <c r="D71" i="6"/>
  <c r="C71" i="6"/>
  <c r="B71" i="6"/>
  <c r="A71" i="6"/>
  <c r="F70" i="6"/>
  <c r="E70" i="6"/>
  <c r="D70" i="6"/>
  <c r="C70" i="6"/>
  <c r="B70" i="6"/>
  <c r="A70" i="6"/>
  <c r="F69" i="6"/>
  <c r="E69" i="6"/>
  <c r="D69" i="6"/>
  <c r="C69" i="6"/>
  <c r="B69" i="6"/>
  <c r="A69" i="6"/>
  <c r="F68" i="6"/>
  <c r="E68" i="6"/>
  <c r="D68" i="6"/>
  <c r="C68" i="6"/>
  <c r="B68" i="6"/>
  <c r="A68" i="6"/>
  <c r="F67" i="6"/>
  <c r="E67" i="6"/>
  <c r="D67" i="6"/>
  <c r="C67" i="6"/>
  <c r="B67" i="6"/>
  <c r="A67" i="6"/>
  <c r="F66" i="6"/>
  <c r="E66" i="6"/>
  <c r="D66" i="6"/>
  <c r="C66" i="6"/>
  <c r="B66" i="6"/>
  <c r="A66" i="6"/>
  <c r="F65" i="6"/>
  <c r="E65" i="6"/>
  <c r="D65" i="6"/>
  <c r="C65" i="6"/>
  <c r="B65" i="6"/>
  <c r="A65" i="6"/>
  <c r="F64" i="6"/>
  <c r="E64" i="6"/>
  <c r="D64" i="6"/>
  <c r="C64" i="6"/>
  <c r="B64" i="6"/>
  <c r="A64" i="6"/>
  <c r="F63" i="6"/>
  <c r="E63" i="6"/>
  <c r="D63" i="6"/>
  <c r="C63" i="6"/>
  <c r="B63" i="6"/>
  <c r="A63" i="6"/>
  <c r="F62" i="6"/>
  <c r="E62" i="6"/>
  <c r="D62" i="6"/>
  <c r="C62" i="6"/>
  <c r="B62" i="6"/>
  <c r="A62" i="6"/>
  <c r="F61" i="6"/>
  <c r="E61" i="6"/>
  <c r="D61" i="6"/>
  <c r="C61" i="6"/>
  <c r="B61" i="6"/>
  <c r="A61" i="6"/>
  <c r="F60" i="6"/>
  <c r="E60" i="6"/>
  <c r="D60" i="6"/>
  <c r="C60" i="6"/>
  <c r="B60" i="6"/>
  <c r="A60" i="6"/>
  <c r="F59" i="6"/>
  <c r="E59" i="6"/>
  <c r="D59" i="6"/>
  <c r="C59" i="6"/>
  <c r="B59" i="6"/>
  <c r="A59" i="6"/>
  <c r="F58" i="6"/>
  <c r="E58" i="6"/>
  <c r="D58" i="6"/>
  <c r="C58" i="6"/>
  <c r="B58" i="6"/>
  <c r="A58" i="6"/>
  <c r="F57" i="6"/>
  <c r="E57" i="6"/>
  <c r="D57" i="6"/>
  <c r="C57" i="6"/>
  <c r="B57" i="6"/>
  <c r="A57" i="6"/>
  <c r="F56" i="6"/>
  <c r="E56" i="6"/>
  <c r="D56" i="6"/>
  <c r="C56" i="6"/>
  <c r="B56" i="6"/>
  <c r="A56" i="6"/>
  <c r="F55" i="6"/>
  <c r="E55" i="6"/>
  <c r="D55" i="6"/>
  <c r="C55" i="6"/>
  <c r="B55" i="6"/>
  <c r="A55" i="6"/>
  <c r="F54" i="6"/>
  <c r="E54" i="6"/>
  <c r="D54" i="6"/>
  <c r="C54" i="6"/>
  <c r="B54" i="6"/>
  <c r="A54" i="6"/>
  <c r="F53" i="6"/>
  <c r="E53" i="6"/>
  <c r="D53" i="6"/>
  <c r="C53" i="6"/>
  <c r="B53" i="6"/>
  <c r="A53" i="6"/>
  <c r="F52" i="6"/>
  <c r="E52" i="6"/>
  <c r="D52" i="6"/>
  <c r="C52" i="6"/>
  <c r="B52" i="6"/>
  <c r="A52" i="6"/>
  <c r="F51" i="6"/>
  <c r="E51" i="6"/>
  <c r="D51" i="6"/>
  <c r="C51" i="6"/>
  <c r="B51" i="6"/>
  <c r="A51" i="6"/>
  <c r="F50" i="6"/>
  <c r="E50" i="6"/>
  <c r="D50" i="6"/>
  <c r="C50" i="6"/>
  <c r="B50" i="6"/>
  <c r="A50" i="6"/>
  <c r="F49" i="6"/>
  <c r="E49" i="6"/>
  <c r="D49" i="6"/>
  <c r="C49" i="6"/>
  <c r="B49" i="6"/>
  <c r="A49" i="6"/>
  <c r="F48" i="6"/>
  <c r="E48" i="6"/>
  <c r="D48" i="6"/>
  <c r="C48" i="6"/>
  <c r="B48" i="6"/>
  <c r="A48" i="6"/>
  <c r="F47" i="6"/>
  <c r="E47" i="6"/>
  <c r="D47" i="6"/>
  <c r="C47" i="6"/>
  <c r="B47" i="6"/>
  <c r="A47" i="6"/>
  <c r="F46" i="6"/>
  <c r="E46" i="6"/>
  <c r="D46" i="6"/>
  <c r="C46" i="6"/>
  <c r="B46" i="6"/>
  <c r="A46" i="6"/>
  <c r="F45" i="6"/>
  <c r="E45" i="6"/>
  <c r="D45" i="6"/>
  <c r="C45" i="6"/>
  <c r="B45" i="6"/>
  <c r="A45" i="6"/>
  <c r="F44" i="6"/>
  <c r="E44" i="6"/>
  <c r="D44" i="6"/>
  <c r="C44" i="6"/>
  <c r="B44" i="6"/>
  <c r="A44" i="6"/>
  <c r="F43" i="6"/>
  <c r="E43" i="6"/>
  <c r="D43" i="6"/>
  <c r="C43" i="6"/>
  <c r="B43" i="6"/>
  <c r="A43" i="6"/>
  <c r="F42" i="6"/>
  <c r="E42" i="6"/>
  <c r="D42" i="6"/>
  <c r="C42" i="6"/>
  <c r="B42" i="6"/>
  <c r="A42" i="6"/>
  <c r="F41" i="6"/>
  <c r="E41" i="6"/>
  <c r="D41" i="6"/>
  <c r="C41" i="6"/>
  <c r="B41" i="6"/>
  <c r="A41" i="6"/>
  <c r="F40" i="6"/>
  <c r="E40" i="6"/>
  <c r="D40" i="6"/>
  <c r="C40" i="6"/>
  <c r="B40" i="6"/>
  <c r="A40" i="6"/>
  <c r="F39" i="6"/>
  <c r="E39" i="6"/>
  <c r="D39" i="6"/>
  <c r="C39" i="6"/>
  <c r="B39" i="6"/>
  <c r="A39" i="6"/>
  <c r="F38" i="6"/>
  <c r="E38" i="6"/>
  <c r="D38" i="6"/>
  <c r="C38" i="6"/>
  <c r="B38" i="6"/>
  <c r="A38" i="6"/>
  <c r="F37" i="6"/>
  <c r="E37" i="6"/>
  <c r="D37" i="6"/>
  <c r="C37" i="6"/>
  <c r="B37" i="6"/>
  <c r="A37" i="6"/>
  <c r="F36" i="6"/>
  <c r="E36" i="6"/>
  <c r="D36" i="6"/>
  <c r="C36" i="6"/>
  <c r="B36" i="6"/>
  <c r="A36" i="6"/>
  <c r="F35" i="6"/>
  <c r="E35" i="6"/>
  <c r="D35" i="6"/>
  <c r="C35" i="6"/>
  <c r="B35" i="6"/>
  <c r="A35" i="6"/>
  <c r="F34" i="6"/>
  <c r="E34" i="6"/>
  <c r="D34" i="6"/>
  <c r="C34" i="6"/>
  <c r="B34" i="6"/>
  <c r="A34" i="6"/>
  <c r="F33" i="6"/>
  <c r="E33" i="6"/>
  <c r="D33" i="6"/>
  <c r="C33" i="6"/>
  <c r="B33" i="6"/>
  <c r="A33" i="6"/>
  <c r="F32" i="6"/>
  <c r="E32" i="6"/>
  <c r="D32" i="6"/>
  <c r="C32" i="6"/>
  <c r="B32" i="6"/>
  <c r="A32" i="6"/>
  <c r="F31" i="6"/>
  <c r="E31" i="6"/>
  <c r="D31" i="6"/>
  <c r="C31" i="6"/>
  <c r="B31" i="6"/>
  <c r="A31" i="6"/>
  <c r="F30" i="6"/>
  <c r="E30" i="6"/>
  <c r="D30" i="6"/>
  <c r="C30" i="6"/>
  <c r="B30" i="6"/>
  <c r="A30" i="6"/>
  <c r="F29" i="6"/>
  <c r="E29" i="6"/>
  <c r="D29" i="6"/>
  <c r="C29" i="6"/>
  <c r="B29" i="6"/>
  <c r="A29" i="6"/>
  <c r="F28" i="6"/>
  <c r="E28" i="6"/>
  <c r="D28" i="6"/>
  <c r="C28" i="6"/>
  <c r="B28" i="6"/>
  <c r="A28" i="6"/>
  <c r="F27" i="6"/>
  <c r="E27" i="6"/>
  <c r="D27" i="6"/>
  <c r="C27" i="6"/>
  <c r="B27" i="6"/>
  <c r="A27" i="6"/>
  <c r="F26" i="6"/>
  <c r="E26" i="6"/>
  <c r="D26" i="6"/>
  <c r="C26" i="6"/>
  <c r="B26" i="6"/>
  <c r="A26" i="6"/>
  <c r="F25" i="6"/>
  <c r="E25" i="6"/>
  <c r="D25" i="6"/>
  <c r="C25" i="6"/>
  <c r="B25" i="6"/>
  <c r="A25" i="6"/>
  <c r="F24" i="6"/>
  <c r="E24" i="6"/>
  <c r="D24" i="6"/>
  <c r="C24" i="6"/>
  <c r="B24" i="6"/>
  <c r="A24" i="6"/>
  <c r="F23" i="6"/>
  <c r="E23" i="6"/>
  <c r="D23" i="6"/>
  <c r="C23" i="6"/>
  <c r="B23" i="6"/>
  <c r="A23" i="6"/>
  <c r="F22" i="6"/>
  <c r="E22" i="6"/>
  <c r="D22" i="6"/>
  <c r="C22" i="6"/>
  <c r="B22" i="6"/>
  <c r="A22" i="6"/>
  <c r="F21" i="6"/>
  <c r="E21" i="6"/>
  <c r="D21" i="6"/>
  <c r="C21" i="6"/>
  <c r="B21" i="6"/>
  <c r="A21" i="6"/>
  <c r="F20" i="6"/>
  <c r="E20" i="6"/>
  <c r="D20" i="6"/>
  <c r="C20" i="6"/>
  <c r="B20" i="6"/>
  <c r="A20" i="6"/>
  <c r="F19" i="6"/>
  <c r="E19" i="6"/>
  <c r="D19" i="6"/>
  <c r="C19" i="6"/>
  <c r="B19" i="6"/>
  <c r="A19" i="6"/>
  <c r="F18" i="6"/>
  <c r="E18" i="6"/>
  <c r="D18" i="6"/>
  <c r="C18" i="6"/>
  <c r="B18" i="6"/>
  <c r="A18" i="6"/>
  <c r="F17" i="6"/>
  <c r="E17" i="6"/>
  <c r="D17" i="6"/>
  <c r="C17" i="6"/>
  <c r="B17" i="6"/>
  <c r="A17" i="6"/>
  <c r="F16" i="6"/>
  <c r="E16" i="6"/>
  <c r="D16" i="6"/>
  <c r="C16" i="6"/>
  <c r="B16" i="6"/>
  <c r="A16" i="6"/>
  <c r="F15" i="6"/>
  <c r="E15" i="6"/>
  <c r="D15" i="6"/>
  <c r="C15" i="6"/>
  <c r="B15" i="6"/>
  <c r="A15" i="6"/>
  <c r="F14" i="6"/>
  <c r="E14" i="6"/>
  <c r="D14" i="6"/>
  <c r="C14" i="6"/>
  <c r="B14" i="6"/>
  <c r="A14" i="6"/>
  <c r="F13" i="6"/>
  <c r="E13" i="6"/>
  <c r="D13" i="6"/>
  <c r="C13" i="6"/>
  <c r="B13" i="6"/>
  <c r="A13" i="6"/>
  <c r="F12" i="6"/>
  <c r="E12" i="6"/>
  <c r="D12" i="6"/>
  <c r="C12" i="6"/>
  <c r="B12" i="6"/>
  <c r="A12" i="6"/>
  <c r="F11" i="6"/>
  <c r="E11" i="6"/>
  <c r="D11" i="6"/>
  <c r="C11" i="6"/>
  <c r="B11" i="6"/>
  <c r="A11" i="6"/>
  <c r="F10" i="6"/>
  <c r="E10" i="6"/>
  <c r="D10" i="6"/>
  <c r="C10" i="6"/>
  <c r="B10" i="6"/>
  <c r="A10" i="6"/>
  <c r="F9" i="6"/>
  <c r="E9" i="6"/>
  <c r="D9" i="6"/>
  <c r="C9" i="6"/>
  <c r="B9" i="6"/>
  <c r="A9" i="6"/>
  <c r="F8" i="6"/>
  <c r="E8" i="6"/>
  <c r="D8" i="6"/>
  <c r="C8" i="6"/>
  <c r="B8" i="6"/>
  <c r="A8" i="6"/>
  <c r="F7" i="6"/>
  <c r="E7" i="6"/>
  <c r="D7" i="6"/>
  <c r="C7" i="6"/>
  <c r="B7" i="6"/>
  <c r="A7" i="6"/>
  <c r="F6" i="6"/>
  <c r="E6" i="6"/>
  <c r="D6" i="6"/>
  <c r="C6" i="6"/>
  <c r="B6" i="6"/>
  <c r="A6" i="6"/>
  <c r="F5" i="6"/>
  <c r="E5" i="6"/>
  <c r="D5" i="6"/>
  <c r="C5" i="6"/>
  <c r="B5" i="6"/>
  <c r="A5" i="6"/>
  <c r="F4" i="6"/>
  <c r="E4" i="6"/>
  <c r="D4" i="6"/>
  <c r="C4" i="6"/>
  <c r="B4" i="6"/>
  <c r="A4" i="6"/>
  <c r="F3" i="6"/>
  <c r="E3" i="6"/>
  <c r="D3" i="6"/>
  <c r="C3" i="6"/>
  <c r="B3" i="6"/>
  <c r="A3" i="6"/>
  <c r="F2" i="6"/>
  <c r="E2" i="6"/>
  <c r="D2" i="6"/>
  <c r="C2" i="6"/>
  <c r="B2" i="6"/>
  <c r="A2" i="6"/>
  <c r="F1" i="6"/>
  <c r="E1" i="6"/>
  <c r="D1" i="6"/>
  <c r="C1" i="6"/>
  <c r="B1" i="6"/>
  <c r="A1" i="6"/>
  <c r="F2740" i="5"/>
  <c r="E2740" i="5"/>
  <c r="D2740" i="5"/>
  <c r="C2740" i="5"/>
  <c r="B2740" i="5"/>
  <c r="A2740" i="5"/>
  <c r="F2739" i="5"/>
  <c r="E2739" i="5"/>
  <c r="D2739" i="5"/>
  <c r="C2739" i="5"/>
  <c r="B2739" i="5"/>
  <c r="A2739" i="5"/>
  <c r="F2738" i="5"/>
  <c r="E2738" i="5"/>
  <c r="D2738" i="5"/>
  <c r="C2738" i="5"/>
  <c r="B2738" i="5"/>
  <c r="A2738" i="5"/>
  <c r="F2737" i="5"/>
  <c r="E2737" i="5"/>
  <c r="D2737" i="5"/>
  <c r="C2737" i="5"/>
  <c r="B2737" i="5"/>
  <c r="A2737" i="5"/>
  <c r="F2736" i="5"/>
  <c r="E2736" i="5"/>
  <c r="D2736" i="5"/>
  <c r="C2736" i="5"/>
  <c r="B2736" i="5"/>
  <c r="A2736" i="5"/>
  <c r="F2735" i="5"/>
  <c r="E2735" i="5"/>
  <c r="D2735" i="5"/>
  <c r="C2735" i="5"/>
  <c r="B2735" i="5"/>
  <c r="A2735" i="5"/>
  <c r="F2734" i="5"/>
  <c r="E2734" i="5"/>
  <c r="D2734" i="5"/>
  <c r="C2734" i="5"/>
  <c r="B2734" i="5"/>
  <c r="A2734" i="5"/>
  <c r="F2733" i="5"/>
  <c r="E2733" i="5"/>
  <c r="D2733" i="5"/>
  <c r="C2733" i="5"/>
  <c r="B2733" i="5"/>
  <c r="A2733" i="5"/>
  <c r="F2732" i="5"/>
  <c r="E2732" i="5"/>
  <c r="D2732" i="5"/>
  <c r="C2732" i="5"/>
  <c r="B2732" i="5"/>
  <c r="A2732" i="5"/>
  <c r="F2731" i="5"/>
  <c r="E2731" i="5"/>
  <c r="D2731" i="5"/>
  <c r="C2731" i="5"/>
  <c r="B2731" i="5"/>
  <c r="A2731" i="5"/>
  <c r="F2730" i="5"/>
  <c r="E2730" i="5"/>
  <c r="D2730" i="5"/>
  <c r="C2730" i="5"/>
  <c r="B2730" i="5"/>
  <c r="A2730" i="5"/>
  <c r="F2729" i="5"/>
  <c r="E2729" i="5"/>
  <c r="D2729" i="5"/>
  <c r="C2729" i="5"/>
  <c r="B2729" i="5"/>
  <c r="A2729" i="5"/>
  <c r="F2728" i="5"/>
  <c r="E2728" i="5"/>
  <c r="D2728" i="5"/>
  <c r="C2728" i="5"/>
  <c r="B2728" i="5"/>
  <c r="A2728" i="5"/>
  <c r="F2727" i="5"/>
  <c r="E2727" i="5"/>
  <c r="D2727" i="5"/>
  <c r="C2727" i="5"/>
  <c r="B2727" i="5"/>
  <c r="A2727" i="5"/>
  <c r="F2726" i="5"/>
  <c r="E2726" i="5"/>
  <c r="D2726" i="5"/>
  <c r="C2726" i="5"/>
  <c r="B2726" i="5"/>
  <c r="A2726" i="5"/>
  <c r="F2725" i="5"/>
  <c r="E2725" i="5"/>
  <c r="D2725" i="5"/>
  <c r="C2725" i="5"/>
  <c r="B2725" i="5"/>
  <c r="A2725" i="5"/>
  <c r="F2724" i="5"/>
  <c r="E2724" i="5"/>
  <c r="D2724" i="5"/>
  <c r="C2724" i="5"/>
  <c r="B2724" i="5"/>
  <c r="A2724" i="5"/>
  <c r="F2723" i="5"/>
  <c r="E2723" i="5"/>
  <c r="D2723" i="5"/>
  <c r="C2723" i="5"/>
  <c r="B2723" i="5"/>
  <c r="A2723" i="5"/>
  <c r="F2722" i="5"/>
  <c r="E2722" i="5"/>
  <c r="D2722" i="5"/>
  <c r="C2722" i="5"/>
  <c r="B2722" i="5"/>
  <c r="A2722" i="5"/>
  <c r="F2721" i="5"/>
  <c r="E2721" i="5"/>
  <c r="D2721" i="5"/>
  <c r="C2721" i="5"/>
  <c r="B2721" i="5"/>
  <c r="A2721" i="5"/>
  <c r="F2720" i="5"/>
  <c r="E2720" i="5"/>
  <c r="D2720" i="5"/>
  <c r="C2720" i="5"/>
  <c r="B2720" i="5"/>
  <c r="A2720" i="5"/>
  <c r="F2719" i="5"/>
  <c r="E2719" i="5"/>
  <c r="D2719" i="5"/>
  <c r="C2719" i="5"/>
  <c r="B2719" i="5"/>
  <c r="A2719" i="5"/>
  <c r="F2718" i="5"/>
  <c r="E2718" i="5"/>
  <c r="D2718" i="5"/>
  <c r="C2718" i="5"/>
  <c r="B2718" i="5"/>
  <c r="A2718" i="5"/>
  <c r="F2717" i="5"/>
  <c r="E2717" i="5"/>
  <c r="D2717" i="5"/>
  <c r="C2717" i="5"/>
  <c r="B2717" i="5"/>
  <c r="A2717" i="5"/>
  <c r="F2716" i="5"/>
  <c r="E2716" i="5"/>
  <c r="D2716" i="5"/>
  <c r="C2716" i="5"/>
  <c r="B2716" i="5"/>
  <c r="A2716" i="5"/>
  <c r="F2715" i="5"/>
  <c r="E2715" i="5"/>
  <c r="D2715" i="5"/>
  <c r="C2715" i="5"/>
  <c r="B2715" i="5"/>
  <c r="A2715" i="5"/>
  <c r="F2714" i="5"/>
  <c r="E2714" i="5"/>
  <c r="D2714" i="5"/>
  <c r="C2714" i="5"/>
  <c r="B2714" i="5"/>
  <c r="A2714" i="5"/>
  <c r="F2713" i="5"/>
  <c r="E2713" i="5"/>
  <c r="D2713" i="5"/>
  <c r="C2713" i="5"/>
  <c r="B2713" i="5"/>
  <c r="A2713" i="5"/>
  <c r="F2712" i="5"/>
  <c r="E2712" i="5"/>
  <c r="D2712" i="5"/>
  <c r="C2712" i="5"/>
  <c r="B2712" i="5"/>
  <c r="A2712" i="5"/>
  <c r="F2711" i="5"/>
  <c r="E2711" i="5"/>
  <c r="D2711" i="5"/>
  <c r="C2711" i="5"/>
  <c r="B2711" i="5"/>
  <c r="A2711" i="5"/>
  <c r="F2710" i="5"/>
  <c r="E2710" i="5"/>
  <c r="D2710" i="5"/>
  <c r="C2710" i="5"/>
  <c r="B2710" i="5"/>
  <c r="A2710" i="5"/>
  <c r="F2709" i="5"/>
  <c r="E2709" i="5"/>
  <c r="D2709" i="5"/>
  <c r="C2709" i="5"/>
  <c r="B2709" i="5"/>
  <c r="A2709" i="5"/>
  <c r="F2708" i="5"/>
  <c r="E2708" i="5"/>
  <c r="D2708" i="5"/>
  <c r="C2708" i="5"/>
  <c r="B2708" i="5"/>
  <c r="A2708" i="5"/>
  <c r="F2707" i="5"/>
  <c r="E2707" i="5"/>
  <c r="D2707" i="5"/>
  <c r="C2707" i="5"/>
  <c r="B2707" i="5"/>
  <c r="A2707" i="5"/>
  <c r="F2706" i="5"/>
  <c r="E2706" i="5"/>
  <c r="D2706" i="5"/>
  <c r="C2706" i="5"/>
  <c r="B2706" i="5"/>
  <c r="A2706" i="5"/>
  <c r="F2705" i="5"/>
  <c r="E2705" i="5"/>
  <c r="D2705" i="5"/>
  <c r="C2705" i="5"/>
  <c r="B2705" i="5"/>
  <c r="A2705" i="5"/>
  <c r="F2704" i="5"/>
  <c r="E2704" i="5"/>
  <c r="D2704" i="5"/>
  <c r="C2704" i="5"/>
  <c r="B2704" i="5"/>
  <c r="A2704" i="5"/>
  <c r="F2703" i="5"/>
  <c r="E2703" i="5"/>
  <c r="D2703" i="5"/>
  <c r="C2703" i="5"/>
  <c r="B2703" i="5"/>
  <c r="A2703" i="5"/>
  <c r="F2702" i="5"/>
  <c r="E2702" i="5"/>
  <c r="D2702" i="5"/>
  <c r="C2702" i="5"/>
  <c r="B2702" i="5"/>
  <c r="A2702" i="5"/>
  <c r="F2701" i="5"/>
  <c r="E2701" i="5"/>
  <c r="D2701" i="5"/>
  <c r="C2701" i="5"/>
  <c r="B2701" i="5"/>
  <c r="A2701" i="5"/>
  <c r="F2700" i="5"/>
  <c r="E2700" i="5"/>
  <c r="D2700" i="5"/>
  <c r="C2700" i="5"/>
  <c r="B2700" i="5"/>
  <c r="A2700" i="5"/>
  <c r="F2699" i="5"/>
  <c r="E2699" i="5"/>
  <c r="D2699" i="5"/>
  <c r="C2699" i="5"/>
  <c r="B2699" i="5"/>
  <c r="A2699" i="5"/>
  <c r="F2698" i="5"/>
  <c r="E2698" i="5"/>
  <c r="D2698" i="5"/>
  <c r="C2698" i="5"/>
  <c r="B2698" i="5"/>
  <c r="A2698" i="5"/>
  <c r="F2697" i="5"/>
  <c r="E2697" i="5"/>
  <c r="D2697" i="5"/>
  <c r="C2697" i="5"/>
  <c r="B2697" i="5"/>
  <c r="A2697" i="5"/>
  <c r="F2696" i="5"/>
  <c r="E2696" i="5"/>
  <c r="D2696" i="5"/>
  <c r="C2696" i="5"/>
  <c r="B2696" i="5"/>
  <c r="A2696" i="5"/>
  <c r="F2695" i="5"/>
  <c r="E2695" i="5"/>
  <c r="D2695" i="5"/>
  <c r="C2695" i="5"/>
  <c r="B2695" i="5"/>
  <c r="A2695" i="5"/>
  <c r="F2694" i="5"/>
  <c r="E2694" i="5"/>
  <c r="D2694" i="5"/>
  <c r="C2694" i="5"/>
  <c r="B2694" i="5"/>
  <c r="A2694" i="5"/>
  <c r="F2693" i="5"/>
  <c r="E2693" i="5"/>
  <c r="D2693" i="5"/>
  <c r="C2693" i="5"/>
  <c r="B2693" i="5"/>
  <c r="A2693" i="5"/>
  <c r="F2692" i="5"/>
  <c r="E2692" i="5"/>
  <c r="D2692" i="5"/>
  <c r="C2692" i="5"/>
  <c r="B2692" i="5"/>
  <c r="A2692" i="5"/>
  <c r="F2691" i="5"/>
  <c r="E2691" i="5"/>
  <c r="D2691" i="5"/>
  <c r="C2691" i="5"/>
  <c r="B2691" i="5"/>
  <c r="A2691" i="5"/>
  <c r="F2690" i="5"/>
  <c r="E2690" i="5"/>
  <c r="D2690" i="5"/>
  <c r="C2690" i="5"/>
  <c r="B2690" i="5"/>
  <c r="A2690" i="5"/>
  <c r="F2689" i="5"/>
  <c r="E2689" i="5"/>
  <c r="D2689" i="5"/>
  <c r="C2689" i="5"/>
  <c r="B2689" i="5"/>
  <c r="A2689" i="5"/>
  <c r="F2688" i="5"/>
  <c r="E2688" i="5"/>
  <c r="D2688" i="5"/>
  <c r="C2688" i="5"/>
  <c r="B2688" i="5"/>
  <c r="A2688" i="5"/>
  <c r="F2687" i="5"/>
  <c r="E2687" i="5"/>
  <c r="D2687" i="5"/>
  <c r="C2687" i="5"/>
  <c r="B2687" i="5"/>
  <c r="A2687" i="5"/>
  <c r="F2686" i="5"/>
  <c r="E2686" i="5"/>
  <c r="D2686" i="5"/>
  <c r="C2686" i="5"/>
  <c r="B2686" i="5"/>
  <c r="A2686" i="5"/>
  <c r="F2685" i="5"/>
  <c r="E2685" i="5"/>
  <c r="D2685" i="5"/>
  <c r="C2685" i="5"/>
  <c r="B2685" i="5"/>
  <c r="A2685" i="5"/>
  <c r="F2684" i="5"/>
  <c r="E2684" i="5"/>
  <c r="D2684" i="5"/>
  <c r="C2684" i="5"/>
  <c r="B2684" i="5"/>
  <c r="A2684" i="5"/>
  <c r="F2683" i="5"/>
  <c r="E2683" i="5"/>
  <c r="D2683" i="5"/>
  <c r="C2683" i="5"/>
  <c r="B2683" i="5"/>
  <c r="A2683" i="5"/>
  <c r="F2682" i="5"/>
  <c r="E2682" i="5"/>
  <c r="D2682" i="5"/>
  <c r="C2682" i="5"/>
  <c r="B2682" i="5"/>
  <c r="A2682" i="5"/>
  <c r="F2681" i="5"/>
  <c r="E2681" i="5"/>
  <c r="D2681" i="5"/>
  <c r="C2681" i="5"/>
  <c r="B2681" i="5"/>
  <c r="A2681" i="5"/>
  <c r="F2680" i="5"/>
  <c r="E2680" i="5"/>
  <c r="D2680" i="5"/>
  <c r="C2680" i="5"/>
  <c r="B2680" i="5"/>
  <c r="A2680" i="5"/>
  <c r="F2679" i="5"/>
  <c r="E2679" i="5"/>
  <c r="D2679" i="5"/>
  <c r="C2679" i="5"/>
  <c r="B2679" i="5"/>
  <c r="A2679" i="5"/>
  <c r="F2678" i="5"/>
  <c r="E2678" i="5"/>
  <c r="D2678" i="5"/>
  <c r="C2678" i="5"/>
  <c r="B2678" i="5"/>
  <c r="A2678" i="5"/>
  <c r="F2677" i="5"/>
  <c r="E2677" i="5"/>
  <c r="D2677" i="5"/>
  <c r="C2677" i="5"/>
  <c r="B2677" i="5"/>
  <c r="A2677" i="5"/>
  <c r="F2676" i="5"/>
  <c r="E2676" i="5"/>
  <c r="D2676" i="5"/>
  <c r="C2676" i="5"/>
  <c r="B2676" i="5"/>
  <c r="A2676" i="5"/>
  <c r="F2675" i="5"/>
  <c r="E2675" i="5"/>
  <c r="D2675" i="5"/>
  <c r="C2675" i="5"/>
  <c r="B2675" i="5"/>
  <c r="A2675" i="5"/>
  <c r="F2674" i="5"/>
  <c r="E2674" i="5"/>
  <c r="D2674" i="5"/>
  <c r="C2674" i="5"/>
  <c r="B2674" i="5"/>
  <c r="A2674" i="5"/>
  <c r="F2673" i="5"/>
  <c r="E2673" i="5"/>
  <c r="D2673" i="5"/>
  <c r="C2673" i="5"/>
  <c r="B2673" i="5"/>
  <c r="A2673" i="5"/>
  <c r="F2672" i="5"/>
  <c r="E2672" i="5"/>
  <c r="D2672" i="5"/>
  <c r="C2672" i="5"/>
  <c r="B2672" i="5"/>
  <c r="A2672" i="5"/>
  <c r="F2671" i="5"/>
  <c r="E2671" i="5"/>
  <c r="D2671" i="5"/>
  <c r="C2671" i="5"/>
  <c r="B2671" i="5"/>
  <c r="A2671" i="5"/>
  <c r="F2670" i="5"/>
  <c r="E2670" i="5"/>
  <c r="D2670" i="5"/>
  <c r="C2670" i="5"/>
  <c r="B2670" i="5"/>
  <c r="A2670" i="5"/>
  <c r="F2669" i="5"/>
  <c r="E2669" i="5"/>
  <c r="D2669" i="5"/>
  <c r="C2669" i="5"/>
  <c r="B2669" i="5"/>
  <c r="A2669" i="5"/>
  <c r="F2668" i="5"/>
  <c r="E2668" i="5"/>
  <c r="D2668" i="5"/>
  <c r="C2668" i="5"/>
  <c r="B2668" i="5"/>
  <c r="A2668" i="5"/>
  <c r="F2667" i="5"/>
  <c r="E2667" i="5"/>
  <c r="D2667" i="5"/>
  <c r="C2667" i="5"/>
  <c r="B2667" i="5"/>
  <c r="A2667" i="5"/>
  <c r="F2666" i="5"/>
  <c r="E2666" i="5"/>
  <c r="D2666" i="5"/>
  <c r="C2666" i="5"/>
  <c r="B2666" i="5"/>
  <c r="A2666" i="5"/>
  <c r="F2665" i="5"/>
  <c r="E2665" i="5"/>
  <c r="D2665" i="5"/>
  <c r="C2665" i="5"/>
  <c r="B2665" i="5"/>
  <c r="A2665" i="5"/>
  <c r="F2664" i="5"/>
  <c r="E2664" i="5"/>
  <c r="D2664" i="5"/>
  <c r="C2664" i="5"/>
  <c r="B2664" i="5"/>
  <c r="A2664" i="5"/>
  <c r="F2663" i="5"/>
  <c r="E2663" i="5"/>
  <c r="D2663" i="5"/>
  <c r="C2663" i="5"/>
  <c r="B2663" i="5"/>
  <c r="A2663" i="5"/>
  <c r="F2662" i="5"/>
  <c r="E2662" i="5"/>
  <c r="D2662" i="5"/>
  <c r="C2662" i="5"/>
  <c r="B2662" i="5"/>
  <c r="A2662" i="5"/>
  <c r="F2661" i="5"/>
  <c r="E2661" i="5"/>
  <c r="D2661" i="5"/>
  <c r="C2661" i="5"/>
  <c r="B2661" i="5"/>
  <c r="A2661" i="5"/>
  <c r="F2660" i="5"/>
  <c r="E2660" i="5"/>
  <c r="D2660" i="5"/>
  <c r="C2660" i="5"/>
  <c r="B2660" i="5"/>
  <c r="A2660" i="5"/>
  <c r="F2659" i="5"/>
  <c r="E2659" i="5"/>
  <c r="D2659" i="5"/>
  <c r="C2659" i="5"/>
  <c r="B2659" i="5"/>
  <c r="A2659" i="5"/>
  <c r="F2658" i="5"/>
  <c r="E2658" i="5"/>
  <c r="D2658" i="5"/>
  <c r="C2658" i="5"/>
  <c r="B2658" i="5"/>
  <c r="A2658" i="5"/>
  <c r="F2657" i="5"/>
  <c r="E2657" i="5"/>
  <c r="D2657" i="5"/>
  <c r="C2657" i="5"/>
  <c r="B2657" i="5"/>
  <c r="A2657" i="5"/>
  <c r="F2656" i="5"/>
  <c r="E2656" i="5"/>
  <c r="D2656" i="5"/>
  <c r="C2656" i="5"/>
  <c r="B2656" i="5"/>
  <c r="A2656" i="5"/>
  <c r="F2655" i="5"/>
  <c r="E2655" i="5"/>
  <c r="D2655" i="5"/>
  <c r="C2655" i="5"/>
  <c r="B2655" i="5"/>
  <c r="A2655" i="5"/>
  <c r="F2654" i="5"/>
  <c r="E2654" i="5"/>
  <c r="D2654" i="5"/>
  <c r="C2654" i="5"/>
  <c r="B2654" i="5"/>
  <c r="A2654" i="5"/>
  <c r="F2653" i="5"/>
  <c r="E2653" i="5"/>
  <c r="D2653" i="5"/>
  <c r="C2653" i="5"/>
  <c r="B2653" i="5"/>
  <c r="A2653" i="5"/>
  <c r="F2652" i="5"/>
  <c r="E2652" i="5"/>
  <c r="D2652" i="5"/>
  <c r="C2652" i="5"/>
  <c r="B2652" i="5"/>
  <c r="A2652" i="5"/>
  <c r="F2651" i="5"/>
  <c r="E2651" i="5"/>
  <c r="D2651" i="5"/>
  <c r="C2651" i="5"/>
  <c r="B2651" i="5"/>
  <c r="A2651" i="5"/>
  <c r="F2650" i="5"/>
  <c r="E2650" i="5"/>
  <c r="D2650" i="5"/>
  <c r="C2650" i="5"/>
  <c r="B2650" i="5"/>
  <c r="A2650" i="5"/>
  <c r="F2649" i="5"/>
  <c r="E2649" i="5"/>
  <c r="D2649" i="5"/>
  <c r="C2649" i="5"/>
  <c r="B2649" i="5"/>
  <c r="A2649" i="5"/>
  <c r="F2648" i="5"/>
  <c r="E2648" i="5"/>
  <c r="D2648" i="5"/>
  <c r="C2648" i="5"/>
  <c r="B2648" i="5"/>
  <c r="A2648" i="5"/>
  <c r="F2647" i="5"/>
  <c r="E2647" i="5"/>
  <c r="D2647" i="5"/>
  <c r="C2647" i="5"/>
  <c r="B2647" i="5"/>
  <c r="A2647" i="5"/>
  <c r="F2646" i="5"/>
  <c r="E2646" i="5"/>
  <c r="D2646" i="5"/>
  <c r="C2646" i="5"/>
  <c r="B2646" i="5"/>
  <c r="A2646" i="5"/>
  <c r="F2645" i="5"/>
  <c r="E2645" i="5"/>
  <c r="D2645" i="5"/>
  <c r="C2645" i="5"/>
  <c r="B2645" i="5"/>
  <c r="A2645" i="5"/>
  <c r="F2644" i="5"/>
  <c r="E2644" i="5"/>
  <c r="D2644" i="5"/>
  <c r="C2644" i="5"/>
  <c r="B2644" i="5"/>
  <c r="A2644" i="5"/>
  <c r="F2643" i="5"/>
  <c r="E2643" i="5"/>
  <c r="D2643" i="5"/>
  <c r="C2643" i="5"/>
  <c r="B2643" i="5"/>
  <c r="A2643" i="5"/>
  <c r="F2642" i="5"/>
  <c r="E2642" i="5"/>
  <c r="D2642" i="5"/>
  <c r="C2642" i="5"/>
  <c r="B2642" i="5"/>
  <c r="A2642" i="5"/>
  <c r="F2641" i="5"/>
  <c r="E2641" i="5"/>
  <c r="D2641" i="5"/>
  <c r="C2641" i="5"/>
  <c r="B2641" i="5"/>
  <c r="A2641" i="5"/>
  <c r="F2640" i="5"/>
  <c r="E2640" i="5"/>
  <c r="D2640" i="5"/>
  <c r="C2640" i="5"/>
  <c r="B2640" i="5"/>
  <c r="A2640" i="5"/>
  <c r="F2639" i="5"/>
  <c r="E2639" i="5"/>
  <c r="D2639" i="5"/>
  <c r="C2639" i="5"/>
  <c r="B2639" i="5"/>
  <c r="A2639" i="5"/>
  <c r="F2638" i="5"/>
  <c r="E2638" i="5"/>
  <c r="D2638" i="5"/>
  <c r="C2638" i="5"/>
  <c r="B2638" i="5"/>
  <c r="A2638" i="5"/>
  <c r="F2637" i="5"/>
  <c r="E2637" i="5"/>
  <c r="D2637" i="5"/>
  <c r="C2637" i="5"/>
  <c r="B2637" i="5"/>
  <c r="A2637" i="5"/>
  <c r="F2636" i="5"/>
  <c r="E2636" i="5"/>
  <c r="D2636" i="5"/>
  <c r="C2636" i="5"/>
  <c r="B2636" i="5"/>
  <c r="A2636" i="5"/>
  <c r="F2635" i="5"/>
  <c r="E2635" i="5"/>
  <c r="D2635" i="5"/>
  <c r="C2635" i="5"/>
  <c r="B2635" i="5"/>
  <c r="A2635" i="5"/>
  <c r="F2634" i="5"/>
  <c r="E2634" i="5"/>
  <c r="D2634" i="5"/>
  <c r="C2634" i="5"/>
  <c r="B2634" i="5"/>
  <c r="A2634" i="5"/>
  <c r="F2633" i="5"/>
  <c r="E2633" i="5"/>
  <c r="D2633" i="5"/>
  <c r="C2633" i="5"/>
  <c r="B2633" i="5"/>
  <c r="A2633" i="5"/>
  <c r="F2632" i="5"/>
  <c r="E2632" i="5"/>
  <c r="D2632" i="5"/>
  <c r="C2632" i="5"/>
  <c r="B2632" i="5"/>
  <c r="A2632" i="5"/>
  <c r="F2631" i="5"/>
  <c r="E2631" i="5"/>
  <c r="D2631" i="5"/>
  <c r="C2631" i="5"/>
  <c r="B2631" i="5"/>
  <c r="A2631" i="5"/>
  <c r="F2630" i="5"/>
  <c r="E2630" i="5"/>
  <c r="D2630" i="5"/>
  <c r="C2630" i="5"/>
  <c r="B2630" i="5"/>
  <c r="A2630" i="5"/>
  <c r="F2629" i="5"/>
  <c r="E2629" i="5"/>
  <c r="D2629" i="5"/>
  <c r="C2629" i="5"/>
  <c r="B2629" i="5"/>
  <c r="A2629" i="5"/>
  <c r="F2628" i="5"/>
  <c r="E2628" i="5"/>
  <c r="D2628" i="5"/>
  <c r="C2628" i="5"/>
  <c r="B2628" i="5"/>
  <c r="A2628" i="5"/>
  <c r="F2627" i="5"/>
  <c r="E2627" i="5"/>
  <c r="D2627" i="5"/>
  <c r="C2627" i="5"/>
  <c r="B2627" i="5"/>
  <c r="A2627" i="5"/>
  <c r="F2626" i="5"/>
  <c r="E2626" i="5"/>
  <c r="D2626" i="5"/>
  <c r="C2626" i="5"/>
  <c r="B2626" i="5"/>
  <c r="A2626" i="5"/>
  <c r="F2625" i="5"/>
  <c r="E2625" i="5"/>
  <c r="D2625" i="5"/>
  <c r="C2625" i="5"/>
  <c r="B2625" i="5"/>
  <c r="A2625" i="5"/>
  <c r="F2624" i="5"/>
  <c r="E2624" i="5"/>
  <c r="D2624" i="5"/>
  <c r="C2624" i="5"/>
  <c r="B2624" i="5"/>
  <c r="A2624" i="5"/>
  <c r="F2623" i="5"/>
  <c r="E2623" i="5"/>
  <c r="D2623" i="5"/>
  <c r="C2623" i="5"/>
  <c r="B2623" i="5"/>
  <c r="A2623" i="5"/>
  <c r="F2622" i="5"/>
  <c r="E2622" i="5"/>
  <c r="D2622" i="5"/>
  <c r="C2622" i="5"/>
  <c r="B2622" i="5"/>
  <c r="A2622" i="5"/>
  <c r="F2621" i="5"/>
  <c r="E2621" i="5"/>
  <c r="D2621" i="5"/>
  <c r="C2621" i="5"/>
  <c r="B2621" i="5"/>
  <c r="A2621" i="5"/>
  <c r="F2620" i="5"/>
  <c r="E2620" i="5"/>
  <c r="D2620" i="5"/>
  <c r="C2620" i="5"/>
  <c r="B2620" i="5"/>
  <c r="A2620" i="5"/>
  <c r="F2619" i="5"/>
  <c r="E2619" i="5"/>
  <c r="D2619" i="5"/>
  <c r="C2619" i="5"/>
  <c r="B2619" i="5"/>
  <c r="A2619" i="5"/>
  <c r="F2618" i="5"/>
  <c r="E2618" i="5"/>
  <c r="D2618" i="5"/>
  <c r="C2618" i="5"/>
  <c r="B2618" i="5"/>
  <c r="A2618" i="5"/>
  <c r="F2617" i="5"/>
  <c r="E2617" i="5"/>
  <c r="D2617" i="5"/>
  <c r="C2617" i="5"/>
  <c r="B2617" i="5"/>
  <c r="A2617" i="5"/>
  <c r="F2616" i="5"/>
  <c r="E2616" i="5"/>
  <c r="D2616" i="5"/>
  <c r="C2616" i="5"/>
  <c r="B2616" i="5"/>
  <c r="A2616" i="5"/>
  <c r="F2615" i="5"/>
  <c r="E2615" i="5"/>
  <c r="D2615" i="5"/>
  <c r="C2615" i="5"/>
  <c r="B2615" i="5"/>
  <c r="A2615" i="5"/>
  <c r="F2614" i="5"/>
  <c r="E2614" i="5"/>
  <c r="D2614" i="5"/>
  <c r="C2614" i="5"/>
  <c r="B2614" i="5"/>
  <c r="A2614" i="5"/>
  <c r="F2613" i="5"/>
  <c r="E2613" i="5"/>
  <c r="D2613" i="5"/>
  <c r="C2613" i="5"/>
  <c r="B2613" i="5"/>
  <c r="A2613" i="5"/>
  <c r="F2612" i="5"/>
  <c r="E2612" i="5"/>
  <c r="D2612" i="5"/>
  <c r="C2612" i="5"/>
  <c r="B2612" i="5"/>
  <c r="A2612" i="5"/>
  <c r="F2611" i="5"/>
  <c r="E2611" i="5"/>
  <c r="D2611" i="5"/>
  <c r="C2611" i="5"/>
  <c r="B2611" i="5"/>
  <c r="A2611" i="5"/>
  <c r="F2610" i="5"/>
  <c r="E2610" i="5"/>
  <c r="D2610" i="5"/>
  <c r="C2610" i="5"/>
  <c r="B2610" i="5"/>
  <c r="A2610" i="5"/>
  <c r="F2609" i="5"/>
  <c r="E2609" i="5"/>
  <c r="D2609" i="5"/>
  <c r="C2609" i="5"/>
  <c r="B2609" i="5"/>
  <c r="A2609" i="5"/>
  <c r="F2608" i="5"/>
  <c r="E2608" i="5"/>
  <c r="D2608" i="5"/>
  <c r="C2608" i="5"/>
  <c r="B2608" i="5"/>
  <c r="A2608" i="5"/>
  <c r="F2607" i="5"/>
  <c r="E2607" i="5"/>
  <c r="D2607" i="5"/>
  <c r="C2607" i="5"/>
  <c r="B2607" i="5"/>
  <c r="A2607" i="5"/>
  <c r="F2606" i="5"/>
  <c r="E2606" i="5"/>
  <c r="D2606" i="5"/>
  <c r="C2606" i="5"/>
  <c r="B2606" i="5"/>
  <c r="A2606" i="5"/>
  <c r="F2605" i="5"/>
  <c r="E2605" i="5"/>
  <c r="D2605" i="5"/>
  <c r="C2605" i="5"/>
  <c r="B2605" i="5"/>
  <c r="A2605" i="5"/>
  <c r="F2604" i="5"/>
  <c r="E2604" i="5"/>
  <c r="D2604" i="5"/>
  <c r="C2604" i="5"/>
  <c r="B2604" i="5"/>
  <c r="A2604" i="5"/>
  <c r="F2603" i="5"/>
  <c r="E2603" i="5"/>
  <c r="D2603" i="5"/>
  <c r="C2603" i="5"/>
  <c r="B2603" i="5"/>
  <c r="A2603" i="5"/>
  <c r="F2602" i="5"/>
  <c r="E2602" i="5"/>
  <c r="D2602" i="5"/>
  <c r="C2602" i="5"/>
  <c r="B2602" i="5"/>
  <c r="A2602" i="5"/>
  <c r="F2601" i="5"/>
  <c r="E2601" i="5"/>
  <c r="D2601" i="5"/>
  <c r="C2601" i="5"/>
  <c r="B2601" i="5"/>
  <c r="A2601" i="5"/>
  <c r="F2600" i="5"/>
  <c r="E2600" i="5"/>
  <c r="D2600" i="5"/>
  <c r="C2600" i="5"/>
  <c r="B2600" i="5"/>
  <c r="A2600" i="5"/>
  <c r="F2599" i="5"/>
  <c r="E2599" i="5"/>
  <c r="D2599" i="5"/>
  <c r="C2599" i="5"/>
  <c r="B2599" i="5"/>
  <c r="A2599" i="5"/>
  <c r="F2598" i="5"/>
  <c r="E2598" i="5"/>
  <c r="D2598" i="5"/>
  <c r="C2598" i="5"/>
  <c r="B2598" i="5"/>
  <c r="A2598" i="5"/>
  <c r="F2597" i="5"/>
  <c r="E2597" i="5"/>
  <c r="D2597" i="5"/>
  <c r="C2597" i="5"/>
  <c r="B2597" i="5"/>
  <c r="A2597" i="5"/>
  <c r="F2596" i="5"/>
  <c r="E2596" i="5"/>
  <c r="D2596" i="5"/>
  <c r="C2596" i="5"/>
  <c r="B2596" i="5"/>
  <c r="A2596" i="5"/>
  <c r="F2595" i="5"/>
  <c r="E2595" i="5"/>
  <c r="D2595" i="5"/>
  <c r="C2595" i="5"/>
  <c r="B2595" i="5"/>
  <c r="A2595" i="5"/>
  <c r="F2594" i="5"/>
  <c r="E2594" i="5"/>
  <c r="D2594" i="5"/>
  <c r="C2594" i="5"/>
  <c r="B2594" i="5"/>
  <c r="A2594" i="5"/>
  <c r="F2593" i="5"/>
  <c r="E2593" i="5"/>
  <c r="D2593" i="5"/>
  <c r="C2593" i="5"/>
  <c r="B2593" i="5"/>
  <c r="A2593" i="5"/>
  <c r="F2592" i="5"/>
  <c r="E2592" i="5"/>
  <c r="D2592" i="5"/>
  <c r="C2592" i="5"/>
  <c r="B2592" i="5"/>
  <c r="A2592" i="5"/>
  <c r="F2591" i="5"/>
  <c r="E2591" i="5"/>
  <c r="D2591" i="5"/>
  <c r="C2591" i="5"/>
  <c r="B2591" i="5"/>
  <c r="A2591" i="5"/>
  <c r="F2590" i="5"/>
  <c r="E2590" i="5"/>
  <c r="D2590" i="5"/>
  <c r="C2590" i="5"/>
  <c r="B2590" i="5"/>
  <c r="A2590" i="5"/>
  <c r="F2589" i="5"/>
  <c r="E2589" i="5"/>
  <c r="D2589" i="5"/>
  <c r="C2589" i="5"/>
  <c r="B2589" i="5"/>
  <c r="A2589" i="5"/>
  <c r="F2588" i="5"/>
  <c r="E2588" i="5"/>
  <c r="D2588" i="5"/>
  <c r="C2588" i="5"/>
  <c r="B2588" i="5"/>
  <c r="A2588" i="5"/>
  <c r="F2587" i="5"/>
  <c r="E2587" i="5"/>
  <c r="D2587" i="5"/>
  <c r="C2587" i="5"/>
  <c r="B2587" i="5"/>
  <c r="A2587" i="5"/>
  <c r="F2586" i="5"/>
  <c r="E2586" i="5"/>
  <c r="D2586" i="5"/>
  <c r="C2586" i="5"/>
  <c r="B2586" i="5"/>
  <c r="A2586" i="5"/>
  <c r="F2585" i="5"/>
  <c r="E2585" i="5"/>
  <c r="D2585" i="5"/>
  <c r="C2585" i="5"/>
  <c r="B2585" i="5"/>
  <c r="A2585" i="5"/>
  <c r="F2584" i="5"/>
  <c r="E2584" i="5"/>
  <c r="D2584" i="5"/>
  <c r="C2584" i="5"/>
  <c r="B2584" i="5"/>
  <c r="A2584" i="5"/>
  <c r="F2583" i="5"/>
  <c r="E2583" i="5"/>
  <c r="D2583" i="5"/>
  <c r="C2583" i="5"/>
  <c r="B2583" i="5"/>
  <c r="A2583" i="5"/>
  <c r="F2582" i="5"/>
  <c r="E2582" i="5"/>
  <c r="D2582" i="5"/>
  <c r="C2582" i="5"/>
  <c r="B2582" i="5"/>
  <c r="A2582" i="5"/>
  <c r="F2581" i="5"/>
  <c r="E2581" i="5"/>
  <c r="D2581" i="5"/>
  <c r="C2581" i="5"/>
  <c r="B2581" i="5"/>
  <c r="A2581" i="5"/>
  <c r="F2580" i="5"/>
  <c r="E2580" i="5"/>
  <c r="D2580" i="5"/>
  <c r="C2580" i="5"/>
  <c r="B2580" i="5"/>
  <c r="A2580" i="5"/>
  <c r="F2579" i="5"/>
  <c r="E2579" i="5"/>
  <c r="D2579" i="5"/>
  <c r="C2579" i="5"/>
  <c r="B2579" i="5"/>
  <c r="A2579" i="5"/>
  <c r="F2578" i="5"/>
  <c r="E2578" i="5"/>
  <c r="D2578" i="5"/>
  <c r="C2578" i="5"/>
  <c r="B2578" i="5"/>
  <c r="A2578" i="5"/>
  <c r="F2577" i="5"/>
  <c r="E2577" i="5"/>
  <c r="D2577" i="5"/>
  <c r="C2577" i="5"/>
  <c r="B2577" i="5"/>
  <c r="A2577" i="5"/>
  <c r="F2576" i="5"/>
  <c r="E2576" i="5"/>
  <c r="D2576" i="5"/>
  <c r="C2576" i="5"/>
  <c r="B2576" i="5"/>
  <c r="A2576" i="5"/>
  <c r="F2575" i="5"/>
  <c r="E2575" i="5"/>
  <c r="D2575" i="5"/>
  <c r="C2575" i="5"/>
  <c r="B2575" i="5"/>
  <c r="A2575" i="5"/>
  <c r="F2574" i="5"/>
  <c r="E2574" i="5"/>
  <c r="D2574" i="5"/>
  <c r="C2574" i="5"/>
  <c r="B2574" i="5"/>
  <c r="A2574" i="5"/>
  <c r="F2573" i="5"/>
  <c r="E2573" i="5"/>
  <c r="D2573" i="5"/>
  <c r="C2573" i="5"/>
  <c r="B2573" i="5"/>
  <c r="A2573" i="5"/>
  <c r="F2572" i="5"/>
  <c r="E2572" i="5"/>
  <c r="D2572" i="5"/>
  <c r="C2572" i="5"/>
  <c r="B2572" i="5"/>
  <c r="A2572" i="5"/>
  <c r="F2571" i="5"/>
  <c r="E2571" i="5"/>
  <c r="D2571" i="5"/>
  <c r="C2571" i="5"/>
  <c r="B2571" i="5"/>
  <c r="A2571" i="5"/>
  <c r="F2570" i="5"/>
  <c r="E2570" i="5"/>
  <c r="D2570" i="5"/>
  <c r="C2570" i="5"/>
  <c r="B2570" i="5"/>
  <c r="A2570" i="5"/>
  <c r="F2569" i="5"/>
  <c r="E2569" i="5"/>
  <c r="D2569" i="5"/>
  <c r="C2569" i="5"/>
  <c r="B2569" i="5"/>
  <c r="A2569" i="5"/>
  <c r="F2568" i="5"/>
  <c r="E2568" i="5"/>
  <c r="D2568" i="5"/>
  <c r="C2568" i="5"/>
  <c r="B2568" i="5"/>
  <c r="A2568" i="5"/>
  <c r="F2567" i="5"/>
  <c r="E2567" i="5"/>
  <c r="D2567" i="5"/>
  <c r="C2567" i="5"/>
  <c r="B2567" i="5"/>
  <c r="A2567" i="5"/>
  <c r="F2566" i="5"/>
  <c r="E2566" i="5"/>
  <c r="D2566" i="5"/>
  <c r="C2566" i="5"/>
  <c r="B2566" i="5"/>
  <c r="A2566" i="5"/>
  <c r="F2565" i="5"/>
  <c r="E2565" i="5"/>
  <c r="D2565" i="5"/>
  <c r="C2565" i="5"/>
  <c r="B2565" i="5"/>
  <c r="A2565" i="5"/>
  <c r="F2564" i="5"/>
  <c r="E2564" i="5"/>
  <c r="D2564" i="5"/>
  <c r="C2564" i="5"/>
  <c r="B2564" i="5"/>
  <c r="A2564" i="5"/>
  <c r="F2563" i="5"/>
  <c r="E2563" i="5"/>
  <c r="D2563" i="5"/>
  <c r="C2563" i="5"/>
  <c r="B2563" i="5"/>
  <c r="A2563" i="5"/>
  <c r="F2562" i="5"/>
  <c r="E2562" i="5"/>
  <c r="D2562" i="5"/>
  <c r="C2562" i="5"/>
  <c r="B2562" i="5"/>
  <c r="A2562" i="5"/>
  <c r="F2561" i="5"/>
  <c r="E2561" i="5"/>
  <c r="D2561" i="5"/>
  <c r="C2561" i="5"/>
  <c r="B2561" i="5"/>
  <c r="A2561" i="5"/>
  <c r="F2560" i="5"/>
  <c r="E2560" i="5"/>
  <c r="D2560" i="5"/>
  <c r="C2560" i="5"/>
  <c r="B2560" i="5"/>
  <c r="A2560" i="5"/>
  <c r="F2559" i="5"/>
  <c r="E2559" i="5"/>
  <c r="D2559" i="5"/>
  <c r="C2559" i="5"/>
  <c r="B2559" i="5"/>
  <c r="A2559" i="5"/>
  <c r="F2558" i="5"/>
  <c r="E2558" i="5"/>
  <c r="D2558" i="5"/>
  <c r="C2558" i="5"/>
  <c r="B2558" i="5"/>
  <c r="A2558" i="5"/>
  <c r="F2557" i="5"/>
  <c r="E2557" i="5"/>
  <c r="D2557" i="5"/>
  <c r="C2557" i="5"/>
  <c r="B2557" i="5"/>
  <c r="A2557" i="5"/>
  <c r="F2556" i="5"/>
  <c r="E2556" i="5"/>
  <c r="D2556" i="5"/>
  <c r="C2556" i="5"/>
  <c r="B2556" i="5"/>
  <c r="A2556" i="5"/>
  <c r="F2555" i="5"/>
  <c r="E2555" i="5"/>
  <c r="D2555" i="5"/>
  <c r="C2555" i="5"/>
  <c r="B2555" i="5"/>
  <c r="A2555" i="5"/>
  <c r="F2554" i="5"/>
  <c r="E2554" i="5"/>
  <c r="D2554" i="5"/>
  <c r="C2554" i="5"/>
  <c r="B2554" i="5"/>
  <c r="A2554" i="5"/>
  <c r="F2553" i="5"/>
  <c r="E2553" i="5"/>
  <c r="D2553" i="5"/>
  <c r="C2553" i="5"/>
  <c r="B2553" i="5"/>
  <c r="A2553" i="5"/>
  <c r="F2552" i="5"/>
  <c r="E2552" i="5"/>
  <c r="D2552" i="5"/>
  <c r="C2552" i="5"/>
  <c r="B2552" i="5"/>
  <c r="A2552" i="5"/>
  <c r="F2551" i="5"/>
  <c r="E2551" i="5"/>
  <c r="D2551" i="5"/>
  <c r="C2551" i="5"/>
  <c r="B2551" i="5"/>
  <c r="A2551" i="5"/>
  <c r="F2550" i="5"/>
  <c r="E2550" i="5"/>
  <c r="D2550" i="5"/>
  <c r="C2550" i="5"/>
  <c r="B2550" i="5"/>
  <c r="A2550" i="5"/>
  <c r="F2549" i="5"/>
  <c r="E2549" i="5"/>
  <c r="D2549" i="5"/>
  <c r="C2549" i="5"/>
  <c r="B2549" i="5"/>
  <c r="A2549" i="5"/>
  <c r="F2548" i="5"/>
  <c r="E2548" i="5"/>
  <c r="D2548" i="5"/>
  <c r="C2548" i="5"/>
  <c r="B2548" i="5"/>
  <c r="A2548" i="5"/>
  <c r="F2547" i="5"/>
  <c r="E2547" i="5"/>
  <c r="D2547" i="5"/>
  <c r="C2547" i="5"/>
  <c r="B2547" i="5"/>
  <c r="A2547" i="5"/>
  <c r="F2546" i="5"/>
  <c r="E2546" i="5"/>
  <c r="D2546" i="5"/>
  <c r="C2546" i="5"/>
  <c r="B2546" i="5"/>
  <c r="A2546" i="5"/>
  <c r="F2545" i="5"/>
  <c r="E2545" i="5"/>
  <c r="D2545" i="5"/>
  <c r="C2545" i="5"/>
  <c r="B2545" i="5"/>
  <c r="A2545" i="5"/>
  <c r="F2544" i="5"/>
  <c r="E2544" i="5"/>
  <c r="D2544" i="5"/>
  <c r="C2544" i="5"/>
  <c r="B2544" i="5"/>
  <c r="A2544" i="5"/>
  <c r="F2543" i="5"/>
  <c r="E2543" i="5"/>
  <c r="D2543" i="5"/>
  <c r="C2543" i="5"/>
  <c r="B2543" i="5"/>
  <c r="A2543" i="5"/>
  <c r="F2542" i="5"/>
  <c r="E2542" i="5"/>
  <c r="D2542" i="5"/>
  <c r="C2542" i="5"/>
  <c r="B2542" i="5"/>
  <c r="A2542" i="5"/>
  <c r="F2541" i="5"/>
  <c r="E2541" i="5"/>
  <c r="D2541" i="5"/>
  <c r="C2541" i="5"/>
  <c r="B2541" i="5"/>
  <c r="A2541" i="5"/>
  <c r="F2540" i="5"/>
  <c r="E2540" i="5"/>
  <c r="D2540" i="5"/>
  <c r="C2540" i="5"/>
  <c r="B2540" i="5"/>
  <c r="A2540" i="5"/>
  <c r="F2539" i="5"/>
  <c r="E2539" i="5"/>
  <c r="D2539" i="5"/>
  <c r="C2539" i="5"/>
  <c r="B2539" i="5"/>
  <c r="A2539" i="5"/>
  <c r="F2538" i="5"/>
  <c r="E2538" i="5"/>
  <c r="D2538" i="5"/>
  <c r="C2538" i="5"/>
  <c r="B2538" i="5"/>
  <c r="A2538" i="5"/>
  <c r="F2537" i="5"/>
  <c r="E2537" i="5"/>
  <c r="D2537" i="5"/>
  <c r="C2537" i="5"/>
  <c r="B2537" i="5"/>
  <c r="A2537" i="5"/>
  <c r="F2536" i="5"/>
  <c r="E2536" i="5"/>
  <c r="D2536" i="5"/>
  <c r="C2536" i="5"/>
  <c r="B2536" i="5"/>
  <c r="A2536" i="5"/>
  <c r="F2535" i="5"/>
  <c r="E2535" i="5"/>
  <c r="D2535" i="5"/>
  <c r="C2535" i="5"/>
  <c r="B2535" i="5"/>
  <c r="A2535" i="5"/>
  <c r="F2534" i="5"/>
  <c r="E2534" i="5"/>
  <c r="D2534" i="5"/>
  <c r="C2534" i="5"/>
  <c r="B2534" i="5"/>
  <c r="A2534" i="5"/>
  <c r="F2533" i="5"/>
  <c r="E2533" i="5"/>
  <c r="D2533" i="5"/>
  <c r="C2533" i="5"/>
  <c r="B2533" i="5"/>
  <c r="A2533" i="5"/>
  <c r="F2532" i="5"/>
  <c r="E2532" i="5"/>
  <c r="D2532" i="5"/>
  <c r="C2532" i="5"/>
  <c r="B2532" i="5"/>
  <c r="A2532" i="5"/>
  <c r="F2531" i="5"/>
  <c r="E2531" i="5"/>
  <c r="D2531" i="5"/>
  <c r="C2531" i="5"/>
  <c r="B2531" i="5"/>
  <c r="A2531" i="5"/>
  <c r="F2530" i="5"/>
  <c r="E2530" i="5"/>
  <c r="D2530" i="5"/>
  <c r="C2530" i="5"/>
  <c r="B2530" i="5"/>
  <c r="A2530" i="5"/>
  <c r="F2529" i="5"/>
  <c r="E2529" i="5"/>
  <c r="D2529" i="5"/>
  <c r="C2529" i="5"/>
  <c r="B2529" i="5"/>
  <c r="A2529" i="5"/>
  <c r="F2528" i="5"/>
  <c r="E2528" i="5"/>
  <c r="D2528" i="5"/>
  <c r="C2528" i="5"/>
  <c r="B2528" i="5"/>
  <c r="A2528" i="5"/>
  <c r="F2527" i="5"/>
  <c r="E2527" i="5"/>
  <c r="D2527" i="5"/>
  <c r="C2527" i="5"/>
  <c r="B2527" i="5"/>
  <c r="A2527" i="5"/>
  <c r="F2526" i="5"/>
  <c r="E2526" i="5"/>
  <c r="D2526" i="5"/>
  <c r="C2526" i="5"/>
  <c r="B2526" i="5"/>
  <c r="A2526" i="5"/>
  <c r="F2525" i="5"/>
  <c r="E2525" i="5"/>
  <c r="D2525" i="5"/>
  <c r="C2525" i="5"/>
  <c r="B2525" i="5"/>
  <c r="A2525" i="5"/>
  <c r="F2524" i="5"/>
  <c r="E2524" i="5"/>
  <c r="D2524" i="5"/>
  <c r="C2524" i="5"/>
  <c r="B2524" i="5"/>
  <c r="A2524" i="5"/>
  <c r="F2523" i="5"/>
  <c r="E2523" i="5"/>
  <c r="D2523" i="5"/>
  <c r="C2523" i="5"/>
  <c r="B2523" i="5"/>
  <c r="A2523" i="5"/>
  <c r="F2522" i="5"/>
  <c r="E2522" i="5"/>
  <c r="D2522" i="5"/>
  <c r="C2522" i="5"/>
  <c r="B2522" i="5"/>
  <c r="A2522" i="5"/>
  <c r="F2521" i="5"/>
  <c r="E2521" i="5"/>
  <c r="D2521" i="5"/>
  <c r="C2521" i="5"/>
  <c r="B2521" i="5"/>
  <c r="A2521" i="5"/>
  <c r="F2520" i="5"/>
  <c r="E2520" i="5"/>
  <c r="D2520" i="5"/>
  <c r="C2520" i="5"/>
  <c r="B2520" i="5"/>
  <c r="A2520" i="5"/>
  <c r="F2519" i="5"/>
  <c r="E2519" i="5"/>
  <c r="D2519" i="5"/>
  <c r="C2519" i="5"/>
  <c r="B2519" i="5"/>
  <c r="A2519" i="5"/>
  <c r="F2518" i="5"/>
  <c r="E2518" i="5"/>
  <c r="D2518" i="5"/>
  <c r="C2518" i="5"/>
  <c r="B2518" i="5"/>
  <c r="A2518" i="5"/>
  <c r="F2517" i="5"/>
  <c r="E2517" i="5"/>
  <c r="D2517" i="5"/>
  <c r="C2517" i="5"/>
  <c r="B2517" i="5"/>
  <c r="A2517" i="5"/>
  <c r="F2516" i="5"/>
  <c r="E2516" i="5"/>
  <c r="D2516" i="5"/>
  <c r="C2516" i="5"/>
  <c r="B2516" i="5"/>
  <c r="A2516" i="5"/>
  <c r="F2515" i="5"/>
  <c r="E2515" i="5"/>
  <c r="D2515" i="5"/>
  <c r="C2515" i="5"/>
  <c r="B2515" i="5"/>
  <c r="A2515" i="5"/>
  <c r="F2514" i="5"/>
  <c r="E2514" i="5"/>
  <c r="D2514" i="5"/>
  <c r="C2514" i="5"/>
  <c r="B2514" i="5"/>
  <c r="A2514" i="5"/>
  <c r="F2513" i="5"/>
  <c r="E2513" i="5"/>
  <c r="D2513" i="5"/>
  <c r="C2513" i="5"/>
  <c r="B2513" i="5"/>
  <c r="A2513" i="5"/>
  <c r="F2512" i="5"/>
  <c r="E2512" i="5"/>
  <c r="D2512" i="5"/>
  <c r="C2512" i="5"/>
  <c r="B2512" i="5"/>
  <c r="A2512" i="5"/>
  <c r="F2511" i="5"/>
  <c r="E2511" i="5"/>
  <c r="D2511" i="5"/>
  <c r="C2511" i="5"/>
  <c r="B2511" i="5"/>
  <c r="A2511" i="5"/>
  <c r="F2510" i="5"/>
  <c r="E2510" i="5"/>
  <c r="D2510" i="5"/>
  <c r="C2510" i="5"/>
  <c r="B2510" i="5"/>
  <c r="A2510" i="5"/>
  <c r="F2509" i="5"/>
  <c r="E2509" i="5"/>
  <c r="D2509" i="5"/>
  <c r="C2509" i="5"/>
  <c r="B2509" i="5"/>
  <c r="A2509" i="5"/>
  <c r="F2508" i="5"/>
  <c r="E2508" i="5"/>
  <c r="D2508" i="5"/>
  <c r="C2508" i="5"/>
  <c r="B2508" i="5"/>
  <c r="A2508" i="5"/>
  <c r="F2507" i="5"/>
  <c r="E2507" i="5"/>
  <c r="D2507" i="5"/>
  <c r="C2507" i="5"/>
  <c r="B2507" i="5"/>
  <c r="A2507" i="5"/>
  <c r="F2506" i="5"/>
  <c r="E2506" i="5"/>
  <c r="D2506" i="5"/>
  <c r="C2506" i="5"/>
  <c r="B2506" i="5"/>
  <c r="A2506" i="5"/>
  <c r="F2505" i="5"/>
  <c r="E2505" i="5"/>
  <c r="D2505" i="5"/>
  <c r="C2505" i="5"/>
  <c r="B2505" i="5"/>
  <c r="A2505" i="5"/>
  <c r="F2504" i="5"/>
  <c r="E2504" i="5"/>
  <c r="D2504" i="5"/>
  <c r="C2504" i="5"/>
  <c r="B2504" i="5"/>
  <c r="A2504" i="5"/>
  <c r="F2503" i="5"/>
  <c r="E2503" i="5"/>
  <c r="D2503" i="5"/>
  <c r="C2503" i="5"/>
  <c r="B2503" i="5"/>
  <c r="A2503" i="5"/>
  <c r="F2502" i="5"/>
  <c r="E2502" i="5"/>
  <c r="D2502" i="5"/>
  <c r="C2502" i="5"/>
  <c r="B2502" i="5"/>
  <c r="A2502" i="5"/>
  <c r="F2501" i="5"/>
  <c r="E2501" i="5"/>
  <c r="D2501" i="5"/>
  <c r="C2501" i="5"/>
  <c r="B2501" i="5"/>
  <c r="A2501" i="5"/>
  <c r="F2500" i="5"/>
  <c r="E2500" i="5"/>
  <c r="D2500" i="5"/>
  <c r="C2500" i="5"/>
  <c r="B2500" i="5"/>
  <c r="A2500" i="5"/>
  <c r="F2499" i="5"/>
  <c r="E2499" i="5"/>
  <c r="D2499" i="5"/>
  <c r="C2499" i="5"/>
  <c r="B2499" i="5"/>
  <c r="A2499" i="5"/>
  <c r="F2498" i="5"/>
  <c r="E2498" i="5"/>
  <c r="D2498" i="5"/>
  <c r="C2498" i="5"/>
  <c r="B2498" i="5"/>
  <c r="A2498" i="5"/>
  <c r="F2497" i="5"/>
  <c r="E2497" i="5"/>
  <c r="D2497" i="5"/>
  <c r="C2497" i="5"/>
  <c r="B2497" i="5"/>
  <c r="A2497" i="5"/>
  <c r="F2496" i="5"/>
  <c r="E2496" i="5"/>
  <c r="D2496" i="5"/>
  <c r="C2496" i="5"/>
  <c r="B2496" i="5"/>
  <c r="A2496" i="5"/>
  <c r="F2495" i="5"/>
  <c r="E2495" i="5"/>
  <c r="D2495" i="5"/>
  <c r="C2495" i="5"/>
  <c r="B2495" i="5"/>
  <c r="A2495" i="5"/>
  <c r="F2494" i="5"/>
  <c r="E2494" i="5"/>
  <c r="D2494" i="5"/>
  <c r="C2494" i="5"/>
  <c r="B2494" i="5"/>
  <c r="A2494" i="5"/>
  <c r="F2493" i="5"/>
  <c r="E2493" i="5"/>
  <c r="D2493" i="5"/>
  <c r="C2493" i="5"/>
  <c r="B2493" i="5"/>
  <c r="A2493" i="5"/>
  <c r="F2492" i="5"/>
  <c r="E2492" i="5"/>
  <c r="D2492" i="5"/>
  <c r="C2492" i="5"/>
  <c r="B2492" i="5"/>
  <c r="A2492" i="5"/>
  <c r="F2491" i="5"/>
  <c r="E2491" i="5"/>
  <c r="D2491" i="5"/>
  <c r="C2491" i="5"/>
  <c r="B2491" i="5"/>
  <c r="A2491" i="5"/>
  <c r="F2490" i="5"/>
  <c r="E2490" i="5"/>
  <c r="D2490" i="5"/>
  <c r="C2490" i="5"/>
  <c r="B2490" i="5"/>
  <c r="A2490" i="5"/>
  <c r="F2489" i="5"/>
  <c r="E2489" i="5"/>
  <c r="D2489" i="5"/>
  <c r="C2489" i="5"/>
  <c r="B2489" i="5"/>
  <c r="A2489" i="5"/>
  <c r="F2488" i="5"/>
  <c r="E2488" i="5"/>
  <c r="D2488" i="5"/>
  <c r="C2488" i="5"/>
  <c r="B2488" i="5"/>
  <c r="A2488" i="5"/>
  <c r="F2487" i="5"/>
  <c r="E2487" i="5"/>
  <c r="D2487" i="5"/>
  <c r="C2487" i="5"/>
  <c r="B2487" i="5"/>
  <c r="A2487" i="5"/>
  <c r="F2486" i="5"/>
  <c r="E2486" i="5"/>
  <c r="D2486" i="5"/>
  <c r="C2486" i="5"/>
  <c r="B2486" i="5"/>
  <c r="A2486" i="5"/>
  <c r="F2485" i="5"/>
  <c r="E2485" i="5"/>
  <c r="D2485" i="5"/>
  <c r="C2485" i="5"/>
  <c r="B2485" i="5"/>
  <c r="A2485" i="5"/>
  <c r="F2484" i="5"/>
  <c r="E2484" i="5"/>
  <c r="D2484" i="5"/>
  <c r="C2484" i="5"/>
  <c r="B2484" i="5"/>
  <c r="A2484" i="5"/>
  <c r="F2483" i="5"/>
  <c r="E2483" i="5"/>
  <c r="D2483" i="5"/>
  <c r="C2483" i="5"/>
  <c r="B2483" i="5"/>
  <c r="A2483" i="5"/>
  <c r="F2482" i="5"/>
  <c r="E2482" i="5"/>
  <c r="D2482" i="5"/>
  <c r="C2482" i="5"/>
  <c r="B2482" i="5"/>
  <c r="A2482" i="5"/>
  <c r="F2481" i="5"/>
  <c r="E2481" i="5"/>
  <c r="D2481" i="5"/>
  <c r="C2481" i="5"/>
  <c r="B2481" i="5"/>
  <c r="A2481" i="5"/>
  <c r="F2480" i="5"/>
  <c r="E2480" i="5"/>
  <c r="D2480" i="5"/>
  <c r="C2480" i="5"/>
  <c r="B2480" i="5"/>
  <c r="A2480" i="5"/>
  <c r="F2479" i="5"/>
  <c r="E2479" i="5"/>
  <c r="D2479" i="5"/>
  <c r="C2479" i="5"/>
  <c r="B2479" i="5"/>
  <c r="A2479" i="5"/>
  <c r="F2478" i="5"/>
  <c r="E2478" i="5"/>
  <c r="D2478" i="5"/>
  <c r="C2478" i="5"/>
  <c r="B2478" i="5"/>
  <c r="A2478" i="5"/>
  <c r="F2477" i="5"/>
  <c r="E2477" i="5"/>
  <c r="D2477" i="5"/>
  <c r="C2477" i="5"/>
  <c r="B2477" i="5"/>
  <c r="A2477" i="5"/>
  <c r="F2476" i="5"/>
  <c r="E2476" i="5"/>
  <c r="D2476" i="5"/>
  <c r="C2476" i="5"/>
  <c r="B2476" i="5"/>
  <c r="A2476" i="5"/>
  <c r="F2475" i="5"/>
  <c r="E2475" i="5"/>
  <c r="D2475" i="5"/>
  <c r="C2475" i="5"/>
  <c r="B2475" i="5"/>
  <c r="A2475" i="5"/>
  <c r="F2474" i="5"/>
  <c r="E2474" i="5"/>
  <c r="D2474" i="5"/>
  <c r="C2474" i="5"/>
  <c r="B2474" i="5"/>
  <c r="A2474" i="5"/>
  <c r="F2473" i="5"/>
  <c r="E2473" i="5"/>
  <c r="D2473" i="5"/>
  <c r="C2473" i="5"/>
  <c r="B2473" i="5"/>
  <c r="A2473" i="5"/>
  <c r="F2472" i="5"/>
  <c r="E2472" i="5"/>
  <c r="D2472" i="5"/>
  <c r="C2472" i="5"/>
  <c r="B2472" i="5"/>
  <c r="A2472" i="5"/>
  <c r="F2471" i="5"/>
  <c r="E2471" i="5"/>
  <c r="D2471" i="5"/>
  <c r="C2471" i="5"/>
  <c r="B2471" i="5"/>
  <c r="A2471" i="5"/>
  <c r="F2470" i="5"/>
  <c r="E2470" i="5"/>
  <c r="D2470" i="5"/>
  <c r="C2470" i="5"/>
  <c r="B2470" i="5"/>
  <c r="A2470" i="5"/>
  <c r="F2469" i="5"/>
  <c r="E2469" i="5"/>
  <c r="D2469" i="5"/>
  <c r="C2469" i="5"/>
  <c r="B2469" i="5"/>
  <c r="A2469" i="5"/>
  <c r="F2468" i="5"/>
  <c r="E2468" i="5"/>
  <c r="D2468" i="5"/>
  <c r="C2468" i="5"/>
  <c r="B2468" i="5"/>
  <c r="A2468" i="5"/>
  <c r="F2467" i="5"/>
  <c r="E2467" i="5"/>
  <c r="D2467" i="5"/>
  <c r="C2467" i="5"/>
  <c r="B2467" i="5"/>
  <c r="A2467" i="5"/>
  <c r="F2466" i="5"/>
  <c r="E2466" i="5"/>
  <c r="D2466" i="5"/>
  <c r="C2466" i="5"/>
  <c r="B2466" i="5"/>
  <c r="A2466" i="5"/>
  <c r="F2465" i="5"/>
  <c r="E2465" i="5"/>
  <c r="D2465" i="5"/>
  <c r="C2465" i="5"/>
  <c r="B2465" i="5"/>
  <c r="A2465" i="5"/>
  <c r="F2464" i="5"/>
  <c r="E2464" i="5"/>
  <c r="D2464" i="5"/>
  <c r="C2464" i="5"/>
  <c r="B2464" i="5"/>
  <c r="A2464" i="5"/>
  <c r="F2463" i="5"/>
  <c r="E2463" i="5"/>
  <c r="D2463" i="5"/>
  <c r="C2463" i="5"/>
  <c r="B2463" i="5"/>
  <c r="A2463" i="5"/>
  <c r="F2462" i="5"/>
  <c r="E2462" i="5"/>
  <c r="D2462" i="5"/>
  <c r="C2462" i="5"/>
  <c r="B2462" i="5"/>
  <c r="A2462" i="5"/>
  <c r="F2461" i="5"/>
  <c r="E2461" i="5"/>
  <c r="D2461" i="5"/>
  <c r="C2461" i="5"/>
  <c r="B2461" i="5"/>
  <c r="A2461" i="5"/>
  <c r="F2460" i="5"/>
  <c r="E2460" i="5"/>
  <c r="D2460" i="5"/>
  <c r="C2460" i="5"/>
  <c r="B2460" i="5"/>
  <c r="A2460" i="5"/>
  <c r="F2459" i="5"/>
  <c r="E2459" i="5"/>
  <c r="D2459" i="5"/>
  <c r="C2459" i="5"/>
  <c r="B2459" i="5"/>
  <c r="A2459" i="5"/>
  <c r="F2458" i="5"/>
  <c r="E2458" i="5"/>
  <c r="D2458" i="5"/>
  <c r="C2458" i="5"/>
  <c r="B2458" i="5"/>
  <c r="A2458" i="5"/>
  <c r="F2457" i="5"/>
  <c r="E2457" i="5"/>
  <c r="D2457" i="5"/>
  <c r="C2457" i="5"/>
  <c r="B2457" i="5"/>
  <c r="A2457" i="5"/>
  <c r="F2456" i="5"/>
  <c r="E2456" i="5"/>
  <c r="D2456" i="5"/>
  <c r="C2456" i="5"/>
  <c r="B2456" i="5"/>
  <c r="A2456" i="5"/>
  <c r="F2455" i="5"/>
  <c r="E2455" i="5"/>
  <c r="D2455" i="5"/>
  <c r="C2455" i="5"/>
  <c r="B2455" i="5"/>
  <c r="A2455" i="5"/>
  <c r="F2454" i="5"/>
  <c r="E2454" i="5"/>
  <c r="D2454" i="5"/>
  <c r="C2454" i="5"/>
  <c r="B2454" i="5"/>
  <c r="A2454" i="5"/>
  <c r="F2453" i="5"/>
  <c r="E2453" i="5"/>
  <c r="D2453" i="5"/>
  <c r="C2453" i="5"/>
  <c r="B2453" i="5"/>
  <c r="A2453" i="5"/>
  <c r="F2452" i="5"/>
  <c r="E2452" i="5"/>
  <c r="D2452" i="5"/>
  <c r="C2452" i="5"/>
  <c r="B2452" i="5"/>
  <c r="A2452" i="5"/>
  <c r="F2451" i="5"/>
  <c r="E2451" i="5"/>
  <c r="D2451" i="5"/>
  <c r="C2451" i="5"/>
  <c r="B2451" i="5"/>
  <c r="A2451" i="5"/>
  <c r="F2450" i="5"/>
  <c r="E2450" i="5"/>
  <c r="D2450" i="5"/>
  <c r="C2450" i="5"/>
  <c r="B2450" i="5"/>
  <c r="A2450" i="5"/>
  <c r="F2449" i="5"/>
  <c r="E2449" i="5"/>
  <c r="D2449" i="5"/>
  <c r="C2449" i="5"/>
  <c r="B2449" i="5"/>
  <c r="A2449" i="5"/>
  <c r="F2448" i="5"/>
  <c r="E2448" i="5"/>
  <c r="D2448" i="5"/>
  <c r="C2448" i="5"/>
  <c r="B2448" i="5"/>
  <c r="A2448" i="5"/>
  <c r="F2447" i="5"/>
  <c r="E2447" i="5"/>
  <c r="D2447" i="5"/>
  <c r="C2447" i="5"/>
  <c r="B2447" i="5"/>
  <c r="A2447" i="5"/>
  <c r="F2446" i="5"/>
  <c r="E2446" i="5"/>
  <c r="D2446" i="5"/>
  <c r="C2446" i="5"/>
  <c r="B2446" i="5"/>
  <c r="A2446" i="5"/>
  <c r="F2445" i="5"/>
  <c r="E2445" i="5"/>
  <c r="D2445" i="5"/>
  <c r="C2445" i="5"/>
  <c r="B2445" i="5"/>
  <c r="A2445" i="5"/>
  <c r="F2444" i="5"/>
  <c r="E2444" i="5"/>
  <c r="D2444" i="5"/>
  <c r="C2444" i="5"/>
  <c r="B2444" i="5"/>
  <c r="A2444" i="5"/>
  <c r="F2443" i="5"/>
  <c r="E2443" i="5"/>
  <c r="D2443" i="5"/>
  <c r="C2443" i="5"/>
  <c r="B2443" i="5"/>
  <c r="A2443" i="5"/>
  <c r="F2442" i="5"/>
  <c r="E2442" i="5"/>
  <c r="D2442" i="5"/>
  <c r="C2442" i="5"/>
  <c r="B2442" i="5"/>
  <c r="A2442" i="5"/>
  <c r="F2441" i="5"/>
  <c r="E2441" i="5"/>
  <c r="D2441" i="5"/>
  <c r="C2441" i="5"/>
  <c r="B2441" i="5"/>
  <c r="A2441" i="5"/>
  <c r="F2440" i="5"/>
  <c r="E2440" i="5"/>
  <c r="D2440" i="5"/>
  <c r="C2440" i="5"/>
  <c r="B2440" i="5"/>
  <c r="A2440" i="5"/>
  <c r="F2439" i="5"/>
  <c r="E2439" i="5"/>
  <c r="D2439" i="5"/>
  <c r="C2439" i="5"/>
  <c r="B2439" i="5"/>
  <c r="A2439" i="5"/>
  <c r="F2438" i="5"/>
  <c r="E2438" i="5"/>
  <c r="D2438" i="5"/>
  <c r="C2438" i="5"/>
  <c r="B2438" i="5"/>
  <c r="A2438" i="5"/>
  <c r="F2437" i="5"/>
  <c r="E2437" i="5"/>
  <c r="D2437" i="5"/>
  <c r="C2437" i="5"/>
  <c r="B2437" i="5"/>
  <c r="A2437" i="5"/>
  <c r="F2436" i="5"/>
  <c r="E2436" i="5"/>
  <c r="D2436" i="5"/>
  <c r="C2436" i="5"/>
  <c r="B2436" i="5"/>
  <c r="A2436" i="5"/>
  <c r="F2435" i="5"/>
  <c r="E2435" i="5"/>
  <c r="D2435" i="5"/>
  <c r="C2435" i="5"/>
  <c r="B2435" i="5"/>
  <c r="A2435" i="5"/>
  <c r="F2434" i="5"/>
  <c r="E2434" i="5"/>
  <c r="D2434" i="5"/>
  <c r="C2434" i="5"/>
  <c r="B2434" i="5"/>
  <c r="A2434" i="5"/>
  <c r="F2433" i="5"/>
  <c r="E2433" i="5"/>
  <c r="D2433" i="5"/>
  <c r="C2433" i="5"/>
  <c r="B2433" i="5"/>
  <c r="A2433" i="5"/>
  <c r="F2432" i="5"/>
  <c r="E2432" i="5"/>
  <c r="D2432" i="5"/>
  <c r="C2432" i="5"/>
  <c r="B2432" i="5"/>
  <c r="A2432" i="5"/>
  <c r="F2431" i="5"/>
  <c r="E2431" i="5"/>
  <c r="D2431" i="5"/>
  <c r="C2431" i="5"/>
  <c r="B2431" i="5"/>
  <c r="A2431" i="5"/>
  <c r="F2430" i="5"/>
  <c r="E2430" i="5"/>
  <c r="D2430" i="5"/>
  <c r="C2430" i="5"/>
  <c r="B2430" i="5"/>
  <c r="A2430" i="5"/>
  <c r="F2429" i="5"/>
  <c r="E2429" i="5"/>
  <c r="D2429" i="5"/>
  <c r="C2429" i="5"/>
  <c r="B2429" i="5"/>
  <c r="A2429" i="5"/>
  <c r="F2428" i="5"/>
  <c r="E2428" i="5"/>
  <c r="D2428" i="5"/>
  <c r="C2428" i="5"/>
  <c r="B2428" i="5"/>
  <c r="A2428" i="5"/>
  <c r="F2427" i="5"/>
  <c r="E2427" i="5"/>
  <c r="D2427" i="5"/>
  <c r="C2427" i="5"/>
  <c r="B2427" i="5"/>
  <c r="A2427" i="5"/>
  <c r="F2426" i="5"/>
  <c r="E2426" i="5"/>
  <c r="D2426" i="5"/>
  <c r="C2426" i="5"/>
  <c r="B2426" i="5"/>
  <c r="A2426" i="5"/>
  <c r="F2425" i="5"/>
  <c r="E2425" i="5"/>
  <c r="D2425" i="5"/>
  <c r="C2425" i="5"/>
  <c r="B2425" i="5"/>
  <c r="A2425" i="5"/>
  <c r="F2424" i="5"/>
  <c r="E2424" i="5"/>
  <c r="D2424" i="5"/>
  <c r="C2424" i="5"/>
  <c r="B2424" i="5"/>
  <c r="A2424" i="5"/>
  <c r="F2423" i="5"/>
  <c r="E2423" i="5"/>
  <c r="D2423" i="5"/>
  <c r="C2423" i="5"/>
  <c r="B2423" i="5"/>
  <c r="A2423" i="5"/>
  <c r="F2422" i="5"/>
  <c r="E2422" i="5"/>
  <c r="D2422" i="5"/>
  <c r="C2422" i="5"/>
  <c r="B2422" i="5"/>
  <c r="A2422" i="5"/>
  <c r="F2421" i="5"/>
  <c r="E2421" i="5"/>
  <c r="D2421" i="5"/>
  <c r="C2421" i="5"/>
  <c r="B2421" i="5"/>
  <c r="A2421" i="5"/>
  <c r="F2420" i="5"/>
  <c r="E2420" i="5"/>
  <c r="D2420" i="5"/>
  <c r="C2420" i="5"/>
  <c r="B2420" i="5"/>
  <c r="A2420" i="5"/>
  <c r="F2419" i="5"/>
  <c r="E2419" i="5"/>
  <c r="D2419" i="5"/>
  <c r="C2419" i="5"/>
  <c r="B2419" i="5"/>
  <c r="A2419" i="5"/>
  <c r="F2418" i="5"/>
  <c r="E2418" i="5"/>
  <c r="D2418" i="5"/>
  <c r="C2418" i="5"/>
  <c r="B2418" i="5"/>
  <c r="A2418" i="5"/>
  <c r="F2417" i="5"/>
  <c r="E2417" i="5"/>
  <c r="D2417" i="5"/>
  <c r="C2417" i="5"/>
  <c r="B2417" i="5"/>
  <c r="A2417" i="5"/>
  <c r="F2416" i="5"/>
  <c r="E2416" i="5"/>
  <c r="D2416" i="5"/>
  <c r="C2416" i="5"/>
  <c r="B2416" i="5"/>
  <c r="A2416" i="5"/>
  <c r="F2415" i="5"/>
  <c r="E2415" i="5"/>
  <c r="D2415" i="5"/>
  <c r="C2415" i="5"/>
  <c r="B2415" i="5"/>
  <c r="A2415" i="5"/>
  <c r="F2414" i="5"/>
  <c r="E2414" i="5"/>
  <c r="D2414" i="5"/>
  <c r="C2414" i="5"/>
  <c r="B2414" i="5"/>
  <c r="A2414" i="5"/>
  <c r="F2413" i="5"/>
  <c r="E2413" i="5"/>
  <c r="D2413" i="5"/>
  <c r="C2413" i="5"/>
  <c r="B2413" i="5"/>
  <c r="A2413" i="5"/>
  <c r="F2412" i="5"/>
  <c r="E2412" i="5"/>
  <c r="D2412" i="5"/>
  <c r="C2412" i="5"/>
  <c r="B2412" i="5"/>
  <c r="A2412" i="5"/>
  <c r="F2411" i="5"/>
  <c r="E2411" i="5"/>
  <c r="D2411" i="5"/>
  <c r="C2411" i="5"/>
  <c r="B2411" i="5"/>
  <c r="A2411" i="5"/>
  <c r="F2410" i="5"/>
  <c r="E2410" i="5"/>
  <c r="D2410" i="5"/>
  <c r="C2410" i="5"/>
  <c r="B2410" i="5"/>
  <c r="A2410" i="5"/>
  <c r="F2409" i="5"/>
  <c r="E2409" i="5"/>
  <c r="D2409" i="5"/>
  <c r="C2409" i="5"/>
  <c r="B2409" i="5"/>
  <c r="A2409" i="5"/>
  <c r="F2408" i="5"/>
  <c r="E2408" i="5"/>
  <c r="D2408" i="5"/>
  <c r="C2408" i="5"/>
  <c r="B2408" i="5"/>
  <c r="A2408" i="5"/>
  <c r="F2407" i="5"/>
  <c r="E2407" i="5"/>
  <c r="D2407" i="5"/>
  <c r="C2407" i="5"/>
  <c r="B2407" i="5"/>
  <c r="A2407" i="5"/>
  <c r="F2406" i="5"/>
  <c r="E2406" i="5"/>
  <c r="D2406" i="5"/>
  <c r="C2406" i="5"/>
  <c r="B2406" i="5"/>
  <c r="A2406" i="5"/>
  <c r="F2405" i="5"/>
  <c r="E2405" i="5"/>
  <c r="D2405" i="5"/>
  <c r="C2405" i="5"/>
  <c r="B2405" i="5"/>
  <c r="A2405" i="5"/>
  <c r="F2404" i="5"/>
  <c r="E2404" i="5"/>
  <c r="D2404" i="5"/>
  <c r="C2404" i="5"/>
  <c r="B2404" i="5"/>
  <c r="A2404" i="5"/>
  <c r="F2403" i="5"/>
  <c r="E2403" i="5"/>
  <c r="D2403" i="5"/>
  <c r="C2403" i="5"/>
  <c r="B2403" i="5"/>
  <c r="A2403" i="5"/>
  <c r="F2402" i="5"/>
  <c r="E2402" i="5"/>
  <c r="D2402" i="5"/>
  <c r="C2402" i="5"/>
  <c r="B2402" i="5"/>
  <c r="A2402" i="5"/>
  <c r="F2401" i="5"/>
  <c r="E2401" i="5"/>
  <c r="D2401" i="5"/>
  <c r="C2401" i="5"/>
  <c r="B2401" i="5"/>
  <c r="A2401" i="5"/>
  <c r="F2400" i="5"/>
  <c r="E2400" i="5"/>
  <c r="D2400" i="5"/>
  <c r="C2400" i="5"/>
  <c r="B2400" i="5"/>
  <c r="A2400" i="5"/>
  <c r="F2399" i="5"/>
  <c r="E2399" i="5"/>
  <c r="D2399" i="5"/>
  <c r="C2399" i="5"/>
  <c r="B2399" i="5"/>
  <c r="A2399" i="5"/>
  <c r="F2398" i="5"/>
  <c r="E2398" i="5"/>
  <c r="D2398" i="5"/>
  <c r="C2398" i="5"/>
  <c r="B2398" i="5"/>
  <c r="A2398" i="5"/>
  <c r="F2397" i="5"/>
  <c r="E2397" i="5"/>
  <c r="D2397" i="5"/>
  <c r="C2397" i="5"/>
  <c r="B2397" i="5"/>
  <c r="A2397" i="5"/>
  <c r="F2396" i="5"/>
  <c r="E2396" i="5"/>
  <c r="D2396" i="5"/>
  <c r="C2396" i="5"/>
  <c r="B2396" i="5"/>
  <c r="A2396" i="5"/>
  <c r="F2395" i="5"/>
  <c r="E2395" i="5"/>
  <c r="D2395" i="5"/>
  <c r="C2395" i="5"/>
  <c r="B2395" i="5"/>
  <c r="A2395" i="5"/>
  <c r="F2394" i="5"/>
  <c r="E2394" i="5"/>
  <c r="D2394" i="5"/>
  <c r="C2394" i="5"/>
  <c r="B2394" i="5"/>
  <c r="A2394" i="5"/>
  <c r="F2393" i="5"/>
  <c r="E2393" i="5"/>
  <c r="D2393" i="5"/>
  <c r="C2393" i="5"/>
  <c r="B2393" i="5"/>
  <c r="A2393" i="5"/>
  <c r="F2392" i="5"/>
  <c r="E2392" i="5"/>
  <c r="D2392" i="5"/>
  <c r="C2392" i="5"/>
  <c r="B2392" i="5"/>
  <c r="A2392" i="5"/>
  <c r="F2391" i="5"/>
  <c r="E2391" i="5"/>
  <c r="D2391" i="5"/>
  <c r="C2391" i="5"/>
  <c r="B2391" i="5"/>
  <c r="A2391" i="5"/>
  <c r="F2390" i="5"/>
  <c r="E2390" i="5"/>
  <c r="D2390" i="5"/>
  <c r="C2390" i="5"/>
  <c r="B2390" i="5"/>
  <c r="A2390" i="5"/>
  <c r="F2389" i="5"/>
  <c r="E2389" i="5"/>
  <c r="D2389" i="5"/>
  <c r="C2389" i="5"/>
  <c r="B2389" i="5"/>
  <c r="A2389" i="5"/>
  <c r="F2388" i="5"/>
  <c r="E2388" i="5"/>
  <c r="D2388" i="5"/>
  <c r="C2388" i="5"/>
  <c r="B2388" i="5"/>
  <c r="A2388" i="5"/>
  <c r="F2387" i="5"/>
  <c r="E2387" i="5"/>
  <c r="D2387" i="5"/>
  <c r="C2387" i="5"/>
  <c r="B2387" i="5"/>
  <c r="A2387" i="5"/>
  <c r="F2386" i="5"/>
  <c r="E2386" i="5"/>
  <c r="D2386" i="5"/>
  <c r="C2386" i="5"/>
  <c r="B2386" i="5"/>
  <c r="A2386" i="5"/>
  <c r="F2385" i="5"/>
  <c r="E2385" i="5"/>
  <c r="D2385" i="5"/>
  <c r="C2385" i="5"/>
  <c r="B2385" i="5"/>
  <c r="A2385" i="5"/>
  <c r="F2384" i="5"/>
  <c r="E2384" i="5"/>
  <c r="D2384" i="5"/>
  <c r="C2384" i="5"/>
  <c r="B2384" i="5"/>
  <c r="A2384" i="5"/>
  <c r="F2383" i="5"/>
  <c r="E2383" i="5"/>
  <c r="D2383" i="5"/>
  <c r="C2383" i="5"/>
  <c r="B2383" i="5"/>
  <c r="A2383" i="5"/>
  <c r="F2382" i="5"/>
  <c r="E2382" i="5"/>
  <c r="D2382" i="5"/>
  <c r="C2382" i="5"/>
  <c r="B2382" i="5"/>
  <c r="A2382" i="5"/>
  <c r="F2381" i="5"/>
  <c r="E2381" i="5"/>
  <c r="D2381" i="5"/>
  <c r="C2381" i="5"/>
  <c r="B2381" i="5"/>
  <c r="A2381" i="5"/>
  <c r="F2380" i="5"/>
  <c r="E2380" i="5"/>
  <c r="D2380" i="5"/>
  <c r="C2380" i="5"/>
  <c r="B2380" i="5"/>
  <c r="A2380" i="5"/>
  <c r="F2379" i="5"/>
  <c r="E2379" i="5"/>
  <c r="D2379" i="5"/>
  <c r="C2379" i="5"/>
  <c r="B2379" i="5"/>
  <c r="A2379" i="5"/>
  <c r="F2378" i="5"/>
  <c r="E2378" i="5"/>
  <c r="D2378" i="5"/>
  <c r="C2378" i="5"/>
  <c r="B2378" i="5"/>
  <c r="A2378" i="5"/>
  <c r="F2377" i="5"/>
  <c r="E2377" i="5"/>
  <c r="D2377" i="5"/>
  <c r="C2377" i="5"/>
  <c r="B2377" i="5"/>
  <c r="A2377" i="5"/>
  <c r="F2376" i="5"/>
  <c r="E2376" i="5"/>
  <c r="D2376" i="5"/>
  <c r="C2376" i="5"/>
  <c r="B2376" i="5"/>
  <c r="A2376" i="5"/>
  <c r="F2375" i="5"/>
  <c r="E2375" i="5"/>
  <c r="D2375" i="5"/>
  <c r="C2375" i="5"/>
  <c r="B2375" i="5"/>
  <c r="A2375" i="5"/>
  <c r="F2374" i="5"/>
  <c r="E2374" i="5"/>
  <c r="D2374" i="5"/>
  <c r="C2374" i="5"/>
  <c r="B2374" i="5"/>
  <c r="A2374" i="5"/>
  <c r="F2373" i="5"/>
  <c r="E2373" i="5"/>
  <c r="D2373" i="5"/>
  <c r="C2373" i="5"/>
  <c r="B2373" i="5"/>
  <c r="A2373" i="5"/>
  <c r="F2372" i="5"/>
  <c r="E2372" i="5"/>
  <c r="D2372" i="5"/>
  <c r="C2372" i="5"/>
  <c r="B2372" i="5"/>
  <c r="A2372" i="5"/>
  <c r="F2371" i="5"/>
  <c r="E2371" i="5"/>
  <c r="D2371" i="5"/>
  <c r="C2371" i="5"/>
  <c r="B2371" i="5"/>
  <c r="A2371" i="5"/>
  <c r="F2370" i="5"/>
  <c r="E2370" i="5"/>
  <c r="D2370" i="5"/>
  <c r="C2370" i="5"/>
  <c r="B2370" i="5"/>
  <c r="A2370" i="5"/>
  <c r="F2369" i="5"/>
  <c r="E2369" i="5"/>
  <c r="D2369" i="5"/>
  <c r="C2369" i="5"/>
  <c r="B2369" i="5"/>
  <c r="A2369" i="5"/>
  <c r="F2368" i="5"/>
  <c r="E2368" i="5"/>
  <c r="D2368" i="5"/>
  <c r="C2368" i="5"/>
  <c r="B2368" i="5"/>
  <c r="A2368" i="5"/>
  <c r="F2367" i="5"/>
  <c r="E2367" i="5"/>
  <c r="D2367" i="5"/>
  <c r="C2367" i="5"/>
  <c r="B2367" i="5"/>
  <c r="A2367" i="5"/>
  <c r="F2366" i="5"/>
  <c r="E2366" i="5"/>
  <c r="D2366" i="5"/>
  <c r="C2366" i="5"/>
  <c r="B2366" i="5"/>
  <c r="A2366" i="5"/>
  <c r="F2365" i="5"/>
  <c r="E2365" i="5"/>
  <c r="D2365" i="5"/>
  <c r="C2365" i="5"/>
  <c r="B2365" i="5"/>
  <c r="A2365" i="5"/>
  <c r="F2364" i="5"/>
  <c r="E2364" i="5"/>
  <c r="D2364" i="5"/>
  <c r="C2364" i="5"/>
  <c r="B2364" i="5"/>
  <c r="A2364" i="5"/>
  <c r="F2363" i="5"/>
  <c r="E2363" i="5"/>
  <c r="D2363" i="5"/>
  <c r="C2363" i="5"/>
  <c r="B2363" i="5"/>
  <c r="A2363" i="5"/>
  <c r="F2362" i="5"/>
  <c r="E2362" i="5"/>
  <c r="D2362" i="5"/>
  <c r="C2362" i="5"/>
  <c r="B2362" i="5"/>
  <c r="A2362" i="5"/>
  <c r="F2361" i="5"/>
  <c r="E2361" i="5"/>
  <c r="D2361" i="5"/>
  <c r="C2361" i="5"/>
  <c r="B2361" i="5"/>
  <c r="A2361" i="5"/>
  <c r="F2360" i="5"/>
  <c r="E2360" i="5"/>
  <c r="D2360" i="5"/>
  <c r="C2360" i="5"/>
  <c r="B2360" i="5"/>
  <c r="A2360" i="5"/>
  <c r="F2359" i="5"/>
  <c r="E2359" i="5"/>
  <c r="D2359" i="5"/>
  <c r="C2359" i="5"/>
  <c r="B2359" i="5"/>
  <c r="A2359" i="5"/>
  <c r="F2358" i="5"/>
  <c r="E2358" i="5"/>
  <c r="D2358" i="5"/>
  <c r="C2358" i="5"/>
  <c r="B2358" i="5"/>
  <c r="A2358" i="5"/>
  <c r="F2357" i="5"/>
  <c r="E2357" i="5"/>
  <c r="D2357" i="5"/>
  <c r="C2357" i="5"/>
  <c r="B2357" i="5"/>
  <c r="A2357" i="5"/>
  <c r="F2356" i="5"/>
  <c r="E2356" i="5"/>
  <c r="D2356" i="5"/>
  <c r="C2356" i="5"/>
  <c r="B2356" i="5"/>
  <c r="A2356" i="5"/>
  <c r="F2355" i="5"/>
  <c r="E2355" i="5"/>
  <c r="D2355" i="5"/>
  <c r="C2355" i="5"/>
  <c r="B2355" i="5"/>
  <c r="A2355" i="5"/>
  <c r="F2354" i="5"/>
  <c r="E2354" i="5"/>
  <c r="D2354" i="5"/>
  <c r="C2354" i="5"/>
  <c r="B2354" i="5"/>
  <c r="A2354" i="5"/>
  <c r="F2353" i="5"/>
  <c r="E2353" i="5"/>
  <c r="D2353" i="5"/>
  <c r="C2353" i="5"/>
  <c r="B2353" i="5"/>
  <c r="A2353" i="5"/>
  <c r="F2352" i="5"/>
  <c r="E2352" i="5"/>
  <c r="D2352" i="5"/>
  <c r="C2352" i="5"/>
  <c r="B2352" i="5"/>
  <c r="A2352" i="5"/>
  <c r="F2351" i="5"/>
  <c r="E2351" i="5"/>
  <c r="D2351" i="5"/>
  <c r="C2351" i="5"/>
  <c r="B2351" i="5"/>
  <c r="A2351" i="5"/>
  <c r="F2350" i="5"/>
  <c r="E2350" i="5"/>
  <c r="D2350" i="5"/>
  <c r="C2350" i="5"/>
  <c r="B2350" i="5"/>
  <c r="A2350" i="5"/>
  <c r="F2349" i="5"/>
  <c r="E2349" i="5"/>
  <c r="D2349" i="5"/>
  <c r="C2349" i="5"/>
  <c r="B2349" i="5"/>
  <c r="A2349" i="5"/>
  <c r="F2348" i="5"/>
  <c r="E2348" i="5"/>
  <c r="D2348" i="5"/>
  <c r="C2348" i="5"/>
  <c r="B2348" i="5"/>
  <c r="A2348" i="5"/>
  <c r="F2347" i="5"/>
  <c r="E2347" i="5"/>
  <c r="D2347" i="5"/>
  <c r="C2347" i="5"/>
  <c r="B2347" i="5"/>
  <c r="A2347" i="5"/>
  <c r="F2346" i="5"/>
  <c r="E2346" i="5"/>
  <c r="D2346" i="5"/>
  <c r="C2346" i="5"/>
  <c r="B2346" i="5"/>
  <c r="A2346" i="5"/>
  <c r="F2345" i="5"/>
  <c r="E2345" i="5"/>
  <c r="D2345" i="5"/>
  <c r="C2345" i="5"/>
  <c r="B2345" i="5"/>
  <c r="A2345" i="5"/>
  <c r="F2344" i="5"/>
  <c r="E2344" i="5"/>
  <c r="D2344" i="5"/>
  <c r="C2344" i="5"/>
  <c r="B2344" i="5"/>
  <c r="A2344" i="5"/>
  <c r="F2343" i="5"/>
  <c r="E2343" i="5"/>
  <c r="D2343" i="5"/>
  <c r="C2343" i="5"/>
  <c r="B2343" i="5"/>
  <c r="A2343" i="5"/>
  <c r="F2342" i="5"/>
  <c r="E2342" i="5"/>
  <c r="D2342" i="5"/>
  <c r="C2342" i="5"/>
  <c r="B2342" i="5"/>
  <c r="A2342" i="5"/>
  <c r="F2341" i="5"/>
  <c r="E2341" i="5"/>
  <c r="D2341" i="5"/>
  <c r="C2341" i="5"/>
  <c r="B2341" i="5"/>
  <c r="A2341" i="5"/>
  <c r="F2340" i="5"/>
  <c r="E2340" i="5"/>
  <c r="D2340" i="5"/>
  <c r="C2340" i="5"/>
  <c r="B2340" i="5"/>
  <c r="A2340" i="5"/>
  <c r="F2339" i="5"/>
  <c r="E2339" i="5"/>
  <c r="D2339" i="5"/>
  <c r="C2339" i="5"/>
  <c r="B2339" i="5"/>
  <c r="A2339" i="5"/>
  <c r="F2338" i="5"/>
  <c r="E2338" i="5"/>
  <c r="D2338" i="5"/>
  <c r="C2338" i="5"/>
  <c r="B2338" i="5"/>
  <c r="A2338" i="5"/>
  <c r="F2337" i="5"/>
  <c r="E2337" i="5"/>
  <c r="D2337" i="5"/>
  <c r="C2337" i="5"/>
  <c r="B2337" i="5"/>
  <c r="A2337" i="5"/>
  <c r="F2336" i="5"/>
  <c r="E2336" i="5"/>
  <c r="D2336" i="5"/>
  <c r="C2336" i="5"/>
  <c r="B2336" i="5"/>
  <c r="A2336" i="5"/>
  <c r="F2335" i="5"/>
  <c r="E2335" i="5"/>
  <c r="D2335" i="5"/>
  <c r="C2335" i="5"/>
  <c r="B2335" i="5"/>
  <c r="A2335" i="5"/>
  <c r="F2334" i="5"/>
  <c r="E2334" i="5"/>
  <c r="D2334" i="5"/>
  <c r="C2334" i="5"/>
  <c r="B2334" i="5"/>
  <c r="A2334" i="5"/>
  <c r="F2333" i="5"/>
  <c r="E2333" i="5"/>
  <c r="D2333" i="5"/>
  <c r="C2333" i="5"/>
  <c r="B2333" i="5"/>
  <c r="A2333" i="5"/>
  <c r="F2332" i="5"/>
  <c r="E2332" i="5"/>
  <c r="D2332" i="5"/>
  <c r="C2332" i="5"/>
  <c r="B2332" i="5"/>
  <c r="A2332" i="5"/>
  <c r="F2331" i="5"/>
  <c r="E2331" i="5"/>
  <c r="D2331" i="5"/>
  <c r="C2331" i="5"/>
  <c r="B2331" i="5"/>
  <c r="A2331" i="5"/>
  <c r="F2330" i="5"/>
  <c r="E2330" i="5"/>
  <c r="D2330" i="5"/>
  <c r="C2330" i="5"/>
  <c r="B2330" i="5"/>
  <c r="A2330" i="5"/>
  <c r="F2329" i="5"/>
  <c r="E2329" i="5"/>
  <c r="D2329" i="5"/>
  <c r="C2329" i="5"/>
  <c r="B2329" i="5"/>
  <c r="A2329" i="5"/>
  <c r="F2328" i="5"/>
  <c r="E2328" i="5"/>
  <c r="D2328" i="5"/>
  <c r="C2328" i="5"/>
  <c r="B2328" i="5"/>
  <c r="A2328" i="5"/>
  <c r="F2327" i="5"/>
  <c r="E2327" i="5"/>
  <c r="D2327" i="5"/>
  <c r="C2327" i="5"/>
  <c r="B2327" i="5"/>
  <c r="A2327" i="5"/>
  <c r="F2326" i="5"/>
  <c r="E2326" i="5"/>
  <c r="D2326" i="5"/>
  <c r="C2326" i="5"/>
  <c r="B2326" i="5"/>
  <c r="A2326" i="5"/>
  <c r="F2325" i="5"/>
  <c r="E2325" i="5"/>
  <c r="D2325" i="5"/>
  <c r="C2325" i="5"/>
  <c r="B2325" i="5"/>
  <c r="A2325" i="5"/>
  <c r="F2324" i="5"/>
  <c r="E2324" i="5"/>
  <c r="D2324" i="5"/>
  <c r="C2324" i="5"/>
  <c r="B2324" i="5"/>
  <c r="A2324" i="5"/>
  <c r="F2323" i="5"/>
  <c r="E2323" i="5"/>
  <c r="D2323" i="5"/>
  <c r="C2323" i="5"/>
  <c r="B2323" i="5"/>
  <c r="A2323" i="5"/>
  <c r="F2322" i="5"/>
  <c r="E2322" i="5"/>
  <c r="D2322" i="5"/>
  <c r="C2322" i="5"/>
  <c r="B2322" i="5"/>
  <c r="A2322" i="5"/>
  <c r="F2321" i="5"/>
  <c r="E2321" i="5"/>
  <c r="D2321" i="5"/>
  <c r="C2321" i="5"/>
  <c r="B2321" i="5"/>
  <c r="A2321" i="5"/>
  <c r="F2320" i="5"/>
  <c r="E2320" i="5"/>
  <c r="D2320" i="5"/>
  <c r="C2320" i="5"/>
  <c r="B2320" i="5"/>
  <c r="A2320" i="5"/>
  <c r="F2319" i="5"/>
  <c r="E2319" i="5"/>
  <c r="D2319" i="5"/>
  <c r="C2319" i="5"/>
  <c r="B2319" i="5"/>
  <c r="A2319" i="5"/>
  <c r="F2318" i="5"/>
  <c r="E2318" i="5"/>
  <c r="D2318" i="5"/>
  <c r="C2318" i="5"/>
  <c r="B2318" i="5"/>
  <c r="A2318" i="5"/>
  <c r="F2317" i="5"/>
  <c r="E2317" i="5"/>
  <c r="D2317" i="5"/>
  <c r="C2317" i="5"/>
  <c r="B2317" i="5"/>
  <c r="A2317" i="5"/>
  <c r="F2316" i="5"/>
  <c r="E2316" i="5"/>
  <c r="D2316" i="5"/>
  <c r="C2316" i="5"/>
  <c r="B2316" i="5"/>
  <c r="A2316" i="5"/>
  <c r="F2315" i="5"/>
  <c r="E2315" i="5"/>
  <c r="D2315" i="5"/>
  <c r="C2315" i="5"/>
  <c r="B2315" i="5"/>
  <c r="A2315" i="5"/>
  <c r="F2314" i="5"/>
  <c r="E2314" i="5"/>
  <c r="D2314" i="5"/>
  <c r="C2314" i="5"/>
  <c r="B2314" i="5"/>
  <c r="A2314" i="5"/>
  <c r="F2313" i="5"/>
  <c r="E2313" i="5"/>
  <c r="D2313" i="5"/>
  <c r="C2313" i="5"/>
  <c r="B2313" i="5"/>
  <c r="A2313" i="5"/>
  <c r="F2312" i="5"/>
  <c r="E2312" i="5"/>
  <c r="D2312" i="5"/>
  <c r="C2312" i="5"/>
  <c r="B2312" i="5"/>
  <c r="A2312" i="5"/>
  <c r="F2311" i="5"/>
  <c r="E2311" i="5"/>
  <c r="D2311" i="5"/>
  <c r="C2311" i="5"/>
  <c r="B2311" i="5"/>
  <c r="A2311" i="5"/>
  <c r="F2310" i="5"/>
  <c r="E2310" i="5"/>
  <c r="D2310" i="5"/>
  <c r="C2310" i="5"/>
  <c r="B2310" i="5"/>
  <c r="A2310" i="5"/>
  <c r="F2309" i="5"/>
  <c r="E2309" i="5"/>
  <c r="D2309" i="5"/>
  <c r="C2309" i="5"/>
  <c r="B2309" i="5"/>
  <c r="A2309" i="5"/>
  <c r="F2308" i="5"/>
  <c r="E2308" i="5"/>
  <c r="D2308" i="5"/>
  <c r="C2308" i="5"/>
  <c r="B2308" i="5"/>
  <c r="A2308" i="5"/>
  <c r="F2307" i="5"/>
  <c r="E2307" i="5"/>
  <c r="D2307" i="5"/>
  <c r="C2307" i="5"/>
  <c r="B2307" i="5"/>
  <c r="A2307" i="5"/>
  <c r="F2306" i="5"/>
  <c r="E2306" i="5"/>
  <c r="D2306" i="5"/>
  <c r="C2306" i="5"/>
  <c r="B2306" i="5"/>
  <c r="A2306" i="5"/>
  <c r="F2305" i="5"/>
  <c r="E2305" i="5"/>
  <c r="D2305" i="5"/>
  <c r="C2305" i="5"/>
  <c r="B2305" i="5"/>
  <c r="A2305" i="5"/>
  <c r="F2304" i="5"/>
  <c r="E2304" i="5"/>
  <c r="D2304" i="5"/>
  <c r="C2304" i="5"/>
  <c r="B2304" i="5"/>
  <c r="A2304" i="5"/>
  <c r="F2303" i="5"/>
  <c r="E2303" i="5"/>
  <c r="D2303" i="5"/>
  <c r="C2303" i="5"/>
  <c r="B2303" i="5"/>
  <c r="A2303" i="5"/>
  <c r="F2302" i="5"/>
  <c r="E2302" i="5"/>
  <c r="D2302" i="5"/>
  <c r="C2302" i="5"/>
  <c r="B2302" i="5"/>
  <c r="A2302" i="5"/>
  <c r="F2301" i="5"/>
  <c r="E2301" i="5"/>
  <c r="D2301" i="5"/>
  <c r="C2301" i="5"/>
  <c r="B2301" i="5"/>
  <c r="A2301" i="5"/>
  <c r="F2300" i="5"/>
  <c r="E2300" i="5"/>
  <c r="D2300" i="5"/>
  <c r="C2300" i="5"/>
  <c r="B2300" i="5"/>
  <c r="A2300" i="5"/>
  <c r="F2299" i="5"/>
  <c r="E2299" i="5"/>
  <c r="D2299" i="5"/>
  <c r="C2299" i="5"/>
  <c r="B2299" i="5"/>
  <c r="A2299" i="5"/>
  <c r="F2298" i="5"/>
  <c r="E2298" i="5"/>
  <c r="D2298" i="5"/>
  <c r="C2298" i="5"/>
  <c r="B2298" i="5"/>
  <c r="A2298" i="5"/>
  <c r="F2297" i="5"/>
  <c r="E2297" i="5"/>
  <c r="D2297" i="5"/>
  <c r="C2297" i="5"/>
  <c r="B2297" i="5"/>
  <c r="A2297" i="5"/>
  <c r="F2296" i="5"/>
  <c r="E2296" i="5"/>
  <c r="D2296" i="5"/>
  <c r="C2296" i="5"/>
  <c r="B2296" i="5"/>
  <c r="A2296" i="5"/>
  <c r="F2295" i="5"/>
  <c r="E2295" i="5"/>
  <c r="D2295" i="5"/>
  <c r="C2295" i="5"/>
  <c r="B2295" i="5"/>
  <c r="A2295" i="5"/>
  <c r="F2294" i="5"/>
  <c r="E2294" i="5"/>
  <c r="D2294" i="5"/>
  <c r="C2294" i="5"/>
  <c r="B2294" i="5"/>
  <c r="A2294" i="5"/>
  <c r="F2293" i="5"/>
  <c r="E2293" i="5"/>
  <c r="D2293" i="5"/>
  <c r="C2293" i="5"/>
  <c r="B2293" i="5"/>
  <c r="A2293" i="5"/>
  <c r="F2292" i="5"/>
  <c r="E2292" i="5"/>
  <c r="D2292" i="5"/>
  <c r="C2292" i="5"/>
  <c r="B2292" i="5"/>
  <c r="A2292" i="5"/>
  <c r="F2291" i="5"/>
  <c r="E2291" i="5"/>
  <c r="D2291" i="5"/>
  <c r="C2291" i="5"/>
  <c r="B2291" i="5"/>
  <c r="A2291" i="5"/>
  <c r="F2290" i="5"/>
  <c r="E2290" i="5"/>
  <c r="D2290" i="5"/>
  <c r="C2290" i="5"/>
  <c r="B2290" i="5"/>
  <c r="A2290" i="5"/>
  <c r="F2289" i="5"/>
  <c r="E2289" i="5"/>
  <c r="D2289" i="5"/>
  <c r="C2289" i="5"/>
  <c r="B2289" i="5"/>
  <c r="A2289" i="5"/>
  <c r="F2288" i="5"/>
  <c r="E2288" i="5"/>
  <c r="D2288" i="5"/>
  <c r="C2288" i="5"/>
  <c r="B2288" i="5"/>
  <c r="A2288" i="5"/>
  <c r="F2287" i="5"/>
  <c r="E2287" i="5"/>
  <c r="D2287" i="5"/>
  <c r="C2287" i="5"/>
  <c r="B2287" i="5"/>
  <c r="A2287" i="5"/>
  <c r="F2286" i="5"/>
  <c r="E2286" i="5"/>
  <c r="D2286" i="5"/>
  <c r="C2286" i="5"/>
  <c r="B2286" i="5"/>
  <c r="A2286" i="5"/>
  <c r="F2285" i="5"/>
  <c r="E2285" i="5"/>
  <c r="D2285" i="5"/>
  <c r="C2285" i="5"/>
  <c r="B2285" i="5"/>
  <c r="A2285" i="5"/>
  <c r="F2284" i="5"/>
  <c r="E2284" i="5"/>
  <c r="D2284" i="5"/>
  <c r="C2284" i="5"/>
  <c r="B2284" i="5"/>
  <c r="A2284" i="5"/>
  <c r="F2283" i="5"/>
  <c r="E2283" i="5"/>
  <c r="D2283" i="5"/>
  <c r="C2283" i="5"/>
  <c r="B2283" i="5"/>
  <c r="A2283" i="5"/>
  <c r="F2282" i="5"/>
  <c r="E2282" i="5"/>
  <c r="D2282" i="5"/>
  <c r="C2282" i="5"/>
  <c r="B2282" i="5"/>
  <c r="A2282" i="5"/>
  <c r="F2281" i="5"/>
  <c r="E2281" i="5"/>
  <c r="D2281" i="5"/>
  <c r="C2281" i="5"/>
  <c r="B2281" i="5"/>
  <c r="A2281" i="5"/>
  <c r="F2280" i="5"/>
  <c r="E2280" i="5"/>
  <c r="D2280" i="5"/>
  <c r="C2280" i="5"/>
  <c r="B2280" i="5"/>
  <c r="A2280" i="5"/>
  <c r="F2279" i="5"/>
  <c r="E2279" i="5"/>
  <c r="D2279" i="5"/>
  <c r="C2279" i="5"/>
  <c r="B2279" i="5"/>
  <c r="A2279" i="5"/>
  <c r="F2278" i="5"/>
  <c r="E2278" i="5"/>
  <c r="D2278" i="5"/>
  <c r="C2278" i="5"/>
  <c r="B2278" i="5"/>
  <c r="A2278" i="5"/>
  <c r="F2277" i="5"/>
  <c r="E2277" i="5"/>
  <c r="D2277" i="5"/>
  <c r="C2277" i="5"/>
  <c r="B2277" i="5"/>
  <c r="A2277" i="5"/>
  <c r="F2276" i="5"/>
  <c r="E2276" i="5"/>
  <c r="D2276" i="5"/>
  <c r="C2276" i="5"/>
  <c r="B2276" i="5"/>
  <c r="A2276" i="5"/>
  <c r="F2275" i="5"/>
  <c r="E2275" i="5"/>
  <c r="D2275" i="5"/>
  <c r="C2275" i="5"/>
  <c r="B2275" i="5"/>
  <c r="A2275" i="5"/>
  <c r="F2274" i="5"/>
  <c r="E2274" i="5"/>
  <c r="D2274" i="5"/>
  <c r="C2274" i="5"/>
  <c r="B2274" i="5"/>
  <c r="A2274" i="5"/>
  <c r="F2273" i="5"/>
  <c r="E2273" i="5"/>
  <c r="D2273" i="5"/>
  <c r="C2273" i="5"/>
  <c r="B2273" i="5"/>
  <c r="A2273" i="5"/>
  <c r="F2272" i="5"/>
  <c r="E2272" i="5"/>
  <c r="D2272" i="5"/>
  <c r="C2272" i="5"/>
  <c r="B2272" i="5"/>
  <c r="A2272" i="5"/>
  <c r="F2271" i="5"/>
  <c r="E2271" i="5"/>
  <c r="D2271" i="5"/>
  <c r="C2271" i="5"/>
  <c r="B2271" i="5"/>
  <c r="A2271" i="5"/>
  <c r="F2270" i="5"/>
  <c r="E2270" i="5"/>
  <c r="D2270" i="5"/>
  <c r="C2270" i="5"/>
  <c r="B2270" i="5"/>
  <c r="A2270" i="5"/>
  <c r="F2269" i="5"/>
  <c r="E2269" i="5"/>
  <c r="D2269" i="5"/>
  <c r="C2269" i="5"/>
  <c r="B2269" i="5"/>
  <c r="A2269" i="5"/>
  <c r="F2268" i="5"/>
  <c r="E2268" i="5"/>
  <c r="D2268" i="5"/>
  <c r="C2268" i="5"/>
  <c r="B2268" i="5"/>
  <c r="A2268" i="5"/>
  <c r="F2267" i="5"/>
  <c r="E2267" i="5"/>
  <c r="D2267" i="5"/>
  <c r="C2267" i="5"/>
  <c r="B2267" i="5"/>
  <c r="A2267" i="5"/>
  <c r="F2266" i="5"/>
  <c r="E2266" i="5"/>
  <c r="D2266" i="5"/>
  <c r="C2266" i="5"/>
  <c r="B2266" i="5"/>
  <c r="A2266" i="5"/>
  <c r="F2265" i="5"/>
  <c r="E2265" i="5"/>
  <c r="D2265" i="5"/>
  <c r="C2265" i="5"/>
  <c r="B2265" i="5"/>
  <c r="A2265" i="5"/>
  <c r="F2264" i="5"/>
  <c r="E2264" i="5"/>
  <c r="D2264" i="5"/>
  <c r="C2264" i="5"/>
  <c r="B2264" i="5"/>
  <c r="A2264" i="5"/>
  <c r="F2263" i="5"/>
  <c r="E2263" i="5"/>
  <c r="D2263" i="5"/>
  <c r="C2263" i="5"/>
  <c r="B2263" i="5"/>
  <c r="A2263" i="5"/>
  <c r="F2262" i="5"/>
  <c r="E2262" i="5"/>
  <c r="D2262" i="5"/>
  <c r="C2262" i="5"/>
  <c r="B2262" i="5"/>
  <c r="A2262" i="5"/>
  <c r="F2261" i="5"/>
  <c r="E2261" i="5"/>
  <c r="D2261" i="5"/>
  <c r="C2261" i="5"/>
  <c r="B2261" i="5"/>
  <c r="A2261" i="5"/>
  <c r="F2260" i="5"/>
  <c r="E2260" i="5"/>
  <c r="D2260" i="5"/>
  <c r="C2260" i="5"/>
  <c r="B2260" i="5"/>
  <c r="A2260" i="5"/>
  <c r="F2259" i="5"/>
  <c r="E2259" i="5"/>
  <c r="D2259" i="5"/>
  <c r="C2259" i="5"/>
  <c r="B2259" i="5"/>
  <c r="A2259" i="5"/>
  <c r="F2258" i="5"/>
  <c r="E2258" i="5"/>
  <c r="D2258" i="5"/>
  <c r="C2258" i="5"/>
  <c r="B2258" i="5"/>
  <c r="A2258" i="5"/>
  <c r="F2257" i="5"/>
  <c r="E2257" i="5"/>
  <c r="D2257" i="5"/>
  <c r="C2257" i="5"/>
  <c r="B2257" i="5"/>
  <c r="A2257" i="5"/>
  <c r="F2256" i="5"/>
  <c r="E2256" i="5"/>
  <c r="D2256" i="5"/>
  <c r="C2256" i="5"/>
  <c r="B2256" i="5"/>
  <c r="A2256" i="5"/>
  <c r="F2255" i="5"/>
  <c r="E2255" i="5"/>
  <c r="D2255" i="5"/>
  <c r="C2255" i="5"/>
  <c r="B2255" i="5"/>
  <c r="A2255" i="5"/>
  <c r="F2254" i="5"/>
  <c r="E2254" i="5"/>
  <c r="D2254" i="5"/>
  <c r="C2254" i="5"/>
  <c r="B2254" i="5"/>
  <c r="A2254" i="5"/>
  <c r="F2253" i="5"/>
  <c r="E2253" i="5"/>
  <c r="D2253" i="5"/>
  <c r="C2253" i="5"/>
  <c r="B2253" i="5"/>
  <c r="A2253" i="5"/>
  <c r="F2252" i="5"/>
  <c r="E2252" i="5"/>
  <c r="D2252" i="5"/>
  <c r="C2252" i="5"/>
  <c r="B2252" i="5"/>
  <c r="A2252" i="5"/>
  <c r="F2251" i="5"/>
  <c r="E2251" i="5"/>
  <c r="D2251" i="5"/>
  <c r="C2251" i="5"/>
  <c r="B2251" i="5"/>
  <c r="A2251" i="5"/>
  <c r="F2250" i="5"/>
  <c r="E2250" i="5"/>
  <c r="D2250" i="5"/>
  <c r="C2250" i="5"/>
  <c r="B2250" i="5"/>
  <c r="A2250" i="5"/>
  <c r="F2249" i="5"/>
  <c r="E2249" i="5"/>
  <c r="D2249" i="5"/>
  <c r="C2249" i="5"/>
  <c r="B2249" i="5"/>
  <c r="A2249" i="5"/>
  <c r="F2248" i="5"/>
  <c r="E2248" i="5"/>
  <c r="D2248" i="5"/>
  <c r="C2248" i="5"/>
  <c r="B2248" i="5"/>
  <c r="A2248" i="5"/>
  <c r="F2247" i="5"/>
  <c r="E2247" i="5"/>
  <c r="D2247" i="5"/>
  <c r="C2247" i="5"/>
  <c r="B2247" i="5"/>
  <c r="A2247" i="5"/>
  <c r="F2246" i="5"/>
  <c r="E2246" i="5"/>
  <c r="D2246" i="5"/>
  <c r="C2246" i="5"/>
  <c r="B2246" i="5"/>
  <c r="A2246" i="5"/>
  <c r="F2245" i="5"/>
  <c r="E2245" i="5"/>
  <c r="D2245" i="5"/>
  <c r="C2245" i="5"/>
  <c r="B2245" i="5"/>
  <c r="A2245" i="5"/>
  <c r="F2244" i="5"/>
  <c r="E2244" i="5"/>
  <c r="D2244" i="5"/>
  <c r="C2244" i="5"/>
  <c r="B2244" i="5"/>
  <c r="A2244" i="5"/>
  <c r="F2243" i="5"/>
  <c r="E2243" i="5"/>
  <c r="D2243" i="5"/>
  <c r="C2243" i="5"/>
  <c r="B2243" i="5"/>
  <c r="A2243" i="5"/>
  <c r="F2242" i="5"/>
  <c r="E2242" i="5"/>
  <c r="D2242" i="5"/>
  <c r="C2242" i="5"/>
  <c r="B2242" i="5"/>
  <c r="A2242" i="5"/>
  <c r="F2241" i="5"/>
  <c r="E2241" i="5"/>
  <c r="D2241" i="5"/>
  <c r="C2241" i="5"/>
  <c r="B2241" i="5"/>
  <c r="A2241" i="5"/>
  <c r="F2240" i="5"/>
  <c r="E2240" i="5"/>
  <c r="D2240" i="5"/>
  <c r="C2240" i="5"/>
  <c r="B2240" i="5"/>
  <c r="A2240" i="5"/>
  <c r="F2239" i="5"/>
  <c r="E2239" i="5"/>
  <c r="D2239" i="5"/>
  <c r="C2239" i="5"/>
  <c r="B2239" i="5"/>
  <c r="A2239" i="5"/>
  <c r="F2238" i="5"/>
  <c r="E2238" i="5"/>
  <c r="D2238" i="5"/>
  <c r="C2238" i="5"/>
  <c r="B2238" i="5"/>
  <c r="A2238" i="5"/>
  <c r="F2237" i="5"/>
  <c r="E2237" i="5"/>
  <c r="D2237" i="5"/>
  <c r="C2237" i="5"/>
  <c r="B2237" i="5"/>
  <c r="A2237" i="5"/>
  <c r="F2236" i="5"/>
  <c r="E2236" i="5"/>
  <c r="D2236" i="5"/>
  <c r="C2236" i="5"/>
  <c r="B2236" i="5"/>
  <c r="A2236" i="5"/>
  <c r="F2235" i="5"/>
  <c r="E2235" i="5"/>
  <c r="D2235" i="5"/>
  <c r="C2235" i="5"/>
  <c r="B2235" i="5"/>
  <c r="A2235" i="5"/>
  <c r="F2234" i="5"/>
  <c r="E2234" i="5"/>
  <c r="D2234" i="5"/>
  <c r="C2234" i="5"/>
  <c r="B2234" i="5"/>
  <c r="A2234" i="5"/>
  <c r="F2233" i="5"/>
  <c r="E2233" i="5"/>
  <c r="D2233" i="5"/>
  <c r="C2233" i="5"/>
  <c r="B2233" i="5"/>
  <c r="A2233" i="5"/>
  <c r="F2232" i="5"/>
  <c r="E2232" i="5"/>
  <c r="D2232" i="5"/>
  <c r="C2232" i="5"/>
  <c r="B2232" i="5"/>
  <c r="A2232" i="5"/>
  <c r="F2231" i="5"/>
  <c r="E2231" i="5"/>
  <c r="D2231" i="5"/>
  <c r="C2231" i="5"/>
  <c r="B2231" i="5"/>
  <c r="A2231" i="5"/>
  <c r="F2230" i="5"/>
  <c r="E2230" i="5"/>
  <c r="D2230" i="5"/>
  <c r="C2230" i="5"/>
  <c r="B2230" i="5"/>
  <c r="A2230" i="5"/>
  <c r="F2229" i="5"/>
  <c r="E2229" i="5"/>
  <c r="D2229" i="5"/>
  <c r="C2229" i="5"/>
  <c r="B2229" i="5"/>
  <c r="A2229" i="5"/>
  <c r="F2228" i="5"/>
  <c r="E2228" i="5"/>
  <c r="D2228" i="5"/>
  <c r="C2228" i="5"/>
  <c r="B2228" i="5"/>
  <c r="A2228" i="5"/>
  <c r="F2227" i="5"/>
  <c r="E2227" i="5"/>
  <c r="D2227" i="5"/>
  <c r="C2227" i="5"/>
  <c r="B2227" i="5"/>
  <c r="A2227" i="5"/>
  <c r="F2226" i="5"/>
  <c r="E2226" i="5"/>
  <c r="D2226" i="5"/>
  <c r="C2226" i="5"/>
  <c r="B2226" i="5"/>
  <c r="A2226" i="5"/>
  <c r="F2225" i="5"/>
  <c r="E2225" i="5"/>
  <c r="D2225" i="5"/>
  <c r="C2225" i="5"/>
  <c r="B2225" i="5"/>
  <c r="A2225" i="5"/>
  <c r="F2224" i="5"/>
  <c r="E2224" i="5"/>
  <c r="D2224" i="5"/>
  <c r="C2224" i="5"/>
  <c r="B2224" i="5"/>
  <c r="A2224" i="5"/>
  <c r="F2223" i="5"/>
  <c r="E2223" i="5"/>
  <c r="D2223" i="5"/>
  <c r="C2223" i="5"/>
  <c r="B2223" i="5"/>
  <c r="A2223" i="5"/>
  <c r="F2222" i="5"/>
  <c r="E2222" i="5"/>
  <c r="D2222" i="5"/>
  <c r="C2222" i="5"/>
  <c r="B2222" i="5"/>
  <c r="A2222" i="5"/>
  <c r="F2221" i="5"/>
  <c r="E2221" i="5"/>
  <c r="D2221" i="5"/>
  <c r="C2221" i="5"/>
  <c r="B2221" i="5"/>
  <c r="A2221" i="5"/>
  <c r="F2220" i="5"/>
  <c r="E2220" i="5"/>
  <c r="D2220" i="5"/>
  <c r="C2220" i="5"/>
  <c r="B2220" i="5"/>
  <c r="A2220" i="5"/>
  <c r="F2219" i="5"/>
  <c r="E2219" i="5"/>
  <c r="D2219" i="5"/>
  <c r="C2219" i="5"/>
  <c r="B2219" i="5"/>
  <c r="A2219" i="5"/>
  <c r="F2218" i="5"/>
  <c r="E2218" i="5"/>
  <c r="D2218" i="5"/>
  <c r="C2218" i="5"/>
  <c r="B2218" i="5"/>
  <c r="A2218" i="5"/>
  <c r="F2217" i="5"/>
  <c r="E2217" i="5"/>
  <c r="D2217" i="5"/>
  <c r="C2217" i="5"/>
  <c r="B2217" i="5"/>
  <c r="A2217" i="5"/>
  <c r="F2216" i="5"/>
  <c r="E2216" i="5"/>
  <c r="D2216" i="5"/>
  <c r="C2216" i="5"/>
  <c r="B2216" i="5"/>
  <c r="A2216" i="5"/>
  <c r="F2215" i="5"/>
  <c r="E2215" i="5"/>
  <c r="D2215" i="5"/>
  <c r="C2215" i="5"/>
  <c r="B2215" i="5"/>
  <c r="A2215" i="5"/>
  <c r="F2214" i="5"/>
  <c r="E2214" i="5"/>
  <c r="D2214" i="5"/>
  <c r="C2214" i="5"/>
  <c r="B2214" i="5"/>
  <c r="A2214" i="5"/>
  <c r="F2213" i="5"/>
  <c r="E2213" i="5"/>
  <c r="D2213" i="5"/>
  <c r="C2213" i="5"/>
  <c r="B2213" i="5"/>
  <c r="A2213" i="5"/>
  <c r="F2212" i="5"/>
  <c r="E2212" i="5"/>
  <c r="D2212" i="5"/>
  <c r="C2212" i="5"/>
  <c r="B2212" i="5"/>
  <c r="A2212" i="5"/>
  <c r="F2211" i="5"/>
  <c r="E2211" i="5"/>
  <c r="D2211" i="5"/>
  <c r="C2211" i="5"/>
  <c r="B2211" i="5"/>
  <c r="A2211" i="5"/>
  <c r="F2210" i="5"/>
  <c r="E2210" i="5"/>
  <c r="D2210" i="5"/>
  <c r="C2210" i="5"/>
  <c r="B2210" i="5"/>
  <c r="A2210" i="5"/>
  <c r="F2209" i="5"/>
  <c r="E2209" i="5"/>
  <c r="D2209" i="5"/>
  <c r="C2209" i="5"/>
  <c r="B2209" i="5"/>
  <c r="A2209" i="5"/>
  <c r="F2208" i="5"/>
  <c r="E2208" i="5"/>
  <c r="D2208" i="5"/>
  <c r="C2208" i="5"/>
  <c r="B2208" i="5"/>
  <c r="A2208" i="5"/>
  <c r="F2207" i="5"/>
  <c r="E2207" i="5"/>
  <c r="D2207" i="5"/>
  <c r="C2207" i="5"/>
  <c r="B2207" i="5"/>
  <c r="A2207" i="5"/>
  <c r="F2206" i="5"/>
  <c r="E2206" i="5"/>
  <c r="D2206" i="5"/>
  <c r="C2206" i="5"/>
  <c r="B2206" i="5"/>
  <c r="A2206" i="5"/>
  <c r="F2205" i="5"/>
  <c r="E2205" i="5"/>
  <c r="D2205" i="5"/>
  <c r="C2205" i="5"/>
  <c r="B2205" i="5"/>
  <c r="A2205" i="5"/>
  <c r="F2204" i="5"/>
  <c r="E2204" i="5"/>
  <c r="D2204" i="5"/>
  <c r="C2204" i="5"/>
  <c r="B2204" i="5"/>
  <c r="A2204" i="5"/>
  <c r="F2203" i="5"/>
  <c r="E2203" i="5"/>
  <c r="D2203" i="5"/>
  <c r="C2203" i="5"/>
  <c r="B2203" i="5"/>
  <c r="A2203" i="5"/>
  <c r="F2202" i="5"/>
  <c r="E2202" i="5"/>
  <c r="D2202" i="5"/>
  <c r="C2202" i="5"/>
  <c r="B2202" i="5"/>
  <c r="A2202" i="5"/>
  <c r="F2201" i="5"/>
  <c r="E2201" i="5"/>
  <c r="D2201" i="5"/>
  <c r="C2201" i="5"/>
  <c r="B2201" i="5"/>
  <c r="A2201" i="5"/>
  <c r="F2200" i="5"/>
  <c r="E2200" i="5"/>
  <c r="D2200" i="5"/>
  <c r="C2200" i="5"/>
  <c r="B2200" i="5"/>
  <c r="A2200" i="5"/>
  <c r="F2199" i="5"/>
  <c r="E2199" i="5"/>
  <c r="D2199" i="5"/>
  <c r="C2199" i="5"/>
  <c r="B2199" i="5"/>
  <c r="A2199" i="5"/>
  <c r="F2198" i="5"/>
  <c r="E2198" i="5"/>
  <c r="D2198" i="5"/>
  <c r="C2198" i="5"/>
  <c r="B2198" i="5"/>
  <c r="A2198" i="5"/>
  <c r="F2197" i="5"/>
  <c r="E2197" i="5"/>
  <c r="D2197" i="5"/>
  <c r="C2197" i="5"/>
  <c r="B2197" i="5"/>
  <c r="A2197" i="5"/>
  <c r="F2196" i="5"/>
  <c r="E2196" i="5"/>
  <c r="D2196" i="5"/>
  <c r="C2196" i="5"/>
  <c r="B2196" i="5"/>
  <c r="A2196" i="5"/>
  <c r="F2195" i="5"/>
  <c r="E2195" i="5"/>
  <c r="D2195" i="5"/>
  <c r="C2195" i="5"/>
  <c r="B2195" i="5"/>
  <c r="A2195" i="5"/>
  <c r="F2194" i="5"/>
  <c r="E2194" i="5"/>
  <c r="D2194" i="5"/>
  <c r="C2194" i="5"/>
  <c r="B2194" i="5"/>
  <c r="A2194" i="5"/>
  <c r="F2193" i="5"/>
  <c r="E2193" i="5"/>
  <c r="D2193" i="5"/>
  <c r="C2193" i="5"/>
  <c r="B2193" i="5"/>
  <c r="A2193" i="5"/>
  <c r="F2192" i="5"/>
  <c r="E2192" i="5"/>
  <c r="D2192" i="5"/>
  <c r="C2192" i="5"/>
  <c r="B2192" i="5"/>
  <c r="A2192" i="5"/>
  <c r="F2191" i="5"/>
  <c r="E2191" i="5"/>
  <c r="D2191" i="5"/>
  <c r="C2191" i="5"/>
  <c r="B2191" i="5"/>
  <c r="A2191" i="5"/>
  <c r="F2190" i="5"/>
  <c r="E2190" i="5"/>
  <c r="D2190" i="5"/>
  <c r="C2190" i="5"/>
  <c r="B2190" i="5"/>
  <c r="A2190" i="5"/>
  <c r="F2189" i="5"/>
  <c r="E2189" i="5"/>
  <c r="D2189" i="5"/>
  <c r="C2189" i="5"/>
  <c r="B2189" i="5"/>
  <c r="A2189" i="5"/>
  <c r="F2188" i="5"/>
  <c r="E2188" i="5"/>
  <c r="D2188" i="5"/>
  <c r="C2188" i="5"/>
  <c r="B2188" i="5"/>
  <c r="A2188" i="5"/>
  <c r="F2187" i="5"/>
  <c r="E2187" i="5"/>
  <c r="D2187" i="5"/>
  <c r="C2187" i="5"/>
  <c r="B2187" i="5"/>
  <c r="A2187" i="5"/>
  <c r="F2186" i="5"/>
  <c r="E2186" i="5"/>
  <c r="D2186" i="5"/>
  <c r="C2186" i="5"/>
  <c r="B2186" i="5"/>
  <c r="A2186" i="5"/>
  <c r="F2185" i="5"/>
  <c r="E2185" i="5"/>
  <c r="D2185" i="5"/>
  <c r="C2185" i="5"/>
  <c r="B2185" i="5"/>
  <c r="A2185" i="5"/>
  <c r="F2184" i="5"/>
  <c r="E2184" i="5"/>
  <c r="D2184" i="5"/>
  <c r="C2184" i="5"/>
  <c r="B2184" i="5"/>
  <c r="A2184" i="5"/>
  <c r="F2183" i="5"/>
  <c r="E2183" i="5"/>
  <c r="D2183" i="5"/>
  <c r="C2183" i="5"/>
  <c r="B2183" i="5"/>
  <c r="A2183" i="5"/>
  <c r="F2182" i="5"/>
  <c r="E2182" i="5"/>
  <c r="D2182" i="5"/>
  <c r="C2182" i="5"/>
  <c r="B2182" i="5"/>
  <c r="A2182" i="5"/>
  <c r="F2181" i="5"/>
  <c r="E2181" i="5"/>
  <c r="D2181" i="5"/>
  <c r="C2181" i="5"/>
  <c r="B2181" i="5"/>
  <c r="A2181" i="5"/>
  <c r="F2180" i="5"/>
  <c r="E2180" i="5"/>
  <c r="D2180" i="5"/>
  <c r="C2180" i="5"/>
  <c r="B2180" i="5"/>
  <c r="A2180" i="5"/>
  <c r="F2179" i="5"/>
  <c r="E2179" i="5"/>
  <c r="D2179" i="5"/>
  <c r="C2179" i="5"/>
  <c r="B2179" i="5"/>
  <c r="A2179" i="5"/>
  <c r="F2178" i="5"/>
  <c r="E2178" i="5"/>
  <c r="D2178" i="5"/>
  <c r="C2178" i="5"/>
  <c r="B2178" i="5"/>
  <c r="A2178" i="5"/>
  <c r="F2177" i="5"/>
  <c r="E2177" i="5"/>
  <c r="D2177" i="5"/>
  <c r="C2177" i="5"/>
  <c r="B2177" i="5"/>
  <c r="A2177" i="5"/>
  <c r="F2176" i="5"/>
  <c r="E2176" i="5"/>
  <c r="D2176" i="5"/>
  <c r="C2176" i="5"/>
  <c r="B2176" i="5"/>
  <c r="A2176" i="5"/>
  <c r="F2175" i="5"/>
  <c r="E2175" i="5"/>
  <c r="D2175" i="5"/>
  <c r="C2175" i="5"/>
  <c r="B2175" i="5"/>
  <c r="A2175" i="5"/>
  <c r="F2174" i="5"/>
  <c r="E2174" i="5"/>
  <c r="D2174" i="5"/>
  <c r="C2174" i="5"/>
  <c r="B2174" i="5"/>
  <c r="A2174" i="5"/>
  <c r="F2173" i="5"/>
  <c r="E2173" i="5"/>
  <c r="D2173" i="5"/>
  <c r="C2173" i="5"/>
  <c r="B2173" i="5"/>
  <c r="A2173" i="5"/>
  <c r="F2172" i="5"/>
  <c r="E2172" i="5"/>
  <c r="D2172" i="5"/>
  <c r="C2172" i="5"/>
  <c r="B2172" i="5"/>
  <c r="A2172" i="5"/>
  <c r="F2171" i="5"/>
  <c r="E2171" i="5"/>
  <c r="D2171" i="5"/>
  <c r="C2171" i="5"/>
  <c r="B2171" i="5"/>
  <c r="A2171" i="5"/>
  <c r="F2170" i="5"/>
  <c r="E2170" i="5"/>
  <c r="D2170" i="5"/>
  <c r="C2170" i="5"/>
  <c r="B2170" i="5"/>
  <c r="A2170" i="5"/>
  <c r="F2169" i="5"/>
  <c r="E2169" i="5"/>
  <c r="D2169" i="5"/>
  <c r="C2169" i="5"/>
  <c r="B2169" i="5"/>
  <c r="A2169" i="5"/>
  <c r="F2168" i="5"/>
  <c r="E2168" i="5"/>
  <c r="D2168" i="5"/>
  <c r="C2168" i="5"/>
  <c r="B2168" i="5"/>
  <c r="A2168" i="5"/>
  <c r="F2167" i="5"/>
  <c r="E2167" i="5"/>
  <c r="D2167" i="5"/>
  <c r="C2167" i="5"/>
  <c r="B2167" i="5"/>
  <c r="A2167" i="5"/>
  <c r="F2166" i="5"/>
  <c r="E2166" i="5"/>
  <c r="D2166" i="5"/>
  <c r="C2166" i="5"/>
  <c r="B2166" i="5"/>
  <c r="A2166" i="5"/>
  <c r="F2165" i="5"/>
  <c r="E2165" i="5"/>
  <c r="D2165" i="5"/>
  <c r="C2165" i="5"/>
  <c r="B2165" i="5"/>
  <c r="A2165" i="5"/>
  <c r="F2164" i="5"/>
  <c r="E2164" i="5"/>
  <c r="D2164" i="5"/>
  <c r="C2164" i="5"/>
  <c r="B2164" i="5"/>
  <c r="A2164" i="5"/>
  <c r="F2163" i="5"/>
  <c r="E2163" i="5"/>
  <c r="D2163" i="5"/>
  <c r="C2163" i="5"/>
  <c r="B2163" i="5"/>
  <c r="A2163" i="5"/>
  <c r="F2162" i="5"/>
  <c r="E2162" i="5"/>
  <c r="D2162" i="5"/>
  <c r="C2162" i="5"/>
  <c r="B2162" i="5"/>
  <c r="A2162" i="5"/>
  <c r="F2161" i="5"/>
  <c r="E2161" i="5"/>
  <c r="D2161" i="5"/>
  <c r="C2161" i="5"/>
  <c r="B2161" i="5"/>
  <c r="A2161" i="5"/>
  <c r="F2160" i="5"/>
  <c r="E2160" i="5"/>
  <c r="D2160" i="5"/>
  <c r="C2160" i="5"/>
  <c r="B2160" i="5"/>
  <c r="A2160" i="5"/>
  <c r="F2159" i="5"/>
  <c r="E2159" i="5"/>
  <c r="D2159" i="5"/>
  <c r="C2159" i="5"/>
  <c r="B2159" i="5"/>
  <c r="A2159" i="5"/>
  <c r="F2158" i="5"/>
  <c r="E2158" i="5"/>
  <c r="D2158" i="5"/>
  <c r="C2158" i="5"/>
  <c r="B2158" i="5"/>
  <c r="A2158" i="5"/>
  <c r="F2157" i="5"/>
  <c r="E2157" i="5"/>
  <c r="D2157" i="5"/>
  <c r="C2157" i="5"/>
  <c r="B2157" i="5"/>
  <c r="A2157" i="5"/>
  <c r="F2156" i="5"/>
  <c r="E2156" i="5"/>
  <c r="D2156" i="5"/>
  <c r="C2156" i="5"/>
  <c r="B2156" i="5"/>
  <c r="A2156" i="5"/>
  <c r="F2155" i="5"/>
  <c r="E2155" i="5"/>
  <c r="D2155" i="5"/>
  <c r="C2155" i="5"/>
  <c r="B2155" i="5"/>
  <c r="A2155" i="5"/>
  <c r="F2154" i="5"/>
  <c r="E2154" i="5"/>
  <c r="D2154" i="5"/>
  <c r="C2154" i="5"/>
  <c r="B2154" i="5"/>
  <c r="A2154" i="5"/>
  <c r="F2153" i="5"/>
  <c r="E2153" i="5"/>
  <c r="D2153" i="5"/>
  <c r="C2153" i="5"/>
  <c r="B2153" i="5"/>
  <c r="A2153" i="5"/>
  <c r="F2152" i="5"/>
  <c r="E2152" i="5"/>
  <c r="D2152" i="5"/>
  <c r="C2152" i="5"/>
  <c r="B2152" i="5"/>
  <c r="A2152" i="5"/>
  <c r="F2151" i="5"/>
  <c r="E2151" i="5"/>
  <c r="D2151" i="5"/>
  <c r="C2151" i="5"/>
  <c r="B2151" i="5"/>
  <c r="A2151" i="5"/>
  <c r="F2150" i="5"/>
  <c r="E2150" i="5"/>
  <c r="D2150" i="5"/>
  <c r="C2150" i="5"/>
  <c r="B2150" i="5"/>
  <c r="A2150" i="5"/>
  <c r="F2149" i="5"/>
  <c r="E2149" i="5"/>
  <c r="D2149" i="5"/>
  <c r="C2149" i="5"/>
  <c r="B2149" i="5"/>
  <c r="A2149" i="5"/>
  <c r="F2148" i="5"/>
  <c r="E2148" i="5"/>
  <c r="D2148" i="5"/>
  <c r="C2148" i="5"/>
  <c r="B2148" i="5"/>
  <c r="A2148" i="5"/>
  <c r="F2147" i="5"/>
  <c r="E2147" i="5"/>
  <c r="D2147" i="5"/>
  <c r="C2147" i="5"/>
  <c r="B2147" i="5"/>
  <c r="A2147" i="5"/>
  <c r="F2146" i="5"/>
  <c r="E2146" i="5"/>
  <c r="D2146" i="5"/>
  <c r="C2146" i="5"/>
  <c r="B2146" i="5"/>
  <c r="A2146" i="5"/>
  <c r="F2145" i="5"/>
  <c r="E2145" i="5"/>
  <c r="D2145" i="5"/>
  <c r="C2145" i="5"/>
  <c r="B2145" i="5"/>
  <c r="A2145" i="5"/>
  <c r="F2144" i="5"/>
  <c r="E2144" i="5"/>
  <c r="D2144" i="5"/>
  <c r="C2144" i="5"/>
  <c r="B2144" i="5"/>
  <c r="A2144" i="5"/>
  <c r="F2143" i="5"/>
  <c r="E2143" i="5"/>
  <c r="D2143" i="5"/>
  <c r="C2143" i="5"/>
  <c r="B2143" i="5"/>
  <c r="A2143" i="5"/>
  <c r="F2142" i="5"/>
  <c r="E2142" i="5"/>
  <c r="D2142" i="5"/>
  <c r="C2142" i="5"/>
  <c r="B2142" i="5"/>
  <c r="A2142" i="5"/>
  <c r="F2141" i="5"/>
  <c r="E2141" i="5"/>
  <c r="D2141" i="5"/>
  <c r="C2141" i="5"/>
  <c r="B2141" i="5"/>
  <c r="A2141" i="5"/>
  <c r="F2140" i="5"/>
  <c r="E2140" i="5"/>
  <c r="D2140" i="5"/>
  <c r="C2140" i="5"/>
  <c r="B2140" i="5"/>
  <c r="A2140" i="5"/>
  <c r="F2139" i="5"/>
  <c r="E2139" i="5"/>
  <c r="D2139" i="5"/>
  <c r="C2139" i="5"/>
  <c r="B2139" i="5"/>
  <c r="A2139" i="5"/>
  <c r="F2138" i="5"/>
  <c r="E2138" i="5"/>
  <c r="D2138" i="5"/>
  <c r="C2138" i="5"/>
  <c r="B2138" i="5"/>
  <c r="A2138" i="5"/>
  <c r="F2137" i="5"/>
  <c r="E2137" i="5"/>
  <c r="D2137" i="5"/>
  <c r="C2137" i="5"/>
  <c r="B2137" i="5"/>
  <c r="A2137" i="5"/>
  <c r="F2136" i="5"/>
  <c r="E2136" i="5"/>
  <c r="D2136" i="5"/>
  <c r="C2136" i="5"/>
  <c r="B2136" i="5"/>
  <c r="A2136" i="5"/>
  <c r="F2135" i="5"/>
  <c r="E2135" i="5"/>
  <c r="D2135" i="5"/>
  <c r="C2135" i="5"/>
  <c r="B2135" i="5"/>
  <c r="A2135" i="5"/>
  <c r="F2134" i="5"/>
  <c r="E2134" i="5"/>
  <c r="D2134" i="5"/>
  <c r="C2134" i="5"/>
  <c r="B2134" i="5"/>
  <c r="A2134" i="5"/>
  <c r="F2133" i="5"/>
  <c r="E2133" i="5"/>
  <c r="D2133" i="5"/>
  <c r="C2133" i="5"/>
  <c r="B2133" i="5"/>
  <c r="A2133" i="5"/>
  <c r="F2132" i="5"/>
  <c r="E2132" i="5"/>
  <c r="D2132" i="5"/>
  <c r="C2132" i="5"/>
  <c r="B2132" i="5"/>
  <c r="A2132" i="5"/>
  <c r="F2131" i="5"/>
  <c r="E2131" i="5"/>
  <c r="D2131" i="5"/>
  <c r="C2131" i="5"/>
  <c r="B2131" i="5"/>
  <c r="A2131" i="5"/>
  <c r="F2130" i="5"/>
  <c r="E2130" i="5"/>
  <c r="D2130" i="5"/>
  <c r="C2130" i="5"/>
  <c r="B2130" i="5"/>
  <c r="A2130" i="5"/>
  <c r="F2129" i="5"/>
  <c r="E2129" i="5"/>
  <c r="D2129" i="5"/>
  <c r="C2129" i="5"/>
  <c r="B2129" i="5"/>
  <c r="A2129" i="5"/>
  <c r="F2128" i="5"/>
  <c r="E2128" i="5"/>
  <c r="D2128" i="5"/>
  <c r="C2128" i="5"/>
  <c r="B2128" i="5"/>
  <c r="A2128" i="5"/>
  <c r="F2127" i="5"/>
  <c r="E2127" i="5"/>
  <c r="D2127" i="5"/>
  <c r="C2127" i="5"/>
  <c r="B2127" i="5"/>
  <c r="A2127" i="5"/>
  <c r="F2126" i="5"/>
  <c r="E2126" i="5"/>
  <c r="D2126" i="5"/>
  <c r="C2126" i="5"/>
  <c r="B2126" i="5"/>
  <c r="A2126" i="5"/>
  <c r="F2125" i="5"/>
  <c r="E2125" i="5"/>
  <c r="D2125" i="5"/>
  <c r="C2125" i="5"/>
  <c r="B2125" i="5"/>
  <c r="A2125" i="5"/>
  <c r="F2124" i="5"/>
  <c r="E2124" i="5"/>
  <c r="D2124" i="5"/>
  <c r="C2124" i="5"/>
  <c r="B2124" i="5"/>
  <c r="A2124" i="5"/>
  <c r="F2123" i="5"/>
  <c r="E2123" i="5"/>
  <c r="D2123" i="5"/>
  <c r="C2123" i="5"/>
  <c r="B2123" i="5"/>
  <c r="A2123" i="5"/>
  <c r="F2122" i="5"/>
  <c r="E2122" i="5"/>
  <c r="D2122" i="5"/>
  <c r="C2122" i="5"/>
  <c r="B2122" i="5"/>
  <c r="A2122" i="5"/>
  <c r="F2121" i="5"/>
  <c r="E2121" i="5"/>
  <c r="D2121" i="5"/>
  <c r="C2121" i="5"/>
  <c r="B2121" i="5"/>
  <c r="A2121" i="5"/>
  <c r="F2120" i="5"/>
  <c r="E2120" i="5"/>
  <c r="D2120" i="5"/>
  <c r="C2120" i="5"/>
  <c r="B2120" i="5"/>
  <c r="A2120" i="5"/>
  <c r="F2119" i="5"/>
  <c r="E2119" i="5"/>
  <c r="D2119" i="5"/>
  <c r="C2119" i="5"/>
  <c r="B2119" i="5"/>
  <c r="A2119" i="5"/>
  <c r="F2118" i="5"/>
  <c r="E2118" i="5"/>
  <c r="D2118" i="5"/>
  <c r="C2118" i="5"/>
  <c r="B2118" i="5"/>
  <c r="A2118" i="5"/>
  <c r="F2117" i="5"/>
  <c r="E2117" i="5"/>
  <c r="D2117" i="5"/>
  <c r="C2117" i="5"/>
  <c r="B2117" i="5"/>
  <c r="A2117" i="5"/>
  <c r="F2116" i="5"/>
  <c r="E2116" i="5"/>
  <c r="D2116" i="5"/>
  <c r="C2116" i="5"/>
  <c r="B2116" i="5"/>
  <c r="A2116" i="5"/>
  <c r="F2115" i="5"/>
  <c r="E2115" i="5"/>
  <c r="D2115" i="5"/>
  <c r="C2115" i="5"/>
  <c r="B2115" i="5"/>
  <c r="A2115" i="5"/>
  <c r="F2114" i="5"/>
  <c r="E2114" i="5"/>
  <c r="D2114" i="5"/>
  <c r="C2114" i="5"/>
  <c r="B2114" i="5"/>
  <c r="A2114" i="5"/>
  <c r="F2113" i="5"/>
  <c r="E2113" i="5"/>
  <c r="D2113" i="5"/>
  <c r="C2113" i="5"/>
  <c r="B2113" i="5"/>
  <c r="A2113" i="5"/>
  <c r="F2112" i="5"/>
  <c r="E2112" i="5"/>
  <c r="D2112" i="5"/>
  <c r="C2112" i="5"/>
  <c r="B2112" i="5"/>
  <c r="A2112" i="5"/>
  <c r="F2111" i="5"/>
  <c r="E2111" i="5"/>
  <c r="D2111" i="5"/>
  <c r="C2111" i="5"/>
  <c r="B2111" i="5"/>
  <c r="A2111" i="5"/>
  <c r="F2110" i="5"/>
  <c r="E2110" i="5"/>
  <c r="D2110" i="5"/>
  <c r="C2110" i="5"/>
  <c r="B2110" i="5"/>
  <c r="A2110" i="5"/>
  <c r="F2109" i="5"/>
  <c r="E2109" i="5"/>
  <c r="D2109" i="5"/>
  <c r="C2109" i="5"/>
  <c r="B2109" i="5"/>
  <c r="A2109" i="5"/>
  <c r="F2108" i="5"/>
  <c r="E2108" i="5"/>
  <c r="D2108" i="5"/>
  <c r="C2108" i="5"/>
  <c r="B2108" i="5"/>
  <c r="A2108" i="5"/>
  <c r="F2107" i="5"/>
  <c r="E2107" i="5"/>
  <c r="D2107" i="5"/>
  <c r="C2107" i="5"/>
  <c r="B2107" i="5"/>
  <c r="A2107" i="5"/>
  <c r="F2106" i="5"/>
  <c r="E2106" i="5"/>
  <c r="D2106" i="5"/>
  <c r="C2106" i="5"/>
  <c r="B2106" i="5"/>
  <c r="A2106" i="5"/>
  <c r="F2105" i="5"/>
  <c r="E2105" i="5"/>
  <c r="D2105" i="5"/>
  <c r="C2105" i="5"/>
  <c r="B2105" i="5"/>
  <c r="A2105" i="5"/>
  <c r="F2104" i="5"/>
  <c r="E2104" i="5"/>
  <c r="D2104" i="5"/>
  <c r="C2104" i="5"/>
  <c r="B2104" i="5"/>
  <c r="A2104" i="5"/>
  <c r="F2103" i="5"/>
  <c r="E2103" i="5"/>
  <c r="D2103" i="5"/>
  <c r="C2103" i="5"/>
  <c r="B2103" i="5"/>
  <c r="A2103" i="5"/>
  <c r="F2102" i="5"/>
  <c r="E2102" i="5"/>
  <c r="D2102" i="5"/>
  <c r="C2102" i="5"/>
  <c r="B2102" i="5"/>
  <c r="A2102" i="5"/>
  <c r="F2101" i="5"/>
  <c r="E2101" i="5"/>
  <c r="D2101" i="5"/>
  <c r="C2101" i="5"/>
  <c r="B2101" i="5"/>
  <c r="A2101" i="5"/>
  <c r="F2100" i="5"/>
  <c r="E2100" i="5"/>
  <c r="D2100" i="5"/>
  <c r="C2100" i="5"/>
  <c r="B2100" i="5"/>
  <c r="A2100" i="5"/>
  <c r="F2099" i="5"/>
  <c r="E2099" i="5"/>
  <c r="D2099" i="5"/>
  <c r="C2099" i="5"/>
  <c r="B2099" i="5"/>
  <c r="A2099" i="5"/>
  <c r="F2098" i="5"/>
  <c r="E2098" i="5"/>
  <c r="D2098" i="5"/>
  <c r="C2098" i="5"/>
  <c r="B2098" i="5"/>
  <c r="A2098" i="5"/>
  <c r="F2097" i="5"/>
  <c r="E2097" i="5"/>
  <c r="D2097" i="5"/>
  <c r="C2097" i="5"/>
  <c r="B2097" i="5"/>
  <c r="A2097" i="5"/>
  <c r="F2096" i="5"/>
  <c r="E2096" i="5"/>
  <c r="D2096" i="5"/>
  <c r="C2096" i="5"/>
  <c r="B2096" i="5"/>
  <c r="A2096" i="5"/>
  <c r="F2095" i="5"/>
  <c r="E2095" i="5"/>
  <c r="D2095" i="5"/>
  <c r="C2095" i="5"/>
  <c r="B2095" i="5"/>
  <c r="A2095" i="5"/>
  <c r="F2094" i="5"/>
  <c r="E2094" i="5"/>
  <c r="D2094" i="5"/>
  <c r="C2094" i="5"/>
  <c r="B2094" i="5"/>
  <c r="A2094" i="5"/>
  <c r="F2093" i="5"/>
  <c r="E2093" i="5"/>
  <c r="D2093" i="5"/>
  <c r="C2093" i="5"/>
  <c r="B2093" i="5"/>
  <c r="A2093" i="5"/>
  <c r="F2092" i="5"/>
  <c r="E2092" i="5"/>
  <c r="D2092" i="5"/>
  <c r="C2092" i="5"/>
  <c r="B2092" i="5"/>
  <c r="A2092" i="5"/>
  <c r="F2091" i="5"/>
  <c r="E2091" i="5"/>
  <c r="D2091" i="5"/>
  <c r="C2091" i="5"/>
  <c r="B2091" i="5"/>
  <c r="A2091" i="5"/>
  <c r="F2090" i="5"/>
  <c r="E2090" i="5"/>
  <c r="D2090" i="5"/>
  <c r="C2090" i="5"/>
  <c r="B2090" i="5"/>
  <c r="A2090" i="5"/>
  <c r="F2089" i="5"/>
  <c r="E2089" i="5"/>
  <c r="D2089" i="5"/>
  <c r="C2089" i="5"/>
  <c r="B2089" i="5"/>
  <c r="A2089" i="5"/>
  <c r="F2088" i="5"/>
  <c r="E2088" i="5"/>
  <c r="D2088" i="5"/>
  <c r="C2088" i="5"/>
  <c r="B2088" i="5"/>
  <c r="A2088" i="5"/>
  <c r="F2087" i="5"/>
  <c r="E2087" i="5"/>
  <c r="D2087" i="5"/>
  <c r="C2087" i="5"/>
  <c r="B2087" i="5"/>
  <c r="A2087" i="5"/>
  <c r="F2086" i="5"/>
  <c r="E2086" i="5"/>
  <c r="D2086" i="5"/>
  <c r="C2086" i="5"/>
  <c r="B2086" i="5"/>
  <c r="A2086" i="5"/>
  <c r="F2085" i="5"/>
  <c r="E2085" i="5"/>
  <c r="D2085" i="5"/>
  <c r="C2085" i="5"/>
  <c r="B2085" i="5"/>
  <c r="A2085" i="5"/>
  <c r="F2084" i="5"/>
  <c r="E2084" i="5"/>
  <c r="D2084" i="5"/>
  <c r="C2084" i="5"/>
  <c r="B2084" i="5"/>
  <c r="A2084" i="5"/>
  <c r="F2083" i="5"/>
  <c r="E2083" i="5"/>
  <c r="D2083" i="5"/>
  <c r="C2083" i="5"/>
  <c r="B2083" i="5"/>
  <c r="A2083" i="5"/>
  <c r="F2082" i="5"/>
  <c r="E2082" i="5"/>
  <c r="D2082" i="5"/>
  <c r="C2082" i="5"/>
  <c r="B2082" i="5"/>
  <c r="A2082" i="5"/>
  <c r="F2081" i="5"/>
  <c r="E2081" i="5"/>
  <c r="D2081" i="5"/>
  <c r="C2081" i="5"/>
  <c r="B2081" i="5"/>
  <c r="A2081" i="5"/>
  <c r="F2080" i="5"/>
  <c r="E2080" i="5"/>
  <c r="D2080" i="5"/>
  <c r="C2080" i="5"/>
  <c r="B2080" i="5"/>
  <c r="A2080" i="5"/>
  <c r="F2079" i="5"/>
  <c r="E2079" i="5"/>
  <c r="D2079" i="5"/>
  <c r="C2079" i="5"/>
  <c r="B2079" i="5"/>
  <c r="A2079" i="5"/>
  <c r="F2078" i="5"/>
  <c r="E2078" i="5"/>
  <c r="D2078" i="5"/>
  <c r="C2078" i="5"/>
  <c r="B2078" i="5"/>
  <c r="A2078" i="5"/>
  <c r="F2077" i="5"/>
  <c r="E2077" i="5"/>
  <c r="D2077" i="5"/>
  <c r="C2077" i="5"/>
  <c r="B2077" i="5"/>
  <c r="A2077" i="5"/>
  <c r="F2076" i="5"/>
  <c r="E2076" i="5"/>
  <c r="D2076" i="5"/>
  <c r="C2076" i="5"/>
  <c r="B2076" i="5"/>
  <c r="A2076" i="5"/>
  <c r="F2075" i="5"/>
  <c r="E2075" i="5"/>
  <c r="D2075" i="5"/>
  <c r="C2075" i="5"/>
  <c r="B2075" i="5"/>
  <c r="A2075" i="5"/>
  <c r="F2074" i="5"/>
  <c r="E2074" i="5"/>
  <c r="D2074" i="5"/>
  <c r="C2074" i="5"/>
  <c r="B2074" i="5"/>
  <c r="A2074" i="5"/>
  <c r="F2073" i="5"/>
  <c r="E2073" i="5"/>
  <c r="D2073" i="5"/>
  <c r="C2073" i="5"/>
  <c r="B2073" i="5"/>
  <c r="A2073" i="5"/>
  <c r="F2072" i="5"/>
  <c r="E2072" i="5"/>
  <c r="D2072" i="5"/>
  <c r="C2072" i="5"/>
  <c r="B2072" i="5"/>
  <c r="A2072" i="5"/>
  <c r="F2071" i="5"/>
  <c r="E2071" i="5"/>
  <c r="D2071" i="5"/>
  <c r="C2071" i="5"/>
  <c r="B2071" i="5"/>
  <c r="A2071" i="5"/>
  <c r="F2070" i="5"/>
  <c r="E2070" i="5"/>
  <c r="D2070" i="5"/>
  <c r="C2070" i="5"/>
  <c r="B2070" i="5"/>
  <c r="A2070" i="5"/>
  <c r="F2069" i="5"/>
  <c r="E2069" i="5"/>
  <c r="D2069" i="5"/>
  <c r="C2069" i="5"/>
  <c r="B2069" i="5"/>
  <c r="A2069" i="5"/>
  <c r="F2068" i="5"/>
  <c r="E2068" i="5"/>
  <c r="D2068" i="5"/>
  <c r="C2068" i="5"/>
  <c r="B2068" i="5"/>
  <c r="A2068" i="5"/>
  <c r="F2067" i="5"/>
  <c r="E2067" i="5"/>
  <c r="D2067" i="5"/>
  <c r="C2067" i="5"/>
  <c r="B2067" i="5"/>
  <c r="A2067" i="5"/>
  <c r="F2066" i="5"/>
  <c r="E2066" i="5"/>
  <c r="D2066" i="5"/>
  <c r="C2066" i="5"/>
  <c r="B2066" i="5"/>
  <c r="A2066" i="5"/>
  <c r="F2065" i="5"/>
  <c r="E2065" i="5"/>
  <c r="D2065" i="5"/>
  <c r="C2065" i="5"/>
  <c r="B2065" i="5"/>
  <c r="A2065" i="5"/>
  <c r="F2064" i="5"/>
  <c r="E2064" i="5"/>
  <c r="D2064" i="5"/>
  <c r="C2064" i="5"/>
  <c r="B2064" i="5"/>
  <c r="A2064" i="5"/>
  <c r="F2063" i="5"/>
  <c r="E2063" i="5"/>
  <c r="D2063" i="5"/>
  <c r="C2063" i="5"/>
  <c r="B2063" i="5"/>
  <c r="A2063" i="5"/>
  <c r="F2062" i="5"/>
  <c r="E2062" i="5"/>
  <c r="D2062" i="5"/>
  <c r="C2062" i="5"/>
  <c r="B2062" i="5"/>
  <c r="A2062" i="5"/>
  <c r="F2061" i="5"/>
  <c r="E2061" i="5"/>
  <c r="D2061" i="5"/>
  <c r="C2061" i="5"/>
  <c r="B2061" i="5"/>
  <c r="A2061" i="5"/>
  <c r="F2060" i="5"/>
  <c r="E2060" i="5"/>
  <c r="D2060" i="5"/>
  <c r="C2060" i="5"/>
  <c r="B2060" i="5"/>
  <c r="A2060" i="5"/>
  <c r="F2059" i="5"/>
  <c r="E2059" i="5"/>
  <c r="D2059" i="5"/>
  <c r="C2059" i="5"/>
  <c r="B2059" i="5"/>
  <c r="A2059" i="5"/>
  <c r="F2058" i="5"/>
  <c r="E2058" i="5"/>
  <c r="D2058" i="5"/>
  <c r="C2058" i="5"/>
  <c r="B2058" i="5"/>
  <c r="A2058" i="5"/>
  <c r="F2057" i="5"/>
  <c r="E2057" i="5"/>
  <c r="D2057" i="5"/>
  <c r="C2057" i="5"/>
  <c r="B2057" i="5"/>
  <c r="A2057" i="5"/>
  <c r="F2056" i="5"/>
  <c r="E2056" i="5"/>
  <c r="D2056" i="5"/>
  <c r="C2056" i="5"/>
  <c r="B2056" i="5"/>
  <c r="A2056" i="5"/>
  <c r="F2055" i="5"/>
  <c r="E2055" i="5"/>
  <c r="D2055" i="5"/>
  <c r="C2055" i="5"/>
  <c r="B2055" i="5"/>
  <c r="A2055" i="5"/>
  <c r="F2054" i="5"/>
  <c r="E2054" i="5"/>
  <c r="D2054" i="5"/>
  <c r="C2054" i="5"/>
  <c r="B2054" i="5"/>
  <c r="A2054" i="5"/>
  <c r="F2053" i="5"/>
  <c r="E2053" i="5"/>
  <c r="D2053" i="5"/>
  <c r="C2053" i="5"/>
  <c r="B2053" i="5"/>
  <c r="A2053" i="5"/>
  <c r="F2052" i="5"/>
  <c r="E2052" i="5"/>
  <c r="D2052" i="5"/>
  <c r="C2052" i="5"/>
  <c r="B2052" i="5"/>
  <c r="A2052" i="5"/>
  <c r="F2051" i="5"/>
  <c r="E2051" i="5"/>
  <c r="D2051" i="5"/>
  <c r="C2051" i="5"/>
  <c r="B2051" i="5"/>
  <c r="A2051" i="5"/>
  <c r="F2050" i="5"/>
  <c r="E2050" i="5"/>
  <c r="D2050" i="5"/>
  <c r="C2050" i="5"/>
  <c r="B2050" i="5"/>
  <c r="A2050" i="5"/>
  <c r="F2049" i="5"/>
  <c r="E2049" i="5"/>
  <c r="D2049" i="5"/>
  <c r="C2049" i="5"/>
  <c r="B2049" i="5"/>
  <c r="A2049" i="5"/>
  <c r="F2048" i="5"/>
  <c r="E2048" i="5"/>
  <c r="D2048" i="5"/>
  <c r="C2048" i="5"/>
  <c r="B2048" i="5"/>
  <c r="A2048" i="5"/>
  <c r="F2047" i="5"/>
  <c r="E2047" i="5"/>
  <c r="D2047" i="5"/>
  <c r="C2047" i="5"/>
  <c r="B2047" i="5"/>
  <c r="A2047" i="5"/>
  <c r="F2046" i="5"/>
  <c r="E2046" i="5"/>
  <c r="D2046" i="5"/>
  <c r="C2046" i="5"/>
  <c r="B2046" i="5"/>
  <c r="A2046" i="5"/>
  <c r="F2045" i="5"/>
  <c r="E2045" i="5"/>
  <c r="D2045" i="5"/>
  <c r="C2045" i="5"/>
  <c r="B2045" i="5"/>
  <c r="A2045" i="5"/>
  <c r="F2044" i="5"/>
  <c r="E2044" i="5"/>
  <c r="D2044" i="5"/>
  <c r="C2044" i="5"/>
  <c r="B2044" i="5"/>
  <c r="A2044" i="5"/>
  <c r="F2043" i="5"/>
  <c r="E2043" i="5"/>
  <c r="D2043" i="5"/>
  <c r="C2043" i="5"/>
  <c r="B2043" i="5"/>
  <c r="A2043" i="5"/>
  <c r="F2042" i="5"/>
  <c r="E2042" i="5"/>
  <c r="D2042" i="5"/>
  <c r="C2042" i="5"/>
  <c r="B2042" i="5"/>
  <c r="A2042" i="5"/>
  <c r="F2041" i="5"/>
  <c r="E2041" i="5"/>
  <c r="D2041" i="5"/>
  <c r="C2041" i="5"/>
  <c r="B2041" i="5"/>
  <c r="A2041" i="5"/>
  <c r="F2040" i="5"/>
  <c r="E2040" i="5"/>
  <c r="D2040" i="5"/>
  <c r="C2040" i="5"/>
  <c r="B2040" i="5"/>
  <c r="A2040" i="5"/>
  <c r="F2039" i="5"/>
  <c r="E2039" i="5"/>
  <c r="D2039" i="5"/>
  <c r="C2039" i="5"/>
  <c r="B2039" i="5"/>
  <c r="A2039" i="5"/>
  <c r="F2038" i="5"/>
  <c r="E2038" i="5"/>
  <c r="D2038" i="5"/>
  <c r="C2038" i="5"/>
  <c r="B2038" i="5"/>
  <c r="A2038" i="5"/>
  <c r="F2037" i="5"/>
  <c r="E2037" i="5"/>
  <c r="D2037" i="5"/>
  <c r="C2037" i="5"/>
  <c r="B2037" i="5"/>
  <c r="A2037" i="5"/>
  <c r="F2036" i="5"/>
  <c r="E2036" i="5"/>
  <c r="D2036" i="5"/>
  <c r="C2036" i="5"/>
  <c r="B2036" i="5"/>
  <c r="A2036" i="5"/>
  <c r="F2035" i="5"/>
  <c r="E2035" i="5"/>
  <c r="D2035" i="5"/>
  <c r="C2035" i="5"/>
  <c r="B2035" i="5"/>
  <c r="A2035" i="5"/>
  <c r="F2034" i="5"/>
  <c r="E2034" i="5"/>
  <c r="D2034" i="5"/>
  <c r="C2034" i="5"/>
  <c r="B2034" i="5"/>
  <c r="A2034" i="5"/>
  <c r="F2033" i="5"/>
  <c r="E2033" i="5"/>
  <c r="D2033" i="5"/>
  <c r="C2033" i="5"/>
  <c r="B2033" i="5"/>
  <c r="A2033" i="5"/>
  <c r="F2032" i="5"/>
  <c r="E2032" i="5"/>
  <c r="D2032" i="5"/>
  <c r="C2032" i="5"/>
  <c r="B2032" i="5"/>
  <c r="A2032" i="5"/>
  <c r="F2031" i="5"/>
  <c r="E2031" i="5"/>
  <c r="D2031" i="5"/>
  <c r="C2031" i="5"/>
  <c r="B2031" i="5"/>
  <c r="A2031" i="5"/>
  <c r="F2030" i="5"/>
  <c r="E2030" i="5"/>
  <c r="D2030" i="5"/>
  <c r="C2030" i="5"/>
  <c r="B2030" i="5"/>
  <c r="A2030" i="5"/>
  <c r="F2029" i="5"/>
  <c r="E2029" i="5"/>
  <c r="D2029" i="5"/>
  <c r="C2029" i="5"/>
  <c r="B2029" i="5"/>
  <c r="A2029" i="5"/>
  <c r="F2028" i="5"/>
  <c r="E2028" i="5"/>
  <c r="D2028" i="5"/>
  <c r="C2028" i="5"/>
  <c r="B2028" i="5"/>
  <c r="A2028" i="5"/>
  <c r="F2027" i="5"/>
  <c r="E2027" i="5"/>
  <c r="D2027" i="5"/>
  <c r="C2027" i="5"/>
  <c r="B2027" i="5"/>
  <c r="A2027" i="5"/>
  <c r="F2026" i="5"/>
  <c r="E2026" i="5"/>
  <c r="D2026" i="5"/>
  <c r="C2026" i="5"/>
  <c r="B2026" i="5"/>
  <c r="A2026" i="5"/>
  <c r="F2025" i="5"/>
  <c r="E2025" i="5"/>
  <c r="D2025" i="5"/>
  <c r="C2025" i="5"/>
  <c r="B2025" i="5"/>
  <c r="A2025" i="5"/>
  <c r="F2024" i="5"/>
  <c r="E2024" i="5"/>
  <c r="D2024" i="5"/>
  <c r="C2024" i="5"/>
  <c r="B2024" i="5"/>
  <c r="A2024" i="5"/>
  <c r="F2023" i="5"/>
  <c r="E2023" i="5"/>
  <c r="D2023" i="5"/>
  <c r="C2023" i="5"/>
  <c r="B2023" i="5"/>
  <c r="A2023" i="5"/>
  <c r="F2022" i="5"/>
  <c r="E2022" i="5"/>
  <c r="D2022" i="5"/>
  <c r="C2022" i="5"/>
  <c r="B2022" i="5"/>
  <c r="A2022" i="5"/>
  <c r="F2021" i="5"/>
  <c r="E2021" i="5"/>
  <c r="D2021" i="5"/>
  <c r="C2021" i="5"/>
  <c r="B2021" i="5"/>
  <c r="A2021" i="5"/>
  <c r="F2020" i="5"/>
  <c r="E2020" i="5"/>
  <c r="D2020" i="5"/>
  <c r="C2020" i="5"/>
  <c r="B2020" i="5"/>
  <c r="A2020" i="5"/>
  <c r="F2019" i="5"/>
  <c r="E2019" i="5"/>
  <c r="D2019" i="5"/>
  <c r="C2019" i="5"/>
  <c r="B2019" i="5"/>
  <c r="A2019" i="5"/>
  <c r="F2018" i="5"/>
  <c r="E2018" i="5"/>
  <c r="D2018" i="5"/>
  <c r="C2018" i="5"/>
  <c r="B2018" i="5"/>
  <c r="A2018" i="5"/>
  <c r="F2017" i="5"/>
  <c r="E2017" i="5"/>
  <c r="D2017" i="5"/>
  <c r="C2017" i="5"/>
  <c r="B2017" i="5"/>
  <c r="A2017" i="5"/>
  <c r="F2016" i="5"/>
  <c r="E2016" i="5"/>
  <c r="D2016" i="5"/>
  <c r="C2016" i="5"/>
  <c r="B2016" i="5"/>
  <c r="A2016" i="5"/>
  <c r="F2015" i="5"/>
  <c r="E2015" i="5"/>
  <c r="D2015" i="5"/>
  <c r="C2015" i="5"/>
  <c r="B2015" i="5"/>
  <c r="A2015" i="5"/>
  <c r="F2014" i="5"/>
  <c r="E2014" i="5"/>
  <c r="D2014" i="5"/>
  <c r="C2014" i="5"/>
  <c r="B2014" i="5"/>
  <c r="A2014" i="5"/>
  <c r="F2013" i="5"/>
  <c r="E2013" i="5"/>
  <c r="D2013" i="5"/>
  <c r="C2013" i="5"/>
  <c r="B2013" i="5"/>
  <c r="A2013" i="5"/>
  <c r="F2012" i="5"/>
  <c r="E2012" i="5"/>
  <c r="D2012" i="5"/>
  <c r="C2012" i="5"/>
  <c r="B2012" i="5"/>
  <c r="A2012" i="5"/>
  <c r="F2011" i="5"/>
  <c r="E2011" i="5"/>
  <c r="D2011" i="5"/>
  <c r="C2011" i="5"/>
  <c r="B2011" i="5"/>
  <c r="A2011" i="5"/>
  <c r="F2010" i="5"/>
  <c r="E2010" i="5"/>
  <c r="D2010" i="5"/>
  <c r="C2010" i="5"/>
  <c r="B2010" i="5"/>
  <c r="A2010" i="5"/>
  <c r="F2009" i="5"/>
  <c r="E2009" i="5"/>
  <c r="D2009" i="5"/>
  <c r="C2009" i="5"/>
  <c r="B2009" i="5"/>
  <c r="A2009" i="5"/>
  <c r="F2008" i="5"/>
  <c r="E2008" i="5"/>
  <c r="D2008" i="5"/>
  <c r="C2008" i="5"/>
  <c r="B2008" i="5"/>
  <c r="A2008" i="5"/>
  <c r="F2007" i="5"/>
  <c r="E2007" i="5"/>
  <c r="D2007" i="5"/>
  <c r="C2007" i="5"/>
  <c r="B2007" i="5"/>
  <c r="A2007" i="5"/>
  <c r="F2006" i="5"/>
  <c r="E2006" i="5"/>
  <c r="D2006" i="5"/>
  <c r="C2006" i="5"/>
  <c r="B2006" i="5"/>
  <c r="A2006" i="5"/>
  <c r="F2005" i="5"/>
  <c r="E2005" i="5"/>
  <c r="D2005" i="5"/>
  <c r="C2005" i="5"/>
  <c r="B2005" i="5"/>
  <c r="A2005" i="5"/>
  <c r="F2004" i="5"/>
  <c r="E2004" i="5"/>
  <c r="D2004" i="5"/>
  <c r="C2004" i="5"/>
  <c r="B2004" i="5"/>
  <c r="A2004" i="5"/>
  <c r="F2003" i="5"/>
  <c r="E2003" i="5"/>
  <c r="D2003" i="5"/>
  <c r="C2003" i="5"/>
  <c r="B2003" i="5"/>
  <c r="A2003" i="5"/>
  <c r="F2002" i="5"/>
  <c r="E2002" i="5"/>
  <c r="D2002" i="5"/>
  <c r="C2002" i="5"/>
  <c r="B2002" i="5"/>
  <c r="A2002" i="5"/>
  <c r="F2001" i="5"/>
  <c r="E2001" i="5"/>
  <c r="D2001" i="5"/>
  <c r="C2001" i="5"/>
  <c r="B2001" i="5"/>
  <c r="A2001" i="5"/>
  <c r="F2000" i="5"/>
  <c r="E2000" i="5"/>
  <c r="D2000" i="5"/>
  <c r="C2000" i="5"/>
  <c r="B2000" i="5"/>
  <c r="A2000" i="5"/>
  <c r="F1999" i="5"/>
  <c r="E1999" i="5"/>
  <c r="D1999" i="5"/>
  <c r="C1999" i="5"/>
  <c r="B1999" i="5"/>
  <c r="A1999" i="5"/>
  <c r="F1998" i="5"/>
  <c r="E1998" i="5"/>
  <c r="D1998" i="5"/>
  <c r="C1998" i="5"/>
  <c r="B1998" i="5"/>
  <c r="A1998" i="5"/>
  <c r="F1997" i="5"/>
  <c r="E1997" i="5"/>
  <c r="D1997" i="5"/>
  <c r="C1997" i="5"/>
  <c r="B1997" i="5"/>
  <c r="A1997" i="5"/>
  <c r="F1996" i="5"/>
  <c r="E1996" i="5"/>
  <c r="D1996" i="5"/>
  <c r="C1996" i="5"/>
  <c r="B1996" i="5"/>
  <c r="A1996" i="5"/>
  <c r="F1995" i="5"/>
  <c r="E1995" i="5"/>
  <c r="D1995" i="5"/>
  <c r="C1995" i="5"/>
  <c r="B1995" i="5"/>
  <c r="A1995" i="5"/>
  <c r="F1994" i="5"/>
  <c r="E1994" i="5"/>
  <c r="D1994" i="5"/>
  <c r="C1994" i="5"/>
  <c r="B1994" i="5"/>
  <c r="A1994" i="5"/>
  <c r="F1993" i="5"/>
  <c r="E1993" i="5"/>
  <c r="D1993" i="5"/>
  <c r="C1993" i="5"/>
  <c r="B1993" i="5"/>
  <c r="A1993" i="5"/>
  <c r="F1992" i="5"/>
  <c r="E1992" i="5"/>
  <c r="D1992" i="5"/>
  <c r="C1992" i="5"/>
  <c r="B1992" i="5"/>
  <c r="A1992" i="5"/>
  <c r="F1991" i="5"/>
  <c r="E1991" i="5"/>
  <c r="D1991" i="5"/>
  <c r="C1991" i="5"/>
  <c r="B1991" i="5"/>
  <c r="A1991" i="5"/>
  <c r="F1990" i="5"/>
  <c r="E1990" i="5"/>
  <c r="D1990" i="5"/>
  <c r="C1990" i="5"/>
  <c r="B1990" i="5"/>
  <c r="A1990" i="5"/>
  <c r="F1989" i="5"/>
  <c r="E1989" i="5"/>
  <c r="D1989" i="5"/>
  <c r="C1989" i="5"/>
  <c r="B1989" i="5"/>
  <c r="A1989" i="5"/>
  <c r="F1988" i="5"/>
  <c r="E1988" i="5"/>
  <c r="D1988" i="5"/>
  <c r="C1988" i="5"/>
  <c r="B1988" i="5"/>
  <c r="A1988" i="5"/>
  <c r="F1987" i="5"/>
  <c r="E1987" i="5"/>
  <c r="D1987" i="5"/>
  <c r="C1987" i="5"/>
  <c r="B1987" i="5"/>
  <c r="A1987" i="5"/>
  <c r="F1986" i="5"/>
  <c r="E1986" i="5"/>
  <c r="D1986" i="5"/>
  <c r="C1986" i="5"/>
  <c r="B1986" i="5"/>
  <c r="A1986" i="5"/>
  <c r="F1985" i="5"/>
  <c r="E1985" i="5"/>
  <c r="D1985" i="5"/>
  <c r="C1985" i="5"/>
  <c r="B1985" i="5"/>
  <c r="A1985" i="5"/>
  <c r="F1984" i="5"/>
  <c r="E1984" i="5"/>
  <c r="D1984" i="5"/>
  <c r="C1984" i="5"/>
  <c r="B1984" i="5"/>
  <c r="A1984" i="5"/>
  <c r="F1983" i="5"/>
  <c r="E1983" i="5"/>
  <c r="D1983" i="5"/>
  <c r="C1983" i="5"/>
  <c r="B1983" i="5"/>
  <c r="A1983" i="5"/>
  <c r="F1982" i="5"/>
  <c r="E1982" i="5"/>
  <c r="D1982" i="5"/>
  <c r="C1982" i="5"/>
  <c r="B1982" i="5"/>
  <c r="A1982" i="5"/>
  <c r="F1981" i="5"/>
  <c r="E1981" i="5"/>
  <c r="D1981" i="5"/>
  <c r="C1981" i="5"/>
  <c r="B1981" i="5"/>
  <c r="A1981" i="5"/>
  <c r="F1980" i="5"/>
  <c r="E1980" i="5"/>
  <c r="D1980" i="5"/>
  <c r="C1980" i="5"/>
  <c r="B1980" i="5"/>
  <c r="A1980" i="5"/>
  <c r="F1979" i="5"/>
  <c r="E1979" i="5"/>
  <c r="D1979" i="5"/>
  <c r="C1979" i="5"/>
  <c r="B1979" i="5"/>
  <c r="A1979" i="5"/>
  <c r="F1978" i="5"/>
  <c r="E1978" i="5"/>
  <c r="D1978" i="5"/>
  <c r="C1978" i="5"/>
  <c r="B1978" i="5"/>
  <c r="A1978" i="5"/>
  <c r="F1977" i="5"/>
  <c r="E1977" i="5"/>
  <c r="D1977" i="5"/>
  <c r="C1977" i="5"/>
  <c r="B1977" i="5"/>
  <c r="A1977" i="5"/>
  <c r="F1976" i="5"/>
  <c r="E1976" i="5"/>
  <c r="D1976" i="5"/>
  <c r="C1976" i="5"/>
  <c r="B1976" i="5"/>
  <c r="A1976" i="5"/>
  <c r="F1975" i="5"/>
  <c r="E1975" i="5"/>
  <c r="D1975" i="5"/>
  <c r="C1975" i="5"/>
  <c r="B1975" i="5"/>
  <c r="A1975" i="5"/>
  <c r="F1974" i="5"/>
  <c r="E1974" i="5"/>
  <c r="D1974" i="5"/>
  <c r="C1974" i="5"/>
  <c r="B1974" i="5"/>
  <c r="A1974" i="5"/>
  <c r="F1973" i="5"/>
  <c r="E1973" i="5"/>
  <c r="D1973" i="5"/>
  <c r="C1973" i="5"/>
  <c r="B1973" i="5"/>
  <c r="A1973" i="5"/>
  <c r="F1972" i="5"/>
  <c r="E1972" i="5"/>
  <c r="D1972" i="5"/>
  <c r="C1972" i="5"/>
  <c r="B1972" i="5"/>
  <c r="A1972" i="5"/>
  <c r="F1971" i="5"/>
  <c r="E1971" i="5"/>
  <c r="D1971" i="5"/>
  <c r="C1971" i="5"/>
  <c r="B1971" i="5"/>
  <c r="A1971" i="5"/>
  <c r="F1970" i="5"/>
  <c r="E1970" i="5"/>
  <c r="D1970" i="5"/>
  <c r="C1970" i="5"/>
  <c r="B1970" i="5"/>
  <c r="A1970" i="5"/>
  <c r="F1969" i="5"/>
  <c r="E1969" i="5"/>
  <c r="D1969" i="5"/>
  <c r="C1969" i="5"/>
  <c r="B1969" i="5"/>
  <c r="A1969" i="5"/>
  <c r="F1968" i="5"/>
  <c r="E1968" i="5"/>
  <c r="D1968" i="5"/>
  <c r="C1968" i="5"/>
  <c r="B1968" i="5"/>
  <c r="A1968" i="5"/>
  <c r="F1967" i="5"/>
  <c r="E1967" i="5"/>
  <c r="D1967" i="5"/>
  <c r="C1967" i="5"/>
  <c r="B1967" i="5"/>
  <c r="A1967" i="5"/>
  <c r="F1966" i="5"/>
  <c r="E1966" i="5"/>
  <c r="D1966" i="5"/>
  <c r="C1966" i="5"/>
  <c r="B1966" i="5"/>
  <c r="A1966" i="5"/>
  <c r="F1965" i="5"/>
  <c r="E1965" i="5"/>
  <c r="D1965" i="5"/>
  <c r="C1965" i="5"/>
  <c r="B1965" i="5"/>
  <c r="A1965" i="5"/>
  <c r="F1964" i="5"/>
  <c r="E1964" i="5"/>
  <c r="D1964" i="5"/>
  <c r="C1964" i="5"/>
  <c r="B1964" i="5"/>
  <c r="A1964" i="5"/>
  <c r="F1963" i="5"/>
  <c r="E1963" i="5"/>
  <c r="D1963" i="5"/>
  <c r="C1963" i="5"/>
  <c r="B1963" i="5"/>
  <c r="A1963" i="5"/>
  <c r="F1962" i="5"/>
  <c r="E1962" i="5"/>
  <c r="D1962" i="5"/>
  <c r="C1962" i="5"/>
  <c r="B1962" i="5"/>
  <c r="A1962" i="5"/>
  <c r="F1961" i="5"/>
  <c r="E1961" i="5"/>
  <c r="D1961" i="5"/>
  <c r="C1961" i="5"/>
  <c r="B1961" i="5"/>
  <c r="A1961" i="5"/>
  <c r="F1960" i="5"/>
  <c r="E1960" i="5"/>
  <c r="D1960" i="5"/>
  <c r="C1960" i="5"/>
  <c r="B1960" i="5"/>
  <c r="A1960" i="5"/>
  <c r="F1959" i="5"/>
  <c r="E1959" i="5"/>
  <c r="D1959" i="5"/>
  <c r="C1959" i="5"/>
  <c r="B1959" i="5"/>
  <c r="A1959" i="5"/>
  <c r="F1958" i="5"/>
  <c r="E1958" i="5"/>
  <c r="D1958" i="5"/>
  <c r="C1958" i="5"/>
  <c r="B1958" i="5"/>
  <c r="A1958" i="5"/>
  <c r="F1957" i="5"/>
  <c r="E1957" i="5"/>
  <c r="D1957" i="5"/>
  <c r="C1957" i="5"/>
  <c r="B1957" i="5"/>
  <c r="A1957" i="5"/>
  <c r="F1956" i="5"/>
  <c r="E1956" i="5"/>
  <c r="D1956" i="5"/>
  <c r="C1956" i="5"/>
  <c r="B1956" i="5"/>
  <c r="A1956" i="5"/>
  <c r="F1955" i="5"/>
  <c r="E1955" i="5"/>
  <c r="D1955" i="5"/>
  <c r="C1955" i="5"/>
  <c r="B1955" i="5"/>
  <c r="A1955" i="5"/>
  <c r="F1954" i="5"/>
  <c r="E1954" i="5"/>
  <c r="D1954" i="5"/>
  <c r="C1954" i="5"/>
  <c r="B1954" i="5"/>
  <c r="A1954" i="5"/>
  <c r="F1953" i="5"/>
  <c r="E1953" i="5"/>
  <c r="D1953" i="5"/>
  <c r="C1953" i="5"/>
  <c r="B1953" i="5"/>
  <c r="A1953" i="5"/>
  <c r="F1952" i="5"/>
  <c r="E1952" i="5"/>
  <c r="D1952" i="5"/>
  <c r="C1952" i="5"/>
  <c r="B1952" i="5"/>
  <c r="A1952" i="5"/>
  <c r="F1951" i="5"/>
  <c r="E1951" i="5"/>
  <c r="D1951" i="5"/>
  <c r="C1951" i="5"/>
  <c r="B1951" i="5"/>
  <c r="A1951" i="5"/>
  <c r="F1950" i="5"/>
  <c r="E1950" i="5"/>
  <c r="D1950" i="5"/>
  <c r="C1950" i="5"/>
  <c r="B1950" i="5"/>
  <c r="A1950" i="5"/>
  <c r="F1949" i="5"/>
  <c r="E1949" i="5"/>
  <c r="D1949" i="5"/>
  <c r="C1949" i="5"/>
  <c r="B1949" i="5"/>
  <c r="A1949" i="5"/>
  <c r="F1948" i="5"/>
  <c r="E1948" i="5"/>
  <c r="D1948" i="5"/>
  <c r="C1948" i="5"/>
  <c r="B1948" i="5"/>
  <c r="A1948" i="5"/>
  <c r="F1947" i="5"/>
  <c r="E1947" i="5"/>
  <c r="D1947" i="5"/>
  <c r="C1947" i="5"/>
  <c r="B1947" i="5"/>
  <c r="A1947" i="5"/>
  <c r="F1946" i="5"/>
  <c r="E1946" i="5"/>
  <c r="D1946" i="5"/>
  <c r="C1946" i="5"/>
  <c r="B1946" i="5"/>
  <c r="A1946" i="5"/>
  <c r="F1945" i="5"/>
  <c r="E1945" i="5"/>
  <c r="D1945" i="5"/>
  <c r="C1945" i="5"/>
  <c r="B1945" i="5"/>
  <c r="A1945" i="5"/>
  <c r="F1944" i="5"/>
  <c r="E1944" i="5"/>
  <c r="D1944" i="5"/>
  <c r="C1944" i="5"/>
  <c r="B1944" i="5"/>
  <c r="A1944" i="5"/>
  <c r="F1943" i="5"/>
  <c r="E1943" i="5"/>
  <c r="D1943" i="5"/>
  <c r="C1943" i="5"/>
  <c r="B1943" i="5"/>
  <c r="A1943" i="5"/>
  <c r="F1942" i="5"/>
  <c r="E1942" i="5"/>
  <c r="D1942" i="5"/>
  <c r="C1942" i="5"/>
  <c r="B1942" i="5"/>
  <c r="A1942" i="5"/>
  <c r="F1941" i="5"/>
  <c r="E1941" i="5"/>
  <c r="D1941" i="5"/>
  <c r="C1941" i="5"/>
  <c r="B1941" i="5"/>
  <c r="A1941" i="5"/>
  <c r="F1940" i="5"/>
  <c r="E1940" i="5"/>
  <c r="D1940" i="5"/>
  <c r="C1940" i="5"/>
  <c r="B1940" i="5"/>
  <c r="A1940" i="5"/>
  <c r="F1939" i="5"/>
  <c r="E1939" i="5"/>
  <c r="D1939" i="5"/>
  <c r="C1939" i="5"/>
  <c r="B1939" i="5"/>
  <c r="A1939" i="5"/>
  <c r="F1938" i="5"/>
  <c r="E1938" i="5"/>
  <c r="D1938" i="5"/>
  <c r="C1938" i="5"/>
  <c r="B1938" i="5"/>
  <c r="A1938" i="5"/>
  <c r="F1937" i="5"/>
  <c r="E1937" i="5"/>
  <c r="D1937" i="5"/>
  <c r="C1937" i="5"/>
  <c r="B1937" i="5"/>
  <c r="A1937" i="5"/>
  <c r="F1936" i="5"/>
  <c r="E1936" i="5"/>
  <c r="D1936" i="5"/>
  <c r="C1936" i="5"/>
  <c r="B1936" i="5"/>
  <c r="A1936" i="5"/>
  <c r="F1935" i="5"/>
  <c r="E1935" i="5"/>
  <c r="D1935" i="5"/>
  <c r="C1935" i="5"/>
  <c r="B1935" i="5"/>
  <c r="A1935" i="5"/>
  <c r="F1934" i="5"/>
  <c r="E1934" i="5"/>
  <c r="D1934" i="5"/>
  <c r="C1934" i="5"/>
  <c r="B1934" i="5"/>
  <c r="A1934" i="5"/>
  <c r="F1933" i="5"/>
  <c r="E1933" i="5"/>
  <c r="D1933" i="5"/>
  <c r="C1933" i="5"/>
  <c r="B1933" i="5"/>
  <c r="A1933" i="5"/>
  <c r="F1932" i="5"/>
  <c r="E1932" i="5"/>
  <c r="D1932" i="5"/>
  <c r="C1932" i="5"/>
  <c r="B1932" i="5"/>
  <c r="A1932" i="5"/>
  <c r="F1931" i="5"/>
  <c r="E1931" i="5"/>
  <c r="D1931" i="5"/>
  <c r="C1931" i="5"/>
  <c r="B1931" i="5"/>
  <c r="A1931" i="5"/>
  <c r="F1930" i="5"/>
  <c r="E1930" i="5"/>
  <c r="D1930" i="5"/>
  <c r="C1930" i="5"/>
  <c r="B1930" i="5"/>
  <c r="A1930" i="5"/>
  <c r="F1929" i="5"/>
  <c r="E1929" i="5"/>
  <c r="D1929" i="5"/>
  <c r="C1929" i="5"/>
  <c r="B1929" i="5"/>
  <c r="A1929" i="5"/>
  <c r="F1928" i="5"/>
  <c r="E1928" i="5"/>
  <c r="D1928" i="5"/>
  <c r="C1928" i="5"/>
  <c r="B1928" i="5"/>
  <c r="A1928" i="5"/>
  <c r="F1927" i="5"/>
  <c r="E1927" i="5"/>
  <c r="D1927" i="5"/>
  <c r="C1927" i="5"/>
  <c r="B1927" i="5"/>
  <c r="A1927" i="5"/>
  <c r="F1926" i="5"/>
  <c r="E1926" i="5"/>
  <c r="D1926" i="5"/>
  <c r="C1926" i="5"/>
  <c r="B1926" i="5"/>
  <c r="A1926" i="5"/>
  <c r="F1925" i="5"/>
  <c r="E1925" i="5"/>
  <c r="D1925" i="5"/>
  <c r="C1925" i="5"/>
  <c r="B1925" i="5"/>
  <c r="A1925" i="5"/>
  <c r="F1924" i="5"/>
  <c r="E1924" i="5"/>
  <c r="D1924" i="5"/>
  <c r="C1924" i="5"/>
  <c r="B1924" i="5"/>
  <c r="A1924" i="5"/>
  <c r="F1923" i="5"/>
  <c r="E1923" i="5"/>
  <c r="D1923" i="5"/>
  <c r="C1923" i="5"/>
  <c r="B1923" i="5"/>
  <c r="A1923" i="5"/>
  <c r="F1922" i="5"/>
  <c r="E1922" i="5"/>
  <c r="D1922" i="5"/>
  <c r="C1922" i="5"/>
  <c r="B1922" i="5"/>
  <c r="A1922" i="5"/>
  <c r="F1921" i="5"/>
  <c r="E1921" i="5"/>
  <c r="D1921" i="5"/>
  <c r="C1921" i="5"/>
  <c r="B1921" i="5"/>
  <c r="A1921" i="5"/>
  <c r="F1920" i="5"/>
  <c r="E1920" i="5"/>
  <c r="D1920" i="5"/>
  <c r="C1920" i="5"/>
  <c r="B1920" i="5"/>
  <c r="A1920" i="5"/>
  <c r="F1919" i="5"/>
  <c r="E1919" i="5"/>
  <c r="D1919" i="5"/>
  <c r="C1919" i="5"/>
  <c r="B1919" i="5"/>
  <c r="A1919" i="5"/>
  <c r="F1918" i="5"/>
  <c r="E1918" i="5"/>
  <c r="D1918" i="5"/>
  <c r="C1918" i="5"/>
  <c r="B1918" i="5"/>
  <c r="A1918" i="5"/>
  <c r="F1917" i="5"/>
  <c r="E1917" i="5"/>
  <c r="D1917" i="5"/>
  <c r="C1917" i="5"/>
  <c r="B1917" i="5"/>
  <c r="A1917" i="5"/>
  <c r="F1916" i="5"/>
  <c r="E1916" i="5"/>
  <c r="D1916" i="5"/>
  <c r="C1916" i="5"/>
  <c r="B1916" i="5"/>
  <c r="A1916" i="5"/>
  <c r="F1915" i="5"/>
  <c r="E1915" i="5"/>
  <c r="D1915" i="5"/>
  <c r="C1915" i="5"/>
  <c r="B1915" i="5"/>
  <c r="A1915" i="5"/>
  <c r="F1914" i="5"/>
  <c r="E1914" i="5"/>
  <c r="D1914" i="5"/>
  <c r="C1914" i="5"/>
  <c r="B1914" i="5"/>
  <c r="A1914" i="5"/>
  <c r="F1913" i="5"/>
  <c r="E1913" i="5"/>
  <c r="D1913" i="5"/>
  <c r="C1913" i="5"/>
  <c r="B1913" i="5"/>
  <c r="A1913" i="5"/>
  <c r="F1912" i="5"/>
  <c r="E1912" i="5"/>
  <c r="D1912" i="5"/>
  <c r="C1912" i="5"/>
  <c r="B1912" i="5"/>
  <c r="A1912" i="5"/>
  <c r="F1911" i="5"/>
  <c r="E1911" i="5"/>
  <c r="D1911" i="5"/>
  <c r="C1911" i="5"/>
  <c r="B1911" i="5"/>
  <c r="A1911" i="5"/>
  <c r="F1910" i="5"/>
  <c r="E1910" i="5"/>
  <c r="D1910" i="5"/>
  <c r="C1910" i="5"/>
  <c r="B1910" i="5"/>
  <c r="A1910" i="5"/>
  <c r="F1909" i="5"/>
  <c r="E1909" i="5"/>
  <c r="D1909" i="5"/>
  <c r="C1909" i="5"/>
  <c r="B1909" i="5"/>
  <c r="A1909" i="5"/>
  <c r="F1908" i="5"/>
  <c r="E1908" i="5"/>
  <c r="D1908" i="5"/>
  <c r="C1908" i="5"/>
  <c r="B1908" i="5"/>
  <c r="A1908" i="5"/>
  <c r="F1907" i="5"/>
  <c r="E1907" i="5"/>
  <c r="D1907" i="5"/>
  <c r="C1907" i="5"/>
  <c r="B1907" i="5"/>
  <c r="A1907" i="5"/>
  <c r="F1906" i="5"/>
  <c r="E1906" i="5"/>
  <c r="D1906" i="5"/>
  <c r="C1906" i="5"/>
  <c r="B1906" i="5"/>
  <c r="A1906" i="5"/>
  <c r="F1905" i="5"/>
  <c r="E1905" i="5"/>
  <c r="D1905" i="5"/>
  <c r="C1905" i="5"/>
  <c r="B1905" i="5"/>
  <c r="A1905" i="5"/>
  <c r="F1904" i="5"/>
  <c r="E1904" i="5"/>
  <c r="D1904" i="5"/>
  <c r="C1904" i="5"/>
  <c r="B1904" i="5"/>
  <c r="A1904" i="5"/>
  <c r="F1903" i="5"/>
  <c r="E1903" i="5"/>
  <c r="D1903" i="5"/>
  <c r="C1903" i="5"/>
  <c r="B1903" i="5"/>
  <c r="A1903" i="5"/>
  <c r="F1902" i="5"/>
  <c r="E1902" i="5"/>
  <c r="D1902" i="5"/>
  <c r="C1902" i="5"/>
  <c r="B1902" i="5"/>
  <c r="A1902" i="5"/>
  <c r="F1901" i="5"/>
  <c r="E1901" i="5"/>
  <c r="D1901" i="5"/>
  <c r="C1901" i="5"/>
  <c r="B1901" i="5"/>
  <c r="A1901" i="5"/>
  <c r="F1900" i="5"/>
  <c r="E1900" i="5"/>
  <c r="D1900" i="5"/>
  <c r="C1900" i="5"/>
  <c r="B1900" i="5"/>
  <c r="A1900" i="5"/>
  <c r="F1899" i="5"/>
  <c r="E1899" i="5"/>
  <c r="D1899" i="5"/>
  <c r="C1899" i="5"/>
  <c r="B1899" i="5"/>
  <c r="A1899" i="5"/>
  <c r="F1898" i="5"/>
  <c r="E1898" i="5"/>
  <c r="D1898" i="5"/>
  <c r="C1898" i="5"/>
  <c r="B1898" i="5"/>
  <c r="A1898" i="5"/>
  <c r="F1897" i="5"/>
  <c r="E1897" i="5"/>
  <c r="D1897" i="5"/>
  <c r="C1897" i="5"/>
  <c r="B1897" i="5"/>
  <c r="A1897" i="5"/>
  <c r="F1896" i="5"/>
  <c r="E1896" i="5"/>
  <c r="D1896" i="5"/>
  <c r="C1896" i="5"/>
  <c r="B1896" i="5"/>
  <c r="A1896" i="5"/>
  <c r="F1895" i="5"/>
  <c r="E1895" i="5"/>
  <c r="D1895" i="5"/>
  <c r="C1895" i="5"/>
  <c r="B1895" i="5"/>
  <c r="A1895" i="5"/>
  <c r="F1894" i="5"/>
  <c r="E1894" i="5"/>
  <c r="D1894" i="5"/>
  <c r="C1894" i="5"/>
  <c r="B1894" i="5"/>
  <c r="A1894" i="5"/>
  <c r="F1893" i="5"/>
  <c r="E1893" i="5"/>
  <c r="D1893" i="5"/>
  <c r="C1893" i="5"/>
  <c r="B1893" i="5"/>
  <c r="A1893" i="5"/>
  <c r="F1892" i="5"/>
  <c r="E1892" i="5"/>
  <c r="D1892" i="5"/>
  <c r="C1892" i="5"/>
  <c r="B1892" i="5"/>
  <c r="A1892" i="5"/>
  <c r="F1891" i="5"/>
  <c r="E1891" i="5"/>
  <c r="D1891" i="5"/>
  <c r="C1891" i="5"/>
  <c r="B1891" i="5"/>
  <c r="A1891" i="5"/>
  <c r="F1890" i="5"/>
  <c r="E1890" i="5"/>
  <c r="D1890" i="5"/>
  <c r="C1890" i="5"/>
  <c r="B1890" i="5"/>
  <c r="A1890" i="5"/>
  <c r="F1889" i="5"/>
  <c r="E1889" i="5"/>
  <c r="D1889" i="5"/>
  <c r="C1889" i="5"/>
  <c r="B1889" i="5"/>
  <c r="A1889" i="5"/>
  <c r="F1888" i="5"/>
  <c r="E1888" i="5"/>
  <c r="D1888" i="5"/>
  <c r="C1888" i="5"/>
  <c r="B1888" i="5"/>
  <c r="A1888" i="5"/>
  <c r="F1887" i="5"/>
  <c r="E1887" i="5"/>
  <c r="D1887" i="5"/>
  <c r="C1887" i="5"/>
  <c r="B1887" i="5"/>
  <c r="A1887" i="5"/>
  <c r="F1886" i="5"/>
  <c r="E1886" i="5"/>
  <c r="D1886" i="5"/>
  <c r="C1886" i="5"/>
  <c r="B1886" i="5"/>
  <c r="A1886" i="5"/>
  <c r="F1885" i="5"/>
  <c r="E1885" i="5"/>
  <c r="D1885" i="5"/>
  <c r="C1885" i="5"/>
  <c r="B1885" i="5"/>
  <c r="A1885" i="5"/>
  <c r="F1884" i="5"/>
  <c r="E1884" i="5"/>
  <c r="D1884" i="5"/>
  <c r="C1884" i="5"/>
  <c r="B1884" i="5"/>
  <c r="A1884" i="5"/>
  <c r="F1883" i="5"/>
  <c r="E1883" i="5"/>
  <c r="D1883" i="5"/>
  <c r="C1883" i="5"/>
  <c r="B1883" i="5"/>
  <c r="A1883" i="5"/>
  <c r="F1882" i="5"/>
  <c r="E1882" i="5"/>
  <c r="D1882" i="5"/>
  <c r="C1882" i="5"/>
  <c r="B1882" i="5"/>
  <c r="A1882" i="5"/>
  <c r="F1881" i="5"/>
  <c r="E1881" i="5"/>
  <c r="D1881" i="5"/>
  <c r="C1881" i="5"/>
  <c r="B1881" i="5"/>
  <c r="A1881" i="5"/>
  <c r="F1880" i="5"/>
  <c r="E1880" i="5"/>
  <c r="D1880" i="5"/>
  <c r="C1880" i="5"/>
  <c r="B1880" i="5"/>
  <c r="A1880" i="5"/>
  <c r="F1879" i="5"/>
  <c r="E1879" i="5"/>
  <c r="D1879" i="5"/>
  <c r="C1879" i="5"/>
  <c r="B1879" i="5"/>
  <c r="A1879" i="5"/>
  <c r="F1878" i="5"/>
  <c r="E1878" i="5"/>
  <c r="D1878" i="5"/>
  <c r="C1878" i="5"/>
  <c r="B1878" i="5"/>
  <c r="A1878" i="5"/>
  <c r="F1877" i="5"/>
  <c r="E1877" i="5"/>
  <c r="D1877" i="5"/>
  <c r="C1877" i="5"/>
  <c r="B1877" i="5"/>
  <c r="A1877" i="5"/>
  <c r="F1876" i="5"/>
  <c r="E1876" i="5"/>
  <c r="D1876" i="5"/>
  <c r="C1876" i="5"/>
  <c r="B1876" i="5"/>
  <c r="A1876" i="5"/>
  <c r="F1875" i="5"/>
  <c r="E1875" i="5"/>
  <c r="D1875" i="5"/>
  <c r="C1875" i="5"/>
  <c r="B1875" i="5"/>
  <c r="A1875" i="5"/>
  <c r="F1874" i="5"/>
  <c r="E1874" i="5"/>
  <c r="D1874" i="5"/>
  <c r="C1874" i="5"/>
  <c r="B1874" i="5"/>
  <c r="A1874" i="5"/>
  <c r="F1873" i="5"/>
  <c r="E1873" i="5"/>
  <c r="D1873" i="5"/>
  <c r="C1873" i="5"/>
  <c r="B1873" i="5"/>
  <c r="A1873" i="5"/>
  <c r="F1872" i="5"/>
  <c r="E1872" i="5"/>
  <c r="D1872" i="5"/>
  <c r="C1872" i="5"/>
  <c r="B1872" i="5"/>
  <c r="A1872" i="5"/>
  <c r="F1871" i="5"/>
  <c r="E1871" i="5"/>
  <c r="D1871" i="5"/>
  <c r="C1871" i="5"/>
  <c r="B1871" i="5"/>
  <c r="A1871" i="5"/>
  <c r="F1870" i="5"/>
  <c r="E1870" i="5"/>
  <c r="D1870" i="5"/>
  <c r="C1870" i="5"/>
  <c r="B1870" i="5"/>
  <c r="A1870" i="5"/>
  <c r="F1869" i="5"/>
  <c r="E1869" i="5"/>
  <c r="D1869" i="5"/>
  <c r="C1869" i="5"/>
  <c r="B1869" i="5"/>
  <c r="A1869" i="5"/>
  <c r="F1868" i="5"/>
  <c r="E1868" i="5"/>
  <c r="D1868" i="5"/>
  <c r="C1868" i="5"/>
  <c r="B1868" i="5"/>
  <c r="A1868" i="5"/>
  <c r="F1867" i="5"/>
  <c r="E1867" i="5"/>
  <c r="D1867" i="5"/>
  <c r="C1867" i="5"/>
  <c r="B1867" i="5"/>
  <c r="A1867" i="5"/>
  <c r="F1866" i="5"/>
  <c r="E1866" i="5"/>
  <c r="D1866" i="5"/>
  <c r="C1866" i="5"/>
  <c r="B1866" i="5"/>
  <c r="A1866" i="5"/>
  <c r="F1865" i="5"/>
  <c r="E1865" i="5"/>
  <c r="D1865" i="5"/>
  <c r="C1865" i="5"/>
  <c r="B1865" i="5"/>
  <c r="A1865" i="5"/>
  <c r="F1864" i="5"/>
  <c r="E1864" i="5"/>
  <c r="D1864" i="5"/>
  <c r="C1864" i="5"/>
  <c r="B1864" i="5"/>
  <c r="A1864" i="5"/>
  <c r="F1863" i="5"/>
  <c r="E1863" i="5"/>
  <c r="D1863" i="5"/>
  <c r="C1863" i="5"/>
  <c r="B1863" i="5"/>
  <c r="A1863" i="5"/>
  <c r="F1862" i="5"/>
  <c r="E1862" i="5"/>
  <c r="D1862" i="5"/>
  <c r="C1862" i="5"/>
  <c r="B1862" i="5"/>
  <c r="A1862" i="5"/>
  <c r="F1861" i="5"/>
  <c r="E1861" i="5"/>
  <c r="D1861" i="5"/>
  <c r="C1861" i="5"/>
  <c r="B1861" i="5"/>
  <c r="A1861" i="5"/>
  <c r="F1860" i="5"/>
  <c r="E1860" i="5"/>
  <c r="D1860" i="5"/>
  <c r="C1860" i="5"/>
  <c r="B1860" i="5"/>
  <c r="A1860" i="5"/>
  <c r="F1859" i="5"/>
  <c r="E1859" i="5"/>
  <c r="D1859" i="5"/>
  <c r="C1859" i="5"/>
  <c r="B1859" i="5"/>
  <c r="A1859" i="5"/>
  <c r="F1858" i="5"/>
  <c r="E1858" i="5"/>
  <c r="D1858" i="5"/>
  <c r="C1858" i="5"/>
  <c r="B1858" i="5"/>
  <c r="A1858" i="5"/>
  <c r="F1857" i="5"/>
  <c r="E1857" i="5"/>
  <c r="D1857" i="5"/>
  <c r="C1857" i="5"/>
  <c r="B1857" i="5"/>
  <c r="A1857" i="5"/>
  <c r="F1856" i="5"/>
  <c r="E1856" i="5"/>
  <c r="D1856" i="5"/>
  <c r="C1856" i="5"/>
  <c r="B1856" i="5"/>
  <c r="A1856" i="5"/>
  <c r="F1855" i="5"/>
  <c r="E1855" i="5"/>
  <c r="D1855" i="5"/>
  <c r="C1855" i="5"/>
  <c r="B1855" i="5"/>
  <c r="A1855" i="5"/>
  <c r="F1854" i="5"/>
  <c r="E1854" i="5"/>
  <c r="D1854" i="5"/>
  <c r="C1854" i="5"/>
  <c r="B1854" i="5"/>
  <c r="A1854" i="5"/>
  <c r="F1853" i="5"/>
  <c r="E1853" i="5"/>
  <c r="D1853" i="5"/>
  <c r="C1853" i="5"/>
  <c r="B1853" i="5"/>
  <c r="A1853" i="5"/>
  <c r="F1852" i="5"/>
  <c r="E1852" i="5"/>
  <c r="D1852" i="5"/>
  <c r="C1852" i="5"/>
  <c r="B1852" i="5"/>
  <c r="A1852" i="5"/>
  <c r="F1851" i="5"/>
  <c r="E1851" i="5"/>
  <c r="D1851" i="5"/>
  <c r="C1851" i="5"/>
  <c r="B1851" i="5"/>
  <c r="A1851" i="5"/>
  <c r="F1850" i="5"/>
  <c r="E1850" i="5"/>
  <c r="D1850" i="5"/>
  <c r="C1850" i="5"/>
  <c r="B1850" i="5"/>
  <c r="A1850" i="5"/>
  <c r="F1849" i="5"/>
  <c r="E1849" i="5"/>
  <c r="D1849" i="5"/>
  <c r="C1849" i="5"/>
  <c r="B1849" i="5"/>
  <c r="A1849" i="5"/>
  <c r="F1848" i="5"/>
  <c r="E1848" i="5"/>
  <c r="D1848" i="5"/>
  <c r="C1848" i="5"/>
  <c r="B1848" i="5"/>
  <c r="A1848" i="5"/>
  <c r="F1847" i="5"/>
  <c r="E1847" i="5"/>
  <c r="D1847" i="5"/>
  <c r="C1847" i="5"/>
  <c r="B1847" i="5"/>
  <c r="A1847" i="5"/>
  <c r="F1846" i="5"/>
  <c r="E1846" i="5"/>
  <c r="D1846" i="5"/>
  <c r="C1846" i="5"/>
  <c r="B1846" i="5"/>
  <c r="A1846" i="5"/>
  <c r="F1845" i="5"/>
  <c r="E1845" i="5"/>
  <c r="D1845" i="5"/>
  <c r="C1845" i="5"/>
  <c r="B1845" i="5"/>
  <c r="A1845" i="5"/>
  <c r="F1844" i="5"/>
  <c r="E1844" i="5"/>
  <c r="D1844" i="5"/>
  <c r="C1844" i="5"/>
  <c r="B1844" i="5"/>
  <c r="A1844" i="5"/>
  <c r="F1843" i="5"/>
  <c r="E1843" i="5"/>
  <c r="D1843" i="5"/>
  <c r="C1843" i="5"/>
  <c r="B1843" i="5"/>
  <c r="A1843" i="5"/>
  <c r="F1842" i="5"/>
  <c r="E1842" i="5"/>
  <c r="D1842" i="5"/>
  <c r="C1842" i="5"/>
  <c r="B1842" i="5"/>
  <c r="A1842" i="5"/>
  <c r="F1841" i="5"/>
  <c r="E1841" i="5"/>
  <c r="D1841" i="5"/>
  <c r="C1841" i="5"/>
  <c r="B1841" i="5"/>
  <c r="A1841" i="5"/>
  <c r="F1840" i="5"/>
  <c r="E1840" i="5"/>
  <c r="D1840" i="5"/>
  <c r="C1840" i="5"/>
  <c r="B1840" i="5"/>
  <c r="A1840" i="5"/>
  <c r="F1839" i="5"/>
  <c r="E1839" i="5"/>
  <c r="D1839" i="5"/>
  <c r="C1839" i="5"/>
  <c r="B1839" i="5"/>
  <c r="A1839" i="5"/>
  <c r="F1838" i="5"/>
  <c r="E1838" i="5"/>
  <c r="D1838" i="5"/>
  <c r="C1838" i="5"/>
  <c r="B1838" i="5"/>
  <c r="A1838" i="5"/>
  <c r="F1837" i="5"/>
  <c r="E1837" i="5"/>
  <c r="D1837" i="5"/>
  <c r="C1837" i="5"/>
  <c r="B1837" i="5"/>
  <c r="A1837" i="5"/>
  <c r="F1836" i="5"/>
  <c r="E1836" i="5"/>
  <c r="D1836" i="5"/>
  <c r="C1836" i="5"/>
  <c r="B1836" i="5"/>
  <c r="A1836" i="5"/>
  <c r="F1835" i="5"/>
  <c r="E1835" i="5"/>
  <c r="D1835" i="5"/>
  <c r="C1835" i="5"/>
  <c r="B1835" i="5"/>
  <c r="A1835" i="5"/>
  <c r="F1834" i="5"/>
  <c r="E1834" i="5"/>
  <c r="D1834" i="5"/>
  <c r="C1834" i="5"/>
  <c r="B1834" i="5"/>
  <c r="A1834" i="5"/>
  <c r="F1833" i="5"/>
  <c r="E1833" i="5"/>
  <c r="D1833" i="5"/>
  <c r="C1833" i="5"/>
  <c r="B1833" i="5"/>
  <c r="A1833" i="5"/>
  <c r="F1832" i="5"/>
  <c r="E1832" i="5"/>
  <c r="D1832" i="5"/>
  <c r="C1832" i="5"/>
  <c r="B1832" i="5"/>
  <c r="A1832" i="5"/>
  <c r="F1831" i="5"/>
  <c r="E1831" i="5"/>
  <c r="D1831" i="5"/>
  <c r="C1831" i="5"/>
  <c r="B1831" i="5"/>
  <c r="A1831" i="5"/>
  <c r="F1830" i="5"/>
  <c r="E1830" i="5"/>
  <c r="D1830" i="5"/>
  <c r="C1830" i="5"/>
  <c r="B1830" i="5"/>
  <c r="A1830" i="5"/>
  <c r="F1829" i="5"/>
  <c r="E1829" i="5"/>
  <c r="D1829" i="5"/>
  <c r="C1829" i="5"/>
  <c r="B1829" i="5"/>
  <c r="A1829" i="5"/>
  <c r="F1828" i="5"/>
  <c r="E1828" i="5"/>
  <c r="D1828" i="5"/>
  <c r="C1828" i="5"/>
  <c r="B1828" i="5"/>
  <c r="A1828" i="5"/>
  <c r="F1827" i="5"/>
  <c r="E1827" i="5"/>
  <c r="D1827" i="5"/>
  <c r="C1827" i="5"/>
  <c r="B1827" i="5"/>
  <c r="A1827" i="5"/>
  <c r="F1826" i="5"/>
  <c r="E1826" i="5"/>
  <c r="D1826" i="5"/>
  <c r="C1826" i="5"/>
  <c r="B1826" i="5"/>
  <c r="A1826" i="5"/>
  <c r="F1825" i="5"/>
  <c r="E1825" i="5"/>
  <c r="D1825" i="5"/>
  <c r="C1825" i="5"/>
  <c r="B1825" i="5"/>
  <c r="A1825" i="5"/>
  <c r="F1824" i="5"/>
  <c r="E1824" i="5"/>
  <c r="D1824" i="5"/>
  <c r="C1824" i="5"/>
  <c r="B1824" i="5"/>
  <c r="A1824" i="5"/>
  <c r="F1823" i="5"/>
  <c r="E1823" i="5"/>
  <c r="D1823" i="5"/>
  <c r="C1823" i="5"/>
  <c r="B1823" i="5"/>
  <c r="A1823" i="5"/>
  <c r="F1822" i="5"/>
  <c r="E1822" i="5"/>
  <c r="D1822" i="5"/>
  <c r="C1822" i="5"/>
  <c r="B1822" i="5"/>
  <c r="A1822" i="5"/>
  <c r="F1821" i="5"/>
  <c r="E1821" i="5"/>
  <c r="D1821" i="5"/>
  <c r="C1821" i="5"/>
  <c r="B1821" i="5"/>
  <c r="A1821" i="5"/>
  <c r="F1820" i="5"/>
  <c r="E1820" i="5"/>
  <c r="D1820" i="5"/>
  <c r="C1820" i="5"/>
  <c r="B1820" i="5"/>
  <c r="A1820" i="5"/>
  <c r="F1819" i="5"/>
  <c r="E1819" i="5"/>
  <c r="D1819" i="5"/>
  <c r="C1819" i="5"/>
  <c r="B1819" i="5"/>
  <c r="A1819" i="5"/>
  <c r="F1818" i="5"/>
  <c r="E1818" i="5"/>
  <c r="D1818" i="5"/>
  <c r="C1818" i="5"/>
  <c r="B1818" i="5"/>
  <c r="A1818" i="5"/>
  <c r="F1817" i="5"/>
  <c r="E1817" i="5"/>
  <c r="D1817" i="5"/>
  <c r="C1817" i="5"/>
  <c r="B1817" i="5"/>
  <c r="A1817" i="5"/>
  <c r="F1816" i="5"/>
  <c r="E1816" i="5"/>
  <c r="D1816" i="5"/>
  <c r="C1816" i="5"/>
  <c r="B1816" i="5"/>
  <c r="A1816" i="5"/>
  <c r="F1815" i="5"/>
  <c r="E1815" i="5"/>
  <c r="D1815" i="5"/>
  <c r="C1815" i="5"/>
  <c r="B1815" i="5"/>
  <c r="A1815" i="5"/>
  <c r="F1814" i="5"/>
  <c r="E1814" i="5"/>
  <c r="D1814" i="5"/>
  <c r="C1814" i="5"/>
  <c r="B1814" i="5"/>
  <c r="A1814" i="5"/>
  <c r="F1813" i="5"/>
  <c r="E1813" i="5"/>
  <c r="D1813" i="5"/>
  <c r="C1813" i="5"/>
  <c r="B1813" i="5"/>
  <c r="A1813" i="5"/>
  <c r="F1812" i="5"/>
  <c r="E1812" i="5"/>
  <c r="D1812" i="5"/>
  <c r="C1812" i="5"/>
  <c r="B1812" i="5"/>
  <c r="A1812" i="5"/>
  <c r="F1811" i="5"/>
  <c r="E1811" i="5"/>
  <c r="D1811" i="5"/>
  <c r="C1811" i="5"/>
  <c r="B1811" i="5"/>
  <c r="A1811" i="5"/>
  <c r="F1810" i="5"/>
  <c r="E1810" i="5"/>
  <c r="D1810" i="5"/>
  <c r="C1810" i="5"/>
  <c r="B1810" i="5"/>
  <c r="A1810" i="5"/>
  <c r="F1809" i="5"/>
  <c r="E1809" i="5"/>
  <c r="D1809" i="5"/>
  <c r="C1809" i="5"/>
  <c r="B1809" i="5"/>
  <c r="A1809" i="5"/>
  <c r="F1808" i="5"/>
  <c r="E1808" i="5"/>
  <c r="D1808" i="5"/>
  <c r="C1808" i="5"/>
  <c r="B1808" i="5"/>
  <c r="A1808" i="5"/>
  <c r="F1807" i="5"/>
  <c r="E1807" i="5"/>
  <c r="D1807" i="5"/>
  <c r="C1807" i="5"/>
  <c r="B1807" i="5"/>
  <c r="A1807" i="5"/>
  <c r="F1806" i="5"/>
  <c r="E1806" i="5"/>
  <c r="D1806" i="5"/>
  <c r="C1806" i="5"/>
  <c r="B1806" i="5"/>
  <c r="A1806" i="5"/>
  <c r="F1805" i="5"/>
  <c r="E1805" i="5"/>
  <c r="D1805" i="5"/>
  <c r="C1805" i="5"/>
  <c r="B1805" i="5"/>
  <c r="A1805" i="5"/>
  <c r="F1804" i="5"/>
  <c r="E1804" i="5"/>
  <c r="D1804" i="5"/>
  <c r="C1804" i="5"/>
  <c r="B1804" i="5"/>
  <c r="A1804" i="5"/>
  <c r="F1803" i="5"/>
  <c r="E1803" i="5"/>
  <c r="D1803" i="5"/>
  <c r="C1803" i="5"/>
  <c r="B1803" i="5"/>
  <c r="A1803" i="5"/>
  <c r="F1802" i="5"/>
  <c r="E1802" i="5"/>
  <c r="D1802" i="5"/>
  <c r="C1802" i="5"/>
  <c r="B1802" i="5"/>
  <c r="A1802" i="5"/>
  <c r="F1801" i="5"/>
  <c r="E1801" i="5"/>
  <c r="D1801" i="5"/>
  <c r="C1801" i="5"/>
  <c r="B1801" i="5"/>
  <c r="A1801" i="5"/>
  <c r="F1800" i="5"/>
  <c r="E1800" i="5"/>
  <c r="D1800" i="5"/>
  <c r="C1800" i="5"/>
  <c r="B1800" i="5"/>
  <c r="A1800" i="5"/>
  <c r="F1799" i="5"/>
  <c r="E1799" i="5"/>
  <c r="D1799" i="5"/>
  <c r="C1799" i="5"/>
  <c r="B1799" i="5"/>
  <c r="A1799" i="5"/>
  <c r="F1798" i="5"/>
  <c r="E1798" i="5"/>
  <c r="D1798" i="5"/>
  <c r="C1798" i="5"/>
  <c r="B1798" i="5"/>
  <c r="A1798" i="5"/>
  <c r="F1797" i="5"/>
  <c r="E1797" i="5"/>
  <c r="D1797" i="5"/>
  <c r="C1797" i="5"/>
  <c r="B1797" i="5"/>
  <c r="A1797" i="5"/>
  <c r="F1796" i="5"/>
  <c r="E1796" i="5"/>
  <c r="D1796" i="5"/>
  <c r="C1796" i="5"/>
  <c r="B1796" i="5"/>
  <c r="A1796" i="5"/>
  <c r="F1795" i="5"/>
  <c r="E1795" i="5"/>
  <c r="D1795" i="5"/>
  <c r="C1795" i="5"/>
  <c r="B1795" i="5"/>
  <c r="A1795" i="5"/>
  <c r="F1794" i="5"/>
  <c r="E1794" i="5"/>
  <c r="D1794" i="5"/>
  <c r="C1794" i="5"/>
  <c r="B1794" i="5"/>
  <c r="A1794" i="5"/>
  <c r="F1793" i="5"/>
  <c r="E1793" i="5"/>
  <c r="D1793" i="5"/>
  <c r="C1793" i="5"/>
  <c r="B1793" i="5"/>
  <c r="A1793" i="5"/>
  <c r="F1792" i="5"/>
  <c r="E1792" i="5"/>
  <c r="D1792" i="5"/>
  <c r="C1792" i="5"/>
  <c r="B1792" i="5"/>
  <c r="A1792" i="5"/>
  <c r="F1791" i="5"/>
  <c r="E1791" i="5"/>
  <c r="D1791" i="5"/>
  <c r="C1791" i="5"/>
  <c r="B1791" i="5"/>
  <c r="A1791" i="5"/>
  <c r="F1790" i="5"/>
  <c r="E1790" i="5"/>
  <c r="D1790" i="5"/>
  <c r="C1790" i="5"/>
  <c r="B1790" i="5"/>
  <c r="A1790" i="5"/>
  <c r="F1789" i="5"/>
  <c r="E1789" i="5"/>
  <c r="D1789" i="5"/>
  <c r="C1789" i="5"/>
  <c r="B1789" i="5"/>
  <c r="A1789" i="5"/>
  <c r="F1788" i="5"/>
  <c r="E1788" i="5"/>
  <c r="D1788" i="5"/>
  <c r="C1788" i="5"/>
  <c r="B1788" i="5"/>
  <c r="A1788" i="5"/>
  <c r="F1787" i="5"/>
  <c r="E1787" i="5"/>
  <c r="D1787" i="5"/>
  <c r="C1787" i="5"/>
  <c r="B1787" i="5"/>
  <c r="A1787" i="5"/>
  <c r="F1786" i="5"/>
  <c r="E1786" i="5"/>
  <c r="D1786" i="5"/>
  <c r="C1786" i="5"/>
  <c r="B1786" i="5"/>
  <c r="A1786" i="5"/>
  <c r="F1785" i="5"/>
  <c r="E1785" i="5"/>
  <c r="D1785" i="5"/>
  <c r="C1785" i="5"/>
  <c r="B1785" i="5"/>
  <c r="A1785" i="5"/>
  <c r="F1784" i="5"/>
  <c r="E1784" i="5"/>
  <c r="D1784" i="5"/>
  <c r="C1784" i="5"/>
  <c r="B1784" i="5"/>
  <c r="A1784" i="5"/>
  <c r="F1783" i="5"/>
  <c r="E1783" i="5"/>
  <c r="D1783" i="5"/>
  <c r="C1783" i="5"/>
  <c r="B1783" i="5"/>
  <c r="A1783" i="5"/>
  <c r="F1782" i="5"/>
  <c r="E1782" i="5"/>
  <c r="D1782" i="5"/>
  <c r="C1782" i="5"/>
  <c r="B1782" i="5"/>
  <c r="A1782" i="5"/>
  <c r="F1781" i="5"/>
  <c r="E1781" i="5"/>
  <c r="D1781" i="5"/>
  <c r="C1781" i="5"/>
  <c r="B1781" i="5"/>
  <c r="A1781" i="5"/>
  <c r="F1780" i="5"/>
  <c r="E1780" i="5"/>
  <c r="D1780" i="5"/>
  <c r="C1780" i="5"/>
  <c r="B1780" i="5"/>
  <c r="A1780" i="5"/>
  <c r="F1779" i="5"/>
  <c r="E1779" i="5"/>
  <c r="D1779" i="5"/>
  <c r="C1779" i="5"/>
  <c r="B1779" i="5"/>
  <c r="A1779" i="5"/>
  <c r="F1778" i="5"/>
  <c r="E1778" i="5"/>
  <c r="D1778" i="5"/>
  <c r="C1778" i="5"/>
  <c r="B1778" i="5"/>
  <c r="A1778" i="5"/>
  <c r="F1777" i="5"/>
  <c r="E1777" i="5"/>
  <c r="D1777" i="5"/>
  <c r="C1777" i="5"/>
  <c r="B1777" i="5"/>
  <c r="A1777" i="5"/>
  <c r="F1776" i="5"/>
  <c r="E1776" i="5"/>
  <c r="D1776" i="5"/>
  <c r="C1776" i="5"/>
  <c r="B1776" i="5"/>
  <c r="A1776" i="5"/>
  <c r="F1775" i="5"/>
  <c r="E1775" i="5"/>
  <c r="D1775" i="5"/>
  <c r="C1775" i="5"/>
  <c r="B1775" i="5"/>
  <c r="A1775" i="5"/>
  <c r="F1774" i="5"/>
  <c r="E1774" i="5"/>
  <c r="D1774" i="5"/>
  <c r="C1774" i="5"/>
  <c r="B1774" i="5"/>
  <c r="A1774" i="5"/>
  <c r="F1773" i="5"/>
  <c r="E1773" i="5"/>
  <c r="D1773" i="5"/>
  <c r="C1773" i="5"/>
  <c r="B1773" i="5"/>
  <c r="A1773" i="5"/>
  <c r="F1772" i="5"/>
  <c r="E1772" i="5"/>
  <c r="D1772" i="5"/>
  <c r="C1772" i="5"/>
  <c r="B1772" i="5"/>
  <c r="A1772" i="5"/>
  <c r="F1771" i="5"/>
  <c r="E1771" i="5"/>
  <c r="D1771" i="5"/>
  <c r="C1771" i="5"/>
  <c r="B1771" i="5"/>
  <c r="A1771" i="5"/>
  <c r="F1770" i="5"/>
  <c r="E1770" i="5"/>
  <c r="D1770" i="5"/>
  <c r="C1770" i="5"/>
  <c r="B1770" i="5"/>
  <c r="A1770" i="5"/>
  <c r="F1769" i="5"/>
  <c r="E1769" i="5"/>
  <c r="D1769" i="5"/>
  <c r="C1769" i="5"/>
  <c r="B1769" i="5"/>
  <c r="A1769" i="5"/>
  <c r="F1768" i="5"/>
  <c r="E1768" i="5"/>
  <c r="D1768" i="5"/>
  <c r="C1768" i="5"/>
  <c r="B1768" i="5"/>
  <c r="A1768" i="5"/>
  <c r="F1767" i="5"/>
  <c r="E1767" i="5"/>
  <c r="D1767" i="5"/>
  <c r="C1767" i="5"/>
  <c r="B1767" i="5"/>
  <c r="A1767" i="5"/>
  <c r="F1766" i="5"/>
  <c r="E1766" i="5"/>
  <c r="D1766" i="5"/>
  <c r="C1766" i="5"/>
  <c r="B1766" i="5"/>
  <c r="A1766" i="5"/>
  <c r="F1765" i="5"/>
  <c r="E1765" i="5"/>
  <c r="D1765" i="5"/>
  <c r="C1765" i="5"/>
  <c r="B1765" i="5"/>
  <c r="A1765" i="5"/>
  <c r="F1764" i="5"/>
  <c r="E1764" i="5"/>
  <c r="D1764" i="5"/>
  <c r="C1764" i="5"/>
  <c r="B1764" i="5"/>
  <c r="A1764" i="5"/>
  <c r="F1763" i="5"/>
  <c r="E1763" i="5"/>
  <c r="D1763" i="5"/>
  <c r="C1763" i="5"/>
  <c r="B1763" i="5"/>
  <c r="A1763" i="5"/>
  <c r="F1762" i="5"/>
  <c r="E1762" i="5"/>
  <c r="D1762" i="5"/>
  <c r="C1762" i="5"/>
  <c r="B1762" i="5"/>
  <c r="A1762" i="5"/>
  <c r="F1761" i="5"/>
  <c r="E1761" i="5"/>
  <c r="D1761" i="5"/>
  <c r="C1761" i="5"/>
  <c r="B1761" i="5"/>
  <c r="A1761" i="5"/>
  <c r="F1760" i="5"/>
  <c r="E1760" i="5"/>
  <c r="D1760" i="5"/>
  <c r="C1760" i="5"/>
  <c r="B1760" i="5"/>
  <c r="A1760" i="5"/>
  <c r="F1759" i="5"/>
  <c r="E1759" i="5"/>
  <c r="D1759" i="5"/>
  <c r="C1759" i="5"/>
  <c r="B1759" i="5"/>
  <c r="A1759" i="5"/>
  <c r="F1758" i="5"/>
  <c r="E1758" i="5"/>
  <c r="D1758" i="5"/>
  <c r="C1758" i="5"/>
  <c r="B1758" i="5"/>
  <c r="A1758" i="5"/>
  <c r="F1757" i="5"/>
  <c r="E1757" i="5"/>
  <c r="D1757" i="5"/>
  <c r="C1757" i="5"/>
  <c r="B1757" i="5"/>
  <c r="A1757" i="5"/>
  <c r="F1756" i="5"/>
  <c r="E1756" i="5"/>
  <c r="D1756" i="5"/>
  <c r="C1756" i="5"/>
  <c r="B1756" i="5"/>
  <c r="A1756" i="5"/>
  <c r="F1755" i="5"/>
  <c r="E1755" i="5"/>
  <c r="D1755" i="5"/>
  <c r="C1755" i="5"/>
  <c r="B1755" i="5"/>
  <c r="A1755" i="5"/>
  <c r="F1754" i="5"/>
  <c r="E1754" i="5"/>
  <c r="D1754" i="5"/>
  <c r="C1754" i="5"/>
  <c r="B1754" i="5"/>
  <c r="A1754" i="5"/>
  <c r="F1753" i="5"/>
  <c r="E1753" i="5"/>
  <c r="D1753" i="5"/>
  <c r="C1753" i="5"/>
  <c r="B1753" i="5"/>
  <c r="A1753" i="5"/>
  <c r="F1752" i="5"/>
  <c r="E1752" i="5"/>
  <c r="D1752" i="5"/>
  <c r="C1752" i="5"/>
  <c r="B1752" i="5"/>
  <c r="A1752" i="5"/>
  <c r="F1751" i="5"/>
  <c r="E1751" i="5"/>
  <c r="D1751" i="5"/>
  <c r="C1751" i="5"/>
  <c r="B1751" i="5"/>
  <c r="A1751" i="5"/>
  <c r="F1750" i="5"/>
  <c r="E1750" i="5"/>
  <c r="D1750" i="5"/>
  <c r="C1750" i="5"/>
  <c r="B1750" i="5"/>
  <c r="A1750" i="5"/>
  <c r="F1749" i="5"/>
  <c r="E1749" i="5"/>
  <c r="D1749" i="5"/>
  <c r="C1749" i="5"/>
  <c r="B1749" i="5"/>
  <c r="A1749" i="5"/>
  <c r="F1748" i="5"/>
  <c r="E1748" i="5"/>
  <c r="D1748" i="5"/>
  <c r="C1748" i="5"/>
  <c r="B1748" i="5"/>
  <c r="A1748" i="5"/>
  <c r="F1747" i="5"/>
  <c r="E1747" i="5"/>
  <c r="D1747" i="5"/>
  <c r="C1747" i="5"/>
  <c r="B1747" i="5"/>
  <c r="A1747" i="5"/>
  <c r="F1746" i="5"/>
  <c r="E1746" i="5"/>
  <c r="D1746" i="5"/>
  <c r="C1746" i="5"/>
  <c r="B1746" i="5"/>
  <c r="A1746" i="5"/>
  <c r="F1745" i="5"/>
  <c r="E1745" i="5"/>
  <c r="D1745" i="5"/>
  <c r="C1745" i="5"/>
  <c r="B1745" i="5"/>
  <c r="A1745" i="5"/>
  <c r="F1744" i="5"/>
  <c r="E1744" i="5"/>
  <c r="D1744" i="5"/>
  <c r="C1744" i="5"/>
  <c r="B1744" i="5"/>
  <c r="A1744" i="5"/>
  <c r="F1743" i="5"/>
  <c r="E1743" i="5"/>
  <c r="D1743" i="5"/>
  <c r="C1743" i="5"/>
  <c r="B1743" i="5"/>
  <c r="A1743" i="5"/>
  <c r="F1742" i="5"/>
  <c r="E1742" i="5"/>
  <c r="D1742" i="5"/>
  <c r="C1742" i="5"/>
  <c r="B1742" i="5"/>
  <c r="A1742" i="5"/>
  <c r="F1741" i="5"/>
  <c r="E1741" i="5"/>
  <c r="D1741" i="5"/>
  <c r="C1741" i="5"/>
  <c r="B1741" i="5"/>
  <c r="A1741" i="5"/>
  <c r="F1740" i="5"/>
  <c r="E1740" i="5"/>
  <c r="D1740" i="5"/>
  <c r="C1740" i="5"/>
  <c r="B1740" i="5"/>
  <c r="A1740" i="5"/>
  <c r="F1739" i="5"/>
  <c r="E1739" i="5"/>
  <c r="D1739" i="5"/>
  <c r="C1739" i="5"/>
  <c r="B1739" i="5"/>
  <c r="A1739" i="5"/>
  <c r="F1738" i="5"/>
  <c r="E1738" i="5"/>
  <c r="D1738" i="5"/>
  <c r="C1738" i="5"/>
  <c r="B1738" i="5"/>
  <c r="A1738" i="5"/>
  <c r="F1737" i="5"/>
  <c r="E1737" i="5"/>
  <c r="D1737" i="5"/>
  <c r="C1737" i="5"/>
  <c r="B1737" i="5"/>
  <c r="A1737" i="5"/>
  <c r="F1736" i="5"/>
  <c r="E1736" i="5"/>
  <c r="D1736" i="5"/>
  <c r="C1736" i="5"/>
  <c r="B1736" i="5"/>
  <c r="A1736" i="5"/>
  <c r="F1735" i="5"/>
  <c r="E1735" i="5"/>
  <c r="D1735" i="5"/>
  <c r="C1735" i="5"/>
  <c r="B1735" i="5"/>
  <c r="A1735" i="5"/>
  <c r="F1734" i="5"/>
  <c r="E1734" i="5"/>
  <c r="D1734" i="5"/>
  <c r="C1734" i="5"/>
  <c r="B1734" i="5"/>
  <c r="A1734" i="5"/>
  <c r="F1733" i="5"/>
  <c r="E1733" i="5"/>
  <c r="D1733" i="5"/>
  <c r="C1733" i="5"/>
  <c r="B1733" i="5"/>
  <c r="A1733" i="5"/>
  <c r="F1732" i="5"/>
  <c r="E1732" i="5"/>
  <c r="D1732" i="5"/>
  <c r="C1732" i="5"/>
  <c r="B1732" i="5"/>
  <c r="A1732" i="5"/>
  <c r="F1731" i="5"/>
  <c r="E1731" i="5"/>
  <c r="D1731" i="5"/>
  <c r="C1731" i="5"/>
  <c r="B1731" i="5"/>
  <c r="A1731" i="5"/>
  <c r="F1730" i="5"/>
  <c r="E1730" i="5"/>
  <c r="D1730" i="5"/>
  <c r="C1730" i="5"/>
  <c r="B1730" i="5"/>
  <c r="A1730" i="5"/>
  <c r="F1729" i="5"/>
  <c r="E1729" i="5"/>
  <c r="D1729" i="5"/>
  <c r="C1729" i="5"/>
  <c r="B1729" i="5"/>
  <c r="A1729" i="5"/>
  <c r="F1728" i="5"/>
  <c r="E1728" i="5"/>
  <c r="D1728" i="5"/>
  <c r="C1728" i="5"/>
  <c r="B1728" i="5"/>
  <c r="A1728" i="5"/>
  <c r="F1727" i="5"/>
  <c r="E1727" i="5"/>
  <c r="D1727" i="5"/>
  <c r="C1727" i="5"/>
  <c r="B1727" i="5"/>
  <c r="A1727" i="5"/>
  <c r="F1726" i="5"/>
  <c r="E1726" i="5"/>
  <c r="D1726" i="5"/>
  <c r="C1726" i="5"/>
  <c r="B1726" i="5"/>
  <c r="A1726" i="5"/>
  <c r="F1725" i="5"/>
  <c r="E1725" i="5"/>
  <c r="D1725" i="5"/>
  <c r="C1725" i="5"/>
  <c r="B1725" i="5"/>
  <c r="A1725" i="5"/>
  <c r="F1724" i="5"/>
  <c r="E1724" i="5"/>
  <c r="D1724" i="5"/>
  <c r="C1724" i="5"/>
  <c r="B1724" i="5"/>
  <c r="A1724" i="5"/>
  <c r="F1723" i="5"/>
  <c r="E1723" i="5"/>
  <c r="D1723" i="5"/>
  <c r="C1723" i="5"/>
  <c r="B1723" i="5"/>
  <c r="A1723" i="5"/>
  <c r="F1722" i="5"/>
  <c r="E1722" i="5"/>
  <c r="D1722" i="5"/>
  <c r="C1722" i="5"/>
  <c r="B1722" i="5"/>
  <c r="A1722" i="5"/>
  <c r="F1721" i="5"/>
  <c r="E1721" i="5"/>
  <c r="D1721" i="5"/>
  <c r="C1721" i="5"/>
  <c r="B1721" i="5"/>
  <c r="A1721" i="5"/>
  <c r="F1720" i="5"/>
  <c r="E1720" i="5"/>
  <c r="D1720" i="5"/>
  <c r="C1720" i="5"/>
  <c r="B1720" i="5"/>
  <c r="A1720" i="5"/>
  <c r="F1719" i="5"/>
  <c r="E1719" i="5"/>
  <c r="D1719" i="5"/>
  <c r="C1719" i="5"/>
  <c r="B1719" i="5"/>
  <c r="A1719" i="5"/>
  <c r="F1718" i="5"/>
  <c r="E1718" i="5"/>
  <c r="D1718" i="5"/>
  <c r="C1718" i="5"/>
  <c r="B1718" i="5"/>
  <c r="A1718" i="5"/>
  <c r="F1717" i="5"/>
  <c r="E1717" i="5"/>
  <c r="D1717" i="5"/>
  <c r="C1717" i="5"/>
  <c r="B1717" i="5"/>
  <c r="A1717" i="5"/>
  <c r="F1716" i="5"/>
  <c r="E1716" i="5"/>
  <c r="D1716" i="5"/>
  <c r="C1716" i="5"/>
  <c r="B1716" i="5"/>
  <c r="A1716" i="5"/>
  <c r="F1715" i="5"/>
  <c r="E1715" i="5"/>
  <c r="D1715" i="5"/>
  <c r="C1715" i="5"/>
  <c r="B1715" i="5"/>
  <c r="A1715" i="5"/>
  <c r="F1714" i="5"/>
  <c r="E1714" i="5"/>
  <c r="D1714" i="5"/>
  <c r="C1714" i="5"/>
  <c r="B1714" i="5"/>
  <c r="A1714" i="5"/>
  <c r="F1713" i="5"/>
  <c r="E1713" i="5"/>
  <c r="D1713" i="5"/>
  <c r="C1713" i="5"/>
  <c r="B1713" i="5"/>
  <c r="A1713" i="5"/>
  <c r="F1712" i="5"/>
  <c r="E1712" i="5"/>
  <c r="D1712" i="5"/>
  <c r="C1712" i="5"/>
  <c r="B1712" i="5"/>
  <c r="A1712" i="5"/>
  <c r="F1711" i="5"/>
  <c r="E1711" i="5"/>
  <c r="D1711" i="5"/>
  <c r="C1711" i="5"/>
  <c r="B1711" i="5"/>
  <c r="A1711" i="5"/>
  <c r="F1710" i="5"/>
  <c r="E1710" i="5"/>
  <c r="D1710" i="5"/>
  <c r="C1710" i="5"/>
  <c r="B1710" i="5"/>
  <c r="A1710" i="5"/>
  <c r="F1709" i="5"/>
  <c r="E1709" i="5"/>
  <c r="D1709" i="5"/>
  <c r="C1709" i="5"/>
  <c r="B1709" i="5"/>
  <c r="A1709" i="5"/>
  <c r="F1708" i="5"/>
  <c r="E1708" i="5"/>
  <c r="D1708" i="5"/>
  <c r="C1708" i="5"/>
  <c r="B1708" i="5"/>
  <c r="A1708" i="5"/>
  <c r="F1707" i="5"/>
  <c r="E1707" i="5"/>
  <c r="D1707" i="5"/>
  <c r="C1707" i="5"/>
  <c r="B1707" i="5"/>
  <c r="A1707" i="5"/>
  <c r="F1706" i="5"/>
  <c r="E1706" i="5"/>
  <c r="D1706" i="5"/>
  <c r="C1706" i="5"/>
  <c r="B1706" i="5"/>
  <c r="A1706" i="5"/>
  <c r="F1705" i="5"/>
  <c r="E1705" i="5"/>
  <c r="D1705" i="5"/>
  <c r="C1705" i="5"/>
  <c r="B1705" i="5"/>
  <c r="A1705" i="5"/>
  <c r="F1704" i="5"/>
  <c r="E1704" i="5"/>
  <c r="D1704" i="5"/>
  <c r="C1704" i="5"/>
  <c r="B1704" i="5"/>
  <c r="A1704" i="5"/>
  <c r="F1703" i="5"/>
  <c r="E1703" i="5"/>
  <c r="D1703" i="5"/>
  <c r="C1703" i="5"/>
  <c r="B1703" i="5"/>
  <c r="A1703" i="5"/>
  <c r="F1702" i="5"/>
  <c r="E1702" i="5"/>
  <c r="D1702" i="5"/>
  <c r="C1702" i="5"/>
  <c r="B1702" i="5"/>
  <c r="A1702" i="5"/>
  <c r="F1701" i="5"/>
  <c r="E1701" i="5"/>
  <c r="D1701" i="5"/>
  <c r="C1701" i="5"/>
  <c r="B1701" i="5"/>
  <c r="A1701" i="5"/>
  <c r="F1700" i="5"/>
  <c r="E1700" i="5"/>
  <c r="D1700" i="5"/>
  <c r="C1700" i="5"/>
  <c r="B1700" i="5"/>
  <c r="A1700" i="5"/>
  <c r="F1699" i="5"/>
  <c r="E1699" i="5"/>
  <c r="D1699" i="5"/>
  <c r="C1699" i="5"/>
  <c r="B1699" i="5"/>
  <c r="A1699" i="5"/>
  <c r="F1698" i="5"/>
  <c r="E1698" i="5"/>
  <c r="D1698" i="5"/>
  <c r="C1698" i="5"/>
  <c r="B1698" i="5"/>
  <c r="A1698" i="5"/>
  <c r="F1697" i="5"/>
  <c r="E1697" i="5"/>
  <c r="D1697" i="5"/>
  <c r="C1697" i="5"/>
  <c r="B1697" i="5"/>
  <c r="A1697" i="5"/>
  <c r="F1696" i="5"/>
  <c r="E1696" i="5"/>
  <c r="D1696" i="5"/>
  <c r="C1696" i="5"/>
  <c r="B1696" i="5"/>
  <c r="A1696" i="5"/>
  <c r="F1695" i="5"/>
  <c r="E1695" i="5"/>
  <c r="D1695" i="5"/>
  <c r="C1695" i="5"/>
  <c r="B1695" i="5"/>
  <c r="A1695" i="5"/>
  <c r="F1694" i="5"/>
  <c r="E1694" i="5"/>
  <c r="D1694" i="5"/>
  <c r="C1694" i="5"/>
  <c r="B1694" i="5"/>
  <c r="A1694" i="5"/>
  <c r="F1693" i="5"/>
  <c r="E1693" i="5"/>
  <c r="D1693" i="5"/>
  <c r="C1693" i="5"/>
  <c r="B1693" i="5"/>
  <c r="A1693" i="5"/>
  <c r="F1692" i="5"/>
  <c r="E1692" i="5"/>
  <c r="D1692" i="5"/>
  <c r="C1692" i="5"/>
  <c r="B1692" i="5"/>
  <c r="A1692" i="5"/>
  <c r="F1691" i="5"/>
  <c r="E1691" i="5"/>
  <c r="D1691" i="5"/>
  <c r="C1691" i="5"/>
  <c r="B1691" i="5"/>
  <c r="A1691" i="5"/>
  <c r="F1690" i="5"/>
  <c r="E1690" i="5"/>
  <c r="D1690" i="5"/>
  <c r="C1690" i="5"/>
  <c r="B1690" i="5"/>
  <c r="A1690" i="5"/>
  <c r="F1689" i="5"/>
  <c r="E1689" i="5"/>
  <c r="D1689" i="5"/>
  <c r="C1689" i="5"/>
  <c r="B1689" i="5"/>
  <c r="A1689" i="5"/>
  <c r="F1688" i="5"/>
  <c r="E1688" i="5"/>
  <c r="D1688" i="5"/>
  <c r="C1688" i="5"/>
  <c r="B1688" i="5"/>
  <c r="A1688" i="5"/>
  <c r="F1687" i="5"/>
  <c r="E1687" i="5"/>
  <c r="D1687" i="5"/>
  <c r="C1687" i="5"/>
  <c r="B1687" i="5"/>
  <c r="A1687" i="5"/>
  <c r="F1686" i="5"/>
  <c r="E1686" i="5"/>
  <c r="D1686" i="5"/>
  <c r="C1686" i="5"/>
  <c r="B1686" i="5"/>
  <c r="A1686" i="5"/>
  <c r="F1685" i="5"/>
  <c r="E1685" i="5"/>
  <c r="D1685" i="5"/>
  <c r="C1685" i="5"/>
  <c r="B1685" i="5"/>
  <c r="A1685" i="5"/>
  <c r="F1684" i="5"/>
  <c r="E1684" i="5"/>
  <c r="D1684" i="5"/>
  <c r="C1684" i="5"/>
  <c r="B1684" i="5"/>
  <c r="A1684" i="5"/>
  <c r="F1683" i="5"/>
  <c r="E1683" i="5"/>
  <c r="D1683" i="5"/>
  <c r="C1683" i="5"/>
  <c r="B1683" i="5"/>
  <c r="A1683" i="5"/>
  <c r="F1682" i="5"/>
  <c r="E1682" i="5"/>
  <c r="D1682" i="5"/>
  <c r="C1682" i="5"/>
  <c r="B1682" i="5"/>
  <c r="A1682" i="5"/>
  <c r="F1681" i="5"/>
  <c r="E1681" i="5"/>
  <c r="D1681" i="5"/>
  <c r="C1681" i="5"/>
  <c r="B1681" i="5"/>
  <c r="A1681" i="5"/>
  <c r="F1680" i="5"/>
  <c r="E1680" i="5"/>
  <c r="D1680" i="5"/>
  <c r="C1680" i="5"/>
  <c r="B1680" i="5"/>
  <c r="A1680" i="5"/>
  <c r="F1679" i="5"/>
  <c r="E1679" i="5"/>
  <c r="D1679" i="5"/>
  <c r="C1679" i="5"/>
  <c r="B1679" i="5"/>
  <c r="A1679" i="5"/>
  <c r="F1678" i="5"/>
  <c r="E1678" i="5"/>
  <c r="D1678" i="5"/>
  <c r="C1678" i="5"/>
  <c r="B1678" i="5"/>
  <c r="A1678" i="5"/>
  <c r="F1677" i="5"/>
  <c r="E1677" i="5"/>
  <c r="D1677" i="5"/>
  <c r="C1677" i="5"/>
  <c r="B1677" i="5"/>
  <c r="A1677" i="5"/>
  <c r="F1676" i="5"/>
  <c r="E1676" i="5"/>
  <c r="D1676" i="5"/>
  <c r="C1676" i="5"/>
  <c r="B1676" i="5"/>
  <c r="A1676" i="5"/>
  <c r="F1675" i="5"/>
  <c r="E1675" i="5"/>
  <c r="D1675" i="5"/>
  <c r="C1675" i="5"/>
  <c r="B1675" i="5"/>
  <c r="A1675" i="5"/>
  <c r="F1674" i="5"/>
  <c r="E1674" i="5"/>
  <c r="D1674" i="5"/>
  <c r="C1674" i="5"/>
  <c r="B1674" i="5"/>
  <c r="A1674" i="5"/>
  <c r="F1673" i="5"/>
  <c r="E1673" i="5"/>
  <c r="D1673" i="5"/>
  <c r="C1673" i="5"/>
  <c r="B1673" i="5"/>
  <c r="A1673" i="5"/>
  <c r="F1672" i="5"/>
  <c r="E1672" i="5"/>
  <c r="D1672" i="5"/>
  <c r="C1672" i="5"/>
  <c r="B1672" i="5"/>
  <c r="A1672" i="5"/>
  <c r="F1671" i="5"/>
  <c r="E1671" i="5"/>
  <c r="D1671" i="5"/>
  <c r="C1671" i="5"/>
  <c r="B1671" i="5"/>
  <c r="A1671" i="5"/>
  <c r="F1670" i="5"/>
  <c r="E1670" i="5"/>
  <c r="D1670" i="5"/>
  <c r="C1670" i="5"/>
  <c r="B1670" i="5"/>
  <c r="A1670" i="5"/>
  <c r="F1669" i="5"/>
  <c r="E1669" i="5"/>
  <c r="D1669" i="5"/>
  <c r="C1669" i="5"/>
  <c r="B1669" i="5"/>
  <c r="A1669" i="5"/>
  <c r="F1668" i="5"/>
  <c r="E1668" i="5"/>
  <c r="D1668" i="5"/>
  <c r="C1668" i="5"/>
  <c r="B1668" i="5"/>
  <c r="A1668" i="5"/>
  <c r="F1667" i="5"/>
  <c r="E1667" i="5"/>
  <c r="D1667" i="5"/>
  <c r="C1667" i="5"/>
  <c r="B1667" i="5"/>
  <c r="A1667" i="5"/>
  <c r="F1666" i="5"/>
  <c r="E1666" i="5"/>
  <c r="D1666" i="5"/>
  <c r="C1666" i="5"/>
  <c r="B1666" i="5"/>
  <c r="A1666" i="5"/>
  <c r="F1665" i="5"/>
  <c r="E1665" i="5"/>
  <c r="D1665" i="5"/>
  <c r="C1665" i="5"/>
  <c r="B1665" i="5"/>
  <c r="A1665" i="5"/>
  <c r="F1664" i="5"/>
  <c r="E1664" i="5"/>
  <c r="D1664" i="5"/>
  <c r="C1664" i="5"/>
  <c r="B1664" i="5"/>
  <c r="A1664" i="5"/>
  <c r="F1663" i="5"/>
  <c r="E1663" i="5"/>
  <c r="D1663" i="5"/>
  <c r="C1663" i="5"/>
  <c r="B1663" i="5"/>
  <c r="A1663" i="5"/>
  <c r="F1662" i="5"/>
  <c r="E1662" i="5"/>
  <c r="D1662" i="5"/>
  <c r="C1662" i="5"/>
  <c r="B1662" i="5"/>
  <c r="A1662" i="5"/>
  <c r="F1661" i="5"/>
  <c r="E1661" i="5"/>
  <c r="D1661" i="5"/>
  <c r="C1661" i="5"/>
  <c r="B1661" i="5"/>
  <c r="A1661" i="5"/>
  <c r="F1660" i="5"/>
  <c r="E1660" i="5"/>
  <c r="D1660" i="5"/>
  <c r="C1660" i="5"/>
  <c r="B1660" i="5"/>
  <c r="A1660" i="5"/>
  <c r="F1659" i="5"/>
  <c r="E1659" i="5"/>
  <c r="D1659" i="5"/>
  <c r="C1659" i="5"/>
  <c r="B1659" i="5"/>
  <c r="A1659" i="5"/>
  <c r="F1658" i="5"/>
  <c r="E1658" i="5"/>
  <c r="D1658" i="5"/>
  <c r="C1658" i="5"/>
  <c r="B1658" i="5"/>
  <c r="A1658" i="5"/>
  <c r="F1657" i="5"/>
  <c r="E1657" i="5"/>
  <c r="D1657" i="5"/>
  <c r="C1657" i="5"/>
  <c r="B1657" i="5"/>
  <c r="A1657" i="5"/>
  <c r="F1656" i="5"/>
  <c r="E1656" i="5"/>
  <c r="D1656" i="5"/>
  <c r="C1656" i="5"/>
  <c r="B1656" i="5"/>
  <c r="A1656" i="5"/>
  <c r="F1655" i="5"/>
  <c r="E1655" i="5"/>
  <c r="D1655" i="5"/>
  <c r="C1655" i="5"/>
  <c r="B1655" i="5"/>
  <c r="A1655" i="5"/>
  <c r="F1654" i="5"/>
  <c r="E1654" i="5"/>
  <c r="D1654" i="5"/>
  <c r="C1654" i="5"/>
  <c r="B1654" i="5"/>
  <c r="A1654" i="5"/>
  <c r="F1653" i="5"/>
  <c r="E1653" i="5"/>
  <c r="D1653" i="5"/>
  <c r="C1653" i="5"/>
  <c r="B1653" i="5"/>
  <c r="A1653" i="5"/>
  <c r="F1652" i="5"/>
  <c r="E1652" i="5"/>
  <c r="D1652" i="5"/>
  <c r="C1652" i="5"/>
  <c r="B1652" i="5"/>
  <c r="A1652" i="5"/>
  <c r="F1651" i="5"/>
  <c r="E1651" i="5"/>
  <c r="D1651" i="5"/>
  <c r="C1651" i="5"/>
  <c r="B1651" i="5"/>
  <c r="A1651" i="5"/>
  <c r="F1650" i="5"/>
  <c r="E1650" i="5"/>
  <c r="D1650" i="5"/>
  <c r="C1650" i="5"/>
  <c r="B1650" i="5"/>
  <c r="A1650" i="5"/>
  <c r="F1649" i="5"/>
  <c r="E1649" i="5"/>
  <c r="D1649" i="5"/>
  <c r="C1649" i="5"/>
  <c r="B1649" i="5"/>
  <c r="A1649" i="5"/>
  <c r="F1648" i="5"/>
  <c r="E1648" i="5"/>
  <c r="D1648" i="5"/>
  <c r="C1648" i="5"/>
  <c r="B1648" i="5"/>
  <c r="A1648" i="5"/>
  <c r="F1647" i="5"/>
  <c r="E1647" i="5"/>
  <c r="D1647" i="5"/>
  <c r="C1647" i="5"/>
  <c r="B1647" i="5"/>
  <c r="A1647" i="5"/>
  <c r="F1646" i="5"/>
  <c r="E1646" i="5"/>
  <c r="D1646" i="5"/>
  <c r="C1646" i="5"/>
  <c r="B1646" i="5"/>
  <c r="A1646" i="5"/>
  <c r="F1645" i="5"/>
  <c r="E1645" i="5"/>
  <c r="D1645" i="5"/>
  <c r="C1645" i="5"/>
  <c r="B1645" i="5"/>
  <c r="A1645" i="5"/>
  <c r="F1644" i="5"/>
  <c r="E1644" i="5"/>
  <c r="D1644" i="5"/>
  <c r="C1644" i="5"/>
  <c r="B1644" i="5"/>
  <c r="A1644" i="5"/>
  <c r="F1643" i="5"/>
  <c r="E1643" i="5"/>
  <c r="D1643" i="5"/>
  <c r="C1643" i="5"/>
  <c r="B1643" i="5"/>
  <c r="A1643" i="5"/>
  <c r="F1642" i="5"/>
  <c r="E1642" i="5"/>
  <c r="D1642" i="5"/>
  <c r="C1642" i="5"/>
  <c r="B1642" i="5"/>
  <c r="A1642" i="5"/>
  <c r="F1641" i="5"/>
  <c r="E1641" i="5"/>
  <c r="D1641" i="5"/>
  <c r="C1641" i="5"/>
  <c r="B1641" i="5"/>
  <c r="A1641" i="5"/>
  <c r="F1640" i="5"/>
  <c r="E1640" i="5"/>
  <c r="D1640" i="5"/>
  <c r="C1640" i="5"/>
  <c r="B1640" i="5"/>
  <c r="A1640" i="5"/>
  <c r="F1639" i="5"/>
  <c r="E1639" i="5"/>
  <c r="D1639" i="5"/>
  <c r="C1639" i="5"/>
  <c r="B1639" i="5"/>
  <c r="A1639" i="5"/>
  <c r="F1638" i="5"/>
  <c r="E1638" i="5"/>
  <c r="D1638" i="5"/>
  <c r="C1638" i="5"/>
  <c r="B1638" i="5"/>
  <c r="A1638" i="5"/>
  <c r="F1637" i="5"/>
  <c r="E1637" i="5"/>
  <c r="D1637" i="5"/>
  <c r="C1637" i="5"/>
  <c r="B1637" i="5"/>
  <c r="A1637" i="5"/>
  <c r="F1636" i="5"/>
  <c r="E1636" i="5"/>
  <c r="D1636" i="5"/>
  <c r="C1636" i="5"/>
  <c r="B1636" i="5"/>
  <c r="A1636" i="5"/>
  <c r="F1635" i="5"/>
  <c r="E1635" i="5"/>
  <c r="D1635" i="5"/>
  <c r="C1635" i="5"/>
  <c r="B1635" i="5"/>
  <c r="A1635" i="5"/>
  <c r="F1634" i="5"/>
  <c r="E1634" i="5"/>
  <c r="D1634" i="5"/>
  <c r="C1634" i="5"/>
  <c r="B1634" i="5"/>
  <c r="A1634" i="5"/>
  <c r="F1633" i="5"/>
  <c r="E1633" i="5"/>
  <c r="D1633" i="5"/>
  <c r="C1633" i="5"/>
  <c r="B1633" i="5"/>
  <c r="A1633" i="5"/>
  <c r="F1632" i="5"/>
  <c r="E1632" i="5"/>
  <c r="D1632" i="5"/>
  <c r="C1632" i="5"/>
  <c r="B1632" i="5"/>
  <c r="A1632" i="5"/>
  <c r="F1631" i="5"/>
  <c r="E1631" i="5"/>
  <c r="D1631" i="5"/>
  <c r="C1631" i="5"/>
  <c r="B1631" i="5"/>
  <c r="A1631" i="5"/>
  <c r="F1630" i="5"/>
  <c r="E1630" i="5"/>
  <c r="D1630" i="5"/>
  <c r="C1630" i="5"/>
  <c r="B1630" i="5"/>
  <c r="A1630" i="5"/>
  <c r="F1629" i="5"/>
  <c r="E1629" i="5"/>
  <c r="D1629" i="5"/>
  <c r="C1629" i="5"/>
  <c r="B1629" i="5"/>
  <c r="A1629" i="5"/>
  <c r="F1628" i="5"/>
  <c r="E1628" i="5"/>
  <c r="D1628" i="5"/>
  <c r="C1628" i="5"/>
  <c r="B1628" i="5"/>
  <c r="A1628" i="5"/>
  <c r="F1627" i="5"/>
  <c r="E1627" i="5"/>
  <c r="D1627" i="5"/>
  <c r="C1627" i="5"/>
  <c r="B1627" i="5"/>
  <c r="A1627" i="5"/>
  <c r="F1626" i="5"/>
  <c r="E1626" i="5"/>
  <c r="D1626" i="5"/>
  <c r="C1626" i="5"/>
  <c r="B1626" i="5"/>
  <c r="A1626" i="5"/>
  <c r="F1625" i="5"/>
  <c r="E1625" i="5"/>
  <c r="D1625" i="5"/>
  <c r="C1625" i="5"/>
  <c r="B1625" i="5"/>
  <c r="A1625" i="5"/>
  <c r="F1624" i="5"/>
  <c r="E1624" i="5"/>
  <c r="D1624" i="5"/>
  <c r="C1624" i="5"/>
  <c r="B1624" i="5"/>
  <c r="A1624" i="5"/>
  <c r="F1623" i="5"/>
  <c r="E1623" i="5"/>
  <c r="D1623" i="5"/>
  <c r="C1623" i="5"/>
  <c r="B1623" i="5"/>
  <c r="A1623" i="5"/>
  <c r="F1622" i="5"/>
  <c r="E1622" i="5"/>
  <c r="D1622" i="5"/>
  <c r="C1622" i="5"/>
  <c r="B1622" i="5"/>
  <c r="A1622" i="5"/>
  <c r="F1621" i="5"/>
  <c r="E1621" i="5"/>
  <c r="D1621" i="5"/>
  <c r="C1621" i="5"/>
  <c r="B1621" i="5"/>
  <c r="A1621" i="5"/>
  <c r="F1620" i="5"/>
  <c r="E1620" i="5"/>
  <c r="D1620" i="5"/>
  <c r="C1620" i="5"/>
  <c r="B1620" i="5"/>
  <c r="A1620" i="5"/>
  <c r="F1619" i="5"/>
  <c r="E1619" i="5"/>
  <c r="D1619" i="5"/>
  <c r="C1619" i="5"/>
  <c r="B1619" i="5"/>
  <c r="A1619" i="5"/>
  <c r="F1618" i="5"/>
  <c r="E1618" i="5"/>
  <c r="D1618" i="5"/>
  <c r="C1618" i="5"/>
  <c r="B1618" i="5"/>
  <c r="A1618" i="5"/>
  <c r="F1617" i="5"/>
  <c r="E1617" i="5"/>
  <c r="D1617" i="5"/>
  <c r="C1617" i="5"/>
  <c r="B1617" i="5"/>
  <c r="A1617" i="5"/>
  <c r="F1616" i="5"/>
  <c r="E1616" i="5"/>
  <c r="D1616" i="5"/>
  <c r="C1616" i="5"/>
  <c r="B1616" i="5"/>
  <c r="A1616" i="5"/>
  <c r="F1615" i="5"/>
  <c r="E1615" i="5"/>
  <c r="D1615" i="5"/>
  <c r="C1615" i="5"/>
  <c r="B1615" i="5"/>
  <c r="A1615" i="5"/>
  <c r="F1614" i="5"/>
  <c r="E1614" i="5"/>
  <c r="D1614" i="5"/>
  <c r="C1614" i="5"/>
  <c r="B1614" i="5"/>
  <c r="A1614" i="5"/>
  <c r="F1613" i="5"/>
  <c r="E1613" i="5"/>
  <c r="D1613" i="5"/>
  <c r="C1613" i="5"/>
  <c r="B1613" i="5"/>
  <c r="A1613" i="5"/>
  <c r="F1612" i="5"/>
  <c r="E1612" i="5"/>
  <c r="D1612" i="5"/>
  <c r="C1612" i="5"/>
  <c r="B1612" i="5"/>
  <c r="A1612" i="5"/>
  <c r="F1611" i="5"/>
  <c r="E1611" i="5"/>
  <c r="D1611" i="5"/>
  <c r="C1611" i="5"/>
  <c r="B1611" i="5"/>
  <c r="A1611" i="5"/>
  <c r="F1610" i="5"/>
  <c r="E1610" i="5"/>
  <c r="D1610" i="5"/>
  <c r="C1610" i="5"/>
  <c r="B1610" i="5"/>
  <c r="A1610" i="5"/>
  <c r="F1609" i="5"/>
  <c r="E1609" i="5"/>
  <c r="D1609" i="5"/>
  <c r="C1609" i="5"/>
  <c r="B1609" i="5"/>
  <c r="A1609" i="5"/>
  <c r="F1608" i="5"/>
  <c r="E1608" i="5"/>
  <c r="D1608" i="5"/>
  <c r="C1608" i="5"/>
  <c r="B1608" i="5"/>
  <c r="A1608" i="5"/>
  <c r="F1607" i="5"/>
  <c r="E1607" i="5"/>
  <c r="D1607" i="5"/>
  <c r="C1607" i="5"/>
  <c r="B1607" i="5"/>
  <c r="A1607" i="5"/>
  <c r="F1606" i="5"/>
  <c r="E1606" i="5"/>
  <c r="D1606" i="5"/>
  <c r="C1606" i="5"/>
  <c r="B1606" i="5"/>
  <c r="A1606" i="5"/>
  <c r="F1605" i="5"/>
  <c r="E1605" i="5"/>
  <c r="D1605" i="5"/>
  <c r="C1605" i="5"/>
  <c r="B1605" i="5"/>
  <c r="A1605" i="5"/>
  <c r="F1604" i="5"/>
  <c r="E1604" i="5"/>
  <c r="D1604" i="5"/>
  <c r="C1604" i="5"/>
  <c r="B1604" i="5"/>
  <c r="A1604" i="5"/>
  <c r="F1603" i="5"/>
  <c r="E1603" i="5"/>
  <c r="D1603" i="5"/>
  <c r="C1603" i="5"/>
  <c r="B1603" i="5"/>
  <c r="A1603" i="5"/>
  <c r="F1602" i="5"/>
  <c r="E1602" i="5"/>
  <c r="D1602" i="5"/>
  <c r="C1602" i="5"/>
  <c r="B1602" i="5"/>
  <c r="A1602" i="5"/>
  <c r="F1601" i="5"/>
  <c r="E1601" i="5"/>
  <c r="D1601" i="5"/>
  <c r="C1601" i="5"/>
  <c r="B1601" i="5"/>
  <c r="A1601" i="5"/>
  <c r="F1600" i="5"/>
  <c r="E1600" i="5"/>
  <c r="D1600" i="5"/>
  <c r="C1600" i="5"/>
  <c r="B1600" i="5"/>
  <c r="A1600" i="5"/>
  <c r="F1599" i="5"/>
  <c r="E1599" i="5"/>
  <c r="D1599" i="5"/>
  <c r="C1599" i="5"/>
  <c r="B1599" i="5"/>
  <c r="A1599" i="5"/>
  <c r="F1598" i="5"/>
  <c r="E1598" i="5"/>
  <c r="D1598" i="5"/>
  <c r="C1598" i="5"/>
  <c r="B1598" i="5"/>
  <c r="A1598" i="5"/>
  <c r="F1597" i="5"/>
  <c r="E1597" i="5"/>
  <c r="D1597" i="5"/>
  <c r="C1597" i="5"/>
  <c r="B1597" i="5"/>
  <c r="A1597" i="5"/>
  <c r="F1596" i="5"/>
  <c r="E1596" i="5"/>
  <c r="D1596" i="5"/>
  <c r="C1596" i="5"/>
  <c r="B1596" i="5"/>
  <c r="A1596" i="5"/>
  <c r="F1595" i="5"/>
  <c r="E1595" i="5"/>
  <c r="D1595" i="5"/>
  <c r="C1595" i="5"/>
  <c r="B1595" i="5"/>
  <c r="A1595" i="5"/>
  <c r="F1594" i="5"/>
  <c r="E1594" i="5"/>
  <c r="D1594" i="5"/>
  <c r="C1594" i="5"/>
  <c r="B1594" i="5"/>
  <c r="A1594" i="5"/>
  <c r="F1593" i="5"/>
  <c r="E1593" i="5"/>
  <c r="D1593" i="5"/>
  <c r="C1593" i="5"/>
  <c r="B1593" i="5"/>
  <c r="A1593" i="5"/>
  <c r="F1592" i="5"/>
  <c r="E1592" i="5"/>
  <c r="D1592" i="5"/>
  <c r="C1592" i="5"/>
  <c r="B1592" i="5"/>
  <c r="A1592" i="5"/>
  <c r="F1591" i="5"/>
  <c r="E1591" i="5"/>
  <c r="D1591" i="5"/>
  <c r="C1591" i="5"/>
  <c r="B1591" i="5"/>
  <c r="A1591" i="5"/>
  <c r="F1590" i="5"/>
  <c r="E1590" i="5"/>
  <c r="D1590" i="5"/>
  <c r="C1590" i="5"/>
  <c r="B1590" i="5"/>
  <c r="A1590" i="5"/>
  <c r="F1589" i="5"/>
  <c r="E1589" i="5"/>
  <c r="D1589" i="5"/>
  <c r="C1589" i="5"/>
  <c r="B1589" i="5"/>
  <c r="A1589" i="5"/>
  <c r="F1588" i="5"/>
  <c r="E1588" i="5"/>
  <c r="D1588" i="5"/>
  <c r="C1588" i="5"/>
  <c r="B1588" i="5"/>
  <c r="A1588" i="5"/>
  <c r="F1587" i="5"/>
  <c r="E1587" i="5"/>
  <c r="D1587" i="5"/>
  <c r="C1587" i="5"/>
  <c r="B1587" i="5"/>
  <c r="A1587" i="5"/>
  <c r="F1586" i="5"/>
  <c r="E1586" i="5"/>
  <c r="D1586" i="5"/>
  <c r="C1586" i="5"/>
  <c r="B1586" i="5"/>
  <c r="A1586" i="5"/>
  <c r="F1585" i="5"/>
  <c r="E1585" i="5"/>
  <c r="D1585" i="5"/>
  <c r="C1585" i="5"/>
  <c r="B1585" i="5"/>
  <c r="A1585" i="5"/>
  <c r="F1584" i="5"/>
  <c r="E1584" i="5"/>
  <c r="D1584" i="5"/>
  <c r="C1584" i="5"/>
  <c r="B1584" i="5"/>
  <c r="A1584" i="5"/>
  <c r="F1583" i="5"/>
  <c r="E1583" i="5"/>
  <c r="D1583" i="5"/>
  <c r="C1583" i="5"/>
  <c r="B1583" i="5"/>
  <c r="A1583" i="5"/>
  <c r="F1582" i="5"/>
  <c r="E1582" i="5"/>
  <c r="D1582" i="5"/>
  <c r="C1582" i="5"/>
  <c r="B1582" i="5"/>
  <c r="A1582" i="5"/>
  <c r="F1581" i="5"/>
  <c r="E1581" i="5"/>
  <c r="D1581" i="5"/>
  <c r="C1581" i="5"/>
  <c r="B1581" i="5"/>
  <c r="A1581" i="5"/>
  <c r="F1580" i="5"/>
  <c r="E1580" i="5"/>
  <c r="D1580" i="5"/>
  <c r="C1580" i="5"/>
  <c r="B1580" i="5"/>
  <c r="A1580" i="5"/>
  <c r="F1579" i="5"/>
  <c r="E1579" i="5"/>
  <c r="D1579" i="5"/>
  <c r="C1579" i="5"/>
  <c r="B1579" i="5"/>
  <c r="A1579" i="5"/>
  <c r="F1578" i="5"/>
  <c r="E1578" i="5"/>
  <c r="D1578" i="5"/>
  <c r="C1578" i="5"/>
  <c r="B1578" i="5"/>
  <c r="A1578" i="5"/>
  <c r="F1577" i="5"/>
  <c r="E1577" i="5"/>
  <c r="D1577" i="5"/>
  <c r="C1577" i="5"/>
  <c r="B1577" i="5"/>
  <c r="A1577" i="5"/>
  <c r="F1576" i="5"/>
  <c r="E1576" i="5"/>
  <c r="D1576" i="5"/>
  <c r="C1576" i="5"/>
  <c r="B1576" i="5"/>
  <c r="A1576" i="5"/>
  <c r="F1575" i="5"/>
  <c r="E1575" i="5"/>
  <c r="D1575" i="5"/>
  <c r="C1575" i="5"/>
  <c r="B1575" i="5"/>
  <c r="A1575" i="5"/>
  <c r="F1574" i="5"/>
  <c r="E1574" i="5"/>
  <c r="D1574" i="5"/>
  <c r="C1574" i="5"/>
  <c r="B1574" i="5"/>
  <c r="A1574" i="5"/>
  <c r="F1573" i="5"/>
  <c r="E1573" i="5"/>
  <c r="D1573" i="5"/>
  <c r="C1573" i="5"/>
  <c r="B1573" i="5"/>
  <c r="A1573" i="5"/>
  <c r="F1572" i="5"/>
  <c r="E1572" i="5"/>
  <c r="D1572" i="5"/>
  <c r="C1572" i="5"/>
  <c r="B1572" i="5"/>
  <c r="A1572" i="5"/>
  <c r="F1571" i="5"/>
  <c r="E1571" i="5"/>
  <c r="D1571" i="5"/>
  <c r="C1571" i="5"/>
  <c r="B1571" i="5"/>
  <c r="A1571" i="5"/>
  <c r="F1570" i="5"/>
  <c r="E1570" i="5"/>
  <c r="D1570" i="5"/>
  <c r="C1570" i="5"/>
  <c r="B1570" i="5"/>
  <c r="A1570" i="5"/>
  <c r="F1569" i="5"/>
  <c r="E1569" i="5"/>
  <c r="D1569" i="5"/>
  <c r="C1569" i="5"/>
  <c r="B1569" i="5"/>
  <c r="A1569" i="5"/>
  <c r="F1568" i="5"/>
  <c r="E1568" i="5"/>
  <c r="D1568" i="5"/>
  <c r="C1568" i="5"/>
  <c r="B1568" i="5"/>
  <c r="A1568" i="5"/>
  <c r="F1567" i="5"/>
  <c r="E1567" i="5"/>
  <c r="D1567" i="5"/>
  <c r="C1567" i="5"/>
  <c r="B1567" i="5"/>
  <c r="A1567" i="5"/>
  <c r="F1566" i="5"/>
  <c r="E1566" i="5"/>
  <c r="D1566" i="5"/>
  <c r="C1566" i="5"/>
  <c r="B1566" i="5"/>
  <c r="A1566" i="5"/>
  <c r="F1565" i="5"/>
  <c r="E1565" i="5"/>
  <c r="D1565" i="5"/>
  <c r="C1565" i="5"/>
  <c r="B1565" i="5"/>
  <c r="A1565" i="5"/>
  <c r="F1564" i="5"/>
  <c r="E1564" i="5"/>
  <c r="D1564" i="5"/>
  <c r="C1564" i="5"/>
  <c r="B1564" i="5"/>
  <c r="A1564" i="5"/>
  <c r="F1563" i="5"/>
  <c r="E1563" i="5"/>
  <c r="D1563" i="5"/>
  <c r="C1563" i="5"/>
  <c r="B1563" i="5"/>
  <c r="A1563" i="5"/>
  <c r="F1562" i="5"/>
  <c r="E1562" i="5"/>
  <c r="D1562" i="5"/>
  <c r="C1562" i="5"/>
  <c r="B1562" i="5"/>
  <c r="A1562" i="5"/>
  <c r="F1561" i="5"/>
  <c r="E1561" i="5"/>
  <c r="D1561" i="5"/>
  <c r="C1561" i="5"/>
  <c r="B1561" i="5"/>
  <c r="A1561" i="5"/>
  <c r="F1560" i="5"/>
  <c r="E1560" i="5"/>
  <c r="D1560" i="5"/>
  <c r="C1560" i="5"/>
  <c r="B1560" i="5"/>
  <c r="A1560" i="5"/>
  <c r="F1559" i="5"/>
  <c r="E1559" i="5"/>
  <c r="D1559" i="5"/>
  <c r="C1559" i="5"/>
  <c r="B1559" i="5"/>
  <c r="A1559" i="5"/>
  <c r="F1558" i="5"/>
  <c r="E1558" i="5"/>
  <c r="D1558" i="5"/>
  <c r="C1558" i="5"/>
  <c r="B1558" i="5"/>
  <c r="A1558" i="5"/>
  <c r="F1557" i="5"/>
  <c r="E1557" i="5"/>
  <c r="D1557" i="5"/>
  <c r="C1557" i="5"/>
  <c r="B1557" i="5"/>
  <c r="A1557" i="5"/>
  <c r="F1556" i="5"/>
  <c r="E1556" i="5"/>
  <c r="D1556" i="5"/>
  <c r="C1556" i="5"/>
  <c r="B1556" i="5"/>
  <c r="A1556" i="5"/>
  <c r="F1555" i="5"/>
  <c r="E1555" i="5"/>
  <c r="D1555" i="5"/>
  <c r="C1555" i="5"/>
  <c r="B1555" i="5"/>
  <c r="A1555" i="5"/>
  <c r="F1554" i="5"/>
  <c r="E1554" i="5"/>
  <c r="D1554" i="5"/>
  <c r="C1554" i="5"/>
  <c r="B1554" i="5"/>
  <c r="A1554" i="5"/>
  <c r="F1553" i="5"/>
  <c r="E1553" i="5"/>
  <c r="D1553" i="5"/>
  <c r="C1553" i="5"/>
  <c r="B1553" i="5"/>
  <c r="A1553" i="5"/>
  <c r="F1552" i="5"/>
  <c r="E1552" i="5"/>
  <c r="D1552" i="5"/>
  <c r="C1552" i="5"/>
  <c r="B1552" i="5"/>
  <c r="A1552" i="5"/>
  <c r="F1551" i="5"/>
  <c r="E1551" i="5"/>
  <c r="D1551" i="5"/>
  <c r="C1551" i="5"/>
  <c r="B1551" i="5"/>
  <c r="A1551" i="5"/>
  <c r="F1550" i="5"/>
  <c r="E1550" i="5"/>
  <c r="D1550" i="5"/>
  <c r="C1550" i="5"/>
  <c r="B1550" i="5"/>
  <c r="A1550" i="5"/>
  <c r="F1549" i="5"/>
  <c r="E1549" i="5"/>
  <c r="D1549" i="5"/>
  <c r="C1549" i="5"/>
  <c r="B1549" i="5"/>
  <c r="A1549" i="5"/>
  <c r="F1548" i="5"/>
  <c r="E1548" i="5"/>
  <c r="D1548" i="5"/>
  <c r="C1548" i="5"/>
  <c r="B1548" i="5"/>
  <c r="A1548" i="5"/>
  <c r="F1547" i="5"/>
  <c r="E1547" i="5"/>
  <c r="D1547" i="5"/>
  <c r="C1547" i="5"/>
  <c r="B1547" i="5"/>
  <c r="A1547" i="5"/>
  <c r="F1546" i="5"/>
  <c r="E1546" i="5"/>
  <c r="D1546" i="5"/>
  <c r="C1546" i="5"/>
  <c r="B1546" i="5"/>
  <c r="A1546" i="5"/>
  <c r="F1545" i="5"/>
  <c r="E1545" i="5"/>
  <c r="D1545" i="5"/>
  <c r="C1545" i="5"/>
  <c r="B1545" i="5"/>
  <c r="A1545" i="5"/>
  <c r="F1544" i="5"/>
  <c r="E1544" i="5"/>
  <c r="D1544" i="5"/>
  <c r="C1544" i="5"/>
  <c r="B1544" i="5"/>
  <c r="A1544" i="5"/>
  <c r="F1543" i="5"/>
  <c r="E1543" i="5"/>
  <c r="D1543" i="5"/>
  <c r="C1543" i="5"/>
  <c r="B1543" i="5"/>
  <c r="A1543" i="5"/>
  <c r="F1542" i="5"/>
  <c r="E1542" i="5"/>
  <c r="D1542" i="5"/>
  <c r="C1542" i="5"/>
  <c r="B1542" i="5"/>
  <c r="A1542" i="5"/>
  <c r="F1541" i="5"/>
  <c r="E1541" i="5"/>
  <c r="D1541" i="5"/>
  <c r="C1541" i="5"/>
  <c r="B1541" i="5"/>
  <c r="A1541" i="5"/>
  <c r="F1540" i="5"/>
  <c r="E1540" i="5"/>
  <c r="D1540" i="5"/>
  <c r="C1540" i="5"/>
  <c r="B1540" i="5"/>
  <c r="A1540" i="5"/>
  <c r="F1539" i="5"/>
  <c r="E1539" i="5"/>
  <c r="D1539" i="5"/>
  <c r="C1539" i="5"/>
  <c r="B1539" i="5"/>
  <c r="A1539" i="5"/>
  <c r="F1538" i="5"/>
  <c r="E1538" i="5"/>
  <c r="D1538" i="5"/>
  <c r="C1538" i="5"/>
  <c r="B1538" i="5"/>
  <c r="A1538" i="5"/>
  <c r="F1537" i="5"/>
  <c r="E1537" i="5"/>
  <c r="D1537" i="5"/>
  <c r="C1537" i="5"/>
  <c r="B1537" i="5"/>
  <c r="A1537" i="5"/>
  <c r="F1536" i="5"/>
  <c r="E1536" i="5"/>
  <c r="D1536" i="5"/>
  <c r="C1536" i="5"/>
  <c r="B1536" i="5"/>
  <c r="A1536" i="5"/>
  <c r="F1535" i="5"/>
  <c r="E1535" i="5"/>
  <c r="D1535" i="5"/>
  <c r="C1535" i="5"/>
  <c r="B1535" i="5"/>
  <c r="A1535" i="5"/>
  <c r="F1534" i="5"/>
  <c r="E1534" i="5"/>
  <c r="D1534" i="5"/>
  <c r="C1534" i="5"/>
  <c r="B1534" i="5"/>
  <c r="A1534" i="5"/>
  <c r="F1533" i="5"/>
  <c r="E1533" i="5"/>
  <c r="D1533" i="5"/>
  <c r="C1533" i="5"/>
  <c r="B1533" i="5"/>
  <c r="A1533" i="5"/>
  <c r="F1532" i="5"/>
  <c r="E1532" i="5"/>
  <c r="D1532" i="5"/>
  <c r="C1532" i="5"/>
  <c r="B1532" i="5"/>
  <c r="A1532" i="5"/>
  <c r="F1531" i="5"/>
  <c r="E1531" i="5"/>
  <c r="D1531" i="5"/>
  <c r="C1531" i="5"/>
  <c r="B1531" i="5"/>
  <c r="A1531" i="5"/>
  <c r="F1530" i="5"/>
  <c r="E1530" i="5"/>
  <c r="D1530" i="5"/>
  <c r="C1530" i="5"/>
  <c r="B1530" i="5"/>
  <c r="A1530" i="5"/>
  <c r="F1529" i="5"/>
  <c r="E1529" i="5"/>
  <c r="D1529" i="5"/>
  <c r="C1529" i="5"/>
  <c r="B1529" i="5"/>
  <c r="A1529" i="5"/>
  <c r="F1528" i="5"/>
  <c r="E1528" i="5"/>
  <c r="D1528" i="5"/>
  <c r="C1528" i="5"/>
  <c r="B1528" i="5"/>
  <c r="A1528" i="5"/>
  <c r="F1527" i="5"/>
  <c r="E1527" i="5"/>
  <c r="D1527" i="5"/>
  <c r="C1527" i="5"/>
  <c r="B1527" i="5"/>
  <c r="A1527" i="5"/>
  <c r="F1526" i="5"/>
  <c r="E1526" i="5"/>
  <c r="D1526" i="5"/>
  <c r="C1526" i="5"/>
  <c r="B1526" i="5"/>
  <c r="A1526" i="5"/>
  <c r="F1525" i="5"/>
  <c r="E1525" i="5"/>
  <c r="D1525" i="5"/>
  <c r="C1525" i="5"/>
  <c r="B1525" i="5"/>
  <c r="A1525" i="5"/>
  <c r="F1524" i="5"/>
  <c r="E1524" i="5"/>
  <c r="D1524" i="5"/>
  <c r="C1524" i="5"/>
  <c r="B1524" i="5"/>
  <c r="A1524" i="5"/>
  <c r="F1523" i="5"/>
  <c r="E1523" i="5"/>
  <c r="D1523" i="5"/>
  <c r="C1523" i="5"/>
  <c r="B1523" i="5"/>
  <c r="A1523" i="5"/>
  <c r="F1522" i="5"/>
  <c r="E1522" i="5"/>
  <c r="D1522" i="5"/>
  <c r="C1522" i="5"/>
  <c r="B1522" i="5"/>
  <c r="A1522" i="5"/>
  <c r="F1521" i="5"/>
  <c r="E1521" i="5"/>
  <c r="D1521" i="5"/>
  <c r="C1521" i="5"/>
  <c r="B1521" i="5"/>
  <c r="A1521" i="5"/>
  <c r="F1520" i="5"/>
  <c r="E1520" i="5"/>
  <c r="D1520" i="5"/>
  <c r="C1520" i="5"/>
  <c r="B1520" i="5"/>
  <c r="A1520" i="5"/>
  <c r="F1519" i="5"/>
  <c r="E1519" i="5"/>
  <c r="D1519" i="5"/>
  <c r="C1519" i="5"/>
  <c r="B1519" i="5"/>
  <c r="A1519" i="5"/>
  <c r="F1518" i="5"/>
  <c r="E1518" i="5"/>
  <c r="D1518" i="5"/>
  <c r="C1518" i="5"/>
  <c r="B1518" i="5"/>
  <c r="A1518" i="5"/>
  <c r="F1517" i="5"/>
  <c r="E1517" i="5"/>
  <c r="D1517" i="5"/>
  <c r="C1517" i="5"/>
  <c r="B1517" i="5"/>
  <c r="A1517" i="5"/>
  <c r="F1516" i="5"/>
  <c r="E1516" i="5"/>
  <c r="D1516" i="5"/>
  <c r="C1516" i="5"/>
  <c r="B1516" i="5"/>
  <c r="A1516" i="5"/>
  <c r="F1515" i="5"/>
  <c r="E1515" i="5"/>
  <c r="D1515" i="5"/>
  <c r="C1515" i="5"/>
  <c r="B1515" i="5"/>
  <c r="A1515" i="5"/>
  <c r="F1514" i="5"/>
  <c r="E1514" i="5"/>
  <c r="D1514" i="5"/>
  <c r="C1514" i="5"/>
  <c r="B1514" i="5"/>
  <c r="A1514" i="5"/>
  <c r="F1513" i="5"/>
  <c r="E1513" i="5"/>
  <c r="D1513" i="5"/>
  <c r="C1513" i="5"/>
  <c r="B1513" i="5"/>
  <c r="A1513" i="5"/>
  <c r="F1512" i="5"/>
  <c r="E1512" i="5"/>
  <c r="D1512" i="5"/>
  <c r="C1512" i="5"/>
  <c r="B1512" i="5"/>
  <c r="A1512" i="5"/>
  <c r="F1511" i="5"/>
  <c r="E1511" i="5"/>
  <c r="D1511" i="5"/>
  <c r="C1511" i="5"/>
  <c r="B1511" i="5"/>
  <c r="A1511" i="5"/>
  <c r="F1510" i="5"/>
  <c r="E1510" i="5"/>
  <c r="D1510" i="5"/>
  <c r="C1510" i="5"/>
  <c r="B1510" i="5"/>
  <c r="A1510" i="5"/>
  <c r="F1509" i="5"/>
  <c r="E1509" i="5"/>
  <c r="D1509" i="5"/>
  <c r="C1509" i="5"/>
  <c r="B1509" i="5"/>
  <c r="A1509" i="5"/>
  <c r="F1508" i="5"/>
  <c r="E1508" i="5"/>
  <c r="D1508" i="5"/>
  <c r="C1508" i="5"/>
  <c r="B1508" i="5"/>
  <c r="A1508" i="5"/>
  <c r="F1507" i="5"/>
  <c r="E1507" i="5"/>
  <c r="D1507" i="5"/>
  <c r="C1507" i="5"/>
  <c r="B1507" i="5"/>
  <c r="A1507" i="5"/>
  <c r="F1506" i="5"/>
  <c r="E1506" i="5"/>
  <c r="D1506" i="5"/>
  <c r="C1506" i="5"/>
  <c r="B1506" i="5"/>
  <c r="A1506" i="5"/>
  <c r="F1505" i="5"/>
  <c r="E1505" i="5"/>
  <c r="D1505" i="5"/>
  <c r="C1505" i="5"/>
  <c r="B1505" i="5"/>
  <c r="A1505" i="5"/>
  <c r="F1504" i="5"/>
  <c r="E1504" i="5"/>
  <c r="D1504" i="5"/>
  <c r="C1504" i="5"/>
  <c r="B1504" i="5"/>
  <c r="A1504" i="5"/>
  <c r="F1503" i="5"/>
  <c r="E1503" i="5"/>
  <c r="D1503" i="5"/>
  <c r="C1503" i="5"/>
  <c r="B1503" i="5"/>
  <c r="A1503" i="5"/>
  <c r="F1502" i="5"/>
  <c r="E1502" i="5"/>
  <c r="D1502" i="5"/>
  <c r="C1502" i="5"/>
  <c r="B1502" i="5"/>
  <c r="A1502" i="5"/>
  <c r="F1501" i="5"/>
  <c r="E1501" i="5"/>
  <c r="D1501" i="5"/>
  <c r="C1501" i="5"/>
  <c r="B1501" i="5"/>
  <c r="A1501" i="5"/>
  <c r="F1500" i="5"/>
  <c r="E1500" i="5"/>
  <c r="D1500" i="5"/>
  <c r="C1500" i="5"/>
  <c r="B1500" i="5"/>
  <c r="A1500" i="5"/>
  <c r="F1499" i="5"/>
  <c r="E1499" i="5"/>
  <c r="D1499" i="5"/>
  <c r="C1499" i="5"/>
  <c r="B1499" i="5"/>
  <c r="A1499" i="5"/>
  <c r="F1498" i="5"/>
  <c r="E1498" i="5"/>
  <c r="D1498" i="5"/>
  <c r="C1498" i="5"/>
  <c r="B1498" i="5"/>
  <c r="A1498" i="5"/>
  <c r="F1497" i="5"/>
  <c r="E1497" i="5"/>
  <c r="D1497" i="5"/>
  <c r="C1497" i="5"/>
  <c r="B1497" i="5"/>
  <c r="A1497" i="5"/>
  <c r="F1496" i="5"/>
  <c r="E1496" i="5"/>
  <c r="D1496" i="5"/>
  <c r="C1496" i="5"/>
  <c r="B1496" i="5"/>
  <c r="A1496" i="5"/>
  <c r="F1495" i="5"/>
  <c r="E1495" i="5"/>
  <c r="D1495" i="5"/>
  <c r="C1495" i="5"/>
  <c r="B1495" i="5"/>
  <c r="A1495" i="5"/>
  <c r="F1494" i="5"/>
  <c r="E1494" i="5"/>
  <c r="D1494" i="5"/>
  <c r="C1494" i="5"/>
  <c r="B1494" i="5"/>
  <c r="A1494" i="5"/>
  <c r="F1493" i="5"/>
  <c r="E1493" i="5"/>
  <c r="D1493" i="5"/>
  <c r="C1493" i="5"/>
  <c r="B1493" i="5"/>
  <c r="A1493" i="5"/>
  <c r="F1492" i="5"/>
  <c r="E1492" i="5"/>
  <c r="D1492" i="5"/>
  <c r="C1492" i="5"/>
  <c r="B1492" i="5"/>
  <c r="A1492" i="5"/>
  <c r="F1491" i="5"/>
  <c r="E1491" i="5"/>
  <c r="D1491" i="5"/>
  <c r="C1491" i="5"/>
  <c r="B1491" i="5"/>
  <c r="A1491" i="5"/>
  <c r="F1490" i="5"/>
  <c r="E1490" i="5"/>
  <c r="D1490" i="5"/>
  <c r="C1490" i="5"/>
  <c r="B1490" i="5"/>
  <c r="A1490" i="5"/>
  <c r="F1489" i="5"/>
  <c r="E1489" i="5"/>
  <c r="D1489" i="5"/>
  <c r="C1489" i="5"/>
  <c r="B1489" i="5"/>
  <c r="A1489" i="5"/>
  <c r="F1488" i="5"/>
  <c r="E1488" i="5"/>
  <c r="D1488" i="5"/>
  <c r="C1488" i="5"/>
  <c r="B1488" i="5"/>
  <c r="A1488" i="5"/>
  <c r="F1487" i="5"/>
  <c r="E1487" i="5"/>
  <c r="D1487" i="5"/>
  <c r="C1487" i="5"/>
  <c r="B1487" i="5"/>
  <c r="A1487" i="5"/>
  <c r="F1486" i="5"/>
  <c r="E1486" i="5"/>
  <c r="D1486" i="5"/>
  <c r="C1486" i="5"/>
  <c r="B1486" i="5"/>
  <c r="A1486" i="5"/>
  <c r="F1485" i="5"/>
  <c r="E1485" i="5"/>
  <c r="D1485" i="5"/>
  <c r="C1485" i="5"/>
  <c r="B1485" i="5"/>
  <c r="A1485" i="5"/>
  <c r="F1484" i="5"/>
  <c r="E1484" i="5"/>
  <c r="D1484" i="5"/>
  <c r="C1484" i="5"/>
  <c r="B1484" i="5"/>
  <c r="A1484" i="5"/>
  <c r="F1483" i="5"/>
  <c r="E1483" i="5"/>
  <c r="D1483" i="5"/>
  <c r="C1483" i="5"/>
  <c r="B1483" i="5"/>
  <c r="A1483" i="5"/>
  <c r="F1482" i="5"/>
  <c r="E1482" i="5"/>
  <c r="D1482" i="5"/>
  <c r="C1482" i="5"/>
  <c r="B1482" i="5"/>
  <c r="A1482" i="5"/>
  <c r="F1481" i="5"/>
  <c r="E1481" i="5"/>
  <c r="D1481" i="5"/>
  <c r="C1481" i="5"/>
  <c r="B1481" i="5"/>
  <c r="A1481" i="5"/>
  <c r="F1480" i="5"/>
  <c r="E1480" i="5"/>
  <c r="D1480" i="5"/>
  <c r="C1480" i="5"/>
  <c r="B1480" i="5"/>
  <c r="A1480" i="5"/>
  <c r="F1479" i="5"/>
  <c r="E1479" i="5"/>
  <c r="D1479" i="5"/>
  <c r="C1479" i="5"/>
  <c r="B1479" i="5"/>
  <c r="A1479" i="5"/>
  <c r="F1478" i="5"/>
  <c r="E1478" i="5"/>
  <c r="D1478" i="5"/>
  <c r="C1478" i="5"/>
  <c r="B1478" i="5"/>
  <c r="A1478" i="5"/>
  <c r="F1477" i="5"/>
  <c r="E1477" i="5"/>
  <c r="D1477" i="5"/>
  <c r="C1477" i="5"/>
  <c r="B1477" i="5"/>
  <c r="A1477" i="5"/>
  <c r="F1476" i="5"/>
  <c r="E1476" i="5"/>
  <c r="D1476" i="5"/>
  <c r="C1476" i="5"/>
  <c r="B1476" i="5"/>
  <c r="A1476" i="5"/>
  <c r="F1475" i="5"/>
  <c r="E1475" i="5"/>
  <c r="D1475" i="5"/>
  <c r="C1475" i="5"/>
  <c r="B1475" i="5"/>
  <c r="A1475" i="5"/>
  <c r="F1474" i="5"/>
  <c r="E1474" i="5"/>
  <c r="D1474" i="5"/>
  <c r="C1474" i="5"/>
  <c r="B1474" i="5"/>
  <c r="A1474" i="5"/>
  <c r="F1473" i="5"/>
  <c r="E1473" i="5"/>
  <c r="D1473" i="5"/>
  <c r="C1473" i="5"/>
  <c r="B1473" i="5"/>
  <c r="A1473" i="5"/>
  <c r="F1472" i="5"/>
  <c r="E1472" i="5"/>
  <c r="D1472" i="5"/>
  <c r="C1472" i="5"/>
  <c r="B1472" i="5"/>
  <c r="A1472" i="5"/>
  <c r="F1471" i="5"/>
  <c r="E1471" i="5"/>
  <c r="D1471" i="5"/>
  <c r="C1471" i="5"/>
  <c r="B1471" i="5"/>
  <c r="A1471" i="5"/>
  <c r="F1470" i="5"/>
  <c r="E1470" i="5"/>
  <c r="D1470" i="5"/>
  <c r="C1470" i="5"/>
  <c r="B1470" i="5"/>
  <c r="A1470" i="5"/>
  <c r="F1469" i="5"/>
  <c r="E1469" i="5"/>
  <c r="D1469" i="5"/>
  <c r="C1469" i="5"/>
  <c r="B1469" i="5"/>
  <c r="A1469" i="5"/>
  <c r="F1468" i="5"/>
  <c r="E1468" i="5"/>
  <c r="D1468" i="5"/>
  <c r="C1468" i="5"/>
  <c r="B1468" i="5"/>
  <c r="A1468" i="5"/>
  <c r="F1467" i="5"/>
  <c r="E1467" i="5"/>
  <c r="D1467" i="5"/>
  <c r="C1467" i="5"/>
  <c r="B1467" i="5"/>
  <c r="A1467" i="5"/>
  <c r="F1466" i="5"/>
  <c r="E1466" i="5"/>
  <c r="D1466" i="5"/>
  <c r="C1466" i="5"/>
  <c r="B1466" i="5"/>
  <c r="A1466" i="5"/>
  <c r="F1465" i="5"/>
  <c r="E1465" i="5"/>
  <c r="D1465" i="5"/>
  <c r="C1465" i="5"/>
  <c r="B1465" i="5"/>
  <c r="A1465" i="5"/>
  <c r="F1464" i="5"/>
  <c r="E1464" i="5"/>
  <c r="D1464" i="5"/>
  <c r="C1464" i="5"/>
  <c r="B1464" i="5"/>
  <c r="A1464" i="5"/>
  <c r="F1463" i="5"/>
  <c r="E1463" i="5"/>
  <c r="D1463" i="5"/>
  <c r="C1463" i="5"/>
  <c r="B1463" i="5"/>
  <c r="A1463" i="5"/>
  <c r="F1462" i="5"/>
  <c r="E1462" i="5"/>
  <c r="D1462" i="5"/>
  <c r="C1462" i="5"/>
  <c r="B1462" i="5"/>
  <c r="A1462" i="5"/>
  <c r="F1461" i="5"/>
  <c r="E1461" i="5"/>
  <c r="D1461" i="5"/>
  <c r="C1461" i="5"/>
  <c r="B1461" i="5"/>
  <c r="A1461" i="5"/>
  <c r="F1460" i="5"/>
  <c r="E1460" i="5"/>
  <c r="D1460" i="5"/>
  <c r="C1460" i="5"/>
  <c r="B1460" i="5"/>
  <c r="A1460" i="5"/>
  <c r="F1459" i="5"/>
  <c r="E1459" i="5"/>
  <c r="D1459" i="5"/>
  <c r="C1459" i="5"/>
  <c r="B1459" i="5"/>
  <c r="A1459" i="5"/>
  <c r="F1458" i="5"/>
  <c r="E1458" i="5"/>
  <c r="D1458" i="5"/>
  <c r="C1458" i="5"/>
  <c r="B1458" i="5"/>
  <c r="A1458" i="5"/>
  <c r="F1457" i="5"/>
  <c r="E1457" i="5"/>
  <c r="D1457" i="5"/>
  <c r="C1457" i="5"/>
  <c r="B1457" i="5"/>
  <c r="A1457" i="5"/>
  <c r="F1456" i="5"/>
  <c r="E1456" i="5"/>
  <c r="D1456" i="5"/>
  <c r="C1456" i="5"/>
  <c r="B1456" i="5"/>
  <c r="A1456" i="5"/>
  <c r="F1455" i="5"/>
  <c r="E1455" i="5"/>
  <c r="D1455" i="5"/>
  <c r="C1455" i="5"/>
  <c r="B1455" i="5"/>
  <c r="A1455" i="5"/>
  <c r="F1454" i="5"/>
  <c r="E1454" i="5"/>
  <c r="D1454" i="5"/>
  <c r="C1454" i="5"/>
  <c r="B1454" i="5"/>
  <c r="A1454" i="5"/>
  <c r="F1453" i="5"/>
  <c r="E1453" i="5"/>
  <c r="D1453" i="5"/>
  <c r="C1453" i="5"/>
  <c r="B1453" i="5"/>
  <c r="A1453" i="5"/>
  <c r="F1452" i="5"/>
  <c r="E1452" i="5"/>
  <c r="D1452" i="5"/>
  <c r="C1452" i="5"/>
  <c r="B1452" i="5"/>
  <c r="A1452" i="5"/>
  <c r="F1451" i="5"/>
  <c r="E1451" i="5"/>
  <c r="D1451" i="5"/>
  <c r="C1451" i="5"/>
  <c r="B1451" i="5"/>
  <c r="A1451" i="5"/>
  <c r="F1450" i="5"/>
  <c r="E1450" i="5"/>
  <c r="D1450" i="5"/>
  <c r="C1450" i="5"/>
  <c r="B1450" i="5"/>
  <c r="A1450" i="5"/>
  <c r="F1449" i="5"/>
  <c r="E1449" i="5"/>
  <c r="D1449" i="5"/>
  <c r="C1449" i="5"/>
  <c r="B1449" i="5"/>
  <c r="A1449" i="5"/>
  <c r="F1448" i="5"/>
  <c r="E1448" i="5"/>
  <c r="D1448" i="5"/>
  <c r="C1448" i="5"/>
  <c r="B1448" i="5"/>
  <c r="A1448" i="5"/>
  <c r="F1447" i="5"/>
  <c r="E1447" i="5"/>
  <c r="D1447" i="5"/>
  <c r="C1447" i="5"/>
  <c r="B1447" i="5"/>
  <c r="A1447" i="5"/>
  <c r="F1446" i="5"/>
  <c r="E1446" i="5"/>
  <c r="D1446" i="5"/>
  <c r="C1446" i="5"/>
  <c r="B1446" i="5"/>
  <c r="A1446" i="5"/>
  <c r="F1445" i="5"/>
  <c r="E1445" i="5"/>
  <c r="D1445" i="5"/>
  <c r="C1445" i="5"/>
  <c r="B1445" i="5"/>
  <c r="A1445" i="5"/>
  <c r="F1444" i="5"/>
  <c r="E1444" i="5"/>
  <c r="D1444" i="5"/>
  <c r="C1444" i="5"/>
  <c r="B1444" i="5"/>
  <c r="A1444" i="5"/>
  <c r="F1443" i="5"/>
  <c r="E1443" i="5"/>
  <c r="D1443" i="5"/>
  <c r="C1443" i="5"/>
  <c r="B1443" i="5"/>
  <c r="A1443" i="5"/>
  <c r="F1442" i="5"/>
  <c r="E1442" i="5"/>
  <c r="D1442" i="5"/>
  <c r="C1442" i="5"/>
  <c r="B1442" i="5"/>
  <c r="A1442" i="5"/>
  <c r="F1441" i="5"/>
  <c r="E1441" i="5"/>
  <c r="D1441" i="5"/>
  <c r="C1441" i="5"/>
  <c r="B1441" i="5"/>
  <c r="A1441" i="5"/>
  <c r="F1440" i="5"/>
  <c r="E1440" i="5"/>
  <c r="D1440" i="5"/>
  <c r="C1440" i="5"/>
  <c r="B1440" i="5"/>
  <c r="A1440" i="5"/>
  <c r="F1439" i="5"/>
  <c r="E1439" i="5"/>
  <c r="D1439" i="5"/>
  <c r="C1439" i="5"/>
  <c r="B1439" i="5"/>
  <c r="A1439" i="5"/>
  <c r="F1438" i="5"/>
  <c r="E1438" i="5"/>
  <c r="D1438" i="5"/>
  <c r="C1438" i="5"/>
  <c r="B1438" i="5"/>
  <c r="A1438" i="5"/>
  <c r="F1437" i="5"/>
  <c r="E1437" i="5"/>
  <c r="D1437" i="5"/>
  <c r="C1437" i="5"/>
  <c r="B1437" i="5"/>
  <c r="A1437" i="5"/>
  <c r="F1436" i="5"/>
  <c r="E1436" i="5"/>
  <c r="D1436" i="5"/>
  <c r="C1436" i="5"/>
  <c r="B1436" i="5"/>
  <c r="A1436" i="5"/>
  <c r="F1435" i="5"/>
  <c r="E1435" i="5"/>
  <c r="D1435" i="5"/>
  <c r="C1435" i="5"/>
  <c r="B1435" i="5"/>
  <c r="A1435" i="5"/>
  <c r="F1434" i="5"/>
  <c r="E1434" i="5"/>
  <c r="D1434" i="5"/>
  <c r="C1434" i="5"/>
  <c r="B1434" i="5"/>
  <c r="A1434" i="5"/>
  <c r="F1433" i="5"/>
  <c r="E1433" i="5"/>
  <c r="D1433" i="5"/>
  <c r="C1433" i="5"/>
  <c r="B1433" i="5"/>
  <c r="A1433" i="5"/>
  <c r="F1432" i="5"/>
  <c r="E1432" i="5"/>
  <c r="D1432" i="5"/>
  <c r="C1432" i="5"/>
  <c r="B1432" i="5"/>
  <c r="A1432" i="5"/>
  <c r="F1431" i="5"/>
  <c r="E1431" i="5"/>
  <c r="D1431" i="5"/>
  <c r="C1431" i="5"/>
  <c r="B1431" i="5"/>
  <c r="A1431" i="5"/>
  <c r="F1430" i="5"/>
  <c r="E1430" i="5"/>
  <c r="D1430" i="5"/>
  <c r="C1430" i="5"/>
  <c r="B1430" i="5"/>
  <c r="A1430" i="5"/>
  <c r="F1429" i="5"/>
  <c r="E1429" i="5"/>
  <c r="D1429" i="5"/>
  <c r="C1429" i="5"/>
  <c r="B1429" i="5"/>
  <c r="A1429" i="5"/>
  <c r="F1428" i="5"/>
  <c r="E1428" i="5"/>
  <c r="D1428" i="5"/>
  <c r="C1428" i="5"/>
  <c r="B1428" i="5"/>
  <c r="A1428" i="5"/>
  <c r="F1427" i="5"/>
  <c r="E1427" i="5"/>
  <c r="D1427" i="5"/>
  <c r="C1427" i="5"/>
  <c r="B1427" i="5"/>
  <c r="A1427" i="5"/>
  <c r="F1426" i="5"/>
  <c r="E1426" i="5"/>
  <c r="D1426" i="5"/>
  <c r="C1426" i="5"/>
  <c r="B1426" i="5"/>
  <c r="A1426" i="5"/>
  <c r="F1425" i="5"/>
  <c r="E1425" i="5"/>
  <c r="D1425" i="5"/>
  <c r="C1425" i="5"/>
  <c r="B1425" i="5"/>
  <c r="A1425" i="5"/>
  <c r="F1424" i="5"/>
  <c r="E1424" i="5"/>
  <c r="D1424" i="5"/>
  <c r="C1424" i="5"/>
  <c r="B1424" i="5"/>
  <c r="A1424" i="5"/>
  <c r="F1423" i="5"/>
  <c r="E1423" i="5"/>
  <c r="D1423" i="5"/>
  <c r="C1423" i="5"/>
  <c r="B1423" i="5"/>
  <c r="A1423" i="5"/>
  <c r="F1422" i="5"/>
  <c r="E1422" i="5"/>
  <c r="D1422" i="5"/>
  <c r="C1422" i="5"/>
  <c r="B1422" i="5"/>
  <c r="A1422" i="5"/>
  <c r="F1421" i="5"/>
  <c r="E1421" i="5"/>
  <c r="D1421" i="5"/>
  <c r="C1421" i="5"/>
  <c r="B1421" i="5"/>
  <c r="A1421" i="5"/>
  <c r="F1420" i="5"/>
  <c r="E1420" i="5"/>
  <c r="D1420" i="5"/>
  <c r="C1420" i="5"/>
  <c r="B1420" i="5"/>
  <c r="A1420" i="5"/>
  <c r="F1419" i="5"/>
  <c r="E1419" i="5"/>
  <c r="D1419" i="5"/>
  <c r="C1419" i="5"/>
  <c r="B1419" i="5"/>
  <c r="A1419" i="5"/>
  <c r="F1418" i="5"/>
  <c r="E1418" i="5"/>
  <c r="D1418" i="5"/>
  <c r="C1418" i="5"/>
  <c r="B1418" i="5"/>
  <c r="A1418" i="5"/>
  <c r="F1417" i="5"/>
  <c r="E1417" i="5"/>
  <c r="D1417" i="5"/>
  <c r="C1417" i="5"/>
  <c r="B1417" i="5"/>
  <c r="A1417" i="5"/>
  <c r="F1416" i="5"/>
  <c r="E1416" i="5"/>
  <c r="D1416" i="5"/>
  <c r="C1416" i="5"/>
  <c r="B1416" i="5"/>
  <c r="A1416" i="5"/>
  <c r="F1415" i="5"/>
  <c r="E1415" i="5"/>
  <c r="D1415" i="5"/>
  <c r="C1415" i="5"/>
  <c r="B1415" i="5"/>
  <c r="A1415" i="5"/>
  <c r="F1414" i="5"/>
  <c r="E1414" i="5"/>
  <c r="D1414" i="5"/>
  <c r="C1414" i="5"/>
  <c r="B1414" i="5"/>
  <c r="A1414" i="5"/>
  <c r="F1413" i="5"/>
  <c r="E1413" i="5"/>
  <c r="D1413" i="5"/>
  <c r="C1413" i="5"/>
  <c r="B1413" i="5"/>
  <c r="A1413" i="5"/>
  <c r="F1412" i="5"/>
  <c r="E1412" i="5"/>
  <c r="D1412" i="5"/>
  <c r="C1412" i="5"/>
  <c r="B1412" i="5"/>
  <c r="A1412" i="5"/>
  <c r="F1411" i="5"/>
  <c r="E1411" i="5"/>
  <c r="D1411" i="5"/>
  <c r="C1411" i="5"/>
  <c r="B1411" i="5"/>
  <c r="A1411" i="5"/>
  <c r="F1410" i="5"/>
  <c r="E1410" i="5"/>
  <c r="D1410" i="5"/>
  <c r="C1410" i="5"/>
  <c r="B1410" i="5"/>
  <c r="A1410" i="5"/>
  <c r="F1409" i="5"/>
  <c r="E1409" i="5"/>
  <c r="D1409" i="5"/>
  <c r="C1409" i="5"/>
  <c r="B1409" i="5"/>
  <c r="A1409" i="5"/>
  <c r="F1408" i="5"/>
  <c r="E1408" i="5"/>
  <c r="D1408" i="5"/>
  <c r="C1408" i="5"/>
  <c r="B1408" i="5"/>
  <c r="A1408" i="5"/>
  <c r="F1407" i="5"/>
  <c r="E1407" i="5"/>
  <c r="D1407" i="5"/>
  <c r="C1407" i="5"/>
  <c r="B1407" i="5"/>
  <c r="A1407" i="5"/>
  <c r="F1406" i="5"/>
  <c r="E1406" i="5"/>
  <c r="D1406" i="5"/>
  <c r="C1406" i="5"/>
  <c r="B1406" i="5"/>
  <c r="A1406" i="5"/>
  <c r="F1405" i="5"/>
  <c r="E1405" i="5"/>
  <c r="D1405" i="5"/>
  <c r="C1405" i="5"/>
  <c r="B1405" i="5"/>
  <c r="A1405" i="5"/>
  <c r="F1404" i="5"/>
  <c r="E1404" i="5"/>
  <c r="D1404" i="5"/>
  <c r="C1404" i="5"/>
  <c r="B1404" i="5"/>
  <c r="A1404" i="5"/>
  <c r="F1403" i="5"/>
  <c r="E1403" i="5"/>
  <c r="D1403" i="5"/>
  <c r="C1403" i="5"/>
  <c r="B1403" i="5"/>
  <c r="A1403" i="5"/>
  <c r="F1402" i="5"/>
  <c r="E1402" i="5"/>
  <c r="D1402" i="5"/>
  <c r="C1402" i="5"/>
  <c r="B1402" i="5"/>
  <c r="A1402" i="5"/>
  <c r="F1401" i="5"/>
  <c r="E1401" i="5"/>
  <c r="D1401" i="5"/>
  <c r="C1401" i="5"/>
  <c r="B1401" i="5"/>
  <c r="A1401" i="5"/>
  <c r="F1400" i="5"/>
  <c r="E1400" i="5"/>
  <c r="D1400" i="5"/>
  <c r="C1400" i="5"/>
  <c r="B1400" i="5"/>
  <c r="A1400" i="5"/>
  <c r="F1399" i="5"/>
  <c r="E1399" i="5"/>
  <c r="D1399" i="5"/>
  <c r="C1399" i="5"/>
  <c r="B1399" i="5"/>
  <c r="A1399" i="5"/>
  <c r="F1398" i="5"/>
  <c r="E1398" i="5"/>
  <c r="D1398" i="5"/>
  <c r="C1398" i="5"/>
  <c r="B1398" i="5"/>
  <c r="A1398" i="5"/>
  <c r="F1397" i="5"/>
  <c r="E1397" i="5"/>
  <c r="D1397" i="5"/>
  <c r="C1397" i="5"/>
  <c r="B1397" i="5"/>
  <c r="A1397" i="5"/>
  <c r="F1396" i="5"/>
  <c r="E1396" i="5"/>
  <c r="D1396" i="5"/>
  <c r="C1396" i="5"/>
  <c r="B1396" i="5"/>
  <c r="A1396" i="5"/>
  <c r="F1395" i="5"/>
  <c r="E1395" i="5"/>
  <c r="D1395" i="5"/>
  <c r="C1395" i="5"/>
  <c r="B1395" i="5"/>
  <c r="A1395" i="5"/>
  <c r="F1394" i="5"/>
  <c r="E1394" i="5"/>
  <c r="D1394" i="5"/>
  <c r="C1394" i="5"/>
  <c r="B1394" i="5"/>
  <c r="A1394" i="5"/>
  <c r="F1393" i="5"/>
  <c r="E1393" i="5"/>
  <c r="D1393" i="5"/>
  <c r="C1393" i="5"/>
  <c r="B1393" i="5"/>
  <c r="A1393" i="5"/>
  <c r="F1392" i="5"/>
  <c r="E1392" i="5"/>
  <c r="D1392" i="5"/>
  <c r="C1392" i="5"/>
  <c r="B1392" i="5"/>
  <c r="A1392" i="5"/>
  <c r="F1391" i="5"/>
  <c r="E1391" i="5"/>
  <c r="D1391" i="5"/>
  <c r="C1391" i="5"/>
  <c r="B1391" i="5"/>
  <c r="A1391" i="5"/>
  <c r="F1390" i="5"/>
  <c r="E1390" i="5"/>
  <c r="D1390" i="5"/>
  <c r="C1390" i="5"/>
  <c r="B1390" i="5"/>
  <c r="A1390" i="5"/>
  <c r="F1389" i="5"/>
  <c r="E1389" i="5"/>
  <c r="D1389" i="5"/>
  <c r="C1389" i="5"/>
  <c r="B1389" i="5"/>
  <c r="A1389" i="5"/>
  <c r="F1388" i="5"/>
  <c r="E1388" i="5"/>
  <c r="D1388" i="5"/>
  <c r="C1388" i="5"/>
  <c r="B1388" i="5"/>
  <c r="A1388" i="5"/>
  <c r="F1387" i="5"/>
  <c r="E1387" i="5"/>
  <c r="D1387" i="5"/>
  <c r="C1387" i="5"/>
  <c r="B1387" i="5"/>
  <c r="A1387" i="5"/>
  <c r="F1386" i="5"/>
  <c r="E1386" i="5"/>
  <c r="D1386" i="5"/>
  <c r="C1386" i="5"/>
  <c r="B1386" i="5"/>
  <c r="A1386" i="5"/>
  <c r="F1385" i="5"/>
  <c r="E1385" i="5"/>
  <c r="D1385" i="5"/>
  <c r="C1385" i="5"/>
  <c r="B1385" i="5"/>
  <c r="A1385" i="5"/>
  <c r="F1384" i="5"/>
  <c r="E1384" i="5"/>
  <c r="D1384" i="5"/>
  <c r="C1384" i="5"/>
  <c r="B1384" i="5"/>
  <c r="A1384" i="5"/>
  <c r="F1383" i="5"/>
  <c r="E1383" i="5"/>
  <c r="D1383" i="5"/>
  <c r="C1383" i="5"/>
  <c r="B1383" i="5"/>
  <c r="A1383" i="5"/>
  <c r="F1382" i="5"/>
  <c r="E1382" i="5"/>
  <c r="D1382" i="5"/>
  <c r="C1382" i="5"/>
  <c r="B1382" i="5"/>
  <c r="A1382" i="5"/>
  <c r="F1381" i="5"/>
  <c r="E1381" i="5"/>
  <c r="D1381" i="5"/>
  <c r="C1381" i="5"/>
  <c r="B1381" i="5"/>
  <c r="A1381" i="5"/>
  <c r="F1380" i="5"/>
  <c r="E1380" i="5"/>
  <c r="D1380" i="5"/>
  <c r="C1380" i="5"/>
  <c r="B1380" i="5"/>
  <c r="A1380" i="5"/>
  <c r="F1379" i="5"/>
  <c r="E1379" i="5"/>
  <c r="D1379" i="5"/>
  <c r="C1379" i="5"/>
  <c r="B1379" i="5"/>
  <c r="A1379" i="5"/>
  <c r="F1378" i="5"/>
  <c r="E1378" i="5"/>
  <c r="D1378" i="5"/>
  <c r="C1378" i="5"/>
  <c r="B1378" i="5"/>
  <c r="A1378" i="5"/>
  <c r="F1377" i="5"/>
  <c r="E1377" i="5"/>
  <c r="D1377" i="5"/>
  <c r="C1377" i="5"/>
  <c r="B1377" i="5"/>
  <c r="A1377" i="5"/>
  <c r="F1376" i="5"/>
  <c r="E1376" i="5"/>
  <c r="D1376" i="5"/>
  <c r="C1376" i="5"/>
  <c r="B1376" i="5"/>
  <c r="A1376" i="5"/>
  <c r="F1375" i="5"/>
  <c r="E1375" i="5"/>
  <c r="D1375" i="5"/>
  <c r="C1375" i="5"/>
  <c r="B1375" i="5"/>
  <c r="A1375" i="5"/>
  <c r="F1374" i="5"/>
  <c r="E1374" i="5"/>
  <c r="D1374" i="5"/>
  <c r="C1374" i="5"/>
  <c r="B1374" i="5"/>
  <c r="A1374" i="5"/>
  <c r="F1373" i="5"/>
  <c r="E1373" i="5"/>
  <c r="D1373" i="5"/>
  <c r="C1373" i="5"/>
  <c r="B1373" i="5"/>
  <c r="A1373" i="5"/>
  <c r="F1372" i="5"/>
  <c r="E1372" i="5"/>
  <c r="D1372" i="5"/>
  <c r="C1372" i="5"/>
  <c r="B1372" i="5"/>
  <c r="A1372" i="5"/>
  <c r="F1371" i="5"/>
  <c r="E1371" i="5"/>
  <c r="D1371" i="5"/>
  <c r="C1371" i="5"/>
  <c r="B1371" i="5"/>
  <c r="A1371" i="5"/>
  <c r="F1370" i="5"/>
  <c r="E1370" i="5"/>
  <c r="D1370" i="5"/>
  <c r="C1370" i="5"/>
  <c r="B1370" i="5"/>
  <c r="A1370" i="5"/>
  <c r="F1369" i="5"/>
  <c r="E1369" i="5"/>
  <c r="D1369" i="5"/>
  <c r="C1369" i="5"/>
  <c r="B1369" i="5"/>
  <c r="A1369" i="5"/>
  <c r="F1368" i="5"/>
  <c r="E1368" i="5"/>
  <c r="D1368" i="5"/>
  <c r="C1368" i="5"/>
  <c r="B1368" i="5"/>
  <c r="A1368" i="5"/>
  <c r="F1367" i="5"/>
  <c r="E1367" i="5"/>
  <c r="D1367" i="5"/>
  <c r="C1367" i="5"/>
  <c r="B1367" i="5"/>
  <c r="A1367" i="5"/>
  <c r="F1366" i="5"/>
  <c r="E1366" i="5"/>
  <c r="D1366" i="5"/>
  <c r="C1366" i="5"/>
  <c r="B1366" i="5"/>
  <c r="A1366" i="5"/>
  <c r="F1365" i="5"/>
  <c r="E1365" i="5"/>
  <c r="D1365" i="5"/>
  <c r="C1365" i="5"/>
  <c r="B1365" i="5"/>
  <c r="A1365" i="5"/>
  <c r="F1364" i="5"/>
  <c r="E1364" i="5"/>
  <c r="D1364" i="5"/>
  <c r="C1364" i="5"/>
  <c r="B1364" i="5"/>
  <c r="A1364" i="5"/>
  <c r="F1363" i="5"/>
  <c r="E1363" i="5"/>
  <c r="D1363" i="5"/>
  <c r="C1363" i="5"/>
  <c r="B1363" i="5"/>
  <c r="A1363" i="5"/>
  <c r="F1362" i="5"/>
  <c r="E1362" i="5"/>
  <c r="D1362" i="5"/>
  <c r="C1362" i="5"/>
  <c r="B1362" i="5"/>
  <c r="A1362" i="5"/>
  <c r="F1361" i="5"/>
  <c r="E1361" i="5"/>
  <c r="D1361" i="5"/>
  <c r="C1361" i="5"/>
  <c r="B1361" i="5"/>
  <c r="A1361" i="5"/>
  <c r="F1360" i="5"/>
  <c r="E1360" i="5"/>
  <c r="D1360" i="5"/>
  <c r="C1360" i="5"/>
  <c r="B1360" i="5"/>
  <c r="A1360" i="5"/>
  <c r="F1359" i="5"/>
  <c r="E1359" i="5"/>
  <c r="D1359" i="5"/>
  <c r="C1359" i="5"/>
  <c r="B1359" i="5"/>
  <c r="A1359" i="5"/>
  <c r="F1358" i="5"/>
  <c r="E1358" i="5"/>
  <c r="D1358" i="5"/>
  <c r="C1358" i="5"/>
  <c r="B1358" i="5"/>
  <c r="A1358" i="5"/>
  <c r="F1357" i="5"/>
  <c r="E1357" i="5"/>
  <c r="D1357" i="5"/>
  <c r="C1357" i="5"/>
  <c r="B1357" i="5"/>
  <c r="A1357" i="5"/>
  <c r="F1356" i="5"/>
  <c r="E1356" i="5"/>
  <c r="D1356" i="5"/>
  <c r="C1356" i="5"/>
  <c r="B1356" i="5"/>
  <c r="A1356" i="5"/>
  <c r="F1355" i="5"/>
  <c r="E1355" i="5"/>
  <c r="D1355" i="5"/>
  <c r="C1355" i="5"/>
  <c r="B1355" i="5"/>
  <c r="A1355" i="5"/>
  <c r="F1354" i="5"/>
  <c r="E1354" i="5"/>
  <c r="D1354" i="5"/>
  <c r="C1354" i="5"/>
  <c r="B1354" i="5"/>
  <c r="A1354" i="5"/>
  <c r="F1353" i="5"/>
  <c r="E1353" i="5"/>
  <c r="D1353" i="5"/>
  <c r="C1353" i="5"/>
  <c r="B1353" i="5"/>
  <c r="A1353" i="5"/>
  <c r="F1352" i="5"/>
  <c r="E1352" i="5"/>
  <c r="D1352" i="5"/>
  <c r="C1352" i="5"/>
  <c r="B1352" i="5"/>
  <c r="A1352" i="5"/>
  <c r="F1351" i="5"/>
  <c r="E1351" i="5"/>
  <c r="D1351" i="5"/>
  <c r="C1351" i="5"/>
  <c r="B1351" i="5"/>
  <c r="A1351" i="5"/>
  <c r="F1350" i="5"/>
  <c r="E1350" i="5"/>
  <c r="D1350" i="5"/>
  <c r="C1350" i="5"/>
  <c r="B1350" i="5"/>
  <c r="A1350" i="5"/>
  <c r="F1349" i="5"/>
  <c r="E1349" i="5"/>
  <c r="D1349" i="5"/>
  <c r="C1349" i="5"/>
  <c r="B1349" i="5"/>
  <c r="A1349" i="5"/>
  <c r="F1348" i="5"/>
  <c r="E1348" i="5"/>
  <c r="D1348" i="5"/>
  <c r="C1348" i="5"/>
  <c r="B1348" i="5"/>
  <c r="A1348" i="5"/>
  <c r="F1347" i="5"/>
  <c r="E1347" i="5"/>
  <c r="D1347" i="5"/>
  <c r="C1347" i="5"/>
  <c r="B1347" i="5"/>
  <c r="A1347" i="5"/>
  <c r="F1346" i="5"/>
  <c r="E1346" i="5"/>
  <c r="D1346" i="5"/>
  <c r="C1346" i="5"/>
  <c r="B1346" i="5"/>
  <c r="A1346" i="5"/>
  <c r="F1345" i="5"/>
  <c r="E1345" i="5"/>
  <c r="D1345" i="5"/>
  <c r="C1345" i="5"/>
  <c r="B1345" i="5"/>
  <c r="A1345" i="5"/>
  <c r="F1344" i="5"/>
  <c r="E1344" i="5"/>
  <c r="D1344" i="5"/>
  <c r="C1344" i="5"/>
  <c r="B1344" i="5"/>
  <c r="A1344" i="5"/>
  <c r="F1343" i="5"/>
  <c r="E1343" i="5"/>
  <c r="D1343" i="5"/>
  <c r="C1343" i="5"/>
  <c r="B1343" i="5"/>
  <c r="A1343" i="5"/>
  <c r="F1342" i="5"/>
  <c r="E1342" i="5"/>
  <c r="D1342" i="5"/>
  <c r="C1342" i="5"/>
  <c r="B1342" i="5"/>
  <c r="A1342" i="5"/>
  <c r="F1341" i="5"/>
  <c r="E1341" i="5"/>
  <c r="D1341" i="5"/>
  <c r="C1341" i="5"/>
  <c r="B1341" i="5"/>
  <c r="A1341" i="5"/>
  <c r="F1340" i="5"/>
  <c r="E1340" i="5"/>
  <c r="D1340" i="5"/>
  <c r="C1340" i="5"/>
  <c r="B1340" i="5"/>
  <c r="A1340" i="5"/>
  <c r="F1339" i="5"/>
  <c r="E1339" i="5"/>
  <c r="D1339" i="5"/>
  <c r="C1339" i="5"/>
  <c r="B1339" i="5"/>
  <c r="A1339" i="5"/>
  <c r="F1338" i="5"/>
  <c r="E1338" i="5"/>
  <c r="D1338" i="5"/>
  <c r="C1338" i="5"/>
  <c r="B1338" i="5"/>
  <c r="A1338" i="5"/>
  <c r="F1337" i="5"/>
  <c r="E1337" i="5"/>
  <c r="D1337" i="5"/>
  <c r="C1337" i="5"/>
  <c r="B1337" i="5"/>
  <c r="A1337" i="5"/>
  <c r="F1336" i="5"/>
  <c r="E1336" i="5"/>
  <c r="D1336" i="5"/>
  <c r="C1336" i="5"/>
  <c r="B1336" i="5"/>
  <c r="A1336" i="5"/>
  <c r="F1335" i="5"/>
  <c r="E1335" i="5"/>
  <c r="D1335" i="5"/>
  <c r="C1335" i="5"/>
  <c r="B1335" i="5"/>
  <c r="A1335" i="5"/>
  <c r="F1334" i="5"/>
  <c r="E1334" i="5"/>
  <c r="D1334" i="5"/>
  <c r="C1334" i="5"/>
  <c r="B1334" i="5"/>
  <c r="A1334" i="5"/>
  <c r="F1333" i="5"/>
  <c r="E1333" i="5"/>
  <c r="D1333" i="5"/>
  <c r="C1333" i="5"/>
  <c r="B1333" i="5"/>
  <c r="A1333" i="5"/>
  <c r="F1332" i="5"/>
  <c r="E1332" i="5"/>
  <c r="D1332" i="5"/>
  <c r="C1332" i="5"/>
  <c r="B1332" i="5"/>
  <c r="A1332" i="5"/>
  <c r="F1331" i="5"/>
  <c r="E1331" i="5"/>
  <c r="D1331" i="5"/>
  <c r="C1331" i="5"/>
  <c r="B1331" i="5"/>
  <c r="A1331" i="5"/>
  <c r="F1330" i="5"/>
  <c r="E1330" i="5"/>
  <c r="D1330" i="5"/>
  <c r="C1330" i="5"/>
  <c r="B1330" i="5"/>
  <c r="A1330" i="5"/>
  <c r="F1329" i="5"/>
  <c r="E1329" i="5"/>
  <c r="D1329" i="5"/>
  <c r="C1329" i="5"/>
  <c r="B1329" i="5"/>
  <c r="A1329" i="5"/>
  <c r="F1328" i="5"/>
  <c r="E1328" i="5"/>
  <c r="D1328" i="5"/>
  <c r="C1328" i="5"/>
  <c r="B1328" i="5"/>
  <c r="A1328" i="5"/>
  <c r="F1327" i="5"/>
  <c r="E1327" i="5"/>
  <c r="D1327" i="5"/>
  <c r="C1327" i="5"/>
  <c r="B1327" i="5"/>
  <c r="A1327" i="5"/>
  <c r="F1326" i="5"/>
  <c r="E1326" i="5"/>
  <c r="D1326" i="5"/>
  <c r="C1326" i="5"/>
  <c r="B1326" i="5"/>
  <c r="A1326" i="5"/>
  <c r="F1325" i="5"/>
  <c r="E1325" i="5"/>
  <c r="D1325" i="5"/>
  <c r="C1325" i="5"/>
  <c r="B1325" i="5"/>
  <c r="A1325" i="5"/>
  <c r="F1324" i="5"/>
  <c r="E1324" i="5"/>
  <c r="D1324" i="5"/>
  <c r="C1324" i="5"/>
  <c r="B1324" i="5"/>
  <c r="A1324" i="5"/>
  <c r="F1323" i="5"/>
  <c r="E1323" i="5"/>
  <c r="D1323" i="5"/>
  <c r="C1323" i="5"/>
  <c r="B1323" i="5"/>
  <c r="A1323" i="5"/>
  <c r="F1322" i="5"/>
  <c r="E1322" i="5"/>
  <c r="D1322" i="5"/>
  <c r="C1322" i="5"/>
  <c r="B1322" i="5"/>
  <c r="A1322" i="5"/>
  <c r="F1321" i="5"/>
  <c r="E1321" i="5"/>
  <c r="D1321" i="5"/>
  <c r="C1321" i="5"/>
  <c r="B1321" i="5"/>
  <c r="A1321" i="5"/>
  <c r="F1320" i="5"/>
  <c r="E1320" i="5"/>
  <c r="D1320" i="5"/>
  <c r="C1320" i="5"/>
  <c r="B1320" i="5"/>
  <c r="A1320" i="5"/>
  <c r="F1319" i="5"/>
  <c r="E1319" i="5"/>
  <c r="D1319" i="5"/>
  <c r="C1319" i="5"/>
  <c r="B1319" i="5"/>
  <c r="A1319" i="5"/>
  <c r="F1318" i="5"/>
  <c r="E1318" i="5"/>
  <c r="D1318" i="5"/>
  <c r="C1318" i="5"/>
  <c r="B1318" i="5"/>
  <c r="A1318" i="5"/>
  <c r="F1317" i="5"/>
  <c r="E1317" i="5"/>
  <c r="D1317" i="5"/>
  <c r="C1317" i="5"/>
  <c r="B1317" i="5"/>
  <c r="A1317" i="5"/>
  <c r="F1316" i="5"/>
  <c r="E1316" i="5"/>
  <c r="D1316" i="5"/>
  <c r="C1316" i="5"/>
  <c r="B1316" i="5"/>
  <c r="A1316" i="5"/>
  <c r="F1315" i="5"/>
  <c r="E1315" i="5"/>
  <c r="D1315" i="5"/>
  <c r="C1315" i="5"/>
  <c r="B1315" i="5"/>
  <c r="A1315" i="5"/>
  <c r="F1314" i="5"/>
  <c r="E1314" i="5"/>
  <c r="D1314" i="5"/>
  <c r="C1314" i="5"/>
  <c r="B1314" i="5"/>
  <c r="A1314" i="5"/>
  <c r="F1313" i="5"/>
  <c r="E1313" i="5"/>
  <c r="D1313" i="5"/>
  <c r="C1313" i="5"/>
  <c r="B1313" i="5"/>
  <c r="A1313" i="5"/>
  <c r="F1312" i="5"/>
  <c r="E1312" i="5"/>
  <c r="D1312" i="5"/>
  <c r="C1312" i="5"/>
  <c r="B1312" i="5"/>
  <c r="A1312" i="5"/>
  <c r="F1311" i="5"/>
  <c r="E1311" i="5"/>
  <c r="D1311" i="5"/>
  <c r="C1311" i="5"/>
  <c r="B1311" i="5"/>
  <c r="A1311" i="5"/>
  <c r="F1310" i="5"/>
  <c r="E1310" i="5"/>
  <c r="D1310" i="5"/>
  <c r="C1310" i="5"/>
  <c r="B1310" i="5"/>
  <c r="A1310" i="5"/>
  <c r="F1309" i="5"/>
  <c r="E1309" i="5"/>
  <c r="D1309" i="5"/>
  <c r="C1309" i="5"/>
  <c r="B1309" i="5"/>
  <c r="A1309" i="5"/>
  <c r="F1308" i="5"/>
  <c r="E1308" i="5"/>
  <c r="D1308" i="5"/>
  <c r="C1308" i="5"/>
  <c r="B1308" i="5"/>
  <c r="A1308" i="5"/>
  <c r="F1307" i="5"/>
  <c r="E1307" i="5"/>
  <c r="D1307" i="5"/>
  <c r="C1307" i="5"/>
  <c r="B1307" i="5"/>
  <c r="A1307" i="5"/>
  <c r="F1306" i="5"/>
  <c r="E1306" i="5"/>
  <c r="D1306" i="5"/>
  <c r="C1306" i="5"/>
  <c r="B1306" i="5"/>
  <c r="A1306" i="5"/>
  <c r="F1305" i="5"/>
  <c r="E1305" i="5"/>
  <c r="D1305" i="5"/>
  <c r="C1305" i="5"/>
  <c r="B1305" i="5"/>
  <c r="A1305" i="5"/>
  <c r="F1304" i="5"/>
  <c r="E1304" i="5"/>
  <c r="D1304" i="5"/>
  <c r="C1304" i="5"/>
  <c r="B1304" i="5"/>
  <c r="A1304" i="5"/>
  <c r="F1303" i="5"/>
  <c r="E1303" i="5"/>
  <c r="D1303" i="5"/>
  <c r="C1303" i="5"/>
  <c r="B1303" i="5"/>
  <c r="A1303" i="5"/>
  <c r="F1302" i="5"/>
  <c r="E1302" i="5"/>
  <c r="D1302" i="5"/>
  <c r="C1302" i="5"/>
  <c r="B1302" i="5"/>
  <c r="A1302" i="5"/>
  <c r="F1301" i="5"/>
  <c r="E1301" i="5"/>
  <c r="D1301" i="5"/>
  <c r="C1301" i="5"/>
  <c r="B1301" i="5"/>
  <c r="A1301" i="5"/>
  <c r="F1300" i="5"/>
  <c r="E1300" i="5"/>
  <c r="D1300" i="5"/>
  <c r="C1300" i="5"/>
  <c r="B1300" i="5"/>
  <c r="A1300" i="5"/>
  <c r="F1299" i="5"/>
  <c r="E1299" i="5"/>
  <c r="D1299" i="5"/>
  <c r="C1299" i="5"/>
  <c r="B1299" i="5"/>
  <c r="A1299" i="5"/>
  <c r="F1298" i="5"/>
  <c r="E1298" i="5"/>
  <c r="D1298" i="5"/>
  <c r="C1298" i="5"/>
  <c r="B1298" i="5"/>
  <c r="A1298" i="5"/>
  <c r="F1297" i="5"/>
  <c r="E1297" i="5"/>
  <c r="D1297" i="5"/>
  <c r="C1297" i="5"/>
  <c r="B1297" i="5"/>
  <c r="A1297" i="5"/>
  <c r="F1296" i="5"/>
  <c r="E1296" i="5"/>
  <c r="D1296" i="5"/>
  <c r="C1296" i="5"/>
  <c r="B1296" i="5"/>
  <c r="A1296" i="5"/>
  <c r="F1295" i="5"/>
  <c r="E1295" i="5"/>
  <c r="D1295" i="5"/>
  <c r="C1295" i="5"/>
  <c r="B1295" i="5"/>
  <c r="A1295" i="5"/>
  <c r="F1294" i="5"/>
  <c r="E1294" i="5"/>
  <c r="D1294" i="5"/>
  <c r="C1294" i="5"/>
  <c r="B1294" i="5"/>
  <c r="A1294" i="5"/>
  <c r="F1293" i="5"/>
  <c r="E1293" i="5"/>
  <c r="D1293" i="5"/>
  <c r="C1293" i="5"/>
  <c r="B1293" i="5"/>
  <c r="A1293" i="5"/>
  <c r="F1292" i="5"/>
  <c r="E1292" i="5"/>
  <c r="D1292" i="5"/>
  <c r="C1292" i="5"/>
  <c r="B1292" i="5"/>
  <c r="A1292" i="5"/>
  <c r="F1291" i="5"/>
  <c r="E1291" i="5"/>
  <c r="D1291" i="5"/>
  <c r="C1291" i="5"/>
  <c r="B1291" i="5"/>
  <c r="A1291" i="5"/>
  <c r="F1290" i="5"/>
  <c r="E1290" i="5"/>
  <c r="D1290" i="5"/>
  <c r="C1290" i="5"/>
  <c r="B1290" i="5"/>
  <c r="A1290" i="5"/>
  <c r="F1289" i="5"/>
  <c r="E1289" i="5"/>
  <c r="D1289" i="5"/>
  <c r="C1289" i="5"/>
  <c r="B1289" i="5"/>
  <c r="A1289" i="5"/>
  <c r="F1288" i="5"/>
  <c r="E1288" i="5"/>
  <c r="D1288" i="5"/>
  <c r="C1288" i="5"/>
  <c r="B1288" i="5"/>
  <c r="A1288" i="5"/>
  <c r="F1287" i="5"/>
  <c r="E1287" i="5"/>
  <c r="D1287" i="5"/>
  <c r="C1287" i="5"/>
  <c r="B1287" i="5"/>
  <c r="A1287" i="5"/>
  <c r="F1286" i="5"/>
  <c r="E1286" i="5"/>
  <c r="D1286" i="5"/>
  <c r="C1286" i="5"/>
  <c r="B1286" i="5"/>
  <c r="A1286" i="5"/>
  <c r="F1285" i="5"/>
  <c r="E1285" i="5"/>
  <c r="D1285" i="5"/>
  <c r="C1285" i="5"/>
  <c r="B1285" i="5"/>
  <c r="A1285" i="5"/>
  <c r="F1284" i="5"/>
  <c r="E1284" i="5"/>
  <c r="D1284" i="5"/>
  <c r="C1284" i="5"/>
  <c r="B1284" i="5"/>
  <c r="A1284" i="5"/>
  <c r="F1283" i="5"/>
  <c r="E1283" i="5"/>
  <c r="D1283" i="5"/>
  <c r="C1283" i="5"/>
  <c r="B1283" i="5"/>
  <c r="A1283" i="5"/>
  <c r="F1282" i="5"/>
  <c r="E1282" i="5"/>
  <c r="D1282" i="5"/>
  <c r="C1282" i="5"/>
  <c r="B1282" i="5"/>
  <c r="A1282" i="5"/>
  <c r="F1281" i="5"/>
  <c r="E1281" i="5"/>
  <c r="D1281" i="5"/>
  <c r="C1281" i="5"/>
  <c r="B1281" i="5"/>
  <c r="A1281" i="5"/>
  <c r="F1280" i="5"/>
  <c r="E1280" i="5"/>
  <c r="D1280" i="5"/>
  <c r="C1280" i="5"/>
  <c r="B1280" i="5"/>
  <c r="A1280" i="5"/>
  <c r="F1279" i="5"/>
  <c r="E1279" i="5"/>
  <c r="D1279" i="5"/>
  <c r="C1279" i="5"/>
  <c r="B1279" i="5"/>
  <c r="A1279" i="5"/>
  <c r="F1278" i="5"/>
  <c r="E1278" i="5"/>
  <c r="D1278" i="5"/>
  <c r="C1278" i="5"/>
  <c r="B1278" i="5"/>
  <c r="A1278" i="5"/>
  <c r="F1277" i="5"/>
  <c r="E1277" i="5"/>
  <c r="D1277" i="5"/>
  <c r="C1277" i="5"/>
  <c r="B1277" i="5"/>
  <c r="A1277" i="5"/>
  <c r="F1276" i="5"/>
  <c r="E1276" i="5"/>
  <c r="D1276" i="5"/>
  <c r="C1276" i="5"/>
  <c r="B1276" i="5"/>
  <c r="A1276" i="5"/>
  <c r="F1275" i="5"/>
  <c r="E1275" i="5"/>
  <c r="D1275" i="5"/>
  <c r="C1275" i="5"/>
  <c r="B1275" i="5"/>
  <c r="A1275" i="5"/>
  <c r="F1274" i="5"/>
  <c r="E1274" i="5"/>
  <c r="D1274" i="5"/>
  <c r="C1274" i="5"/>
  <c r="B1274" i="5"/>
  <c r="A1274" i="5"/>
  <c r="F1273" i="5"/>
  <c r="E1273" i="5"/>
  <c r="D1273" i="5"/>
  <c r="C1273" i="5"/>
  <c r="B1273" i="5"/>
  <c r="A1273" i="5"/>
  <c r="F1272" i="5"/>
  <c r="E1272" i="5"/>
  <c r="D1272" i="5"/>
  <c r="C1272" i="5"/>
  <c r="B1272" i="5"/>
  <c r="A1272" i="5"/>
  <c r="F1271" i="5"/>
  <c r="E1271" i="5"/>
  <c r="D1271" i="5"/>
  <c r="C1271" i="5"/>
  <c r="B1271" i="5"/>
  <c r="A1271" i="5"/>
  <c r="F1270" i="5"/>
  <c r="E1270" i="5"/>
  <c r="D1270" i="5"/>
  <c r="C1270" i="5"/>
  <c r="B1270" i="5"/>
  <c r="A1270" i="5"/>
  <c r="F1269" i="5"/>
  <c r="E1269" i="5"/>
  <c r="D1269" i="5"/>
  <c r="C1269" i="5"/>
  <c r="B1269" i="5"/>
  <c r="A1269" i="5"/>
  <c r="F1268" i="5"/>
  <c r="E1268" i="5"/>
  <c r="D1268" i="5"/>
  <c r="C1268" i="5"/>
  <c r="B1268" i="5"/>
  <c r="A1268" i="5"/>
  <c r="F1267" i="5"/>
  <c r="E1267" i="5"/>
  <c r="D1267" i="5"/>
  <c r="C1267" i="5"/>
  <c r="B1267" i="5"/>
  <c r="A1267" i="5"/>
  <c r="F1266" i="5"/>
  <c r="E1266" i="5"/>
  <c r="D1266" i="5"/>
  <c r="C1266" i="5"/>
  <c r="B1266" i="5"/>
  <c r="A1266" i="5"/>
  <c r="F1265" i="5"/>
  <c r="E1265" i="5"/>
  <c r="D1265" i="5"/>
  <c r="C1265" i="5"/>
  <c r="B1265" i="5"/>
  <c r="A1265" i="5"/>
  <c r="F1264" i="5"/>
  <c r="E1264" i="5"/>
  <c r="D1264" i="5"/>
  <c r="C1264" i="5"/>
  <c r="B1264" i="5"/>
  <c r="A1264" i="5"/>
  <c r="F1263" i="5"/>
  <c r="E1263" i="5"/>
  <c r="D1263" i="5"/>
  <c r="C1263" i="5"/>
  <c r="B1263" i="5"/>
  <c r="A1263" i="5"/>
  <c r="F1262" i="5"/>
  <c r="E1262" i="5"/>
  <c r="D1262" i="5"/>
  <c r="C1262" i="5"/>
  <c r="B1262" i="5"/>
  <c r="A1262" i="5"/>
  <c r="F1261" i="5"/>
  <c r="E1261" i="5"/>
  <c r="D1261" i="5"/>
  <c r="C1261" i="5"/>
  <c r="B1261" i="5"/>
  <c r="A1261" i="5"/>
  <c r="F1260" i="5"/>
  <c r="E1260" i="5"/>
  <c r="D1260" i="5"/>
  <c r="C1260" i="5"/>
  <c r="B1260" i="5"/>
  <c r="A1260" i="5"/>
  <c r="F1259" i="5"/>
  <c r="E1259" i="5"/>
  <c r="D1259" i="5"/>
  <c r="C1259" i="5"/>
  <c r="B1259" i="5"/>
  <c r="A1259" i="5"/>
  <c r="F1258" i="5"/>
  <c r="E1258" i="5"/>
  <c r="D1258" i="5"/>
  <c r="C1258" i="5"/>
  <c r="B1258" i="5"/>
  <c r="A1258" i="5"/>
  <c r="F1257" i="5"/>
  <c r="E1257" i="5"/>
  <c r="D1257" i="5"/>
  <c r="C1257" i="5"/>
  <c r="B1257" i="5"/>
  <c r="A1257" i="5"/>
  <c r="F1256" i="5"/>
  <c r="E1256" i="5"/>
  <c r="D1256" i="5"/>
  <c r="C1256" i="5"/>
  <c r="B1256" i="5"/>
  <c r="A1256" i="5"/>
  <c r="F1255" i="5"/>
  <c r="E1255" i="5"/>
  <c r="D1255" i="5"/>
  <c r="C1255" i="5"/>
  <c r="B1255" i="5"/>
  <c r="A1255" i="5"/>
  <c r="F1254" i="5"/>
  <c r="E1254" i="5"/>
  <c r="D1254" i="5"/>
  <c r="C1254" i="5"/>
  <c r="B1254" i="5"/>
  <c r="A1254" i="5"/>
  <c r="F1253" i="5"/>
  <c r="E1253" i="5"/>
  <c r="D1253" i="5"/>
  <c r="C1253" i="5"/>
  <c r="B1253" i="5"/>
  <c r="A1253" i="5"/>
  <c r="F1252" i="5"/>
  <c r="E1252" i="5"/>
  <c r="D1252" i="5"/>
  <c r="C1252" i="5"/>
  <c r="B1252" i="5"/>
  <c r="A1252" i="5"/>
  <c r="F1251" i="5"/>
  <c r="E1251" i="5"/>
  <c r="D1251" i="5"/>
  <c r="C1251" i="5"/>
  <c r="B1251" i="5"/>
  <c r="A1251" i="5"/>
  <c r="F1250" i="5"/>
  <c r="E1250" i="5"/>
  <c r="D1250" i="5"/>
  <c r="C1250" i="5"/>
  <c r="B1250" i="5"/>
  <c r="A1250" i="5"/>
  <c r="F1249" i="5"/>
  <c r="E1249" i="5"/>
  <c r="D1249" i="5"/>
  <c r="C1249" i="5"/>
  <c r="B1249" i="5"/>
  <c r="A1249" i="5"/>
  <c r="F1248" i="5"/>
  <c r="E1248" i="5"/>
  <c r="D1248" i="5"/>
  <c r="C1248" i="5"/>
  <c r="B1248" i="5"/>
  <c r="A1248" i="5"/>
  <c r="F1247" i="5"/>
  <c r="E1247" i="5"/>
  <c r="D1247" i="5"/>
  <c r="C1247" i="5"/>
  <c r="B1247" i="5"/>
  <c r="A1247" i="5"/>
  <c r="F1246" i="5"/>
  <c r="E1246" i="5"/>
  <c r="D1246" i="5"/>
  <c r="C1246" i="5"/>
  <c r="B1246" i="5"/>
  <c r="A1246" i="5"/>
  <c r="F1245" i="5"/>
  <c r="E1245" i="5"/>
  <c r="D1245" i="5"/>
  <c r="C1245" i="5"/>
  <c r="B1245" i="5"/>
  <c r="A1245" i="5"/>
  <c r="F1244" i="5"/>
  <c r="E1244" i="5"/>
  <c r="D1244" i="5"/>
  <c r="C1244" i="5"/>
  <c r="B1244" i="5"/>
  <c r="A1244" i="5"/>
  <c r="F1243" i="5"/>
  <c r="E1243" i="5"/>
  <c r="D1243" i="5"/>
  <c r="C1243" i="5"/>
  <c r="B1243" i="5"/>
  <c r="A1243" i="5"/>
  <c r="F1242" i="5"/>
  <c r="E1242" i="5"/>
  <c r="D1242" i="5"/>
  <c r="C1242" i="5"/>
  <c r="B1242" i="5"/>
  <c r="A1242" i="5"/>
  <c r="F1241" i="5"/>
  <c r="E1241" i="5"/>
  <c r="D1241" i="5"/>
  <c r="C1241" i="5"/>
  <c r="B1241" i="5"/>
  <c r="A1241" i="5"/>
  <c r="F1240" i="5"/>
  <c r="E1240" i="5"/>
  <c r="D1240" i="5"/>
  <c r="C1240" i="5"/>
  <c r="B1240" i="5"/>
  <c r="A1240" i="5"/>
  <c r="F1239" i="5"/>
  <c r="E1239" i="5"/>
  <c r="D1239" i="5"/>
  <c r="C1239" i="5"/>
  <c r="B1239" i="5"/>
  <c r="A1239" i="5"/>
  <c r="F1238" i="5"/>
  <c r="E1238" i="5"/>
  <c r="D1238" i="5"/>
  <c r="C1238" i="5"/>
  <c r="B1238" i="5"/>
  <c r="A1238" i="5"/>
  <c r="F1237" i="5"/>
  <c r="E1237" i="5"/>
  <c r="D1237" i="5"/>
  <c r="C1237" i="5"/>
  <c r="B1237" i="5"/>
  <c r="A1237" i="5"/>
  <c r="F1236" i="5"/>
  <c r="E1236" i="5"/>
  <c r="D1236" i="5"/>
  <c r="C1236" i="5"/>
  <c r="B1236" i="5"/>
  <c r="A1236" i="5"/>
  <c r="F1235" i="5"/>
  <c r="E1235" i="5"/>
  <c r="D1235" i="5"/>
  <c r="C1235" i="5"/>
  <c r="B1235" i="5"/>
  <c r="A1235" i="5"/>
  <c r="F1234" i="5"/>
  <c r="E1234" i="5"/>
  <c r="D1234" i="5"/>
  <c r="C1234" i="5"/>
  <c r="B1234" i="5"/>
  <c r="A1234" i="5"/>
  <c r="F1233" i="5"/>
  <c r="E1233" i="5"/>
  <c r="D1233" i="5"/>
  <c r="C1233" i="5"/>
  <c r="B1233" i="5"/>
  <c r="A1233" i="5"/>
  <c r="F1232" i="5"/>
  <c r="E1232" i="5"/>
  <c r="D1232" i="5"/>
  <c r="C1232" i="5"/>
  <c r="B1232" i="5"/>
  <c r="A1232" i="5"/>
  <c r="F1231" i="5"/>
  <c r="E1231" i="5"/>
  <c r="D1231" i="5"/>
  <c r="C1231" i="5"/>
  <c r="B1231" i="5"/>
  <c r="A1231" i="5"/>
  <c r="F1230" i="5"/>
  <c r="E1230" i="5"/>
  <c r="D1230" i="5"/>
  <c r="C1230" i="5"/>
  <c r="B1230" i="5"/>
  <c r="A1230" i="5"/>
  <c r="F1229" i="5"/>
  <c r="E1229" i="5"/>
  <c r="D1229" i="5"/>
  <c r="C1229" i="5"/>
  <c r="B1229" i="5"/>
  <c r="A1229" i="5"/>
  <c r="F1228" i="5"/>
  <c r="E1228" i="5"/>
  <c r="D1228" i="5"/>
  <c r="C1228" i="5"/>
  <c r="B1228" i="5"/>
  <c r="A1228" i="5"/>
  <c r="F1227" i="5"/>
  <c r="E1227" i="5"/>
  <c r="D1227" i="5"/>
  <c r="C1227" i="5"/>
  <c r="B1227" i="5"/>
  <c r="A1227" i="5"/>
  <c r="F1226" i="5"/>
  <c r="E1226" i="5"/>
  <c r="D1226" i="5"/>
  <c r="C1226" i="5"/>
  <c r="B1226" i="5"/>
  <c r="A1226" i="5"/>
  <c r="F1225" i="5"/>
  <c r="E1225" i="5"/>
  <c r="D1225" i="5"/>
  <c r="C1225" i="5"/>
  <c r="B1225" i="5"/>
  <c r="A1225" i="5"/>
  <c r="F1224" i="5"/>
  <c r="E1224" i="5"/>
  <c r="D1224" i="5"/>
  <c r="C1224" i="5"/>
  <c r="B1224" i="5"/>
  <c r="A1224" i="5"/>
  <c r="F1223" i="5"/>
  <c r="E1223" i="5"/>
  <c r="D1223" i="5"/>
  <c r="C1223" i="5"/>
  <c r="B1223" i="5"/>
  <c r="A1223" i="5"/>
  <c r="F1222" i="5"/>
  <c r="E1222" i="5"/>
  <c r="D1222" i="5"/>
  <c r="C1222" i="5"/>
  <c r="B1222" i="5"/>
  <c r="A1222" i="5"/>
  <c r="F1221" i="5"/>
  <c r="E1221" i="5"/>
  <c r="D1221" i="5"/>
  <c r="C1221" i="5"/>
  <c r="B1221" i="5"/>
  <c r="A1221" i="5"/>
  <c r="F1220" i="5"/>
  <c r="E1220" i="5"/>
  <c r="D1220" i="5"/>
  <c r="C1220" i="5"/>
  <c r="B1220" i="5"/>
  <c r="A1220" i="5"/>
  <c r="F1219" i="5"/>
  <c r="E1219" i="5"/>
  <c r="D1219" i="5"/>
  <c r="C1219" i="5"/>
  <c r="B1219" i="5"/>
  <c r="A1219" i="5"/>
  <c r="F1218" i="5"/>
  <c r="E1218" i="5"/>
  <c r="D1218" i="5"/>
  <c r="C1218" i="5"/>
  <c r="B1218" i="5"/>
  <c r="A1218" i="5"/>
  <c r="F1217" i="5"/>
  <c r="E1217" i="5"/>
  <c r="D1217" i="5"/>
  <c r="C1217" i="5"/>
  <c r="B1217" i="5"/>
  <c r="A1217" i="5"/>
  <c r="F1216" i="5"/>
  <c r="E1216" i="5"/>
  <c r="D1216" i="5"/>
  <c r="C1216" i="5"/>
  <c r="B1216" i="5"/>
  <c r="A1216" i="5"/>
  <c r="F1215" i="5"/>
  <c r="E1215" i="5"/>
  <c r="D1215" i="5"/>
  <c r="C1215" i="5"/>
  <c r="B1215" i="5"/>
  <c r="A1215" i="5"/>
  <c r="F1214" i="5"/>
  <c r="E1214" i="5"/>
  <c r="D1214" i="5"/>
  <c r="C1214" i="5"/>
  <c r="B1214" i="5"/>
  <c r="A1214" i="5"/>
  <c r="F1213" i="5"/>
  <c r="E1213" i="5"/>
  <c r="D1213" i="5"/>
  <c r="C1213" i="5"/>
  <c r="B1213" i="5"/>
  <c r="A1213" i="5"/>
  <c r="F1212" i="5"/>
  <c r="E1212" i="5"/>
  <c r="D1212" i="5"/>
  <c r="C1212" i="5"/>
  <c r="B1212" i="5"/>
  <c r="A1212" i="5"/>
  <c r="F1211" i="5"/>
  <c r="E1211" i="5"/>
  <c r="D1211" i="5"/>
  <c r="C1211" i="5"/>
  <c r="B1211" i="5"/>
  <c r="A1211" i="5"/>
  <c r="F1210" i="5"/>
  <c r="E1210" i="5"/>
  <c r="D1210" i="5"/>
  <c r="C1210" i="5"/>
  <c r="B1210" i="5"/>
  <c r="A1210" i="5"/>
  <c r="F1209" i="5"/>
  <c r="E1209" i="5"/>
  <c r="D1209" i="5"/>
  <c r="C1209" i="5"/>
  <c r="B1209" i="5"/>
  <c r="A1209" i="5"/>
  <c r="F1208" i="5"/>
  <c r="E1208" i="5"/>
  <c r="D1208" i="5"/>
  <c r="C1208" i="5"/>
  <c r="B1208" i="5"/>
  <c r="A1208" i="5"/>
  <c r="F1207" i="5"/>
  <c r="E1207" i="5"/>
  <c r="D1207" i="5"/>
  <c r="C1207" i="5"/>
  <c r="B1207" i="5"/>
  <c r="A1207" i="5"/>
  <c r="F1206" i="5"/>
  <c r="E1206" i="5"/>
  <c r="D1206" i="5"/>
  <c r="C1206" i="5"/>
  <c r="B1206" i="5"/>
  <c r="A1206" i="5"/>
  <c r="F1205" i="5"/>
  <c r="E1205" i="5"/>
  <c r="D1205" i="5"/>
  <c r="C1205" i="5"/>
  <c r="B1205" i="5"/>
  <c r="A1205" i="5"/>
  <c r="F1204" i="5"/>
  <c r="E1204" i="5"/>
  <c r="D1204" i="5"/>
  <c r="C1204" i="5"/>
  <c r="B1204" i="5"/>
  <c r="A1204" i="5"/>
  <c r="F1203" i="5"/>
  <c r="E1203" i="5"/>
  <c r="D1203" i="5"/>
  <c r="C1203" i="5"/>
  <c r="B1203" i="5"/>
  <c r="A1203" i="5"/>
  <c r="F1202" i="5"/>
  <c r="E1202" i="5"/>
  <c r="D1202" i="5"/>
  <c r="C1202" i="5"/>
  <c r="B1202" i="5"/>
  <c r="A1202" i="5"/>
  <c r="F1201" i="5"/>
  <c r="E1201" i="5"/>
  <c r="D1201" i="5"/>
  <c r="C1201" i="5"/>
  <c r="B1201" i="5"/>
  <c r="A1201" i="5"/>
  <c r="F1200" i="5"/>
  <c r="E1200" i="5"/>
  <c r="D1200" i="5"/>
  <c r="C1200" i="5"/>
  <c r="B1200" i="5"/>
  <c r="A1200" i="5"/>
  <c r="F1199" i="5"/>
  <c r="E1199" i="5"/>
  <c r="D1199" i="5"/>
  <c r="C1199" i="5"/>
  <c r="B1199" i="5"/>
  <c r="A1199" i="5"/>
  <c r="F1198" i="5"/>
  <c r="E1198" i="5"/>
  <c r="D1198" i="5"/>
  <c r="C1198" i="5"/>
  <c r="B1198" i="5"/>
  <c r="A1198" i="5"/>
  <c r="F1197" i="5"/>
  <c r="E1197" i="5"/>
  <c r="D1197" i="5"/>
  <c r="C1197" i="5"/>
  <c r="B1197" i="5"/>
  <c r="A1197" i="5"/>
  <c r="F1196" i="5"/>
  <c r="E1196" i="5"/>
  <c r="D1196" i="5"/>
  <c r="C1196" i="5"/>
  <c r="B1196" i="5"/>
  <c r="A1196" i="5"/>
  <c r="F1195" i="5"/>
  <c r="E1195" i="5"/>
  <c r="D1195" i="5"/>
  <c r="C1195" i="5"/>
  <c r="B1195" i="5"/>
  <c r="A1195" i="5"/>
  <c r="F1194" i="5"/>
  <c r="E1194" i="5"/>
  <c r="D1194" i="5"/>
  <c r="C1194" i="5"/>
  <c r="B1194" i="5"/>
  <c r="A1194" i="5"/>
  <c r="F1193" i="5"/>
  <c r="E1193" i="5"/>
  <c r="D1193" i="5"/>
  <c r="C1193" i="5"/>
  <c r="B1193" i="5"/>
  <c r="A1193" i="5"/>
  <c r="F1192" i="5"/>
  <c r="E1192" i="5"/>
  <c r="D1192" i="5"/>
  <c r="C1192" i="5"/>
  <c r="B1192" i="5"/>
  <c r="A1192" i="5"/>
  <c r="F1191" i="5"/>
  <c r="E1191" i="5"/>
  <c r="D1191" i="5"/>
  <c r="C1191" i="5"/>
  <c r="B1191" i="5"/>
  <c r="A1191" i="5"/>
  <c r="F1190" i="5"/>
  <c r="E1190" i="5"/>
  <c r="D1190" i="5"/>
  <c r="C1190" i="5"/>
  <c r="B1190" i="5"/>
  <c r="A1190" i="5"/>
  <c r="F1189" i="5"/>
  <c r="E1189" i="5"/>
  <c r="D1189" i="5"/>
  <c r="C1189" i="5"/>
  <c r="B1189" i="5"/>
  <c r="A1189" i="5"/>
  <c r="F1188" i="5"/>
  <c r="E1188" i="5"/>
  <c r="D1188" i="5"/>
  <c r="C1188" i="5"/>
  <c r="B1188" i="5"/>
  <c r="A1188" i="5"/>
  <c r="F1187" i="5"/>
  <c r="E1187" i="5"/>
  <c r="D1187" i="5"/>
  <c r="C1187" i="5"/>
  <c r="B1187" i="5"/>
  <c r="A1187" i="5"/>
  <c r="F1186" i="5"/>
  <c r="E1186" i="5"/>
  <c r="D1186" i="5"/>
  <c r="C1186" i="5"/>
  <c r="B1186" i="5"/>
  <c r="A1186" i="5"/>
  <c r="F1185" i="5"/>
  <c r="E1185" i="5"/>
  <c r="D1185" i="5"/>
  <c r="C1185" i="5"/>
  <c r="B1185" i="5"/>
  <c r="A1185" i="5"/>
  <c r="F1184" i="5"/>
  <c r="E1184" i="5"/>
  <c r="D1184" i="5"/>
  <c r="C1184" i="5"/>
  <c r="B1184" i="5"/>
  <c r="A1184" i="5"/>
  <c r="F1183" i="5"/>
  <c r="E1183" i="5"/>
  <c r="D1183" i="5"/>
  <c r="C1183" i="5"/>
  <c r="B1183" i="5"/>
  <c r="A1183" i="5"/>
  <c r="F1182" i="5"/>
  <c r="E1182" i="5"/>
  <c r="D1182" i="5"/>
  <c r="C1182" i="5"/>
  <c r="B1182" i="5"/>
  <c r="A1182" i="5"/>
  <c r="F1181" i="5"/>
  <c r="E1181" i="5"/>
  <c r="D1181" i="5"/>
  <c r="C1181" i="5"/>
  <c r="B1181" i="5"/>
  <c r="A1181" i="5"/>
  <c r="F1180" i="5"/>
  <c r="E1180" i="5"/>
  <c r="D1180" i="5"/>
  <c r="C1180" i="5"/>
  <c r="B1180" i="5"/>
  <c r="A1180" i="5"/>
  <c r="F1179" i="5"/>
  <c r="E1179" i="5"/>
  <c r="D1179" i="5"/>
  <c r="C1179" i="5"/>
  <c r="B1179" i="5"/>
  <c r="A1179" i="5"/>
  <c r="F1178" i="5"/>
  <c r="E1178" i="5"/>
  <c r="D1178" i="5"/>
  <c r="C1178" i="5"/>
  <c r="B1178" i="5"/>
  <c r="A1178" i="5"/>
  <c r="F1177" i="5"/>
  <c r="E1177" i="5"/>
  <c r="D1177" i="5"/>
  <c r="C1177" i="5"/>
  <c r="B1177" i="5"/>
  <c r="A1177" i="5"/>
  <c r="F1176" i="5"/>
  <c r="E1176" i="5"/>
  <c r="D1176" i="5"/>
  <c r="C1176" i="5"/>
  <c r="B1176" i="5"/>
  <c r="A1176" i="5"/>
  <c r="F1175" i="5"/>
  <c r="E1175" i="5"/>
  <c r="D1175" i="5"/>
  <c r="C1175" i="5"/>
  <c r="B1175" i="5"/>
  <c r="A1175" i="5"/>
  <c r="F1174" i="5"/>
  <c r="E1174" i="5"/>
  <c r="D1174" i="5"/>
  <c r="C1174" i="5"/>
  <c r="B1174" i="5"/>
  <c r="A1174" i="5"/>
  <c r="F1173" i="5"/>
  <c r="E1173" i="5"/>
  <c r="D1173" i="5"/>
  <c r="C1173" i="5"/>
  <c r="B1173" i="5"/>
  <c r="A1173" i="5"/>
  <c r="F1172" i="5"/>
  <c r="E1172" i="5"/>
  <c r="D1172" i="5"/>
  <c r="C1172" i="5"/>
  <c r="B1172" i="5"/>
  <c r="A1172" i="5"/>
  <c r="F1171" i="5"/>
  <c r="E1171" i="5"/>
  <c r="D1171" i="5"/>
  <c r="C1171" i="5"/>
  <c r="B1171" i="5"/>
  <c r="A1171" i="5"/>
  <c r="F1170" i="5"/>
  <c r="E1170" i="5"/>
  <c r="D1170" i="5"/>
  <c r="C1170" i="5"/>
  <c r="B1170" i="5"/>
  <c r="A1170" i="5"/>
  <c r="F1169" i="5"/>
  <c r="E1169" i="5"/>
  <c r="D1169" i="5"/>
  <c r="C1169" i="5"/>
  <c r="B1169" i="5"/>
  <c r="A1169" i="5"/>
  <c r="F1168" i="5"/>
  <c r="E1168" i="5"/>
  <c r="D1168" i="5"/>
  <c r="C1168" i="5"/>
  <c r="B1168" i="5"/>
  <c r="A1168" i="5"/>
  <c r="F1167" i="5"/>
  <c r="E1167" i="5"/>
  <c r="D1167" i="5"/>
  <c r="C1167" i="5"/>
  <c r="B1167" i="5"/>
  <c r="A1167" i="5"/>
  <c r="F1166" i="5"/>
  <c r="E1166" i="5"/>
  <c r="D1166" i="5"/>
  <c r="C1166" i="5"/>
  <c r="B1166" i="5"/>
  <c r="A1166" i="5"/>
  <c r="F1165" i="5"/>
  <c r="E1165" i="5"/>
  <c r="D1165" i="5"/>
  <c r="C1165" i="5"/>
  <c r="B1165" i="5"/>
  <c r="A1165" i="5"/>
  <c r="F1164" i="5"/>
  <c r="E1164" i="5"/>
  <c r="D1164" i="5"/>
  <c r="C1164" i="5"/>
  <c r="B1164" i="5"/>
  <c r="A1164" i="5"/>
  <c r="F1163" i="5"/>
  <c r="E1163" i="5"/>
  <c r="D1163" i="5"/>
  <c r="C1163" i="5"/>
  <c r="B1163" i="5"/>
  <c r="A1163" i="5"/>
  <c r="F1162" i="5"/>
  <c r="E1162" i="5"/>
  <c r="D1162" i="5"/>
  <c r="C1162" i="5"/>
  <c r="B1162" i="5"/>
  <c r="A1162" i="5"/>
  <c r="F1161" i="5"/>
  <c r="E1161" i="5"/>
  <c r="D1161" i="5"/>
  <c r="C1161" i="5"/>
  <c r="B1161" i="5"/>
  <c r="A1161" i="5"/>
  <c r="F1160" i="5"/>
  <c r="E1160" i="5"/>
  <c r="D1160" i="5"/>
  <c r="C1160" i="5"/>
  <c r="B1160" i="5"/>
  <c r="A1160" i="5"/>
  <c r="F1159" i="5"/>
  <c r="E1159" i="5"/>
  <c r="D1159" i="5"/>
  <c r="C1159" i="5"/>
  <c r="B1159" i="5"/>
  <c r="A1159" i="5"/>
  <c r="F1158" i="5"/>
  <c r="E1158" i="5"/>
  <c r="D1158" i="5"/>
  <c r="C1158" i="5"/>
  <c r="B1158" i="5"/>
  <c r="A1158" i="5"/>
  <c r="F1157" i="5"/>
  <c r="E1157" i="5"/>
  <c r="D1157" i="5"/>
  <c r="C1157" i="5"/>
  <c r="B1157" i="5"/>
  <c r="A1157" i="5"/>
  <c r="F1156" i="5"/>
  <c r="E1156" i="5"/>
  <c r="D1156" i="5"/>
  <c r="C1156" i="5"/>
  <c r="B1156" i="5"/>
  <c r="A1156" i="5"/>
  <c r="F1155" i="5"/>
  <c r="E1155" i="5"/>
  <c r="D1155" i="5"/>
  <c r="C1155" i="5"/>
  <c r="B1155" i="5"/>
  <c r="A1155" i="5"/>
  <c r="F1154" i="5"/>
  <c r="E1154" i="5"/>
  <c r="D1154" i="5"/>
  <c r="C1154" i="5"/>
  <c r="B1154" i="5"/>
  <c r="A1154" i="5"/>
  <c r="F1153" i="5"/>
  <c r="E1153" i="5"/>
  <c r="D1153" i="5"/>
  <c r="C1153" i="5"/>
  <c r="B1153" i="5"/>
  <c r="A1153" i="5"/>
  <c r="F1152" i="5"/>
  <c r="E1152" i="5"/>
  <c r="D1152" i="5"/>
  <c r="C1152" i="5"/>
  <c r="B1152" i="5"/>
  <c r="A1152" i="5"/>
  <c r="F1151" i="5"/>
  <c r="E1151" i="5"/>
  <c r="D1151" i="5"/>
  <c r="C1151" i="5"/>
  <c r="B1151" i="5"/>
  <c r="A1151" i="5"/>
  <c r="F1150" i="5"/>
  <c r="E1150" i="5"/>
  <c r="D1150" i="5"/>
  <c r="C1150" i="5"/>
  <c r="B1150" i="5"/>
  <c r="A1150" i="5"/>
  <c r="F1149" i="5"/>
  <c r="E1149" i="5"/>
  <c r="D1149" i="5"/>
  <c r="C1149" i="5"/>
  <c r="B1149" i="5"/>
  <c r="A1149" i="5"/>
  <c r="F1148" i="5"/>
  <c r="E1148" i="5"/>
  <c r="D1148" i="5"/>
  <c r="C1148" i="5"/>
  <c r="B1148" i="5"/>
  <c r="A1148" i="5"/>
  <c r="F1147" i="5"/>
  <c r="E1147" i="5"/>
  <c r="D1147" i="5"/>
  <c r="C1147" i="5"/>
  <c r="B1147" i="5"/>
  <c r="A1147" i="5"/>
  <c r="F1146" i="5"/>
  <c r="E1146" i="5"/>
  <c r="D1146" i="5"/>
  <c r="C1146" i="5"/>
  <c r="B1146" i="5"/>
  <c r="A1146" i="5"/>
  <c r="F1145" i="5"/>
  <c r="E1145" i="5"/>
  <c r="D1145" i="5"/>
  <c r="C1145" i="5"/>
  <c r="B1145" i="5"/>
  <c r="A1145" i="5"/>
  <c r="F1144" i="5"/>
  <c r="E1144" i="5"/>
  <c r="D1144" i="5"/>
  <c r="C1144" i="5"/>
  <c r="B1144" i="5"/>
  <c r="A1144" i="5"/>
  <c r="F1143" i="5"/>
  <c r="E1143" i="5"/>
  <c r="D1143" i="5"/>
  <c r="C1143" i="5"/>
  <c r="B1143" i="5"/>
  <c r="A1143" i="5"/>
  <c r="F1142" i="5"/>
  <c r="E1142" i="5"/>
  <c r="D1142" i="5"/>
  <c r="C1142" i="5"/>
  <c r="B1142" i="5"/>
  <c r="A1142" i="5"/>
  <c r="F1141" i="5"/>
  <c r="E1141" i="5"/>
  <c r="D1141" i="5"/>
  <c r="C1141" i="5"/>
  <c r="B1141" i="5"/>
  <c r="A1141" i="5"/>
  <c r="F1140" i="5"/>
  <c r="E1140" i="5"/>
  <c r="D1140" i="5"/>
  <c r="C1140" i="5"/>
  <c r="B1140" i="5"/>
  <c r="A1140" i="5"/>
  <c r="F1139" i="5"/>
  <c r="E1139" i="5"/>
  <c r="D1139" i="5"/>
  <c r="C1139" i="5"/>
  <c r="B1139" i="5"/>
  <c r="A1139" i="5"/>
  <c r="F1138" i="5"/>
  <c r="E1138" i="5"/>
  <c r="D1138" i="5"/>
  <c r="C1138" i="5"/>
  <c r="B1138" i="5"/>
  <c r="A1138" i="5"/>
  <c r="F1137" i="5"/>
  <c r="E1137" i="5"/>
  <c r="D1137" i="5"/>
  <c r="C1137" i="5"/>
  <c r="B1137" i="5"/>
  <c r="A1137" i="5"/>
  <c r="F1136" i="5"/>
  <c r="E1136" i="5"/>
  <c r="D1136" i="5"/>
  <c r="C1136" i="5"/>
  <c r="B1136" i="5"/>
  <c r="A1136" i="5"/>
  <c r="F1135" i="5"/>
  <c r="E1135" i="5"/>
  <c r="D1135" i="5"/>
  <c r="C1135" i="5"/>
  <c r="B1135" i="5"/>
  <c r="A1135" i="5"/>
  <c r="F1134" i="5"/>
  <c r="E1134" i="5"/>
  <c r="D1134" i="5"/>
  <c r="C1134" i="5"/>
  <c r="B1134" i="5"/>
  <c r="A1134" i="5"/>
  <c r="F1133" i="5"/>
  <c r="E1133" i="5"/>
  <c r="D1133" i="5"/>
  <c r="C1133" i="5"/>
  <c r="B1133" i="5"/>
  <c r="A1133" i="5"/>
  <c r="F1132" i="5"/>
  <c r="E1132" i="5"/>
  <c r="D1132" i="5"/>
  <c r="C1132" i="5"/>
  <c r="B1132" i="5"/>
  <c r="A1132" i="5"/>
  <c r="F1131" i="5"/>
  <c r="E1131" i="5"/>
  <c r="D1131" i="5"/>
  <c r="C1131" i="5"/>
  <c r="B1131" i="5"/>
  <c r="A1131" i="5"/>
  <c r="F1130" i="5"/>
  <c r="E1130" i="5"/>
  <c r="D1130" i="5"/>
  <c r="C1130" i="5"/>
  <c r="B1130" i="5"/>
  <c r="A1130" i="5"/>
  <c r="F1129" i="5"/>
  <c r="E1129" i="5"/>
  <c r="D1129" i="5"/>
  <c r="C1129" i="5"/>
  <c r="B1129" i="5"/>
  <c r="A1129" i="5"/>
  <c r="F1128" i="5"/>
  <c r="E1128" i="5"/>
  <c r="D1128" i="5"/>
  <c r="C1128" i="5"/>
  <c r="B1128" i="5"/>
  <c r="A1128" i="5"/>
  <c r="F1127" i="5"/>
  <c r="E1127" i="5"/>
  <c r="D1127" i="5"/>
  <c r="C1127" i="5"/>
  <c r="B1127" i="5"/>
  <c r="A1127" i="5"/>
  <c r="F1126" i="5"/>
  <c r="E1126" i="5"/>
  <c r="D1126" i="5"/>
  <c r="C1126" i="5"/>
  <c r="B1126" i="5"/>
  <c r="A1126" i="5"/>
  <c r="F1125" i="5"/>
  <c r="E1125" i="5"/>
  <c r="D1125" i="5"/>
  <c r="C1125" i="5"/>
  <c r="B1125" i="5"/>
  <c r="A1125" i="5"/>
  <c r="F1124" i="5"/>
  <c r="E1124" i="5"/>
  <c r="D1124" i="5"/>
  <c r="C1124" i="5"/>
  <c r="B1124" i="5"/>
  <c r="A1124" i="5"/>
  <c r="F1123" i="5"/>
  <c r="E1123" i="5"/>
  <c r="D1123" i="5"/>
  <c r="C1123" i="5"/>
  <c r="B1123" i="5"/>
  <c r="A1123" i="5"/>
  <c r="F1122" i="5"/>
  <c r="E1122" i="5"/>
  <c r="D1122" i="5"/>
  <c r="C1122" i="5"/>
  <c r="B1122" i="5"/>
  <c r="A1122" i="5"/>
  <c r="F1121" i="5"/>
  <c r="E1121" i="5"/>
  <c r="D1121" i="5"/>
  <c r="C1121" i="5"/>
  <c r="B1121" i="5"/>
  <c r="A1121" i="5"/>
  <c r="F1120" i="5"/>
  <c r="E1120" i="5"/>
  <c r="D1120" i="5"/>
  <c r="C1120" i="5"/>
  <c r="B1120" i="5"/>
  <c r="A1120" i="5"/>
  <c r="F1119" i="5"/>
  <c r="E1119" i="5"/>
  <c r="D1119" i="5"/>
  <c r="C1119" i="5"/>
  <c r="B1119" i="5"/>
  <c r="A1119" i="5"/>
  <c r="F1118" i="5"/>
  <c r="E1118" i="5"/>
  <c r="D1118" i="5"/>
  <c r="C1118" i="5"/>
  <c r="B1118" i="5"/>
  <c r="A1118" i="5"/>
  <c r="F1117" i="5"/>
  <c r="E1117" i="5"/>
  <c r="D1117" i="5"/>
  <c r="C1117" i="5"/>
  <c r="B1117" i="5"/>
  <c r="A1117" i="5"/>
  <c r="F1116" i="5"/>
  <c r="E1116" i="5"/>
  <c r="D1116" i="5"/>
  <c r="C1116" i="5"/>
  <c r="B1116" i="5"/>
  <c r="A1116" i="5"/>
  <c r="F1115" i="5"/>
  <c r="E1115" i="5"/>
  <c r="D1115" i="5"/>
  <c r="C1115" i="5"/>
  <c r="B1115" i="5"/>
  <c r="A1115" i="5"/>
  <c r="F1114" i="5"/>
  <c r="E1114" i="5"/>
  <c r="D1114" i="5"/>
  <c r="C1114" i="5"/>
  <c r="B1114" i="5"/>
  <c r="A1114" i="5"/>
  <c r="F1113" i="5"/>
  <c r="E1113" i="5"/>
  <c r="D1113" i="5"/>
  <c r="C1113" i="5"/>
  <c r="B1113" i="5"/>
  <c r="A1113" i="5"/>
  <c r="F1112" i="5"/>
  <c r="E1112" i="5"/>
  <c r="D1112" i="5"/>
  <c r="C1112" i="5"/>
  <c r="B1112" i="5"/>
  <c r="A1112" i="5"/>
  <c r="F1111" i="5"/>
  <c r="E1111" i="5"/>
  <c r="D1111" i="5"/>
  <c r="C1111" i="5"/>
  <c r="B1111" i="5"/>
  <c r="A1111" i="5"/>
  <c r="F1110" i="5"/>
  <c r="E1110" i="5"/>
  <c r="D1110" i="5"/>
  <c r="C1110" i="5"/>
  <c r="B1110" i="5"/>
  <c r="A1110" i="5"/>
  <c r="F1109" i="5"/>
  <c r="E1109" i="5"/>
  <c r="D1109" i="5"/>
  <c r="C1109" i="5"/>
  <c r="B1109" i="5"/>
  <c r="A1109" i="5"/>
  <c r="F1108" i="5"/>
  <c r="E1108" i="5"/>
  <c r="D1108" i="5"/>
  <c r="C1108" i="5"/>
  <c r="B1108" i="5"/>
  <c r="A1108" i="5"/>
  <c r="F1107" i="5"/>
  <c r="E1107" i="5"/>
  <c r="D1107" i="5"/>
  <c r="C1107" i="5"/>
  <c r="B1107" i="5"/>
  <c r="A1107" i="5"/>
  <c r="F1106" i="5"/>
  <c r="E1106" i="5"/>
  <c r="D1106" i="5"/>
  <c r="C1106" i="5"/>
  <c r="B1106" i="5"/>
  <c r="A1106" i="5"/>
  <c r="F1105" i="5"/>
  <c r="E1105" i="5"/>
  <c r="D1105" i="5"/>
  <c r="C1105" i="5"/>
  <c r="B1105" i="5"/>
  <c r="A1105" i="5"/>
  <c r="F1104" i="5"/>
  <c r="E1104" i="5"/>
  <c r="D1104" i="5"/>
  <c r="C1104" i="5"/>
  <c r="B1104" i="5"/>
  <c r="A1104" i="5"/>
  <c r="F1103" i="5"/>
  <c r="E1103" i="5"/>
  <c r="D1103" i="5"/>
  <c r="C1103" i="5"/>
  <c r="B1103" i="5"/>
  <c r="A1103" i="5"/>
  <c r="F1102" i="5"/>
  <c r="E1102" i="5"/>
  <c r="D1102" i="5"/>
  <c r="C1102" i="5"/>
  <c r="B1102" i="5"/>
  <c r="A1102" i="5"/>
  <c r="F1101" i="5"/>
  <c r="E1101" i="5"/>
  <c r="D1101" i="5"/>
  <c r="C1101" i="5"/>
  <c r="B1101" i="5"/>
  <c r="A1101" i="5"/>
  <c r="F1100" i="5"/>
  <c r="E1100" i="5"/>
  <c r="D1100" i="5"/>
  <c r="C1100" i="5"/>
  <c r="B1100" i="5"/>
  <c r="A1100" i="5"/>
  <c r="F1099" i="5"/>
  <c r="E1099" i="5"/>
  <c r="D1099" i="5"/>
  <c r="C1099" i="5"/>
  <c r="B1099" i="5"/>
  <c r="A1099" i="5"/>
  <c r="F1098" i="5"/>
  <c r="E1098" i="5"/>
  <c r="D1098" i="5"/>
  <c r="C1098" i="5"/>
  <c r="B1098" i="5"/>
  <c r="A1098" i="5"/>
  <c r="F1097" i="5"/>
  <c r="E1097" i="5"/>
  <c r="D1097" i="5"/>
  <c r="C1097" i="5"/>
  <c r="B1097" i="5"/>
  <c r="A1097" i="5"/>
  <c r="F1096" i="5"/>
  <c r="E1096" i="5"/>
  <c r="D1096" i="5"/>
  <c r="C1096" i="5"/>
  <c r="B1096" i="5"/>
  <c r="A1096" i="5"/>
  <c r="F1095" i="5"/>
  <c r="E1095" i="5"/>
  <c r="D1095" i="5"/>
  <c r="C1095" i="5"/>
  <c r="B1095" i="5"/>
  <c r="A1095" i="5"/>
  <c r="F1094" i="5"/>
  <c r="E1094" i="5"/>
  <c r="D1094" i="5"/>
  <c r="C1094" i="5"/>
  <c r="B1094" i="5"/>
  <c r="A1094" i="5"/>
  <c r="F1093" i="5"/>
  <c r="E1093" i="5"/>
  <c r="D1093" i="5"/>
  <c r="C1093" i="5"/>
  <c r="B1093" i="5"/>
  <c r="A1093" i="5"/>
  <c r="F1092" i="5"/>
  <c r="E1092" i="5"/>
  <c r="D1092" i="5"/>
  <c r="C1092" i="5"/>
  <c r="B1092" i="5"/>
  <c r="A1092" i="5"/>
  <c r="F1091" i="5"/>
  <c r="E1091" i="5"/>
  <c r="D1091" i="5"/>
  <c r="C1091" i="5"/>
  <c r="B1091" i="5"/>
  <c r="A1091" i="5"/>
  <c r="F1090" i="5"/>
  <c r="E1090" i="5"/>
  <c r="D1090" i="5"/>
  <c r="C1090" i="5"/>
  <c r="B1090" i="5"/>
  <c r="A1090" i="5"/>
  <c r="F1089" i="5"/>
  <c r="E1089" i="5"/>
  <c r="D1089" i="5"/>
  <c r="C1089" i="5"/>
  <c r="B1089" i="5"/>
  <c r="A1089" i="5"/>
  <c r="F1088" i="5"/>
  <c r="E1088" i="5"/>
  <c r="D1088" i="5"/>
  <c r="C1088" i="5"/>
  <c r="B1088" i="5"/>
  <c r="A1088" i="5"/>
  <c r="F1087" i="5"/>
  <c r="E1087" i="5"/>
  <c r="D1087" i="5"/>
  <c r="C1087" i="5"/>
  <c r="B1087" i="5"/>
  <c r="A1087" i="5"/>
  <c r="F1086" i="5"/>
  <c r="E1086" i="5"/>
  <c r="D1086" i="5"/>
  <c r="C1086" i="5"/>
  <c r="B1086" i="5"/>
  <c r="A1086" i="5"/>
  <c r="F1085" i="5"/>
  <c r="E1085" i="5"/>
  <c r="D1085" i="5"/>
  <c r="C1085" i="5"/>
  <c r="B1085" i="5"/>
  <c r="A1085" i="5"/>
  <c r="F1084" i="5"/>
  <c r="E1084" i="5"/>
  <c r="D1084" i="5"/>
  <c r="C1084" i="5"/>
  <c r="B1084" i="5"/>
  <c r="A1084" i="5"/>
  <c r="F1083" i="5"/>
  <c r="E1083" i="5"/>
  <c r="D1083" i="5"/>
  <c r="C1083" i="5"/>
  <c r="B1083" i="5"/>
  <c r="A1083" i="5"/>
  <c r="F1082" i="5"/>
  <c r="E1082" i="5"/>
  <c r="D1082" i="5"/>
  <c r="C1082" i="5"/>
  <c r="B1082" i="5"/>
  <c r="A1082" i="5"/>
  <c r="F1081" i="5"/>
  <c r="E1081" i="5"/>
  <c r="D1081" i="5"/>
  <c r="C1081" i="5"/>
  <c r="B1081" i="5"/>
  <c r="A1081" i="5"/>
  <c r="F1080" i="5"/>
  <c r="E1080" i="5"/>
  <c r="D1080" i="5"/>
  <c r="C1080" i="5"/>
  <c r="B1080" i="5"/>
  <c r="A1080" i="5"/>
  <c r="F1079" i="5"/>
  <c r="E1079" i="5"/>
  <c r="D1079" i="5"/>
  <c r="C1079" i="5"/>
  <c r="B1079" i="5"/>
  <c r="A1079" i="5"/>
  <c r="F1078" i="5"/>
  <c r="E1078" i="5"/>
  <c r="D1078" i="5"/>
  <c r="C1078" i="5"/>
  <c r="B1078" i="5"/>
  <c r="A1078" i="5"/>
  <c r="F1077" i="5"/>
  <c r="E1077" i="5"/>
  <c r="D1077" i="5"/>
  <c r="C1077" i="5"/>
  <c r="B1077" i="5"/>
  <c r="A1077" i="5"/>
  <c r="F1076" i="5"/>
  <c r="E1076" i="5"/>
  <c r="D1076" i="5"/>
  <c r="C1076" i="5"/>
  <c r="B1076" i="5"/>
  <c r="A1076" i="5"/>
  <c r="F1075" i="5"/>
  <c r="E1075" i="5"/>
  <c r="D1075" i="5"/>
  <c r="C1075" i="5"/>
  <c r="B1075" i="5"/>
  <c r="A1075" i="5"/>
  <c r="F1074" i="5"/>
  <c r="E1074" i="5"/>
  <c r="D1074" i="5"/>
  <c r="C1074" i="5"/>
  <c r="B1074" i="5"/>
  <c r="A1074" i="5"/>
  <c r="F1073" i="5"/>
  <c r="E1073" i="5"/>
  <c r="D1073" i="5"/>
  <c r="C1073" i="5"/>
  <c r="B1073" i="5"/>
  <c r="A1073" i="5"/>
  <c r="F1072" i="5"/>
  <c r="E1072" i="5"/>
  <c r="D1072" i="5"/>
  <c r="C1072" i="5"/>
  <c r="B1072" i="5"/>
  <c r="A1072" i="5"/>
  <c r="F1071" i="5"/>
  <c r="E1071" i="5"/>
  <c r="D1071" i="5"/>
  <c r="C1071" i="5"/>
  <c r="B1071" i="5"/>
  <c r="A1071" i="5"/>
  <c r="F1070" i="5"/>
  <c r="E1070" i="5"/>
  <c r="D1070" i="5"/>
  <c r="C1070" i="5"/>
  <c r="B1070" i="5"/>
  <c r="A1070" i="5"/>
  <c r="F1069" i="5"/>
  <c r="E1069" i="5"/>
  <c r="D1069" i="5"/>
  <c r="C1069" i="5"/>
  <c r="B1069" i="5"/>
  <c r="A1069" i="5"/>
  <c r="F1068" i="5"/>
  <c r="E1068" i="5"/>
  <c r="D1068" i="5"/>
  <c r="C1068" i="5"/>
  <c r="B1068" i="5"/>
  <c r="A1068" i="5"/>
  <c r="F1067" i="5"/>
  <c r="E1067" i="5"/>
  <c r="D1067" i="5"/>
  <c r="C1067" i="5"/>
  <c r="B1067" i="5"/>
  <c r="A1067" i="5"/>
  <c r="F1066" i="5"/>
  <c r="E1066" i="5"/>
  <c r="D1066" i="5"/>
  <c r="C1066" i="5"/>
  <c r="B1066" i="5"/>
  <c r="A1066" i="5"/>
  <c r="F1065" i="5"/>
  <c r="E1065" i="5"/>
  <c r="D1065" i="5"/>
  <c r="C1065" i="5"/>
  <c r="B1065" i="5"/>
  <c r="A1065" i="5"/>
  <c r="F1064" i="5"/>
  <c r="E1064" i="5"/>
  <c r="D1064" i="5"/>
  <c r="C1064" i="5"/>
  <c r="B1064" i="5"/>
  <c r="A1064" i="5"/>
  <c r="F1063" i="5"/>
  <c r="E1063" i="5"/>
  <c r="D1063" i="5"/>
  <c r="C1063" i="5"/>
  <c r="B1063" i="5"/>
  <c r="A1063" i="5"/>
  <c r="F1062" i="5"/>
  <c r="E1062" i="5"/>
  <c r="D1062" i="5"/>
  <c r="C1062" i="5"/>
  <c r="B1062" i="5"/>
  <c r="A1062" i="5"/>
  <c r="F1061" i="5"/>
  <c r="E1061" i="5"/>
  <c r="D1061" i="5"/>
  <c r="C1061" i="5"/>
  <c r="B1061" i="5"/>
  <c r="A1061" i="5"/>
  <c r="F1060" i="5"/>
  <c r="E1060" i="5"/>
  <c r="D1060" i="5"/>
  <c r="C1060" i="5"/>
  <c r="B1060" i="5"/>
  <c r="A1060" i="5"/>
  <c r="F1059" i="5"/>
  <c r="E1059" i="5"/>
  <c r="D1059" i="5"/>
  <c r="C1059" i="5"/>
  <c r="B1059" i="5"/>
  <c r="A1059" i="5"/>
  <c r="F1058" i="5"/>
  <c r="E1058" i="5"/>
  <c r="D1058" i="5"/>
  <c r="C1058" i="5"/>
  <c r="B1058" i="5"/>
  <c r="A1058" i="5"/>
  <c r="F1057" i="5"/>
  <c r="E1057" i="5"/>
  <c r="D1057" i="5"/>
  <c r="C1057" i="5"/>
  <c r="B1057" i="5"/>
  <c r="A1057" i="5"/>
  <c r="F1056" i="5"/>
  <c r="E1056" i="5"/>
  <c r="D1056" i="5"/>
  <c r="C1056" i="5"/>
  <c r="B1056" i="5"/>
  <c r="A1056" i="5"/>
  <c r="F1055" i="5"/>
  <c r="E1055" i="5"/>
  <c r="D1055" i="5"/>
  <c r="C1055" i="5"/>
  <c r="B1055" i="5"/>
  <c r="A1055" i="5"/>
  <c r="F1054" i="5"/>
  <c r="E1054" i="5"/>
  <c r="D1054" i="5"/>
  <c r="C1054" i="5"/>
  <c r="B1054" i="5"/>
  <c r="A1054" i="5"/>
  <c r="F1053" i="5"/>
  <c r="E1053" i="5"/>
  <c r="D1053" i="5"/>
  <c r="C1053" i="5"/>
  <c r="B1053" i="5"/>
  <c r="A1053" i="5"/>
  <c r="F1052" i="5"/>
  <c r="E1052" i="5"/>
  <c r="D1052" i="5"/>
  <c r="C1052" i="5"/>
  <c r="B1052" i="5"/>
  <c r="A1052" i="5"/>
  <c r="F1051" i="5"/>
  <c r="E1051" i="5"/>
  <c r="D1051" i="5"/>
  <c r="C1051" i="5"/>
  <c r="B1051" i="5"/>
  <c r="A1051" i="5"/>
  <c r="F1050" i="5"/>
  <c r="E1050" i="5"/>
  <c r="D1050" i="5"/>
  <c r="C1050" i="5"/>
  <c r="B1050" i="5"/>
  <c r="A1050" i="5"/>
  <c r="F1049" i="5"/>
  <c r="E1049" i="5"/>
  <c r="D1049" i="5"/>
  <c r="C1049" i="5"/>
  <c r="B1049" i="5"/>
  <c r="A1049" i="5"/>
  <c r="F1048" i="5"/>
  <c r="E1048" i="5"/>
  <c r="D1048" i="5"/>
  <c r="C1048" i="5"/>
  <c r="B1048" i="5"/>
  <c r="A1048" i="5"/>
  <c r="F1047" i="5"/>
  <c r="E1047" i="5"/>
  <c r="D1047" i="5"/>
  <c r="C1047" i="5"/>
  <c r="B1047" i="5"/>
  <c r="A1047" i="5"/>
  <c r="F1046" i="5"/>
  <c r="E1046" i="5"/>
  <c r="D1046" i="5"/>
  <c r="C1046" i="5"/>
  <c r="B1046" i="5"/>
  <c r="A1046" i="5"/>
  <c r="F1045" i="5"/>
  <c r="E1045" i="5"/>
  <c r="D1045" i="5"/>
  <c r="C1045" i="5"/>
  <c r="B1045" i="5"/>
  <c r="A1045" i="5"/>
  <c r="F1044" i="5"/>
  <c r="E1044" i="5"/>
  <c r="D1044" i="5"/>
  <c r="C1044" i="5"/>
  <c r="B1044" i="5"/>
  <c r="A1044" i="5"/>
  <c r="F1043" i="5"/>
  <c r="E1043" i="5"/>
  <c r="D1043" i="5"/>
  <c r="C1043" i="5"/>
  <c r="B1043" i="5"/>
  <c r="A1043" i="5"/>
  <c r="F1042" i="5"/>
  <c r="E1042" i="5"/>
  <c r="D1042" i="5"/>
  <c r="C1042" i="5"/>
  <c r="B1042" i="5"/>
  <c r="A1042" i="5"/>
  <c r="F1041" i="5"/>
  <c r="E1041" i="5"/>
  <c r="D1041" i="5"/>
  <c r="C1041" i="5"/>
  <c r="B1041" i="5"/>
  <c r="A1041" i="5"/>
  <c r="F1040" i="5"/>
  <c r="E1040" i="5"/>
  <c r="D1040" i="5"/>
  <c r="C1040" i="5"/>
  <c r="B1040" i="5"/>
  <c r="A1040" i="5"/>
  <c r="F1039" i="5"/>
  <c r="E1039" i="5"/>
  <c r="D1039" i="5"/>
  <c r="C1039" i="5"/>
  <c r="B1039" i="5"/>
  <c r="A1039" i="5"/>
  <c r="F1038" i="5"/>
  <c r="E1038" i="5"/>
  <c r="D1038" i="5"/>
  <c r="C1038" i="5"/>
  <c r="B1038" i="5"/>
  <c r="A1038" i="5"/>
  <c r="F1037" i="5"/>
  <c r="E1037" i="5"/>
  <c r="D1037" i="5"/>
  <c r="C1037" i="5"/>
  <c r="B1037" i="5"/>
  <c r="A1037" i="5"/>
  <c r="F1036" i="5"/>
  <c r="E1036" i="5"/>
  <c r="D1036" i="5"/>
  <c r="C1036" i="5"/>
  <c r="B1036" i="5"/>
  <c r="A1036" i="5"/>
  <c r="F1035" i="5"/>
  <c r="E1035" i="5"/>
  <c r="D1035" i="5"/>
  <c r="C1035" i="5"/>
  <c r="B1035" i="5"/>
  <c r="A1035" i="5"/>
  <c r="F1034" i="5"/>
  <c r="E1034" i="5"/>
  <c r="D1034" i="5"/>
  <c r="C1034" i="5"/>
  <c r="B1034" i="5"/>
  <c r="A1034" i="5"/>
  <c r="F1033" i="5"/>
  <c r="E1033" i="5"/>
  <c r="D1033" i="5"/>
  <c r="C1033" i="5"/>
  <c r="B1033" i="5"/>
  <c r="A1033" i="5"/>
  <c r="F1032" i="5"/>
  <c r="E1032" i="5"/>
  <c r="D1032" i="5"/>
  <c r="C1032" i="5"/>
  <c r="B1032" i="5"/>
  <c r="A1032" i="5"/>
  <c r="F1031" i="5"/>
  <c r="E1031" i="5"/>
  <c r="D1031" i="5"/>
  <c r="C1031" i="5"/>
  <c r="B1031" i="5"/>
  <c r="A1031" i="5"/>
  <c r="F1030" i="5"/>
  <c r="E1030" i="5"/>
  <c r="D1030" i="5"/>
  <c r="C1030" i="5"/>
  <c r="B1030" i="5"/>
  <c r="A1030" i="5"/>
  <c r="F1029" i="5"/>
  <c r="E1029" i="5"/>
  <c r="D1029" i="5"/>
  <c r="C1029" i="5"/>
  <c r="B1029" i="5"/>
  <c r="A1029" i="5"/>
  <c r="F1028" i="5"/>
  <c r="E1028" i="5"/>
  <c r="D1028" i="5"/>
  <c r="C1028" i="5"/>
  <c r="B1028" i="5"/>
  <c r="A1028" i="5"/>
  <c r="F1027" i="5"/>
  <c r="E1027" i="5"/>
  <c r="D1027" i="5"/>
  <c r="C1027" i="5"/>
  <c r="B1027" i="5"/>
  <c r="A1027" i="5"/>
  <c r="F1026" i="5"/>
  <c r="E1026" i="5"/>
  <c r="D1026" i="5"/>
  <c r="C1026" i="5"/>
  <c r="B1026" i="5"/>
  <c r="A1026" i="5"/>
  <c r="F1025" i="5"/>
  <c r="E1025" i="5"/>
  <c r="D1025" i="5"/>
  <c r="C1025" i="5"/>
  <c r="B1025" i="5"/>
  <c r="A1025" i="5"/>
  <c r="F1024" i="5"/>
  <c r="E1024" i="5"/>
  <c r="D1024" i="5"/>
  <c r="C1024" i="5"/>
  <c r="B1024" i="5"/>
  <c r="A1024" i="5"/>
  <c r="F1023" i="5"/>
  <c r="E1023" i="5"/>
  <c r="D1023" i="5"/>
  <c r="C1023" i="5"/>
  <c r="B1023" i="5"/>
  <c r="A1023" i="5"/>
  <c r="F1022" i="5"/>
  <c r="E1022" i="5"/>
  <c r="D1022" i="5"/>
  <c r="C1022" i="5"/>
  <c r="B1022" i="5"/>
  <c r="A1022" i="5"/>
  <c r="F1021" i="5"/>
  <c r="E1021" i="5"/>
  <c r="D1021" i="5"/>
  <c r="C1021" i="5"/>
  <c r="B1021" i="5"/>
  <c r="A1021" i="5"/>
  <c r="F1020" i="5"/>
  <c r="E1020" i="5"/>
  <c r="D1020" i="5"/>
  <c r="C1020" i="5"/>
  <c r="B1020" i="5"/>
  <c r="A1020" i="5"/>
  <c r="F1019" i="5"/>
  <c r="E1019" i="5"/>
  <c r="D1019" i="5"/>
  <c r="C1019" i="5"/>
  <c r="B1019" i="5"/>
  <c r="A1019" i="5"/>
  <c r="F1018" i="5"/>
  <c r="E1018" i="5"/>
  <c r="D1018" i="5"/>
  <c r="C1018" i="5"/>
  <c r="B1018" i="5"/>
  <c r="A1018" i="5"/>
  <c r="F1017" i="5"/>
  <c r="E1017" i="5"/>
  <c r="D1017" i="5"/>
  <c r="C1017" i="5"/>
  <c r="B1017" i="5"/>
  <c r="A1017" i="5"/>
  <c r="F1016" i="5"/>
  <c r="E1016" i="5"/>
  <c r="D1016" i="5"/>
  <c r="C1016" i="5"/>
  <c r="B1016" i="5"/>
  <c r="A1016" i="5"/>
  <c r="F1015" i="5"/>
  <c r="E1015" i="5"/>
  <c r="D1015" i="5"/>
  <c r="C1015" i="5"/>
  <c r="B1015" i="5"/>
  <c r="A1015" i="5"/>
  <c r="F1014" i="5"/>
  <c r="E1014" i="5"/>
  <c r="D1014" i="5"/>
  <c r="C1014" i="5"/>
  <c r="B1014" i="5"/>
  <c r="A1014" i="5"/>
  <c r="F1013" i="5"/>
  <c r="E1013" i="5"/>
  <c r="D1013" i="5"/>
  <c r="C1013" i="5"/>
  <c r="B1013" i="5"/>
  <c r="A1013" i="5"/>
  <c r="F1012" i="5"/>
  <c r="E1012" i="5"/>
  <c r="D1012" i="5"/>
  <c r="C1012" i="5"/>
  <c r="B1012" i="5"/>
  <c r="A1012" i="5"/>
  <c r="F1011" i="5"/>
  <c r="E1011" i="5"/>
  <c r="D1011" i="5"/>
  <c r="C1011" i="5"/>
  <c r="B1011" i="5"/>
  <c r="A1011" i="5"/>
  <c r="F1010" i="5"/>
  <c r="E1010" i="5"/>
  <c r="D1010" i="5"/>
  <c r="C1010" i="5"/>
  <c r="B1010" i="5"/>
  <c r="A1010" i="5"/>
  <c r="F1009" i="5"/>
  <c r="E1009" i="5"/>
  <c r="D1009" i="5"/>
  <c r="C1009" i="5"/>
  <c r="B1009" i="5"/>
  <c r="A1009" i="5"/>
  <c r="F1008" i="5"/>
  <c r="E1008" i="5"/>
  <c r="D1008" i="5"/>
  <c r="C1008" i="5"/>
  <c r="B1008" i="5"/>
  <c r="A1008" i="5"/>
  <c r="F1007" i="5"/>
  <c r="E1007" i="5"/>
  <c r="D1007" i="5"/>
  <c r="C1007" i="5"/>
  <c r="B1007" i="5"/>
  <c r="A1007" i="5"/>
  <c r="F1006" i="5"/>
  <c r="E1006" i="5"/>
  <c r="D1006" i="5"/>
  <c r="C1006" i="5"/>
  <c r="B1006" i="5"/>
  <c r="A1006" i="5"/>
  <c r="F1005" i="5"/>
  <c r="E1005" i="5"/>
  <c r="D1005" i="5"/>
  <c r="C1005" i="5"/>
  <c r="B1005" i="5"/>
  <c r="A1005" i="5"/>
  <c r="F1004" i="5"/>
  <c r="E1004" i="5"/>
  <c r="D1004" i="5"/>
  <c r="C1004" i="5"/>
  <c r="B1004" i="5"/>
  <c r="A1004" i="5"/>
  <c r="F1003" i="5"/>
  <c r="E1003" i="5"/>
  <c r="D1003" i="5"/>
  <c r="C1003" i="5"/>
  <c r="B1003" i="5"/>
  <c r="A1003" i="5"/>
  <c r="F1002" i="5"/>
  <c r="E1002" i="5"/>
  <c r="D1002" i="5"/>
  <c r="C1002" i="5"/>
  <c r="B1002" i="5"/>
  <c r="A1002" i="5"/>
  <c r="F1001" i="5"/>
  <c r="E1001" i="5"/>
  <c r="D1001" i="5"/>
  <c r="C1001" i="5"/>
  <c r="B1001" i="5"/>
  <c r="A1001" i="5"/>
  <c r="F1000" i="5"/>
  <c r="E1000" i="5"/>
  <c r="D1000" i="5"/>
  <c r="C1000" i="5"/>
  <c r="B1000" i="5"/>
  <c r="A1000" i="5"/>
  <c r="F999" i="5"/>
  <c r="E999" i="5"/>
  <c r="D999" i="5"/>
  <c r="C999" i="5"/>
  <c r="B999" i="5"/>
  <c r="A999" i="5"/>
  <c r="F998" i="5"/>
  <c r="E998" i="5"/>
  <c r="D998" i="5"/>
  <c r="C998" i="5"/>
  <c r="B998" i="5"/>
  <c r="A998" i="5"/>
  <c r="F997" i="5"/>
  <c r="E997" i="5"/>
  <c r="D997" i="5"/>
  <c r="C997" i="5"/>
  <c r="B997" i="5"/>
  <c r="A997" i="5"/>
  <c r="F996" i="5"/>
  <c r="E996" i="5"/>
  <c r="D996" i="5"/>
  <c r="C996" i="5"/>
  <c r="B996" i="5"/>
  <c r="A996" i="5"/>
  <c r="F995" i="5"/>
  <c r="E995" i="5"/>
  <c r="D995" i="5"/>
  <c r="C995" i="5"/>
  <c r="B995" i="5"/>
  <c r="A995" i="5"/>
  <c r="F994" i="5"/>
  <c r="E994" i="5"/>
  <c r="D994" i="5"/>
  <c r="C994" i="5"/>
  <c r="B994" i="5"/>
  <c r="A994" i="5"/>
  <c r="F993" i="5"/>
  <c r="E993" i="5"/>
  <c r="D993" i="5"/>
  <c r="C993" i="5"/>
  <c r="B993" i="5"/>
  <c r="A993" i="5"/>
  <c r="F992" i="5"/>
  <c r="E992" i="5"/>
  <c r="D992" i="5"/>
  <c r="C992" i="5"/>
  <c r="B992" i="5"/>
  <c r="A992" i="5"/>
  <c r="F991" i="5"/>
  <c r="E991" i="5"/>
  <c r="D991" i="5"/>
  <c r="C991" i="5"/>
  <c r="B991" i="5"/>
  <c r="A991" i="5"/>
  <c r="F990" i="5"/>
  <c r="E990" i="5"/>
  <c r="D990" i="5"/>
  <c r="C990" i="5"/>
  <c r="B990" i="5"/>
  <c r="A990" i="5"/>
  <c r="F989" i="5"/>
  <c r="E989" i="5"/>
  <c r="D989" i="5"/>
  <c r="C989" i="5"/>
  <c r="B989" i="5"/>
  <c r="A989" i="5"/>
  <c r="F988" i="5"/>
  <c r="E988" i="5"/>
  <c r="D988" i="5"/>
  <c r="C988" i="5"/>
  <c r="B988" i="5"/>
  <c r="A988" i="5"/>
  <c r="F987" i="5"/>
  <c r="E987" i="5"/>
  <c r="D987" i="5"/>
  <c r="C987" i="5"/>
  <c r="B987" i="5"/>
  <c r="A987" i="5"/>
  <c r="F986" i="5"/>
  <c r="E986" i="5"/>
  <c r="D986" i="5"/>
  <c r="C986" i="5"/>
  <c r="B986" i="5"/>
  <c r="A986" i="5"/>
  <c r="F985" i="5"/>
  <c r="E985" i="5"/>
  <c r="D985" i="5"/>
  <c r="C985" i="5"/>
  <c r="B985" i="5"/>
  <c r="A985" i="5"/>
  <c r="F984" i="5"/>
  <c r="E984" i="5"/>
  <c r="D984" i="5"/>
  <c r="C984" i="5"/>
  <c r="B984" i="5"/>
  <c r="A984" i="5"/>
  <c r="F983" i="5"/>
  <c r="E983" i="5"/>
  <c r="D983" i="5"/>
  <c r="C983" i="5"/>
  <c r="B983" i="5"/>
  <c r="A983" i="5"/>
  <c r="F982" i="5"/>
  <c r="E982" i="5"/>
  <c r="D982" i="5"/>
  <c r="C982" i="5"/>
  <c r="B982" i="5"/>
  <c r="A982" i="5"/>
  <c r="F981" i="5"/>
  <c r="E981" i="5"/>
  <c r="D981" i="5"/>
  <c r="C981" i="5"/>
  <c r="B981" i="5"/>
  <c r="A981" i="5"/>
  <c r="F980" i="5"/>
  <c r="E980" i="5"/>
  <c r="D980" i="5"/>
  <c r="C980" i="5"/>
  <c r="B980" i="5"/>
  <c r="A980" i="5"/>
  <c r="F979" i="5"/>
  <c r="E979" i="5"/>
  <c r="D979" i="5"/>
  <c r="C979" i="5"/>
  <c r="B979" i="5"/>
  <c r="A979" i="5"/>
  <c r="F978" i="5"/>
  <c r="E978" i="5"/>
  <c r="D978" i="5"/>
  <c r="C978" i="5"/>
  <c r="B978" i="5"/>
  <c r="A978" i="5"/>
  <c r="F977" i="5"/>
  <c r="E977" i="5"/>
  <c r="D977" i="5"/>
  <c r="C977" i="5"/>
  <c r="B977" i="5"/>
  <c r="A977" i="5"/>
  <c r="F976" i="5"/>
  <c r="E976" i="5"/>
  <c r="D976" i="5"/>
  <c r="C976" i="5"/>
  <c r="B976" i="5"/>
  <c r="A976" i="5"/>
  <c r="F975" i="5"/>
  <c r="E975" i="5"/>
  <c r="D975" i="5"/>
  <c r="C975" i="5"/>
  <c r="B975" i="5"/>
  <c r="A975" i="5"/>
  <c r="F974" i="5"/>
  <c r="E974" i="5"/>
  <c r="D974" i="5"/>
  <c r="C974" i="5"/>
  <c r="B974" i="5"/>
  <c r="A974" i="5"/>
  <c r="F973" i="5"/>
  <c r="E973" i="5"/>
  <c r="D973" i="5"/>
  <c r="C973" i="5"/>
  <c r="B973" i="5"/>
  <c r="A973" i="5"/>
  <c r="F972" i="5"/>
  <c r="E972" i="5"/>
  <c r="D972" i="5"/>
  <c r="C972" i="5"/>
  <c r="B972" i="5"/>
  <c r="A972" i="5"/>
  <c r="F971" i="5"/>
  <c r="E971" i="5"/>
  <c r="D971" i="5"/>
  <c r="C971" i="5"/>
  <c r="B971" i="5"/>
  <c r="A971" i="5"/>
  <c r="F970" i="5"/>
  <c r="E970" i="5"/>
  <c r="D970" i="5"/>
  <c r="C970" i="5"/>
  <c r="B970" i="5"/>
  <c r="A970" i="5"/>
  <c r="F969" i="5"/>
  <c r="E969" i="5"/>
  <c r="D969" i="5"/>
  <c r="C969" i="5"/>
  <c r="B969" i="5"/>
  <c r="A969" i="5"/>
  <c r="F968" i="5"/>
  <c r="E968" i="5"/>
  <c r="D968" i="5"/>
  <c r="C968" i="5"/>
  <c r="B968" i="5"/>
  <c r="A968" i="5"/>
  <c r="F967" i="5"/>
  <c r="E967" i="5"/>
  <c r="D967" i="5"/>
  <c r="C967" i="5"/>
  <c r="B967" i="5"/>
  <c r="A967" i="5"/>
  <c r="F966" i="5"/>
  <c r="E966" i="5"/>
  <c r="D966" i="5"/>
  <c r="C966" i="5"/>
  <c r="B966" i="5"/>
  <c r="A966" i="5"/>
  <c r="F965" i="5"/>
  <c r="E965" i="5"/>
  <c r="D965" i="5"/>
  <c r="C965" i="5"/>
  <c r="B965" i="5"/>
  <c r="A965" i="5"/>
  <c r="F964" i="5"/>
  <c r="E964" i="5"/>
  <c r="D964" i="5"/>
  <c r="C964" i="5"/>
  <c r="B964" i="5"/>
  <c r="A964" i="5"/>
  <c r="F963" i="5"/>
  <c r="E963" i="5"/>
  <c r="D963" i="5"/>
  <c r="C963" i="5"/>
  <c r="B963" i="5"/>
  <c r="A963" i="5"/>
  <c r="F962" i="5"/>
  <c r="E962" i="5"/>
  <c r="D962" i="5"/>
  <c r="C962" i="5"/>
  <c r="B962" i="5"/>
  <c r="A962" i="5"/>
  <c r="F961" i="5"/>
  <c r="E961" i="5"/>
  <c r="D961" i="5"/>
  <c r="C961" i="5"/>
  <c r="B961" i="5"/>
  <c r="A961" i="5"/>
  <c r="F960" i="5"/>
  <c r="E960" i="5"/>
  <c r="D960" i="5"/>
  <c r="C960" i="5"/>
  <c r="B960" i="5"/>
  <c r="A960" i="5"/>
  <c r="F959" i="5"/>
  <c r="E959" i="5"/>
  <c r="D959" i="5"/>
  <c r="C959" i="5"/>
  <c r="B959" i="5"/>
  <c r="A959" i="5"/>
  <c r="F958" i="5"/>
  <c r="E958" i="5"/>
  <c r="D958" i="5"/>
  <c r="C958" i="5"/>
  <c r="B958" i="5"/>
  <c r="A958" i="5"/>
  <c r="F957" i="5"/>
  <c r="E957" i="5"/>
  <c r="D957" i="5"/>
  <c r="C957" i="5"/>
  <c r="B957" i="5"/>
  <c r="A957" i="5"/>
  <c r="F956" i="5"/>
  <c r="E956" i="5"/>
  <c r="D956" i="5"/>
  <c r="C956" i="5"/>
  <c r="B956" i="5"/>
  <c r="A956" i="5"/>
  <c r="F955" i="5"/>
  <c r="E955" i="5"/>
  <c r="D955" i="5"/>
  <c r="C955" i="5"/>
  <c r="B955" i="5"/>
  <c r="A955" i="5"/>
  <c r="F954" i="5"/>
  <c r="E954" i="5"/>
  <c r="D954" i="5"/>
  <c r="C954" i="5"/>
  <c r="B954" i="5"/>
  <c r="A954" i="5"/>
  <c r="F953" i="5"/>
  <c r="E953" i="5"/>
  <c r="D953" i="5"/>
  <c r="C953" i="5"/>
  <c r="B953" i="5"/>
  <c r="A953" i="5"/>
  <c r="F952" i="5"/>
  <c r="E952" i="5"/>
  <c r="D952" i="5"/>
  <c r="C952" i="5"/>
  <c r="B952" i="5"/>
  <c r="A952" i="5"/>
  <c r="F951" i="5"/>
  <c r="E951" i="5"/>
  <c r="D951" i="5"/>
  <c r="C951" i="5"/>
  <c r="B951" i="5"/>
  <c r="A951" i="5"/>
  <c r="F950" i="5"/>
  <c r="E950" i="5"/>
  <c r="D950" i="5"/>
  <c r="C950" i="5"/>
  <c r="B950" i="5"/>
  <c r="A950" i="5"/>
  <c r="F949" i="5"/>
  <c r="E949" i="5"/>
  <c r="D949" i="5"/>
  <c r="C949" i="5"/>
  <c r="B949" i="5"/>
  <c r="A949" i="5"/>
  <c r="F948" i="5"/>
  <c r="E948" i="5"/>
  <c r="D948" i="5"/>
  <c r="C948" i="5"/>
  <c r="B948" i="5"/>
  <c r="A948" i="5"/>
  <c r="F947" i="5"/>
  <c r="E947" i="5"/>
  <c r="D947" i="5"/>
  <c r="C947" i="5"/>
  <c r="B947" i="5"/>
  <c r="A947" i="5"/>
  <c r="F946" i="5"/>
  <c r="E946" i="5"/>
  <c r="D946" i="5"/>
  <c r="C946" i="5"/>
  <c r="B946" i="5"/>
  <c r="A946" i="5"/>
  <c r="F945" i="5"/>
  <c r="E945" i="5"/>
  <c r="D945" i="5"/>
  <c r="C945" i="5"/>
  <c r="B945" i="5"/>
  <c r="A945" i="5"/>
  <c r="F944" i="5"/>
  <c r="E944" i="5"/>
  <c r="D944" i="5"/>
  <c r="C944" i="5"/>
  <c r="B944" i="5"/>
  <c r="A944" i="5"/>
  <c r="F943" i="5"/>
  <c r="E943" i="5"/>
  <c r="D943" i="5"/>
  <c r="C943" i="5"/>
  <c r="B943" i="5"/>
  <c r="A943" i="5"/>
  <c r="F942" i="5"/>
  <c r="E942" i="5"/>
  <c r="D942" i="5"/>
  <c r="C942" i="5"/>
  <c r="B942" i="5"/>
  <c r="A942" i="5"/>
  <c r="F941" i="5"/>
  <c r="E941" i="5"/>
  <c r="D941" i="5"/>
  <c r="C941" i="5"/>
  <c r="B941" i="5"/>
  <c r="A941" i="5"/>
  <c r="F940" i="5"/>
  <c r="E940" i="5"/>
  <c r="D940" i="5"/>
  <c r="C940" i="5"/>
  <c r="B940" i="5"/>
  <c r="A940" i="5"/>
  <c r="F939" i="5"/>
  <c r="E939" i="5"/>
  <c r="D939" i="5"/>
  <c r="C939" i="5"/>
  <c r="B939" i="5"/>
  <c r="A939" i="5"/>
  <c r="F938" i="5"/>
  <c r="E938" i="5"/>
  <c r="D938" i="5"/>
  <c r="C938" i="5"/>
  <c r="B938" i="5"/>
  <c r="A938" i="5"/>
  <c r="F937" i="5"/>
  <c r="E937" i="5"/>
  <c r="D937" i="5"/>
  <c r="C937" i="5"/>
  <c r="B937" i="5"/>
  <c r="A937" i="5"/>
  <c r="F936" i="5"/>
  <c r="E936" i="5"/>
  <c r="D936" i="5"/>
  <c r="C936" i="5"/>
  <c r="B936" i="5"/>
  <c r="A936" i="5"/>
  <c r="F935" i="5"/>
  <c r="E935" i="5"/>
  <c r="D935" i="5"/>
  <c r="C935" i="5"/>
  <c r="B935" i="5"/>
  <c r="A935" i="5"/>
  <c r="F934" i="5"/>
  <c r="E934" i="5"/>
  <c r="D934" i="5"/>
  <c r="C934" i="5"/>
  <c r="B934" i="5"/>
  <c r="A934" i="5"/>
  <c r="F933" i="5"/>
  <c r="E933" i="5"/>
  <c r="D933" i="5"/>
  <c r="C933" i="5"/>
  <c r="B933" i="5"/>
  <c r="A933" i="5"/>
  <c r="F932" i="5"/>
  <c r="E932" i="5"/>
  <c r="D932" i="5"/>
  <c r="C932" i="5"/>
  <c r="B932" i="5"/>
  <c r="A932" i="5"/>
  <c r="F931" i="5"/>
  <c r="E931" i="5"/>
  <c r="D931" i="5"/>
  <c r="C931" i="5"/>
  <c r="B931" i="5"/>
  <c r="A931" i="5"/>
  <c r="F930" i="5"/>
  <c r="E930" i="5"/>
  <c r="D930" i="5"/>
  <c r="C930" i="5"/>
  <c r="B930" i="5"/>
  <c r="A930" i="5"/>
  <c r="F929" i="5"/>
  <c r="E929" i="5"/>
  <c r="D929" i="5"/>
  <c r="C929" i="5"/>
  <c r="B929" i="5"/>
  <c r="A929" i="5"/>
  <c r="F928" i="5"/>
  <c r="E928" i="5"/>
  <c r="D928" i="5"/>
  <c r="C928" i="5"/>
  <c r="B928" i="5"/>
  <c r="A928" i="5"/>
  <c r="F927" i="5"/>
  <c r="E927" i="5"/>
  <c r="D927" i="5"/>
  <c r="C927" i="5"/>
  <c r="B927" i="5"/>
  <c r="A927" i="5"/>
  <c r="F926" i="5"/>
  <c r="E926" i="5"/>
  <c r="D926" i="5"/>
  <c r="C926" i="5"/>
  <c r="B926" i="5"/>
  <c r="A926" i="5"/>
  <c r="F925" i="5"/>
  <c r="E925" i="5"/>
  <c r="D925" i="5"/>
  <c r="C925" i="5"/>
  <c r="B925" i="5"/>
  <c r="A925" i="5"/>
  <c r="F924" i="5"/>
  <c r="E924" i="5"/>
  <c r="D924" i="5"/>
  <c r="C924" i="5"/>
  <c r="B924" i="5"/>
  <c r="A924" i="5"/>
  <c r="F923" i="5"/>
  <c r="E923" i="5"/>
  <c r="D923" i="5"/>
  <c r="C923" i="5"/>
  <c r="B923" i="5"/>
  <c r="A923" i="5"/>
  <c r="F922" i="5"/>
  <c r="E922" i="5"/>
  <c r="D922" i="5"/>
  <c r="C922" i="5"/>
  <c r="B922" i="5"/>
  <c r="A922" i="5"/>
  <c r="F921" i="5"/>
  <c r="E921" i="5"/>
  <c r="D921" i="5"/>
  <c r="C921" i="5"/>
  <c r="B921" i="5"/>
  <c r="A921" i="5"/>
  <c r="F920" i="5"/>
  <c r="E920" i="5"/>
  <c r="D920" i="5"/>
  <c r="C920" i="5"/>
  <c r="B920" i="5"/>
  <c r="A920" i="5"/>
  <c r="F919" i="5"/>
  <c r="E919" i="5"/>
  <c r="D919" i="5"/>
  <c r="C919" i="5"/>
  <c r="B919" i="5"/>
  <c r="A919" i="5"/>
  <c r="F918" i="5"/>
  <c r="E918" i="5"/>
  <c r="D918" i="5"/>
  <c r="C918" i="5"/>
  <c r="B918" i="5"/>
  <c r="A918" i="5"/>
  <c r="F917" i="5"/>
  <c r="E917" i="5"/>
  <c r="D917" i="5"/>
  <c r="C917" i="5"/>
  <c r="B917" i="5"/>
  <c r="A917" i="5"/>
  <c r="F916" i="5"/>
  <c r="E916" i="5"/>
  <c r="D916" i="5"/>
  <c r="C916" i="5"/>
  <c r="B916" i="5"/>
  <c r="A916" i="5"/>
  <c r="F915" i="5"/>
  <c r="E915" i="5"/>
  <c r="D915" i="5"/>
  <c r="C915" i="5"/>
  <c r="B915" i="5"/>
  <c r="A915" i="5"/>
  <c r="F914" i="5"/>
  <c r="E914" i="5"/>
  <c r="D914" i="5"/>
  <c r="C914" i="5"/>
  <c r="B914" i="5"/>
  <c r="A914" i="5"/>
  <c r="F913" i="5"/>
  <c r="E913" i="5"/>
  <c r="D913" i="5"/>
  <c r="C913" i="5"/>
  <c r="B913" i="5"/>
  <c r="A913" i="5"/>
  <c r="F912" i="5"/>
  <c r="E912" i="5"/>
  <c r="D912" i="5"/>
  <c r="C912" i="5"/>
  <c r="B912" i="5"/>
  <c r="A912" i="5"/>
  <c r="F911" i="5"/>
  <c r="E911" i="5"/>
  <c r="D911" i="5"/>
  <c r="C911" i="5"/>
  <c r="B911" i="5"/>
  <c r="A911" i="5"/>
  <c r="F910" i="5"/>
  <c r="E910" i="5"/>
  <c r="D910" i="5"/>
  <c r="C910" i="5"/>
  <c r="B910" i="5"/>
  <c r="A910" i="5"/>
  <c r="F909" i="5"/>
  <c r="E909" i="5"/>
  <c r="D909" i="5"/>
  <c r="C909" i="5"/>
  <c r="B909" i="5"/>
  <c r="A909" i="5"/>
  <c r="F908" i="5"/>
  <c r="E908" i="5"/>
  <c r="D908" i="5"/>
  <c r="C908" i="5"/>
  <c r="B908" i="5"/>
  <c r="A908" i="5"/>
  <c r="F907" i="5"/>
  <c r="E907" i="5"/>
  <c r="D907" i="5"/>
  <c r="C907" i="5"/>
  <c r="B907" i="5"/>
  <c r="A907" i="5"/>
  <c r="F906" i="5"/>
  <c r="E906" i="5"/>
  <c r="D906" i="5"/>
  <c r="C906" i="5"/>
  <c r="B906" i="5"/>
  <c r="A906" i="5"/>
  <c r="F905" i="5"/>
  <c r="E905" i="5"/>
  <c r="D905" i="5"/>
  <c r="C905" i="5"/>
  <c r="B905" i="5"/>
  <c r="A905" i="5"/>
  <c r="F904" i="5"/>
  <c r="E904" i="5"/>
  <c r="D904" i="5"/>
  <c r="C904" i="5"/>
  <c r="B904" i="5"/>
  <c r="A904" i="5"/>
  <c r="F903" i="5"/>
  <c r="E903" i="5"/>
  <c r="D903" i="5"/>
  <c r="C903" i="5"/>
  <c r="B903" i="5"/>
  <c r="A903" i="5"/>
  <c r="F902" i="5"/>
  <c r="E902" i="5"/>
  <c r="D902" i="5"/>
  <c r="C902" i="5"/>
  <c r="B902" i="5"/>
  <c r="A902" i="5"/>
  <c r="F901" i="5"/>
  <c r="E901" i="5"/>
  <c r="D901" i="5"/>
  <c r="C901" i="5"/>
  <c r="B901" i="5"/>
  <c r="A901" i="5"/>
  <c r="F900" i="5"/>
  <c r="E900" i="5"/>
  <c r="D900" i="5"/>
  <c r="C900" i="5"/>
  <c r="B900" i="5"/>
  <c r="A900" i="5"/>
  <c r="F899" i="5"/>
  <c r="E899" i="5"/>
  <c r="D899" i="5"/>
  <c r="C899" i="5"/>
  <c r="B899" i="5"/>
  <c r="A899" i="5"/>
  <c r="F898" i="5"/>
  <c r="E898" i="5"/>
  <c r="D898" i="5"/>
  <c r="C898" i="5"/>
  <c r="B898" i="5"/>
  <c r="A898" i="5"/>
  <c r="F897" i="5"/>
  <c r="E897" i="5"/>
  <c r="D897" i="5"/>
  <c r="C897" i="5"/>
  <c r="B897" i="5"/>
  <c r="A897" i="5"/>
  <c r="F896" i="5"/>
  <c r="E896" i="5"/>
  <c r="D896" i="5"/>
  <c r="C896" i="5"/>
  <c r="B896" i="5"/>
  <c r="A896" i="5"/>
  <c r="F895" i="5"/>
  <c r="E895" i="5"/>
  <c r="D895" i="5"/>
  <c r="C895" i="5"/>
  <c r="B895" i="5"/>
  <c r="A895" i="5"/>
  <c r="F894" i="5"/>
  <c r="E894" i="5"/>
  <c r="D894" i="5"/>
  <c r="C894" i="5"/>
  <c r="B894" i="5"/>
  <c r="A894" i="5"/>
  <c r="F893" i="5"/>
  <c r="E893" i="5"/>
  <c r="D893" i="5"/>
  <c r="C893" i="5"/>
  <c r="B893" i="5"/>
  <c r="A893" i="5"/>
  <c r="F892" i="5"/>
  <c r="E892" i="5"/>
  <c r="D892" i="5"/>
  <c r="C892" i="5"/>
  <c r="B892" i="5"/>
  <c r="A892" i="5"/>
  <c r="F891" i="5"/>
  <c r="E891" i="5"/>
  <c r="D891" i="5"/>
  <c r="C891" i="5"/>
  <c r="B891" i="5"/>
  <c r="A891" i="5"/>
  <c r="F890" i="5"/>
  <c r="E890" i="5"/>
  <c r="D890" i="5"/>
  <c r="C890" i="5"/>
  <c r="B890" i="5"/>
  <c r="A890" i="5"/>
  <c r="F889" i="5"/>
  <c r="E889" i="5"/>
  <c r="D889" i="5"/>
  <c r="C889" i="5"/>
  <c r="B889" i="5"/>
  <c r="A889" i="5"/>
  <c r="F888" i="5"/>
  <c r="E888" i="5"/>
  <c r="D888" i="5"/>
  <c r="C888" i="5"/>
  <c r="B888" i="5"/>
  <c r="A888" i="5"/>
  <c r="F887" i="5"/>
  <c r="E887" i="5"/>
  <c r="D887" i="5"/>
  <c r="C887" i="5"/>
  <c r="B887" i="5"/>
  <c r="A887" i="5"/>
  <c r="F886" i="5"/>
  <c r="E886" i="5"/>
  <c r="D886" i="5"/>
  <c r="C886" i="5"/>
  <c r="B886" i="5"/>
  <c r="A886" i="5"/>
  <c r="F885" i="5"/>
  <c r="E885" i="5"/>
  <c r="D885" i="5"/>
  <c r="C885" i="5"/>
  <c r="B885" i="5"/>
  <c r="A885" i="5"/>
  <c r="F884" i="5"/>
  <c r="E884" i="5"/>
  <c r="D884" i="5"/>
  <c r="C884" i="5"/>
  <c r="B884" i="5"/>
  <c r="A884" i="5"/>
  <c r="F883" i="5"/>
  <c r="E883" i="5"/>
  <c r="D883" i="5"/>
  <c r="C883" i="5"/>
  <c r="B883" i="5"/>
  <c r="A883" i="5"/>
  <c r="F882" i="5"/>
  <c r="E882" i="5"/>
  <c r="D882" i="5"/>
  <c r="C882" i="5"/>
  <c r="B882" i="5"/>
  <c r="A882" i="5"/>
  <c r="F881" i="5"/>
  <c r="E881" i="5"/>
  <c r="D881" i="5"/>
  <c r="C881" i="5"/>
  <c r="B881" i="5"/>
  <c r="A881" i="5"/>
  <c r="F880" i="5"/>
  <c r="E880" i="5"/>
  <c r="D880" i="5"/>
  <c r="C880" i="5"/>
  <c r="B880" i="5"/>
  <c r="A880" i="5"/>
  <c r="F879" i="5"/>
  <c r="E879" i="5"/>
  <c r="D879" i="5"/>
  <c r="C879" i="5"/>
  <c r="B879" i="5"/>
  <c r="A879" i="5"/>
  <c r="F878" i="5"/>
  <c r="E878" i="5"/>
  <c r="D878" i="5"/>
  <c r="C878" i="5"/>
  <c r="B878" i="5"/>
  <c r="A878" i="5"/>
  <c r="F877" i="5"/>
  <c r="E877" i="5"/>
  <c r="D877" i="5"/>
  <c r="C877" i="5"/>
  <c r="B877" i="5"/>
  <c r="A877" i="5"/>
  <c r="F876" i="5"/>
  <c r="E876" i="5"/>
  <c r="D876" i="5"/>
  <c r="C876" i="5"/>
  <c r="B876" i="5"/>
  <c r="A876" i="5"/>
  <c r="F875" i="5"/>
  <c r="E875" i="5"/>
  <c r="D875" i="5"/>
  <c r="C875" i="5"/>
  <c r="B875" i="5"/>
  <c r="A875" i="5"/>
  <c r="F874" i="5"/>
  <c r="E874" i="5"/>
  <c r="D874" i="5"/>
  <c r="C874" i="5"/>
  <c r="B874" i="5"/>
  <c r="A874" i="5"/>
  <c r="F873" i="5"/>
  <c r="E873" i="5"/>
  <c r="D873" i="5"/>
  <c r="C873" i="5"/>
  <c r="B873" i="5"/>
  <c r="A873" i="5"/>
  <c r="F872" i="5"/>
  <c r="E872" i="5"/>
  <c r="D872" i="5"/>
  <c r="C872" i="5"/>
  <c r="B872" i="5"/>
  <c r="A872" i="5"/>
  <c r="F871" i="5"/>
  <c r="E871" i="5"/>
  <c r="D871" i="5"/>
  <c r="C871" i="5"/>
  <c r="B871" i="5"/>
  <c r="A871" i="5"/>
  <c r="F870" i="5"/>
  <c r="E870" i="5"/>
  <c r="D870" i="5"/>
  <c r="C870" i="5"/>
  <c r="B870" i="5"/>
  <c r="A870" i="5"/>
  <c r="F869" i="5"/>
  <c r="E869" i="5"/>
  <c r="D869" i="5"/>
  <c r="C869" i="5"/>
  <c r="B869" i="5"/>
  <c r="A869" i="5"/>
  <c r="F868" i="5"/>
  <c r="E868" i="5"/>
  <c r="D868" i="5"/>
  <c r="C868" i="5"/>
  <c r="B868" i="5"/>
  <c r="A868" i="5"/>
  <c r="F867" i="5"/>
  <c r="E867" i="5"/>
  <c r="D867" i="5"/>
  <c r="C867" i="5"/>
  <c r="B867" i="5"/>
  <c r="A867" i="5"/>
  <c r="F866" i="5"/>
  <c r="E866" i="5"/>
  <c r="D866" i="5"/>
  <c r="C866" i="5"/>
  <c r="B866" i="5"/>
  <c r="A866" i="5"/>
  <c r="F865" i="5"/>
  <c r="E865" i="5"/>
  <c r="D865" i="5"/>
  <c r="C865" i="5"/>
  <c r="B865" i="5"/>
  <c r="A865" i="5"/>
  <c r="F864" i="5"/>
  <c r="E864" i="5"/>
  <c r="D864" i="5"/>
  <c r="C864" i="5"/>
  <c r="B864" i="5"/>
  <c r="A864" i="5"/>
  <c r="F863" i="5"/>
  <c r="E863" i="5"/>
  <c r="D863" i="5"/>
  <c r="C863" i="5"/>
  <c r="B863" i="5"/>
  <c r="A863" i="5"/>
  <c r="F862" i="5"/>
  <c r="E862" i="5"/>
  <c r="D862" i="5"/>
  <c r="C862" i="5"/>
  <c r="B862" i="5"/>
  <c r="A862" i="5"/>
  <c r="F861" i="5"/>
  <c r="E861" i="5"/>
  <c r="D861" i="5"/>
  <c r="C861" i="5"/>
  <c r="B861" i="5"/>
  <c r="A861" i="5"/>
  <c r="F860" i="5"/>
  <c r="E860" i="5"/>
  <c r="D860" i="5"/>
  <c r="C860" i="5"/>
  <c r="B860" i="5"/>
  <c r="A860" i="5"/>
  <c r="F859" i="5"/>
  <c r="E859" i="5"/>
  <c r="D859" i="5"/>
  <c r="C859" i="5"/>
  <c r="B859" i="5"/>
  <c r="A859" i="5"/>
  <c r="F858" i="5"/>
  <c r="E858" i="5"/>
  <c r="D858" i="5"/>
  <c r="C858" i="5"/>
  <c r="B858" i="5"/>
  <c r="A858" i="5"/>
  <c r="F857" i="5"/>
  <c r="E857" i="5"/>
  <c r="D857" i="5"/>
  <c r="C857" i="5"/>
  <c r="B857" i="5"/>
  <c r="A857" i="5"/>
  <c r="F856" i="5"/>
  <c r="E856" i="5"/>
  <c r="D856" i="5"/>
  <c r="C856" i="5"/>
  <c r="B856" i="5"/>
  <c r="A856" i="5"/>
  <c r="F855" i="5"/>
  <c r="E855" i="5"/>
  <c r="D855" i="5"/>
  <c r="C855" i="5"/>
  <c r="B855" i="5"/>
  <c r="A855" i="5"/>
  <c r="F854" i="5"/>
  <c r="E854" i="5"/>
  <c r="D854" i="5"/>
  <c r="C854" i="5"/>
  <c r="B854" i="5"/>
  <c r="A854" i="5"/>
  <c r="F853" i="5"/>
  <c r="E853" i="5"/>
  <c r="D853" i="5"/>
  <c r="C853" i="5"/>
  <c r="B853" i="5"/>
  <c r="A853" i="5"/>
  <c r="F852" i="5"/>
  <c r="E852" i="5"/>
  <c r="D852" i="5"/>
  <c r="C852" i="5"/>
  <c r="B852" i="5"/>
  <c r="A852" i="5"/>
  <c r="F851" i="5"/>
  <c r="E851" i="5"/>
  <c r="D851" i="5"/>
  <c r="C851" i="5"/>
  <c r="B851" i="5"/>
  <c r="A851" i="5"/>
  <c r="F850" i="5"/>
  <c r="E850" i="5"/>
  <c r="D850" i="5"/>
  <c r="C850" i="5"/>
  <c r="B850" i="5"/>
  <c r="A850" i="5"/>
  <c r="F849" i="5"/>
  <c r="E849" i="5"/>
  <c r="D849" i="5"/>
  <c r="C849" i="5"/>
  <c r="B849" i="5"/>
  <c r="A849" i="5"/>
  <c r="F848" i="5"/>
  <c r="E848" i="5"/>
  <c r="D848" i="5"/>
  <c r="C848" i="5"/>
  <c r="B848" i="5"/>
  <c r="A848" i="5"/>
  <c r="F847" i="5"/>
  <c r="E847" i="5"/>
  <c r="D847" i="5"/>
  <c r="C847" i="5"/>
  <c r="B847" i="5"/>
  <c r="A847" i="5"/>
  <c r="F846" i="5"/>
  <c r="E846" i="5"/>
  <c r="D846" i="5"/>
  <c r="C846" i="5"/>
  <c r="B846" i="5"/>
  <c r="A846" i="5"/>
  <c r="F845" i="5"/>
  <c r="E845" i="5"/>
  <c r="D845" i="5"/>
  <c r="C845" i="5"/>
  <c r="B845" i="5"/>
  <c r="A845" i="5"/>
  <c r="F844" i="5"/>
  <c r="E844" i="5"/>
  <c r="D844" i="5"/>
  <c r="C844" i="5"/>
  <c r="B844" i="5"/>
  <c r="A844" i="5"/>
  <c r="F843" i="5"/>
  <c r="E843" i="5"/>
  <c r="D843" i="5"/>
  <c r="C843" i="5"/>
  <c r="B843" i="5"/>
  <c r="A843" i="5"/>
  <c r="F842" i="5"/>
  <c r="E842" i="5"/>
  <c r="D842" i="5"/>
  <c r="C842" i="5"/>
  <c r="B842" i="5"/>
  <c r="A842" i="5"/>
  <c r="F841" i="5"/>
  <c r="E841" i="5"/>
  <c r="D841" i="5"/>
  <c r="C841" i="5"/>
  <c r="B841" i="5"/>
  <c r="A841" i="5"/>
  <c r="F840" i="5"/>
  <c r="E840" i="5"/>
  <c r="D840" i="5"/>
  <c r="C840" i="5"/>
  <c r="B840" i="5"/>
  <c r="A840" i="5"/>
  <c r="F839" i="5"/>
  <c r="E839" i="5"/>
  <c r="D839" i="5"/>
  <c r="C839" i="5"/>
  <c r="B839" i="5"/>
  <c r="A839" i="5"/>
  <c r="F838" i="5"/>
  <c r="E838" i="5"/>
  <c r="D838" i="5"/>
  <c r="C838" i="5"/>
  <c r="B838" i="5"/>
  <c r="A838" i="5"/>
  <c r="F837" i="5"/>
  <c r="E837" i="5"/>
  <c r="D837" i="5"/>
  <c r="C837" i="5"/>
  <c r="B837" i="5"/>
  <c r="A837" i="5"/>
  <c r="F836" i="5"/>
  <c r="E836" i="5"/>
  <c r="D836" i="5"/>
  <c r="C836" i="5"/>
  <c r="B836" i="5"/>
  <c r="A836" i="5"/>
  <c r="F835" i="5"/>
  <c r="E835" i="5"/>
  <c r="D835" i="5"/>
  <c r="C835" i="5"/>
  <c r="B835" i="5"/>
  <c r="A835" i="5"/>
  <c r="F834" i="5"/>
  <c r="E834" i="5"/>
  <c r="D834" i="5"/>
  <c r="C834" i="5"/>
  <c r="B834" i="5"/>
  <c r="A834" i="5"/>
  <c r="F833" i="5"/>
  <c r="E833" i="5"/>
  <c r="D833" i="5"/>
  <c r="C833" i="5"/>
  <c r="B833" i="5"/>
  <c r="A833" i="5"/>
  <c r="F832" i="5"/>
  <c r="E832" i="5"/>
  <c r="D832" i="5"/>
  <c r="C832" i="5"/>
  <c r="B832" i="5"/>
  <c r="A832" i="5"/>
  <c r="F831" i="5"/>
  <c r="E831" i="5"/>
  <c r="D831" i="5"/>
  <c r="C831" i="5"/>
  <c r="B831" i="5"/>
  <c r="A831" i="5"/>
  <c r="F830" i="5"/>
  <c r="E830" i="5"/>
  <c r="D830" i="5"/>
  <c r="C830" i="5"/>
  <c r="B830" i="5"/>
  <c r="A830" i="5"/>
  <c r="F829" i="5"/>
  <c r="E829" i="5"/>
  <c r="D829" i="5"/>
  <c r="C829" i="5"/>
  <c r="B829" i="5"/>
  <c r="A829" i="5"/>
  <c r="F828" i="5"/>
  <c r="E828" i="5"/>
  <c r="D828" i="5"/>
  <c r="C828" i="5"/>
  <c r="B828" i="5"/>
  <c r="A828" i="5"/>
  <c r="F827" i="5"/>
  <c r="E827" i="5"/>
  <c r="D827" i="5"/>
  <c r="C827" i="5"/>
  <c r="B827" i="5"/>
  <c r="A827" i="5"/>
  <c r="F826" i="5"/>
  <c r="E826" i="5"/>
  <c r="D826" i="5"/>
  <c r="C826" i="5"/>
  <c r="B826" i="5"/>
  <c r="A826" i="5"/>
  <c r="F825" i="5"/>
  <c r="E825" i="5"/>
  <c r="D825" i="5"/>
  <c r="C825" i="5"/>
  <c r="B825" i="5"/>
  <c r="A825" i="5"/>
  <c r="F824" i="5"/>
  <c r="E824" i="5"/>
  <c r="D824" i="5"/>
  <c r="C824" i="5"/>
  <c r="B824" i="5"/>
  <c r="A824" i="5"/>
  <c r="F823" i="5"/>
  <c r="E823" i="5"/>
  <c r="D823" i="5"/>
  <c r="C823" i="5"/>
  <c r="B823" i="5"/>
  <c r="A823" i="5"/>
  <c r="F822" i="5"/>
  <c r="E822" i="5"/>
  <c r="D822" i="5"/>
  <c r="C822" i="5"/>
  <c r="B822" i="5"/>
  <c r="A822" i="5"/>
  <c r="F821" i="5"/>
  <c r="E821" i="5"/>
  <c r="D821" i="5"/>
  <c r="C821" i="5"/>
  <c r="B821" i="5"/>
  <c r="A821" i="5"/>
  <c r="F820" i="5"/>
  <c r="E820" i="5"/>
  <c r="D820" i="5"/>
  <c r="C820" i="5"/>
  <c r="B820" i="5"/>
  <c r="A820" i="5"/>
  <c r="F819" i="5"/>
  <c r="E819" i="5"/>
  <c r="D819" i="5"/>
  <c r="C819" i="5"/>
  <c r="B819" i="5"/>
  <c r="A819" i="5"/>
  <c r="F818" i="5"/>
  <c r="E818" i="5"/>
  <c r="D818" i="5"/>
  <c r="C818" i="5"/>
  <c r="B818" i="5"/>
  <c r="A818" i="5"/>
  <c r="F817" i="5"/>
  <c r="E817" i="5"/>
  <c r="D817" i="5"/>
  <c r="C817" i="5"/>
  <c r="B817" i="5"/>
  <c r="A817" i="5"/>
  <c r="F816" i="5"/>
  <c r="E816" i="5"/>
  <c r="D816" i="5"/>
  <c r="C816" i="5"/>
  <c r="B816" i="5"/>
  <c r="A816" i="5"/>
  <c r="F815" i="5"/>
  <c r="E815" i="5"/>
  <c r="D815" i="5"/>
  <c r="C815" i="5"/>
  <c r="B815" i="5"/>
  <c r="A815" i="5"/>
  <c r="F814" i="5"/>
  <c r="E814" i="5"/>
  <c r="D814" i="5"/>
  <c r="C814" i="5"/>
  <c r="B814" i="5"/>
  <c r="A814" i="5"/>
  <c r="F813" i="5"/>
  <c r="E813" i="5"/>
  <c r="D813" i="5"/>
  <c r="C813" i="5"/>
  <c r="B813" i="5"/>
  <c r="A813" i="5"/>
  <c r="F812" i="5"/>
  <c r="E812" i="5"/>
  <c r="D812" i="5"/>
  <c r="C812" i="5"/>
  <c r="B812" i="5"/>
  <c r="A812" i="5"/>
  <c r="F811" i="5"/>
  <c r="E811" i="5"/>
  <c r="D811" i="5"/>
  <c r="C811" i="5"/>
  <c r="B811" i="5"/>
  <c r="A811" i="5"/>
  <c r="F810" i="5"/>
  <c r="E810" i="5"/>
  <c r="D810" i="5"/>
  <c r="C810" i="5"/>
  <c r="B810" i="5"/>
  <c r="A810" i="5"/>
  <c r="F809" i="5"/>
  <c r="E809" i="5"/>
  <c r="D809" i="5"/>
  <c r="C809" i="5"/>
  <c r="B809" i="5"/>
  <c r="A809" i="5"/>
  <c r="F808" i="5"/>
  <c r="E808" i="5"/>
  <c r="D808" i="5"/>
  <c r="C808" i="5"/>
  <c r="B808" i="5"/>
  <c r="A808" i="5"/>
  <c r="F807" i="5"/>
  <c r="E807" i="5"/>
  <c r="D807" i="5"/>
  <c r="C807" i="5"/>
  <c r="B807" i="5"/>
  <c r="A807" i="5"/>
  <c r="F806" i="5"/>
  <c r="E806" i="5"/>
  <c r="D806" i="5"/>
  <c r="C806" i="5"/>
  <c r="B806" i="5"/>
  <c r="A806" i="5"/>
  <c r="F805" i="5"/>
  <c r="E805" i="5"/>
  <c r="D805" i="5"/>
  <c r="C805" i="5"/>
  <c r="B805" i="5"/>
  <c r="A805" i="5"/>
  <c r="F804" i="5"/>
  <c r="E804" i="5"/>
  <c r="D804" i="5"/>
  <c r="C804" i="5"/>
  <c r="B804" i="5"/>
  <c r="A804" i="5"/>
  <c r="F803" i="5"/>
  <c r="E803" i="5"/>
  <c r="D803" i="5"/>
  <c r="C803" i="5"/>
  <c r="B803" i="5"/>
  <c r="A803" i="5"/>
  <c r="F802" i="5"/>
  <c r="E802" i="5"/>
  <c r="D802" i="5"/>
  <c r="C802" i="5"/>
  <c r="B802" i="5"/>
  <c r="A802" i="5"/>
  <c r="F801" i="5"/>
  <c r="E801" i="5"/>
  <c r="D801" i="5"/>
  <c r="C801" i="5"/>
  <c r="B801" i="5"/>
  <c r="A801" i="5"/>
  <c r="F800" i="5"/>
  <c r="E800" i="5"/>
  <c r="D800" i="5"/>
  <c r="C800" i="5"/>
  <c r="B800" i="5"/>
  <c r="A800" i="5"/>
  <c r="F799" i="5"/>
  <c r="E799" i="5"/>
  <c r="D799" i="5"/>
  <c r="C799" i="5"/>
  <c r="B799" i="5"/>
  <c r="A799" i="5"/>
  <c r="F798" i="5"/>
  <c r="E798" i="5"/>
  <c r="D798" i="5"/>
  <c r="C798" i="5"/>
  <c r="B798" i="5"/>
  <c r="A798" i="5"/>
  <c r="F797" i="5"/>
  <c r="E797" i="5"/>
  <c r="D797" i="5"/>
  <c r="C797" i="5"/>
  <c r="B797" i="5"/>
  <c r="A797" i="5"/>
  <c r="F796" i="5"/>
  <c r="E796" i="5"/>
  <c r="D796" i="5"/>
  <c r="C796" i="5"/>
  <c r="B796" i="5"/>
  <c r="A796" i="5"/>
  <c r="F795" i="5"/>
  <c r="E795" i="5"/>
  <c r="D795" i="5"/>
  <c r="C795" i="5"/>
  <c r="B795" i="5"/>
  <c r="A795" i="5"/>
  <c r="F794" i="5"/>
  <c r="E794" i="5"/>
  <c r="D794" i="5"/>
  <c r="C794" i="5"/>
  <c r="B794" i="5"/>
  <c r="A794" i="5"/>
  <c r="F793" i="5"/>
  <c r="E793" i="5"/>
  <c r="D793" i="5"/>
  <c r="C793" i="5"/>
  <c r="B793" i="5"/>
  <c r="A793" i="5"/>
  <c r="F792" i="5"/>
  <c r="E792" i="5"/>
  <c r="D792" i="5"/>
  <c r="C792" i="5"/>
  <c r="B792" i="5"/>
  <c r="A792" i="5"/>
  <c r="F791" i="5"/>
  <c r="E791" i="5"/>
  <c r="D791" i="5"/>
  <c r="C791" i="5"/>
  <c r="B791" i="5"/>
  <c r="A791" i="5"/>
  <c r="F790" i="5"/>
  <c r="E790" i="5"/>
  <c r="D790" i="5"/>
  <c r="C790" i="5"/>
  <c r="B790" i="5"/>
  <c r="A790" i="5"/>
  <c r="F789" i="5"/>
  <c r="E789" i="5"/>
  <c r="D789" i="5"/>
  <c r="C789" i="5"/>
  <c r="B789" i="5"/>
  <c r="A789" i="5"/>
  <c r="F788" i="5"/>
  <c r="E788" i="5"/>
  <c r="D788" i="5"/>
  <c r="C788" i="5"/>
  <c r="B788" i="5"/>
  <c r="A788" i="5"/>
  <c r="F787" i="5"/>
  <c r="E787" i="5"/>
  <c r="D787" i="5"/>
  <c r="C787" i="5"/>
  <c r="B787" i="5"/>
  <c r="A787" i="5"/>
  <c r="F786" i="5"/>
  <c r="E786" i="5"/>
  <c r="D786" i="5"/>
  <c r="C786" i="5"/>
  <c r="B786" i="5"/>
  <c r="A786" i="5"/>
  <c r="F785" i="5"/>
  <c r="E785" i="5"/>
  <c r="D785" i="5"/>
  <c r="C785" i="5"/>
  <c r="B785" i="5"/>
  <c r="A785" i="5"/>
  <c r="F784" i="5"/>
  <c r="E784" i="5"/>
  <c r="D784" i="5"/>
  <c r="C784" i="5"/>
  <c r="B784" i="5"/>
  <c r="A784" i="5"/>
  <c r="F783" i="5"/>
  <c r="E783" i="5"/>
  <c r="D783" i="5"/>
  <c r="C783" i="5"/>
  <c r="B783" i="5"/>
  <c r="A783" i="5"/>
  <c r="F782" i="5"/>
  <c r="E782" i="5"/>
  <c r="D782" i="5"/>
  <c r="C782" i="5"/>
  <c r="B782" i="5"/>
  <c r="A782" i="5"/>
  <c r="F781" i="5"/>
  <c r="E781" i="5"/>
  <c r="D781" i="5"/>
  <c r="C781" i="5"/>
  <c r="B781" i="5"/>
  <c r="A781" i="5"/>
  <c r="F780" i="5"/>
  <c r="E780" i="5"/>
  <c r="D780" i="5"/>
  <c r="C780" i="5"/>
  <c r="B780" i="5"/>
  <c r="A780" i="5"/>
  <c r="F779" i="5"/>
  <c r="E779" i="5"/>
  <c r="D779" i="5"/>
  <c r="C779" i="5"/>
  <c r="B779" i="5"/>
  <c r="A779" i="5"/>
  <c r="F778" i="5"/>
  <c r="E778" i="5"/>
  <c r="D778" i="5"/>
  <c r="C778" i="5"/>
  <c r="B778" i="5"/>
  <c r="A778" i="5"/>
  <c r="F777" i="5"/>
  <c r="E777" i="5"/>
  <c r="D777" i="5"/>
  <c r="C777" i="5"/>
  <c r="B777" i="5"/>
  <c r="A777" i="5"/>
  <c r="F776" i="5"/>
  <c r="E776" i="5"/>
  <c r="D776" i="5"/>
  <c r="C776" i="5"/>
  <c r="B776" i="5"/>
  <c r="A776" i="5"/>
  <c r="F775" i="5"/>
  <c r="E775" i="5"/>
  <c r="D775" i="5"/>
  <c r="C775" i="5"/>
  <c r="B775" i="5"/>
  <c r="A775" i="5"/>
  <c r="F774" i="5"/>
  <c r="E774" i="5"/>
  <c r="D774" i="5"/>
  <c r="C774" i="5"/>
  <c r="B774" i="5"/>
  <c r="A774" i="5"/>
  <c r="F773" i="5"/>
  <c r="E773" i="5"/>
  <c r="D773" i="5"/>
  <c r="C773" i="5"/>
  <c r="B773" i="5"/>
  <c r="A773" i="5"/>
  <c r="F772" i="5"/>
  <c r="E772" i="5"/>
  <c r="D772" i="5"/>
  <c r="C772" i="5"/>
  <c r="B772" i="5"/>
  <c r="A772" i="5"/>
  <c r="F771" i="5"/>
  <c r="E771" i="5"/>
  <c r="D771" i="5"/>
  <c r="C771" i="5"/>
  <c r="B771" i="5"/>
  <c r="A771" i="5"/>
  <c r="F770" i="5"/>
  <c r="E770" i="5"/>
  <c r="D770" i="5"/>
  <c r="C770" i="5"/>
  <c r="B770" i="5"/>
  <c r="A770" i="5"/>
  <c r="F769" i="5"/>
  <c r="E769" i="5"/>
  <c r="D769" i="5"/>
  <c r="C769" i="5"/>
  <c r="B769" i="5"/>
  <c r="A769" i="5"/>
  <c r="F768" i="5"/>
  <c r="E768" i="5"/>
  <c r="D768" i="5"/>
  <c r="C768" i="5"/>
  <c r="B768" i="5"/>
  <c r="A768" i="5"/>
  <c r="F767" i="5"/>
  <c r="E767" i="5"/>
  <c r="D767" i="5"/>
  <c r="C767" i="5"/>
  <c r="B767" i="5"/>
  <c r="A767" i="5"/>
  <c r="F766" i="5"/>
  <c r="E766" i="5"/>
  <c r="D766" i="5"/>
  <c r="C766" i="5"/>
  <c r="B766" i="5"/>
  <c r="A766" i="5"/>
  <c r="F765" i="5"/>
  <c r="E765" i="5"/>
  <c r="D765" i="5"/>
  <c r="C765" i="5"/>
  <c r="B765" i="5"/>
  <c r="A765" i="5"/>
  <c r="F764" i="5"/>
  <c r="E764" i="5"/>
  <c r="D764" i="5"/>
  <c r="C764" i="5"/>
  <c r="B764" i="5"/>
  <c r="A764" i="5"/>
  <c r="F763" i="5"/>
  <c r="E763" i="5"/>
  <c r="D763" i="5"/>
  <c r="C763" i="5"/>
  <c r="B763" i="5"/>
  <c r="A763" i="5"/>
  <c r="F762" i="5"/>
  <c r="E762" i="5"/>
  <c r="D762" i="5"/>
  <c r="C762" i="5"/>
  <c r="B762" i="5"/>
  <c r="A762" i="5"/>
  <c r="F761" i="5"/>
  <c r="E761" i="5"/>
  <c r="D761" i="5"/>
  <c r="C761" i="5"/>
  <c r="B761" i="5"/>
  <c r="A761" i="5"/>
  <c r="F760" i="5"/>
  <c r="E760" i="5"/>
  <c r="D760" i="5"/>
  <c r="C760" i="5"/>
  <c r="B760" i="5"/>
  <c r="A760" i="5"/>
  <c r="F759" i="5"/>
  <c r="E759" i="5"/>
  <c r="D759" i="5"/>
  <c r="C759" i="5"/>
  <c r="B759" i="5"/>
  <c r="A759" i="5"/>
  <c r="F758" i="5"/>
  <c r="E758" i="5"/>
  <c r="D758" i="5"/>
  <c r="C758" i="5"/>
  <c r="B758" i="5"/>
  <c r="A758" i="5"/>
  <c r="F757" i="5"/>
  <c r="E757" i="5"/>
  <c r="D757" i="5"/>
  <c r="C757" i="5"/>
  <c r="B757" i="5"/>
  <c r="A757" i="5"/>
  <c r="F756" i="5"/>
  <c r="E756" i="5"/>
  <c r="D756" i="5"/>
  <c r="C756" i="5"/>
  <c r="B756" i="5"/>
  <c r="A756" i="5"/>
  <c r="F755" i="5"/>
  <c r="E755" i="5"/>
  <c r="D755" i="5"/>
  <c r="C755" i="5"/>
  <c r="B755" i="5"/>
  <c r="A755" i="5"/>
  <c r="F754" i="5"/>
  <c r="E754" i="5"/>
  <c r="D754" i="5"/>
  <c r="C754" i="5"/>
  <c r="B754" i="5"/>
  <c r="A754" i="5"/>
  <c r="F753" i="5"/>
  <c r="E753" i="5"/>
  <c r="D753" i="5"/>
  <c r="C753" i="5"/>
  <c r="B753" i="5"/>
  <c r="A753" i="5"/>
  <c r="F752" i="5"/>
  <c r="E752" i="5"/>
  <c r="D752" i="5"/>
  <c r="C752" i="5"/>
  <c r="B752" i="5"/>
  <c r="A752" i="5"/>
  <c r="F751" i="5"/>
  <c r="E751" i="5"/>
  <c r="D751" i="5"/>
  <c r="C751" i="5"/>
  <c r="B751" i="5"/>
  <c r="A751" i="5"/>
  <c r="F750" i="5"/>
  <c r="E750" i="5"/>
  <c r="D750" i="5"/>
  <c r="C750" i="5"/>
  <c r="B750" i="5"/>
  <c r="A750" i="5"/>
  <c r="F749" i="5"/>
  <c r="E749" i="5"/>
  <c r="D749" i="5"/>
  <c r="C749" i="5"/>
  <c r="B749" i="5"/>
  <c r="A749" i="5"/>
  <c r="F748" i="5"/>
  <c r="E748" i="5"/>
  <c r="D748" i="5"/>
  <c r="C748" i="5"/>
  <c r="B748" i="5"/>
  <c r="A748" i="5"/>
  <c r="F747" i="5"/>
  <c r="E747" i="5"/>
  <c r="D747" i="5"/>
  <c r="C747" i="5"/>
  <c r="B747" i="5"/>
  <c r="A747" i="5"/>
  <c r="F746" i="5"/>
  <c r="E746" i="5"/>
  <c r="D746" i="5"/>
  <c r="C746" i="5"/>
  <c r="B746" i="5"/>
  <c r="A746" i="5"/>
  <c r="F745" i="5"/>
  <c r="E745" i="5"/>
  <c r="D745" i="5"/>
  <c r="C745" i="5"/>
  <c r="B745" i="5"/>
  <c r="A745" i="5"/>
  <c r="F744" i="5"/>
  <c r="E744" i="5"/>
  <c r="D744" i="5"/>
  <c r="C744" i="5"/>
  <c r="B744" i="5"/>
  <c r="A744" i="5"/>
  <c r="F743" i="5"/>
  <c r="E743" i="5"/>
  <c r="D743" i="5"/>
  <c r="C743" i="5"/>
  <c r="B743" i="5"/>
  <c r="A743" i="5"/>
  <c r="F742" i="5"/>
  <c r="E742" i="5"/>
  <c r="D742" i="5"/>
  <c r="C742" i="5"/>
  <c r="B742" i="5"/>
  <c r="A742" i="5"/>
  <c r="F741" i="5"/>
  <c r="E741" i="5"/>
  <c r="D741" i="5"/>
  <c r="C741" i="5"/>
  <c r="B741" i="5"/>
  <c r="A741" i="5"/>
  <c r="F740" i="5"/>
  <c r="E740" i="5"/>
  <c r="D740" i="5"/>
  <c r="C740" i="5"/>
  <c r="B740" i="5"/>
  <c r="A740" i="5"/>
  <c r="F739" i="5"/>
  <c r="E739" i="5"/>
  <c r="D739" i="5"/>
  <c r="C739" i="5"/>
  <c r="B739" i="5"/>
  <c r="A739" i="5"/>
  <c r="F738" i="5"/>
  <c r="E738" i="5"/>
  <c r="D738" i="5"/>
  <c r="C738" i="5"/>
  <c r="B738" i="5"/>
  <c r="A738" i="5"/>
  <c r="F737" i="5"/>
  <c r="E737" i="5"/>
  <c r="D737" i="5"/>
  <c r="C737" i="5"/>
  <c r="B737" i="5"/>
  <c r="A737" i="5"/>
  <c r="F736" i="5"/>
  <c r="E736" i="5"/>
  <c r="D736" i="5"/>
  <c r="C736" i="5"/>
  <c r="B736" i="5"/>
  <c r="A736" i="5"/>
  <c r="F735" i="5"/>
  <c r="E735" i="5"/>
  <c r="D735" i="5"/>
  <c r="C735" i="5"/>
  <c r="B735" i="5"/>
  <c r="A735" i="5"/>
  <c r="F734" i="5"/>
  <c r="E734" i="5"/>
  <c r="D734" i="5"/>
  <c r="C734" i="5"/>
  <c r="B734" i="5"/>
  <c r="A734" i="5"/>
  <c r="F733" i="5"/>
  <c r="E733" i="5"/>
  <c r="D733" i="5"/>
  <c r="C733" i="5"/>
  <c r="B733" i="5"/>
  <c r="A733" i="5"/>
  <c r="F732" i="5"/>
  <c r="E732" i="5"/>
  <c r="D732" i="5"/>
  <c r="C732" i="5"/>
  <c r="B732" i="5"/>
  <c r="A732" i="5"/>
  <c r="F731" i="5"/>
  <c r="E731" i="5"/>
  <c r="D731" i="5"/>
  <c r="C731" i="5"/>
  <c r="B731" i="5"/>
  <c r="A731" i="5"/>
  <c r="F730" i="5"/>
  <c r="E730" i="5"/>
  <c r="D730" i="5"/>
  <c r="C730" i="5"/>
  <c r="B730" i="5"/>
  <c r="A730" i="5"/>
  <c r="F729" i="5"/>
  <c r="E729" i="5"/>
  <c r="D729" i="5"/>
  <c r="C729" i="5"/>
  <c r="B729" i="5"/>
  <c r="A729" i="5"/>
  <c r="F728" i="5"/>
  <c r="E728" i="5"/>
  <c r="D728" i="5"/>
  <c r="C728" i="5"/>
  <c r="B728" i="5"/>
  <c r="A728" i="5"/>
  <c r="F727" i="5"/>
  <c r="E727" i="5"/>
  <c r="D727" i="5"/>
  <c r="C727" i="5"/>
  <c r="B727" i="5"/>
  <c r="A727" i="5"/>
  <c r="F726" i="5"/>
  <c r="E726" i="5"/>
  <c r="D726" i="5"/>
  <c r="C726" i="5"/>
  <c r="B726" i="5"/>
  <c r="A726" i="5"/>
  <c r="F725" i="5"/>
  <c r="E725" i="5"/>
  <c r="D725" i="5"/>
  <c r="C725" i="5"/>
  <c r="B725" i="5"/>
  <c r="A725" i="5"/>
  <c r="F724" i="5"/>
  <c r="E724" i="5"/>
  <c r="D724" i="5"/>
  <c r="C724" i="5"/>
  <c r="B724" i="5"/>
  <c r="A724" i="5"/>
  <c r="F723" i="5"/>
  <c r="E723" i="5"/>
  <c r="D723" i="5"/>
  <c r="C723" i="5"/>
  <c r="B723" i="5"/>
  <c r="A723" i="5"/>
  <c r="F722" i="5"/>
  <c r="E722" i="5"/>
  <c r="D722" i="5"/>
  <c r="C722" i="5"/>
  <c r="B722" i="5"/>
  <c r="A722" i="5"/>
  <c r="F721" i="5"/>
  <c r="E721" i="5"/>
  <c r="D721" i="5"/>
  <c r="C721" i="5"/>
  <c r="B721" i="5"/>
  <c r="A721" i="5"/>
  <c r="F720" i="5"/>
  <c r="E720" i="5"/>
  <c r="D720" i="5"/>
  <c r="C720" i="5"/>
  <c r="B720" i="5"/>
  <c r="A720" i="5"/>
  <c r="F719" i="5"/>
  <c r="E719" i="5"/>
  <c r="D719" i="5"/>
  <c r="C719" i="5"/>
  <c r="B719" i="5"/>
  <c r="A719" i="5"/>
  <c r="F718" i="5"/>
  <c r="E718" i="5"/>
  <c r="D718" i="5"/>
  <c r="C718" i="5"/>
  <c r="B718" i="5"/>
  <c r="A718" i="5"/>
  <c r="F717" i="5"/>
  <c r="E717" i="5"/>
  <c r="D717" i="5"/>
  <c r="C717" i="5"/>
  <c r="B717" i="5"/>
  <c r="A717" i="5"/>
  <c r="F716" i="5"/>
  <c r="E716" i="5"/>
  <c r="D716" i="5"/>
  <c r="C716" i="5"/>
  <c r="B716" i="5"/>
  <c r="A716" i="5"/>
  <c r="F715" i="5"/>
  <c r="E715" i="5"/>
  <c r="D715" i="5"/>
  <c r="C715" i="5"/>
  <c r="B715" i="5"/>
  <c r="A715" i="5"/>
  <c r="F714" i="5"/>
  <c r="E714" i="5"/>
  <c r="D714" i="5"/>
  <c r="C714" i="5"/>
  <c r="B714" i="5"/>
  <c r="A714" i="5"/>
  <c r="F713" i="5"/>
  <c r="E713" i="5"/>
  <c r="D713" i="5"/>
  <c r="C713" i="5"/>
  <c r="B713" i="5"/>
  <c r="A713" i="5"/>
  <c r="F712" i="5"/>
  <c r="E712" i="5"/>
  <c r="D712" i="5"/>
  <c r="C712" i="5"/>
  <c r="B712" i="5"/>
  <c r="A712" i="5"/>
  <c r="F711" i="5"/>
  <c r="E711" i="5"/>
  <c r="D711" i="5"/>
  <c r="C711" i="5"/>
  <c r="B711" i="5"/>
  <c r="A711" i="5"/>
  <c r="F710" i="5"/>
  <c r="E710" i="5"/>
  <c r="D710" i="5"/>
  <c r="C710" i="5"/>
  <c r="B710" i="5"/>
  <c r="A710" i="5"/>
  <c r="F709" i="5"/>
  <c r="E709" i="5"/>
  <c r="D709" i="5"/>
  <c r="C709" i="5"/>
  <c r="B709" i="5"/>
  <c r="A709" i="5"/>
  <c r="F708" i="5"/>
  <c r="E708" i="5"/>
  <c r="D708" i="5"/>
  <c r="C708" i="5"/>
  <c r="B708" i="5"/>
  <c r="A708" i="5"/>
  <c r="F707" i="5"/>
  <c r="E707" i="5"/>
  <c r="D707" i="5"/>
  <c r="C707" i="5"/>
  <c r="B707" i="5"/>
  <c r="A707" i="5"/>
  <c r="F706" i="5"/>
  <c r="E706" i="5"/>
  <c r="D706" i="5"/>
  <c r="C706" i="5"/>
  <c r="B706" i="5"/>
  <c r="A706" i="5"/>
  <c r="F705" i="5"/>
  <c r="E705" i="5"/>
  <c r="D705" i="5"/>
  <c r="C705" i="5"/>
  <c r="B705" i="5"/>
  <c r="A705" i="5"/>
  <c r="F704" i="5"/>
  <c r="E704" i="5"/>
  <c r="D704" i="5"/>
  <c r="C704" i="5"/>
  <c r="B704" i="5"/>
  <c r="A704" i="5"/>
  <c r="F703" i="5"/>
  <c r="E703" i="5"/>
  <c r="D703" i="5"/>
  <c r="C703" i="5"/>
  <c r="B703" i="5"/>
  <c r="A703" i="5"/>
  <c r="F702" i="5"/>
  <c r="E702" i="5"/>
  <c r="D702" i="5"/>
  <c r="C702" i="5"/>
  <c r="B702" i="5"/>
  <c r="A702" i="5"/>
  <c r="F701" i="5"/>
  <c r="E701" i="5"/>
  <c r="D701" i="5"/>
  <c r="C701" i="5"/>
  <c r="B701" i="5"/>
  <c r="A701" i="5"/>
  <c r="F700" i="5"/>
  <c r="E700" i="5"/>
  <c r="D700" i="5"/>
  <c r="C700" i="5"/>
  <c r="B700" i="5"/>
  <c r="A700" i="5"/>
  <c r="F699" i="5"/>
  <c r="E699" i="5"/>
  <c r="D699" i="5"/>
  <c r="C699" i="5"/>
  <c r="B699" i="5"/>
  <c r="A699" i="5"/>
  <c r="F698" i="5"/>
  <c r="E698" i="5"/>
  <c r="D698" i="5"/>
  <c r="C698" i="5"/>
  <c r="B698" i="5"/>
  <c r="A698" i="5"/>
  <c r="F697" i="5"/>
  <c r="E697" i="5"/>
  <c r="D697" i="5"/>
  <c r="C697" i="5"/>
  <c r="B697" i="5"/>
  <c r="A697" i="5"/>
  <c r="F696" i="5"/>
  <c r="E696" i="5"/>
  <c r="D696" i="5"/>
  <c r="C696" i="5"/>
  <c r="B696" i="5"/>
  <c r="A696" i="5"/>
  <c r="F695" i="5"/>
  <c r="E695" i="5"/>
  <c r="D695" i="5"/>
  <c r="C695" i="5"/>
  <c r="B695" i="5"/>
  <c r="A695" i="5"/>
  <c r="F694" i="5"/>
  <c r="E694" i="5"/>
  <c r="D694" i="5"/>
  <c r="C694" i="5"/>
  <c r="B694" i="5"/>
  <c r="A694" i="5"/>
  <c r="F693" i="5"/>
  <c r="E693" i="5"/>
  <c r="D693" i="5"/>
  <c r="C693" i="5"/>
  <c r="B693" i="5"/>
  <c r="A693" i="5"/>
  <c r="F692" i="5"/>
  <c r="E692" i="5"/>
  <c r="D692" i="5"/>
  <c r="C692" i="5"/>
  <c r="B692" i="5"/>
  <c r="A692" i="5"/>
  <c r="F691" i="5"/>
  <c r="E691" i="5"/>
  <c r="D691" i="5"/>
  <c r="C691" i="5"/>
  <c r="B691" i="5"/>
  <c r="A691" i="5"/>
  <c r="F690" i="5"/>
  <c r="E690" i="5"/>
  <c r="D690" i="5"/>
  <c r="C690" i="5"/>
  <c r="B690" i="5"/>
  <c r="A690" i="5"/>
  <c r="F689" i="5"/>
  <c r="E689" i="5"/>
  <c r="D689" i="5"/>
  <c r="C689" i="5"/>
  <c r="B689" i="5"/>
  <c r="A689" i="5"/>
  <c r="F688" i="5"/>
  <c r="E688" i="5"/>
  <c r="D688" i="5"/>
  <c r="C688" i="5"/>
  <c r="B688" i="5"/>
  <c r="A688" i="5"/>
  <c r="F687" i="5"/>
  <c r="E687" i="5"/>
  <c r="D687" i="5"/>
  <c r="C687" i="5"/>
  <c r="B687" i="5"/>
  <c r="A687" i="5"/>
  <c r="F686" i="5"/>
  <c r="E686" i="5"/>
  <c r="D686" i="5"/>
  <c r="C686" i="5"/>
  <c r="B686" i="5"/>
  <c r="A686" i="5"/>
  <c r="F685" i="5"/>
  <c r="E685" i="5"/>
  <c r="D685" i="5"/>
  <c r="C685" i="5"/>
  <c r="B685" i="5"/>
  <c r="A685" i="5"/>
  <c r="F684" i="5"/>
  <c r="E684" i="5"/>
  <c r="D684" i="5"/>
  <c r="C684" i="5"/>
  <c r="B684" i="5"/>
  <c r="A684" i="5"/>
  <c r="F683" i="5"/>
  <c r="E683" i="5"/>
  <c r="D683" i="5"/>
  <c r="C683" i="5"/>
  <c r="B683" i="5"/>
  <c r="A683" i="5"/>
  <c r="F682" i="5"/>
  <c r="E682" i="5"/>
  <c r="D682" i="5"/>
  <c r="C682" i="5"/>
  <c r="B682" i="5"/>
  <c r="A682" i="5"/>
  <c r="F681" i="5"/>
  <c r="E681" i="5"/>
  <c r="D681" i="5"/>
  <c r="C681" i="5"/>
  <c r="B681" i="5"/>
  <c r="A681" i="5"/>
  <c r="F680" i="5"/>
  <c r="E680" i="5"/>
  <c r="D680" i="5"/>
  <c r="C680" i="5"/>
  <c r="B680" i="5"/>
  <c r="A680" i="5"/>
  <c r="F679" i="5"/>
  <c r="E679" i="5"/>
  <c r="D679" i="5"/>
  <c r="C679" i="5"/>
  <c r="B679" i="5"/>
  <c r="A679" i="5"/>
  <c r="F678" i="5"/>
  <c r="E678" i="5"/>
  <c r="D678" i="5"/>
  <c r="C678" i="5"/>
  <c r="B678" i="5"/>
  <c r="A678" i="5"/>
  <c r="F677" i="5"/>
  <c r="E677" i="5"/>
  <c r="D677" i="5"/>
  <c r="C677" i="5"/>
  <c r="B677" i="5"/>
  <c r="A677" i="5"/>
  <c r="F676" i="5"/>
  <c r="E676" i="5"/>
  <c r="D676" i="5"/>
  <c r="C676" i="5"/>
  <c r="B676" i="5"/>
  <c r="A676" i="5"/>
  <c r="F675" i="5"/>
  <c r="E675" i="5"/>
  <c r="D675" i="5"/>
  <c r="C675" i="5"/>
  <c r="B675" i="5"/>
  <c r="A675" i="5"/>
  <c r="F674" i="5"/>
  <c r="E674" i="5"/>
  <c r="D674" i="5"/>
  <c r="C674" i="5"/>
  <c r="B674" i="5"/>
  <c r="A674" i="5"/>
  <c r="F673" i="5"/>
  <c r="E673" i="5"/>
  <c r="D673" i="5"/>
  <c r="C673" i="5"/>
  <c r="B673" i="5"/>
  <c r="A673" i="5"/>
  <c r="F672" i="5"/>
  <c r="E672" i="5"/>
  <c r="D672" i="5"/>
  <c r="C672" i="5"/>
  <c r="B672" i="5"/>
  <c r="A672" i="5"/>
  <c r="F671" i="5"/>
  <c r="E671" i="5"/>
  <c r="D671" i="5"/>
  <c r="C671" i="5"/>
  <c r="B671" i="5"/>
  <c r="A671" i="5"/>
  <c r="F670" i="5"/>
  <c r="E670" i="5"/>
  <c r="D670" i="5"/>
  <c r="C670" i="5"/>
  <c r="B670" i="5"/>
  <c r="A670" i="5"/>
  <c r="F669" i="5"/>
  <c r="E669" i="5"/>
  <c r="D669" i="5"/>
  <c r="C669" i="5"/>
  <c r="B669" i="5"/>
  <c r="A669" i="5"/>
  <c r="F668" i="5"/>
  <c r="E668" i="5"/>
  <c r="D668" i="5"/>
  <c r="C668" i="5"/>
  <c r="B668" i="5"/>
  <c r="A668" i="5"/>
  <c r="F667" i="5"/>
  <c r="E667" i="5"/>
  <c r="D667" i="5"/>
  <c r="C667" i="5"/>
  <c r="B667" i="5"/>
  <c r="A667" i="5"/>
  <c r="F666" i="5"/>
  <c r="E666" i="5"/>
  <c r="D666" i="5"/>
  <c r="C666" i="5"/>
  <c r="B666" i="5"/>
  <c r="A666" i="5"/>
  <c r="F665" i="5"/>
  <c r="E665" i="5"/>
  <c r="D665" i="5"/>
  <c r="C665" i="5"/>
  <c r="B665" i="5"/>
  <c r="A665" i="5"/>
  <c r="F664" i="5"/>
  <c r="E664" i="5"/>
  <c r="D664" i="5"/>
  <c r="C664" i="5"/>
  <c r="B664" i="5"/>
  <c r="A664" i="5"/>
  <c r="F663" i="5"/>
  <c r="E663" i="5"/>
  <c r="D663" i="5"/>
  <c r="C663" i="5"/>
  <c r="B663" i="5"/>
  <c r="A663" i="5"/>
  <c r="F662" i="5"/>
  <c r="E662" i="5"/>
  <c r="D662" i="5"/>
  <c r="C662" i="5"/>
  <c r="B662" i="5"/>
  <c r="A662" i="5"/>
  <c r="F661" i="5"/>
  <c r="E661" i="5"/>
  <c r="D661" i="5"/>
  <c r="C661" i="5"/>
  <c r="B661" i="5"/>
  <c r="A661" i="5"/>
  <c r="F660" i="5"/>
  <c r="E660" i="5"/>
  <c r="D660" i="5"/>
  <c r="C660" i="5"/>
  <c r="B660" i="5"/>
  <c r="A660" i="5"/>
  <c r="F659" i="5"/>
  <c r="E659" i="5"/>
  <c r="D659" i="5"/>
  <c r="C659" i="5"/>
  <c r="B659" i="5"/>
  <c r="A659" i="5"/>
  <c r="F658" i="5"/>
  <c r="E658" i="5"/>
  <c r="D658" i="5"/>
  <c r="C658" i="5"/>
  <c r="B658" i="5"/>
  <c r="A658" i="5"/>
  <c r="F657" i="5"/>
  <c r="E657" i="5"/>
  <c r="D657" i="5"/>
  <c r="C657" i="5"/>
  <c r="B657" i="5"/>
  <c r="A657" i="5"/>
  <c r="F656" i="5"/>
  <c r="E656" i="5"/>
  <c r="D656" i="5"/>
  <c r="C656" i="5"/>
  <c r="B656" i="5"/>
  <c r="A656" i="5"/>
  <c r="F655" i="5"/>
  <c r="E655" i="5"/>
  <c r="D655" i="5"/>
  <c r="C655" i="5"/>
  <c r="B655" i="5"/>
  <c r="A655" i="5"/>
  <c r="F654" i="5"/>
  <c r="E654" i="5"/>
  <c r="D654" i="5"/>
  <c r="C654" i="5"/>
  <c r="B654" i="5"/>
  <c r="A654" i="5"/>
  <c r="F653" i="5"/>
  <c r="E653" i="5"/>
  <c r="D653" i="5"/>
  <c r="C653" i="5"/>
  <c r="B653" i="5"/>
  <c r="A653" i="5"/>
  <c r="F652" i="5"/>
  <c r="E652" i="5"/>
  <c r="D652" i="5"/>
  <c r="C652" i="5"/>
  <c r="B652" i="5"/>
  <c r="A652" i="5"/>
  <c r="F651" i="5"/>
  <c r="E651" i="5"/>
  <c r="D651" i="5"/>
  <c r="C651" i="5"/>
  <c r="B651" i="5"/>
  <c r="A651" i="5"/>
  <c r="F650" i="5"/>
  <c r="E650" i="5"/>
  <c r="D650" i="5"/>
  <c r="C650" i="5"/>
  <c r="B650" i="5"/>
  <c r="A650" i="5"/>
  <c r="F649" i="5"/>
  <c r="E649" i="5"/>
  <c r="D649" i="5"/>
  <c r="C649" i="5"/>
  <c r="B649" i="5"/>
  <c r="A649" i="5"/>
  <c r="F648" i="5"/>
  <c r="E648" i="5"/>
  <c r="D648" i="5"/>
  <c r="C648" i="5"/>
  <c r="B648" i="5"/>
  <c r="A648" i="5"/>
  <c r="F647" i="5"/>
  <c r="E647" i="5"/>
  <c r="D647" i="5"/>
  <c r="C647" i="5"/>
  <c r="B647" i="5"/>
  <c r="A647" i="5"/>
  <c r="F646" i="5"/>
  <c r="E646" i="5"/>
  <c r="D646" i="5"/>
  <c r="C646" i="5"/>
  <c r="B646" i="5"/>
  <c r="A646" i="5"/>
  <c r="F645" i="5"/>
  <c r="E645" i="5"/>
  <c r="D645" i="5"/>
  <c r="C645" i="5"/>
  <c r="B645" i="5"/>
  <c r="A645" i="5"/>
  <c r="F644" i="5"/>
  <c r="E644" i="5"/>
  <c r="D644" i="5"/>
  <c r="C644" i="5"/>
  <c r="B644" i="5"/>
  <c r="A644" i="5"/>
  <c r="F643" i="5"/>
  <c r="E643" i="5"/>
  <c r="D643" i="5"/>
  <c r="C643" i="5"/>
  <c r="B643" i="5"/>
  <c r="A643" i="5"/>
  <c r="F642" i="5"/>
  <c r="E642" i="5"/>
  <c r="D642" i="5"/>
  <c r="C642" i="5"/>
  <c r="B642" i="5"/>
  <c r="A642" i="5"/>
  <c r="F641" i="5"/>
  <c r="E641" i="5"/>
  <c r="D641" i="5"/>
  <c r="C641" i="5"/>
  <c r="B641" i="5"/>
  <c r="A641" i="5"/>
  <c r="F640" i="5"/>
  <c r="E640" i="5"/>
  <c r="D640" i="5"/>
  <c r="C640" i="5"/>
  <c r="B640" i="5"/>
  <c r="A640" i="5"/>
  <c r="F639" i="5"/>
  <c r="E639" i="5"/>
  <c r="D639" i="5"/>
  <c r="C639" i="5"/>
  <c r="B639" i="5"/>
  <c r="A639" i="5"/>
  <c r="F638" i="5"/>
  <c r="E638" i="5"/>
  <c r="D638" i="5"/>
  <c r="C638" i="5"/>
  <c r="B638" i="5"/>
  <c r="A638" i="5"/>
  <c r="F637" i="5"/>
  <c r="E637" i="5"/>
  <c r="D637" i="5"/>
  <c r="C637" i="5"/>
  <c r="B637" i="5"/>
  <c r="A637" i="5"/>
  <c r="F636" i="5"/>
  <c r="E636" i="5"/>
  <c r="D636" i="5"/>
  <c r="C636" i="5"/>
  <c r="B636" i="5"/>
  <c r="A636" i="5"/>
  <c r="F635" i="5"/>
  <c r="E635" i="5"/>
  <c r="D635" i="5"/>
  <c r="C635" i="5"/>
  <c r="B635" i="5"/>
  <c r="A635" i="5"/>
  <c r="F634" i="5"/>
  <c r="E634" i="5"/>
  <c r="D634" i="5"/>
  <c r="C634" i="5"/>
  <c r="B634" i="5"/>
  <c r="A634" i="5"/>
  <c r="F633" i="5"/>
  <c r="E633" i="5"/>
  <c r="D633" i="5"/>
  <c r="C633" i="5"/>
  <c r="B633" i="5"/>
  <c r="A633" i="5"/>
  <c r="F632" i="5"/>
  <c r="E632" i="5"/>
  <c r="D632" i="5"/>
  <c r="C632" i="5"/>
  <c r="B632" i="5"/>
  <c r="A632" i="5"/>
  <c r="F631" i="5"/>
  <c r="E631" i="5"/>
  <c r="D631" i="5"/>
  <c r="C631" i="5"/>
  <c r="B631" i="5"/>
  <c r="A631" i="5"/>
  <c r="F630" i="5"/>
  <c r="E630" i="5"/>
  <c r="D630" i="5"/>
  <c r="C630" i="5"/>
  <c r="B630" i="5"/>
  <c r="A630" i="5"/>
  <c r="F629" i="5"/>
  <c r="E629" i="5"/>
  <c r="D629" i="5"/>
  <c r="C629" i="5"/>
  <c r="B629" i="5"/>
  <c r="A629" i="5"/>
  <c r="F628" i="5"/>
  <c r="E628" i="5"/>
  <c r="D628" i="5"/>
  <c r="C628" i="5"/>
  <c r="B628" i="5"/>
  <c r="A628" i="5"/>
  <c r="F627" i="5"/>
  <c r="E627" i="5"/>
  <c r="D627" i="5"/>
  <c r="C627" i="5"/>
  <c r="B627" i="5"/>
  <c r="A627" i="5"/>
  <c r="F626" i="5"/>
  <c r="E626" i="5"/>
  <c r="D626" i="5"/>
  <c r="C626" i="5"/>
  <c r="B626" i="5"/>
  <c r="A626" i="5"/>
  <c r="F625" i="5"/>
  <c r="E625" i="5"/>
  <c r="D625" i="5"/>
  <c r="C625" i="5"/>
  <c r="B625" i="5"/>
  <c r="A625" i="5"/>
  <c r="F624" i="5"/>
  <c r="E624" i="5"/>
  <c r="D624" i="5"/>
  <c r="C624" i="5"/>
  <c r="B624" i="5"/>
  <c r="A624" i="5"/>
  <c r="F623" i="5"/>
  <c r="E623" i="5"/>
  <c r="D623" i="5"/>
  <c r="C623" i="5"/>
  <c r="B623" i="5"/>
  <c r="A623" i="5"/>
  <c r="F622" i="5"/>
  <c r="E622" i="5"/>
  <c r="D622" i="5"/>
  <c r="C622" i="5"/>
  <c r="B622" i="5"/>
  <c r="A622" i="5"/>
  <c r="F621" i="5"/>
  <c r="E621" i="5"/>
  <c r="D621" i="5"/>
  <c r="C621" i="5"/>
  <c r="B621" i="5"/>
  <c r="A621" i="5"/>
  <c r="F620" i="5"/>
  <c r="E620" i="5"/>
  <c r="D620" i="5"/>
  <c r="C620" i="5"/>
  <c r="B620" i="5"/>
  <c r="A620" i="5"/>
  <c r="F619" i="5"/>
  <c r="E619" i="5"/>
  <c r="D619" i="5"/>
  <c r="C619" i="5"/>
  <c r="B619" i="5"/>
  <c r="A619" i="5"/>
  <c r="F618" i="5"/>
  <c r="E618" i="5"/>
  <c r="D618" i="5"/>
  <c r="C618" i="5"/>
  <c r="B618" i="5"/>
  <c r="A618" i="5"/>
  <c r="F617" i="5"/>
  <c r="E617" i="5"/>
  <c r="D617" i="5"/>
  <c r="C617" i="5"/>
  <c r="B617" i="5"/>
  <c r="A617" i="5"/>
  <c r="F616" i="5"/>
  <c r="E616" i="5"/>
  <c r="D616" i="5"/>
  <c r="C616" i="5"/>
  <c r="B616" i="5"/>
  <c r="A616" i="5"/>
  <c r="F615" i="5"/>
  <c r="E615" i="5"/>
  <c r="D615" i="5"/>
  <c r="C615" i="5"/>
  <c r="B615" i="5"/>
  <c r="A615" i="5"/>
  <c r="F614" i="5"/>
  <c r="E614" i="5"/>
  <c r="D614" i="5"/>
  <c r="C614" i="5"/>
  <c r="B614" i="5"/>
  <c r="A614" i="5"/>
  <c r="F613" i="5"/>
  <c r="E613" i="5"/>
  <c r="D613" i="5"/>
  <c r="C613" i="5"/>
  <c r="B613" i="5"/>
  <c r="A613" i="5"/>
  <c r="F612" i="5"/>
  <c r="E612" i="5"/>
  <c r="D612" i="5"/>
  <c r="C612" i="5"/>
  <c r="B612" i="5"/>
  <c r="A612" i="5"/>
  <c r="F611" i="5"/>
  <c r="E611" i="5"/>
  <c r="D611" i="5"/>
  <c r="C611" i="5"/>
  <c r="B611" i="5"/>
  <c r="A611" i="5"/>
  <c r="F610" i="5"/>
  <c r="E610" i="5"/>
  <c r="D610" i="5"/>
  <c r="C610" i="5"/>
  <c r="B610" i="5"/>
  <c r="A610" i="5"/>
  <c r="F609" i="5"/>
  <c r="E609" i="5"/>
  <c r="D609" i="5"/>
  <c r="C609" i="5"/>
  <c r="B609" i="5"/>
  <c r="A609" i="5"/>
  <c r="F608" i="5"/>
  <c r="E608" i="5"/>
  <c r="D608" i="5"/>
  <c r="C608" i="5"/>
  <c r="B608" i="5"/>
  <c r="A608" i="5"/>
  <c r="F607" i="5"/>
  <c r="E607" i="5"/>
  <c r="D607" i="5"/>
  <c r="C607" i="5"/>
  <c r="B607" i="5"/>
  <c r="A607" i="5"/>
  <c r="F606" i="5"/>
  <c r="E606" i="5"/>
  <c r="D606" i="5"/>
  <c r="C606" i="5"/>
  <c r="B606" i="5"/>
  <c r="A606" i="5"/>
  <c r="F605" i="5"/>
  <c r="E605" i="5"/>
  <c r="D605" i="5"/>
  <c r="C605" i="5"/>
  <c r="B605" i="5"/>
  <c r="A605" i="5"/>
  <c r="F604" i="5"/>
  <c r="E604" i="5"/>
  <c r="D604" i="5"/>
  <c r="C604" i="5"/>
  <c r="B604" i="5"/>
  <c r="A604" i="5"/>
  <c r="F603" i="5"/>
  <c r="E603" i="5"/>
  <c r="D603" i="5"/>
  <c r="C603" i="5"/>
  <c r="B603" i="5"/>
  <c r="A603" i="5"/>
  <c r="F602" i="5"/>
  <c r="E602" i="5"/>
  <c r="D602" i="5"/>
  <c r="C602" i="5"/>
  <c r="B602" i="5"/>
  <c r="A602" i="5"/>
  <c r="F601" i="5"/>
  <c r="E601" i="5"/>
  <c r="D601" i="5"/>
  <c r="C601" i="5"/>
  <c r="B601" i="5"/>
  <c r="A601" i="5"/>
  <c r="F600" i="5"/>
  <c r="E600" i="5"/>
  <c r="D600" i="5"/>
  <c r="C600" i="5"/>
  <c r="B600" i="5"/>
  <c r="A600" i="5"/>
  <c r="F599" i="5"/>
  <c r="E599" i="5"/>
  <c r="D599" i="5"/>
  <c r="C599" i="5"/>
  <c r="B599" i="5"/>
  <c r="A599" i="5"/>
  <c r="F598" i="5"/>
  <c r="E598" i="5"/>
  <c r="D598" i="5"/>
  <c r="C598" i="5"/>
  <c r="B598" i="5"/>
  <c r="A598" i="5"/>
  <c r="F597" i="5"/>
  <c r="E597" i="5"/>
  <c r="D597" i="5"/>
  <c r="C597" i="5"/>
  <c r="B597" i="5"/>
  <c r="A597" i="5"/>
  <c r="F596" i="5"/>
  <c r="E596" i="5"/>
  <c r="D596" i="5"/>
  <c r="C596" i="5"/>
  <c r="B596" i="5"/>
  <c r="A596" i="5"/>
  <c r="F595" i="5"/>
  <c r="E595" i="5"/>
  <c r="D595" i="5"/>
  <c r="C595" i="5"/>
  <c r="B595" i="5"/>
  <c r="A595" i="5"/>
  <c r="F594" i="5"/>
  <c r="E594" i="5"/>
  <c r="D594" i="5"/>
  <c r="C594" i="5"/>
  <c r="B594" i="5"/>
  <c r="A594" i="5"/>
  <c r="F593" i="5"/>
  <c r="E593" i="5"/>
  <c r="D593" i="5"/>
  <c r="C593" i="5"/>
  <c r="B593" i="5"/>
  <c r="A593" i="5"/>
  <c r="F592" i="5"/>
  <c r="E592" i="5"/>
  <c r="D592" i="5"/>
  <c r="C592" i="5"/>
  <c r="B592" i="5"/>
  <c r="A592" i="5"/>
  <c r="F591" i="5"/>
  <c r="E591" i="5"/>
  <c r="D591" i="5"/>
  <c r="C591" i="5"/>
  <c r="B591" i="5"/>
  <c r="A591" i="5"/>
  <c r="F590" i="5"/>
  <c r="E590" i="5"/>
  <c r="D590" i="5"/>
  <c r="C590" i="5"/>
  <c r="B590" i="5"/>
  <c r="A590" i="5"/>
  <c r="F589" i="5"/>
  <c r="E589" i="5"/>
  <c r="D589" i="5"/>
  <c r="C589" i="5"/>
  <c r="B589" i="5"/>
  <c r="A589" i="5"/>
  <c r="F588" i="5"/>
  <c r="E588" i="5"/>
  <c r="D588" i="5"/>
  <c r="C588" i="5"/>
  <c r="B588" i="5"/>
  <c r="A588" i="5"/>
  <c r="F587" i="5"/>
  <c r="E587" i="5"/>
  <c r="D587" i="5"/>
  <c r="C587" i="5"/>
  <c r="B587" i="5"/>
  <c r="A587" i="5"/>
  <c r="F586" i="5"/>
  <c r="E586" i="5"/>
  <c r="D586" i="5"/>
  <c r="C586" i="5"/>
  <c r="B586" i="5"/>
  <c r="A586" i="5"/>
  <c r="F585" i="5"/>
  <c r="E585" i="5"/>
  <c r="D585" i="5"/>
  <c r="C585" i="5"/>
  <c r="B585" i="5"/>
  <c r="A585" i="5"/>
  <c r="F584" i="5"/>
  <c r="E584" i="5"/>
  <c r="D584" i="5"/>
  <c r="C584" i="5"/>
  <c r="B584" i="5"/>
  <c r="A584" i="5"/>
  <c r="F583" i="5"/>
  <c r="E583" i="5"/>
  <c r="D583" i="5"/>
  <c r="C583" i="5"/>
  <c r="B583" i="5"/>
  <c r="A583" i="5"/>
  <c r="F582" i="5"/>
  <c r="E582" i="5"/>
  <c r="D582" i="5"/>
  <c r="C582" i="5"/>
  <c r="B582" i="5"/>
  <c r="A582" i="5"/>
  <c r="F581" i="5"/>
  <c r="E581" i="5"/>
  <c r="D581" i="5"/>
  <c r="C581" i="5"/>
  <c r="B581" i="5"/>
  <c r="A581" i="5"/>
  <c r="F580" i="5"/>
  <c r="E580" i="5"/>
  <c r="D580" i="5"/>
  <c r="C580" i="5"/>
  <c r="B580" i="5"/>
  <c r="A580" i="5"/>
  <c r="F579" i="5"/>
  <c r="E579" i="5"/>
  <c r="D579" i="5"/>
  <c r="C579" i="5"/>
  <c r="B579" i="5"/>
  <c r="A579" i="5"/>
  <c r="F578" i="5"/>
  <c r="E578" i="5"/>
  <c r="D578" i="5"/>
  <c r="C578" i="5"/>
  <c r="B578" i="5"/>
  <c r="A578" i="5"/>
  <c r="F577" i="5"/>
  <c r="E577" i="5"/>
  <c r="D577" i="5"/>
  <c r="C577" i="5"/>
  <c r="B577" i="5"/>
  <c r="A577" i="5"/>
  <c r="F576" i="5"/>
  <c r="E576" i="5"/>
  <c r="D576" i="5"/>
  <c r="C576" i="5"/>
  <c r="B576" i="5"/>
  <c r="A576" i="5"/>
  <c r="F575" i="5"/>
  <c r="E575" i="5"/>
  <c r="D575" i="5"/>
  <c r="C575" i="5"/>
  <c r="B575" i="5"/>
  <c r="A575" i="5"/>
  <c r="F574" i="5"/>
  <c r="E574" i="5"/>
  <c r="D574" i="5"/>
  <c r="C574" i="5"/>
  <c r="B574" i="5"/>
  <c r="A574" i="5"/>
  <c r="F573" i="5"/>
  <c r="E573" i="5"/>
  <c r="D573" i="5"/>
  <c r="C573" i="5"/>
  <c r="B573" i="5"/>
  <c r="A573" i="5"/>
  <c r="F572" i="5"/>
  <c r="E572" i="5"/>
  <c r="D572" i="5"/>
  <c r="C572" i="5"/>
  <c r="B572" i="5"/>
  <c r="A572" i="5"/>
  <c r="F571" i="5"/>
  <c r="E571" i="5"/>
  <c r="D571" i="5"/>
  <c r="C571" i="5"/>
  <c r="B571" i="5"/>
  <c r="A571" i="5"/>
  <c r="F570" i="5"/>
  <c r="E570" i="5"/>
  <c r="D570" i="5"/>
  <c r="C570" i="5"/>
  <c r="B570" i="5"/>
  <c r="A570" i="5"/>
  <c r="F569" i="5"/>
  <c r="E569" i="5"/>
  <c r="D569" i="5"/>
  <c r="C569" i="5"/>
  <c r="B569" i="5"/>
  <c r="A569" i="5"/>
  <c r="F568" i="5"/>
  <c r="E568" i="5"/>
  <c r="D568" i="5"/>
  <c r="C568" i="5"/>
  <c r="B568" i="5"/>
  <c r="A568" i="5"/>
  <c r="F567" i="5"/>
  <c r="E567" i="5"/>
  <c r="D567" i="5"/>
  <c r="C567" i="5"/>
  <c r="B567" i="5"/>
  <c r="A567" i="5"/>
  <c r="F566" i="5"/>
  <c r="E566" i="5"/>
  <c r="D566" i="5"/>
  <c r="C566" i="5"/>
  <c r="B566" i="5"/>
  <c r="A566" i="5"/>
  <c r="F565" i="5"/>
  <c r="E565" i="5"/>
  <c r="D565" i="5"/>
  <c r="C565" i="5"/>
  <c r="B565" i="5"/>
  <c r="A565" i="5"/>
  <c r="F564" i="5"/>
  <c r="E564" i="5"/>
  <c r="D564" i="5"/>
  <c r="C564" i="5"/>
  <c r="B564" i="5"/>
  <c r="A564" i="5"/>
  <c r="F563" i="5"/>
  <c r="E563" i="5"/>
  <c r="D563" i="5"/>
  <c r="C563" i="5"/>
  <c r="B563" i="5"/>
  <c r="A563" i="5"/>
  <c r="F562" i="5"/>
  <c r="E562" i="5"/>
  <c r="D562" i="5"/>
  <c r="C562" i="5"/>
  <c r="B562" i="5"/>
  <c r="A562" i="5"/>
  <c r="F561" i="5"/>
  <c r="E561" i="5"/>
  <c r="D561" i="5"/>
  <c r="C561" i="5"/>
  <c r="B561" i="5"/>
  <c r="A561" i="5"/>
  <c r="F560" i="5"/>
  <c r="E560" i="5"/>
  <c r="D560" i="5"/>
  <c r="C560" i="5"/>
  <c r="B560" i="5"/>
  <c r="A560" i="5"/>
  <c r="F559" i="5"/>
  <c r="E559" i="5"/>
  <c r="D559" i="5"/>
  <c r="C559" i="5"/>
  <c r="B559" i="5"/>
  <c r="A559" i="5"/>
  <c r="F558" i="5"/>
  <c r="E558" i="5"/>
  <c r="D558" i="5"/>
  <c r="C558" i="5"/>
  <c r="B558" i="5"/>
  <c r="A558" i="5"/>
  <c r="F557" i="5"/>
  <c r="E557" i="5"/>
  <c r="D557" i="5"/>
  <c r="C557" i="5"/>
  <c r="B557" i="5"/>
  <c r="A557" i="5"/>
  <c r="F556" i="5"/>
  <c r="E556" i="5"/>
  <c r="D556" i="5"/>
  <c r="C556" i="5"/>
  <c r="B556" i="5"/>
  <c r="A556" i="5"/>
  <c r="F555" i="5"/>
  <c r="E555" i="5"/>
  <c r="D555" i="5"/>
  <c r="C555" i="5"/>
  <c r="B555" i="5"/>
  <c r="A555" i="5"/>
  <c r="F554" i="5"/>
  <c r="E554" i="5"/>
  <c r="D554" i="5"/>
  <c r="C554" i="5"/>
  <c r="B554" i="5"/>
  <c r="A554" i="5"/>
  <c r="F553" i="5"/>
  <c r="E553" i="5"/>
  <c r="D553" i="5"/>
  <c r="C553" i="5"/>
  <c r="B553" i="5"/>
  <c r="A553" i="5"/>
  <c r="F552" i="5"/>
  <c r="E552" i="5"/>
  <c r="D552" i="5"/>
  <c r="C552" i="5"/>
  <c r="B552" i="5"/>
  <c r="A552" i="5"/>
  <c r="F551" i="5"/>
  <c r="E551" i="5"/>
  <c r="D551" i="5"/>
  <c r="C551" i="5"/>
  <c r="B551" i="5"/>
  <c r="A551" i="5"/>
  <c r="F550" i="5"/>
  <c r="E550" i="5"/>
  <c r="D550" i="5"/>
  <c r="C550" i="5"/>
  <c r="B550" i="5"/>
  <c r="A550" i="5"/>
  <c r="F549" i="5"/>
  <c r="E549" i="5"/>
  <c r="D549" i="5"/>
  <c r="C549" i="5"/>
  <c r="B549" i="5"/>
  <c r="A549" i="5"/>
  <c r="F548" i="5"/>
  <c r="E548" i="5"/>
  <c r="D548" i="5"/>
  <c r="C548" i="5"/>
  <c r="B548" i="5"/>
  <c r="A548" i="5"/>
  <c r="F547" i="5"/>
  <c r="E547" i="5"/>
  <c r="D547" i="5"/>
  <c r="C547" i="5"/>
  <c r="B547" i="5"/>
  <c r="A547" i="5"/>
  <c r="F546" i="5"/>
  <c r="E546" i="5"/>
  <c r="D546" i="5"/>
  <c r="C546" i="5"/>
  <c r="B546" i="5"/>
  <c r="A546" i="5"/>
  <c r="F545" i="5"/>
  <c r="E545" i="5"/>
  <c r="D545" i="5"/>
  <c r="C545" i="5"/>
  <c r="B545" i="5"/>
  <c r="A545" i="5"/>
  <c r="F544" i="5"/>
  <c r="E544" i="5"/>
  <c r="D544" i="5"/>
  <c r="C544" i="5"/>
  <c r="B544" i="5"/>
  <c r="A544" i="5"/>
  <c r="F543" i="5"/>
  <c r="E543" i="5"/>
  <c r="D543" i="5"/>
  <c r="C543" i="5"/>
  <c r="B543" i="5"/>
  <c r="A543" i="5"/>
  <c r="F542" i="5"/>
  <c r="E542" i="5"/>
  <c r="D542" i="5"/>
  <c r="C542" i="5"/>
  <c r="B542" i="5"/>
  <c r="A542" i="5"/>
  <c r="F541" i="5"/>
  <c r="E541" i="5"/>
  <c r="D541" i="5"/>
  <c r="C541" i="5"/>
  <c r="B541" i="5"/>
  <c r="A541" i="5"/>
  <c r="F540" i="5"/>
  <c r="E540" i="5"/>
  <c r="D540" i="5"/>
  <c r="C540" i="5"/>
  <c r="B540" i="5"/>
  <c r="A540" i="5"/>
  <c r="F539" i="5"/>
  <c r="E539" i="5"/>
  <c r="D539" i="5"/>
  <c r="C539" i="5"/>
  <c r="B539" i="5"/>
  <c r="A539" i="5"/>
  <c r="F538" i="5"/>
  <c r="E538" i="5"/>
  <c r="D538" i="5"/>
  <c r="C538" i="5"/>
  <c r="B538" i="5"/>
  <c r="A538" i="5"/>
  <c r="F537" i="5"/>
  <c r="E537" i="5"/>
  <c r="D537" i="5"/>
  <c r="C537" i="5"/>
  <c r="B537" i="5"/>
  <c r="A537" i="5"/>
  <c r="F536" i="5"/>
  <c r="E536" i="5"/>
  <c r="D536" i="5"/>
  <c r="C536" i="5"/>
  <c r="B536" i="5"/>
  <c r="A536" i="5"/>
  <c r="F535" i="5"/>
  <c r="E535" i="5"/>
  <c r="D535" i="5"/>
  <c r="C535" i="5"/>
  <c r="B535" i="5"/>
  <c r="A535" i="5"/>
  <c r="F534" i="5"/>
  <c r="E534" i="5"/>
  <c r="D534" i="5"/>
  <c r="C534" i="5"/>
  <c r="B534" i="5"/>
  <c r="A534" i="5"/>
  <c r="F533" i="5"/>
  <c r="E533" i="5"/>
  <c r="D533" i="5"/>
  <c r="C533" i="5"/>
  <c r="B533" i="5"/>
  <c r="A533" i="5"/>
  <c r="F532" i="5"/>
  <c r="E532" i="5"/>
  <c r="D532" i="5"/>
  <c r="C532" i="5"/>
  <c r="B532" i="5"/>
  <c r="A532" i="5"/>
  <c r="F531" i="5"/>
  <c r="E531" i="5"/>
  <c r="D531" i="5"/>
  <c r="C531" i="5"/>
  <c r="B531" i="5"/>
  <c r="A531" i="5"/>
  <c r="F530" i="5"/>
  <c r="E530" i="5"/>
  <c r="D530" i="5"/>
  <c r="C530" i="5"/>
  <c r="B530" i="5"/>
  <c r="A530" i="5"/>
  <c r="F529" i="5"/>
  <c r="E529" i="5"/>
  <c r="D529" i="5"/>
  <c r="C529" i="5"/>
  <c r="B529" i="5"/>
  <c r="A529" i="5"/>
  <c r="F528" i="5"/>
  <c r="E528" i="5"/>
  <c r="D528" i="5"/>
  <c r="C528" i="5"/>
  <c r="B528" i="5"/>
  <c r="A528" i="5"/>
  <c r="F527" i="5"/>
  <c r="E527" i="5"/>
  <c r="D527" i="5"/>
  <c r="C527" i="5"/>
  <c r="B527" i="5"/>
  <c r="A527" i="5"/>
  <c r="F526" i="5"/>
  <c r="E526" i="5"/>
  <c r="D526" i="5"/>
  <c r="C526" i="5"/>
  <c r="B526" i="5"/>
  <c r="A526" i="5"/>
  <c r="F525" i="5"/>
  <c r="E525" i="5"/>
  <c r="D525" i="5"/>
  <c r="C525" i="5"/>
  <c r="B525" i="5"/>
  <c r="A525" i="5"/>
  <c r="F524" i="5"/>
  <c r="E524" i="5"/>
  <c r="D524" i="5"/>
  <c r="C524" i="5"/>
  <c r="B524" i="5"/>
  <c r="A524" i="5"/>
  <c r="F523" i="5"/>
  <c r="E523" i="5"/>
  <c r="D523" i="5"/>
  <c r="C523" i="5"/>
  <c r="B523" i="5"/>
  <c r="A523" i="5"/>
  <c r="F522" i="5"/>
  <c r="E522" i="5"/>
  <c r="D522" i="5"/>
  <c r="C522" i="5"/>
  <c r="B522" i="5"/>
  <c r="A522" i="5"/>
  <c r="F521" i="5"/>
  <c r="E521" i="5"/>
  <c r="D521" i="5"/>
  <c r="C521" i="5"/>
  <c r="B521" i="5"/>
  <c r="A521" i="5"/>
  <c r="F520" i="5"/>
  <c r="E520" i="5"/>
  <c r="D520" i="5"/>
  <c r="C520" i="5"/>
  <c r="B520" i="5"/>
  <c r="A520" i="5"/>
  <c r="F519" i="5"/>
  <c r="E519" i="5"/>
  <c r="D519" i="5"/>
  <c r="C519" i="5"/>
  <c r="B519" i="5"/>
  <c r="A519" i="5"/>
  <c r="F518" i="5"/>
  <c r="E518" i="5"/>
  <c r="D518" i="5"/>
  <c r="C518" i="5"/>
  <c r="B518" i="5"/>
  <c r="A518" i="5"/>
  <c r="F517" i="5"/>
  <c r="E517" i="5"/>
  <c r="D517" i="5"/>
  <c r="C517" i="5"/>
  <c r="B517" i="5"/>
  <c r="A517" i="5"/>
  <c r="F516" i="5"/>
  <c r="E516" i="5"/>
  <c r="D516" i="5"/>
  <c r="C516" i="5"/>
  <c r="B516" i="5"/>
  <c r="A516" i="5"/>
  <c r="F515" i="5"/>
  <c r="E515" i="5"/>
  <c r="D515" i="5"/>
  <c r="C515" i="5"/>
  <c r="B515" i="5"/>
  <c r="A515" i="5"/>
  <c r="F514" i="5"/>
  <c r="E514" i="5"/>
  <c r="D514" i="5"/>
  <c r="C514" i="5"/>
  <c r="B514" i="5"/>
  <c r="A514" i="5"/>
  <c r="F513" i="5"/>
  <c r="E513" i="5"/>
  <c r="D513" i="5"/>
  <c r="C513" i="5"/>
  <c r="B513" i="5"/>
  <c r="A513" i="5"/>
  <c r="F512" i="5"/>
  <c r="E512" i="5"/>
  <c r="D512" i="5"/>
  <c r="C512" i="5"/>
  <c r="B512" i="5"/>
  <c r="A512" i="5"/>
  <c r="F511" i="5"/>
  <c r="E511" i="5"/>
  <c r="D511" i="5"/>
  <c r="C511" i="5"/>
  <c r="B511" i="5"/>
  <c r="A511" i="5"/>
  <c r="F510" i="5"/>
  <c r="E510" i="5"/>
  <c r="D510" i="5"/>
  <c r="C510" i="5"/>
  <c r="B510" i="5"/>
  <c r="A510" i="5"/>
  <c r="F509" i="5"/>
  <c r="E509" i="5"/>
  <c r="D509" i="5"/>
  <c r="C509" i="5"/>
  <c r="B509" i="5"/>
  <c r="A509" i="5"/>
  <c r="F508" i="5"/>
  <c r="E508" i="5"/>
  <c r="D508" i="5"/>
  <c r="C508" i="5"/>
  <c r="B508" i="5"/>
  <c r="A508" i="5"/>
  <c r="F507" i="5"/>
  <c r="E507" i="5"/>
  <c r="D507" i="5"/>
  <c r="C507" i="5"/>
  <c r="B507" i="5"/>
  <c r="A507" i="5"/>
  <c r="F506" i="5"/>
  <c r="E506" i="5"/>
  <c r="D506" i="5"/>
  <c r="C506" i="5"/>
  <c r="B506" i="5"/>
  <c r="A506" i="5"/>
  <c r="F505" i="5"/>
  <c r="E505" i="5"/>
  <c r="D505" i="5"/>
  <c r="C505" i="5"/>
  <c r="B505" i="5"/>
  <c r="A505" i="5"/>
  <c r="F504" i="5"/>
  <c r="E504" i="5"/>
  <c r="D504" i="5"/>
  <c r="C504" i="5"/>
  <c r="B504" i="5"/>
  <c r="A504" i="5"/>
  <c r="F503" i="5"/>
  <c r="E503" i="5"/>
  <c r="D503" i="5"/>
  <c r="C503" i="5"/>
  <c r="B503" i="5"/>
  <c r="A503" i="5"/>
  <c r="F502" i="5"/>
  <c r="E502" i="5"/>
  <c r="D502" i="5"/>
  <c r="C502" i="5"/>
  <c r="B502" i="5"/>
  <c r="A502" i="5"/>
  <c r="F501" i="5"/>
  <c r="E501" i="5"/>
  <c r="D501" i="5"/>
  <c r="C501" i="5"/>
  <c r="B501" i="5"/>
  <c r="A501" i="5"/>
  <c r="F500" i="5"/>
  <c r="E500" i="5"/>
  <c r="D500" i="5"/>
  <c r="C500" i="5"/>
  <c r="B500" i="5"/>
  <c r="A500" i="5"/>
  <c r="F499" i="5"/>
  <c r="E499" i="5"/>
  <c r="D499" i="5"/>
  <c r="C499" i="5"/>
  <c r="B499" i="5"/>
  <c r="A499" i="5"/>
  <c r="F498" i="5"/>
  <c r="E498" i="5"/>
  <c r="D498" i="5"/>
  <c r="C498" i="5"/>
  <c r="B498" i="5"/>
  <c r="A498" i="5"/>
  <c r="F497" i="5"/>
  <c r="E497" i="5"/>
  <c r="D497" i="5"/>
  <c r="C497" i="5"/>
  <c r="B497" i="5"/>
  <c r="A497" i="5"/>
  <c r="F496" i="5"/>
  <c r="E496" i="5"/>
  <c r="D496" i="5"/>
  <c r="C496" i="5"/>
  <c r="B496" i="5"/>
  <c r="A496" i="5"/>
  <c r="F495" i="5"/>
  <c r="E495" i="5"/>
  <c r="D495" i="5"/>
  <c r="C495" i="5"/>
  <c r="B495" i="5"/>
  <c r="A495" i="5"/>
  <c r="F494" i="5"/>
  <c r="E494" i="5"/>
  <c r="D494" i="5"/>
  <c r="C494" i="5"/>
  <c r="B494" i="5"/>
  <c r="A494" i="5"/>
  <c r="F493" i="5"/>
  <c r="E493" i="5"/>
  <c r="D493" i="5"/>
  <c r="C493" i="5"/>
  <c r="B493" i="5"/>
  <c r="A493" i="5"/>
  <c r="F492" i="5"/>
  <c r="E492" i="5"/>
  <c r="D492" i="5"/>
  <c r="C492" i="5"/>
  <c r="B492" i="5"/>
  <c r="A492" i="5"/>
  <c r="F491" i="5"/>
  <c r="E491" i="5"/>
  <c r="D491" i="5"/>
  <c r="C491" i="5"/>
  <c r="B491" i="5"/>
  <c r="A491" i="5"/>
  <c r="F490" i="5"/>
  <c r="E490" i="5"/>
  <c r="D490" i="5"/>
  <c r="C490" i="5"/>
  <c r="B490" i="5"/>
  <c r="A490" i="5"/>
  <c r="F489" i="5"/>
  <c r="E489" i="5"/>
  <c r="D489" i="5"/>
  <c r="C489" i="5"/>
  <c r="B489" i="5"/>
  <c r="A489" i="5"/>
  <c r="F488" i="5"/>
  <c r="E488" i="5"/>
  <c r="D488" i="5"/>
  <c r="C488" i="5"/>
  <c r="B488" i="5"/>
  <c r="A488" i="5"/>
  <c r="F487" i="5"/>
  <c r="E487" i="5"/>
  <c r="D487" i="5"/>
  <c r="C487" i="5"/>
  <c r="B487" i="5"/>
  <c r="A487" i="5"/>
  <c r="F486" i="5"/>
  <c r="E486" i="5"/>
  <c r="D486" i="5"/>
  <c r="C486" i="5"/>
  <c r="B486" i="5"/>
  <c r="A486" i="5"/>
  <c r="F485" i="5"/>
  <c r="E485" i="5"/>
  <c r="D485" i="5"/>
  <c r="C485" i="5"/>
  <c r="B485" i="5"/>
  <c r="A485" i="5"/>
  <c r="F484" i="5"/>
  <c r="E484" i="5"/>
  <c r="D484" i="5"/>
  <c r="C484" i="5"/>
  <c r="B484" i="5"/>
  <c r="A484" i="5"/>
  <c r="F483" i="5"/>
  <c r="E483" i="5"/>
  <c r="D483" i="5"/>
  <c r="C483" i="5"/>
  <c r="B483" i="5"/>
  <c r="A483" i="5"/>
  <c r="F482" i="5"/>
  <c r="E482" i="5"/>
  <c r="D482" i="5"/>
  <c r="C482" i="5"/>
  <c r="B482" i="5"/>
  <c r="A482" i="5"/>
  <c r="F481" i="5"/>
  <c r="E481" i="5"/>
  <c r="D481" i="5"/>
  <c r="C481" i="5"/>
  <c r="B481" i="5"/>
  <c r="A481" i="5"/>
  <c r="F480" i="5"/>
  <c r="E480" i="5"/>
  <c r="D480" i="5"/>
  <c r="C480" i="5"/>
  <c r="B480" i="5"/>
  <c r="A480" i="5"/>
  <c r="F479" i="5"/>
  <c r="E479" i="5"/>
  <c r="D479" i="5"/>
  <c r="C479" i="5"/>
  <c r="B479" i="5"/>
  <c r="A479" i="5"/>
  <c r="F478" i="5"/>
  <c r="E478" i="5"/>
  <c r="D478" i="5"/>
  <c r="C478" i="5"/>
  <c r="B478" i="5"/>
  <c r="A478" i="5"/>
  <c r="F477" i="5"/>
  <c r="E477" i="5"/>
  <c r="D477" i="5"/>
  <c r="C477" i="5"/>
  <c r="B477" i="5"/>
  <c r="A477" i="5"/>
  <c r="F476" i="5"/>
  <c r="E476" i="5"/>
  <c r="D476" i="5"/>
  <c r="C476" i="5"/>
  <c r="B476" i="5"/>
  <c r="A476" i="5"/>
  <c r="F475" i="5"/>
  <c r="E475" i="5"/>
  <c r="D475" i="5"/>
  <c r="C475" i="5"/>
  <c r="B475" i="5"/>
  <c r="A475" i="5"/>
  <c r="F474" i="5"/>
  <c r="E474" i="5"/>
  <c r="D474" i="5"/>
  <c r="C474" i="5"/>
  <c r="B474" i="5"/>
  <c r="A474" i="5"/>
  <c r="F473" i="5"/>
  <c r="E473" i="5"/>
  <c r="D473" i="5"/>
  <c r="C473" i="5"/>
  <c r="B473" i="5"/>
  <c r="A473" i="5"/>
  <c r="F472" i="5"/>
  <c r="E472" i="5"/>
  <c r="D472" i="5"/>
  <c r="C472" i="5"/>
  <c r="B472" i="5"/>
  <c r="A472" i="5"/>
  <c r="F471" i="5"/>
  <c r="E471" i="5"/>
  <c r="D471" i="5"/>
  <c r="C471" i="5"/>
  <c r="B471" i="5"/>
  <c r="A471" i="5"/>
  <c r="F470" i="5"/>
  <c r="E470" i="5"/>
  <c r="D470" i="5"/>
  <c r="C470" i="5"/>
  <c r="B470" i="5"/>
  <c r="A470" i="5"/>
  <c r="F469" i="5"/>
  <c r="E469" i="5"/>
  <c r="D469" i="5"/>
  <c r="C469" i="5"/>
  <c r="B469" i="5"/>
  <c r="A469" i="5"/>
  <c r="F468" i="5"/>
  <c r="E468" i="5"/>
  <c r="D468" i="5"/>
  <c r="C468" i="5"/>
  <c r="B468" i="5"/>
  <c r="A468" i="5"/>
  <c r="F467" i="5"/>
  <c r="E467" i="5"/>
  <c r="D467" i="5"/>
  <c r="C467" i="5"/>
  <c r="B467" i="5"/>
  <c r="A467" i="5"/>
  <c r="F466" i="5"/>
  <c r="E466" i="5"/>
  <c r="D466" i="5"/>
  <c r="C466" i="5"/>
  <c r="B466" i="5"/>
  <c r="A466" i="5"/>
  <c r="F465" i="5"/>
  <c r="E465" i="5"/>
  <c r="D465" i="5"/>
  <c r="C465" i="5"/>
  <c r="B465" i="5"/>
  <c r="A465" i="5"/>
  <c r="F464" i="5"/>
  <c r="E464" i="5"/>
  <c r="D464" i="5"/>
  <c r="C464" i="5"/>
  <c r="B464" i="5"/>
  <c r="A464" i="5"/>
  <c r="F463" i="5"/>
  <c r="E463" i="5"/>
  <c r="D463" i="5"/>
  <c r="C463" i="5"/>
  <c r="B463" i="5"/>
  <c r="A463" i="5"/>
  <c r="F462" i="5"/>
  <c r="E462" i="5"/>
  <c r="D462" i="5"/>
  <c r="C462" i="5"/>
  <c r="B462" i="5"/>
  <c r="A462" i="5"/>
  <c r="F461" i="5"/>
  <c r="E461" i="5"/>
  <c r="D461" i="5"/>
  <c r="C461" i="5"/>
  <c r="B461" i="5"/>
  <c r="A461" i="5"/>
  <c r="F460" i="5"/>
  <c r="E460" i="5"/>
  <c r="D460" i="5"/>
  <c r="C460" i="5"/>
  <c r="B460" i="5"/>
  <c r="A460" i="5"/>
  <c r="F459" i="5"/>
  <c r="E459" i="5"/>
  <c r="D459" i="5"/>
  <c r="C459" i="5"/>
  <c r="B459" i="5"/>
  <c r="A459" i="5"/>
  <c r="F458" i="5"/>
  <c r="E458" i="5"/>
  <c r="D458" i="5"/>
  <c r="C458" i="5"/>
  <c r="B458" i="5"/>
  <c r="A458" i="5"/>
  <c r="F457" i="5"/>
  <c r="E457" i="5"/>
  <c r="D457" i="5"/>
  <c r="C457" i="5"/>
  <c r="B457" i="5"/>
  <c r="A457" i="5"/>
  <c r="F456" i="5"/>
  <c r="E456" i="5"/>
  <c r="D456" i="5"/>
  <c r="C456" i="5"/>
  <c r="B456" i="5"/>
  <c r="A456" i="5"/>
  <c r="F455" i="5"/>
  <c r="E455" i="5"/>
  <c r="D455" i="5"/>
  <c r="C455" i="5"/>
  <c r="B455" i="5"/>
  <c r="A455" i="5"/>
  <c r="F454" i="5"/>
  <c r="E454" i="5"/>
  <c r="D454" i="5"/>
  <c r="C454" i="5"/>
  <c r="B454" i="5"/>
  <c r="A454" i="5"/>
  <c r="F453" i="5"/>
  <c r="E453" i="5"/>
  <c r="D453" i="5"/>
  <c r="C453" i="5"/>
  <c r="B453" i="5"/>
  <c r="A453" i="5"/>
  <c r="F452" i="5"/>
  <c r="E452" i="5"/>
  <c r="D452" i="5"/>
  <c r="C452" i="5"/>
  <c r="B452" i="5"/>
  <c r="A452" i="5"/>
  <c r="F451" i="5"/>
  <c r="E451" i="5"/>
  <c r="D451" i="5"/>
  <c r="C451" i="5"/>
  <c r="B451" i="5"/>
  <c r="A451" i="5"/>
  <c r="F450" i="5"/>
  <c r="E450" i="5"/>
  <c r="D450" i="5"/>
  <c r="C450" i="5"/>
  <c r="B450" i="5"/>
  <c r="A450" i="5"/>
  <c r="F449" i="5"/>
  <c r="E449" i="5"/>
  <c r="D449" i="5"/>
  <c r="C449" i="5"/>
  <c r="B449" i="5"/>
  <c r="A449" i="5"/>
  <c r="F448" i="5"/>
  <c r="E448" i="5"/>
  <c r="D448" i="5"/>
  <c r="C448" i="5"/>
  <c r="B448" i="5"/>
  <c r="A448" i="5"/>
  <c r="F447" i="5"/>
  <c r="E447" i="5"/>
  <c r="D447" i="5"/>
  <c r="C447" i="5"/>
  <c r="B447" i="5"/>
  <c r="A447" i="5"/>
  <c r="F446" i="5"/>
  <c r="E446" i="5"/>
  <c r="D446" i="5"/>
  <c r="C446" i="5"/>
  <c r="B446" i="5"/>
  <c r="A446" i="5"/>
  <c r="F445" i="5"/>
  <c r="E445" i="5"/>
  <c r="D445" i="5"/>
  <c r="C445" i="5"/>
  <c r="B445" i="5"/>
  <c r="A445" i="5"/>
  <c r="F444" i="5"/>
  <c r="E444" i="5"/>
  <c r="D444" i="5"/>
  <c r="C444" i="5"/>
  <c r="B444" i="5"/>
  <c r="A444" i="5"/>
  <c r="F443" i="5"/>
  <c r="E443" i="5"/>
  <c r="D443" i="5"/>
  <c r="C443" i="5"/>
  <c r="B443" i="5"/>
  <c r="A443" i="5"/>
  <c r="F442" i="5"/>
  <c r="E442" i="5"/>
  <c r="D442" i="5"/>
  <c r="C442" i="5"/>
  <c r="B442" i="5"/>
  <c r="A442" i="5"/>
  <c r="F441" i="5"/>
  <c r="E441" i="5"/>
  <c r="D441" i="5"/>
  <c r="C441" i="5"/>
  <c r="B441" i="5"/>
  <c r="A441" i="5"/>
  <c r="F440" i="5"/>
  <c r="E440" i="5"/>
  <c r="D440" i="5"/>
  <c r="C440" i="5"/>
  <c r="B440" i="5"/>
  <c r="A440" i="5"/>
  <c r="F439" i="5"/>
  <c r="E439" i="5"/>
  <c r="D439" i="5"/>
  <c r="C439" i="5"/>
  <c r="B439" i="5"/>
  <c r="A439" i="5"/>
  <c r="F438" i="5"/>
  <c r="E438" i="5"/>
  <c r="D438" i="5"/>
  <c r="C438" i="5"/>
  <c r="B438" i="5"/>
  <c r="A438" i="5"/>
  <c r="F437" i="5"/>
  <c r="E437" i="5"/>
  <c r="D437" i="5"/>
  <c r="C437" i="5"/>
  <c r="B437" i="5"/>
  <c r="A437" i="5"/>
  <c r="F436" i="5"/>
  <c r="E436" i="5"/>
  <c r="D436" i="5"/>
  <c r="C436" i="5"/>
  <c r="B436" i="5"/>
  <c r="A436" i="5"/>
  <c r="F435" i="5"/>
  <c r="E435" i="5"/>
  <c r="D435" i="5"/>
  <c r="C435" i="5"/>
  <c r="B435" i="5"/>
  <c r="A435" i="5"/>
  <c r="F434" i="5"/>
  <c r="E434" i="5"/>
  <c r="D434" i="5"/>
  <c r="C434" i="5"/>
  <c r="B434" i="5"/>
  <c r="A434" i="5"/>
  <c r="F433" i="5"/>
  <c r="E433" i="5"/>
  <c r="D433" i="5"/>
  <c r="C433" i="5"/>
  <c r="B433" i="5"/>
  <c r="A433" i="5"/>
  <c r="F432" i="5"/>
  <c r="E432" i="5"/>
  <c r="D432" i="5"/>
  <c r="C432" i="5"/>
  <c r="B432" i="5"/>
  <c r="A432" i="5"/>
  <c r="F431" i="5"/>
  <c r="E431" i="5"/>
  <c r="D431" i="5"/>
  <c r="C431" i="5"/>
  <c r="B431" i="5"/>
  <c r="A431" i="5"/>
  <c r="F430" i="5"/>
  <c r="E430" i="5"/>
  <c r="D430" i="5"/>
  <c r="C430" i="5"/>
  <c r="B430" i="5"/>
  <c r="A430" i="5"/>
  <c r="F429" i="5"/>
  <c r="E429" i="5"/>
  <c r="D429" i="5"/>
  <c r="C429" i="5"/>
  <c r="B429" i="5"/>
  <c r="A429" i="5"/>
  <c r="F428" i="5"/>
  <c r="E428" i="5"/>
  <c r="D428" i="5"/>
  <c r="C428" i="5"/>
  <c r="B428" i="5"/>
  <c r="A428" i="5"/>
  <c r="F427" i="5"/>
  <c r="E427" i="5"/>
  <c r="D427" i="5"/>
  <c r="C427" i="5"/>
  <c r="B427" i="5"/>
  <c r="A427" i="5"/>
  <c r="F426" i="5"/>
  <c r="E426" i="5"/>
  <c r="D426" i="5"/>
  <c r="C426" i="5"/>
  <c r="B426" i="5"/>
  <c r="A426" i="5"/>
  <c r="F425" i="5"/>
  <c r="E425" i="5"/>
  <c r="D425" i="5"/>
  <c r="C425" i="5"/>
  <c r="B425" i="5"/>
  <c r="A425" i="5"/>
  <c r="F424" i="5"/>
  <c r="E424" i="5"/>
  <c r="D424" i="5"/>
  <c r="C424" i="5"/>
  <c r="B424" i="5"/>
  <c r="A424" i="5"/>
  <c r="F423" i="5"/>
  <c r="E423" i="5"/>
  <c r="D423" i="5"/>
  <c r="C423" i="5"/>
  <c r="B423" i="5"/>
  <c r="A423" i="5"/>
  <c r="F422" i="5"/>
  <c r="E422" i="5"/>
  <c r="D422" i="5"/>
  <c r="C422" i="5"/>
  <c r="B422" i="5"/>
  <c r="A422" i="5"/>
  <c r="F421" i="5"/>
  <c r="E421" i="5"/>
  <c r="D421" i="5"/>
  <c r="C421" i="5"/>
  <c r="B421" i="5"/>
  <c r="A421" i="5"/>
  <c r="F420" i="5"/>
  <c r="E420" i="5"/>
  <c r="D420" i="5"/>
  <c r="C420" i="5"/>
  <c r="B420" i="5"/>
  <c r="A420" i="5"/>
  <c r="F419" i="5"/>
  <c r="E419" i="5"/>
  <c r="D419" i="5"/>
  <c r="C419" i="5"/>
  <c r="B419" i="5"/>
  <c r="A419" i="5"/>
  <c r="F418" i="5"/>
  <c r="E418" i="5"/>
  <c r="D418" i="5"/>
  <c r="C418" i="5"/>
  <c r="B418" i="5"/>
  <c r="A418" i="5"/>
  <c r="F417" i="5"/>
  <c r="E417" i="5"/>
  <c r="D417" i="5"/>
  <c r="C417" i="5"/>
  <c r="B417" i="5"/>
  <c r="A417" i="5"/>
  <c r="F416" i="5"/>
  <c r="E416" i="5"/>
  <c r="D416" i="5"/>
  <c r="C416" i="5"/>
  <c r="B416" i="5"/>
  <c r="A416" i="5"/>
  <c r="F415" i="5"/>
  <c r="E415" i="5"/>
  <c r="D415" i="5"/>
  <c r="C415" i="5"/>
  <c r="B415" i="5"/>
  <c r="A415" i="5"/>
  <c r="F414" i="5"/>
  <c r="E414" i="5"/>
  <c r="D414" i="5"/>
  <c r="C414" i="5"/>
  <c r="B414" i="5"/>
  <c r="A414" i="5"/>
  <c r="F413" i="5"/>
  <c r="E413" i="5"/>
  <c r="D413" i="5"/>
  <c r="C413" i="5"/>
  <c r="B413" i="5"/>
  <c r="A413" i="5"/>
  <c r="F412" i="5"/>
  <c r="E412" i="5"/>
  <c r="D412" i="5"/>
  <c r="C412" i="5"/>
  <c r="B412" i="5"/>
  <c r="A412" i="5"/>
  <c r="F411" i="5"/>
  <c r="E411" i="5"/>
  <c r="D411" i="5"/>
  <c r="C411" i="5"/>
  <c r="B411" i="5"/>
  <c r="A411" i="5"/>
  <c r="F410" i="5"/>
  <c r="E410" i="5"/>
  <c r="D410" i="5"/>
  <c r="C410" i="5"/>
  <c r="B410" i="5"/>
  <c r="A410" i="5"/>
  <c r="F409" i="5"/>
  <c r="E409" i="5"/>
  <c r="D409" i="5"/>
  <c r="C409" i="5"/>
  <c r="B409" i="5"/>
  <c r="A409" i="5"/>
  <c r="F408" i="5"/>
  <c r="E408" i="5"/>
  <c r="D408" i="5"/>
  <c r="C408" i="5"/>
  <c r="B408" i="5"/>
  <c r="A408" i="5"/>
  <c r="F407" i="5"/>
  <c r="E407" i="5"/>
  <c r="D407" i="5"/>
  <c r="C407" i="5"/>
  <c r="B407" i="5"/>
  <c r="A407" i="5"/>
  <c r="F406" i="5"/>
  <c r="E406" i="5"/>
  <c r="D406" i="5"/>
  <c r="C406" i="5"/>
  <c r="B406" i="5"/>
  <c r="A406" i="5"/>
  <c r="F405" i="5"/>
  <c r="E405" i="5"/>
  <c r="D405" i="5"/>
  <c r="C405" i="5"/>
  <c r="B405" i="5"/>
  <c r="A405" i="5"/>
  <c r="F404" i="5"/>
  <c r="E404" i="5"/>
  <c r="D404" i="5"/>
  <c r="C404" i="5"/>
  <c r="B404" i="5"/>
  <c r="A404" i="5"/>
  <c r="F403" i="5"/>
  <c r="E403" i="5"/>
  <c r="D403" i="5"/>
  <c r="C403" i="5"/>
  <c r="B403" i="5"/>
  <c r="A403" i="5"/>
  <c r="F402" i="5"/>
  <c r="E402" i="5"/>
  <c r="D402" i="5"/>
  <c r="C402" i="5"/>
  <c r="B402" i="5"/>
  <c r="A402" i="5"/>
  <c r="F401" i="5"/>
  <c r="E401" i="5"/>
  <c r="D401" i="5"/>
  <c r="C401" i="5"/>
  <c r="B401" i="5"/>
  <c r="A401" i="5"/>
  <c r="F400" i="5"/>
  <c r="E400" i="5"/>
  <c r="D400" i="5"/>
  <c r="C400" i="5"/>
  <c r="B400" i="5"/>
  <c r="A400" i="5"/>
  <c r="F399" i="5"/>
  <c r="E399" i="5"/>
  <c r="D399" i="5"/>
  <c r="C399" i="5"/>
  <c r="B399" i="5"/>
  <c r="A399" i="5"/>
  <c r="F398" i="5"/>
  <c r="E398" i="5"/>
  <c r="D398" i="5"/>
  <c r="C398" i="5"/>
  <c r="B398" i="5"/>
  <c r="A398" i="5"/>
  <c r="F397" i="5"/>
  <c r="E397" i="5"/>
  <c r="D397" i="5"/>
  <c r="C397" i="5"/>
  <c r="B397" i="5"/>
  <c r="A397" i="5"/>
  <c r="F396" i="5"/>
  <c r="E396" i="5"/>
  <c r="D396" i="5"/>
  <c r="C396" i="5"/>
  <c r="B396" i="5"/>
  <c r="A396" i="5"/>
  <c r="F395" i="5"/>
  <c r="E395" i="5"/>
  <c r="D395" i="5"/>
  <c r="C395" i="5"/>
  <c r="B395" i="5"/>
  <c r="A395" i="5"/>
  <c r="F394" i="5"/>
  <c r="E394" i="5"/>
  <c r="D394" i="5"/>
  <c r="C394" i="5"/>
  <c r="B394" i="5"/>
  <c r="A394" i="5"/>
  <c r="F393" i="5"/>
  <c r="E393" i="5"/>
  <c r="D393" i="5"/>
  <c r="C393" i="5"/>
  <c r="B393" i="5"/>
  <c r="A393" i="5"/>
  <c r="F392" i="5"/>
  <c r="E392" i="5"/>
  <c r="D392" i="5"/>
  <c r="C392" i="5"/>
  <c r="B392" i="5"/>
  <c r="A392" i="5"/>
  <c r="F391" i="5"/>
  <c r="E391" i="5"/>
  <c r="D391" i="5"/>
  <c r="C391" i="5"/>
  <c r="B391" i="5"/>
  <c r="A391" i="5"/>
  <c r="F390" i="5"/>
  <c r="E390" i="5"/>
  <c r="D390" i="5"/>
  <c r="C390" i="5"/>
  <c r="B390" i="5"/>
  <c r="A390" i="5"/>
  <c r="F389" i="5"/>
  <c r="E389" i="5"/>
  <c r="D389" i="5"/>
  <c r="C389" i="5"/>
  <c r="B389" i="5"/>
  <c r="A389" i="5"/>
  <c r="F388" i="5"/>
  <c r="E388" i="5"/>
  <c r="D388" i="5"/>
  <c r="C388" i="5"/>
  <c r="B388" i="5"/>
  <c r="A388" i="5"/>
  <c r="F387" i="5"/>
  <c r="E387" i="5"/>
  <c r="D387" i="5"/>
  <c r="C387" i="5"/>
  <c r="B387" i="5"/>
  <c r="A387" i="5"/>
  <c r="F386" i="5"/>
  <c r="E386" i="5"/>
  <c r="D386" i="5"/>
  <c r="C386" i="5"/>
  <c r="B386" i="5"/>
  <c r="A386" i="5"/>
  <c r="F385" i="5"/>
  <c r="E385" i="5"/>
  <c r="D385" i="5"/>
  <c r="C385" i="5"/>
  <c r="B385" i="5"/>
  <c r="A385" i="5"/>
  <c r="F384" i="5"/>
  <c r="E384" i="5"/>
  <c r="D384" i="5"/>
  <c r="C384" i="5"/>
  <c r="B384" i="5"/>
  <c r="A384" i="5"/>
  <c r="F383" i="5"/>
  <c r="E383" i="5"/>
  <c r="D383" i="5"/>
  <c r="C383" i="5"/>
  <c r="B383" i="5"/>
  <c r="A383" i="5"/>
  <c r="F382" i="5"/>
  <c r="E382" i="5"/>
  <c r="D382" i="5"/>
  <c r="C382" i="5"/>
  <c r="B382" i="5"/>
  <c r="A382" i="5"/>
  <c r="F381" i="5"/>
  <c r="E381" i="5"/>
  <c r="D381" i="5"/>
  <c r="C381" i="5"/>
  <c r="B381" i="5"/>
  <c r="A381" i="5"/>
  <c r="F380" i="5"/>
  <c r="E380" i="5"/>
  <c r="D380" i="5"/>
  <c r="C380" i="5"/>
  <c r="B380" i="5"/>
  <c r="A380" i="5"/>
  <c r="F379" i="5"/>
  <c r="E379" i="5"/>
  <c r="D379" i="5"/>
  <c r="C379" i="5"/>
  <c r="B379" i="5"/>
  <c r="A379" i="5"/>
  <c r="F378" i="5"/>
  <c r="E378" i="5"/>
  <c r="D378" i="5"/>
  <c r="C378" i="5"/>
  <c r="B378" i="5"/>
  <c r="A378" i="5"/>
  <c r="F377" i="5"/>
  <c r="E377" i="5"/>
  <c r="D377" i="5"/>
  <c r="C377" i="5"/>
  <c r="B377" i="5"/>
  <c r="A377" i="5"/>
  <c r="F376" i="5"/>
  <c r="E376" i="5"/>
  <c r="D376" i="5"/>
  <c r="C376" i="5"/>
  <c r="B376" i="5"/>
  <c r="A376" i="5"/>
  <c r="F375" i="5"/>
  <c r="E375" i="5"/>
  <c r="D375" i="5"/>
  <c r="C375" i="5"/>
  <c r="B375" i="5"/>
  <c r="A375" i="5"/>
  <c r="F374" i="5"/>
  <c r="E374" i="5"/>
  <c r="D374" i="5"/>
  <c r="C374" i="5"/>
  <c r="B374" i="5"/>
  <c r="A374" i="5"/>
  <c r="F373" i="5"/>
  <c r="E373" i="5"/>
  <c r="D373" i="5"/>
  <c r="C373" i="5"/>
  <c r="B373" i="5"/>
  <c r="A373" i="5"/>
  <c r="F372" i="5"/>
  <c r="E372" i="5"/>
  <c r="D372" i="5"/>
  <c r="C372" i="5"/>
  <c r="B372" i="5"/>
  <c r="A372" i="5"/>
  <c r="F371" i="5"/>
  <c r="E371" i="5"/>
  <c r="D371" i="5"/>
  <c r="C371" i="5"/>
  <c r="B371" i="5"/>
  <c r="A371" i="5"/>
  <c r="F370" i="5"/>
  <c r="E370" i="5"/>
  <c r="D370" i="5"/>
  <c r="C370" i="5"/>
  <c r="B370" i="5"/>
  <c r="A370" i="5"/>
  <c r="F369" i="5"/>
  <c r="E369" i="5"/>
  <c r="D369" i="5"/>
  <c r="C369" i="5"/>
  <c r="B369" i="5"/>
  <c r="A369" i="5"/>
  <c r="F368" i="5"/>
  <c r="E368" i="5"/>
  <c r="D368" i="5"/>
  <c r="C368" i="5"/>
  <c r="B368" i="5"/>
  <c r="A368" i="5"/>
  <c r="F367" i="5"/>
  <c r="E367" i="5"/>
  <c r="D367" i="5"/>
  <c r="C367" i="5"/>
  <c r="B367" i="5"/>
  <c r="A367" i="5"/>
  <c r="F366" i="5"/>
  <c r="E366" i="5"/>
  <c r="D366" i="5"/>
  <c r="C366" i="5"/>
  <c r="B366" i="5"/>
  <c r="A366" i="5"/>
  <c r="F365" i="5"/>
  <c r="E365" i="5"/>
  <c r="D365" i="5"/>
  <c r="C365" i="5"/>
  <c r="B365" i="5"/>
  <c r="A365" i="5"/>
  <c r="F364" i="5"/>
  <c r="E364" i="5"/>
  <c r="D364" i="5"/>
  <c r="C364" i="5"/>
  <c r="B364" i="5"/>
  <c r="A364" i="5"/>
  <c r="F363" i="5"/>
  <c r="E363" i="5"/>
  <c r="D363" i="5"/>
  <c r="C363" i="5"/>
  <c r="B363" i="5"/>
  <c r="A363" i="5"/>
  <c r="F362" i="5"/>
  <c r="E362" i="5"/>
  <c r="D362" i="5"/>
  <c r="C362" i="5"/>
  <c r="B362" i="5"/>
  <c r="A362" i="5"/>
  <c r="F361" i="5"/>
  <c r="E361" i="5"/>
  <c r="D361" i="5"/>
  <c r="C361" i="5"/>
  <c r="B361" i="5"/>
  <c r="A361" i="5"/>
  <c r="F360" i="5"/>
  <c r="E360" i="5"/>
  <c r="D360" i="5"/>
  <c r="C360" i="5"/>
  <c r="B360" i="5"/>
  <c r="A360" i="5"/>
  <c r="F359" i="5"/>
  <c r="E359" i="5"/>
  <c r="D359" i="5"/>
  <c r="C359" i="5"/>
  <c r="B359" i="5"/>
  <c r="A359" i="5"/>
  <c r="F358" i="5"/>
  <c r="E358" i="5"/>
  <c r="D358" i="5"/>
  <c r="C358" i="5"/>
  <c r="B358" i="5"/>
  <c r="A358" i="5"/>
  <c r="F357" i="5"/>
  <c r="E357" i="5"/>
  <c r="D357" i="5"/>
  <c r="C357" i="5"/>
  <c r="B357" i="5"/>
  <c r="A357" i="5"/>
  <c r="F356" i="5"/>
  <c r="E356" i="5"/>
  <c r="D356" i="5"/>
  <c r="C356" i="5"/>
  <c r="B356" i="5"/>
  <c r="A356" i="5"/>
  <c r="F355" i="5"/>
  <c r="E355" i="5"/>
  <c r="D355" i="5"/>
  <c r="C355" i="5"/>
  <c r="B355" i="5"/>
  <c r="A355" i="5"/>
  <c r="F354" i="5"/>
  <c r="E354" i="5"/>
  <c r="D354" i="5"/>
  <c r="C354" i="5"/>
  <c r="B354" i="5"/>
  <c r="A354" i="5"/>
  <c r="F353" i="5"/>
  <c r="E353" i="5"/>
  <c r="D353" i="5"/>
  <c r="C353" i="5"/>
  <c r="B353" i="5"/>
  <c r="A353" i="5"/>
  <c r="F352" i="5"/>
  <c r="E352" i="5"/>
  <c r="D352" i="5"/>
  <c r="C352" i="5"/>
  <c r="B352" i="5"/>
  <c r="A352" i="5"/>
  <c r="F351" i="5"/>
  <c r="E351" i="5"/>
  <c r="D351" i="5"/>
  <c r="C351" i="5"/>
  <c r="B351" i="5"/>
  <c r="A351" i="5"/>
  <c r="F350" i="5"/>
  <c r="E350" i="5"/>
  <c r="D350" i="5"/>
  <c r="C350" i="5"/>
  <c r="B350" i="5"/>
  <c r="A350" i="5"/>
  <c r="F349" i="5"/>
  <c r="E349" i="5"/>
  <c r="D349" i="5"/>
  <c r="C349" i="5"/>
  <c r="B349" i="5"/>
  <c r="A349" i="5"/>
  <c r="F348" i="5"/>
  <c r="E348" i="5"/>
  <c r="D348" i="5"/>
  <c r="C348" i="5"/>
  <c r="B348" i="5"/>
  <c r="A348" i="5"/>
  <c r="F347" i="5"/>
  <c r="E347" i="5"/>
  <c r="D347" i="5"/>
  <c r="C347" i="5"/>
  <c r="B347" i="5"/>
  <c r="A347" i="5"/>
  <c r="F346" i="5"/>
  <c r="E346" i="5"/>
  <c r="D346" i="5"/>
  <c r="C346" i="5"/>
  <c r="B346" i="5"/>
  <c r="A346" i="5"/>
  <c r="F345" i="5"/>
  <c r="E345" i="5"/>
  <c r="D345" i="5"/>
  <c r="C345" i="5"/>
  <c r="B345" i="5"/>
  <c r="A345" i="5"/>
  <c r="F344" i="5"/>
  <c r="E344" i="5"/>
  <c r="D344" i="5"/>
  <c r="C344" i="5"/>
  <c r="B344" i="5"/>
  <c r="A344" i="5"/>
  <c r="F343" i="5"/>
  <c r="E343" i="5"/>
  <c r="D343" i="5"/>
  <c r="C343" i="5"/>
  <c r="B343" i="5"/>
  <c r="A343" i="5"/>
  <c r="F342" i="5"/>
  <c r="E342" i="5"/>
  <c r="D342" i="5"/>
  <c r="C342" i="5"/>
  <c r="B342" i="5"/>
  <c r="A342" i="5"/>
  <c r="F341" i="5"/>
  <c r="E341" i="5"/>
  <c r="D341" i="5"/>
  <c r="C341" i="5"/>
  <c r="B341" i="5"/>
  <c r="A341" i="5"/>
  <c r="F340" i="5"/>
  <c r="E340" i="5"/>
  <c r="D340" i="5"/>
  <c r="C340" i="5"/>
  <c r="B340" i="5"/>
  <c r="A340" i="5"/>
  <c r="F339" i="5"/>
  <c r="E339" i="5"/>
  <c r="D339" i="5"/>
  <c r="C339" i="5"/>
  <c r="B339" i="5"/>
  <c r="A339" i="5"/>
  <c r="F338" i="5"/>
  <c r="E338" i="5"/>
  <c r="D338" i="5"/>
  <c r="C338" i="5"/>
  <c r="B338" i="5"/>
  <c r="A338" i="5"/>
  <c r="F337" i="5"/>
  <c r="E337" i="5"/>
  <c r="D337" i="5"/>
  <c r="C337" i="5"/>
  <c r="B337" i="5"/>
  <c r="A337" i="5"/>
  <c r="F336" i="5"/>
  <c r="E336" i="5"/>
  <c r="D336" i="5"/>
  <c r="C336" i="5"/>
  <c r="B336" i="5"/>
  <c r="A336" i="5"/>
  <c r="F335" i="5"/>
  <c r="E335" i="5"/>
  <c r="D335" i="5"/>
  <c r="C335" i="5"/>
  <c r="B335" i="5"/>
  <c r="A335" i="5"/>
  <c r="F334" i="5"/>
  <c r="E334" i="5"/>
  <c r="D334" i="5"/>
  <c r="C334" i="5"/>
  <c r="B334" i="5"/>
  <c r="A334" i="5"/>
  <c r="F333" i="5"/>
  <c r="E333" i="5"/>
  <c r="D333" i="5"/>
  <c r="C333" i="5"/>
  <c r="B333" i="5"/>
  <c r="A333" i="5"/>
  <c r="F332" i="5"/>
  <c r="E332" i="5"/>
  <c r="D332" i="5"/>
  <c r="C332" i="5"/>
  <c r="B332" i="5"/>
  <c r="A332" i="5"/>
  <c r="F331" i="5"/>
  <c r="E331" i="5"/>
  <c r="D331" i="5"/>
  <c r="C331" i="5"/>
  <c r="B331" i="5"/>
  <c r="A331" i="5"/>
  <c r="F330" i="5"/>
  <c r="E330" i="5"/>
  <c r="D330" i="5"/>
  <c r="C330" i="5"/>
  <c r="B330" i="5"/>
  <c r="A330" i="5"/>
  <c r="F329" i="5"/>
  <c r="E329" i="5"/>
  <c r="D329" i="5"/>
  <c r="C329" i="5"/>
  <c r="B329" i="5"/>
  <c r="A329" i="5"/>
  <c r="F328" i="5"/>
  <c r="E328" i="5"/>
  <c r="D328" i="5"/>
  <c r="C328" i="5"/>
  <c r="B328" i="5"/>
  <c r="A328" i="5"/>
  <c r="F327" i="5"/>
  <c r="E327" i="5"/>
  <c r="D327" i="5"/>
  <c r="C327" i="5"/>
  <c r="B327" i="5"/>
  <c r="A327" i="5"/>
  <c r="F326" i="5"/>
  <c r="E326" i="5"/>
  <c r="D326" i="5"/>
  <c r="C326" i="5"/>
  <c r="B326" i="5"/>
  <c r="A326" i="5"/>
  <c r="F325" i="5"/>
  <c r="E325" i="5"/>
  <c r="D325" i="5"/>
  <c r="C325" i="5"/>
  <c r="B325" i="5"/>
  <c r="A325" i="5"/>
  <c r="F324" i="5"/>
  <c r="E324" i="5"/>
  <c r="D324" i="5"/>
  <c r="C324" i="5"/>
  <c r="B324" i="5"/>
  <c r="A324" i="5"/>
  <c r="F323" i="5"/>
  <c r="E323" i="5"/>
  <c r="D323" i="5"/>
  <c r="C323" i="5"/>
  <c r="B323" i="5"/>
  <c r="A323" i="5"/>
  <c r="F322" i="5"/>
  <c r="E322" i="5"/>
  <c r="D322" i="5"/>
  <c r="C322" i="5"/>
  <c r="B322" i="5"/>
  <c r="A322" i="5"/>
  <c r="F321" i="5"/>
  <c r="E321" i="5"/>
  <c r="D321" i="5"/>
  <c r="C321" i="5"/>
  <c r="B321" i="5"/>
  <c r="A321" i="5"/>
  <c r="F320" i="5"/>
  <c r="E320" i="5"/>
  <c r="D320" i="5"/>
  <c r="C320" i="5"/>
  <c r="B320" i="5"/>
  <c r="A320" i="5"/>
  <c r="F319" i="5"/>
  <c r="E319" i="5"/>
  <c r="D319" i="5"/>
  <c r="C319" i="5"/>
  <c r="B319" i="5"/>
  <c r="A319" i="5"/>
  <c r="F318" i="5"/>
  <c r="E318" i="5"/>
  <c r="D318" i="5"/>
  <c r="C318" i="5"/>
  <c r="B318" i="5"/>
  <c r="A318" i="5"/>
  <c r="F317" i="5"/>
  <c r="E317" i="5"/>
  <c r="D317" i="5"/>
  <c r="C317" i="5"/>
  <c r="B317" i="5"/>
  <c r="A317" i="5"/>
  <c r="F316" i="5"/>
  <c r="E316" i="5"/>
  <c r="D316" i="5"/>
  <c r="C316" i="5"/>
  <c r="B316" i="5"/>
  <c r="A316" i="5"/>
  <c r="F315" i="5"/>
  <c r="E315" i="5"/>
  <c r="D315" i="5"/>
  <c r="C315" i="5"/>
  <c r="B315" i="5"/>
  <c r="A315" i="5"/>
  <c r="F314" i="5"/>
  <c r="E314" i="5"/>
  <c r="D314" i="5"/>
  <c r="C314" i="5"/>
  <c r="B314" i="5"/>
  <c r="A314" i="5"/>
  <c r="F313" i="5"/>
  <c r="E313" i="5"/>
  <c r="D313" i="5"/>
  <c r="C313" i="5"/>
  <c r="B313" i="5"/>
  <c r="A313" i="5"/>
  <c r="F312" i="5"/>
  <c r="E312" i="5"/>
  <c r="D312" i="5"/>
  <c r="C312" i="5"/>
  <c r="B312" i="5"/>
  <c r="A312" i="5"/>
  <c r="F311" i="5"/>
  <c r="E311" i="5"/>
  <c r="D311" i="5"/>
  <c r="C311" i="5"/>
  <c r="B311" i="5"/>
  <c r="A311" i="5"/>
  <c r="F310" i="5"/>
  <c r="E310" i="5"/>
  <c r="D310" i="5"/>
  <c r="C310" i="5"/>
  <c r="B310" i="5"/>
  <c r="A310" i="5"/>
  <c r="F309" i="5"/>
  <c r="E309" i="5"/>
  <c r="D309" i="5"/>
  <c r="C309" i="5"/>
  <c r="B309" i="5"/>
  <c r="A309" i="5"/>
  <c r="F308" i="5"/>
  <c r="E308" i="5"/>
  <c r="D308" i="5"/>
  <c r="C308" i="5"/>
  <c r="B308" i="5"/>
  <c r="A308" i="5"/>
  <c r="F307" i="5"/>
  <c r="E307" i="5"/>
  <c r="D307" i="5"/>
  <c r="C307" i="5"/>
  <c r="B307" i="5"/>
  <c r="A307" i="5"/>
  <c r="F306" i="5"/>
  <c r="E306" i="5"/>
  <c r="D306" i="5"/>
  <c r="C306" i="5"/>
  <c r="B306" i="5"/>
  <c r="A306" i="5"/>
  <c r="F305" i="5"/>
  <c r="E305" i="5"/>
  <c r="D305" i="5"/>
  <c r="C305" i="5"/>
  <c r="B305" i="5"/>
  <c r="A305" i="5"/>
  <c r="F304" i="5"/>
  <c r="E304" i="5"/>
  <c r="D304" i="5"/>
  <c r="C304" i="5"/>
  <c r="B304" i="5"/>
  <c r="A304" i="5"/>
  <c r="F303" i="5"/>
  <c r="E303" i="5"/>
  <c r="D303" i="5"/>
  <c r="C303" i="5"/>
  <c r="B303" i="5"/>
  <c r="A303" i="5"/>
  <c r="F302" i="5"/>
  <c r="E302" i="5"/>
  <c r="D302" i="5"/>
  <c r="C302" i="5"/>
  <c r="B302" i="5"/>
  <c r="A302" i="5"/>
  <c r="F301" i="5"/>
  <c r="E301" i="5"/>
  <c r="D301" i="5"/>
  <c r="C301" i="5"/>
  <c r="B301" i="5"/>
  <c r="A301" i="5"/>
  <c r="F300" i="5"/>
  <c r="E300" i="5"/>
  <c r="D300" i="5"/>
  <c r="C300" i="5"/>
  <c r="B300" i="5"/>
  <c r="A300" i="5"/>
  <c r="F299" i="5"/>
  <c r="E299" i="5"/>
  <c r="D299" i="5"/>
  <c r="C299" i="5"/>
  <c r="B299" i="5"/>
  <c r="A299" i="5"/>
  <c r="F298" i="5"/>
  <c r="E298" i="5"/>
  <c r="D298" i="5"/>
  <c r="C298" i="5"/>
  <c r="B298" i="5"/>
  <c r="A298" i="5"/>
  <c r="F297" i="5"/>
  <c r="E297" i="5"/>
  <c r="D297" i="5"/>
  <c r="C297" i="5"/>
  <c r="B297" i="5"/>
  <c r="A297" i="5"/>
  <c r="F296" i="5"/>
  <c r="E296" i="5"/>
  <c r="D296" i="5"/>
  <c r="C296" i="5"/>
  <c r="B296" i="5"/>
  <c r="A296" i="5"/>
  <c r="F295" i="5"/>
  <c r="E295" i="5"/>
  <c r="D295" i="5"/>
  <c r="C295" i="5"/>
  <c r="B295" i="5"/>
  <c r="A295" i="5"/>
  <c r="F294" i="5"/>
  <c r="E294" i="5"/>
  <c r="D294" i="5"/>
  <c r="C294" i="5"/>
  <c r="B294" i="5"/>
  <c r="A294" i="5"/>
  <c r="F293" i="5"/>
  <c r="E293" i="5"/>
  <c r="D293" i="5"/>
  <c r="C293" i="5"/>
  <c r="B293" i="5"/>
  <c r="A293" i="5"/>
  <c r="F292" i="5"/>
  <c r="E292" i="5"/>
  <c r="D292" i="5"/>
  <c r="C292" i="5"/>
  <c r="B292" i="5"/>
  <c r="A292" i="5"/>
  <c r="F291" i="5"/>
  <c r="E291" i="5"/>
  <c r="D291" i="5"/>
  <c r="C291" i="5"/>
  <c r="B291" i="5"/>
  <c r="A291" i="5"/>
  <c r="F290" i="5"/>
  <c r="E290" i="5"/>
  <c r="D290" i="5"/>
  <c r="C290" i="5"/>
  <c r="B290" i="5"/>
  <c r="A290" i="5"/>
  <c r="F289" i="5"/>
  <c r="E289" i="5"/>
  <c r="D289" i="5"/>
  <c r="C289" i="5"/>
  <c r="B289" i="5"/>
  <c r="A289" i="5"/>
  <c r="F288" i="5"/>
  <c r="E288" i="5"/>
  <c r="D288" i="5"/>
  <c r="C288" i="5"/>
  <c r="B288" i="5"/>
  <c r="A288" i="5"/>
  <c r="F287" i="5"/>
  <c r="E287" i="5"/>
  <c r="D287" i="5"/>
  <c r="C287" i="5"/>
  <c r="B287" i="5"/>
  <c r="A287" i="5"/>
  <c r="F286" i="5"/>
  <c r="E286" i="5"/>
  <c r="D286" i="5"/>
  <c r="C286" i="5"/>
  <c r="B286" i="5"/>
  <c r="A286" i="5"/>
  <c r="F285" i="5"/>
  <c r="E285" i="5"/>
  <c r="D285" i="5"/>
  <c r="C285" i="5"/>
  <c r="B285" i="5"/>
  <c r="A285" i="5"/>
  <c r="F284" i="5"/>
  <c r="E284" i="5"/>
  <c r="D284" i="5"/>
  <c r="C284" i="5"/>
  <c r="B284" i="5"/>
  <c r="A284" i="5"/>
  <c r="F283" i="5"/>
  <c r="E283" i="5"/>
  <c r="D283" i="5"/>
  <c r="C283" i="5"/>
  <c r="B283" i="5"/>
  <c r="A283" i="5"/>
  <c r="F282" i="5"/>
  <c r="E282" i="5"/>
  <c r="D282" i="5"/>
  <c r="C282" i="5"/>
  <c r="B282" i="5"/>
  <c r="A282" i="5"/>
  <c r="F281" i="5"/>
  <c r="E281" i="5"/>
  <c r="D281" i="5"/>
  <c r="C281" i="5"/>
  <c r="B281" i="5"/>
  <c r="A281" i="5"/>
  <c r="F280" i="5"/>
  <c r="E280" i="5"/>
  <c r="D280" i="5"/>
  <c r="C280" i="5"/>
  <c r="B280" i="5"/>
  <c r="A280" i="5"/>
  <c r="F279" i="5"/>
  <c r="E279" i="5"/>
  <c r="D279" i="5"/>
  <c r="C279" i="5"/>
  <c r="B279" i="5"/>
  <c r="A279" i="5"/>
  <c r="F278" i="5"/>
  <c r="E278" i="5"/>
  <c r="D278" i="5"/>
  <c r="C278" i="5"/>
  <c r="B278" i="5"/>
  <c r="A278" i="5"/>
  <c r="F277" i="5"/>
  <c r="E277" i="5"/>
  <c r="D277" i="5"/>
  <c r="C277" i="5"/>
  <c r="B277" i="5"/>
  <c r="A277" i="5"/>
  <c r="F276" i="5"/>
  <c r="E276" i="5"/>
  <c r="D276" i="5"/>
  <c r="C276" i="5"/>
  <c r="B276" i="5"/>
  <c r="A276" i="5"/>
  <c r="F275" i="5"/>
  <c r="E275" i="5"/>
  <c r="D275" i="5"/>
  <c r="C275" i="5"/>
  <c r="B275" i="5"/>
  <c r="A275" i="5"/>
  <c r="F274" i="5"/>
  <c r="E274" i="5"/>
  <c r="D274" i="5"/>
  <c r="C274" i="5"/>
  <c r="B274" i="5"/>
  <c r="A274" i="5"/>
  <c r="F273" i="5"/>
  <c r="E273" i="5"/>
  <c r="D273" i="5"/>
  <c r="C273" i="5"/>
  <c r="B273" i="5"/>
  <c r="A273" i="5"/>
  <c r="F272" i="5"/>
  <c r="E272" i="5"/>
  <c r="D272" i="5"/>
  <c r="C272" i="5"/>
  <c r="B272" i="5"/>
  <c r="A272" i="5"/>
  <c r="F271" i="5"/>
  <c r="E271" i="5"/>
  <c r="D271" i="5"/>
  <c r="C271" i="5"/>
  <c r="B271" i="5"/>
  <c r="A271" i="5"/>
  <c r="F270" i="5"/>
  <c r="E270" i="5"/>
  <c r="D270" i="5"/>
  <c r="C270" i="5"/>
  <c r="B270" i="5"/>
  <c r="A270" i="5"/>
  <c r="F269" i="5"/>
  <c r="E269" i="5"/>
  <c r="D269" i="5"/>
  <c r="C269" i="5"/>
  <c r="B269" i="5"/>
  <c r="A269" i="5"/>
  <c r="F268" i="5"/>
  <c r="E268" i="5"/>
  <c r="D268" i="5"/>
  <c r="C268" i="5"/>
  <c r="B268" i="5"/>
  <c r="A268" i="5"/>
  <c r="F267" i="5"/>
  <c r="E267" i="5"/>
  <c r="D267" i="5"/>
  <c r="C267" i="5"/>
  <c r="B267" i="5"/>
  <c r="A267" i="5"/>
  <c r="F266" i="5"/>
  <c r="E266" i="5"/>
  <c r="D266" i="5"/>
  <c r="C266" i="5"/>
  <c r="B266" i="5"/>
  <c r="A266" i="5"/>
  <c r="F265" i="5"/>
  <c r="E265" i="5"/>
  <c r="D265" i="5"/>
  <c r="C265" i="5"/>
  <c r="B265" i="5"/>
  <c r="A265" i="5"/>
  <c r="F264" i="5"/>
  <c r="E264" i="5"/>
  <c r="D264" i="5"/>
  <c r="C264" i="5"/>
  <c r="B264" i="5"/>
  <c r="A264" i="5"/>
  <c r="F263" i="5"/>
  <c r="E263" i="5"/>
  <c r="D263" i="5"/>
  <c r="C263" i="5"/>
  <c r="B263" i="5"/>
  <c r="A263" i="5"/>
  <c r="F262" i="5"/>
  <c r="E262" i="5"/>
  <c r="D262" i="5"/>
  <c r="C262" i="5"/>
  <c r="B262" i="5"/>
  <c r="A262" i="5"/>
  <c r="F261" i="5"/>
  <c r="E261" i="5"/>
  <c r="D261" i="5"/>
  <c r="C261" i="5"/>
  <c r="B261" i="5"/>
  <c r="A261" i="5"/>
  <c r="F260" i="5"/>
  <c r="E260" i="5"/>
  <c r="D260" i="5"/>
  <c r="C260" i="5"/>
  <c r="B260" i="5"/>
  <c r="A260" i="5"/>
  <c r="F259" i="5"/>
  <c r="E259" i="5"/>
  <c r="D259" i="5"/>
  <c r="C259" i="5"/>
  <c r="B259" i="5"/>
  <c r="A259" i="5"/>
  <c r="F258" i="5"/>
  <c r="E258" i="5"/>
  <c r="D258" i="5"/>
  <c r="C258" i="5"/>
  <c r="B258" i="5"/>
  <c r="A258" i="5"/>
  <c r="F257" i="5"/>
  <c r="E257" i="5"/>
  <c r="D257" i="5"/>
  <c r="C257" i="5"/>
  <c r="B257" i="5"/>
  <c r="A257" i="5"/>
  <c r="F256" i="5"/>
  <c r="E256" i="5"/>
  <c r="D256" i="5"/>
  <c r="C256" i="5"/>
  <c r="B256" i="5"/>
  <c r="A256" i="5"/>
  <c r="F255" i="5"/>
  <c r="E255" i="5"/>
  <c r="D255" i="5"/>
  <c r="C255" i="5"/>
  <c r="B255" i="5"/>
  <c r="A255" i="5"/>
  <c r="F254" i="5"/>
  <c r="E254" i="5"/>
  <c r="D254" i="5"/>
  <c r="C254" i="5"/>
  <c r="B254" i="5"/>
  <c r="A254" i="5"/>
  <c r="F253" i="5"/>
  <c r="E253" i="5"/>
  <c r="D253" i="5"/>
  <c r="C253" i="5"/>
  <c r="B253" i="5"/>
  <c r="A253" i="5"/>
  <c r="F252" i="5"/>
  <c r="E252" i="5"/>
  <c r="D252" i="5"/>
  <c r="C252" i="5"/>
  <c r="B252" i="5"/>
  <c r="A252" i="5"/>
  <c r="F251" i="5"/>
  <c r="E251" i="5"/>
  <c r="D251" i="5"/>
  <c r="C251" i="5"/>
  <c r="B251" i="5"/>
  <c r="A251" i="5"/>
  <c r="F250" i="5"/>
  <c r="E250" i="5"/>
  <c r="D250" i="5"/>
  <c r="C250" i="5"/>
  <c r="B250" i="5"/>
  <c r="A250" i="5"/>
  <c r="F249" i="5"/>
  <c r="E249" i="5"/>
  <c r="D249" i="5"/>
  <c r="C249" i="5"/>
  <c r="B249" i="5"/>
  <c r="A249" i="5"/>
  <c r="F248" i="5"/>
  <c r="E248" i="5"/>
  <c r="D248" i="5"/>
  <c r="C248" i="5"/>
  <c r="B248" i="5"/>
  <c r="A248" i="5"/>
  <c r="F247" i="5"/>
  <c r="E247" i="5"/>
  <c r="D247" i="5"/>
  <c r="C247" i="5"/>
  <c r="B247" i="5"/>
  <c r="A247" i="5"/>
  <c r="F246" i="5"/>
  <c r="E246" i="5"/>
  <c r="D246" i="5"/>
  <c r="C246" i="5"/>
  <c r="B246" i="5"/>
  <c r="A246" i="5"/>
  <c r="F245" i="5"/>
  <c r="E245" i="5"/>
  <c r="D245" i="5"/>
  <c r="C245" i="5"/>
  <c r="B245" i="5"/>
  <c r="A245" i="5"/>
  <c r="F244" i="5"/>
  <c r="E244" i="5"/>
  <c r="D244" i="5"/>
  <c r="C244" i="5"/>
  <c r="B244" i="5"/>
  <c r="A244" i="5"/>
  <c r="F243" i="5"/>
  <c r="E243" i="5"/>
  <c r="D243" i="5"/>
  <c r="C243" i="5"/>
  <c r="B243" i="5"/>
  <c r="A243" i="5"/>
  <c r="F242" i="5"/>
  <c r="E242" i="5"/>
  <c r="D242" i="5"/>
  <c r="C242" i="5"/>
  <c r="B242" i="5"/>
  <c r="A242" i="5"/>
  <c r="F241" i="5"/>
  <c r="E241" i="5"/>
  <c r="D241" i="5"/>
  <c r="C241" i="5"/>
  <c r="B241" i="5"/>
  <c r="A241" i="5"/>
  <c r="F240" i="5"/>
  <c r="E240" i="5"/>
  <c r="D240" i="5"/>
  <c r="C240" i="5"/>
  <c r="B240" i="5"/>
  <c r="A240" i="5"/>
  <c r="F239" i="5"/>
  <c r="E239" i="5"/>
  <c r="D239" i="5"/>
  <c r="C239" i="5"/>
  <c r="B239" i="5"/>
  <c r="A239" i="5"/>
  <c r="F238" i="5"/>
  <c r="E238" i="5"/>
  <c r="D238" i="5"/>
  <c r="C238" i="5"/>
  <c r="B238" i="5"/>
  <c r="A238" i="5"/>
  <c r="F237" i="5"/>
  <c r="E237" i="5"/>
  <c r="D237" i="5"/>
  <c r="C237" i="5"/>
  <c r="B237" i="5"/>
  <c r="A237" i="5"/>
  <c r="F236" i="5"/>
  <c r="E236" i="5"/>
  <c r="D236" i="5"/>
  <c r="C236" i="5"/>
  <c r="B236" i="5"/>
  <c r="A236" i="5"/>
  <c r="F235" i="5"/>
  <c r="E235" i="5"/>
  <c r="D235" i="5"/>
  <c r="C235" i="5"/>
  <c r="B235" i="5"/>
  <c r="A235" i="5"/>
  <c r="F234" i="5"/>
  <c r="E234" i="5"/>
  <c r="D234" i="5"/>
  <c r="C234" i="5"/>
  <c r="B234" i="5"/>
  <c r="A234" i="5"/>
  <c r="F233" i="5"/>
  <c r="E233" i="5"/>
  <c r="D233" i="5"/>
  <c r="C233" i="5"/>
  <c r="B233" i="5"/>
  <c r="A233" i="5"/>
  <c r="F232" i="5"/>
  <c r="E232" i="5"/>
  <c r="D232" i="5"/>
  <c r="C232" i="5"/>
  <c r="B232" i="5"/>
  <c r="A232" i="5"/>
  <c r="F231" i="5"/>
  <c r="E231" i="5"/>
  <c r="D231" i="5"/>
  <c r="C231" i="5"/>
  <c r="B231" i="5"/>
  <c r="A231" i="5"/>
  <c r="F230" i="5"/>
  <c r="E230" i="5"/>
  <c r="D230" i="5"/>
  <c r="C230" i="5"/>
  <c r="B230" i="5"/>
  <c r="A230" i="5"/>
  <c r="F229" i="5"/>
  <c r="E229" i="5"/>
  <c r="D229" i="5"/>
  <c r="C229" i="5"/>
  <c r="B229" i="5"/>
  <c r="A229" i="5"/>
  <c r="F228" i="5"/>
  <c r="E228" i="5"/>
  <c r="D228" i="5"/>
  <c r="C228" i="5"/>
  <c r="B228" i="5"/>
  <c r="A228" i="5"/>
  <c r="F227" i="5"/>
  <c r="E227" i="5"/>
  <c r="D227" i="5"/>
  <c r="C227" i="5"/>
  <c r="B227" i="5"/>
  <c r="A227" i="5"/>
  <c r="F226" i="5"/>
  <c r="E226" i="5"/>
  <c r="D226" i="5"/>
  <c r="C226" i="5"/>
  <c r="B226" i="5"/>
  <c r="A226" i="5"/>
  <c r="F225" i="5"/>
  <c r="E225" i="5"/>
  <c r="D225" i="5"/>
  <c r="C225" i="5"/>
  <c r="B225" i="5"/>
  <c r="A225" i="5"/>
  <c r="F224" i="5"/>
  <c r="E224" i="5"/>
  <c r="D224" i="5"/>
  <c r="C224" i="5"/>
  <c r="B224" i="5"/>
  <c r="A224" i="5"/>
  <c r="F223" i="5"/>
  <c r="E223" i="5"/>
  <c r="D223" i="5"/>
  <c r="C223" i="5"/>
  <c r="B223" i="5"/>
  <c r="A223" i="5"/>
  <c r="F222" i="5"/>
  <c r="E222" i="5"/>
  <c r="D222" i="5"/>
  <c r="C222" i="5"/>
  <c r="B222" i="5"/>
  <c r="A222" i="5"/>
  <c r="F221" i="5"/>
  <c r="E221" i="5"/>
  <c r="D221" i="5"/>
  <c r="C221" i="5"/>
  <c r="B221" i="5"/>
  <c r="A221" i="5"/>
  <c r="F220" i="5"/>
  <c r="E220" i="5"/>
  <c r="D220" i="5"/>
  <c r="C220" i="5"/>
  <c r="B220" i="5"/>
  <c r="A220" i="5"/>
  <c r="F219" i="5"/>
  <c r="E219" i="5"/>
  <c r="D219" i="5"/>
  <c r="C219" i="5"/>
  <c r="B219" i="5"/>
  <c r="A219" i="5"/>
  <c r="F218" i="5"/>
  <c r="E218" i="5"/>
  <c r="D218" i="5"/>
  <c r="C218" i="5"/>
  <c r="B218" i="5"/>
  <c r="A218" i="5"/>
  <c r="F217" i="5"/>
  <c r="E217" i="5"/>
  <c r="D217" i="5"/>
  <c r="C217" i="5"/>
  <c r="B217" i="5"/>
  <c r="A217" i="5"/>
  <c r="F216" i="5"/>
  <c r="E216" i="5"/>
  <c r="D216" i="5"/>
  <c r="C216" i="5"/>
  <c r="B216" i="5"/>
  <c r="A216" i="5"/>
  <c r="F215" i="5"/>
  <c r="E215" i="5"/>
  <c r="D215" i="5"/>
  <c r="C215" i="5"/>
  <c r="B215" i="5"/>
  <c r="A215" i="5"/>
  <c r="F214" i="5"/>
  <c r="E214" i="5"/>
  <c r="D214" i="5"/>
  <c r="C214" i="5"/>
  <c r="B214" i="5"/>
  <c r="A214" i="5"/>
  <c r="F213" i="5"/>
  <c r="E213" i="5"/>
  <c r="D213" i="5"/>
  <c r="C213" i="5"/>
  <c r="B213" i="5"/>
  <c r="A213" i="5"/>
  <c r="F212" i="5"/>
  <c r="E212" i="5"/>
  <c r="D212" i="5"/>
  <c r="C212" i="5"/>
  <c r="B212" i="5"/>
  <c r="A212" i="5"/>
  <c r="F211" i="5"/>
  <c r="E211" i="5"/>
  <c r="D211" i="5"/>
  <c r="C211" i="5"/>
  <c r="B211" i="5"/>
  <c r="A211" i="5"/>
  <c r="F210" i="5"/>
  <c r="E210" i="5"/>
  <c r="D210" i="5"/>
  <c r="C210" i="5"/>
  <c r="B210" i="5"/>
  <c r="A210" i="5"/>
  <c r="F209" i="5"/>
  <c r="E209" i="5"/>
  <c r="D209" i="5"/>
  <c r="C209" i="5"/>
  <c r="B209" i="5"/>
  <c r="A209" i="5"/>
  <c r="F208" i="5"/>
  <c r="E208" i="5"/>
  <c r="D208" i="5"/>
  <c r="C208" i="5"/>
  <c r="B208" i="5"/>
  <c r="A208" i="5"/>
  <c r="F207" i="5"/>
  <c r="E207" i="5"/>
  <c r="D207" i="5"/>
  <c r="C207" i="5"/>
  <c r="B207" i="5"/>
  <c r="A207" i="5"/>
  <c r="F206" i="5"/>
  <c r="E206" i="5"/>
  <c r="D206" i="5"/>
  <c r="C206" i="5"/>
  <c r="B206" i="5"/>
  <c r="A206" i="5"/>
  <c r="F205" i="5"/>
  <c r="E205" i="5"/>
  <c r="D205" i="5"/>
  <c r="C205" i="5"/>
  <c r="B205" i="5"/>
  <c r="A205" i="5"/>
  <c r="F204" i="5"/>
  <c r="E204" i="5"/>
  <c r="D204" i="5"/>
  <c r="C204" i="5"/>
  <c r="B204" i="5"/>
  <c r="A204" i="5"/>
  <c r="F203" i="5"/>
  <c r="E203" i="5"/>
  <c r="D203" i="5"/>
  <c r="C203" i="5"/>
  <c r="B203" i="5"/>
  <c r="A203" i="5"/>
  <c r="F202" i="5"/>
  <c r="E202" i="5"/>
  <c r="D202" i="5"/>
  <c r="C202" i="5"/>
  <c r="B202" i="5"/>
  <c r="A202" i="5"/>
  <c r="F201" i="5"/>
  <c r="E201" i="5"/>
  <c r="D201" i="5"/>
  <c r="C201" i="5"/>
  <c r="B201" i="5"/>
  <c r="A201" i="5"/>
  <c r="F200" i="5"/>
  <c r="E200" i="5"/>
  <c r="D200" i="5"/>
  <c r="C200" i="5"/>
  <c r="B200" i="5"/>
  <c r="A200" i="5"/>
  <c r="F199" i="5"/>
  <c r="E199" i="5"/>
  <c r="D199" i="5"/>
  <c r="C199" i="5"/>
  <c r="B199" i="5"/>
  <c r="A199" i="5"/>
  <c r="F198" i="5"/>
  <c r="E198" i="5"/>
  <c r="D198" i="5"/>
  <c r="C198" i="5"/>
  <c r="B198" i="5"/>
  <c r="A198" i="5"/>
  <c r="F197" i="5"/>
  <c r="E197" i="5"/>
  <c r="D197" i="5"/>
  <c r="C197" i="5"/>
  <c r="B197" i="5"/>
  <c r="A197" i="5"/>
  <c r="F196" i="5"/>
  <c r="E196" i="5"/>
  <c r="D196" i="5"/>
  <c r="C196" i="5"/>
  <c r="B196" i="5"/>
  <c r="A196" i="5"/>
  <c r="F195" i="5"/>
  <c r="E195" i="5"/>
  <c r="D195" i="5"/>
  <c r="C195" i="5"/>
  <c r="B195" i="5"/>
  <c r="A195" i="5"/>
  <c r="F194" i="5"/>
  <c r="E194" i="5"/>
  <c r="D194" i="5"/>
  <c r="C194" i="5"/>
  <c r="B194" i="5"/>
  <c r="A194" i="5"/>
  <c r="F193" i="5"/>
  <c r="E193" i="5"/>
  <c r="D193" i="5"/>
  <c r="C193" i="5"/>
  <c r="B193" i="5"/>
  <c r="A193" i="5"/>
  <c r="F192" i="5"/>
  <c r="E192" i="5"/>
  <c r="D192" i="5"/>
  <c r="C192" i="5"/>
  <c r="B192" i="5"/>
  <c r="A192" i="5"/>
  <c r="F191" i="5"/>
  <c r="E191" i="5"/>
  <c r="D191" i="5"/>
  <c r="C191" i="5"/>
  <c r="B191" i="5"/>
  <c r="A191" i="5"/>
  <c r="F190" i="5"/>
  <c r="E190" i="5"/>
  <c r="D190" i="5"/>
  <c r="C190" i="5"/>
  <c r="B190" i="5"/>
  <c r="A190" i="5"/>
  <c r="F189" i="5"/>
  <c r="E189" i="5"/>
  <c r="D189" i="5"/>
  <c r="C189" i="5"/>
  <c r="B189" i="5"/>
  <c r="A189" i="5"/>
  <c r="F188" i="5"/>
  <c r="E188" i="5"/>
  <c r="D188" i="5"/>
  <c r="C188" i="5"/>
  <c r="B188" i="5"/>
  <c r="A188" i="5"/>
  <c r="F187" i="5"/>
  <c r="E187" i="5"/>
  <c r="D187" i="5"/>
  <c r="C187" i="5"/>
  <c r="B187" i="5"/>
  <c r="A187" i="5"/>
  <c r="F186" i="5"/>
  <c r="E186" i="5"/>
  <c r="D186" i="5"/>
  <c r="C186" i="5"/>
  <c r="B186" i="5"/>
  <c r="A186" i="5"/>
  <c r="F185" i="5"/>
  <c r="E185" i="5"/>
  <c r="D185" i="5"/>
  <c r="C185" i="5"/>
  <c r="B185" i="5"/>
  <c r="A185" i="5"/>
  <c r="F184" i="5"/>
  <c r="E184" i="5"/>
  <c r="D184" i="5"/>
  <c r="C184" i="5"/>
  <c r="B184" i="5"/>
  <c r="A184" i="5"/>
  <c r="F183" i="5"/>
  <c r="E183" i="5"/>
  <c r="D183" i="5"/>
  <c r="C183" i="5"/>
  <c r="B183" i="5"/>
  <c r="A183" i="5"/>
  <c r="F182" i="5"/>
  <c r="E182" i="5"/>
  <c r="D182" i="5"/>
  <c r="C182" i="5"/>
  <c r="B182" i="5"/>
  <c r="A182" i="5"/>
  <c r="F181" i="5"/>
  <c r="E181" i="5"/>
  <c r="D181" i="5"/>
  <c r="C181" i="5"/>
  <c r="B181" i="5"/>
  <c r="A181" i="5"/>
  <c r="F180" i="5"/>
  <c r="E180" i="5"/>
  <c r="D180" i="5"/>
  <c r="C180" i="5"/>
  <c r="B180" i="5"/>
  <c r="A180" i="5"/>
  <c r="F179" i="5"/>
  <c r="E179" i="5"/>
  <c r="D179" i="5"/>
  <c r="C179" i="5"/>
  <c r="B179" i="5"/>
  <c r="A179" i="5"/>
  <c r="F178" i="5"/>
  <c r="E178" i="5"/>
  <c r="D178" i="5"/>
  <c r="C178" i="5"/>
  <c r="B178" i="5"/>
  <c r="A178" i="5"/>
  <c r="F177" i="5"/>
  <c r="E177" i="5"/>
  <c r="D177" i="5"/>
  <c r="C177" i="5"/>
  <c r="B177" i="5"/>
  <c r="A177" i="5"/>
  <c r="F176" i="5"/>
  <c r="E176" i="5"/>
  <c r="D176" i="5"/>
  <c r="C176" i="5"/>
  <c r="B176" i="5"/>
  <c r="A176" i="5"/>
  <c r="F175" i="5"/>
  <c r="E175" i="5"/>
  <c r="D175" i="5"/>
  <c r="C175" i="5"/>
  <c r="B175" i="5"/>
  <c r="A175" i="5"/>
  <c r="F174" i="5"/>
  <c r="E174" i="5"/>
  <c r="D174" i="5"/>
  <c r="C174" i="5"/>
  <c r="B174" i="5"/>
  <c r="A174" i="5"/>
  <c r="F173" i="5"/>
  <c r="E173" i="5"/>
  <c r="D173" i="5"/>
  <c r="C173" i="5"/>
  <c r="B173" i="5"/>
  <c r="A173" i="5"/>
  <c r="F172" i="5"/>
  <c r="E172" i="5"/>
  <c r="D172" i="5"/>
  <c r="C172" i="5"/>
  <c r="B172" i="5"/>
  <c r="A172" i="5"/>
  <c r="F171" i="5"/>
  <c r="E171" i="5"/>
  <c r="D171" i="5"/>
  <c r="C171" i="5"/>
  <c r="B171" i="5"/>
  <c r="A171" i="5"/>
  <c r="F170" i="5"/>
  <c r="E170" i="5"/>
  <c r="D170" i="5"/>
  <c r="C170" i="5"/>
  <c r="B170" i="5"/>
  <c r="A170" i="5"/>
  <c r="F169" i="5"/>
  <c r="E169" i="5"/>
  <c r="D169" i="5"/>
  <c r="C169" i="5"/>
  <c r="B169" i="5"/>
  <c r="A169" i="5"/>
  <c r="F168" i="5"/>
  <c r="E168" i="5"/>
  <c r="D168" i="5"/>
  <c r="C168" i="5"/>
  <c r="B168" i="5"/>
  <c r="A168" i="5"/>
  <c r="F167" i="5"/>
  <c r="E167" i="5"/>
  <c r="D167" i="5"/>
  <c r="C167" i="5"/>
  <c r="B167" i="5"/>
  <c r="A167" i="5"/>
  <c r="F166" i="5"/>
  <c r="E166" i="5"/>
  <c r="D166" i="5"/>
  <c r="C166" i="5"/>
  <c r="B166" i="5"/>
  <c r="A166" i="5"/>
  <c r="F165" i="5"/>
  <c r="E165" i="5"/>
  <c r="D165" i="5"/>
  <c r="C165" i="5"/>
  <c r="B165" i="5"/>
  <c r="A165" i="5"/>
  <c r="F164" i="5"/>
  <c r="E164" i="5"/>
  <c r="D164" i="5"/>
  <c r="C164" i="5"/>
  <c r="B164" i="5"/>
  <c r="A164" i="5"/>
  <c r="F163" i="5"/>
  <c r="E163" i="5"/>
  <c r="D163" i="5"/>
  <c r="C163" i="5"/>
  <c r="B163" i="5"/>
  <c r="A163" i="5"/>
  <c r="F162" i="5"/>
  <c r="E162" i="5"/>
  <c r="D162" i="5"/>
  <c r="C162" i="5"/>
  <c r="B162" i="5"/>
  <c r="A162" i="5"/>
  <c r="F161" i="5"/>
  <c r="E161" i="5"/>
  <c r="D161" i="5"/>
  <c r="C161" i="5"/>
  <c r="B161" i="5"/>
  <c r="A161" i="5"/>
  <c r="F160" i="5"/>
  <c r="E160" i="5"/>
  <c r="D160" i="5"/>
  <c r="C160" i="5"/>
  <c r="B160" i="5"/>
  <c r="A160" i="5"/>
  <c r="F159" i="5"/>
  <c r="E159" i="5"/>
  <c r="D159" i="5"/>
  <c r="C159" i="5"/>
  <c r="B159" i="5"/>
  <c r="A159" i="5"/>
  <c r="F158" i="5"/>
  <c r="E158" i="5"/>
  <c r="D158" i="5"/>
  <c r="C158" i="5"/>
  <c r="B158" i="5"/>
  <c r="A158" i="5"/>
  <c r="F157" i="5"/>
  <c r="E157" i="5"/>
  <c r="D157" i="5"/>
  <c r="C157" i="5"/>
  <c r="B157" i="5"/>
  <c r="A157" i="5"/>
  <c r="F156" i="5"/>
  <c r="E156" i="5"/>
  <c r="D156" i="5"/>
  <c r="C156" i="5"/>
  <c r="B156" i="5"/>
  <c r="A156" i="5"/>
  <c r="F155" i="5"/>
  <c r="E155" i="5"/>
  <c r="D155" i="5"/>
  <c r="C155" i="5"/>
  <c r="B155" i="5"/>
  <c r="A155" i="5"/>
  <c r="F154" i="5"/>
  <c r="E154" i="5"/>
  <c r="D154" i="5"/>
  <c r="C154" i="5"/>
  <c r="B154" i="5"/>
  <c r="A154" i="5"/>
  <c r="F153" i="5"/>
  <c r="E153" i="5"/>
  <c r="D153" i="5"/>
  <c r="C153" i="5"/>
  <c r="B153" i="5"/>
  <c r="A153" i="5"/>
  <c r="F152" i="5"/>
  <c r="E152" i="5"/>
  <c r="D152" i="5"/>
  <c r="C152" i="5"/>
  <c r="B152" i="5"/>
  <c r="A152" i="5"/>
  <c r="F151" i="5"/>
  <c r="E151" i="5"/>
  <c r="D151" i="5"/>
  <c r="C151" i="5"/>
  <c r="B151" i="5"/>
  <c r="A151" i="5"/>
  <c r="F150" i="5"/>
  <c r="E150" i="5"/>
  <c r="D150" i="5"/>
  <c r="C150" i="5"/>
  <c r="B150" i="5"/>
  <c r="A150" i="5"/>
  <c r="F149" i="5"/>
  <c r="E149" i="5"/>
  <c r="D149" i="5"/>
  <c r="C149" i="5"/>
  <c r="B149" i="5"/>
  <c r="A149" i="5"/>
  <c r="F148" i="5"/>
  <c r="E148" i="5"/>
  <c r="D148" i="5"/>
  <c r="C148" i="5"/>
  <c r="B148" i="5"/>
  <c r="A148" i="5"/>
  <c r="F147" i="5"/>
  <c r="E147" i="5"/>
  <c r="D147" i="5"/>
  <c r="C147" i="5"/>
  <c r="B147" i="5"/>
  <c r="A147" i="5"/>
  <c r="F146" i="5"/>
  <c r="E146" i="5"/>
  <c r="D146" i="5"/>
  <c r="C146" i="5"/>
  <c r="B146" i="5"/>
  <c r="A146" i="5"/>
  <c r="F145" i="5"/>
  <c r="E145" i="5"/>
  <c r="D145" i="5"/>
  <c r="C145" i="5"/>
  <c r="B145" i="5"/>
  <c r="A145" i="5"/>
  <c r="F144" i="5"/>
  <c r="E144" i="5"/>
  <c r="D144" i="5"/>
  <c r="C144" i="5"/>
  <c r="B144" i="5"/>
  <c r="A144" i="5"/>
  <c r="F143" i="5"/>
  <c r="E143" i="5"/>
  <c r="D143" i="5"/>
  <c r="C143" i="5"/>
  <c r="B143" i="5"/>
  <c r="A143" i="5"/>
  <c r="F142" i="5"/>
  <c r="E142" i="5"/>
  <c r="D142" i="5"/>
  <c r="C142" i="5"/>
  <c r="B142" i="5"/>
  <c r="A142" i="5"/>
  <c r="F141" i="5"/>
  <c r="E141" i="5"/>
  <c r="D141" i="5"/>
  <c r="C141" i="5"/>
  <c r="B141" i="5"/>
  <c r="A141" i="5"/>
  <c r="F140" i="5"/>
  <c r="E140" i="5"/>
  <c r="D140" i="5"/>
  <c r="C140" i="5"/>
  <c r="B140" i="5"/>
  <c r="A140" i="5"/>
  <c r="F139" i="5"/>
  <c r="E139" i="5"/>
  <c r="D139" i="5"/>
  <c r="C139" i="5"/>
  <c r="B139" i="5"/>
  <c r="A139" i="5"/>
  <c r="F138" i="5"/>
  <c r="E138" i="5"/>
  <c r="D138" i="5"/>
  <c r="C138" i="5"/>
  <c r="B138" i="5"/>
  <c r="A138" i="5"/>
  <c r="F137" i="5"/>
  <c r="E137" i="5"/>
  <c r="D137" i="5"/>
  <c r="C137" i="5"/>
  <c r="B137" i="5"/>
  <c r="A137" i="5"/>
  <c r="F136" i="5"/>
  <c r="E136" i="5"/>
  <c r="D136" i="5"/>
  <c r="C136" i="5"/>
  <c r="B136" i="5"/>
  <c r="A136" i="5"/>
  <c r="F135" i="5"/>
  <c r="E135" i="5"/>
  <c r="D135" i="5"/>
  <c r="C135" i="5"/>
  <c r="B135" i="5"/>
  <c r="A135" i="5"/>
  <c r="F134" i="5"/>
  <c r="E134" i="5"/>
  <c r="D134" i="5"/>
  <c r="C134" i="5"/>
  <c r="B134" i="5"/>
  <c r="A134" i="5"/>
  <c r="F133" i="5"/>
  <c r="E133" i="5"/>
  <c r="D133" i="5"/>
  <c r="C133" i="5"/>
  <c r="B133" i="5"/>
  <c r="A133" i="5"/>
  <c r="F132" i="5"/>
  <c r="E132" i="5"/>
  <c r="D132" i="5"/>
  <c r="C132" i="5"/>
  <c r="B132" i="5"/>
  <c r="A132" i="5"/>
  <c r="F131" i="5"/>
  <c r="E131" i="5"/>
  <c r="D131" i="5"/>
  <c r="C131" i="5"/>
  <c r="B131" i="5"/>
  <c r="A131" i="5"/>
  <c r="F130" i="5"/>
  <c r="E130" i="5"/>
  <c r="D130" i="5"/>
  <c r="C130" i="5"/>
  <c r="B130" i="5"/>
  <c r="A130" i="5"/>
  <c r="F129" i="5"/>
  <c r="E129" i="5"/>
  <c r="D129" i="5"/>
  <c r="C129" i="5"/>
  <c r="B129" i="5"/>
  <c r="A129" i="5"/>
  <c r="F128" i="5"/>
  <c r="E128" i="5"/>
  <c r="D128" i="5"/>
  <c r="C128" i="5"/>
  <c r="B128" i="5"/>
  <c r="A128" i="5"/>
  <c r="F127" i="5"/>
  <c r="E127" i="5"/>
  <c r="D127" i="5"/>
  <c r="C127" i="5"/>
  <c r="B127" i="5"/>
  <c r="A127" i="5"/>
  <c r="F126" i="5"/>
  <c r="E126" i="5"/>
  <c r="D126" i="5"/>
  <c r="C126" i="5"/>
  <c r="B126" i="5"/>
  <c r="A126" i="5"/>
  <c r="F125" i="5"/>
  <c r="E125" i="5"/>
  <c r="D125" i="5"/>
  <c r="C125" i="5"/>
  <c r="B125" i="5"/>
  <c r="A125" i="5"/>
  <c r="F124" i="5"/>
  <c r="E124" i="5"/>
  <c r="D124" i="5"/>
  <c r="C124" i="5"/>
  <c r="B124" i="5"/>
  <c r="A124" i="5"/>
  <c r="F123" i="5"/>
  <c r="E123" i="5"/>
  <c r="D123" i="5"/>
  <c r="C123" i="5"/>
  <c r="B123" i="5"/>
  <c r="A123" i="5"/>
  <c r="F122" i="5"/>
  <c r="E122" i="5"/>
  <c r="D122" i="5"/>
  <c r="C122" i="5"/>
  <c r="B122" i="5"/>
  <c r="A122" i="5"/>
  <c r="F121" i="5"/>
  <c r="E121" i="5"/>
  <c r="D121" i="5"/>
  <c r="C121" i="5"/>
  <c r="B121" i="5"/>
  <c r="A121" i="5"/>
  <c r="F120" i="5"/>
  <c r="E120" i="5"/>
  <c r="D120" i="5"/>
  <c r="C120" i="5"/>
  <c r="B120" i="5"/>
  <c r="A120" i="5"/>
  <c r="F119" i="5"/>
  <c r="E119" i="5"/>
  <c r="D119" i="5"/>
  <c r="C119" i="5"/>
  <c r="B119" i="5"/>
  <c r="A119" i="5"/>
  <c r="F118" i="5"/>
  <c r="E118" i="5"/>
  <c r="D118" i="5"/>
  <c r="C118" i="5"/>
  <c r="B118" i="5"/>
  <c r="A118" i="5"/>
  <c r="F117" i="5"/>
  <c r="E117" i="5"/>
  <c r="D117" i="5"/>
  <c r="C117" i="5"/>
  <c r="B117" i="5"/>
  <c r="A117" i="5"/>
  <c r="F116" i="5"/>
  <c r="E116" i="5"/>
  <c r="D116" i="5"/>
  <c r="C116" i="5"/>
  <c r="B116" i="5"/>
  <c r="A116" i="5"/>
  <c r="F115" i="5"/>
  <c r="E115" i="5"/>
  <c r="D115" i="5"/>
  <c r="C115" i="5"/>
  <c r="B115" i="5"/>
  <c r="A115" i="5"/>
  <c r="F114" i="5"/>
  <c r="E114" i="5"/>
  <c r="D114" i="5"/>
  <c r="C114" i="5"/>
  <c r="B114" i="5"/>
  <c r="A114" i="5"/>
  <c r="F113" i="5"/>
  <c r="E113" i="5"/>
  <c r="D113" i="5"/>
  <c r="C113" i="5"/>
  <c r="B113" i="5"/>
  <c r="A113" i="5"/>
  <c r="F112" i="5"/>
  <c r="E112" i="5"/>
  <c r="D112" i="5"/>
  <c r="C112" i="5"/>
  <c r="B112" i="5"/>
  <c r="A112" i="5"/>
  <c r="F111" i="5"/>
  <c r="E111" i="5"/>
  <c r="D111" i="5"/>
  <c r="C111" i="5"/>
  <c r="B111" i="5"/>
  <c r="A111" i="5"/>
  <c r="F110" i="5"/>
  <c r="E110" i="5"/>
  <c r="D110" i="5"/>
  <c r="C110" i="5"/>
  <c r="B110" i="5"/>
  <c r="A110" i="5"/>
  <c r="F109" i="5"/>
  <c r="E109" i="5"/>
  <c r="D109" i="5"/>
  <c r="C109" i="5"/>
  <c r="B109" i="5"/>
  <c r="A109" i="5"/>
  <c r="F108" i="5"/>
  <c r="E108" i="5"/>
  <c r="D108" i="5"/>
  <c r="C108" i="5"/>
  <c r="B108" i="5"/>
  <c r="A108" i="5"/>
  <c r="F107" i="5"/>
  <c r="E107" i="5"/>
  <c r="D107" i="5"/>
  <c r="C107" i="5"/>
  <c r="B107" i="5"/>
  <c r="A107" i="5"/>
  <c r="F106" i="5"/>
  <c r="E106" i="5"/>
  <c r="D106" i="5"/>
  <c r="C106" i="5"/>
  <c r="B106" i="5"/>
  <c r="A106" i="5"/>
  <c r="F105" i="5"/>
  <c r="E105" i="5"/>
  <c r="D105" i="5"/>
  <c r="C105" i="5"/>
  <c r="B105" i="5"/>
  <c r="A105" i="5"/>
  <c r="F104" i="5"/>
  <c r="E104" i="5"/>
  <c r="D104" i="5"/>
  <c r="C104" i="5"/>
  <c r="B104" i="5"/>
  <c r="A104" i="5"/>
  <c r="F103" i="5"/>
  <c r="E103" i="5"/>
  <c r="D103" i="5"/>
  <c r="C103" i="5"/>
  <c r="B103" i="5"/>
  <c r="A103" i="5"/>
  <c r="F102" i="5"/>
  <c r="E102" i="5"/>
  <c r="D102" i="5"/>
  <c r="C102" i="5"/>
  <c r="B102" i="5"/>
  <c r="A102" i="5"/>
  <c r="F101" i="5"/>
  <c r="E101" i="5"/>
  <c r="D101" i="5"/>
  <c r="C101" i="5"/>
  <c r="B101" i="5"/>
  <c r="A101" i="5"/>
  <c r="F100" i="5"/>
  <c r="E100" i="5"/>
  <c r="D100" i="5"/>
  <c r="C100" i="5"/>
  <c r="B100" i="5"/>
  <c r="A100" i="5"/>
  <c r="F99" i="5"/>
  <c r="E99" i="5"/>
  <c r="D99" i="5"/>
  <c r="C99" i="5"/>
  <c r="B99" i="5"/>
  <c r="A99" i="5"/>
  <c r="F98" i="5"/>
  <c r="E98" i="5"/>
  <c r="D98" i="5"/>
  <c r="C98" i="5"/>
  <c r="B98" i="5"/>
  <c r="A98" i="5"/>
  <c r="F97" i="5"/>
  <c r="E97" i="5"/>
  <c r="D97" i="5"/>
  <c r="C97" i="5"/>
  <c r="B97" i="5"/>
  <c r="A97" i="5"/>
  <c r="F96" i="5"/>
  <c r="E96" i="5"/>
  <c r="D96" i="5"/>
  <c r="C96" i="5"/>
  <c r="B96" i="5"/>
  <c r="A96" i="5"/>
  <c r="F95" i="5"/>
  <c r="E95" i="5"/>
  <c r="D95" i="5"/>
  <c r="C95" i="5"/>
  <c r="B95" i="5"/>
  <c r="A95" i="5"/>
  <c r="F94" i="5"/>
  <c r="E94" i="5"/>
  <c r="D94" i="5"/>
  <c r="C94" i="5"/>
  <c r="B94" i="5"/>
  <c r="A94" i="5"/>
  <c r="F93" i="5"/>
  <c r="E93" i="5"/>
  <c r="D93" i="5"/>
  <c r="C93" i="5"/>
  <c r="B93" i="5"/>
  <c r="A93" i="5"/>
  <c r="F92" i="5"/>
  <c r="E92" i="5"/>
  <c r="D92" i="5"/>
  <c r="C92" i="5"/>
  <c r="B92" i="5"/>
  <c r="A92" i="5"/>
  <c r="F91" i="5"/>
  <c r="E91" i="5"/>
  <c r="D91" i="5"/>
  <c r="C91" i="5"/>
  <c r="B91" i="5"/>
  <c r="A91" i="5"/>
  <c r="F90" i="5"/>
  <c r="E90" i="5"/>
  <c r="D90" i="5"/>
  <c r="C90" i="5"/>
  <c r="B90" i="5"/>
  <c r="A90" i="5"/>
  <c r="F89" i="5"/>
  <c r="E89" i="5"/>
  <c r="D89" i="5"/>
  <c r="C89" i="5"/>
  <c r="B89" i="5"/>
  <c r="A89" i="5"/>
  <c r="F88" i="5"/>
  <c r="E88" i="5"/>
  <c r="D88" i="5"/>
  <c r="C88" i="5"/>
  <c r="B88" i="5"/>
  <c r="A88" i="5"/>
  <c r="F87" i="5"/>
  <c r="E87" i="5"/>
  <c r="D87" i="5"/>
  <c r="C87" i="5"/>
  <c r="B87" i="5"/>
  <c r="A87" i="5"/>
  <c r="F86" i="5"/>
  <c r="E86" i="5"/>
  <c r="D86" i="5"/>
  <c r="C86" i="5"/>
  <c r="B86" i="5"/>
  <c r="A86" i="5"/>
  <c r="F85" i="5"/>
  <c r="E85" i="5"/>
  <c r="D85" i="5"/>
  <c r="C85" i="5"/>
  <c r="B85" i="5"/>
  <c r="A85" i="5"/>
  <c r="F84" i="5"/>
  <c r="E84" i="5"/>
  <c r="D84" i="5"/>
  <c r="C84" i="5"/>
  <c r="B84" i="5"/>
  <c r="A84" i="5"/>
  <c r="F83" i="5"/>
  <c r="E83" i="5"/>
  <c r="D83" i="5"/>
  <c r="C83" i="5"/>
  <c r="B83" i="5"/>
  <c r="A83" i="5"/>
  <c r="F82" i="5"/>
  <c r="E82" i="5"/>
  <c r="D82" i="5"/>
  <c r="C82" i="5"/>
  <c r="B82" i="5"/>
  <c r="A82" i="5"/>
  <c r="F81" i="5"/>
  <c r="E81" i="5"/>
  <c r="D81" i="5"/>
  <c r="C81" i="5"/>
  <c r="B81" i="5"/>
  <c r="A81" i="5"/>
  <c r="F80" i="5"/>
  <c r="E80" i="5"/>
  <c r="D80" i="5"/>
  <c r="C80" i="5"/>
  <c r="B80" i="5"/>
  <c r="A80" i="5"/>
  <c r="F79" i="5"/>
  <c r="E79" i="5"/>
  <c r="D79" i="5"/>
  <c r="C79" i="5"/>
  <c r="B79" i="5"/>
  <c r="A79" i="5"/>
  <c r="F78" i="5"/>
  <c r="E78" i="5"/>
  <c r="D78" i="5"/>
  <c r="C78" i="5"/>
  <c r="B78" i="5"/>
  <c r="A78" i="5"/>
  <c r="F77" i="5"/>
  <c r="E77" i="5"/>
  <c r="D77" i="5"/>
  <c r="C77" i="5"/>
  <c r="B77" i="5"/>
  <c r="A77" i="5"/>
  <c r="F76" i="5"/>
  <c r="E76" i="5"/>
  <c r="D76" i="5"/>
  <c r="C76" i="5"/>
  <c r="B76" i="5"/>
  <c r="A76" i="5"/>
  <c r="F75" i="5"/>
  <c r="E75" i="5"/>
  <c r="D75" i="5"/>
  <c r="C75" i="5"/>
  <c r="B75" i="5"/>
  <c r="A75" i="5"/>
  <c r="F74" i="5"/>
  <c r="E74" i="5"/>
  <c r="D74" i="5"/>
  <c r="C74" i="5"/>
  <c r="B74" i="5"/>
  <c r="A74" i="5"/>
  <c r="F73" i="5"/>
  <c r="E73" i="5"/>
  <c r="D73" i="5"/>
  <c r="C73" i="5"/>
  <c r="B73" i="5"/>
  <c r="A73" i="5"/>
  <c r="F72" i="5"/>
  <c r="E72" i="5"/>
  <c r="D72" i="5"/>
  <c r="C72" i="5"/>
  <c r="B72" i="5"/>
  <c r="A72" i="5"/>
  <c r="F71" i="5"/>
  <c r="E71" i="5"/>
  <c r="D71" i="5"/>
  <c r="C71" i="5"/>
  <c r="B71" i="5"/>
  <c r="A71" i="5"/>
  <c r="F70" i="5"/>
  <c r="E70" i="5"/>
  <c r="D70" i="5"/>
  <c r="C70" i="5"/>
  <c r="B70" i="5"/>
  <c r="A70" i="5"/>
  <c r="F69" i="5"/>
  <c r="E69" i="5"/>
  <c r="D69" i="5"/>
  <c r="C69" i="5"/>
  <c r="B69" i="5"/>
  <c r="A69" i="5"/>
  <c r="F68" i="5"/>
  <c r="E68" i="5"/>
  <c r="D68" i="5"/>
  <c r="C68" i="5"/>
  <c r="B68" i="5"/>
  <c r="A68" i="5"/>
  <c r="F67" i="5"/>
  <c r="E67" i="5"/>
  <c r="D67" i="5"/>
  <c r="C67" i="5"/>
  <c r="B67" i="5"/>
  <c r="A67" i="5"/>
  <c r="F66" i="5"/>
  <c r="E66" i="5"/>
  <c r="D66" i="5"/>
  <c r="C66" i="5"/>
  <c r="B66" i="5"/>
  <c r="A66" i="5"/>
  <c r="F65" i="5"/>
  <c r="E65" i="5"/>
  <c r="D65" i="5"/>
  <c r="C65" i="5"/>
  <c r="B65" i="5"/>
  <c r="A65" i="5"/>
  <c r="F64" i="5"/>
  <c r="E64" i="5"/>
  <c r="D64" i="5"/>
  <c r="C64" i="5"/>
  <c r="B64" i="5"/>
  <c r="A64" i="5"/>
  <c r="F63" i="5"/>
  <c r="E63" i="5"/>
  <c r="D63" i="5"/>
  <c r="C63" i="5"/>
  <c r="B63" i="5"/>
  <c r="A63" i="5"/>
  <c r="F62" i="5"/>
  <c r="E62" i="5"/>
  <c r="D62" i="5"/>
  <c r="C62" i="5"/>
  <c r="B62" i="5"/>
  <c r="A62" i="5"/>
  <c r="F61" i="5"/>
  <c r="E61" i="5"/>
  <c r="D61" i="5"/>
  <c r="C61" i="5"/>
  <c r="B61" i="5"/>
  <c r="A61" i="5"/>
  <c r="F60" i="5"/>
  <c r="E60" i="5"/>
  <c r="D60" i="5"/>
  <c r="C60" i="5"/>
  <c r="B60" i="5"/>
  <c r="A60" i="5"/>
  <c r="F59" i="5"/>
  <c r="E59" i="5"/>
  <c r="D59" i="5"/>
  <c r="C59" i="5"/>
  <c r="B59" i="5"/>
  <c r="A59" i="5"/>
  <c r="F58" i="5"/>
  <c r="E58" i="5"/>
  <c r="D58" i="5"/>
  <c r="C58" i="5"/>
  <c r="B58" i="5"/>
  <c r="A58" i="5"/>
  <c r="F57" i="5"/>
  <c r="E57" i="5"/>
  <c r="D57" i="5"/>
  <c r="C57" i="5"/>
  <c r="B57" i="5"/>
  <c r="A57" i="5"/>
  <c r="F56" i="5"/>
  <c r="E56" i="5"/>
  <c r="D56" i="5"/>
  <c r="C56" i="5"/>
  <c r="B56" i="5"/>
  <c r="A56" i="5"/>
  <c r="F55" i="5"/>
  <c r="E55" i="5"/>
  <c r="D55" i="5"/>
  <c r="C55" i="5"/>
  <c r="B55" i="5"/>
  <c r="A55" i="5"/>
  <c r="F54" i="5"/>
  <c r="E54" i="5"/>
  <c r="D54" i="5"/>
  <c r="C54" i="5"/>
  <c r="B54" i="5"/>
  <c r="A54" i="5"/>
  <c r="F53" i="5"/>
  <c r="E53" i="5"/>
  <c r="D53" i="5"/>
  <c r="C53" i="5"/>
  <c r="B53" i="5"/>
  <c r="A53" i="5"/>
  <c r="F52" i="5"/>
  <c r="E52" i="5"/>
  <c r="D52" i="5"/>
  <c r="C52" i="5"/>
  <c r="B52" i="5"/>
  <c r="A52" i="5"/>
  <c r="F51" i="5"/>
  <c r="E51" i="5"/>
  <c r="D51" i="5"/>
  <c r="C51" i="5"/>
  <c r="B51" i="5"/>
  <c r="A51" i="5"/>
  <c r="F50" i="5"/>
  <c r="E50" i="5"/>
  <c r="D50" i="5"/>
  <c r="C50" i="5"/>
  <c r="B50" i="5"/>
  <c r="A50" i="5"/>
  <c r="F49" i="5"/>
  <c r="E49" i="5"/>
  <c r="D49" i="5"/>
  <c r="C49" i="5"/>
  <c r="B49" i="5"/>
  <c r="A49" i="5"/>
  <c r="F48" i="5"/>
  <c r="E48" i="5"/>
  <c r="D48" i="5"/>
  <c r="C48" i="5"/>
  <c r="B48" i="5"/>
  <c r="A48" i="5"/>
  <c r="F47" i="5"/>
  <c r="E47" i="5"/>
  <c r="D47" i="5"/>
  <c r="C47" i="5"/>
  <c r="B47" i="5"/>
  <c r="A47" i="5"/>
  <c r="F46" i="5"/>
  <c r="E46" i="5"/>
  <c r="D46" i="5"/>
  <c r="C46" i="5"/>
  <c r="B46" i="5"/>
  <c r="A46" i="5"/>
  <c r="F45" i="5"/>
  <c r="E45" i="5"/>
  <c r="D45" i="5"/>
  <c r="C45" i="5"/>
  <c r="B45" i="5"/>
  <c r="A45" i="5"/>
  <c r="F44" i="5"/>
  <c r="E44" i="5"/>
  <c r="D44" i="5"/>
  <c r="C44" i="5"/>
  <c r="B44" i="5"/>
  <c r="A44" i="5"/>
  <c r="F43" i="5"/>
  <c r="E43" i="5"/>
  <c r="D43" i="5"/>
  <c r="C43" i="5"/>
  <c r="B43" i="5"/>
  <c r="A43" i="5"/>
  <c r="F42" i="5"/>
  <c r="E42" i="5"/>
  <c r="D42" i="5"/>
  <c r="C42" i="5"/>
  <c r="B42" i="5"/>
  <c r="A42" i="5"/>
  <c r="F41" i="5"/>
  <c r="E41" i="5"/>
  <c r="D41" i="5"/>
  <c r="C41" i="5"/>
  <c r="B41" i="5"/>
  <c r="A41" i="5"/>
  <c r="F40" i="5"/>
  <c r="E40" i="5"/>
  <c r="D40" i="5"/>
  <c r="C40" i="5"/>
  <c r="B40" i="5"/>
  <c r="A40" i="5"/>
  <c r="F39" i="5"/>
  <c r="E39" i="5"/>
  <c r="D39" i="5"/>
  <c r="C39" i="5"/>
  <c r="B39" i="5"/>
  <c r="A39" i="5"/>
  <c r="F38" i="5"/>
  <c r="E38" i="5"/>
  <c r="D38" i="5"/>
  <c r="C38" i="5"/>
  <c r="B38" i="5"/>
  <c r="A38" i="5"/>
  <c r="F37" i="5"/>
  <c r="E37" i="5"/>
  <c r="D37" i="5"/>
  <c r="C37" i="5"/>
  <c r="B37" i="5"/>
  <c r="A37" i="5"/>
  <c r="F36" i="5"/>
  <c r="E36" i="5"/>
  <c r="D36" i="5"/>
  <c r="C36" i="5"/>
  <c r="B36" i="5"/>
  <c r="A36" i="5"/>
  <c r="F35" i="5"/>
  <c r="E35" i="5"/>
  <c r="D35" i="5"/>
  <c r="C35" i="5"/>
  <c r="B35" i="5"/>
  <c r="A35" i="5"/>
  <c r="F34" i="5"/>
  <c r="E34" i="5"/>
  <c r="D34" i="5"/>
  <c r="C34" i="5"/>
  <c r="B34" i="5"/>
  <c r="A34" i="5"/>
  <c r="F33" i="5"/>
  <c r="E33" i="5"/>
  <c r="D33" i="5"/>
  <c r="C33" i="5"/>
  <c r="B33" i="5"/>
  <c r="A33" i="5"/>
  <c r="F32" i="5"/>
  <c r="E32" i="5"/>
  <c r="D32" i="5"/>
  <c r="C32" i="5"/>
  <c r="B32" i="5"/>
  <c r="A32" i="5"/>
  <c r="F31" i="5"/>
  <c r="E31" i="5"/>
  <c r="D31" i="5"/>
  <c r="C31" i="5"/>
  <c r="B31" i="5"/>
  <c r="A31" i="5"/>
  <c r="F30" i="5"/>
  <c r="E30" i="5"/>
  <c r="D30" i="5"/>
  <c r="C30" i="5"/>
  <c r="B30" i="5"/>
  <c r="A30" i="5"/>
  <c r="F29" i="5"/>
  <c r="E29" i="5"/>
  <c r="D29" i="5"/>
  <c r="C29" i="5"/>
  <c r="B29" i="5"/>
  <c r="A29" i="5"/>
  <c r="F28" i="5"/>
  <c r="E28" i="5"/>
  <c r="D28" i="5"/>
  <c r="C28" i="5"/>
  <c r="B28" i="5"/>
  <c r="A28" i="5"/>
  <c r="F27" i="5"/>
  <c r="E27" i="5"/>
  <c r="D27" i="5"/>
  <c r="C27" i="5"/>
  <c r="B27" i="5"/>
  <c r="A27" i="5"/>
  <c r="F26" i="5"/>
  <c r="E26" i="5"/>
  <c r="D26" i="5"/>
  <c r="C26" i="5"/>
  <c r="B26" i="5"/>
  <c r="A26" i="5"/>
  <c r="F25" i="5"/>
  <c r="E25" i="5"/>
  <c r="D25" i="5"/>
  <c r="C25" i="5"/>
  <c r="B25" i="5"/>
  <c r="A25" i="5"/>
  <c r="F24" i="5"/>
  <c r="E24" i="5"/>
  <c r="D24" i="5"/>
  <c r="C24" i="5"/>
  <c r="B24" i="5"/>
  <c r="A24" i="5"/>
  <c r="F23" i="5"/>
  <c r="E23" i="5"/>
  <c r="D23" i="5"/>
  <c r="C23" i="5"/>
  <c r="B23" i="5"/>
  <c r="A23" i="5"/>
  <c r="F22" i="5"/>
  <c r="E22" i="5"/>
  <c r="D22" i="5"/>
  <c r="C22" i="5"/>
  <c r="B22" i="5"/>
  <c r="A22" i="5"/>
  <c r="F21" i="5"/>
  <c r="E21" i="5"/>
  <c r="D21" i="5"/>
  <c r="C21" i="5"/>
  <c r="B21" i="5"/>
  <c r="A21" i="5"/>
  <c r="F20" i="5"/>
  <c r="E20" i="5"/>
  <c r="D20" i="5"/>
  <c r="C20" i="5"/>
  <c r="B20" i="5"/>
  <c r="A20" i="5"/>
  <c r="F19" i="5"/>
  <c r="E19" i="5"/>
  <c r="D19" i="5"/>
  <c r="C19" i="5"/>
  <c r="B19" i="5"/>
  <c r="A19" i="5"/>
  <c r="F18" i="5"/>
  <c r="E18" i="5"/>
  <c r="D18" i="5"/>
  <c r="C18" i="5"/>
  <c r="B18" i="5"/>
  <c r="A18" i="5"/>
  <c r="F17" i="5"/>
  <c r="E17" i="5"/>
  <c r="D17" i="5"/>
  <c r="C17" i="5"/>
  <c r="B17" i="5"/>
  <c r="A17" i="5"/>
  <c r="F16" i="5"/>
  <c r="E16" i="5"/>
  <c r="D16" i="5"/>
  <c r="C16" i="5"/>
  <c r="B16" i="5"/>
  <c r="A16" i="5"/>
  <c r="F15" i="5"/>
  <c r="E15" i="5"/>
  <c r="D15" i="5"/>
  <c r="C15" i="5"/>
  <c r="B15" i="5"/>
  <c r="A15" i="5"/>
  <c r="F14" i="5"/>
  <c r="E14" i="5"/>
  <c r="D14" i="5"/>
  <c r="C14" i="5"/>
  <c r="B14" i="5"/>
  <c r="A14" i="5"/>
  <c r="F13" i="5"/>
  <c r="E13" i="5"/>
  <c r="D13" i="5"/>
  <c r="C13" i="5"/>
  <c r="B13" i="5"/>
  <c r="A13" i="5"/>
  <c r="F12" i="5"/>
  <c r="E12" i="5"/>
  <c r="D12" i="5"/>
  <c r="C12" i="5"/>
  <c r="B12" i="5"/>
  <c r="A12" i="5"/>
  <c r="F11" i="5"/>
  <c r="E11" i="5"/>
  <c r="D11" i="5"/>
  <c r="C11" i="5"/>
  <c r="B11" i="5"/>
  <c r="A11" i="5"/>
  <c r="F10" i="5"/>
  <c r="E10" i="5"/>
  <c r="D10" i="5"/>
  <c r="C10" i="5"/>
  <c r="B10" i="5"/>
  <c r="A10" i="5"/>
  <c r="F9" i="5"/>
  <c r="E9" i="5"/>
  <c r="D9" i="5"/>
  <c r="C9" i="5"/>
  <c r="B9" i="5"/>
  <c r="A9" i="5"/>
  <c r="F8" i="5"/>
  <c r="E8" i="5"/>
  <c r="D8" i="5"/>
  <c r="C8" i="5"/>
  <c r="B8" i="5"/>
  <c r="A8" i="5"/>
  <c r="F7" i="5"/>
  <c r="E7" i="5"/>
  <c r="D7" i="5"/>
  <c r="C7" i="5"/>
  <c r="B7" i="5"/>
  <c r="A7" i="5"/>
  <c r="F6" i="5"/>
  <c r="E6" i="5"/>
  <c r="D6" i="5"/>
  <c r="C6" i="5"/>
  <c r="B6" i="5"/>
  <c r="A6" i="5"/>
  <c r="F5" i="5"/>
  <c r="E5" i="5"/>
  <c r="D5" i="5"/>
  <c r="C5" i="5"/>
  <c r="B5" i="5"/>
  <c r="A5" i="5"/>
  <c r="F4" i="5"/>
  <c r="E4" i="5"/>
  <c r="D4" i="5"/>
  <c r="C4" i="5"/>
  <c r="B4" i="5"/>
  <c r="A4" i="5"/>
  <c r="F3" i="5"/>
  <c r="E3" i="5"/>
  <c r="D3" i="5"/>
  <c r="C3" i="5"/>
  <c r="B3" i="5"/>
  <c r="A3" i="5"/>
  <c r="F2" i="5"/>
  <c r="E2" i="5"/>
  <c r="D2" i="5"/>
  <c r="C2" i="5"/>
  <c r="B2" i="5"/>
  <c r="A2" i="5"/>
  <c r="F1" i="5"/>
  <c r="E1" i="5"/>
  <c r="D1" i="5"/>
  <c r="C1" i="5"/>
  <c r="B1" i="5"/>
  <c r="A1" i="5"/>
  <c r="F2742" i="4"/>
  <c r="E2742" i="4"/>
  <c r="D2742" i="4"/>
  <c r="C2742" i="4"/>
  <c r="B2742" i="4"/>
  <c r="A2742" i="4"/>
  <c r="F2741" i="4"/>
  <c r="E2741" i="4"/>
  <c r="D2741" i="4"/>
  <c r="C2741" i="4"/>
  <c r="B2741" i="4"/>
  <c r="A2741" i="4"/>
  <c r="F2740" i="4"/>
  <c r="E2740" i="4"/>
  <c r="D2740" i="4"/>
  <c r="C2740" i="4"/>
  <c r="B2740" i="4"/>
  <c r="A2740" i="4"/>
  <c r="F2739" i="4"/>
  <c r="E2739" i="4"/>
  <c r="D2739" i="4"/>
  <c r="C2739" i="4"/>
  <c r="B2739" i="4"/>
  <c r="A2739" i="4"/>
  <c r="F2738" i="4"/>
  <c r="E2738" i="4"/>
  <c r="D2738" i="4"/>
  <c r="C2738" i="4"/>
  <c r="B2738" i="4"/>
  <c r="A2738" i="4"/>
  <c r="F2737" i="4"/>
  <c r="E2737" i="4"/>
  <c r="D2737" i="4"/>
  <c r="C2737" i="4"/>
  <c r="B2737" i="4"/>
  <c r="A2737" i="4"/>
  <c r="F2736" i="4"/>
  <c r="E2736" i="4"/>
  <c r="D2736" i="4"/>
  <c r="C2736" i="4"/>
  <c r="B2736" i="4"/>
  <c r="A2736" i="4"/>
  <c r="F2735" i="4"/>
  <c r="E2735" i="4"/>
  <c r="D2735" i="4"/>
  <c r="C2735" i="4"/>
  <c r="B2735" i="4"/>
  <c r="A2735" i="4"/>
  <c r="F2734" i="4"/>
  <c r="E2734" i="4"/>
  <c r="D2734" i="4"/>
  <c r="C2734" i="4"/>
  <c r="B2734" i="4"/>
  <c r="A2734" i="4"/>
  <c r="F2733" i="4"/>
  <c r="E2733" i="4"/>
  <c r="D2733" i="4"/>
  <c r="C2733" i="4"/>
  <c r="B2733" i="4"/>
  <c r="A2733" i="4"/>
  <c r="F2732" i="4"/>
  <c r="E2732" i="4"/>
  <c r="D2732" i="4"/>
  <c r="C2732" i="4"/>
  <c r="B2732" i="4"/>
  <c r="A2732" i="4"/>
  <c r="F2731" i="4"/>
  <c r="E2731" i="4"/>
  <c r="D2731" i="4"/>
  <c r="C2731" i="4"/>
  <c r="B2731" i="4"/>
  <c r="A2731" i="4"/>
  <c r="F2730" i="4"/>
  <c r="E2730" i="4"/>
  <c r="D2730" i="4"/>
  <c r="C2730" i="4"/>
  <c r="B2730" i="4"/>
  <c r="A2730" i="4"/>
  <c r="F2729" i="4"/>
  <c r="E2729" i="4"/>
  <c r="D2729" i="4"/>
  <c r="C2729" i="4"/>
  <c r="B2729" i="4"/>
  <c r="A2729" i="4"/>
  <c r="F2728" i="4"/>
  <c r="E2728" i="4"/>
  <c r="D2728" i="4"/>
  <c r="C2728" i="4"/>
  <c r="B2728" i="4"/>
  <c r="A2728" i="4"/>
  <c r="F2727" i="4"/>
  <c r="E2727" i="4"/>
  <c r="D2727" i="4"/>
  <c r="C2727" i="4"/>
  <c r="B2727" i="4"/>
  <c r="A2727" i="4"/>
  <c r="F2726" i="4"/>
  <c r="E2726" i="4"/>
  <c r="D2726" i="4"/>
  <c r="C2726" i="4"/>
  <c r="B2726" i="4"/>
  <c r="A2726" i="4"/>
  <c r="F2725" i="4"/>
  <c r="E2725" i="4"/>
  <c r="D2725" i="4"/>
  <c r="C2725" i="4"/>
  <c r="B2725" i="4"/>
  <c r="A2725" i="4"/>
  <c r="F2724" i="4"/>
  <c r="E2724" i="4"/>
  <c r="D2724" i="4"/>
  <c r="C2724" i="4"/>
  <c r="B2724" i="4"/>
  <c r="A2724" i="4"/>
  <c r="F2723" i="4"/>
  <c r="E2723" i="4"/>
  <c r="D2723" i="4"/>
  <c r="C2723" i="4"/>
  <c r="B2723" i="4"/>
  <c r="A2723" i="4"/>
  <c r="F2722" i="4"/>
  <c r="E2722" i="4"/>
  <c r="D2722" i="4"/>
  <c r="C2722" i="4"/>
  <c r="B2722" i="4"/>
  <c r="A2722" i="4"/>
  <c r="F2721" i="4"/>
  <c r="E2721" i="4"/>
  <c r="D2721" i="4"/>
  <c r="C2721" i="4"/>
  <c r="B2721" i="4"/>
  <c r="A2721" i="4"/>
  <c r="F2720" i="4"/>
  <c r="E2720" i="4"/>
  <c r="D2720" i="4"/>
  <c r="C2720" i="4"/>
  <c r="B2720" i="4"/>
  <c r="A2720" i="4"/>
  <c r="F2719" i="4"/>
  <c r="E2719" i="4"/>
  <c r="D2719" i="4"/>
  <c r="C2719" i="4"/>
  <c r="B2719" i="4"/>
  <c r="A2719" i="4"/>
  <c r="F2718" i="4"/>
  <c r="E2718" i="4"/>
  <c r="D2718" i="4"/>
  <c r="C2718" i="4"/>
  <c r="B2718" i="4"/>
  <c r="A2718" i="4"/>
  <c r="F2717" i="4"/>
  <c r="E2717" i="4"/>
  <c r="D2717" i="4"/>
  <c r="C2717" i="4"/>
  <c r="B2717" i="4"/>
  <c r="A2717" i="4"/>
  <c r="F2716" i="4"/>
  <c r="E2716" i="4"/>
  <c r="D2716" i="4"/>
  <c r="C2716" i="4"/>
  <c r="B2716" i="4"/>
  <c r="A2716" i="4"/>
  <c r="F2715" i="4"/>
  <c r="E2715" i="4"/>
  <c r="D2715" i="4"/>
  <c r="C2715" i="4"/>
  <c r="B2715" i="4"/>
  <c r="A2715" i="4"/>
  <c r="F2714" i="4"/>
  <c r="E2714" i="4"/>
  <c r="D2714" i="4"/>
  <c r="C2714" i="4"/>
  <c r="B2714" i="4"/>
  <c r="A2714" i="4"/>
  <c r="F2713" i="4"/>
  <c r="E2713" i="4"/>
  <c r="D2713" i="4"/>
  <c r="C2713" i="4"/>
  <c r="B2713" i="4"/>
  <c r="A2713" i="4"/>
  <c r="F2712" i="4"/>
  <c r="E2712" i="4"/>
  <c r="D2712" i="4"/>
  <c r="C2712" i="4"/>
  <c r="B2712" i="4"/>
  <c r="A2712" i="4"/>
  <c r="F2711" i="4"/>
  <c r="E2711" i="4"/>
  <c r="D2711" i="4"/>
  <c r="C2711" i="4"/>
  <c r="B2711" i="4"/>
  <c r="A2711" i="4"/>
  <c r="F2710" i="4"/>
  <c r="E2710" i="4"/>
  <c r="D2710" i="4"/>
  <c r="C2710" i="4"/>
  <c r="B2710" i="4"/>
  <c r="A2710" i="4"/>
  <c r="F2709" i="4"/>
  <c r="E2709" i="4"/>
  <c r="D2709" i="4"/>
  <c r="C2709" i="4"/>
  <c r="B2709" i="4"/>
  <c r="A2709" i="4"/>
  <c r="F2708" i="4"/>
  <c r="E2708" i="4"/>
  <c r="D2708" i="4"/>
  <c r="C2708" i="4"/>
  <c r="B2708" i="4"/>
  <c r="A2708" i="4"/>
  <c r="F2707" i="4"/>
  <c r="E2707" i="4"/>
  <c r="D2707" i="4"/>
  <c r="C2707" i="4"/>
  <c r="B2707" i="4"/>
  <c r="A2707" i="4"/>
  <c r="F2706" i="4"/>
  <c r="E2706" i="4"/>
  <c r="D2706" i="4"/>
  <c r="C2706" i="4"/>
  <c r="B2706" i="4"/>
  <c r="A2706" i="4"/>
  <c r="F2705" i="4"/>
  <c r="E2705" i="4"/>
  <c r="D2705" i="4"/>
  <c r="C2705" i="4"/>
  <c r="B2705" i="4"/>
  <c r="A2705" i="4"/>
  <c r="F2704" i="4"/>
  <c r="E2704" i="4"/>
  <c r="D2704" i="4"/>
  <c r="C2704" i="4"/>
  <c r="B2704" i="4"/>
  <c r="A2704" i="4"/>
  <c r="F2703" i="4"/>
  <c r="E2703" i="4"/>
  <c r="D2703" i="4"/>
  <c r="C2703" i="4"/>
  <c r="B2703" i="4"/>
  <c r="A2703" i="4"/>
  <c r="F2702" i="4"/>
  <c r="E2702" i="4"/>
  <c r="D2702" i="4"/>
  <c r="C2702" i="4"/>
  <c r="B2702" i="4"/>
  <c r="A2702" i="4"/>
  <c r="F2701" i="4"/>
  <c r="E2701" i="4"/>
  <c r="D2701" i="4"/>
  <c r="C2701" i="4"/>
  <c r="B2701" i="4"/>
  <c r="A2701" i="4"/>
  <c r="F2700" i="4"/>
  <c r="E2700" i="4"/>
  <c r="D2700" i="4"/>
  <c r="C2700" i="4"/>
  <c r="B2700" i="4"/>
  <c r="A2700" i="4"/>
  <c r="F2699" i="4"/>
  <c r="E2699" i="4"/>
  <c r="D2699" i="4"/>
  <c r="C2699" i="4"/>
  <c r="B2699" i="4"/>
  <c r="A2699" i="4"/>
  <c r="F2698" i="4"/>
  <c r="E2698" i="4"/>
  <c r="D2698" i="4"/>
  <c r="C2698" i="4"/>
  <c r="B2698" i="4"/>
  <c r="A2698" i="4"/>
  <c r="F2697" i="4"/>
  <c r="E2697" i="4"/>
  <c r="D2697" i="4"/>
  <c r="C2697" i="4"/>
  <c r="B2697" i="4"/>
  <c r="A2697" i="4"/>
  <c r="F2696" i="4"/>
  <c r="E2696" i="4"/>
  <c r="D2696" i="4"/>
  <c r="C2696" i="4"/>
  <c r="B2696" i="4"/>
  <c r="A2696" i="4"/>
  <c r="F2695" i="4"/>
  <c r="E2695" i="4"/>
  <c r="D2695" i="4"/>
  <c r="C2695" i="4"/>
  <c r="B2695" i="4"/>
  <c r="A2695" i="4"/>
  <c r="F2694" i="4"/>
  <c r="E2694" i="4"/>
  <c r="D2694" i="4"/>
  <c r="C2694" i="4"/>
  <c r="B2694" i="4"/>
  <c r="A2694" i="4"/>
  <c r="F2693" i="4"/>
  <c r="E2693" i="4"/>
  <c r="D2693" i="4"/>
  <c r="C2693" i="4"/>
  <c r="B2693" i="4"/>
  <c r="A2693" i="4"/>
  <c r="F2692" i="4"/>
  <c r="E2692" i="4"/>
  <c r="D2692" i="4"/>
  <c r="C2692" i="4"/>
  <c r="B2692" i="4"/>
  <c r="A2692" i="4"/>
  <c r="F2691" i="4"/>
  <c r="E2691" i="4"/>
  <c r="D2691" i="4"/>
  <c r="C2691" i="4"/>
  <c r="B2691" i="4"/>
  <c r="A2691" i="4"/>
  <c r="F2690" i="4"/>
  <c r="E2690" i="4"/>
  <c r="D2690" i="4"/>
  <c r="C2690" i="4"/>
  <c r="B2690" i="4"/>
  <c r="A2690" i="4"/>
  <c r="F2689" i="4"/>
  <c r="E2689" i="4"/>
  <c r="D2689" i="4"/>
  <c r="C2689" i="4"/>
  <c r="B2689" i="4"/>
  <c r="A2689" i="4"/>
  <c r="F2688" i="4"/>
  <c r="E2688" i="4"/>
  <c r="D2688" i="4"/>
  <c r="C2688" i="4"/>
  <c r="B2688" i="4"/>
  <c r="A2688" i="4"/>
  <c r="F2687" i="4"/>
  <c r="E2687" i="4"/>
  <c r="D2687" i="4"/>
  <c r="C2687" i="4"/>
  <c r="B2687" i="4"/>
  <c r="A2687" i="4"/>
  <c r="F2686" i="4"/>
  <c r="E2686" i="4"/>
  <c r="D2686" i="4"/>
  <c r="C2686" i="4"/>
  <c r="B2686" i="4"/>
  <c r="A2686" i="4"/>
  <c r="F2685" i="4"/>
  <c r="E2685" i="4"/>
  <c r="D2685" i="4"/>
  <c r="C2685" i="4"/>
  <c r="B2685" i="4"/>
  <c r="A2685" i="4"/>
  <c r="F2684" i="4"/>
  <c r="E2684" i="4"/>
  <c r="D2684" i="4"/>
  <c r="C2684" i="4"/>
  <c r="B2684" i="4"/>
  <c r="A2684" i="4"/>
  <c r="F2683" i="4"/>
  <c r="E2683" i="4"/>
  <c r="D2683" i="4"/>
  <c r="C2683" i="4"/>
  <c r="B2683" i="4"/>
  <c r="A2683" i="4"/>
  <c r="F2682" i="4"/>
  <c r="E2682" i="4"/>
  <c r="D2682" i="4"/>
  <c r="C2682" i="4"/>
  <c r="B2682" i="4"/>
  <c r="A2682" i="4"/>
  <c r="F2681" i="4"/>
  <c r="E2681" i="4"/>
  <c r="D2681" i="4"/>
  <c r="C2681" i="4"/>
  <c r="B2681" i="4"/>
  <c r="A2681" i="4"/>
  <c r="F2680" i="4"/>
  <c r="E2680" i="4"/>
  <c r="D2680" i="4"/>
  <c r="C2680" i="4"/>
  <c r="B2680" i="4"/>
  <c r="A2680" i="4"/>
  <c r="F2679" i="4"/>
  <c r="E2679" i="4"/>
  <c r="D2679" i="4"/>
  <c r="C2679" i="4"/>
  <c r="B2679" i="4"/>
  <c r="A2679" i="4"/>
  <c r="F2678" i="4"/>
  <c r="E2678" i="4"/>
  <c r="D2678" i="4"/>
  <c r="C2678" i="4"/>
  <c r="B2678" i="4"/>
  <c r="A2678" i="4"/>
  <c r="F2677" i="4"/>
  <c r="E2677" i="4"/>
  <c r="D2677" i="4"/>
  <c r="C2677" i="4"/>
  <c r="B2677" i="4"/>
  <c r="A2677" i="4"/>
  <c r="F2676" i="4"/>
  <c r="E2676" i="4"/>
  <c r="D2676" i="4"/>
  <c r="C2676" i="4"/>
  <c r="B2676" i="4"/>
  <c r="A2676" i="4"/>
  <c r="F2675" i="4"/>
  <c r="E2675" i="4"/>
  <c r="D2675" i="4"/>
  <c r="C2675" i="4"/>
  <c r="B2675" i="4"/>
  <c r="A2675" i="4"/>
  <c r="F2674" i="4"/>
  <c r="E2674" i="4"/>
  <c r="D2674" i="4"/>
  <c r="C2674" i="4"/>
  <c r="B2674" i="4"/>
  <c r="A2674" i="4"/>
  <c r="F2673" i="4"/>
  <c r="E2673" i="4"/>
  <c r="D2673" i="4"/>
  <c r="C2673" i="4"/>
  <c r="B2673" i="4"/>
  <c r="A2673" i="4"/>
  <c r="F2672" i="4"/>
  <c r="E2672" i="4"/>
  <c r="D2672" i="4"/>
  <c r="C2672" i="4"/>
  <c r="B2672" i="4"/>
  <c r="A2672" i="4"/>
  <c r="F2671" i="4"/>
  <c r="E2671" i="4"/>
  <c r="D2671" i="4"/>
  <c r="C2671" i="4"/>
  <c r="B2671" i="4"/>
  <c r="A2671" i="4"/>
  <c r="F2670" i="4"/>
  <c r="E2670" i="4"/>
  <c r="D2670" i="4"/>
  <c r="C2670" i="4"/>
  <c r="B2670" i="4"/>
  <c r="A2670" i="4"/>
  <c r="F2669" i="4"/>
  <c r="E2669" i="4"/>
  <c r="D2669" i="4"/>
  <c r="C2669" i="4"/>
  <c r="B2669" i="4"/>
  <c r="A2669" i="4"/>
  <c r="F2668" i="4"/>
  <c r="E2668" i="4"/>
  <c r="D2668" i="4"/>
  <c r="C2668" i="4"/>
  <c r="B2668" i="4"/>
  <c r="A2668" i="4"/>
  <c r="F2667" i="4"/>
  <c r="E2667" i="4"/>
  <c r="D2667" i="4"/>
  <c r="C2667" i="4"/>
  <c r="B2667" i="4"/>
  <c r="A2667" i="4"/>
  <c r="F2666" i="4"/>
  <c r="E2666" i="4"/>
  <c r="D2666" i="4"/>
  <c r="C2666" i="4"/>
  <c r="B2666" i="4"/>
  <c r="A2666" i="4"/>
  <c r="F2665" i="4"/>
  <c r="E2665" i="4"/>
  <c r="D2665" i="4"/>
  <c r="C2665" i="4"/>
  <c r="B2665" i="4"/>
  <c r="A2665" i="4"/>
  <c r="F2664" i="4"/>
  <c r="E2664" i="4"/>
  <c r="D2664" i="4"/>
  <c r="C2664" i="4"/>
  <c r="B2664" i="4"/>
  <c r="A2664" i="4"/>
  <c r="F2663" i="4"/>
  <c r="E2663" i="4"/>
  <c r="D2663" i="4"/>
  <c r="C2663" i="4"/>
  <c r="B2663" i="4"/>
  <c r="A2663" i="4"/>
  <c r="F2662" i="4"/>
  <c r="E2662" i="4"/>
  <c r="D2662" i="4"/>
  <c r="C2662" i="4"/>
  <c r="B2662" i="4"/>
  <c r="A2662" i="4"/>
  <c r="F2661" i="4"/>
  <c r="E2661" i="4"/>
  <c r="D2661" i="4"/>
  <c r="C2661" i="4"/>
  <c r="B2661" i="4"/>
  <c r="A2661" i="4"/>
  <c r="F2660" i="4"/>
  <c r="E2660" i="4"/>
  <c r="D2660" i="4"/>
  <c r="C2660" i="4"/>
  <c r="B2660" i="4"/>
  <c r="A2660" i="4"/>
  <c r="F2659" i="4"/>
  <c r="E2659" i="4"/>
  <c r="D2659" i="4"/>
  <c r="C2659" i="4"/>
  <c r="B2659" i="4"/>
  <c r="A2659" i="4"/>
  <c r="F2658" i="4"/>
  <c r="E2658" i="4"/>
  <c r="D2658" i="4"/>
  <c r="C2658" i="4"/>
  <c r="B2658" i="4"/>
  <c r="A2658" i="4"/>
  <c r="F2657" i="4"/>
  <c r="E2657" i="4"/>
  <c r="D2657" i="4"/>
  <c r="C2657" i="4"/>
  <c r="B2657" i="4"/>
  <c r="A2657" i="4"/>
  <c r="F2656" i="4"/>
  <c r="E2656" i="4"/>
  <c r="D2656" i="4"/>
  <c r="C2656" i="4"/>
  <c r="B2656" i="4"/>
  <c r="A2656" i="4"/>
  <c r="F2655" i="4"/>
  <c r="E2655" i="4"/>
  <c r="D2655" i="4"/>
  <c r="C2655" i="4"/>
  <c r="B2655" i="4"/>
  <c r="A2655" i="4"/>
  <c r="F2654" i="4"/>
  <c r="E2654" i="4"/>
  <c r="D2654" i="4"/>
  <c r="C2654" i="4"/>
  <c r="B2654" i="4"/>
  <c r="A2654" i="4"/>
  <c r="F2653" i="4"/>
  <c r="E2653" i="4"/>
  <c r="D2653" i="4"/>
  <c r="C2653" i="4"/>
  <c r="B2653" i="4"/>
  <c r="A2653" i="4"/>
  <c r="F2652" i="4"/>
  <c r="E2652" i="4"/>
  <c r="D2652" i="4"/>
  <c r="C2652" i="4"/>
  <c r="B2652" i="4"/>
  <c r="A2652" i="4"/>
  <c r="F2651" i="4"/>
  <c r="E2651" i="4"/>
  <c r="D2651" i="4"/>
  <c r="C2651" i="4"/>
  <c r="B2651" i="4"/>
  <c r="A2651" i="4"/>
  <c r="F2650" i="4"/>
  <c r="E2650" i="4"/>
  <c r="D2650" i="4"/>
  <c r="C2650" i="4"/>
  <c r="B2650" i="4"/>
  <c r="A2650" i="4"/>
  <c r="F2649" i="4"/>
  <c r="E2649" i="4"/>
  <c r="D2649" i="4"/>
  <c r="C2649" i="4"/>
  <c r="B2649" i="4"/>
  <c r="A2649" i="4"/>
  <c r="F2648" i="4"/>
  <c r="E2648" i="4"/>
  <c r="D2648" i="4"/>
  <c r="C2648" i="4"/>
  <c r="B2648" i="4"/>
  <c r="A2648" i="4"/>
  <c r="F2647" i="4"/>
  <c r="E2647" i="4"/>
  <c r="D2647" i="4"/>
  <c r="C2647" i="4"/>
  <c r="B2647" i="4"/>
  <c r="A2647" i="4"/>
  <c r="F2646" i="4"/>
  <c r="E2646" i="4"/>
  <c r="D2646" i="4"/>
  <c r="C2646" i="4"/>
  <c r="B2646" i="4"/>
  <c r="A2646" i="4"/>
  <c r="F2645" i="4"/>
  <c r="E2645" i="4"/>
  <c r="D2645" i="4"/>
  <c r="C2645" i="4"/>
  <c r="B2645" i="4"/>
  <c r="A2645" i="4"/>
  <c r="F2644" i="4"/>
  <c r="E2644" i="4"/>
  <c r="D2644" i="4"/>
  <c r="C2644" i="4"/>
  <c r="B2644" i="4"/>
  <c r="A2644" i="4"/>
  <c r="F2643" i="4"/>
  <c r="E2643" i="4"/>
  <c r="D2643" i="4"/>
  <c r="C2643" i="4"/>
  <c r="B2643" i="4"/>
  <c r="A2643" i="4"/>
  <c r="F2642" i="4"/>
  <c r="E2642" i="4"/>
  <c r="D2642" i="4"/>
  <c r="C2642" i="4"/>
  <c r="B2642" i="4"/>
  <c r="A2642" i="4"/>
  <c r="F2641" i="4"/>
  <c r="E2641" i="4"/>
  <c r="D2641" i="4"/>
  <c r="C2641" i="4"/>
  <c r="B2641" i="4"/>
  <c r="A2641" i="4"/>
  <c r="F2640" i="4"/>
  <c r="E2640" i="4"/>
  <c r="D2640" i="4"/>
  <c r="C2640" i="4"/>
  <c r="B2640" i="4"/>
  <c r="A2640" i="4"/>
  <c r="F2639" i="4"/>
  <c r="E2639" i="4"/>
  <c r="D2639" i="4"/>
  <c r="C2639" i="4"/>
  <c r="B2639" i="4"/>
  <c r="A2639" i="4"/>
  <c r="F2638" i="4"/>
  <c r="E2638" i="4"/>
  <c r="D2638" i="4"/>
  <c r="C2638" i="4"/>
  <c r="B2638" i="4"/>
  <c r="A2638" i="4"/>
  <c r="F2637" i="4"/>
  <c r="E2637" i="4"/>
  <c r="D2637" i="4"/>
  <c r="C2637" i="4"/>
  <c r="B2637" i="4"/>
  <c r="A2637" i="4"/>
  <c r="F2636" i="4"/>
  <c r="E2636" i="4"/>
  <c r="D2636" i="4"/>
  <c r="C2636" i="4"/>
  <c r="B2636" i="4"/>
  <c r="A2636" i="4"/>
  <c r="F2635" i="4"/>
  <c r="E2635" i="4"/>
  <c r="D2635" i="4"/>
  <c r="C2635" i="4"/>
  <c r="B2635" i="4"/>
  <c r="A2635" i="4"/>
  <c r="F2634" i="4"/>
  <c r="E2634" i="4"/>
  <c r="D2634" i="4"/>
  <c r="C2634" i="4"/>
  <c r="B2634" i="4"/>
  <c r="A2634" i="4"/>
  <c r="F2633" i="4"/>
  <c r="E2633" i="4"/>
  <c r="D2633" i="4"/>
  <c r="C2633" i="4"/>
  <c r="B2633" i="4"/>
  <c r="A2633" i="4"/>
  <c r="F2632" i="4"/>
  <c r="E2632" i="4"/>
  <c r="D2632" i="4"/>
  <c r="C2632" i="4"/>
  <c r="B2632" i="4"/>
  <c r="A2632" i="4"/>
  <c r="F2631" i="4"/>
  <c r="E2631" i="4"/>
  <c r="D2631" i="4"/>
  <c r="C2631" i="4"/>
  <c r="B2631" i="4"/>
  <c r="A2631" i="4"/>
  <c r="F2630" i="4"/>
  <c r="E2630" i="4"/>
  <c r="D2630" i="4"/>
  <c r="C2630" i="4"/>
  <c r="B2630" i="4"/>
  <c r="A2630" i="4"/>
  <c r="F2629" i="4"/>
  <c r="E2629" i="4"/>
  <c r="D2629" i="4"/>
  <c r="C2629" i="4"/>
  <c r="B2629" i="4"/>
  <c r="A2629" i="4"/>
  <c r="F2628" i="4"/>
  <c r="E2628" i="4"/>
  <c r="D2628" i="4"/>
  <c r="C2628" i="4"/>
  <c r="B2628" i="4"/>
  <c r="A2628" i="4"/>
  <c r="F2627" i="4"/>
  <c r="E2627" i="4"/>
  <c r="D2627" i="4"/>
  <c r="C2627" i="4"/>
  <c r="B2627" i="4"/>
  <c r="A2627" i="4"/>
  <c r="F2626" i="4"/>
  <c r="E2626" i="4"/>
  <c r="D2626" i="4"/>
  <c r="C2626" i="4"/>
  <c r="B2626" i="4"/>
  <c r="A2626" i="4"/>
  <c r="F2625" i="4"/>
  <c r="E2625" i="4"/>
  <c r="D2625" i="4"/>
  <c r="C2625" i="4"/>
  <c r="B2625" i="4"/>
  <c r="A2625" i="4"/>
  <c r="F2624" i="4"/>
  <c r="E2624" i="4"/>
  <c r="D2624" i="4"/>
  <c r="C2624" i="4"/>
  <c r="B2624" i="4"/>
  <c r="A2624" i="4"/>
  <c r="F2623" i="4"/>
  <c r="E2623" i="4"/>
  <c r="D2623" i="4"/>
  <c r="C2623" i="4"/>
  <c r="B2623" i="4"/>
  <c r="A2623" i="4"/>
  <c r="F2622" i="4"/>
  <c r="E2622" i="4"/>
  <c r="D2622" i="4"/>
  <c r="C2622" i="4"/>
  <c r="B2622" i="4"/>
  <c r="A2622" i="4"/>
  <c r="F2621" i="4"/>
  <c r="E2621" i="4"/>
  <c r="D2621" i="4"/>
  <c r="C2621" i="4"/>
  <c r="B2621" i="4"/>
  <c r="A2621" i="4"/>
  <c r="F2620" i="4"/>
  <c r="E2620" i="4"/>
  <c r="D2620" i="4"/>
  <c r="C2620" i="4"/>
  <c r="B2620" i="4"/>
  <c r="A2620" i="4"/>
  <c r="F2619" i="4"/>
  <c r="E2619" i="4"/>
  <c r="D2619" i="4"/>
  <c r="C2619" i="4"/>
  <c r="B2619" i="4"/>
  <c r="A2619" i="4"/>
  <c r="F2618" i="4"/>
  <c r="E2618" i="4"/>
  <c r="D2618" i="4"/>
  <c r="C2618" i="4"/>
  <c r="B2618" i="4"/>
  <c r="A2618" i="4"/>
  <c r="F2617" i="4"/>
  <c r="E2617" i="4"/>
  <c r="D2617" i="4"/>
  <c r="C2617" i="4"/>
  <c r="B2617" i="4"/>
  <c r="A2617" i="4"/>
  <c r="F2616" i="4"/>
  <c r="E2616" i="4"/>
  <c r="D2616" i="4"/>
  <c r="C2616" i="4"/>
  <c r="B2616" i="4"/>
  <c r="A2616" i="4"/>
  <c r="F2615" i="4"/>
  <c r="E2615" i="4"/>
  <c r="D2615" i="4"/>
  <c r="C2615" i="4"/>
  <c r="B2615" i="4"/>
  <c r="A2615" i="4"/>
  <c r="F2614" i="4"/>
  <c r="E2614" i="4"/>
  <c r="D2614" i="4"/>
  <c r="C2614" i="4"/>
  <c r="B2614" i="4"/>
  <c r="A2614" i="4"/>
  <c r="F2613" i="4"/>
  <c r="E2613" i="4"/>
  <c r="D2613" i="4"/>
  <c r="C2613" i="4"/>
  <c r="B2613" i="4"/>
  <c r="A2613" i="4"/>
  <c r="F2612" i="4"/>
  <c r="E2612" i="4"/>
  <c r="D2612" i="4"/>
  <c r="C2612" i="4"/>
  <c r="B2612" i="4"/>
  <c r="A2612" i="4"/>
  <c r="F2611" i="4"/>
  <c r="E2611" i="4"/>
  <c r="D2611" i="4"/>
  <c r="C2611" i="4"/>
  <c r="B2611" i="4"/>
  <c r="A2611" i="4"/>
  <c r="F2610" i="4"/>
  <c r="E2610" i="4"/>
  <c r="D2610" i="4"/>
  <c r="C2610" i="4"/>
  <c r="B2610" i="4"/>
  <c r="A2610" i="4"/>
  <c r="F2609" i="4"/>
  <c r="E2609" i="4"/>
  <c r="D2609" i="4"/>
  <c r="C2609" i="4"/>
  <c r="B2609" i="4"/>
  <c r="A2609" i="4"/>
  <c r="F2608" i="4"/>
  <c r="E2608" i="4"/>
  <c r="D2608" i="4"/>
  <c r="C2608" i="4"/>
  <c r="B2608" i="4"/>
  <c r="A2608" i="4"/>
  <c r="F2607" i="4"/>
  <c r="E2607" i="4"/>
  <c r="D2607" i="4"/>
  <c r="C2607" i="4"/>
  <c r="B2607" i="4"/>
  <c r="A2607" i="4"/>
  <c r="F2606" i="4"/>
  <c r="E2606" i="4"/>
  <c r="D2606" i="4"/>
  <c r="C2606" i="4"/>
  <c r="B2606" i="4"/>
  <c r="A2606" i="4"/>
  <c r="F2605" i="4"/>
  <c r="E2605" i="4"/>
  <c r="D2605" i="4"/>
  <c r="C2605" i="4"/>
  <c r="B2605" i="4"/>
  <c r="A2605" i="4"/>
  <c r="F2604" i="4"/>
  <c r="E2604" i="4"/>
  <c r="D2604" i="4"/>
  <c r="C2604" i="4"/>
  <c r="B2604" i="4"/>
  <c r="A2604" i="4"/>
  <c r="F2603" i="4"/>
  <c r="E2603" i="4"/>
  <c r="D2603" i="4"/>
  <c r="C2603" i="4"/>
  <c r="B2603" i="4"/>
  <c r="A2603" i="4"/>
  <c r="F2602" i="4"/>
  <c r="E2602" i="4"/>
  <c r="D2602" i="4"/>
  <c r="C2602" i="4"/>
  <c r="B2602" i="4"/>
  <c r="A2602" i="4"/>
  <c r="F2601" i="4"/>
  <c r="E2601" i="4"/>
  <c r="D2601" i="4"/>
  <c r="C2601" i="4"/>
  <c r="B2601" i="4"/>
  <c r="A2601" i="4"/>
  <c r="F2600" i="4"/>
  <c r="E2600" i="4"/>
  <c r="D2600" i="4"/>
  <c r="C2600" i="4"/>
  <c r="B2600" i="4"/>
  <c r="A2600" i="4"/>
  <c r="F2599" i="4"/>
  <c r="E2599" i="4"/>
  <c r="D2599" i="4"/>
  <c r="C2599" i="4"/>
  <c r="B2599" i="4"/>
  <c r="A2599" i="4"/>
  <c r="F2598" i="4"/>
  <c r="E2598" i="4"/>
  <c r="D2598" i="4"/>
  <c r="C2598" i="4"/>
  <c r="B2598" i="4"/>
  <c r="A2598" i="4"/>
  <c r="F2597" i="4"/>
  <c r="E2597" i="4"/>
  <c r="D2597" i="4"/>
  <c r="C2597" i="4"/>
  <c r="B2597" i="4"/>
  <c r="A2597" i="4"/>
  <c r="F2596" i="4"/>
  <c r="E2596" i="4"/>
  <c r="D2596" i="4"/>
  <c r="C2596" i="4"/>
  <c r="B2596" i="4"/>
  <c r="A2596" i="4"/>
  <c r="F2595" i="4"/>
  <c r="E2595" i="4"/>
  <c r="D2595" i="4"/>
  <c r="C2595" i="4"/>
  <c r="B2595" i="4"/>
  <c r="A2595" i="4"/>
  <c r="F2594" i="4"/>
  <c r="E2594" i="4"/>
  <c r="D2594" i="4"/>
  <c r="C2594" i="4"/>
  <c r="B2594" i="4"/>
  <c r="A2594" i="4"/>
  <c r="F2593" i="4"/>
  <c r="E2593" i="4"/>
  <c r="D2593" i="4"/>
  <c r="C2593" i="4"/>
  <c r="B2593" i="4"/>
  <c r="A2593" i="4"/>
  <c r="F2592" i="4"/>
  <c r="E2592" i="4"/>
  <c r="D2592" i="4"/>
  <c r="C2592" i="4"/>
  <c r="B2592" i="4"/>
  <c r="A2592" i="4"/>
  <c r="F2591" i="4"/>
  <c r="E2591" i="4"/>
  <c r="D2591" i="4"/>
  <c r="C2591" i="4"/>
  <c r="B2591" i="4"/>
  <c r="A2591" i="4"/>
  <c r="F2590" i="4"/>
  <c r="E2590" i="4"/>
  <c r="D2590" i="4"/>
  <c r="C2590" i="4"/>
  <c r="B2590" i="4"/>
  <c r="A2590" i="4"/>
  <c r="F2589" i="4"/>
  <c r="E2589" i="4"/>
  <c r="D2589" i="4"/>
  <c r="C2589" i="4"/>
  <c r="B2589" i="4"/>
  <c r="A2589" i="4"/>
  <c r="F2588" i="4"/>
  <c r="E2588" i="4"/>
  <c r="D2588" i="4"/>
  <c r="C2588" i="4"/>
  <c r="B2588" i="4"/>
  <c r="A2588" i="4"/>
  <c r="F2587" i="4"/>
  <c r="E2587" i="4"/>
  <c r="D2587" i="4"/>
  <c r="C2587" i="4"/>
  <c r="B2587" i="4"/>
  <c r="A2587" i="4"/>
  <c r="F2586" i="4"/>
  <c r="E2586" i="4"/>
  <c r="D2586" i="4"/>
  <c r="C2586" i="4"/>
  <c r="B2586" i="4"/>
  <c r="A2586" i="4"/>
  <c r="F2585" i="4"/>
  <c r="E2585" i="4"/>
  <c r="D2585" i="4"/>
  <c r="C2585" i="4"/>
  <c r="B2585" i="4"/>
  <c r="A2585" i="4"/>
  <c r="F2584" i="4"/>
  <c r="E2584" i="4"/>
  <c r="D2584" i="4"/>
  <c r="C2584" i="4"/>
  <c r="B2584" i="4"/>
  <c r="A2584" i="4"/>
  <c r="F2583" i="4"/>
  <c r="E2583" i="4"/>
  <c r="D2583" i="4"/>
  <c r="C2583" i="4"/>
  <c r="B2583" i="4"/>
  <c r="A2583" i="4"/>
  <c r="F2582" i="4"/>
  <c r="E2582" i="4"/>
  <c r="D2582" i="4"/>
  <c r="C2582" i="4"/>
  <c r="B2582" i="4"/>
  <c r="A2582" i="4"/>
  <c r="F2581" i="4"/>
  <c r="E2581" i="4"/>
  <c r="D2581" i="4"/>
  <c r="C2581" i="4"/>
  <c r="B2581" i="4"/>
  <c r="A2581" i="4"/>
  <c r="F2580" i="4"/>
  <c r="E2580" i="4"/>
  <c r="D2580" i="4"/>
  <c r="C2580" i="4"/>
  <c r="B2580" i="4"/>
  <c r="A2580" i="4"/>
  <c r="F2579" i="4"/>
  <c r="E2579" i="4"/>
  <c r="D2579" i="4"/>
  <c r="C2579" i="4"/>
  <c r="B2579" i="4"/>
  <c r="A2579" i="4"/>
  <c r="F2578" i="4"/>
  <c r="E2578" i="4"/>
  <c r="D2578" i="4"/>
  <c r="C2578" i="4"/>
  <c r="B2578" i="4"/>
  <c r="A2578" i="4"/>
  <c r="F2577" i="4"/>
  <c r="E2577" i="4"/>
  <c r="D2577" i="4"/>
  <c r="C2577" i="4"/>
  <c r="B2577" i="4"/>
  <c r="A2577" i="4"/>
  <c r="F2576" i="4"/>
  <c r="E2576" i="4"/>
  <c r="D2576" i="4"/>
  <c r="C2576" i="4"/>
  <c r="B2576" i="4"/>
  <c r="A2576" i="4"/>
  <c r="F2575" i="4"/>
  <c r="E2575" i="4"/>
  <c r="D2575" i="4"/>
  <c r="C2575" i="4"/>
  <c r="B2575" i="4"/>
  <c r="A2575" i="4"/>
  <c r="F2574" i="4"/>
  <c r="E2574" i="4"/>
  <c r="D2574" i="4"/>
  <c r="C2574" i="4"/>
  <c r="B2574" i="4"/>
  <c r="A2574" i="4"/>
  <c r="F2573" i="4"/>
  <c r="E2573" i="4"/>
  <c r="D2573" i="4"/>
  <c r="C2573" i="4"/>
  <c r="B2573" i="4"/>
  <c r="A2573" i="4"/>
  <c r="F2572" i="4"/>
  <c r="E2572" i="4"/>
  <c r="D2572" i="4"/>
  <c r="C2572" i="4"/>
  <c r="B2572" i="4"/>
  <c r="A2572" i="4"/>
  <c r="F2571" i="4"/>
  <c r="E2571" i="4"/>
  <c r="D2571" i="4"/>
  <c r="C2571" i="4"/>
  <c r="B2571" i="4"/>
  <c r="A2571" i="4"/>
  <c r="F2570" i="4"/>
  <c r="E2570" i="4"/>
  <c r="D2570" i="4"/>
  <c r="C2570" i="4"/>
  <c r="B2570" i="4"/>
  <c r="A2570" i="4"/>
  <c r="F2569" i="4"/>
  <c r="E2569" i="4"/>
  <c r="D2569" i="4"/>
  <c r="C2569" i="4"/>
  <c r="B2569" i="4"/>
  <c r="A2569" i="4"/>
  <c r="F2568" i="4"/>
  <c r="E2568" i="4"/>
  <c r="D2568" i="4"/>
  <c r="C2568" i="4"/>
  <c r="B2568" i="4"/>
  <c r="A2568" i="4"/>
  <c r="F2567" i="4"/>
  <c r="E2567" i="4"/>
  <c r="D2567" i="4"/>
  <c r="C2567" i="4"/>
  <c r="B2567" i="4"/>
  <c r="A2567" i="4"/>
  <c r="F2566" i="4"/>
  <c r="E2566" i="4"/>
  <c r="D2566" i="4"/>
  <c r="C2566" i="4"/>
  <c r="B2566" i="4"/>
  <c r="A2566" i="4"/>
  <c r="F2565" i="4"/>
  <c r="E2565" i="4"/>
  <c r="D2565" i="4"/>
  <c r="C2565" i="4"/>
  <c r="B2565" i="4"/>
  <c r="A2565" i="4"/>
  <c r="F2564" i="4"/>
  <c r="E2564" i="4"/>
  <c r="D2564" i="4"/>
  <c r="C2564" i="4"/>
  <c r="B2564" i="4"/>
  <c r="A2564" i="4"/>
  <c r="F2563" i="4"/>
  <c r="E2563" i="4"/>
  <c r="D2563" i="4"/>
  <c r="C2563" i="4"/>
  <c r="B2563" i="4"/>
  <c r="A2563" i="4"/>
  <c r="F2562" i="4"/>
  <c r="E2562" i="4"/>
  <c r="D2562" i="4"/>
  <c r="C2562" i="4"/>
  <c r="B2562" i="4"/>
  <c r="A2562" i="4"/>
  <c r="F2561" i="4"/>
  <c r="E2561" i="4"/>
  <c r="D2561" i="4"/>
  <c r="C2561" i="4"/>
  <c r="B2561" i="4"/>
  <c r="A2561" i="4"/>
  <c r="F2560" i="4"/>
  <c r="E2560" i="4"/>
  <c r="D2560" i="4"/>
  <c r="C2560" i="4"/>
  <c r="B2560" i="4"/>
  <c r="A2560" i="4"/>
  <c r="F2559" i="4"/>
  <c r="E2559" i="4"/>
  <c r="D2559" i="4"/>
  <c r="C2559" i="4"/>
  <c r="B2559" i="4"/>
  <c r="A2559" i="4"/>
  <c r="F2558" i="4"/>
  <c r="E2558" i="4"/>
  <c r="D2558" i="4"/>
  <c r="C2558" i="4"/>
  <c r="B2558" i="4"/>
  <c r="A2558" i="4"/>
  <c r="F2557" i="4"/>
  <c r="E2557" i="4"/>
  <c r="D2557" i="4"/>
  <c r="C2557" i="4"/>
  <c r="B2557" i="4"/>
  <c r="A2557" i="4"/>
  <c r="F2556" i="4"/>
  <c r="E2556" i="4"/>
  <c r="D2556" i="4"/>
  <c r="C2556" i="4"/>
  <c r="B2556" i="4"/>
  <c r="A2556" i="4"/>
  <c r="F2555" i="4"/>
  <c r="E2555" i="4"/>
  <c r="D2555" i="4"/>
  <c r="C2555" i="4"/>
  <c r="B2555" i="4"/>
  <c r="A2555" i="4"/>
  <c r="F2554" i="4"/>
  <c r="E2554" i="4"/>
  <c r="D2554" i="4"/>
  <c r="C2554" i="4"/>
  <c r="B2554" i="4"/>
  <c r="A2554" i="4"/>
  <c r="F2553" i="4"/>
  <c r="E2553" i="4"/>
  <c r="D2553" i="4"/>
  <c r="C2553" i="4"/>
  <c r="B2553" i="4"/>
  <c r="A2553" i="4"/>
  <c r="F2552" i="4"/>
  <c r="E2552" i="4"/>
  <c r="D2552" i="4"/>
  <c r="C2552" i="4"/>
  <c r="B2552" i="4"/>
  <c r="A2552" i="4"/>
  <c r="F2551" i="4"/>
  <c r="E2551" i="4"/>
  <c r="D2551" i="4"/>
  <c r="C2551" i="4"/>
  <c r="B2551" i="4"/>
  <c r="A2551" i="4"/>
  <c r="F2550" i="4"/>
  <c r="E2550" i="4"/>
  <c r="D2550" i="4"/>
  <c r="C2550" i="4"/>
  <c r="B2550" i="4"/>
  <c r="A2550" i="4"/>
  <c r="F2549" i="4"/>
  <c r="E2549" i="4"/>
  <c r="D2549" i="4"/>
  <c r="C2549" i="4"/>
  <c r="B2549" i="4"/>
  <c r="A2549" i="4"/>
  <c r="F2548" i="4"/>
  <c r="E2548" i="4"/>
  <c r="D2548" i="4"/>
  <c r="C2548" i="4"/>
  <c r="B2548" i="4"/>
  <c r="A2548" i="4"/>
  <c r="F2547" i="4"/>
  <c r="E2547" i="4"/>
  <c r="D2547" i="4"/>
  <c r="C2547" i="4"/>
  <c r="B2547" i="4"/>
  <c r="A2547" i="4"/>
  <c r="F2546" i="4"/>
  <c r="E2546" i="4"/>
  <c r="D2546" i="4"/>
  <c r="C2546" i="4"/>
  <c r="B2546" i="4"/>
  <c r="A2546" i="4"/>
  <c r="F2545" i="4"/>
  <c r="E2545" i="4"/>
  <c r="D2545" i="4"/>
  <c r="C2545" i="4"/>
  <c r="B2545" i="4"/>
  <c r="A2545" i="4"/>
  <c r="F2544" i="4"/>
  <c r="E2544" i="4"/>
  <c r="D2544" i="4"/>
  <c r="C2544" i="4"/>
  <c r="B2544" i="4"/>
  <c r="A2544" i="4"/>
  <c r="F2543" i="4"/>
  <c r="E2543" i="4"/>
  <c r="D2543" i="4"/>
  <c r="C2543" i="4"/>
  <c r="B2543" i="4"/>
  <c r="A2543" i="4"/>
  <c r="F2542" i="4"/>
  <c r="E2542" i="4"/>
  <c r="D2542" i="4"/>
  <c r="C2542" i="4"/>
  <c r="B2542" i="4"/>
  <c r="A2542" i="4"/>
  <c r="F2541" i="4"/>
  <c r="E2541" i="4"/>
  <c r="D2541" i="4"/>
  <c r="C2541" i="4"/>
  <c r="B2541" i="4"/>
  <c r="A2541" i="4"/>
  <c r="F2540" i="4"/>
  <c r="E2540" i="4"/>
  <c r="D2540" i="4"/>
  <c r="C2540" i="4"/>
  <c r="B2540" i="4"/>
  <c r="A2540" i="4"/>
  <c r="F2539" i="4"/>
  <c r="E2539" i="4"/>
  <c r="D2539" i="4"/>
  <c r="C2539" i="4"/>
  <c r="B2539" i="4"/>
  <c r="A2539" i="4"/>
  <c r="F2538" i="4"/>
  <c r="E2538" i="4"/>
  <c r="D2538" i="4"/>
  <c r="C2538" i="4"/>
  <c r="B2538" i="4"/>
  <c r="A2538" i="4"/>
  <c r="F2537" i="4"/>
  <c r="E2537" i="4"/>
  <c r="D2537" i="4"/>
  <c r="C2537" i="4"/>
  <c r="B2537" i="4"/>
  <c r="A2537" i="4"/>
  <c r="F2536" i="4"/>
  <c r="E2536" i="4"/>
  <c r="D2536" i="4"/>
  <c r="C2536" i="4"/>
  <c r="B2536" i="4"/>
  <c r="A2536" i="4"/>
  <c r="F2535" i="4"/>
  <c r="E2535" i="4"/>
  <c r="D2535" i="4"/>
  <c r="C2535" i="4"/>
  <c r="B2535" i="4"/>
  <c r="A2535" i="4"/>
  <c r="F2534" i="4"/>
  <c r="E2534" i="4"/>
  <c r="D2534" i="4"/>
  <c r="C2534" i="4"/>
  <c r="B2534" i="4"/>
  <c r="A2534" i="4"/>
  <c r="F2533" i="4"/>
  <c r="E2533" i="4"/>
  <c r="D2533" i="4"/>
  <c r="C2533" i="4"/>
  <c r="B2533" i="4"/>
  <c r="A2533" i="4"/>
  <c r="F2532" i="4"/>
  <c r="E2532" i="4"/>
  <c r="D2532" i="4"/>
  <c r="C2532" i="4"/>
  <c r="B2532" i="4"/>
  <c r="A2532" i="4"/>
  <c r="F2531" i="4"/>
  <c r="E2531" i="4"/>
  <c r="D2531" i="4"/>
  <c r="C2531" i="4"/>
  <c r="B2531" i="4"/>
  <c r="A2531" i="4"/>
  <c r="F2530" i="4"/>
  <c r="E2530" i="4"/>
  <c r="D2530" i="4"/>
  <c r="C2530" i="4"/>
  <c r="B2530" i="4"/>
  <c r="A2530" i="4"/>
  <c r="F2529" i="4"/>
  <c r="E2529" i="4"/>
  <c r="D2529" i="4"/>
  <c r="C2529" i="4"/>
  <c r="B2529" i="4"/>
  <c r="A2529" i="4"/>
  <c r="F2528" i="4"/>
  <c r="E2528" i="4"/>
  <c r="D2528" i="4"/>
  <c r="C2528" i="4"/>
  <c r="B2528" i="4"/>
  <c r="A2528" i="4"/>
  <c r="F2527" i="4"/>
  <c r="E2527" i="4"/>
  <c r="D2527" i="4"/>
  <c r="C2527" i="4"/>
  <c r="B2527" i="4"/>
  <c r="A2527" i="4"/>
  <c r="F2526" i="4"/>
  <c r="E2526" i="4"/>
  <c r="D2526" i="4"/>
  <c r="C2526" i="4"/>
  <c r="B2526" i="4"/>
  <c r="A2526" i="4"/>
  <c r="F2525" i="4"/>
  <c r="E2525" i="4"/>
  <c r="D2525" i="4"/>
  <c r="C2525" i="4"/>
  <c r="B2525" i="4"/>
  <c r="A2525" i="4"/>
  <c r="F2524" i="4"/>
  <c r="E2524" i="4"/>
  <c r="D2524" i="4"/>
  <c r="C2524" i="4"/>
  <c r="B2524" i="4"/>
  <c r="A2524" i="4"/>
  <c r="F2523" i="4"/>
  <c r="E2523" i="4"/>
  <c r="D2523" i="4"/>
  <c r="C2523" i="4"/>
  <c r="B2523" i="4"/>
  <c r="A2523" i="4"/>
  <c r="F2522" i="4"/>
  <c r="E2522" i="4"/>
  <c r="D2522" i="4"/>
  <c r="C2522" i="4"/>
  <c r="B2522" i="4"/>
  <c r="A2522" i="4"/>
  <c r="F2521" i="4"/>
  <c r="E2521" i="4"/>
  <c r="D2521" i="4"/>
  <c r="C2521" i="4"/>
  <c r="B2521" i="4"/>
  <c r="A2521" i="4"/>
  <c r="F2520" i="4"/>
  <c r="E2520" i="4"/>
  <c r="D2520" i="4"/>
  <c r="C2520" i="4"/>
  <c r="B2520" i="4"/>
  <c r="A2520" i="4"/>
  <c r="F2519" i="4"/>
  <c r="E2519" i="4"/>
  <c r="D2519" i="4"/>
  <c r="C2519" i="4"/>
  <c r="B2519" i="4"/>
  <c r="A2519" i="4"/>
  <c r="F2518" i="4"/>
  <c r="E2518" i="4"/>
  <c r="D2518" i="4"/>
  <c r="C2518" i="4"/>
  <c r="B2518" i="4"/>
  <c r="A2518" i="4"/>
  <c r="F2517" i="4"/>
  <c r="E2517" i="4"/>
  <c r="D2517" i="4"/>
  <c r="C2517" i="4"/>
  <c r="B2517" i="4"/>
  <c r="A2517" i="4"/>
  <c r="F2516" i="4"/>
  <c r="E2516" i="4"/>
  <c r="D2516" i="4"/>
  <c r="C2516" i="4"/>
  <c r="B2516" i="4"/>
  <c r="A2516" i="4"/>
  <c r="F2515" i="4"/>
  <c r="E2515" i="4"/>
  <c r="D2515" i="4"/>
  <c r="C2515" i="4"/>
  <c r="B2515" i="4"/>
  <c r="A2515" i="4"/>
  <c r="F2514" i="4"/>
  <c r="E2514" i="4"/>
  <c r="D2514" i="4"/>
  <c r="C2514" i="4"/>
  <c r="B2514" i="4"/>
  <c r="A2514" i="4"/>
  <c r="F2513" i="4"/>
  <c r="E2513" i="4"/>
  <c r="D2513" i="4"/>
  <c r="C2513" i="4"/>
  <c r="B2513" i="4"/>
  <c r="A2513" i="4"/>
  <c r="F2512" i="4"/>
  <c r="E2512" i="4"/>
  <c r="D2512" i="4"/>
  <c r="C2512" i="4"/>
  <c r="B2512" i="4"/>
  <c r="A2512" i="4"/>
  <c r="F2511" i="4"/>
  <c r="E2511" i="4"/>
  <c r="D2511" i="4"/>
  <c r="C2511" i="4"/>
  <c r="B2511" i="4"/>
  <c r="A2511" i="4"/>
  <c r="F2510" i="4"/>
  <c r="E2510" i="4"/>
  <c r="D2510" i="4"/>
  <c r="C2510" i="4"/>
  <c r="B2510" i="4"/>
  <c r="A2510" i="4"/>
  <c r="F2509" i="4"/>
  <c r="E2509" i="4"/>
  <c r="D2509" i="4"/>
  <c r="C2509" i="4"/>
  <c r="B2509" i="4"/>
  <c r="A2509" i="4"/>
  <c r="F2508" i="4"/>
  <c r="E2508" i="4"/>
  <c r="D2508" i="4"/>
  <c r="C2508" i="4"/>
  <c r="B2508" i="4"/>
  <c r="A2508" i="4"/>
  <c r="F2507" i="4"/>
  <c r="E2507" i="4"/>
  <c r="D2507" i="4"/>
  <c r="C2507" i="4"/>
  <c r="B2507" i="4"/>
  <c r="A2507" i="4"/>
  <c r="F2506" i="4"/>
  <c r="E2506" i="4"/>
  <c r="D2506" i="4"/>
  <c r="C2506" i="4"/>
  <c r="B2506" i="4"/>
  <c r="A2506" i="4"/>
  <c r="F2505" i="4"/>
  <c r="E2505" i="4"/>
  <c r="D2505" i="4"/>
  <c r="C2505" i="4"/>
  <c r="B2505" i="4"/>
  <c r="A2505" i="4"/>
  <c r="F2504" i="4"/>
  <c r="E2504" i="4"/>
  <c r="D2504" i="4"/>
  <c r="C2504" i="4"/>
  <c r="B2504" i="4"/>
  <c r="A2504" i="4"/>
  <c r="F2503" i="4"/>
  <c r="E2503" i="4"/>
  <c r="D2503" i="4"/>
  <c r="C2503" i="4"/>
  <c r="B2503" i="4"/>
  <c r="A2503" i="4"/>
  <c r="F2502" i="4"/>
  <c r="E2502" i="4"/>
  <c r="D2502" i="4"/>
  <c r="C2502" i="4"/>
  <c r="B2502" i="4"/>
  <c r="A2502" i="4"/>
  <c r="F2501" i="4"/>
  <c r="E2501" i="4"/>
  <c r="D2501" i="4"/>
  <c r="C2501" i="4"/>
  <c r="B2501" i="4"/>
  <c r="A2501" i="4"/>
  <c r="F2500" i="4"/>
  <c r="E2500" i="4"/>
  <c r="D2500" i="4"/>
  <c r="C2500" i="4"/>
  <c r="B2500" i="4"/>
  <c r="A2500" i="4"/>
  <c r="F2499" i="4"/>
  <c r="E2499" i="4"/>
  <c r="D2499" i="4"/>
  <c r="C2499" i="4"/>
  <c r="B2499" i="4"/>
  <c r="A2499" i="4"/>
  <c r="F2498" i="4"/>
  <c r="E2498" i="4"/>
  <c r="D2498" i="4"/>
  <c r="C2498" i="4"/>
  <c r="B2498" i="4"/>
  <c r="A2498" i="4"/>
  <c r="F2497" i="4"/>
  <c r="E2497" i="4"/>
  <c r="D2497" i="4"/>
  <c r="C2497" i="4"/>
  <c r="B2497" i="4"/>
  <c r="A2497" i="4"/>
  <c r="F2496" i="4"/>
  <c r="E2496" i="4"/>
  <c r="D2496" i="4"/>
  <c r="C2496" i="4"/>
  <c r="B2496" i="4"/>
  <c r="A2496" i="4"/>
  <c r="F2495" i="4"/>
  <c r="E2495" i="4"/>
  <c r="D2495" i="4"/>
  <c r="C2495" i="4"/>
  <c r="B2495" i="4"/>
  <c r="A2495" i="4"/>
  <c r="F2494" i="4"/>
  <c r="E2494" i="4"/>
  <c r="D2494" i="4"/>
  <c r="C2494" i="4"/>
  <c r="B2494" i="4"/>
  <c r="A2494" i="4"/>
  <c r="F2493" i="4"/>
  <c r="E2493" i="4"/>
  <c r="D2493" i="4"/>
  <c r="C2493" i="4"/>
  <c r="B2493" i="4"/>
  <c r="A2493" i="4"/>
  <c r="F2492" i="4"/>
  <c r="E2492" i="4"/>
  <c r="D2492" i="4"/>
  <c r="C2492" i="4"/>
  <c r="B2492" i="4"/>
  <c r="A2492" i="4"/>
  <c r="F2491" i="4"/>
  <c r="E2491" i="4"/>
  <c r="D2491" i="4"/>
  <c r="C2491" i="4"/>
  <c r="B2491" i="4"/>
  <c r="A2491" i="4"/>
  <c r="F2490" i="4"/>
  <c r="E2490" i="4"/>
  <c r="D2490" i="4"/>
  <c r="C2490" i="4"/>
  <c r="B2490" i="4"/>
  <c r="A2490" i="4"/>
  <c r="F2489" i="4"/>
  <c r="E2489" i="4"/>
  <c r="D2489" i="4"/>
  <c r="C2489" i="4"/>
  <c r="B2489" i="4"/>
  <c r="A2489" i="4"/>
  <c r="F2488" i="4"/>
  <c r="E2488" i="4"/>
  <c r="D2488" i="4"/>
  <c r="C2488" i="4"/>
  <c r="B2488" i="4"/>
  <c r="A2488" i="4"/>
  <c r="F2487" i="4"/>
  <c r="E2487" i="4"/>
  <c r="D2487" i="4"/>
  <c r="C2487" i="4"/>
  <c r="B2487" i="4"/>
  <c r="A2487" i="4"/>
  <c r="F2486" i="4"/>
  <c r="E2486" i="4"/>
  <c r="D2486" i="4"/>
  <c r="C2486" i="4"/>
  <c r="B2486" i="4"/>
  <c r="A2486" i="4"/>
  <c r="F2485" i="4"/>
  <c r="E2485" i="4"/>
  <c r="D2485" i="4"/>
  <c r="C2485" i="4"/>
  <c r="B2485" i="4"/>
  <c r="A2485" i="4"/>
  <c r="F2484" i="4"/>
  <c r="E2484" i="4"/>
  <c r="D2484" i="4"/>
  <c r="C2484" i="4"/>
  <c r="B2484" i="4"/>
  <c r="A2484" i="4"/>
  <c r="F2483" i="4"/>
  <c r="E2483" i="4"/>
  <c r="D2483" i="4"/>
  <c r="C2483" i="4"/>
  <c r="B2483" i="4"/>
  <c r="A2483" i="4"/>
  <c r="F2482" i="4"/>
  <c r="E2482" i="4"/>
  <c r="D2482" i="4"/>
  <c r="C2482" i="4"/>
  <c r="B2482" i="4"/>
  <c r="A2482" i="4"/>
  <c r="F2481" i="4"/>
  <c r="E2481" i="4"/>
  <c r="D2481" i="4"/>
  <c r="C2481" i="4"/>
  <c r="B2481" i="4"/>
  <c r="A2481" i="4"/>
  <c r="F2480" i="4"/>
  <c r="E2480" i="4"/>
  <c r="D2480" i="4"/>
  <c r="C2480" i="4"/>
  <c r="B2480" i="4"/>
  <c r="A2480" i="4"/>
  <c r="F2479" i="4"/>
  <c r="E2479" i="4"/>
  <c r="D2479" i="4"/>
  <c r="C2479" i="4"/>
  <c r="B2479" i="4"/>
  <c r="A2479" i="4"/>
  <c r="F2478" i="4"/>
  <c r="E2478" i="4"/>
  <c r="D2478" i="4"/>
  <c r="C2478" i="4"/>
  <c r="B2478" i="4"/>
  <c r="A2478" i="4"/>
  <c r="F2477" i="4"/>
  <c r="E2477" i="4"/>
  <c r="D2477" i="4"/>
  <c r="C2477" i="4"/>
  <c r="B2477" i="4"/>
  <c r="A2477" i="4"/>
  <c r="F2476" i="4"/>
  <c r="E2476" i="4"/>
  <c r="D2476" i="4"/>
  <c r="C2476" i="4"/>
  <c r="B2476" i="4"/>
  <c r="A2476" i="4"/>
  <c r="F2475" i="4"/>
  <c r="E2475" i="4"/>
  <c r="D2475" i="4"/>
  <c r="C2475" i="4"/>
  <c r="B2475" i="4"/>
  <c r="A2475" i="4"/>
  <c r="F2474" i="4"/>
  <c r="E2474" i="4"/>
  <c r="D2474" i="4"/>
  <c r="C2474" i="4"/>
  <c r="B2474" i="4"/>
  <c r="A2474" i="4"/>
  <c r="F2473" i="4"/>
  <c r="E2473" i="4"/>
  <c r="D2473" i="4"/>
  <c r="C2473" i="4"/>
  <c r="B2473" i="4"/>
  <c r="A2473" i="4"/>
  <c r="F2472" i="4"/>
  <c r="E2472" i="4"/>
  <c r="D2472" i="4"/>
  <c r="C2472" i="4"/>
  <c r="B2472" i="4"/>
  <c r="A2472" i="4"/>
  <c r="F2471" i="4"/>
  <c r="E2471" i="4"/>
  <c r="D2471" i="4"/>
  <c r="C2471" i="4"/>
  <c r="B2471" i="4"/>
  <c r="A2471" i="4"/>
  <c r="F2470" i="4"/>
  <c r="E2470" i="4"/>
  <c r="D2470" i="4"/>
  <c r="C2470" i="4"/>
  <c r="B2470" i="4"/>
  <c r="A2470" i="4"/>
  <c r="F2469" i="4"/>
  <c r="E2469" i="4"/>
  <c r="D2469" i="4"/>
  <c r="C2469" i="4"/>
  <c r="B2469" i="4"/>
  <c r="A2469" i="4"/>
  <c r="F2468" i="4"/>
  <c r="E2468" i="4"/>
  <c r="D2468" i="4"/>
  <c r="C2468" i="4"/>
  <c r="B2468" i="4"/>
  <c r="A2468" i="4"/>
  <c r="F2467" i="4"/>
  <c r="E2467" i="4"/>
  <c r="D2467" i="4"/>
  <c r="C2467" i="4"/>
  <c r="B2467" i="4"/>
  <c r="A2467" i="4"/>
  <c r="F2466" i="4"/>
  <c r="E2466" i="4"/>
  <c r="D2466" i="4"/>
  <c r="C2466" i="4"/>
  <c r="B2466" i="4"/>
  <c r="A2466" i="4"/>
  <c r="F2465" i="4"/>
  <c r="E2465" i="4"/>
  <c r="D2465" i="4"/>
  <c r="C2465" i="4"/>
  <c r="B2465" i="4"/>
  <c r="A2465" i="4"/>
  <c r="F2464" i="4"/>
  <c r="E2464" i="4"/>
  <c r="D2464" i="4"/>
  <c r="C2464" i="4"/>
  <c r="B2464" i="4"/>
  <c r="A2464" i="4"/>
  <c r="F2463" i="4"/>
  <c r="E2463" i="4"/>
  <c r="D2463" i="4"/>
  <c r="C2463" i="4"/>
  <c r="B2463" i="4"/>
  <c r="A2463" i="4"/>
  <c r="F2462" i="4"/>
  <c r="E2462" i="4"/>
  <c r="D2462" i="4"/>
  <c r="C2462" i="4"/>
  <c r="B2462" i="4"/>
  <c r="A2462" i="4"/>
  <c r="F2461" i="4"/>
  <c r="E2461" i="4"/>
  <c r="D2461" i="4"/>
  <c r="C2461" i="4"/>
  <c r="B2461" i="4"/>
  <c r="A2461" i="4"/>
  <c r="F2460" i="4"/>
  <c r="E2460" i="4"/>
  <c r="D2460" i="4"/>
  <c r="C2460" i="4"/>
  <c r="B2460" i="4"/>
  <c r="A2460" i="4"/>
  <c r="F2459" i="4"/>
  <c r="E2459" i="4"/>
  <c r="D2459" i="4"/>
  <c r="C2459" i="4"/>
  <c r="B2459" i="4"/>
  <c r="A2459" i="4"/>
  <c r="F2458" i="4"/>
  <c r="E2458" i="4"/>
  <c r="D2458" i="4"/>
  <c r="C2458" i="4"/>
  <c r="B2458" i="4"/>
  <c r="A2458" i="4"/>
  <c r="F2457" i="4"/>
  <c r="E2457" i="4"/>
  <c r="D2457" i="4"/>
  <c r="C2457" i="4"/>
  <c r="B2457" i="4"/>
  <c r="A2457" i="4"/>
  <c r="F2456" i="4"/>
  <c r="E2456" i="4"/>
  <c r="D2456" i="4"/>
  <c r="C2456" i="4"/>
  <c r="B2456" i="4"/>
  <c r="A2456" i="4"/>
  <c r="F2455" i="4"/>
  <c r="E2455" i="4"/>
  <c r="D2455" i="4"/>
  <c r="C2455" i="4"/>
  <c r="B2455" i="4"/>
  <c r="A2455" i="4"/>
  <c r="F2454" i="4"/>
  <c r="E2454" i="4"/>
  <c r="D2454" i="4"/>
  <c r="C2454" i="4"/>
  <c r="B2454" i="4"/>
  <c r="A2454" i="4"/>
  <c r="F2453" i="4"/>
  <c r="E2453" i="4"/>
  <c r="D2453" i="4"/>
  <c r="C2453" i="4"/>
  <c r="B2453" i="4"/>
  <c r="A2453" i="4"/>
  <c r="F2452" i="4"/>
  <c r="E2452" i="4"/>
  <c r="D2452" i="4"/>
  <c r="C2452" i="4"/>
  <c r="B2452" i="4"/>
  <c r="A2452" i="4"/>
  <c r="F2451" i="4"/>
  <c r="E2451" i="4"/>
  <c r="D2451" i="4"/>
  <c r="C2451" i="4"/>
  <c r="B2451" i="4"/>
  <c r="A2451" i="4"/>
  <c r="F2450" i="4"/>
  <c r="E2450" i="4"/>
  <c r="D2450" i="4"/>
  <c r="C2450" i="4"/>
  <c r="B2450" i="4"/>
  <c r="A2450" i="4"/>
  <c r="F2449" i="4"/>
  <c r="E2449" i="4"/>
  <c r="D2449" i="4"/>
  <c r="C2449" i="4"/>
  <c r="B2449" i="4"/>
  <c r="A2449" i="4"/>
  <c r="F2448" i="4"/>
  <c r="E2448" i="4"/>
  <c r="D2448" i="4"/>
  <c r="C2448" i="4"/>
  <c r="B2448" i="4"/>
  <c r="A2448" i="4"/>
  <c r="F2447" i="4"/>
  <c r="E2447" i="4"/>
  <c r="D2447" i="4"/>
  <c r="C2447" i="4"/>
  <c r="B2447" i="4"/>
  <c r="A2447" i="4"/>
  <c r="F2446" i="4"/>
  <c r="E2446" i="4"/>
  <c r="D2446" i="4"/>
  <c r="C2446" i="4"/>
  <c r="B2446" i="4"/>
  <c r="A2446" i="4"/>
  <c r="F2445" i="4"/>
  <c r="E2445" i="4"/>
  <c r="D2445" i="4"/>
  <c r="C2445" i="4"/>
  <c r="B2445" i="4"/>
  <c r="A2445" i="4"/>
  <c r="F2444" i="4"/>
  <c r="E2444" i="4"/>
  <c r="D2444" i="4"/>
  <c r="C2444" i="4"/>
  <c r="B2444" i="4"/>
  <c r="A2444" i="4"/>
  <c r="F2443" i="4"/>
  <c r="E2443" i="4"/>
  <c r="D2443" i="4"/>
  <c r="C2443" i="4"/>
  <c r="B2443" i="4"/>
  <c r="A2443" i="4"/>
  <c r="F2442" i="4"/>
  <c r="E2442" i="4"/>
  <c r="D2442" i="4"/>
  <c r="C2442" i="4"/>
  <c r="B2442" i="4"/>
  <c r="A2442" i="4"/>
  <c r="F2441" i="4"/>
  <c r="E2441" i="4"/>
  <c r="D2441" i="4"/>
  <c r="C2441" i="4"/>
  <c r="B2441" i="4"/>
  <c r="A2441" i="4"/>
  <c r="F2440" i="4"/>
  <c r="E2440" i="4"/>
  <c r="D2440" i="4"/>
  <c r="C2440" i="4"/>
  <c r="B2440" i="4"/>
  <c r="A2440" i="4"/>
  <c r="F2439" i="4"/>
  <c r="E2439" i="4"/>
  <c r="D2439" i="4"/>
  <c r="C2439" i="4"/>
  <c r="B2439" i="4"/>
  <c r="A2439" i="4"/>
  <c r="F2438" i="4"/>
  <c r="E2438" i="4"/>
  <c r="D2438" i="4"/>
  <c r="C2438" i="4"/>
  <c r="B2438" i="4"/>
  <c r="A2438" i="4"/>
  <c r="F2437" i="4"/>
  <c r="E2437" i="4"/>
  <c r="D2437" i="4"/>
  <c r="C2437" i="4"/>
  <c r="B2437" i="4"/>
  <c r="A2437" i="4"/>
  <c r="F2436" i="4"/>
  <c r="E2436" i="4"/>
  <c r="D2436" i="4"/>
  <c r="C2436" i="4"/>
  <c r="B2436" i="4"/>
  <c r="A2436" i="4"/>
  <c r="F2435" i="4"/>
  <c r="E2435" i="4"/>
  <c r="D2435" i="4"/>
  <c r="C2435" i="4"/>
  <c r="B2435" i="4"/>
  <c r="A2435" i="4"/>
  <c r="F2434" i="4"/>
  <c r="E2434" i="4"/>
  <c r="D2434" i="4"/>
  <c r="C2434" i="4"/>
  <c r="B2434" i="4"/>
  <c r="A2434" i="4"/>
  <c r="F2433" i="4"/>
  <c r="E2433" i="4"/>
  <c r="D2433" i="4"/>
  <c r="C2433" i="4"/>
  <c r="B2433" i="4"/>
  <c r="A2433" i="4"/>
  <c r="F2432" i="4"/>
  <c r="E2432" i="4"/>
  <c r="D2432" i="4"/>
  <c r="C2432" i="4"/>
  <c r="B2432" i="4"/>
  <c r="A2432" i="4"/>
  <c r="F2431" i="4"/>
  <c r="E2431" i="4"/>
  <c r="D2431" i="4"/>
  <c r="C2431" i="4"/>
  <c r="B2431" i="4"/>
  <c r="A2431" i="4"/>
  <c r="F2430" i="4"/>
  <c r="E2430" i="4"/>
  <c r="D2430" i="4"/>
  <c r="C2430" i="4"/>
  <c r="B2430" i="4"/>
  <c r="A2430" i="4"/>
  <c r="F2429" i="4"/>
  <c r="E2429" i="4"/>
  <c r="D2429" i="4"/>
  <c r="C2429" i="4"/>
  <c r="B2429" i="4"/>
  <c r="A2429" i="4"/>
  <c r="F2428" i="4"/>
  <c r="E2428" i="4"/>
  <c r="D2428" i="4"/>
  <c r="C2428" i="4"/>
  <c r="B2428" i="4"/>
  <c r="A2428" i="4"/>
  <c r="F2427" i="4"/>
  <c r="E2427" i="4"/>
  <c r="D2427" i="4"/>
  <c r="C2427" i="4"/>
  <c r="B2427" i="4"/>
  <c r="A2427" i="4"/>
  <c r="F2426" i="4"/>
  <c r="E2426" i="4"/>
  <c r="D2426" i="4"/>
  <c r="C2426" i="4"/>
  <c r="B2426" i="4"/>
  <c r="A2426" i="4"/>
  <c r="F2425" i="4"/>
  <c r="E2425" i="4"/>
  <c r="D2425" i="4"/>
  <c r="C2425" i="4"/>
  <c r="B2425" i="4"/>
  <c r="A2425" i="4"/>
  <c r="F2424" i="4"/>
  <c r="E2424" i="4"/>
  <c r="D2424" i="4"/>
  <c r="C2424" i="4"/>
  <c r="B2424" i="4"/>
  <c r="A2424" i="4"/>
  <c r="F2423" i="4"/>
  <c r="E2423" i="4"/>
  <c r="D2423" i="4"/>
  <c r="C2423" i="4"/>
  <c r="B2423" i="4"/>
  <c r="A2423" i="4"/>
  <c r="F2422" i="4"/>
  <c r="E2422" i="4"/>
  <c r="D2422" i="4"/>
  <c r="C2422" i="4"/>
  <c r="B2422" i="4"/>
  <c r="A2422" i="4"/>
  <c r="F2421" i="4"/>
  <c r="E2421" i="4"/>
  <c r="D2421" i="4"/>
  <c r="C2421" i="4"/>
  <c r="B2421" i="4"/>
  <c r="A2421" i="4"/>
  <c r="F2420" i="4"/>
  <c r="E2420" i="4"/>
  <c r="D2420" i="4"/>
  <c r="C2420" i="4"/>
  <c r="B2420" i="4"/>
  <c r="A2420" i="4"/>
  <c r="F2419" i="4"/>
  <c r="E2419" i="4"/>
  <c r="D2419" i="4"/>
  <c r="C2419" i="4"/>
  <c r="B2419" i="4"/>
  <c r="A2419" i="4"/>
  <c r="F2418" i="4"/>
  <c r="E2418" i="4"/>
  <c r="D2418" i="4"/>
  <c r="C2418" i="4"/>
  <c r="B2418" i="4"/>
  <c r="A2418" i="4"/>
  <c r="F2417" i="4"/>
  <c r="E2417" i="4"/>
  <c r="D2417" i="4"/>
  <c r="C2417" i="4"/>
  <c r="B2417" i="4"/>
  <c r="A2417" i="4"/>
  <c r="F2416" i="4"/>
  <c r="E2416" i="4"/>
  <c r="D2416" i="4"/>
  <c r="C2416" i="4"/>
  <c r="B2416" i="4"/>
  <c r="A2416" i="4"/>
  <c r="F2415" i="4"/>
  <c r="E2415" i="4"/>
  <c r="D2415" i="4"/>
  <c r="C2415" i="4"/>
  <c r="B2415" i="4"/>
  <c r="A2415" i="4"/>
  <c r="F2414" i="4"/>
  <c r="E2414" i="4"/>
  <c r="D2414" i="4"/>
  <c r="C2414" i="4"/>
  <c r="B2414" i="4"/>
  <c r="A2414" i="4"/>
  <c r="F2413" i="4"/>
  <c r="E2413" i="4"/>
  <c r="D2413" i="4"/>
  <c r="C2413" i="4"/>
  <c r="B2413" i="4"/>
  <c r="A2413" i="4"/>
  <c r="F2412" i="4"/>
  <c r="E2412" i="4"/>
  <c r="D2412" i="4"/>
  <c r="C2412" i="4"/>
  <c r="B2412" i="4"/>
  <c r="A2412" i="4"/>
  <c r="F2411" i="4"/>
  <c r="E2411" i="4"/>
  <c r="D2411" i="4"/>
  <c r="C2411" i="4"/>
  <c r="B2411" i="4"/>
  <c r="A2411" i="4"/>
  <c r="F2410" i="4"/>
  <c r="E2410" i="4"/>
  <c r="D2410" i="4"/>
  <c r="C2410" i="4"/>
  <c r="B2410" i="4"/>
  <c r="A2410" i="4"/>
  <c r="F2409" i="4"/>
  <c r="E2409" i="4"/>
  <c r="D2409" i="4"/>
  <c r="C2409" i="4"/>
  <c r="B2409" i="4"/>
  <c r="A2409" i="4"/>
  <c r="F2408" i="4"/>
  <c r="E2408" i="4"/>
  <c r="D2408" i="4"/>
  <c r="C2408" i="4"/>
  <c r="B2408" i="4"/>
  <c r="A2408" i="4"/>
  <c r="F2407" i="4"/>
  <c r="E2407" i="4"/>
  <c r="D2407" i="4"/>
  <c r="C2407" i="4"/>
  <c r="B2407" i="4"/>
  <c r="A2407" i="4"/>
  <c r="F2406" i="4"/>
  <c r="E2406" i="4"/>
  <c r="D2406" i="4"/>
  <c r="C2406" i="4"/>
  <c r="B2406" i="4"/>
  <c r="A2406" i="4"/>
  <c r="F2405" i="4"/>
  <c r="E2405" i="4"/>
  <c r="D2405" i="4"/>
  <c r="C2405" i="4"/>
  <c r="B2405" i="4"/>
  <c r="A2405" i="4"/>
  <c r="F2404" i="4"/>
  <c r="E2404" i="4"/>
  <c r="D2404" i="4"/>
  <c r="C2404" i="4"/>
  <c r="B2404" i="4"/>
  <c r="A2404" i="4"/>
  <c r="F2403" i="4"/>
  <c r="E2403" i="4"/>
  <c r="D2403" i="4"/>
  <c r="C2403" i="4"/>
  <c r="B2403" i="4"/>
  <c r="A2403" i="4"/>
  <c r="F2402" i="4"/>
  <c r="E2402" i="4"/>
  <c r="D2402" i="4"/>
  <c r="C2402" i="4"/>
  <c r="B2402" i="4"/>
  <c r="A2402" i="4"/>
  <c r="F2401" i="4"/>
  <c r="E2401" i="4"/>
  <c r="D2401" i="4"/>
  <c r="C2401" i="4"/>
  <c r="B2401" i="4"/>
  <c r="A2401" i="4"/>
  <c r="F2400" i="4"/>
  <c r="E2400" i="4"/>
  <c r="D2400" i="4"/>
  <c r="C2400" i="4"/>
  <c r="B2400" i="4"/>
  <c r="A2400" i="4"/>
  <c r="F2399" i="4"/>
  <c r="E2399" i="4"/>
  <c r="D2399" i="4"/>
  <c r="C2399" i="4"/>
  <c r="B2399" i="4"/>
  <c r="A2399" i="4"/>
  <c r="F2398" i="4"/>
  <c r="E2398" i="4"/>
  <c r="D2398" i="4"/>
  <c r="C2398" i="4"/>
  <c r="B2398" i="4"/>
  <c r="A2398" i="4"/>
  <c r="F2397" i="4"/>
  <c r="E2397" i="4"/>
  <c r="D2397" i="4"/>
  <c r="C2397" i="4"/>
  <c r="B2397" i="4"/>
  <c r="A2397" i="4"/>
  <c r="F2396" i="4"/>
  <c r="E2396" i="4"/>
  <c r="D2396" i="4"/>
  <c r="C2396" i="4"/>
  <c r="B2396" i="4"/>
  <c r="A2396" i="4"/>
  <c r="F2395" i="4"/>
  <c r="E2395" i="4"/>
  <c r="D2395" i="4"/>
  <c r="C2395" i="4"/>
  <c r="B2395" i="4"/>
  <c r="A2395" i="4"/>
  <c r="F2394" i="4"/>
  <c r="E2394" i="4"/>
  <c r="D2394" i="4"/>
  <c r="C2394" i="4"/>
  <c r="B2394" i="4"/>
  <c r="A2394" i="4"/>
  <c r="F2393" i="4"/>
  <c r="E2393" i="4"/>
  <c r="D2393" i="4"/>
  <c r="C2393" i="4"/>
  <c r="B2393" i="4"/>
  <c r="A2393" i="4"/>
  <c r="F2392" i="4"/>
  <c r="E2392" i="4"/>
  <c r="D2392" i="4"/>
  <c r="C2392" i="4"/>
  <c r="B2392" i="4"/>
  <c r="A2392" i="4"/>
  <c r="F2391" i="4"/>
  <c r="E2391" i="4"/>
  <c r="D2391" i="4"/>
  <c r="C2391" i="4"/>
  <c r="B2391" i="4"/>
  <c r="A2391" i="4"/>
  <c r="F2390" i="4"/>
  <c r="E2390" i="4"/>
  <c r="D2390" i="4"/>
  <c r="C2390" i="4"/>
  <c r="B2390" i="4"/>
  <c r="A2390" i="4"/>
  <c r="F2389" i="4"/>
  <c r="E2389" i="4"/>
  <c r="D2389" i="4"/>
  <c r="C2389" i="4"/>
  <c r="B2389" i="4"/>
  <c r="A2389" i="4"/>
  <c r="F2388" i="4"/>
  <c r="E2388" i="4"/>
  <c r="D2388" i="4"/>
  <c r="C2388" i="4"/>
  <c r="B2388" i="4"/>
  <c r="A2388" i="4"/>
  <c r="F2387" i="4"/>
  <c r="E2387" i="4"/>
  <c r="D2387" i="4"/>
  <c r="C2387" i="4"/>
  <c r="B2387" i="4"/>
  <c r="A2387" i="4"/>
  <c r="F2386" i="4"/>
  <c r="E2386" i="4"/>
  <c r="D2386" i="4"/>
  <c r="C2386" i="4"/>
  <c r="B2386" i="4"/>
  <c r="A2386" i="4"/>
  <c r="F2385" i="4"/>
  <c r="E2385" i="4"/>
  <c r="D2385" i="4"/>
  <c r="C2385" i="4"/>
  <c r="B2385" i="4"/>
  <c r="A2385" i="4"/>
  <c r="F2384" i="4"/>
  <c r="E2384" i="4"/>
  <c r="D2384" i="4"/>
  <c r="C2384" i="4"/>
  <c r="B2384" i="4"/>
  <c r="A2384" i="4"/>
  <c r="F2383" i="4"/>
  <c r="E2383" i="4"/>
  <c r="D2383" i="4"/>
  <c r="C2383" i="4"/>
  <c r="B2383" i="4"/>
  <c r="A2383" i="4"/>
  <c r="F2382" i="4"/>
  <c r="E2382" i="4"/>
  <c r="D2382" i="4"/>
  <c r="C2382" i="4"/>
  <c r="B2382" i="4"/>
  <c r="A2382" i="4"/>
  <c r="F2381" i="4"/>
  <c r="E2381" i="4"/>
  <c r="D2381" i="4"/>
  <c r="C2381" i="4"/>
  <c r="B2381" i="4"/>
  <c r="A2381" i="4"/>
  <c r="F2380" i="4"/>
  <c r="E2380" i="4"/>
  <c r="D2380" i="4"/>
  <c r="C2380" i="4"/>
  <c r="B2380" i="4"/>
  <c r="A2380" i="4"/>
  <c r="F2379" i="4"/>
  <c r="E2379" i="4"/>
  <c r="D2379" i="4"/>
  <c r="C2379" i="4"/>
  <c r="B2379" i="4"/>
  <c r="A2379" i="4"/>
  <c r="F2378" i="4"/>
  <c r="E2378" i="4"/>
  <c r="D2378" i="4"/>
  <c r="C2378" i="4"/>
  <c r="B2378" i="4"/>
  <c r="A2378" i="4"/>
  <c r="F2377" i="4"/>
  <c r="E2377" i="4"/>
  <c r="D2377" i="4"/>
  <c r="C2377" i="4"/>
  <c r="B2377" i="4"/>
  <c r="A2377" i="4"/>
  <c r="F2376" i="4"/>
  <c r="E2376" i="4"/>
  <c r="D2376" i="4"/>
  <c r="C2376" i="4"/>
  <c r="B2376" i="4"/>
  <c r="A2376" i="4"/>
  <c r="F2375" i="4"/>
  <c r="E2375" i="4"/>
  <c r="D2375" i="4"/>
  <c r="C2375" i="4"/>
  <c r="B2375" i="4"/>
  <c r="A2375" i="4"/>
  <c r="F2374" i="4"/>
  <c r="E2374" i="4"/>
  <c r="D2374" i="4"/>
  <c r="C2374" i="4"/>
  <c r="B2374" i="4"/>
  <c r="A2374" i="4"/>
  <c r="F2373" i="4"/>
  <c r="E2373" i="4"/>
  <c r="D2373" i="4"/>
  <c r="C2373" i="4"/>
  <c r="B2373" i="4"/>
  <c r="A2373" i="4"/>
  <c r="F2372" i="4"/>
  <c r="E2372" i="4"/>
  <c r="D2372" i="4"/>
  <c r="C2372" i="4"/>
  <c r="B2372" i="4"/>
  <c r="A2372" i="4"/>
  <c r="F2371" i="4"/>
  <c r="E2371" i="4"/>
  <c r="D2371" i="4"/>
  <c r="C2371" i="4"/>
  <c r="B2371" i="4"/>
  <c r="A2371" i="4"/>
  <c r="F2370" i="4"/>
  <c r="E2370" i="4"/>
  <c r="D2370" i="4"/>
  <c r="C2370" i="4"/>
  <c r="B2370" i="4"/>
  <c r="A2370" i="4"/>
  <c r="F2369" i="4"/>
  <c r="E2369" i="4"/>
  <c r="D2369" i="4"/>
  <c r="C2369" i="4"/>
  <c r="B2369" i="4"/>
  <c r="A2369" i="4"/>
  <c r="F2368" i="4"/>
  <c r="E2368" i="4"/>
  <c r="D2368" i="4"/>
  <c r="C2368" i="4"/>
  <c r="B2368" i="4"/>
  <c r="A2368" i="4"/>
  <c r="F2367" i="4"/>
  <c r="E2367" i="4"/>
  <c r="D2367" i="4"/>
  <c r="C2367" i="4"/>
  <c r="B2367" i="4"/>
  <c r="A2367" i="4"/>
  <c r="F2366" i="4"/>
  <c r="E2366" i="4"/>
  <c r="D2366" i="4"/>
  <c r="C2366" i="4"/>
  <c r="B2366" i="4"/>
  <c r="A2366" i="4"/>
  <c r="F2365" i="4"/>
  <c r="E2365" i="4"/>
  <c r="D2365" i="4"/>
  <c r="C2365" i="4"/>
  <c r="B2365" i="4"/>
  <c r="A2365" i="4"/>
  <c r="F2364" i="4"/>
  <c r="E2364" i="4"/>
  <c r="D2364" i="4"/>
  <c r="C2364" i="4"/>
  <c r="B2364" i="4"/>
  <c r="A2364" i="4"/>
  <c r="F2363" i="4"/>
  <c r="E2363" i="4"/>
  <c r="D2363" i="4"/>
  <c r="C2363" i="4"/>
  <c r="B2363" i="4"/>
  <c r="A2363" i="4"/>
  <c r="F2362" i="4"/>
  <c r="E2362" i="4"/>
  <c r="D2362" i="4"/>
  <c r="C2362" i="4"/>
  <c r="B2362" i="4"/>
  <c r="A2362" i="4"/>
  <c r="F2361" i="4"/>
  <c r="E2361" i="4"/>
  <c r="D2361" i="4"/>
  <c r="C2361" i="4"/>
  <c r="B2361" i="4"/>
  <c r="A2361" i="4"/>
  <c r="F2360" i="4"/>
  <c r="E2360" i="4"/>
  <c r="D2360" i="4"/>
  <c r="C2360" i="4"/>
  <c r="B2360" i="4"/>
  <c r="A2360" i="4"/>
  <c r="F2359" i="4"/>
  <c r="E2359" i="4"/>
  <c r="D2359" i="4"/>
  <c r="C2359" i="4"/>
  <c r="B2359" i="4"/>
  <c r="A2359" i="4"/>
  <c r="F2358" i="4"/>
  <c r="E2358" i="4"/>
  <c r="D2358" i="4"/>
  <c r="C2358" i="4"/>
  <c r="B2358" i="4"/>
  <c r="A2358" i="4"/>
  <c r="F2357" i="4"/>
  <c r="E2357" i="4"/>
  <c r="D2357" i="4"/>
  <c r="C2357" i="4"/>
  <c r="B2357" i="4"/>
  <c r="A2357" i="4"/>
  <c r="F2356" i="4"/>
  <c r="E2356" i="4"/>
  <c r="D2356" i="4"/>
  <c r="C2356" i="4"/>
  <c r="B2356" i="4"/>
  <c r="A2356" i="4"/>
  <c r="F2355" i="4"/>
  <c r="E2355" i="4"/>
  <c r="D2355" i="4"/>
  <c r="C2355" i="4"/>
  <c r="B2355" i="4"/>
  <c r="A2355" i="4"/>
  <c r="F2354" i="4"/>
  <c r="E2354" i="4"/>
  <c r="D2354" i="4"/>
  <c r="C2354" i="4"/>
  <c r="B2354" i="4"/>
  <c r="A2354" i="4"/>
  <c r="F2353" i="4"/>
  <c r="E2353" i="4"/>
  <c r="D2353" i="4"/>
  <c r="C2353" i="4"/>
  <c r="B2353" i="4"/>
  <c r="A2353" i="4"/>
  <c r="F2352" i="4"/>
  <c r="E2352" i="4"/>
  <c r="D2352" i="4"/>
  <c r="C2352" i="4"/>
  <c r="B2352" i="4"/>
  <c r="A2352" i="4"/>
  <c r="F2351" i="4"/>
  <c r="E2351" i="4"/>
  <c r="D2351" i="4"/>
  <c r="C2351" i="4"/>
  <c r="B2351" i="4"/>
  <c r="A2351" i="4"/>
  <c r="F2350" i="4"/>
  <c r="E2350" i="4"/>
  <c r="D2350" i="4"/>
  <c r="C2350" i="4"/>
  <c r="B2350" i="4"/>
  <c r="A2350" i="4"/>
  <c r="F2349" i="4"/>
  <c r="E2349" i="4"/>
  <c r="D2349" i="4"/>
  <c r="C2349" i="4"/>
  <c r="B2349" i="4"/>
  <c r="A2349" i="4"/>
  <c r="F2348" i="4"/>
  <c r="E2348" i="4"/>
  <c r="D2348" i="4"/>
  <c r="C2348" i="4"/>
  <c r="B2348" i="4"/>
  <c r="A2348" i="4"/>
  <c r="F2347" i="4"/>
  <c r="E2347" i="4"/>
  <c r="D2347" i="4"/>
  <c r="C2347" i="4"/>
  <c r="B2347" i="4"/>
  <c r="A2347" i="4"/>
  <c r="F2346" i="4"/>
  <c r="E2346" i="4"/>
  <c r="D2346" i="4"/>
  <c r="C2346" i="4"/>
  <c r="B2346" i="4"/>
  <c r="A2346" i="4"/>
  <c r="F2345" i="4"/>
  <c r="E2345" i="4"/>
  <c r="D2345" i="4"/>
  <c r="C2345" i="4"/>
  <c r="B2345" i="4"/>
  <c r="A2345" i="4"/>
  <c r="F2344" i="4"/>
  <c r="E2344" i="4"/>
  <c r="D2344" i="4"/>
  <c r="C2344" i="4"/>
  <c r="B2344" i="4"/>
  <c r="A2344" i="4"/>
  <c r="F2343" i="4"/>
  <c r="E2343" i="4"/>
  <c r="D2343" i="4"/>
  <c r="C2343" i="4"/>
  <c r="B2343" i="4"/>
  <c r="A2343" i="4"/>
  <c r="F2342" i="4"/>
  <c r="E2342" i="4"/>
  <c r="D2342" i="4"/>
  <c r="C2342" i="4"/>
  <c r="B2342" i="4"/>
  <c r="A2342" i="4"/>
  <c r="F2341" i="4"/>
  <c r="E2341" i="4"/>
  <c r="D2341" i="4"/>
  <c r="C2341" i="4"/>
  <c r="B2341" i="4"/>
  <c r="A2341" i="4"/>
  <c r="F2340" i="4"/>
  <c r="E2340" i="4"/>
  <c r="D2340" i="4"/>
  <c r="C2340" i="4"/>
  <c r="B2340" i="4"/>
  <c r="A2340" i="4"/>
  <c r="F2339" i="4"/>
  <c r="E2339" i="4"/>
  <c r="D2339" i="4"/>
  <c r="C2339" i="4"/>
  <c r="B2339" i="4"/>
  <c r="A2339" i="4"/>
  <c r="F2338" i="4"/>
  <c r="E2338" i="4"/>
  <c r="D2338" i="4"/>
  <c r="C2338" i="4"/>
  <c r="B2338" i="4"/>
  <c r="A2338" i="4"/>
  <c r="F2337" i="4"/>
  <c r="E2337" i="4"/>
  <c r="D2337" i="4"/>
  <c r="C2337" i="4"/>
  <c r="B2337" i="4"/>
  <c r="A2337" i="4"/>
  <c r="F2336" i="4"/>
  <c r="E2336" i="4"/>
  <c r="D2336" i="4"/>
  <c r="C2336" i="4"/>
  <c r="B2336" i="4"/>
  <c r="A2336" i="4"/>
  <c r="F2335" i="4"/>
  <c r="E2335" i="4"/>
  <c r="D2335" i="4"/>
  <c r="C2335" i="4"/>
  <c r="B2335" i="4"/>
  <c r="A2335" i="4"/>
  <c r="F2334" i="4"/>
  <c r="E2334" i="4"/>
  <c r="D2334" i="4"/>
  <c r="C2334" i="4"/>
  <c r="B2334" i="4"/>
  <c r="A2334" i="4"/>
  <c r="F2333" i="4"/>
  <c r="E2333" i="4"/>
  <c r="D2333" i="4"/>
  <c r="C2333" i="4"/>
  <c r="B2333" i="4"/>
  <c r="A2333" i="4"/>
  <c r="F2332" i="4"/>
  <c r="E2332" i="4"/>
  <c r="D2332" i="4"/>
  <c r="C2332" i="4"/>
  <c r="B2332" i="4"/>
  <c r="A2332" i="4"/>
  <c r="F2331" i="4"/>
  <c r="E2331" i="4"/>
  <c r="D2331" i="4"/>
  <c r="C2331" i="4"/>
  <c r="B2331" i="4"/>
  <c r="A2331" i="4"/>
  <c r="F2330" i="4"/>
  <c r="E2330" i="4"/>
  <c r="D2330" i="4"/>
  <c r="C2330" i="4"/>
  <c r="B2330" i="4"/>
  <c r="A2330" i="4"/>
  <c r="F2329" i="4"/>
  <c r="E2329" i="4"/>
  <c r="D2329" i="4"/>
  <c r="C2329" i="4"/>
  <c r="B2329" i="4"/>
  <c r="A2329" i="4"/>
  <c r="F2328" i="4"/>
  <c r="E2328" i="4"/>
  <c r="D2328" i="4"/>
  <c r="C2328" i="4"/>
  <c r="B2328" i="4"/>
  <c r="A2328" i="4"/>
  <c r="F2327" i="4"/>
  <c r="E2327" i="4"/>
  <c r="D2327" i="4"/>
  <c r="C2327" i="4"/>
  <c r="B2327" i="4"/>
  <c r="A2327" i="4"/>
  <c r="F2326" i="4"/>
  <c r="E2326" i="4"/>
  <c r="D2326" i="4"/>
  <c r="C2326" i="4"/>
  <c r="B2326" i="4"/>
  <c r="A2326" i="4"/>
  <c r="F2325" i="4"/>
  <c r="E2325" i="4"/>
  <c r="D2325" i="4"/>
  <c r="C2325" i="4"/>
  <c r="B2325" i="4"/>
  <c r="A2325" i="4"/>
  <c r="F2324" i="4"/>
  <c r="E2324" i="4"/>
  <c r="D2324" i="4"/>
  <c r="C2324" i="4"/>
  <c r="B2324" i="4"/>
  <c r="A2324" i="4"/>
  <c r="F2323" i="4"/>
  <c r="E2323" i="4"/>
  <c r="D2323" i="4"/>
  <c r="C2323" i="4"/>
  <c r="B2323" i="4"/>
  <c r="A2323" i="4"/>
  <c r="F2322" i="4"/>
  <c r="E2322" i="4"/>
  <c r="D2322" i="4"/>
  <c r="C2322" i="4"/>
  <c r="B2322" i="4"/>
  <c r="A2322" i="4"/>
  <c r="F2321" i="4"/>
  <c r="E2321" i="4"/>
  <c r="D2321" i="4"/>
  <c r="C2321" i="4"/>
  <c r="B2321" i="4"/>
  <c r="A2321" i="4"/>
  <c r="F2320" i="4"/>
  <c r="E2320" i="4"/>
  <c r="D2320" i="4"/>
  <c r="C2320" i="4"/>
  <c r="B2320" i="4"/>
  <c r="A2320" i="4"/>
  <c r="F2319" i="4"/>
  <c r="E2319" i="4"/>
  <c r="D2319" i="4"/>
  <c r="C2319" i="4"/>
  <c r="B2319" i="4"/>
  <c r="A2319" i="4"/>
  <c r="F2318" i="4"/>
  <c r="E2318" i="4"/>
  <c r="D2318" i="4"/>
  <c r="C2318" i="4"/>
  <c r="B2318" i="4"/>
  <c r="A2318" i="4"/>
  <c r="F2317" i="4"/>
  <c r="E2317" i="4"/>
  <c r="D2317" i="4"/>
  <c r="C2317" i="4"/>
  <c r="B2317" i="4"/>
  <c r="A2317" i="4"/>
  <c r="F2316" i="4"/>
  <c r="E2316" i="4"/>
  <c r="D2316" i="4"/>
  <c r="C2316" i="4"/>
  <c r="B2316" i="4"/>
  <c r="A2316" i="4"/>
  <c r="F2315" i="4"/>
  <c r="E2315" i="4"/>
  <c r="D2315" i="4"/>
  <c r="C2315" i="4"/>
  <c r="B2315" i="4"/>
  <c r="A2315" i="4"/>
  <c r="F2314" i="4"/>
  <c r="E2314" i="4"/>
  <c r="D2314" i="4"/>
  <c r="C2314" i="4"/>
  <c r="B2314" i="4"/>
  <c r="A2314" i="4"/>
  <c r="F2313" i="4"/>
  <c r="E2313" i="4"/>
  <c r="D2313" i="4"/>
  <c r="C2313" i="4"/>
  <c r="B2313" i="4"/>
  <c r="A2313" i="4"/>
  <c r="F2312" i="4"/>
  <c r="E2312" i="4"/>
  <c r="D2312" i="4"/>
  <c r="C2312" i="4"/>
  <c r="B2312" i="4"/>
  <c r="A2312" i="4"/>
  <c r="F2311" i="4"/>
  <c r="E2311" i="4"/>
  <c r="D2311" i="4"/>
  <c r="C2311" i="4"/>
  <c r="B2311" i="4"/>
  <c r="A2311" i="4"/>
  <c r="F2310" i="4"/>
  <c r="E2310" i="4"/>
  <c r="D2310" i="4"/>
  <c r="C2310" i="4"/>
  <c r="B2310" i="4"/>
  <c r="A2310" i="4"/>
  <c r="F2309" i="4"/>
  <c r="E2309" i="4"/>
  <c r="D2309" i="4"/>
  <c r="C2309" i="4"/>
  <c r="B2309" i="4"/>
  <c r="A2309" i="4"/>
  <c r="F2308" i="4"/>
  <c r="E2308" i="4"/>
  <c r="D2308" i="4"/>
  <c r="C2308" i="4"/>
  <c r="B2308" i="4"/>
  <c r="A2308" i="4"/>
  <c r="F2307" i="4"/>
  <c r="E2307" i="4"/>
  <c r="D2307" i="4"/>
  <c r="C2307" i="4"/>
  <c r="B2307" i="4"/>
  <c r="A2307" i="4"/>
  <c r="F2306" i="4"/>
  <c r="E2306" i="4"/>
  <c r="D2306" i="4"/>
  <c r="C2306" i="4"/>
  <c r="B2306" i="4"/>
  <c r="A2306" i="4"/>
  <c r="F2305" i="4"/>
  <c r="E2305" i="4"/>
  <c r="D2305" i="4"/>
  <c r="C2305" i="4"/>
  <c r="B2305" i="4"/>
  <c r="A2305" i="4"/>
  <c r="F2304" i="4"/>
  <c r="E2304" i="4"/>
  <c r="D2304" i="4"/>
  <c r="C2304" i="4"/>
  <c r="B2304" i="4"/>
  <c r="A2304" i="4"/>
  <c r="F2303" i="4"/>
  <c r="E2303" i="4"/>
  <c r="D2303" i="4"/>
  <c r="C2303" i="4"/>
  <c r="B2303" i="4"/>
  <c r="A2303" i="4"/>
  <c r="F2302" i="4"/>
  <c r="E2302" i="4"/>
  <c r="D2302" i="4"/>
  <c r="C2302" i="4"/>
  <c r="B2302" i="4"/>
  <c r="A2302" i="4"/>
  <c r="F2301" i="4"/>
  <c r="E2301" i="4"/>
  <c r="D2301" i="4"/>
  <c r="C2301" i="4"/>
  <c r="B2301" i="4"/>
  <c r="A2301" i="4"/>
  <c r="F2300" i="4"/>
  <c r="E2300" i="4"/>
  <c r="D2300" i="4"/>
  <c r="C2300" i="4"/>
  <c r="B2300" i="4"/>
  <c r="A2300" i="4"/>
  <c r="F2299" i="4"/>
  <c r="E2299" i="4"/>
  <c r="D2299" i="4"/>
  <c r="C2299" i="4"/>
  <c r="B2299" i="4"/>
  <c r="A2299" i="4"/>
  <c r="F2298" i="4"/>
  <c r="E2298" i="4"/>
  <c r="D2298" i="4"/>
  <c r="C2298" i="4"/>
  <c r="B2298" i="4"/>
  <c r="A2298" i="4"/>
  <c r="F2297" i="4"/>
  <c r="E2297" i="4"/>
  <c r="D2297" i="4"/>
  <c r="C2297" i="4"/>
  <c r="B2297" i="4"/>
  <c r="A2297" i="4"/>
  <c r="F2296" i="4"/>
  <c r="E2296" i="4"/>
  <c r="D2296" i="4"/>
  <c r="C2296" i="4"/>
  <c r="B2296" i="4"/>
  <c r="A2296" i="4"/>
  <c r="F2295" i="4"/>
  <c r="E2295" i="4"/>
  <c r="D2295" i="4"/>
  <c r="C2295" i="4"/>
  <c r="B2295" i="4"/>
  <c r="A2295" i="4"/>
  <c r="F2294" i="4"/>
  <c r="E2294" i="4"/>
  <c r="D2294" i="4"/>
  <c r="C2294" i="4"/>
  <c r="B2294" i="4"/>
  <c r="A2294" i="4"/>
  <c r="F2293" i="4"/>
  <c r="E2293" i="4"/>
  <c r="D2293" i="4"/>
  <c r="C2293" i="4"/>
  <c r="B2293" i="4"/>
  <c r="A2293" i="4"/>
  <c r="F2292" i="4"/>
  <c r="E2292" i="4"/>
  <c r="D2292" i="4"/>
  <c r="C2292" i="4"/>
  <c r="B2292" i="4"/>
  <c r="A2292" i="4"/>
  <c r="F2291" i="4"/>
  <c r="E2291" i="4"/>
  <c r="D2291" i="4"/>
  <c r="C2291" i="4"/>
  <c r="B2291" i="4"/>
  <c r="A2291" i="4"/>
  <c r="F2290" i="4"/>
  <c r="E2290" i="4"/>
  <c r="D2290" i="4"/>
  <c r="C2290" i="4"/>
  <c r="B2290" i="4"/>
  <c r="A2290" i="4"/>
  <c r="F2289" i="4"/>
  <c r="E2289" i="4"/>
  <c r="D2289" i="4"/>
  <c r="C2289" i="4"/>
  <c r="B2289" i="4"/>
  <c r="A2289" i="4"/>
  <c r="F2288" i="4"/>
  <c r="E2288" i="4"/>
  <c r="D2288" i="4"/>
  <c r="C2288" i="4"/>
  <c r="B2288" i="4"/>
  <c r="A2288" i="4"/>
  <c r="F2287" i="4"/>
  <c r="E2287" i="4"/>
  <c r="D2287" i="4"/>
  <c r="C2287" i="4"/>
  <c r="B2287" i="4"/>
  <c r="A2287" i="4"/>
  <c r="F2286" i="4"/>
  <c r="E2286" i="4"/>
  <c r="D2286" i="4"/>
  <c r="C2286" i="4"/>
  <c r="B2286" i="4"/>
  <c r="A2286" i="4"/>
  <c r="F2285" i="4"/>
  <c r="E2285" i="4"/>
  <c r="D2285" i="4"/>
  <c r="C2285" i="4"/>
  <c r="B2285" i="4"/>
  <c r="A2285" i="4"/>
  <c r="F2284" i="4"/>
  <c r="E2284" i="4"/>
  <c r="D2284" i="4"/>
  <c r="C2284" i="4"/>
  <c r="B2284" i="4"/>
  <c r="A2284" i="4"/>
  <c r="F2283" i="4"/>
  <c r="E2283" i="4"/>
  <c r="D2283" i="4"/>
  <c r="C2283" i="4"/>
  <c r="B2283" i="4"/>
  <c r="A2283" i="4"/>
  <c r="F2282" i="4"/>
  <c r="E2282" i="4"/>
  <c r="D2282" i="4"/>
  <c r="C2282" i="4"/>
  <c r="B2282" i="4"/>
  <c r="A2282" i="4"/>
  <c r="F2281" i="4"/>
  <c r="E2281" i="4"/>
  <c r="D2281" i="4"/>
  <c r="C2281" i="4"/>
  <c r="B2281" i="4"/>
  <c r="A2281" i="4"/>
  <c r="F2280" i="4"/>
  <c r="E2280" i="4"/>
  <c r="D2280" i="4"/>
  <c r="C2280" i="4"/>
  <c r="B2280" i="4"/>
  <c r="A2280" i="4"/>
  <c r="F2279" i="4"/>
  <c r="E2279" i="4"/>
  <c r="D2279" i="4"/>
  <c r="C2279" i="4"/>
  <c r="B2279" i="4"/>
  <c r="A2279" i="4"/>
  <c r="F2278" i="4"/>
  <c r="E2278" i="4"/>
  <c r="D2278" i="4"/>
  <c r="C2278" i="4"/>
  <c r="B2278" i="4"/>
  <c r="A2278" i="4"/>
  <c r="F2277" i="4"/>
  <c r="E2277" i="4"/>
  <c r="D2277" i="4"/>
  <c r="C2277" i="4"/>
  <c r="B2277" i="4"/>
  <c r="A2277" i="4"/>
  <c r="F2276" i="4"/>
  <c r="E2276" i="4"/>
  <c r="D2276" i="4"/>
  <c r="C2276" i="4"/>
  <c r="B2276" i="4"/>
  <c r="A2276" i="4"/>
  <c r="F2275" i="4"/>
  <c r="E2275" i="4"/>
  <c r="D2275" i="4"/>
  <c r="C2275" i="4"/>
  <c r="B2275" i="4"/>
  <c r="A2275" i="4"/>
  <c r="F2274" i="4"/>
  <c r="E2274" i="4"/>
  <c r="D2274" i="4"/>
  <c r="C2274" i="4"/>
  <c r="B2274" i="4"/>
  <c r="A2274" i="4"/>
  <c r="F2273" i="4"/>
  <c r="E2273" i="4"/>
  <c r="D2273" i="4"/>
  <c r="C2273" i="4"/>
  <c r="B2273" i="4"/>
  <c r="A2273" i="4"/>
  <c r="F2272" i="4"/>
  <c r="E2272" i="4"/>
  <c r="D2272" i="4"/>
  <c r="C2272" i="4"/>
  <c r="B2272" i="4"/>
  <c r="A2272" i="4"/>
  <c r="F2271" i="4"/>
  <c r="E2271" i="4"/>
  <c r="D2271" i="4"/>
  <c r="C2271" i="4"/>
  <c r="B2271" i="4"/>
  <c r="A2271" i="4"/>
  <c r="F2270" i="4"/>
  <c r="E2270" i="4"/>
  <c r="D2270" i="4"/>
  <c r="C2270" i="4"/>
  <c r="B2270" i="4"/>
  <c r="A2270" i="4"/>
  <c r="F2269" i="4"/>
  <c r="E2269" i="4"/>
  <c r="D2269" i="4"/>
  <c r="C2269" i="4"/>
  <c r="B2269" i="4"/>
  <c r="A2269" i="4"/>
  <c r="F2268" i="4"/>
  <c r="E2268" i="4"/>
  <c r="D2268" i="4"/>
  <c r="C2268" i="4"/>
  <c r="B2268" i="4"/>
  <c r="A2268" i="4"/>
  <c r="F2267" i="4"/>
  <c r="E2267" i="4"/>
  <c r="D2267" i="4"/>
  <c r="C2267" i="4"/>
  <c r="B2267" i="4"/>
  <c r="A2267" i="4"/>
  <c r="F2266" i="4"/>
  <c r="E2266" i="4"/>
  <c r="D2266" i="4"/>
  <c r="C2266" i="4"/>
  <c r="B2266" i="4"/>
  <c r="A2266" i="4"/>
  <c r="F2265" i="4"/>
  <c r="E2265" i="4"/>
  <c r="D2265" i="4"/>
  <c r="C2265" i="4"/>
  <c r="B2265" i="4"/>
  <c r="A2265" i="4"/>
  <c r="F2264" i="4"/>
  <c r="E2264" i="4"/>
  <c r="D2264" i="4"/>
  <c r="C2264" i="4"/>
  <c r="B2264" i="4"/>
  <c r="A2264" i="4"/>
  <c r="F2263" i="4"/>
  <c r="E2263" i="4"/>
  <c r="D2263" i="4"/>
  <c r="C2263" i="4"/>
  <c r="B2263" i="4"/>
  <c r="A2263" i="4"/>
  <c r="F2262" i="4"/>
  <c r="E2262" i="4"/>
  <c r="D2262" i="4"/>
  <c r="C2262" i="4"/>
  <c r="B2262" i="4"/>
  <c r="A2262" i="4"/>
  <c r="F2261" i="4"/>
  <c r="E2261" i="4"/>
  <c r="D2261" i="4"/>
  <c r="C2261" i="4"/>
  <c r="B2261" i="4"/>
  <c r="A2261" i="4"/>
  <c r="F2260" i="4"/>
  <c r="E2260" i="4"/>
  <c r="D2260" i="4"/>
  <c r="C2260" i="4"/>
  <c r="B2260" i="4"/>
  <c r="A2260" i="4"/>
  <c r="F2259" i="4"/>
  <c r="E2259" i="4"/>
  <c r="D2259" i="4"/>
  <c r="C2259" i="4"/>
  <c r="B2259" i="4"/>
  <c r="A2259" i="4"/>
  <c r="F2258" i="4"/>
  <c r="E2258" i="4"/>
  <c r="D2258" i="4"/>
  <c r="C2258" i="4"/>
  <c r="B2258" i="4"/>
  <c r="A2258" i="4"/>
  <c r="F2257" i="4"/>
  <c r="E2257" i="4"/>
  <c r="D2257" i="4"/>
  <c r="C2257" i="4"/>
  <c r="B2257" i="4"/>
  <c r="A2257" i="4"/>
  <c r="F2256" i="4"/>
  <c r="E2256" i="4"/>
  <c r="D2256" i="4"/>
  <c r="C2256" i="4"/>
  <c r="B2256" i="4"/>
  <c r="A2256" i="4"/>
  <c r="F2255" i="4"/>
  <c r="E2255" i="4"/>
  <c r="D2255" i="4"/>
  <c r="C2255" i="4"/>
  <c r="B2255" i="4"/>
  <c r="A2255" i="4"/>
  <c r="F2254" i="4"/>
  <c r="E2254" i="4"/>
  <c r="D2254" i="4"/>
  <c r="C2254" i="4"/>
  <c r="B2254" i="4"/>
  <c r="A2254" i="4"/>
  <c r="F2253" i="4"/>
  <c r="E2253" i="4"/>
  <c r="D2253" i="4"/>
  <c r="C2253" i="4"/>
  <c r="B2253" i="4"/>
  <c r="A2253" i="4"/>
  <c r="F2252" i="4"/>
  <c r="E2252" i="4"/>
  <c r="D2252" i="4"/>
  <c r="C2252" i="4"/>
  <c r="B2252" i="4"/>
  <c r="A2252" i="4"/>
  <c r="F2251" i="4"/>
  <c r="E2251" i="4"/>
  <c r="D2251" i="4"/>
  <c r="C2251" i="4"/>
  <c r="B2251" i="4"/>
  <c r="A2251" i="4"/>
  <c r="F2250" i="4"/>
  <c r="E2250" i="4"/>
  <c r="D2250" i="4"/>
  <c r="C2250" i="4"/>
  <c r="B2250" i="4"/>
  <c r="A2250" i="4"/>
  <c r="F2249" i="4"/>
  <c r="E2249" i="4"/>
  <c r="D2249" i="4"/>
  <c r="C2249" i="4"/>
  <c r="B2249" i="4"/>
  <c r="A2249" i="4"/>
  <c r="F2248" i="4"/>
  <c r="E2248" i="4"/>
  <c r="D2248" i="4"/>
  <c r="C2248" i="4"/>
  <c r="B2248" i="4"/>
  <c r="A2248" i="4"/>
  <c r="F2247" i="4"/>
  <c r="E2247" i="4"/>
  <c r="D2247" i="4"/>
  <c r="C2247" i="4"/>
  <c r="B2247" i="4"/>
  <c r="A2247" i="4"/>
  <c r="F2246" i="4"/>
  <c r="E2246" i="4"/>
  <c r="D2246" i="4"/>
  <c r="C2246" i="4"/>
  <c r="B2246" i="4"/>
  <c r="A2246" i="4"/>
  <c r="F2245" i="4"/>
  <c r="E2245" i="4"/>
  <c r="D2245" i="4"/>
  <c r="C2245" i="4"/>
  <c r="B2245" i="4"/>
  <c r="A2245" i="4"/>
  <c r="F2244" i="4"/>
  <c r="E2244" i="4"/>
  <c r="D2244" i="4"/>
  <c r="C2244" i="4"/>
  <c r="B2244" i="4"/>
  <c r="A2244" i="4"/>
  <c r="F2243" i="4"/>
  <c r="E2243" i="4"/>
  <c r="D2243" i="4"/>
  <c r="C2243" i="4"/>
  <c r="B2243" i="4"/>
  <c r="A2243" i="4"/>
  <c r="F2242" i="4"/>
  <c r="E2242" i="4"/>
  <c r="D2242" i="4"/>
  <c r="C2242" i="4"/>
  <c r="B2242" i="4"/>
  <c r="A2242" i="4"/>
  <c r="F2241" i="4"/>
  <c r="E2241" i="4"/>
  <c r="D2241" i="4"/>
  <c r="C2241" i="4"/>
  <c r="B2241" i="4"/>
  <c r="A2241" i="4"/>
  <c r="F2240" i="4"/>
  <c r="E2240" i="4"/>
  <c r="D2240" i="4"/>
  <c r="C2240" i="4"/>
  <c r="B2240" i="4"/>
  <c r="A2240" i="4"/>
  <c r="F2239" i="4"/>
  <c r="E2239" i="4"/>
  <c r="D2239" i="4"/>
  <c r="C2239" i="4"/>
  <c r="B2239" i="4"/>
  <c r="A2239" i="4"/>
  <c r="F2238" i="4"/>
  <c r="E2238" i="4"/>
  <c r="D2238" i="4"/>
  <c r="C2238" i="4"/>
  <c r="B2238" i="4"/>
  <c r="A2238" i="4"/>
  <c r="F2237" i="4"/>
  <c r="E2237" i="4"/>
  <c r="D2237" i="4"/>
  <c r="C2237" i="4"/>
  <c r="B2237" i="4"/>
  <c r="A2237" i="4"/>
  <c r="F2236" i="4"/>
  <c r="E2236" i="4"/>
  <c r="D2236" i="4"/>
  <c r="C2236" i="4"/>
  <c r="B2236" i="4"/>
  <c r="A2236" i="4"/>
  <c r="F2235" i="4"/>
  <c r="E2235" i="4"/>
  <c r="D2235" i="4"/>
  <c r="C2235" i="4"/>
  <c r="B2235" i="4"/>
  <c r="A2235" i="4"/>
  <c r="F2234" i="4"/>
  <c r="E2234" i="4"/>
  <c r="D2234" i="4"/>
  <c r="C2234" i="4"/>
  <c r="B2234" i="4"/>
  <c r="A2234" i="4"/>
  <c r="F2233" i="4"/>
  <c r="E2233" i="4"/>
  <c r="D2233" i="4"/>
  <c r="C2233" i="4"/>
  <c r="B2233" i="4"/>
  <c r="A2233" i="4"/>
  <c r="F2232" i="4"/>
  <c r="E2232" i="4"/>
  <c r="D2232" i="4"/>
  <c r="C2232" i="4"/>
  <c r="B2232" i="4"/>
  <c r="A2232" i="4"/>
  <c r="F2231" i="4"/>
  <c r="E2231" i="4"/>
  <c r="D2231" i="4"/>
  <c r="C2231" i="4"/>
  <c r="B2231" i="4"/>
  <c r="A2231" i="4"/>
  <c r="F2230" i="4"/>
  <c r="E2230" i="4"/>
  <c r="D2230" i="4"/>
  <c r="C2230" i="4"/>
  <c r="B2230" i="4"/>
  <c r="A2230" i="4"/>
  <c r="F2229" i="4"/>
  <c r="E2229" i="4"/>
  <c r="D2229" i="4"/>
  <c r="C2229" i="4"/>
  <c r="B2229" i="4"/>
  <c r="A2229" i="4"/>
  <c r="F2228" i="4"/>
  <c r="E2228" i="4"/>
  <c r="D2228" i="4"/>
  <c r="C2228" i="4"/>
  <c r="B2228" i="4"/>
  <c r="A2228" i="4"/>
  <c r="F2227" i="4"/>
  <c r="E2227" i="4"/>
  <c r="D2227" i="4"/>
  <c r="C2227" i="4"/>
  <c r="B2227" i="4"/>
  <c r="A2227" i="4"/>
  <c r="F2226" i="4"/>
  <c r="E2226" i="4"/>
  <c r="D2226" i="4"/>
  <c r="C2226" i="4"/>
  <c r="B2226" i="4"/>
  <c r="A2226" i="4"/>
  <c r="F2225" i="4"/>
  <c r="E2225" i="4"/>
  <c r="D2225" i="4"/>
  <c r="C2225" i="4"/>
  <c r="B2225" i="4"/>
  <c r="A2225" i="4"/>
  <c r="F2224" i="4"/>
  <c r="E2224" i="4"/>
  <c r="D2224" i="4"/>
  <c r="C2224" i="4"/>
  <c r="B2224" i="4"/>
  <c r="A2224" i="4"/>
  <c r="F2223" i="4"/>
  <c r="E2223" i="4"/>
  <c r="D2223" i="4"/>
  <c r="C2223" i="4"/>
  <c r="B2223" i="4"/>
  <c r="A2223" i="4"/>
  <c r="F2222" i="4"/>
  <c r="E2222" i="4"/>
  <c r="D2222" i="4"/>
  <c r="C2222" i="4"/>
  <c r="B2222" i="4"/>
  <c r="A2222" i="4"/>
  <c r="F2221" i="4"/>
  <c r="E2221" i="4"/>
  <c r="D2221" i="4"/>
  <c r="C2221" i="4"/>
  <c r="B2221" i="4"/>
  <c r="A2221" i="4"/>
  <c r="F2220" i="4"/>
  <c r="E2220" i="4"/>
  <c r="D2220" i="4"/>
  <c r="C2220" i="4"/>
  <c r="B2220" i="4"/>
  <c r="A2220" i="4"/>
  <c r="F2219" i="4"/>
  <c r="E2219" i="4"/>
  <c r="D2219" i="4"/>
  <c r="C2219" i="4"/>
  <c r="B2219" i="4"/>
  <c r="A2219" i="4"/>
  <c r="F2218" i="4"/>
  <c r="E2218" i="4"/>
  <c r="D2218" i="4"/>
  <c r="C2218" i="4"/>
  <c r="B2218" i="4"/>
  <c r="A2218" i="4"/>
  <c r="F2217" i="4"/>
  <c r="E2217" i="4"/>
  <c r="D2217" i="4"/>
  <c r="C2217" i="4"/>
  <c r="B2217" i="4"/>
  <c r="A2217" i="4"/>
  <c r="F2216" i="4"/>
  <c r="E2216" i="4"/>
  <c r="D2216" i="4"/>
  <c r="C2216" i="4"/>
  <c r="B2216" i="4"/>
  <c r="A2216" i="4"/>
  <c r="F2215" i="4"/>
  <c r="E2215" i="4"/>
  <c r="D2215" i="4"/>
  <c r="C2215" i="4"/>
  <c r="B2215" i="4"/>
  <c r="A2215" i="4"/>
  <c r="F2214" i="4"/>
  <c r="E2214" i="4"/>
  <c r="D2214" i="4"/>
  <c r="C2214" i="4"/>
  <c r="B2214" i="4"/>
  <c r="A2214" i="4"/>
  <c r="F2213" i="4"/>
  <c r="E2213" i="4"/>
  <c r="D2213" i="4"/>
  <c r="C2213" i="4"/>
  <c r="B2213" i="4"/>
  <c r="A2213" i="4"/>
  <c r="F2212" i="4"/>
  <c r="E2212" i="4"/>
  <c r="D2212" i="4"/>
  <c r="C2212" i="4"/>
  <c r="B2212" i="4"/>
  <c r="A2212" i="4"/>
  <c r="F2211" i="4"/>
  <c r="E2211" i="4"/>
  <c r="D2211" i="4"/>
  <c r="C2211" i="4"/>
  <c r="B2211" i="4"/>
  <c r="A2211" i="4"/>
  <c r="F2210" i="4"/>
  <c r="E2210" i="4"/>
  <c r="D2210" i="4"/>
  <c r="C2210" i="4"/>
  <c r="B2210" i="4"/>
  <c r="A2210" i="4"/>
  <c r="F2209" i="4"/>
  <c r="E2209" i="4"/>
  <c r="D2209" i="4"/>
  <c r="C2209" i="4"/>
  <c r="B2209" i="4"/>
  <c r="A2209" i="4"/>
  <c r="F2208" i="4"/>
  <c r="E2208" i="4"/>
  <c r="D2208" i="4"/>
  <c r="C2208" i="4"/>
  <c r="B2208" i="4"/>
  <c r="A2208" i="4"/>
  <c r="F2207" i="4"/>
  <c r="E2207" i="4"/>
  <c r="D2207" i="4"/>
  <c r="C2207" i="4"/>
  <c r="B2207" i="4"/>
  <c r="A2207" i="4"/>
  <c r="F2206" i="4"/>
  <c r="E2206" i="4"/>
  <c r="D2206" i="4"/>
  <c r="C2206" i="4"/>
  <c r="B2206" i="4"/>
  <c r="A2206" i="4"/>
  <c r="F2205" i="4"/>
  <c r="E2205" i="4"/>
  <c r="D2205" i="4"/>
  <c r="C2205" i="4"/>
  <c r="B2205" i="4"/>
  <c r="A2205" i="4"/>
  <c r="F2204" i="4"/>
  <c r="E2204" i="4"/>
  <c r="D2204" i="4"/>
  <c r="C2204" i="4"/>
  <c r="B2204" i="4"/>
  <c r="A2204" i="4"/>
  <c r="F2203" i="4"/>
  <c r="E2203" i="4"/>
  <c r="D2203" i="4"/>
  <c r="C2203" i="4"/>
  <c r="B2203" i="4"/>
  <c r="A2203" i="4"/>
  <c r="F2202" i="4"/>
  <c r="E2202" i="4"/>
  <c r="D2202" i="4"/>
  <c r="C2202" i="4"/>
  <c r="B2202" i="4"/>
  <c r="A2202" i="4"/>
  <c r="F2201" i="4"/>
  <c r="E2201" i="4"/>
  <c r="D2201" i="4"/>
  <c r="C2201" i="4"/>
  <c r="B2201" i="4"/>
  <c r="A2201" i="4"/>
  <c r="F2200" i="4"/>
  <c r="E2200" i="4"/>
  <c r="D2200" i="4"/>
  <c r="C2200" i="4"/>
  <c r="B2200" i="4"/>
  <c r="A2200" i="4"/>
  <c r="F2199" i="4"/>
  <c r="E2199" i="4"/>
  <c r="D2199" i="4"/>
  <c r="C2199" i="4"/>
  <c r="B2199" i="4"/>
  <c r="A2199" i="4"/>
  <c r="F2198" i="4"/>
  <c r="E2198" i="4"/>
  <c r="D2198" i="4"/>
  <c r="C2198" i="4"/>
  <c r="B2198" i="4"/>
  <c r="A2198" i="4"/>
  <c r="F2197" i="4"/>
  <c r="E2197" i="4"/>
  <c r="D2197" i="4"/>
  <c r="C2197" i="4"/>
  <c r="B2197" i="4"/>
  <c r="A2197" i="4"/>
  <c r="F2196" i="4"/>
  <c r="E2196" i="4"/>
  <c r="D2196" i="4"/>
  <c r="C2196" i="4"/>
  <c r="B2196" i="4"/>
  <c r="A2196" i="4"/>
  <c r="F2195" i="4"/>
  <c r="E2195" i="4"/>
  <c r="D2195" i="4"/>
  <c r="C2195" i="4"/>
  <c r="B2195" i="4"/>
  <c r="A2195" i="4"/>
  <c r="F2194" i="4"/>
  <c r="E2194" i="4"/>
  <c r="D2194" i="4"/>
  <c r="C2194" i="4"/>
  <c r="B2194" i="4"/>
  <c r="A2194" i="4"/>
  <c r="F2193" i="4"/>
  <c r="E2193" i="4"/>
  <c r="D2193" i="4"/>
  <c r="C2193" i="4"/>
  <c r="B2193" i="4"/>
  <c r="A2193" i="4"/>
  <c r="F2192" i="4"/>
  <c r="E2192" i="4"/>
  <c r="D2192" i="4"/>
  <c r="C2192" i="4"/>
  <c r="B2192" i="4"/>
  <c r="A2192" i="4"/>
  <c r="F2191" i="4"/>
  <c r="E2191" i="4"/>
  <c r="D2191" i="4"/>
  <c r="C2191" i="4"/>
  <c r="B2191" i="4"/>
  <c r="A2191" i="4"/>
  <c r="F2190" i="4"/>
  <c r="E2190" i="4"/>
  <c r="D2190" i="4"/>
  <c r="C2190" i="4"/>
  <c r="B2190" i="4"/>
  <c r="A2190" i="4"/>
  <c r="F2189" i="4"/>
  <c r="E2189" i="4"/>
  <c r="D2189" i="4"/>
  <c r="C2189" i="4"/>
  <c r="B2189" i="4"/>
  <c r="A2189" i="4"/>
  <c r="F2188" i="4"/>
  <c r="E2188" i="4"/>
  <c r="D2188" i="4"/>
  <c r="C2188" i="4"/>
  <c r="B2188" i="4"/>
  <c r="A2188" i="4"/>
  <c r="F2187" i="4"/>
  <c r="E2187" i="4"/>
  <c r="D2187" i="4"/>
  <c r="C2187" i="4"/>
  <c r="B2187" i="4"/>
  <c r="A2187" i="4"/>
  <c r="F2186" i="4"/>
  <c r="E2186" i="4"/>
  <c r="D2186" i="4"/>
  <c r="C2186" i="4"/>
  <c r="B2186" i="4"/>
  <c r="A2186" i="4"/>
  <c r="F2185" i="4"/>
  <c r="E2185" i="4"/>
  <c r="D2185" i="4"/>
  <c r="C2185" i="4"/>
  <c r="B2185" i="4"/>
  <c r="A2185" i="4"/>
  <c r="F2184" i="4"/>
  <c r="E2184" i="4"/>
  <c r="D2184" i="4"/>
  <c r="C2184" i="4"/>
  <c r="B2184" i="4"/>
  <c r="A2184" i="4"/>
  <c r="F2183" i="4"/>
  <c r="E2183" i="4"/>
  <c r="D2183" i="4"/>
  <c r="C2183" i="4"/>
  <c r="B2183" i="4"/>
  <c r="A2183" i="4"/>
  <c r="F2182" i="4"/>
  <c r="E2182" i="4"/>
  <c r="D2182" i="4"/>
  <c r="C2182" i="4"/>
  <c r="B2182" i="4"/>
  <c r="A2182" i="4"/>
  <c r="F2181" i="4"/>
  <c r="E2181" i="4"/>
  <c r="D2181" i="4"/>
  <c r="C2181" i="4"/>
  <c r="B2181" i="4"/>
  <c r="A2181" i="4"/>
  <c r="F2180" i="4"/>
  <c r="E2180" i="4"/>
  <c r="D2180" i="4"/>
  <c r="C2180" i="4"/>
  <c r="B2180" i="4"/>
  <c r="A2180" i="4"/>
  <c r="F2179" i="4"/>
  <c r="E2179" i="4"/>
  <c r="D2179" i="4"/>
  <c r="C2179" i="4"/>
  <c r="B2179" i="4"/>
  <c r="A2179" i="4"/>
  <c r="F2178" i="4"/>
  <c r="E2178" i="4"/>
  <c r="D2178" i="4"/>
  <c r="C2178" i="4"/>
  <c r="B2178" i="4"/>
  <c r="A2178" i="4"/>
  <c r="F2177" i="4"/>
  <c r="E2177" i="4"/>
  <c r="D2177" i="4"/>
  <c r="C2177" i="4"/>
  <c r="B2177" i="4"/>
  <c r="A2177" i="4"/>
  <c r="F2176" i="4"/>
  <c r="E2176" i="4"/>
  <c r="D2176" i="4"/>
  <c r="C2176" i="4"/>
  <c r="B2176" i="4"/>
  <c r="A2176" i="4"/>
  <c r="F2175" i="4"/>
  <c r="E2175" i="4"/>
  <c r="D2175" i="4"/>
  <c r="C2175" i="4"/>
  <c r="B2175" i="4"/>
  <c r="A2175" i="4"/>
  <c r="F2174" i="4"/>
  <c r="E2174" i="4"/>
  <c r="D2174" i="4"/>
  <c r="C2174" i="4"/>
  <c r="B2174" i="4"/>
  <c r="A2174" i="4"/>
  <c r="F2173" i="4"/>
  <c r="E2173" i="4"/>
  <c r="D2173" i="4"/>
  <c r="C2173" i="4"/>
  <c r="B2173" i="4"/>
  <c r="A2173" i="4"/>
  <c r="F2172" i="4"/>
  <c r="E2172" i="4"/>
  <c r="D2172" i="4"/>
  <c r="C2172" i="4"/>
  <c r="B2172" i="4"/>
  <c r="A2172" i="4"/>
  <c r="F2171" i="4"/>
  <c r="E2171" i="4"/>
  <c r="D2171" i="4"/>
  <c r="C2171" i="4"/>
  <c r="B2171" i="4"/>
  <c r="A2171" i="4"/>
  <c r="F2170" i="4"/>
  <c r="E2170" i="4"/>
  <c r="D2170" i="4"/>
  <c r="C2170" i="4"/>
  <c r="B2170" i="4"/>
  <c r="A2170" i="4"/>
  <c r="F2169" i="4"/>
  <c r="E2169" i="4"/>
  <c r="D2169" i="4"/>
  <c r="C2169" i="4"/>
  <c r="B2169" i="4"/>
  <c r="A2169" i="4"/>
  <c r="F2168" i="4"/>
  <c r="E2168" i="4"/>
  <c r="D2168" i="4"/>
  <c r="C2168" i="4"/>
  <c r="B2168" i="4"/>
  <c r="A2168" i="4"/>
  <c r="F2167" i="4"/>
  <c r="E2167" i="4"/>
  <c r="D2167" i="4"/>
  <c r="C2167" i="4"/>
  <c r="B2167" i="4"/>
  <c r="A2167" i="4"/>
  <c r="F2166" i="4"/>
  <c r="E2166" i="4"/>
  <c r="D2166" i="4"/>
  <c r="C2166" i="4"/>
  <c r="B2166" i="4"/>
  <c r="A2166" i="4"/>
  <c r="F2165" i="4"/>
  <c r="E2165" i="4"/>
  <c r="D2165" i="4"/>
  <c r="C2165" i="4"/>
  <c r="B2165" i="4"/>
  <c r="A2165" i="4"/>
  <c r="F2164" i="4"/>
  <c r="E2164" i="4"/>
  <c r="D2164" i="4"/>
  <c r="C2164" i="4"/>
  <c r="B2164" i="4"/>
  <c r="A2164" i="4"/>
  <c r="F2163" i="4"/>
  <c r="E2163" i="4"/>
  <c r="D2163" i="4"/>
  <c r="C2163" i="4"/>
  <c r="B2163" i="4"/>
  <c r="A2163" i="4"/>
  <c r="F2162" i="4"/>
  <c r="E2162" i="4"/>
  <c r="D2162" i="4"/>
  <c r="C2162" i="4"/>
  <c r="B2162" i="4"/>
  <c r="A2162" i="4"/>
  <c r="F2161" i="4"/>
  <c r="E2161" i="4"/>
  <c r="D2161" i="4"/>
  <c r="C2161" i="4"/>
  <c r="B2161" i="4"/>
  <c r="A2161" i="4"/>
  <c r="F2160" i="4"/>
  <c r="E2160" i="4"/>
  <c r="D2160" i="4"/>
  <c r="C2160" i="4"/>
  <c r="B2160" i="4"/>
  <c r="A2160" i="4"/>
  <c r="F2159" i="4"/>
  <c r="E2159" i="4"/>
  <c r="D2159" i="4"/>
  <c r="C2159" i="4"/>
  <c r="B2159" i="4"/>
  <c r="A2159" i="4"/>
  <c r="F2158" i="4"/>
  <c r="E2158" i="4"/>
  <c r="D2158" i="4"/>
  <c r="C2158" i="4"/>
  <c r="B2158" i="4"/>
  <c r="A2158" i="4"/>
  <c r="F2157" i="4"/>
  <c r="E2157" i="4"/>
  <c r="D2157" i="4"/>
  <c r="C2157" i="4"/>
  <c r="B2157" i="4"/>
  <c r="A2157" i="4"/>
  <c r="F2156" i="4"/>
  <c r="E2156" i="4"/>
  <c r="D2156" i="4"/>
  <c r="C2156" i="4"/>
  <c r="B2156" i="4"/>
  <c r="A2156" i="4"/>
  <c r="F2155" i="4"/>
  <c r="E2155" i="4"/>
  <c r="D2155" i="4"/>
  <c r="C2155" i="4"/>
  <c r="B2155" i="4"/>
  <c r="A2155" i="4"/>
  <c r="F2154" i="4"/>
  <c r="E2154" i="4"/>
  <c r="D2154" i="4"/>
  <c r="C2154" i="4"/>
  <c r="B2154" i="4"/>
  <c r="A2154" i="4"/>
  <c r="F2153" i="4"/>
  <c r="E2153" i="4"/>
  <c r="D2153" i="4"/>
  <c r="C2153" i="4"/>
  <c r="B2153" i="4"/>
  <c r="A2153" i="4"/>
  <c r="F2152" i="4"/>
  <c r="E2152" i="4"/>
  <c r="D2152" i="4"/>
  <c r="C2152" i="4"/>
  <c r="B2152" i="4"/>
  <c r="A2152" i="4"/>
  <c r="F2151" i="4"/>
  <c r="E2151" i="4"/>
  <c r="D2151" i="4"/>
  <c r="C2151" i="4"/>
  <c r="B2151" i="4"/>
  <c r="A2151" i="4"/>
  <c r="F2150" i="4"/>
  <c r="E2150" i="4"/>
  <c r="D2150" i="4"/>
  <c r="C2150" i="4"/>
  <c r="B2150" i="4"/>
  <c r="A2150" i="4"/>
  <c r="F2149" i="4"/>
  <c r="E2149" i="4"/>
  <c r="D2149" i="4"/>
  <c r="C2149" i="4"/>
  <c r="B2149" i="4"/>
  <c r="A2149" i="4"/>
  <c r="F2148" i="4"/>
  <c r="E2148" i="4"/>
  <c r="D2148" i="4"/>
  <c r="C2148" i="4"/>
  <c r="B2148" i="4"/>
  <c r="A2148" i="4"/>
  <c r="F2147" i="4"/>
  <c r="E2147" i="4"/>
  <c r="D2147" i="4"/>
  <c r="C2147" i="4"/>
  <c r="B2147" i="4"/>
  <c r="A2147" i="4"/>
  <c r="F2146" i="4"/>
  <c r="E2146" i="4"/>
  <c r="D2146" i="4"/>
  <c r="C2146" i="4"/>
  <c r="B2146" i="4"/>
  <c r="A2146" i="4"/>
  <c r="F2145" i="4"/>
  <c r="E2145" i="4"/>
  <c r="D2145" i="4"/>
  <c r="C2145" i="4"/>
  <c r="B2145" i="4"/>
  <c r="A2145" i="4"/>
  <c r="F2144" i="4"/>
  <c r="E2144" i="4"/>
  <c r="D2144" i="4"/>
  <c r="C2144" i="4"/>
  <c r="B2144" i="4"/>
  <c r="A2144" i="4"/>
  <c r="F2143" i="4"/>
  <c r="E2143" i="4"/>
  <c r="D2143" i="4"/>
  <c r="C2143" i="4"/>
  <c r="B2143" i="4"/>
  <c r="A2143" i="4"/>
  <c r="F2142" i="4"/>
  <c r="E2142" i="4"/>
  <c r="D2142" i="4"/>
  <c r="C2142" i="4"/>
  <c r="B2142" i="4"/>
  <c r="A2142" i="4"/>
  <c r="F2141" i="4"/>
  <c r="E2141" i="4"/>
  <c r="D2141" i="4"/>
  <c r="C2141" i="4"/>
  <c r="B2141" i="4"/>
  <c r="A2141" i="4"/>
  <c r="F2140" i="4"/>
  <c r="E2140" i="4"/>
  <c r="D2140" i="4"/>
  <c r="C2140" i="4"/>
  <c r="B2140" i="4"/>
  <c r="A2140" i="4"/>
  <c r="F2139" i="4"/>
  <c r="E2139" i="4"/>
  <c r="D2139" i="4"/>
  <c r="C2139" i="4"/>
  <c r="B2139" i="4"/>
  <c r="A2139" i="4"/>
  <c r="F2138" i="4"/>
  <c r="E2138" i="4"/>
  <c r="D2138" i="4"/>
  <c r="C2138" i="4"/>
  <c r="B2138" i="4"/>
  <c r="A2138" i="4"/>
  <c r="F2137" i="4"/>
  <c r="E2137" i="4"/>
  <c r="D2137" i="4"/>
  <c r="C2137" i="4"/>
  <c r="B2137" i="4"/>
  <c r="A2137" i="4"/>
  <c r="F2136" i="4"/>
  <c r="E2136" i="4"/>
  <c r="D2136" i="4"/>
  <c r="C2136" i="4"/>
  <c r="B2136" i="4"/>
  <c r="A2136" i="4"/>
  <c r="F2135" i="4"/>
  <c r="E2135" i="4"/>
  <c r="D2135" i="4"/>
  <c r="C2135" i="4"/>
  <c r="B2135" i="4"/>
  <c r="A2135" i="4"/>
  <c r="F2134" i="4"/>
  <c r="E2134" i="4"/>
  <c r="D2134" i="4"/>
  <c r="C2134" i="4"/>
  <c r="B2134" i="4"/>
  <c r="A2134" i="4"/>
  <c r="F2133" i="4"/>
  <c r="E2133" i="4"/>
  <c r="D2133" i="4"/>
  <c r="C2133" i="4"/>
  <c r="B2133" i="4"/>
  <c r="A2133" i="4"/>
  <c r="F2132" i="4"/>
  <c r="E2132" i="4"/>
  <c r="D2132" i="4"/>
  <c r="C2132" i="4"/>
  <c r="B2132" i="4"/>
  <c r="A2132" i="4"/>
  <c r="F2131" i="4"/>
  <c r="E2131" i="4"/>
  <c r="D2131" i="4"/>
  <c r="C2131" i="4"/>
  <c r="B2131" i="4"/>
  <c r="A2131" i="4"/>
  <c r="F2130" i="4"/>
  <c r="E2130" i="4"/>
  <c r="D2130" i="4"/>
  <c r="C2130" i="4"/>
  <c r="B2130" i="4"/>
  <c r="A2130" i="4"/>
  <c r="F2129" i="4"/>
  <c r="E2129" i="4"/>
  <c r="D2129" i="4"/>
  <c r="C2129" i="4"/>
  <c r="B2129" i="4"/>
  <c r="A2129" i="4"/>
  <c r="F2128" i="4"/>
  <c r="E2128" i="4"/>
  <c r="D2128" i="4"/>
  <c r="C2128" i="4"/>
  <c r="B2128" i="4"/>
  <c r="A2128" i="4"/>
  <c r="F2127" i="4"/>
  <c r="E2127" i="4"/>
  <c r="D2127" i="4"/>
  <c r="C2127" i="4"/>
  <c r="B2127" i="4"/>
  <c r="A2127" i="4"/>
  <c r="F2126" i="4"/>
  <c r="E2126" i="4"/>
  <c r="D2126" i="4"/>
  <c r="C2126" i="4"/>
  <c r="B2126" i="4"/>
  <c r="A2126" i="4"/>
  <c r="F2125" i="4"/>
  <c r="E2125" i="4"/>
  <c r="D2125" i="4"/>
  <c r="C2125" i="4"/>
  <c r="B2125" i="4"/>
  <c r="A2125" i="4"/>
  <c r="F2124" i="4"/>
  <c r="E2124" i="4"/>
  <c r="D2124" i="4"/>
  <c r="C2124" i="4"/>
  <c r="B2124" i="4"/>
  <c r="A2124" i="4"/>
  <c r="F2123" i="4"/>
  <c r="E2123" i="4"/>
  <c r="D2123" i="4"/>
  <c r="C2123" i="4"/>
  <c r="B2123" i="4"/>
  <c r="A2123" i="4"/>
  <c r="F2122" i="4"/>
  <c r="E2122" i="4"/>
  <c r="D2122" i="4"/>
  <c r="C2122" i="4"/>
  <c r="B2122" i="4"/>
  <c r="A2122" i="4"/>
  <c r="F2121" i="4"/>
  <c r="E2121" i="4"/>
  <c r="D2121" i="4"/>
  <c r="C2121" i="4"/>
  <c r="B2121" i="4"/>
  <c r="A2121" i="4"/>
  <c r="F2120" i="4"/>
  <c r="E2120" i="4"/>
  <c r="D2120" i="4"/>
  <c r="C2120" i="4"/>
  <c r="B2120" i="4"/>
  <c r="A2120" i="4"/>
  <c r="F2119" i="4"/>
  <c r="E2119" i="4"/>
  <c r="D2119" i="4"/>
  <c r="C2119" i="4"/>
  <c r="B2119" i="4"/>
  <c r="A2119" i="4"/>
  <c r="F2118" i="4"/>
  <c r="E2118" i="4"/>
  <c r="D2118" i="4"/>
  <c r="C2118" i="4"/>
  <c r="B2118" i="4"/>
  <c r="A2118" i="4"/>
  <c r="F2117" i="4"/>
  <c r="E2117" i="4"/>
  <c r="D2117" i="4"/>
  <c r="C2117" i="4"/>
  <c r="B2117" i="4"/>
  <c r="A2117" i="4"/>
  <c r="F2116" i="4"/>
  <c r="E2116" i="4"/>
  <c r="D2116" i="4"/>
  <c r="C2116" i="4"/>
  <c r="B2116" i="4"/>
  <c r="A2116" i="4"/>
  <c r="F2115" i="4"/>
  <c r="E2115" i="4"/>
  <c r="D2115" i="4"/>
  <c r="C2115" i="4"/>
  <c r="B2115" i="4"/>
  <c r="A2115" i="4"/>
  <c r="F2114" i="4"/>
  <c r="E2114" i="4"/>
  <c r="D2114" i="4"/>
  <c r="C2114" i="4"/>
  <c r="B2114" i="4"/>
  <c r="A2114" i="4"/>
  <c r="F2113" i="4"/>
  <c r="E2113" i="4"/>
  <c r="D2113" i="4"/>
  <c r="C2113" i="4"/>
  <c r="B2113" i="4"/>
  <c r="A2113" i="4"/>
  <c r="F2112" i="4"/>
  <c r="E2112" i="4"/>
  <c r="D2112" i="4"/>
  <c r="C2112" i="4"/>
  <c r="B2112" i="4"/>
  <c r="A2112" i="4"/>
  <c r="F2111" i="4"/>
  <c r="E2111" i="4"/>
  <c r="D2111" i="4"/>
  <c r="C2111" i="4"/>
  <c r="B2111" i="4"/>
  <c r="A2111" i="4"/>
  <c r="F2110" i="4"/>
  <c r="E2110" i="4"/>
  <c r="D2110" i="4"/>
  <c r="C2110" i="4"/>
  <c r="B2110" i="4"/>
  <c r="A2110" i="4"/>
  <c r="F2109" i="4"/>
  <c r="E2109" i="4"/>
  <c r="D2109" i="4"/>
  <c r="C2109" i="4"/>
  <c r="B2109" i="4"/>
  <c r="A2109" i="4"/>
  <c r="F2108" i="4"/>
  <c r="E2108" i="4"/>
  <c r="D2108" i="4"/>
  <c r="C2108" i="4"/>
  <c r="B2108" i="4"/>
  <c r="A2108" i="4"/>
  <c r="F2107" i="4"/>
  <c r="E2107" i="4"/>
  <c r="D2107" i="4"/>
  <c r="C2107" i="4"/>
  <c r="B2107" i="4"/>
  <c r="A2107" i="4"/>
  <c r="F2106" i="4"/>
  <c r="E2106" i="4"/>
  <c r="D2106" i="4"/>
  <c r="C2106" i="4"/>
  <c r="B2106" i="4"/>
  <c r="A2106" i="4"/>
  <c r="F2105" i="4"/>
  <c r="E2105" i="4"/>
  <c r="D2105" i="4"/>
  <c r="C2105" i="4"/>
  <c r="B2105" i="4"/>
  <c r="A2105" i="4"/>
  <c r="F2104" i="4"/>
  <c r="E2104" i="4"/>
  <c r="D2104" i="4"/>
  <c r="C2104" i="4"/>
  <c r="B2104" i="4"/>
  <c r="A2104" i="4"/>
  <c r="F2103" i="4"/>
  <c r="E2103" i="4"/>
  <c r="D2103" i="4"/>
  <c r="C2103" i="4"/>
  <c r="B2103" i="4"/>
  <c r="A2103" i="4"/>
  <c r="F2102" i="4"/>
  <c r="E2102" i="4"/>
  <c r="D2102" i="4"/>
  <c r="C2102" i="4"/>
  <c r="B2102" i="4"/>
  <c r="A2102" i="4"/>
  <c r="F2101" i="4"/>
  <c r="E2101" i="4"/>
  <c r="D2101" i="4"/>
  <c r="C2101" i="4"/>
  <c r="B2101" i="4"/>
  <c r="A2101" i="4"/>
  <c r="F2100" i="4"/>
  <c r="E2100" i="4"/>
  <c r="D2100" i="4"/>
  <c r="C2100" i="4"/>
  <c r="B2100" i="4"/>
  <c r="A2100" i="4"/>
  <c r="F2099" i="4"/>
  <c r="E2099" i="4"/>
  <c r="D2099" i="4"/>
  <c r="C2099" i="4"/>
  <c r="B2099" i="4"/>
  <c r="A2099" i="4"/>
  <c r="F2098" i="4"/>
  <c r="E2098" i="4"/>
  <c r="D2098" i="4"/>
  <c r="C2098" i="4"/>
  <c r="B2098" i="4"/>
  <c r="A2098" i="4"/>
  <c r="F2097" i="4"/>
  <c r="E2097" i="4"/>
  <c r="D2097" i="4"/>
  <c r="C2097" i="4"/>
  <c r="B2097" i="4"/>
  <c r="A2097" i="4"/>
  <c r="F2096" i="4"/>
  <c r="E2096" i="4"/>
  <c r="D2096" i="4"/>
  <c r="C2096" i="4"/>
  <c r="B2096" i="4"/>
  <c r="A2096" i="4"/>
  <c r="F2095" i="4"/>
  <c r="E2095" i="4"/>
  <c r="D2095" i="4"/>
  <c r="C2095" i="4"/>
  <c r="B2095" i="4"/>
  <c r="A2095" i="4"/>
  <c r="F2094" i="4"/>
  <c r="E2094" i="4"/>
  <c r="D2094" i="4"/>
  <c r="C2094" i="4"/>
  <c r="B2094" i="4"/>
  <c r="A2094" i="4"/>
  <c r="F2093" i="4"/>
  <c r="E2093" i="4"/>
  <c r="D2093" i="4"/>
  <c r="C2093" i="4"/>
  <c r="B2093" i="4"/>
  <c r="A2093" i="4"/>
  <c r="F2092" i="4"/>
  <c r="E2092" i="4"/>
  <c r="D2092" i="4"/>
  <c r="C2092" i="4"/>
  <c r="B2092" i="4"/>
  <c r="A2092" i="4"/>
  <c r="F2091" i="4"/>
  <c r="E2091" i="4"/>
  <c r="D2091" i="4"/>
  <c r="C2091" i="4"/>
  <c r="B2091" i="4"/>
  <c r="A2091" i="4"/>
  <c r="F2090" i="4"/>
  <c r="E2090" i="4"/>
  <c r="D2090" i="4"/>
  <c r="C2090" i="4"/>
  <c r="B2090" i="4"/>
  <c r="A2090" i="4"/>
  <c r="F2089" i="4"/>
  <c r="E2089" i="4"/>
  <c r="D2089" i="4"/>
  <c r="C2089" i="4"/>
  <c r="B2089" i="4"/>
  <c r="A2089" i="4"/>
  <c r="F2088" i="4"/>
  <c r="E2088" i="4"/>
  <c r="D2088" i="4"/>
  <c r="C2088" i="4"/>
  <c r="B2088" i="4"/>
  <c r="A2088" i="4"/>
  <c r="F2087" i="4"/>
  <c r="E2087" i="4"/>
  <c r="D2087" i="4"/>
  <c r="C2087" i="4"/>
  <c r="B2087" i="4"/>
  <c r="A2087" i="4"/>
  <c r="F2086" i="4"/>
  <c r="E2086" i="4"/>
  <c r="D2086" i="4"/>
  <c r="C2086" i="4"/>
  <c r="B2086" i="4"/>
  <c r="A2086" i="4"/>
  <c r="F2085" i="4"/>
  <c r="E2085" i="4"/>
  <c r="D2085" i="4"/>
  <c r="C2085" i="4"/>
  <c r="B2085" i="4"/>
  <c r="A2085" i="4"/>
  <c r="F2084" i="4"/>
  <c r="E2084" i="4"/>
  <c r="D2084" i="4"/>
  <c r="C2084" i="4"/>
  <c r="B2084" i="4"/>
  <c r="A2084" i="4"/>
  <c r="F2083" i="4"/>
  <c r="E2083" i="4"/>
  <c r="D2083" i="4"/>
  <c r="C2083" i="4"/>
  <c r="B2083" i="4"/>
  <c r="A2083" i="4"/>
  <c r="F2082" i="4"/>
  <c r="E2082" i="4"/>
  <c r="D2082" i="4"/>
  <c r="C2082" i="4"/>
  <c r="B2082" i="4"/>
  <c r="A2082" i="4"/>
  <c r="F2081" i="4"/>
  <c r="E2081" i="4"/>
  <c r="D2081" i="4"/>
  <c r="C2081" i="4"/>
  <c r="B2081" i="4"/>
  <c r="A2081" i="4"/>
  <c r="F2080" i="4"/>
  <c r="E2080" i="4"/>
  <c r="D2080" i="4"/>
  <c r="C2080" i="4"/>
  <c r="B2080" i="4"/>
  <c r="A2080" i="4"/>
  <c r="F2079" i="4"/>
  <c r="E2079" i="4"/>
  <c r="D2079" i="4"/>
  <c r="C2079" i="4"/>
  <c r="B2079" i="4"/>
  <c r="A2079" i="4"/>
  <c r="F2078" i="4"/>
  <c r="E2078" i="4"/>
  <c r="D2078" i="4"/>
  <c r="C2078" i="4"/>
  <c r="B2078" i="4"/>
  <c r="A2078" i="4"/>
  <c r="F2077" i="4"/>
  <c r="E2077" i="4"/>
  <c r="D2077" i="4"/>
  <c r="C2077" i="4"/>
  <c r="B2077" i="4"/>
  <c r="A2077" i="4"/>
  <c r="F2076" i="4"/>
  <c r="E2076" i="4"/>
  <c r="D2076" i="4"/>
  <c r="C2076" i="4"/>
  <c r="B2076" i="4"/>
  <c r="A2076" i="4"/>
  <c r="F2075" i="4"/>
  <c r="E2075" i="4"/>
  <c r="D2075" i="4"/>
  <c r="C2075" i="4"/>
  <c r="B2075" i="4"/>
  <c r="A2075" i="4"/>
  <c r="F2074" i="4"/>
  <c r="E2074" i="4"/>
  <c r="D2074" i="4"/>
  <c r="C2074" i="4"/>
  <c r="B2074" i="4"/>
  <c r="A2074" i="4"/>
  <c r="F2073" i="4"/>
  <c r="E2073" i="4"/>
  <c r="D2073" i="4"/>
  <c r="C2073" i="4"/>
  <c r="B2073" i="4"/>
  <c r="A2073" i="4"/>
  <c r="F2072" i="4"/>
  <c r="E2072" i="4"/>
  <c r="D2072" i="4"/>
  <c r="C2072" i="4"/>
  <c r="B2072" i="4"/>
  <c r="A2072" i="4"/>
  <c r="F2071" i="4"/>
  <c r="E2071" i="4"/>
  <c r="D2071" i="4"/>
  <c r="C2071" i="4"/>
  <c r="B2071" i="4"/>
  <c r="A2071" i="4"/>
  <c r="F2070" i="4"/>
  <c r="E2070" i="4"/>
  <c r="D2070" i="4"/>
  <c r="C2070" i="4"/>
  <c r="B2070" i="4"/>
  <c r="A2070" i="4"/>
  <c r="F2069" i="4"/>
  <c r="E2069" i="4"/>
  <c r="D2069" i="4"/>
  <c r="C2069" i="4"/>
  <c r="B2069" i="4"/>
  <c r="A2069" i="4"/>
  <c r="F2068" i="4"/>
  <c r="E2068" i="4"/>
  <c r="D2068" i="4"/>
  <c r="C2068" i="4"/>
  <c r="B2068" i="4"/>
  <c r="A2068" i="4"/>
  <c r="F2067" i="4"/>
  <c r="E2067" i="4"/>
  <c r="D2067" i="4"/>
  <c r="C2067" i="4"/>
  <c r="B2067" i="4"/>
  <c r="A2067" i="4"/>
  <c r="F2066" i="4"/>
  <c r="E2066" i="4"/>
  <c r="D2066" i="4"/>
  <c r="C2066" i="4"/>
  <c r="B2066" i="4"/>
  <c r="A2066" i="4"/>
  <c r="F2065" i="4"/>
  <c r="E2065" i="4"/>
  <c r="D2065" i="4"/>
  <c r="C2065" i="4"/>
  <c r="B2065" i="4"/>
  <c r="A2065" i="4"/>
  <c r="F2064" i="4"/>
  <c r="E2064" i="4"/>
  <c r="D2064" i="4"/>
  <c r="C2064" i="4"/>
  <c r="B2064" i="4"/>
  <c r="A2064" i="4"/>
  <c r="F2063" i="4"/>
  <c r="E2063" i="4"/>
  <c r="D2063" i="4"/>
  <c r="C2063" i="4"/>
  <c r="B2063" i="4"/>
  <c r="A2063" i="4"/>
  <c r="F2062" i="4"/>
  <c r="E2062" i="4"/>
  <c r="D2062" i="4"/>
  <c r="C2062" i="4"/>
  <c r="B2062" i="4"/>
  <c r="A2062" i="4"/>
  <c r="F2061" i="4"/>
  <c r="E2061" i="4"/>
  <c r="D2061" i="4"/>
  <c r="C2061" i="4"/>
  <c r="B2061" i="4"/>
  <c r="A2061" i="4"/>
  <c r="F2060" i="4"/>
  <c r="E2060" i="4"/>
  <c r="D2060" i="4"/>
  <c r="C2060" i="4"/>
  <c r="B2060" i="4"/>
  <c r="A2060" i="4"/>
  <c r="F2059" i="4"/>
  <c r="E2059" i="4"/>
  <c r="D2059" i="4"/>
  <c r="C2059" i="4"/>
  <c r="B2059" i="4"/>
  <c r="A2059" i="4"/>
  <c r="F2058" i="4"/>
  <c r="E2058" i="4"/>
  <c r="D2058" i="4"/>
  <c r="C2058" i="4"/>
  <c r="B2058" i="4"/>
  <c r="A2058" i="4"/>
  <c r="F2057" i="4"/>
  <c r="E2057" i="4"/>
  <c r="D2057" i="4"/>
  <c r="C2057" i="4"/>
  <c r="B2057" i="4"/>
  <c r="A2057" i="4"/>
  <c r="F2056" i="4"/>
  <c r="E2056" i="4"/>
  <c r="D2056" i="4"/>
  <c r="C2056" i="4"/>
  <c r="B2056" i="4"/>
  <c r="A2056" i="4"/>
  <c r="F2055" i="4"/>
  <c r="E2055" i="4"/>
  <c r="D2055" i="4"/>
  <c r="C2055" i="4"/>
  <c r="B2055" i="4"/>
  <c r="A2055" i="4"/>
  <c r="F2054" i="4"/>
  <c r="E2054" i="4"/>
  <c r="D2054" i="4"/>
  <c r="C2054" i="4"/>
  <c r="B2054" i="4"/>
  <c r="A2054" i="4"/>
  <c r="F2053" i="4"/>
  <c r="E2053" i="4"/>
  <c r="D2053" i="4"/>
  <c r="C2053" i="4"/>
  <c r="B2053" i="4"/>
  <c r="A2053" i="4"/>
  <c r="F2052" i="4"/>
  <c r="E2052" i="4"/>
  <c r="D2052" i="4"/>
  <c r="C2052" i="4"/>
  <c r="B2052" i="4"/>
  <c r="A2052" i="4"/>
  <c r="F2051" i="4"/>
  <c r="E2051" i="4"/>
  <c r="D2051" i="4"/>
  <c r="C2051" i="4"/>
  <c r="B2051" i="4"/>
  <c r="A2051" i="4"/>
  <c r="F2050" i="4"/>
  <c r="E2050" i="4"/>
  <c r="D2050" i="4"/>
  <c r="C2050" i="4"/>
  <c r="B2050" i="4"/>
  <c r="A2050" i="4"/>
  <c r="F2049" i="4"/>
  <c r="E2049" i="4"/>
  <c r="D2049" i="4"/>
  <c r="C2049" i="4"/>
  <c r="B2049" i="4"/>
  <c r="A2049" i="4"/>
  <c r="F2048" i="4"/>
  <c r="E2048" i="4"/>
  <c r="D2048" i="4"/>
  <c r="C2048" i="4"/>
  <c r="B2048" i="4"/>
  <c r="A2048" i="4"/>
  <c r="F2047" i="4"/>
  <c r="E2047" i="4"/>
  <c r="D2047" i="4"/>
  <c r="C2047" i="4"/>
  <c r="B2047" i="4"/>
  <c r="A2047" i="4"/>
  <c r="F2046" i="4"/>
  <c r="E2046" i="4"/>
  <c r="D2046" i="4"/>
  <c r="C2046" i="4"/>
  <c r="B2046" i="4"/>
  <c r="A2046" i="4"/>
  <c r="F2045" i="4"/>
  <c r="E2045" i="4"/>
  <c r="D2045" i="4"/>
  <c r="C2045" i="4"/>
  <c r="B2045" i="4"/>
  <c r="A2045" i="4"/>
  <c r="F2044" i="4"/>
  <c r="E2044" i="4"/>
  <c r="D2044" i="4"/>
  <c r="C2044" i="4"/>
  <c r="B2044" i="4"/>
  <c r="A2044" i="4"/>
  <c r="F2043" i="4"/>
  <c r="E2043" i="4"/>
  <c r="D2043" i="4"/>
  <c r="C2043" i="4"/>
  <c r="B2043" i="4"/>
  <c r="A2043" i="4"/>
  <c r="F2042" i="4"/>
  <c r="E2042" i="4"/>
  <c r="D2042" i="4"/>
  <c r="C2042" i="4"/>
  <c r="B2042" i="4"/>
  <c r="A2042" i="4"/>
  <c r="F2041" i="4"/>
  <c r="E2041" i="4"/>
  <c r="D2041" i="4"/>
  <c r="C2041" i="4"/>
  <c r="B2041" i="4"/>
  <c r="A2041" i="4"/>
  <c r="F2040" i="4"/>
  <c r="E2040" i="4"/>
  <c r="D2040" i="4"/>
  <c r="C2040" i="4"/>
  <c r="B2040" i="4"/>
  <c r="A2040" i="4"/>
  <c r="F2039" i="4"/>
  <c r="E2039" i="4"/>
  <c r="D2039" i="4"/>
  <c r="C2039" i="4"/>
  <c r="B2039" i="4"/>
  <c r="A2039" i="4"/>
  <c r="F2038" i="4"/>
  <c r="E2038" i="4"/>
  <c r="D2038" i="4"/>
  <c r="C2038" i="4"/>
  <c r="B2038" i="4"/>
  <c r="A2038" i="4"/>
  <c r="F2037" i="4"/>
  <c r="E2037" i="4"/>
  <c r="D2037" i="4"/>
  <c r="C2037" i="4"/>
  <c r="B2037" i="4"/>
  <c r="A2037" i="4"/>
  <c r="F2036" i="4"/>
  <c r="E2036" i="4"/>
  <c r="D2036" i="4"/>
  <c r="C2036" i="4"/>
  <c r="B2036" i="4"/>
  <c r="A2036" i="4"/>
  <c r="F2035" i="4"/>
  <c r="E2035" i="4"/>
  <c r="D2035" i="4"/>
  <c r="C2035" i="4"/>
  <c r="B2035" i="4"/>
  <c r="A2035" i="4"/>
  <c r="F2034" i="4"/>
  <c r="E2034" i="4"/>
  <c r="D2034" i="4"/>
  <c r="C2034" i="4"/>
  <c r="B2034" i="4"/>
  <c r="A2034" i="4"/>
  <c r="F2033" i="4"/>
  <c r="E2033" i="4"/>
  <c r="D2033" i="4"/>
  <c r="C2033" i="4"/>
  <c r="B2033" i="4"/>
  <c r="A2033" i="4"/>
  <c r="F2032" i="4"/>
  <c r="E2032" i="4"/>
  <c r="D2032" i="4"/>
  <c r="C2032" i="4"/>
  <c r="B2032" i="4"/>
  <c r="A2032" i="4"/>
  <c r="F2031" i="4"/>
  <c r="E2031" i="4"/>
  <c r="D2031" i="4"/>
  <c r="C2031" i="4"/>
  <c r="B2031" i="4"/>
  <c r="A2031" i="4"/>
  <c r="F2030" i="4"/>
  <c r="E2030" i="4"/>
  <c r="D2030" i="4"/>
  <c r="C2030" i="4"/>
  <c r="B2030" i="4"/>
  <c r="A2030" i="4"/>
  <c r="F2029" i="4"/>
  <c r="E2029" i="4"/>
  <c r="D2029" i="4"/>
  <c r="C2029" i="4"/>
  <c r="B2029" i="4"/>
  <c r="A2029" i="4"/>
  <c r="F2028" i="4"/>
  <c r="E2028" i="4"/>
  <c r="D2028" i="4"/>
  <c r="C2028" i="4"/>
  <c r="B2028" i="4"/>
  <c r="A2028" i="4"/>
  <c r="F2027" i="4"/>
  <c r="E2027" i="4"/>
  <c r="D2027" i="4"/>
  <c r="C2027" i="4"/>
  <c r="B2027" i="4"/>
  <c r="A2027" i="4"/>
  <c r="F2026" i="4"/>
  <c r="E2026" i="4"/>
  <c r="D2026" i="4"/>
  <c r="C2026" i="4"/>
  <c r="B2026" i="4"/>
  <c r="A2026" i="4"/>
  <c r="F2025" i="4"/>
  <c r="E2025" i="4"/>
  <c r="D2025" i="4"/>
  <c r="C2025" i="4"/>
  <c r="B2025" i="4"/>
  <c r="A2025" i="4"/>
  <c r="F2024" i="4"/>
  <c r="E2024" i="4"/>
  <c r="D2024" i="4"/>
  <c r="C2024" i="4"/>
  <c r="B2024" i="4"/>
  <c r="A2024" i="4"/>
  <c r="F2023" i="4"/>
  <c r="E2023" i="4"/>
  <c r="D2023" i="4"/>
  <c r="C2023" i="4"/>
  <c r="B2023" i="4"/>
  <c r="A2023" i="4"/>
  <c r="F2022" i="4"/>
  <c r="E2022" i="4"/>
  <c r="D2022" i="4"/>
  <c r="C2022" i="4"/>
  <c r="B2022" i="4"/>
  <c r="A2022" i="4"/>
  <c r="F2021" i="4"/>
  <c r="E2021" i="4"/>
  <c r="D2021" i="4"/>
  <c r="C2021" i="4"/>
  <c r="B2021" i="4"/>
  <c r="A2021" i="4"/>
  <c r="F2020" i="4"/>
  <c r="E2020" i="4"/>
  <c r="D2020" i="4"/>
  <c r="C2020" i="4"/>
  <c r="B2020" i="4"/>
  <c r="A2020" i="4"/>
  <c r="F2019" i="4"/>
  <c r="E2019" i="4"/>
  <c r="D2019" i="4"/>
  <c r="C2019" i="4"/>
  <c r="B2019" i="4"/>
  <c r="A2019" i="4"/>
  <c r="F2018" i="4"/>
  <c r="E2018" i="4"/>
  <c r="D2018" i="4"/>
  <c r="C2018" i="4"/>
  <c r="B2018" i="4"/>
  <c r="A2018" i="4"/>
  <c r="F2017" i="4"/>
  <c r="E2017" i="4"/>
  <c r="D2017" i="4"/>
  <c r="C2017" i="4"/>
  <c r="B2017" i="4"/>
  <c r="A2017" i="4"/>
  <c r="F2016" i="4"/>
  <c r="E2016" i="4"/>
  <c r="D2016" i="4"/>
  <c r="C2016" i="4"/>
  <c r="B2016" i="4"/>
  <c r="A2016" i="4"/>
  <c r="F2015" i="4"/>
  <c r="E2015" i="4"/>
  <c r="D2015" i="4"/>
  <c r="C2015" i="4"/>
  <c r="B2015" i="4"/>
  <c r="A2015" i="4"/>
  <c r="F2014" i="4"/>
  <c r="E2014" i="4"/>
  <c r="D2014" i="4"/>
  <c r="C2014" i="4"/>
  <c r="B2014" i="4"/>
  <c r="A2014" i="4"/>
  <c r="F2013" i="4"/>
  <c r="E2013" i="4"/>
  <c r="D2013" i="4"/>
  <c r="C2013" i="4"/>
  <c r="B2013" i="4"/>
  <c r="A2013" i="4"/>
  <c r="F2012" i="4"/>
  <c r="E2012" i="4"/>
  <c r="D2012" i="4"/>
  <c r="C2012" i="4"/>
  <c r="B2012" i="4"/>
  <c r="A2012" i="4"/>
  <c r="F2011" i="4"/>
  <c r="E2011" i="4"/>
  <c r="D2011" i="4"/>
  <c r="C2011" i="4"/>
  <c r="B2011" i="4"/>
  <c r="A2011" i="4"/>
  <c r="F2010" i="4"/>
  <c r="E2010" i="4"/>
  <c r="D2010" i="4"/>
  <c r="C2010" i="4"/>
  <c r="B2010" i="4"/>
  <c r="A2010" i="4"/>
  <c r="F2009" i="4"/>
  <c r="E2009" i="4"/>
  <c r="D2009" i="4"/>
  <c r="C2009" i="4"/>
  <c r="B2009" i="4"/>
  <c r="A2009" i="4"/>
  <c r="F2008" i="4"/>
  <c r="E2008" i="4"/>
  <c r="D2008" i="4"/>
  <c r="C2008" i="4"/>
  <c r="B2008" i="4"/>
  <c r="A2008" i="4"/>
  <c r="F2007" i="4"/>
  <c r="E2007" i="4"/>
  <c r="D2007" i="4"/>
  <c r="C2007" i="4"/>
  <c r="B2007" i="4"/>
  <c r="A2007" i="4"/>
  <c r="F2006" i="4"/>
  <c r="E2006" i="4"/>
  <c r="D2006" i="4"/>
  <c r="C2006" i="4"/>
  <c r="B2006" i="4"/>
  <c r="A2006" i="4"/>
  <c r="F2005" i="4"/>
  <c r="E2005" i="4"/>
  <c r="D2005" i="4"/>
  <c r="C2005" i="4"/>
  <c r="B2005" i="4"/>
  <c r="A2005" i="4"/>
  <c r="F2004" i="4"/>
  <c r="E2004" i="4"/>
  <c r="D2004" i="4"/>
  <c r="C2004" i="4"/>
  <c r="B2004" i="4"/>
  <c r="A2004" i="4"/>
  <c r="F2003" i="4"/>
  <c r="E2003" i="4"/>
  <c r="D2003" i="4"/>
  <c r="C2003" i="4"/>
  <c r="B2003" i="4"/>
  <c r="A2003" i="4"/>
  <c r="F2002" i="4"/>
  <c r="E2002" i="4"/>
  <c r="D2002" i="4"/>
  <c r="C2002" i="4"/>
  <c r="B2002" i="4"/>
  <c r="A2002" i="4"/>
  <c r="F2001" i="4"/>
  <c r="E2001" i="4"/>
  <c r="D2001" i="4"/>
  <c r="C2001" i="4"/>
  <c r="B2001" i="4"/>
  <c r="A2001" i="4"/>
  <c r="F2000" i="4"/>
  <c r="E2000" i="4"/>
  <c r="D2000" i="4"/>
  <c r="C2000" i="4"/>
  <c r="B2000" i="4"/>
  <c r="A2000" i="4"/>
  <c r="F1999" i="4"/>
  <c r="E1999" i="4"/>
  <c r="D1999" i="4"/>
  <c r="C1999" i="4"/>
  <c r="B1999" i="4"/>
  <c r="A1999" i="4"/>
  <c r="F1998" i="4"/>
  <c r="E1998" i="4"/>
  <c r="D1998" i="4"/>
  <c r="C1998" i="4"/>
  <c r="B1998" i="4"/>
  <c r="A1998" i="4"/>
  <c r="F1997" i="4"/>
  <c r="E1997" i="4"/>
  <c r="D1997" i="4"/>
  <c r="C1997" i="4"/>
  <c r="B1997" i="4"/>
  <c r="A1997" i="4"/>
  <c r="F1996" i="4"/>
  <c r="E1996" i="4"/>
  <c r="D1996" i="4"/>
  <c r="C1996" i="4"/>
  <c r="B1996" i="4"/>
  <c r="A1996" i="4"/>
  <c r="F1995" i="4"/>
  <c r="E1995" i="4"/>
  <c r="D1995" i="4"/>
  <c r="C1995" i="4"/>
  <c r="B1995" i="4"/>
  <c r="A1995" i="4"/>
  <c r="F1994" i="4"/>
  <c r="E1994" i="4"/>
  <c r="D1994" i="4"/>
  <c r="C1994" i="4"/>
  <c r="B1994" i="4"/>
  <c r="A1994" i="4"/>
  <c r="F1993" i="4"/>
  <c r="E1993" i="4"/>
  <c r="D1993" i="4"/>
  <c r="C1993" i="4"/>
  <c r="B1993" i="4"/>
  <c r="A1993" i="4"/>
  <c r="F1992" i="4"/>
  <c r="E1992" i="4"/>
  <c r="D1992" i="4"/>
  <c r="C1992" i="4"/>
  <c r="B1992" i="4"/>
  <c r="A1992" i="4"/>
  <c r="F1991" i="4"/>
  <c r="E1991" i="4"/>
  <c r="D1991" i="4"/>
  <c r="C1991" i="4"/>
  <c r="B1991" i="4"/>
  <c r="A1991" i="4"/>
  <c r="F1990" i="4"/>
  <c r="E1990" i="4"/>
  <c r="D1990" i="4"/>
  <c r="C1990" i="4"/>
  <c r="B1990" i="4"/>
  <c r="A1990" i="4"/>
  <c r="F1989" i="4"/>
  <c r="E1989" i="4"/>
  <c r="D1989" i="4"/>
  <c r="C1989" i="4"/>
  <c r="B1989" i="4"/>
  <c r="A1989" i="4"/>
  <c r="F1988" i="4"/>
  <c r="E1988" i="4"/>
  <c r="D1988" i="4"/>
  <c r="C1988" i="4"/>
  <c r="B1988" i="4"/>
  <c r="A1988" i="4"/>
  <c r="F1987" i="4"/>
  <c r="E1987" i="4"/>
  <c r="D1987" i="4"/>
  <c r="C1987" i="4"/>
  <c r="B1987" i="4"/>
  <c r="A1987" i="4"/>
  <c r="F1986" i="4"/>
  <c r="E1986" i="4"/>
  <c r="D1986" i="4"/>
  <c r="C1986" i="4"/>
  <c r="B1986" i="4"/>
  <c r="A1986" i="4"/>
  <c r="F1985" i="4"/>
  <c r="E1985" i="4"/>
  <c r="D1985" i="4"/>
  <c r="C1985" i="4"/>
  <c r="B1985" i="4"/>
  <c r="A1985" i="4"/>
  <c r="F1984" i="4"/>
  <c r="E1984" i="4"/>
  <c r="D1984" i="4"/>
  <c r="C1984" i="4"/>
  <c r="B1984" i="4"/>
  <c r="A1984" i="4"/>
  <c r="F1983" i="4"/>
  <c r="E1983" i="4"/>
  <c r="D1983" i="4"/>
  <c r="C1983" i="4"/>
  <c r="B1983" i="4"/>
  <c r="A1983" i="4"/>
  <c r="F1982" i="4"/>
  <c r="E1982" i="4"/>
  <c r="D1982" i="4"/>
  <c r="C1982" i="4"/>
  <c r="B1982" i="4"/>
  <c r="A1982" i="4"/>
  <c r="F1981" i="4"/>
  <c r="E1981" i="4"/>
  <c r="D1981" i="4"/>
  <c r="C1981" i="4"/>
  <c r="B1981" i="4"/>
  <c r="A1981" i="4"/>
  <c r="F1980" i="4"/>
  <c r="E1980" i="4"/>
  <c r="D1980" i="4"/>
  <c r="C1980" i="4"/>
  <c r="B1980" i="4"/>
  <c r="A1980" i="4"/>
  <c r="F1979" i="4"/>
  <c r="E1979" i="4"/>
  <c r="D1979" i="4"/>
  <c r="C1979" i="4"/>
  <c r="B1979" i="4"/>
  <c r="A1979" i="4"/>
  <c r="F1978" i="4"/>
  <c r="E1978" i="4"/>
  <c r="D1978" i="4"/>
  <c r="C1978" i="4"/>
  <c r="B1978" i="4"/>
  <c r="A1978" i="4"/>
  <c r="F1977" i="4"/>
  <c r="E1977" i="4"/>
  <c r="D1977" i="4"/>
  <c r="C1977" i="4"/>
  <c r="B1977" i="4"/>
  <c r="A1977" i="4"/>
  <c r="F1976" i="4"/>
  <c r="E1976" i="4"/>
  <c r="D1976" i="4"/>
  <c r="C1976" i="4"/>
  <c r="B1976" i="4"/>
  <c r="A1976" i="4"/>
  <c r="F1975" i="4"/>
  <c r="E1975" i="4"/>
  <c r="D1975" i="4"/>
  <c r="C1975" i="4"/>
  <c r="B1975" i="4"/>
  <c r="A1975" i="4"/>
  <c r="F1974" i="4"/>
  <c r="E1974" i="4"/>
  <c r="D1974" i="4"/>
  <c r="C1974" i="4"/>
  <c r="B1974" i="4"/>
  <c r="A1974" i="4"/>
  <c r="F1973" i="4"/>
  <c r="E1973" i="4"/>
  <c r="D1973" i="4"/>
  <c r="C1973" i="4"/>
  <c r="B1973" i="4"/>
  <c r="A1973" i="4"/>
  <c r="F1972" i="4"/>
  <c r="E1972" i="4"/>
  <c r="D1972" i="4"/>
  <c r="C1972" i="4"/>
  <c r="B1972" i="4"/>
  <c r="A1972" i="4"/>
  <c r="F1971" i="4"/>
  <c r="E1971" i="4"/>
  <c r="D1971" i="4"/>
  <c r="C1971" i="4"/>
  <c r="B1971" i="4"/>
  <c r="A1971" i="4"/>
  <c r="F1970" i="4"/>
  <c r="E1970" i="4"/>
  <c r="D1970" i="4"/>
  <c r="C1970" i="4"/>
  <c r="B1970" i="4"/>
  <c r="A1970" i="4"/>
  <c r="F1969" i="4"/>
  <c r="E1969" i="4"/>
  <c r="D1969" i="4"/>
  <c r="C1969" i="4"/>
  <c r="B1969" i="4"/>
  <c r="A1969" i="4"/>
  <c r="F1968" i="4"/>
  <c r="E1968" i="4"/>
  <c r="D1968" i="4"/>
  <c r="C1968" i="4"/>
  <c r="B1968" i="4"/>
  <c r="A1968" i="4"/>
  <c r="F1967" i="4"/>
  <c r="E1967" i="4"/>
  <c r="D1967" i="4"/>
  <c r="C1967" i="4"/>
  <c r="B1967" i="4"/>
  <c r="A1967" i="4"/>
  <c r="F1966" i="4"/>
  <c r="E1966" i="4"/>
  <c r="D1966" i="4"/>
  <c r="C1966" i="4"/>
  <c r="B1966" i="4"/>
  <c r="A1966" i="4"/>
  <c r="F1965" i="4"/>
  <c r="E1965" i="4"/>
  <c r="D1965" i="4"/>
  <c r="C1965" i="4"/>
  <c r="B1965" i="4"/>
  <c r="A1965" i="4"/>
  <c r="F1964" i="4"/>
  <c r="E1964" i="4"/>
  <c r="D1964" i="4"/>
  <c r="C1964" i="4"/>
  <c r="B1964" i="4"/>
  <c r="A1964" i="4"/>
  <c r="F1963" i="4"/>
  <c r="E1963" i="4"/>
  <c r="D1963" i="4"/>
  <c r="C1963" i="4"/>
  <c r="B1963" i="4"/>
  <c r="A1963" i="4"/>
  <c r="F1962" i="4"/>
  <c r="E1962" i="4"/>
  <c r="D1962" i="4"/>
  <c r="C1962" i="4"/>
  <c r="B1962" i="4"/>
  <c r="A1962" i="4"/>
  <c r="F1961" i="4"/>
  <c r="E1961" i="4"/>
  <c r="D1961" i="4"/>
  <c r="C1961" i="4"/>
  <c r="B1961" i="4"/>
  <c r="A1961" i="4"/>
  <c r="F1960" i="4"/>
  <c r="E1960" i="4"/>
  <c r="D1960" i="4"/>
  <c r="C1960" i="4"/>
  <c r="B1960" i="4"/>
  <c r="A1960" i="4"/>
  <c r="F1959" i="4"/>
  <c r="E1959" i="4"/>
  <c r="D1959" i="4"/>
  <c r="C1959" i="4"/>
  <c r="B1959" i="4"/>
  <c r="A1959" i="4"/>
  <c r="F1958" i="4"/>
  <c r="E1958" i="4"/>
  <c r="D1958" i="4"/>
  <c r="C1958" i="4"/>
  <c r="B1958" i="4"/>
  <c r="A1958" i="4"/>
  <c r="F1957" i="4"/>
  <c r="E1957" i="4"/>
  <c r="D1957" i="4"/>
  <c r="C1957" i="4"/>
  <c r="B1957" i="4"/>
  <c r="A1957" i="4"/>
  <c r="F1956" i="4"/>
  <c r="E1956" i="4"/>
  <c r="D1956" i="4"/>
  <c r="C1956" i="4"/>
  <c r="B1956" i="4"/>
  <c r="A1956" i="4"/>
  <c r="F1955" i="4"/>
  <c r="E1955" i="4"/>
  <c r="D1955" i="4"/>
  <c r="C1955" i="4"/>
  <c r="B1955" i="4"/>
  <c r="A1955" i="4"/>
  <c r="F1954" i="4"/>
  <c r="E1954" i="4"/>
  <c r="D1954" i="4"/>
  <c r="C1954" i="4"/>
  <c r="B1954" i="4"/>
  <c r="A1954" i="4"/>
  <c r="F1953" i="4"/>
  <c r="E1953" i="4"/>
  <c r="D1953" i="4"/>
  <c r="C1953" i="4"/>
  <c r="B1953" i="4"/>
  <c r="A1953" i="4"/>
  <c r="F1952" i="4"/>
  <c r="E1952" i="4"/>
  <c r="D1952" i="4"/>
  <c r="C1952" i="4"/>
  <c r="B1952" i="4"/>
  <c r="A1952" i="4"/>
  <c r="F1951" i="4"/>
  <c r="E1951" i="4"/>
  <c r="D1951" i="4"/>
  <c r="C1951" i="4"/>
  <c r="B1951" i="4"/>
  <c r="A1951" i="4"/>
  <c r="F1950" i="4"/>
  <c r="E1950" i="4"/>
  <c r="D1950" i="4"/>
  <c r="C1950" i="4"/>
  <c r="B1950" i="4"/>
  <c r="A1950" i="4"/>
  <c r="F1949" i="4"/>
  <c r="E1949" i="4"/>
  <c r="D1949" i="4"/>
  <c r="C1949" i="4"/>
  <c r="B1949" i="4"/>
  <c r="A1949" i="4"/>
  <c r="F1948" i="4"/>
  <c r="E1948" i="4"/>
  <c r="D1948" i="4"/>
  <c r="C1948" i="4"/>
  <c r="B1948" i="4"/>
  <c r="A1948" i="4"/>
  <c r="F1947" i="4"/>
  <c r="E1947" i="4"/>
  <c r="D1947" i="4"/>
  <c r="C1947" i="4"/>
  <c r="B1947" i="4"/>
  <c r="A1947" i="4"/>
  <c r="F1946" i="4"/>
  <c r="E1946" i="4"/>
  <c r="D1946" i="4"/>
  <c r="C1946" i="4"/>
  <c r="B1946" i="4"/>
  <c r="A1946" i="4"/>
  <c r="F1945" i="4"/>
  <c r="E1945" i="4"/>
  <c r="D1945" i="4"/>
  <c r="C1945" i="4"/>
  <c r="B1945" i="4"/>
  <c r="A1945" i="4"/>
  <c r="F1944" i="4"/>
  <c r="E1944" i="4"/>
  <c r="D1944" i="4"/>
  <c r="C1944" i="4"/>
  <c r="B1944" i="4"/>
  <c r="A1944" i="4"/>
  <c r="F1943" i="4"/>
  <c r="E1943" i="4"/>
  <c r="D1943" i="4"/>
  <c r="C1943" i="4"/>
  <c r="B1943" i="4"/>
  <c r="A1943" i="4"/>
  <c r="F1942" i="4"/>
  <c r="E1942" i="4"/>
  <c r="D1942" i="4"/>
  <c r="C1942" i="4"/>
  <c r="B1942" i="4"/>
  <c r="A1942" i="4"/>
  <c r="F1941" i="4"/>
  <c r="E1941" i="4"/>
  <c r="D1941" i="4"/>
  <c r="C1941" i="4"/>
  <c r="B1941" i="4"/>
  <c r="A1941" i="4"/>
  <c r="F1940" i="4"/>
  <c r="E1940" i="4"/>
  <c r="D1940" i="4"/>
  <c r="C1940" i="4"/>
  <c r="B1940" i="4"/>
  <c r="A1940" i="4"/>
  <c r="F1939" i="4"/>
  <c r="E1939" i="4"/>
  <c r="D1939" i="4"/>
  <c r="C1939" i="4"/>
  <c r="B1939" i="4"/>
  <c r="A1939" i="4"/>
  <c r="F1938" i="4"/>
  <c r="E1938" i="4"/>
  <c r="D1938" i="4"/>
  <c r="C1938" i="4"/>
  <c r="B1938" i="4"/>
  <c r="A1938" i="4"/>
  <c r="F1937" i="4"/>
  <c r="E1937" i="4"/>
  <c r="D1937" i="4"/>
  <c r="C1937" i="4"/>
  <c r="B1937" i="4"/>
  <c r="A1937" i="4"/>
  <c r="F1936" i="4"/>
  <c r="E1936" i="4"/>
  <c r="D1936" i="4"/>
  <c r="C1936" i="4"/>
  <c r="B1936" i="4"/>
  <c r="A1936" i="4"/>
  <c r="F1935" i="4"/>
  <c r="E1935" i="4"/>
  <c r="D1935" i="4"/>
  <c r="C1935" i="4"/>
  <c r="B1935" i="4"/>
  <c r="A1935" i="4"/>
  <c r="F1934" i="4"/>
  <c r="E1934" i="4"/>
  <c r="D1934" i="4"/>
  <c r="C1934" i="4"/>
  <c r="B1934" i="4"/>
  <c r="A1934" i="4"/>
  <c r="F1933" i="4"/>
  <c r="E1933" i="4"/>
  <c r="D1933" i="4"/>
  <c r="C1933" i="4"/>
  <c r="B1933" i="4"/>
  <c r="A1933" i="4"/>
  <c r="F1932" i="4"/>
  <c r="E1932" i="4"/>
  <c r="D1932" i="4"/>
  <c r="C1932" i="4"/>
  <c r="B1932" i="4"/>
  <c r="A1932" i="4"/>
  <c r="F1931" i="4"/>
  <c r="E1931" i="4"/>
  <c r="D1931" i="4"/>
  <c r="C1931" i="4"/>
  <c r="B1931" i="4"/>
  <c r="A1931" i="4"/>
  <c r="F1930" i="4"/>
  <c r="E1930" i="4"/>
  <c r="D1930" i="4"/>
  <c r="C1930" i="4"/>
  <c r="B1930" i="4"/>
  <c r="A1930" i="4"/>
  <c r="F1929" i="4"/>
  <c r="E1929" i="4"/>
  <c r="D1929" i="4"/>
  <c r="C1929" i="4"/>
  <c r="B1929" i="4"/>
  <c r="A1929" i="4"/>
  <c r="F1928" i="4"/>
  <c r="E1928" i="4"/>
  <c r="D1928" i="4"/>
  <c r="C1928" i="4"/>
  <c r="B1928" i="4"/>
  <c r="A1928" i="4"/>
  <c r="F1927" i="4"/>
  <c r="E1927" i="4"/>
  <c r="D1927" i="4"/>
  <c r="C1927" i="4"/>
  <c r="B1927" i="4"/>
  <c r="A1927" i="4"/>
  <c r="F1926" i="4"/>
  <c r="E1926" i="4"/>
  <c r="D1926" i="4"/>
  <c r="C1926" i="4"/>
  <c r="B1926" i="4"/>
  <c r="A1926" i="4"/>
  <c r="F1925" i="4"/>
  <c r="E1925" i="4"/>
  <c r="D1925" i="4"/>
  <c r="C1925" i="4"/>
  <c r="B1925" i="4"/>
  <c r="A1925" i="4"/>
  <c r="F1924" i="4"/>
  <c r="E1924" i="4"/>
  <c r="D1924" i="4"/>
  <c r="C1924" i="4"/>
  <c r="B1924" i="4"/>
  <c r="A1924" i="4"/>
  <c r="F1923" i="4"/>
  <c r="E1923" i="4"/>
  <c r="D1923" i="4"/>
  <c r="C1923" i="4"/>
  <c r="B1923" i="4"/>
  <c r="A1923" i="4"/>
  <c r="F1922" i="4"/>
  <c r="E1922" i="4"/>
  <c r="D1922" i="4"/>
  <c r="C1922" i="4"/>
  <c r="B1922" i="4"/>
  <c r="A1922" i="4"/>
  <c r="F1921" i="4"/>
  <c r="E1921" i="4"/>
  <c r="D1921" i="4"/>
  <c r="C1921" i="4"/>
  <c r="B1921" i="4"/>
  <c r="A1921" i="4"/>
  <c r="F1920" i="4"/>
  <c r="E1920" i="4"/>
  <c r="D1920" i="4"/>
  <c r="C1920" i="4"/>
  <c r="B1920" i="4"/>
  <c r="A1920" i="4"/>
  <c r="F1919" i="4"/>
  <c r="E1919" i="4"/>
  <c r="D1919" i="4"/>
  <c r="C1919" i="4"/>
  <c r="B1919" i="4"/>
  <c r="A1919" i="4"/>
  <c r="F1918" i="4"/>
  <c r="E1918" i="4"/>
  <c r="D1918" i="4"/>
  <c r="C1918" i="4"/>
  <c r="B1918" i="4"/>
  <c r="A1918" i="4"/>
  <c r="F1917" i="4"/>
  <c r="E1917" i="4"/>
  <c r="D1917" i="4"/>
  <c r="C1917" i="4"/>
  <c r="B1917" i="4"/>
  <c r="A1917" i="4"/>
  <c r="F1916" i="4"/>
  <c r="E1916" i="4"/>
  <c r="D1916" i="4"/>
  <c r="C1916" i="4"/>
  <c r="B1916" i="4"/>
  <c r="A1916" i="4"/>
  <c r="F1915" i="4"/>
  <c r="E1915" i="4"/>
  <c r="D1915" i="4"/>
  <c r="C1915" i="4"/>
  <c r="B1915" i="4"/>
  <c r="A1915" i="4"/>
  <c r="F1914" i="4"/>
  <c r="E1914" i="4"/>
  <c r="D1914" i="4"/>
  <c r="C1914" i="4"/>
  <c r="B1914" i="4"/>
  <c r="A1914" i="4"/>
  <c r="F1913" i="4"/>
  <c r="E1913" i="4"/>
  <c r="D1913" i="4"/>
  <c r="C1913" i="4"/>
  <c r="B1913" i="4"/>
  <c r="A1913" i="4"/>
  <c r="F1912" i="4"/>
  <c r="E1912" i="4"/>
  <c r="D1912" i="4"/>
  <c r="C1912" i="4"/>
  <c r="B1912" i="4"/>
  <c r="A1912" i="4"/>
  <c r="F1911" i="4"/>
  <c r="E1911" i="4"/>
  <c r="D1911" i="4"/>
  <c r="C1911" i="4"/>
  <c r="B1911" i="4"/>
  <c r="A1911" i="4"/>
  <c r="F1910" i="4"/>
  <c r="E1910" i="4"/>
  <c r="D1910" i="4"/>
  <c r="C1910" i="4"/>
  <c r="B1910" i="4"/>
  <c r="A1910" i="4"/>
  <c r="F1909" i="4"/>
  <c r="E1909" i="4"/>
  <c r="D1909" i="4"/>
  <c r="C1909" i="4"/>
  <c r="B1909" i="4"/>
  <c r="A1909" i="4"/>
  <c r="F1908" i="4"/>
  <c r="E1908" i="4"/>
  <c r="D1908" i="4"/>
  <c r="C1908" i="4"/>
  <c r="B1908" i="4"/>
  <c r="A1908" i="4"/>
  <c r="F1907" i="4"/>
  <c r="E1907" i="4"/>
  <c r="D1907" i="4"/>
  <c r="C1907" i="4"/>
  <c r="B1907" i="4"/>
  <c r="A1907" i="4"/>
  <c r="F1906" i="4"/>
  <c r="E1906" i="4"/>
  <c r="D1906" i="4"/>
  <c r="C1906" i="4"/>
  <c r="B1906" i="4"/>
  <c r="A1906" i="4"/>
  <c r="F1905" i="4"/>
  <c r="E1905" i="4"/>
  <c r="D1905" i="4"/>
  <c r="C1905" i="4"/>
  <c r="B1905" i="4"/>
  <c r="A1905" i="4"/>
  <c r="F1904" i="4"/>
  <c r="E1904" i="4"/>
  <c r="D1904" i="4"/>
  <c r="C1904" i="4"/>
  <c r="B1904" i="4"/>
  <c r="A1904" i="4"/>
  <c r="F1903" i="4"/>
  <c r="E1903" i="4"/>
  <c r="D1903" i="4"/>
  <c r="C1903" i="4"/>
  <c r="B1903" i="4"/>
  <c r="A1903" i="4"/>
  <c r="F1902" i="4"/>
  <c r="E1902" i="4"/>
  <c r="D1902" i="4"/>
  <c r="C1902" i="4"/>
  <c r="B1902" i="4"/>
  <c r="A1902" i="4"/>
  <c r="F1901" i="4"/>
  <c r="E1901" i="4"/>
  <c r="D1901" i="4"/>
  <c r="C1901" i="4"/>
  <c r="B1901" i="4"/>
  <c r="A1901" i="4"/>
  <c r="F1900" i="4"/>
  <c r="E1900" i="4"/>
  <c r="D1900" i="4"/>
  <c r="C1900" i="4"/>
  <c r="B1900" i="4"/>
  <c r="A1900" i="4"/>
  <c r="F1899" i="4"/>
  <c r="E1899" i="4"/>
  <c r="D1899" i="4"/>
  <c r="C1899" i="4"/>
  <c r="B1899" i="4"/>
  <c r="A1899" i="4"/>
  <c r="F1898" i="4"/>
  <c r="E1898" i="4"/>
  <c r="D1898" i="4"/>
  <c r="C1898" i="4"/>
  <c r="B1898" i="4"/>
  <c r="A1898" i="4"/>
  <c r="F1897" i="4"/>
  <c r="E1897" i="4"/>
  <c r="D1897" i="4"/>
  <c r="C1897" i="4"/>
  <c r="B1897" i="4"/>
  <c r="A1897" i="4"/>
  <c r="F1896" i="4"/>
  <c r="E1896" i="4"/>
  <c r="D1896" i="4"/>
  <c r="C1896" i="4"/>
  <c r="B1896" i="4"/>
  <c r="A1896" i="4"/>
  <c r="F1895" i="4"/>
  <c r="E1895" i="4"/>
  <c r="D1895" i="4"/>
  <c r="C1895" i="4"/>
  <c r="B1895" i="4"/>
  <c r="A1895" i="4"/>
  <c r="F1894" i="4"/>
  <c r="E1894" i="4"/>
  <c r="D1894" i="4"/>
  <c r="C1894" i="4"/>
  <c r="B1894" i="4"/>
  <c r="A1894" i="4"/>
  <c r="F1893" i="4"/>
  <c r="E1893" i="4"/>
  <c r="D1893" i="4"/>
  <c r="C1893" i="4"/>
  <c r="B1893" i="4"/>
  <c r="A1893" i="4"/>
  <c r="F1892" i="4"/>
  <c r="E1892" i="4"/>
  <c r="D1892" i="4"/>
  <c r="C1892" i="4"/>
  <c r="B1892" i="4"/>
  <c r="A1892" i="4"/>
  <c r="F1891" i="4"/>
  <c r="E1891" i="4"/>
  <c r="D1891" i="4"/>
  <c r="C1891" i="4"/>
  <c r="B1891" i="4"/>
  <c r="A1891" i="4"/>
  <c r="F1890" i="4"/>
  <c r="E1890" i="4"/>
  <c r="D1890" i="4"/>
  <c r="C1890" i="4"/>
  <c r="B1890" i="4"/>
  <c r="A1890" i="4"/>
  <c r="F1889" i="4"/>
  <c r="E1889" i="4"/>
  <c r="D1889" i="4"/>
  <c r="C1889" i="4"/>
  <c r="B1889" i="4"/>
  <c r="A1889" i="4"/>
  <c r="F1888" i="4"/>
  <c r="E1888" i="4"/>
  <c r="D1888" i="4"/>
  <c r="C1888" i="4"/>
  <c r="B1888" i="4"/>
  <c r="A1888" i="4"/>
  <c r="F1887" i="4"/>
  <c r="E1887" i="4"/>
  <c r="D1887" i="4"/>
  <c r="C1887" i="4"/>
  <c r="B1887" i="4"/>
  <c r="A1887" i="4"/>
  <c r="F1886" i="4"/>
  <c r="E1886" i="4"/>
  <c r="D1886" i="4"/>
  <c r="C1886" i="4"/>
  <c r="B1886" i="4"/>
  <c r="A1886" i="4"/>
  <c r="F1885" i="4"/>
  <c r="E1885" i="4"/>
  <c r="D1885" i="4"/>
  <c r="C1885" i="4"/>
  <c r="B1885" i="4"/>
  <c r="A1885" i="4"/>
  <c r="F1884" i="4"/>
  <c r="E1884" i="4"/>
  <c r="D1884" i="4"/>
  <c r="C1884" i="4"/>
  <c r="B1884" i="4"/>
  <c r="A1884" i="4"/>
  <c r="F1883" i="4"/>
  <c r="E1883" i="4"/>
  <c r="D1883" i="4"/>
  <c r="C1883" i="4"/>
  <c r="B1883" i="4"/>
  <c r="A1883" i="4"/>
  <c r="F1882" i="4"/>
  <c r="E1882" i="4"/>
  <c r="D1882" i="4"/>
  <c r="C1882" i="4"/>
  <c r="B1882" i="4"/>
  <c r="A1882" i="4"/>
  <c r="F1881" i="4"/>
  <c r="E1881" i="4"/>
  <c r="D1881" i="4"/>
  <c r="C1881" i="4"/>
  <c r="B1881" i="4"/>
  <c r="A1881" i="4"/>
  <c r="F1880" i="4"/>
  <c r="E1880" i="4"/>
  <c r="D1880" i="4"/>
  <c r="C1880" i="4"/>
  <c r="B1880" i="4"/>
  <c r="A1880" i="4"/>
  <c r="F1879" i="4"/>
  <c r="E1879" i="4"/>
  <c r="D1879" i="4"/>
  <c r="C1879" i="4"/>
  <c r="B1879" i="4"/>
  <c r="A1879" i="4"/>
  <c r="F1878" i="4"/>
  <c r="E1878" i="4"/>
  <c r="D1878" i="4"/>
  <c r="C1878" i="4"/>
  <c r="B1878" i="4"/>
  <c r="A1878" i="4"/>
  <c r="F1877" i="4"/>
  <c r="E1877" i="4"/>
  <c r="D1877" i="4"/>
  <c r="C1877" i="4"/>
  <c r="B1877" i="4"/>
  <c r="A1877" i="4"/>
  <c r="F1876" i="4"/>
  <c r="E1876" i="4"/>
  <c r="D1876" i="4"/>
  <c r="C1876" i="4"/>
  <c r="B1876" i="4"/>
  <c r="A1876" i="4"/>
  <c r="F1875" i="4"/>
  <c r="E1875" i="4"/>
  <c r="D1875" i="4"/>
  <c r="C1875" i="4"/>
  <c r="B1875" i="4"/>
  <c r="A1875" i="4"/>
  <c r="F1874" i="4"/>
  <c r="E1874" i="4"/>
  <c r="D1874" i="4"/>
  <c r="C1874" i="4"/>
  <c r="B1874" i="4"/>
  <c r="A1874" i="4"/>
  <c r="F1873" i="4"/>
  <c r="E1873" i="4"/>
  <c r="D1873" i="4"/>
  <c r="C1873" i="4"/>
  <c r="B1873" i="4"/>
  <c r="A1873" i="4"/>
  <c r="F1872" i="4"/>
  <c r="E1872" i="4"/>
  <c r="D1872" i="4"/>
  <c r="C1872" i="4"/>
  <c r="B1872" i="4"/>
  <c r="A1872" i="4"/>
  <c r="F1871" i="4"/>
  <c r="E1871" i="4"/>
  <c r="D1871" i="4"/>
  <c r="C1871" i="4"/>
  <c r="B1871" i="4"/>
  <c r="A1871" i="4"/>
  <c r="F1870" i="4"/>
  <c r="E1870" i="4"/>
  <c r="D1870" i="4"/>
  <c r="C1870" i="4"/>
  <c r="B1870" i="4"/>
  <c r="A1870" i="4"/>
  <c r="F1869" i="4"/>
  <c r="E1869" i="4"/>
  <c r="D1869" i="4"/>
  <c r="C1869" i="4"/>
  <c r="B1869" i="4"/>
  <c r="A1869" i="4"/>
  <c r="F1868" i="4"/>
  <c r="E1868" i="4"/>
  <c r="D1868" i="4"/>
  <c r="C1868" i="4"/>
  <c r="B1868" i="4"/>
  <c r="A1868" i="4"/>
  <c r="F1867" i="4"/>
  <c r="E1867" i="4"/>
  <c r="D1867" i="4"/>
  <c r="C1867" i="4"/>
  <c r="B1867" i="4"/>
  <c r="A1867" i="4"/>
  <c r="F1866" i="4"/>
  <c r="E1866" i="4"/>
  <c r="D1866" i="4"/>
  <c r="C1866" i="4"/>
  <c r="B1866" i="4"/>
  <c r="A1866" i="4"/>
  <c r="F1865" i="4"/>
  <c r="E1865" i="4"/>
  <c r="D1865" i="4"/>
  <c r="C1865" i="4"/>
  <c r="B1865" i="4"/>
  <c r="A1865" i="4"/>
  <c r="F1864" i="4"/>
  <c r="E1864" i="4"/>
  <c r="D1864" i="4"/>
  <c r="C1864" i="4"/>
  <c r="B1864" i="4"/>
  <c r="A1864" i="4"/>
  <c r="F1863" i="4"/>
  <c r="E1863" i="4"/>
  <c r="D1863" i="4"/>
  <c r="C1863" i="4"/>
  <c r="B1863" i="4"/>
  <c r="A1863" i="4"/>
  <c r="F1862" i="4"/>
  <c r="E1862" i="4"/>
  <c r="D1862" i="4"/>
  <c r="C1862" i="4"/>
  <c r="B1862" i="4"/>
  <c r="A1862" i="4"/>
  <c r="F1861" i="4"/>
  <c r="E1861" i="4"/>
  <c r="D1861" i="4"/>
  <c r="C1861" i="4"/>
  <c r="B1861" i="4"/>
  <c r="A1861" i="4"/>
  <c r="F1860" i="4"/>
  <c r="E1860" i="4"/>
  <c r="D1860" i="4"/>
  <c r="C1860" i="4"/>
  <c r="B1860" i="4"/>
  <c r="A1860" i="4"/>
  <c r="F1859" i="4"/>
  <c r="E1859" i="4"/>
  <c r="D1859" i="4"/>
  <c r="C1859" i="4"/>
  <c r="B1859" i="4"/>
  <c r="A1859" i="4"/>
  <c r="F1858" i="4"/>
  <c r="E1858" i="4"/>
  <c r="D1858" i="4"/>
  <c r="C1858" i="4"/>
  <c r="B1858" i="4"/>
  <c r="A1858" i="4"/>
  <c r="F1857" i="4"/>
  <c r="E1857" i="4"/>
  <c r="D1857" i="4"/>
  <c r="C1857" i="4"/>
  <c r="B1857" i="4"/>
  <c r="A1857" i="4"/>
  <c r="F1856" i="4"/>
  <c r="E1856" i="4"/>
  <c r="D1856" i="4"/>
  <c r="C1856" i="4"/>
  <c r="B1856" i="4"/>
  <c r="A1856" i="4"/>
  <c r="F1855" i="4"/>
  <c r="E1855" i="4"/>
  <c r="D1855" i="4"/>
  <c r="C1855" i="4"/>
  <c r="B1855" i="4"/>
  <c r="A1855" i="4"/>
  <c r="F1854" i="4"/>
  <c r="E1854" i="4"/>
  <c r="D1854" i="4"/>
  <c r="C1854" i="4"/>
  <c r="B1854" i="4"/>
  <c r="A1854" i="4"/>
  <c r="F1853" i="4"/>
  <c r="E1853" i="4"/>
  <c r="D1853" i="4"/>
  <c r="C1853" i="4"/>
  <c r="B1853" i="4"/>
  <c r="A1853" i="4"/>
  <c r="F1852" i="4"/>
  <c r="E1852" i="4"/>
  <c r="D1852" i="4"/>
  <c r="C1852" i="4"/>
  <c r="B1852" i="4"/>
  <c r="A1852" i="4"/>
  <c r="F1851" i="4"/>
  <c r="E1851" i="4"/>
  <c r="D1851" i="4"/>
  <c r="C1851" i="4"/>
  <c r="B1851" i="4"/>
  <c r="A1851" i="4"/>
  <c r="F1850" i="4"/>
  <c r="E1850" i="4"/>
  <c r="D1850" i="4"/>
  <c r="C1850" i="4"/>
  <c r="B1850" i="4"/>
  <c r="A1850" i="4"/>
  <c r="F1849" i="4"/>
  <c r="E1849" i="4"/>
  <c r="D1849" i="4"/>
  <c r="C1849" i="4"/>
  <c r="B1849" i="4"/>
  <c r="A1849" i="4"/>
  <c r="F1848" i="4"/>
  <c r="E1848" i="4"/>
  <c r="D1848" i="4"/>
  <c r="C1848" i="4"/>
  <c r="B1848" i="4"/>
  <c r="A1848" i="4"/>
  <c r="F1847" i="4"/>
  <c r="E1847" i="4"/>
  <c r="D1847" i="4"/>
  <c r="C1847" i="4"/>
  <c r="B1847" i="4"/>
  <c r="A1847" i="4"/>
  <c r="F1846" i="4"/>
  <c r="E1846" i="4"/>
  <c r="D1846" i="4"/>
  <c r="C1846" i="4"/>
  <c r="B1846" i="4"/>
  <c r="A1846" i="4"/>
  <c r="F1845" i="4"/>
  <c r="E1845" i="4"/>
  <c r="D1845" i="4"/>
  <c r="C1845" i="4"/>
  <c r="B1845" i="4"/>
  <c r="A1845" i="4"/>
  <c r="F1844" i="4"/>
  <c r="E1844" i="4"/>
  <c r="D1844" i="4"/>
  <c r="C1844" i="4"/>
  <c r="B1844" i="4"/>
  <c r="A1844" i="4"/>
  <c r="F1843" i="4"/>
  <c r="E1843" i="4"/>
  <c r="D1843" i="4"/>
  <c r="C1843" i="4"/>
  <c r="B1843" i="4"/>
  <c r="A1843" i="4"/>
  <c r="F1842" i="4"/>
  <c r="E1842" i="4"/>
  <c r="D1842" i="4"/>
  <c r="C1842" i="4"/>
  <c r="B1842" i="4"/>
  <c r="A1842" i="4"/>
  <c r="F1841" i="4"/>
  <c r="E1841" i="4"/>
  <c r="D1841" i="4"/>
  <c r="C1841" i="4"/>
  <c r="B1841" i="4"/>
  <c r="A1841" i="4"/>
  <c r="F1840" i="4"/>
  <c r="E1840" i="4"/>
  <c r="D1840" i="4"/>
  <c r="C1840" i="4"/>
  <c r="B1840" i="4"/>
  <c r="A1840" i="4"/>
  <c r="F1839" i="4"/>
  <c r="E1839" i="4"/>
  <c r="D1839" i="4"/>
  <c r="C1839" i="4"/>
  <c r="B1839" i="4"/>
  <c r="A1839" i="4"/>
  <c r="F1838" i="4"/>
  <c r="E1838" i="4"/>
  <c r="D1838" i="4"/>
  <c r="C1838" i="4"/>
  <c r="B1838" i="4"/>
  <c r="A1838" i="4"/>
  <c r="F1837" i="4"/>
  <c r="E1837" i="4"/>
  <c r="D1837" i="4"/>
  <c r="C1837" i="4"/>
  <c r="B1837" i="4"/>
  <c r="A1837" i="4"/>
  <c r="F1836" i="4"/>
  <c r="E1836" i="4"/>
  <c r="D1836" i="4"/>
  <c r="C1836" i="4"/>
  <c r="B1836" i="4"/>
  <c r="A1836" i="4"/>
  <c r="F1835" i="4"/>
  <c r="E1835" i="4"/>
  <c r="D1835" i="4"/>
  <c r="C1835" i="4"/>
  <c r="B1835" i="4"/>
  <c r="A1835" i="4"/>
  <c r="F1834" i="4"/>
  <c r="E1834" i="4"/>
  <c r="D1834" i="4"/>
  <c r="C1834" i="4"/>
  <c r="B1834" i="4"/>
  <c r="A1834" i="4"/>
  <c r="F1833" i="4"/>
  <c r="E1833" i="4"/>
  <c r="D1833" i="4"/>
  <c r="C1833" i="4"/>
  <c r="B1833" i="4"/>
  <c r="A1833" i="4"/>
  <c r="F1832" i="4"/>
  <c r="E1832" i="4"/>
  <c r="D1832" i="4"/>
  <c r="C1832" i="4"/>
  <c r="B1832" i="4"/>
  <c r="A1832" i="4"/>
  <c r="F1831" i="4"/>
  <c r="E1831" i="4"/>
  <c r="D1831" i="4"/>
  <c r="C1831" i="4"/>
  <c r="B1831" i="4"/>
  <c r="A1831" i="4"/>
  <c r="F1830" i="4"/>
  <c r="E1830" i="4"/>
  <c r="D1830" i="4"/>
  <c r="C1830" i="4"/>
  <c r="B1830" i="4"/>
  <c r="A1830" i="4"/>
  <c r="F1829" i="4"/>
  <c r="E1829" i="4"/>
  <c r="D1829" i="4"/>
  <c r="C1829" i="4"/>
  <c r="B1829" i="4"/>
  <c r="A1829" i="4"/>
  <c r="F1828" i="4"/>
  <c r="E1828" i="4"/>
  <c r="D1828" i="4"/>
  <c r="C1828" i="4"/>
  <c r="B1828" i="4"/>
  <c r="A1828" i="4"/>
  <c r="F1827" i="4"/>
  <c r="E1827" i="4"/>
  <c r="D1827" i="4"/>
  <c r="C1827" i="4"/>
  <c r="B1827" i="4"/>
  <c r="A1827" i="4"/>
  <c r="F1826" i="4"/>
  <c r="E1826" i="4"/>
  <c r="D1826" i="4"/>
  <c r="C1826" i="4"/>
  <c r="B1826" i="4"/>
  <c r="A1826" i="4"/>
  <c r="F1825" i="4"/>
  <c r="E1825" i="4"/>
  <c r="D1825" i="4"/>
  <c r="C1825" i="4"/>
  <c r="B1825" i="4"/>
  <c r="A1825" i="4"/>
  <c r="F1824" i="4"/>
  <c r="E1824" i="4"/>
  <c r="D1824" i="4"/>
  <c r="C1824" i="4"/>
  <c r="B1824" i="4"/>
  <c r="A1824" i="4"/>
  <c r="F1823" i="4"/>
  <c r="E1823" i="4"/>
  <c r="D1823" i="4"/>
  <c r="C1823" i="4"/>
  <c r="B1823" i="4"/>
  <c r="A1823" i="4"/>
  <c r="F1822" i="4"/>
  <c r="E1822" i="4"/>
  <c r="D1822" i="4"/>
  <c r="C1822" i="4"/>
  <c r="B1822" i="4"/>
  <c r="A1822" i="4"/>
  <c r="F1821" i="4"/>
  <c r="E1821" i="4"/>
  <c r="D1821" i="4"/>
  <c r="C1821" i="4"/>
  <c r="B1821" i="4"/>
  <c r="A1821" i="4"/>
  <c r="F1820" i="4"/>
  <c r="E1820" i="4"/>
  <c r="D1820" i="4"/>
  <c r="C1820" i="4"/>
  <c r="B1820" i="4"/>
  <c r="A1820" i="4"/>
  <c r="F1819" i="4"/>
  <c r="E1819" i="4"/>
  <c r="D1819" i="4"/>
  <c r="C1819" i="4"/>
  <c r="B1819" i="4"/>
  <c r="A1819" i="4"/>
  <c r="F1818" i="4"/>
  <c r="E1818" i="4"/>
  <c r="D1818" i="4"/>
  <c r="C1818" i="4"/>
  <c r="B1818" i="4"/>
  <c r="A1818" i="4"/>
  <c r="F1817" i="4"/>
  <c r="E1817" i="4"/>
  <c r="D1817" i="4"/>
  <c r="C1817" i="4"/>
  <c r="B1817" i="4"/>
  <c r="A1817" i="4"/>
  <c r="F1816" i="4"/>
  <c r="E1816" i="4"/>
  <c r="D1816" i="4"/>
  <c r="C1816" i="4"/>
  <c r="B1816" i="4"/>
  <c r="A1816" i="4"/>
  <c r="F1815" i="4"/>
  <c r="E1815" i="4"/>
  <c r="D1815" i="4"/>
  <c r="C1815" i="4"/>
  <c r="B1815" i="4"/>
  <c r="A1815" i="4"/>
  <c r="F1814" i="4"/>
  <c r="E1814" i="4"/>
  <c r="D1814" i="4"/>
  <c r="C1814" i="4"/>
  <c r="B1814" i="4"/>
  <c r="A1814" i="4"/>
  <c r="F1813" i="4"/>
  <c r="E1813" i="4"/>
  <c r="D1813" i="4"/>
  <c r="C1813" i="4"/>
  <c r="B1813" i="4"/>
  <c r="A1813" i="4"/>
  <c r="F1812" i="4"/>
  <c r="E1812" i="4"/>
  <c r="D1812" i="4"/>
  <c r="C1812" i="4"/>
  <c r="B1812" i="4"/>
  <c r="A1812" i="4"/>
  <c r="F1811" i="4"/>
  <c r="E1811" i="4"/>
  <c r="D1811" i="4"/>
  <c r="C1811" i="4"/>
  <c r="B1811" i="4"/>
  <c r="A1811" i="4"/>
  <c r="F1810" i="4"/>
  <c r="E1810" i="4"/>
  <c r="D1810" i="4"/>
  <c r="C1810" i="4"/>
  <c r="B1810" i="4"/>
  <c r="A1810" i="4"/>
  <c r="F1809" i="4"/>
  <c r="E1809" i="4"/>
  <c r="D1809" i="4"/>
  <c r="C1809" i="4"/>
  <c r="B1809" i="4"/>
  <c r="A1809" i="4"/>
  <c r="F1808" i="4"/>
  <c r="E1808" i="4"/>
  <c r="D1808" i="4"/>
  <c r="C1808" i="4"/>
  <c r="B1808" i="4"/>
  <c r="A1808" i="4"/>
  <c r="F1807" i="4"/>
  <c r="E1807" i="4"/>
  <c r="D1807" i="4"/>
  <c r="C1807" i="4"/>
  <c r="B1807" i="4"/>
  <c r="A1807" i="4"/>
  <c r="F1806" i="4"/>
  <c r="E1806" i="4"/>
  <c r="D1806" i="4"/>
  <c r="C1806" i="4"/>
  <c r="B1806" i="4"/>
  <c r="A1806" i="4"/>
  <c r="F1805" i="4"/>
  <c r="E1805" i="4"/>
  <c r="D1805" i="4"/>
  <c r="C1805" i="4"/>
  <c r="B1805" i="4"/>
  <c r="A1805" i="4"/>
  <c r="F1804" i="4"/>
  <c r="E1804" i="4"/>
  <c r="D1804" i="4"/>
  <c r="C1804" i="4"/>
  <c r="B1804" i="4"/>
  <c r="A1804" i="4"/>
  <c r="F1803" i="4"/>
  <c r="E1803" i="4"/>
  <c r="D1803" i="4"/>
  <c r="C1803" i="4"/>
  <c r="B1803" i="4"/>
  <c r="A1803" i="4"/>
  <c r="F1802" i="4"/>
  <c r="E1802" i="4"/>
  <c r="D1802" i="4"/>
  <c r="C1802" i="4"/>
  <c r="B1802" i="4"/>
  <c r="A1802" i="4"/>
  <c r="F1801" i="4"/>
  <c r="E1801" i="4"/>
  <c r="D1801" i="4"/>
  <c r="C1801" i="4"/>
  <c r="B1801" i="4"/>
  <c r="A1801" i="4"/>
  <c r="F1800" i="4"/>
  <c r="E1800" i="4"/>
  <c r="D1800" i="4"/>
  <c r="C1800" i="4"/>
  <c r="B1800" i="4"/>
  <c r="A1800" i="4"/>
  <c r="F1799" i="4"/>
  <c r="E1799" i="4"/>
  <c r="D1799" i="4"/>
  <c r="C1799" i="4"/>
  <c r="B1799" i="4"/>
  <c r="A1799" i="4"/>
  <c r="F1798" i="4"/>
  <c r="E1798" i="4"/>
  <c r="D1798" i="4"/>
  <c r="C1798" i="4"/>
  <c r="B1798" i="4"/>
  <c r="A1798" i="4"/>
  <c r="F1797" i="4"/>
  <c r="E1797" i="4"/>
  <c r="D1797" i="4"/>
  <c r="C1797" i="4"/>
  <c r="B1797" i="4"/>
  <c r="A1797" i="4"/>
  <c r="F1796" i="4"/>
  <c r="E1796" i="4"/>
  <c r="D1796" i="4"/>
  <c r="C1796" i="4"/>
  <c r="B1796" i="4"/>
  <c r="A1796" i="4"/>
  <c r="F1795" i="4"/>
  <c r="E1795" i="4"/>
  <c r="D1795" i="4"/>
  <c r="C1795" i="4"/>
  <c r="B1795" i="4"/>
  <c r="A1795" i="4"/>
  <c r="F1794" i="4"/>
  <c r="E1794" i="4"/>
  <c r="D1794" i="4"/>
  <c r="C1794" i="4"/>
  <c r="B1794" i="4"/>
  <c r="A1794" i="4"/>
  <c r="F1793" i="4"/>
  <c r="E1793" i="4"/>
  <c r="D1793" i="4"/>
  <c r="C1793" i="4"/>
  <c r="B1793" i="4"/>
  <c r="A1793" i="4"/>
  <c r="F1792" i="4"/>
  <c r="E1792" i="4"/>
  <c r="D1792" i="4"/>
  <c r="C1792" i="4"/>
  <c r="B1792" i="4"/>
  <c r="A1792" i="4"/>
  <c r="F1791" i="4"/>
  <c r="E1791" i="4"/>
  <c r="D1791" i="4"/>
  <c r="C1791" i="4"/>
  <c r="B1791" i="4"/>
  <c r="A1791" i="4"/>
  <c r="F1790" i="4"/>
  <c r="E1790" i="4"/>
  <c r="D1790" i="4"/>
  <c r="C1790" i="4"/>
  <c r="B1790" i="4"/>
  <c r="A1790" i="4"/>
  <c r="F1789" i="4"/>
  <c r="E1789" i="4"/>
  <c r="D1789" i="4"/>
  <c r="C1789" i="4"/>
  <c r="B1789" i="4"/>
  <c r="A1789" i="4"/>
  <c r="F1788" i="4"/>
  <c r="E1788" i="4"/>
  <c r="D1788" i="4"/>
  <c r="C1788" i="4"/>
  <c r="B1788" i="4"/>
  <c r="A1788" i="4"/>
  <c r="F1787" i="4"/>
  <c r="E1787" i="4"/>
  <c r="D1787" i="4"/>
  <c r="C1787" i="4"/>
  <c r="B1787" i="4"/>
  <c r="A1787" i="4"/>
  <c r="F1786" i="4"/>
  <c r="E1786" i="4"/>
  <c r="D1786" i="4"/>
  <c r="C1786" i="4"/>
  <c r="B1786" i="4"/>
  <c r="A1786" i="4"/>
  <c r="F1785" i="4"/>
  <c r="E1785" i="4"/>
  <c r="D1785" i="4"/>
  <c r="C1785" i="4"/>
  <c r="B1785" i="4"/>
  <c r="A1785" i="4"/>
  <c r="F1784" i="4"/>
  <c r="E1784" i="4"/>
  <c r="D1784" i="4"/>
  <c r="C1784" i="4"/>
  <c r="B1784" i="4"/>
  <c r="A1784" i="4"/>
  <c r="F1783" i="4"/>
  <c r="E1783" i="4"/>
  <c r="D1783" i="4"/>
  <c r="C1783" i="4"/>
  <c r="B1783" i="4"/>
  <c r="A1783" i="4"/>
  <c r="F1782" i="4"/>
  <c r="E1782" i="4"/>
  <c r="D1782" i="4"/>
  <c r="C1782" i="4"/>
  <c r="B1782" i="4"/>
  <c r="A1782" i="4"/>
  <c r="F1781" i="4"/>
  <c r="E1781" i="4"/>
  <c r="D1781" i="4"/>
  <c r="C1781" i="4"/>
  <c r="B1781" i="4"/>
  <c r="A1781" i="4"/>
  <c r="F1780" i="4"/>
  <c r="E1780" i="4"/>
  <c r="D1780" i="4"/>
  <c r="C1780" i="4"/>
  <c r="B1780" i="4"/>
  <c r="A1780" i="4"/>
  <c r="F1779" i="4"/>
  <c r="E1779" i="4"/>
  <c r="D1779" i="4"/>
  <c r="C1779" i="4"/>
  <c r="B1779" i="4"/>
  <c r="A1779" i="4"/>
  <c r="F1778" i="4"/>
  <c r="E1778" i="4"/>
  <c r="D1778" i="4"/>
  <c r="C1778" i="4"/>
  <c r="B1778" i="4"/>
  <c r="A1778" i="4"/>
  <c r="F1777" i="4"/>
  <c r="E1777" i="4"/>
  <c r="D1777" i="4"/>
  <c r="C1777" i="4"/>
  <c r="B1777" i="4"/>
  <c r="A1777" i="4"/>
  <c r="F1776" i="4"/>
  <c r="E1776" i="4"/>
  <c r="D1776" i="4"/>
  <c r="C1776" i="4"/>
  <c r="B1776" i="4"/>
  <c r="A1776" i="4"/>
  <c r="F1775" i="4"/>
  <c r="E1775" i="4"/>
  <c r="D1775" i="4"/>
  <c r="C1775" i="4"/>
  <c r="B1775" i="4"/>
  <c r="A1775" i="4"/>
  <c r="F1774" i="4"/>
  <c r="E1774" i="4"/>
  <c r="D1774" i="4"/>
  <c r="C1774" i="4"/>
  <c r="B1774" i="4"/>
  <c r="A1774" i="4"/>
  <c r="F1773" i="4"/>
  <c r="E1773" i="4"/>
  <c r="D1773" i="4"/>
  <c r="C1773" i="4"/>
  <c r="B1773" i="4"/>
  <c r="A1773" i="4"/>
  <c r="F1772" i="4"/>
  <c r="E1772" i="4"/>
  <c r="D1772" i="4"/>
  <c r="C1772" i="4"/>
  <c r="B1772" i="4"/>
  <c r="A1772" i="4"/>
  <c r="F1771" i="4"/>
  <c r="E1771" i="4"/>
  <c r="D1771" i="4"/>
  <c r="C1771" i="4"/>
  <c r="B1771" i="4"/>
  <c r="A1771" i="4"/>
  <c r="F1770" i="4"/>
  <c r="E1770" i="4"/>
  <c r="D1770" i="4"/>
  <c r="C1770" i="4"/>
  <c r="B1770" i="4"/>
  <c r="A1770" i="4"/>
  <c r="F1769" i="4"/>
  <c r="E1769" i="4"/>
  <c r="D1769" i="4"/>
  <c r="C1769" i="4"/>
  <c r="B1769" i="4"/>
  <c r="A1769" i="4"/>
  <c r="F1768" i="4"/>
  <c r="E1768" i="4"/>
  <c r="D1768" i="4"/>
  <c r="C1768" i="4"/>
  <c r="B1768" i="4"/>
  <c r="A1768" i="4"/>
  <c r="F1767" i="4"/>
  <c r="E1767" i="4"/>
  <c r="D1767" i="4"/>
  <c r="C1767" i="4"/>
  <c r="B1767" i="4"/>
  <c r="A1767" i="4"/>
  <c r="F1766" i="4"/>
  <c r="E1766" i="4"/>
  <c r="D1766" i="4"/>
  <c r="C1766" i="4"/>
  <c r="B1766" i="4"/>
  <c r="A1766" i="4"/>
  <c r="F1765" i="4"/>
  <c r="E1765" i="4"/>
  <c r="D1765" i="4"/>
  <c r="C1765" i="4"/>
  <c r="B1765" i="4"/>
  <c r="A1765" i="4"/>
  <c r="F1764" i="4"/>
  <c r="E1764" i="4"/>
  <c r="D1764" i="4"/>
  <c r="C1764" i="4"/>
  <c r="B1764" i="4"/>
  <c r="A1764" i="4"/>
  <c r="F1763" i="4"/>
  <c r="E1763" i="4"/>
  <c r="D1763" i="4"/>
  <c r="C1763" i="4"/>
  <c r="B1763" i="4"/>
  <c r="A1763" i="4"/>
  <c r="F1762" i="4"/>
  <c r="E1762" i="4"/>
  <c r="D1762" i="4"/>
  <c r="C1762" i="4"/>
  <c r="B1762" i="4"/>
  <c r="A1762" i="4"/>
  <c r="F1761" i="4"/>
  <c r="E1761" i="4"/>
  <c r="D1761" i="4"/>
  <c r="C1761" i="4"/>
  <c r="B1761" i="4"/>
  <c r="A1761" i="4"/>
  <c r="F1760" i="4"/>
  <c r="E1760" i="4"/>
  <c r="D1760" i="4"/>
  <c r="C1760" i="4"/>
  <c r="B1760" i="4"/>
  <c r="A1760" i="4"/>
  <c r="F1759" i="4"/>
  <c r="E1759" i="4"/>
  <c r="D1759" i="4"/>
  <c r="C1759" i="4"/>
  <c r="B1759" i="4"/>
  <c r="A1759" i="4"/>
  <c r="F1758" i="4"/>
  <c r="E1758" i="4"/>
  <c r="D1758" i="4"/>
  <c r="C1758" i="4"/>
  <c r="B1758" i="4"/>
  <c r="A1758" i="4"/>
  <c r="F1757" i="4"/>
  <c r="E1757" i="4"/>
  <c r="D1757" i="4"/>
  <c r="C1757" i="4"/>
  <c r="B1757" i="4"/>
  <c r="A1757" i="4"/>
  <c r="F1756" i="4"/>
  <c r="E1756" i="4"/>
  <c r="D1756" i="4"/>
  <c r="C1756" i="4"/>
  <c r="B1756" i="4"/>
  <c r="A1756" i="4"/>
  <c r="F1755" i="4"/>
  <c r="E1755" i="4"/>
  <c r="D1755" i="4"/>
  <c r="C1755" i="4"/>
  <c r="B1755" i="4"/>
  <c r="A1755" i="4"/>
  <c r="F1754" i="4"/>
  <c r="E1754" i="4"/>
  <c r="D1754" i="4"/>
  <c r="C1754" i="4"/>
  <c r="B1754" i="4"/>
  <c r="A1754" i="4"/>
  <c r="F1753" i="4"/>
  <c r="E1753" i="4"/>
  <c r="D1753" i="4"/>
  <c r="C1753" i="4"/>
  <c r="B1753" i="4"/>
  <c r="A1753" i="4"/>
  <c r="F1752" i="4"/>
  <c r="E1752" i="4"/>
  <c r="D1752" i="4"/>
  <c r="C1752" i="4"/>
  <c r="B1752" i="4"/>
  <c r="A1752" i="4"/>
  <c r="F1751" i="4"/>
  <c r="E1751" i="4"/>
  <c r="D1751" i="4"/>
  <c r="C1751" i="4"/>
  <c r="B1751" i="4"/>
  <c r="A1751" i="4"/>
  <c r="F1750" i="4"/>
  <c r="E1750" i="4"/>
  <c r="D1750" i="4"/>
  <c r="C1750" i="4"/>
  <c r="B1750" i="4"/>
  <c r="A1750" i="4"/>
  <c r="F1749" i="4"/>
  <c r="E1749" i="4"/>
  <c r="D1749" i="4"/>
  <c r="C1749" i="4"/>
  <c r="B1749" i="4"/>
  <c r="A1749" i="4"/>
  <c r="F1748" i="4"/>
  <c r="E1748" i="4"/>
  <c r="D1748" i="4"/>
  <c r="C1748" i="4"/>
  <c r="B1748" i="4"/>
  <c r="A1748" i="4"/>
  <c r="F1747" i="4"/>
  <c r="E1747" i="4"/>
  <c r="D1747" i="4"/>
  <c r="C1747" i="4"/>
  <c r="B1747" i="4"/>
  <c r="A1747" i="4"/>
  <c r="F1746" i="4"/>
  <c r="E1746" i="4"/>
  <c r="D1746" i="4"/>
  <c r="C1746" i="4"/>
  <c r="B1746" i="4"/>
  <c r="A1746" i="4"/>
  <c r="F1745" i="4"/>
  <c r="E1745" i="4"/>
  <c r="D1745" i="4"/>
  <c r="C1745" i="4"/>
  <c r="B1745" i="4"/>
  <c r="A1745" i="4"/>
  <c r="F1744" i="4"/>
  <c r="E1744" i="4"/>
  <c r="D1744" i="4"/>
  <c r="C1744" i="4"/>
  <c r="B1744" i="4"/>
  <c r="A1744" i="4"/>
  <c r="F1743" i="4"/>
  <c r="E1743" i="4"/>
  <c r="D1743" i="4"/>
  <c r="C1743" i="4"/>
  <c r="B1743" i="4"/>
  <c r="A1743" i="4"/>
  <c r="F1742" i="4"/>
  <c r="E1742" i="4"/>
  <c r="D1742" i="4"/>
  <c r="C1742" i="4"/>
  <c r="B1742" i="4"/>
  <c r="A1742" i="4"/>
  <c r="F1741" i="4"/>
  <c r="E1741" i="4"/>
  <c r="D1741" i="4"/>
  <c r="C1741" i="4"/>
  <c r="B1741" i="4"/>
  <c r="A1741" i="4"/>
  <c r="F1740" i="4"/>
  <c r="E1740" i="4"/>
  <c r="D1740" i="4"/>
  <c r="C1740" i="4"/>
  <c r="B1740" i="4"/>
  <c r="A1740" i="4"/>
  <c r="F1739" i="4"/>
  <c r="E1739" i="4"/>
  <c r="D1739" i="4"/>
  <c r="C1739" i="4"/>
  <c r="B1739" i="4"/>
  <c r="A1739" i="4"/>
  <c r="F1738" i="4"/>
  <c r="E1738" i="4"/>
  <c r="D1738" i="4"/>
  <c r="C1738" i="4"/>
  <c r="B1738" i="4"/>
  <c r="A1738" i="4"/>
  <c r="F1737" i="4"/>
  <c r="E1737" i="4"/>
  <c r="D1737" i="4"/>
  <c r="C1737" i="4"/>
  <c r="B1737" i="4"/>
  <c r="A1737" i="4"/>
  <c r="F1736" i="4"/>
  <c r="E1736" i="4"/>
  <c r="D1736" i="4"/>
  <c r="C1736" i="4"/>
  <c r="B1736" i="4"/>
  <c r="A1736" i="4"/>
  <c r="F1735" i="4"/>
  <c r="E1735" i="4"/>
  <c r="D1735" i="4"/>
  <c r="C1735" i="4"/>
  <c r="B1735" i="4"/>
  <c r="A1735" i="4"/>
  <c r="F1734" i="4"/>
  <c r="E1734" i="4"/>
  <c r="D1734" i="4"/>
  <c r="C1734" i="4"/>
  <c r="B1734" i="4"/>
  <c r="A1734" i="4"/>
  <c r="F1733" i="4"/>
  <c r="E1733" i="4"/>
  <c r="D1733" i="4"/>
  <c r="C1733" i="4"/>
  <c r="B1733" i="4"/>
  <c r="A1733" i="4"/>
  <c r="F1732" i="4"/>
  <c r="E1732" i="4"/>
  <c r="D1732" i="4"/>
  <c r="C1732" i="4"/>
  <c r="B1732" i="4"/>
  <c r="A1732" i="4"/>
  <c r="F1731" i="4"/>
  <c r="E1731" i="4"/>
  <c r="D1731" i="4"/>
  <c r="C1731" i="4"/>
  <c r="B1731" i="4"/>
  <c r="A1731" i="4"/>
  <c r="F1730" i="4"/>
  <c r="E1730" i="4"/>
  <c r="D1730" i="4"/>
  <c r="C1730" i="4"/>
  <c r="B1730" i="4"/>
  <c r="A1730" i="4"/>
  <c r="F1729" i="4"/>
  <c r="E1729" i="4"/>
  <c r="D1729" i="4"/>
  <c r="C1729" i="4"/>
  <c r="B1729" i="4"/>
  <c r="A1729" i="4"/>
  <c r="F1728" i="4"/>
  <c r="E1728" i="4"/>
  <c r="D1728" i="4"/>
  <c r="C1728" i="4"/>
  <c r="B1728" i="4"/>
  <c r="A1728" i="4"/>
  <c r="F1727" i="4"/>
  <c r="E1727" i="4"/>
  <c r="D1727" i="4"/>
  <c r="C1727" i="4"/>
  <c r="B1727" i="4"/>
  <c r="A1727" i="4"/>
  <c r="F1726" i="4"/>
  <c r="E1726" i="4"/>
  <c r="D1726" i="4"/>
  <c r="C1726" i="4"/>
  <c r="B1726" i="4"/>
  <c r="A1726" i="4"/>
  <c r="F1725" i="4"/>
  <c r="E1725" i="4"/>
  <c r="D1725" i="4"/>
  <c r="C1725" i="4"/>
  <c r="B1725" i="4"/>
  <c r="A1725" i="4"/>
  <c r="F1724" i="4"/>
  <c r="E1724" i="4"/>
  <c r="D1724" i="4"/>
  <c r="C1724" i="4"/>
  <c r="B1724" i="4"/>
  <c r="A1724" i="4"/>
  <c r="F1723" i="4"/>
  <c r="E1723" i="4"/>
  <c r="D1723" i="4"/>
  <c r="C1723" i="4"/>
  <c r="B1723" i="4"/>
  <c r="A1723" i="4"/>
  <c r="F1722" i="4"/>
  <c r="E1722" i="4"/>
  <c r="D1722" i="4"/>
  <c r="C1722" i="4"/>
  <c r="B1722" i="4"/>
  <c r="A1722" i="4"/>
  <c r="F1721" i="4"/>
  <c r="E1721" i="4"/>
  <c r="D1721" i="4"/>
  <c r="C1721" i="4"/>
  <c r="B1721" i="4"/>
  <c r="A1721" i="4"/>
  <c r="F1720" i="4"/>
  <c r="E1720" i="4"/>
  <c r="D1720" i="4"/>
  <c r="C1720" i="4"/>
  <c r="B1720" i="4"/>
  <c r="A1720" i="4"/>
  <c r="F1719" i="4"/>
  <c r="E1719" i="4"/>
  <c r="D1719" i="4"/>
  <c r="C1719" i="4"/>
  <c r="B1719" i="4"/>
  <c r="A1719" i="4"/>
  <c r="F1718" i="4"/>
  <c r="E1718" i="4"/>
  <c r="D1718" i="4"/>
  <c r="C1718" i="4"/>
  <c r="B1718" i="4"/>
  <c r="A1718" i="4"/>
  <c r="F1717" i="4"/>
  <c r="E1717" i="4"/>
  <c r="D1717" i="4"/>
  <c r="C1717" i="4"/>
  <c r="B1717" i="4"/>
  <c r="A1717" i="4"/>
  <c r="F1716" i="4"/>
  <c r="E1716" i="4"/>
  <c r="D1716" i="4"/>
  <c r="C1716" i="4"/>
  <c r="B1716" i="4"/>
  <c r="A1716" i="4"/>
  <c r="F1715" i="4"/>
  <c r="E1715" i="4"/>
  <c r="D1715" i="4"/>
  <c r="C1715" i="4"/>
  <c r="B1715" i="4"/>
  <c r="A1715" i="4"/>
  <c r="F1714" i="4"/>
  <c r="E1714" i="4"/>
  <c r="D1714" i="4"/>
  <c r="C1714" i="4"/>
  <c r="B1714" i="4"/>
  <c r="A1714" i="4"/>
  <c r="F1713" i="4"/>
  <c r="E1713" i="4"/>
  <c r="D1713" i="4"/>
  <c r="C1713" i="4"/>
  <c r="B1713" i="4"/>
  <c r="A1713" i="4"/>
  <c r="F1712" i="4"/>
  <c r="E1712" i="4"/>
  <c r="D1712" i="4"/>
  <c r="C1712" i="4"/>
  <c r="B1712" i="4"/>
  <c r="A1712" i="4"/>
  <c r="F1711" i="4"/>
  <c r="E1711" i="4"/>
  <c r="D1711" i="4"/>
  <c r="C1711" i="4"/>
  <c r="B1711" i="4"/>
  <c r="A1711" i="4"/>
  <c r="F1710" i="4"/>
  <c r="E1710" i="4"/>
  <c r="D1710" i="4"/>
  <c r="C1710" i="4"/>
  <c r="B1710" i="4"/>
  <c r="A1710" i="4"/>
  <c r="F1709" i="4"/>
  <c r="E1709" i="4"/>
  <c r="D1709" i="4"/>
  <c r="C1709" i="4"/>
  <c r="B1709" i="4"/>
  <c r="A1709" i="4"/>
  <c r="F1708" i="4"/>
  <c r="E1708" i="4"/>
  <c r="D1708" i="4"/>
  <c r="C1708" i="4"/>
  <c r="B1708" i="4"/>
  <c r="A1708" i="4"/>
  <c r="F1707" i="4"/>
  <c r="E1707" i="4"/>
  <c r="D1707" i="4"/>
  <c r="C1707" i="4"/>
  <c r="B1707" i="4"/>
  <c r="A1707" i="4"/>
  <c r="F1706" i="4"/>
  <c r="E1706" i="4"/>
  <c r="D1706" i="4"/>
  <c r="C1706" i="4"/>
  <c r="B1706" i="4"/>
  <c r="A1706" i="4"/>
  <c r="F1705" i="4"/>
  <c r="E1705" i="4"/>
  <c r="D1705" i="4"/>
  <c r="C1705" i="4"/>
  <c r="B1705" i="4"/>
  <c r="A1705" i="4"/>
  <c r="F1704" i="4"/>
  <c r="E1704" i="4"/>
  <c r="D1704" i="4"/>
  <c r="C1704" i="4"/>
  <c r="B1704" i="4"/>
  <c r="A1704" i="4"/>
  <c r="F1703" i="4"/>
  <c r="E1703" i="4"/>
  <c r="D1703" i="4"/>
  <c r="C1703" i="4"/>
  <c r="B1703" i="4"/>
  <c r="A1703" i="4"/>
  <c r="F1702" i="4"/>
  <c r="E1702" i="4"/>
  <c r="D1702" i="4"/>
  <c r="C1702" i="4"/>
  <c r="B1702" i="4"/>
  <c r="A1702" i="4"/>
  <c r="F1701" i="4"/>
  <c r="E1701" i="4"/>
  <c r="D1701" i="4"/>
  <c r="C1701" i="4"/>
  <c r="B1701" i="4"/>
  <c r="A1701" i="4"/>
  <c r="F1700" i="4"/>
  <c r="E1700" i="4"/>
  <c r="D1700" i="4"/>
  <c r="C1700" i="4"/>
  <c r="B1700" i="4"/>
  <c r="A1700" i="4"/>
  <c r="F1699" i="4"/>
  <c r="E1699" i="4"/>
  <c r="D1699" i="4"/>
  <c r="C1699" i="4"/>
  <c r="B1699" i="4"/>
  <c r="A1699" i="4"/>
  <c r="F1698" i="4"/>
  <c r="E1698" i="4"/>
  <c r="D1698" i="4"/>
  <c r="C1698" i="4"/>
  <c r="B1698" i="4"/>
  <c r="A1698" i="4"/>
  <c r="F1697" i="4"/>
  <c r="E1697" i="4"/>
  <c r="D1697" i="4"/>
  <c r="C1697" i="4"/>
  <c r="B1697" i="4"/>
  <c r="A1697" i="4"/>
  <c r="F1696" i="4"/>
  <c r="E1696" i="4"/>
  <c r="D1696" i="4"/>
  <c r="C1696" i="4"/>
  <c r="B1696" i="4"/>
  <c r="A1696" i="4"/>
  <c r="F1695" i="4"/>
  <c r="E1695" i="4"/>
  <c r="D1695" i="4"/>
  <c r="C1695" i="4"/>
  <c r="B1695" i="4"/>
  <c r="A1695" i="4"/>
  <c r="F1694" i="4"/>
  <c r="E1694" i="4"/>
  <c r="D1694" i="4"/>
  <c r="C1694" i="4"/>
  <c r="B1694" i="4"/>
  <c r="A1694" i="4"/>
  <c r="F1693" i="4"/>
  <c r="E1693" i="4"/>
  <c r="D1693" i="4"/>
  <c r="C1693" i="4"/>
  <c r="B1693" i="4"/>
  <c r="A1693" i="4"/>
  <c r="F1692" i="4"/>
  <c r="E1692" i="4"/>
  <c r="D1692" i="4"/>
  <c r="C1692" i="4"/>
  <c r="B1692" i="4"/>
  <c r="A1692" i="4"/>
  <c r="F1691" i="4"/>
  <c r="E1691" i="4"/>
  <c r="D1691" i="4"/>
  <c r="C1691" i="4"/>
  <c r="B1691" i="4"/>
  <c r="A1691" i="4"/>
  <c r="F1690" i="4"/>
  <c r="E1690" i="4"/>
  <c r="D1690" i="4"/>
  <c r="C1690" i="4"/>
  <c r="B1690" i="4"/>
  <c r="A1690" i="4"/>
  <c r="F1689" i="4"/>
  <c r="E1689" i="4"/>
  <c r="D1689" i="4"/>
  <c r="C1689" i="4"/>
  <c r="B1689" i="4"/>
  <c r="A1689" i="4"/>
  <c r="F1688" i="4"/>
  <c r="E1688" i="4"/>
  <c r="D1688" i="4"/>
  <c r="C1688" i="4"/>
  <c r="B1688" i="4"/>
  <c r="A1688" i="4"/>
  <c r="F1687" i="4"/>
  <c r="E1687" i="4"/>
  <c r="D1687" i="4"/>
  <c r="C1687" i="4"/>
  <c r="B1687" i="4"/>
  <c r="A1687" i="4"/>
  <c r="F1686" i="4"/>
  <c r="E1686" i="4"/>
  <c r="D1686" i="4"/>
  <c r="C1686" i="4"/>
  <c r="B1686" i="4"/>
  <c r="A1686" i="4"/>
  <c r="F1685" i="4"/>
  <c r="E1685" i="4"/>
  <c r="D1685" i="4"/>
  <c r="C1685" i="4"/>
  <c r="B1685" i="4"/>
  <c r="A1685" i="4"/>
  <c r="F1684" i="4"/>
  <c r="E1684" i="4"/>
  <c r="D1684" i="4"/>
  <c r="C1684" i="4"/>
  <c r="B1684" i="4"/>
  <c r="A1684" i="4"/>
  <c r="F1683" i="4"/>
  <c r="E1683" i="4"/>
  <c r="D1683" i="4"/>
  <c r="C1683" i="4"/>
  <c r="B1683" i="4"/>
  <c r="A1683" i="4"/>
  <c r="F1682" i="4"/>
  <c r="E1682" i="4"/>
  <c r="D1682" i="4"/>
  <c r="C1682" i="4"/>
  <c r="B1682" i="4"/>
  <c r="A1682" i="4"/>
  <c r="F1681" i="4"/>
  <c r="E1681" i="4"/>
  <c r="D1681" i="4"/>
  <c r="C1681" i="4"/>
  <c r="B1681" i="4"/>
  <c r="A1681" i="4"/>
  <c r="F1680" i="4"/>
  <c r="E1680" i="4"/>
  <c r="D1680" i="4"/>
  <c r="C1680" i="4"/>
  <c r="B1680" i="4"/>
  <c r="A1680" i="4"/>
  <c r="F1679" i="4"/>
  <c r="E1679" i="4"/>
  <c r="D1679" i="4"/>
  <c r="C1679" i="4"/>
  <c r="B1679" i="4"/>
  <c r="A1679" i="4"/>
  <c r="F1678" i="4"/>
  <c r="E1678" i="4"/>
  <c r="D1678" i="4"/>
  <c r="C1678" i="4"/>
  <c r="B1678" i="4"/>
  <c r="A1678" i="4"/>
  <c r="F1677" i="4"/>
  <c r="E1677" i="4"/>
  <c r="D1677" i="4"/>
  <c r="C1677" i="4"/>
  <c r="B1677" i="4"/>
  <c r="A1677" i="4"/>
  <c r="F1676" i="4"/>
  <c r="E1676" i="4"/>
  <c r="D1676" i="4"/>
  <c r="C1676" i="4"/>
  <c r="B1676" i="4"/>
  <c r="A1676" i="4"/>
  <c r="F1675" i="4"/>
  <c r="E1675" i="4"/>
  <c r="D1675" i="4"/>
  <c r="C1675" i="4"/>
  <c r="B1675" i="4"/>
  <c r="A1675" i="4"/>
  <c r="F1674" i="4"/>
  <c r="E1674" i="4"/>
  <c r="D1674" i="4"/>
  <c r="C1674" i="4"/>
  <c r="B1674" i="4"/>
  <c r="A1674" i="4"/>
  <c r="F1673" i="4"/>
  <c r="E1673" i="4"/>
  <c r="D1673" i="4"/>
  <c r="C1673" i="4"/>
  <c r="B1673" i="4"/>
  <c r="A1673" i="4"/>
  <c r="F1672" i="4"/>
  <c r="E1672" i="4"/>
  <c r="D1672" i="4"/>
  <c r="C1672" i="4"/>
  <c r="B1672" i="4"/>
  <c r="A1672" i="4"/>
  <c r="F1671" i="4"/>
  <c r="E1671" i="4"/>
  <c r="D1671" i="4"/>
  <c r="C1671" i="4"/>
  <c r="B1671" i="4"/>
  <c r="A1671" i="4"/>
  <c r="F1670" i="4"/>
  <c r="E1670" i="4"/>
  <c r="D1670" i="4"/>
  <c r="C1670" i="4"/>
  <c r="B1670" i="4"/>
  <c r="A1670" i="4"/>
  <c r="F1669" i="4"/>
  <c r="E1669" i="4"/>
  <c r="D1669" i="4"/>
  <c r="C1669" i="4"/>
  <c r="B1669" i="4"/>
  <c r="A1669" i="4"/>
  <c r="F1668" i="4"/>
  <c r="E1668" i="4"/>
  <c r="D1668" i="4"/>
  <c r="C1668" i="4"/>
  <c r="B1668" i="4"/>
  <c r="A1668" i="4"/>
  <c r="F1667" i="4"/>
  <c r="E1667" i="4"/>
  <c r="D1667" i="4"/>
  <c r="C1667" i="4"/>
  <c r="B1667" i="4"/>
  <c r="A1667" i="4"/>
  <c r="F1666" i="4"/>
  <c r="E1666" i="4"/>
  <c r="D1666" i="4"/>
  <c r="C1666" i="4"/>
  <c r="B1666" i="4"/>
  <c r="A1666" i="4"/>
  <c r="F1665" i="4"/>
  <c r="E1665" i="4"/>
  <c r="D1665" i="4"/>
  <c r="C1665" i="4"/>
  <c r="B1665" i="4"/>
  <c r="A1665" i="4"/>
  <c r="F1664" i="4"/>
  <c r="E1664" i="4"/>
  <c r="D1664" i="4"/>
  <c r="C1664" i="4"/>
  <c r="B1664" i="4"/>
  <c r="A1664" i="4"/>
  <c r="F1663" i="4"/>
  <c r="E1663" i="4"/>
  <c r="D1663" i="4"/>
  <c r="C1663" i="4"/>
  <c r="B1663" i="4"/>
  <c r="A1663" i="4"/>
  <c r="F1662" i="4"/>
  <c r="E1662" i="4"/>
  <c r="D1662" i="4"/>
  <c r="C1662" i="4"/>
  <c r="B1662" i="4"/>
  <c r="A1662" i="4"/>
  <c r="F1661" i="4"/>
  <c r="E1661" i="4"/>
  <c r="D1661" i="4"/>
  <c r="C1661" i="4"/>
  <c r="B1661" i="4"/>
  <c r="A1661" i="4"/>
  <c r="F1660" i="4"/>
  <c r="E1660" i="4"/>
  <c r="D1660" i="4"/>
  <c r="C1660" i="4"/>
  <c r="B1660" i="4"/>
  <c r="A1660" i="4"/>
  <c r="F1659" i="4"/>
  <c r="E1659" i="4"/>
  <c r="D1659" i="4"/>
  <c r="C1659" i="4"/>
  <c r="B1659" i="4"/>
  <c r="A1659" i="4"/>
  <c r="F1658" i="4"/>
  <c r="E1658" i="4"/>
  <c r="D1658" i="4"/>
  <c r="C1658" i="4"/>
  <c r="B1658" i="4"/>
  <c r="A1658" i="4"/>
  <c r="F1657" i="4"/>
  <c r="E1657" i="4"/>
  <c r="D1657" i="4"/>
  <c r="C1657" i="4"/>
  <c r="B1657" i="4"/>
  <c r="A1657" i="4"/>
  <c r="F1656" i="4"/>
  <c r="E1656" i="4"/>
  <c r="D1656" i="4"/>
  <c r="C1656" i="4"/>
  <c r="B1656" i="4"/>
  <c r="A1656" i="4"/>
  <c r="F1655" i="4"/>
  <c r="E1655" i="4"/>
  <c r="D1655" i="4"/>
  <c r="C1655" i="4"/>
  <c r="B1655" i="4"/>
  <c r="A1655" i="4"/>
  <c r="F1654" i="4"/>
  <c r="E1654" i="4"/>
  <c r="D1654" i="4"/>
  <c r="C1654" i="4"/>
  <c r="B1654" i="4"/>
  <c r="A1654" i="4"/>
  <c r="F1653" i="4"/>
  <c r="E1653" i="4"/>
  <c r="D1653" i="4"/>
  <c r="C1653" i="4"/>
  <c r="B1653" i="4"/>
  <c r="A1653" i="4"/>
  <c r="F1652" i="4"/>
  <c r="E1652" i="4"/>
  <c r="D1652" i="4"/>
  <c r="C1652" i="4"/>
  <c r="B1652" i="4"/>
  <c r="A1652" i="4"/>
  <c r="F1651" i="4"/>
  <c r="E1651" i="4"/>
  <c r="D1651" i="4"/>
  <c r="C1651" i="4"/>
  <c r="B1651" i="4"/>
  <c r="A1651" i="4"/>
  <c r="F1650" i="4"/>
  <c r="E1650" i="4"/>
  <c r="D1650" i="4"/>
  <c r="C1650" i="4"/>
  <c r="B1650" i="4"/>
  <c r="A1650" i="4"/>
  <c r="F1649" i="4"/>
  <c r="E1649" i="4"/>
  <c r="D1649" i="4"/>
  <c r="C1649" i="4"/>
  <c r="B1649" i="4"/>
  <c r="A1649" i="4"/>
  <c r="F1648" i="4"/>
  <c r="E1648" i="4"/>
  <c r="D1648" i="4"/>
  <c r="C1648" i="4"/>
  <c r="B1648" i="4"/>
  <c r="A1648" i="4"/>
  <c r="F1647" i="4"/>
  <c r="E1647" i="4"/>
  <c r="D1647" i="4"/>
  <c r="C1647" i="4"/>
  <c r="B1647" i="4"/>
  <c r="A1647" i="4"/>
  <c r="F1646" i="4"/>
  <c r="E1646" i="4"/>
  <c r="D1646" i="4"/>
  <c r="C1646" i="4"/>
  <c r="B1646" i="4"/>
  <c r="A1646" i="4"/>
  <c r="F1645" i="4"/>
  <c r="E1645" i="4"/>
  <c r="D1645" i="4"/>
  <c r="C1645" i="4"/>
  <c r="B1645" i="4"/>
  <c r="A1645" i="4"/>
  <c r="F1644" i="4"/>
  <c r="E1644" i="4"/>
  <c r="D1644" i="4"/>
  <c r="C1644" i="4"/>
  <c r="B1644" i="4"/>
  <c r="A1644" i="4"/>
  <c r="F1643" i="4"/>
  <c r="E1643" i="4"/>
  <c r="D1643" i="4"/>
  <c r="C1643" i="4"/>
  <c r="B1643" i="4"/>
  <c r="A1643" i="4"/>
  <c r="F1642" i="4"/>
  <c r="E1642" i="4"/>
  <c r="D1642" i="4"/>
  <c r="C1642" i="4"/>
  <c r="B1642" i="4"/>
  <c r="A1642" i="4"/>
  <c r="F1641" i="4"/>
  <c r="E1641" i="4"/>
  <c r="D1641" i="4"/>
  <c r="C1641" i="4"/>
  <c r="B1641" i="4"/>
  <c r="A1641" i="4"/>
  <c r="F1640" i="4"/>
  <c r="E1640" i="4"/>
  <c r="D1640" i="4"/>
  <c r="C1640" i="4"/>
  <c r="B1640" i="4"/>
  <c r="A1640" i="4"/>
  <c r="F1639" i="4"/>
  <c r="E1639" i="4"/>
  <c r="D1639" i="4"/>
  <c r="C1639" i="4"/>
  <c r="B1639" i="4"/>
  <c r="A1639" i="4"/>
  <c r="F1638" i="4"/>
  <c r="E1638" i="4"/>
  <c r="D1638" i="4"/>
  <c r="C1638" i="4"/>
  <c r="B1638" i="4"/>
  <c r="A1638" i="4"/>
  <c r="F1637" i="4"/>
  <c r="E1637" i="4"/>
  <c r="D1637" i="4"/>
  <c r="C1637" i="4"/>
  <c r="B1637" i="4"/>
  <c r="A1637" i="4"/>
  <c r="F1636" i="4"/>
  <c r="E1636" i="4"/>
  <c r="D1636" i="4"/>
  <c r="C1636" i="4"/>
  <c r="B1636" i="4"/>
  <c r="A1636" i="4"/>
  <c r="F1635" i="4"/>
  <c r="E1635" i="4"/>
  <c r="D1635" i="4"/>
  <c r="C1635" i="4"/>
  <c r="B1635" i="4"/>
  <c r="A1635" i="4"/>
  <c r="F1634" i="4"/>
  <c r="E1634" i="4"/>
  <c r="D1634" i="4"/>
  <c r="C1634" i="4"/>
  <c r="B1634" i="4"/>
  <c r="A1634" i="4"/>
  <c r="F1633" i="4"/>
  <c r="E1633" i="4"/>
  <c r="D1633" i="4"/>
  <c r="C1633" i="4"/>
  <c r="B1633" i="4"/>
  <c r="A1633" i="4"/>
  <c r="F1632" i="4"/>
  <c r="E1632" i="4"/>
  <c r="D1632" i="4"/>
  <c r="C1632" i="4"/>
  <c r="B1632" i="4"/>
  <c r="A1632" i="4"/>
  <c r="F1631" i="4"/>
  <c r="E1631" i="4"/>
  <c r="D1631" i="4"/>
  <c r="C1631" i="4"/>
  <c r="B1631" i="4"/>
  <c r="A1631" i="4"/>
  <c r="F1630" i="4"/>
  <c r="E1630" i="4"/>
  <c r="D1630" i="4"/>
  <c r="C1630" i="4"/>
  <c r="B1630" i="4"/>
  <c r="A1630" i="4"/>
  <c r="F1629" i="4"/>
  <c r="E1629" i="4"/>
  <c r="D1629" i="4"/>
  <c r="C1629" i="4"/>
  <c r="B1629" i="4"/>
  <c r="A1629" i="4"/>
  <c r="F1628" i="4"/>
  <c r="E1628" i="4"/>
  <c r="D1628" i="4"/>
  <c r="C1628" i="4"/>
  <c r="B1628" i="4"/>
  <c r="A1628" i="4"/>
  <c r="F1627" i="4"/>
  <c r="E1627" i="4"/>
  <c r="D1627" i="4"/>
  <c r="C1627" i="4"/>
  <c r="B1627" i="4"/>
  <c r="A1627" i="4"/>
  <c r="F1626" i="4"/>
  <c r="E1626" i="4"/>
  <c r="D1626" i="4"/>
  <c r="C1626" i="4"/>
  <c r="B1626" i="4"/>
  <c r="A1626" i="4"/>
  <c r="F1625" i="4"/>
  <c r="E1625" i="4"/>
  <c r="D1625" i="4"/>
  <c r="C1625" i="4"/>
  <c r="B1625" i="4"/>
  <c r="A1625" i="4"/>
  <c r="F1624" i="4"/>
  <c r="E1624" i="4"/>
  <c r="D1624" i="4"/>
  <c r="C1624" i="4"/>
  <c r="B1624" i="4"/>
  <c r="A1624" i="4"/>
  <c r="F1623" i="4"/>
  <c r="E1623" i="4"/>
  <c r="D1623" i="4"/>
  <c r="C1623" i="4"/>
  <c r="B1623" i="4"/>
  <c r="A1623" i="4"/>
  <c r="F1622" i="4"/>
  <c r="E1622" i="4"/>
  <c r="D1622" i="4"/>
  <c r="C1622" i="4"/>
  <c r="B1622" i="4"/>
  <c r="A1622" i="4"/>
  <c r="F1621" i="4"/>
  <c r="E1621" i="4"/>
  <c r="D1621" i="4"/>
  <c r="C1621" i="4"/>
  <c r="B1621" i="4"/>
  <c r="A1621" i="4"/>
  <c r="F1620" i="4"/>
  <c r="E1620" i="4"/>
  <c r="D1620" i="4"/>
  <c r="C1620" i="4"/>
  <c r="B1620" i="4"/>
  <c r="A1620" i="4"/>
  <c r="F1619" i="4"/>
  <c r="E1619" i="4"/>
  <c r="D1619" i="4"/>
  <c r="C1619" i="4"/>
  <c r="B1619" i="4"/>
  <c r="A1619" i="4"/>
  <c r="F1618" i="4"/>
  <c r="E1618" i="4"/>
  <c r="D1618" i="4"/>
  <c r="C1618" i="4"/>
  <c r="B1618" i="4"/>
  <c r="A1618" i="4"/>
  <c r="F1617" i="4"/>
  <c r="E1617" i="4"/>
  <c r="D1617" i="4"/>
  <c r="C1617" i="4"/>
  <c r="B1617" i="4"/>
  <c r="A1617" i="4"/>
  <c r="F1616" i="4"/>
  <c r="E1616" i="4"/>
  <c r="D1616" i="4"/>
  <c r="C1616" i="4"/>
  <c r="B1616" i="4"/>
  <c r="A1616" i="4"/>
  <c r="F1615" i="4"/>
  <c r="E1615" i="4"/>
  <c r="D1615" i="4"/>
  <c r="C1615" i="4"/>
  <c r="B1615" i="4"/>
  <c r="A1615" i="4"/>
  <c r="F1614" i="4"/>
  <c r="E1614" i="4"/>
  <c r="D1614" i="4"/>
  <c r="C1614" i="4"/>
  <c r="B1614" i="4"/>
  <c r="A1614" i="4"/>
  <c r="F1613" i="4"/>
  <c r="E1613" i="4"/>
  <c r="D1613" i="4"/>
  <c r="C1613" i="4"/>
  <c r="B1613" i="4"/>
  <c r="A1613" i="4"/>
  <c r="F1612" i="4"/>
  <c r="E1612" i="4"/>
  <c r="D1612" i="4"/>
  <c r="C1612" i="4"/>
  <c r="B1612" i="4"/>
  <c r="A1612" i="4"/>
  <c r="F1611" i="4"/>
  <c r="E1611" i="4"/>
  <c r="D1611" i="4"/>
  <c r="C1611" i="4"/>
  <c r="B1611" i="4"/>
  <c r="A1611" i="4"/>
  <c r="F1610" i="4"/>
  <c r="E1610" i="4"/>
  <c r="D1610" i="4"/>
  <c r="C1610" i="4"/>
  <c r="B1610" i="4"/>
  <c r="A1610" i="4"/>
  <c r="F1609" i="4"/>
  <c r="E1609" i="4"/>
  <c r="D1609" i="4"/>
  <c r="C1609" i="4"/>
  <c r="B1609" i="4"/>
  <c r="A1609" i="4"/>
  <c r="F1608" i="4"/>
  <c r="E1608" i="4"/>
  <c r="D1608" i="4"/>
  <c r="C1608" i="4"/>
  <c r="B1608" i="4"/>
  <c r="A1608" i="4"/>
  <c r="F1607" i="4"/>
  <c r="E1607" i="4"/>
  <c r="D1607" i="4"/>
  <c r="C1607" i="4"/>
  <c r="B1607" i="4"/>
  <c r="A1607" i="4"/>
  <c r="F1606" i="4"/>
  <c r="E1606" i="4"/>
  <c r="D1606" i="4"/>
  <c r="C1606" i="4"/>
  <c r="B1606" i="4"/>
  <c r="A1606" i="4"/>
  <c r="F1605" i="4"/>
  <c r="E1605" i="4"/>
  <c r="D1605" i="4"/>
  <c r="C1605" i="4"/>
  <c r="B1605" i="4"/>
  <c r="A1605" i="4"/>
  <c r="F1604" i="4"/>
  <c r="E1604" i="4"/>
  <c r="D1604" i="4"/>
  <c r="C1604" i="4"/>
  <c r="B1604" i="4"/>
  <c r="A1604" i="4"/>
  <c r="F1603" i="4"/>
  <c r="E1603" i="4"/>
  <c r="D1603" i="4"/>
  <c r="C1603" i="4"/>
  <c r="B1603" i="4"/>
  <c r="A1603" i="4"/>
  <c r="F1602" i="4"/>
  <c r="E1602" i="4"/>
  <c r="D1602" i="4"/>
  <c r="C1602" i="4"/>
  <c r="B1602" i="4"/>
  <c r="A1602" i="4"/>
  <c r="F1601" i="4"/>
  <c r="E1601" i="4"/>
  <c r="D1601" i="4"/>
  <c r="C1601" i="4"/>
  <c r="B1601" i="4"/>
  <c r="A1601" i="4"/>
  <c r="F1600" i="4"/>
  <c r="E1600" i="4"/>
  <c r="D1600" i="4"/>
  <c r="C1600" i="4"/>
  <c r="B1600" i="4"/>
  <c r="A1600" i="4"/>
  <c r="F1599" i="4"/>
  <c r="E1599" i="4"/>
  <c r="D1599" i="4"/>
  <c r="C1599" i="4"/>
  <c r="B1599" i="4"/>
  <c r="A1599" i="4"/>
  <c r="F1598" i="4"/>
  <c r="E1598" i="4"/>
  <c r="D1598" i="4"/>
  <c r="C1598" i="4"/>
  <c r="B1598" i="4"/>
  <c r="A1598" i="4"/>
  <c r="F1597" i="4"/>
  <c r="E1597" i="4"/>
  <c r="D1597" i="4"/>
  <c r="C1597" i="4"/>
  <c r="B1597" i="4"/>
  <c r="A1597" i="4"/>
  <c r="F1596" i="4"/>
  <c r="E1596" i="4"/>
  <c r="D1596" i="4"/>
  <c r="C1596" i="4"/>
  <c r="B1596" i="4"/>
  <c r="A1596" i="4"/>
  <c r="F1595" i="4"/>
  <c r="E1595" i="4"/>
  <c r="D1595" i="4"/>
  <c r="C1595" i="4"/>
  <c r="B1595" i="4"/>
  <c r="A1595" i="4"/>
  <c r="F1594" i="4"/>
  <c r="E1594" i="4"/>
  <c r="D1594" i="4"/>
  <c r="C1594" i="4"/>
  <c r="B1594" i="4"/>
  <c r="A1594" i="4"/>
  <c r="F1593" i="4"/>
  <c r="E1593" i="4"/>
  <c r="D1593" i="4"/>
  <c r="C1593" i="4"/>
  <c r="B1593" i="4"/>
  <c r="A1593" i="4"/>
  <c r="F1592" i="4"/>
  <c r="E1592" i="4"/>
  <c r="D1592" i="4"/>
  <c r="C1592" i="4"/>
  <c r="B1592" i="4"/>
  <c r="A1592" i="4"/>
  <c r="F1591" i="4"/>
  <c r="E1591" i="4"/>
  <c r="D1591" i="4"/>
  <c r="C1591" i="4"/>
  <c r="B1591" i="4"/>
  <c r="A1591" i="4"/>
  <c r="F1590" i="4"/>
  <c r="E1590" i="4"/>
  <c r="D1590" i="4"/>
  <c r="C1590" i="4"/>
  <c r="B1590" i="4"/>
  <c r="A1590" i="4"/>
  <c r="F1589" i="4"/>
  <c r="E1589" i="4"/>
  <c r="D1589" i="4"/>
  <c r="C1589" i="4"/>
  <c r="B1589" i="4"/>
  <c r="A1589" i="4"/>
  <c r="F1588" i="4"/>
  <c r="E1588" i="4"/>
  <c r="D1588" i="4"/>
  <c r="C1588" i="4"/>
  <c r="B1588" i="4"/>
  <c r="A1588" i="4"/>
  <c r="F1587" i="4"/>
  <c r="E1587" i="4"/>
  <c r="D1587" i="4"/>
  <c r="C1587" i="4"/>
  <c r="B1587" i="4"/>
  <c r="A1587" i="4"/>
  <c r="F1586" i="4"/>
  <c r="E1586" i="4"/>
  <c r="D1586" i="4"/>
  <c r="C1586" i="4"/>
  <c r="B1586" i="4"/>
  <c r="A1586" i="4"/>
  <c r="F1585" i="4"/>
  <c r="E1585" i="4"/>
  <c r="D1585" i="4"/>
  <c r="C1585" i="4"/>
  <c r="B1585" i="4"/>
  <c r="A1585" i="4"/>
  <c r="F1584" i="4"/>
  <c r="E1584" i="4"/>
  <c r="D1584" i="4"/>
  <c r="C1584" i="4"/>
  <c r="B1584" i="4"/>
  <c r="A1584" i="4"/>
  <c r="F1583" i="4"/>
  <c r="E1583" i="4"/>
  <c r="D1583" i="4"/>
  <c r="C1583" i="4"/>
  <c r="B1583" i="4"/>
  <c r="A1583" i="4"/>
  <c r="F1582" i="4"/>
  <c r="E1582" i="4"/>
  <c r="D1582" i="4"/>
  <c r="C1582" i="4"/>
  <c r="B1582" i="4"/>
  <c r="A1582" i="4"/>
  <c r="F1581" i="4"/>
  <c r="E1581" i="4"/>
  <c r="D1581" i="4"/>
  <c r="C1581" i="4"/>
  <c r="B1581" i="4"/>
  <c r="A1581" i="4"/>
  <c r="F1580" i="4"/>
  <c r="E1580" i="4"/>
  <c r="D1580" i="4"/>
  <c r="C1580" i="4"/>
  <c r="B1580" i="4"/>
  <c r="A1580" i="4"/>
  <c r="F1579" i="4"/>
  <c r="E1579" i="4"/>
  <c r="D1579" i="4"/>
  <c r="C1579" i="4"/>
  <c r="B1579" i="4"/>
  <c r="A1579" i="4"/>
  <c r="F1578" i="4"/>
  <c r="E1578" i="4"/>
  <c r="D1578" i="4"/>
  <c r="C1578" i="4"/>
  <c r="B1578" i="4"/>
  <c r="A1578" i="4"/>
  <c r="F1577" i="4"/>
  <c r="E1577" i="4"/>
  <c r="D1577" i="4"/>
  <c r="C1577" i="4"/>
  <c r="B1577" i="4"/>
  <c r="A1577" i="4"/>
  <c r="F1576" i="4"/>
  <c r="E1576" i="4"/>
  <c r="D1576" i="4"/>
  <c r="C1576" i="4"/>
  <c r="B1576" i="4"/>
  <c r="A1576" i="4"/>
  <c r="F1575" i="4"/>
  <c r="E1575" i="4"/>
  <c r="D1575" i="4"/>
  <c r="C1575" i="4"/>
  <c r="B1575" i="4"/>
  <c r="A1575" i="4"/>
  <c r="F1574" i="4"/>
  <c r="E1574" i="4"/>
  <c r="D1574" i="4"/>
  <c r="C1574" i="4"/>
  <c r="B1574" i="4"/>
  <c r="A1574" i="4"/>
  <c r="F1573" i="4"/>
  <c r="E1573" i="4"/>
  <c r="D1573" i="4"/>
  <c r="C1573" i="4"/>
  <c r="B1573" i="4"/>
  <c r="A1573" i="4"/>
  <c r="F1572" i="4"/>
  <c r="E1572" i="4"/>
  <c r="D1572" i="4"/>
  <c r="C1572" i="4"/>
  <c r="B1572" i="4"/>
  <c r="A1572" i="4"/>
  <c r="F1571" i="4"/>
  <c r="E1571" i="4"/>
  <c r="D1571" i="4"/>
  <c r="C1571" i="4"/>
  <c r="B1571" i="4"/>
  <c r="A1571" i="4"/>
  <c r="F1570" i="4"/>
  <c r="E1570" i="4"/>
  <c r="D1570" i="4"/>
  <c r="C1570" i="4"/>
  <c r="B1570" i="4"/>
  <c r="A1570" i="4"/>
  <c r="F1569" i="4"/>
  <c r="E1569" i="4"/>
  <c r="D1569" i="4"/>
  <c r="C1569" i="4"/>
  <c r="B1569" i="4"/>
  <c r="A1569" i="4"/>
  <c r="F1568" i="4"/>
  <c r="E1568" i="4"/>
  <c r="D1568" i="4"/>
  <c r="C1568" i="4"/>
  <c r="B1568" i="4"/>
  <c r="A1568" i="4"/>
  <c r="F1567" i="4"/>
  <c r="E1567" i="4"/>
  <c r="D1567" i="4"/>
  <c r="C1567" i="4"/>
  <c r="B1567" i="4"/>
  <c r="A1567" i="4"/>
  <c r="F1566" i="4"/>
  <c r="E1566" i="4"/>
  <c r="D1566" i="4"/>
  <c r="C1566" i="4"/>
  <c r="B1566" i="4"/>
  <c r="A1566" i="4"/>
  <c r="F1565" i="4"/>
  <c r="E1565" i="4"/>
  <c r="D1565" i="4"/>
  <c r="C1565" i="4"/>
  <c r="B1565" i="4"/>
  <c r="A1565" i="4"/>
  <c r="F1564" i="4"/>
  <c r="E1564" i="4"/>
  <c r="D1564" i="4"/>
  <c r="C1564" i="4"/>
  <c r="B1564" i="4"/>
  <c r="A1564" i="4"/>
  <c r="F1563" i="4"/>
  <c r="E1563" i="4"/>
  <c r="D1563" i="4"/>
  <c r="C1563" i="4"/>
  <c r="B1563" i="4"/>
  <c r="A1563" i="4"/>
  <c r="F1562" i="4"/>
  <c r="E1562" i="4"/>
  <c r="D1562" i="4"/>
  <c r="C1562" i="4"/>
  <c r="B1562" i="4"/>
  <c r="A1562" i="4"/>
  <c r="F1561" i="4"/>
  <c r="E1561" i="4"/>
  <c r="D1561" i="4"/>
  <c r="C1561" i="4"/>
  <c r="B1561" i="4"/>
  <c r="A1561" i="4"/>
  <c r="F1560" i="4"/>
  <c r="E1560" i="4"/>
  <c r="D1560" i="4"/>
  <c r="C1560" i="4"/>
  <c r="B1560" i="4"/>
  <c r="A1560" i="4"/>
  <c r="F1559" i="4"/>
  <c r="E1559" i="4"/>
  <c r="D1559" i="4"/>
  <c r="C1559" i="4"/>
  <c r="B1559" i="4"/>
  <c r="A1559" i="4"/>
  <c r="F1558" i="4"/>
  <c r="E1558" i="4"/>
  <c r="D1558" i="4"/>
  <c r="C1558" i="4"/>
  <c r="B1558" i="4"/>
  <c r="A1558" i="4"/>
  <c r="F1557" i="4"/>
  <c r="E1557" i="4"/>
  <c r="D1557" i="4"/>
  <c r="C1557" i="4"/>
  <c r="B1557" i="4"/>
  <c r="A1557" i="4"/>
  <c r="F1556" i="4"/>
  <c r="E1556" i="4"/>
  <c r="D1556" i="4"/>
  <c r="C1556" i="4"/>
  <c r="B1556" i="4"/>
  <c r="A1556" i="4"/>
  <c r="F1555" i="4"/>
  <c r="E1555" i="4"/>
  <c r="D1555" i="4"/>
  <c r="C1555" i="4"/>
  <c r="B1555" i="4"/>
  <c r="A1555" i="4"/>
  <c r="F1554" i="4"/>
  <c r="E1554" i="4"/>
  <c r="D1554" i="4"/>
  <c r="C1554" i="4"/>
  <c r="B1554" i="4"/>
  <c r="A1554" i="4"/>
  <c r="F1553" i="4"/>
  <c r="E1553" i="4"/>
  <c r="D1553" i="4"/>
  <c r="C1553" i="4"/>
  <c r="B1553" i="4"/>
  <c r="A1553" i="4"/>
  <c r="F1552" i="4"/>
  <c r="E1552" i="4"/>
  <c r="D1552" i="4"/>
  <c r="C1552" i="4"/>
  <c r="B1552" i="4"/>
  <c r="A1552" i="4"/>
  <c r="F1551" i="4"/>
  <c r="E1551" i="4"/>
  <c r="D1551" i="4"/>
  <c r="C1551" i="4"/>
  <c r="B1551" i="4"/>
  <c r="A1551" i="4"/>
  <c r="F1550" i="4"/>
  <c r="E1550" i="4"/>
  <c r="D1550" i="4"/>
  <c r="C1550" i="4"/>
  <c r="B1550" i="4"/>
  <c r="A1550" i="4"/>
  <c r="F1549" i="4"/>
  <c r="E1549" i="4"/>
  <c r="D1549" i="4"/>
  <c r="C1549" i="4"/>
  <c r="B1549" i="4"/>
  <c r="A1549" i="4"/>
  <c r="F1548" i="4"/>
  <c r="E1548" i="4"/>
  <c r="D1548" i="4"/>
  <c r="C1548" i="4"/>
  <c r="B1548" i="4"/>
  <c r="A1548" i="4"/>
  <c r="F1547" i="4"/>
  <c r="E1547" i="4"/>
  <c r="D1547" i="4"/>
  <c r="C1547" i="4"/>
  <c r="B1547" i="4"/>
  <c r="A1547" i="4"/>
  <c r="F1546" i="4"/>
  <c r="E1546" i="4"/>
  <c r="D1546" i="4"/>
  <c r="C1546" i="4"/>
  <c r="B1546" i="4"/>
  <c r="A1546" i="4"/>
  <c r="F1545" i="4"/>
  <c r="E1545" i="4"/>
  <c r="D1545" i="4"/>
  <c r="C1545" i="4"/>
  <c r="B1545" i="4"/>
  <c r="A1545" i="4"/>
  <c r="F1544" i="4"/>
  <c r="E1544" i="4"/>
  <c r="D1544" i="4"/>
  <c r="C1544" i="4"/>
  <c r="B1544" i="4"/>
  <c r="A1544" i="4"/>
  <c r="F1543" i="4"/>
  <c r="E1543" i="4"/>
  <c r="D1543" i="4"/>
  <c r="C1543" i="4"/>
  <c r="B1543" i="4"/>
  <c r="A1543" i="4"/>
  <c r="F1542" i="4"/>
  <c r="E1542" i="4"/>
  <c r="D1542" i="4"/>
  <c r="C1542" i="4"/>
  <c r="B1542" i="4"/>
  <c r="A1542" i="4"/>
  <c r="F1541" i="4"/>
  <c r="E1541" i="4"/>
  <c r="D1541" i="4"/>
  <c r="C1541" i="4"/>
  <c r="B1541" i="4"/>
  <c r="A1541" i="4"/>
  <c r="F1540" i="4"/>
  <c r="E1540" i="4"/>
  <c r="D1540" i="4"/>
  <c r="C1540" i="4"/>
  <c r="B1540" i="4"/>
  <c r="A1540" i="4"/>
  <c r="F1539" i="4"/>
  <c r="E1539" i="4"/>
  <c r="D1539" i="4"/>
  <c r="C1539" i="4"/>
  <c r="B1539" i="4"/>
  <c r="A1539" i="4"/>
  <c r="F1538" i="4"/>
  <c r="E1538" i="4"/>
  <c r="D1538" i="4"/>
  <c r="C1538" i="4"/>
  <c r="B1538" i="4"/>
  <c r="A1538" i="4"/>
  <c r="F1537" i="4"/>
  <c r="E1537" i="4"/>
  <c r="D1537" i="4"/>
  <c r="C1537" i="4"/>
  <c r="B1537" i="4"/>
  <c r="A1537" i="4"/>
  <c r="F1536" i="4"/>
  <c r="E1536" i="4"/>
  <c r="D1536" i="4"/>
  <c r="C1536" i="4"/>
  <c r="B1536" i="4"/>
  <c r="A1536" i="4"/>
  <c r="F1535" i="4"/>
  <c r="E1535" i="4"/>
  <c r="D1535" i="4"/>
  <c r="C1535" i="4"/>
  <c r="B1535" i="4"/>
  <c r="A1535" i="4"/>
  <c r="F1534" i="4"/>
  <c r="E1534" i="4"/>
  <c r="D1534" i="4"/>
  <c r="C1534" i="4"/>
  <c r="B1534" i="4"/>
  <c r="A1534" i="4"/>
  <c r="F1533" i="4"/>
  <c r="E1533" i="4"/>
  <c r="D1533" i="4"/>
  <c r="C1533" i="4"/>
  <c r="B1533" i="4"/>
  <c r="A1533" i="4"/>
  <c r="F1532" i="4"/>
  <c r="E1532" i="4"/>
  <c r="D1532" i="4"/>
  <c r="C1532" i="4"/>
  <c r="B1532" i="4"/>
  <c r="A1532" i="4"/>
  <c r="F1531" i="4"/>
  <c r="E1531" i="4"/>
  <c r="D1531" i="4"/>
  <c r="C1531" i="4"/>
  <c r="B1531" i="4"/>
  <c r="A1531" i="4"/>
  <c r="F1530" i="4"/>
  <c r="E1530" i="4"/>
  <c r="D1530" i="4"/>
  <c r="C1530" i="4"/>
  <c r="B1530" i="4"/>
  <c r="A1530" i="4"/>
  <c r="F1529" i="4"/>
  <c r="E1529" i="4"/>
  <c r="D1529" i="4"/>
  <c r="C1529" i="4"/>
  <c r="B1529" i="4"/>
  <c r="A1529" i="4"/>
  <c r="F1528" i="4"/>
  <c r="E1528" i="4"/>
  <c r="D1528" i="4"/>
  <c r="C1528" i="4"/>
  <c r="B1528" i="4"/>
  <c r="A1528" i="4"/>
  <c r="F1527" i="4"/>
  <c r="E1527" i="4"/>
  <c r="D1527" i="4"/>
  <c r="C1527" i="4"/>
  <c r="B1527" i="4"/>
  <c r="A1527" i="4"/>
  <c r="F1526" i="4"/>
  <c r="E1526" i="4"/>
  <c r="D1526" i="4"/>
  <c r="C1526" i="4"/>
  <c r="B1526" i="4"/>
  <c r="A1526" i="4"/>
  <c r="F1525" i="4"/>
  <c r="E1525" i="4"/>
  <c r="D1525" i="4"/>
  <c r="C1525" i="4"/>
  <c r="B1525" i="4"/>
  <c r="A1525" i="4"/>
  <c r="F1524" i="4"/>
  <c r="E1524" i="4"/>
  <c r="D1524" i="4"/>
  <c r="C1524" i="4"/>
  <c r="B1524" i="4"/>
  <c r="A1524" i="4"/>
  <c r="F1523" i="4"/>
  <c r="E1523" i="4"/>
  <c r="D1523" i="4"/>
  <c r="C1523" i="4"/>
  <c r="B1523" i="4"/>
  <c r="A1523" i="4"/>
  <c r="F1522" i="4"/>
  <c r="E1522" i="4"/>
  <c r="D1522" i="4"/>
  <c r="C1522" i="4"/>
  <c r="B1522" i="4"/>
  <c r="A1522" i="4"/>
  <c r="F1521" i="4"/>
  <c r="E1521" i="4"/>
  <c r="D1521" i="4"/>
  <c r="C1521" i="4"/>
  <c r="B1521" i="4"/>
  <c r="A1521" i="4"/>
  <c r="F1520" i="4"/>
  <c r="E1520" i="4"/>
  <c r="D1520" i="4"/>
  <c r="C1520" i="4"/>
  <c r="B1520" i="4"/>
  <c r="A1520" i="4"/>
  <c r="F1519" i="4"/>
  <c r="E1519" i="4"/>
  <c r="D1519" i="4"/>
  <c r="C1519" i="4"/>
  <c r="B1519" i="4"/>
  <c r="A1519" i="4"/>
  <c r="F1518" i="4"/>
  <c r="E1518" i="4"/>
  <c r="D1518" i="4"/>
  <c r="C1518" i="4"/>
  <c r="B1518" i="4"/>
  <c r="A1518" i="4"/>
  <c r="F1517" i="4"/>
  <c r="E1517" i="4"/>
  <c r="D1517" i="4"/>
  <c r="C1517" i="4"/>
  <c r="B1517" i="4"/>
  <c r="A1517" i="4"/>
  <c r="F1516" i="4"/>
  <c r="E1516" i="4"/>
  <c r="D1516" i="4"/>
  <c r="C1516" i="4"/>
  <c r="B1516" i="4"/>
  <c r="A1516" i="4"/>
  <c r="F1515" i="4"/>
  <c r="E1515" i="4"/>
  <c r="D1515" i="4"/>
  <c r="C1515" i="4"/>
  <c r="B1515" i="4"/>
  <c r="A1515" i="4"/>
  <c r="F1514" i="4"/>
  <c r="E1514" i="4"/>
  <c r="D1514" i="4"/>
  <c r="C1514" i="4"/>
  <c r="B1514" i="4"/>
  <c r="A1514" i="4"/>
  <c r="F1513" i="4"/>
  <c r="E1513" i="4"/>
  <c r="D1513" i="4"/>
  <c r="C1513" i="4"/>
  <c r="B1513" i="4"/>
  <c r="A1513" i="4"/>
  <c r="F1512" i="4"/>
  <c r="E1512" i="4"/>
  <c r="D1512" i="4"/>
  <c r="C1512" i="4"/>
  <c r="B1512" i="4"/>
  <c r="A1512" i="4"/>
  <c r="F1511" i="4"/>
  <c r="E1511" i="4"/>
  <c r="D1511" i="4"/>
  <c r="C1511" i="4"/>
  <c r="B1511" i="4"/>
  <c r="A1511" i="4"/>
  <c r="F1510" i="4"/>
  <c r="E1510" i="4"/>
  <c r="D1510" i="4"/>
  <c r="C1510" i="4"/>
  <c r="B1510" i="4"/>
  <c r="A1510" i="4"/>
  <c r="F1509" i="4"/>
  <c r="E1509" i="4"/>
  <c r="D1509" i="4"/>
  <c r="C1509" i="4"/>
  <c r="B1509" i="4"/>
  <c r="A1509" i="4"/>
  <c r="F1508" i="4"/>
  <c r="E1508" i="4"/>
  <c r="D1508" i="4"/>
  <c r="C1508" i="4"/>
  <c r="B1508" i="4"/>
  <c r="A1508" i="4"/>
  <c r="F1507" i="4"/>
  <c r="E1507" i="4"/>
  <c r="D1507" i="4"/>
  <c r="C1507" i="4"/>
  <c r="B1507" i="4"/>
  <c r="A1507" i="4"/>
  <c r="F1506" i="4"/>
  <c r="E1506" i="4"/>
  <c r="D1506" i="4"/>
  <c r="C1506" i="4"/>
  <c r="B1506" i="4"/>
  <c r="A1506" i="4"/>
  <c r="F1505" i="4"/>
  <c r="E1505" i="4"/>
  <c r="D1505" i="4"/>
  <c r="C1505" i="4"/>
  <c r="B1505" i="4"/>
  <c r="A1505" i="4"/>
  <c r="F1504" i="4"/>
  <c r="E1504" i="4"/>
  <c r="D1504" i="4"/>
  <c r="C1504" i="4"/>
  <c r="B1504" i="4"/>
  <c r="A1504" i="4"/>
  <c r="F1503" i="4"/>
  <c r="E1503" i="4"/>
  <c r="D1503" i="4"/>
  <c r="C1503" i="4"/>
  <c r="B1503" i="4"/>
  <c r="A1503" i="4"/>
  <c r="F1502" i="4"/>
  <c r="E1502" i="4"/>
  <c r="D1502" i="4"/>
  <c r="C1502" i="4"/>
  <c r="B1502" i="4"/>
  <c r="A1502" i="4"/>
  <c r="F1501" i="4"/>
  <c r="E1501" i="4"/>
  <c r="D1501" i="4"/>
  <c r="C1501" i="4"/>
  <c r="B1501" i="4"/>
  <c r="A1501" i="4"/>
  <c r="F1500" i="4"/>
  <c r="E1500" i="4"/>
  <c r="D1500" i="4"/>
  <c r="C1500" i="4"/>
  <c r="B1500" i="4"/>
  <c r="A1500" i="4"/>
  <c r="F1499" i="4"/>
  <c r="E1499" i="4"/>
  <c r="D1499" i="4"/>
  <c r="C1499" i="4"/>
  <c r="B1499" i="4"/>
  <c r="A1499" i="4"/>
  <c r="F1498" i="4"/>
  <c r="E1498" i="4"/>
  <c r="D1498" i="4"/>
  <c r="C1498" i="4"/>
  <c r="B1498" i="4"/>
  <c r="A1498" i="4"/>
  <c r="F1497" i="4"/>
  <c r="E1497" i="4"/>
  <c r="D1497" i="4"/>
  <c r="C1497" i="4"/>
  <c r="B1497" i="4"/>
  <c r="A1497" i="4"/>
  <c r="F1496" i="4"/>
  <c r="E1496" i="4"/>
  <c r="D1496" i="4"/>
  <c r="C1496" i="4"/>
  <c r="B1496" i="4"/>
  <c r="A1496" i="4"/>
  <c r="F1495" i="4"/>
  <c r="E1495" i="4"/>
  <c r="D1495" i="4"/>
  <c r="C1495" i="4"/>
  <c r="B1495" i="4"/>
  <c r="A1495" i="4"/>
  <c r="F1494" i="4"/>
  <c r="E1494" i="4"/>
  <c r="D1494" i="4"/>
  <c r="C1494" i="4"/>
  <c r="B1494" i="4"/>
  <c r="A1494" i="4"/>
  <c r="F1493" i="4"/>
  <c r="E1493" i="4"/>
  <c r="D1493" i="4"/>
  <c r="C1493" i="4"/>
  <c r="B1493" i="4"/>
  <c r="A1493" i="4"/>
  <c r="F1492" i="4"/>
  <c r="E1492" i="4"/>
  <c r="D1492" i="4"/>
  <c r="C1492" i="4"/>
  <c r="B1492" i="4"/>
  <c r="A1492" i="4"/>
  <c r="F1491" i="4"/>
  <c r="E1491" i="4"/>
  <c r="D1491" i="4"/>
  <c r="C1491" i="4"/>
  <c r="B1491" i="4"/>
  <c r="A1491" i="4"/>
  <c r="F1490" i="4"/>
  <c r="E1490" i="4"/>
  <c r="D1490" i="4"/>
  <c r="C1490" i="4"/>
  <c r="B1490" i="4"/>
  <c r="A1490" i="4"/>
  <c r="F1489" i="4"/>
  <c r="E1489" i="4"/>
  <c r="D1489" i="4"/>
  <c r="C1489" i="4"/>
  <c r="B1489" i="4"/>
  <c r="A1489" i="4"/>
  <c r="F1488" i="4"/>
  <c r="E1488" i="4"/>
  <c r="D1488" i="4"/>
  <c r="C1488" i="4"/>
  <c r="B1488" i="4"/>
  <c r="A1488" i="4"/>
  <c r="F1487" i="4"/>
  <c r="E1487" i="4"/>
  <c r="D1487" i="4"/>
  <c r="C1487" i="4"/>
  <c r="B1487" i="4"/>
  <c r="A1487" i="4"/>
  <c r="F1486" i="4"/>
  <c r="E1486" i="4"/>
  <c r="D1486" i="4"/>
  <c r="C1486" i="4"/>
  <c r="B1486" i="4"/>
  <c r="A1486" i="4"/>
  <c r="F1485" i="4"/>
  <c r="E1485" i="4"/>
  <c r="D1485" i="4"/>
  <c r="C1485" i="4"/>
  <c r="B1485" i="4"/>
  <c r="A1485" i="4"/>
  <c r="F1484" i="4"/>
  <c r="E1484" i="4"/>
  <c r="D1484" i="4"/>
  <c r="C1484" i="4"/>
  <c r="B1484" i="4"/>
  <c r="A1484" i="4"/>
  <c r="F1483" i="4"/>
  <c r="E1483" i="4"/>
  <c r="D1483" i="4"/>
  <c r="C1483" i="4"/>
  <c r="B1483" i="4"/>
  <c r="A1483" i="4"/>
  <c r="F1482" i="4"/>
  <c r="E1482" i="4"/>
  <c r="D1482" i="4"/>
  <c r="C1482" i="4"/>
  <c r="B1482" i="4"/>
  <c r="A1482" i="4"/>
  <c r="F1481" i="4"/>
  <c r="E1481" i="4"/>
  <c r="D1481" i="4"/>
  <c r="C1481" i="4"/>
  <c r="B1481" i="4"/>
  <c r="A1481" i="4"/>
  <c r="F1480" i="4"/>
  <c r="E1480" i="4"/>
  <c r="D1480" i="4"/>
  <c r="C1480" i="4"/>
  <c r="B1480" i="4"/>
  <c r="A1480" i="4"/>
  <c r="F1479" i="4"/>
  <c r="E1479" i="4"/>
  <c r="D1479" i="4"/>
  <c r="C1479" i="4"/>
  <c r="B1479" i="4"/>
  <c r="A1479" i="4"/>
  <c r="F1478" i="4"/>
  <c r="E1478" i="4"/>
  <c r="D1478" i="4"/>
  <c r="C1478" i="4"/>
  <c r="B1478" i="4"/>
  <c r="A1478" i="4"/>
  <c r="F1477" i="4"/>
  <c r="E1477" i="4"/>
  <c r="D1477" i="4"/>
  <c r="C1477" i="4"/>
  <c r="B1477" i="4"/>
  <c r="A1477" i="4"/>
  <c r="F1476" i="4"/>
  <c r="E1476" i="4"/>
  <c r="D1476" i="4"/>
  <c r="C1476" i="4"/>
  <c r="B1476" i="4"/>
  <c r="A1476" i="4"/>
  <c r="F1475" i="4"/>
  <c r="E1475" i="4"/>
  <c r="D1475" i="4"/>
  <c r="C1475" i="4"/>
  <c r="B1475" i="4"/>
  <c r="A1475" i="4"/>
  <c r="F1474" i="4"/>
  <c r="E1474" i="4"/>
  <c r="D1474" i="4"/>
  <c r="C1474" i="4"/>
  <c r="B1474" i="4"/>
  <c r="A1474" i="4"/>
  <c r="F1473" i="4"/>
  <c r="E1473" i="4"/>
  <c r="D1473" i="4"/>
  <c r="C1473" i="4"/>
  <c r="B1473" i="4"/>
  <c r="A1473" i="4"/>
  <c r="F1472" i="4"/>
  <c r="E1472" i="4"/>
  <c r="D1472" i="4"/>
  <c r="C1472" i="4"/>
  <c r="B1472" i="4"/>
  <c r="A1472" i="4"/>
  <c r="F1471" i="4"/>
  <c r="E1471" i="4"/>
  <c r="D1471" i="4"/>
  <c r="C1471" i="4"/>
  <c r="B1471" i="4"/>
  <c r="A1471" i="4"/>
  <c r="F1470" i="4"/>
  <c r="E1470" i="4"/>
  <c r="D1470" i="4"/>
  <c r="C1470" i="4"/>
  <c r="B1470" i="4"/>
  <c r="A1470" i="4"/>
  <c r="F1469" i="4"/>
  <c r="E1469" i="4"/>
  <c r="D1469" i="4"/>
  <c r="C1469" i="4"/>
  <c r="B1469" i="4"/>
  <c r="A1469" i="4"/>
  <c r="F1468" i="4"/>
  <c r="E1468" i="4"/>
  <c r="D1468" i="4"/>
  <c r="C1468" i="4"/>
  <c r="B1468" i="4"/>
  <c r="A1468" i="4"/>
  <c r="F1467" i="4"/>
  <c r="E1467" i="4"/>
  <c r="D1467" i="4"/>
  <c r="C1467" i="4"/>
  <c r="B1467" i="4"/>
  <c r="A1467" i="4"/>
  <c r="F1466" i="4"/>
  <c r="E1466" i="4"/>
  <c r="D1466" i="4"/>
  <c r="C1466" i="4"/>
  <c r="B1466" i="4"/>
  <c r="A1466" i="4"/>
  <c r="F1465" i="4"/>
  <c r="E1465" i="4"/>
  <c r="D1465" i="4"/>
  <c r="C1465" i="4"/>
  <c r="B1465" i="4"/>
  <c r="A1465" i="4"/>
  <c r="F1464" i="4"/>
  <c r="E1464" i="4"/>
  <c r="D1464" i="4"/>
  <c r="C1464" i="4"/>
  <c r="B1464" i="4"/>
  <c r="A1464" i="4"/>
  <c r="F1463" i="4"/>
  <c r="E1463" i="4"/>
  <c r="D1463" i="4"/>
  <c r="C1463" i="4"/>
  <c r="B1463" i="4"/>
  <c r="A1463" i="4"/>
  <c r="F1462" i="4"/>
  <c r="E1462" i="4"/>
  <c r="D1462" i="4"/>
  <c r="C1462" i="4"/>
  <c r="B1462" i="4"/>
  <c r="A1462" i="4"/>
  <c r="F1461" i="4"/>
  <c r="E1461" i="4"/>
  <c r="D1461" i="4"/>
  <c r="C1461" i="4"/>
  <c r="B1461" i="4"/>
  <c r="A1461" i="4"/>
  <c r="F1460" i="4"/>
  <c r="E1460" i="4"/>
  <c r="D1460" i="4"/>
  <c r="C1460" i="4"/>
  <c r="B1460" i="4"/>
  <c r="A1460" i="4"/>
  <c r="F1459" i="4"/>
  <c r="E1459" i="4"/>
  <c r="D1459" i="4"/>
  <c r="C1459" i="4"/>
  <c r="B1459" i="4"/>
  <c r="A1459" i="4"/>
  <c r="F1458" i="4"/>
  <c r="E1458" i="4"/>
  <c r="D1458" i="4"/>
  <c r="C1458" i="4"/>
  <c r="B1458" i="4"/>
  <c r="A1458" i="4"/>
  <c r="F1457" i="4"/>
  <c r="E1457" i="4"/>
  <c r="D1457" i="4"/>
  <c r="C1457" i="4"/>
  <c r="B1457" i="4"/>
  <c r="A1457" i="4"/>
  <c r="F1456" i="4"/>
  <c r="E1456" i="4"/>
  <c r="D1456" i="4"/>
  <c r="C1456" i="4"/>
  <c r="B1456" i="4"/>
  <c r="A1456" i="4"/>
  <c r="F1455" i="4"/>
  <c r="E1455" i="4"/>
  <c r="D1455" i="4"/>
  <c r="C1455" i="4"/>
  <c r="B1455" i="4"/>
  <c r="A1455" i="4"/>
  <c r="F1454" i="4"/>
  <c r="E1454" i="4"/>
  <c r="D1454" i="4"/>
  <c r="C1454" i="4"/>
  <c r="B1454" i="4"/>
  <c r="A1454" i="4"/>
  <c r="F1453" i="4"/>
  <c r="E1453" i="4"/>
  <c r="D1453" i="4"/>
  <c r="C1453" i="4"/>
  <c r="B1453" i="4"/>
  <c r="A1453" i="4"/>
  <c r="F1452" i="4"/>
  <c r="E1452" i="4"/>
  <c r="D1452" i="4"/>
  <c r="C1452" i="4"/>
  <c r="B1452" i="4"/>
  <c r="A1452" i="4"/>
  <c r="F1451" i="4"/>
  <c r="E1451" i="4"/>
  <c r="D1451" i="4"/>
  <c r="C1451" i="4"/>
  <c r="B1451" i="4"/>
  <c r="A1451" i="4"/>
  <c r="F1450" i="4"/>
  <c r="E1450" i="4"/>
  <c r="D1450" i="4"/>
  <c r="C1450" i="4"/>
  <c r="B1450" i="4"/>
  <c r="A1450" i="4"/>
  <c r="F1449" i="4"/>
  <c r="E1449" i="4"/>
  <c r="D1449" i="4"/>
  <c r="C1449" i="4"/>
  <c r="B1449" i="4"/>
  <c r="A1449" i="4"/>
  <c r="F1448" i="4"/>
  <c r="E1448" i="4"/>
  <c r="D1448" i="4"/>
  <c r="C1448" i="4"/>
  <c r="B1448" i="4"/>
  <c r="A1448" i="4"/>
  <c r="F1447" i="4"/>
  <c r="E1447" i="4"/>
  <c r="D1447" i="4"/>
  <c r="C1447" i="4"/>
  <c r="B1447" i="4"/>
  <c r="A1447" i="4"/>
  <c r="F1446" i="4"/>
  <c r="E1446" i="4"/>
  <c r="D1446" i="4"/>
  <c r="C1446" i="4"/>
  <c r="B1446" i="4"/>
  <c r="A1446" i="4"/>
  <c r="F1445" i="4"/>
  <c r="E1445" i="4"/>
  <c r="D1445" i="4"/>
  <c r="C1445" i="4"/>
  <c r="B1445" i="4"/>
  <c r="A1445" i="4"/>
  <c r="F1444" i="4"/>
  <c r="E1444" i="4"/>
  <c r="D1444" i="4"/>
  <c r="C1444" i="4"/>
  <c r="B1444" i="4"/>
  <c r="A1444" i="4"/>
  <c r="F1443" i="4"/>
  <c r="E1443" i="4"/>
  <c r="D1443" i="4"/>
  <c r="C1443" i="4"/>
  <c r="B1443" i="4"/>
  <c r="A1443" i="4"/>
  <c r="F1442" i="4"/>
  <c r="E1442" i="4"/>
  <c r="D1442" i="4"/>
  <c r="C1442" i="4"/>
  <c r="B1442" i="4"/>
  <c r="A1442" i="4"/>
  <c r="F1441" i="4"/>
  <c r="E1441" i="4"/>
  <c r="D1441" i="4"/>
  <c r="C1441" i="4"/>
  <c r="B1441" i="4"/>
  <c r="A1441" i="4"/>
  <c r="F1440" i="4"/>
  <c r="E1440" i="4"/>
  <c r="D1440" i="4"/>
  <c r="C1440" i="4"/>
  <c r="B1440" i="4"/>
  <c r="A1440" i="4"/>
  <c r="F1439" i="4"/>
  <c r="E1439" i="4"/>
  <c r="D1439" i="4"/>
  <c r="C1439" i="4"/>
  <c r="B1439" i="4"/>
  <c r="A1439" i="4"/>
  <c r="F1438" i="4"/>
  <c r="E1438" i="4"/>
  <c r="D1438" i="4"/>
  <c r="C1438" i="4"/>
  <c r="B1438" i="4"/>
  <c r="A1438" i="4"/>
  <c r="F1437" i="4"/>
  <c r="E1437" i="4"/>
  <c r="D1437" i="4"/>
  <c r="C1437" i="4"/>
  <c r="B1437" i="4"/>
  <c r="A1437" i="4"/>
  <c r="F1436" i="4"/>
  <c r="E1436" i="4"/>
  <c r="D1436" i="4"/>
  <c r="C1436" i="4"/>
  <c r="B1436" i="4"/>
  <c r="A1436" i="4"/>
  <c r="F1435" i="4"/>
  <c r="E1435" i="4"/>
  <c r="D1435" i="4"/>
  <c r="C1435" i="4"/>
  <c r="B1435" i="4"/>
  <c r="A1435" i="4"/>
  <c r="F1434" i="4"/>
  <c r="E1434" i="4"/>
  <c r="D1434" i="4"/>
  <c r="C1434" i="4"/>
  <c r="B1434" i="4"/>
  <c r="A1434" i="4"/>
  <c r="F1433" i="4"/>
  <c r="E1433" i="4"/>
  <c r="D1433" i="4"/>
  <c r="C1433" i="4"/>
  <c r="B1433" i="4"/>
  <c r="A1433" i="4"/>
  <c r="F1432" i="4"/>
  <c r="E1432" i="4"/>
  <c r="D1432" i="4"/>
  <c r="C1432" i="4"/>
  <c r="B1432" i="4"/>
  <c r="A1432" i="4"/>
  <c r="F1431" i="4"/>
  <c r="E1431" i="4"/>
  <c r="D1431" i="4"/>
  <c r="C1431" i="4"/>
  <c r="B1431" i="4"/>
  <c r="A1431" i="4"/>
  <c r="F1430" i="4"/>
  <c r="E1430" i="4"/>
  <c r="D1430" i="4"/>
  <c r="C1430" i="4"/>
  <c r="B1430" i="4"/>
  <c r="A1430" i="4"/>
  <c r="F1429" i="4"/>
  <c r="E1429" i="4"/>
  <c r="D1429" i="4"/>
  <c r="C1429" i="4"/>
  <c r="B1429" i="4"/>
  <c r="A1429" i="4"/>
  <c r="F1428" i="4"/>
  <c r="E1428" i="4"/>
  <c r="D1428" i="4"/>
  <c r="C1428" i="4"/>
  <c r="B1428" i="4"/>
  <c r="A1428" i="4"/>
  <c r="F1427" i="4"/>
  <c r="E1427" i="4"/>
  <c r="D1427" i="4"/>
  <c r="C1427" i="4"/>
  <c r="B1427" i="4"/>
  <c r="A1427" i="4"/>
  <c r="F1426" i="4"/>
  <c r="E1426" i="4"/>
  <c r="D1426" i="4"/>
  <c r="C1426" i="4"/>
  <c r="B1426" i="4"/>
  <c r="A1426" i="4"/>
  <c r="F1425" i="4"/>
  <c r="E1425" i="4"/>
  <c r="D1425" i="4"/>
  <c r="C1425" i="4"/>
  <c r="B1425" i="4"/>
  <c r="A1425" i="4"/>
  <c r="F1424" i="4"/>
  <c r="E1424" i="4"/>
  <c r="D1424" i="4"/>
  <c r="C1424" i="4"/>
  <c r="B1424" i="4"/>
  <c r="A1424" i="4"/>
  <c r="F1423" i="4"/>
  <c r="E1423" i="4"/>
  <c r="D1423" i="4"/>
  <c r="C1423" i="4"/>
  <c r="B1423" i="4"/>
  <c r="A1423" i="4"/>
  <c r="F1422" i="4"/>
  <c r="E1422" i="4"/>
  <c r="D1422" i="4"/>
  <c r="C1422" i="4"/>
  <c r="B1422" i="4"/>
  <c r="A1422" i="4"/>
  <c r="F1421" i="4"/>
  <c r="E1421" i="4"/>
  <c r="D1421" i="4"/>
  <c r="C1421" i="4"/>
  <c r="B1421" i="4"/>
  <c r="A1421" i="4"/>
  <c r="F1420" i="4"/>
  <c r="E1420" i="4"/>
  <c r="D1420" i="4"/>
  <c r="C1420" i="4"/>
  <c r="B1420" i="4"/>
  <c r="A1420" i="4"/>
  <c r="F1419" i="4"/>
  <c r="E1419" i="4"/>
  <c r="D1419" i="4"/>
  <c r="C1419" i="4"/>
  <c r="B1419" i="4"/>
  <c r="A1419" i="4"/>
  <c r="F1418" i="4"/>
  <c r="E1418" i="4"/>
  <c r="D1418" i="4"/>
  <c r="C1418" i="4"/>
  <c r="B1418" i="4"/>
  <c r="A1418" i="4"/>
  <c r="F1417" i="4"/>
  <c r="E1417" i="4"/>
  <c r="D1417" i="4"/>
  <c r="C1417" i="4"/>
  <c r="B1417" i="4"/>
  <c r="A1417" i="4"/>
  <c r="F1416" i="4"/>
  <c r="E1416" i="4"/>
  <c r="D1416" i="4"/>
  <c r="C1416" i="4"/>
  <c r="B1416" i="4"/>
  <c r="A1416" i="4"/>
  <c r="F1415" i="4"/>
  <c r="E1415" i="4"/>
  <c r="D1415" i="4"/>
  <c r="C1415" i="4"/>
  <c r="B1415" i="4"/>
  <c r="A1415" i="4"/>
  <c r="F1414" i="4"/>
  <c r="E1414" i="4"/>
  <c r="D1414" i="4"/>
  <c r="C1414" i="4"/>
  <c r="B1414" i="4"/>
  <c r="A1414" i="4"/>
  <c r="F1413" i="4"/>
  <c r="E1413" i="4"/>
  <c r="D1413" i="4"/>
  <c r="C1413" i="4"/>
  <c r="B1413" i="4"/>
  <c r="A1413" i="4"/>
  <c r="F1412" i="4"/>
  <c r="E1412" i="4"/>
  <c r="D1412" i="4"/>
  <c r="C1412" i="4"/>
  <c r="B1412" i="4"/>
  <c r="A1412" i="4"/>
  <c r="F1411" i="4"/>
  <c r="E1411" i="4"/>
  <c r="D1411" i="4"/>
  <c r="C1411" i="4"/>
  <c r="B1411" i="4"/>
  <c r="A1411" i="4"/>
  <c r="F1410" i="4"/>
  <c r="E1410" i="4"/>
  <c r="D1410" i="4"/>
  <c r="C1410" i="4"/>
  <c r="B1410" i="4"/>
  <c r="A1410" i="4"/>
  <c r="F1409" i="4"/>
  <c r="E1409" i="4"/>
  <c r="D1409" i="4"/>
  <c r="C1409" i="4"/>
  <c r="B1409" i="4"/>
  <c r="A1409" i="4"/>
  <c r="F1408" i="4"/>
  <c r="E1408" i="4"/>
  <c r="D1408" i="4"/>
  <c r="C1408" i="4"/>
  <c r="B1408" i="4"/>
  <c r="A1408" i="4"/>
  <c r="F1407" i="4"/>
  <c r="E1407" i="4"/>
  <c r="D1407" i="4"/>
  <c r="C1407" i="4"/>
  <c r="B1407" i="4"/>
  <c r="A1407" i="4"/>
  <c r="F1406" i="4"/>
  <c r="E1406" i="4"/>
  <c r="D1406" i="4"/>
  <c r="C1406" i="4"/>
  <c r="B1406" i="4"/>
  <c r="A1406" i="4"/>
  <c r="F1405" i="4"/>
  <c r="E1405" i="4"/>
  <c r="D1405" i="4"/>
  <c r="C1405" i="4"/>
  <c r="B1405" i="4"/>
  <c r="A1405" i="4"/>
  <c r="F1404" i="4"/>
  <c r="E1404" i="4"/>
  <c r="D1404" i="4"/>
  <c r="C1404" i="4"/>
  <c r="B1404" i="4"/>
  <c r="A1404" i="4"/>
  <c r="F1403" i="4"/>
  <c r="E1403" i="4"/>
  <c r="D1403" i="4"/>
  <c r="C1403" i="4"/>
  <c r="B1403" i="4"/>
  <c r="A1403" i="4"/>
  <c r="F1402" i="4"/>
  <c r="E1402" i="4"/>
  <c r="D1402" i="4"/>
  <c r="C1402" i="4"/>
  <c r="B1402" i="4"/>
  <c r="A1402" i="4"/>
  <c r="F1401" i="4"/>
  <c r="E1401" i="4"/>
  <c r="D1401" i="4"/>
  <c r="C1401" i="4"/>
  <c r="B1401" i="4"/>
  <c r="A1401" i="4"/>
  <c r="F1400" i="4"/>
  <c r="E1400" i="4"/>
  <c r="D1400" i="4"/>
  <c r="C1400" i="4"/>
  <c r="B1400" i="4"/>
  <c r="A1400" i="4"/>
  <c r="F1399" i="4"/>
  <c r="E1399" i="4"/>
  <c r="D1399" i="4"/>
  <c r="C1399" i="4"/>
  <c r="B1399" i="4"/>
  <c r="A1399" i="4"/>
  <c r="F1398" i="4"/>
  <c r="E1398" i="4"/>
  <c r="D1398" i="4"/>
  <c r="C1398" i="4"/>
  <c r="B1398" i="4"/>
  <c r="A1398" i="4"/>
  <c r="F1397" i="4"/>
  <c r="E1397" i="4"/>
  <c r="D1397" i="4"/>
  <c r="C1397" i="4"/>
  <c r="B1397" i="4"/>
  <c r="A1397" i="4"/>
  <c r="F1396" i="4"/>
  <c r="E1396" i="4"/>
  <c r="D1396" i="4"/>
  <c r="C1396" i="4"/>
  <c r="B1396" i="4"/>
  <c r="A1396" i="4"/>
  <c r="F1395" i="4"/>
  <c r="E1395" i="4"/>
  <c r="D1395" i="4"/>
  <c r="C1395" i="4"/>
  <c r="B1395" i="4"/>
  <c r="A1395" i="4"/>
  <c r="F1394" i="4"/>
  <c r="E1394" i="4"/>
  <c r="D1394" i="4"/>
  <c r="C1394" i="4"/>
  <c r="B1394" i="4"/>
  <c r="A1394" i="4"/>
  <c r="F1393" i="4"/>
  <c r="E1393" i="4"/>
  <c r="D1393" i="4"/>
  <c r="C1393" i="4"/>
  <c r="B1393" i="4"/>
  <c r="A1393" i="4"/>
  <c r="F1392" i="4"/>
  <c r="E1392" i="4"/>
  <c r="D1392" i="4"/>
  <c r="C1392" i="4"/>
  <c r="B1392" i="4"/>
  <c r="A1392" i="4"/>
  <c r="F1391" i="4"/>
  <c r="E1391" i="4"/>
  <c r="D1391" i="4"/>
  <c r="C1391" i="4"/>
  <c r="B1391" i="4"/>
  <c r="A1391" i="4"/>
  <c r="F1390" i="4"/>
  <c r="E1390" i="4"/>
  <c r="D1390" i="4"/>
  <c r="C1390" i="4"/>
  <c r="B1390" i="4"/>
  <c r="A1390" i="4"/>
  <c r="F1389" i="4"/>
  <c r="E1389" i="4"/>
  <c r="D1389" i="4"/>
  <c r="C1389" i="4"/>
  <c r="B1389" i="4"/>
  <c r="A1389" i="4"/>
  <c r="F1388" i="4"/>
  <c r="E1388" i="4"/>
  <c r="D1388" i="4"/>
  <c r="C1388" i="4"/>
  <c r="B1388" i="4"/>
  <c r="A1388" i="4"/>
  <c r="F1387" i="4"/>
  <c r="E1387" i="4"/>
  <c r="D1387" i="4"/>
  <c r="C1387" i="4"/>
  <c r="B1387" i="4"/>
  <c r="A1387" i="4"/>
  <c r="F1386" i="4"/>
  <c r="E1386" i="4"/>
  <c r="D1386" i="4"/>
  <c r="C1386" i="4"/>
  <c r="B1386" i="4"/>
  <c r="A1386" i="4"/>
  <c r="F1385" i="4"/>
  <c r="E1385" i="4"/>
  <c r="D1385" i="4"/>
  <c r="C1385" i="4"/>
  <c r="B1385" i="4"/>
  <c r="A1385" i="4"/>
  <c r="F1384" i="4"/>
  <c r="E1384" i="4"/>
  <c r="D1384" i="4"/>
  <c r="C1384" i="4"/>
  <c r="B1384" i="4"/>
  <c r="A1384" i="4"/>
  <c r="F1383" i="4"/>
  <c r="E1383" i="4"/>
  <c r="D1383" i="4"/>
  <c r="C1383" i="4"/>
  <c r="B1383" i="4"/>
  <c r="A1383" i="4"/>
  <c r="F1382" i="4"/>
  <c r="E1382" i="4"/>
  <c r="D1382" i="4"/>
  <c r="C1382" i="4"/>
  <c r="B1382" i="4"/>
  <c r="A1382" i="4"/>
  <c r="F1381" i="4"/>
  <c r="E1381" i="4"/>
  <c r="D1381" i="4"/>
  <c r="C1381" i="4"/>
  <c r="B1381" i="4"/>
  <c r="A1381" i="4"/>
  <c r="F1380" i="4"/>
  <c r="E1380" i="4"/>
  <c r="D1380" i="4"/>
  <c r="C1380" i="4"/>
  <c r="B1380" i="4"/>
  <c r="A1380" i="4"/>
  <c r="F1379" i="4"/>
  <c r="E1379" i="4"/>
  <c r="D1379" i="4"/>
  <c r="C1379" i="4"/>
  <c r="B1379" i="4"/>
  <c r="A1379" i="4"/>
  <c r="F1378" i="4"/>
  <c r="E1378" i="4"/>
  <c r="D1378" i="4"/>
  <c r="C1378" i="4"/>
  <c r="B1378" i="4"/>
  <c r="A1378" i="4"/>
  <c r="F1377" i="4"/>
  <c r="E1377" i="4"/>
  <c r="D1377" i="4"/>
  <c r="C1377" i="4"/>
  <c r="B1377" i="4"/>
  <c r="A1377" i="4"/>
  <c r="F1376" i="4"/>
  <c r="E1376" i="4"/>
  <c r="D1376" i="4"/>
  <c r="C1376" i="4"/>
  <c r="B1376" i="4"/>
  <c r="A1376" i="4"/>
  <c r="F1375" i="4"/>
  <c r="E1375" i="4"/>
  <c r="D1375" i="4"/>
  <c r="C1375" i="4"/>
  <c r="B1375" i="4"/>
  <c r="A1375" i="4"/>
  <c r="F1374" i="4"/>
  <c r="E1374" i="4"/>
  <c r="D1374" i="4"/>
  <c r="C1374" i="4"/>
  <c r="B1374" i="4"/>
  <c r="A1374" i="4"/>
  <c r="F1373" i="4"/>
  <c r="E1373" i="4"/>
  <c r="D1373" i="4"/>
  <c r="C1373" i="4"/>
  <c r="B1373" i="4"/>
  <c r="A1373" i="4"/>
  <c r="F1372" i="4"/>
  <c r="E1372" i="4"/>
  <c r="D1372" i="4"/>
  <c r="C1372" i="4"/>
  <c r="B1372" i="4"/>
  <c r="A1372" i="4"/>
  <c r="F1371" i="4"/>
  <c r="E1371" i="4"/>
  <c r="D1371" i="4"/>
  <c r="C1371" i="4"/>
  <c r="B1371" i="4"/>
  <c r="A1371" i="4"/>
  <c r="F1370" i="4"/>
  <c r="E1370" i="4"/>
  <c r="D1370" i="4"/>
  <c r="C1370" i="4"/>
  <c r="B1370" i="4"/>
  <c r="A1370" i="4"/>
  <c r="F1369" i="4"/>
  <c r="E1369" i="4"/>
  <c r="D1369" i="4"/>
  <c r="C1369" i="4"/>
  <c r="B1369" i="4"/>
  <c r="A1369" i="4"/>
  <c r="F1368" i="4"/>
  <c r="E1368" i="4"/>
  <c r="D1368" i="4"/>
  <c r="C1368" i="4"/>
  <c r="B1368" i="4"/>
  <c r="A1368" i="4"/>
  <c r="F1367" i="4"/>
  <c r="E1367" i="4"/>
  <c r="D1367" i="4"/>
  <c r="C1367" i="4"/>
  <c r="B1367" i="4"/>
  <c r="A1367" i="4"/>
  <c r="F1366" i="4"/>
  <c r="E1366" i="4"/>
  <c r="D1366" i="4"/>
  <c r="C1366" i="4"/>
  <c r="B1366" i="4"/>
  <c r="A1366" i="4"/>
  <c r="F1365" i="4"/>
  <c r="E1365" i="4"/>
  <c r="D1365" i="4"/>
  <c r="C1365" i="4"/>
  <c r="B1365" i="4"/>
  <c r="A1365" i="4"/>
  <c r="F1364" i="4"/>
  <c r="E1364" i="4"/>
  <c r="D1364" i="4"/>
  <c r="C1364" i="4"/>
  <c r="B1364" i="4"/>
  <c r="A1364" i="4"/>
  <c r="F1363" i="4"/>
  <c r="E1363" i="4"/>
  <c r="D1363" i="4"/>
  <c r="C1363" i="4"/>
  <c r="B1363" i="4"/>
  <c r="A1363" i="4"/>
  <c r="F1362" i="4"/>
  <c r="E1362" i="4"/>
  <c r="D1362" i="4"/>
  <c r="C1362" i="4"/>
  <c r="B1362" i="4"/>
  <c r="A1362" i="4"/>
  <c r="F1361" i="4"/>
  <c r="E1361" i="4"/>
  <c r="D1361" i="4"/>
  <c r="C1361" i="4"/>
  <c r="B1361" i="4"/>
  <c r="A1361" i="4"/>
  <c r="F1360" i="4"/>
  <c r="E1360" i="4"/>
  <c r="D1360" i="4"/>
  <c r="C1360" i="4"/>
  <c r="B1360" i="4"/>
  <c r="A1360" i="4"/>
  <c r="F1359" i="4"/>
  <c r="E1359" i="4"/>
  <c r="D1359" i="4"/>
  <c r="C1359" i="4"/>
  <c r="B1359" i="4"/>
  <c r="A1359" i="4"/>
  <c r="F1358" i="4"/>
  <c r="E1358" i="4"/>
  <c r="D1358" i="4"/>
  <c r="C1358" i="4"/>
  <c r="B1358" i="4"/>
  <c r="A1358" i="4"/>
  <c r="F1357" i="4"/>
  <c r="E1357" i="4"/>
  <c r="D1357" i="4"/>
  <c r="C1357" i="4"/>
  <c r="B1357" i="4"/>
  <c r="A1357" i="4"/>
  <c r="F1356" i="4"/>
  <c r="E1356" i="4"/>
  <c r="D1356" i="4"/>
  <c r="C1356" i="4"/>
  <c r="B1356" i="4"/>
  <c r="A1356" i="4"/>
  <c r="F1355" i="4"/>
  <c r="E1355" i="4"/>
  <c r="D1355" i="4"/>
  <c r="C1355" i="4"/>
  <c r="B1355" i="4"/>
  <c r="A1355" i="4"/>
  <c r="F1354" i="4"/>
  <c r="E1354" i="4"/>
  <c r="D1354" i="4"/>
  <c r="C1354" i="4"/>
  <c r="B1354" i="4"/>
  <c r="A1354" i="4"/>
  <c r="F1353" i="4"/>
  <c r="E1353" i="4"/>
  <c r="D1353" i="4"/>
  <c r="C1353" i="4"/>
  <c r="B1353" i="4"/>
  <c r="A1353" i="4"/>
  <c r="F1352" i="4"/>
  <c r="E1352" i="4"/>
  <c r="D1352" i="4"/>
  <c r="C1352" i="4"/>
  <c r="B1352" i="4"/>
  <c r="A1352" i="4"/>
  <c r="F1351" i="4"/>
  <c r="E1351" i="4"/>
  <c r="D1351" i="4"/>
  <c r="C1351" i="4"/>
  <c r="B1351" i="4"/>
  <c r="A1351" i="4"/>
  <c r="F1350" i="4"/>
  <c r="E1350" i="4"/>
  <c r="D1350" i="4"/>
  <c r="C1350" i="4"/>
  <c r="B1350" i="4"/>
  <c r="A1350" i="4"/>
  <c r="F1349" i="4"/>
  <c r="E1349" i="4"/>
  <c r="D1349" i="4"/>
  <c r="C1349" i="4"/>
  <c r="B1349" i="4"/>
  <c r="A1349" i="4"/>
  <c r="F1348" i="4"/>
  <c r="E1348" i="4"/>
  <c r="D1348" i="4"/>
  <c r="C1348" i="4"/>
  <c r="B1348" i="4"/>
  <c r="A1348" i="4"/>
  <c r="F1347" i="4"/>
  <c r="E1347" i="4"/>
  <c r="D1347" i="4"/>
  <c r="C1347" i="4"/>
  <c r="B1347" i="4"/>
  <c r="A1347" i="4"/>
  <c r="F1346" i="4"/>
  <c r="E1346" i="4"/>
  <c r="D1346" i="4"/>
  <c r="C1346" i="4"/>
  <c r="B1346" i="4"/>
  <c r="A1346" i="4"/>
  <c r="F1345" i="4"/>
  <c r="E1345" i="4"/>
  <c r="D1345" i="4"/>
  <c r="C1345" i="4"/>
  <c r="B1345" i="4"/>
  <c r="A1345" i="4"/>
  <c r="F1344" i="4"/>
  <c r="E1344" i="4"/>
  <c r="D1344" i="4"/>
  <c r="C1344" i="4"/>
  <c r="B1344" i="4"/>
  <c r="A1344" i="4"/>
  <c r="F1343" i="4"/>
  <c r="E1343" i="4"/>
  <c r="D1343" i="4"/>
  <c r="C1343" i="4"/>
  <c r="B1343" i="4"/>
  <c r="A1343" i="4"/>
  <c r="F1342" i="4"/>
  <c r="E1342" i="4"/>
  <c r="D1342" i="4"/>
  <c r="C1342" i="4"/>
  <c r="B1342" i="4"/>
  <c r="A1342" i="4"/>
  <c r="F1341" i="4"/>
  <c r="E1341" i="4"/>
  <c r="D1341" i="4"/>
  <c r="C1341" i="4"/>
  <c r="B1341" i="4"/>
  <c r="A1341" i="4"/>
  <c r="F1340" i="4"/>
  <c r="E1340" i="4"/>
  <c r="D1340" i="4"/>
  <c r="C1340" i="4"/>
  <c r="B1340" i="4"/>
  <c r="A1340" i="4"/>
  <c r="F1339" i="4"/>
  <c r="E1339" i="4"/>
  <c r="D1339" i="4"/>
  <c r="C1339" i="4"/>
  <c r="B1339" i="4"/>
  <c r="A1339" i="4"/>
  <c r="F1338" i="4"/>
  <c r="E1338" i="4"/>
  <c r="D1338" i="4"/>
  <c r="C1338" i="4"/>
  <c r="B1338" i="4"/>
  <c r="A1338" i="4"/>
  <c r="F1337" i="4"/>
  <c r="E1337" i="4"/>
  <c r="D1337" i="4"/>
  <c r="C1337" i="4"/>
  <c r="B1337" i="4"/>
  <c r="A1337" i="4"/>
  <c r="F1336" i="4"/>
  <c r="E1336" i="4"/>
  <c r="D1336" i="4"/>
  <c r="C1336" i="4"/>
  <c r="B1336" i="4"/>
  <c r="A1336" i="4"/>
  <c r="F1335" i="4"/>
  <c r="E1335" i="4"/>
  <c r="D1335" i="4"/>
  <c r="C1335" i="4"/>
  <c r="B1335" i="4"/>
  <c r="A1335" i="4"/>
  <c r="F1334" i="4"/>
  <c r="E1334" i="4"/>
  <c r="D1334" i="4"/>
  <c r="C1334" i="4"/>
  <c r="B1334" i="4"/>
  <c r="A1334" i="4"/>
  <c r="F1333" i="4"/>
  <c r="E1333" i="4"/>
  <c r="D1333" i="4"/>
  <c r="C1333" i="4"/>
  <c r="B1333" i="4"/>
  <c r="A1333" i="4"/>
  <c r="F1332" i="4"/>
  <c r="E1332" i="4"/>
  <c r="D1332" i="4"/>
  <c r="C1332" i="4"/>
  <c r="B1332" i="4"/>
  <c r="A1332" i="4"/>
  <c r="F1331" i="4"/>
  <c r="E1331" i="4"/>
  <c r="D1331" i="4"/>
  <c r="C1331" i="4"/>
  <c r="B1331" i="4"/>
  <c r="A1331" i="4"/>
  <c r="F1330" i="4"/>
  <c r="E1330" i="4"/>
  <c r="D1330" i="4"/>
  <c r="C1330" i="4"/>
  <c r="B1330" i="4"/>
  <c r="A1330" i="4"/>
  <c r="F1329" i="4"/>
  <c r="E1329" i="4"/>
  <c r="D1329" i="4"/>
  <c r="C1329" i="4"/>
  <c r="B1329" i="4"/>
  <c r="A1329" i="4"/>
  <c r="F1328" i="4"/>
  <c r="E1328" i="4"/>
  <c r="D1328" i="4"/>
  <c r="C1328" i="4"/>
  <c r="B1328" i="4"/>
  <c r="A1328" i="4"/>
  <c r="F1327" i="4"/>
  <c r="E1327" i="4"/>
  <c r="D1327" i="4"/>
  <c r="C1327" i="4"/>
  <c r="B1327" i="4"/>
  <c r="A1327" i="4"/>
  <c r="F1326" i="4"/>
  <c r="E1326" i="4"/>
  <c r="D1326" i="4"/>
  <c r="C1326" i="4"/>
  <c r="B1326" i="4"/>
  <c r="A1326" i="4"/>
  <c r="F1325" i="4"/>
  <c r="E1325" i="4"/>
  <c r="D1325" i="4"/>
  <c r="C1325" i="4"/>
  <c r="B1325" i="4"/>
  <c r="A1325" i="4"/>
  <c r="F1324" i="4"/>
  <c r="E1324" i="4"/>
  <c r="D1324" i="4"/>
  <c r="C1324" i="4"/>
  <c r="B1324" i="4"/>
  <c r="A1324" i="4"/>
  <c r="F1323" i="4"/>
  <c r="E1323" i="4"/>
  <c r="D1323" i="4"/>
  <c r="C1323" i="4"/>
  <c r="B1323" i="4"/>
  <c r="A1323" i="4"/>
  <c r="F1322" i="4"/>
  <c r="E1322" i="4"/>
  <c r="D1322" i="4"/>
  <c r="C1322" i="4"/>
  <c r="B1322" i="4"/>
  <c r="A1322" i="4"/>
  <c r="F1321" i="4"/>
  <c r="E1321" i="4"/>
  <c r="D1321" i="4"/>
  <c r="C1321" i="4"/>
  <c r="B1321" i="4"/>
  <c r="A1321" i="4"/>
  <c r="F1320" i="4"/>
  <c r="E1320" i="4"/>
  <c r="D1320" i="4"/>
  <c r="C1320" i="4"/>
  <c r="B1320" i="4"/>
  <c r="A1320" i="4"/>
  <c r="F1319" i="4"/>
  <c r="E1319" i="4"/>
  <c r="D1319" i="4"/>
  <c r="C1319" i="4"/>
  <c r="B1319" i="4"/>
  <c r="A1319" i="4"/>
  <c r="F1318" i="4"/>
  <c r="E1318" i="4"/>
  <c r="D1318" i="4"/>
  <c r="C1318" i="4"/>
  <c r="B1318" i="4"/>
  <c r="A1318" i="4"/>
  <c r="F1317" i="4"/>
  <c r="E1317" i="4"/>
  <c r="D1317" i="4"/>
  <c r="C1317" i="4"/>
  <c r="B1317" i="4"/>
  <c r="A1317" i="4"/>
  <c r="F1316" i="4"/>
  <c r="E1316" i="4"/>
  <c r="D1316" i="4"/>
  <c r="C1316" i="4"/>
  <c r="B1316" i="4"/>
  <c r="A1316" i="4"/>
  <c r="F1315" i="4"/>
  <c r="E1315" i="4"/>
  <c r="D1315" i="4"/>
  <c r="C1315" i="4"/>
  <c r="B1315" i="4"/>
  <c r="A1315" i="4"/>
  <c r="F1314" i="4"/>
  <c r="E1314" i="4"/>
  <c r="D1314" i="4"/>
  <c r="C1314" i="4"/>
  <c r="B1314" i="4"/>
  <c r="A1314" i="4"/>
  <c r="F1313" i="4"/>
  <c r="E1313" i="4"/>
  <c r="D1313" i="4"/>
  <c r="C1313" i="4"/>
  <c r="B1313" i="4"/>
  <c r="A1313" i="4"/>
  <c r="F1312" i="4"/>
  <c r="E1312" i="4"/>
  <c r="D1312" i="4"/>
  <c r="C1312" i="4"/>
  <c r="B1312" i="4"/>
  <c r="A1312" i="4"/>
  <c r="F1311" i="4"/>
  <c r="E1311" i="4"/>
  <c r="D1311" i="4"/>
  <c r="C1311" i="4"/>
  <c r="B1311" i="4"/>
  <c r="A1311" i="4"/>
  <c r="F1310" i="4"/>
  <c r="E1310" i="4"/>
  <c r="D1310" i="4"/>
  <c r="C1310" i="4"/>
  <c r="B1310" i="4"/>
  <c r="A1310" i="4"/>
  <c r="F1309" i="4"/>
  <c r="E1309" i="4"/>
  <c r="D1309" i="4"/>
  <c r="C1309" i="4"/>
  <c r="B1309" i="4"/>
  <c r="A1309" i="4"/>
  <c r="F1308" i="4"/>
  <c r="E1308" i="4"/>
  <c r="D1308" i="4"/>
  <c r="C1308" i="4"/>
  <c r="B1308" i="4"/>
  <c r="A1308" i="4"/>
  <c r="F1307" i="4"/>
  <c r="E1307" i="4"/>
  <c r="D1307" i="4"/>
  <c r="C1307" i="4"/>
  <c r="B1307" i="4"/>
  <c r="A1307" i="4"/>
  <c r="F1306" i="4"/>
  <c r="E1306" i="4"/>
  <c r="D1306" i="4"/>
  <c r="C1306" i="4"/>
  <c r="B1306" i="4"/>
  <c r="A1306" i="4"/>
  <c r="F1305" i="4"/>
  <c r="E1305" i="4"/>
  <c r="D1305" i="4"/>
  <c r="C1305" i="4"/>
  <c r="B1305" i="4"/>
  <c r="A1305" i="4"/>
  <c r="F1304" i="4"/>
  <c r="E1304" i="4"/>
  <c r="D1304" i="4"/>
  <c r="C1304" i="4"/>
  <c r="B1304" i="4"/>
  <c r="A1304" i="4"/>
  <c r="F1303" i="4"/>
  <c r="E1303" i="4"/>
  <c r="D1303" i="4"/>
  <c r="C1303" i="4"/>
  <c r="B1303" i="4"/>
  <c r="A1303" i="4"/>
  <c r="F1302" i="4"/>
  <c r="E1302" i="4"/>
  <c r="D1302" i="4"/>
  <c r="C1302" i="4"/>
  <c r="B1302" i="4"/>
  <c r="A1302" i="4"/>
  <c r="F1301" i="4"/>
  <c r="E1301" i="4"/>
  <c r="D1301" i="4"/>
  <c r="C1301" i="4"/>
  <c r="B1301" i="4"/>
  <c r="A1301" i="4"/>
  <c r="F1300" i="4"/>
  <c r="E1300" i="4"/>
  <c r="D1300" i="4"/>
  <c r="C1300" i="4"/>
  <c r="B1300" i="4"/>
  <c r="A1300" i="4"/>
  <c r="F1299" i="4"/>
  <c r="E1299" i="4"/>
  <c r="D1299" i="4"/>
  <c r="C1299" i="4"/>
  <c r="B1299" i="4"/>
  <c r="A1299" i="4"/>
  <c r="F1298" i="4"/>
  <c r="E1298" i="4"/>
  <c r="D1298" i="4"/>
  <c r="C1298" i="4"/>
  <c r="B1298" i="4"/>
  <c r="A1298" i="4"/>
  <c r="F1297" i="4"/>
  <c r="E1297" i="4"/>
  <c r="D1297" i="4"/>
  <c r="C1297" i="4"/>
  <c r="B1297" i="4"/>
  <c r="A1297" i="4"/>
  <c r="F1296" i="4"/>
  <c r="E1296" i="4"/>
  <c r="D1296" i="4"/>
  <c r="C1296" i="4"/>
  <c r="B1296" i="4"/>
  <c r="A1296" i="4"/>
  <c r="F1295" i="4"/>
  <c r="E1295" i="4"/>
  <c r="D1295" i="4"/>
  <c r="C1295" i="4"/>
  <c r="B1295" i="4"/>
  <c r="A1295" i="4"/>
  <c r="F1294" i="4"/>
  <c r="E1294" i="4"/>
  <c r="D1294" i="4"/>
  <c r="C1294" i="4"/>
  <c r="B1294" i="4"/>
  <c r="A1294" i="4"/>
  <c r="F1293" i="4"/>
  <c r="E1293" i="4"/>
  <c r="D1293" i="4"/>
  <c r="C1293" i="4"/>
  <c r="B1293" i="4"/>
  <c r="A1293" i="4"/>
  <c r="F1292" i="4"/>
  <c r="E1292" i="4"/>
  <c r="D1292" i="4"/>
  <c r="C1292" i="4"/>
  <c r="B1292" i="4"/>
  <c r="A1292" i="4"/>
  <c r="F1291" i="4"/>
  <c r="E1291" i="4"/>
  <c r="D1291" i="4"/>
  <c r="C1291" i="4"/>
  <c r="B1291" i="4"/>
  <c r="A1291" i="4"/>
  <c r="F1290" i="4"/>
  <c r="E1290" i="4"/>
  <c r="D1290" i="4"/>
  <c r="C1290" i="4"/>
  <c r="B1290" i="4"/>
  <c r="A1290" i="4"/>
  <c r="F1289" i="4"/>
  <c r="E1289" i="4"/>
  <c r="D1289" i="4"/>
  <c r="C1289" i="4"/>
  <c r="B1289" i="4"/>
  <c r="A1289" i="4"/>
  <c r="F1288" i="4"/>
  <c r="E1288" i="4"/>
  <c r="D1288" i="4"/>
  <c r="C1288" i="4"/>
  <c r="B1288" i="4"/>
  <c r="A1288" i="4"/>
  <c r="F1287" i="4"/>
  <c r="E1287" i="4"/>
  <c r="D1287" i="4"/>
  <c r="C1287" i="4"/>
  <c r="B1287" i="4"/>
  <c r="A1287" i="4"/>
  <c r="F1286" i="4"/>
  <c r="E1286" i="4"/>
  <c r="D1286" i="4"/>
  <c r="C1286" i="4"/>
  <c r="B1286" i="4"/>
  <c r="A1286" i="4"/>
  <c r="F1285" i="4"/>
  <c r="E1285" i="4"/>
  <c r="D1285" i="4"/>
  <c r="C1285" i="4"/>
  <c r="B1285" i="4"/>
  <c r="A1285" i="4"/>
  <c r="F1284" i="4"/>
  <c r="E1284" i="4"/>
  <c r="D1284" i="4"/>
  <c r="C1284" i="4"/>
  <c r="B1284" i="4"/>
  <c r="A1284" i="4"/>
  <c r="F1283" i="4"/>
  <c r="E1283" i="4"/>
  <c r="D1283" i="4"/>
  <c r="C1283" i="4"/>
  <c r="B1283" i="4"/>
  <c r="A1283" i="4"/>
  <c r="F1282" i="4"/>
  <c r="E1282" i="4"/>
  <c r="D1282" i="4"/>
  <c r="C1282" i="4"/>
  <c r="B1282" i="4"/>
  <c r="A1282" i="4"/>
  <c r="F1281" i="4"/>
  <c r="E1281" i="4"/>
  <c r="D1281" i="4"/>
  <c r="C1281" i="4"/>
  <c r="B1281" i="4"/>
  <c r="A1281" i="4"/>
  <c r="F1280" i="4"/>
  <c r="E1280" i="4"/>
  <c r="D1280" i="4"/>
  <c r="C1280" i="4"/>
  <c r="B1280" i="4"/>
  <c r="A1280" i="4"/>
  <c r="F1279" i="4"/>
  <c r="E1279" i="4"/>
  <c r="D1279" i="4"/>
  <c r="C1279" i="4"/>
  <c r="B1279" i="4"/>
  <c r="A1279" i="4"/>
  <c r="F1278" i="4"/>
  <c r="E1278" i="4"/>
  <c r="D1278" i="4"/>
  <c r="C1278" i="4"/>
  <c r="B1278" i="4"/>
  <c r="A1278" i="4"/>
  <c r="F1277" i="4"/>
  <c r="E1277" i="4"/>
  <c r="D1277" i="4"/>
  <c r="C1277" i="4"/>
  <c r="B1277" i="4"/>
  <c r="A1277" i="4"/>
  <c r="F1276" i="4"/>
  <c r="E1276" i="4"/>
  <c r="D1276" i="4"/>
  <c r="C1276" i="4"/>
  <c r="B1276" i="4"/>
  <c r="A1276" i="4"/>
  <c r="F1275" i="4"/>
  <c r="E1275" i="4"/>
  <c r="D1275" i="4"/>
  <c r="C1275" i="4"/>
  <c r="B1275" i="4"/>
  <c r="A1275" i="4"/>
  <c r="F1274" i="4"/>
  <c r="E1274" i="4"/>
  <c r="D1274" i="4"/>
  <c r="C1274" i="4"/>
  <c r="B1274" i="4"/>
  <c r="A1274" i="4"/>
  <c r="F1273" i="4"/>
  <c r="E1273" i="4"/>
  <c r="D1273" i="4"/>
  <c r="C1273" i="4"/>
  <c r="B1273" i="4"/>
  <c r="A1273" i="4"/>
  <c r="F1272" i="4"/>
  <c r="E1272" i="4"/>
  <c r="D1272" i="4"/>
  <c r="C1272" i="4"/>
  <c r="B1272" i="4"/>
  <c r="A1272" i="4"/>
  <c r="F1271" i="4"/>
  <c r="E1271" i="4"/>
  <c r="D1271" i="4"/>
  <c r="C1271" i="4"/>
  <c r="B1271" i="4"/>
  <c r="A1271" i="4"/>
  <c r="F1270" i="4"/>
  <c r="E1270" i="4"/>
  <c r="D1270" i="4"/>
  <c r="C1270" i="4"/>
  <c r="B1270" i="4"/>
  <c r="A1270" i="4"/>
  <c r="F1269" i="4"/>
  <c r="E1269" i="4"/>
  <c r="D1269" i="4"/>
  <c r="C1269" i="4"/>
  <c r="B1269" i="4"/>
  <c r="A1269" i="4"/>
  <c r="F1268" i="4"/>
  <c r="E1268" i="4"/>
  <c r="D1268" i="4"/>
  <c r="C1268" i="4"/>
  <c r="B1268" i="4"/>
  <c r="A1268" i="4"/>
  <c r="F1267" i="4"/>
  <c r="E1267" i="4"/>
  <c r="D1267" i="4"/>
  <c r="C1267" i="4"/>
  <c r="B1267" i="4"/>
  <c r="A1267" i="4"/>
  <c r="F1266" i="4"/>
  <c r="E1266" i="4"/>
  <c r="D1266" i="4"/>
  <c r="C1266" i="4"/>
  <c r="B1266" i="4"/>
  <c r="A1266" i="4"/>
  <c r="F1265" i="4"/>
  <c r="E1265" i="4"/>
  <c r="D1265" i="4"/>
  <c r="C1265" i="4"/>
  <c r="B1265" i="4"/>
  <c r="A1265" i="4"/>
  <c r="F1264" i="4"/>
  <c r="E1264" i="4"/>
  <c r="D1264" i="4"/>
  <c r="C1264" i="4"/>
  <c r="B1264" i="4"/>
  <c r="A1264" i="4"/>
  <c r="F1263" i="4"/>
  <c r="E1263" i="4"/>
  <c r="D1263" i="4"/>
  <c r="C1263" i="4"/>
  <c r="B1263" i="4"/>
  <c r="A1263" i="4"/>
  <c r="F1262" i="4"/>
  <c r="E1262" i="4"/>
  <c r="D1262" i="4"/>
  <c r="C1262" i="4"/>
  <c r="B1262" i="4"/>
  <c r="A1262" i="4"/>
  <c r="F1261" i="4"/>
  <c r="E1261" i="4"/>
  <c r="D1261" i="4"/>
  <c r="C1261" i="4"/>
  <c r="B1261" i="4"/>
  <c r="A1261" i="4"/>
  <c r="F1260" i="4"/>
  <c r="E1260" i="4"/>
  <c r="D1260" i="4"/>
  <c r="C1260" i="4"/>
  <c r="B1260" i="4"/>
  <c r="A1260" i="4"/>
  <c r="F1259" i="4"/>
  <c r="E1259" i="4"/>
  <c r="D1259" i="4"/>
  <c r="C1259" i="4"/>
  <c r="B1259" i="4"/>
  <c r="A1259" i="4"/>
  <c r="F1258" i="4"/>
  <c r="E1258" i="4"/>
  <c r="D1258" i="4"/>
  <c r="C1258" i="4"/>
  <c r="B1258" i="4"/>
  <c r="A1258" i="4"/>
  <c r="F1257" i="4"/>
  <c r="E1257" i="4"/>
  <c r="D1257" i="4"/>
  <c r="C1257" i="4"/>
  <c r="B1257" i="4"/>
  <c r="A1257" i="4"/>
  <c r="F1256" i="4"/>
  <c r="E1256" i="4"/>
  <c r="D1256" i="4"/>
  <c r="C1256" i="4"/>
  <c r="B1256" i="4"/>
  <c r="A1256" i="4"/>
  <c r="F1255" i="4"/>
  <c r="E1255" i="4"/>
  <c r="D1255" i="4"/>
  <c r="C1255" i="4"/>
  <c r="B1255" i="4"/>
  <c r="A1255" i="4"/>
  <c r="F1254" i="4"/>
  <c r="E1254" i="4"/>
  <c r="D1254" i="4"/>
  <c r="C1254" i="4"/>
  <c r="B1254" i="4"/>
  <c r="A1254" i="4"/>
  <c r="F1253" i="4"/>
  <c r="E1253" i="4"/>
  <c r="D1253" i="4"/>
  <c r="C1253" i="4"/>
  <c r="B1253" i="4"/>
  <c r="A1253" i="4"/>
  <c r="F1252" i="4"/>
  <c r="E1252" i="4"/>
  <c r="D1252" i="4"/>
  <c r="C1252" i="4"/>
  <c r="B1252" i="4"/>
  <c r="A1252" i="4"/>
  <c r="F1251" i="4"/>
  <c r="E1251" i="4"/>
  <c r="D1251" i="4"/>
  <c r="C1251" i="4"/>
  <c r="B1251" i="4"/>
  <c r="A1251" i="4"/>
  <c r="F1250" i="4"/>
  <c r="E1250" i="4"/>
  <c r="D1250" i="4"/>
  <c r="C1250" i="4"/>
  <c r="B1250" i="4"/>
  <c r="A1250" i="4"/>
  <c r="F1249" i="4"/>
  <c r="E1249" i="4"/>
  <c r="D1249" i="4"/>
  <c r="C1249" i="4"/>
  <c r="B1249" i="4"/>
  <c r="A1249" i="4"/>
  <c r="F1248" i="4"/>
  <c r="E1248" i="4"/>
  <c r="D1248" i="4"/>
  <c r="C1248" i="4"/>
  <c r="B1248" i="4"/>
  <c r="A1248" i="4"/>
  <c r="F1247" i="4"/>
  <c r="E1247" i="4"/>
  <c r="D1247" i="4"/>
  <c r="C1247" i="4"/>
  <c r="B1247" i="4"/>
  <c r="A1247" i="4"/>
  <c r="F1246" i="4"/>
  <c r="E1246" i="4"/>
  <c r="D1246" i="4"/>
  <c r="C1246" i="4"/>
  <c r="B1246" i="4"/>
  <c r="A1246" i="4"/>
  <c r="F1245" i="4"/>
  <c r="E1245" i="4"/>
  <c r="D1245" i="4"/>
  <c r="C1245" i="4"/>
  <c r="B1245" i="4"/>
  <c r="A1245" i="4"/>
  <c r="F1244" i="4"/>
  <c r="E1244" i="4"/>
  <c r="D1244" i="4"/>
  <c r="C1244" i="4"/>
  <c r="B1244" i="4"/>
  <c r="A1244" i="4"/>
  <c r="F1243" i="4"/>
  <c r="E1243" i="4"/>
  <c r="D1243" i="4"/>
  <c r="C1243" i="4"/>
  <c r="B1243" i="4"/>
  <c r="A1243" i="4"/>
  <c r="F1242" i="4"/>
  <c r="E1242" i="4"/>
  <c r="D1242" i="4"/>
  <c r="C1242" i="4"/>
  <c r="B1242" i="4"/>
  <c r="A1242" i="4"/>
  <c r="F1241" i="4"/>
  <c r="E1241" i="4"/>
  <c r="D1241" i="4"/>
  <c r="C1241" i="4"/>
  <c r="B1241" i="4"/>
  <c r="A1241" i="4"/>
  <c r="F1240" i="4"/>
  <c r="E1240" i="4"/>
  <c r="D1240" i="4"/>
  <c r="C1240" i="4"/>
  <c r="B1240" i="4"/>
  <c r="A1240" i="4"/>
  <c r="F1239" i="4"/>
  <c r="E1239" i="4"/>
  <c r="D1239" i="4"/>
  <c r="C1239" i="4"/>
  <c r="B1239" i="4"/>
  <c r="A1239" i="4"/>
  <c r="F1238" i="4"/>
  <c r="E1238" i="4"/>
  <c r="D1238" i="4"/>
  <c r="C1238" i="4"/>
  <c r="B1238" i="4"/>
  <c r="A1238" i="4"/>
  <c r="F1237" i="4"/>
  <c r="E1237" i="4"/>
  <c r="D1237" i="4"/>
  <c r="C1237" i="4"/>
  <c r="B1237" i="4"/>
  <c r="A1237" i="4"/>
  <c r="F1236" i="4"/>
  <c r="E1236" i="4"/>
  <c r="D1236" i="4"/>
  <c r="C1236" i="4"/>
  <c r="B1236" i="4"/>
  <c r="A1236" i="4"/>
  <c r="F1235" i="4"/>
  <c r="E1235" i="4"/>
  <c r="D1235" i="4"/>
  <c r="C1235" i="4"/>
  <c r="B1235" i="4"/>
  <c r="A1235" i="4"/>
  <c r="F1234" i="4"/>
  <c r="E1234" i="4"/>
  <c r="D1234" i="4"/>
  <c r="C1234" i="4"/>
  <c r="B1234" i="4"/>
  <c r="A1234" i="4"/>
  <c r="F1233" i="4"/>
  <c r="E1233" i="4"/>
  <c r="D1233" i="4"/>
  <c r="C1233" i="4"/>
  <c r="B1233" i="4"/>
  <c r="A1233" i="4"/>
  <c r="F1232" i="4"/>
  <c r="E1232" i="4"/>
  <c r="D1232" i="4"/>
  <c r="C1232" i="4"/>
  <c r="B1232" i="4"/>
  <c r="A1232" i="4"/>
  <c r="F1231" i="4"/>
  <c r="E1231" i="4"/>
  <c r="D1231" i="4"/>
  <c r="C1231" i="4"/>
  <c r="B1231" i="4"/>
  <c r="A1231" i="4"/>
  <c r="F1230" i="4"/>
  <c r="E1230" i="4"/>
  <c r="D1230" i="4"/>
  <c r="C1230" i="4"/>
  <c r="B1230" i="4"/>
  <c r="A1230" i="4"/>
  <c r="F1229" i="4"/>
  <c r="E1229" i="4"/>
  <c r="D1229" i="4"/>
  <c r="C1229" i="4"/>
  <c r="B1229" i="4"/>
  <c r="A1229" i="4"/>
  <c r="F1228" i="4"/>
  <c r="E1228" i="4"/>
  <c r="D1228" i="4"/>
  <c r="C1228" i="4"/>
  <c r="B1228" i="4"/>
  <c r="A1228" i="4"/>
  <c r="F1227" i="4"/>
  <c r="E1227" i="4"/>
  <c r="D1227" i="4"/>
  <c r="C1227" i="4"/>
  <c r="B1227" i="4"/>
  <c r="A1227" i="4"/>
  <c r="F1226" i="4"/>
  <c r="E1226" i="4"/>
  <c r="D1226" i="4"/>
  <c r="C1226" i="4"/>
  <c r="B1226" i="4"/>
  <c r="A1226" i="4"/>
  <c r="F1225" i="4"/>
  <c r="E1225" i="4"/>
  <c r="D1225" i="4"/>
  <c r="C1225" i="4"/>
  <c r="B1225" i="4"/>
  <c r="A1225" i="4"/>
  <c r="F1224" i="4"/>
  <c r="E1224" i="4"/>
  <c r="D1224" i="4"/>
  <c r="C1224" i="4"/>
  <c r="B1224" i="4"/>
  <c r="A1224" i="4"/>
  <c r="F1223" i="4"/>
  <c r="E1223" i="4"/>
  <c r="D1223" i="4"/>
  <c r="C1223" i="4"/>
  <c r="B1223" i="4"/>
  <c r="A1223" i="4"/>
  <c r="F1222" i="4"/>
  <c r="E1222" i="4"/>
  <c r="D1222" i="4"/>
  <c r="C1222" i="4"/>
  <c r="B1222" i="4"/>
  <c r="A1222" i="4"/>
  <c r="F1221" i="4"/>
  <c r="E1221" i="4"/>
  <c r="D1221" i="4"/>
  <c r="C1221" i="4"/>
  <c r="B1221" i="4"/>
  <c r="A1221" i="4"/>
  <c r="F1220" i="4"/>
  <c r="E1220" i="4"/>
  <c r="D1220" i="4"/>
  <c r="C1220" i="4"/>
  <c r="B1220" i="4"/>
  <c r="A1220" i="4"/>
  <c r="F1219" i="4"/>
  <c r="E1219" i="4"/>
  <c r="D1219" i="4"/>
  <c r="C1219" i="4"/>
  <c r="B1219" i="4"/>
  <c r="A1219" i="4"/>
  <c r="F1218" i="4"/>
  <c r="E1218" i="4"/>
  <c r="D1218" i="4"/>
  <c r="C1218" i="4"/>
  <c r="B1218" i="4"/>
  <c r="A1218" i="4"/>
  <c r="F1217" i="4"/>
  <c r="E1217" i="4"/>
  <c r="D1217" i="4"/>
  <c r="C1217" i="4"/>
  <c r="B1217" i="4"/>
  <c r="A1217" i="4"/>
  <c r="F1216" i="4"/>
  <c r="E1216" i="4"/>
  <c r="D1216" i="4"/>
  <c r="C1216" i="4"/>
  <c r="B1216" i="4"/>
  <c r="A1216" i="4"/>
  <c r="F1215" i="4"/>
  <c r="E1215" i="4"/>
  <c r="D1215" i="4"/>
  <c r="C1215" i="4"/>
  <c r="B1215" i="4"/>
  <c r="A1215" i="4"/>
  <c r="F1214" i="4"/>
  <c r="E1214" i="4"/>
  <c r="D1214" i="4"/>
  <c r="C1214" i="4"/>
  <c r="B1214" i="4"/>
  <c r="A1214" i="4"/>
  <c r="F1213" i="4"/>
  <c r="E1213" i="4"/>
  <c r="D1213" i="4"/>
  <c r="C1213" i="4"/>
  <c r="B1213" i="4"/>
  <c r="A1213" i="4"/>
  <c r="F1212" i="4"/>
  <c r="E1212" i="4"/>
  <c r="D1212" i="4"/>
  <c r="C1212" i="4"/>
  <c r="B1212" i="4"/>
  <c r="A1212" i="4"/>
  <c r="F1211" i="4"/>
  <c r="E1211" i="4"/>
  <c r="D1211" i="4"/>
  <c r="C1211" i="4"/>
  <c r="B1211" i="4"/>
  <c r="A1211" i="4"/>
  <c r="F1210" i="4"/>
  <c r="E1210" i="4"/>
  <c r="D1210" i="4"/>
  <c r="C1210" i="4"/>
  <c r="B1210" i="4"/>
  <c r="A1210" i="4"/>
  <c r="F1209" i="4"/>
  <c r="E1209" i="4"/>
  <c r="D1209" i="4"/>
  <c r="C1209" i="4"/>
  <c r="B1209" i="4"/>
  <c r="A1209" i="4"/>
  <c r="F1208" i="4"/>
  <c r="E1208" i="4"/>
  <c r="D1208" i="4"/>
  <c r="C1208" i="4"/>
  <c r="B1208" i="4"/>
  <c r="A1208" i="4"/>
  <c r="F1207" i="4"/>
  <c r="E1207" i="4"/>
  <c r="D1207" i="4"/>
  <c r="C1207" i="4"/>
  <c r="B1207" i="4"/>
  <c r="A1207" i="4"/>
  <c r="F1206" i="4"/>
  <c r="E1206" i="4"/>
  <c r="D1206" i="4"/>
  <c r="C1206" i="4"/>
  <c r="B1206" i="4"/>
  <c r="A1206" i="4"/>
  <c r="F1205" i="4"/>
  <c r="E1205" i="4"/>
  <c r="D1205" i="4"/>
  <c r="C1205" i="4"/>
  <c r="B1205" i="4"/>
  <c r="A1205" i="4"/>
  <c r="F1204" i="4"/>
  <c r="E1204" i="4"/>
  <c r="D1204" i="4"/>
  <c r="C1204" i="4"/>
  <c r="B1204" i="4"/>
  <c r="A1204" i="4"/>
  <c r="F1203" i="4"/>
  <c r="E1203" i="4"/>
  <c r="D1203" i="4"/>
  <c r="C1203" i="4"/>
  <c r="B1203" i="4"/>
  <c r="A1203" i="4"/>
  <c r="F1202" i="4"/>
  <c r="E1202" i="4"/>
  <c r="D1202" i="4"/>
  <c r="C1202" i="4"/>
  <c r="B1202" i="4"/>
  <c r="A1202" i="4"/>
  <c r="F1201" i="4"/>
  <c r="E1201" i="4"/>
  <c r="D1201" i="4"/>
  <c r="C1201" i="4"/>
  <c r="B1201" i="4"/>
  <c r="A1201" i="4"/>
  <c r="F1200" i="4"/>
  <c r="E1200" i="4"/>
  <c r="D1200" i="4"/>
  <c r="C1200" i="4"/>
  <c r="B1200" i="4"/>
  <c r="A1200" i="4"/>
  <c r="F1199" i="4"/>
  <c r="E1199" i="4"/>
  <c r="D1199" i="4"/>
  <c r="C1199" i="4"/>
  <c r="B1199" i="4"/>
  <c r="A1199" i="4"/>
  <c r="F1198" i="4"/>
  <c r="E1198" i="4"/>
  <c r="D1198" i="4"/>
  <c r="C1198" i="4"/>
  <c r="B1198" i="4"/>
  <c r="A1198" i="4"/>
  <c r="F1197" i="4"/>
  <c r="E1197" i="4"/>
  <c r="D1197" i="4"/>
  <c r="C1197" i="4"/>
  <c r="B1197" i="4"/>
  <c r="A1197" i="4"/>
  <c r="F1196" i="4"/>
  <c r="E1196" i="4"/>
  <c r="D1196" i="4"/>
  <c r="C1196" i="4"/>
  <c r="B1196" i="4"/>
  <c r="A1196" i="4"/>
  <c r="F1195" i="4"/>
  <c r="E1195" i="4"/>
  <c r="D1195" i="4"/>
  <c r="C1195" i="4"/>
  <c r="B1195" i="4"/>
  <c r="A1195" i="4"/>
  <c r="F1194" i="4"/>
  <c r="E1194" i="4"/>
  <c r="D1194" i="4"/>
  <c r="C1194" i="4"/>
  <c r="B1194" i="4"/>
  <c r="A1194" i="4"/>
  <c r="F1193" i="4"/>
  <c r="E1193" i="4"/>
  <c r="D1193" i="4"/>
  <c r="C1193" i="4"/>
  <c r="B1193" i="4"/>
  <c r="A1193" i="4"/>
  <c r="F1192" i="4"/>
  <c r="E1192" i="4"/>
  <c r="D1192" i="4"/>
  <c r="C1192" i="4"/>
  <c r="B1192" i="4"/>
  <c r="A1192" i="4"/>
  <c r="F1191" i="4"/>
  <c r="E1191" i="4"/>
  <c r="D1191" i="4"/>
  <c r="C1191" i="4"/>
  <c r="B1191" i="4"/>
  <c r="A1191" i="4"/>
  <c r="F1190" i="4"/>
  <c r="E1190" i="4"/>
  <c r="D1190" i="4"/>
  <c r="C1190" i="4"/>
  <c r="B1190" i="4"/>
  <c r="A1190" i="4"/>
  <c r="F1189" i="4"/>
  <c r="E1189" i="4"/>
  <c r="D1189" i="4"/>
  <c r="C1189" i="4"/>
  <c r="B1189" i="4"/>
  <c r="A1189" i="4"/>
  <c r="F1188" i="4"/>
  <c r="E1188" i="4"/>
  <c r="D1188" i="4"/>
  <c r="C1188" i="4"/>
  <c r="B1188" i="4"/>
  <c r="A1188" i="4"/>
  <c r="F1187" i="4"/>
  <c r="E1187" i="4"/>
  <c r="D1187" i="4"/>
  <c r="C1187" i="4"/>
  <c r="B1187" i="4"/>
  <c r="A1187" i="4"/>
  <c r="F1186" i="4"/>
  <c r="E1186" i="4"/>
  <c r="D1186" i="4"/>
  <c r="C1186" i="4"/>
  <c r="B1186" i="4"/>
  <c r="A1186" i="4"/>
  <c r="F1185" i="4"/>
  <c r="E1185" i="4"/>
  <c r="D1185" i="4"/>
  <c r="C1185" i="4"/>
  <c r="B1185" i="4"/>
  <c r="A1185" i="4"/>
  <c r="F1184" i="4"/>
  <c r="E1184" i="4"/>
  <c r="D1184" i="4"/>
  <c r="C1184" i="4"/>
  <c r="B1184" i="4"/>
  <c r="A1184" i="4"/>
  <c r="F1183" i="4"/>
  <c r="E1183" i="4"/>
  <c r="D1183" i="4"/>
  <c r="C1183" i="4"/>
  <c r="B1183" i="4"/>
  <c r="A1183" i="4"/>
  <c r="F1182" i="4"/>
  <c r="E1182" i="4"/>
  <c r="D1182" i="4"/>
  <c r="C1182" i="4"/>
  <c r="B1182" i="4"/>
  <c r="A1182" i="4"/>
  <c r="F1181" i="4"/>
  <c r="E1181" i="4"/>
  <c r="D1181" i="4"/>
  <c r="C1181" i="4"/>
  <c r="B1181" i="4"/>
  <c r="A1181" i="4"/>
  <c r="F1180" i="4"/>
  <c r="E1180" i="4"/>
  <c r="D1180" i="4"/>
  <c r="C1180" i="4"/>
  <c r="B1180" i="4"/>
  <c r="A1180" i="4"/>
  <c r="F1179" i="4"/>
  <c r="E1179" i="4"/>
  <c r="D1179" i="4"/>
  <c r="C1179" i="4"/>
  <c r="B1179" i="4"/>
  <c r="A1179" i="4"/>
  <c r="F1178" i="4"/>
  <c r="E1178" i="4"/>
  <c r="D1178" i="4"/>
  <c r="C1178" i="4"/>
  <c r="B1178" i="4"/>
  <c r="A1178" i="4"/>
  <c r="F1177" i="4"/>
  <c r="E1177" i="4"/>
  <c r="D1177" i="4"/>
  <c r="C1177" i="4"/>
  <c r="B1177" i="4"/>
  <c r="A1177" i="4"/>
  <c r="F1176" i="4"/>
  <c r="E1176" i="4"/>
  <c r="D1176" i="4"/>
  <c r="C1176" i="4"/>
  <c r="B1176" i="4"/>
  <c r="A1176" i="4"/>
  <c r="F1175" i="4"/>
  <c r="E1175" i="4"/>
  <c r="D1175" i="4"/>
  <c r="C1175" i="4"/>
  <c r="B1175" i="4"/>
  <c r="A1175" i="4"/>
  <c r="F1174" i="4"/>
  <c r="E1174" i="4"/>
  <c r="D1174" i="4"/>
  <c r="C1174" i="4"/>
  <c r="B1174" i="4"/>
  <c r="A1174" i="4"/>
  <c r="F1173" i="4"/>
  <c r="E1173" i="4"/>
  <c r="D1173" i="4"/>
  <c r="C1173" i="4"/>
  <c r="B1173" i="4"/>
  <c r="A1173" i="4"/>
  <c r="F1172" i="4"/>
  <c r="E1172" i="4"/>
  <c r="D1172" i="4"/>
  <c r="C1172" i="4"/>
  <c r="B1172" i="4"/>
  <c r="A1172" i="4"/>
  <c r="F1171" i="4"/>
  <c r="E1171" i="4"/>
  <c r="D1171" i="4"/>
  <c r="C1171" i="4"/>
  <c r="B1171" i="4"/>
  <c r="A1171" i="4"/>
  <c r="F1170" i="4"/>
  <c r="E1170" i="4"/>
  <c r="D1170" i="4"/>
  <c r="C1170" i="4"/>
  <c r="B1170" i="4"/>
  <c r="A1170" i="4"/>
  <c r="F1169" i="4"/>
  <c r="E1169" i="4"/>
  <c r="D1169" i="4"/>
  <c r="C1169" i="4"/>
  <c r="B1169" i="4"/>
  <c r="A1169" i="4"/>
  <c r="F1168" i="4"/>
  <c r="E1168" i="4"/>
  <c r="D1168" i="4"/>
  <c r="C1168" i="4"/>
  <c r="B1168" i="4"/>
  <c r="A1168" i="4"/>
  <c r="F1167" i="4"/>
  <c r="E1167" i="4"/>
  <c r="D1167" i="4"/>
  <c r="C1167" i="4"/>
  <c r="B1167" i="4"/>
  <c r="A1167" i="4"/>
  <c r="F1166" i="4"/>
  <c r="E1166" i="4"/>
  <c r="D1166" i="4"/>
  <c r="C1166" i="4"/>
  <c r="B1166" i="4"/>
  <c r="A1166" i="4"/>
  <c r="F1165" i="4"/>
  <c r="E1165" i="4"/>
  <c r="D1165" i="4"/>
  <c r="C1165" i="4"/>
  <c r="B1165" i="4"/>
  <c r="A1165" i="4"/>
  <c r="F1164" i="4"/>
  <c r="E1164" i="4"/>
  <c r="D1164" i="4"/>
  <c r="C1164" i="4"/>
  <c r="B1164" i="4"/>
  <c r="A1164" i="4"/>
  <c r="F1163" i="4"/>
  <c r="E1163" i="4"/>
  <c r="D1163" i="4"/>
  <c r="C1163" i="4"/>
  <c r="B1163" i="4"/>
  <c r="A1163" i="4"/>
  <c r="F1162" i="4"/>
  <c r="E1162" i="4"/>
  <c r="D1162" i="4"/>
  <c r="C1162" i="4"/>
  <c r="B1162" i="4"/>
  <c r="A1162" i="4"/>
  <c r="F1161" i="4"/>
  <c r="E1161" i="4"/>
  <c r="D1161" i="4"/>
  <c r="C1161" i="4"/>
  <c r="B1161" i="4"/>
  <c r="A1161" i="4"/>
  <c r="F1160" i="4"/>
  <c r="E1160" i="4"/>
  <c r="D1160" i="4"/>
  <c r="C1160" i="4"/>
  <c r="B1160" i="4"/>
  <c r="A1160" i="4"/>
  <c r="F1159" i="4"/>
  <c r="E1159" i="4"/>
  <c r="D1159" i="4"/>
  <c r="C1159" i="4"/>
  <c r="B1159" i="4"/>
  <c r="A1159" i="4"/>
  <c r="F1158" i="4"/>
  <c r="E1158" i="4"/>
  <c r="D1158" i="4"/>
  <c r="C1158" i="4"/>
  <c r="B1158" i="4"/>
  <c r="A1158" i="4"/>
  <c r="F1157" i="4"/>
  <c r="E1157" i="4"/>
  <c r="D1157" i="4"/>
  <c r="C1157" i="4"/>
  <c r="B1157" i="4"/>
  <c r="A1157" i="4"/>
  <c r="F1156" i="4"/>
  <c r="E1156" i="4"/>
  <c r="D1156" i="4"/>
  <c r="C1156" i="4"/>
  <c r="B1156" i="4"/>
  <c r="A1156" i="4"/>
  <c r="F1155" i="4"/>
  <c r="E1155" i="4"/>
  <c r="D1155" i="4"/>
  <c r="C1155" i="4"/>
  <c r="B1155" i="4"/>
  <c r="A1155" i="4"/>
  <c r="F1154" i="4"/>
  <c r="E1154" i="4"/>
  <c r="D1154" i="4"/>
  <c r="C1154" i="4"/>
  <c r="B1154" i="4"/>
  <c r="A1154" i="4"/>
  <c r="F1153" i="4"/>
  <c r="E1153" i="4"/>
  <c r="D1153" i="4"/>
  <c r="C1153" i="4"/>
  <c r="B1153" i="4"/>
  <c r="A1153" i="4"/>
  <c r="F1152" i="4"/>
  <c r="E1152" i="4"/>
  <c r="D1152" i="4"/>
  <c r="C1152" i="4"/>
  <c r="B1152" i="4"/>
  <c r="A1152" i="4"/>
  <c r="F1151" i="4"/>
  <c r="E1151" i="4"/>
  <c r="D1151" i="4"/>
  <c r="C1151" i="4"/>
  <c r="B1151" i="4"/>
  <c r="A1151" i="4"/>
  <c r="F1150" i="4"/>
  <c r="E1150" i="4"/>
  <c r="D1150" i="4"/>
  <c r="C1150" i="4"/>
  <c r="B1150" i="4"/>
  <c r="A1150" i="4"/>
  <c r="F1149" i="4"/>
  <c r="E1149" i="4"/>
  <c r="D1149" i="4"/>
  <c r="C1149" i="4"/>
  <c r="B1149" i="4"/>
  <c r="A1149" i="4"/>
  <c r="F1148" i="4"/>
  <c r="E1148" i="4"/>
  <c r="D1148" i="4"/>
  <c r="C1148" i="4"/>
  <c r="B1148" i="4"/>
  <c r="A1148" i="4"/>
  <c r="F1147" i="4"/>
  <c r="E1147" i="4"/>
  <c r="D1147" i="4"/>
  <c r="C1147" i="4"/>
  <c r="B1147" i="4"/>
  <c r="A1147" i="4"/>
  <c r="F1146" i="4"/>
  <c r="E1146" i="4"/>
  <c r="D1146" i="4"/>
  <c r="C1146" i="4"/>
  <c r="B1146" i="4"/>
  <c r="A1146" i="4"/>
  <c r="F1145" i="4"/>
  <c r="E1145" i="4"/>
  <c r="D1145" i="4"/>
  <c r="C1145" i="4"/>
  <c r="B1145" i="4"/>
  <c r="A1145" i="4"/>
  <c r="F1144" i="4"/>
  <c r="E1144" i="4"/>
  <c r="D1144" i="4"/>
  <c r="C1144" i="4"/>
  <c r="B1144" i="4"/>
  <c r="A1144" i="4"/>
  <c r="F1143" i="4"/>
  <c r="E1143" i="4"/>
  <c r="D1143" i="4"/>
  <c r="C1143" i="4"/>
  <c r="B1143" i="4"/>
  <c r="A1143" i="4"/>
  <c r="F1142" i="4"/>
  <c r="E1142" i="4"/>
  <c r="D1142" i="4"/>
  <c r="C1142" i="4"/>
  <c r="B1142" i="4"/>
  <c r="A1142" i="4"/>
  <c r="F1141" i="4"/>
  <c r="E1141" i="4"/>
  <c r="D1141" i="4"/>
  <c r="C1141" i="4"/>
  <c r="B1141" i="4"/>
  <c r="A1141" i="4"/>
  <c r="F1140" i="4"/>
  <c r="E1140" i="4"/>
  <c r="D1140" i="4"/>
  <c r="C1140" i="4"/>
  <c r="B1140" i="4"/>
  <c r="A1140" i="4"/>
  <c r="F1139" i="4"/>
  <c r="E1139" i="4"/>
  <c r="D1139" i="4"/>
  <c r="C1139" i="4"/>
  <c r="B1139" i="4"/>
  <c r="A1139" i="4"/>
  <c r="F1138" i="4"/>
  <c r="E1138" i="4"/>
  <c r="D1138" i="4"/>
  <c r="C1138" i="4"/>
  <c r="B1138" i="4"/>
  <c r="A1138" i="4"/>
  <c r="F1137" i="4"/>
  <c r="E1137" i="4"/>
  <c r="D1137" i="4"/>
  <c r="C1137" i="4"/>
  <c r="B1137" i="4"/>
  <c r="A1137" i="4"/>
  <c r="F1136" i="4"/>
  <c r="E1136" i="4"/>
  <c r="D1136" i="4"/>
  <c r="C1136" i="4"/>
  <c r="B1136" i="4"/>
  <c r="A1136" i="4"/>
  <c r="F1135" i="4"/>
  <c r="E1135" i="4"/>
  <c r="D1135" i="4"/>
  <c r="C1135" i="4"/>
  <c r="B1135" i="4"/>
  <c r="A1135" i="4"/>
  <c r="F1134" i="4"/>
  <c r="E1134" i="4"/>
  <c r="D1134" i="4"/>
  <c r="C1134" i="4"/>
  <c r="B1134" i="4"/>
  <c r="A1134" i="4"/>
  <c r="F1133" i="4"/>
  <c r="E1133" i="4"/>
  <c r="D1133" i="4"/>
  <c r="C1133" i="4"/>
  <c r="B1133" i="4"/>
  <c r="A1133" i="4"/>
  <c r="F1132" i="4"/>
  <c r="E1132" i="4"/>
  <c r="D1132" i="4"/>
  <c r="C1132" i="4"/>
  <c r="B1132" i="4"/>
  <c r="A1132" i="4"/>
  <c r="F1131" i="4"/>
  <c r="E1131" i="4"/>
  <c r="D1131" i="4"/>
  <c r="C1131" i="4"/>
  <c r="B1131" i="4"/>
  <c r="A1131" i="4"/>
  <c r="F1130" i="4"/>
  <c r="E1130" i="4"/>
  <c r="D1130" i="4"/>
  <c r="C1130" i="4"/>
  <c r="B1130" i="4"/>
  <c r="A1130" i="4"/>
  <c r="F1129" i="4"/>
  <c r="E1129" i="4"/>
  <c r="D1129" i="4"/>
  <c r="C1129" i="4"/>
  <c r="B1129" i="4"/>
  <c r="A1129" i="4"/>
  <c r="F1128" i="4"/>
  <c r="E1128" i="4"/>
  <c r="D1128" i="4"/>
  <c r="C1128" i="4"/>
  <c r="B1128" i="4"/>
  <c r="A1128" i="4"/>
  <c r="F1127" i="4"/>
  <c r="E1127" i="4"/>
  <c r="D1127" i="4"/>
  <c r="C1127" i="4"/>
  <c r="B1127" i="4"/>
  <c r="A1127" i="4"/>
  <c r="F1126" i="4"/>
  <c r="E1126" i="4"/>
  <c r="D1126" i="4"/>
  <c r="C1126" i="4"/>
  <c r="B1126" i="4"/>
  <c r="A1126" i="4"/>
  <c r="F1125" i="4"/>
  <c r="E1125" i="4"/>
  <c r="D1125" i="4"/>
  <c r="C1125" i="4"/>
  <c r="B1125" i="4"/>
  <c r="A1125" i="4"/>
  <c r="F1124" i="4"/>
  <c r="E1124" i="4"/>
  <c r="D1124" i="4"/>
  <c r="C1124" i="4"/>
  <c r="B1124" i="4"/>
  <c r="A1124" i="4"/>
  <c r="F1123" i="4"/>
  <c r="E1123" i="4"/>
  <c r="D1123" i="4"/>
  <c r="C1123" i="4"/>
  <c r="B1123" i="4"/>
  <c r="A1123" i="4"/>
  <c r="F1122" i="4"/>
  <c r="E1122" i="4"/>
  <c r="D1122" i="4"/>
  <c r="C1122" i="4"/>
  <c r="B1122" i="4"/>
  <c r="A1122" i="4"/>
  <c r="F1121" i="4"/>
  <c r="E1121" i="4"/>
  <c r="D1121" i="4"/>
  <c r="C1121" i="4"/>
  <c r="B1121" i="4"/>
  <c r="A1121" i="4"/>
  <c r="F1120" i="4"/>
  <c r="E1120" i="4"/>
  <c r="D1120" i="4"/>
  <c r="C1120" i="4"/>
  <c r="B1120" i="4"/>
  <c r="A1120" i="4"/>
  <c r="F1119" i="4"/>
  <c r="E1119" i="4"/>
  <c r="D1119" i="4"/>
  <c r="C1119" i="4"/>
  <c r="B1119" i="4"/>
  <c r="A1119" i="4"/>
  <c r="F1118" i="4"/>
  <c r="E1118" i="4"/>
  <c r="D1118" i="4"/>
  <c r="C1118" i="4"/>
  <c r="B1118" i="4"/>
  <c r="A1118" i="4"/>
  <c r="F1117" i="4"/>
  <c r="E1117" i="4"/>
  <c r="D1117" i="4"/>
  <c r="C1117" i="4"/>
  <c r="B1117" i="4"/>
  <c r="A1117" i="4"/>
  <c r="F1116" i="4"/>
  <c r="E1116" i="4"/>
  <c r="D1116" i="4"/>
  <c r="C1116" i="4"/>
  <c r="B1116" i="4"/>
  <c r="A1116" i="4"/>
  <c r="F1115" i="4"/>
  <c r="E1115" i="4"/>
  <c r="D1115" i="4"/>
  <c r="C1115" i="4"/>
  <c r="B1115" i="4"/>
  <c r="A1115" i="4"/>
  <c r="F1114" i="4"/>
  <c r="E1114" i="4"/>
  <c r="D1114" i="4"/>
  <c r="C1114" i="4"/>
  <c r="B1114" i="4"/>
  <c r="A1114" i="4"/>
  <c r="F1113" i="4"/>
  <c r="E1113" i="4"/>
  <c r="D1113" i="4"/>
  <c r="C1113" i="4"/>
  <c r="B1113" i="4"/>
  <c r="A1113" i="4"/>
  <c r="F1112" i="4"/>
  <c r="E1112" i="4"/>
  <c r="D1112" i="4"/>
  <c r="C1112" i="4"/>
  <c r="B1112" i="4"/>
  <c r="A1112" i="4"/>
  <c r="F1111" i="4"/>
  <c r="E1111" i="4"/>
  <c r="D1111" i="4"/>
  <c r="C1111" i="4"/>
  <c r="B1111" i="4"/>
  <c r="A1111" i="4"/>
  <c r="F1110" i="4"/>
  <c r="E1110" i="4"/>
  <c r="D1110" i="4"/>
  <c r="C1110" i="4"/>
  <c r="B1110" i="4"/>
  <c r="A1110" i="4"/>
  <c r="F1109" i="4"/>
  <c r="E1109" i="4"/>
  <c r="D1109" i="4"/>
  <c r="C1109" i="4"/>
  <c r="B1109" i="4"/>
  <c r="A1109" i="4"/>
  <c r="F1108" i="4"/>
  <c r="E1108" i="4"/>
  <c r="D1108" i="4"/>
  <c r="C1108" i="4"/>
  <c r="B1108" i="4"/>
  <c r="A1108" i="4"/>
  <c r="F1107" i="4"/>
  <c r="E1107" i="4"/>
  <c r="D1107" i="4"/>
  <c r="C1107" i="4"/>
  <c r="B1107" i="4"/>
  <c r="A1107" i="4"/>
  <c r="F1106" i="4"/>
  <c r="E1106" i="4"/>
  <c r="D1106" i="4"/>
  <c r="C1106" i="4"/>
  <c r="B1106" i="4"/>
  <c r="A1106" i="4"/>
  <c r="F1105" i="4"/>
  <c r="E1105" i="4"/>
  <c r="D1105" i="4"/>
  <c r="C1105" i="4"/>
  <c r="B1105" i="4"/>
  <c r="A1105" i="4"/>
  <c r="F1104" i="4"/>
  <c r="E1104" i="4"/>
  <c r="D1104" i="4"/>
  <c r="C1104" i="4"/>
  <c r="B1104" i="4"/>
  <c r="A1104" i="4"/>
  <c r="F1103" i="4"/>
  <c r="E1103" i="4"/>
  <c r="D1103" i="4"/>
  <c r="C1103" i="4"/>
  <c r="B1103" i="4"/>
  <c r="A1103" i="4"/>
  <c r="F1102" i="4"/>
  <c r="E1102" i="4"/>
  <c r="D1102" i="4"/>
  <c r="C1102" i="4"/>
  <c r="B1102" i="4"/>
  <c r="A1102" i="4"/>
  <c r="F1101" i="4"/>
  <c r="E1101" i="4"/>
  <c r="D1101" i="4"/>
  <c r="C1101" i="4"/>
  <c r="B1101" i="4"/>
  <c r="A1101" i="4"/>
  <c r="F1100" i="4"/>
  <c r="E1100" i="4"/>
  <c r="D1100" i="4"/>
  <c r="C1100" i="4"/>
  <c r="B1100" i="4"/>
  <c r="A1100" i="4"/>
  <c r="F1099" i="4"/>
  <c r="E1099" i="4"/>
  <c r="D1099" i="4"/>
  <c r="C1099" i="4"/>
  <c r="B1099" i="4"/>
  <c r="A1099" i="4"/>
  <c r="F1098" i="4"/>
  <c r="E1098" i="4"/>
  <c r="D1098" i="4"/>
  <c r="C1098" i="4"/>
  <c r="B1098" i="4"/>
  <c r="A1098" i="4"/>
  <c r="F1097" i="4"/>
  <c r="E1097" i="4"/>
  <c r="D1097" i="4"/>
  <c r="C1097" i="4"/>
  <c r="B1097" i="4"/>
  <c r="A1097" i="4"/>
  <c r="F1096" i="4"/>
  <c r="E1096" i="4"/>
  <c r="D1096" i="4"/>
  <c r="C1096" i="4"/>
  <c r="B1096" i="4"/>
  <c r="A1096" i="4"/>
  <c r="F1095" i="4"/>
  <c r="E1095" i="4"/>
  <c r="D1095" i="4"/>
  <c r="C1095" i="4"/>
  <c r="B1095" i="4"/>
  <c r="A1095" i="4"/>
  <c r="F1094" i="4"/>
  <c r="E1094" i="4"/>
  <c r="D1094" i="4"/>
  <c r="C1094" i="4"/>
  <c r="B1094" i="4"/>
  <c r="A1094" i="4"/>
  <c r="F1093" i="4"/>
  <c r="E1093" i="4"/>
  <c r="D1093" i="4"/>
  <c r="C1093" i="4"/>
  <c r="B1093" i="4"/>
  <c r="A1093" i="4"/>
  <c r="F1092" i="4"/>
  <c r="E1092" i="4"/>
  <c r="D1092" i="4"/>
  <c r="C1092" i="4"/>
  <c r="B1092" i="4"/>
  <c r="A1092" i="4"/>
  <c r="F1091" i="4"/>
  <c r="E1091" i="4"/>
  <c r="D1091" i="4"/>
  <c r="C1091" i="4"/>
  <c r="B1091" i="4"/>
  <c r="A1091" i="4"/>
  <c r="F1090" i="4"/>
  <c r="E1090" i="4"/>
  <c r="D1090" i="4"/>
  <c r="C1090" i="4"/>
  <c r="B1090" i="4"/>
  <c r="A1090" i="4"/>
  <c r="F1089" i="4"/>
  <c r="E1089" i="4"/>
  <c r="D1089" i="4"/>
  <c r="C1089" i="4"/>
  <c r="B1089" i="4"/>
  <c r="A1089" i="4"/>
  <c r="F1088" i="4"/>
  <c r="E1088" i="4"/>
  <c r="D1088" i="4"/>
  <c r="C1088" i="4"/>
  <c r="B1088" i="4"/>
  <c r="A1088" i="4"/>
  <c r="F1087" i="4"/>
  <c r="E1087" i="4"/>
  <c r="D1087" i="4"/>
  <c r="C1087" i="4"/>
  <c r="B1087" i="4"/>
  <c r="A1087" i="4"/>
  <c r="F1086" i="4"/>
  <c r="E1086" i="4"/>
  <c r="D1086" i="4"/>
  <c r="C1086" i="4"/>
  <c r="B1086" i="4"/>
  <c r="A1086" i="4"/>
  <c r="F1085" i="4"/>
  <c r="E1085" i="4"/>
  <c r="D1085" i="4"/>
  <c r="C1085" i="4"/>
  <c r="B1085" i="4"/>
  <c r="A1085" i="4"/>
  <c r="F1084" i="4"/>
  <c r="E1084" i="4"/>
  <c r="D1084" i="4"/>
  <c r="C1084" i="4"/>
  <c r="B1084" i="4"/>
  <c r="A1084" i="4"/>
  <c r="F1083" i="4"/>
  <c r="E1083" i="4"/>
  <c r="D1083" i="4"/>
  <c r="C1083" i="4"/>
  <c r="B1083" i="4"/>
  <c r="A1083" i="4"/>
  <c r="F1082" i="4"/>
  <c r="E1082" i="4"/>
  <c r="D1082" i="4"/>
  <c r="C1082" i="4"/>
  <c r="B1082" i="4"/>
  <c r="A1082" i="4"/>
  <c r="F1081" i="4"/>
  <c r="E1081" i="4"/>
  <c r="D1081" i="4"/>
  <c r="C1081" i="4"/>
  <c r="B1081" i="4"/>
  <c r="A1081" i="4"/>
  <c r="F1080" i="4"/>
  <c r="E1080" i="4"/>
  <c r="D1080" i="4"/>
  <c r="C1080" i="4"/>
  <c r="B1080" i="4"/>
  <c r="A1080" i="4"/>
  <c r="F1079" i="4"/>
  <c r="E1079" i="4"/>
  <c r="D1079" i="4"/>
  <c r="C1079" i="4"/>
  <c r="B1079" i="4"/>
  <c r="A1079" i="4"/>
  <c r="F1078" i="4"/>
  <c r="E1078" i="4"/>
  <c r="D1078" i="4"/>
  <c r="C1078" i="4"/>
  <c r="B1078" i="4"/>
  <c r="A1078" i="4"/>
  <c r="F1077" i="4"/>
  <c r="E1077" i="4"/>
  <c r="D1077" i="4"/>
  <c r="C1077" i="4"/>
  <c r="B1077" i="4"/>
  <c r="A1077" i="4"/>
  <c r="F1076" i="4"/>
  <c r="E1076" i="4"/>
  <c r="D1076" i="4"/>
  <c r="C1076" i="4"/>
  <c r="B1076" i="4"/>
  <c r="A1076" i="4"/>
  <c r="F1075" i="4"/>
  <c r="E1075" i="4"/>
  <c r="D1075" i="4"/>
  <c r="C1075" i="4"/>
  <c r="B1075" i="4"/>
  <c r="A1075" i="4"/>
  <c r="F1074" i="4"/>
  <c r="E1074" i="4"/>
  <c r="D1074" i="4"/>
  <c r="C1074" i="4"/>
  <c r="B1074" i="4"/>
  <c r="A1074" i="4"/>
  <c r="F1073" i="4"/>
  <c r="E1073" i="4"/>
  <c r="D1073" i="4"/>
  <c r="C1073" i="4"/>
  <c r="B1073" i="4"/>
  <c r="A1073" i="4"/>
  <c r="F1072" i="4"/>
  <c r="E1072" i="4"/>
  <c r="D1072" i="4"/>
  <c r="C1072" i="4"/>
  <c r="B1072" i="4"/>
  <c r="A1072" i="4"/>
  <c r="F1071" i="4"/>
  <c r="E1071" i="4"/>
  <c r="D1071" i="4"/>
  <c r="C1071" i="4"/>
  <c r="B1071" i="4"/>
  <c r="A1071" i="4"/>
  <c r="F1070" i="4"/>
  <c r="E1070" i="4"/>
  <c r="D1070" i="4"/>
  <c r="C1070" i="4"/>
  <c r="B1070" i="4"/>
  <c r="A1070" i="4"/>
  <c r="F1069" i="4"/>
  <c r="E1069" i="4"/>
  <c r="D1069" i="4"/>
  <c r="C1069" i="4"/>
  <c r="B1069" i="4"/>
  <c r="A1069" i="4"/>
  <c r="F1068" i="4"/>
  <c r="E1068" i="4"/>
  <c r="D1068" i="4"/>
  <c r="C1068" i="4"/>
  <c r="B1068" i="4"/>
  <c r="A1068" i="4"/>
  <c r="F1067" i="4"/>
  <c r="E1067" i="4"/>
  <c r="D1067" i="4"/>
  <c r="C1067" i="4"/>
  <c r="B1067" i="4"/>
  <c r="A1067" i="4"/>
  <c r="F1066" i="4"/>
  <c r="E1066" i="4"/>
  <c r="D1066" i="4"/>
  <c r="C1066" i="4"/>
  <c r="B1066" i="4"/>
  <c r="A1066" i="4"/>
  <c r="F1065" i="4"/>
  <c r="E1065" i="4"/>
  <c r="D1065" i="4"/>
  <c r="C1065" i="4"/>
  <c r="B1065" i="4"/>
  <c r="A1065" i="4"/>
  <c r="F1064" i="4"/>
  <c r="E1064" i="4"/>
  <c r="D1064" i="4"/>
  <c r="C1064" i="4"/>
  <c r="B1064" i="4"/>
  <c r="A1064" i="4"/>
  <c r="F1063" i="4"/>
  <c r="E1063" i="4"/>
  <c r="D1063" i="4"/>
  <c r="C1063" i="4"/>
  <c r="B1063" i="4"/>
  <c r="A1063" i="4"/>
  <c r="F1062" i="4"/>
  <c r="E1062" i="4"/>
  <c r="D1062" i="4"/>
  <c r="C1062" i="4"/>
  <c r="B1062" i="4"/>
  <c r="A1062" i="4"/>
  <c r="F1061" i="4"/>
  <c r="E1061" i="4"/>
  <c r="D1061" i="4"/>
  <c r="C1061" i="4"/>
  <c r="B1061" i="4"/>
  <c r="A1061" i="4"/>
  <c r="F1060" i="4"/>
  <c r="E1060" i="4"/>
  <c r="D1060" i="4"/>
  <c r="C1060" i="4"/>
  <c r="B1060" i="4"/>
  <c r="A1060" i="4"/>
  <c r="F1059" i="4"/>
  <c r="E1059" i="4"/>
  <c r="D1059" i="4"/>
  <c r="C1059" i="4"/>
  <c r="B1059" i="4"/>
  <c r="A1059" i="4"/>
  <c r="F1058" i="4"/>
  <c r="E1058" i="4"/>
  <c r="D1058" i="4"/>
  <c r="C1058" i="4"/>
  <c r="B1058" i="4"/>
  <c r="A1058" i="4"/>
  <c r="F1057" i="4"/>
  <c r="E1057" i="4"/>
  <c r="D1057" i="4"/>
  <c r="C1057" i="4"/>
  <c r="B1057" i="4"/>
  <c r="A1057" i="4"/>
  <c r="F1056" i="4"/>
  <c r="E1056" i="4"/>
  <c r="D1056" i="4"/>
  <c r="C1056" i="4"/>
  <c r="B1056" i="4"/>
  <c r="A1056" i="4"/>
  <c r="F1055" i="4"/>
  <c r="E1055" i="4"/>
  <c r="D1055" i="4"/>
  <c r="C1055" i="4"/>
  <c r="B1055" i="4"/>
  <c r="A1055" i="4"/>
  <c r="F1054" i="4"/>
  <c r="E1054" i="4"/>
  <c r="D1054" i="4"/>
  <c r="C1054" i="4"/>
  <c r="B1054" i="4"/>
  <c r="A1054" i="4"/>
  <c r="F1053" i="4"/>
  <c r="E1053" i="4"/>
  <c r="D1053" i="4"/>
  <c r="C1053" i="4"/>
  <c r="B1053" i="4"/>
  <c r="A1053" i="4"/>
  <c r="F1052" i="4"/>
  <c r="E1052" i="4"/>
  <c r="D1052" i="4"/>
  <c r="C1052" i="4"/>
  <c r="B1052" i="4"/>
  <c r="A1052" i="4"/>
  <c r="F1051" i="4"/>
  <c r="E1051" i="4"/>
  <c r="D1051" i="4"/>
  <c r="C1051" i="4"/>
  <c r="B1051" i="4"/>
  <c r="A1051" i="4"/>
  <c r="F1050" i="4"/>
  <c r="E1050" i="4"/>
  <c r="D1050" i="4"/>
  <c r="C1050" i="4"/>
  <c r="B1050" i="4"/>
  <c r="A1050" i="4"/>
  <c r="F1049" i="4"/>
  <c r="E1049" i="4"/>
  <c r="D1049" i="4"/>
  <c r="C1049" i="4"/>
  <c r="B1049" i="4"/>
  <c r="A1049" i="4"/>
  <c r="F1048" i="4"/>
  <c r="E1048" i="4"/>
  <c r="D1048" i="4"/>
  <c r="C1048" i="4"/>
  <c r="B1048" i="4"/>
  <c r="A1048" i="4"/>
  <c r="F1047" i="4"/>
  <c r="E1047" i="4"/>
  <c r="D1047" i="4"/>
  <c r="C1047" i="4"/>
  <c r="B1047" i="4"/>
  <c r="A1047" i="4"/>
  <c r="F1046" i="4"/>
  <c r="E1046" i="4"/>
  <c r="D1046" i="4"/>
  <c r="C1046" i="4"/>
  <c r="B1046" i="4"/>
  <c r="A1046" i="4"/>
  <c r="F1045" i="4"/>
  <c r="E1045" i="4"/>
  <c r="D1045" i="4"/>
  <c r="C1045" i="4"/>
  <c r="B1045" i="4"/>
  <c r="A1045" i="4"/>
  <c r="F1044" i="4"/>
  <c r="E1044" i="4"/>
  <c r="D1044" i="4"/>
  <c r="C1044" i="4"/>
  <c r="B1044" i="4"/>
  <c r="A1044" i="4"/>
  <c r="F1043" i="4"/>
  <c r="E1043" i="4"/>
  <c r="D1043" i="4"/>
  <c r="C1043" i="4"/>
  <c r="B1043" i="4"/>
  <c r="A1043" i="4"/>
  <c r="F1042" i="4"/>
  <c r="E1042" i="4"/>
  <c r="D1042" i="4"/>
  <c r="C1042" i="4"/>
  <c r="B1042" i="4"/>
  <c r="A1042" i="4"/>
  <c r="F1041" i="4"/>
  <c r="E1041" i="4"/>
  <c r="D1041" i="4"/>
  <c r="C1041" i="4"/>
  <c r="B1041" i="4"/>
  <c r="A1041" i="4"/>
  <c r="F1040" i="4"/>
  <c r="E1040" i="4"/>
  <c r="D1040" i="4"/>
  <c r="C1040" i="4"/>
  <c r="B1040" i="4"/>
  <c r="A1040" i="4"/>
  <c r="F1039" i="4"/>
  <c r="E1039" i="4"/>
  <c r="D1039" i="4"/>
  <c r="C1039" i="4"/>
  <c r="B1039" i="4"/>
  <c r="A1039" i="4"/>
  <c r="F1038" i="4"/>
  <c r="E1038" i="4"/>
  <c r="D1038" i="4"/>
  <c r="C1038" i="4"/>
  <c r="B1038" i="4"/>
  <c r="A1038" i="4"/>
  <c r="F1037" i="4"/>
  <c r="E1037" i="4"/>
  <c r="D1037" i="4"/>
  <c r="C1037" i="4"/>
  <c r="B1037" i="4"/>
  <c r="A1037" i="4"/>
  <c r="F1036" i="4"/>
  <c r="E1036" i="4"/>
  <c r="D1036" i="4"/>
  <c r="C1036" i="4"/>
  <c r="B1036" i="4"/>
  <c r="A1036" i="4"/>
  <c r="F1035" i="4"/>
  <c r="E1035" i="4"/>
  <c r="D1035" i="4"/>
  <c r="C1035" i="4"/>
  <c r="B1035" i="4"/>
  <c r="A1035" i="4"/>
  <c r="F1034" i="4"/>
  <c r="E1034" i="4"/>
  <c r="D1034" i="4"/>
  <c r="C1034" i="4"/>
  <c r="B1034" i="4"/>
  <c r="A1034" i="4"/>
  <c r="F1033" i="4"/>
  <c r="E1033" i="4"/>
  <c r="D1033" i="4"/>
  <c r="C1033" i="4"/>
  <c r="B1033" i="4"/>
  <c r="A1033" i="4"/>
  <c r="F1032" i="4"/>
  <c r="E1032" i="4"/>
  <c r="D1032" i="4"/>
  <c r="C1032" i="4"/>
  <c r="B1032" i="4"/>
  <c r="A1032" i="4"/>
  <c r="F1031" i="4"/>
  <c r="E1031" i="4"/>
  <c r="D1031" i="4"/>
  <c r="C1031" i="4"/>
  <c r="B1031" i="4"/>
  <c r="A1031" i="4"/>
  <c r="F1030" i="4"/>
  <c r="E1030" i="4"/>
  <c r="D1030" i="4"/>
  <c r="C1030" i="4"/>
  <c r="B1030" i="4"/>
  <c r="A1030" i="4"/>
  <c r="F1029" i="4"/>
  <c r="E1029" i="4"/>
  <c r="D1029" i="4"/>
  <c r="C1029" i="4"/>
  <c r="B1029" i="4"/>
  <c r="A1029" i="4"/>
  <c r="F1028" i="4"/>
  <c r="E1028" i="4"/>
  <c r="D1028" i="4"/>
  <c r="C1028" i="4"/>
  <c r="B1028" i="4"/>
  <c r="A1028" i="4"/>
  <c r="F1027" i="4"/>
  <c r="E1027" i="4"/>
  <c r="D1027" i="4"/>
  <c r="C1027" i="4"/>
  <c r="B1027" i="4"/>
  <c r="A1027" i="4"/>
  <c r="F1026" i="4"/>
  <c r="E1026" i="4"/>
  <c r="D1026" i="4"/>
  <c r="C1026" i="4"/>
  <c r="B1026" i="4"/>
  <c r="A1026" i="4"/>
  <c r="F1025" i="4"/>
  <c r="E1025" i="4"/>
  <c r="D1025" i="4"/>
  <c r="C1025" i="4"/>
  <c r="B1025" i="4"/>
  <c r="A1025" i="4"/>
  <c r="F1024" i="4"/>
  <c r="E1024" i="4"/>
  <c r="D1024" i="4"/>
  <c r="C1024" i="4"/>
  <c r="B1024" i="4"/>
  <c r="A1024" i="4"/>
  <c r="F1023" i="4"/>
  <c r="E1023" i="4"/>
  <c r="D1023" i="4"/>
  <c r="C1023" i="4"/>
  <c r="B1023" i="4"/>
  <c r="A1023" i="4"/>
  <c r="F1022" i="4"/>
  <c r="E1022" i="4"/>
  <c r="D1022" i="4"/>
  <c r="C1022" i="4"/>
  <c r="B1022" i="4"/>
  <c r="A1022" i="4"/>
  <c r="F1021" i="4"/>
  <c r="E1021" i="4"/>
  <c r="D1021" i="4"/>
  <c r="C1021" i="4"/>
  <c r="B1021" i="4"/>
  <c r="A1021" i="4"/>
  <c r="F1020" i="4"/>
  <c r="E1020" i="4"/>
  <c r="D1020" i="4"/>
  <c r="C1020" i="4"/>
  <c r="B1020" i="4"/>
  <c r="A1020" i="4"/>
  <c r="F1019" i="4"/>
  <c r="E1019" i="4"/>
  <c r="D1019" i="4"/>
  <c r="C1019" i="4"/>
  <c r="B1019" i="4"/>
  <c r="A1019" i="4"/>
  <c r="F1018" i="4"/>
  <c r="E1018" i="4"/>
  <c r="D1018" i="4"/>
  <c r="C1018" i="4"/>
  <c r="B1018" i="4"/>
  <c r="A1018" i="4"/>
  <c r="F1017" i="4"/>
  <c r="E1017" i="4"/>
  <c r="D1017" i="4"/>
  <c r="C1017" i="4"/>
  <c r="B1017" i="4"/>
  <c r="A1017" i="4"/>
  <c r="F1016" i="4"/>
  <c r="E1016" i="4"/>
  <c r="D1016" i="4"/>
  <c r="C1016" i="4"/>
  <c r="B1016" i="4"/>
  <c r="A1016" i="4"/>
  <c r="F1015" i="4"/>
  <c r="E1015" i="4"/>
  <c r="D1015" i="4"/>
  <c r="C1015" i="4"/>
  <c r="B1015" i="4"/>
  <c r="A1015" i="4"/>
  <c r="F1014" i="4"/>
  <c r="E1014" i="4"/>
  <c r="D1014" i="4"/>
  <c r="C1014" i="4"/>
  <c r="B1014" i="4"/>
  <c r="A1014" i="4"/>
  <c r="F1013" i="4"/>
  <c r="E1013" i="4"/>
  <c r="D1013" i="4"/>
  <c r="C1013" i="4"/>
  <c r="B1013" i="4"/>
  <c r="A1013" i="4"/>
  <c r="F1012" i="4"/>
  <c r="E1012" i="4"/>
  <c r="D1012" i="4"/>
  <c r="C1012" i="4"/>
  <c r="B1012" i="4"/>
  <c r="A1012" i="4"/>
  <c r="F1011" i="4"/>
  <c r="E1011" i="4"/>
  <c r="D1011" i="4"/>
  <c r="C1011" i="4"/>
  <c r="B1011" i="4"/>
  <c r="A1011" i="4"/>
  <c r="F1010" i="4"/>
  <c r="E1010" i="4"/>
  <c r="D1010" i="4"/>
  <c r="C1010" i="4"/>
  <c r="B1010" i="4"/>
  <c r="A1010" i="4"/>
  <c r="F1009" i="4"/>
  <c r="E1009" i="4"/>
  <c r="D1009" i="4"/>
  <c r="C1009" i="4"/>
  <c r="B1009" i="4"/>
  <c r="A1009" i="4"/>
  <c r="F1008" i="4"/>
  <c r="E1008" i="4"/>
  <c r="D1008" i="4"/>
  <c r="C1008" i="4"/>
  <c r="B1008" i="4"/>
  <c r="A1008" i="4"/>
  <c r="F1007" i="4"/>
  <c r="E1007" i="4"/>
  <c r="D1007" i="4"/>
  <c r="C1007" i="4"/>
  <c r="B1007" i="4"/>
  <c r="A1007" i="4"/>
  <c r="F1006" i="4"/>
  <c r="E1006" i="4"/>
  <c r="D1006" i="4"/>
  <c r="C1006" i="4"/>
  <c r="B1006" i="4"/>
  <c r="A1006" i="4"/>
  <c r="F1005" i="4"/>
  <c r="E1005" i="4"/>
  <c r="D1005" i="4"/>
  <c r="C1005" i="4"/>
  <c r="B1005" i="4"/>
  <c r="A1005" i="4"/>
  <c r="F1004" i="4"/>
  <c r="E1004" i="4"/>
  <c r="D1004" i="4"/>
  <c r="C1004" i="4"/>
  <c r="B1004" i="4"/>
  <c r="A1004" i="4"/>
  <c r="F1003" i="4"/>
  <c r="E1003" i="4"/>
  <c r="D1003" i="4"/>
  <c r="C1003" i="4"/>
  <c r="B1003" i="4"/>
  <c r="A1003" i="4"/>
  <c r="F1002" i="4"/>
  <c r="E1002" i="4"/>
  <c r="D1002" i="4"/>
  <c r="C1002" i="4"/>
  <c r="B1002" i="4"/>
  <c r="A1002" i="4"/>
  <c r="F1001" i="4"/>
  <c r="E1001" i="4"/>
  <c r="D1001" i="4"/>
  <c r="C1001" i="4"/>
  <c r="B1001" i="4"/>
  <c r="A1001" i="4"/>
  <c r="F1000" i="4"/>
  <c r="E1000" i="4"/>
  <c r="D1000" i="4"/>
  <c r="C1000" i="4"/>
  <c r="B1000" i="4"/>
  <c r="A1000" i="4"/>
  <c r="F999" i="4"/>
  <c r="E999" i="4"/>
  <c r="D999" i="4"/>
  <c r="C999" i="4"/>
  <c r="B999" i="4"/>
  <c r="A999" i="4"/>
  <c r="F998" i="4"/>
  <c r="E998" i="4"/>
  <c r="D998" i="4"/>
  <c r="C998" i="4"/>
  <c r="B998" i="4"/>
  <c r="A998" i="4"/>
  <c r="F997" i="4"/>
  <c r="E997" i="4"/>
  <c r="D997" i="4"/>
  <c r="C997" i="4"/>
  <c r="B997" i="4"/>
  <c r="A997" i="4"/>
  <c r="F996" i="4"/>
  <c r="E996" i="4"/>
  <c r="D996" i="4"/>
  <c r="C996" i="4"/>
  <c r="B996" i="4"/>
  <c r="A996" i="4"/>
  <c r="F995" i="4"/>
  <c r="E995" i="4"/>
  <c r="D995" i="4"/>
  <c r="C995" i="4"/>
  <c r="B995" i="4"/>
  <c r="A995" i="4"/>
  <c r="F994" i="4"/>
  <c r="E994" i="4"/>
  <c r="D994" i="4"/>
  <c r="C994" i="4"/>
  <c r="B994" i="4"/>
  <c r="A994" i="4"/>
  <c r="F993" i="4"/>
  <c r="E993" i="4"/>
  <c r="D993" i="4"/>
  <c r="C993" i="4"/>
  <c r="B993" i="4"/>
  <c r="A993" i="4"/>
  <c r="F992" i="4"/>
  <c r="E992" i="4"/>
  <c r="D992" i="4"/>
  <c r="C992" i="4"/>
  <c r="B992" i="4"/>
  <c r="A992" i="4"/>
  <c r="F991" i="4"/>
  <c r="E991" i="4"/>
  <c r="D991" i="4"/>
  <c r="C991" i="4"/>
  <c r="B991" i="4"/>
  <c r="A991" i="4"/>
  <c r="F990" i="4"/>
  <c r="E990" i="4"/>
  <c r="D990" i="4"/>
  <c r="C990" i="4"/>
  <c r="B990" i="4"/>
  <c r="A990" i="4"/>
  <c r="F989" i="4"/>
  <c r="E989" i="4"/>
  <c r="D989" i="4"/>
  <c r="C989" i="4"/>
  <c r="B989" i="4"/>
  <c r="A989" i="4"/>
  <c r="F988" i="4"/>
  <c r="E988" i="4"/>
  <c r="D988" i="4"/>
  <c r="C988" i="4"/>
  <c r="B988" i="4"/>
  <c r="A988" i="4"/>
  <c r="F987" i="4"/>
  <c r="E987" i="4"/>
  <c r="D987" i="4"/>
  <c r="C987" i="4"/>
  <c r="B987" i="4"/>
  <c r="A987" i="4"/>
  <c r="F986" i="4"/>
  <c r="E986" i="4"/>
  <c r="D986" i="4"/>
  <c r="C986" i="4"/>
  <c r="B986" i="4"/>
  <c r="A986" i="4"/>
  <c r="F985" i="4"/>
  <c r="E985" i="4"/>
  <c r="D985" i="4"/>
  <c r="C985" i="4"/>
  <c r="B985" i="4"/>
  <c r="A985" i="4"/>
  <c r="F984" i="4"/>
  <c r="E984" i="4"/>
  <c r="D984" i="4"/>
  <c r="C984" i="4"/>
  <c r="B984" i="4"/>
  <c r="A984" i="4"/>
  <c r="F983" i="4"/>
  <c r="E983" i="4"/>
  <c r="D983" i="4"/>
  <c r="C983" i="4"/>
  <c r="B983" i="4"/>
  <c r="A983" i="4"/>
  <c r="F982" i="4"/>
  <c r="E982" i="4"/>
  <c r="D982" i="4"/>
  <c r="C982" i="4"/>
  <c r="B982" i="4"/>
  <c r="A982" i="4"/>
  <c r="F981" i="4"/>
  <c r="E981" i="4"/>
  <c r="D981" i="4"/>
  <c r="C981" i="4"/>
  <c r="B981" i="4"/>
  <c r="A981" i="4"/>
  <c r="F980" i="4"/>
  <c r="E980" i="4"/>
  <c r="D980" i="4"/>
  <c r="C980" i="4"/>
  <c r="B980" i="4"/>
  <c r="A980" i="4"/>
  <c r="F979" i="4"/>
  <c r="E979" i="4"/>
  <c r="D979" i="4"/>
  <c r="C979" i="4"/>
  <c r="B979" i="4"/>
  <c r="A979" i="4"/>
  <c r="F978" i="4"/>
  <c r="E978" i="4"/>
  <c r="D978" i="4"/>
  <c r="C978" i="4"/>
  <c r="B978" i="4"/>
  <c r="A978" i="4"/>
  <c r="F977" i="4"/>
  <c r="E977" i="4"/>
  <c r="D977" i="4"/>
  <c r="C977" i="4"/>
  <c r="B977" i="4"/>
  <c r="A977" i="4"/>
  <c r="F976" i="4"/>
  <c r="E976" i="4"/>
  <c r="D976" i="4"/>
  <c r="C976" i="4"/>
  <c r="B976" i="4"/>
  <c r="A976" i="4"/>
  <c r="F975" i="4"/>
  <c r="E975" i="4"/>
  <c r="D975" i="4"/>
  <c r="C975" i="4"/>
  <c r="B975" i="4"/>
  <c r="A975" i="4"/>
  <c r="F974" i="4"/>
  <c r="E974" i="4"/>
  <c r="D974" i="4"/>
  <c r="C974" i="4"/>
  <c r="B974" i="4"/>
  <c r="A974" i="4"/>
  <c r="F973" i="4"/>
  <c r="E973" i="4"/>
  <c r="D973" i="4"/>
  <c r="C973" i="4"/>
  <c r="B973" i="4"/>
  <c r="A973" i="4"/>
  <c r="F972" i="4"/>
  <c r="E972" i="4"/>
  <c r="D972" i="4"/>
  <c r="C972" i="4"/>
  <c r="B972" i="4"/>
  <c r="A972" i="4"/>
  <c r="F971" i="4"/>
  <c r="E971" i="4"/>
  <c r="D971" i="4"/>
  <c r="C971" i="4"/>
  <c r="B971" i="4"/>
  <c r="A971" i="4"/>
  <c r="F970" i="4"/>
  <c r="E970" i="4"/>
  <c r="D970" i="4"/>
  <c r="C970" i="4"/>
  <c r="B970" i="4"/>
  <c r="A970" i="4"/>
  <c r="F969" i="4"/>
  <c r="E969" i="4"/>
  <c r="D969" i="4"/>
  <c r="C969" i="4"/>
  <c r="B969" i="4"/>
  <c r="A969" i="4"/>
  <c r="F968" i="4"/>
  <c r="E968" i="4"/>
  <c r="D968" i="4"/>
  <c r="C968" i="4"/>
  <c r="B968" i="4"/>
  <c r="A968" i="4"/>
  <c r="F967" i="4"/>
  <c r="E967" i="4"/>
  <c r="D967" i="4"/>
  <c r="C967" i="4"/>
  <c r="B967" i="4"/>
  <c r="A967" i="4"/>
  <c r="F966" i="4"/>
  <c r="E966" i="4"/>
  <c r="D966" i="4"/>
  <c r="C966" i="4"/>
  <c r="B966" i="4"/>
  <c r="A966" i="4"/>
  <c r="F965" i="4"/>
  <c r="E965" i="4"/>
  <c r="D965" i="4"/>
  <c r="C965" i="4"/>
  <c r="B965" i="4"/>
  <c r="A965" i="4"/>
  <c r="F964" i="4"/>
  <c r="E964" i="4"/>
  <c r="D964" i="4"/>
  <c r="C964" i="4"/>
  <c r="B964" i="4"/>
  <c r="A964" i="4"/>
  <c r="F963" i="4"/>
  <c r="E963" i="4"/>
  <c r="D963" i="4"/>
  <c r="C963" i="4"/>
  <c r="B963" i="4"/>
  <c r="A963" i="4"/>
  <c r="F962" i="4"/>
  <c r="E962" i="4"/>
  <c r="D962" i="4"/>
  <c r="C962" i="4"/>
  <c r="B962" i="4"/>
  <c r="A962" i="4"/>
  <c r="F961" i="4"/>
  <c r="E961" i="4"/>
  <c r="D961" i="4"/>
  <c r="C961" i="4"/>
  <c r="B961" i="4"/>
  <c r="A961" i="4"/>
  <c r="F960" i="4"/>
  <c r="E960" i="4"/>
  <c r="D960" i="4"/>
  <c r="C960" i="4"/>
  <c r="B960" i="4"/>
  <c r="A960" i="4"/>
  <c r="F959" i="4"/>
  <c r="E959" i="4"/>
  <c r="D959" i="4"/>
  <c r="C959" i="4"/>
  <c r="B959" i="4"/>
  <c r="A959" i="4"/>
  <c r="F958" i="4"/>
  <c r="E958" i="4"/>
  <c r="D958" i="4"/>
  <c r="C958" i="4"/>
  <c r="B958" i="4"/>
  <c r="A958" i="4"/>
  <c r="F957" i="4"/>
  <c r="E957" i="4"/>
  <c r="D957" i="4"/>
  <c r="C957" i="4"/>
  <c r="B957" i="4"/>
  <c r="A957" i="4"/>
  <c r="F956" i="4"/>
  <c r="E956" i="4"/>
  <c r="D956" i="4"/>
  <c r="C956" i="4"/>
  <c r="B956" i="4"/>
  <c r="A956" i="4"/>
  <c r="F955" i="4"/>
  <c r="E955" i="4"/>
  <c r="D955" i="4"/>
  <c r="C955" i="4"/>
  <c r="B955" i="4"/>
  <c r="A955" i="4"/>
  <c r="F954" i="4"/>
  <c r="E954" i="4"/>
  <c r="D954" i="4"/>
  <c r="C954" i="4"/>
  <c r="B954" i="4"/>
  <c r="A954" i="4"/>
  <c r="F953" i="4"/>
  <c r="E953" i="4"/>
  <c r="D953" i="4"/>
  <c r="C953" i="4"/>
  <c r="B953" i="4"/>
  <c r="A953" i="4"/>
  <c r="F952" i="4"/>
  <c r="E952" i="4"/>
  <c r="D952" i="4"/>
  <c r="C952" i="4"/>
  <c r="B952" i="4"/>
  <c r="A952" i="4"/>
  <c r="F951" i="4"/>
  <c r="E951" i="4"/>
  <c r="D951" i="4"/>
  <c r="C951" i="4"/>
  <c r="B951" i="4"/>
  <c r="A951" i="4"/>
  <c r="F950" i="4"/>
  <c r="E950" i="4"/>
  <c r="D950" i="4"/>
  <c r="C950" i="4"/>
  <c r="B950" i="4"/>
  <c r="A950" i="4"/>
  <c r="F949" i="4"/>
  <c r="E949" i="4"/>
  <c r="D949" i="4"/>
  <c r="C949" i="4"/>
  <c r="B949" i="4"/>
  <c r="A949" i="4"/>
  <c r="F948" i="4"/>
  <c r="E948" i="4"/>
  <c r="D948" i="4"/>
  <c r="C948" i="4"/>
  <c r="B948" i="4"/>
  <c r="A948" i="4"/>
  <c r="F947" i="4"/>
  <c r="E947" i="4"/>
  <c r="D947" i="4"/>
  <c r="C947" i="4"/>
  <c r="B947" i="4"/>
  <c r="A947" i="4"/>
  <c r="F946" i="4"/>
  <c r="E946" i="4"/>
  <c r="D946" i="4"/>
  <c r="C946" i="4"/>
  <c r="B946" i="4"/>
  <c r="A946" i="4"/>
  <c r="F945" i="4"/>
  <c r="E945" i="4"/>
  <c r="D945" i="4"/>
  <c r="C945" i="4"/>
  <c r="B945" i="4"/>
  <c r="A945" i="4"/>
  <c r="F944" i="4"/>
  <c r="E944" i="4"/>
  <c r="D944" i="4"/>
  <c r="C944" i="4"/>
  <c r="B944" i="4"/>
  <c r="A944" i="4"/>
  <c r="F943" i="4"/>
  <c r="E943" i="4"/>
  <c r="D943" i="4"/>
  <c r="C943" i="4"/>
  <c r="B943" i="4"/>
  <c r="A943" i="4"/>
  <c r="F942" i="4"/>
  <c r="E942" i="4"/>
  <c r="D942" i="4"/>
  <c r="C942" i="4"/>
  <c r="B942" i="4"/>
  <c r="A942" i="4"/>
  <c r="F941" i="4"/>
  <c r="E941" i="4"/>
  <c r="D941" i="4"/>
  <c r="C941" i="4"/>
  <c r="B941" i="4"/>
  <c r="A941" i="4"/>
  <c r="F940" i="4"/>
  <c r="E940" i="4"/>
  <c r="D940" i="4"/>
  <c r="C940" i="4"/>
  <c r="B940" i="4"/>
  <c r="A940" i="4"/>
  <c r="F939" i="4"/>
  <c r="E939" i="4"/>
  <c r="D939" i="4"/>
  <c r="C939" i="4"/>
  <c r="B939" i="4"/>
  <c r="A939" i="4"/>
  <c r="F938" i="4"/>
  <c r="E938" i="4"/>
  <c r="D938" i="4"/>
  <c r="C938" i="4"/>
  <c r="B938" i="4"/>
  <c r="A938" i="4"/>
  <c r="F937" i="4"/>
  <c r="E937" i="4"/>
  <c r="D937" i="4"/>
  <c r="C937" i="4"/>
  <c r="B937" i="4"/>
  <c r="A937" i="4"/>
  <c r="F936" i="4"/>
  <c r="E936" i="4"/>
  <c r="D936" i="4"/>
  <c r="C936" i="4"/>
  <c r="B936" i="4"/>
  <c r="A936" i="4"/>
  <c r="F935" i="4"/>
  <c r="E935" i="4"/>
  <c r="D935" i="4"/>
  <c r="C935" i="4"/>
  <c r="B935" i="4"/>
  <c r="A935" i="4"/>
  <c r="F934" i="4"/>
  <c r="E934" i="4"/>
  <c r="D934" i="4"/>
  <c r="C934" i="4"/>
  <c r="B934" i="4"/>
  <c r="A934" i="4"/>
  <c r="F933" i="4"/>
  <c r="E933" i="4"/>
  <c r="D933" i="4"/>
  <c r="C933" i="4"/>
  <c r="B933" i="4"/>
  <c r="A933" i="4"/>
  <c r="F932" i="4"/>
  <c r="E932" i="4"/>
  <c r="D932" i="4"/>
  <c r="C932" i="4"/>
  <c r="B932" i="4"/>
  <c r="A932" i="4"/>
  <c r="F931" i="4"/>
  <c r="E931" i="4"/>
  <c r="D931" i="4"/>
  <c r="C931" i="4"/>
  <c r="B931" i="4"/>
  <c r="A931" i="4"/>
  <c r="F930" i="4"/>
  <c r="E930" i="4"/>
  <c r="D930" i="4"/>
  <c r="C930" i="4"/>
  <c r="B930" i="4"/>
  <c r="A930" i="4"/>
  <c r="F929" i="4"/>
  <c r="E929" i="4"/>
  <c r="D929" i="4"/>
  <c r="C929" i="4"/>
  <c r="B929" i="4"/>
  <c r="A929" i="4"/>
  <c r="F928" i="4"/>
  <c r="E928" i="4"/>
  <c r="D928" i="4"/>
  <c r="C928" i="4"/>
  <c r="B928" i="4"/>
  <c r="A928" i="4"/>
  <c r="F927" i="4"/>
  <c r="E927" i="4"/>
  <c r="D927" i="4"/>
  <c r="C927" i="4"/>
  <c r="B927" i="4"/>
  <c r="A927" i="4"/>
  <c r="F926" i="4"/>
  <c r="E926" i="4"/>
  <c r="D926" i="4"/>
  <c r="C926" i="4"/>
  <c r="B926" i="4"/>
  <c r="A926" i="4"/>
  <c r="F925" i="4"/>
  <c r="E925" i="4"/>
  <c r="D925" i="4"/>
  <c r="C925" i="4"/>
  <c r="B925" i="4"/>
  <c r="A925" i="4"/>
  <c r="F924" i="4"/>
  <c r="E924" i="4"/>
  <c r="D924" i="4"/>
  <c r="C924" i="4"/>
  <c r="B924" i="4"/>
  <c r="A924" i="4"/>
  <c r="F923" i="4"/>
  <c r="E923" i="4"/>
  <c r="D923" i="4"/>
  <c r="C923" i="4"/>
  <c r="B923" i="4"/>
  <c r="A923" i="4"/>
  <c r="F922" i="4"/>
  <c r="E922" i="4"/>
  <c r="D922" i="4"/>
  <c r="C922" i="4"/>
  <c r="B922" i="4"/>
  <c r="A922" i="4"/>
  <c r="F921" i="4"/>
  <c r="E921" i="4"/>
  <c r="D921" i="4"/>
  <c r="C921" i="4"/>
  <c r="B921" i="4"/>
  <c r="A921" i="4"/>
  <c r="F920" i="4"/>
  <c r="E920" i="4"/>
  <c r="D920" i="4"/>
  <c r="C920" i="4"/>
  <c r="B920" i="4"/>
  <c r="A920" i="4"/>
  <c r="F919" i="4"/>
  <c r="E919" i="4"/>
  <c r="D919" i="4"/>
  <c r="C919" i="4"/>
  <c r="B919" i="4"/>
  <c r="A919" i="4"/>
  <c r="F918" i="4"/>
  <c r="E918" i="4"/>
  <c r="D918" i="4"/>
  <c r="C918" i="4"/>
  <c r="B918" i="4"/>
  <c r="A918" i="4"/>
  <c r="F917" i="4"/>
  <c r="E917" i="4"/>
  <c r="D917" i="4"/>
  <c r="C917" i="4"/>
  <c r="B917" i="4"/>
  <c r="A917" i="4"/>
  <c r="F916" i="4"/>
  <c r="E916" i="4"/>
  <c r="D916" i="4"/>
  <c r="C916" i="4"/>
  <c r="B916" i="4"/>
  <c r="A916" i="4"/>
  <c r="F915" i="4"/>
  <c r="E915" i="4"/>
  <c r="D915" i="4"/>
  <c r="C915" i="4"/>
  <c r="B915" i="4"/>
  <c r="A915" i="4"/>
  <c r="F914" i="4"/>
  <c r="E914" i="4"/>
  <c r="D914" i="4"/>
  <c r="C914" i="4"/>
  <c r="B914" i="4"/>
  <c r="A914" i="4"/>
  <c r="F913" i="4"/>
  <c r="E913" i="4"/>
  <c r="D913" i="4"/>
  <c r="C913" i="4"/>
  <c r="B913" i="4"/>
  <c r="A913" i="4"/>
  <c r="F912" i="4"/>
  <c r="E912" i="4"/>
  <c r="D912" i="4"/>
  <c r="C912" i="4"/>
  <c r="B912" i="4"/>
  <c r="A912" i="4"/>
  <c r="F911" i="4"/>
  <c r="E911" i="4"/>
  <c r="D911" i="4"/>
  <c r="C911" i="4"/>
  <c r="B911" i="4"/>
  <c r="A911" i="4"/>
  <c r="F910" i="4"/>
  <c r="E910" i="4"/>
  <c r="D910" i="4"/>
  <c r="C910" i="4"/>
  <c r="B910" i="4"/>
  <c r="A910" i="4"/>
  <c r="F909" i="4"/>
  <c r="E909" i="4"/>
  <c r="D909" i="4"/>
  <c r="C909" i="4"/>
  <c r="B909" i="4"/>
  <c r="A909" i="4"/>
  <c r="F908" i="4"/>
  <c r="E908" i="4"/>
  <c r="D908" i="4"/>
  <c r="C908" i="4"/>
  <c r="B908" i="4"/>
  <c r="A908" i="4"/>
  <c r="F907" i="4"/>
  <c r="E907" i="4"/>
  <c r="D907" i="4"/>
  <c r="C907" i="4"/>
  <c r="B907" i="4"/>
  <c r="A907" i="4"/>
  <c r="F906" i="4"/>
  <c r="E906" i="4"/>
  <c r="D906" i="4"/>
  <c r="C906" i="4"/>
  <c r="B906" i="4"/>
  <c r="A906" i="4"/>
  <c r="F905" i="4"/>
  <c r="E905" i="4"/>
  <c r="D905" i="4"/>
  <c r="C905" i="4"/>
  <c r="B905" i="4"/>
  <c r="A905" i="4"/>
  <c r="F904" i="4"/>
  <c r="E904" i="4"/>
  <c r="D904" i="4"/>
  <c r="C904" i="4"/>
  <c r="B904" i="4"/>
  <c r="A904" i="4"/>
  <c r="F903" i="4"/>
  <c r="E903" i="4"/>
  <c r="D903" i="4"/>
  <c r="C903" i="4"/>
  <c r="B903" i="4"/>
  <c r="A903" i="4"/>
  <c r="F902" i="4"/>
  <c r="E902" i="4"/>
  <c r="D902" i="4"/>
  <c r="C902" i="4"/>
  <c r="B902" i="4"/>
  <c r="A902" i="4"/>
  <c r="F901" i="4"/>
  <c r="E901" i="4"/>
  <c r="D901" i="4"/>
  <c r="C901" i="4"/>
  <c r="B901" i="4"/>
  <c r="A901" i="4"/>
  <c r="F900" i="4"/>
  <c r="E900" i="4"/>
  <c r="D900" i="4"/>
  <c r="C900" i="4"/>
  <c r="B900" i="4"/>
  <c r="A900" i="4"/>
  <c r="F899" i="4"/>
  <c r="E899" i="4"/>
  <c r="D899" i="4"/>
  <c r="C899" i="4"/>
  <c r="B899" i="4"/>
  <c r="A899" i="4"/>
  <c r="F898" i="4"/>
  <c r="E898" i="4"/>
  <c r="D898" i="4"/>
  <c r="C898" i="4"/>
  <c r="B898" i="4"/>
  <c r="A898" i="4"/>
  <c r="F897" i="4"/>
  <c r="E897" i="4"/>
  <c r="D897" i="4"/>
  <c r="C897" i="4"/>
  <c r="B897" i="4"/>
  <c r="A897" i="4"/>
  <c r="F896" i="4"/>
  <c r="E896" i="4"/>
  <c r="D896" i="4"/>
  <c r="C896" i="4"/>
  <c r="B896" i="4"/>
  <c r="A896" i="4"/>
  <c r="F895" i="4"/>
  <c r="E895" i="4"/>
  <c r="D895" i="4"/>
  <c r="C895" i="4"/>
  <c r="B895" i="4"/>
  <c r="A895" i="4"/>
  <c r="F894" i="4"/>
  <c r="E894" i="4"/>
  <c r="D894" i="4"/>
  <c r="C894" i="4"/>
  <c r="B894" i="4"/>
  <c r="A894" i="4"/>
  <c r="F893" i="4"/>
  <c r="E893" i="4"/>
  <c r="D893" i="4"/>
  <c r="C893" i="4"/>
  <c r="B893" i="4"/>
  <c r="A893" i="4"/>
  <c r="F892" i="4"/>
  <c r="E892" i="4"/>
  <c r="D892" i="4"/>
  <c r="C892" i="4"/>
  <c r="B892" i="4"/>
  <c r="A892" i="4"/>
  <c r="F891" i="4"/>
  <c r="E891" i="4"/>
  <c r="D891" i="4"/>
  <c r="C891" i="4"/>
  <c r="B891" i="4"/>
  <c r="A891" i="4"/>
  <c r="F890" i="4"/>
  <c r="E890" i="4"/>
  <c r="D890" i="4"/>
  <c r="C890" i="4"/>
  <c r="B890" i="4"/>
  <c r="A890" i="4"/>
  <c r="F889" i="4"/>
  <c r="E889" i="4"/>
  <c r="D889" i="4"/>
  <c r="C889" i="4"/>
  <c r="B889" i="4"/>
  <c r="A889" i="4"/>
  <c r="F888" i="4"/>
  <c r="E888" i="4"/>
  <c r="D888" i="4"/>
  <c r="C888" i="4"/>
  <c r="B888" i="4"/>
  <c r="A888" i="4"/>
  <c r="F887" i="4"/>
  <c r="E887" i="4"/>
  <c r="D887" i="4"/>
  <c r="C887" i="4"/>
  <c r="B887" i="4"/>
  <c r="A887" i="4"/>
  <c r="F886" i="4"/>
  <c r="E886" i="4"/>
  <c r="D886" i="4"/>
  <c r="C886" i="4"/>
  <c r="B886" i="4"/>
  <c r="A886" i="4"/>
  <c r="F885" i="4"/>
  <c r="E885" i="4"/>
  <c r="D885" i="4"/>
  <c r="C885" i="4"/>
  <c r="B885" i="4"/>
  <c r="A885" i="4"/>
  <c r="F884" i="4"/>
  <c r="E884" i="4"/>
  <c r="D884" i="4"/>
  <c r="C884" i="4"/>
  <c r="B884" i="4"/>
  <c r="A884" i="4"/>
  <c r="F883" i="4"/>
  <c r="E883" i="4"/>
  <c r="D883" i="4"/>
  <c r="C883" i="4"/>
  <c r="B883" i="4"/>
  <c r="A883" i="4"/>
  <c r="F882" i="4"/>
  <c r="E882" i="4"/>
  <c r="D882" i="4"/>
  <c r="C882" i="4"/>
  <c r="B882" i="4"/>
  <c r="A882" i="4"/>
  <c r="F881" i="4"/>
  <c r="E881" i="4"/>
  <c r="D881" i="4"/>
  <c r="C881" i="4"/>
  <c r="B881" i="4"/>
  <c r="A881" i="4"/>
  <c r="F880" i="4"/>
  <c r="E880" i="4"/>
  <c r="D880" i="4"/>
  <c r="C880" i="4"/>
  <c r="B880" i="4"/>
  <c r="A880" i="4"/>
  <c r="F879" i="4"/>
  <c r="E879" i="4"/>
  <c r="D879" i="4"/>
  <c r="C879" i="4"/>
  <c r="B879" i="4"/>
  <c r="A879" i="4"/>
  <c r="F878" i="4"/>
  <c r="E878" i="4"/>
  <c r="D878" i="4"/>
  <c r="C878" i="4"/>
  <c r="B878" i="4"/>
  <c r="A878" i="4"/>
  <c r="F877" i="4"/>
  <c r="E877" i="4"/>
  <c r="D877" i="4"/>
  <c r="C877" i="4"/>
  <c r="B877" i="4"/>
  <c r="A877" i="4"/>
  <c r="F876" i="4"/>
  <c r="E876" i="4"/>
  <c r="D876" i="4"/>
  <c r="C876" i="4"/>
  <c r="B876" i="4"/>
  <c r="A876" i="4"/>
  <c r="F875" i="4"/>
  <c r="E875" i="4"/>
  <c r="D875" i="4"/>
  <c r="C875" i="4"/>
  <c r="B875" i="4"/>
  <c r="A875" i="4"/>
  <c r="F874" i="4"/>
  <c r="E874" i="4"/>
  <c r="D874" i="4"/>
  <c r="C874" i="4"/>
  <c r="B874" i="4"/>
  <c r="A874" i="4"/>
  <c r="F873" i="4"/>
  <c r="E873" i="4"/>
  <c r="D873" i="4"/>
  <c r="C873" i="4"/>
  <c r="B873" i="4"/>
  <c r="A873" i="4"/>
  <c r="F872" i="4"/>
  <c r="E872" i="4"/>
  <c r="D872" i="4"/>
  <c r="C872" i="4"/>
  <c r="B872" i="4"/>
  <c r="A872" i="4"/>
  <c r="F871" i="4"/>
  <c r="E871" i="4"/>
  <c r="D871" i="4"/>
  <c r="C871" i="4"/>
  <c r="B871" i="4"/>
  <c r="A871" i="4"/>
  <c r="F870" i="4"/>
  <c r="E870" i="4"/>
  <c r="D870" i="4"/>
  <c r="C870" i="4"/>
  <c r="B870" i="4"/>
  <c r="A870" i="4"/>
  <c r="F869" i="4"/>
  <c r="E869" i="4"/>
  <c r="D869" i="4"/>
  <c r="C869" i="4"/>
  <c r="B869" i="4"/>
  <c r="A869" i="4"/>
  <c r="F868" i="4"/>
  <c r="E868" i="4"/>
  <c r="D868" i="4"/>
  <c r="C868" i="4"/>
  <c r="B868" i="4"/>
  <c r="A868" i="4"/>
  <c r="F867" i="4"/>
  <c r="E867" i="4"/>
  <c r="D867" i="4"/>
  <c r="C867" i="4"/>
  <c r="B867" i="4"/>
  <c r="A867" i="4"/>
  <c r="F866" i="4"/>
  <c r="E866" i="4"/>
  <c r="D866" i="4"/>
  <c r="C866" i="4"/>
  <c r="B866" i="4"/>
  <c r="A866" i="4"/>
  <c r="F865" i="4"/>
  <c r="E865" i="4"/>
  <c r="D865" i="4"/>
  <c r="C865" i="4"/>
  <c r="B865" i="4"/>
  <c r="A865" i="4"/>
  <c r="F864" i="4"/>
  <c r="E864" i="4"/>
  <c r="D864" i="4"/>
  <c r="C864" i="4"/>
  <c r="B864" i="4"/>
  <c r="A864" i="4"/>
  <c r="F863" i="4"/>
  <c r="E863" i="4"/>
  <c r="D863" i="4"/>
  <c r="C863" i="4"/>
  <c r="B863" i="4"/>
  <c r="A863" i="4"/>
  <c r="F862" i="4"/>
  <c r="E862" i="4"/>
  <c r="D862" i="4"/>
  <c r="C862" i="4"/>
  <c r="B862" i="4"/>
  <c r="A862" i="4"/>
  <c r="F861" i="4"/>
  <c r="E861" i="4"/>
  <c r="D861" i="4"/>
  <c r="C861" i="4"/>
  <c r="B861" i="4"/>
  <c r="A861" i="4"/>
  <c r="F860" i="4"/>
  <c r="E860" i="4"/>
  <c r="D860" i="4"/>
  <c r="C860" i="4"/>
  <c r="B860" i="4"/>
  <c r="A860" i="4"/>
  <c r="F859" i="4"/>
  <c r="E859" i="4"/>
  <c r="D859" i="4"/>
  <c r="C859" i="4"/>
  <c r="B859" i="4"/>
  <c r="A859" i="4"/>
  <c r="F858" i="4"/>
  <c r="E858" i="4"/>
  <c r="D858" i="4"/>
  <c r="C858" i="4"/>
  <c r="B858" i="4"/>
  <c r="A858" i="4"/>
  <c r="F857" i="4"/>
  <c r="E857" i="4"/>
  <c r="D857" i="4"/>
  <c r="C857" i="4"/>
  <c r="B857" i="4"/>
  <c r="A857" i="4"/>
  <c r="F856" i="4"/>
  <c r="E856" i="4"/>
  <c r="D856" i="4"/>
  <c r="C856" i="4"/>
  <c r="B856" i="4"/>
  <c r="A856" i="4"/>
  <c r="F855" i="4"/>
  <c r="E855" i="4"/>
  <c r="D855" i="4"/>
  <c r="C855" i="4"/>
  <c r="B855" i="4"/>
  <c r="A855" i="4"/>
  <c r="F854" i="4"/>
  <c r="E854" i="4"/>
  <c r="D854" i="4"/>
  <c r="C854" i="4"/>
  <c r="B854" i="4"/>
  <c r="A854" i="4"/>
  <c r="F853" i="4"/>
  <c r="E853" i="4"/>
  <c r="D853" i="4"/>
  <c r="C853" i="4"/>
  <c r="B853" i="4"/>
  <c r="A853" i="4"/>
  <c r="F852" i="4"/>
  <c r="E852" i="4"/>
  <c r="D852" i="4"/>
  <c r="C852" i="4"/>
  <c r="B852" i="4"/>
  <c r="A852" i="4"/>
  <c r="F851" i="4"/>
  <c r="E851" i="4"/>
  <c r="D851" i="4"/>
  <c r="C851" i="4"/>
  <c r="B851" i="4"/>
  <c r="A851" i="4"/>
  <c r="F850" i="4"/>
  <c r="E850" i="4"/>
  <c r="D850" i="4"/>
  <c r="C850" i="4"/>
  <c r="B850" i="4"/>
  <c r="A850" i="4"/>
  <c r="F849" i="4"/>
  <c r="E849" i="4"/>
  <c r="D849" i="4"/>
  <c r="C849" i="4"/>
  <c r="B849" i="4"/>
  <c r="A849" i="4"/>
  <c r="F848" i="4"/>
  <c r="E848" i="4"/>
  <c r="D848" i="4"/>
  <c r="C848" i="4"/>
  <c r="B848" i="4"/>
  <c r="A848" i="4"/>
  <c r="F847" i="4"/>
  <c r="E847" i="4"/>
  <c r="D847" i="4"/>
  <c r="C847" i="4"/>
  <c r="B847" i="4"/>
  <c r="A847" i="4"/>
  <c r="F846" i="4"/>
  <c r="E846" i="4"/>
  <c r="D846" i="4"/>
  <c r="C846" i="4"/>
  <c r="B846" i="4"/>
  <c r="A846" i="4"/>
  <c r="F845" i="4"/>
  <c r="E845" i="4"/>
  <c r="D845" i="4"/>
  <c r="C845" i="4"/>
  <c r="B845" i="4"/>
  <c r="A845" i="4"/>
  <c r="F844" i="4"/>
  <c r="E844" i="4"/>
  <c r="D844" i="4"/>
  <c r="C844" i="4"/>
  <c r="B844" i="4"/>
  <c r="A844" i="4"/>
  <c r="F843" i="4"/>
  <c r="E843" i="4"/>
  <c r="D843" i="4"/>
  <c r="C843" i="4"/>
  <c r="B843" i="4"/>
  <c r="A843" i="4"/>
  <c r="F842" i="4"/>
  <c r="E842" i="4"/>
  <c r="D842" i="4"/>
  <c r="C842" i="4"/>
  <c r="B842" i="4"/>
  <c r="A842" i="4"/>
  <c r="F841" i="4"/>
  <c r="E841" i="4"/>
  <c r="D841" i="4"/>
  <c r="C841" i="4"/>
  <c r="B841" i="4"/>
  <c r="A841" i="4"/>
  <c r="F840" i="4"/>
  <c r="E840" i="4"/>
  <c r="D840" i="4"/>
  <c r="C840" i="4"/>
  <c r="B840" i="4"/>
  <c r="A840" i="4"/>
  <c r="F839" i="4"/>
  <c r="E839" i="4"/>
  <c r="D839" i="4"/>
  <c r="C839" i="4"/>
  <c r="B839" i="4"/>
  <c r="A839" i="4"/>
  <c r="F838" i="4"/>
  <c r="E838" i="4"/>
  <c r="D838" i="4"/>
  <c r="C838" i="4"/>
  <c r="B838" i="4"/>
  <c r="A838" i="4"/>
  <c r="F837" i="4"/>
  <c r="E837" i="4"/>
  <c r="D837" i="4"/>
  <c r="C837" i="4"/>
  <c r="B837" i="4"/>
  <c r="A837" i="4"/>
  <c r="F836" i="4"/>
  <c r="E836" i="4"/>
  <c r="D836" i="4"/>
  <c r="C836" i="4"/>
  <c r="B836" i="4"/>
  <c r="A836" i="4"/>
  <c r="F835" i="4"/>
  <c r="E835" i="4"/>
  <c r="D835" i="4"/>
  <c r="C835" i="4"/>
  <c r="B835" i="4"/>
  <c r="A835" i="4"/>
  <c r="F834" i="4"/>
  <c r="E834" i="4"/>
  <c r="D834" i="4"/>
  <c r="C834" i="4"/>
  <c r="B834" i="4"/>
  <c r="A834" i="4"/>
  <c r="F833" i="4"/>
  <c r="E833" i="4"/>
  <c r="D833" i="4"/>
  <c r="C833" i="4"/>
  <c r="B833" i="4"/>
  <c r="A833" i="4"/>
  <c r="F832" i="4"/>
  <c r="E832" i="4"/>
  <c r="D832" i="4"/>
  <c r="C832" i="4"/>
  <c r="B832" i="4"/>
  <c r="A832" i="4"/>
  <c r="F831" i="4"/>
  <c r="E831" i="4"/>
  <c r="D831" i="4"/>
  <c r="C831" i="4"/>
  <c r="B831" i="4"/>
  <c r="A831" i="4"/>
  <c r="F830" i="4"/>
  <c r="E830" i="4"/>
  <c r="D830" i="4"/>
  <c r="C830" i="4"/>
  <c r="B830" i="4"/>
  <c r="A830" i="4"/>
  <c r="F829" i="4"/>
  <c r="E829" i="4"/>
  <c r="D829" i="4"/>
  <c r="C829" i="4"/>
  <c r="B829" i="4"/>
  <c r="A829" i="4"/>
  <c r="F828" i="4"/>
  <c r="E828" i="4"/>
  <c r="D828" i="4"/>
  <c r="C828" i="4"/>
  <c r="B828" i="4"/>
  <c r="A828" i="4"/>
  <c r="F827" i="4"/>
  <c r="E827" i="4"/>
  <c r="D827" i="4"/>
  <c r="C827" i="4"/>
  <c r="B827" i="4"/>
  <c r="A827" i="4"/>
  <c r="F826" i="4"/>
  <c r="E826" i="4"/>
  <c r="D826" i="4"/>
  <c r="C826" i="4"/>
  <c r="B826" i="4"/>
  <c r="A826" i="4"/>
  <c r="F825" i="4"/>
  <c r="E825" i="4"/>
  <c r="D825" i="4"/>
  <c r="C825" i="4"/>
  <c r="B825" i="4"/>
  <c r="A825" i="4"/>
  <c r="F824" i="4"/>
  <c r="E824" i="4"/>
  <c r="D824" i="4"/>
  <c r="C824" i="4"/>
  <c r="B824" i="4"/>
  <c r="A824" i="4"/>
  <c r="F823" i="4"/>
  <c r="E823" i="4"/>
  <c r="D823" i="4"/>
  <c r="C823" i="4"/>
  <c r="B823" i="4"/>
  <c r="A823" i="4"/>
  <c r="F822" i="4"/>
  <c r="E822" i="4"/>
  <c r="D822" i="4"/>
  <c r="C822" i="4"/>
  <c r="B822" i="4"/>
  <c r="A822" i="4"/>
  <c r="F821" i="4"/>
  <c r="E821" i="4"/>
  <c r="D821" i="4"/>
  <c r="C821" i="4"/>
  <c r="B821" i="4"/>
  <c r="A821" i="4"/>
  <c r="F820" i="4"/>
  <c r="E820" i="4"/>
  <c r="D820" i="4"/>
  <c r="C820" i="4"/>
  <c r="B820" i="4"/>
  <c r="A820" i="4"/>
  <c r="F819" i="4"/>
  <c r="E819" i="4"/>
  <c r="D819" i="4"/>
  <c r="C819" i="4"/>
  <c r="B819" i="4"/>
  <c r="A819" i="4"/>
  <c r="F818" i="4"/>
  <c r="E818" i="4"/>
  <c r="D818" i="4"/>
  <c r="C818" i="4"/>
  <c r="B818" i="4"/>
  <c r="A818" i="4"/>
  <c r="F817" i="4"/>
  <c r="E817" i="4"/>
  <c r="D817" i="4"/>
  <c r="C817" i="4"/>
  <c r="B817" i="4"/>
  <c r="A817" i="4"/>
  <c r="F816" i="4"/>
  <c r="E816" i="4"/>
  <c r="D816" i="4"/>
  <c r="C816" i="4"/>
  <c r="B816" i="4"/>
  <c r="A816" i="4"/>
  <c r="F815" i="4"/>
  <c r="E815" i="4"/>
  <c r="D815" i="4"/>
  <c r="C815" i="4"/>
  <c r="B815" i="4"/>
  <c r="A815" i="4"/>
  <c r="F814" i="4"/>
  <c r="E814" i="4"/>
  <c r="D814" i="4"/>
  <c r="C814" i="4"/>
  <c r="B814" i="4"/>
  <c r="A814" i="4"/>
  <c r="F813" i="4"/>
  <c r="E813" i="4"/>
  <c r="D813" i="4"/>
  <c r="C813" i="4"/>
  <c r="B813" i="4"/>
  <c r="A813" i="4"/>
  <c r="F812" i="4"/>
  <c r="E812" i="4"/>
  <c r="D812" i="4"/>
  <c r="C812" i="4"/>
  <c r="B812" i="4"/>
  <c r="A812" i="4"/>
  <c r="F811" i="4"/>
  <c r="E811" i="4"/>
  <c r="D811" i="4"/>
  <c r="C811" i="4"/>
  <c r="B811" i="4"/>
  <c r="A811" i="4"/>
  <c r="F810" i="4"/>
  <c r="E810" i="4"/>
  <c r="D810" i="4"/>
  <c r="C810" i="4"/>
  <c r="B810" i="4"/>
  <c r="A810" i="4"/>
  <c r="F809" i="4"/>
  <c r="E809" i="4"/>
  <c r="D809" i="4"/>
  <c r="C809" i="4"/>
  <c r="B809" i="4"/>
  <c r="A809" i="4"/>
  <c r="F808" i="4"/>
  <c r="E808" i="4"/>
  <c r="D808" i="4"/>
  <c r="C808" i="4"/>
  <c r="B808" i="4"/>
  <c r="A808" i="4"/>
  <c r="F807" i="4"/>
  <c r="E807" i="4"/>
  <c r="D807" i="4"/>
  <c r="C807" i="4"/>
  <c r="B807" i="4"/>
  <c r="A807" i="4"/>
  <c r="F806" i="4"/>
  <c r="E806" i="4"/>
  <c r="D806" i="4"/>
  <c r="C806" i="4"/>
  <c r="B806" i="4"/>
  <c r="A806" i="4"/>
  <c r="F805" i="4"/>
  <c r="E805" i="4"/>
  <c r="D805" i="4"/>
  <c r="C805" i="4"/>
  <c r="B805" i="4"/>
  <c r="A805" i="4"/>
  <c r="F804" i="4"/>
  <c r="E804" i="4"/>
  <c r="D804" i="4"/>
  <c r="C804" i="4"/>
  <c r="B804" i="4"/>
  <c r="A804" i="4"/>
  <c r="F803" i="4"/>
  <c r="E803" i="4"/>
  <c r="D803" i="4"/>
  <c r="C803" i="4"/>
  <c r="B803" i="4"/>
  <c r="A803" i="4"/>
  <c r="F802" i="4"/>
  <c r="E802" i="4"/>
  <c r="D802" i="4"/>
  <c r="C802" i="4"/>
  <c r="B802" i="4"/>
  <c r="A802" i="4"/>
  <c r="F801" i="4"/>
  <c r="E801" i="4"/>
  <c r="D801" i="4"/>
  <c r="C801" i="4"/>
  <c r="B801" i="4"/>
  <c r="A801" i="4"/>
  <c r="F800" i="4"/>
  <c r="E800" i="4"/>
  <c r="D800" i="4"/>
  <c r="C800" i="4"/>
  <c r="B800" i="4"/>
  <c r="A800" i="4"/>
  <c r="F799" i="4"/>
  <c r="E799" i="4"/>
  <c r="D799" i="4"/>
  <c r="C799" i="4"/>
  <c r="B799" i="4"/>
  <c r="A799" i="4"/>
  <c r="F798" i="4"/>
  <c r="E798" i="4"/>
  <c r="D798" i="4"/>
  <c r="C798" i="4"/>
  <c r="B798" i="4"/>
  <c r="A798" i="4"/>
  <c r="F797" i="4"/>
  <c r="E797" i="4"/>
  <c r="D797" i="4"/>
  <c r="C797" i="4"/>
  <c r="B797" i="4"/>
  <c r="A797" i="4"/>
  <c r="F796" i="4"/>
  <c r="E796" i="4"/>
  <c r="D796" i="4"/>
  <c r="C796" i="4"/>
  <c r="B796" i="4"/>
  <c r="A796" i="4"/>
  <c r="F795" i="4"/>
  <c r="E795" i="4"/>
  <c r="D795" i="4"/>
  <c r="C795" i="4"/>
  <c r="B795" i="4"/>
  <c r="A795" i="4"/>
  <c r="F794" i="4"/>
  <c r="E794" i="4"/>
  <c r="D794" i="4"/>
  <c r="C794" i="4"/>
  <c r="B794" i="4"/>
  <c r="A794" i="4"/>
  <c r="F793" i="4"/>
  <c r="E793" i="4"/>
  <c r="D793" i="4"/>
  <c r="C793" i="4"/>
  <c r="B793" i="4"/>
  <c r="A793" i="4"/>
  <c r="F792" i="4"/>
  <c r="E792" i="4"/>
  <c r="D792" i="4"/>
  <c r="C792" i="4"/>
  <c r="B792" i="4"/>
  <c r="A792" i="4"/>
  <c r="F791" i="4"/>
  <c r="E791" i="4"/>
  <c r="D791" i="4"/>
  <c r="C791" i="4"/>
  <c r="B791" i="4"/>
  <c r="A791" i="4"/>
  <c r="F790" i="4"/>
  <c r="E790" i="4"/>
  <c r="D790" i="4"/>
  <c r="C790" i="4"/>
  <c r="B790" i="4"/>
  <c r="A790" i="4"/>
  <c r="F789" i="4"/>
  <c r="E789" i="4"/>
  <c r="D789" i="4"/>
  <c r="C789" i="4"/>
  <c r="B789" i="4"/>
  <c r="A789" i="4"/>
  <c r="F788" i="4"/>
  <c r="E788" i="4"/>
  <c r="D788" i="4"/>
  <c r="C788" i="4"/>
  <c r="B788" i="4"/>
  <c r="A788" i="4"/>
  <c r="F787" i="4"/>
  <c r="E787" i="4"/>
  <c r="D787" i="4"/>
  <c r="C787" i="4"/>
  <c r="B787" i="4"/>
  <c r="A787" i="4"/>
  <c r="F786" i="4"/>
  <c r="E786" i="4"/>
  <c r="D786" i="4"/>
  <c r="C786" i="4"/>
  <c r="B786" i="4"/>
  <c r="A786" i="4"/>
  <c r="F785" i="4"/>
  <c r="E785" i="4"/>
  <c r="D785" i="4"/>
  <c r="C785" i="4"/>
  <c r="B785" i="4"/>
  <c r="A785" i="4"/>
  <c r="F784" i="4"/>
  <c r="E784" i="4"/>
  <c r="D784" i="4"/>
  <c r="C784" i="4"/>
  <c r="B784" i="4"/>
  <c r="A784" i="4"/>
  <c r="F783" i="4"/>
  <c r="E783" i="4"/>
  <c r="D783" i="4"/>
  <c r="C783" i="4"/>
  <c r="B783" i="4"/>
  <c r="A783" i="4"/>
  <c r="F782" i="4"/>
  <c r="E782" i="4"/>
  <c r="D782" i="4"/>
  <c r="C782" i="4"/>
  <c r="B782" i="4"/>
  <c r="A782" i="4"/>
  <c r="F781" i="4"/>
  <c r="E781" i="4"/>
  <c r="D781" i="4"/>
  <c r="C781" i="4"/>
  <c r="B781" i="4"/>
  <c r="A781" i="4"/>
  <c r="F780" i="4"/>
  <c r="E780" i="4"/>
  <c r="D780" i="4"/>
  <c r="C780" i="4"/>
  <c r="B780" i="4"/>
  <c r="A780" i="4"/>
  <c r="F779" i="4"/>
  <c r="E779" i="4"/>
  <c r="D779" i="4"/>
  <c r="C779" i="4"/>
  <c r="B779" i="4"/>
  <c r="A779" i="4"/>
  <c r="F778" i="4"/>
  <c r="E778" i="4"/>
  <c r="D778" i="4"/>
  <c r="C778" i="4"/>
  <c r="B778" i="4"/>
  <c r="A778" i="4"/>
  <c r="F777" i="4"/>
  <c r="E777" i="4"/>
  <c r="D777" i="4"/>
  <c r="C777" i="4"/>
  <c r="B777" i="4"/>
  <c r="A777" i="4"/>
  <c r="F776" i="4"/>
  <c r="E776" i="4"/>
  <c r="D776" i="4"/>
  <c r="C776" i="4"/>
  <c r="B776" i="4"/>
  <c r="A776" i="4"/>
  <c r="F775" i="4"/>
  <c r="E775" i="4"/>
  <c r="D775" i="4"/>
  <c r="C775" i="4"/>
  <c r="B775" i="4"/>
  <c r="A775" i="4"/>
  <c r="F774" i="4"/>
  <c r="E774" i="4"/>
  <c r="D774" i="4"/>
  <c r="C774" i="4"/>
  <c r="B774" i="4"/>
  <c r="A774" i="4"/>
  <c r="F773" i="4"/>
  <c r="E773" i="4"/>
  <c r="D773" i="4"/>
  <c r="C773" i="4"/>
  <c r="B773" i="4"/>
  <c r="A773" i="4"/>
  <c r="F772" i="4"/>
  <c r="E772" i="4"/>
  <c r="D772" i="4"/>
  <c r="C772" i="4"/>
  <c r="B772" i="4"/>
  <c r="A772" i="4"/>
  <c r="F771" i="4"/>
  <c r="E771" i="4"/>
  <c r="D771" i="4"/>
  <c r="C771" i="4"/>
  <c r="B771" i="4"/>
  <c r="A771" i="4"/>
  <c r="F770" i="4"/>
  <c r="E770" i="4"/>
  <c r="D770" i="4"/>
  <c r="C770" i="4"/>
  <c r="B770" i="4"/>
  <c r="A770" i="4"/>
  <c r="F769" i="4"/>
  <c r="E769" i="4"/>
  <c r="D769" i="4"/>
  <c r="C769" i="4"/>
  <c r="B769" i="4"/>
  <c r="A769" i="4"/>
  <c r="F768" i="4"/>
  <c r="E768" i="4"/>
  <c r="D768" i="4"/>
  <c r="C768" i="4"/>
  <c r="B768" i="4"/>
  <c r="A768" i="4"/>
  <c r="F767" i="4"/>
  <c r="E767" i="4"/>
  <c r="D767" i="4"/>
  <c r="C767" i="4"/>
  <c r="B767" i="4"/>
  <c r="A767" i="4"/>
  <c r="F766" i="4"/>
  <c r="E766" i="4"/>
  <c r="D766" i="4"/>
  <c r="C766" i="4"/>
  <c r="B766" i="4"/>
  <c r="A766" i="4"/>
  <c r="F765" i="4"/>
  <c r="E765" i="4"/>
  <c r="D765" i="4"/>
  <c r="C765" i="4"/>
  <c r="B765" i="4"/>
  <c r="A765" i="4"/>
  <c r="F764" i="4"/>
  <c r="E764" i="4"/>
  <c r="D764" i="4"/>
  <c r="C764" i="4"/>
  <c r="B764" i="4"/>
  <c r="A764" i="4"/>
  <c r="F763" i="4"/>
  <c r="E763" i="4"/>
  <c r="D763" i="4"/>
  <c r="C763" i="4"/>
  <c r="B763" i="4"/>
  <c r="A763" i="4"/>
  <c r="F762" i="4"/>
  <c r="E762" i="4"/>
  <c r="D762" i="4"/>
  <c r="C762" i="4"/>
  <c r="B762" i="4"/>
  <c r="A762" i="4"/>
  <c r="F761" i="4"/>
  <c r="E761" i="4"/>
  <c r="D761" i="4"/>
  <c r="C761" i="4"/>
  <c r="B761" i="4"/>
  <c r="A761" i="4"/>
  <c r="F760" i="4"/>
  <c r="E760" i="4"/>
  <c r="D760" i="4"/>
  <c r="C760" i="4"/>
  <c r="B760" i="4"/>
  <c r="A760" i="4"/>
  <c r="F759" i="4"/>
  <c r="E759" i="4"/>
  <c r="D759" i="4"/>
  <c r="C759" i="4"/>
  <c r="B759" i="4"/>
  <c r="A759" i="4"/>
  <c r="F758" i="4"/>
  <c r="E758" i="4"/>
  <c r="D758" i="4"/>
  <c r="C758" i="4"/>
  <c r="B758" i="4"/>
  <c r="A758" i="4"/>
  <c r="F757" i="4"/>
  <c r="E757" i="4"/>
  <c r="D757" i="4"/>
  <c r="C757" i="4"/>
  <c r="B757" i="4"/>
  <c r="A757" i="4"/>
  <c r="F756" i="4"/>
  <c r="E756" i="4"/>
  <c r="D756" i="4"/>
  <c r="C756" i="4"/>
  <c r="B756" i="4"/>
  <c r="A756" i="4"/>
  <c r="F755" i="4"/>
  <c r="E755" i="4"/>
  <c r="D755" i="4"/>
  <c r="C755" i="4"/>
  <c r="B755" i="4"/>
  <c r="A755" i="4"/>
  <c r="F754" i="4"/>
  <c r="E754" i="4"/>
  <c r="D754" i="4"/>
  <c r="C754" i="4"/>
  <c r="B754" i="4"/>
  <c r="A754" i="4"/>
  <c r="F753" i="4"/>
  <c r="E753" i="4"/>
  <c r="D753" i="4"/>
  <c r="C753" i="4"/>
  <c r="B753" i="4"/>
  <c r="A753" i="4"/>
  <c r="F752" i="4"/>
  <c r="E752" i="4"/>
  <c r="D752" i="4"/>
  <c r="C752" i="4"/>
  <c r="B752" i="4"/>
  <c r="A752" i="4"/>
  <c r="F751" i="4"/>
  <c r="E751" i="4"/>
  <c r="D751" i="4"/>
  <c r="C751" i="4"/>
  <c r="B751" i="4"/>
  <c r="A751" i="4"/>
  <c r="F750" i="4"/>
  <c r="E750" i="4"/>
  <c r="D750" i="4"/>
  <c r="C750" i="4"/>
  <c r="B750" i="4"/>
  <c r="A750" i="4"/>
  <c r="F749" i="4"/>
  <c r="E749" i="4"/>
  <c r="D749" i="4"/>
  <c r="C749" i="4"/>
  <c r="B749" i="4"/>
  <c r="A749" i="4"/>
  <c r="F748" i="4"/>
  <c r="E748" i="4"/>
  <c r="D748" i="4"/>
  <c r="C748" i="4"/>
  <c r="B748" i="4"/>
  <c r="A748" i="4"/>
  <c r="F747" i="4"/>
  <c r="E747" i="4"/>
  <c r="D747" i="4"/>
  <c r="C747" i="4"/>
  <c r="B747" i="4"/>
  <c r="A747" i="4"/>
  <c r="F746" i="4"/>
  <c r="E746" i="4"/>
  <c r="D746" i="4"/>
  <c r="C746" i="4"/>
  <c r="B746" i="4"/>
  <c r="A746" i="4"/>
  <c r="F745" i="4"/>
  <c r="E745" i="4"/>
  <c r="D745" i="4"/>
  <c r="C745" i="4"/>
  <c r="B745" i="4"/>
  <c r="A745" i="4"/>
  <c r="F744" i="4"/>
  <c r="E744" i="4"/>
  <c r="D744" i="4"/>
  <c r="C744" i="4"/>
  <c r="B744" i="4"/>
  <c r="A744" i="4"/>
  <c r="F743" i="4"/>
  <c r="E743" i="4"/>
  <c r="D743" i="4"/>
  <c r="C743" i="4"/>
  <c r="B743" i="4"/>
  <c r="A743" i="4"/>
  <c r="F742" i="4"/>
  <c r="E742" i="4"/>
  <c r="D742" i="4"/>
  <c r="C742" i="4"/>
  <c r="B742" i="4"/>
  <c r="A742" i="4"/>
  <c r="F741" i="4"/>
  <c r="E741" i="4"/>
  <c r="D741" i="4"/>
  <c r="C741" i="4"/>
  <c r="B741" i="4"/>
  <c r="A741" i="4"/>
  <c r="F740" i="4"/>
  <c r="E740" i="4"/>
  <c r="D740" i="4"/>
  <c r="C740" i="4"/>
  <c r="B740" i="4"/>
  <c r="A740" i="4"/>
  <c r="F739" i="4"/>
  <c r="E739" i="4"/>
  <c r="D739" i="4"/>
  <c r="C739" i="4"/>
  <c r="B739" i="4"/>
  <c r="A739" i="4"/>
  <c r="F738" i="4"/>
  <c r="E738" i="4"/>
  <c r="D738" i="4"/>
  <c r="C738" i="4"/>
  <c r="B738" i="4"/>
  <c r="A738" i="4"/>
  <c r="F737" i="4"/>
  <c r="E737" i="4"/>
  <c r="D737" i="4"/>
  <c r="C737" i="4"/>
  <c r="B737" i="4"/>
  <c r="A737" i="4"/>
  <c r="F736" i="4"/>
  <c r="E736" i="4"/>
  <c r="D736" i="4"/>
  <c r="C736" i="4"/>
  <c r="B736" i="4"/>
  <c r="A736" i="4"/>
  <c r="F735" i="4"/>
  <c r="E735" i="4"/>
  <c r="D735" i="4"/>
  <c r="C735" i="4"/>
  <c r="B735" i="4"/>
  <c r="A735" i="4"/>
  <c r="F734" i="4"/>
  <c r="E734" i="4"/>
  <c r="D734" i="4"/>
  <c r="C734" i="4"/>
  <c r="B734" i="4"/>
  <c r="A734" i="4"/>
  <c r="F733" i="4"/>
  <c r="E733" i="4"/>
  <c r="D733" i="4"/>
  <c r="C733" i="4"/>
  <c r="B733" i="4"/>
  <c r="A733" i="4"/>
  <c r="F732" i="4"/>
  <c r="E732" i="4"/>
  <c r="D732" i="4"/>
  <c r="C732" i="4"/>
  <c r="B732" i="4"/>
  <c r="A732" i="4"/>
  <c r="F731" i="4"/>
  <c r="E731" i="4"/>
  <c r="D731" i="4"/>
  <c r="C731" i="4"/>
  <c r="B731" i="4"/>
  <c r="A731" i="4"/>
  <c r="F730" i="4"/>
  <c r="E730" i="4"/>
  <c r="D730" i="4"/>
  <c r="C730" i="4"/>
  <c r="B730" i="4"/>
  <c r="A730" i="4"/>
  <c r="F729" i="4"/>
  <c r="E729" i="4"/>
  <c r="D729" i="4"/>
  <c r="C729" i="4"/>
  <c r="B729" i="4"/>
  <c r="A729" i="4"/>
  <c r="F728" i="4"/>
  <c r="E728" i="4"/>
  <c r="D728" i="4"/>
  <c r="C728" i="4"/>
  <c r="B728" i="4"/>
  <c r="A728" i="4"/>
  <c r="F727" i="4"/>
  <c r="E727" i="4"/>
  <c r="D727" i="4"/>
  <c r="C727" i="4"/>
  <c r="B727" i="4"/>
  <c r="A727" i="4"/>
  <c r="F726" i="4"/>
  <c r="E726" i="4"/>
  <c r="D726" i="4"/>
  <c r="C726" i="4"/>
  <c r="B726" i="4"/>
  <c r="A726" i="4"/>
  <c r="F725" i="4"/>
  <c r="E725" i="4"/>
  <c r="D725" i="4"/>
  <c r="C725" i="4"/>
  <c r="B725" i="4"/>
  <c r="A725" i="4"/>
  <c r="F724" i="4"/>
  <c r="E724" i="4"/>
  <c r="D724" i="4"/>
  <c r="C724" i="4"/>
  <c r="B724" i="4"/>
  <c r="A724" i="4"/>
  <c r="F723" i="4"/>
  <c r="E723" i="4"/>
  <c r="D723" i="4"/>
  <c r="C723" i="4"/>
  <c r="B723" i="4"/>
  <c r="A723" i="4"/>
  <c r="F722" i="4"/>
  <c r="E722" i="4"/>
  <c r="D722" i="4"/>
  <c r="C722" i="4"/>
  <c r="B722" i="4"/>
  <c r="A722" i="4"/>
  <c r="F721" i="4"/>
  <c r="E721" i="4"/>
  <c r="D721" i="4"/>
  <c r="C721" i="4"/>
  <c r="B721" i="4"/>
  <c r="A721" i="4"/>
  <c r="F720" i="4"/>
  <c r="E720" i="4"/>
  <c r="D720" i="4"/>
  <c r="C720" i="4"/>
  <c r="B720" i="4"/>
  <c r="A720" i="4"/>
  <c r="F719" i="4"/>
  <c r="E719" i="4"/>
  <c r="D719" i="4"/>
  <c r="C719" i="4"/>
  <c r="B719" i="4"/>
  <c r="A719" i="4"/>
  <c r="F718" i="4"/>
  <c r="E718" i="4"/>
  <c r="D718" i="4"/>
  <c r="C718" i="4"/>
  <c r="B718" i="4"/>
  <c r="A718" i="4"/>
  <c r="F717" i="4"/>
  <c r="E717" i="4"/>
  <c r="D717" i="4"/>
  <c r="C717" i="4"/>
  <c r="B717" i="4"/>
  <c r="A717" i="4"/>
  <c r="F716" i="4"/>
  <c r="E716" i="4"/>
  <c r="D716" i="4"/>
  <c r="C716" i="4"/>
  <c r="B716" i="4"/>
  <c r="A716" i="4"/>
  <c r="F715" i="4"/>
  <c r="E715" i="4"/>
  <c r="D715" i="4"/>
  <c r="C715" i="4"/>
  <c r="B715" i="4"/>
  <c r="A715" i="4"/>
  <c r="F714" i="4"/>
  <c r="E714" i="4"/>
  <c r="D714" i="4"/>
  <c r="C714" i="4"/>
  <c r="B714" i="4"/>
  <c r="A714" i="4"/>
  <c r="F713" i="4"/>
  <c r="E713" i="4"/>
  <c r="D713" i="4"/>
  <c r="C713" i="4"/>
  <c r="B713" i="4"/>
  <c r="A713" i="4"/>
  <c r="F712" i="4"/>
  <c r="E712" i="4"/>
  <c r="D712" i="4"/>
  <c r="C712" i="4"/>
  <c r="B712" i="4"/>
  <c r="A712" i="4"/>
  <c r="F711" i="4"/>
  <c r="E711" i="4"/>
  <c r="D711" i="4"/>
  <c r="C711" i="4"/>
  <c r="B711" i="4"/>
  <c r="A711" i="4"/>
  <c r="F710" i="4"/>
  <c r="E710" i="4"/>
  <c r="D710" i="4"/>
  <c r="C710" i="4"/>
  <c r="B710" i="4"/>
  <c r="A710" i="4"/>
  <c r="F709" i="4"/>
  <c r="E709" i="4"/>
  <c r="D709" i="4"/>
  <c r="C709" i="4"/>
  <c r="B709" i="4"/>
  <c r="A709" i="4"/>
  <c r="F708" i="4"/>
  <c r="E708" i="4"/>
  <c r="D708" i="4"/>
  <c r="C708" i="4"/>
  <c r="B708" i="4"/>
  <c r="A708" i="4"/>
  <c r="F707" i="4"/>
  <c r="E707" i="4"/>
  <c r="D707" i="4"/>
  <c r="C707" i="4"/>
  <c r="B707" i="4"/>
  <c r="A707" i="4"/>
  <c r="F706" i="4"/>
  <c r="E706" i="4"/>
  <c r="D706" i="4"/>
  <c r="C706" i="4"/>
  <c r="B706" i="4"/>
  <c r="A706" i="4"/>
  <c r="F705" i="4"/>
  <c r="E705" i="4"/>
  <c r="D705" i="4"/>
  <c r="C705" i="4"/>
  <c r="B705" i="4"/>
  <c r="A705" i="4"/>
  <c r="F704" i="4"/>
  <c r="E704" i="4"/>
  <c r="D704" i="4"/>
  <c r="C704" i="4"/>
  <c r="B704" i="4"/>
  <c r="A704" i="4"/>
  <c r="F703" i="4"/>
  <c r="E703" i="4"/>
  <c r="D703" i="4"/>
  <c r="C703" i="4"/>
  <c r="B703" i="4"/>
  <c r="A703" i="4"/>
  <c r="F702" i="4"/>
  <c r="E702" i="4"/>
  <c r="D702" i="4"/>
  <c r="C702" i="4"/>
  <c r="B702" i="4"/>
  <c r="A702" i="4"/>
  <c r="F701" i="4"/>
  <c r="E701" i="4"/>
  <c r="D701" i="4"/>
  <c r="C701" i="4"/>
  <c r="B701" i="4"/>
  <c r="A701" i="4"/>
  <c r="F700" i="4"/>
  <c r="E700" i="4"/>
  <c r="D700" i="4"/>
  <c r="C700" i="4"/>
  <c r="B700" i="4"/>
  <c r="A700" i="4"/>
  <c r="F699" i="4"/>
  <c r="E699" i="4"/>
  <c r="D699" i="4"/>
  <c r="C699" i="4"/>
  <c r="B699" i="4"/>
  <c r="A699" i="4"/>
  <c r="F698" i="4"/>
  <c r="E698" i="4"/>
  <c r="D698" i="4"/>
  <c r="C698" i="4"/>
  <c r="B698" i="4"/>
  <c r="A698" i="4"/>
  <c r="F697" i="4"/>
  <c r="E697" i="4"/>
  <c r="D697" i="4"/>
  <c r="C697" i="4"/>
  <c r="B697" i="4"/>
  <c r="A697" i="4"/>
  <c r="F696" i="4"/>
  <c r="E696" i="4"/>
  <c r="D696" i="4"/>
  <c r="C696" i="4"/>
  <c r="B696" i="4"/>
  <c r="A696" i="4"/>
  <c r="F695" i="4"/>
  <c r="E695" i="4"/>
  <c r="D695" i="4"/>
  <c r="C695" i="4"/>
  <c r="B695" i="4"/>
  <c r="A695" i="4"/>
  <c r="F694" i="4"/>
  <c r="E694" i="4"/>
  <c r="D694" i="4"/>
  <c r="C694" i="4"/>
  <c r="B694" i="4"/>
  <c r="A694" i="4"/>
  <c r="F693" i="4"/>
  <c r="E693" i="4"/>
  <c r="D693" i="4"/>
  <c r="C693" i="4"/>
  <c r="B693" i="4"/>
  <c r="A693" i="4"/>
  <c r="F692" i="4"/>
  <c r="E692" i="4"/>
  <c r="D692" i="4"/>
  <c r="C692" i="4"/>
  <c r="B692" i="4"/>
  <c r="A692" i="4"/>
  <c r="F691" i="4"/>
  <c r="E691" i="4"/>
  <c r="D691" i="4"/>
  <c r="C691" i="4"/>
  <c r="B691" i="4"/>
  <c r="A691" i="4"/>
  <c r="F690" i="4"/>
  <c r="E690" i="4"/>
  <c r="D690" i="4"/>
  <c r="C690" i="4"/>
  <c r="B690" i="4"/>
  <c r="A690" i="4"/>
  <c r="F689" i="4"/>
  <c r="E689" i="4"/>
  <c r="D689" i="4"/>
  <c r="C689" i="4"/>
  <c r="B689" i="4"/>
  <c r="A689" i="4"/>
  <c r="F688" i="4"/>
  <c r="E688" i="4"/>
  <c r="D688" i="4"/>
  <c r="C688" i="4"/>
  <c r="B688" i="4"/>
  <c r="A688" i="4"/>
  <c r="F687" i="4"/>
  <c r="E687" i="4"/>
  <c r="D687" i="4"/>
  <c r="C687" i="4"/>
  <c r="B687" i="4"/>
  <c r="A687" i="4"/>
  <c r="F686" i="4"/>
  <c r="E686" i="4"/>
  <c r="D686" i="4"/>
  <c r="C686" i="4"/>
  <c r="B686" i="4"/>
  <c r="A686" i="4"/>
  <c r="F685" i="4"/>
  <c r="E685" i="4"/>
  <c r="D685" i="4"/>
  <c r="C685" i="4"/>
  <c r="B685" i="4"/>
  <c r="A685" i="4"/>
  <c r="F684" i="4"/>
  <c r="E684" i="4"/>
  <c r="D684" i="4"/>
  <c r="C684" i="4"/>
  <c r="B684" i="4"/>
  <c r="A684" i="4"/>
  <c r="F683" i="4"/>
  <c r="E683" i="4"/>
  <c r="D683" i="4"/>
  <c r="C683" i="4"/>
  <c r="B683" i="4"/>
  <c r="A683" i="4"/>
  <c r="F682" i="4"/>
  <c r="E682" i="4"/>
  <c r="D682" i="4"/>
  <c r="C682" i="4"/>
  <c r="B682" i="4"/>
  <c r="A682" i="4"/>
  <c r="F681" i="4"/>
  <c r="E681" i="4"/>
  <c r="D681" i="4"/>
  <c r="C681" i="4"/>
  <c r="B681" i="4"/>
  <c r="A681" i="4"/>
  <c r="F680" i="4"/>
  <c r="E680" i="4"/>
  <c r="D680" i="4"/>
  <c r="C680" i="4"/>
  <c r="B680" i="4"/>
  <c r="A680" i="4"/>
  <c r="F679" i="4"/>
  <c r="E679" i="4"/>
  <c r="D679" i="4"/>
  <c r="C679" i="4"/>
  <c r="B679" i="4"/>
  <c r="A679" i="4"/>
  <c r="F678" i="4"/>
  <c r="E678" i="4"/>
  <c r="D678" i="4"/>
  <c r="C678" i="4"/>
  <c r="B678" i="4"/>
  <c r="A678" i="4"/>
  <c r="F677" i="4"/>
  <c r="E677" i="4"/>
  <c r="D677" i="4"/>
  <c r="C677" i="4"/>
  <c r="B677" i="4"/>
  <c r="A677" i="4"/>
  <c r="F676" i="4"/>
  <c r="E676" i="4"/>
  <c r="D676" i="4"/>
  <c r="C676" i="4"/>
  <c r="B676" i="4"/>
  <c r="A676" i="4"/>
  <c r="F675" i="4"/>
  <c r="E675" i="4"/>
  <c r="D675" i="4"/>
  <c r="C675" i="4"/>
  <c r="B675" i="4"/>
  <c r="A675" i="4"/>
  <c r="F674" i="4"/>
  <c r="E674" i="4"/>
  <c r="D674" i="4"/>
  <c r="C674" i="4"/>
  <c r="B674" i="4"/>
  <c r="A674" i="4"/>
  <c r="F673" i="4"/>
  <c r="E673" i="4"/>
  <c r="D673" i="4"/>
  <c r="C673" i="4"/>
  <c r="B673" i="4"/>
  <c r="A673" i="4"/>
  <c r="F672" i="4"/>
  <c r="E672" i="4"/>
  <c r="D672" i="4"/>
  <c r="C672" i="4"/>
  <c r="B672" i="4"/>
  <c r="A672" i="4"/>
  <c r="F671" i="4"/>
  <c r="E671" i="4"/>
  <c r="D671" i="4"/>
  <c r="C671" i="4"/>
  <c r="B671" i="4"/>
  <c r="A671" i="4"/>
  <c r="F670" i="4"/>
  <c r="E670" i="4"/>
  <c r="D670" i="4"/>
  <c r="C670" i="4"/>
  <c r="B670" i="4"/>
  <c r="A670" i="4"/>
  <c r="F669" i="4"/>
  <c r="E669" i="4"/>
  <c r="D669" i="4"/>
  <c r="C669" i="4"/>
  <c r="B669" i="4"/>
  <c r="A669" i="4"/>
  <c r="F668" i="4"/>
  <c r="E668" i="4"/>
  <c r="D668" i="4"/>
  <c r="C668" i="4"/>
  <c r="B668" i="4"/>
  <c r="A668" i="4"/>
  <c r="F667" i="4"/>
  <c r="E667" i="4"/>
  <c r="D667" i="4"/>
  <c r="C667" i="4"/>
  <c r="B667" i="4"/>
  <c r="A667" i="4"/>
  <c r="F666" i="4"/>
  <c r="E666" i="4"/>
  <c r="D666" i="4"/>
  <c r="C666" i="4"/>
  <c r="B666" i="4"/>
  <c r="A666" i="4"/>
  <c r="F665" i="4"/>
  <c r="E665" i="4"/>
  <c r="D665" i="4"/>
  <c r="C665" i="4"/>
  <c r="B665" i="4"/>
  <c r="A665" i="4"/>
  <c r="F664" i="4"/>
  <c r="E664" i="4"/>
  <c r="D664" i="4"/>
  <c r="C664" i="4"/>
  <c r="B664" i="4"/>
  <c r="A664" i="4"/>
  <c r="F663" i="4"/>
  <c r="E663" i="4"/>
  <c r="D663" i="4"/>
  <c r="C663" i="4"/>
  <c r="B663" i="4"/>
  <c r="A663" i="4"/>
  <c r="F662" i="4"/>
  <c r="E662" i="4"/>
  <c r="D662" i="4"/>
  <c r="C662" i="4"/>
  <c r="B662" i="4"/>
  <c r="A662" i="4"/>
  <c r="F661" i="4"/>
  <c r="E661" i="4"/>
  <c r="D661" i="4"/>
  <c r="C661" i="4"/>
  <c r="B661" i="4"/>
  <c r="A661" i="4"/>
  <c r="F660" i="4"/>
  <c r="E660" i="4"/>
  <c r="D660" i="4"/>
  <c r="C660" i="4"/>
  <c r="B660" i="4"/>
  <c r="A660" i="4"/>
  <c r="F659" i="4"/>
  <c r="E659" i="4"/>
  <c r="D659" i="4"/>
  <c r="C659" i="4"/>
  <c r="B659" i="4"/>
  <c r="A659" i="4"/>
  <c r="F658" i="4"/>
  <c r="E658" i="4"/>
  <c r="D658" i="4"/>
  <c r="C658" i="4"/>
  <c r="B658" i="4"/>
  <c r="A658" i="4"/>
  <c r="F657" i="4"/>
  <c r="E657" i="4"/>
  <c r="D657" i="4"/>
  <c r="C657" i="4"/>
  <c r="B657" i="4"/>
  <c r="A657" i="4"/>
  <c r="F656" i="4"/>
  <c r="E656" i="4"/>
  <c r="D656" i="4"/>
  <c r="C656" i="4"/>
  <c r="B656" i="4"/>
  <c r="A656" i="4"/>
  <c r="F655" i="4"/>
  <c r="E655" i="4"/>
  <c r="D655" i="4"/>
  <c r="C655" i="4"/>
  <c r="B655" i="4"/>
  <c r="A655" i="4"/>
  <c r="F654" i="4"/>
  <c r="E654" i="4"/>
  <c r="D654" i="4"/>
  <c r="C654" i="4"/>
  <c r="B654" i="4"/>
  <c r="A654" i="4"/>
  <c r="F653" i="4"/>
  <c r="E653" i="4"/>
  <c r="D653" i="4"/>
  <c r="C653" i="4"/>
  <c r="B653" i="4"/>
  <c r="A653" i="4"/>
  <c r="F652" i="4"/>
  <c r="E652" i="4"/>
  <c r="D652" i="4"/>
  <c r="C652" i="4"/>
  <c r="B652" i="4"/>
  <c r="A652" i="4"/>
  <c r="F651" i="4"/>
  <c r="E651" i="4"/>
  <c r="D651" i="4"/>
  <c r="C651" i="4"/>
  <c r="B651" i="4"/>
  <c r="A651" i="4"/>
  <c r="F650" i="4"/>
  <c r="E650" i="4"/>
  <c r="D650" i="4"/>
  <c r="C650" i="4"/>
  <c r="B650" i="4"/>
  <c r="A650" i="4"/>
  <c r="F649" i="4"/>
  <c r="E649" i="4"/>
  <c r="D649" i="4"/>
  <c r="C649" i="4"/>
  <c r="B649" i="4"/>
  <c r="A649" i="4"/>
  <c r="F648" i="4"/>
  <c r="E648" i="4"/>
  <c r="D648" i="4"/>
  <c r="C648" i="4"/>
  <c r="B648" i="4"/>
  <c r="A648" i="4"/>
  <c r="F647" i="4"/>
  <c r="E647" i="4"/>
  <c r="D647" i="4"/>
  <c r="C647" i="4"/>
  <c r="B647" i="4"/>
  <c r="A647" i="4"/>
  <c r="F646" i="4"/>
  <c r="E646" i="4"/>
  <c r="D646" i="4"/>
  <c r="C646" i="4"/>
  <c r="B646" i="4"/>
  <c r="A646" i="4"/>
  <c r="F645" i="4"/>
  <c r="E645" i="4"/>
  <c r="D645" i="4"/>
  <c r="C645" i="4"/>
  <c r="B645" i="4"/>
  <c r="A645" i="4"/>
  <c r="F644" i="4"/>
  <c r="E644" i="4"/>
  <c r="D644" i="4"/>
  <c r="C644" i="4"/>
  <c r="B644" i="4"/>
  <c r="A644" i="4"/>
  <c r="F643" i="4"/>
  <c r="E643" i="4"/>
  <c r="D643" i="4"/>
  <c r="C643" i="4"/>
  <c r="B643" i="4"/>
  <c r="A643" i="4"/>
  <c r="F642" i="4"/>
  <c r="E642" i="4"/>
  <c r="D642" i="4"/>
  <c r="C642" i="4"/>
  <c r="B642" i="4"/>
  <c r="A642" i="4"/>
  <c r="F641" i="4"/>
  <c r="E641" i="4"/>
  <c r="D641" i="4"/>
  <c r="C641" i="4"/>
  <c r="B641" i="4"/>
  <c r="A641" i="4"/>
  <c r="F640" i="4"/>
  <c r="E640" i="4"/>
  <c r="D640" i="4"/>
  <c r="C640" i="4"/>
  <c r="B640" i="4"/>
  <c r="A640" i="4"/>
  <c r="F639" i="4"/>
  <c r="E639" i="4"/>
  <c r="D639" i="4"/>
  <c r="C639" i="4"/>
  <c r="B639" i="4"/>
  <c r="A639" i="4"/>
  <c r="F638" i="4"/>
  <c r="E638" i="4"/>
  <c r="D638" i="4"/>
  <c r="C638" i="4"/>
  <c r="B638" i="4"/>
  <c r="A638" i="4"/>
  <c r="F637" i="4"/>
  <c r="E637" i="4"/>
  <c r="D637" i="4"/>
  <c r="C637" i="4"/>
  <c r="B637" i="4"/>
  <c r="A637" i="4"/>
  <c r="F636" i="4"/>
  <c r="E636" i="4"/>
  <c r="D636" i="4"/>
  <c r="C636" i="4"/>
  <c r="B636" i="4"/>
  <c r="A636" i="4"/>
  <c r="F635" i="4"/>
  <c r="E635" i="4"/>
  <c r="D635" i="4"/>
  <c r="C635" i="4"/>
  <c r="B635" i="4"/>
  <c r="A635" i="4"/>
  <c r="F634" i="4"/>
  <c r="E634" i="4"/>
  <c r="D634" i="4"/>
  <c r="C634" i="4"/>
  <c r="B634" i="4"/>
  <c r="A634" i="4"/>
  <c r="F633" i="4"/>
  <c r="E633" i="4"/>
  <c r="D633" i="4"/>
  <c r="C633" i="4"/>
  <c r="B633" i="4"/>
  <c r="A633" i="4"/>
  <c r="F632" i="4"/>
  <c r="E632" i="4"/>
  <c r="D632" i="4"/>
  <c r="C632" i="4"/>
  <c r="B632" i="4"/>
  <c r="A632" i="4"/>
  <c r="F631" i="4"/>
  <c r="E631" i="4"/>
  <c r="D631" i="4"/>
  <c r="C631" i="4"/>
  <c r="B631" i="4"/>
  <c r="A631" i="4"/>
  <c r="F630" i="4"/>
  <c r="E630" i="4"/>
  <c r="D630" i="4"/>
  <c r="C630" i="4"/>
  <c r="B630" i="4"/>
  <c r="A630" i="4"/>
  <c r="F629" i="4"/>
  <c r="E629" i="4"/>
  <c r="D629" i="4"/>
  <c r="C629" i="4"/>
  <c r="B629" i="4"/>
  <c r="A629" i="4"/>
  <c r="F628" i="4"/>
  <c r="E628" i="4"/>
  <c r="D628" i="4"/>
  <c r="C628" i="4"/>
  <c r="B628" i="4"/>
  <c r="A628" i="4"/>
  <c r="F627" i="4"/>
  <c r="E627" i="4"/>
  <c r="D627" i="4"/>
  <c r="C627" i="4"/>
  <c r="B627" i="4"/>
  <c r="A627" i="4"/>
  <c r="F626" i="4"/>
  <c r="E626" i="4"/>
  <c r="D626" i="4"/>
  <c r="C626" i="4"/>
  <c r="B626" i="4"/>
  <c r="A626" i="4"/>
  <c r="F625" i="4"/>
  <c r="E625" i="4"/>
  <c r="D625" i="4"/>
  <c r="C625" i="4"/>
  <c r="B625" i="4"/>
  <c r="A625" i="4"/>
  <c r="F624" i="4"/>
  <c r="E624" i="4"/>
  <c r="D624" i="4"/>
  <c r="C624" i="4"/>
  <c r="B624" i="4"/>
  <c r="A624" i="4"/>
  <c r="F623" i="4"/>
  <c r="E623" i="4"/>
  <c r="D623" i="4"/>
  <c r="C623" i="4"/>
  <c r="B623" i="4"/>
  <c r="A623" i="4"/>
  <c r="F622" i="4"/>
  <c r="E622" i="4"/>
  <c r="D622" i="4"/>
  <c r="C622" i="4"/>
  <c r="B622" i="4"/>
  <c r="A622" i="4"/>
  <c r="F621" i="4"/>
  <c r="E621" i="4"/>
  <c r="D621" i="4"/>
  <c r="C621" i="4"/>
  <c r="B621" i="4"/>
  <c r="A621" i="4"/>
  <c r="F620" i="4"/>
  <c r="E620" i="4"/>
  <c r="D620" i="4"/>
  <c r="C620" i="4"/>
  <c r="B620" i="4"/>
  <c r="A620" i="4"/>
  <c r="F619" i="4"/>
  <c r="E619" i="4"/>
  <c r="D619" i="4"/>
  <c r="C619" i="4"/>
  <c r="B619" i="4"/>
  <c r="A619" i="4"/>
  <c r="F618" i="4"/>
  <c r="E618" i="4"/>
  <c r="D618" i="4"/>
  <c r="C618" i="4"/>
  <c r="B618" i="4"/>
  <c r="A618" i="4"/>
  <c r="F617" i="4"/>
  <c r="E617" i="4"/>
  <c r="D617" i="4"/>
  <c r="C617" i="4"/>
  <c r="B617" i="4"/>
  <c r="A617" i="4"/>
  <c r="F616" i="4"/>
  <c r="E616" i="4"/>
  <c r="D616" i="4"/>
  <c r="C616" i="4"/>
  <c r="B616" i="4"/>
  <c r="A616" i="4"/>
  <c r="F615" i="4"/>
  <c r="E615" i="4"/>
  <c r="D615" i="4"/>
  <c r="C615" i="4"/>
  <c r="B615" i="4"/>
  <c r="A615" i="4"/>
  <c r="F614" i="4"/>
  <c r="E614" i="4"/>
  <c r="D614" i="4"/>
  <c r="C614" i="4"/>
  <c r="B614" i="4"/>
  <c r="A614" i="4"/>
  <c r="F613" i="4"/>
  <c r="E613" i="4"/>
  <c r="D613" i="4"/>
  <c r="C613" i="4"/>
  <c r="B613" i="4"/>
  <c r="A613" i="4"/>
  <c r="F612" i="4"/>
  <c r="E612" i="4"/>
  <c r="D612" i="4"/>
  <c r="C612" i="4"/>
  <c r="B612" i="4"/>
  <c r="A612" i="4"/>
  <c r="F611" i="4"/>
  <c r="E611" i="4"/>
  <c r="D611" i="4"/>
  <c r="C611" i="4"/>
  <c r="B611" i="4"/>
  <c r="A611" i="4"/>
  <c r="F610" i="4"/>
  <c r="E610" i="4"/>
  <c r="D610" i="4"/>
  <c r="C610" i="4"/>
  <c r="B610" i="4"/>
  <c r="A610" i="4"/>
  <c r="F609" i="4"/>
  <c r="E609" i="4"/>
  <c r="D609" i="4"/>
  <c r="C609" i="4"/>
  <c r="B609" i="4"/>
  <c r="A609" i="4"/>
  <c r="F608" i="4"/>
  <c r="E608" i="4"/>
  <c r="D608" i="4"/>
  <c r="C608" i="4"/>
  <c r="B608" i="4"/>
  <c r="A608" i="4"/>
  <c r="F607" i="4"/>
  <c r="E607" i="4"/>
  <c r="D607" i="4"/>
  <c r="C607" i="4"/>
  <c r="B607" i="4"/>
  <c r="A607" i="4"/>
  <c r="F606" i="4"/>
  <c r="E606" i="4"/>
  <c r="D606" i="4"/>
  <c r="C606" i="4"/>
  <c r="B606" i="4"/>
  <c r="A606" i="4"/>
  <c r="F605" i="4"/>
  <c r="E605" i="4"/>
  <c r="D605" i="4"/>
  <c r="C605" i="4"/>
  <c r="B605" i="4"/>
  <c r="A605" i="4"/>
  <c r="F604" i="4"/>
  <c r="E604" i="4"/>
  <c r="D604" i="4"/>
  <c r="C604" i="4"/>
  <c r="B604" i="4"/>
  <c r="A604" i="4"/>
  <c r="F603" i="4"/>
  <c r="E603" i="4"/>
  <c r="D603" i="4"/>
  <c r="C603" i="4"/>
  <c r="B603" i="4"/>
  <c r="A603" i="4"/>
  <c r="F602" i="4"/>
  <c r="E602" i="4"/>
  <c r="D602" i="4"/>
  <c r="C602" i="4"/>
  <c r="B602" i="4"/>
  <c r="A602" i="4"/>
  <c r="F601" i="4"/>
  <c r="E601" i="4"/>
  <c r="D601" i="4"/>
  <c r="C601" i="4"/>
  <c r="B601" i="4"/>
  <c r="A601" i="4"/>
  <c r="F600" i="4"/>
  <c r="E600" i="4"/>
  <c r="D600" i="4"/>
  <c r="C600" i="4"/>
  <c r="B600" i="4"/>
  <c r="A600" i="4"/>
  <c r="F599" i="4"/>
  <c r="E599" i="4"/>
  <c r="D599" i="4"/>
  <c r="C599" i="4"/>
  <c r="B599" i="4"/>
  <c r="A599" i="4"/>
  <c r="F598" i="4"/>
  <c r="E598" i="4"/>
  <c r="D598" i="4"/>
  <c r="C598" i="4"/>
  <c r="B598" i="4"/>
  <c r="A598" i="4"/>
  <c r="F597" i="4"/>
  <c r="E597" i="4"/>
  <c r="D597" i="4"/>
  <c r="C597" i="4"/>
  <c r="B597" i="4"/>
  <c r="A597" i="4"/>
  <c r="F596" i="4"/>
  <c r="E596" i="4"/>
  <c r="D596" i="4"/>
  <c r="C596" i="4"/>
  <c r="B596" i="4"/>
  <c r="A596" i="4"/>
  <c r="F595" i="4"/>
  <c r="E595" i="4"/>
  <c r="D595" i="4"/>
  <c r="C595" i="4"/>
  <c r="B595" i="4"/>
  <c r="A595" i="4"/>
  <c r="F594" i="4"/>
  <c r="E594" i="4"/>
  <c r="D594" i="4"/>
  <c r="C594" i="4"/>
  <c r="B594" i="4"/>
  <c r="A594" i="4"/>
  <c r="F593" i="4"/>
  <c r="E593" i="4"/>
  <c r="D593" i="4"/>
  <c r="C593" i="4"/>
  <c r="B593" i="4"/>
  <c r="A593" i="4"/>
  <c r="F592" i="4"/>
  <c r="E592" i="4"/>
  <c r="D592" i="4"/>
  <c r="C592" i="4"/>
  <c r="B592" i="4"/>
  <c r="A592" i="4"/>
  <c r="F591" i="4"/>
  <c r="E591" i="4"/>
  <c r="D591" i="4"/>
  <c r="C591" i="4"/>
  <c r="B591" i="4"/>
  <c r="A591" i="4"/>
  <c r="F590" i="4"/>
  <c r="E590" i="4"/>
  <c r="D590" i="4"/>
  <c r="C590" i="4"/>
  <c r="B590" i="4"/>
  <c r="A590" i="4"/>
  <c r="F589" i="4"/>
  <c r="E589" i="4"/>
  <c r="D589" i="4"/>
  <c r="C589" i="4"/>
  <c r="B589" i="4"/>
  <c r="A589" i="4"/>
  <c r="F588" i="4"/>
  <c r="E588" i="4"/>
  <c r="D588" i="4"/>
  <c r="C588" i="4"/>
  <c r="B588" i="4"/>
  <c r="A588" i="4"/>
  <c r="F587" i="4"/>
  <c r="E587" i="4"/>
  <c r="D587" i="4"/>
  <c r="C587" i="4"/>
  <c r="B587" i="4"/>
  <c r="A587" i="4"/>
  <c r="F586" i="4"/>
  <c r="E586" i="4"/>
  <c r="D586" i="4"/>
  <c r="C586" i="4"/>
  <c r="B586" i="4"/>
  <c r="A586" i="4"/>
  <c r="F585" i="4"/>
  <c r="E585" i="4"/>
  <c r="D585" i="4"/>
  <c r="C585" i="4"/>
  <c r="B585" i="4"/>
  <c r="A585" i="4"/>
  <c r="F584" i="4"/>
  <c r="E584" i="4"/>
  <c r="D584" i="4"/>
  <c r="C584" i="4"/>
  <c r="B584" i="4"/>
  <c r="A584" i="4"/>
  <c r="F583" i="4"/>
  <c r="E583" i="4"/>
  <c r="D583" i="4"/>
  <c r="C583" i="4"/>
  <c r="B583" i="4"/>
  <c r="A583" i="4"/>
  <c r="F582" i="4"/>
  <c r="E582" i="4"/>
  <c r="D582" i="4"/>
  <c r="C582" i="4"/>
  <c r="B582" i="4"/>
  <c r="A582" i="4"/>
  <c r="F581" i="4"/>
  <c r="E581" i="4"/>
  <c r="D581" i="4"/>
  <c r="C581" i="4"/>
  <c r="B581" i="4"/>
  <c r="A581" i="4"/>
  <c r="F580" i="4"/>
  <c r="E580" i="4"/>
  <c r="D580" i="4"/>
  <c r="C580" i="4"/>
  <c r="B580" i="4"/>
  <c r="A580" i="4"/>
  <c r="F579" i="4"/>
  <c r="E579" i="4"/>
  <c r="D579" i="4"/>
  <c r="C579" i="4"/>
  <c r="B579" i="4"/>
  <c r="A579" i="4"/>
  <c r="F578" i="4"/>
  <c r="E578" i="4"/>
  <c r="D578" i="4"/>
  <c r="C578" i="4"/>
  <c r="B578" i="4"/>
  <c r="A578" i="4"/>
  <c r="F577" i="4"/>
  <c r="E577" i="4"/>
  <c r="D577" i="4"/>
  <c r="C577" i="4"/>
  <c r="B577" i="4"/>
  <c r="A577" i="4"/>
  <c r="F576" i="4"/>
  <c r="E576" i="4"/>
  <c r="D576" i="4"/>
  <c r="C576" i="4"/>
  <c r="B576" i="4"/>
  <c r="A576" i="4"/>
  <c r="F575" i="4"/>
  <c r="E575" i="4"/>
  <c r="D575" i="4"/>
  <c r="C575" i="4"/>
  <c r="B575" i="4"/>
  <c r="A575" i="4"/>
  <c r="F574" i="4"/>
  <c r="E574" i="4"/>
  <c r="D574" i="4"/>
  <c r="C574" i="4"/>
  <c r="B574" i="4"/>
  <c r="A574" i="4"/>
  <c r="F573" i="4"/>
  <c r="E573" i="4"/>
  <c r="D573" i="4"/>
  <c r="C573" i="4"/>
  <c r="B573" i="4"/>
  <c r="A573" i="4"/>
  <c r="F572" i="4"/>
  <c r="E572" i="4"/>
  <c r="D572" i="4"/>
  <c r="C572" i="4"/>
  <c r="B572" i="4"/>
  <c r="A572" i="4"/>
  <c r="F571" i="4"/>
  <c r="E571" i="4"/>
  <c r="D571" i="4"/>
  <c r="C571" i="4"/>
  <c r="B571" i="4"/>
  <c r="A571" i="4"/>
  <c r="F570" i="4"/>
  <c r="E570" i="4"/>
  <c r="D570" i="4"/>
  <c r="C570" i="4"/>
  <c r="B570" i="4"/>
  <c r="A570" i="4"/>
  <c r="F569" i="4"/>
  <c r="E569" i="4"/>
  <c r="D569" i="4"/>
  <c r="C569" i="4"/>
  <c r="B569" i="4"/>
  <c r="A569" i="4"/>
  <c r="F568" i="4"/>
  <c r="E568" i="4"/>
  <c r="D568" i="4"/>
  <c r="C568" i="4"/>
  <c r="B568" i="4"/>
  <c r="A568" i="4"/>
  <c r="F567" i="4"/>
  <c r="E567" i="4"/>
  <c r="D567" i="4"/>
  <c r="C567" i="4"/>
  <c r="B567" i="4"/>
  <c r="A567" i="4"/>
  <c r="F566" i="4"/>
  <c r="E566" i="4"/>
  <c r="D566" i="4"/>
  <c r="C566" i="4"/>
  <c r="B566" i="4"/>
  <c r="A566" i="4"/>
  <c r="F565" i="4"/>
  <c r="E565" i="4"/>
  <c r="D565" i="4"/>
  <c r="C565" i="4"/>
  <c r="B565" i="4"/>
  <c r="A565" i="4"/>
  <c r="F564" i="4"/>
  <c r="E564" i="4"/>
  <c r="D564" i="4"/>
  <c r="C564" i="4"/>
  <c r="B564" i="4"/>
  <c r="A564" i="4"/>
  <c r="F563" i="4"/>
  <c r="E563" i="4"/>
  <c r="D563" i="4"/>
  <c r="C563" i="4"/>
  <c r="B563" i="4"/>
  <c r="A563" i="4"/>
  <c r="F562" i="4"/>
  <c r="E562" i="4"/>
  <c r="D562" i="4"/>
  <c r="C562" i="4"/>
  <c r="B562" i="4"/>
  <c r="A562" i="4"/>
  <c r="F561" i="4"/>
  <c r="E561" i="4"/>
  <c r="D561" i="4"/>
  <c r="C561" i="4"/>
  <c r="B561" i="4"/>
  <c r="A561" i="4"/>
  <c r="F560" i="4"/>
  <c r="E560" i="4"/>
  <c r="D560" i="4"/>
  <c r="C560" i="4"/>
  <c r="B560" i="4"/>
  <c r="A560" i="4"/>
  <c r="F559" i="4"/>
  <c r="E559" i="4"/>
  <c r="D559" i="4"/>
  <c r="C559" i="4"/>
  <c r="B559" i="4"/>
  <c r="A559" i="4"/>
  <c r="F558" i="4"/>
  <c r="E558" i="4"/>
  <c r="D558" i="4"/>
  <c r="C558" i="4"/>
  <c r="B558" i="4"/>
  <c r="A558" i="4"/>
  <c r="F557" i="4"/>
  <c r="E557" i="4"/>
  <c r="D557" i="4"/>
  <c r="C557" i="4"/>
  <c r="B557" i="4"/>
  <c r="A557" i="4"/>
  <c r="F556" i="4"/>
  <c r="E556" i="4"/>
  <c r="D556" i="4"/>
  <c r="C556" i="4"/>
  <c r="B556" i="4"/>
  <c r="A556" i="4"/>
  <c r="F555" i="4"/>
  <c r="E555" i="4"/>
  <c r="D555" i="4"/>
  <c r="C555" i="4"/>
  <c r="B555" i="4"/>
  <c r="A555" i="4"/>
  <c r="F554" i="4"/>
  <c r="E554" i="4"/>
  <c r="D554" i="4"/>
  <c r="C554" i="4"/>
  <c r="B554" i="4"/>
  <c r="A554" i="4"/>
  <c r="F553" i="4"/>
  <c r="E553" i="4"/>
  <c r="D553" i="4"/>
  <c r="C553" i="4"/>
  <c r="B553" i="4"/>
  <c r="A553" i="4"/>
  <c r="F552" i="4"/>
  <c r="E552" i="4"/>
  <c r="D552" i="4"/>
  <c r="C552" i="4"/>
  <c r="B552" i="4"/>
  <c r="A552" i="4"/>
  <c r="F551" i="4"/>
  <c r="E551" i="4"/>
  <c r="D551" i="4"/>
  <c r="C551" i="4"/>
  <c r="B551" i="4"/>
  <c r="A551" i="4"/>
  <c r="F550" i="4"/>
  <c r="E550" i="4"/>
  <c r="D550" i="4"/>
  <c r="C550" i="4"/>
  <c r="B550" i="4"/>
  <c r="A550" i="4"/>
  <c r="F549" i="4"/>
  <c r="E549" i="4"/>
  <c r="D549" i="4"/>
  <c r="C549" i="4"/>
  <c r="B549" i="4"/>
  <c r="A549" i="4"/>
  <c r="F548" i="4"/>
  <c r="E548" i="4"/>
  <c r="D548" i="4"/>
  <c r="C548" i="4"/>
  <c r="B548" i="4"/>
  <c r="A548" i="4"/>
  <c r="F547" i="4"/>
  <c r="E547" i="4"/>
  <c r="D547" i="4"/>
  <c r="C547" i="4"/>
  <c r="B547" i="4"/>
  <c r="A547" i="4"/>
  <c r="F546" i="4"/>
  <c r="E546" i="4"/>
  <c r="D546" i="4"/>
  <c r="C546" i="4"/>
  <c r="B546" i="4"/>
  <c r="A546" i="4"/>
  <c r="F545" i="4"/>
  <c r="E545" i="4"/>
  <c r="D545" i="4"/>
  <c r="C545" i="4"/>
  <c r="B545" i="4"/>
  <c r="A545" i="4"/>
  <c r="F544" i="4"/>
  <c r="E544" i="4"/>
  <c r="D544" i="4"/>
  <c r="C544" i="4"/>
  <c r="B544" i="4"/>
  <c r="A544" i="4"/>
  <c r="F543" i="4"/>
  <c r="E543" i="4"/>
  <c r="D543" i="4"/>
  <c r="C543" i="4"/>
  <c r="B543" i="4"/>
  <c r="A543" i="4"/>
  <c r="F542" i="4"/>
  <c r="E542" i="4"/>
  <c r="D542" i="4"/>
  <c r="C542" i="4"/>
  <c r="B542" i="4"/>
  <c r="A542" i="4"/>
  <c r="F541" i="4"/>
  <c r="E541" i="4"/>
  <c r="D541" i="4"/>
  <c r="C541" i="4"/>
  <c r="B541" i="4"/>
  <c r="A541" i="4"/>
  <c r="F540" i="4"/>
  <c r="E540" i="4"/>
  <c r="D540" i="4"/>
  <c r="C540" i="4"/>
  <c r="B540" i="4"/>
  <c r="A540" i="4"/>
  <c r="F539" i="4"/>
  <c r="E539" i="4"/>
  <c r="D539" i="4"/>
  <c r="C539" i="4"/>
  <c r="B539" i="4"/>
  <c r="A539" i="4"/>
  <c r="F538" i="4"/>
  <c r="E538" i="4"/>
  <c r="D538" i="4"/>
  <c r="C538" i="4"/>
  <c r="B538" i="4"/>
  <c r="A538" i="4"/>
  <c r="F537" i="4"/>
  <c r="E537" i="4"/>
  <c r="D537" i="4"/>
  <c r="C537" i="4"/>
  <c r="B537" i="4"/>
  <c r="A537" i="4"/>
  <c r="F536" i="4"/>
  <c r="E536" i="4"/>
  <c r="D536" i="4"/>
  <c r="C536" i="4"/>
  <c r="B536" i="4"/>
  <c r="A536" i="4"/>
  <c r="F535" i="4"/>
  <c r="E535" i="4"/>
  <c r="D535" i="4"/>
  <c r="C535" i="4"/>
  <c r="B535" i="4"/>
  <c r="A535" i="4"/>
  <c r="F534" i="4"/>
  <c r="E534" i="4"/>
  <c r="D534" i="4"/>
  <c r="C534" i="4"/>
  <c r="B534" i="4"/>
  <c r="A534" i="4"/>
  <c r="F533" i="4"/>
  <c r="E533" i="4"/>
  <c r="D533" i="4"/>
  <c r="C533" i="4"/>
  <c r="B533" i="4"/>
  <c r="A533" i="4"/>
  <c r="F532" i="4"/>
  <c r="E532" i="4"/>
  <c r="D532" i="4"/>
  <c r="C532" i="4"/>
  <c r="B532" i="4"/>
  <c r="A532" i="4"/>
  <c r="F531" i="4"/>
  <c r="E531" i="4"/>
  <c r="D531" i="4"/>
  <c r="C531" i="4"/>
  <c r="B531" i="4"/>
  <c r="A531" i="4"/>
  <c r="F530" i="4"/>
  <c r="E530" i="4"/>
  <c r="D530" i="4"/>
  <c r="C530" i="4"/>
  <c r="B530" i="4"/>
  <c r="A530" i="4"/>
  <c r="F529" i="4"/>
  <c r="E529" i="4"/>
  <c r="D529" i="4"/>
  <c r="C529" i="4"/>
  <c r="B529" i="4"/>
  <c r="A529" i="4"/>
  <c r="F528" i="4"/>
  <c r="E528" i="4"/>
  <c r="D528" i="4"/>
  <c r="C528" i="4"/>
  <c r="B528" i="4"/>
  <c r="A528" i="4"/>
  <c r="F527" i="4"/>
  <c r="E527" i="4"/>
  <c r="D527" i="4"/>
  <c r="C527" i="4"/>
  <c r="B527" i="4"/>
  <c r="A527" i="4"/>
  <c r="F526" i="4"/>
  <c r="E526" i="4"/>
  <c r="D526" i="4"/>
  <c r="C526" i="4"/>
  <c r="B526" i="4"/>
  <c r="A526" i="4"/>
  <c r="F525" i="4"/>
  <c r="E525" i="4"/>
  <c r="D525" i="4"/>
  <c r="C525" i="4"/>
  <c r="B525" i="4"/>
  <c r="A525" i="4"/>
  <c r="F524" i="4"/>
  <c r="E524" i="4"/>
  <c r="D524" i="4"/>
  <c r="C524" i="4"/>
  <c r="B524" i="4"/>
  <c r="A524" i="4"/>
  <c r="F523" i="4"/>
  <c r="E523" i="4"/>
  <c r="D523" i="4"/>
  <c r="C523" i="4"/>
  <c r="B523" i="4"/>
  <c r="A523" i="4"/>
  <c r="F522" i="4"/>
  <c r="E522" i="4"/>
  <c r="D522" i="4"/>
  <c r="C522" i="4"/>
  <c r="B522" i="4"/>
  <c r="A522" i="4"/>
  <c r="F521" i="4"/>
  <c r="E521" i="4"/>
  <c r="D521" i="4"/>
  <c r="C521" i="4"/>
  <c r="B521" i="4"/>
  <c r="A521" i="4"/>
  <c r="F520" i="4"/>
  <c r="E520" i="4"/>
  <c r="D520" i="4"/>
  <c r="C520" i="4"/>
  <c r="B520" i="4"/>
  <c r="A520" i="4"/>
  <c r="F519" i="4"/>
  <c r="E519" i="4"/>
  <c r="D519" i="4"/>
  <c r="C519" i="4"/>
  <c r="B519" i="4"/>
  <c r="A519" i="4"/>
  <c r="F518" i="4"/>
  <c r="E518" i="4"/>
  <c r="D518" i="4"/>
  <c r="C518" i="4"/>
  <c r="B518" i="4"/>
  <c r="A518" i="4"/>
  <c r="F517" i="4"/>
  <c r="E517" i="4"/>
  <c r="D517" i="4"/>
  <c r="C517" i="4"/>
  <c r="B517" i="4"/>
  <c r="A517" i="4"/>
  <c r="F516" i="4"/>
  <c r="E516" i="4"/>
  <c r="D516" i="4"/>
  <c r="C516" i="4"/>
  <c r="B516" i="4"/>
  <c r="A516" i="4"/>
  <c r="F515" i="4"/>
  <c r="E515" i="4"/>
  <c r="D515" i="4"/>
  <c r="C515" i="4"/>
  <c r="B515" i="4"/>
  <c r="A515" i="4"/>
  <c r="F514" i="4"/>
  <c r="E514" i="4"/>
  <c r="D514" i="4"/>
  <c r="C514" i="4"/>
  <c r="B514" i="4"/>
  <c r="A514" i="4"/>
  <c r="F513" i="4"/>
  <c r="E513" i="4"/>
  <c r="D513" i="4"/>
  <c r="C513" i="4"/>
  <c r="B513" i="4"/>
  <c r="A513" i="4"/>
  <c r="F512" i="4"/>
  <c r="E512" i="4"/>
  <c r="D512" i="4"/>
  <c r="C512" i="4"/>
  <c r="B512" i="4"/>
  <c r="A512" i="4"/>
  <c r="F511" i="4"/>
  <c r="E511" i="4"/>
  <c r="D511" i="4"/>
  <c r="C511" i="4"/>
  <c r="B511" i="4"/>
  <c r="A511" i="4"/>
  <c r="F510" i="4"/>
  <c r="E510" i="4"/>
  <c r="D510" i="4"/>
  <c r="C510" i="4"/>
  <c r="B510" i="4"/>
  <c r="A510" i="4"/>
  <c r="F509" i="4"/>
  <c r="E509" i="4"/>
  <c r="D509" i="4"/>
  <c r="C509" i="4"/>
  <c r="B509" i="4"/>
  <c r="A509" i="4"/>
  <c r="F508" i="4"/>
  <c r="E508" i="4"/>
  <c r="D508" i="4"/>
  <c r="C508" i="4"/>
  <c r="B508" i="4"/>
  <c r="A508" i="4"/>
  <c r="F507" i="4"/>
  <c r="E507" i="4"/>
  <c r="D507" i="4"/>
  <c r="C507" i="4"/>
  <c r="B507" i="4"/>
  <c r="A507" i="4"/>
  <c r="F506" i="4"/>
  <c r="E506" i="4"/>
  <c r="D506" i="4"/>
  <c r="C506" i="4"/>
  <c r="B506" i="4"/>
  <c r="A506" i="4"/>
  <c r="F505" i="4"/>
  <c r="E505" i="4"/>
  <c r="D505" i="4"/>
  <c r="C505" i="4"/>
  <c r="B505" i="4"/>
  <c r="A505" i="4"/>
  <c r="F504" i="4"/>
  <c r="E504" i="4"/>
  <c r="D504" i="4"/>
  <c r="C504" i="4"/>
  <c r="B504" i="4"/>
  <c r="A504" i="4"/>
  <c r="F503" i="4"/>
  <c r="E503" i="4"/>
  <c r="D503" i="4"/>
  <c r="C503" i="4"/>
  <c r="B503" i="4"/>
  <c r="A503" i="4"/>
  <c r="F502" i="4"/>
  <c r="E502" i="4"/>
  <c r="D502" i="4"/>
  <c r="C502" i="4"/>
  <c r="B502" i="4"/>
  <c r="A502" i="4"/>
  <c r="F501" i="4"/>
  <c r="E501" i="4"/>
  <c r="D501" i="4"/>
  <c r="C501" i="4"/>
  <c r="B501" i="4"/>
  <c r="A501" i="4"/>
  <c r="F500" i="4"/>
  <c r="E500" i="4"/>
  <c r="D500" i="4"/>
  <c r="C500" i="4"/>
  <c r="B500" i="4"/>
  <c r="A500" i="4"/>
  <c r="F499" i="4"/>
  <c r="E499" i="4"/>
  <c r="D499" i="4"/>
  <c r="C499" i="4"/>
  <c r="B499" i="4"/>
  <c r="A499" i="4"/>
  <c r="F498" i="4"/>
  <c r="E498" i="4"/>
  <c r="D498" i="4"/>
  <c r="C498" i="4"/>
  <c r="B498" i="4"/>
  <c r="A498" i="4"/>
  <c r="F497" i="4"/>
  <c r="E497" i="4"/>
  <c r="D497" i="4"/>
  <c r="C497" i="4"/>
  <c r="B497" i="4"/>
  <c r="A497" i="4"/>
  <c r="F496" i="4"/>
  <c r="E496" i="4"/>
  <c r="D496" i="4"/>
  <c r="C496" i="4"/>
  <c r="B496" i="4"/>
  <c r="A496" i="4"/>
  <c r="F495" i="4"/>
  <c r="E495" i="4"/>
  <c r="D495" i="4"/>
  <c r="C495" i="4"/>
  <c r="B495" i="4"/>
  <c r="A495" i="4"/>
  <c r="F494" i="4"/>
  <c r="E494" i="4"/>
  <c r="D494" i="4"/>
  <c r="C494" i="4"/>
  <c r="B494" i="4"/>
  <c r="A494" i="4"/>
  <c r="F493" i="4"/>
  <c r="E493" i="4"/>
  <c r="D493" i="4"/>
  <c r="C493" i="4"/>
  <c r="B493" i="4"/>
  <c r="A493" i="4"/>
  <c r="F492" i="4"/>
  <c r="E492" i="4"/>
  <c r="D492" i="4"/>
  <c r="C492" i="4"/>
  <c r="B492" i="4"/>
  <c r="A492" i="4"/>
  <c r="F491" i="4"/>
  <c r="E491" i="4"/>
  <c r="D491" i="4"/>
  <c r="C491" i="4"/>
  <c r="B491" i="4"/>
  <c r="A491" i="4"/>
  <c r="F490" i="4"/>
  <c r="E490" i="4"/>
  <c r="D490" i="4"/>
  <c r="C490" i="4"/>
  <c r="B490" i="4"/>
  <c r="A490" i="4"/>
  <c r="F489" i="4"/>
  <c r="E489" i="4"/>
  <c r="D489" i="4"/>
  <c r="C489" i="4"/>
  <c r="B489" i="4"/>
  <c r="A489" i="4"/>
  <c r="F488" i="4"/>
  <c r="E488" i="4"/>
  <c r="D488" i="4"/>
  <c r="C488" i="4"/>
  <c r="B488" i="4"/>
  <c r="A488" i="4"/>
  <c r="F487" i="4"/>
  <c r="E487" i="4"/>
  <c r="D487" i="4"/>
  <c r="C487" i="4"/>
  <c r="B487" i="4"/>
  <c r="A487" i="4"/>
  <c r="F486" i="4"/>
  <c r="E486" i="4"/>
  <c r="D486" i="4"/>
  <c r="C486" i="4"/>
  <c r="B486" i="4"/>
  <c r="A486" i="4"/>
  <c r="F485" i="4"/>
  <c r="E485" i="4"/>
  <c r="D485" i="4"/>
  <c r="C485" i="4"/>
  <c r="B485" i="4"/>
  <c r="A485" i="4"/>
  <c r="F484" i="4"/>
  <c r="E484" i="4"/>
  <c r="D484" i="4"/>
  <c r="C484" i="4"/>
  <c r="B484" i="4"/>
  <c r="A484" i="4"/>
  <c r="F483" i="4"/>
  <c r="E483" i="4"/>
  <c r="D483" i="4"/>
  <c r="C483" i="4"/>
  <c r="B483" i="4"/>
  <c r="A483" i="4"/>
  <c r="F482" i="4"/>
  <c r="E482" i="4"/>
  <c r="D482" i="4"/>
  <c r="C482" i="4"/>
  <c r="B482" i="4"/>
  <c r="A482" i="4"/>
  <c r="F481" i="4"/>
  <c r="E481" i="4"/>
  <c r="D481" i="4"/>
  <c r="C481" i="4"/>
  <c r="B481" i="4"/>
  <c r="A481" i="4"/>
  <c r="F480" i="4"/>
  <c r="E480" i="4"/>
  <c r="D480" i="4"/>
  <c r="C480" i="4"/>
  <c r="B480" i="4"/>
  <c r="A480" i="4"/>
  <c r="F479" i="4"/>
  <c r="E479" i="4"/>
  <c r="D479" i="4"/>
  <c r="C479" i="4"/>
  <c r="B479" i="4"/>
  <c r="A479" i="4"/>
  <c r="F478" i="4"/>
  <c r="E478" i="4"/>
  <c r="D478" i="4"/>
  <c r="C478" i="4"/>
  <c r="B478" i="4"/>
  <c r="A478" i="4"/>
  <c r="F477" i="4"/>
  <c r="E477" i="4"/>
  <c r="D477" i="4"/>
  <c r="C477" i="4"/>
  <c r="B477" i="4"/>
  <c r="A477" i="4"/>
  <c r="F476" i="4"/>
  <c r="E476" i="4"/>
  <c r="D476" i="4"/>
  <c r="C476" i="4"/>
  <c r="B476" i="4"/>
  <c r="A476" i="4"/>
  <c r="F475" i="4"/>
  <c r="E475" i="4"/>
  <c r="D475" i="4"/>
  <c r="C475" i="4"/>
  <c r="B475" i="4"/>
  <c r="A475" i="4"/>
  <c r="F474" i="4"/>
  <c r="E474" i="4"/>
  <c r="D474" i="4"/>
  <c r="C474" i="4"/>
  <c r="B474" i="4"/>
  <c r="A474" i="4"/>
  <c r="F473" i="4"/>
  <c r="E473" i="4"/>
  <c r="D473" i="4"/>
  <c r="C473" i="4"/>
  <c r="B473" i="4"/>
  <c r="A473" i="4"/>
  <c r="F472" i="4"/>
  <c r="E472" i="4"/>
  <c r="D472" i="4"/>
  <c r="C472" i="4"/>
  <c r="B472" i="4"/>
  <c r="A472" i="4"/>
  <c r="F471" i="4"/>
  <c r="E471" i="4"/>
  <c r="D471" i="4"/>
  <c r="C471" i="4"/>
  <c r="B471" i="4"/>
  <c r="A471" i="4"/>
  <c r="F470" i="4"/>
  <c r="E470" i="4"/>
  <c r="D470" i="4"/>
  <c r="C470" i="4"/>
  <c r="B470" i="4"/>
  <c r="A470" i="4"/>
  <c r="F469" i="4"/>
  <c r="E469" i="4"/>
  <c r="D469" i="4"/>
  <c r="C469" i="4"/>
  <c r="B469" i="4"/>
  <c r="A469" i="4"/>
  <c r="F468" i="4"/>
  <c r="E468" i="4"/>
  <c r="D468" i="4"/>
  <c r="C468" i="4"/>
  <c r="B468" i="4"/>
  <c r="A468" i="4"/>
  <c r="F467" i="4"/>
  <c r="E467" i="4"/>
  <c r="D467" i="4"/>
  <c r="C467" i="4"/>
  <c r="B467" i="4"/>
  <c r="A467" i="4"/>
  <c r="F466" i="4"/>
  <c r="E466" i="4"/>
  <c r="D466" i="4"/>
  <c r="C466" i="4"/>
  <c r="B466" i="4"/>
  <c r="A466" i="4"/>
  <c r="F465" i="4"/>
  <c r="E465" i="4"/>
  <c r="D465" i="4"/>
  <c r="C465" i="4"/>
  <c r="B465" i="4"/>
  <c r="A465" i="4"/>
  <c r="F464" i="4"/>
  <c r="E464" i="4"/>
  <c r="D464" i="4"/>
  <c r="C464" i="4"/>
  <c r="B464" i="4"/>
  <c r="A464" i="4"/>
  <c r="F463" i="4"/>
  <c r="E463" i="4"/>
  <c r="D463" i="4"/>
  <c r="C463" i="4"/>
  <c r="B463" i="4"/>
  <c r="A463" i="4"/>
  <c r="F462" i="4"/>
  <c r="E462" i="4"/>
  <c r="D462" i="4"/>
  <c r="C462" i="4"/>
  <c r="B462" i="4"/>
  <c r="A462" i="4"/>
  <c r="F461" i="4"/>
  <c r="E461" i="4"/>
  <c r="D461" i="4"/>
  <c r="C461" i="4"/>
  <c r="B461" i="4"/>
  <c r="A461" i="4"/>
  <c r="F460" i="4"/>
  <c r="E460" i="4"/>
  <c r="D460" i="4"/>
  <c r="C460" i="4"/>
  <c r="B460" i="4"/>
  <c r="A460" i="4"/>
  <c r="F459" i="4"/>
  <c r="E459" i="4"/>
  <c r="D459" i="4"/>
  <c r="C459" i="4"/>
  <c r="B459" i="4"/>
  <c r="A459" i="4"/>
  <c r="F458" i="4"/>
  <c r="E458" i="4"/>
  <c r="D458" i="4"/>
  <c r="C458" i="4"/>
  <c r="B458" i="4"/>
  <c r="A458" i="4"/>
  <c r="F457" i="4"/>
  <c r="E457" i="4"/>
  <c r="D457" i="4"/>
  <c r="C457" i="4"/>
  <c r="B457" i="4"/>
  <c r="A457" i="4"/>
  <c r="F456" i="4"/>
  <c r="E456" i="4"/>
  <c r="D456" i="4"/>
  <c r="C456" i="4"/>
  <c r="B456" i="4"/>
  <c r="A456" i="4"/>
  <c r="F455" i="4"/>
  <c r="E455" i="4"/>
  <c r="D455" i="4"/>
  <c r="C455" i="4"/>
  <c r="B455" i="4"/>
  <c r="A455" i="4"/>
  <c r="F454" i="4"/>
  <c r="E454" i="4"/>
  <c r="D454" i="4"/>
  <c r="C454" i="4"/>
  <c r="B454" i="4"/>
  <c r="A454" i="4"/>
  <c r="F453" i="4"/>
  <c r="E453" i="4"/>
  <c r="D453" i="4"/>
  <c r="C453" i="4"/>
  <c r="B453" i="4"/>
  <c r="A453" i="4"/>
  <c r="F452" i="4"/>
  <c r="E452" i="4"/>
  <c r="D452" i="4"/>
  <c r="C452" i="4"/>
  <c r="B452" i="4"/>
  <c r="A452" i="4"/>
  <c r="F451" i="4"/>
  <c r="E451" i="4"/>
  <c r="D451" i="4"/>
  <c r="C451" i="4"/>
  <c r="B451" i="4"/>
  <c r="A451" i="4"/>
  <c r="F450" i="4"/>
  <c r="E450" i="4"/>
  <c r="D450" i="4"/>
  <c r="C450" i="4"/>
  <c r="B450" i="4"/>
  <c r="A450" i="4"/>
  <c r="F449" i="4"/>
  <c r="E449" i="4"/>
  <c r="D449" i="4"/>
  <c r="C449" i="4"/>
  <c r="B449" i="4"/>
  <c r="A449" i="4"/>
  <c r="F448" i="4"/>
  <c r="E448" i="4"/>
  <c r="D448" i="4"/>
  <c r="C448" i="4"/>
  <c r="B448" i="4"/>
  <c r="A448" i="4"/>
  <c r="F447" i="4"/>
  <c r="E447" i="4"/>
  <c r="D447" i="4"/>
  <c r="C447" i="4"/>
  <c r="B447" i="4"/>
  <c r="A447" i="4"/>
  <c r="F446" i="4"/>
  <c r="E446" i="4"/>
  <c r="D446" i="4"/>
  <c r="C446" i="4"/>
  <c r="B446" i="4"/>
  <c r="A446" i="4"/>
  <c r="F445" i="4"/>
  <c r="E445" i="4"/>
  <c r="D445" i="4"/>
  <c r="C445" i="4"/>
  <c r="B445" i="4"/>
  <c r="A445" i="4"/>
  <c r="F444" i="4"/>
  <c r="E444" i="4"/>
  <c r="D444" i="4"/>
  <c r="C444" i="4"/>
  <c r="B444" i="4"/>
  <c r="A444" i="4"/>
  <c r="F443" i="4"/>
  <c r="E443" i="4"/>
  <c r="D443" i="4"/>
  <c r="C443" i="4"/>
  <c r="B443" i="4"/>
  <c r="A443" i="4"/>
  <c r="F442" i="4"/>
  <c r="E442" i="4"/>
  <c r="D442" i="4"/>
  <c r="C442" i="4"/>
  <c r="B442" i="4"/>
  <c r="A442" i="4"/>
  <c r="F441" i="4"/>
  <c r="E441" i="4"/>
  <c r="D441" i="4"/>
  <c r="C441" i="4"/>
  <c r="B441" i="4"/>
  <c r="A441" i="4"/>
  <c r="F440" i="4"/>
  <c r="E440" i="4"/>
  <c r="D440" i="4"/>
  <c r="C440" i="4"/>
  <c r="B440" i="4"/>
  <c r="A440" i="4"/>
  <c r="F439" i="4"/>
  <c r="E439" i="4"/>
  <c r="D439" i="4"/>
  <c r="C439" i="4"/>
  <c r="B439" i="4"/>
  <c r="A439" i="4"/>
  <c r="F438" i="4"/>
  <c r="E438" i="4"/>
  <c r="D438" i="4"/>
  <c r="C438" i="4"/>
  <c r="B438" i="4"/>
  <c r="A438" i="4"/>
  <c r="F437" i="4"/>
  <c r="E437" i="4"/>
  <c r="D437" i="4"/>
  <c r="C437" i="4"/>
  <c r="B437" i="4"/>
  <c r="A437" i="4"/>
  <c r="F436" i="4"/>
  <c r="E436" i="4"/>
  <c r="D436" i="4"/>
  <c r="C436" i="4"/>
  <c r="B436" i="4"/>
  <c r="A436" i="4"/>
  <c r="F435" i="4"/>
  <c r="E435" i="4"/>
  <c r="D435" i="4"/>
  <c r="C435" i="4"/>
  <c r="B435" i="4"/>
  <c r="A435" i="4"/>
  <c r="F434" i="4"/>
  <c r="E434" i="4"/>
  <c r="D434" i="4"/>
  <c r="C434" i="4"/>
  <c r="B434" i="4"/>
  <c r="A434" i="4"/>
  <c r="F433" i="4"/>
  <c r="E433" i="4"/>
  <c r="D433" i="4"/>
  <c r="C433" i="4"/>
  <c r="B433" i="4"/>
  <c r="A433" i="4"/>
  <c r="F432" i="4"/>
  <c r="E432" i="4"/>
  <c r="D432" i="4"/>
  <c r="C432" i="4"/>
  <c r="B432" i="4"/>
  <c r="A432" i="4"/>
  <c r="F431" i="4"/>
  <c r="E431" i="4"/>
  <c r="D431" i="4"/>
  <c r="C431" i="4"/>
  <c r="B431" i="4"/>
  <c r="A431" i="4"/>
  <c r="F430" i="4"/>
  <c r="E430" i="4"/>
  <c r="D430" i="4"/>
  <c r="C430" i="4"/>
  <c r="B430" i="4"/>
  <c r="A430" i="4"/>
  <c r="F429" i="4"/>
  <c r="E429" i="4"/>
  <c r="D429" i="4"/>
  <c r="C429" i="4"/>
  <c r="B429" i="4"/>
  <c r="A429" i="4"/>
  <c r="F428" i="4"/>
  <c r="E428" i="4"/>
  <c r="D428" i="4"/>
  <c r="C428" i="4"/>
  <c r="B428" i="4"/>
  <c r="A428" i="4"/>
  <c r="F427" i="4"/>
  <c r="E427" i="4"/>
  <c r="D427" i="4"/>
  <c r="C427" i="4"/>
  <c r="B427" i="4"/>
  <c r="A427" i="4"/>
  <c r="F426" i="4"/>
  <c r="E426" i="4"/>
  <c r="D426" i="4"/>
  <c r="C426" i="4"/>
  <c r="B426" i="4"/>
  <c r="A426" i="4"/>
  <c r="F425" i="4"/>
  <c r="E425" i="4"/>
  <c r="D425" i="4"/>
  <c r="C425" i="4"/>
  <c r="B425" i="4"/>
  <c r="A425" i="4"/>
  <c r="F424" i="4"/>
  <c r="E424" i="4"/>
  <c r="D424" i="4"/>
  <c r="C424" i="4"/>
  <c r="B424" i="4"/>
  <c r="A424" i="4"/>
  <c r="F423" i="4"/>
  <c r="E423" i="4"/>
  <c r="D423" i="4"/>
  <c r="C423" i="4"/>
  <c r="B423" i="4"/>
  <c r="A423" i="4"/>
  <c r="F422" i="4"/>
  <c r="E422" i="4"/>
  <c r="D422" i="4"/>
  <c r="C422" i="4"/>
  <c r="B422" i="4"/>
  <c r="A422" i="4"/>
  <c r="F421" i="4"/>
  <c r="E421" i="4"/>
  <c r="D421" i="4"/>
  <c r="C421" i="4"/>
  <c r="B421" i="4"/>
  <c r="A421" i="4"/>
  <c r="F420" i="4"/>
  <c r="E420" i="4"/>
  <c r="D420" i="4"/>
  <c r="C420" i="4"/>
  <c r="B420" i="4"/>
  <c r="A420" i="4"/>
  <c r="F419" i="4"/>
  <c r="E419" i="4"/>
  <c r="D419" i="4"/>
  <c r="C419" i="4"/>
  <c r="B419" i="4"/>
  <c r="A419" i="4"/>
  <c r="F418" i="4"/>
  <c r="E418" i="4"/>
  <c r="D418" i="4"/>
  <c r="C418" i="4"/>
  <c r="B418" i="4"/>
  <c r="A418" i="4"/>
  <c r="F417" i="4"/>
  <c r="E417" i="4"/>
  <c r="D417" i="4"/>
  <c r="C417" i="4"/>
  <c r="B417" i="4"/>
  <c r="A417" i="4"/>
  <c r="F416" i="4"/>
  <c r="E416" i="4"/>
  <c r="D416" i="4"/>
  <c r="C416" i="4"/>
  <c r="B416" i="4"/>
  <c r="A416" i="4"/>
  <c r="F415" i="4"/>
  <c r="E415" i="4"/>
  <c r="D415" i="4"/>
  <c r="C415" i="4"/>
  <c r="B415" i="4"/>
  <c r="A415" i="4"/>
  <c r="F414" i="4"/>
  <c r="E414" i="4"/>
  <c r="D414" i="4"/>
  <c r="C414" i="4"/>
  <c r="B414" i="4"/>
  <c r="A414" i="4"/>
  <c r="F413" i="4"/>
  <c r="E413" i="4"/>
  <c r="D413" i="4"/>
  <c r="C413" i="4"/>
  <c r="B413" i="4"/>
  <c r="A413" i="4"/>
  <c r="F412" i="4"/>
  <c r="E412" i="4"/>
  <c r="D412" i="4"/>
  <c r="C412" i="4"/>
  <c r="B412" i="4"/>
  <c r="A412" i="4"/>
  <c r="F411" i="4"/>
  <c r="E411" i="4"/>
  <c r="D411" i="4"/>
  <c r="C411" i="4"/>
  <c r="B411" i="4"/>
  <c r="A411" i="4"/>
  <c r="F410" i="4"/>
  <c r="E410" i="4"/>
  <c r="D410" i="4"/>
  <c r="C410" i="4"/>
  <c r="B410" i="4"/>
  <c r="A410" i="4"/>
  <c r="F409" i="4"/>
  <c r="E409" i="4"/>
  <c r="D409" i="4"/>
  <c r="C409" i="4"/>
  <c r="B409" i="4"/>
  <c r="A409" i="4"/>
  <c r="F408" i="4"/>
  <c r="E408" i="4"/>
  <c r="D408" i="4"/>
  <c r="C408" i="4"/>
  <c r="B408" i="4"/>
  <c r="A408" i="4"/>
  <c r="F407" i="4"/>
  <c r="E407" i="4"/>
  <c r="D407" i="4"/>
  <c r="C407" i="4"/>
  <c r="B407" i="4"/>
  <c r="A407" i="4"/>
  <c r="F406" i="4"/>
  <c r="E406" i="4"/>
  <c r="D406" i="4"/>
  <c r="C406" i="4"/>
  <c r="B406" i="4"/>
  <c r="A406" i="4"/>
  <c r="F405" i="4"/>
  <c r="E405" i="4"/>
  <c r="D405" i="4"/>
  <c r="C405" i="4"/>
  <c r="B405" i="4"/>
  <c r="A405" i="4"/>
  <c r="F404" i="4"/>
  <c r="E404" i="4"/>
  <c r="D404" i="4"/>
  <c r="C404" i="4"/>
  <c r="B404" i="4"/>
  <c r="A404" i="4"/>
  <c r="F403" i="4"/>
  <c r="E403" i="4"/>
  <c r="D403" i="4"/>
  <c r="C403" i="4"/>
  <c r="B403" i="4"/>
  <c r="A403" i="4"/>
  <c r="F402" i="4"/>
  <c r="E402" i="4"/>
  <c r="D402" i="4"/>
  <c r="C402" i="4"/>
  <c r="B402" i="4"/>
  <c r="A402" i="4"/>
  <c r="F401" i="4"/>
  <c r="E401" i="4"/>
  <c r="D401" i="4"/>
  <c r="C401" i="4"/>
  <c r="B401" i="4"/>
  <c r="A401" i="4"/>
  <c r="F400" i="4"/>
  <c r="E400" i="4"/>
  <c r="D400" i="4"/>
  <c r="C400" i="4"/>
  <c r="B400" i="4"/>
  <c r="A400" i="4"/>
  <c r="F399" i="4"/>
  <c r="E399" i="4"/>
  <c r="D399" i="4"/>
  <c r="C399" i="4"/>
  <c r="B399" i="4"/>
  <c r="A399" i="4"/>
  <c r="F398" i="4"/>
  <c r="E398" i="4"/>
  <c r="D398" i="4"/>
  <c r="C398" i="4"/>
  <c r="B398" i="4"/>
  <c r="A398" i="4"/>
  <c r="F397" i="4"/>
  <c r="E397" i="4"/>
  <c r="D397" i="4"/>
  <c r="C397" i="4"/>
  <c r="B397" i="4"/>
  <c r="A397" i="4"/>
  <c r="F396" i="4"/>
  <c r="E396" i="4"/>
  <c r="D396" i="4"/>
  <c r="C396" i="4"/>
  <c r="B396" i="4"/>
  <c r="A396" i="4"/>
  <c r="F395" i="4"/>
  <c r="E395" i="4"/>
  <c r="D395" i="4"/>
  <c r="C395" i="4"/>
  <c r="B395" i="4"/>
  <c r="A395" i="4"/>
  <c r="F394" i="4"/>
  <c r="E394" i="4"/>
  <c r="D394" i="4"/>
  <c r="C394" i="4"/>
  <c r="B394" i="4"/>
  <c r="A394" i="4"/>
  <c r="F393" i="4"/>
  <c r="E393" i="4"/>
  <c r="D393" i="4"/>
  <c r="C393" i="4"/>
  <c r="B393" i="4"/>
  <c r="A393" i="4"/>
  <c r="F392" i="4"/>
  <c r="E392" i="4"/>
  <c r="D392" i="4"/>
  <c r="C392" i="4"/>
  <c r="B392" i="4"/>
  <c r="A392" i="4"/>
  <c r="F391" i="4"/>
  <c r="E391" i="4"/>
  <c r="D391" i="4"/>
  <c r="C391" i="4"/>
  <c r="B391" i="4"/>
  <c r="A391" i="4"/>
  <c r="F390" i="4"/>
  <c r="E390" i="4"/>
  <c r="D390" i="4"/>
  <c r="C390" i="4"/>
  <c r="B390" i="4"/>
  <c r="A390" i="4"/>
  <c r="F389" i="4"/>
  <c r="E389" i="4"/>
  <c r="D389" i="4"/>
  <c r="C389" i="4"/>
  <c r="B389" i="4"/>
  <c r="A389" i="4"/>
  <c r="F388" i="4"/>
  <c r="E388" i="4"/>
  <c r="D388" i="4"/>
  <c r="C388" i="4"/>
  <c r="B388" i="4"/>
  <c r="A388" i="4"/>
  <c r="F387" i="4"/>
  <c r="E387" i="4"/>
  <c r="D387" i="4"/>
  <c r="C387" i="4"/>
  <c r="B387" i="4"/>
  <c r="A387" i="4"/>
  <c r="F386" i="4"/>
  <c r="E386" i="4"/>
  <c r="D386" i="4"/>
  <c r="C386" i="4"/>
  <c r="B386" i="4"/>
  <c r="A386" i="4"/>
  <c r="F385" i="4"/>
  <c r="E385" i="4"/>
  <c r="D385" i="4"/>
  <c r="C385" i="4"/>
  <c r="B385" i="4"/>
  <c r="A385" i="4"/>
  <c r="F384" i="4"/>
  <c r="E384" i="4"/>
  <c r="D384" i="4"/>
  <c r="C384" i="4"/>
  <c r="B384" i="4"/>
  <c r="A384" i="4"/>
  <c r="F383" i="4"/>
  <c r="E383" i="4"/>
  <c r="D383" i="4"/>
  <c r="C383" i="4"/>
  <c r="B383" i="4"/>
  <c r="A383" i="4"/>
  <c r="F382" i="4"/>
  <c r="E382" i="4"/>
  <c r="D382" i="4"/>
  <c r="C382" i="4"/>
  <c r="B382" i="4"/>
  <c r="A382" i="4"/>
  <c r="F381" i="4"/>
  <c r="E381" i="4"/>
  <c r="D381" i="4"/>
  <c r="C381" i="4"/>
  <c r="B381" i="4"/>
  <c r="A381" i="4"/>
  <c r="F380" i="4"/>
  <c r="E380" i="4"/>
  <c r="D380" i="4"/>
  <c r="C380" i="4"/>
  <c r="B380" i="4"/>
  <c r="A380" i="4"/>
  <c r="F379" i="4"/>
  <c r="E379" i="4"/>
  <c r="D379" i="4"/>
  <c r="C379" i="4"/>
  <c r="B379" i="4"/>
  <c r="A379" i="4"/>
  <c r="F378" i="4"/>
  <c r="E378" i="4"/>
  <c r="D378" i="4"/>
  <c r="C378" i="4"/>
  <c r="B378" i="4"/>
  <c r="A378" i="4"/>
  <c r="F377" i="4"/>
  <c r="E377" i="4"/>
  <c r="D377" i="4"/>
  <c r="C377" i="4"/>
  <c r="B377" i="4"/>
  <c r="A377" i="4"/>
  <c r="F376" i="4"/>
  <c r="E376" i="4"/>
  <c r="D376" i="4"/>
  <c r="C376" i="4"/>
  <c r="B376" i="4"/>
  <c r="A376" i="4"/>
  <c r="F375" i="4"/>
  <c r="E375" i="4"/>
  <c r="D375" i="4"/>
  <c r="C375" i="4"/>
  <c r="B375" i="4"/>
  <c r="A375" i="4"/>
  <c r="F374" i="4"/>
  <c r="E374" i="4"/>
  <c r="D374" i="4"/>
  <c r="C374" i="4"/>
  <c r="B374" i="4"/>
  <c r="A374" i="4"/>
  <c r="F373" i="4"/>
  <c r="E373" i="4"/>
  <c r="D373" i="4"/>
  <c r="C373" i="4"/>
  <c r="B373" i="4"/>
  <c r="A373" i="4"/>
  <c r="F372" i="4"/>
  <c r="E372" i="4"/>
  <c r="D372" i="4"/>
  <c r="C372" i="4"/>
  <c r="B372" i="4"/>
  <c r="A372" i="4"/>
  <c r="F371" i="4"/>
  <c r="E371" i="4"/>
  <c r="D371" i="4"/>
  <c r="C371" i="4"/>
  <c r="B371" i="4"/>
  <c r="A371" i="4"/>
  <c r="F370" i="4"/>
  <c r="E370" i="4"/>
  <c r="D370" i="4"/>
  <c r="C370" i="4"/>
  <c r="B370" i="4"/>
  <c r="A370" i="4"/>
  <c r="F369" i="4"/>
  <c r="E369" i="4"/>
  <c r="D369" i="4"/>
  <c r="C369" i="4"/>
  <c r="B369" i="4"/>
  <c r="A369" i="4"/>
  <c r="F368" i="4"/>
  <c r="E368" i="4"/>
  <c r="D368" i="4"/>
  <c r="C368" i="4"/>
  <c r="B368" i="4"/>
  <c r="A368" i="4"/>
  <c r="F367" i="4"/>
  <c r="E367" i="4"/>
  <c r="D367" i="4"/>
  <c r="C367" i="4"/>
  <c r="B367" i="4"/>
  <c r="A367" i="4"/>
  <c r="F366" i="4"/>
  <c r="E366" i="4"/>
  <c r="D366" i="4"/>
  <c r="C366" i="4"/>
  <c r="B366" i="4"/>
  <c r="A366" i="4"/>
  <c r="F365" i="4"/>
  <c r="E365" i="4"/>
  <c r="D365" i="4"/>
  <c r="C365" i="4"/>
  <c r="B365" i="4"/>
  <c r="A365" i="4"/>
  <c r="F364" i="4"/>
  <c r="E364" i="4"/>
  <c r="D364" i="4"/>
  <c r="C364" i="4"/>
  <c r="B364" i="4"/>
  <c r="A364" i="4"/>
  <c r="F363" i="4"/>
  <c r="E363" i="4"/>
  <c r="D363" i="4"/>
  <c r="C363" i="4"/>
  <c r="B363" i="4"/>
  <c r="A363" i="4"/>
  <c r="F362" i="4"/>
  <c r="E362" i="4"/>
  <c r="D362" i="4"/>
  <c r="C362" i="4"/>
  <c r="B362" i="4"/>
  <c r="A362" i="4"/>
  <c r="F361" i="4"/>
  <c r="E361" i="4"/>
  <c r="D361" i="4"/>
  <c r="C361" i="4"/>
  <c r="B361" i="4"/>
  <c r="A361" i="4"/>
  <c r="F360" i="4"/>
  <c r="E360" i="4"/>
  <c r="D360" i="4"/>
  <c r="C360" i="4"/>
  <c r="B360" i="4"/>
  <c r="A360" i="4"/>
  <c r="F359" i="4"/>
  <c r="E359" i="4"/>
  <c r="D359" i="4"/>
  <c r="C359" i="4"/>
  <c r="B359" i="4"/>
  <c r="A359" i="4"/>
  <c r="F358" i="4"/>
  <c r="E358" i="4"/>
  <c r="D358" i="4"/>
  <c r="C358" i="4"/>
  <c r="B358" i="4"/>
  <c r="A358" i="4"/>
  <c r="F357" i="4"/>
  <c r="E357" i="4"/>
  <c r="D357" i="4"/>
  <c r="C357" i="4"/>
  <c r="B357" i="4"/>
  <c r="A357" i="4"/>
  <c r="F356" i="4"/>
  <c r="E356" i="4"/>
  <c r="D356" i="4"/>
  <c r="C356" i="4"/>
  <c r="B356" i="4"/>
  <c r="A356" i="4"/>
  <c r="F355" i="4"/>
  <c r="E355" i="4"/>
  <c r="D355" i="4"/>
  <c r="C355" i="4"/>
  <c r="B355" i="4"/>
  <c r="A355" i="4"/>
  <c r="F354" i="4"/>
  <c r="E354" i="4"/>
  <c r="D354" i="4"/>
  <c r="C354" i="4"/>
  <c r="B354" i="4"/>
  <c r="A354" i="4"/>
  <c r="F353" i="4"/>
  <c r="E353" i="4"/>
  <c r="D353" i="4"/>
  <c r="C353" i="4"/>
  <c r="B353" i="4"/>
  <c r="A353" i="4"/>
  <c r="F352" i="4"/>
  <c r="E352" i="4"/>
  <c r="D352" i="4"/>
  <c r="C352" i="4"/>
  <c r="B352" i="4"/>
  <c r="A352" i="4"/>
  <c r="F351" i="4"/>
  <c r="E351" i="4"/>
  <c r="D351" i="4"/>
  <c r="C351" i="4"/>
  <c r="B351" i="4"/>
  <c r="A351" i="4"/>
  <c r="F350" i="4"/>
  <c r="E350" i="4"/>
  <c r="D350" i="4"/>
  <c r="C350" i="4"/>
  <c r="B350" i="4"/>
  <c r="A350" i="4"/>
  <c r="F349" i="4"/>
  <c r="E349" i="4"/>
  <c r="D349" i="4"/>
  <c r="C349" i="4"/>
  <c r="B349" i="4"/>
  <c r="A349" i="4"/>
  <c r="F348" i="4"/>
  <c r="E348" i="4"/>
  <c r="D348" i="4"/>
  <c r="C348" i="4"/>
  <c r="B348" i="4"/>
  <c r="A348" i="4"/>
  <c r="F347" i="4"/>
  <c r="E347" i="4"/>
  <c r="D347" i="4"/>
  <c r="C347" i="4"/>
  <c r="B347" i="4"/>
  <c r="A347" i="4"/>
  <c r="F346" i="4"/>
  <c r="E346" i="4"/>
  <c r="D346" i="4"/>
  <c r="C346" i="4"/>
  <c r="B346" i="4"/>
  <c r="A346" i="4"/>
  <c r="F345" i="4"/>
  <c r="E345" i="4"/>
  <c r="D345" i="4"/>
  <c r="C345" i="4"/>
  <c r="B345" i="4"/>
  <c r="A345" i="4"/>
  <c r="F344" i="4"/>
  <c r="E344" i="4"/>
  <c r="D344" i="4"/>
  <c r="C344" i="4"/>
  <c r="B344" i="4"/>
  <c r="A344" i="4"/>
  <c r="F343" i="4"/>
  <c r="E343" i="4"/>
  <c r="D343" i="4"/>
  <c r="C343" i="4"/>
  <c r="B343" i="4"/>
  <c r="A343" i="4"/>
  <c r="F342" i="4"/>
  <c r="E342" i="4"/>
  <c r="D342" i="4"/>
  <c r="C342" i="4"/>
  <c r="B342" i="4"/>
  <c r="A342" i="4"/>
  <c r="F341" i="4"/>
  <c r="E341" i="4"/>
  <c r="D341" i="4"/>
  <c r="C341" i="4"/>
  <c r="B341" i="4"/>
  <c r="A341" i="4"/>
  <c r="F340" i="4"/>
  <c r="E340" i="4"/>
  <c r="D340" i="4"/>
  <c r="C340" i="4"/>
  <c r="B340" i="4"/>
  <c r="A340" i="4"/>
  <c r="F339" i="4"/>
  <c r="E339" i="4"/>
  <c r="D339" i="4"/>
  <c r="C339" i="4"/>
  <c r="B339" i="4"/>
  <c r="A339" i="4"/>
  <c r="F338" i="4"/>
  <c r="E338" i="4"/>
  <c r="D338" i="4"/>
  <c r="C338" i="4"/>
  <c r="B338" i="4"/>
  <c r="A338" i="4"/>
  <c r="F337" i="4"/>
  <c r="E337" i="4"/>
  <c r="D337" i="4"/>
  <c r="C337" i="4"/>
  <c r="B337" i="4"/>
  <c r="A337" i="4"/>
  <c r="F336" i="4"/>
  <c r="E336" i="4"/>
  <c r="D336" i="4"/>
  <c r="C336" i="4"/>
  <c r="B336" i="4"/>
  <c r="A336" i="4"/>
  <c r="F335" i="4"/>
  <c r="E335" i="4"/>
  <c r="D335" i="4"/>
  <c r="C335" i="4"/>
  <c r="B335" i="4"/>
  <c r="A335" i="4"/>
  <c r="F334" i="4"/>
  <c r="E334" i="4"/>
  <c r="D334" i="4"/>
  <c r="C334" i="4"/>
  <c r="B334" i="4"/>
  <c r="A334" i="4"/>
  <c r="F333" i="4"/>
  <c r="E333" i="4"/>
  <c r="D333" i="4"/>
  <c r="C333" i="4"/>
  <c r="B333" i="4"/>
  <c r="A333" i="4"/>
  <c r="F332" i="4"/>
  <c r="E332" i="4"/>
  <c r="D332" i="4"/>
  <c r="C332" i="4"/>
  <c r="B332" i="4"/>
  <c r="A332" i="4"/>
  <c r="F331" i="4"/>
  <c r="E331" i="4"/>
  <c r="D331" i="4"/>
  <c r="C331" i="4"/>
  <c r="B331" i="4"/>
  <c r="A331" i="4"/>
  <c r="F330" i="4"/>
  <c r="E330" i="4"/>
  <c r="D330" i="4"/>
  <c r="C330" i="4"/>
  <c r="B330" i="4"/>
  <c r="A330" i="4"/>
  <c r="F329" i="4"/>
  <c r="E329" i="4"/>
  <c r="D329" i="4"/>
  <c r="C329" i="4"/>
  <c r="B329" i="4"/>
  <c r="A329" i="4"/>
  <c r="F328" i="4"/>
  <c r="E328" i="4"/>
  <c r="D328" i="4"/>
  <c r="C328" i="4"/>
  <c r="B328" i="4"/>
  <c r="A328" i="4"/>
  <c r="F327" i="4"/>
  <c r="E327" i="4"/>
  <c r="D327" i="4"/>
  <c r="C327" i="4"/>
  <c r="B327" i="4"/>
  <c r="A327" i="4"/>
  <c r="F326" i="4"/>
  <c r="E326" i="4"/>
  <c r="D326" i="4"/>
  <c r="C326" i="4"/>
  <c r="B326" i="4"/>
  <c r="A326" i="4"/>
  <c r="F325" i="4"/>
  <c r="E325" i="4"/>
  <c r="D325" i="4"/>
  <c r="C325" i="4"/>
  <c r="B325" i="4"/>
  <c r="A325" i="4"/>
  <c r="F324" i="4"/>
  <c r="E324" i="4"/>
  <c r="D324" i="4"/>
  <c r="C324" i="4"/>
  <c r="B324" i="4"/>
  <c r="A324" i="4"/>
  <c r="F323" i="4"/>
  <c r="E323" i="4"/>
  <c r="D323" i="4"/>
  <c r="C323" i="4"/>
  <c r="B323" i="4"/>
  <c r="A323" i="4"/>
  <c r="F322" i="4"/>
  <c r="E322" i="4"/>
  <c r="D322" i="4"/>
  <c r="C322" i="4"/>
  <c r="B322" i="4"/>
  <c r="A322" i="4"/>
  <c r="F321" i="4"/>
  <c r="E321" i="4"/>
  <c r="D321" i="4"/>
  <c r="C321" i="4"/>
  <c r="B321" i="4"/>
  <c r="A321" i="4"/>
  <c r="F320" i="4"/>
  <c r="E320" i="4"/>
  <c r="D320" i="4"/>
  <c r="C320" i="4"/>
  <c r="B320" i="4"/>
  <c r="A320" i="4"/>
  <c r="F319" i="4"/>
  <c r="E319" i="4"/>
  <c r="D319" i="4"/>
  <c r="C319" i="4"/>
  <c r="B319" i="4"/>
  <c r="A319" i="4"/>
  <c r="F318" i="4"/>
  <c r="E318" i="4"/>
  <c r="D318" i="4"/>
  <c r="C318" i="4"/>
  <c r="B318" i="4"/>
  <c r="A318" i="4"/>
  <c r="F317" i="4"/>
  <c r="E317" i="4"/>
  <c r="D317" i="4"/>
  <c r="C317" i="4"/>
  <c r="B317" i="4"/>
  <c r="A317" i="4"/>
  <c r="F316" i="4"/>
  <c r="E316" i="4"/>
  <c r="D316" i="4"/>
  <c r="C316" i="4"/>
  <c r="B316" i="4"/>
  <c r="A316" i="4"/>
  <c r="F315" i="4"/>
  <c r="E315" i="4"/>
  <c r="D315" i="4"/>
  <c r="C315" i="4"/>
  <c r="B315" i="4"/>
  <c r="A315" i="4"/>
  <c r="F314" i="4"/>
  <c r="E314" i="4"/>
  <c r="D314" i="4"/>
  <c r="C314" i="4"/>
  <c r="B314" i="4"/>
  <c r="A314" i="4"/>
  <c r="F313" i="4"/>
  <c r="E313" i="4"/>
  <c r="D313" i="4"/>
  <c r="C313" i="4"/>
  <c r="B313" i="4"/>
  <c r="A313" i="4"/>
  <c r="F312" i="4"/>
  <c r="E312" i="4"/>
  <c r="D312" i="4"/>
  <c r="C312" i="4"/>
  <c r="B312" i="4"/>
  <c r="A312" i="4"/>
  <c r="F311" i="4"/>
  <c r="E311" i="4"/>
  <c r="D311" i="4"/>
  <c r="C311" i="4"/>
  <c r="B311" i="4"/>
  <c r="A311" i="4"/>
  <c r="F310" i="4"/>
  <c r="E310" i="4"/>
  <c r="D310" i="4"/>
  <c r="C310" i="4"/>
  <c r="B310" i="4"/>
  <c r="A310" i="4"/>
  <c r="F309" i="4"/>
  <c r="E309" i="4"/>
  <c r="D309" i="4"/>
  <c r="C309" i="4"/>
  <c r="B309" i="4"/>
  <c r="A309" i="4"/>
  <c r="F308" i="4"/>
  <c r="E308" i="4"/>
  <c r="D308" i="4"/>
  <c r="C308" i="4"/>
  <c r="B308" i="4"/>
  <c r="A308" i="4"/>
  <c r="F307" i="4"/>
  <c r="E307" i="4"/>
  <c r="D307" i="4"/>
  <c r="C307" i="4"/>
  <c r="B307" i="4"/>
  <c r="A307" i="4"/>
  <c r="F306" i="4"/>
  <c r="E306" i="4"/>
  <c r="D306" i="4"/>
  <c r="C306" i="4"/>
  <c r="B306" i="4"/>
  <c r="A306" i="4"/>
  <c r="F305" i="4"/>
  <c r="E305" i="4"/>
  <c r="D305" i="4"/>
  <c r="C305" i="4"/>
  <c r="B305" i="4"/>
  <c r="A305" i="4"/>
  <c r="F304" i="4"/>
  <c r="E304" i="4"/>
  <c r="D304" i="4"/>
  <c r="C304" i="4"/>
  <c r="B304" i="4"/>
  <c r="A304" i="4"/>
  <c r="F303" i="4"/>
  <c r="E303" i="4"/>
  <c r="D303" i="4"/>
  <c r="C303" i="4"/>
  <c r="B303" i="4"/>
  <c r="A303" i="4"/>
  <c r="F302" i="4"/>
  <c r="E302" i="4"/>
  <c r="D302" i="4"/>
  <c r="C302" i="4"/>
  <c r="B302" i="4"/>
  <c r="A302" i="4"/>
  <c r="F301" i="4"/>
  <c r="E301" i="4"/>
  <c r="D301" i="4"/>
  <c r="C301" i="4"/>
  <c r="B301" i="4"/>
  <c r="A301" i="4"/>
  <c r="F300" i="4"/>
  <c r="E300" i="4"/>
  <c r="D300" i="4"/>
  <c r="C300" i="4"/>
  <c r="B300" i="4"/>
  <c r="A300" i="4"/>
  <c r="F299" i="4"/>
  <c r="E299" i="4"/>
  <c r="D299" i="4"/>
  <c r="C299" i="4"/>
  <c r="B299" i="4"/>
  <c r="A299" i="4"/>
  <c r="F298" i="4"/>
  <c r="E298" i="4"/>
  <c r="D298" i="4"/>
  <c r="C298" i="4"/>
  <c r="B298" i="4"/>
  <c r="A298" i="4"/>
  <c r="F297" i="4"/>
  <c r="E297" i="4"/>
  <c r="D297" i="4"/>
  <c r="C297" i="4"/>
  <c r="B297" i="4"/>
  <c r="A297" i="4"/>
  <c r="F296" i="4"/>
  <c r="E296" i="4"/>
  <c r="D296" i="4"/>
  <c r="C296" i="4"/>
  <c r="B296" i="4"/>
  <c r="A296" i="4"/>
  <c r="F295" i="4"/>
  <c r="E295" i="4"/>
  <c r="D295" i="4"/>
  <c r="C295" i="4"/>
  <c r="B295" i="4"/>
  <c r="A295" i="4"/>
  <c r="F294" i="4"/>
  <c r="E294" i="4"/>
  <c r="D294" i="4"/>
  <c r="C294" i="4"/>
  <c r="B294" i="4"/>
  <c r="A294" i="4"/>
  <c r="F293" i="4"/>
  <c r="E293" i="4"/>
  <c r="D293" i="4"/>
  <c r="C293" i="4"/>
  <c r="B293" i="4"/>
  <c r="A293" i="4"/>
  <c r="F292" i="4"/>
  <c r="E292" i="4"/>
  <c r="D292" i="4"/>
  <c r="C292" i="4"/>
  <c r="B292" i="4"/>
  <c r="A292" i="4"/>
  <c r="F291" i="4"/>
  <c r="E291" i="4"/>
  <c r="D291" i="4"/>
  <c r="C291" i="4"/>
  <c r="B291" i="4"/>
  <c r="A291" i="4"/>
  <c r="F290" i="4"/>
  <c r="E290" i="4"/>
  <c r="D290" i="4"/>
  <c r="C290" i="4"/>
  <c r="B290" i="4"/>
  <c r="A290" i="4"/>
  <c r="F289" i="4"/>
  <c r="E289" i="4"/>
  <c r="D289" i="4"/>
  <c r="C289" i="4"/>
  <c r="B289" i="4"/>
  <c r="A289" i="4"/>
  <c r="F288" i="4"/>
  <c r="E288" i="4"/>
  <c r="D288" i="4"/>
  <c r="C288" i="4"/>
  <c r="B288" i="4"/>
  <c r="A288" i="4"/>
  <c r="F287" i="4"/>
  <c r="E287" i="4"/>
  <c r="D287" i="4"/>
  <c r="C287" i="4"/>
  <c r="B287" i="4"/>
  <c r="A287" i="4"/>
  <c r="F286" i="4"/>
  <c r="E286" i="4"/>
  <c r="D286" i="4"/>
  <c r="C286" i="4"/>
  <c r="B286" i="4"/>
  <c r="A286" i="4"/>
  <c r="F285" i="4"/>
  <c r="E285" i="4"/>
  <c r="D285" i="4"/>
  <c r="C285" i="4"/>
  <c r="B285" i="4"/>
  <c r="A285" i="4"/>
  <c r="F284" i="4"/>
  <c r="E284" i="4"/>
  <c r="D284" i="4"/>
  <c r="C284" i="4"/>
  <c r="B284" i="4"/>
  <c r="A284" i="4"/>
  <c r="F283" i="4"/>
  <c r="E283" i="4"/>
  <c r="D283" i="4"/>
  <c r="C283" i="4"/>
  <c r="B283" i="4"/>
  <c r="A283" i="4"/>
  <c r="F282" i="4"/>
  <c r="E282" i="4"/>
  <c r="D282" i="4"/>
  <c r="C282" i="4"/>
  <c r="B282" i="4"/>
  <c r="A282" i="4"/>
  <c r="F281" i="4"/>
  <c r="E281" i="4"/>
  <c r="D281" i="4"/>
  <c r="C281" i="4"/>
  <c r="B281" i="4"/>
  <c r="A281" i="4"/>
  <c r="F280" i="4"/>
  <c r="E280" i="4"/>
  <c r="D280" i="4"/>
  <c r="C280" i="4"/>
  <c r="B280" i="4"/>
  <c r="A280" i="4"/>
  <c r="F279" i="4"/>
  <c r="E279" i="4"/>
  <c r="D279" i="4"/>
  <c r="C279" i="4"/>
  <c r="B279" i="4"/>
  <c r="A279" i="4"/>
  <c r="F278" i="4"/>
  <c r="E278" i="4"/>
  <c r="D278" i="4"/>
  <c r="C278" i="4"/>
  <c r="B278" i="4"/>
  <c r="A278" i="4"/>
  <c r="F277" i="4"/>
  <c r="E277" i="4"/>
  <c r="D277" i="4"/>
  <c r="C277" i="4"/>
  <c r="B277" i="4"/>
  <c r="A277" i="4"/>
  <c r="F276" i="4"/>
  <c r="E276" i="4"/>
  <c r="D276" i="4"/>
  <c r="C276" i="4"/>
  <c r="B276" i="4"/>
  <c r="A276" i="4"/>
  <c r="F275" i="4"/>
  <c r="E275" i="4"/>
  <c r="D275" i="4"/>
  <c r="C275" i="4"/>
  <c r="B275" i="4"/>
  <c r="A275" i="4"/>
  <c r="F274" i="4"/>
  <c r="E274" i="4"/>
  <c r="D274" i="4"/>
  <c r="C274" i="4"/>
  <c r="B274" i="4"/>
  <c r="A274" i="4"/>
  <c r="F273" i="4"/>
  <c r="E273" i="4"/>
  <c r="D273" i="4"/>
  <c r="C273" i="4"/>
  <c r="B273" i="4"/>
  <c r="A273" i="4"/>
  <c r="F272" i="4"/>
  <c r="E272" i="4"/>
  <c r="D272" i="4"/>
  <c r="C272" i="4"/>
  <c r="B272" i="4"/>
  <c r="A272" i="4"/>
  <c r="F271" i="4"/>
  <c r="E271" i="4"/>
  <c r="D271" i="4"/>
  <c r="C271" i="4"/>
  <c r="B271" i="4"/>
  <c r="A271" i="4"/>
  <c r="F270" i="4"/>
  <c r="E270" i="4"/>
  <c r="D270" i="4"/>
  <c r="C270" i="4"/>
  <c r="B270" i="4"/>
  <c r="A270" i="4"/>
  <c r="F269" i="4"/>
  <c r="E269" i="4"/>
  <c r="D269" i="4"/>
  <c r="C269" i="4"/>
  <c r="B269" i="4"/>
  <c r="A269" i="4"/>
  <c r="F268" i="4"/>
  <c r="E268" i="4"/>
  <c r="D268" i="4"/>
  <c r="C268" i="4"/>
  <c r="B268" i="4"/>
  <c r="A268" i="4"/>
  <c r="F267" i="4"/>
  <c r="E267" i="4"/>
  <c r="D267" i="4"/>
  <c r="C267" i="4"/>
  <c r="B267" i="4"/>
  <c r="A267" i="4"/>
  <c r="F266" i="4"/>
  <c r="E266" i="4"/>
  <c r="D266" i="4"/>
  <c r="C266" i="4"/>
  <c r="B266" i="4"/>
  <c r="A266" i="4"/>
  <c r="F265" i="4"/>
  <c r="E265" i="4"/>
  <c r="D265" i="4"/>
  <c r="C265" i="4"/>
  <c r="B265" i="4"/>
  <c r="A265" i="4"/>
  <c r="F264" i="4"/>
  <c r="E264" i="4"/>
  <c r="D264" i="4"/>
  <c r="C264" i="4"/>
  <c r="B264" i="4"/>
  <c r="A264" i="4"/>
  <c r="F263" i="4"/>
  <c r="E263" i="4"/>
  <c r="D263" i="4"/>
  <c r="C263" i="4"/>
  <c r="B263" i="4"/>
  <c r="A263" i="4"/>
  <c r="F262" i="4"/>
  <c r="E262" i="4"/>
  <c r="D262" i="4"/>
  <c r="C262" i="4"/>
  <c r="B262" i="4"/>
  <c r="A262" i="4"/>
  <c r="F261" i="4"/>
  <c r="E261" i="4"/>
  <c r="D261" i="4"/>
  <c r="C261" i="4"/>
  <c r="B261" i="4"/>
  <c r="A261" i="4"/>
  <c r="F260" i="4"/>
  <c r="E260" i="4"/>
  <c r="D260" i="4"/>
  <c r="C260" i="4"/>
  <c r="B260" i="4"/>
  <c r="A260" i="4"/>
  <c r="F259" i="4"/>
  <c r="E259" i="4"/>
  <c r="D259" i="4"/>
  <c r="C259" i="4"/>
  <c r="B259" i="4"/>
  <c r="A259" i="4"/>
  <c r="F258" i="4"/>
  <c r="E258" i="4"/>
  <c r="D258" i="4"/>
  <c r="C258" i="4"/>
  <c r="B258" i="4"/>
  <c r="A258" i="4"/>
  <c r="F257" i="4"/>
  <c r="E257" i="4"/>
  <c r="D257" i="4"/>
  <c r="C257" i="4"/>
  <c r="B257" i="4"/>
  <c r="A257" i="4"/>
  <c r="F256" i="4"/>
  <c r="E256" i="4"/>
  <c r="D256" i="4"/>
  <c r="C256" i="4"/>
  <c r="B256" i="4"/>
  <c r="A256" i="4"/>
  <c r="F255" i="4"/>
  <c r="E255" i="4"/>
  <c r="D255" i="4"/>
  <c r="C255" i="4"/>
  <c r="B255" i="4"/>
  <c r="A255" i="4"/>
  <c r="F254" i="4"/>
  <c r="E254" i="4"/>
  <c r="D254" i="4"/>
  <c r="C254" i="4"/>
  <c r="B254" i="4"/>
  <c r="A254" i="4"/>
  <c r="F253" i="4"/>
  <c r="E253" i="4"/>
  <c r="D253" i="4"/>
  <c r="C253" i="4"/>
  <c r="B253" i="4"/>
  <c r="A253" i="4"/>
  <c r="F252" i="4"/>
  <c r="E252" i="4"/>
  <c r="D252" i="4"/>
  <c r="C252" i="4"/>
  <c r="B252" i="4"/>
  <c r="A252" i="4"/>
  <c r="F251" i="4"/>
  <c r="E251" i="4"/>
  <c r="D251" i="4"/>
  <c r="C251" i="4"/>
  <c r="B251" i="4"/>
  <c r="A251" i="4"/>
  <c r="F250" i="4"/>
  <c r="E250" i="4"/>
  <c r="D250" i="4"/>
  <c r="C250" i="4"/>
  <c r="B250" i="4"/>
  <c r="A250" i="4"/>
  <c r="F249" i="4"/>
  <c r="E249" i="4"/>
  <c r="D249" i="4"/>
  <c r="C249" i="4"/>
  <c r="B249" i="4"/>
  <c r="A249" i="4"/>
  <c r="F248" i="4"/>
  <c r="E248" i="4"/>
  <c r="D248" i="4"/>
  <c r="C248" i="4"/>
  <c r="B248" i="4"/>
  <c r="A248" i="4"/>
  <c r="F247" i="4"/>
  <c r="E247" i="4"/>
  <c r="D247" i="4"/>
  <c r="C247" i="4"/>
  <c r="B247" i="4"/>
  <c r="A247" i="4"/>
  <c r="F246" i="4"/>
  <c r="E246" i="4"/>
  <c r="D246" i="4"/>
  <c r="C246" i="4"/>
  <c r="B246" i="4"/>
  <c r="A246" i="4"/>
  <c r="F245" i="4"/>
  <c r="E245" i="4"/>
  <c r="D245" i="4"/>
  <c r="C245" i="4"/>
  <c r="B245" i="4"/>
  <c r="A245" i="4"/>
  <c r="F244" i="4"/>
  <c r="E244" i="4"/>
  <c r="D244" i="4"/>
  <c r="C244" i="4"/>
  <c r="B244" i="4"/>
  <c r="A244" i="4"/>
  <c r="F243" i="4"/>
  <c r="E243" i="4"/>
  <c r="D243" i="4"/>
  <c r="C243" i="4"/>
  <c r="B243" i="4"/>
  <c r="A243" i="4"/>
  <c r="F242" i="4"/>
  <c r="E242" i="4"/>
  <c r="D242" i="4"/>
  <c r="C242" i="4"/>
  <c r="B242" i="4"/>
  <c r="A242" i="4"/>
  <c r="F241" i="4"/>
  <c r="E241" i="4"/>
  <c r="D241" i="4"/>
  <c r="C241" i="4"/>
  <c r="B241" i="4"/>
  <c r="A241" i="4"/>
  <c r="F240" i="4"/>
  <c r="E240" i="4"/>
  <c r="D240" i="4"/>
  <c r="C240" i="4"/>
  <c r="B240" i="4"/>
  <c r="A240" i="4"/>
  <c r="F239" i="4"/>
  <c r="E239" i="4"/>
  <c r="D239" i="4"/>
  <c r="C239" i="4"/>
  <c r="B239" i="4"/>
  <c r="A239" i="4"/>
  <c r="F238" i="4"/>
  <c r="E238" i="4"/>
  <c r="D238" i="4"/>
  <c r="C238" i="4"/>
  <c r="B238" i="4"/>
  <c r="A238" i="4"/>
  <c r="F237" i="4"/>
  <c r="E237" i="4"/>
  <c r="D237" i="4"/>
  <c r="C237" i="4"/>
  <c r="B237" i="4"/>
  <c r="A237" i="4"/>
  <c r="F236" i="4"/>
  <c r="E236" i="4"/>
  <c r="D236" i="4"/>
  <c r="C236" i="4"/>
  <c r="B236" i="4"/>
  <c r="A236" i="4"/>
  <c r="F235" i="4"/>
  <c r="E235" i="4"/>
  <c r="D235" i="4"/>
  <c r="C235" i="4"/>
  <c r="B235" i="4"/>
  <c r="A235" i="4"/>
  <c r="F234" i="4"/>
  <c r="E234" i="4"/>
  <c r="D234" i="4"/>
  <c r="C234" i="4"/>
  <c r="B234" i="4"/>
  <c r="A234" i="4"/>
  <c r="F233" i="4"/>
  <c r="E233" i="4"/>
  <c r="D233" i="4"/>
  <c r="C233" i="4"/>
  <c r="B233" i="4"/>
  <c r="A233" i="4"/>
  <c r="F232" i="4"/>
  <c r="E232" i="4"/>
  <c r="D232" i="4"/>
  <c r="C232" i="4"/>
  <c r="B232" i="4"/>
  <c r="A232" i="4"/>
  <c r="F231" i="4"/>
  <c r="E231" i="4"/>
  <c r="D231" i="4"/>
  <c r="C231" i="4"/>
  <c r="B231" i="4"/>
  <c r="A231" i="4"/>
  <c r="F230" i="4"/>
  <c r="E230" i="4"/>
  <c r="D230" i="4"/>
  <c r="C230" i="4"/>
  <c r="B230" i="4"/>
  <c r="A230" i="4"/>
  <c r="F229" i="4"/>
  <c r="E229" i="4"/>
  <c r="D229" i="4"/>
  <c r="C229" i="4"/>
  <c r="B229" i="4"/>
  <c r="A229" i="4"/>
  <c r="F228" i="4"/>
  <c r="E228" i="4"/>
  <c r="D228" i="4"/>
  <c r="C228" i="4"/>
  <c r="B228" i="4"/>
  <c r="A228" i="4"/>
  <c r="F227" i="4"/>
  <c r="E227" i="4"/>
  <c r="D227" i="4"/>
  <c r="C227" i="4"/>
  <c r="B227" i="4"/>
  <c r="A227" i="4"/>
  <c r="F226" i="4"/>
  <c r="E226" i="4"/>
  <c r="D226" i="4"/>
  <c r="C226" i="4"/>
  <c r="B226" i="4"/>
  <c r="A226" i="4"/>
  <c r="F225" i="4"/>
  <c r="E225" i="4"/>
  <c r="D225" i="4"/>
  <c r="C225" i="4"/>
  <c r="B225" i="4"/>
  <c r="A225" i="4"/>
  <c r="F224" i="4"/>
  <c r="E224" i="4"/>
  <c r="D224" i="4"/>
  <c r="C224" i="4"/>
  <c r="B224" i="4"/>
  <c r="A224" i="4"/>
  <c r="F223" i="4"/>
  <c r="E223" i="4"/>
  <c r="D223" i="4"/>
  <c r="C223" i="4"/>
  <c r="B223" i="4"/>
  <c r="A223" i="4"/>
  <c r="F222" i="4"/>
  <c r="E222" i="4"/>
  <c r="D222" i="4"/>
  <c r="C222" i="4"/>
  <c r="B222" i="4"/>
  <c r="A222" i="4"/>
  <c r="F221" i="4"/>
  <c r="E221" i="4"/>
  <c r="D221" i="4"/>
  <c r="C221" i="4"/>
  <c r="B221" i="4"/>
  <c r="A221" i="4"/>
  <c r="F220" i="4"/>
  <c r="E220" i="4"/>
  <c r="D220" i="4"/>
  <c r="C220" i="4"/>
  <c r="B220" i="4"/>
  <c r="A220" i="4"/>
  <c r="F219" i="4"/>
  <c r="E219" i="4"/>
  <c r="D219" i="4"/>
  <c r="C219" i="4"/>
  <c r="B219" i="4"/>
  <c r="A219" i="4"/>
  <c r="F218" i="4"/>
  <c r="E218" i="4"/>
  <c r="D218" i="4"/>
  <c r="C218" i="4"/>
  <c r="B218" i="4"/>
  <c r="A218" i="4"/>
  <c r="F217" i="4"/>
  <c r="E217" i="4"/>
  <c r="D217" i="4"/>
  <c r="C217" i="4"/>
  <c r="B217" i="4"/>
  <c r="A217" i="4"/>
  <c r="F216" i="4"/>
  <c r="E216" i="4"/>
  <c r="D216" i="4"/>
  <c r="C216" i="4"/>
  <c r="B216" i="4"/>
  <c r="A216" i="4"/>
  <c r="F215" i="4"/>
  <c r="E215" i="4"/>
  <c r="D215" i="4"/>
  <c r="C215" i="4"/>
  <c r="B215" i="4"/>
  <c r="A215" i="4"/>
  <c r="F214" i="4"/>
  <c r="E214" i="4"/>
  <c r="D214" i="4"/>
  <c r="C214" i="4"/>
  <c r="B214" i="4"/>
  <c r="A214" i="4"/>
  <c r="F213" i="4"/>
  <c r="E213" i="4"/>
  <c r="D213" i="4"/>
  <c r="C213" i="4"/>
  <c r="B213" i="4"/>
  <c r="A213" i="4"/>
  <c r="F212" i="4"/>
  <c r="E212" i="4"/>
  <c r="D212" i="4"/>
  <c r="C212" i="4"/>
  <c r="B212" i="4"/>
  <c r="A212" i="4"/>
  <c r="F211" i="4"/>
  <c r="E211" i="4"/>
  <c r="D211" i="4"/>
  <c r="C211" i="4"/>
  <c r="B211" i="4"/>
  <c r="A211" i="4"/>
  <c r="F210" i="4"/>
  <c r="E210" i="4"/>
  <c r="D210" i="4"/>
  <c r="C210" i="4"/>
  <c r="B210" i="4"/>
  <c r="A210" i="4"/>
  <c r="F209" i="4"/>
  <c r="E209" i="4"/>
  <c r="D209" i="4"/>
  <c r="C209" i="4"/>
  <c r="B209" i="4"/>
  <c r="A209" i="4"/>
  <c r="F208" i="4"/>
  <c r="E208" i="4"/>
  <c r="D208" i="4"/>
  <c r="C208" i="4"/>
  <c r="B208" i="4"/>
  <c r="A208" i="4"/>
  <c r="F207" i="4"/>
  <c r="E207" i="4"/>
  <c r="D207" i="4"/>
  <c r="C207" i="4"/>
  <c r="B207" i="4"/>
  <c r="A207" i="4"/>
  <c r="F206" i="4"/>
  <c r="E206" i="4"/>
  <c r="D206" i="4"/>
  <c r="C206" i="4"/>
  <c r="B206" i="4"/>
  <c r="A206" i="4"/>
  <c r="F205" i="4"/>
  <c r="E205" i="4"/>
  <c r="D205" i="4"/>
  <c r="C205" i="4"/>
  <c r="B205" i="4"/>
  <c r="A205" i="4"/>
  <c r="F204" i="4"/>
  <c r="E204" i="4"/>
  <c r="D204" i="4"/>
  <c r="C204" i="4"/>
  <c r="B204" i="4"/>
  <c r="A204" i="4"/>
  <c r="F203" i="4"/>
  <c r="E203" i="4"/>
  <c r="D203" i="4"/>
  <c r="C203" i="4"/>
  <c r="B203" i="4"/>
  <c r="A203" i="4"/>
  <c r="F202" i="4"/>
  <c r="E202" i="4"/>
  <c r="D202" i="4"/>
  <c r="C202" i="4"/>
  <c r="B202" i="4"/>
  <c r="A202" i="4"/>
  <c r="F201" i="4"/>
  <c r="E201" i="4"/>
  <c r="D201" i="4"/>
  <c r="C201" i="4"/>
  <c r="B201" i="4"/>
  <c r="A201" i="4"/>
  <c r="F200" i="4"/>
  <c r="E200" i="4"/>
  <c r="D200" i="4"/>
  <c r="C200" i="4"/>
  <c r="B200" i="4"/>
  <c r="A200" i="4"/>
  <c r="F199" i="4"/>
  <c r="E199" i="4"/>
  <c r="D199" i="4"/>
  <c r="C199" i="4"/>
  <c r="B199" i="4"/>
  <c r="A199" i="4"/>
  <c r="F198" i="4"/>
  <c r="E198" i="4"/>
  <c r="D198" i="4"/>
  <c r="C198" i="4"/>
  <c r="B198" i="4"/>
  <c r="A198" i="4"/>
  <c r="F197" i="4"/>
  <c r="E197" i="4"/>
  <c r="D197" i="4"/>
  <c r="C197" i="4"/>
  <c r="B197" i="4"/>
  <c r="A197" i="4"/>
  <c r="F196" i="4"/>
  <c r="E196" i="4"/>
  <c r="D196" i="4"/>
  <c r="C196" i="4"/>
  <c r="B196" i="4"/>
  <c r="A196" i="4"/>
  <c r="F195" i="4"/>
  <c r="E195" i="4"/>
  <c r="D195" i="4"/>
  <c r="C195" i="4"/>
  <c r="B195" i="4"/>
  <c r="A195" i="4"/>
  <c r="F194" i="4"/>
  <c r="E194" i="4"/>
  <c r="D194" i="4"/>
  <c r="C194" i="4"/>
  <c r="B194" i="4"/>
  <c r="A194" i="4"/>
  <c r="F193" i="4"/>
  <c r="E193" i="4"/>
  <c r="D193" i="4"/>
  <c r="C193" i="4"/>
  <c r="B193" i="4"/>
  <c r="A193" i="4"/>
  <c r="F192" i="4"/>
  <c r="E192" i="4"/>
  <c r="D192" i="4"/>
  <c r="C192" i="4"/>
  <c r="B192" i="4"/>
  <c r="A192" i="4"/>
  <c r="F191" i="4"/>
  <c r="E191" i="4"/>
  <c r="D191" i="4"/>
  <c r="C191" i="4"/>
  <c r="B191" i="4"/>
  <c r="A191" i="4"/>
  <c r="F190" i="4"/>
  <c r="E190" i="4"/>
  <c r="D190" i="4"/>
  <c r="C190" i="4"/>
  <c r="B190" i="4"/>
  <c r="A190" i="4"/>
  <c r="F189" i="4"/>
  <c r="E189" i="4"/>
  <c r="D189" i="4"/>
  <c r="C189" i="4"/>
  <c r="B189" i="4"/>
  <c r="A189" i="4"/>
  <c r="F188" i="4"/>
  <c r="E188" i="4"/>
  <c r="D188" i="4"/>
  <c r="C188" i="4"/>
  <c r="B188" i="4"/>
  <c r="A188" i="4"/>
  <c r="F187" i="4"/>
  <c r="E187" i="4"/>
  <c r="D187" i="4"/>
  <c r="C187" i="4"/>
  <c r="B187" i="4"/>
  <c r="A187" i="4"/>
  <c r="F186" i="4"/>
  <c r="E186" i="4"/>
  <c r="D186" i="4"/>
  <c r="C186" i="4"/>
  <c r="B186" i="4"/>
  <c r="A186" i="4"/>
  <c r="F185" i="4"/>
  <c r="E185" i="4"/>
  <c r="D185" i="4"/>
  <c r="C185" i="4"/>
  <c r="B185" i="4"/>
  <c r="A185" i="4"/>
  <c r="F184" i="4"/>
  <c r="E184" i="4"/>
  <c r="D184" i="4"/>
  <c r="C184" i="4"/>
  <c r="B184" i="4"/>
  <c r="A184" i="4"/>
  <c r="F183" i="4"/>
  <c r="E183" i="4"/>
  <c r="D183" i="4"/>
  <c r="C183" i="4"/>
  <c r="B183" i="4"/>
  <c r="A183" i="4"/>
  <c r="F182" i="4"/>
  <c r="E182" i="4"/>
  <c r="D182" i="4"/>
  <c r="C182" i="4"/>
  <c r="B182" i="4"/>
  <c r="A182" i="4"/>
  <c r="F181" i="4"/>
  <c r="E181" i="4"/>
  <c r="D181" i="4"/>
  <c r="C181" i="4"/>
  <c r="B181" i="4"/>
  <c r="A181" i="4"/>
  <c r="F180" i="4"/>
  <c r="E180" i="4"/>
  <c r="D180" i="4"/>
  <c r="C180" i="4"/>
  <c r="B180" i="4"/>
  <c r="A180" i="4"/>
  <c r="F179" i="4"/>
  <c r="E179" i="4"/>
  <c r="D179" i="4"/>
  <c r="C179" i="4"/>
  <c r="B179" i="4"/>
  <c r="A179" i="4"/>
  <c r="F178" i="4"/>
  <c r="E178" i="4"/>
  <c r="D178" i="4"/>
  <c r="C178" i="4"/>
  <c r="B178" i="4"/>
  <c r="A178" i="4"/>
  <c r="F177" i="4"/>
  <c r="E177" i="4"/>
  <c r="D177" i="4"/>
  <c r="C177" i="4"/>
  <c r="B177" i="4"/>
  <c r="A177" i="4"/>
  <c r="F176" i="4"/>
  <c r="E176" i="4"/>
  <c r="D176" i="4"/>
  <c r="C176" i="4"/>
  <c r="B176" i="4"/>
  <c r="A176" i="4"/>
  <c r="F175" i="4"/>
  <c r="E175" i="4"/>
  <c r="D175" i="4"/>
  <c r="C175" i="4"/>
  <c r="B175" i="4"/>
  <c r="A175" i="4"/>
  <c r="F174" i="4"/>
  <c r="E174" i="4"/>
  <c r="D174" i="4"/>
  <c r="C174" i="4"/>
  <c r="B174" i="4"/>
  <c r="A174" i="4"/>
  <c r="F173" i="4"/>
  <c r="E173" i="4"/>
  <c r="D173" i="4"/>
  <c r="C173" i="4"/>
  <c r="B173" i="4"/>
  <c r="A173" i="4"/>
  <c r="F172" i="4"/>
  <c r="E172" i="4"/>
  <c r="D172" i="4"/>
  <c r="C172" i="4"/>
  <c r="B172" i="4"/>
  <c r="A172" i="4"/>
  <c r="F171" i="4"/>
  <c r="E171" i="4"/>
  <c r="D171" i="4"/>
  <c r="C171" i="4"/>
  <c r="B171" i="4"/>
  <c r="A171" i="4"/>
  <c r="F170" i="4"/>
  <c r="E170" i="4"/>
  <c r="D170" i="4"/>
  <c r="C170" i="4"/>
  <c r="B170" i="4"/>
  <c r="A170" i="4"/>
  <c r="F169" i="4"/>
  <c r="E169" i="4"/>
  <c r="D169" i="4"/>
  <c r="C169" i="4"/>
  <c r="B169" i="4"/>
  <c r="A169" i="4"/>
  <c r="F168" i="4"/>
  <c r="E168" i="4"/>
  <c r="D168" i="4"/>
  <c r="C168" i="4"/>
  <c r="B168" i="4"/>
  <c r="A168" i="4"/>
  <c r="F167" i="4"/>
  <c r="E167" i="4"/>
  <c r="D167" i="4"/>
  <c r="C167" i="4"/>
  <c r="B167" i="4"/>
  <c r="A167" i="4"/>
  <c r="F166" i="4"/>
  <c r="E166" i="4"/>
  <c r="D166" i="4"/>
  <c r="C166" i="4"/>
  <c r="B166" i="4"/>
  <c r="A166" i="4"/>
  <c r="F165" i="4"/>
  <c r="E165" i="4"/>
  <c r="D165" i="4"/>
  <c r="C165" i="4"/>
  <c r="B165" i="4"/>
  <c r="A165" i="4"/>
  <c r="F164" i="4"/>
  <c r="E164" i="4"/>
  <c r="D164" i="4"/>
  <c r="C164" i="4"/>
  <c r="B164" i="4"/>
  <c r="A164" i="4"/>
  <c r="F163" i="4"/>
  <c r="E163" i="4"/>
  <c r="D163" i="4"/>
  <c r="C163" i="4"/>
  <c r="B163" i="4"/>
  <c r="A163" i="4"/>
  <c r="F162" i="4"/>
  <c r="E162" i="4"/>
  <c r="D162" i="4"/>
  <c r="C162" i="4"/>
  <c r="B162" i="4"/>
  <c r="A162" i="4"/>
  <c r="F161" i="4"/>
  <c r="E161" i="4"/>
  <c r="D161" i="4"/>
  <c r="C161" i="4"/>
  <c r="B161" i="4"/>
  <c r="A161" i="4"/>
  <c r="F160" i="4"/>
  <c r="E160" i="4"/>
  <c r="D160" i="4"/>
  <c r="C160" i="4"/>
  <c r="B160" i="4"/>
  <c r="A160" i="4"/>
  <c r="F159" i="4"/>
  <c r="E159" i="4"/>
  <c r="D159" i="4"/>
  <c r="C159" i="4"/>
  <c r="B159" i="4"/>
  <c r="A159" i="4"/>
  <c r="F158" i="4"/>
  <c r="E158" i="4"/>
  <c r="D158" i="4"/>
  <c r="C158" i="4"/>
  <c r="B158" i="4"/>
  <c r="A158" i="4"/>
  <c r="F157" i="4"/>
  <c r="E157" i="4"/>
  <c r="D157" i="4"/>
  <c r="C157" i="4"/>
  <c r="B157" i="4"/>
  <c r="A157" i="4"/>
  <c r="F156" i="4"/>
  <c r="E156" i="4"/>
  <c r="D156" i="4"/>
  <c r="C156" i="4"/>
  <c r="B156" i="4"/>
  <c r="A156" i="4"/>
  <c r="F155" i="4"/>
  <c r="E155" i="4"/>
  <c r="D155" i="4"/>
  <c r="C155" i="4"/>
  <c r="B155" i="4"/>
  <c r="A155" i="4"/>
  <c r="F154" i="4"/>
  <c r="E154" i="4"/>
  <c r="D154" i="4"/>
  <c r="C154" i="4"/>
  <c r="B154" i="4"/>
  <c r="A154" i="4"/>
  <c r="F153" i="4"/>
  <c r="E153" i="4"/>
  <c r="D153" i="4"/>
  <c r="C153" i="4"/>
  <c r="B153" i="4"/>
  <c r="A153" i="4"/>
  <c r="F152" i="4"/>
  <c r="E152" i="4"/>
  <c r="D152" i="4"/>
  <c r="C152" i="4"/>
  <c r="B152" i="4"/>
  <c r="A152" i="4"/>
  <c r="F151" i="4"/>
  <c r="E151" i="4"/>
  <c r="D151" i="4"/>
  <c r="C151" i="4"/>
  <c r="B151" i="4"/>
  <c r="A151" i="4"/>
  <c r="F150" i="4"/>
  <c r="E150" i="4"/>
  <c r="D150" i="4"/>
  <c r="C150" i="4"/>
  <c r="B150" i="4"/>
  <c r="A150" i="4"/>
  <c r="F149" i="4"/>
  <c r="E149" i="4"/>
  <c r="D149" i="4"/>
  <c r="C149" i="4"/>
  <c r="B149" i="4"/>
  <c r="A149" i="4"/>
  <c r="F148" i="4"/>
  <c r="E148" i="4"/>
  <c r="D148" i="4"/>
  <c r="C148" i="4"/>
  <c r="B148" i="4"/>
  <c r="A148" i="4"/>
  <c r="F147" i="4"/>
  <c r="E147" i="4"/>
  <c r="D147" i="4"/>
  <c r="C147" i="4"/>
  <c r="B147" i="4"/>
  <c r="A147" i="4"/>
  <c r="F146" i="4"/>
  <c r="E146" i="4"/>
  <c r="D146" i="4"/>
  <c r="C146" i="4"/>
  <c r="B146" i="4"/>
  <c r="A146" i="4"/>
  <c r="F145" i="4"/>
  <c r="E145" i="4"/>
  <c r="D145" i="4"/>
  <c r="C145" i="4"/>
  <c r="B145" i="4"/>
  <c r="A145" i="4"/>
  <c r="F144" i="4"/>
  <c r="E144" i="4"/>
  <c r="D144" i="4"/>
  <c r="C144" i="4"/>
  <c r="B144" i="4"/>
  <c r="A144" i="4"/>
  <c r="F143" i="4"/>
  <c r="E143" i="4"/>
  <c r="D143" i="4"/>
  <c r="C143" i="4"/>
  <c r="B143" i="4"/>
  <c r="A143" i="4"/>
  <c r="F142" i="4"/>
  <c r="E142" i="4"/>
  <c r="D142" i="4"/>
  <c r="C142" i="4"/>
  <c r="B142" i="4"/>
  <c r="A142" i="4"/>
  <c r="F141" i="4"/>
  <c r="E141" i="4"/>
  <c r="D141" i="4"/>
  <c r="C141" i="4"/>
  <c r="B141" i="4"/>
  <c r="A141" i="4"/>
  <c r="F140" i="4"/>
  <c r="E140" i="4"/>
  <c r="D140" i="4"/>
  <c r="C140" i="4"/>
  <c r="B140" i="4"/>
  <c r="A140" i="4"/>
  <c r="F139" i="4"/>
  <c r="E139" i="4"/>
  <c r="D139" i="4"/>
  <c r="C139" i="4"/>
  <c r="B139" i="4"/>
  <c r="A139" i="4"/>
  <c r="F138" i="4"/>
  <c r="E138" i="4"/>
  <c r="D138" i="4"/>
  <c r="C138" i="4"/>
  <c r="B138" i="4"/>
  <c r="A138" i="4"/>
  <c r="F137" i="4"/>
  <c r="E137" i="4"/>
  <c r="D137" i="4"/>
  <c r="C137" i="4"/>
  <c r="B137" i="4"/>
  <c r="A137" i="4"/>
  <c r="F136" i="4"/>
  <c r="E136" i="4"/>
  <c r="D136" i="4"/>
  <c r="C136" i="4"/>
  <c r="B136" i="4"/>
  <c r="A136" i="4"/>
  <c r="F135" i="4"/>
  <c r="E135" i="4"/>
  <c r="D135" i="4"/>
  <c r="C135" i="4"/>
  <c r="B135" i="4"/>
  <c r="A135" i="4"/>
  <c r="F134" i="4"/>
  <c r="E134" i="4"/>
  <c r="D134" i="4"/>
  <c r="C134" i="4"/>
  <c r="B134" i="4"/>
  <c r="A134" i="4"/>
  <c r="F133" i="4"/>
  <c r="E133" i="4"/>
  <c r="D133" i="4"/>
  <c r="C133" i="4"/>
  <c r="B133" i="4"/>
  <c r="A133" i="4"/>
  <c r="F132" i="4"/>
  <c r="E132" i="4"/>
  <c r="D132" i="4"/>
  <c r="C132" i="4"/>
  <c r="B132" i="4"/>
  <c r="A132" i="4"/>
  <c r="F131" i="4"/>
  <c r="E131" i="4"/>
  <c r="D131" i="4"/>
  <c r="C131" i="4"/>
  <c r="B131" i="4"/>
  <c r="A131" i="4"/>
  <c r="F130" i="4"/>
  <c r="E130" i="4"/>
  <c r="D130" i="4"/>
  <c r="C130" i="4"/>
  <c r="B130" i="4"/>
  <c r="A130" i="4"/>
  <c r="F129" i="4"/>
  <c r="E129" i="4"/>
  <c r="D129" i="4"/>
  <c r="C129" i="4"/>
  <c r="B129" i="4"/>
  <c r="A129" i="4"/>
  <c r="F128" i="4"/>
  <c r="E128" i="4"/>
  <c r="D128" i="4"/>
  <c r="C128" i="4"/>
  <c r="B128" i="4"/>
  <c r="A128" i="4"/>
  <c r="F127" i="4"/>
  <c r="E127" i="4"/>
  <c r="D127" i="4"/>
  <c r="C127" i="4"/>
  <c r="B127" i="4"/>
  <c r="A127" i="4"/>
  <c r="F126" i="4"/>
  <c r="E126" i="4"/>
  <c r="D126" i="4"/>
  <c r="C126" i="4"/>
  <c r="B126" i="4"/>
  <c r="A126" i="4"/>
  <c r="F125" i="4"/>
  <c r="E125" i="4"/>
  <c r="D125" i="4"/>
  <c r="C125" i="4"/>
  <c r="B125" i="4"/>
  <c r="A125" i="4"/>
  <c r="F124" i="4"/>
  <c r="E124" i="4"/>
  <c r="D124" i="4"/>
  <c r="C124" i="4"/>
  <c r="B124" i="4"/>
  <c r="A124" i="4"/>
  <c r="F123" i="4"/>
  <c r="E123" i="4"/>
  <c r="D123" i="4"/>
  <c r="C123" i="4"/>
  <c r="B123" i="4"/>
  <c r="A123" i="4"/>
  <c r="F122" i="4"/>
  <c r="E122" i="4"/>
  <c r="D122" i="4"/>
  <c r="C122" i="4"/>
  <c r="B122" i="4"/>
  <c r="A122" i="4"/>
  <c r="F121" i="4"/>
  <c r="E121" i="4"/>
  <c r="D121" i="4"/>
  <c r="C121" i="4"/>
  <c r="B121" i="4"/>
  <c r="A121" i="4"/>
  <c r="F120" i="4"/>
  <c r="E120" i="4"/>
  <c r="D120" i="4"/>
  <c r="C120" i="4"/>
  <c r="B120" i="4"/>
  <c r="A120" i="4"/>
  <c r="F119" i="4"/>
  <c r="E119" i="4"/>
  <c r="D119" i="4"/>
  <c r="C119" i="4"/>
  <c r="B119" i="4"/>
  <c r="A119" i="4"/>
  <c r="F118" i="4"/>
  <c r="E118" i="4"/>
  <c r="D118" i="4"/>
  <c r="C118" i="4"/>
  <c r="B118" i="4"/>
  <c r="A118" i="4"/>
  <c r="F117" i="4"/>
  <c r="E117" i="4"/>
  <c r="D117" i="4"/>
  <c r="C117" i="4"/>
  <c r="B117" i="4"/>
  <c r="A117" i="4"/>
  <c r="F116" i="4"/>
  <c r="E116" i="4"/>
  <c r="D116" i="4"/>
  <c r="C116" i="4"/>
  <c r="B116" i="4"/>
  <c r="A116" i="4"/>
  <c r="F115" i="4"/>
  <c r="E115" i="4"/>
  <c r="D115" i="4"/>
  <c r="C115" i="4"/>
  <c r="B115" i="4"/>
  <c r="A115" i="4"/>
  <c r="F114" i="4"/>
  <c r="E114" i="4"/>
  <c r="D114" i="4"/>
  <c r="C114" i="4"/>
  <c r="B114" i="4"/>
  <c r="A114" i="4"/>
  <c r="F113" i="4"/>
  <c r="E113" i="4"/>
  <c r="D113" i="4"/>
  <c r="C113" i="4"/>
  <c r="B113" i="4"/>
  <c r="A113" i="4"/>
  <c r="F112" i="4"/>
  <c r="E112" i="4"/>
  <c r="D112" i="4"/>
  <c r="C112" i="4"/>
  <c r="B112" i="4"/>
  <c r="A112" i="4"/>
  <c r="F111" i="4"/>
  <c r="E111" i="4"/>
  <c r="D111" i="4"/>
  <c r="C111" i="4"/>
  <c r="B111" i="4"/>
  <c r="A111" i="4"/>
  <c r="F110" i="4"/>
  <c r="E110" i="4"/>
  <c r="D110" i="4"/>
  <c r="C110" i="4"/>
  <c r="B110" i="4"/>
  <c r="A110" i="4"/>
  <c r="F109" i="4"/>
  <c r="E109" i="4"/>
  <c r="D109" i="4"/>
  <c r="C109" i="4"/>
  <c r="B109" i="4"/>
  <c r="A109" i="4"/>
  <c r="F108" i="4"/>
  <c r="E108" i="4"/>
  <c r="D108" i="4"/>
  <c r="C108" i="4"/>
  <c r="B108" i="4"/>
  <c r="A108" i="4"/>
  <c r="F107" i="4"/>
  <c r="E107" i="4"/>
  <c r="D107" i="4"/>
  <c r="C107" i="4"/>
  <c r="B107" i="4"/>
  <c r="A107" i="4"/>
  <c r="F106" i="4"/>
  <c r="E106" i="4"/>
  <c r="D106" i="4"/>
  <c r="C106" i="4"/>
  <c r="B106" i="4"/>
  <c r="A106" i="4"/>
  <c r="F105" i="4"/>
  <c r="E105" i="4"/>
  <c r="D105" i="4"/>
  <c r="C105" i="4"/>
  <c r="B105" i="4"/>
  <c r="A105" i="4"/>
  <c r="F104" i="4"/>
  <c r="E104" i="4"/>
  <c r="D104" i="4"/>
  <c r="C104" i="4"/>
  <c r="B104" i="4"/>
  <c r="A104" i="4"/>
  <c r="F103" i="4"/>
  <c r="E103" i="4"/>
  <c r="D103" i="4"/>
  <c r="C103" i="4"/>
  <c r="B103" i="4"/>
  <c r="A103" i="4"/>
  <c r="F102" i="4"/>
  <c r="E102" i="4"/>
  <c r="D102" i="4"/>
  <c r="C102" i="4"/>
  <c r="B102" i="4"/>
  <c r="A102" i="4"/>
  <c r="F101" i="4"/>
  <c r="E101" i="4"/>
  <c r="D101" i="4"/>
  <c r="C101" i="4"/>
  <c r="B101" i="4"/>
  <c r="A101" i="4"/>
  <c r="F100" i="4"/>
  <c r="E100" i="4"/>
  <c r="D100" i="4"/>
  <c r="C100" i="4"/>
  <c r="B100" i="4"/>
  <c r="A100" i="4"/>
  <c r="F99" i="4"/>
  <c r="E99" i="4"/>
  <c r="D99" i="4"/>
  <c r="C99" i="4"/>
  <c r="B99" i="4"/>
  <c r="A99" i="4"/>
  <c r="F98" i="4"/>
  <c r="E98" i="4"/>
  <c r="D98" i="4"/>
  <c r="C98" i="4"/>
  <c r="B98" i="4"/>
  <c r="A98" i="4"/>
  <c r="F97" i="4"/>
  <c r="E97" i="4"/>
  <c r="D97" i="4"/>
  <c r="C97" i="4"/>
  <c r="B97" i="4"/>
  <c r="A97" i="4"/>
  <c r="F96" i="4"/>
  <c r="E96" i="4"/>
  <c r="D96" i="4"/>
  <c r="C96" i="4"/>
  <c r="B96" i="4"/>
  <c r="A96" i="4"/>
  <c r="F95" i="4"/>
  <c r="E95" i="4"/>
  <c r="D95" i="4"/>
  <c r="C95" i="4"/>
  <c r="B95" i="4"/>
  <c r="A95" i="4"/>
  <c r="F94" i="4"/>
  <c r="E94" i="4"/>
  <c r="D94" i="4"/>
  <c r="C94" i="4"/>
  <c r="B94" i="4"/>
  <c r="A94" i="4"/>
  <c r="F93" i="4"/>
  <c r="E93" i="4"/>
  <c r="D93" i="4"/>
  <c r="C93" i="4"/>
  <c r="B93" i="4"/>
  <c r="A93" i="4"/>
  <c r="F92" i="4"/>
  <c r="E92" i="4"/>
  <c r="D92" i="4"/>
  <c r="C92" i="4"/>
  <c r="B92" i="4"/>
  <c r="A92" i="4"/>
  <c r="F91" i="4"/>
  <c r="E91" i="4"/>
  <c r="D91" i="4"/>
  <c r="C91" i="4"/>
  <c r="B91" i="4"/>
  <c r="A91" i="4"/>
  <c r="F90" i="4"/>
  <c r="E90" i="4"/>
  <c r="D90" i="4"/>
  <c r="C90" i="4"/>
  <c r="B90" i="4"/>
  <c r="A90" i="4"/>
  <c r="F89" i="4"/>
  <c r="E89" i="4"/>
  <c r="D89" i="4"/>
  <c r="C89" i="4"/>
  <c r="B89" i="4"/>
  <c r="A89" i="4"/>
  <c r="F88" i="4"/>
  <c r="E88" i="4"/>
  <c r="D88" i="4"/>
  <c r="C88" i="4"/>
  <c r="B88" i="4"/>
  <c r="A88" i="4"/>
  <c r="F87" i="4"/>
  <c r="E87" i="4"/>
  <c r="D87" i="4"/>
  <c r="C87" i="4"/>
  <c r="B87" i="4"/>
  <c r="A87" i="4"/>
  <c r="F86" i="4"/>
  <c r="E86" i="4"/>
  <c r="D86" i="4"/>
  <c r="C86" i="4"/>
  <c r="B86" i="4"/>
  <c r="A86" i="4"/>
  <c r="F85" i="4"/>
  <c r="E85" i="4"/>
  <c r="D85" i="4"/>
  <c r="C85" i="4"/>
  <c r="B85" i="4"/>
  <c r="A85" i="4"/>
  <c r="F84" i="4"/>
  <c r="E84" i="4"/>
  <c r="D84" i="4"/>
  <c r="C84" i="4"/>
  <c r="B84" i="4"/>
  <c r="A84" i="4"/>
  <c r="F83" i="4"/>
  <c r="E83" i="4"/>
  <c r="D83" i="4"/>
  <c r="C83" i="4"/>
  <c r="B83" i="4"/>
  <c r="A83" i="4"/>
  <c r="F82" i="4"/>
  <c r="E82" i="4"/>
  <c r="D82" i="4"/>
  <c r="C82" i="4"/>
  <c r="B82" i="4"/>
  <c r="A82" i="4"/>
  <c r="F81" i="4"/>
  <c r="E81" i="4"/>
  <c r="D81" i="4"/>
  <c r="C81" i="4"/>
  <c r="B81" i="4"/>
  <c r="A81" i="4"/>
  <c r="F80" i="4"/>
  <c r="E80" i="4"/>
  <c r="D80" i="4"/>
  <c r="C80" i="4"/>
  <c r="B80" i="4"/>
  <c r="A80" i="4"/>
  <c r="F79" i="4"/>
  <c r="E79" i="4"/>
  <c r="D79" i="4"/>
  <c r="C79" i="4"/>
  <c r="B79" i="4"/>
  <c r="A79" i="4"/>
  <c r="F78" i="4"/>
  <c r="E78" i="4"/>
  <c r="D78" i="4"/>
  <c r="C78" i="4"/>
  <c r="B78" i="4"/>
  <c r="A78" i="4"/>
  <c r="F77" i="4"/>
  <c r="E77" i="4"/>
  <c r="D77" i="4"/>
  <c r="C77" i="4"/>
  <c r="B77" i="4"/>
  <c r="A77" i="4"/>
  <c r="F76" i="4"/>
  <c r="E76" i="4"/>
  <c r="D76" i="4"/>
  <c r="C76" i="4"/>
  <c r="B76" i="4"/>
  <c r="A76" i="4"/>
  <c r="F75" i="4"/>
  <c r="E75" i="4"/>
  <c r="D75" i="4"/>
  <c r="C75" i="4"/>
  <c r="B75" i="4"/>
  <c r="A75" i="4"/>
  <c r="F74" i="4"/>
  <c r="E74" i="4"/>
  <c r="D74" i="4"/>
  <c r="C74" i="4"/>
  <c r="B74" i="4"/>
  <c r="A74" i="4"/>
  <c r="F73" i="4"/>
  <c r="E73" i="4"/>
  <c r="D73" i="4"/>
  <c r="C73" i="4"/>
  <c r="B73" i="4"/>
  <c r="A73" i="4"/>
  <c r="F72" i="4"/>
  <c r="E72" i="4"/>
  <c r="D72" i="4"/>
  <c r="C72" i="4"/>
  <c r="B72" i="4"/>
  <c r="A72" i="4"/>
  <c r="F71" i="4"/>
  <c r="E71" i="4"/>
  <c r="D71" i="4"/>
  <c r="C71" i="4"/>
  <c r="B71" i="4"/>
  <c r="A71" i="4"/>
  <c r="F70" i="4"/>
  <c r="E70" i="4"/>
  <c r="D70" i="4"/>
  <c r="C70" i="4"/>
  <c r="B70" i="4"/>
  <c r="A70" i="4"/>
  <c r="F69" i="4"/>
  <c r="E69" i="4"/>
  <c r="D69" i="4"/>
  <c r="C69" i="4"/>
  <c r="B69" i="4"/>
  <c r="A69" i="4"/>
  <c r="F68" i="4"/>
  <c r="E68" i="4"/>
  <c r="D68" i="4"/>
  <c r="C68" i="4"/>
  <c r="B68" i="4"/>
  <c r="A68" i="4"/>
  <c r="F67" i="4"/>
  <c r="E67" i="4"/>
  <c r="D67" i="4"/>
  <c r="C67" i="4"/>
  <c r="B67" i="4"/>
  <c r="A67" i="4"/>
  <c r="F66" i="4"/>
  <c r="E66" i="4"/>
  <c r="D66" i="4"/>
  <c r="C66" i="4"/>
  <c r="B66" i="4"/>
  <c r="A66" i="4"/>
  <c r="F65" i="4"/>
  <c r="E65" i="4"/>
  <c r="D65" i="4"/>
  <c r="C65" i="4"/>
  <c r="B65" i="4"/>
  <c r="A65" i="4"/>
  <c r="F64" i="4"/>
  <c r="E64" i="4"/>
  <c r="D64" i="4"/>
  <c r="C64" i="4"/>
  <c r="B64" i="4"/>
  <c r="A64" i="4"/>
  <c r="F63" i="4"/>
  <c r="E63" i="4"/>
  <c r="D63" i="4"/>
  <c r="C63" i="4"/>
  <c r="B63" i="4"/>
  <c r="A63" i="4"/>
  <c r="F62" i="4"/>
  <c r="E62" i="4"/>
  <c r="D62" i="4"/>
  <c r="C62" i="4"/>
  <c r="B62" i="4"/>
  <c r="A62" i="4"/>
  <c r="F61" i="4"/>
  <c r="E61" i="4"/>
  <c r="D61" i="4"/>
  <c r="C61" i="4"/>
  <c r="B61" i="4"/>
  <c r="A61" i="4"/>
  <c r="F60" i="4"/>
  <c r="E60" i="4"/>
  <c r="D60" i="4"/>
  <c r="C60" i="4"/>
  <c r="B60" i="4"/>
  <c r="A60" i="4"/>
  <c r="F59" i="4"/>
  <c r="E59" i="4"/>
  <c r="D59" i="4"/>
  <c r="C59" i="4"/>
  <c r="B59" i="4"/>
  <c r="A59" i="4"/>
  <c r="F58" i="4"/>
  <c r="E58" i="4"/>
  <c r="D58" i="4"/>
  <c r="C58" i="4"/>
  <c r="B58" i="4"/>
  <c r="A58" i="4"/>
  <c r="F57" i="4"/>
  <c r="E57" i="4"/>
  <c r="D57" i="4"/>
  <c r="C57" i="4"/>
  <c r="B57" i="4"/>
  <c r="A57" i="4"/>
  <c r="F56" i="4"/>
  <c r="E56" i="4"/>
  <c r="D56" i="4"/>
  <c r="C56" i="4"/>
  <c r="B56" i="4"/>
  <c r="A56" i="4"/>
  <c r="F55" i="4"/>
  <c r="E55" i="4"/>
  <c r="D55" i="4"/>
  <c r="C55" i="4"/>
  <c r="B55" i="4"/>
  <c r="A55" i="4"/>
  <c r="F54" i="4"/>
  <c r="E54" i="4"/>
  <c r="D54" i="4"/>
  <c r="C54" i="4"/>
  <c r="B54" i="4"/>
  <c r="A54" i="4"/>
  <c r="F53" i="4"/>
  <c r="E53" i="4"/>
  <c r="D53" i="4"/>
  <c r="C53" i="4"/>
  <c r="B53" i="4"/>
  <c r="A53" i="4"/>
  <c r="F52" i="4"/>
  <c r="E52" i="4"/>
  <c r="D52" i="4"/>
  <c r="C52" i="4"/>
  <c r="B52" i="4"/>
  <c r="A52" i="4"/>
  <c r="F51" i="4"/>
  <c r="E51" i="4"/>
  <c r="D51" i="4"/>
  <c r="C51" i="4"/>
  <c r="B51" i="4"/>
  <c r="A51" i="4"/>
  <c r="F50" i="4"/>
  <c r="E50" i="4"/>
  <c r="D50" i="4"/>
  <c r="C50" i="4"/>
  <c r="B50" i="4"/>
  <c r="A50" i="4"/>
  <c r="F49" i="4"/>
  <c r="E49" i="4"/>
  <c r="D49" i="4"/>
  <c r="C49" i="4"/>
  <c r="B49" i="4"/>
  <c r="A49" i="4"/>
  <c r="F48" i="4"/>
  <c r="E48" i="4"/>
  <c r="D48" i="4"/>
  <c r="C48" i="4"/>
  <c r="B48" i="4"/>
  <c r="A48" i="4"/>
  <c r="F47" i="4"/>
  <c r="E47" i="4"/>
  <c r="D47" i="4"/>
  <c r="C47" i="4"/>
  <c r="B47" i="4"/>
  <c r="A47" i="4"/>
  <c r="F46" i="4"/>
  <c r="E46" i="4"/>
  <c r="D46" i="4"/>
  <c r="C46" i="4"/>
  <c r="B46" i="4"/>
  <c r="A46" i="4"/>
  <c r="F45" i="4"/>
  <c r="E45" i="4"/>
  <c r="D45" i="4"/>
  <c r="C45" i="4"/>
  <c r="B45" i="4"/>
  <c r="A45" i="4"/>
  <c r="F44" i="4"/>
  <c r="E44" i="4"/>
  <c r="D44" i="4"/>
  <c r="C44" i="4"/>
  <c r="B44" i="4"/>
  <c r="A44" i="4"/>
  <c r="F43" i="4"/>
  <c r="E43" i="4"/>
  <c r="D43" i="4"/>
  <c r="C43" i="4"/>
  <c r="B43" i="4"/>
  <c r="A43" i="4"/>
  <c r="F42" i="4"/>
  <c r="E42" i="4"/>
  <c r="D42" i="4"/>
  <c r="C42" i="4"/>
  <c r="B42" i="4"/>
  <c r="A42" i="4"/>
  <c r="F41" i="4"/>
  <c r="E41" i="4"/>
  <c r="D41" i="4"/>
  <c r="C41" i="4"/>
  <c r="B41" i="4"/>
  <c r="A41" i="4"/>
  <c r="F40" i="4"/>
  <c r="E40" i="4"/>
  <c r="D40" i="4"/>
  <c r="C40" i="4"/>
  <c r="B40" i="4"/>
  <c r="A40" i="4"/>
  <c r="F39" i="4"/>
  <c r="E39" i="4"/>
  <c r="D39" i="4"/>
  <c r="C39" i="4"/>
  <c r="B39" i="4"/>
  <c r="A39" i="4"/>
  <c r="F38" i="4"/>
  <c r="E38" i="4"/>
  <c r="D38" i="4"/>
  <c r="C38" i="4"/>
  <c r="B38" i="4"/>
  <c r="A38" i="4"/>
  <c r="F37" i="4"/>
  <c r="E37" i="4"/>
  <c r="D37" i="4"/>
  <c r="C37" i="4"/>
  <c r="B37" i="4"/>
  <c r="A37" i="4"/>
  <c r="F36" i="4"/>
  <c r="E36" i="4"/>
  <c r="D36" i="4"/>
  <c r="C36" i="4"/>
  <c r="B36" i="4"/>
  <c r="A36" i="4"/>
  <c r="F35" i="4"/>
  <c r="E35" i="4"/>
  <c r="D35" i="4"/>
  <c r="C35" i="4"/>
  <c r="B35" i="4"/>
  <c r="A35" i="4"/>
  <c r="F34" i="4"/>
  <c r="E34" i="4"/>
  <c r="D34" i="4"/>
  <c r="C34" i="4"/>
  <c r="B34" i="4"/>
  <c r="A34" i="4"/>
  <c r="F33" i="4"/>
  <c r="E33" i="4"/>
  <c r="D33" i="4"/>
  <c r="C33" i="4"/>
  <c r="B33" i="4"/>
  <c r="A33" i="4"/>
  <c r="F32" i="4"/>
  <c r="E32" i="4"/>
  <c r="D32" i="4"/>
  <c r="C32" i="4"/>
  <c r="B32" i="4"/>
  <c r="A32" i="4"/>
  <c r="F31" i="4"/>
  <c r="E31" i="4"/>
  <c r="D31" i="4"/>
  <c r="C31" i="4"/>
  <c r="B31" i="4"/>
  <c r="A31" i="4"/>
  <c r="F30" i="4"/>
  <c r="E30" i="4"/>
  <c r="D30" i="4"/>
  <c r="C30" i="4"/>
  <c r="B30" i="4"/>
  <c r="A30" i="4"/>
  <c r="F29" i="4"/>
  <c r="E29" i="4"/>
  <c r="D29" i="4"/>
  <c r="C29" i="4"/>
  <c r="B29" i="4"/>
  <c r="A29" i="4"/>
  <c r="F28" i="4"/>
  <c r="E28" i="4"/>
  <c r="D28" i="4"/>
  <c r="C28" i="4"/>
  <c r="B28" i="4"/>
  <c r="A28" i="4"/>
  <c r="F27" i="4"/>
  <c r="E27" i="4"/>
  <c r="D27" i="4"/>
  <c r="C27" i="4"/>
  <c r="B27" i="4"/>
  <c r="A27" i="4"/>
  <c r="F26" i="4"/>
  <c r="E26" i="4"/>
  <c r="D26" i="4"/>
  <c r="C26" i="4"/>
  <c r="B26" i="4"/>
  <c r="A26" i="4"/>
  <c r="F25" i="4"/>
  <c r="E25" i="4"/>
  <c r="D25" i="4"/>
  <c r="C25" i="4"/>
  <c r="B25" i="4"/>
  <c r="A25" i="4"/>
  <c r="F24" i="4"/>
  <c r="E24" i="4"/>
  <c r="D24" i="4"/>
  <c r="C24" i="4"/>
  <c r="B24" i="4"/>
  <c r="A24" i="4"/>
  <c r="F23" i="4"/>
  <c r="E23" i="4"/>
  <c r="D23" i="4"/>
  <c r="C23" i="4"/>
  <c r="B23" i="4"/>
  <c r="A23" i="4"/>
  <c r="F22" i="4"/>
  <c r="E22" i="4"/>
  <c r="D22" i="4"/>
  <c r="C22" i="4"/>
  <c r="B22" i="4"/>
  <c r="A22" i="4"/>
  <c r="F21" i="4"/>
  <c r="E21" i="4"/>
  <c r="D21" i="4"/>
  <c r="C21" i="4"/>
  <c r="B21" i="4"/>
  <c r="A21" i="4"/>
  <c r="F20" i="4"/>
  <c r="E20" i="4"/>
  <c r="D20" i="4"/>
  <c r="C20" i="4"/>
  <c r="B20" i="4"/>
  <c r="A20" i="4"/>
  <c r="F19" i="4"/>
  <c r="E19" i="4"/>
  <c r="D19" i="4"/>
  <c r="C19" i="4"/>
  <c r="B19" i="4"/>
  <c r="A19" i="4"/>
  <c r="F18" i="4"/>
  <c r="E18" i="4"/>
  <c r="D18" i="4"/>
  <c r="C18" i="4"/>
  <c r="B18" i="4"/>
  <c r="A18" i="4"/>
  <c r="F17" i="4"/>
  <c r="E17" i="4"/>
  <c r="D17" i="4"/>
  <c r="C17" i="4"/>
  <c r="B17" i="4"/>
  <c r="A17" i="4"/>
  <c r="F16" i="4"/>
  <c r="E16" i="4"/>
  <c r="D16" i="4"/>
  <c r="C16" i="4"/>
  <c r="B16" i="4"/>
  <c r="A16" i="4"/>
  <c r="F15" i="4"/>
  <c r="E15" i="4"/>
  <c r="D15" i="4"/>
  <c r="C15" i="4"/>
  <c r="B15" i="4"/>
  <c r="A15" i="4"/>
  <c r="F14" i="4"/>
  <c r="E14" i="4"/>
  <c r="D14" i="4"/>
  <c r="C14" i="4"/>
  <c r="B14" i="4"/>
  <c r="A14" i="4"/>
  <c r="F13" i="4"/>
  <c r="E13" i="4"/>
  <c r="D13" i="4"/>
  <c r="C13" i="4"/>
  <c r="B13" i="4"/>
  <c r="A13" i="4"/>
  <c r="F12" i="4"/>
  <c r="E12" i="4"/>
  <c r="D12" i="4"/>
  <c r="C12" i="4"/>
  <c r="B12" i="4"/>
  <c r="A12" i="4"/>
  <c r="F11" i="4"/>
  <c r="E11" i="4"/>
  <c r="D11" i="4"/>
  <c r="C11" i="4"/>
  <c r="B11" i="4"/>
  <c r="A11" i="4"/>
  <c r="F10" i="4"/>
  <c r="E10" i="4"/>
  <c r="D10" i="4"/>
  <c r="C10" i="4"/>
  <c r="B10" i="4"/>
  <c r="A10" i="4"/>
  <c r="F9" i="4"/>
  <c r="E9" i="4"/>
  <c r="D9" i="4"/>
  <c r="C9" i="4"/>
  <c r="B9" i="4"/>
  <c r="A9" i="4"/>
  <c r="F8" i="4"/>
  <c r="E8" i="4"/>
  <c r="D8" i="4"/>
  <c r="C8" i="4"/>
  <c r="B8" i="4"/>
  <c r="A8" i="4"/>
  <c r="F7" i="4"/>
  <c r="E7" i="4"/>
  <c r="D7" i="4"/>
  <c r="C7" i="4"/>
  <c r="B7" i="4"/>
  <c r="A7" i="4"/>
  <c r="F6" i="4"/>
  <c r="E6" i="4"/>
  <c r="D6" i="4"/>
  <c r="C6" i="4"/>
  <c r="B6" i="4"/>
  <c r="A6" i="4"/>
  <c r="F5" i="4"/>
  <c r="E5" i="4"/>
  <c r="D5" i="4"/>
  <c r="C5" i="4"/>
  <c r="B5" i="4"/>
  <c r="A5" i="4"/>
  <c r="F4" i="4"/>
  <c r="E4" i="4"/>
  <c r="D4" i="4"/>
  <c r="C4" i="4"/>
  <c r="B4" i="4"/>
  <c r="A4" i="4"/>
  <c r="F3" i="4"/>
  <c r="E3" i="4"/>
  <c r="D3" i="4"/>
  <c r="C3" i="4"/>
  <c r="B3" i="4"/>
  <c r="A3" i="4"/>
  <c r="F2" i="4"/>
  <c r="E2" i="4"/>
  <c r="D2" i="4"/>
  <c r="C2" i="4"/>
  <c r="B2" i="4"/>
  <c r="A2" i="4"/>
  <c r="F1" i="4"/>
  <c r="E1" i="4"/>
  <c r="D1" i="4"/>
  <c r="C1" i="4"/>
  <c r="B1" i="4"/>
  <c r="A1" i="4"/>
  <c r="F2739" i="3"/>
  <c r="E2739" i="3"/>
  <c r="D2739" i="3"/>
  <c r="C2739" i="3"/>
  <c r="B2739" i="3"/>
  <c r="A2739" i="3"/>
  <c r="F2738" i="3"/>
  <c r="E2738" i="3"/>
  <c r="D2738" i="3"/>
  <c r="C2738" i="3"/>
  <c r="B2738" i="3"/>
  <c r="A2738" i="3"/>
  <c r="F2737" i="3"/>
  <c r="E2737" i="3"/>
  <c r="D2737" i="3"/>
  <c r="C2737" i="3"/>
  <c r="B2737" i="3"/>
  <c r="A2737" i="3"/>
  <c r="F2736" i="3"/>
  <c r="E2736" i="3"/>
  <c r="D2736" i="3"/>
  <c r="C2736" i="3"/>
  <c r="B2736" i="3"/>
  <c r="A2736" i="3"/>
  <c r="F2735" i="3"/>
  <c r="E2735" i="3"/>
  <c r="D2735" i="3"/>
  <c r="C2735" i="3"/>
  <c r="B2735" i="3"/>
  <c r="A2735" i="3"/>
  <c r="F2734" i="3"/>
  <c r="E2734" i="3"/>
  <c r="D2734" i="3"/>
  <c r="C2734" i="3"/>
  <c r="B2734" i="3"/>
  <c r="A2734" i="3"/>
  <c r="F2733" i="3"/>
  <c r="E2733" i="3"/>
  <c r="D2733" i="3"/>
  <c r="C2733" i="3"/>
  <c r="B2733" i="3"/>
  <c r="A2733" i="3"/>
  <c r="F2732" i="3"/>
  <c r="E2732" i="3"/>
  <c r="D2732" i="3"/>
  <c r="C2732" i="3"/>
  <c r="B2732" i="3"/>
  <c r="A2732" i="3"/>
  <c r="F2731" i="3"/>
  <c r="E2731" i="3"/>
  <c r="D2731" i="3"/>
  <c r="C2731" i="3"/>
  <c r="B2731" i="3"/>
  <c r="A2731" i="3"/>
  <c r="F2730" i="3"/>
  <c r="E2730" i="3"/>
  <c r="D2730" i="3"/>
  <c r="C2730" i="3"/>
  <c r="B2730" i="3"/>
  <c r="A2730" i="3"/>
  <c r="F2729" i="3"/>
  <c r="E2729" i="3"/>
  <c r="D2729" i="3"/>
  <c r="C2729" i="3"/>
  <c r="B2729" i="3"/>
  <c r="A2729" i="3"/>
  <c r="F2728" i="3"/>
  <c r="E2728" i="3"/>
  <c r="D2728" i="3"/>
  <c r="C2728" i="3"/>
  <c r="B2728" i="3"/>
  <c r="A2728" i="3"/>
  <c r="F2727" i="3"/>
  <c r="E2727" i="3"/>
  <c r="D2727" i="3"/>
  <c r="C2727" i="3"/>
  <c r="B2727" i="3"/>
  <c r="A2727" i="3"/>
  <c r="F2726" i="3"/>
  <c r="E2726" i="3"/>
  <c r="D2726" i="3"/>
  <c r="C2726" i="3"/>
  <c r="B2726" i="3"/>
  <c r="A2726" i="3"/>
  <c r="F2725" i="3"/>
  <c r="E2725" i="3"/>
  <c r="D2725" i="3"/>
  <c r="C2725" i="3"/>
  <c r="B2725" i="3"/>
  <c r="A2725" i="3"/>
  <c r="F2724" i="3"/>
  <c r="E2724" i="3"/>
  <c r="D2724" i="3"/>
  <c r="C2724" i="3"/>
  <c r="B2724" i="3"/>
  <c r="A2724" i="3"/>
  <c r="F2723" i="3"/>
  <c r="E2723" i="3"/>
  <c r="D2723" i="3"/>
  <c r="C2723" i="3"/>
  <c r="B2723" i="3"/>
  <c r="A2723" i="3"/>
  <c r="F2722" i="3"/>
  <c r="E2722" i="3"/>
  <c r="D2722" i="3"/>
  <c r="C2722" i="3"/>
  <c r="B2722" i="3"/>
  <c r="A2722" i="3"/>
  <c r="F2721" i="3"/>
  <c r="E2721" i="3"/>
  <c r="D2721" i="3"/>
  <c r="C2721" i="3"/>
  <c r="B2721" i="3"/>
  <c r="A2721" i="3"/>
  <c r="F2720" i="3"/>
  <c r="E2720" i="3"/>
  <c r="D2720" i="3"/>
  <c r="C2720" i="3"/>
  <c r="B2720" i="3"/>
  <c r="A2720" i="3"/>
  <c r="F2719" i="3"/>
  <c r="E2719" i="3"/>
  <c r="D2719" i="3"/>
  <c r="C2719" i="3"/>
  <c r="B2719" i="3"/>
  <c r="A2719" i="3"/>
  <c r="F2718" i="3"/>
  <c r="E2718" i="3"/>
  <c r="D2718" i="3"/>
  <c r="C2718" i="3"/>
  <c r="B2718" i="3"/>
  <c r="A2718" i="3"/>
  <c r="F2717" i="3"/>
  <c r="E2717" i="3"/>
  <c r="D2717" i="3"/>
  <c r="C2717" i="3"/>
  <c r="B2717" i="3"/>
  <c r="A2717" i="3"/>
  <c r="F2716" i="3"/>
  <c r="E2716" i="3"/>
  <c r="D2716" i="3"/>
  <c r="C2716" i="3"/>
  <c r="B2716" i="3"/>
  <c r="A2716" i="3"/>
  <c r="F2715" i="3"/>
  <c r="E2715" i="3"/>
  <c r="D2715" i="3"/>
  <c r="C2715" i="3"/>
  <c r="B2715" i="3"/>
  <c r="A2715" i="3"/>
  <c r="F2714" i="3"/>
  <c r="E2714" i="3"/>
  <c r="D2714" i="3"/>
  <c r="C2714" i="3"/>
  <c r="B2714" i="3"/>
  <c r="A2714" i="3"/>
  <c r="F2713" i="3"/>
  <c r="E2713" i="3"/>
  <c r="D2713" i="3"/>
  <c r="C2713" i="3"/>
  <c r="B2713" i="3"/>
  <c r="A2713" i="3"/>
  <c r="F2712" i="3"/>
  <c r="E2712" i="3"/>
  <c r="D2712" i="3"/>
  <c r="C2712" i="3"/>
  <c r="B2712" i="3"/>
  <c r="A2712" i="3"/>
  <c r="F2711" i="3"/>
  <c r="E2711" i="3"/>
  <c r="D2711" i="3"/>
  <c r="C2711" i="3"/>
  <c r="B2711" i="3"/>
  <c r="A2711" i="3"/>
  <c r="F2710" i="3"/>
  <c r="E2710" i="3"/>
  <c r="D2710" i="3"/>
  <c r="C2710" i="3"/>
  <c r="B2710" i="3"/>
  <c r="A2710" i="3"/>
  <c r="F2709" i="3"/>
  <c r="E2709" i="3"/>
  <c r="D2709" i="3"/>
  <c r="C2709" i="3"/>
  <c r="B2709" i="3"/>
  <c r="A2709" i="3"/>
  <c r="F2708" i="3"/>
  <c r="E2708" i="3"/>
  <c r="D2708" i="3"/>
  <c r="C2708" i="3"/>
  <c r="B2708" i="3"/>
  <c r="A2708" i="3"/>
  <c r="F2707" i="3"/>
  <c r="E2707" i="3"/>
  <c r="D2707" i="3"/>
  <c r="C2707" i="3"/>
  <c r="B2707" i="3"/>
  <c r="A2707" i="3"/>
  <c r="F2706" i="3"/>
  <c r="E2706" i="3"/>
  <c r="D2706" i="3"/>
  <c r="C2706" i="3"/>
  <c r="B2706" i="3"/>
  <c r="A2706" i="3"/>
  <c r="F2705" i="3"/>
  <c r="E2705" i="3"/>
  <c r="D2705" i="3"/>
  <c r="C2705" i="3"/>
  <c r="B2705" i="3"/>
  <c r="A2705" i="3"/>
  <c r="F2704" i="3"/>
  <c r="E2704" i="3"/>
  <c r="D2704" i="3"/>
  <c r="C2704" i="3"/>
  <c r="B2704" i="3"/>
  <c r="A2704" i="3"/>
  <c r="F2703" i="3"/>
  <c r="E2703" i="3"/>
  <c r="D2703" i="3"/>
  <c r="C2703" i="3"/>
  <c r="B2703" i="3"/>
  <c r="A2703" i="3"/>
  <c r="F2702" i="3"/>
  <c r="E2702" i="3"/>
  <c r="D2702" i="3"/>
  <c r="C2702" i="3"/>
  <c r="B2702" i="3"/>
  <c r="A2702" i="3"/>
  <c r="F2701" i="3"/>
  <c r="E2701" i="3"/>
  <c r="D2701" i="3"/>
  <c r="C2701" i="3"/>
  <c r="B2701" i="3"/>
  <c r="A2701" i="3"/>
  <c r="F2700" i="3"/>
  <c r="E2700" i="3"/>
  <c r="D2700" i="3"/>
  <c r="C2700" i="3"/>
  <c r="B2700" i="3"/>
  <c r="A2700" i="3"/>
  <c r="F2699" i="3"/>
  <c r="E2699" i="3"/>
  <c r="D2699" i="3"/>
  <c r="C2699" i="3"/>
  <c r="B2699" i="3"/>
  <c r="A2699" i="3"/>
  <c r="F2698" i="3"/>
  <c r="E2698" i="3"/>
  <c r="D2698" i="3"/>
  <c r="C2698" i="3"/>
  <c r="B2698" i="3"/>
  <c r="A2698" i="3"/>
  <c r="F2697" i="3"/>
  <c r="E2697" i="3"/>
  <c r="D2697" i="3"/>
  <c r="C2697" i="3"/>
  <c r="B2697" i="3"/>
  <c r="A2697" i="3"/>
  <c r="F2696" i="3"/>
  <c r="E2696" i="3"/>
  <c r="D2696" i="3"/>
  <c r="C2696" i="3"/>
  <c r="B2696" i="3"/>
  <c r="A2696" i="3"/>
  <c r="F2695" i="3"/>
  <c r="E2695" i="3"/>
  <c r="D2695" i="3"/>
  <c r="C2695" i="3"/>
  <c r="B2695" i="3"/>
  <c r="A2695" i="3"/>
  <c r="F2694" i="3"/>
  <c r="E2694" i="3"/>
  <c r="D2694" i="3"/>
  <c r="C2694" i="3"/>
  <c r="B2694" i="3"/>
  <c r="A2694" i="3"/>
  <c r="F2693" i="3"/>
  <c r="E2693" i="3"/>
  <c r="D2693" i="3"/>
  <c r="C2693" i="3"/>
  <c r="B2693" i="3"/>
  <c r="A2693" i="3"/>
  <c r="F2692" i="3"/>
  <c r="E2692" i="3"/>
  <c r="D2692" i="3"/>
  <c r="C2692" i="3"/>
  <c r="B2692" i="3"/>
  <c r="A2692" i="3"/>
  <c r="F2691" i="3"/>
  <c r="E2691" i="3"/>
  <c r="D2691" i="3"/>
  <c r="C2691" i="3"/>
  <c r="B2691" i="3"/>
  <c r="A2691" i="3"/>
  <c r="F2690" i="3"/>
  <c r="E2690" i="3"/>
  <c r="D2690" i="3"/>
  <c r="C2690" i="3"/>
  <c r="B2690" i="3"/>
  <c r="A2690" i="3"/>
  <c r="F2689" i="3"/>
  <c r="E2689" i="3"/>
  <c r="D2689" i="3"/>
  <c r="C2689" i="3"/>
  <c r="B2689" i="3"/>
  <c r="A2689" i="3"/>
  <c r="F2688" i="3"/>
  <c r="E2688" i="3"/>
  <c r="D2688" i="3"/>
  <c r="C2688" i="3"/>
  <c r="B2688" i="3"/>
  <c r="A2688" i="3"/>
  <c r="F2687" i="3"/>
  <c r="E2687" i="3"/>
  <c r="D2687" i="3"/>
  <c r="C2687" i="3"/>
  <c r="B2687" i="3"/>
  <c r="A2687" i="3"/>
  <c r="F2686" i="3"/>
  <c r="E2686" i="3"/>
  <c r="D2686" i="3"/>
  <c r="C2686" i="3"/>
  <c r="B2686" i="3"/>
  <c r="A2686" i="3"/>
  <c r="F2685" i="3"/>
  <c r="E2685" i="3"/>
  <c r="D2685" i="3"/>
  <c r="C2685" i="3"/>
  <c r="B2685" i="3"/>
  <c r="A2685" i="3"/>
  <c r="F2684" i="3"/>
  <c r="E2684" i="3"/>
  <c r="D2684" i="3"/>
  <c r="C2684" i="3"/>
  <c r="B2684" i="3"/>
  <c r="A2684" i="3"/>
  <c r="F2683" i="3"/>
  <c r="E2683" i="3"/>
  <c r="D2683" i="3"/>
  <c r="C2683" i="3"/>
  <c r="B2683" i="3"/>
  <c r="A2683" i="3"/>
  <c r="F2682" i="3"/>
  <c r="E2682" i="3"/>
  <c r="D2682" i="3"/>
  <c r="C2682" i="3"/>
  <c r="B2682" i="3"/>
  <c r="A2682" i="3"/>
  <c r="F2681" i="3"/>
  <c r="E2681" i="3"/>
  <c r="D2681" i="3"/>
  <c r="C2681" i="3"/>
  <c r="B2681" i="3"/>
  <c r="A2681" i="3"/>
  <c r="F2680" i="3"/>
  <c r="E2680" i="3"/>
  <c r="D2680" i="3"/>
  <c r="C2680" i="3"/>
  <c r="B2680" i="3"/>
  <c r="A2680" i="3"/>
  <c r="F2679" i="3"/>
  <c r="E2679" i="3"/>
  <c r="D2679" i="3"/>
  <c r="C2679" i="3"/>
  <c r="B2679" i="3"/>
  <c r="A2679" i="3"/>
  <c r="F2678" i="3"/>
  <c r="E2678" i="3"/>
  <c r="D2678" i="3"/>
  <c r="C2678" i="3"/>
  <c r="B2678" i="3"/>
  <c r="A2678" i="3"/>
  <c r="F2677" i="3"/>
  <c r="E2677" i="3"/>
  <c r="D2677" i="3"/>
  <c r="C2677" i="3"/>
  <c r="B2677" i="3"/>
  <c r="A2677" i="3"/>
  <c r="F2676" i="3"/>
  <c r="E2676" i="3"/>
  <c r="D2676" i="3"/>
  <c r="C2676" i="3"/>
  <c r="B2676" i="3"/>
  <c r="A2676" i="3"/>
  <c r="F2675" i="3"/>
  <c r="E2675" i="3"/>
  <c r="D2675" i="3"/>
  <c r="C2675" i="3"/>
  <c r="B2675" i="3"/>
  <c r="A2675" i="3"/>
  <c r="F2674" i="3"/>
  <c r="E2674" i="3"/>
  <c r="D2674" i="3"/>
  <c r="C2674" i="3"/>
  <c r="B2674" i="3"/>
  <c r="A2674" i="3"/>
  <c r="F2673" i="3"/>
  <c r="E2673" i="3"/>
  <c r="D2673" i="3"/>
  <c r="C2673" i="3"/>
  <c r="B2673" i="3"/>
  <c r="A2673" i="3"/>
  <c r="F2672" i="3"/>
  <c r="E2672" i="3"/>
  <c r="D2672" i="3"/>
  <c r="C2672" i="3"/>
  <c r="B2672" i="3"/>
  <c r="A2672" i="3"/>
  <c r="F2671" i="3"/>
  <c r="E2671" i="3"/>
  <c r="D2671" i="3"/>
  <c r="C2671" i="3"/>
  <c r="B2671" i="3"/>
  <c r="A2671" i="3"/>
  <c r="F2670" i="3"/>
  <c r="E2670" i="3"/>
  <c r="D2670" i="3"/>
  <c r="C2670" i="3"/>
  <c r="B2670" i="3"/>
  <c r="A2670" i="3"/>
  <c r="F2669" i="3"/>
  <c r="E2669" i="3"/>
  <c r="D2669" i="3"/>
  <c r="C2669" i="3"/>
  <c r="B2669" i="3"/>
  <c r="A2669" i="3"/>
  <c r="F2668" i="3"/>
  <c r="E2668" i="3"/>
  <c r="D2668" i="3"/>
  <c r="C2668" i="3"/>
  <c r="B2668" i="3"/>
  <c r="A2668" i="3"/>
  <c r="F2667" i="3"/>
  <c r="E2667" i="3"/>
  <c r="D2667" i="3"/>
  <c r="C2667" i="3"/>
  <c r="B2667" i="3"/>
  <c r="A2667" i="3"/>
  <c r="F2666" i="3"/>
  <c r="E2666" i="3"/>
  <c r="D2666" i="3"/>
  <c r="C2666" i="3"/>
  <c r="B2666" i="3"/>
  <c r="A2666" i="3"/>
  <c r="F2665" i="3"/>
  <c r="E2665" i="3"/>
  <c r="D2665" i="3"/>
  <c r="C2665" i="3"/>
  <c r="B2665" i="3"/>
  <c r="A2665" i="3"/>
  <c r="F2664" i="3"/>
  <c r="E2664" i="3"/>
  <c r="D2664" i="3"/>
  <c r="C2664" i="3"/>
  <c r="B2664" i="3"/>
  <c r="A2664" i="3"/>
  <c r="F2663" i="3"/>
  <c r="E2663" i="3"/>
  <c r="D2663" i="3"/>
  <c r="C2663" i="3"/>
  <c r="B2663" i="3"/>
  <c r="A2663" i="3"/>
  <c r="F2662" i="3"/>
  <c r="E2662" i="3"/>
  <c r="D2662" i="3"/>
  <c r="C2662" i="3"/>
  <c r="B2662" i="3"/>
  <c r="A2662" i="3"/>
  <c r="F2661" i="3"/>
  <c r="E2661" i="3"/>
  <c r="D2661" i="3"/>
  <c r="C2661" i="3"/>
  <c r="B2661" i="3"/>
  <c r="A2661" i="3"/>
  <c r="F2660" i="3"/>
  <c r="E2660" i="3"/>
  <c r="D2660" i="3"/>
  <c r="C2660" i="3"/>
  <c r="B2660" i="3"/>
  <c r="A2660" i="3"/>
  <c r="F2659" i="3"/>
  <c r="E2659" i="3"/>
  <c r="D2659" i="3"/>
  <c r="C2659" i="3"/>
  <c r="B2659" i="3"/>
  <c r="A2659" i="3"/>
  <c r="F2658" i="3"/>
  <c r="E2658" i="3"/>
  <c r="D2658" i="3"/>
  <c r="C2658" i="3"/>
  <c r="B2658" i="3"/>
  <c r="A2658" i="3"/>
  <c r="F2657" i="3"/>
  <c r="E2657" i="3"/>
  <c r="D2657" i="3"/>
  <c r="C2657" i="3"/>
  <c r="B2657" i="3"/>
  <c r="A2657" i="3"/>
  <c r="F2656" i="3"/>
  <c r="E2656" i="3"/>
  <c r="D2656" i="3"/>
  <c r="C2656" i="3"/>
  <c r="B2656" i="3"/>
  <c r="A2656" i="3"/>
  <c r="F2655" i="3"/>
  <c r="E2655" i="3"/>
  <c r="D2655" i="3"/>
  <c r="C2655" i="3"/>
  <c r="B2655" i="3"/>
  <c r="A2655" i="3"/>
  <c r="F2654" i="3"/>
  <c r="E2654" i="3"/>
  <c r="D2654" i="3"/>
  <c r="C2654" i="3"/>
  <c r="B2654" i="3"/>
  <c r="A2654" i="3"/>
  <c r="F2653" i="3"/>
  <c r="E2653" i="3"/>
  <c r="D2653" i="3"/>
  <c r="C2653" i="3"/>
  <c r="B2653" i="3"/>
  <c r="A2653" i="3"/>
  <c r="F2652" i="3"/>
  <c r="E2652" i="3"/>
  <c r="D2652" i="3"/>
  <c r="C2652" i="3"/>
  <c r="B2652" i="3"/>
  <c r="A2652" i="3"/>
  <c r="F2651" i="3"/>
  <c r="E2651" i="3"/>
  <c r="D2651" i="3"/>
  <c r="C2651" i="3"/>
  <c r="B2651" i="3"/>
  <c r="A2651" i="3"/>
  <c r="F2650" i="3"/>
  <c r="E2650" i="3"/>
  <c r="D2650" i="3"/>
  <c r="C2650" i="3"/>
  <c r="B2650" i="3"/>
  <c r="A2650" i="3"/>
  <c r="F2649" i="3"/>
  <c r="E2649" i="3"/>
  <c r="D2649" i="3"/>
  <c r="C2649" i="3"/>
  <c r="B2649" i="3"/>
  <c r="A2649" i="3"/>
  <c r="F2648" i="3"/>
  <c r="E2648" i="3"/>
  <c r="D2648" i="3"/>
  <c r="C2648" i="3"/>
  <c r="B2648" i="3"/>
  <c r="A2648" i="3"/>
  <c r="F2647" i="3"/>
  <c r="E2647" i="3"/>
  <c r="D2647" i="3"/>
  <c r="C2647" i="3"/>
  <c r="B2647" i="3"/>
  <c r="A2647" i="3"/>
  <c r="F2646" i="3"/>
  <c r="E2646" i="3"/>
  <c r="D2646" i="3"/>
  <c r="C2646" i="3"/>
  <c r="B2646" i="3"/>
  <c r="A2646" i="3"/>
  <c r="F2645" i="3"/>
  <c r="E2645" i="3"/>
  <c r="D2645" i="3"/>
  <c r="C2645" i="3"/>
  <c r="B2645" i="3"/>
  <c r="A2645" i="3"/>
  <c r="F2644" i="3"/>
  <c r="E2644" i="3"/>
  <c r="D2644" i="3"/>
  <c r="C2644" i="3"/>
  <c r="B2644" i="3"/>
  <c r="A2644" i="3"/>
  <c r="F2643" i="3"/>
  <c r="E2643" i="3"/>
  <c r="D2643" i="3"/>
  <c r="C2643" i="3"/>
  <c r="B2643" i="3"/>
  <c r="A2643" i="3"/>
  <c r="F2642" i="3"/>
  <c r="E2642" i="3"/>
  <c r="D2642" i="3"/>
  <c r="C2642" i="3"/>
  <c r="B2642" i="3"/>
  <c r="A2642" i="3"/>
  <c r="F2641" i="3"/>
  <c r="E2641" i="3"/>
  <c r="D2641" i="3"/>
  <c r="C2641" i="3"/>
  <c r="B2641" i="3"/>
  <c r="A2641" i="3"/>
  <c r="F2640" i="3"/>
  <c r="E2640" i="3"/>
  <c r="D2640" i="3"/>
  <c r="C2640" i="3"/>
  <c r="B2640" i="3"/>
  <c r="A2640" i="3"/>
  <c r="F2639" i="3"/>
  <c r="E2639" i="3"/>
  <c r="D2639" i="3"/>
  <c r="C2639" i="3"/>
  <c r="B2639" i="3"/>
  <c r="A2639" i="3"/>
  <c r="F2638" i="3"/>
  <c r="E2638" i="3"/>
  <c r="D2638" i="3"/>
  <c r="C2638" i="3"/>
  <c r="B2638" i="3"/>
  <c r="A2638" i="3"/>
  <c r="F2637" i="3"/>
  <c r="E2637" i="3"/>
  <c r="D2637" i="3"/>
  <c r="C2637" i="3"/>
  <c r="B2637" i="3"/>
  <c r="A2637" i="3"/>
  <c r="F2636" i="3"/>
  <c r="E2636" i="3"/>
  <c r="D2636" i="3"/>
  <c r="C2636" i="3"/>
  <c r="B2636" i="3"/>
  <c r="A2636" i="3"/>
  <c r="F2635" i="3"/>
  <c r="E2635" i="3"/>
  <c r="D2635" i="3"/>
  <c r="C2635" i="3"/>
  <c r="B2635" i="3"/>
  <c r="A2635" i="3"/>
  <c r="F2634" i="3"/>
  <c r="E2634" i="3"/>
  <c r="D2634" i="3"/>
  <c r="C2634" i="3"/>
  <c r="B2634" i="3"/>
  <c r="A2634" i="3"/>
  <c r="F2633" i="3"/>
  <c r="E2633" i="3"/>
  <c r="D2633" i="3"/>
  <c r="C2633" i="3"/>
  <c r="B2633" i="3"/>
  <c r="A2633" i="3"/>
  <c r="F2632" i="3"/>
  <c r="E2632" i="3"/>
  <c r="D2632" i="3"/>
  <c r="C2632" i="3"/>
  <c r="B2632" i="3"/>
  <c r="A2632" i="3"/>
  <c r="F2631" i="3"/>
  <c r="E2631" i="3"/>
  <c r="D2631" i="3"/>
  <c r="C2631" i="3"/>
  <c r="B2631" i="3"/>
  <c r="A2631" i="3"/>
  <c r="F2630" i="3"/>
  <c r="E2630" i="3"/>
  <c r="D2630" i="3"/>
  <c r="C2630" i="3"/>
  <c r="B2630" i="3"/>
  <c r="A2630" i="3"/>
  <c r="F2629" i="3"/>
  <c r="E2629" i="3"/>
  <c r="D2629" i="3"/>
  <c r="C2629" i="3"/>
  <c r="B2629" i="3"/>
  <c r="A2629" i="3"/>
  <c r="F2628" i="3"/>
  <c r="E2628" i="3"/>
  <c r="D2628" i="3"/>
  <c r="C2628" i="3"/>
  <c r="B2628" i="3"/>
  <c r="A2628" i="3"/>
  <c r="F2627" i="3"/>
  <c r="E2627" i="3"/>
  <c r="D2627" i="3"/>
  <c r="C2627" i="3"/>
  <c r="B2627" i="3"/>
  <c r="A2627" i="3"/>
  <c r="F2626" i="3"/>
  <c r="E2626" i="3"/>
  <c r="D2626" i="3"/>
  <c r="C2626" i="3"/>
  <c r="B2626" i="3"/>
  <c r="A2626" i="3"/>
  <c r="F2625" i="3"/>
  <c r="E2625" i="3"/>
  <c r="D2625" i="3"/>
  <c r="C2625" i="3"/>
  <c r="B2625" i="3"/>
  <c r="A2625" i="3"/>
  <c r="F2624" i="3"/>
  <c r="E2624" i="3"/>
  <c r="D2624" i="3"/>
  <c r="C2624" i="3"/>
  <c r="B2624" i="3"/>
  <c r="A2624" i="3"/>
  <c r="F2623" i="3"/>
  <c r="E2623" i="3"/>
  <c r="D2623" i="3"/>
  <c r="C2623" i="3"/>
  <c r="B2623" i="3"/>
  <c r="A2623" i="3"/>
  <c r="F2622" i="3"/>
  <c r="E2622" i="3"/>
  <c r="D2622" i="3"/>
  <c r="C2622" i="3"/>
  <c r="B2622" i="3"/>
  <c r="A2622" i="3"/>
  <c r="F2621" i="3"/>
  <c r="E2621" i="3"/>
  <c r="D2621" i="3"/>
  <c r="C2621" i="3"/>
  <c r="B2621" i="3"/>
  <c r="A2621" i="3"/>
  <c r="F2620" i="3"/>
  <c r="E2620" i="3"/>
  <c r="D2620" i="3"/>
  <c r="C2620" i="3"/>
  <c r="B2620" i="3"/>
  <c r="A2620" i="3"/>
  <c r="F2619" i="3"/>
  <c r="E2619" i="3"/>
  <c r="D2619" i="3"/>
  <c r="C2619" i="3"/>
  <c r="B2619" i="3"/>
  <c r="A2619" i="3"/>
  <c r="F2618" i="3"/>
  <c r="E2618" i="3"/>
  <c r="D2618" i="3"/>
  <c r="C2618" i="3"/>
  <c r="B2618" i="3"/>
  <c r="A2618" i="3"/>
  <c r="F2617" i="3"/>
  <c r="E2617" i="3"/>
  <c r="D2617" i="3"/>
  <c r="C2617" i="3"/>
  <c r="B2617" i="3"/>
  <c r="A2617" i="3"/>
  <c r="F2616" i="3"/>
  <c r="E2616" i="3"/>
  <c r="D2616" i="3"/>
  <c r="C2616" i="3"/>
  <c r="B2616" i="3"/>
  <c r="A2616" i="3"/>
  <c r="F2615" i="3"/>
  <c r="E2615" i="3"/>
  <c r="D2615" i="3"/>
  <c r="C2615" i="3"/>
  <c r="B2615" i="3"/>
  <c r="A2615" i="3"/>
  <c r="F2614" i="3"/>
  <c r="E2614" i="3"/>
  <c r="D2614" i="3"/>
  <c r="C2614" i="3"/>
  <c r="B2614" i="3"/>
  <c r="A2614" i="3"/>
  <c r="F2613" i="3"/>
  <c r="E2613" i="3"/>
  <c r="D2613" i="3"/>
  <c r="C2613" i="3"/>
  <c r="B2613" i="3"/>
  <c r="A2613" i="3"/>
  <c r="F2612" i="3"/>
  <c r="E2612" i="3"/>
  <c r="D2612" i="3"/>
  <c r="C2612" i="3"/>
  <c r="B2612" i="3"/>
  <c r="A2612" i="3"/>
  <c r="F2611" i="3"/>
  <c r="E2611" i="3"/>
  <c r="D2611" i="3"/>
  <c r="C2611" i="3"/>
  <c r="B2611" i="3"/>
  <c r="A2611" i="3"/>
  <c r="F2610" i="3"/>
  <c r="E2610" i="3"/>
  <c r="D2610" i="3"/>
  <c r="C2610" i="3"/>
  <c r="B2610" i="3"/>
  <c r="A2610" i="3"/>
  <c r="F2609" i="3"/>
  <c r="E2609" i="3"/>
  <c r="D2609" i="3"/>
  <c r="C2609" i="3"/>
  <c r="B2609" i="3"/>
  <c r="A2609" i="3"/>
  <c r="F2608" i="3"/>
  <c r="E2608" i="3"/>
  <c r="D2608" i="3"/>
  <c r="C2608" i="3"/>
  <c r="B2608" i="3"/>
  <c r="A2608" i="3"/>
  <c r="F2607" i="3"/>
  <c r="E2607" i="3"/>
  <c r="D2607" i="3"/>
  <c r="C2607" i="3"/>
  <c r="B2607" i="3"/>
  <c r="A2607" i="3"/>
  <c r="F2606" i="3"/>
  <c r="E2606" i="3"/>
  <c r="D2606" i="3"/>
  <c r="C2606" i="3"/>
  <c r="B2606" i="3"/>
  <c r="A2606" i="3"/>
  <c r="F2605" i="3"/>
  <c r="E2605" i="3"/>
  <c r="D2605" i="3"/>
  <c r="C2605" i="3"/>
  <c r="B2605" i="3"/>
  <c r="A2605" i="3"/>
  <c r="F2604" i="3"/>
  <c r="E2604" i="3"/>
  <c r="D2604" i="3"/>
  <c r="C2604" i="3"/>
  <c r="B2604" i="3"/>
  <c r="A2604" i="3"/>
  <c r="F2603" i="3"/>
  <c r="E2603" i="3"/>
  <c r="D2603" i="3"/>
  <c r="C2603" i="3"/>
  <c r="B2603" i="3"/>
  <c r="A2603" i="3"/>
  <c r="F2602" i="3"/>
  <c r="E2602" i="3"/>
  <c r="D2602" i="3"/>
  <c r="C2602" i="3"/>
  <c r="B2602" i="3"/>
  <c r="A2602" i="3"/>
  <c r="F2601" i="3"/>
  <c r="E2601" i="3"/>
  <c r="D2601" i="3"/>
  <c r="C2601" i="3"/>
  <c r="B2601" i="3"/>
  <c r="A2601" i="3"/>
  <c r="F2600" i="3"/>
  <c r="E2600" i="3"/>
  <c r="D2600" i="3"/>
  <c r="C2600" i="3"/>
  <c r="B2600" i="3"/>
  <c r="A2600" i="3"/>
  <c r="F2599" i="3"/>
  <c r="E2599" i="3"/>
  <c r="D2599" i="3"/>
  <c r="C2599" i="3"/>
  <c r="B2599" i="3"/>
  <c r="A2599" i="3"/>
  <c r="F2598" i="3"/>
  <c r="E2598" i="3"/>
  <c r="D2598" i="3"/>
  <c r="C2598" i="3"/>
  <c r="B2598" i="3"/>
  <c r="A2598" i="3"/>
  <c r="F2597" i="3"/>
  <c r="E2597" i="3"/>
  <c r="D2597" i="3"/>
  <c r="C2597" i="3"/>
  <c r="B2597" i="3"/>
  <c r="A2597" i="3"/>
  <c r="F2596" i="3"/>
  <c r="E2596" i="3"/>
  <c r="D2596" i="3"/>
  <c r="C2596" i="3"/>
  <c r="B2596" i="3"/>
  <c r="A2596" i="3"/>
  <c r="F2595" i="3"/>
  <c r="E2595" i="3"/>
  <c r="D2595" i="3"/>
  <c r="C2595" i="3"/>
  <c r="B2595" i="3"/>
  <c r="A2595" i="3"/>
  <c r="F2594" i="3"/>
  <c r="E2594" i="3"/>
  <c r="D2594" i="3"/>
  <c r="C2594" i="3"/>
  <c r="B2594" i="3"/>
  <c r="A2594" i="3"/>
  <c r="F2593" i="3"/>
  <c r="E2593" i="3"/>
  <c r="D2593" i="3"/>
  <c r="C2593" i="3"/>
  <c r="B2593" i="3"/>
  <c r="A2593" i="3"/>
  <c r="F2592" i="3"/>
  <c r="E2592" i="3"/>
  <c r="D2592" i="3"/>
  <c r="C2592" i="3"/>
  <c r="B2592" i="3"/>
  <c r="A2592" i="3"/>
  <c r="F2591" i="3"/>
  <c r="E2591" i="3"/>
  <c r="D2591" i="3"/>
  <c r="C2591" i="3"/>
  <c r="B2591" i="3"/>
  <c r="A2591" i="3"/>
  <c r="F2590" i="3"/>
  <c r="E2590" i="3"/>
  <c r="D2590" i="3"/>
  <c r="C2590" i="3"/>
  <c r="B2590" i="3"/>
  <c r="A2590" i="3"/>
  <c r="F2589" i="3"/>
  <c r="E2589" i="3"/>
  <c r="D2589" i="3"/>
  <c r="C2589" i="3"/>
  <c r="B2589" i="3"/>
  <c r="A2589" i="3"/>
  <c r="F2588" i="3"/>
  <c r="E2588" i="3"/>
  <c r="D2588" i="3"/>
  <c r="C2588" i="3"/>
  <c r="B2588" i="3"/>
  <c r="A2588" i="3"/>
  <c r="F2587" i="3"/>
  <c r="E2587" i="3"/>
  <c r="D2587" i="3"/>
  <c r="C2587" i="3"/>
  <c r="B2587" i="3"/>
  <c r="A2587" i="3"/>
  <c r="F2586" i="3"/>
  <c r="E2586" i="3"/>
  <c r="D2586" i="3"/>
  <c r="C2586" i="3"/>
  <c r="B2586" i="3"/>
  <c r="A2586" i="3"/>
  <c r="F2585" i="3"/>
  <c r="E2585" i="3"/>
  <c r="D2585" i="3"/>
  <c r="C2585" i="3"/>
  <c r="B2585" i="3"/>
  <c r="A2585" i="3"/>
  <c r="F2584" i="3"/>
  <c r="E2584" i="3"/>
  <c r="D2584" i="3"/>
  <c r="C2584" i="3"/>
  <c r="B2584" i="3"/>
  <c r="A2584" i="3"/>
  <c r="F2583" i="3"/>
  <c r="E2583" i="3"/>
  <c r="D2583" i="3"/>
  <c r="C2583" i="3"/>
  <c r="B2583" i="3"/>
  <c r="A2583" i="3"/>
  <c r="F2582" i="3"/>
  <c r="E2582" i="3"/>
  <c r="D2582" i="3"/>
  <c r="C2582" i="3"/>
  <c r="B2582" i="3"/>
  <c r="A2582" i="3"/>
  <c r="F2581" i="3"/>
  <c r="E2581" i="3"/>
  <c r="D2581" i="3"/>
  <c r="C2581" i="3"/>
  <c r="B2581" i="3"/>
  <c r="A2581" i="3"/>
  <c r="F2580" i="3"/>
  <c r="E2580" i="3"/>
  <c r="D2580" i="3"/>
  <c r="C2580" i="3"/>
  <c r="B2580" i="3"/>
  <c r="A2580" i="3"/>
  <c r="F2579" i="3"/>
  <c r="E2579" i="3"/>
  <c r="D2579" i="3"/>
  <c r="C2579" i="3"/>
  <c r="B2579" i="3"/>
  <c r="A2579" i="3"/>
  <c r="F2578" i="3"/>
  <c r="E2578" i="3"/>
  <c r="D2578" i="3"/>
  <c r="C2578" i="3"/>
  <c r="B2578" i="3"/>
  <c r="A2578" i="3"/>
  <c r="F2577" i="3"/>
  <c r="E2577" i="3"/>
  <c r="D2577" i="3"/>
  <c r="C2577" i="3"/>
  <c r="B2577" i="3"/>
  <c r="A2577" i="3"/>
  <c r="F2576" i="3"/>
  <c r="E2576" i="3"/>
  <c r="D2576" i="3"/>
  <c r="C2576" i="3"/>
  <c r="B2576" i="3"/>
  <c r="A2576" i="3"/>
  <c r="F2575" i="3"/>
  <c r="E2575" i="3"/>
  <c r="D2575" i="3"/>
  <c r="C2575" i="3"/>
  <c r="B2575" i="3"/>
  <c r="A2575" i="3"/>
  <c r="F2574" i="3"/>
  <c r="E2574" i="3"/>
  <c r="D2574" i="3"/>
  <c r="C2574" i="3"/>
  <c r="B2574" i="3"/>
  <c r="A2574" i="3"/>
  <c r="F2573" i="3"/>
  <c r="E2573" i="3"/>
  <c r="D2573" i="3"/>
  <c r="C2573" i="3"/>
  <c r="B2573" i="3"/>
  <c r="A2573" i="3"/>
  <c r="F2572" i="3"/>
  <c r="E2572" i="3"/>
  <c r="D2572" i="3"/>
  <c r="C2572" i="3"/>
  <c r="B2572" i="3"/>
  <c r="A2572" i="3"/>
  <c r="F2571" i="3"/>
  <c r="E2571" i="3"/>
  <c r="D2571" i="3"/>
  <c r="C2571" i="3"/>
  <c r="B2571" i="3"/>
  <c r="A2571" i="3"/>
  <c r="F2570" i="3"/>
  <c r="E2570" i="3"/>
  <c r="D2570" i="3"/>
  <c r="C2570" i="3"/>
  <c r="B2570" i="3"/>
  <c r="A2570" i="3"/>
  <c r="F2569" i="3"/>
  <c r="E2569" i="3"/>
  <c r="D2569" i="3"/>
  <c r="C2569" i="3"/>
  <c r="B2569" i="3"/>
  <c r="A2569" i="3"/>
  <c r="F2568" i="3"/>
  <c r="E2568" i="3"/>
  <c r="D2568" i="3"/>
  <c r="C2568" i="3"/>
  <c r="B2568" i="3"/>
  <c r="A2568" i="3"/>
  <c r="F2567" i="3"/>
  <c r="E2567" i="3"/>
  <c r="D2567" i="3"/>
  <c r="C2567" i="3"/>
  <c r="B2567" i="3"/>
  <c r="A2567" i="3"/>
  <c r="F2566" i="3"/>
  <c r="E2566" i="3"/>
  <c r="D2566" i="3"/>
  <c r="C2566" i="3"/>
  <c r="B2566" i="3"/>
  <c r="A2566" i="3"/>
  <c r="F2565" i="3"/>
  <c r="E2565" i="3"/>
  <c r="D2565" i="3"/>
  <c r="C2565" i="3"/>
  <c r="B2565" i="3"/>
  <c r="A2565" i="3"/>
  <c r="F2564" i="3"/>
  <c r="E2564" i="3"/>
  <c r="D2564" i="3"/>
  <c r="C2564" i="3"/>
  <c r="B2564" i="3"/>
  <c r="A2564" i="3"/>
  <c r="F2563" i="3"/>
  <c r="E2563" i="3"/>
  <c r="D2563" i="3"/>
  <c r="C2563" i="3"/>
  <c r="B2563" i="3"/>
  <c r="A2563" i="3"/>
  <c r="F2562" i="3"/>
  <c r="E2562" i="3"/>
  <c r="D2562" i="3"/>
  <c r="C2562" i="3"/>
  <c r="B2562" i="3"/>
  <c r="A2562" i="3"/>
  <c r="F2561" i="3"/>
  <c r="E2561" i="3"/>
  <c r="D2561" i="3"/>
  <c r="C2561" i="3"/>
  <c r="B2561" i="3"/>
  <c r="A2561" i="3"/>
  <c r="F2560" i="3"/>
  <c r="E2560" i="3"/>
  <c r="D2560" i="3"/>
  <c r="C2560" i="3"/>
  <c r="B2560" i="3"/>
  <c r="A2560" i="3"/>
  <c r="F2559" i="3"/>
  <c r="E2559" i="3"/>
  <c r="D2559" i="3"/>
  <c r="C2559" i="3"/>
  <c r="B2559" i="3"/>
  <c r="A2559" i="3"/>
  <c r="F2558" i="3"/>
  <c r="E2558" i="3"/>
  <c r="D2558" i="3"/>
  <c r="C2558" i="3"/>
  <c r="B2558" i="3"/>
  <c r="A2558" i="3"/>
  <c r="F2557" i="3"/>
  <c r="E2557" i="3"/>
  <c r="D2557" i="3"/>
  <c r="C2557" i="3"/>
  <c r="B2557" i="3"/>
  <c r="A2557" i="3"/>
  <c r="F2556" i="3"/>
  <c r="E2556" i="3"/>
  <c r="D2556" i="3"/>
  <c r="C2556" i="3"/>
  <c r="B2556" i="3"/>
  <c r="A2556" i="3"/>
  <c r="F2555" i="3"/>
  <c r="E2555" i="3"/>
  <c r="D2555" i="3"/>
  <c r="C2555" i="3"/>
  <c r="B2555" i="3"/>
  <c r="A2555" i="3"/>
  <c r="F2554" i="3"/>
  <c r="E2554" i="3"/>
  <c r="D2554" i="3"/>
  <c r="C2554" i="3"/>
  <c r="B2554" i="3"/>
  <c r="A2554" i="3"/>
  <c r="F2553" i="3"/>
  <c r="E2553" i="3"/>
  <c r="D2553" i="3"/>
  <c r="C2553" i="3"/>
  <c r="B2553" i="3"/>
  <c r="A2553" i="3"/>
  <c r="F2552" i="3"/>
  <c r="E2552" i="3"/>
  <c r="D2552" i="3"/>
  <c r="C2552" i="3"/>
  <c r="B2552" i="3"/>
  <c r="A2552" i="3"/>
  <c r="F2551" i="3"/>
  <c r="E2551" i="3"/>
  <c r="D2551" i="3"/>
  <c r="C2551" i="3"/>
  <c r="B2551" i="3"/>
  <c r="A2551" i="3"/>
  <c r="F2550" i="3"/>
  <c r="E2550" i="3"/>
  <c r="D2550" i="3"/>
  <c r="C2550" i="3"/>
  <c r="B2550" i="3"/>
  <c r="A2550" i="3"/>
  <c r="F2549" i="3"/>
  <c r="E2549" i="3"/>
  <c r="D2549" i="3"/>
  <c r="C2549" i="3"/>
  <c r="B2549" i="3"/>
  <c r="A2549" i="3"/>
  <c r="F2548" i="3"/>
  <c r="E2548" i="3"/>
  <c r="D2548" i="3"/>
  <c r="C2548" i="3"/>
  <c r="B2548" i="3"/>
  <c r="A2548" i="3"/>
  <c r="F2547" i="3"/>
  <c r="E2547" i="3"/>
  <c r="D2547" i="3"/>
  <c r="C2547" i="3"/>
  <c r="B2547" i="3"/>
  <c r="A2547" i="3"/>
  <c r="F2546" i="3"/>
  <c r="E2546" i="3"/>
  <c r="D2546" i="3"/>
  <c r="C2546" i="3"/>
  <c r="B2546" i="3"/>
  <c r="A2546" i="3"/>
  <c r="F2545" i="3"/>
  <c r="E2545" i="3"/>
  <c r="D2545" i="3"/>
  <c r="C2545" i="3"/>
  <c r="B2545" i="3"/>
  <c r="A2545" i="3"/>
  <c r="F2544" i="3"/>
  <c r="E2544" i="3"/>
  <c r="D2544" i="3"/>
  <c r="C2544" i="3"/>
  <c r="B2544" i="3"/>
  <c r="A2544" i="3"/>
  <c r="F2543" i="3"/>
  <c r="E2543" i="3"/>
  <c r="D2543" i="3"/>
  <c r="C2543" i="3"/>
  <c r="B2543" i="3"/>
  <c r="A2543" i="3"/>
  <c r="F2542" i="3"/>
  <c r="E2542" i="3"/>
  <c r="D2542" i="3"/>
  <c r="C2542" i="3"/>
  <c r="B2542" i="3"/>
  <c r="A2542" i="3"/>
  <c r="F2541" i="3"/>
  <c r="E2541" i="3"/>
  <c r="D2541" i="3"/>
  <c r="C2541" i="3"/>
  <c r="B2541" i="3"/>
  <c r="A2541" i="3"/>
  <c r="F2540" i="3"/>
  <c r="E2540" i="3"/>
  <c r="D2540" i="3"/>
  <c r="C2540" i="3"/>
  <c r="B2540" i="3"/>
  <c r="A2540" i="3"/>
  <c r="F2539" i="3"/>
  <c r="E2539" i="3"/>
  <c r="D2539" i="3"/>
  <c r="C2539" i="3"/>
  <c r="B2539" i="3"/>
  <c r="A2539" i="3"/>
  <c r="F2538" i="3"/>
  <c r="E2538" i="3"/>
  <c r="D2538" i="3"/>
  <c r="C2538" i="3"/>
  <c r="B2538" i="3"/>
  <c r="A2538" i="3"/>
  <c r="F2537" i="3"/>
  <c r="E2537" i="3"/>
  <c r="D2537" i="3"/>
  <c r="C2537" i="3"/>
  <c r="B2537" i="3"/>
  <c r="A2537" i="3"/>
  <c r="F2536" i="3"/>
  <c r="E2536" i="3"/>
  <c r="D2536" i="3"/>
  <c r="C2536" i="3"/>
  <c r="B2536" i="3"/>
  <c r="A2536" i="3"/>
  <c r="F2535" i="3"/>
  <c r="E2535" i="3"/>
  <c r="D2535" i="3"/>
  <c r="C2535" i="3"/>
  <c r="B2535" i="3"/>
  <c r="A2535" i="3"/>
  <c r="F2534" i="3"/>
  <c r="E2534" i="3"/>
  <c r="D2534" i="3"/>
  <c r="C2534" i="3"/>
  <c r="B2534" i="3"/>
  <c r="A2534" i="3"/>
  <c r="F2533" i="3"/>
  <c r="E2533" i="3"/>
  <c r="D2533" i="3"/>
  <c r="C2533" i="3"/>
  <c r="B2533" i="3"/>
  <c r="A2533" i="3"/>
  <c r="F2532" i="3"/>
  <c r="E2532" i="3"/>
  <c r="D2532" i="3"/>
  <c r="C2532" i="3"/>
  <c r="B2532" i="3"/>
  <c r="A2532" i="3"/>
  <c r="F2531" i="3"/>
  <c r="E2531" i="3"/>
  <c r="D2531" i="3"/>
  <c r="C2531" i="3"/>
  <c r="B2531" i="3"/>
  <c r="A2531" i="3"/>
  <c r="F2530" i="3"/>
  <c r="E2530" i="3"/>
  <c r="D2530" i="3"/>
  <c r="C2530" i="3"/>
  <c r="B2530" i="3"/>
  <c r="A2530" i="3"/>
  <c r="F2529" i="3"/>
  <c r="E2529" i="3"/>
  <c r="D2529" i="3"/>
  <c r="C2529" i="3"/>
  <c r="B2529" i="3"/>
  <c r="A2529" i="3"/>
  <c r="F2528" i="3"/>
  <c r="E2528" i="3"/>
  <c r="D2528" i="3"/>
  <c r="C2528" i="3"/>
  <c r="B2528" i="3"/>
  <c r="A2528" i="3"/>
  <c r="F2527" i="3"/>
  <c r="E2527" i="3"/>
  <c r="D2527" i="3"/>
  <c r="C2527" i="3"/>
  <c r="B2527" i="3"/>
  <c r="A2527" i="3"/>
  <c r="F2526" i="3"/>
  <c r="E2526" i="3"/>
  <c r="D2526" i="3"/>
  <c r="C2526" i="3"/>
  <c r="B2526" i="3"/>
  <c r="A2526" i="3"/>
  <c r="F2525" i="3"/>
  <c r="E2525" i="3"/>
  <c r="D2525" i="3"/>
  <c r="C2525" i="3"/>
  <c r="B2525" i="3"/>
  <c r="A2525" i="3"/>
  <c r="F2524" i="3"/>
  <c r="E2524" i="3"/>
  <c r="D2524" i="3"/>
  <c r="C2524" i="3"/>
  <c r="B2524" i="3"/>
  <c r="A2524" i="3"/>
  <c r="F2523" i="3"/>
  <c r="E2523" i="3"/>
  <c r="D2523" i="3"/>
  <c r="C2523" i="3"/>
  <c r="B2523" i="3"/>
  <c r="A2523" i="3"/>
  <c r="F2522" i="3"/>
  <c r="E2522" i="3"/>
  <c r="D2522" i="3"/>
  <c r="C2522" i="3"/>
  <c r="B2522" i="3"/>
  <c r="A2522" i="3"/>
  <c r="F2521" i="3"/>
  <c r="E2521" i="3"/>
  <c r="D2521" i="3"/>
  <c r="C2521" i="3"/>
  <c r="B2521" i="3"/>
  <c r="A2521" i="3"/>
  <c r="F2520" i="3"/>
  <c r="E2520" i="3"/>
  <c r="D2520" i="3"/>
  <c r="C2520" i="3"/>
  <c r="B2520" i="3"/>
  <c r="A2520" i="3"/>
  <c r="F2519" i="3"/>
  <c r="E2519" i="3"/>
  <c r="D2519" i="3"/>
  <c r="C2519" i="3"/>
  <c r="B2519" i="3"/>
  <c r="A2519" i="3"/>
  <c r="F2518" i="3"/>
  <c r="E2518" i="3"/>
  <c r="D2518" i="3"/>
  <c r="C2518" i="3"/>
  <c r="B2518" i="3"/>
  <c r="A2518" i="3"/>
  <c r="F2517" i="3"/>
  <c r="E2517" i="3"/>
  <c r="D2517" i="3"/>
  <c r="C2517" i="3"/>
  <c r="B2517" i="3"/>
  <c r="A2517" i="3"/>
  <c r="F2516" i="3"/>
  <c r="E2516" i="3"/>
  <c r="D2516" i="3"/>
  <c r="C2516" i="3"/>
  <c r="B2516" i="3"/>
  <c r="A2516" i="3"/>
  <c r="F2515" i="3"/>
  <c r="E2515" i="3"/>
  <c r="D2515" i="3"/>
  <c r="C2515" i="3"/>
  <c r="B2515" i="3"/>
  <c r="A2515" i="3"/>
  <c r="F2514" i="3"/>
  <c r="E2514" i="3"/>
  <c r="D2514" i="3"/>
  <c r="C2514" i="3"/>
  <c r="B2514" i="3"/>
  <c r="A2514" i="3"/>
  <c r="F2513" i="3"/>
  <c r="E2513" i="3"/>
  <c r="D2513" i="3"/>
  <c r="C2513" i="3"/>
  <c r="B2513" i="3"/>
  <c r="A2513" i="3"/>
  <c r="F2512" i="3"/>
  <c r="E2512" i="3"/>
  <c r="D2512" i="3"/>
  <c r="C2512" i="3"/>
  <c r="B2512" i="3"/>
  <c r="A2512" i="3"/>
  <c r="F2511" i="3"/>
  <c r="E2511" i="3"/>
  <c r="D2511" i="3"/>
  <c r="C2511" i="3"/>
  <c r="B2511" i="3"/>
  <c r="A2511" i="3"/>
  <c r="F2510" i="3"/>
  <c r="E2510" i="3"/>
  <c r="D2510" i="3"/>
  <c r="C2510" i="3"/>
  <c r="B2510" i="3"/>
  <c r="A2510" i="3"/>
  <c r="F2509" i="3"/>
  <c r="E2509" i="3"/>
  <c r="D2509" i="3"/>
  <c r="C2509" i="3"/>
  <c r="B2509" i="3"/>
  <c r="A2509" i="3"/>
  <c r="F2508" i="3"/>
  <c r="E2508" i="3"/>
  <c r="D2508" i="3"/>
  <c r="C2508" i="3"/>
  <c r="B2508" i="3"/>
  <c r="A2508" i="3"/>
  <c r="F2507" i="3"/>
  <c r="E2507" i="3"/>
  <c r="D2507" i="3"/>
  <c r="C2507" i="3"/>
  <c r="B2507" i="3"/>
  <c r="A2507" i="3"/>
  <c r="F2506" i="3"/>
  <c r="E2506" i="3"/>
  <c r="D2506" i="3"/>
  <c r="C2506" i="3"/>
  <c r="B2506" i="3"/>
  <c r="A2506" i="3"/>
  <c r="F2505" i="3"/>
  <c r="E2505" i="3"/>
  <c r="D2505" i="3"/>
  <c r="C2505" i="3"/>
  <c r="B2505" i="3"/>
  <c r="A2505" i="3"/>
  <c r="F2504" i="3"/>
  <c r="E2504" i="3"/>
  <c r="D2504" i="3"/>
  <c r="C2504" i="3"/>
  <c r="B2504" i="3"/>
  <c r="A2504" i="3"/>
  <c r="F2503" i="3"/>
  <c r="E2503" i="3"/>
  <c r="D2503" i="3"/>
  <c r="C2503" i="3"/>
  <c r="B2503" i="3"/>
  <c r="A2503" i="3"/>
  <c r="F2502" i="3"/>
  <c r="E2502" i="3"/>
  <c r="D2502" i="3"/>
  <c r="C2502" i="3"/>
  <c r="B2502" i="3"/>
  <c r="A2502" i="3"/>
  <c r="F2501" i="3"/>
  <c r="E2501" i="3"/>
  <c r="D2501" i="3"/>
  <c r="C2501" i="3"/>
  <c r="B2501" i="3"/>
  <c r="A2501" i="3"/>
  <c r="F2500" i="3"/>
  <c r="E2500" i="3"/>
  <c r="D2500" i="3"/>
  <c r="C2500" i="3"/>
  <c r="B2500" i="3"/>
  <c r="A2500" i="3"/>
  <c r="F2499" i="3"/>
  <c r="E2499" i="3"/>
  <c r="D2499" i="3"/>
  <c r="C2499" i="3"/>
  <c r="B2499" i="3"/>
  <c r="A2499" i="3"/>
  <c r="F2498" i="3"/>
  <c r="E2498" i="3"/>
  <c r="D2498" i="3"/>
  <c r="C2498" i="3"/>
  <c r="B2498" i="3"/>
  <c r="A2498" i="3"/>
  <c r="F2497" i="3"/>
  <c r="E2497" i="3"/>
  <c r="D2497" i="3"/>
  <c r="C2497" i="3"/>
  <c r="B2497" i="3"/>
  <c r="A2497" i="3"/>
  <c r="F2496" i="3"/>
  <c r="E2496" i="3"/>
  <c r="D2496" i="3"/>
  <c r="C2496" i="3"/>
  <c r="B2496" i="3"/>
  <c r="A2496" i="3"/>
  <c r="F2495" i="3"/>
  <c r="E2495" i="3"/>
  <c r="D2495" i="3"/>
  <c r="C2495" i="3"/>
  <c r="B2495" i="3"/>
  <c r="A2495" i="3"/>
  <c r="F2494" i="3"/>
  <c r="E2494" i="3"/>
  <c r="D2494" i="3"/>
  <c r="C2494" i="3"/>
  <c r="B2494" i="3"/>
  <c r="A2494" i="3"/>
  <c r="F2493" i="3"/>
  <c r="E2493" i="3"/>
  <c r="D2493" i="3"/>
  <c r="C2493" i="3"/>
  <c r="B2493" i="3"/>
  <c r="A2493" i="3"/>
  <c r="F2492" i="3"/>
  <c r="E2492" i="3"/>
  <c r="D2492" i="3"/>
  <c r="C2492" i="3"/>
  <c r="B2492" i="3"/>
  <c r="A2492" i="3"/>
  <c r="F2491" i="3"/>
  <c r="E2491" i="3"/>
  <c r="D2491" i="3"/>
  <c r="C2491" i="3"/>
  <c r="B2491" i="3"/>
  <c r="A2491" i="3"/>
  <c r="F2490" i="3"/>
  <c r="E2490" i="3"/>
  <c r="D2490" i="3"/>
  <c r="C2490" i="3"/>
  <c r="B2490" i="3"/>
  <c r="A2490" i="3"/>
  <c r="F2489" i="3"/>
  <c r="E2489" i="3"/>
  <c r="D2489" i="3"/>
  <c r="C2489" i="3"/>
  <c r="B2489" i="3"/>
  <c r="A2489" i="3"/>
  <c r="F2488" i="3"/>
  <c r="E2488" i="3"/>
  <c r="D2488" i="3"/>
  <c r="C2488" i="3"/>
  <c r="B2488" i="3"/>
  <c r="A2488" i="3"/>
  <c r="F2487" i="3"/>
  <c r="E2487" i="3"/>
  <c r="D2487" i="3"/>
  <c r="C2487" i="3"/>
  <c r="B2487" i="3"/>
  <c r="A2487" i="3"/>
  <c r="F2486" i="3"/>
  <c r="E2486" i="3"/>
  <c r="D2486" i="3"/>
  <c r="C2486" i="3"/>
  <c r="B2486" i="3"/>
  <c r="A2486" i="3"/>
  <c r="F2485" i="3"/>
  <c r="E2485" i="3"/>
  <c r="D2485" i="3"/>
  <c r="C2485" i="3"/>
  <c r="B2485" i="3"/>
  <c r="A2485" i="3"/>
  <c r="F2484" i="3"/>
  <c r="E2484" i="3"/>
  <c r="D2484" i="3"/>
  <c r="C2484" i="3"/>
  <c r="B2484" i="3"/>
  <c r="A2484" i="3"/>
  <c r="F2483" i="3"/>
  <c r="E2483" i="3"/>
  <c r="D2483" i="3"/>
  <c r="C2483" i="3"/>
  <c r="B2483" i="3"/>
  <c r="A2483" i="3"/>
  <c r="F2482" i="3"/>
  <c r="E2482" i="3"/>
  <c r="D2482" i="3"/>
  <c r="C2482" i="3"/>
  <c r="B2482" i="3"/>
  <c r="A2482" i="3"/>
  <c r="F2481" i="3"/>
  <c r="E2481" i="3"/>
  <c r="D2481" i="3"/>
  <c r="C2481" i="3"/>
  <c r="B2481" i="3"/>
  <c r="A2481" i="3"/>
  <c r="F2480" i="3"/>
  <c r="E2480" i="3"/>
  <c r="D2480" i="3"/>
  <c r="C2480" i="3"/>
  <c r="B2480" i="3"/>
  <c r="A2480" i="3"/>
  <c r="F2479" i="3"/>
  <c r="E2479" i="3"/>
  <c r="D2479" i="3"/>
  <c r="C2479" i="3"/>
  <c r="B2479" i="3"/>
  <c r="A2479" i="3"/>
  <c r="F2478" i="3"/>
  <c r="E2478" i="3"/>
  <c r="D2478" i="3"/>
  <c r="C2478" i="3"/>
  <c r="B2478" i="3"/>
  <c r="A2478" i="3"/>
  <c r="F2477" i="3"/>
  <c r="E2477" i="3"/>
  <c r="D2477" i="3"/>
  <c r="C2477" i="3"/>
  <c r="B2477" i="3"/>
  <c r="A2477" i="3"/>
  <c r="F2476" i="3"/>
  <c r="E2476" i="3"/>
  <c r="D2476" i="3"/>
  <c r="C2476" i="3"/>
  <c r="B2476" i="3"/>
  <c r="A2476" i="3"/>
  <c r="F2475" i="3"/>
  <c r="E2475" i="3"/>
  <c r="D2475" i="3"/>
  <c r="C2475" i="3"/>
  <c r="B2475" i="3"/>
  <c r="A2475" i="3"/>
  <c r="F2474" i="3"/>
  <c r="E2474" i="3"/>
  <c r="D2474" i="3"/>
  <c r="C2474" i="3"/>
  <c r="B2474" i="3"/>
  <c r="A2474" i="3"/>
  <c r="F2473" i="3"/>
  <c r="E2473" i="3"/>
  <c r="D2473" i="3"/>
  <c r="C2473" i="3"/>
  <c r="B2473" i="3"/>
  <c r="A2473" i="3"/>
  <c r="F2472" i="3"/>
  <c r="E2472" i="3"/>
  <c r="D2472" i="3"/>
  <c r="C2472" i="3"/>
  <c r="B2472" i="3"/>
  <c r="A2472" i="3"/>
  <c r="F2471" i="3"/>
  <c r="E2471" i="3"/>
  <c r="D2471" i="3"/>
  <c r="C2471" i="3"/>
  <c r="B2471" i="3"/>
  <c r="A2471" i="3"/>
  <c r="F2470" i="3"/>
  <c r="E2470" i="3"/>
  <c r="D2470" i="3"/>
  <c r="C2470" i="3"/>
  <c r="B2470" i="3"/>
  <c r="A2470" i="3"/>
  <c r="F2469" i="3"/>
  <c r="E2469" i="3"/>
  <c r="D2469" i="3"/>
  <c r="C2469" i="3"/>
  <c r="B2469" i="3"/>
  <c r="A2469" i="3"/>
  <c r="F2468" i="3"/>
  <c r="E2468" i="3"/>
  <c r="D2468" i="3"/>
  <c r="C2468" i="3"/>
  <c r="B2468" i="3"/>
  <c r="A2468" i="3"/>
  <c r="F2467" i="3"/>
  <c r="E2467" i="3"/>
  <c r="D2467" i="3"/>
  <c r="C2467" i="3"/>
  <c r="B2467" i="3"/>
  <c r="A2467" i="3"/>
  <c r="F2466" i="3"/>
  <c r="E2466" i="3"/>
  <c r="D2466" i="3"/>
  <c r="C2466" i="3"/>
  <c r="B2466" i="3"/>
  <c r="A2466" i="3"/>
  <c r="F2465" i="3"/>
  <c r="E2465" i="3"/>
  <c r="D2465" i="3"/>
  <c r="C2465" i="3"/>
  <c r="B2465" i="3"/>
  <c r="A2465" i="3"/>
  <c r="F2464" i="3"/>
  <c r="E2464" i="3"/>
  <c r="D2464" i="3"/>
  <c r="C2464" i="3"/>
  <c r="B2464" i="3"/>
  <c r="A2464" i="3"/>
  <c r="F2463" i="3"/>
  <c r="E2463" i="3"/>
  <c r="D2463" i="3"/>
  <c r="C2463" i="3"/>
  <c r="B2463" i="3"/>
  <c r="A2463" i="3"/>
  <c r="F2462" i="3"/>
  <c r="E2462" i="3"/>
  <c r="D2462" i="3"/>
  <c r="C2462" i="3"/>
  <c r="B2462" i="3"/>
  <c r="A2462" i="3"/>
  <c r="F2461" i="3"/>
  <c r="E2461" i="3"/>
  <c r="D2461" i="3"/>
  <c r="C2461" i="3"/>
  <c r="B2461" i="3"/>
  <c r="A2461" i="3"/>
  <c r="F2460" i="3"/>
  <c r="E2460" i="3"/>
  <c r="D2460" i="3"/>
  <c r="C2460" i="3"/>
  <c r="B2460" i="3"/>
  <c r="A2460" i="3"/>
  <c r="F2459" i="3"/>
  <c r="E2459" i="3"/>
  <c r="D2459" i="3"/>
  <c r="C2459" i="3"/>
  <c r="B2459" i="3"/>
  <c r="A2459" i="3"/>
  <c r="F2458" i="3"/>
  <c r="E2458" i="3"/>
  <c r="D2458" i="3"/>
  <c r="C2458" i="3"/>
  <c r="B2458" i="3"/>
  <c r="A2458" i="3"/>
  <c r="F2457" i="3"/>
  <c r="E2457" i="3"/>
  <c r="D2457" i="3"/>
  <c r="C2457" i="3"/>
  <c r="B2457" i="3"/>
  <c r="A2457" i="3"/>
  <c r="F2456" i="3"/>
  <c r="E2456" i="3"/>
  <c r="D2456" i="3"/>
  <c r="C2456" i="3"/>
  <c r="B2456" i="3"/>
  <c r="A2456" i="3"/>
  <c r="F2455" i="3"/>
  <c r="E2455" i="3"/>
  <c r="D2455" i="3"/>
  <c r="C2455" i="3"/>
  <c r="B2455" i="3"/>
  <c r="A2455" i="3"/>
  <c r="F2454" i="3"/>
  <c r="E2454" i="3"/>
  <c r="D2454" i="3"/>
  <c r="C2454" i="3"/>
  <c r="B2454" i="3"/>
  <c r="A2454" i="3"/>
  <c r="F2453" i="3"/>
  <c r="E2453" i="3"/>
  <c r="D2453" i="3"/>
  <c r="C2453" i="3"/>
  <c r="B2453" i="3"/>
  <c r="A2453" i="3"/>
  <c r="F2452" i="3"/>
  <c r="E2452" i="3"/>
  <c r="D2452" i="3"/>
  <c r="C2452" i="3"/>
  <c r="B2452" i="3"/>
  <c r="A2452" i="3"/>
  <c r="F2451" i="3"/>
  <c r="E2451" i="3"/>
  <c r="D2451" i="3"/>
  <c r="C2451" i="3"/>
  <c r="B2451" i="3"/>
  <c r="A2451" i="3"/>
  <c r="F2450" i="3"/>
  <c r="E2450" i="3"/>
  <c r="D2450" i="3"/>
  <c r="C2450" i="3"/>
  <c r="B2450" i="3"/>
  <c r="A2450" i="3"/>
  <c r="F2449" i="3"/>
  <c r="E2449" i="3"/>
  <c r="D2449" i="3"/>
  <c r="C2449" i="3"/>
  <c r="B2449" i="3"/>
  <c r="A2449" i="3"/>
  <c r="F2448" i="3"/>
  <c r="E2448" i="3"/>
  <c r="D2448" i="3"/>
  <c r="C2448" i="3"/>
  <c r="B2448" i="3"/>
  <c r="A2448" i="3"/>
  <c r="F2447" i="3"/>
  <c r="E2447" i="3"/>
  <c r="D2447" i="3"/>
  <c r="C2447" i="3"/>
  <c r="B2447" i="3"/>
  <c r="A2447" i="3"/>
  <c r="F2446" i="3"/>
  <c r="E2446" i="3"/>
  <c r="D2446" i="3"/>
  <c r="C2446" i="3"/>
  <c r="B2446" i="3"/>
  <c r="A2446" i="3"/>
  <c r="F2445" i="3"/>
  <c r="E2445" i="3"/>
  <c r="D2445" i="3"/>
  <c r="C2445" i="3"/>
  <c r="B2445" i="3"/>
  <c r="A2445" i="3"/>
  <c r="F2444" i="3"/>
  <c r="E2444" i="3"/>
  <c r="D2444" i="3"/>
  <c r="C2444" i="3"/>
  <c r="B2444" i="3"/>
  <c r="A2444" i="3"/>
  <c r="F2443" i="3"/>
  <c r="E2443" i="3"/>
  <c r="D2443" i="3"/>
  <c r="C2443" i="3"/>
  <c r="B2443" i="3"/>
  <c r="A2443" i="3"/>
  <c r="F2442" i="3"/>
  <c r="E2442" i="3"/>
  <c r="D2442" i="3"/>
  <c r="C2442" i="3"/>
  <c r="B2442" i="3"/>
  <c r="A2442" i="3"/>
  <c r="F2441" i="3"/>
  <c r="E2441" i="3"/>
  <c r="D2441" i="3"/>
  <c r="C2441" i="3"/>
  <c r="B2441" i="3"/>
  <c r="A2441" i="3"/>
  <c r="F2440" i="3"/>
  <c r="E2440" i="3"/>
  <c r="D2440" i="3"/>
  <c r="C2440" i="3"/>
  <c r="B2440" i="3"/>
  <c r="A2440" i="3"/>
  <c r="F2439" i="3"/>
  <c r="E2439" i="3"/>
  <c r="D2439" i="3"/>
  <c r="C2439" i="3"/>
  <c r="B2439" i="3"/>
  <c r="A2439" i="3"/>
  <c r="F2438" i="3"/>
  <c r="E2438" i="3"/>
  <c r="D2438" i="3"/>
  <c r="C2438" i="3"/>
  <c r="B2438" i="3"/>
  <c r="A2438" i="3"/>
  <c r="F2437" i="3"/>
  <c r="E2437" i="3"/>
  <c r="D2437" i="3"/>
  <c r="C2437" i="3"/>
  <c r="B2437" i="3"/>
  <c r="A2437" i="3"/>
  <c r="F2436" i="3"/>
  <c r="E2436" i="3"/>
  <c r="D2436" i="3"/>
  <c r="C2436" i="3"/>
  <c r="B2436" i="3"/>
  <c r="A2436" i="3"/>
  <c r="F2435" i="3"/>
  <c r="E2435" i="3"/>
  <c r="D2435" i="3"/>
  <c r="C2435" i="3"/>
  <c r="B2435" i="3"/>
  <c r="A2435" i="3"/>
  <c r="F2434" i="3"/>
  <c r="E2434" i="3"/>
  <c r="D2434" i="3"/>
  <c r="C2434" i="3"/>
  <c r="B2434" i="3"/>
  <c r="A2434" i="3"/>
  <c r="F2433" i="3"/>
  <c r="E2433" i="3"/>
  <c r="D2433" i="3"/>
  <c r="C2433" i="3"/>
  <c r="B2433" i="3"/>
  <c r="A2433" i="3"/>
  <c r="F2432" i="3"/>
  <c r="E2432" i="3"/>
  <c r="D2432" i="3"/>
  <c r="C2432" i="3"/>
  <c r="B2432" i="3"/>
  <c r="A2432" i="3"/>
  <c r="F2431" i="3"/>
  <c r="E2431" i="3"/>
  <c r="D2431" i="3"/>
  <c r="C2431" i="3"/>
  <c r="B2431" i="3"/>
  <c r="A2431" i="3"/>
  <c r="F2430" i="3"/>
  <c r="E2430" i="3"/>
  <c r="D2430" i="3"/>
  <c r="C2430" i="3"/>
  <c r="B2430" i="3"/>
  <c r="A2430" i="3"/>
  <c r="F2429" i="3"/>
  <c r="E2429" i="3"/>
  <c r="D2429" i="3"/>
  <c r="C2429" i="3"/>
  <c r="B2429" i="3"/>
  <c r="A2429" i="3"/>
  <c r="F2428" i="3"/>
  <c r="E2428" i="3"/>
  <c r="D2428" i="3"/>
  <c r="C2428" i="3"/>
  <c r="B2428" i="3"/>
  <c r="A2428" i="3"/>
  <c r="F2427" i="3"/>
  <c r="E2427" i="3"/>
  <c r="D2427" i="3"/>
  <c r="C2427" i="3"/>
  <c r="B2427" i="3"/>
  <c r="A2427" i="3"/>
  <c r="F2426" i="3"/>
  <c r="E2426" i="3"/>
  <c r="D2426" i="3"/>
  <c r="C2426" i="3"/>
  <c r="B2426" i="3"/>
  <c r="A2426" i="3"/>
  <c r="F2425" i="3"/>
  <c r="E2425" i="3"/>
  <c r="D2425" i="3"/>
  <c r="C2425" i="3"/>
  <c r="B2425" i="3"/>
  <c r="A2425" i="3"/>
  <c r="F2424" i="3"/>
  <c r="E2424" i="3"/>
  <c r="D2424" i="3"/>
  <c r="C2424" i="3"/>
  <c r="B2424" i="3"/>
  <c r="A2424" i="3"/>
  <c r="F2423" i="3"/>
  <c r="E2423" i="3"/>
  <c r="D2423" i="3"/>
  <c r="C2423" i="3"/>
  <c r="B2423" i="3"/>
  <c r="A2423" i="3"/>
  <c r="F2422" i="3"/>
  <c r="E2422" i="3"/>
  <c r="D2422" i="3"/>
  <c r="C2422" i="3"/>
  <c r="B2422" i="3"/>
  <c r="A2422" i="3"/>
  <c r="F2421" i="3"/>
  <c r="E2421" i="3"/>
  <c r="D2421" i="3"/>
  <c r="C2421" i="3"/>
  <c r="B2421" i="3"/>
  <c r="A2421" i="3"/>
  <c r="F2420" i="3"/>
  <c r="E2420" i="3"/>
  <c r="D2420" i="3"/>
  <c r="C2420" i="3"/>
  <c r="B2420" i="3"/>
  <c r="A2420" i="3"/>
  <c r="F2419" i="3"/>
  <c r="E2419" i="3"/>
  <c r="D2419" i="3"/>
  <c r="C2419" i="3"/>
  <c r="B2419" i="3"/>
  <c r="A2419" i="3"/>
  <c r="F2418" i="3"/>
  <c r="E2418" i="3"/>
  <c r="D2418" i="3"/>
  <c r="C2418" i="3"/>
  <c r="B2418" i="3"/>
  <c r="A2418" i="3"/>
  <c r="F2417" i="3"/>
  <c r="E2417" i="3"/>
  <c r="D2417" i="3"/>
  <c r="C2417" i="3"/>
  <c r="B2417" i="3"/>
  <c r="A2417" i="3"/>
  <c r="F2416" i="3"/>
  <c r="E2416" i="3"/>
  <c r="D2416" i="3"/>
  <c r="C2416" i="3"/>
  <c r="B2416" i="3"/>
  <c r="A2416" i="3"/>
  <c r="F2415" i="3"/>
  <c r="E2415" i="3"/>
  <c r="D2415" i="3"/>
  <c r="C2415" i="3"/>
  <c r="B2415" i="3"/>
  <c r="A2415" i="3"/>
  <c r="F2414" i="3"/>
  <c r="E2414" i="3"/>
  <c r="D2414" i="3"/>
  <c r="C2414" i="3"/>
  <c r="B2414" i="3"/>
  <c r="A2414" i="3"/>
  <c r="F2413" i="3"/>
  <c r="E2413" i="3"/>
  <c r="D2413" i="3"/>
  <c r="C2413" i="3"/>
  <c r="B2413" i="3"/>
  <c r="A2413" i="3"/>
  <c r="F2412" i="3"/>
  <c r="E2412" i="3"/>
  <c r="D2412" i="3"/>
  <c r="C2412" i="3"/>
  <c r="B2412" i="3"/>
  <c r="A2412" i="3"/>
  <c r="F2411" i="3"/>
  <c r="E2411" i="3"/>
  <c r="D2411" i="3"/>
  <c r="C2411" i="3"/>
  <c r="B2411" i="3"/>
  <c r="A2411" i="3"/>
  <c r="F2410" i="3"/>
  <c r="E2410" i="3"/>
  <c r="D2410" i="3"/>
  <c r="C2410" i="3"/>
  <c r="B2410" i="3"/>
  <c r="A2410" i="3"/>
  <c r="F2409" i="3"/>
  <c r="E2409" i="3"/>
  <c r="D2409" i="3"/>
  <c r="C2409" i="3"/>
  <c r="B2409" i="3"/>
  <c r="A2409" i="3"/>
  <c r="F2408" i="3"/>
  <c r="E2408" i="3"/>
  <c r="D2408" i="3"/>
  <c r="C2408" i="3"/>
  <c r="B2408" i="3"/>
  <c r="A2408" i="3"/>
  <c r="F2407" i="3"/>
  <c r="E2407" i="3"/>
  <c r="D2407" i="3"/>
  <c r="C2407" i="3"/>
  <c r="B2407" i="3"/>
  <c r="A2407" i="3"/>
  <c r="F2406" i="3"/>
  <c r="E2406" i="3"/>
  <c r="D2406" i="3"/>
  <c r="C2406" i="3"/>
  <c r="B2406" i="3"/>
  <c r="A2406" i="3"/>
  <c r="F2405" i="3"/>
  <c r="E2405" i="3"/>
  <c r="D2405" i="3"/>
  <c r="C2405" i="3"/>
  <c r="B2405" i="3"/>
  <c r="A2405" i="3"/>
  <c r="F2404" i="3"/>
  <c r="E2404" i="3"/>
  <c r="D2404" i="3"/>
  <c r="C2404" i="3"/>
  <c r="B2404" i="3"/>
  <c r="A2404" i="3"/>
  <c r="F2403" i="3"/>
  <c r="E2403" i="3"/>
  <c r="D2403" i="3"/>
  <c r="C2403" i="3"/>
  <c r="B2403" i="3"/>
  <c r="A2403" i="3"/>
  <c r="F2402" i="3"/>
  <c r="E2402" i="3"/>
  <c r="D2402" i="3"/>
  <c r="C2402" i="3"/>
  <c r="B2402" i="3"/>
  <c r="A2402" i="3"/>
  <c r="F2401" i="3"/>
  <c r="E2401" i="3"/>
  <c r="D2401" i="3"/>
  <c r="C2401" i="3"/>
  <c r="B2401" i="3"/>
  <c r="A2401" i="3"/>
  <c r="F2400" i="3"/>
  <c r="E2400" i="3"/>
  <c r="D2400" i="3"/>
  <c r="C2400" i="3"/>
  <c r="B2400" i="3"/>
  <c r="A2400" i="3"/>
  <c r="F2399" i="3"/>
  <c r="E2399" i="3"/>
  <c r="D2399" i="3"/>
  <c r="C2399" i="3"/>
  <c r="B2399" i="3"/>
  <c r="A2399" i="3"/>
  <c r="F2398" i="3"/>
  <c r="E2398" i="3"/>
  <c r="D2398" i="3"/>
  <c r="C2398" i="3"/>
  <c r="B2398" i="3"/>
  <c r="A2398" i="3"/>
  <c r="F2397" i="3"/>
  <c r="E2397" i="3"/>
  <c r="D2397" i="3"/>
  <c r="C2397" i="3"/>
  <c r="B2397" i="3"/>
  <c r="A2397" i="3"/>
  <c r="F2396" i="3"/>
  <c r="E2396" i="3"/>
  <c r="D2396" i="3"/>
  <c r="C2396" i="3"/>
  <c r="B2396" i="3"/>
  <c r="A2396" i="3"/>
  <c r="F2395" i="3"/>
  <c r="E2395" i="3"/>
  <c r="D2395" i="3"/>
  <c r="C2395" i="3"/>
  <c r="B2395" i="3"/>
  <c r="A2395" i="3"/>
  <c r="F2394" i="3"/>
  <c r="E2394" i="3"/>
  <c r="D2394" i="3"/>
  <c r="C2394" i="3"/>
  <c r="B2394" i="3"/>
  <c r="A2394" i="3"/>
  <c r="F2393" i="3"/>
  <c r="E2393" i="3"/>
  <c r="D2393" i="3"/>
  <c r="C2393" i="3"/>
  <c r="B2393" i="3"/>
  <c r="A2393" i="3"/>
  <c r="F2392" i="3"/>
  <c r="E2392" i="3"/>
  <c r="D2392" i="3"/>
  <c r="C2392" i="3"/>
  <c r="B2392" i="3"/>
  <c r="A2392" i="3"/>
  <c r="F2391" i="3"/>
  <c r="E2391" i="3"/>
  <c r="D2391" i="3"/>
  <c r="C2391" i="3"/>
  <c r="B2391" i="3"/>
  <c r="A2391" i="3"/>
  <c r="F2390" i="3"/>
  <c r="E2390" i="3"/>
  <c r="D2390" i="3"/>
  <c r="C2390" i="3"/>
  <c r="B2390" i="3"/>
  <c r="A2390" i="3"/>
  <c r="F2389" i="3"/>
  <c r="E2389" i="3"/>
  <c r="D2389" i="3"/>
  <c r="C2389" i="3"/>
  <c r="B2389" i="3"/>
  <c r="A2389" i="3"/>
  <c r="F2388" i="3"/>
  <c r="E2388" i="3"/>
  <c r="D2388" i="3"/>
  <c r="C2388" i="3"/>
  <c r="B2388" i="3"/>
  <c r="A2388" i="3"/>
  <c r="F2387" i="3"/>
  <c r="E2387" i="3"/>
  <c r="D2387" i="3"/>
  <c r="C2387" i="3"/>
  <c r="B2387" i="3"/>
  <c r="A2387" i="3"/>
  <c r="F2386" i="3"/>
  <c r="E2386" i="3"/>
  <c r="D2386" i="3"/>
  <c r="C2386" i="3"/>
  <c r="B2386" i="3"/>
  <c r="A2386" i="3"/>
  <c r="F2385" i="3"/>
  <c r="E2385" i="3"/>
  <c r="D2385" i="3"/>
  <c r="C2385" i="3"/>
  <c r="B2385" i="3"/>
  <c r="A2385" i="3"/>
  <c r="F2384" i="3"/>
  <c r="E2384" i="3"/>
  <c r="D2384" i="3"/>
  <c r="C2384" i="3"/>
  <c r="B2384" i="3"/>
  <c r="A2384" i="3"/>
  <c r="F2383" i="3"/>
  <c r="E2383" i="3"/>
  <c r="D2383" i="3"/>
  <c r="C2383" i="3"/>
  <c r="B2383" i="3"/>
  <c r="A2383" i="3"/>
  <c r="F2382" i="3"/>
  <c r="E2382" i="3"/>
  <c r="D2382" i="3"/>
  <c r="C2382" i="3"/>
  <c r="B2382" i="3"/>
  <c r="A2382" i="3"/>
  <c r="F2381" i="3"/>
  <c r="E2381" i="3"/>
  <c r="D2381" i="3"/>
  <c r="C2381" i="3"/>
  <c r="B2381" i="3"/>
  <c r="A2381" i="3"/>
  <c r="F2380" i="3"/>
  <c r="E2380" i="3"/>
  <c r="D2380" i="3"/>
  <c r="C2380" i="3"/>
  <c r="B2380" i="3"/>
  <c r="A2380" i="3"/>
  <c r="F2379" i="3"/>
  <c r="E2379" i="3"/>
  <c r="D2379" i="3"/>
  <c r="C2379" i="3"/>
  <c r="B2379" i="3"/>
  <c r="A2379" i="3"/>
  <c r="F2378" i="3"/>
  <c r="E2378" i="3"/>
  <c r="D2378" i="3"/>
  <c r="C2378" i="3"/>
  <c r="B2378" i="3"/>
  <c r="A2378" i="3"/>
  <c r="F2377" i="3"/>
  <c r="E2377" i="3"/>
  <c r="D2377" i="3"/>
  <c r="C2377" i="3"/>
  <c r="B2377" i="3"/>
  <c r="A2377" i="3"/>
  <c r="F2376" i="3"/>
  <c r="E2376" i="3"/>
  <c r="D2376" i="3"/>
  <c r="C2376" i="3"/>
  <c r="B2376" i="3"/>
  <c r="A2376" i="3"/>
  <c r="F2375" i="3"/>
  <c r="E2375" i="3"/>
  <c r="D2375" i="3"/>
  <c r="C2375" i="3"/>
  <c r="B2375" i="3"/>
  <c r="A2375" i="3"/>
  <c r="F2374" i="3"/>
  <c r="E2374" i="3"/>
  <c r="D2374" i="3"/>
  <c r="C2374" i="3"/>
  <c r="B2374" i="3"/>
  <c r="A2374" i="3"/>
  <c r="F2373" i="3"/>
  <c r="E2373" i="3"/>
  <c r="D2373" i="3"/>
  <c r="C2373" i="3"/>
  <c r="B2373" i="3"/>
  <c r="A2373" i="3"/>
  <c r="F2372" i="3"/>
  <c r="E2372" i="3"/>
  <c r="D2372" i="3"/>
  <c r="C2372" i="3"/>
  <c r="B2372" i="3"/>
  <c r="A2372" i="3"/>
  <c r="F2371" i="3"/>
  <c r="E2371" i="3"/>
  <c r="D2371" i="3"/>
  <c r="C2371" i="3"/>
  <c r="B2371" i="3"/>
  <c r="A2371" i="3"/>
  <c r="F2370" i="3"/>
  <c r="E2370" i="3"/>
  <c r="D2370" i="3"/>
  <c r="C2370" i="3"/>
  <c r="B2370" i="3"/>
  <c r="A2370" i="3"/>
  <c r="F2369" i="3"/>
  <c r="E2369" i="3"/>
  <c r="D2369" i="3"/>
  <c r="C2369" i="3"/>
  <c r="B2369" i="3"/>
  <c r="A2369" i="3"/>
  <c r="F2368" i="3"/>
  <c r="E2368" i="3"/>
  <c r="D2368" i="3"/>
  <c r="C2368" i="3"/>
  <c r="B2368" i="3"/>
  <c r="A2368" i="3"/>
  <c r="F2367" i="3"/>
  <c r="E2367" i="3"/>
  <c r="D2367" i="3"/>
  <c r="C2367" i="3"/>
  <c r="B2367" i="3"/>
  <c r="A2367" i="3"/>
  <c r="F2366" i="3"/>
  <c r="E2366" i="3"/>
  <c r="D2366" i="3"/>
  <c r="C2366" i="3"/>
  <c r="B2366" i="3"/>
  <c r="A2366" i="3"/>
  <c r="F2365" i="3"/>
  <c r="E2365" i="3"/>
  <c r="D2365" i="3"/>
  <c r="C2365" i="3"/>
  <c r="B2365" i="3"/>
  <c r="A2365" i="3"/>
  <c r="F2364" i="3"/>
  <c r="E2364" i="3"/>
  <c r="D2364" i="3"/>
  <c r="C2364" i="3"/>
  <c r="B2364" i="3"/>
  <c r="A2364" i="3"/>
  <c r="F2363" i="3"/>
  <c r="E2363" i="3"/>
  <c r="D2363" i="3"/>
  <c r="C2363" i="3"/>
  <c r="B2363" i="3"/>
  <c r="A2363" i="3"/>
  <c r="F2362" i="3"/>
  <c r="E2362" i="3"/>
  <c r="D2362" i="3"/>
  <c r="C2362" i="3"/>
  <c r="B2362" i="3"/>
  <c r="A2362" i="3"/>
  <c r="F2361" i="3"/>
  <c r="E2361" i="3"/>
  <c r="D2361" i="3"/>
  <c r="C2361" i="3"/>
  <c r="B2361" i="3"/>
  <c r="A2361" i="3"/>
  <c r="F2360" i="3"/>
  <c r="E2360" i="3"/>
  <c r="D2360" i="3"/>
  <c r="C2360" i="3"/>
  <c r="B2360" i="3"/>
  <c r="A2360" i="3"/>
  <c r="F2359" i="3"/>
  <c r="E2359" i="3"/>
  <c r="D2359" i="3"/>
  <c r="C2359" i="3"/>
  <c r="B2359" i="3"/>
  <c r="A2359" i="3"/>
  <c r="F2358" i="3"/>
  <c r="E2358" i="3"/>
  <c r="D2358" i="3"/>
  <c r="C2358" i="3"/>
  <c r="B2358" i="3"/>
  <c r="A2358" i="3"/>
  <c r="F2357" i="3"/>
  <c r="E2357" i="3"/>
  <c r="D2357" i="3"/>
  <c r="C2357" i="3"/>
  <c r="B2357" i="3"/>
  <c r="A2357" i="3"/>
  <c r="F2356" i="3"/>
  <c r="E2356" i="3"/>
  <c r="D2356" i="3"/>
  <c r="C2356" i="3"/>
  <c r="B2356" i="3"/>
  <c r="A2356" i="3"/>
  <c r="F2355" i="3"/>
  <c r="E2355" i="3"/>
  <c r="D2355" i="3"/>
  <c r="C2355" i="3"/>
  <c r="B2355" i="3"/>
  <c r="A2355" i="3"/>
  <c r="F2354" i="3"/>
  <c r="E2354" i="3"/>
  <c r="D2354" i="3"/>
  <c r="C2354" i="3"/>
  <c r="B2354" i="3"/>
  <c r="A2354" i="3"/>
  <c r="F2353" i="3"/>
  <c r="E2353" i="3"/>
  <c r="D2353" i="3"/>
  <c r="C2353" i="3"/>
  <c r="B2353" i="3"/>
  <c r="A2353" i="3"/>
  <c r="F2352" i="3"/>
  <c r="E2352" i="3"/>
  <c r="D2352" i="3"/>
  <c r="C2352" i="3"/>
  <c r="B2352" i="3"/>
  <c r="A2352" i="3"/>
  <c r="F2351" i="3"/>
  <c r="E2351" i="3"/>
  <c r="D2351" i="3"/>
  <c r="C2351" i="3"/>
  <c r="B2351" i="3"/>
  <c r="A2351" i="3"/>
  <c r="F2350" i="3"/>
  <c r="E2350" i="3"/>
  <c r="D2350" i="3"/>
  <c r="C2350" i="3"/>
  <c r="B2350" i="3"/>
  <c r="A2350" i="3"/>
  <c r="F2349" i="3"/>
  <c r="E2349" i="3"/>
  <c r="D2349" i="3"/>
  <c r="C2349" i="3"/>
  <c r="B2349" i="3"/>
  <c r="A2349" i="3"/>
  <c r="F2348" i="3"/>
  <c r="E2348" i="3"/>
  <c r="D2348" i="3"/>
  <c r="C2348" i="3"/>
  <c r="B2348" i="3"/>
  <c r="A2348" i="3"/>
  <c r="F2347" i="3"/>
  <c r="E2347" i="3"/>
  <c r="D2347" i="3"/>
  <c r="C2347" i="3"/>
  <c r="B2347" i="3"/>
  <c r="A2347" i="3"/>
  <c r="F2346" i="3"/>
  <c r="E2346" i="3"/>
  <c r="D2346" i="3"/>
  <c r="C2346" i="3"/>
  <c r="B2346" i="3"/>
  <c r="A2346" i="3"/>
  <c r="F2345" i="3"/>
  <c r="E2345" i="3"/>
  <c r="D2345" i="3"/>
  <c r="C2345" i="3"/>
  <c r="B2345" i="3"/>
  <c r="A2345" i="3"/>
  <c r="F2344" i="3"/>
  <c r="E2344" i="3"/>
  <c r="D2344" i="3"/>
  <c r="C2344" i="3"/>
  <c r="B2344" i="3"/>
  <c r="A2344" i="3"/>
  <c r="F2343" i="3"/>
  <c r="E2343" i="3"/>
  <c r="D2343" i="3"/>
  <c r="C2343" i="3"/>
  <c r="B2343" i="3"/>
  <c r="A2343" i="3"/>
  <c r="F2342" i="3"/>
  <c r="E2342" i="3"/>
  <c r="D2342" i="3"/>
  <c r="C2342" i="3"/>
  <c r="B2342" i="3"/>
  <c r="A2342" i="3"/>
  <c r="F2341" i="3"/>
  <c r="E2341" i="3"/>
  <c r="D2341" i="3"/>
  <c r="C2341" i="3"/>
  <c r="B2341" i="3"/>
  <c r="A2341" i="3"/>
  <c r="F2340" i="3"/>
  <c r="E2340" i="3"/>
  <c r="D2340" i="3"/>
  <c r="C2340" i="3"/>
  <c r="B2340" i="3"/>
  <c r="A2340" i="3"/>
  <c r="F2339" i="3"/>
  <c r="E2339" i="3"/>
  <c r="D2339" i="3"/>
  <c r="C2339" i="3"/>
  <c r="B2339" i="3"/>
  <c r="A2339" i="3"/>
  <c r="F2338" i="3"/>
  <c r="E2338" i="3"/>
  <c r="D2338" i="3"/>
  <c r="C2338" i="3"/>
  <c r="B2338" i="3"/>
  <c r="A2338" i="3"/>
  <c r="F2337" i="3"/>
  <c r="E2337" i="3"/>
  <c r="D2337" i="3"/>
  <c r="C2337" i="3"/>
  <c r="B2337" i="3"/>
  <c r="A2337" i="3"/>
  <c r="F2336" i="3"/>
  <c r="E2336" i="3"/>
  <c r="D2336" i="3"/>
  <c r="C2336" i="3"/>
  <c r="B2336" i="3"/>
  <c r="A2336" i="3"/>
  <c r="F2335" i="3"/>
  <c r="E2335" i="3"/>
  <c r="D2335" i="3"/>
  <c r="C2335" i="3"/>
  <c r="B2335" i="3"/>
  <c r="A2335" i="3"/>
  <c r="F2334" i="3"/>
  <c r="E2334" i="3"/>
  <c r="D2334" i="3"/>
  <c r="C2334" i="3"/>
  <c r="B2334" i="3"/>
  <c r="A2334" i="3"/>
  <c r="F2333" i="3"/>
  <c r="E2333" i="3"/>
  <c r="D2333" i="3"/>
  <c r="C2333" i="3"/>
  <c r="B2333" i="3"/>
  <c r="A2333" i="3"/>
  <c r="F2332" i="3"/>
  <c r="E2332" i="3"/>
  <c r="D2332" i="3"/>
  <c r="C2332" i="3"/>
  <c r="B2332" i="3"/>
  <c r="A2332" i="3"/>
  <c r="F2331" i="3"/>
  <c r="E2331" i="3"/>
  <c r="D2331" i="3"/>
  <c r="C2331" i="3"/>
  <c r="B2331" i="3"/>
  <c r="A2331" i="3"/>
  <c r="F2330" i="3"/>
  <c r="E2330" i="3"/>
  <c r="D2330" i="3"/>
  <c r="C2330" i="3"/>
  <c r="B2330" i="3"/>
  <c r="A2330" i="3"/>
  <c r="F2329" i="3"/>
  <c r="E2329" i="3"/>
  <c r="D2329" i="3"/>
  <c r="C2329" i="3"/>
  <c r="B2329" i="3"/>
  <c r="A2329" i="3"/>
  <c r="F2328" i="3"/>
  <c r="E2328" i="3"/>
  <c r="D2328" i="3"/>
  <c r="C2328" i="3"/>
  <c r="B2328" i="3"/>
  <c r="A2328" i="3"/>
  <c r="F2327" i="3"/>
  <c r="E2327" i="3"/>
  <c r="D2327" i="3"/>
  <c r="C2327" i="3"/>
  <c r="B2327" i="3"/>
  <c r="A2327" i="3"/>
  <c r="F2326" i="3"/>
  <c r="E2326" i="3"/>
  <c r="D2326" i="3"/>
  <c r="C2326" i="3"/>
  <c r="B2326" i="3"/>
  <c r="A2326" i="3"/>
  <c r="F2325" i="3"/>
  <c r="E2325" i="3"/>
  <c r="D2325" i="3"/>
  <c r="C2325" i="3"/>
  <c r="B2325" i="3"/>
  <c r="A2325" i="3"/>
  <c r="F2324" i="3"/>
  <c r="E2324" i="3"/>
  <c r="D2324" i="3"/>
  <c r="C2324" i="3"/>
  <c r="B2324" i="3"/>
  <c r="A2324" i="3"/>
  <c r="F2323" i="3"/>
  <c r="E2323" i="3"/>
  <c r="D2323" i="3"/>
  <c r="C2323" i="3"/>
  <c r="B2323" i="3"/>
  <c r="A2323" i="3"/>
  <c r="F2322" i="3"/>
  <c r="E2322" i="3"/>
  <c r="D2322" i="3"/>
  <c r="C2322" i="3"/>
  <c r="B2322" i="3"/>
  <c r="A2322" i="3"/>
  <c r="F2321" i="3"/>
  <c r="E2321" i="3"/>
  <c r="D2321" i="3"/>
  <c r="C2321" i="3"/>
  <c r="B2321" i="3"/>
  <c r="A2321" i="3"/>
  <c r="F2320" i="3"/>
  <c r="E2320" i="3"/>
  <c r="D2320" i="3"/>
  <c r="C2320" i="3"/>
  <c r="B2320" i="3"/>
  <c r="A2320" i="3"/>
  <c r="F2319" i="3"/>
  <c r="E2319" i="3"/>
  <c r="D2319" i="3"/>
  <c r="C2319" i="3"/>
  <c r="B2319" i="3"/>
  <c r="A2319" i="3"/>
  <c r="F2318" i="3"/>
  <c r="E2318" i="3"/>
  <c r="D2318" i="3"/>
  <c r="C2318" i="3"/>
  <c r="B2318" i="3"/>
  <c r="A2318" i="3"/>
  <c r="F2317" i="3"/>
  <c r="E2317" i="3"/>
  <c r="D2317" i="3"/>
  <c r="C2317" i="3"/>
  <c r="B2317" i="3"/>
  <c r="A2317" i="3"/>
  <c r="F2316" i="3"/>
  <c r="E2316" i="3"/>
  <c r="D2316" i="3"/>
  <c r="C2316" i="3"/>
  <c r="B2316" i="3"/>
  <c r="A2316" i="3"/>
  <c r="F2315" i="3"/>
  <c r="E2315" i="3"/>
  <c r="D2315" i="3"/>
  <c r="C2315" i="3"/>
  <c r="B2315" i="3"/>
  <c r="A2315" i="3"/>
  <c r="F2314" i="3"/>
  <c r="E2314" i="3"/>
  <c r="D2314" i="3"/>
  <c r="C2314" i="3"/>
  <c r="B2314" i="3"/>
  <c r="A2314" i="3"/>
  <c r="F2313" i="3"/>
  <c r="E2313" i="3"/>
  <c r="D2313" i="3"/>
  <c r="C2313" i="3"/>
  <c r="B2313" i="3"/>
  <c r="A2313" i="3"/>
  <c r="F2312" i="3"/>
  <c r="E2312" i="3"/>
  <c r="D2312" i="3"/>
  <c r="C2312" i="3"/>
  <c r="B2312" i="3"/>
  <c r="A2312" i="3"/>
  <c r="F2311" i="3"/>
  <c r="E2311" i="3"/>
  <c r="D2311" i="3"/>
  <c r="C2311" i="3"/>
  <c r="B2311" i="3"/>
  <c r="A2311" i="3"/>
  <c r="F2310" i="3"/>
  <c r="E2310" i="3"/>
  <c r="D2310" i="3"/>
  <c r="C2310" i="3"/>
  <c r="B2310" i="3"/>
  <c r="A2310" i="3"/>
  <c r="F2309" i="3"/>
  <c r="E2309" i="3"/>
  <c r="D2309" i="3"/>
  <c r="C2309" i="3"/>
  <c r="B2309" i="3"/>
  <c r="A2309" i="3"/>
  <c r="F2308" i="3"/>
  <c r="E2308" i="3"/>
  <c r="D2308" i="3"/>
  <c r="C2308" i="3"/>
  <c r="B2308" i="3"/>
  <c r="A2308" i="3"/>
  <c r="F2307" i="3"/>
  <c r="E2307" i="3"/>
  <c r="D2307" i="3"/>
  <c r="C2307" i="3"/>
  <c r="B2307" i="3"/>
  <c r="A2307" i="3"/>
  <c r="F2306" i="3"/>
  <c r="E2306" i="3"/>
  <c r="D2306" i="3"/>
  <c r="C2306" i="3"/>
  <c r="B2306" i="3"/>
  <c r="A2306" i="3"/>
  <c r="F2305" i="3"/>
  <c r="E2305" i="3"/>
  <c r="D2305" i="3"/>
  <c r="C2305" i="3"/>
  <c r="B2305" i="3"/>
  <c r="A2305" i="3"/>
  <c r="F2304" i="3"/>
  <c r="E2304" i="3"/>
  <c r="D2304" i="3"/>
  <c r="C2304" i="3"/>
  <c r="B2304" i="3"/>
  <c r="A2304" i="3"/>
  <c r="F2303" i="3"/>
  <c r="E2303" i="3"/>
  <c r="D2303" i="3"/>
  <c r="C2303" i="3"/>
  <c r="B2303" i="3"/>
  <c r="A2303" i="3"/>
  <c r="F2302" i="3"/>
  <c r="E2302" i="3"/>
  <c r="D2302" i="3"/>
  <c r="C2302" i="3"/>
  <c r="B2302" i="3"/>
  <c r="A2302" i="3"/>
  <c r="F2301" i="3"/>
  <c r="E2301" i="3"/>
  <c r="D2301" i="3"/>
  <c r="C2301" i="3"/>
  <c r="B2301" i="3"/>
  <c r="A2301" i="3"/>
  <c r="F2300" i="3"/>
  <c r="E2300" i="3"/>
  <c r="D2300" i="3"/>
  <c r="C2300" i="3"/>
  <c r="B2300" i="3"/>
  <c r="A2300" i="3"/>
  <c r="F2299" i="3"/>
  <c r="E2299" i="3"/>
  <c r="D2299" i="3"/>
  <c r="C2299" i="3"/>
  <c r="B2299" i="3"/>
  <c r="A2299" i="3"/>
  <c r="F2298" i="3"/>
  <c r="E2298" i="3"/>
  <c r="D2298" i="3"/>
  <c r="C2298" i="3"/>
  <c r="B2298" i="3"/>
  <c r="A2298" i="3"/>
  <c r="F2297" i="3"/>
  <c r="E2297" i="3"/>
  <c r="D2297" i="3"/>
  <c r="C2297" i="3"/>
  <c r="B2297" i="3"/>
  <c r="A2297" i="3"/>
  <c r="F2296" i="3"/>
  <c r="E2296" i="3"/>
  <c r="D2296" i="3"/>
  <c r="C2296" i="3"/>
  <c r="B2296" i="3"/>
  <c r="A2296" i="3"/>
  <c r="F2295" i="3"/>
  <c r="E2295" i="3"/>
  <c r="D2295" i="3"/>
  <c r="C2295" i="3"/>
  <c r="B2295" i="3"/>
  <c r="A2295" i="3"/>
  <c r="F2294" i="3"/>
  <c r="E2294" i="3"/>
  <c r="D2294" i="3"/>
  <c r="C2294" i="3"/>
  <c r="B2294" i="3"/>
  <c r="A2294" i="3"/>
  <c r="F2293" i="3"/>
  <c r="E2293" i="3"/>
  <c r="D2293" i="3"/>
  <c r="C2293" i="3"/>
  <c r="B2293" i="3"/>
  <c r="A2293" i="3"/>
  <c r="F2292" i="3"/>
  <c r="E2292" i="3"/>
  <c r="D2292" i="3"/>
  <c r="C2292" i="3"/>
  <c r="B2292" i="3"/>
  <c r="A2292" i="3"/>
  <c r="F2291" i="3"/>
  <c r="E2291" i="3"/>
  <c r="D2291" i="3"/>
  <c r="C2291" i="3"/>
  <c r="B2291" i="3"/>
  <c r="A2291" i="3"/>
  <c r="F2290" i="3"/>
  <c r="E2290" i="3"/>
  <c r="D2290" i="3"/>
  <c r="C2290" i="3"/>
  <c r="B2290" i="3"/>
  <c r="A2290" i="3"/>
  <c r="F2289" i="3"/>
  <c r="E2289" i="3"/>
  <c r="D2289" i="3"/>
  <c r="C2289" i="3"/>
  <c r="B2289" i="3"/>
  <c r="A2289" i="3"/>
  <c r="F2288" i="3"/>
  <c r="E2288" i="3"/>
  <c r="D2288" i="3"/>
  <c r="C2288" i="3"/>
  <c r="B2288" i="3"/>
  <c r="A2288" i="3"/>
  <c r="F2287" i="3"/>
  <c r="E2287" i="3"/>
  <c r="D2287" i="3"/>
  <c r="C2287" i="3"/>
  <c r="B2287" i="3"/>
  <c r="A2287" i="3"/>
  <c r="F2286" i="3"/>
  <c r="E2286" i="3"/>
  <c r="D2286" i="3"/>
  <c r="C2286" i="3"/>
  <c r="B2286" i="3"/>
  <c r="A2286" i="3"/>
  <c r="F2285" i="3"/>
  <c r="E2285" i="3"/>
  <c r="D2285" i="3"/>
  <c r="C2285" i="3"/>
  <c r="B2285" i="3"/>
  <c r="A2285" i="3"/>
  <c r="F2284" i="3"/>
  <c r="E2284" i="3"/>
  <c r="D2284" i="3"/>
  <c r="C2284" i="3"/>
  <c r="B2284" i="3"/>
  <c r="A2284" i="3"/>
  <c r="F2283" i="3"/>
  <c r="E2283" i="3"/>
  <c r="D2283" i="3"/>
  <c r="C2283" i="3"/>
  <c r="B2283" i="3"/>
  <c r="A2283" i="3"/>
  <c r="F2282" i="3"/>
  <c r="E2282" i="3"/>
  <c r="D2282" i="3"/>
  <c r="C2282" i="3"/>
  <c r="B2282" i="3"/>
  <c r="A2282" i="3"/>
  <c r="F2281" i="3"/>
  <c r="E2281" i="3"/>
  <c r="D2281" i="3"/>
  <c r="C2281" i="3"/>
  <c r="B2281" i="3"/>
  <c r="A2281" i="3"/>
  <c r="F2280" i="3"/>
  <c r="E2280" i="3"/>
  <c r="D2280" i="3"/>
  <c r="C2280" i="3"/>
  <c r="B2280" i="3"/>
  <c r="A2280" i="3"/>
  <c r="F2279" i="3"/>
  <c r="E2279" i="3"/>
  <c r="D2279" i="3"/>
  <c r="C2279" i="3"/>
  <c r="B2279" i="3"/>
  <c r="A2279" i="3"/>
  <c r="F2278" i="3"/>
  <c r="E2278" i="3"/>
  <c r="D2278" i="3"/>
  <c r="C2278" i="3"/>
  <c r="B2278" i="3"/>
  <c r="A2278" i="3"/>
  <c r="F2277" i="3"/>
  <c r="E2277" i="3"/>
  <c r="D2277" i="3"/>
  <c r="C2277" i="3"/>
  <c r="B2277" i="3"/>
  <c r="A2277" i="3"/>
  <c r="F2276" i="3"/>
  <c r="E2276" i="3"/>
  <c r="D2276" i="3"/>
  <c r="C2276" i="3"/>
  <c r="B2276" i="3"/>
  <c r="A2276" i="3"/>
  <c r="F2275" i="3"/>
  <c r="E2275" i="3"/>
  <c r="D2275" i="3"/>
  <c r="C2275" i="3"/>
  <c r="B2275" i="3"/>
  <c r="A2275" i="3"/>
  <c r="F2274" i="3"/>
  <c r="E2274" i="3"/>
  <c r="D2274" i="3"/>
  <c r="C2274" i="3"/>
  <c r="B2274" i="3"/>
  <c r="A2274" i="3"/>
  <c r="F2273" i="3"/>
  <c r="E2273" i="3"/>
  <c r="D2273" i="3"/>
  <c r="C2273" i="3"/>
  <c r="B2273" i="3"/>
  <c r="A2273" i="3"/>
  <c r="F2272" i="3"/>
  <c r="E2272" i="3"/>
  <c r="D2272" i="3"/>
  <c r="C2272" i="3"/>
  <c r="B2272" i="3"/>
  <c r="A2272" i="3"/>
  <c r="F2271" i="3"/>
  <c r="E2271" i="3"/>
  <c r="D2271" i="3"/>
  <c r="C2271" i="3"/>
  <c r="B2271" i="3"/>
  <c r="A2271" i="3"/>
  <c r="F2270" i="3"/>
  <c r="E2270" i="3"/>
  <c r="D2270" i="3"/>
  <c r="C2270" i="3"/>
  <c r="B2270" i="3"/>
  <c r="A2270" i="3"/>
  <c r="F2269" i="3"/>
  <c r="E2269" i="3"/>
  <c r="D2269" i="3"/>
  <c r="C2269" i="3"/>
  <c r="B2269" i="3"/>
  <c r="A2269" i="3"/>
  <c r="F2268" i="3"/>
  <c r="E2268" i="3"/>
  <c r="D2268" i="3"/>
  <c r="C2268" i="3"/>
  <c r="B2268" i="3"/>
  <c r="A2268" i="3"/>
  <c r="F2267" i="3"/>
  <c r="E2267" i="3"/>
  <c r="D2267" i="3"/>
  <c r="C2267" i="3"/>
  <c r="B2267" i="3"/>
  <c r="A2267" i="3"/>
  <c r="F2266" i="3"/>
  <c r="E2266" i="3"/>
  <c r="D2266" i="3"/>
  <c r="C2266" i="3"/>
  <c r="B2266" i="3"/>
  <c r="A2266" i="3"/>
  <c r="F2265" i="3"/>
  <c r="E2265" i="3"/>
  <c r="D2265" i="3"/>
  <c r="C2265" i="3"/>
  <c r="B2265" i="3"/>
  <c r="A2265" i="3"/>
  <c r="F2264" i="3"/>
  <c r="E2264" i="3"/>
  <c r="D2264" i="3"/>
  <c r="C2264" i="3"/>
  <c r="B2264" i="3"/>
  <c r="A2264" i="3"/>
  <c r="F2263" i="3"/>
  <c r="E2263" i="3"/>
  <c r="D2263" i="3"/>
  <c r="C2263" i="3"/>
  <c r="B2263" i="3"/>
  <c r="A2263" i="3"/>
  <c r="F2262" i="3"/>
  <c r="E2262" i="3"/>
  <c r="D2262" i="3"/>
  <c r="C2262" i="3"/>
  <c r="B2262" i="3"/>
  <c r="A2262" i="3"/>
  <c r="F2261" i="3"/>
  <c r="E2261" i="3"/>
  <c r="D2261" i="3"/>
  <c r="C2261" i="3"/>
  <c r="B2261" i="3"/>
  <c r="A2261" i="3"/>
  <c r="F2260" i="3"/>
  <c r="E2260" i="3"/>
  <c r="D2260" i="3"/>
  <c r="C2260" i="3"/>
  <c r="B2260" i="3"/>
  <c r="A2260" i="3"/>
  <c r="F2259" i="3"/>
  <c r="E2259" i="3"/>
  <c r="D2259" i="3"/>
  <c r="C2259" i="3"/>
  <c r="B2259" i="3"/>
  <c r="A2259" i="3"/>
  <c r="F2258" i="3"/>
  <c r="E2258" i="3"/>
  <c r="D2258" i="3"/>
  <c r="C2258" i="3"/>
  <c r="B2258" i="3"/>
  <c r="A2258" i="3"/>
  <c r="F2257" i="3"/>
  <c r="E2257" i="3"/>
  <c r="D2257" i="3"/>
  <c r="C2257" i="3"/>
  <c r="B2257" i="3"/>
  <c r="A2257" i="3"/>
  <c r="F2256" i="3"/>
  <c r="E2256" i="3"/>
  <c r="D2256" i="3"/>
  <c r="C2256" i="3"/>
  <c r="B2256" i="3"/>
  <c r="A2256" i="3"/>
  <c r="F2255" i="3"/>
  <c r="E2255" i="3"/>
  <c r="D2255" i="3"/>
  <c r="C2255" i="3"/>
  <c r="B2255" i="3"/>
  <c r="A2255" i="3"/>
  <c r="F2254" i="3"/>
  <c r="E2254" i="3"/>
  <c r="D2254" i="3"/>
  <c r="C2254" i="3"/>
  <c r="B2254" i="3"/>
  <c r="A2254" i="3"/>
  <c r="F2253" i="3"/>
  <c r="E2253" i="3"/>
  <c r="D2253" i="3"/>
  <c r="C2253" i="3"/>
  <c r="B2253" i="3"/>
  <c r="A2253" i="3"/>
  <c r="F2252" i="3"/>
  <c r="E2252" i="3"/>
  <c r="D2252" i="3"/>
  <c r="C2252" i="3"/>
  <c r="B2252" i="3"/>
  <c r="A2252" i="3"/>
  <c r="F2251" i="3"/>
  <c r="E2251" i="3"/>
  <c r="D2251" i="3"/>
  <c r="C2251" i="3"/>
  <c r="B2251" i="3"/>
  <c r="A2251" i="3"/>
  <c r="F2250" i="3"/>
  <c r="E2250" i="3"/>
  <c r="D2250" i="3"/>
  <c r="C2250" i="3"/>
  <c r="B2250" i="3"/>
  <c r="A2250" i="3"/>
  <c r="F2249" i="3"/>
  <c r="E2249" i="3"/>
  <c r="D2249" i="3"/>
  <c r="C2249" i="3"/>
  <c r="B2249" i="3"/>
  <c r="A2249" i="3"/>
  <c r="F2248" i="3"/>
  <c r="E2248" i="3"/>
  <c r="D2248" i="3"/>
  <c r="C2248" i="3"/>
  <c r="B2248" i="3"/>
  <c r="A2248" i="3"/>
  <c r="F2247" i="3"/>
  <c r="E2247" i="3"/>
  <c r="D2247" i="3"/>
  <c r="C2247" i="3"/>
  <c r="B2247" i="3"/>
  <c r="A2247" i="3"/>
  <c r="F2246" i="3"/>
  <c r="E2246" i="3"/>
  <c r="D2246" i="3"/>
  <c r="C2246" i="3"/>
  <c r="B2246" i="3"/>
  <c r="A2246" i="3"/>
  <c r="F2245" i="3"/>
  <c r="E2245" i="3"/>
  <c r="D2245" i="3"/>
  <c r="C2245" i="3"/>
  <c r="B2245" i="3"/>
  <c r="A2245" i="3"/>
  <c r="F2244" i="3"/>
  <c r="E2244" i="3"/>
  <c r="D2244" i="3"/>
  <c r="C2244" i="3"/>
  <c r="B2244" i="3"/>
  <c r="A2244" i="3"/>
  <c r="F2243" i="3"/>
  <c r="E2243" i="3"/>
  <c r="D2243" i="3"/>
  <c r="C2243" i="3"/>
  <c r="B2243" i="3"/>
  <c r="A2243" i="3"/>
  <c r="F2242" i="3"/>
  <c r="E2242" i="3"/>
  <c r="D2242" i="3"/>
  <c r="C2242" i="3"/>
  <c r="B2242" i="3"/>
  <c r="A2242" i="3"/>
  <c r="F2241" i="3"/>
  <c r="E2241" i="3"/>
  <c r="D2241" i="3"/>
  <c r="C2241" i="3"/>
  <c r="B2241" i="3"/>
  <c r="A2241" i="3"/>
  <c r="F2240" i="3"/>
  <c r="E2240" i="3"/>
  <c r="D2240" i="3"/>
  <c r="C2240" i="3"/>
  <c r="B2240" i="3"/>
  <c r="A2240" i="3"/>
  <c r="F2239" i="3"/>
  <c r="E2239" i="3"/>
  <c r="D2239" i="3"/>
  <c r="C2239" i="3"/>
  <c r="B2239" i="3"/>
  <c r="A2239" i="3"/>
  <c r="F2238" i="3"/>
  <c r="E2238" i="3"/>
  <c r="D2238" i="3"/>
  <c r="C2238" i="3"/>
  <c r="B2238" i="3"/>
  <c r="A2238" i="3"/>
  <c r="F2237" i="3"/>
  <c r="E2237" i="3"/>
  <c r="D2237" i="3"/>
  <c r="C2237" i="3"/>
  <c r="B2237" i="3"/>
  <c r="A2237" i="3"/>
  <c r="F2236" i="3"/>
  <c r="E2236" i="3"/>
  <c r="D2236" i="3"/>
  <c r="C2236" i="3"/>
  <c r="B2236" i="3"/>
  <c r="A2236" i="3"/>
  <c r="F2235" i="3"/>
  <c r="E2235" i="3"/>
  <c r="D2235" i="3"/>
  <c r="C2235" i="3"/>
  <c r="B2235" i="3"/>
  <c r="A2235" i="3"/>
  <c r="F2234" i="3"/>
  <c r="E2234" i="3"/>
  <c r="D2234" i="3"/>
  <c r="C2234" i="3"/>
  <c r="B2234" i="3"/>
  <c r="A2234" i="3"/>
  <c r="F2233" i="3"/>
  <c r="E2233" i="3"/>
  <c r="D2233" i="3"/>
  <c r="C2233" i="3"/>
  <c r="B2233" i="3"/>
  <c r="A2233" i="3"/>
  <c r="F2232" i="3"/>
  <c r="E2232" i="3"/>
  <c r="D2232" i="3"/>
  <c r="C2232" i="3"/>
  <c r="B2232" i="3"/>
  <c r="A2232" i="3"/>
  <c r="F2231" i="3"/>
  <c r="E2231" i="3"/>
  <c r="D2231" i="3"/>
  <c r="C2231" i="3"/>
  <c r="B2231" i="3"/>
  <c r="A2231" i="3"/>
  <c r="F2230" i="3"/>
  <c r="E2230" i="3"/>
  <c r="D2230" i="3"/>
  <c r="C2230" i="3"/>
  <c r="B2230" i="3"/>
  <c r="A2230" i="3"/>
  <c r="F2229" i="3"/>
  <c r="E2229" i="3"/>
  <c r="D2229" i="3"/>
  <c r="C2229" i="3"/>
  <c r="B2229" i="3"/>
  <c r="A2229" i="3"/>
  <c r="F2228" i="3"/>
  <c r="E2228" i="3"/>
  <c r="D2228" i="3"/>
  <c r="C2228" i="3"/>
  <c r="B2228" i="3"/>
  <c r="A2228" i="3"/>
  <c r="F2227" i="3"/>
  <c r="E2227" i="3"/>
  <c r="D2227" i="3"/>
  <c r="C2227" i="3"/>
  <c r="B2227" i="3"/>
  <c r="A2227" i="3"/>
  <c r="F2226" i="3"/>
  <c r="E2226" i="3"/>
  <c r="D2226" i="3"/>
  <c r="C2226" i="3"/>
  <c r="B2226" i="3"/>
  <c r="A2226" i="3"/>
  <c r="F2225" i="3"/>
  <c r="E2225" i="3"/>
  <c r="D2225" i="3"/>
  <c r="C2225" i="3"/>
  <c r="B2225" i="3"/>
  <c r="A2225" i="3"/>
  <c r="F2224" i="3"/>
  <c r="E2224" i="3"/>
  <c r="D2224" i="3"/>
  <c r="C2224" i="3"/>
  <c r="B2224" i="3"/>
  <c r="A2224" i="3"/>
  <c r="F2223" i="3"/>
  <c r="E2223" i="3"/>
  <c r="D2223" i="3"/>
  <c r="C2223" i="3"/>
  <c r="B2223" i="3"/>
  <c r="A2223" i="3"/>
  <c r="F2222" i="3"/>
  <c r="E2222" i="3"/>
  <c r="D2222" i="3"/>
  <c r="C2222" i="3"/>
  <c r="B2222" i="3"/>
  <c r="A2222" i="3"/>
  <c r="F2221" i="3"/>
  <c r="E2221" i="3"/>
  <c r="D2221" i="3"/>
  <c r="C2221" i="3"/>
  <c r="B2221" i="3"/>
  <c r="A2221" i="3"/>
  <c r="F2220" i="3"/>
  <c r="E2220" i="3"/>
  <c r="D2220" i="3"/>
  <c r="C2220" i="3"/>
  <c r="B2220" i="3"/>
  <c r="A2220" i="3"/>
  <c r="F2219" i="3"/>
  <c r="E2219" i="3"/>
  <c r="D2219" i="3"/>
  <c r="C2219" i="3"/>
  <c r="B2219" i="3"/>
  <c r="A2219" i="3"/>
  <c r="F2218" i="3"/>
  <c r="E2218" i="3"/>
  <c r="D2218" i="3"/>
  <c r="C2218" i="3"/>
  <c r="B2218" i="3"/>
  <c r="A2218" i="3"/>
  <c r="F2217" i="3"/>
  <c r="E2217" i="3"/>
  <c r="D2217" i="3"/>
  <c r="C2217" i="3"/>
  <c r="B2217" i="3"/>
  <c r="A2217" i="3"/>
  <c r="F2216" i="3"/>
  <c r="E2216" i="3"/>
  <c r="D2216" i="3"/>
  <c r="C2216" i="3"/>
  <c r="B2216" i="3"/>
  <c r="A2216" i="3"/>
  <c r="F2215" i="3"/>
  <c r="E2215" i="3"/>
  <c r="D2215" i="3"/>
  <c r="C2215" i="3"/>
  <c r="B2215" i="3"/>
  <c r="A2215" i="3"/>
  <c r="F2214" i="3"/>
  <c r="E2214" i="3"/>
  <c r="D2214" i="3"/>
  <c r="C2214" i="3"/>
  <c r="B2214" i="3"/>
  <c r="A2214" i="3"/>
  <c r="F2213" i="3"/>
  <c r="E2213" i="3"/>
  <c r="D2213" i="3"/>
  <c r="C2213" i="3"/>
  <c r="B2213" i="3"/>
  <c r="A2213" i="3"/>
  <c r="F2212" i="3"/>
  <c r="E2212" i="3"/>
  <c r="D2212" i="3"/>
  <c r="C2212" i="3"/>
  <c r="B2212" i="3"/>
  <c r="A2212" i="3"/>
  <c r="F2211" i="3"/>
  <c r="E2211" i="3"/>
  <c r="D2211" i="3"/>
  <c r="C2211" i="3"/>
  <c r="B2211" i="3"/>
  <c r="A2211" i="3"/>
  <c r="F2210" i="3"/>
  <c r="E2210" i="3"/>
  <c r="D2210" i="3"/>
  <c r="C2210" i="3"/>
  <c r="B2210" i="3"/>
  <c r="A2210" i="3"/>
  <c r="F2209" i="3"/>
  <c r="E2209" i="3"/>
  <c r="D2209" i="3"/>
  <c r="C2209" i="3"/>
  <c r="B2209" i="3"/>
  <c r="A2209" i="3"/>
  <c r="F2208" i="3"/>
  <c r="E2208" i="3"/>
  <c r="D2208" i="3"/>
  <c r="C2208" i="3"/>
  <c r="B2208" i="3"/>
  <c r="A2208" i="3"/>
  <c r="F2207" i="3"/>
  <c r="E2207" i="3"/>
  <c r="D2207" i="3"/>
  <c r="C2207" i="3"/>
  <c r="B2207" i="3"/>
  <c r="A2207" i="3"/>
  <c r="F2206" i="3"/>
  <c r="E2206" i="3"/>
  <c r="D2206" i="3"/>
  <c r="C2206" i="3"/>
  <c r="B2206" i="3"/>
  <c r="A2206" i="3"/>
  <c r="F2205" i="3"/>
  <c r="E2205" i="3"/>
  <c r="D2205" i="3"/>
  <c r="C2205" i="3"/>
  <c r="B2205" i="3"/>
  <c r="A2205" i="3"/>
  <c r="F2204" i="3"/>
  <c r="E2204" i="3"/>
  <c r="D2204" i="3"/>
  <c r="C2204" i="3"/>
  <c r="B2204" i="3"/>
  <c r="A2204" i="3"/>
  <c r="F2203" i="3"/>
  <c r="E2203" i="3"/>
  <c r="D2203" i="3"/>
  <c r="C2203" i="3"/>
  <c r="B2203" i="3"/>
  <c r="A2203" i="3"/>
  <c r="F2202" i="3"/>
  <c r="E2202" i="3"/>
  <c r="D2202" i="3"/>
  <c r="C2202" i="3"/>
  <c r="B2202" i="3"/>
  <c r="A2202" i="3"/>
  <c r="F2201" i="3"/>
  <c r="E2201" i="3"/>
  <c r="D2201" i="3"/>
  <c r="C2201" i="3"/>
  <c r="B2201" i="3"/>
  <c r="A2201" i="3"/>
  <c r="F2200" i="3"/>
  <c r="E2200" i="3"/>
  <c r="D2200" i="3"/>
  <c r="C2200" i="3"/>
  <c r="B2200" i="3"/>
  <c r="A2200" i="3"/>
  <c r="F2199" i="3"/>
  <c r="E2199" i="3"/>
  <c r="D2199" i="3"/>
  <c r="C2199" i="3"/>
  <c r="B2199" i="3"/>
  <c r="A2199" i="3"/>
  <c r="F2198" i="3"/>
  <c r="E2198" i="3"/>
  <c r="D2198" i="3"/>
  <c r="C2198" i="3"/>
  <c r="B2198" i="3"/>
  <c r="A2198" i="3"/>
  <c r="F2197" i="3"/>
  <c r="E2197" i="3"/>
  <c r="D2197" i="3"/>
  <c r="C2197" i="3"/>
  <c r="B2197" i="3"/>
  <c r="A2197" i="3"/>
  <c r="F2196" i="3"/>
  <c r="E2196" i="3"/>
  <c r="D2196" i="3"/>
  <c r="C2196" i="3"/>
  <c r="B2196" i="3"/>
  <c r="A2196" i="3"/>
  <c r="F2195" i="3"/>
  <c r="E2195" i="3"/>
  <c r="D2195" i="3"/>
  <c r="C2195" i="3"/>
  <c r="B2195" i="3"/>
  <c r="A2195" i="3"/>
  <c r="F2194" i="3"/>
  <c r="E2194" i="3"/>
  <c r="D2194" i="3"/>
  <c r="C2194" i="3"/>
  <c r="B2194" i="3"/>
  <c r="A2194" i="3"/>
  <c r="F2193" i="3"/>
  <c r="E2193" i="3"/>
  <c r="D2193" i="3"/>
  <c r="C2193" i="3"/>
  <c r="B2193" i="3"/>
  <c r="A2193" i="3"/>
  <c r="F2192" i="3"/>
  <c r="E2192" i="3"/>
  <c r="D2192" i="3"/>
  <c r="C2192" i="3"/>
  <c r="B2192" i="3"/>
  <c r="A2192" i="3"/>
  <c r="F2191" i="3"/>
  <c r="E2191" i="3"/>
  <c r="D2191" i="3"/>
  <c r="C2191" i="3"/>
  <c r="B2191" i="3"/>
  <c r="A2191" i="3"/>
  <c r="F2190" i="3"/>
  <c r="E2190" i="3"/>
  <c r="D2190" i="3"/>
  <c r="C2190" i="3"/>
  <c r="B2190" i="3"/>
  <c r="A2190" i="3"/>
  <c r="F2189" i="3"/>
  <c r="E2189" i="3"/>
  <c r="D2189" i="3"/>
  <c r="C2189" i="3"/>
  <c r="B2189" i="3"/>
  <c r="A2189" i="3"/>
  <c r="F2188" i="3"/>
  <c r="E2188" i="3"/>
  <c r="D2188" i="3"/>
  <c r="C2188" i="3"/>
  <c r="B2188" i="3"/>
  <c r="A2188" i="3"/>
  <c r="F2187" i="3"/>
  <c r="E2187" i="3"/>
  <c r="D2187" i="3"/>
  <c r="C2187" i="3"/>
  <c r="B2187" i="3"/>
  <c r="A2187" i="3"/>
  <c r="F2186" i="3"/>
  <c r="E2186" i="3"/>
  <c r="D2186" i="3"/>
  <c r="C2186" i="3"/>
  <c r="B2186" i="3"/>
  <c r="A2186" i="3"/>
  <c r="F2185" i="3"/>
  <c r="E2185" i="3"/>
  <c r="D2185" i="3"/>
  <c r="C2185" i="3"/>
  <c r="B2185" i="3"/>
  <c r="A2185" i="3"/>
  <c r="F2184" i="3"/>
  <c r="E2184" i="3"/>
  <c r="D2184" i="3"/>
  <c r="C2184" i="3"/>
  <c r="B2184" i="3"/>
  <c r="A2184" i="3"/>
  <c r="F2183" i="3"/>
  <c r="E2183" i="3"/>
  <c r="D2183" i="3"/>
  <c r="C2183" i="3"/>
  <c r="B2183" i="3"/>
  <c r="A2183" i="3"/>
  <c r="F2182" i="3"/>
  <c r="E2182" i="3"/>
  <c r="D2182" i="3"/>
  <c r="C2182" i="3"/>
  <c r="B2182" i="3"/>
  <c r="A2182" i="3"/>
  <c r="F2181" i="3"/>
  <c r="E2181" i="3"/>
  <c r="D2181" i="3"/>
  <c r="C2181" i="3"/>
  <c r="B2181" i="3"/>
  <c r="A2181" i="3"/>
  <c r="F2180" i="3"/>
  <c r="E2180" i="3"/>
  <c r="D2180" i="3"/>
  <c r="C2180" i="3"/>
  <c r="B2180" i="3"/>
  <c r="A2180" i="3"/>
  <c r="F2179" i="3"/>
  <c r="E2179" i="3"/>
  <c r="D2179" i="3"/>
  <c r="C2179" i="3"/>
  <c r="B2179" i="3"/>
  <c r="A2179" i="3"/>
  <c r="F2178" i="3"/>
  <c r="E2178" i="3"/>
  <c r="D2178" i="3"/>
  <c r="C2178" i="3"/>
  <c r="B2178" i="3"/>
  <c r="A2178" i="3"/>
  <c r="F2177" i="3"/>
  <c r="E2177" i="3"/>
  <c r="D2177" i="3"/>
  <c r="C2177" i="3"/>
  <c r="B2177" i="3"/>
  <c r="A2177" i="3"/>
  <c r="F2176" i="3"/>
  <c r="E2176" i="3"/>
  <c r="D2176" i="3"/>
  <c r="C2176" i="3"/>
  <c r="B2176" i="3"/>
  <c r="A2176" i="3"/>
  <c r="F2175" i="3"/>
  <c r="E2175" i="3"/>
  <c r="D2175" i="3"/>
  <c r="C2175" i="3"/>
  <c r="B2175" i="3"/>
  <c r="A2175" i="3"/>
  <c r="F2174" i="3"/>
  <c r="E2174" i="3"/>
  <c r="D2174" i="3"/>
  <c r="C2174" i="3"/>
  <c r="B2174" i="3"/>
  <c r="A2174" i="3"/>
  <c r="F2173" i="3"/>
  <c r="E2173" i="3"/>
  <c r="D2173" i="3"/>
  <c r="C2173" i="3"/>
  <c r="B2173" i="3"/>
  <c r="A2173" i="3"/>
  <c r="F2172" i="3"/>
  <c r="E2172" i="3"/>
  <c r="D2172" i="3"/>
  <c r="C2172" i="3"/>
  <c r="B2172" i="3"/>
  <c r="A2172" i="3"/>
  <c r="F2171" i="3"/>
  <c r="E2171" i="3"/>
  <c r="D2171" i="3"/>
  <c r="C2171" i="3"/>
  <c r="B2171" i="3"/>
  <c r="A2171" i="3"/>
  <c r="F2170" i="3"/>
  <c r="E2170" i="3"/>
  <c r="D2170" i="3"/>
  <c r="C2170" i="3"/>
  <c r="B2170" i="3"/>
  <c r="A2170" i="3"/>
  <c r="F2169" i="3"/>
  <c r="E2169" i="3"/>
  <c r="D2169" i="3"/>
  <c r="C2169" i="3"/>
  <c r="B2169" i="3"/>
  <c r="A2169" i="3"/>
  <c r="F2168" i="3"/>
  <c r="E2168" i="3"/>
  <c r="D2168" i="3"/>
  <c r="C2168" i="3"/>
  <c r="B2168" i="3"/>
  <c r="A2168" i="3"/>
  <c r="F2167" i="3"/>
  <c r="E2167" i="3"/>
  <c r="D2167" i="3"/>
  <c r="C2167" i="3"/>
  <c r="B2167" i="3"/>
  <c r="A2167" i="3"/>
  <c r="F2166" i="3"/>
  <c r="E2166" i="3"/>
  <c r="D2166" i="3"/>
  <c r="C2166" i="3"/>
  <c r="B2166" i="3"/>
  <c r="A2166" i="3"/>
  <c r="F2165" i="3"/>
  <c r="E2165" i="3"/>
  <c r="D2165" i="3"/>
  <c r="C2165" i="3"/>
  <c r="B2165" i="3"/>
  <c r="A2165" i="3"/>
  <c r="F2164" i="3"/>
  <c r="E2164" i="3"/>
  <c r="D2164" i="3"/>
  <c r="C2164" i="3"/>
  <c r="B2164" i="3"/>
  <c r="A2164" i="3"/>
  <c r="F2163" i="3"/>
  <c r="E2163" i="3"/>
  <c r="D2163" i="3"/>
  <c r="C2163" i="3"/>
  <c r="B2163" i="3"/>
  <c r="A2163" i="3"/>
  <c r="F2162" i="3"/>
  <c r="E2162" i="3"/>
  <c r="D2162" i="3"/>
  <c r="C2162" i="3"/>
  <c r="B2162" i="3"/>
  <c r="A2162" i="3"/>
  <c r="F2161" i="3"/>
  <c r="E2161" i="3"/>
  <c r="D2161" i="3"/>
  <c r="C2161" i="3"/>
  <c r="B2161" i="3"/>
  <c r="A2161" i="3"/>
  <c r="F2160" i="3"/>
  <c r="E2160" i="3"/>
  <c r="D2160" i="3"/>
  <c r="C2160" i="3"/>
  <c r="B2160" i="3"/>
  <c r="A2160" i="3"/>
  <c r="F2159" i="3"/>
  <c r="E2159" i="3"/>
  <c r="D2159" i="3"/>
  <c r="C2159" i="3"/>
  <c r="B2159" i="3"/>
  <c r="A2159" i="3"/>
  <c r="F2158" i="3"/>
  <c r="E2158" i="3"/>
  <c r="D2158" i="3"/>
  <c r="C2158" i="3"/>
  <c r="B2158" i="3"/>
  <c r="A2158" i="3"/>
  <c r="F2157" i="3"/>
  <c r="E2157" i="3"/>
  <c r="D2157" i="3"/>
  <c r="C2157" i="3"/>
  <c r="B2157" i="3"/>
  <c r="A2157" i="3"/>
  <c r="F2156" i="3"/>
  <c r="E2156" i="3"/>
  <c r="D2156" i="3"/>
  <c r="C2156" i="3"/>
  <c r="B2156" i="3"/>
  <c r="A2156" i="3"/>
  <c r="F2155" i="3"/>
  <c r="E2155" i="3"/>
  <c r="D2155" i="3"/>
  <c r="C2155" i="3"/>
  <c r="B2155" i="3"/>
  <c r="A2155" i="3"/>
  <c r="F2154" i="3"/>
  <c r="E2154" i="3"/>
  <c r="D2154" i="3"/>
  <c r="C2154" i="3"/>
  <c r="B2154" i="3"/>
  <c r="A2154" i="3"/>
  <c r="F2153" i="3"/>
  <c r="E2153" i="3"/>
  <c r="D2153" i="3"/>
  <c r="C2153" i="3"/>
  <c r="B2153" i="3"/>
  <c r="A2153" i="3"/>
  <c r="F2152" i="3"/>
  <c r="E2152" i="3"/>
  <c r="D2152" i="3"/>
  <c r="C2152" i="3"/>
  <c r="B2152" i="3"/>
  <c r="A2152" i="3"/>
  <c r="F2151" i="3"/>
  <c r="E2151" i="3"/>
  <c r="D2151" i="3"/>
  <c r="C2151" i="3"/>
  <c r="B2151" i="3"/>
  <c r="A2151" i="3"/>
  <c r="F2150" i="3"/>
  <c r="E2150" i="3"/>
  <c r="D2150" i="3"/>
  <c r="C2150" i="3"/>
  <c r="B2150" i="3"/>
  <c r="A2150" i="3"/>
  <c r="F2149" i="3"/>
  <c r="E2149" i="3"/>
  <c r="D2149" i="3"/>
  <c r="C2149" i="3"/>
  <c r="B2149" i="3"/>
  <c r="A2149" i="3"/>
  <c r="F2148" i="3"/>
  <c r="E2148" i="3"/>
  <c r="D2148" i="3"/>
  <c r="C2148" i="3"/>
  <c r="B2148" i="3"/>
  <c r="A2148" i="3"/>
  <c r="F2147" i="3"/>
  <c r="E2147" i="3"/>
  <c r="D2147" i="3"/>
  <c r="C2147" i="3"/>
  <c r="B2147" i="3"/>
  <c r="A2147" i="3"/>
  <c r="F2146" i="3"/>
  <c r="E2146" i="3"/>
  <c r="D2146" i="3"/>
  <c r="C2146" i="3"/>
  <c r="B2146" i="3"/>
  <c r="A2146" i="3"/>
  <c r="F2145" i="3"/>
  <c r="E2145" i="3"/>
  <c r="D2145" i="3"/>
  <c r="C2145" i="3"/>
  <c r="B2145" i="3"/>
  <c r="A2145" i="3"/>
  <c r="F2144" i="3"/>
  <c r="E2144" i="3"/>
  <c r="D2144" i="3"/>
  <c r="C2144" i="3"/>
  <c r="B2144" i="3"/>
  <c r="A2144" i="3"/>
  <c r="F2143" i="3"/>
  <c r="E2143" i="3"/>
  <c r="D2143" i="3"/>
  <c r="C2143" i="3"/>
  <c r="B2143" i="3"/>
  <c r="A2143" i="3"/>
  <c r="F2142" i="3"/>
  <c r="E2142" i="3"/>
  <c r="D2142" i="3"/>
  <c r="C2142" i="3"/>
  <c r="B2142" i="3"/>
  <c r="A2142" i="3"/>
  <c r="F2141" i="3"/>
  <c r="E2141" i="3"/>
  <c r="D2141" i="3"/>
  <c r="C2141" i="3"/>
  <c r="B2141" i="3"/>
  <c r="A2141" i="3"/>
  <c r="F2140" i="3"/>
  <c r="E2140" i="3"/>
  <c r="D2140" i="3"/>
  <c r="C2140" i="3"/>
  <c r="B2140" i="3"/>
  <c r="A2140" i="3"/>
  <c r="F2139" i="3"/>
  <c r="E2139" i="3"/>
  <c r="D2139" i="3"/>
  <c r="C2139" i="3"/>
  <c r="B2139" i="3"/>
  <c r="A2139" i="3"/>
  <c r="F2138" i="3"/>
  <c r="E2138" i="3"/>
  <c r="D2138" i="3"/>
  <c r="C2138" i="3"/>
  <c r="B2138" i="3"/>
  <c r="A2138" i="3"/>
  <c r="F2137" i="3"/>
  <c r="E2137" i="3"/>
  <c r="D2137" i="3"/>
  <c r="C2137" i="3"/>
  <c r="B2137" i="3"/>
  <c r="A2137" i="3"/>
  <c r="F2136" i="3"/>
  <c r="E2136" i="3"/>
  <c r="D2136" i="3"/>
  <c r="C2136" i="3"/>
  <c r="B2136" i="3"/>
  <c r="A2136" i="3"/>
  <c r="F2135" i="3"/>
  <c r="E2135" i="3"/>
  <c r="D2135" i="3"/>
  <c r="C2135" i="3"/>
  <c r="B2135" i="3"/>
  <c r="A2135" i="3"/>
  <c r="F2134" i="3"/>
  <c r="E2134" i="3"/>
  <c r="D2134" i="3"/>
  <c r="C2134" i="3"/>
  <c r="B2134" i="3"/>
  <c r="A2134" i="3"/>
  <c r="F2133" i="3"/>
  <c r="E2133" i="3"/>
  <c r="D2133" i="3"/>
  <c r="C2133" i="3"/>
  <c r="B2133" i="3"/>
  <c r="A2133" i="3"/>
  <c r="F2132" i="3"/>
  <c r="E2132" i="3"/>
  <c r="D2132" i="3"/>
  <c r="C2132" i="3"/>
  <c r="B2132" i="3"/>
  <c r="A2132" i="3"/>
  <c r="F2131" i="3"/>
  <c r="E2131" i="3"/>
  <c r="D2131" i="3"/>
  <c r="C2131" i="3"/>
  <c r="B2131" i="3"/>
  <c r="A2131" i="3"/>
  <c r="F2130" i="3"/>
  <c r="E2130" i="3"/>
  <c r="D2130" i="3"/>
  <c r="C2130" i="3"/>
  <c r="B2130" i="3"/>
  <c r="A2130" i="3"/>
  <c r="F2129" i="3"/>
  <c r="E2129" i="3"/>
  <c r="D2129" i="3"/>
  <c r="C2129" i="3"/>
  <c r="B2129" i="3"/>
  <c r="A2129" i="3"/>
  <c r="F2128" i="3"/>
  <c r="E2128" i="3"/>
  <c r="D2128" i="3"/>
  <c r="C2128" i="3"/>
  <c r="B2128" i="3"/>
  <c r="A2128" i="3"/>
  <c r="F2127" i="3"/>
  <c r="E2127" i="3"/>
  <c r="D2127" i="3"/>
  <c r="C2127" i="3"/>
  <c r="B2127" i="3"/>
  <c r="A2127" i="3"/>
  <c r="F2126" i="3"/>
  <c r="E2126" i="3"/>
  <c r="D2126" i="3"/>
  <c r="C2126" i="3"/>
  <c r="B2126" i="3"/>
  <c r="A2126" i="3"/>
  <c r="F2125" i="3"/>
  <c r="E2125" i="3"/>
  <c r="D2125" i="3"/>
  <c r="C2125" i="3"/>
  <c r="B2125" i="3"/>
  <c r="A2125" i="3"/>
  <c r="F2124" i="3"/>
  <c r="E2124" i="3"/>
  <c r="D2124" i="3"/>
  <c r="C2124" i="3"/>
  <c r="B2124" i="3"/>
  <c r="A2124" i="3"/>
  <c r="F2123" i="3"/>
  <c r="E2123" i="3"/>
  <c r="D2123" i="3"/>
  <c r="C2123" i="3"/>
  <c r="B2123" i="3"/>
  <c r="A2123" i="3"/>
  <c r="F2122" i="3"/>
  <c r="E2122" i="3"/>
  <c r="D2122" i="3"/>
  <c r="C2122" i="3"/>
  <c r="B2122" i="3"/>
  <c r="A2122" i="3"/>
  <c r="F2121" i="3"/>
  <c r="E2121" i="3"/>
  <c r="D2121" i="3"/>
  <c r="C2121" i="3"/>
  <c r="B2121" i="3"/>
  <c r="A2121" i="3"/>
  <c r="F2120" i="3"/>
  <c r="E2120" i="3"/>
  <c r="D2120" i="3"/>
  <c r="C2120" i="3"/>
  <c r="B2120" i="3"/>
  <c r="A2120" i="3"/>
  <c r="F2119" i="3"/>
  <c r="E2119" i="3"/>
  <c r="D2119" i="3"/>
  <c r="C2119" i="3"/>
  <c r="B2119" i="3"/>
  <c r="A2119" i="3"/>
  <c r="F2118" i="3"/>
  <c r="E2118" i="3"/>
  <c r="D2118" i="3"/>
  <c r="C2118" i="3"/>
  <c r="B2118" i="3"/>
  <c r="A2118" i="3"/>
  <c r="F2117" i="3"/>
  <c r="E2117" i="3"/>
  <c r="D2117" i="3"/>
  <c r="C2117" i="3"/>
  <c r="B2117" i="3"/>
  <c r="A2117" i="3"/>
  <c r="F2116" i="3"/>
  <c r="E2116" i="3"/>
  <c r="D2116" i="3"/>
  <c r="C2116" i="3"/>
  <c r="B2116" i="3"/>
  <c r="A2116" i="3"/>
  <c r="F2115" i="3"/>
  <c r="E2115" i="3"/>
  <c r="D2115" i="3"/>
  <c r="C2115" i="3"/>
  <c r="B2115" i="3"/>
  <c r="A2115" i="3"/>
  <c r="F2114" i="3"/>
  <c r="E2114" i="3"/>
  <c r="D2114" i="3"/>
  <c r="C2114" i="3"/>
  <c r="B2114" i="3"/>
  <c r="A2114" i="3"/>
  <c r="F2113" i="3"/>
  <c r="E2113" i="3"/>
  <c r="D2113" i="3"/>
  <c r="C2113" i="3"/>
  <c r="B2113" i="3"/>
  <c r="A2113" i="3"/>
  <c r="F2112" i="3"/>
  <c r="E2112" i="3"/>
  <c r="D2112" i="3"/>
  <c r="C2112" i="3"/>
  <c r="B2112" i="3"/>
  <c r="A2112" i="3"/>
  <c r="F2111" i="3"/>
  <c r="E2111" i="3"/>
  <c r="D2111" i="3"/>
  <c r="C2111" i="3"/>
  <c r="B2111" i="3"/>
  <c r="A2111" i="3"/>
  <c r="F2110" i="3"/>
  <c r="E2110" i="3"/>
  <c r="D2110" i="3"/>
  <c r="C2110" i="3"/>
  <c r="B2110" i="3"/>
  <c r="A2110" i="3"/>
  <c r="F2109" i="3"/>
  <c r="E2109" i="3"/>
  <c r="D2109" i="3"/>
  <c r="C2109" i="3"/>
  <c r="B2109" i="3"/>
  <c r="A2109" i="3"/>
  <c r="F2108" i="3"/>
  <c r="E2108" i="3"/>
  <c r="D2108" i="3"/>
  <c r="C2108" i="3"/>
  <c r="B2108" i="3"/>
  <c r="A2108" i="3"/>
  <c r="F2107" i="3"/>
  <c r="E2107" i="3"/>
  <c r="D2107" i="3"/>
  <c r="C2107" i="3"/>
  <c r="B2107" i="3"/>
  <c r="A2107" i="3"/>
  <c r="F2106" i="3"/>
  <c r="E2106" i="3"/>
  <c r="D2106" i="3"/>
  <c r="C2106" i="3"/>
  <c r="B2106" i="3"/>
  <c r="A2106" i="3"/>
  <c r="F2105" i="3"/>
  <c r="E2105" i="3"/>
  <c r="D2105" i="3"/>
  <c r="C2105" i="3"/>
  <c r="B2105" i="3"/>
  <c r="A2105" i="3"/>
  <c r="F2104" i="3"/>
  <c r="E2104" i="3"/>
  <c r="D2104" i="3"/>
  <c r="C2104" i="3"/>
  <c r="B2104" i="3"/>
  <c r="A2104" i="3"/>
  <c r="F2103" i="3"/>
  <c r="E2103" i="3"/>
  <c r="D2103" i="3"/>
  <c r="C2103" i="3"/>
  <c r="B2103" i="3"/>
  <c r="A2103" i="3"/>
  <c r="F2102" i="3"/>
  <c r="E2102" i="3"/>
  <c r="D2102" i="3"/>
  <c r="C2102" i="3"/>
  <c r="B2102" i="3"/>
  <c r="A2102" i="3"/>
  <c r="F2101" i="3"/>
  <c r="E2101" i="3"/>
  <c r="D2101" i="3"/>
  <c r="C2101" i="3"/>
  <c r="B2101" i="3"/>
  <c r="A2101" i="3"/>
  <c r="F2100" i="3"/>
  <c r="E2100" i="3"/>
  <c r="D2100" i="3"/>
  <c r="C2100" i="3"/>
  <c r="B2100" i="3"/>
  <c r="A2100" i="3"/>
  <c r="F2099" i="3"/>
  <c r="E2099" i="3"/>
  <c r="D2099" i="3"/>
  <c r="C2099" i="3"/>
  <c r="B2099" i="3"/>
  <c r="A2099" i="3"/>
  <c r="F2098" i="3"/>
  <c r="E2098" i="3"/>
  <c r="D2098" i="3"/>
  <c r="C2098" i="3"/>
  <c r="B2098" i="3"/>
  <c r="A2098" i="3"/>
  <c r="F2097" i="3"/>
  <c r="E2097" i="3"/>
  <c r="D2097" i="3"/>
  <c r="C2097" i="3"/>
  <c r="B2097" i="3"/>
  <c r="A2097" i="3"/>
  <c r="F2096" i="3"/>
  <c r="E2096" i="3"/>
  <c r="D2096" i="3"/>
  <c r="C2096" i="3"/>
  <c r="B2096" i="3"/>
  <c r="A2096" i="3"/>
  <c r="F2095" i="3"/>
  <c r="E2095" i="3"/>
  <c r="D2095" i="3"/>
  <c r="C2095" i="3"/>
  <c r="B2095" i="3"/>
  <c r="A2095" i="3"/>
  <c r="F2094" i="3"/>
  <c r="E2094" i="3"/>
  <c r="D2094" i="3"/>
  <c r="C2094" i="3"/>
  <c r="B2094" i="3"/>
  <c r="A2094" i="3"/>
  <c r="F2093" i="3"/>
  <c r="E2093" i="3"/>
  <c r="D2093" i="3"/>
  <c r="C2093" i="3"/>
  <c r="B2093" i="3"/>
  <c r="A2093" i="3"/>
  <c r="F2092" i="3"/>
  <c r="E2092" i="3"/>
  <c r="D2092" i="3"/>
  <c r="C2092" i="3"/>
  <c r="B2092" i="3"/>
  <c r="A2092" i="3"/>
  <c r="F2091" i="3"/>
  <c r="E2091" i="3"/>
  <c r="D2091" i="3"/>
  <c r="C2091" i="3"/>
  <c r="B2091" i="3"/>
  <c r="A2091" i="3"/>
  <c r="F2090" i="3"/>
  <c r="E2090" i="3"/>
  <c r="D2090" i="3"/>
  <c r="C2090" i="3"/>
  <c r="B2090" i="3"/>
  <c r="A2090" i="3"/>
  <c r="F2089" i="3"/>
  <c r="E2089" i="3"/>
  <c r="D2089" i="3"/>
  <c r="C2089" i="3"/>
  <c r="B2089" i="3"/>
  <c r="A2089" i="3"/>
  <c r="F2088" i="3"/>
  <c r="E2088" i="3"/>
  <c r="D2088" i="3"/>
  <c r="C2088" i="3"/>
  <c r="B2088" i="3"/>
  <c r="A2088" i="3"/>
  <c r="F2087" i="3"/>
  <c r="E2087" i="3"/>
  <c r="D2087" i="3"/>
  <c r="C2087" i="3"/>
  <c r="B2087" i="3"/>
  <c r="A2087" i="3"/>
  <c r="F2086" i="3"/>
  <c r="E2086" i="3"/>
  <c r="D2086" i="3"/>
  <c r="C2086" i="3"/>
  <c r="B2086" i="3"/>
  <c r="A2086" i="3"/>
  <c r="F2085" i="3"/>
  <c r="E2085" i="3"/>
  <c r="D2085" i="3"/>
  <c r="C2085" i="3"/>
  <c r="B2085" i="3"/>
  <c r="A2085" i="3"/>
  <c r="F2084" i="3"/>
  <c r="E2084" i="3"/>
  <c r="D2084" i="3"/>
  <c r="C2084" i="3"/>
  <c r="B2084" i="3"/>
  <c r="A2084" i="3"/>
  <c r="F2083" i="3"/>
  <c r="E2083" i="3"/>
  <c r="D2083" i="3"/>
  <c r="C2083" i="3"/>
  <c r="B2083" i="3"/>
  <c r="A2083" i="3"/>
  <c r="F2082" i="3"/>
  <c r="E2082" i="3"/>
  <c r="D2082" i="3"/>
  <c r="C2082" i="3"/>
  <c r="B2082" i="3"/>
  <c r="A2082" i="3"/>
  <c r="F2081" i="3"/>
  <c r="E2081" i="3"/>
  <c r="D2081" i="3"/>
  <c r="C2081" i="3"/>
  <c r="B2081" i="3"/>
  <c r="A2081" i="3"/>
  <c r="F2080" i="3"/>
  <c r="E2080" i="3"/>
  <c r="D2080" i="3"/>
  <c r="C2080" i="3"/>
  <c r="B2080" i="3"/>
  <c r="A2080" i="3"/>
  <c r="F2079" i="3"/>
  <c r="E2079" i="3"/>
  <c r="D2079" i="3"/>
  <c r="C2079" i="3"/>
  <c r="B2079" i="3"/>
  <c r="A2079" i="3"/>
  <c r="F2078" i="3"/>
  <c r="E2078" i="3"/>
  <c r="D2078" i="3"/>
  <c r="C2078" i="3"/>
  <c r="B2078" i="3"/>
  <c r="A2078" i="3"/>
  <c r="F2077" i="3"/>
  <c r="E2077" i="3"/>
  <c r="D2077" i="3"/>
  <c r="C2077" i="3"/>
  <c r="B2077" i="3"/>
  <c r="A2077" i="3"/>
  <c r="F2076" i="3"/>
  <c r="E2076" i="3"/>
  <c r="D2076" i="3"/>
  <c r="C2076" i="3"/>
  <c r="B2076" i="3"/>
  <c r="A2076" i="3"/>
  <c r="F2075" i="3"/>
  <c r="E2075" i="3"/>
  <c r="D2075" i="3"/>
  <c r="C2075" i="3"/>
  <c r="B2075" i="3"/>
  <c r="A2075" i="3"/>
  <c r="F2074" i="3"/>
  <c r="E2074" i="3"/>
  <c r="D2074" i="3"/>
  <c r="C2074" i="3"/>
  <c r="B2074" i="3"/>
  <c r="A2074" i="3"/>
  <c r="F2073" i="3"/>
  <c r="E2073" i="3"/>
  <c r="D2073" i="3"/>
  <c r="C2073" i="3"/>
  <c r="B2073" i="3"/>
  <c r="A2073" i="3"/>
  <c r="F2072" i="3"/>
  <c r="E2072" i="3"/>
  <c r="D2072" i="3"/>
  <c r="C2072" i="3"/>
  <c r="B2072" i="3"/>
  <c r="A2072" i="3"/>
  <c r="F2071" i="3"/>
  <c r="E2071" i="3"/>
  <c r="D2071" i="3"/>
  <c r="C2071" i="3"/>
  <c r="B2071" i="3"/>
  <c r="A2071" i="3"/>
  <c r="F2070" i="3"/>
  <c r="E2070" i="3"/>
  <c r="D2070" i="3"/>
  <c r="C2070" i="3"/>
  <c r="B2070" i="3"/>
  <c r="A2070" i="3"/>
  <c r="F2069" i="3"/>
  <c r="E2069" i="3"/>
  <c r="D2069" i="3"/>
  <c r="C2069" i="3"/>
  <c r="B2069" i="3"/>
  <c r="A2069" i="3"/>
  <c r="F2068" i="3"/>
  <c r="E2068" i="3"/>
  <c r="D2068" i="3"/>
  <c r="C2068" i="3"/>
  <c r="B2068" i="3"/>
  <c r="A2068" i="3"/>
  <c r="F2067" i="3"/>
  <c r="E2067" i="3"/>
  <c r="D2067" i="3"/>
  <c r="C2067" i="3"/>
  <c r="B2067" i="3"/>
  <c r="A2067" i="3"/>
  <c r="F2066" i="3"/>
  <c r="E2066" i="3"/>
  <c r="D2066" i="3"/>
  <c r="C2066" i="3"/>
  <c r="B2066" i="3"/>
  <c r="A2066" i="3"/>
  <c r="F2065" i="3"/>
  <c r="E2065" i="3"/>
  <c r="D2065" i="3"/>
  <c r="C2065" i="3"/>
  <c r="B2065" i="3"/>
  <c r="A2065" i="3"/>
  <c r="F2064" i="3"/>
  <c r="E2064" i="3"/>
  <c r="D2064" i="3"/>
  <c r="C2064" i="3"/>
  <c r="B2064" i="3"/>
  <c r="A2064" i="3"/>
  <c r="F2063" i="3"/>
  <c r="E2063" i="3"/>
  <c r="D2063" i="3"/>
  <c r="C2063" i="3"/>
  <c r="B2063" i="3"/>
  <c r="A2063" i="3"/>
  <c r="F2062" i="3"/>
  <c r="E2062" i="3"/>
  <c r="D2062" i="3"/>
  <c r="C2062" i="3"/>
  <c r="B2062" i="3"/>
  <c r="A2062" i="3"/>
  <c r="F2061" i="3"/>
  <c r="E2061" i="3"/>
  <c r="D2061" i="3"/>
  <c r="C2061" i="3"/>
  <c r="B2061" i="3"/>
  <c r="A2061" i="3"/>
  <c r="F2060" i="3"/>
  <c r="E2060" i="3"/>
  <c r="D2060" i="3"/>
  <c r="C2060" i="3"/>
  <c r="B2060" i="3"/>
  <c r="A2060" i="3"/>
  <c r="F2059" i="3"/>
  <c r="E2059" i="3"/>
  <c r="D2059" i="3"/>
  <c r="C2059" i="3"/>
  <c r="B2059" i="3"/>
  <c r="A2059" i="3"/>
  <c r="F2058" i="3"/>
  <c r="E2058" i="3"/>
  <c r="D2058" i="3"/>
  <c r="C2058" i="3"/>
  <c r="B2058" i="3"/>
  <c r="A2058" i="3"/>
  <c r="F2057" i="3"/>
  <c r="E2057" i="3"/>
  <c r="D2057" i="3"/>
  <c r="C2057" i="3"/>
  <c r="B2057" i="3"/>
  <c r="A2057" i="3"/>
  <c r="F2056" i="3"/>
  <c r="E2056" i="3"/>
  <c r="D2056" i="3"/>
  <c r="C2056" i="3"/>
  <c r="B2056" i="3"/>
  <c r="A2056" i="3"/>
  <c r="F2055" i="3"/>
  <c r="E2055" i="3"/>
  <c r="D2055" i="3"/>
  <c r="C2055" i="3"/>
  <c r="B2055" i="3"/>
  <c r="A2055" i="3"/>
  <c r="F2054" i="3"/>
  <c r="E2054" i="3"/>
  <c r="D2054" i="3"/>
  <c r="C2054" i="3"/>
  <c r="B2054" i="3"/>
  <c r="A2054" i="3"/>
  <c r="F2053" i="3"/>
  <c r="E2053" i="3"/>
  <c r="D2053" i="3"/>
  <c r="C2053" i="3"/>
  <c r="B2053" i="3"/>
  <c r="A2053" i="3"/>
  <c r="F2052" i="3"/>
  <c r="E2052" i="3"/>
  <c r="D2052" i="3"/>
  <c r="C2052" i="3"/>
  <c r="B2052" i="3"/>
  <c r="A2052" i="3"/>
  <c r="F2051" i="3"/>
  <c r="E2051" i="3"/>
  <c r="D2051" i="3"/>
  <c r="C2051" i="3"/>
  <c r="B2051" i="3"/>
  <c r="A2051" i="3"/>
  <c r="F2050" i="3"/>
  <c r="E2050" i="3"/>
  <c r="D2050" i="3"/>
  <c r="C2050" i="3"/>
  <c r="B2050" i="3"/>
  <c r="A2050" i="3"/>
  <c r="F2049" i="3"/>
  <c r="E2049" i="3"/>
  <c r="D2049" i="3"/>
  <c r="C2049" i="3"/>
  <c r="B2049" i="3"/>
  <c r="A2049" i="3"/>
  <c r="F2048" i="3"/>
  <c r="E2048" i="3"/>
  <c r="D2048" i="3"/>
  <c r="C2048" i="3"/>
  <c r="B2048" i="3"/>
  <c r="A2048" i="3"/>
  <c r="F2047" i="3"/>
  <c r="E2047" i="3"/>
  <c r="D2047" i="3"/>
  <c r="C2047" i="3"/>
  <c r="B2047" i="3"/>
  <c r="A2047" i="3"/>
  <c r="F2046" i="3"/>
  <c r="E2046" i="3"/>
  <c r="D2046" i="3"/>
  <c r="C2046" i="3"/>
  <c r="B2046" i="3"/>
  <c r="A2046" i="3"/>
  <c r="F2045" i="3"/>
  <c r="E2045" i="3"/>
  <c r="D2045" i="3"/>
  <c r="C2045" i="3"/>
  <c r="B2045" i="3"/>
  <c r="A2045" i="3"/>
  <c r="F2044" i="3"/>
  <c r="E2044" i="3"/>
  <c r="D2044" i="3"/>
  <c r="C2044" i="3"/>
  <c r="B2044" i="3"/>
  <c r="A2044" i="3"/>
  <c r="F2043" i="3"/>
  <c r="E2043" i="3"/>
  <c r="D2043" i="3"/>
  <c r="C2043" i="3"/>
  <c r="B2043" i="3"/>
  <c r="A2043" i="3"/>
  <c r="F2042" i="3"/>
  <c r="E2042" i="3"/>
  <c r="D2042" i="3"/>
  <c r="C2042" i="3"/>
  <c r="B2042" i="3"/>
  <c r="A2042" i="3"/>
  <c r="F2041" i="3"/>
  <c r="E2041" i="3"/>
  <c r="D2041" i="3"/>
  <c r="C2041" i="3"/>
  <c r="B2041" i="3"/>
  <c r="A2041" i="3"/>
  <c r="F2040" i="3"/>
  <c r="E2040" i="3"/>
  <c r="D2040" i="3"/>
  <c r="C2040" i="3"/>
  <c r="B2040" i="3"/>
  <c r="A2040" i="3"/>
  <c r="F2039" i="3"/>
  <c r="E2039" i="3"/>
  <c r="D2039" i="3"/>
  <c r="C2039" i="3"/>
  <c r="B2039" i="3"/>
  <c r="A2039" i="3"/>
  <c r="F2038" i="3"/>
  <c r="E2038" i="3"/>
  <c r="D2038" i="3"/>
  <c r="C2038" i="3"/>
  <c r="B2038" i="3"/>
  <c r="A2038" i="3"/>
  <c r="F2037" i="3"/>
  <c r="E2037" i="3"/>
  <c r="D2037" i="3"/>
  <c r="C2037" i="3"/>
  <c r="B2037" i="3"/>
  <c r="A2037" i="3"/>
  <c r="F2036" i="3"/>
  <c r="E2036" i="3"/>
  <c r="D2036" i="3"/>
  <c r="C2036" i="3"/>
  <c r="B2036" i="3"/>
  <c r="A2036" i="3"/>
  <c r="F2035" i="3"/>
  <c r="E2035" i="3"/>
  <c r="D2035" i="3"/>
  <c r="C2035" i="3"/>
  <c r="B2035" i="3"/>
  <c r="A2035" i="3"/>
  <c r="F2034" i="3"/>
  <c r="E2034" i="3"/>
  <c r="D2034" i="3"/>
  <c r="C2034" i="3"/>
  <c r="B2034" i="3"/>
  <c r="A2034" i="3"/>
  <c r="F2033" i="3"/>
  <c r="E2033" i="3"/>
  <c r="D2033" i="3"/>
  <c r="C2033" i="3"/>
  <c r="B2033" i="3"/>
  <c r="A2033" i="3"/>
  <c r="F2032" i="3"/>
  <c r="E2032" i="3"/>
  <c r="D2032" i="3"/>
  <c r="C2032" i="3"/>
  <c r="B2032" i="3"/>
  <c r="A2032" i="3"/>
  <c r="F2031" i="3"/>
  <c r="E2031" i="3"/>
  <c r="D2031" i="3"/>
  <c r="C2031" i="3"/>
  <c r="B2031" i="3"/>
  <c r="A2031" i="3"/>
  <c r="F2030" i="3"/>
  <c r="E2030" i="3"/>
  <c r="D2030" i="3"/>
  <c r="C2030" i="3"/>
  <c r="B2030" i="3"/>
  <c r="A2030" i="3"/>
  <c r="F2029" i="3"/>
  <c r="E2029" i="3"/>
  <c r="D2029" i="3"/>
  <c r="C2029" i="3"/>
  <c r="B2029" i="3"/>
  <c r="A2029" i="3"/>
  <c r="F2028" i="3"/>
  <c r="E2028" i="3"/>
  <c r="D2028" i="3"/>
  <c r="C2028" i="3"/>
  <c r="B2028" i="3"/>
  <c r="A2028" i="3"/>
  <c r="F2027" i="3"/>
  <c r="E2027" i="3"/>
  <c r="D2027" i="3"/>
  <c r="C2027" i="3"/>
  <c r="B2027" i="3"/>
  <c r="A2027" i="3"/>
  <c r="F2026" i="3"/>
  <c r="E2026" i="3"/>
  <c r="D2026" i="3"/>
  <c r="C2026" i="3"/>
  <c r="B2026" i="3"/>
  <c r="A2026" i="3"/>
  <c r="F2025" i="3"/>
  <c r="E2025" i="3"/>
  <c r="D2025" i="3"/>
  <c r="C2025" i="3"/>
  <c r="B2025" i="3"/>
  <c r="A2025" i="3"/>
  <c r="F2024" i="3"/>
  <c r="E2024" i="3"/>
  <c r="D2024" i="3"/>
  <c r="C2024" i="3"/>
  <c r="B2024" i="3"/>
  <c r="A2024" i="3"/>
  <c r="F2023" i="3"/>
  <c r="E2023" i="3"/>
  <c r="D2023" i="3"/>
  <c r="C2023" i="3"/>
  <c r="B2023" i="3"/>
  <c r="A2023" i="3"/>
  <c r="F2022" i="3"/>
  <c r="E2022" i="3"/>
  <c r="D2022" i="3"/>
  <c r="C2022" i="3"/>
  <c r="B2022" i="3"/>
  <c r="A2022" i="3"/>
  <c r="F2021" i="3"/>
  <c r="E2021" i="3"/>
  <c r="D2021" i="3"/>
  <c r="C2021" i="3"/>
  <c r="B2021" i="3"/>
  <c r="A2021" i="3"/>
  <c r="F2020" i="3"/>
  <c r="E2020" i="3"/>
  <c r="D2020" i="3"/>
  <c r="C2020" i="3"/>
  <c r="B2020" i="3"/>
  <c r="A2020" i="3"/>
  <c r="F2019" i="3"/>
  <c r="E2019" i="3"/>
  <c r="D2019" i="3"/>
  <c r="C2019" i="3"/>
  <c r="B2019" i="3"/>
  <c r="A2019" i="3"/>
  <c r="F2018" i="3"/>
  <c r="E2018" i="3"/>
  <c r="D2018" i="3"/>
  <c r="C2018" i="3"/>
  <c r="B2018" i="3"/>
  <c r="A2018" i="3"/>
  <c r="F2017" i="3"/>
  <c r="E2017" i="3"/>
  <c r="D2017" i="3"/>
  <c r="C2017" i="3"/>
  <c r="B2017" i="3"/>
  <c r="A2017" i="3"/>
  <c r="F2016" i="3"/>
  <c r="E2016" i="3"/>
  <c r="D2016" i="3"/>
  <c r="C2016" i="3"/>
  <c r="B2016" i="3"/>
  <c r="A2016" i="3"/>
  <c r="F2015" i="3"/>
  <c r="E2015" i="3"/>
  <c r="D2015" i="3"/>
  <c r="C2015" i="3"/>
  <c r="B2015" i="3"/>
  <c r="A2015" i="3"/>
  <c r="F2014" i="3"/>
  <c r="E2014" i="3"/>
  <c r="D2014" i="3"/>
  <c r="C2014" i="3"/>
  <c r="B2014" i="3"/>
  <c r="A2014" i="3"/>
  <c r="F2013" i="3"/>
  <c r="E2013" i="3"/>
  <c r="D2013" i="3"/>
  <c r="C2013" i="3"/>
  <c r="B2013" i="3"/>
  <c r="A2013" i="3"/>
  <c r="F2012" i="3"/>
  <c r="E2012" i="3"/>
  <c r="D2012" i="3"/>
  <c r="C2012" i="3"/>
  <c r="B2012" i="3"/>
  <c r="A2012" i="3"/>
  <c r="F2011" i="3"/>
  <c r="E2011" i="3"/>
  <c r="D2011" i="3"/>
  <c r="C2011" i="3"/>
  <c r="B2011" i="3"/>
  <c r="A2011" i="3"/>
  <c r="F2010" i="3"/>
  <c r="E2010" i="3"/>
  <c r="D2010" i="3"/>
  <c r="C2010" i="3"/>
  <c r="B2010" i="3"/>
  <c r="A2010" i="3"/>
  <c r="F2009" i="3"/>
  <c r="E2009" i="3"/>
  <c r="D2009" i="3"/>
  <c r="C2009" i="3"/>
  <c r="B2009" i="3"/>
  <c r="A2009" i="3"/>
  <c r="F2008" i="3"/>
  <c r="E2008" i="3"/>
  <c r="D2008" i="3"/>
  <c r="C2008" i="3"/>
  <c r="B2008" i="3"/>
  <c r="A2008" i="3"/>
  <c r="F2007" i="3"/>
  <c r="E2007" i="3"/>
  <c r="D2007" i="3"/>
  <c r="C2007" i="3"/>
  <c r="B2007" i="3"/>
  <c r="A2007" i="3"/>
  <c r="F2006" i="3"/>
  <c r="E2006" i="3"/>
  <c r="D2006" i="3"/>
  <c r="C2006" i="3"/>
  <c r="B2006" i="3"/>
  <c r="A2006" i="3"/>
  <c r="F2005" i="3"/>
  <c r="E2005" i="3"/>
  <c r="D2005" i="3"/>
  <c r="C2005" i="3"/>
  <c r="B2005" i="3"/>
  <c r="A2005" i="3"/>
  <c r="F2004" i="3"/>
  <c r="E2004" i="3"/>
  <c r="D2004" i="3"/>
  <c r="C2004" i="3"/>
  <c r="B2004" i="3"/>
  <c r="A2004" i="3"/>
  <c r="F2003" i="3"/>
  <c r="E2003" i="3"/>
  <c r="D2003" i="3"/>
  <c r="C2003" i="3"/>
  <c r="B2003" i="3"/>
  <c r="A2003" i="3"/>
  <c r="F2002" i="3"/>
  <c r="E2002" i="3"/>
  <c r="D2002" i="3"/>
  <c r="C2002" i="3"/>
  <c r="B2002" i="3"/>
  <c r="A2002" i="3"/>
  <c r="F2001" i="3"/>
  <c r="E2001" i="3"/>
  <c r="D2001" i="3"/>
  <c r="C2001" i="3"/>
  <c r="B2001" i="3"/>
  <c r="A2001" i="3"/>
  <c r="F2000" i="3"/>
  <c r="E2000" i="3"/>
  <c r="D2000" i="3"/>
  <c r="C2000" i="3"/>
  <c r="B2000" i="3"/>
  <c r="A2000" i="3"/>
  <c r="F1999" i="3"/>
  <c r="E1999" i="3"/>
  <c r="D1999" i="3"/>
  <c r="C1999" i="3"/>
  <c r="B1999" i="3"/>
  <c r="A1999" i="3"/>
  <c r="F1998" i="3"/>
  <c r="E1998" i="3"/>
  <c r="D1998" i="3"/>
  <c r="C1998" i="3"/>
  <c r="B1998" i="3"/>
  <c r="A1998" i="3"/>
  <c r="F1997" i="3"/>
  <c r="E1997" i="3"/>
  <c r="D1997" i="3"/>
  <c r="C1997" i="3"/>
  <c r="B1997" i="3"/>
  <c r="A1997" i="3"/>
  <c r="F1996" i="3"/>
  <c r="E1996" i="3"/>
  <c r="D1996" i="3"/>
  <c r="C1996" i="3"/>
  <c r="B1996" i="3"/>
  <c r="A1996" i="3"/>
  <c r="F1995" i="3"/>
  <c r="E1995" i="3"/>
  <c r="D1995" i="3"/>
  <c r="C1995" i="3"/>
  <c r="B1995" i="3"/>
  <c r="A1995" i="3"/>
  <c r="F1994" i="3"/>
  <c r="E1994" i="3"/>
  <c r="D1994" i="3"/>
  <c r="C1994" i="3"/>
  <c r="B1994" i="3"/>
  <c r="A1994" i="3"/>
  <c r="F1993" i="3"/>
  <c r="E1993" i="3"/>
  <c r="D1993" i="3"/>
  <c r="C1993" i="3"/>
  <c r="B1993" i="3"/>
  <c r="A1993" i="3"/>
  <c r="F1992" i="3"/>
  <c r="E1992" i="3"/>
  <c r="D1992" i="3"/>
  <c r="C1992" i="3"/>
  <c r="B1992" i="3"/>
  <c r="A1992" i="3"/>
  <c r="F1991" i="3"/>
  <c r="E1991" i="3"/>
  <c r="D1991" i="3"/>
  <c r="C1991" i="3"/>
  <c r="B1991" i="3"/>
  <c r="A1991" i="3"/>
  <c r="F1990" i="3"/>
  <c r="E1990" i="3"/>
  <c r="D1990" i="3"/>
  <c r="C1990" i="3"/>
  <c r="B1990" i="3"/>
  <c r="A1990" i="3"/>
  <c r="F1989" i="3"/>
  <c r="E1989" i="3"/>
  <c r="D1989" i="3"/>
  <c r="C1989" i="3"/>
  <c r="B1989" i="3"/>
  <c r="A1989" i="3"/>
  <c r="F1988" i="3"/>
  <c r="E1988" i="3"/>
  <c r="D1988" i="3"/>
  <c r="C1988" i="3"/>
  <c r="B1988" i="3"/>
  <c r="A1988" i="3"/>
  <c r="F1987" i="3"/>
  <c r="E1987" i="3"/>
  <c r="D1987" i="3"/>
  <c r="C1987" i="3"/>
  <c r="B1987" i="3"/>
  <c r="A1987" i="3"/>
  <c r="F1986" i="3"/>
  <c r="E1986" i="3"/>
  <c r="D1986" i="3"/>
  <c r="C1986" i="3"/>
  <c r="B1986" i="3"/>
  <c r="A1986" i="3"/>
  <c r="F1985" i="3"/>
  <c r="E1985" i="3"/>
  <c r="D1985" i="3"/>
  <c r="C1985" i="3"/>
  <c r="B1985" i="3"/>
  <c r="A1985" i="3"/>
  <c r="F1984" i="3"/>
  <c r="E1984" i="3"/>
  <c r="D1984" i="3"/>
  <c r="C1984" i="3"/>
  <c r="B1984" i="3"/>
  <c r="A1984" i="3"/>
  <c r="F1983" i="3"/>
  <c r="E1983" i="3"/>
  <c r="D1983" i="3"/>
  <c r="C1983" i="3"/>
  <c r="B1983" i="3"/>
  <c r="A1983" i="3"/>
  <c r="F1982" i="3"/>
  <c r="E1982" i="3"/>
  <c r="D1982" i="3"/>
  <c r="C1982" i="3"/>
  <c r="B1982" i="3"/>
  <c r="A1982" i="3"/>
  <c r="F1981" i="3"/>
  <c r="E1981" i="3"/>
  <c r="D1981" i="3"/>
  <c r="C1981" i="3"/>
  <c r="B1981" i="3"/>
  <c r="A1981" i="3"/>
  <c r="F1980" i="3"/>
  <c r="E1980" i="3"/>
  <c r="D1980" i="3"/>
  <c r="C1980" i="3"/>
  <c r="B1980" i="3"/>
  <c r="A1980" i="3"/>
  <c r="F1979" i="3"/>
  <c r="E1979" i="3"/>
  <c r="D1979" i="3"/>
  <c r="C1979" i="3"/>
  <c r="B1979" i="3"/>
  <c r="A1979" i="3"/>
  <c r="F1978" i="3"/>
  <c r="E1978" i="3"/>
  <c r="D1978" i="3"/>
  <c r="C1978" i="3"/>
  <c r="B1978" i="3"/>
  <c r="A1978" i="3"/>
  <c r="F1977" i="3"/>
  <c r="E1977" i="3"/>
  <c r="D1977" i="3"/>
  <c r="C1977" i="3"/>
  <c r="B1977" i="3"/>
  <c r="A1977" i="3"/>
  <c r="F1976" i="3"/>
  <c r="E1976" i="3"/>
  <c r="D1976" i="3"/>
  <c r="C1976" i="3"/>
  <c r="B1976" i="3"/>
  <c r="A1976" i="3"/>
  <c r="F1975" i="3"/>
  <c r="E1975" i="3"/>
  <c r="D1975" i="3"/>
  <c r="C1975" i="3"/>
  <c r="B1975" i="3"/>
  <c r="A1975" i="3"/>
  <c r="F1974" i="3"/>
  <c r="E1974" i="3"/>
  <c r="D1974" i="3"/>
  <c r="C1974" i="3"/>
  <c r="B1974" i="3"/>
  <c r="A1974" i="3"/>
  <c r="F1973" i="3"/>
  <c r="E1973" i="3"/>
  <c r="D1973" i="3"/>
  <c r="C1973" i="3"/>
  <c r="B1973" i="3"/>
  <c r="A1973" i="3"/>
  <c r="F1972" i="3"/>
  <c r="E1972" i="3"/>
  <c r="D1972" i="3"/>
  <c r="C1972" i="3"/>
  <c r="B1972" i="3"/>
  <c r="A1972" i="3"/>
  <c r="F1971" i="3"/>
  <c r="E1971" i="3"/>
  <c r="D1971" i="3"/>
  <c r="C1971" i="3"/>
  <c r="B1971" i="3"/>
  <c r="A1971" i="3"/>
  <c r="F1970" i="3"/>
  <c r="E1970" i="3"/>
  <c r="D1970" i="3"/>
  <c r="C1970" i="3"/>
  <c r="B1970" i="3"/>
  <c r="A1970" i="3"/>
  <c r="F1969" i="3"/>
  <c r="E1969" i="3"/>
  <c r="D1969" i="3"/>
  <c r="C1969" i="3"/>
  <c r="B1969" i="3"/>
  <c r="A1969" i="3"/>
  <c r="F1968" i="3"/>
  <c r="E1968" i="3"/>
  <c r="D1968" i="3"/>
  <c r="C1968" i="3"/>
  <c r="B1968" i="3"/>
  <c r="A1968" i="3"/>
  <c r="F1967" i="3"/>
  <c r="E1967" i="3"/>
  <c r="D1967" i="3"/>
  <c r="C1967" i="3"/>
  <c r="B1967" i="3"/>
  <c r="A1967" i="3"/>
  <c r="F1966" i="3"/>
  <c r="E1966" i="3"/>
  <c r="D1966" i="3"/>
  <c r="C1966" i="3"/>
  <c r="B1966" i="3"/>
  <c r="A1966" i="3"/>
  <c r="F1965" i="3"/>
  <c r="E1965" i="3"/>
  <c r="D1965" i="3"/>
  <c r="C1965" i="3"/>
  <c r="B1965" i="3"/>
  <c r="A1965" i="3"/>
  <c r="F1964" i="3"/>
  <c r="E1964" i="3"/>
  <c r="D1964" i="3"/>
  <c r="C1964" i="3"/>
  <c r="B1964" i="3"/>
  <c r="A1964" i="3"/>
  <c r="F1963" i="3"/>
  <c r="E1963" i="3"/>
  <c r="D1963" i="3"/>
  <c r="C1963" i="3"/>
  <c r="B1963" i="3"/>
  <c r="A1963" i="3"/>
  <c r="F1962" i="3"/>
  <c r="E1962" i="3"/>
  <c r="D1962" i="3"/>
  <c r="C1962" i="3"/>
  <c r="B1962" i="3"/>
  <c r="A1962" i="3"/>
  <c r="F1961" i="3"/>
  <c r="E1961" i="3"/>
  <c r="D1961" i="3"/>
  <c r="C1961" i="3"/>
  <c r="B1961" i="3"/>
  <c r="A1961" i="3"/>
  <c r="F1960" i="3"/>
  <c r="E1960" i="3"/>
  <c r="D1960" i="3"/>
  <c r="C1960" i="3"/>
  <c r="B1960" i="3"/>
  <c r="A1960" i="3"/>
  <c r="F1959" i="3"/>
  <c r="E1959" i="3"/>
  <c r="D1959" i="3"/>
  <c r="C1959" i="3"/>
  <c r="B1959" i="3"/>
  <c r="A1959" i="3"/>
  <c r="F1958" i="3"/>
  <c r="E1958" i="3"/>
  <c r="D1958" i="3"/>
  <c r="C1958" i="3"/>
  <c r="B1958" i="3"/>
  <c r="A1958" i="3"/>
  <c r="F1957" i="3"/>
  <c r="E1957" i="3"/>
  <c r="D1957" i="3"/>
  <c r="C1957" i="3"/>
  <c r="B1957" i="3"/>
  <c r="A1957" i="3"/>
  <c r="F1956" i="3"/>
  <c r="E1956" i="3"/>
  <c r="D1956" i="3"/>
  <c r="C1956" i="3"/>
  <c r="B1956" i="3"/>
  <c r="A1956" i="3"/>
  <c r="F1955" i="3"/>
  <c r="E1955" i="3"/>
  <c r="D1955" i="3"/>
  <c r="C1955" i="3"/>
  <c r="B1955" i="3"/>
  <c r="A1955" i="3"/>
  <c r="F1954" i="3"/>
  <c r="E1954" i="3"/>
  <c r="D1954" i="3"/>
  <c r="C1954" i="3"/>
  <c r="B1954" i="3"/>
  <c r="A1954" i="3"/>
  <c r="F1953" i="3"/>
  <c r="E1953" i="3"/>
  <c r="D1953" i="3"/>
  <c r="C1953" i="3"/>
  <c r="B1953" i="3"/>
  <c r="A1953" i="3"/>
  <c r="F1952" i="3"/>
  <c r="E1952" i="3"/>
  <c r="D1952" i="3"/>
  <c r="C1952" i="3"/>
  <c r="B1952" i="3"/>
  <c r="A1952" i="3"/>
  <c r="F1951" i="3"/>
  <c r="E1951" i="3"/>
  <c r="D1951" i="3"/>
  <c r="C1951" i="3"/>
  <c r="B1951" i="3"/>
  <c r="A1951" i="3"/>
  <c r="F1950" i="3"/>
  <c r="E1950" i="3"/>
  <c r="D1950" i="3"/>
  <c r="C1950" i="3"/>
  <c r="B1950" i="3"/>
  <c r="A1950" i="3"/>
  <c r="F1949" i="3"/>
  <c r="E1949" i="3"/>
  <c r="D1949" i="3"/>
  <c r="C1949" i="3"/>
  <c r="B1949" i="3"/>
  <c r="A1949" i="3"/>
  <c r="F1948" i="3"/>
  <c r="E1948" i="3"/>
  <c r="D1948" i="3"/>
  <c r="C1948" i="3"/>
  <c r="B1948" i="3"/>
  <c r="A1948" i="3"/>
  <c r="F1947" i="3"/>
  <c r="E1947" i="3"/>
  <c r="D1947" i="3"/>
  <c r="C1947" i="3"/>
  <c r="B1947" i="3"/>
  <c r="A1947" i="3"/>
  <c r="F1946" i="3"/>
  <c r="E1946" i="3"/>
  <c r="D1946" i="3"/>
  <c r="C1946" i="3"/>
  <c r="B1946" i="3"/>
  <c r="A1946" i="3"/>
  <c r="F1945" i="3"/>
  <c r="E1945" i="3"/>
  <c r="D1945" i="3"/>
  <c r="C1945" i="3"/>
  <c r="B1945" i="3"/>
  <c r="A1945" i="3"/>
  <c r="F1944" i="3"/>
  <c r="E1944" i="3"/>
  <c r="D1944" i="3"/>
  <c r="C1944" i="3"/>
  <c r="B1944" i="3"/>
  <c r="A1944" i="3"/>
  <c r="F1943" i="3"/>
  <c r="E1943" i="3"/>
  <c r="D1943" i="3"/>
  <c r="C1943" i="3"/>
  <c r="B1943" i="3"/>
  <c r="A1943" i="3"/>
  <c r="F1942" i="3"/>
  <c r="E1942" i="3"/>
  <c r="D1942" i="3"/>
  <c r="C1942" i="3"/>
  <c r="B1942" i="3"/>
  <c r="A1942" i="3"/>
  <c r="F1941" i="3"/>
  <c r="E1941" i="3"/>
  <c r="D1941" i="3"/>
  <c r="C1941" i="3"/>
  <c r="B1941" i="3"/>
  <c r="A1941" i="3"/>
  <c r="F1940" i="3"/>
  <c r="E1940" i="3"/>
  <c r="D1940" i="3"/>
  <c r="C1940" i="3"/>
  <c r="B1940" i="3"/>
  <c r="A1940" i="3"/>
  <c r="F1939" i="3"/>
  <c r="E1939" i="3"/>
  <c r="D1939" i="3"/>
  <c r="C1939" i="3"/>
  <c r="B1939" i="3"/>
  <c r="A1939" i="3"/>
  <c r="F1938" i="3"/>
  <c r="E1938" i="3"/>
  <c r="D1938" i="3"/>
  <c r="C1938" i="3"/>
  <c r="B1938" i="3"/>
  <c r="A1938" i="3"/>
  <c r="F1937" i="3"/>
  <c r="E1937" i="3"/>
  <c r="D1937" i="3"/>
  <c r="C1937" i="3"/>
  <c r="B1937" i="3"/>
  <c r="A1937" i="3"/>
  <c r="F1936" i="3"/>
  <c r="E1936" i="3"/>
  <c r="D1936" i="3"/>
  <c r="C1936" i="3"/>
  <c r="B1936" i="3"/>
  <c r="A1936" i="3"/>
  <c r="F1935" i="3"/>
  <c r="E1935" i="3"/>
  <c r="D1935" i="3"/>
  <c r="C1935" i="3"/>
  <c r="B1935" i="3"/>
  <c r="A1935" i="3"/>
  <c r="F1934" i="3"/>
  <c r="E1934" i="3"/>
  <c r="D1934" i="3"/>
  <c r="C1934" i="3"/>
  <c r="B1934" i="3"/>
  <c r="A1934" i="3"/>
  <c r="F1933" i="3"/>
  <c r="E1933" i="3"/>
  <c r="D1933" i="3"/>
  <c r="C1933" i="3"/>
  <c r="B1933" i="3"/>
  <c r="A1933" i="3"/>
  <c r="F1932" i="3"/>
  <c r="E1932" i="3"/>
  <c r="D1932" i="3"/>
  <c r="C1932" i="3"/>
  <c r="B1932" i="3"/>
  <c r="A1932" i="3"/>
  <c r="F1931" i="3"/>
  <c r="E1931" i="3"/>
  <c r="D1931" i="3"/>
  <c r="C1931" i="3"/>
  <c r="B1931" i="3"/>
  <c r="A1931" i="3"/>
  <c r="F1930" i="3"/>
  <c r="E1930" i="3"/>
  <c r="D1930" i="3"/>
  <c r="C1930" i="3"/>
  <c r="B1930" i="3"/>
  <c r="A1930" i="3"/>
  <c r="F1929" i="3"/>
  <c r="E1929" i="3"/>
  <c r="D1929" i="3"/>
  <c r="C1929" i="3"/>
  <c r="B1929" i="3"/>
  <c r="A1929" i="3"/>
  <c r="F1928" i="3"/>
  <c r="E1928" i="3"/>
  <c r="D1928" i="3"/>
  <c r="C1928" i="3"/>
  <c r="B1928" i="3"/>
  <c r="A1928" i="3"/>
  <c r="F1927" i="3"/>
  <c r="E1927" i="3"/>
  <c r="D1927" i="3"/>
  <c r="C1927" i="3"/>
  <c r="B1927" i="3"/>
  <c r="A1927" i="3"/>
  <c r="F1926" i="3"/>
  <c r="E1926" i="3"/>
  <c r="D1926" i="3"/>
  <c r="C1926" i="3"/>
  <c r="B1926" i="3"/>
  <c r="A1926" i="3"/>
  <c r="F1925" i="3"/>
  <c r="E1925" i="3"/>
  <c r="D1925" i="3"/>
  <c r="C1925" i="3"/>
  <c r="B1925" i="3"/>
  <c r="A1925" i="3"/>
  <c r="F1924" i="3"/>
  <c r="E1924" i="3"/>
  <c r="D1924" i="3"/>
  <c r="C1924" i="3"/>
  <c r="B1924" i="3"/>
  <c r="A1924" i="3"/>
  <c r="F1923" i="3"/>
  <c r="E1923" i="3"/>
  <c r="D1923" i="3"/>
  <c r="C1923" i="3"/>
  <c r="B1923" i="3"/>
  <c r="A1923" i="3"/>
  <c r="F1922" i="3"/>
  <c r="E1922" i="3"/>
  <c r="D1922" i="3"/>
  <c r="C1922" i="3"/>
  <c r="B1922" i="3"/>
  <c r="A1922" i="3"/>
  <c r="F1921" i="3"/>
  <c r="E1921" i="3"/>
  <c r="D1921" i="3"/>
  <c r="C1921" i="3"/>
  <c r="B1921" i="3"/>
  <c r="A1921" i="3"/>
  <c r="F1920" i="3"/>
  <c r="E1920" i="3"/>
  <c r="D1920" i="3"/>
  <c r="C1920" i="3"/>
  <c r="B1920" i="3"/>
  <c r="A1920" i="3"/>
  <c r="F1919" i="3"/>
  <c r="E1919" i="3"/>
  <c r="D1919" i="3"/>
  <c r="C1919" i="3"/>
  <c r="B1919" i="3"/>
  <c r="A1919" i="3"/>
  <c r="F1918" i="3"/>
  <c r="E1918" i="3"/>
  <c r="D1918" i="3"/>
  <c r="C1918" i="3"/>
  <c r="B1918" i="3"/>
  <c r="A1918" i="3"/>
  <c r="F1917" i="3"/>
  <c r="E1917" i="3"/>
  <c r="D1917" i="3"/>
  <c r="C1917" i="3"/>
  <c r="B1917" i="3"/>
  <c r="A1917" i="3"/>
  <c r="F1916" i="3"/>
  <c r="E1916" i="3"/>
  <c r="D1916" i="3"/>
  <c r="C1916" i="3"/>
  <c r="B1916" i="3"/>
  <c r="A1916" i="3"/>
  <c r="F1915" i="3"/>
  <c r="E1915" i="3"/>
  <c r="D1915" i="3"/>
  <c r="C1915" i="3"/>
  <c r="B1915" i="3"/>
  <c r="A1915" i="3"/>
  <c r="F1914" i="3"/>
  <c r="E1914" i="3"/>
  <c r="D1914" i="3"/>
  <c r="C1914" i="3"/>
  <c r="B1914" i="3"/>
  <c r="A1914" i="3"/>
  <c r="F1913" i="3"/>
  <c r="E1913" i="3"/>
  <c r="D1913" i="3"/>
  <c r="C1913" i="3"/>
  <c r="B1913" i="3"/>
  <c r="A1913" i="3"/>
  <c r="F1912" i="3"/>
  <c r="E1912" i="3"/>
  <c r="D1912" i="3"/>
  <c r="C1912" i="3"/>
  <c r="B1912" i="3"/>
  <c r="A1912" i="3"/>
  <c r="F1911" i="3"/>
  <c r="E1911" i="3"/>
  <c r="D1911" i="3"/>
  <c r="C1911" i="3"/>
  <c r="B1911" i="3"/>
  <c r="A1911" i="3"/>
  <c r="F1910" i="3"/>
  <c r="E1910" i="3"/>
  <c r="D1910" i="3"/>
  <c r="C1910" i="3"/>
  <c r="B1910" i="3"/>
  <c r="A1910" i="3"/>
  <c r="F1909" i="3"/>
  <c r="E1909" i="3"/>
  <c r="D1909" i="3"/>
  <c r="C1909" i="3"/>
  <c r="B1909" i="3"/>
  <c r="A1909" i="3"/>
  <c r="F1908" i="3"/>
  <c r="E1908" i="3"/>
  <c r="D1908" i="3"/>
  <c r="C1908" i="3"/>
  <c r="B1908" i="3"/>
  <c r="A1908" i="3"/>
  <c r="F1907" i="3"/>
  <c r="E1907" i="3"/>
  <c r="D1907" i="3"/>
  <c r="C1907" i="3"/>
  <c r="B1907" i="3"/>
  <c r="A1907" i="3"/>
  <c r="F1906" i="3"/>
  <c r="E1906" i="3"/>
  <c r="D1906" i="3"/>
  <c r="C1906" i="3"/>
  <c r="B1906" i="3"/>
  <c r="A1906" i="3"/>
  <c r="F1905" i="3"/>
  <c r="E1905" i="3"/>
  <c r="D1905" i="3"/>
  <c r="C1905" i="3"/>
  <c r="B1905" i="3"/>
  <c r="A1905" i="3"/>
  <c r="F1904" i="3"/>
  <c r="E1904" i="3"/>
  <c r="D1904" i="3"/>
  <c r="C1904" i="3"/>
  <c r="B1904" i="3"/>
  <c r="A1904" i="3"/>
  <c r="F1903" i="3"/>
  <c r="E1903" i="3"/>
  <c r="D1903" i="3"/>
  <c r="C1903" i="3"/>
  <c r="B1903" i="3"/>
  <c r="A1903" i="3"/>
  <c r="F1902" i="3"/>
  <c r="E1902" i="3"/>
  <c r="D1902" i="3"/>
  <c r="C1902" i="3"/>
  <c r="B1902" i="3"/>
  <c r="A1902" i="3"/>
  <c r="F1901" i="3"/>
  <c r="E1901" i="3"/>
  <c r="D1901" i="3"/>
  <c r="C1901" i="3"/>
  <c r="B1901" i="3"/>
  <c r="A1901" i="3"/>
  <c r="F1900" i="3"/>
  <c r="E1900" i="3"/>
  <c r="D1900" i="3"/>
  <c r="C1900" i="3"/>
  <c r="B1900" i="3"/>
  <c r="A1900" i="3"/>
  <c r="F1899" i="3"/>
  <c r="E1899" i="3"/>
  <c r="D1899" i="3"/>
  <c r="C1899" i="3"/>
  <c r="B1899" i="3"/>
  <c r="A1899" i="3"/>
  <c r="F1898" i="3"/>
  <c r="E1898" i="3"/>
  <c r="D1898" i="3"/>
  <c r="C1898" i="3"/>
  <c r="B1898" i="3"/>
  <c r="A1898" i="3"/>
  <c r="F1897" i="3"/>
  <c r="E1897" i="3"/>
  <c r="D1897" i="3"/>
  <c r="C1897" i="3"/>
  <c r="B1897" i="3"/>
  <c r="A1897" i="3"/>
  <c r="F1896" i="3"/>
  <c r="E1896" i="3"/>
  <c r="D1896" i="3"/>
  <c r="C1896" i="3"/>
  <c r="B1896" i="3"/>
  <c r="A1896" i="3"/>
  <c r="F1895" i="3"/>
  <c r="E1895" i="3"/>
  <c r="D1895" i="3"/>
  <c r="C1895" i="3"/>
  <c r="B1895" i="3"/>
  <c r="A1895" i="3"/>
  <c r="F1894" i="3"/>
  <c r="E1894" i="3"/>
  <c r="D1894" i="3"/>
  <c r="C1894" i="3"/>
  <c r="B1894" i="3"/>
  <c r="A1894" i="3"/>
  <c r="F1893" i="3"/>
  <c r="E1893" i="3"/>
  <c r="D1893" i="3"/>
  <c r="C1893" i="3"/>
  <c r="B1893" i="3"/>
  <c r="A1893" i="3"/>
  <c r="F1892" i="3"/>
  <c r="E1892" i="3"/>
  <c r="D1892" i="3"/>
  <c r="C1892" i="3"/>
  <c r="B1892" i="3"/>
  <c r="A1892" i="3"/>
  <c r="F1891" i="3"/>
  <c r="E1891" i="3"/>
  <c r="D1891" i="3"/>
  <c r="C1891" i="3"/>
  <c r="B1891" i="3"/>
  <c r="A1891" i="3"/>
  <c r="F1890" i="3"/>
  <c r="E1890" i="3"/>
  <c r="D1890" i="3"/>
  <c r="C1890" i="3"/>
  <c r="B1890" i="3"/>
  <c r="A1890" i="3"/>
  <c r="F1889" i="3"/>
  <c r="E1889" i="3"/>
  <c r="D1889" i="3"/>
  <c r="C1889" i="3"/>
  <c r="B1889" i="3"/>
  <c r="A1889" i="3"/>
  <c r="F1888" i="3"/>
  <c r="E1888" i="3"/>
  <c r="D1888" i="3"/>
  <c r="C1888" i="3"/>
  <c r="B1888" i="3"/>
  <c r="A1888" i="3"/>
  <c r="F1887" i="3"/>
  <c r="E1887" i="3"/>
  <c r="D1887" i="3"/>
  <c r="C1887" i="3"/>
  <c r="B1887" i="3"/>
  <c r="A1887" i="3"/>
  <c r="F1886" i="3"/>
  <c r="E1886" i="3"/>
  <c r="D1886" i="3"/>
  <c r="C1886" i="3"/>
  <c r="B1886" i="3"/>
  <c r="A1886" i="3"/>
  <c r="F1885" i="3"/>
  <c r="E1885" i="3"/>
  <c r="D1885" i="3"/>
  <c r="C1885" i="3"/>
  <c r="B1885" i="3"/>
  <c r="A1885" i="3"/>
  <c r="F1884" i="3"/>
  <c r="E1884" i="3"/>
  <c r="D1884" i="3"/>
  <c r="C1884" i="3"/>
  <c r="B1884" i="3"/>
  <c r="A1884" i="3"/>
  <c r="F1883" i="3"/>
  <c r="E1883" i="3"/>
  <c r="D1883" i="3"/>
  <c r="C1883" i="3"/>
  <c r="B1883" i="3"/>
  <c r="A1883" i="3"/>
  <c r="F1882" i="3"/>
  <c r="E1882" i="3"/>
  <c r="D1882" i="3"/>
  <c r="C1882" i="3"/>
  <c r="B1882" i="3"/>
  <c r="A1882" i="3"/>
  <c r="F1881" i="3"/>
  <c r="E1881" i="3"/>
  <c r="D1881" i="3"/>
  <c r="C1881" i="3"/>
  <c r="B1881" i="3"/>
  <c r="A1881" i="3"/>
  <c r="F1880" i="3"/>
  <c r="E1880" i="3"/>
  <c r="D1880" i="3"/>
  <c r="C1880" i="3"/>
  <c r="B1880" i="3"/>
  <c r="A1880" i="3"/>
  <c r="F1879" i="3"/>
  <c r="E1879" i="3"/>
  <c r="D1879" i="3"/>
  <c r="C1879" i="3"/>
  <c r="B1879" i="3"/>
  <c r="A1879" i="3"/>
  <c r="F1878" i="3"/>
  <c r="E1878" i="3"/>
  <c r="D1878" i="3"/>
  <c r="C1878" i="3"/>
  <c r="B1878" i="3"/>
  <c r="A1878" i="3"/>
  <c r="F1877" i="3"/>
  <c r="E1877" i="3"/>
  <c r="D1877" i="3"/>
  <c r="C1877" i="3"/>
  <c r="B1877" i="3"/>
  <c r="A1877" i="3"/>
  <c r="F1876" i="3"/>
  <c r="E1876" i="3"/>
  <c r="D1876" i="3"/>
  <c r="C1876" i="3"/>
  <c r="B1876" i="3"/>
  <c r="A1876" i="3"/>
  <c r="F1875" i="3"/>
  <c r="E1875" i="3"/>
  <c r="D1875" i="3"/>
  <c r="C1875" i="3"/>
  <c r="B1875" i="3"/>
  <c r="A1875" i="3"/>
  <c r="F1874" i="3"/>
  <c r="E1874" i="3"/>
  <c r="D1874" i="3"/>
  <c r="C1874" i="3"/>
  <c r="B1874" i="3"/>
  <c r="A1874" i="3"/>
  <c r="F1873" i="3"/>
  <c r="E1873" i="3"/>
  <c r="D1873" i="3"/>
  <c r="C1873" i="3"/>
  <c r="B1873" i="3"/>
  <c r="A1873" i="3"/>
  <c r="F1872" i="3"/>
  <c r="E1872" i="3"/>
  <c r="D1872" i="3"/>
  <c r="C1872" i="3"/>
  <c r="B1872" i="3"/>
  <c r="A1872" i="3"/>
  <c r="F1871" i="3"/>
  <c r="E1871" i="3"/>
  <c r="D1871" i="3"/>
  <c r="C1871" i="3"/>
  <c r="B1871" i="3"/>
  <c r="A1871" i="3"/>
  <c r="F1870" i="3"/>
  <c r="E1870" i="3"/>
  <c r="D1870" i="3"/>
  <c r="C1870" i="3"/>
  <c r="B1870" i="3"/>
  <c r="A1870" i="3"/>
  <c r="F1869" i="3"/>
  <c r="E1869" i="3"/>
  <c r="D1869" i="3"/>
  <c r="C1869" i="3"/>
  <c r="B1869" i="3"/>
  <c r="A1869" i="3"/>
  <c r="F1868" i="3"/>
  <c r="E1868" i="3"/>
  <c r="D1868" i="3"/>
  <c r="C1868" i="3"/>
  <c r="B1868" i="3"/>
  <c r="A1868" i="3"/>
  <c r="F1867" i="3"/>
  <c r="E1867" i="3"/>
  <c r="D1867" i="3"/>
  <c r="C1867" i="3"/>
  <c r="B1867" i="3"/>
  <c r="A1867" i="3"/>
  <c r="F1866" i="3"/>
  <c r="E1866" i="3"/>
  <c r="D1866" i="3"/>
  <c r="C1866" i="3"/>
  <c r="B1866" i="3"/>
  <c r="A1866" i="3"/>
  <c r="F1865" i="3"/>
  <c r="E1865" i="3"/>
  <c r="D1865" i="3"/>
  <c r="C1865" i="3"/>
  <c r="B1865" i="3"/>
  <c r="A1865" i="3"/>
  <c r="F1864" i="3"/>
  <c r="E1864" i="3"/>
  <c r="D1864" i="3"/>
  <c r="C1864" i="3"/>
  <c r="B1864" i="3"/>
  <c r="A1864" i="3"/>
  <c r="F1863" i="3"/>
  <c r="E1863" i="3"/>
  <c r="D1863" i="3"/>
  <c r="C1863" i="3"/>
  <c r="B1863" i="3"/>
  <c r="A1863" i="3"/>
  <c r="F1862" i="3"/>
  <c r="E1862" i="3"/>
  <c r="D1862" i="3"/>
  <c r="C1862" i="3"/>
  <c r="B1862" i="3"/>
  <c r="A1862" i="3"/>
  <c r="F1861" i="3"/>
  <c r="E1861" i="3"/>
  <c r="D1861" i="3"/>
  <c r="C1861" i="3"/>
  <c r="B1861" i="3"/>
  <c r="A1861" i="3"/>
  <c r="F1860" i="3"/>
  <c r="E1860" i="3"/>
  <c r="D1860" i="3"/>
  <c r="C1860" i="3"/>
  <c r="B1860" i="3"/>
  <c r="A1860" i="3"/>
  <c r="F1859" i="3"/>
  <c r="E1859" i="3"/>
  <c r="D1859" i="3"/>
  <c r="C1859" i="3"/>
  <c r="B1859" i="3"/>
  <c r="A1859" i="3"/>
  <c r="F1858" i="3"/>
  <c r="E1858" i="3"/>
  <c r="D1858" i="3"/>
  <c r="C1858" i="3"/>
  <c r="B1858" i="3"/>
  <c r="A1858" i="3"/>
  <c r="F1857" i="3"/>
  <c r="E1857" i="3"/>
  <c r="D1857" i="3"/>
  <c r="C1857" i="3"/>
  <c r="B1857" i="3"/>
  <c r="A1857" i="3"/>
  <c r="F1856" i="3"/>
  <c r="E1856" i="3"/>
  <c r="D1856" i="3"/>
  <c r="C1856" i="3"/>
  <c r="B1856" i="3"/>
  <c r="A1856" i="3"/>
  <c r="F1855" i="3"/>
  <c r="E1855" i="3"/>
  <c r="D1855" i="3"/>
  <c r="C1855" i="3"/>
  <c r="B1855" i="3"/>
  <c r="A1855" i="3"/>
  <c r="F1854" i="3"/>
  <c r="E1854" i="3"/>
  <c r="D1854" i="3"/>
  <c r="C1854" i="3"/>
  <c r="B1854" i="3"/>
  <c r="A1854" i="3"/>
  <c r="F1853" i="3"/>
  <c r="E1853" i="3"/>
  <c r="D1853" i="3"/>
  <c r="C1853" i="3"/>
  <c r="B1853" i="3"/>
  <c r="A1853" i="3"/>
  <c r="F1852" i="3"/>
  <c r="E1852" i="3"/>
  <c r="D1852" i="3"/>
  <c r="C1852" i="3"/>
  <c r="B1852" i="3"/>
  <c r="A1852" i="3"/>
  <c r="F1851" i="3"/>
  <c r="E1851" i="3"/>
  <c r="D1851" i="3"/>
  <c r="C1851" i="3"/>
  <c r="B1851" i="3"/>
  <c r="A1851" i="3"/>
  <c r="F1850" i="3"/>
  <c r="E1850" i="3"/>
  <c r="D1850" i="3"/>
  <c r="C1850" i="3"/>
  <c r="B1850" i="3"/>
  <c r="A1850" i="3"/>
  <c r="F1849" i="3"/>
  <c r="E1849" i="3"/>
  <c r="D1849" i="3"/>
  <c r="C1849" i="3"/>
  <c r="B1849" i="3"/>
  <c r="A1849" i="3"/>
  <c r="F1848" i="3"/>
  <c r="E1848" i="3"/>
  <c r="D1848" i="3"/>
  <c r="C1848" i="3"/>
  <c r="B1848" i="3"/>
  <c r="A1848" i="3"/>
  <c r="F1847" i="3"/>
  <c r="E1847" i="3"/>
  <c r="D1847" i="3"/>
  <c r="C1847" i="3"/>
  <c r="B1847" i="3"/>
  <c r="A1847" i="3"/>
  <c r="F1846" i="3"/>
  <c r="E1846" i="3"/>
  <c r="D1846" i="3"/>
  <c r="C1846" i="3"/>
  <c r="B1846" i="3"/>
  <c r="A1846" i="3"/>
  <c r="F1845" i="3"/>
  <c r="E1845" i="3"/>
  <c r="D1845" i="3"/>
  <c r="C1845" i="3"/>
  <c r="B1845" i="3"/>
  <c r="A1845" i="3"/>
  <c r="F1844" i="3"/>
  <c r="E1844" i="3"/>
  <c r="D1844" i="3"/>
  <c r="C1844" i="3"/>
  <c r="B1844" i="3"/>
  <c r="A1844" i="3"/>
  <c r="F1843" i="3"/>
  <c r="E1843" i="3"/>
  <c r="D1843" i="3"/>
  <c r="C1843" i="3"/>
  <c r="B1843" i="3"/>
  <c r="A1843" i="3"/>
  <c r="F1842" i="3"/>
  <c r="E1842" i="3"/>
  <c r="D1842" i="3"/>
  <c r="C1842" i="3"/>
  <c r="B1842" i="3"/>
  <c r="A1842" i="3"/>
  <c r="F1841" i="3"/>
  <c r="E1841" i="3"/>
  <c r="D1841" i="3"/>
  <c r="C1841" i="3"/>
  <c r="B1841" i="3"/>
  <c r="A1841" i="3"/>
  <c r="F1840" i="3"/>
  <c r="E1840" i="3"/>
  <c r="D1840" i="3"/>
  <c r="C1840" i="3"/>
  <c r="B1840" i="3"/>
  <c r="A1840" i="3"/>
  <c r="F1839" i="3"/>
  <c r="E1839" i="3"/>
  <c r="D1839" i="3"/>
  <c r="C1839" i="3"/>
  <c r="B1839" i="3"/>
  <c r="A1839" i="3"/>
  <c r="F1838" i="3"/>
  <c r="E1838" i="3"/>
  <c r="D1838" i="3"/>
  <c r="C1838" i="3"/>
  <c r="B1838" i="3"/>
  <c r="A1838" i="3"/>
  <c r="F1837" i="3"/>
  <c r="E1837" i="3"/>
  <c r="D1837" i="3"/>
  <c r="C1837" i="3"/>
  <c r="B1837" i="3"/>
  <c r="A1837" i="3"/>
  <c r="F1836" i="3"/>
  <c r="E1836" i="3"/>
  <c r="D1836" i="3"/>
  <c r="C1836" i="3"/>
  <c r="B1836" i="3"/>
  <c r="A1836" i="3"/>
  <c r="F1835" i="3"/>
  <c r="E1835" i="3"/>
  <c r="D1835" i="3"/>
  <c r="C1835" i="3"/>
  <c r="B1835" i="3"/>
  <c r="A1835" i="3"/>
  <c r="F1834" i="3"/>
  <c r="E1834" i="3"/>
  <c r="D1834" i="3"/>
  <c r="C1834" i="3"/>
  <c r="B1834" i="3"/>
  <c r="A1834" i="3"/>
  <c r="F1833" i="3"/>
  <c r="E1833" i="3"/>
  <c r="D1833" i="3"/>
  <c r="C1833" i="3"/>
  <c r="B1833" i="3"/>
  <c r="A1833" i="3"/>
  <c r="F1832" i="3"/>
  <c r="E1832" i="3"/>
  <c r="D1832" i="3"/>
  <c r="C1832" i="3"/>
  <c r="B1832" i="3"/>
  <c r="A1832" i="3"/>
  <c r="F1831" i="3"/>
  <c r="E1831" i="3"/>
  <c r="D1831" i="3"/>
  <c r="C1831" i="3"/>
  <c r="B1831" i="3"/>
  <c r="A1831" i="3"/>
  <c r="F1830" i="3"/>
  <c r="E1830" i="3"/>
  <c r="D1830" i="3"/>
  <c r="C1830" i="3"/>
  <c r="B1830" i="3"/>
  <c r="A1830" i="3"/>
  <c r="F1829" i="3"/>
  <c r="E1829" i="3"/>
  <c r="D1829" i="3"/>
  <c r="C1829" i="3"/>
  <c r="B1829" i="3"/>
  <c r="A1829" i="3"/>
  <c r="F1828" i="3"/>
  <c r="E1828" i="3"/>
  <c r="D1828" i="3"/>
  <c r="C1828" i="3"/>
  <c r="B1828" i="3"/>
  <c r="A1828" i="3"/>
  <c r="F1827" i="3"/>
  <c r="E1827" i="3"/>
  <c r="D1827" i="3"/>
  <c r="C1827" i="3"/>
  <c r="B1827" i="3"/>
  <c r="A1827" i="3"/>
  <c r="F1826" i="3"/>
  <c r="E1826" i="3"/>
  <c r="D1826" i="3"/>
  <c r="C1826" i="3"/>
  <c r="B1826" i="3"/>
  <c r="A1826" i="3"/>
  <c r="F1825" i="3"/>
  <c r="E1825" i="3"/>
  <c r="D1825" i="3"/>
  <c r="C1825" i="3"/>
  <c r="B1825" i="3"/>
  <c r="A1825" i="3"/>
  <c r="F1824" i="3"/>
  <c r="E1824" i="3"/>
  <c r="D1824" i="3"/>
  <c r="C1824" i="3"/>
  <c r="B1824" i="3"/>
  <c r="A1824" i="3"/>
  <c r="F1823" i="3"/>
  <c r="E1823" i="3"/>
  <c r="D1823" i="3"/>
  <c r="C1823" i="3"/>
  <c r="B1823" i="3"/>
  <c r="A1823" i="3"/>
  <c r="F1822" i="3"/>
  <c r="E1822" i="3"/>
  <c r="D1822" i="3"/>
  <c r="C1822" i="3"/>
  <c r="B1822" i="3"/>
  <c r="A1822" i="3"/>
  <c r="F1821" i="3"/>
  <c r="E1821" i="3"/>
  <c r="D1821" i="3"/>
  <c r="C1821" i="3"/>
  <c r="B1821" i="3"/>
  <c r="A1821" i="3"/>
  <c r="F1820" i="3"/>
  <c r="E1820" i="3"/>
  <c r="D1820" i="3"/>
  <c r="C1820" i="3"/>
  <c r="B1820" i="3"/>
  <c r="A1820" i="3"/>
  <c r="F1819" i="3"/>
  <c r="E1819" i="3"/>
  <c r="D1819" i="3"/>
  <c r="C1819" i="3"/>
  <c r="B1819" i="3"/>
  <c r="A1819" i="3"/>
  <c r="F1818" i="3"/>
  <c r="E1818" i="3"/>
  <c r="D1818" i="3"/>
  <c r="C1818" i="3"/>
  <c r="B1818" i="3"/>
  <c r="A1818" i="3"/>
  <c r="F1817" i="3"/>
  <c r="E1817" i="3"/>
  <c r="D1817" i="3"/>
  <c r="C1817" i="3"/>
  <c r="B1817" i="3"/>
  <c r="A1817" i="3"/>
  <c r="F1816" i="3"/>
  <c r="E1816" i="3"/>
  <c r="D1816" i="3"/>
  <c r="C1816" i="3"/>
  <c r="B1816" i="3"/>
  <c r="A1816" i="3"/>
  <c r="F1815" i="3"/>
  <c r="E1815" i="3"/>
  <c r="D1815" i="3"/>
  <c r="C1815" i="3"/>
  <c r="B1815" i="3"/>
  <c r="A1815" i="3"/>
  <c r="F1814" i="3"/>
  <c r="E1814" i="3"/>
  <c r="D1814" i="3"/>
  <c r="C1814" i="3"/>
  <c r="B1814" i="3"/>
  <c r="A1814" i="3"/>
  <c r="F1813" i="3"/>
  <c r="E1813" i="3"/>
  <c r="D1813" i="3"/>
  <c r="C1813" i="3"/>
  <c r="B1813" i="3"/>
  <c r="A1813" i="3"/>
  <c r="F1812" i="3"/>
  <c r="E1812" i="3"/>
  <c r="D1812" i="3"/>
  <c r="C1812" i="3"/>
  <c r="B1812" i="3"/>
  <c r="A1812" i="3"/>
  <c r="F1811" i="3"/>
  <c r="E1811" i="3"/>
  <c r="D1811" i="3"/>
  <c r="C1811" i="3"/>
  <c r="B1811" i="3"/>
  <c r="A1811" i="3"/>
  <c r="F1810" i="3"/>
  <c r="E1810" i="3"/>
  <c r="D1810" i="3"/>
  <c r="C1810" i="3"/>
  <c r="B1810" i="3"/>
  <c r="A1810" i="3"/>
  <c r="F1809" i="3"/>
  <c r="E1809" i="3"/>
  <c r="D1809" i="3"/>
  <c r="C1809" i="3"/>
  <c r="B1809" i="3"/>
  <c r="A1809" i="3"/>
  <c r="F1808" i="3"/>
  <c r="E1808" i="3"/>
  <c r="D1808" i="3"/>
  <c r="C1808" i="3"/>
  <c r="B1808" i="3"/>
  <c r="A1808" i="3"/>
  <c r="F1807" i="3"/>
  <c r="E1807" i="3"/>
  <c r="D1807" i="3"/>
  <c r="C1807" i="3"/>
  <c r="B1807" i="3"/>
  <c r="A1807" i="3"/>
  <c r="F1806" i="3"/>
  <c r="E1806" i="3"/>
  <c r="D1806" i="3"/>
  <c r="C1806" i="3"/>
  <c r="B1806" i="3"/>
  <c r="A1806" i="3"/>
  <c r="F1805" i="3"/>
  <c r="E1805" i="3"/>
  <c r="D1805" i="3"/>
  <c r="C1805" i="3"/>
  <c r="B1805" i="3"/>
  <c r="A1805" i="3"/>
  <c r="F1804" i="3"/>
  <c r="E1804" i="3"/>
  <c r="D1804" i="3"/>
  <c r="C1804" i="3"/>
  <c r="B1804" i="3"/>
  <c r="A1804" i="3"/>
  <c r="F1803" i="3"/>
  <c r="E1803" i="3"/>
  <c r="D1803" i="3"/>
  <c r="C1803" i="3"/>
  <c r="B1803" i="3"/>
  <c r="A1803" i="3"/>
  <c r="F1802" i="3"/>
  <c r="E1802" i="3"/>
  <c r="D1802" i="3"/>
  <c r="C1802" i="3"/>
  <c r="B1802" i="3"/>
  <c r="A1802" i="3"/>
  <c r="F1801" i="3"/>
  <c r="E1801" i="3"/>
  <c r="D1801" i="3"/>
  <c r="C1801" i="3"/>
  <c r="B1801" i="3"/>
  <c r="A1801" i="3"/>
  <c r="F1800" i="3"/>
  <c r="E1800" i="3"/>
  <c r="D1800" i="3"/>
  <c r="C1800" i="3"/>
  <c r="B1800" i="3"/>
  <c r="A1800" i="3"/>
  <c r="F1799" i="3"/>
  <c r="E1799" i="3"/>
  <c r="D1799" i="3"/>
  <c r="C1799" i="3"/>
  <c r="B1799" i="3"/>
  <c r="A1799" i="3"/>
  <c r="F1798" i="3"/>
  <c r="E1798" i="3"/>
  <c r="D1798" i="3"/>
  <c r="C1798" i="3"/>
  <c r="B1798" i="3"/>
  <c r="A1798" i="3"/>
  <c r="F1797" i="3"/>
  <c r="E1797" i="3"/>
  <c r="D1797" i="3"/>
  <c r="C1797" i="3"/>
  <c r="B1797" i="3"/>
  <c r="A1797" i="3"/>
  <c r="F1796" i="3"/>
  <c r="E1796" i="3"/>
  <c r="D1796" i="3"/>
  <c r="C1796" i="3"/>
  <c r="B1796" i="3"/>
  <c r="A1796" i="3"/>
  <c r="F1795" i="3"/>
  <c r="E1795" i="3"/>
  <c r="D1795" i="3"/>
  <c r="C1795" i="3"/>
  <c r="B1795" i="3"/>
  <c r="A1795" i="3"/>
  <c r="F1794" i="3"/>
  <c r="E1794" i="3"/>
  <c r="D1794" i="3"/>
  <c r="C1794" i="3"/>
  <c r="B1794" i="3"/>
  <c r="A1794" i="3"/>
  <c r="F1793" i="3"/>
  <c r="E1793" i="3"/>
  <c r="D1793" i="3"/>
  <c r="C1793" i="3"/>
  <c r="B1793" i="3"/>
  <c r="A1793" i="3"/>
  <c r="F1792" i="3"/>
  <c r="E1792" i="3"/>
  <c r="D1792" i="3"/>
  <c r="C1792" i="3"/>
  <c r="B1792" i="3"/>
  <c r="A1792" i="3"/>
  <c r="F1791" i="3"/>
  <c r="E1791" i="3"/>
  <c r="D1791" i="3"/>
  <c r="C1791" i="3"/>
  <c r="B1791" i="3"/>
  <c r="A1791" i="3"/>
  <c r="F1790" i="3"/>
  <c r="E1790" i="3"/>
  <c r="D1790" i="3"/>
  <c r="C1790" i="3"/>
  <c r="B1790" i="3"/>
  <c r="A1790" i="3"/>
  <c r="F1789" i="3"/>
  <c r="E1789" i="3"/>
  <c r="D1789" i="3"/>
  <c r="C1789" i="3"/>
  <c r="B1789" i="3"/>
  <c r="A1789" i="3"/>
  <c r="F1788" i="3"/>
  <c r="E1788" i="3"/>
  <c r="D1788" i="3"/>
  <c r="C1788" i="3"/>
  <c r="B1788" i="3"/>
  <c r="A1788" i="3"/>
  <c r="F1787" i="3"/>
  <c r="E1787" i="3"/>
  <c r="D1787" i="3"/>
  <c r="C1787" i="3"/>
  <c r="B1787" i="3"/>
  <c r="A1787" i="3"/>
  <c r="F1786" i="3"/>
  <c r="E1786" i="3"/>
  <c r="D1786" i="3"/>
  <c r="C1786" i="3"/>
  <c r="B1786" i="3"/>
  <c r="A1786" i="3"/>
  <c r="F1785" i="3"/>
  <c r="E1785" i="3"/>
  <c r="D1785" i="3"/>
  <c r="C1785" i="3"/>
  <c r="B1785" i="3"/>
  <c r="A1785" i="3"/>
  <c r="F1784" i="3"/>
  <c r="E1784" i="3"/>
  <c r="D1784" i="3"/>
  <c r="C1784" i="3"/>
  <c r="B1784" i="3"/>
  <c r="A1784" i="3"/>
  <c r="F1783" i="3"/>
  <c r="E1783" i="3"/>
  <c r="D1783" i="3"/>
  <c r="C1783" i="3"/>
  <c r="B1783" i="3"/>
  <c r="A1783" i="3"/>
  <c r="F1782" i="3"/>
  <c r="E1782" i="3"/>
  <c r="D1782" i="3"/>
  <c r="C1782" i="3"/>
  <c r="B1782" i="3"/>
  <c r="A1782" i="3"/>
  <c r="F1781" i="3"/>
  <c r="E1781" i="3"/>
  <c r="D1781" i="3"/>
  <c r="C1781" i="3"/>
  <c r="B1781" i="3"/>
  <c r="A1781" i="3"/>
  <c r="F1780" i="3"/>
  <c r="E1780" i="3"/>
  <c r="D1780" i="3"/>
  <c r="C1780" i="3"/>
  <c r="B1780" i="3"/>
  <c r="A1780" i="3"/>
  <c r="F1779" i="3"/>
  <c r="E1779" i="3"/>
  <c r="D1779" i="3"/>
  <c r="C1779" i="3"/>
  <c r="B1779" i="3"/>
  <c r="A1779" i="3"/>
  <c r="F1778" i="3"/>
  <c r="E1778" i="3"/>
  <c r="D1778" i="3"/>
  <c r="C1778" i="3"/>
  <c r="B1778" i="3"/>
  <c r="A1778" i="3"/>
  <c r="F1777" i="3"/>
  <c r="E1777" i="3"/>
  <c r="D1777" i="3"/>
  <c r="C1777" i="3"/>
  <c r="B1777" i="3"/>
  <c r="A1777" i="3"/>
  <c r="F1776" i="3"/>
  <c r="E1776" i="3"/>
  <c r="D1776" i="3"/>
  <c r="C1776" i="3"/>
  <c r="B1776" i="3"/>
  <c r="A1776" i="3"/>
  <c r="F1775" i="3"/>
  <c r="E1775" i="3"/>
  <c r="D1775" i="3"/>
  <c r="C1775" i="3"/>
  <c r="B1775" i="3"/>
  <c r="A1775" i="3"/>
  <c r="F1774" i="3"/>
  <c r="E1774" i="3"/>
  <c r="D1774" i="3"/>
  <c r="C1774" i="3"/>
  <c r="B1774" i="3"/>
  <c r="A1774" i="3"/>
  <c r="F1773" i="3"/>
  <c r="E1773" i="3"/>
  <c r="D1773" i="3"/>
  <c r="C1773" i="3"/>
  <c r="B1773" i="3"/>
  <c r="A1773" i="3"/>
  <c r="F1772" i="3"/>
  <c r="E1772" i="3"/>
  <c r="D1772" i="3"/>
  <c r="C1772" i="3"/>
  <c r="B1772" i="3"/>
  <c r="A1772" i="3"/>
  <c r="F1771" i="3"/>
  <c r="E1771" i="3"/>
  <c r="D1771" i="3"/>
  <c r="C1771" i="3"/>
  <c r="B1771" i="3"/>
  <c r="A1771" i="3"/>
  <c r="F1770" i="3"/>
  <c r="E1770" i="3"/>
  <c r="D1770" i="3"/>
  <c r="C1770" i="3"/>
  <c r="B1770" i="3"/>
  <c r="A1770" i="3"/>
  <c r="F1769" i="3"/>
  <c r="E1769" i="3"/>
  <c r="D1769" i="3"/>
  <c r="C1769" i="3"/>
  <c r="B1769" i="3"/>
  <c r="A1769" i="3"/>
  <c r="F1768" i="3"/>
  <c r="E1768" i="3"/>
  <c r="D1768" i="3"/>
  <c r="C1768" i="3"/>
  <c r="B1768" i="3"/>
  <c r="A1768" i="3"/>
  <c r="F1767" i="3"/>
  <c r="E1767" i="3"/>
  <c r="D1767" i="3"/>
  <c r="C1767" i="3"/>
  <c r="B1767" i="3"/>
  <c r="A1767" i="3"/>
  <c r="F1766" i="3"/>
  <c r="E1766" i="3"/>
  <c r="D1766" i="3"/>
  <c r="C1766" i="3"/>
  <c r="B1766" i="3"/>
  <c r="A1766" i="3"/>
  <c r="F1765" i="3"/>
  <c r="E1765" i="3"/>
  <c r="D1765" i="3"/>
  <c r="C1765" i="3"/>
  <c r="B1765" i="3"/>
  <c r="A1765" i="3"/>
  <c r="F1764" i="3"/>
  <c r="E1764" i="3"/>
  <c r="D1764" i="3"/>
  <c r="C1764" i="3"/>
  <c r="B1764" i="3"/>
  <c r="A1764" i="3"/>
  <c r="F1763" i="3"/>
  <c r="E1763" i="3"/>
  <c r="D1763" i="3"/>
  <c r="C1763" i="3"/>
  <c r="B1763" i="3"/>
  <c r="A1763" i="3"/>
  <c r="F1762" i="3"/>
  <c r="E1762" i="3"/>
  <c r="D1762" i="3"/>
  <c r="C1762" i="3"/>
  <c r="B1762" i="3"/>
  <c r="A1762" i="3"/>
  <c r="F1761" i="3"/>
  <c r="E1761" i="3"/>
  <c r="D1761" i="3"/>
  <c r="C1761" i="3"/>
  <c r="B1761" i="3"/>
  <c r="A1761" i="3"/>
  <c r="F1760" i="3"/>
  <c r="E1760" i="3"/>
  <c r="D1760" i="3"/>
  <c r="C1760" i="3"/>
  <c r="B1760" i="3"/>
  <c r="A1760" i="3"/>
  <c r="F1759" i="3"/>
  <c r="E1759" i="3"/>
  <c r="D1759" i="3"/>
  <c r="C1759" i="3"/>
  <c r="B1759" i="3"/>
  <c r="A1759" i="3"/>
  <c r="F1758" i="3"/>
  <c r="E1758" i="3"/>
  <c r="D1758" i="3"/>
  <c r="C1758" i="3"/>
  <c r="B1758" i="3"/>
  <c r="A1758" i="3"/>
  <c r="F1757" i="3"/>
  <c r="E1757" i="3"/>
  <c r="D1757" i="3"/>
  <c r="C1757" i="3"/>
  <c r="B1757" i="3"/>
  <c r="A1757" i="3"/>
  <c r="F1756" i="3"/>
  <c r="E1756" i="3"/>
  <c r="D1756" i="3"/>
  <c r="C1756" i="3"/>
  <c r="B1756" i="3"/>
  <c r="A1756" i="3"/>
  <c r="F1755" i="3"/>
  <c r="E1755" i="3"/>
  <c r="D1755" i="3"/>
  <c r="C1755" i="3"/>
  <c r="B1755" i="3"/>
  <c r="A1755" i="3"/>
  <c r="F1754" i="3"/>
  <c r="E1754" i="3"/>
  <c r="D1754" i="3"/>
  <c r="C1754" i="3"/>
  <c r="B1754" i="3"/>
  <c r="A1754" i="3"/>
  <c r="F1753" i="3"/>
  <c r="E1753" i="3"/>
  <c r="D1753" i="3"/>
  <c r="C1753" i="3"/>
  <c r="B1753" i="3"/>
  <c r="A1753" i="3"/>
  <c r="F1752" i="3"/>
  <c r="E1752" i="3"/>
  <c r="D1752" i="3"/>
  <c r="C1752" i="3"/>
  <c r="B1752" i="3"/>
  <c r="A1752" i="3"/>
  <c r="F1751" i="3"/>
  <c r="E1751" i="3"/>
  <c r="D1751" i="3"/>
  <c r="C1751" i="3"/>
  <c r="B1751" i="3"/>
  <c r="A1751" i="3"/>
  <c r="F1750" i="3"/>
  <c r="E1750" i="3"/>
  <c r="D1750" i="3"/>
  <c r="C1750" i="3"/>
  <c r="B1750" i="3"/>
  <c r="A1750" i="3"/>
  <c r="F1749" i="3"/>
  <c r="E1749" i="3"/>
  <c r="D1749" i="3"/>
  <c r="C1749" i="3"/>
  <c r="B1749" i="3"/>
  <c r="A1749" i="3"/>
  <c r="F1748" i="3"/>
  <c r="E1748" i="3"/>
  <c r="D1748" i="3"/>
  <c r="C1748" i="3"/>
  <c r="B1748" i="3"/>
  <c r="A1748" i="3"/>
  <c r="F1747" i="3"/>
  <c r="E1747" i="3"/>
  <c r="D1747" i="3"/>
  <c r="C1747" i="3"/>
  <c r="B1747" i="3"/>
  <c r="A1747" i="3"/>
  <c r="F1746" i="3"/>
  <c r="E1746" i="3"/>
  <c r="D1746" i="3"/>
  <c r="C1746" i="3"/>
  <c r="B1746" i="3"/>
  <c r="A1746" i="3"/>
  <c r="F1745" i="3"/>
  <c r="E1745" i="3"/>
  <c r="D1745" i="3"/>
  <c r="C1745" i="3"/>
  <c r="B1745" i="3"/>
  <c r="A1745" i="3"/>
  <c r="F1744" i="3"/>
  <c r="E1744" i="3"/>
  <c r="D1744" i="3"/>
  <c r="C1744" i="3"/>
  <c r="B1744" i="3"/>
  <c r="A1744" i="3"/>
  <c r="F1743" i="3"/>
  <c r="E1743" i="3"/>
  <c r="D1743" i="3"/>
  <c r="C1743" i="3"/>
  <c r="B1743" i="3"/>
  <c r="A1743" i="3"/>
  <c r="F1742" i="3"/>
  <c r="E1742" i="3"/>
  <c r="D1742" i="3"/>
  <c r="C1742" i="3"/>
  <c r="B1742" i="3"/>
  <c r="A1742" i="3"/>
  <c r="F1741" i="3"/>
  <c r="E1741" i="3"/>
  <c r="D1741" i="3"/>
  <c r="C1741" i="3"/>
  <c r="B1741" i="3"/>
  <c r="A1741" i="3"/>
  <c r="F1740" i="3"/>
  <c r="E1740" i="3"/>
  <c r="D1740" i="3"/>
  <c r="C1740" i="3"/>
  <c r="B1740" i="3"/>
  <c r="A1740" i="3"/>
  <c r="F1739" i="3"/>
  <c r="E1739" i="3"/>
  <c r="D1739" i="3"/>
  <c r="C1739" i="3"/>
  <c r="B1739" i="3"/>
  <c r="A1739" i="3"/>
  <c r="F1738" i="3"/>
  <c r="E1738" i="3"/>
  <c r="D1738" i="3"/>
  <c r="C1738" i="3"/>
  <c r="B1738" i="3"/>
  <c r="A1738" i="3"/>
  <c r="F1737" i="3"/>
  <c r="E1737" i="3"/>
  <c r="D1737" i="3"/>
  <c r="C1737" i="3"/>
  <c r="B1737" i="3"/>
  <c r="A1737" i="3"/>
  <c r="F1736" i="3"/>
  <c r="E1736" i="3"/>
  <c r="D1736" i="3"/>
  <c r="C1736" i="3"/>
  <c r="B1736" i="3"/>
  <c r="A1736" i="3"/>
  <c r="F1735" i="3"/>
  <c r="E1735" i="3"/>
  <c r="D1735" i="3"/>
  <c r="C1735" i="3"/>
  <c r="B1735" i="3"/>
  <c r="A1735" i="3"/>
  <c r="F1734" i="3"/>
  <c r="E1734" i="3"/>
  <c r="D1734" i="3"/>
  <c r="C1734" i="3"/>
  <c r="B1734" i="3"/>
  <c r="A1734" i="3"/>
  <c r="F1733" i="3"/>
  <c r="E1733" i="3"/>
  <c r="D1733" i="3"/>
  <c r="C1733" i="3"/>
  <c r="B1733" i="3"/>
  <c r="A1733" i="3"/>
  <c r="F1732" i="3"/>
  <c r="E1732" i="3"/>
  <c r="D1732" i="3"/>
  <c r="C1732" i="3"/>
  <c r="B1732" i="3"/>
  <c r="A1732" i="3"/>
  <c r="F1731" i="3"/>
  <c r="E1731" i="3"/>
  <c r="D1731" i="3"/>
  <c r="C1731" i="3"/>
  <c r="B1731" i="3"/>
  <c r="A1731" i="3"/>
  <c r="F1730" i="3"/>
  <c r="E1730" i="3"/>
  <c r="D1730" i="3"/>
  <c r="C1730" i="3"/>
  <c r="B1730" i="3"/>
  <c r="A1730" i="3"/>
  <c r="F1729" i="3"/>
  <c r="E1729" i="3"/>
  <c r="D1729" i="3"/>
  <c r="C1729" i="3"/>
  <c r="B1729" i="3"/>
  <c r="A1729" i="3"/>
  <c r="F1728" i="3"/>
  <c r="E1728" i="3"/>
  <c r="D1728" i="3"/>
  <c r="C1728" i="3"/>
  <c r="B1728" i="3"/>
  <c r="A1728" i="3"/>
  <c r="F1727" i="3"/>
  <c r="E1727" i="3"/>
  <c r="D1727" i="3"/>
  <c r="C1727" i="3"/>
  <c r="B1727" i="3"/>
  <c r="A1727" i="3"/>
  <c r="F1726" i="3"/>
  <c r="E1726" i="3"/>
  <c r="D1726" i="3"/>
  <c r="C1726" i="3"/>
  <c r="B1726" i="3"/>
  <c r="A1726" i="3"/>
  <c r="F1725" i="3"/>
  <c r="E1725" i="3"/>
  <c r="D1725" i="3"/>
  <c r="C1725" i="3"/>
  <c r="B1725" i="3"/>
  <c r="A1725" i="3"/>
  <c r="F1724" i="3"/>
  <c r="E1724" i="3"/>
  <c r="D1724" i="3"/>
  <c r="C1724" i="3"/>
  <c r="B1724" i="3"/>
  <c r="A1724" i="3"/>
  <c r="F1723" i="3"/>
  <c r="E1723" i="3"/>
  <c r="D1723" i="3"/>
  <c r="C1723" i="3"/>
  <c r="B1723" i="3"/>
  <c r="A1723" i="3"/>
  <c r="F1722" i="3"/>
  <c r="E1722" i="3"/>
  <c r="D1722" i="3"/>
  <c r="C1722" i="3"/>
  <c r="B1722" i="3"/>
  <c r="A1722" i="3"/>
  <c r="F1721" i="3"/>
  <c r="E1721" i="3"/>
  <c r="D1721" i="3"/>
  <c r="C1721" i="3"/>
  <c r="B1721" i="3"/>
  <c r="A1721" i="3"/>
  <c r="F1720" i="3"/>
  <c r="E1720" i="3"/>
  <c r="D1720" i="3"/>
  <c r="C1720" i="3"/>
  <c r="B1720" i="3"/>
  <c r="A1720" i="3"/>
  <c r="F1719" i="3"/>
  <c r="E1719" i="3"/>
  <c r="D1719" i="3"/>
  <c r="C1719" i="3"/>
  <c r="B1719" i="3"/>
  <c r="A1719" i="3"/>
  <c r="F1718" i="3"/>
  <c r="E1718" i="3"/>
  <c r="D1718" i="3"/>
  <c r="C1718" i="3"/>
  <c r="B1718" i="3"/>
  <c r="A1718" i="3"/>
  <c r="F1717" i="3"/>
  <c r="E1717" i="3"/>
  <c r="D1717" i="3"/>
  <c r="C1717" i="3"/>
  <c r="B1717" i="3"/>
  <c r="A1717" i="3"/>
  <c r="F1716" i="3"/>
  <c r="E1716" i="3"/>
  <c r="D1716" i="3"/>
  <c r="C1716" i="3"/>
  <c r="B1716" i="3"/>
  <c r="A1716" i="3"/>
  <c r="F1715" i="3"/>
  <c r="E1715" i="3"/>
  <c r="D1715" i="3"/>
  <c r="C1715" i="3"/>
  <c r="B1715" i="3"/>
  <c r="A1715" i="3"/>
  <c r="F1714" i="3"/>
  <c r="E1714" i="3"/>
  <c r="D1714" i="3"/>
  <c r="C1714" i="3"/>
  <c r="B1714" i="3"/>
  <c r="A1714" i="3"/>
  <c r="F1713" i="3"/>
  <c r="E1713" i="3"/>
  <c r="D1713" i="3"/>
  <c r="C1713" i="3"/>
  <c r="B1713" i="3"/>
  <c r="A1713" i="3"/>
  <c r="F1712" i="3"/>
  <c r="E1712" i="3"/>
  <c r="D1712" i="3"/>
  <c r="C1712" i="3"/>
  <c r="B1712" i="3"/>
  <c r="A1712" i="3"/>
  <c r="F1711" i="3"/>
  <c r="E1711" i="3"/>
  <c r="D1711" i="3"/>
  <c r="C1711" i="3"/>
  <c r="B1711" i="3"/>
  <c r="A1711" i="3"/>
  <c r="F1710" i="3"/>
  <c r="E1710" i="3"/>
  <c r="D1710" i="3"/>
  <c r="C1710" i="3"/>
  <c r="B1710" i="3"/>
  <c r="A1710" i="3"/>
  <c r="F1709" i="3"/>
  <c r="E1709" i="3"/>
  <c r="D1709" i="3"/>
  <c r="C1709" i="3"/>
  <c r="B1709" i="3"/>
  <c r="A1709" i="3"/>
  <c r="F1708" i="3"/>
  <c r="E1708" i="3"/>
  <c r="D1708" i="3"/>
  <c r="C1708" i="3"/>
  <c r="B1708" i="3"/>
  <c r="A1708" i="3"/>
  <c r="F1707" i="3"/>
  <c r="E1707" i="3"/>
  <c r="D1707" i="3"/>
  <c r="C1707" i="3"/>
  <c r="B1707" i="3"/>
  <c r="A1707" i="3"/>
  <c r="F1706" i="3"/>
  <c r="E1706" i="3"/>
  <c r="D1706" i="3"/>
  <c r="C1706" i="3"/>
  <c r="B1706" i="3"/>
  <c r="A1706" i="3"/>
  <c r="F1705" i="3"/>
  <c r="E1705" i="3"/>
  <c r="D1705" i="3"/>
  <c r="C1705" i="3"/>
  <c r="B1705" i="3"/>
  <c r="A1705" i="3"/>
  <c r="F1704" i="3"/>
  <c r="E1704" i="3"/>
  <c r="D1704" i="3"/>
  <c r="C1704" i="3"/>
  <c r="B1704" i="3"/>
  <c r="A1704" i="3"/>
  <c r="F1703" i="3"/>
  <c r="E1703" i="3"/>
  <c r="D1703" i="3"/>
  <c r="C1703" i="3"/>
  <c r="B1703" i="3"/>
  <c r="A1703" i="3"/>
  <c r="F1702" i="3"/>
  <c r="E1702" i="3"/>
  <c r="D1702" i="3"/>
  <c r="C1702" i="3"/>
  <c r="B1702" i="3"/>
  <c r="A1702" i="3"/>
  <c r="F1701" i="3"/>
  <c r="E1701" i="3"/>
  <c r="D1701" i="3"/>
  <c r="C1701" i="3"/>
  <c r="B1701" i="3"/>
  <c r="A1701" i="3"/>
  <c r="F1700" i="3"/>
  <c r="E1700" i="3"/>
  <c r="D1700" i="3"/>
  <c r="C1700" i="3"/>
  <c r="B1700" i="3"/>
  <c r="A1700" i="3"/>
  <c r="F1699" i="3"/>
  <c r="E1699" i="3"/>
  <c r="D1699" i="3"/>
  <c r="C1699" i="3"/>
  <c r="B1699" i="3"/>
  <c r="A1699" i="3"/>
  <c r="F1698" i="3"/>
  <c r="E1698" i="3"/>
  <c r="D1698" i="3"/>
  <c r="C1698" i="3"/>
  <c r="B1698" i="3"/>
  <c r="A1698" i="3"/>
  <c r="F1697" i="3"/>
  <c r="E1697" i="3"/>
  <c r="D1697" i="3"/>
  <c r="C1697" i="3"/>
  <c r="B1697" i="3"/>
  <c r="A1697" i="3"/>
  <c r="F1696" i="3"/>
  <c r="E1696" i="3"/>
  <c r="D1696" i="3"/>
  <c r="C1696" i="3"/>
  <c r="B1696" i="3"/>
  <c r="A1696" i="3"/>
  <c r="F1695" i="3"/>
  <c r="E1695" i="3"/>
  <c r="D1695" i="3"/>
  <c r="C1695" i="3"/>
  <c r="B1695" i="3"/>
  <c r="A1695" i="3"/>
  <c r="F1694" i="3"/>
  <c r="E1694" i="3"/>
  <c r="D1694" i="3"/>
  <c r="C1694" i="3"/>
  <c r="B1694" i="3"/>
  <c r="A1694" i="3"/>
  <c r="F1693" i="3"/>
  <c r="E1693" i="3"/>
  <c r="D1693" i="3"/>
  <c r="C1693" i="3"/>
  <c r="B1693" i="3"/>
  <c r="A1693" i="3"/>
  <c r="F1692" i="3"/>
  <c r="E1692" i="3"/>
  <c r="D1692" i="3"/>
  <c r="C1692" i="3"/>
  <c r="B1692" i="3"/>
  <c r="A1692" i="3"/>
  <c r="F1691" i="3"/>
  <c r="E1691" i="3"/>
  <c r="D1691" i="3"/>
  <c r="C1691" i="3"/>
  <c r="B1691" i="3"/>
  <c r="A1691" i="3"/>
  <c r="F1690" i="3"/>
  <c r="E1690" i="3"/>
  <c r="D1690" i="3"/>
  <c r="C1690" i="3"/>
  <c r="B1690" i="3"/>
  <c r="A1690" i="3"/>
  <c r="F1689" i="3"/>
  <c r="E1689" i="3"/>
  <c r="D1689" i="3"/>
  <c r="C1689" i="3"/>
  <c r="B1689" i="3"/>
  <c r="A1689" i="3"/>
  <c r="F1688" i="3"/>
  <c r="E1688" i="3"/>
  <c r="D1688" i="3"/>
  <c r="C1688" i="3"/>
  <c r="B1688" i="3"/>
  <c r="A1688" i="3"/>
  <c r="F1687" i="3"/>
  <c r="E1687" i="3"/>
  <c r="D1687" i="3"/>
  <c r="C1687" i="3"/>
  <c r="B1687" i="3"/>
  <c r="A1687" i="3"/>
  <c r="F1686" i="3"/>
  <c r="E1686" i="3"/>
  <c r="D1686" i="3"/>
  <c r="C1686" i="3"/>
  <c r="B1686" i="3"/>
  <c r="A1686" i="3"/>
  <c r="F1685" i="3"/>
  <c r="E1685" i="3"/>
  <c r="D1685" i="3"/>
  <c r="C1685" i="3"/>
  <c r="B1685" i="3"/>
  <c r="A1685" i="3"/>
  <c r="F1684" i="3"/>
  <c r="E1684" i="3"/>
  <c r="D1684" i="3"/>
  <c r="C1684" i="3"/>
  <c r="B1684" i="3"/>
  <c r="A1684" i="3"/>
  <c r="F1683" i="3"/>
  <c r="E1683" i="3"/>
  <c r="D1683" i="3"/>
  <c r="C1683" i="3"/>
  <c r="B1683" i="3"/>
  <c r="A1683" i="3"/>
  <c r="F1682" i="3"/>
  <c r="E1682" i="3"/>
  <c r="D1682" i="3"/>
  <c r="C1682" i="3"/>
  <c r="B1682" i="3"/>
  <c r="A1682" i="3"/>
  <c r="F1681" i="3"/>
  <c r="E1681" i="3"/>
  <c r="D1681" i="3"/>
  <c r="C1681" i="3"/>
  <c r="B1681" i="3"/>
  <c r="A1681" i="3"/>
  <c r="F1680" i="3"/>
  <c r="E1680" i="3"/>
  <c r="D1680" i="3"/>
  <c r="C1680" i="3"/>
  <c r="B1680" i="3"/>
  <c r="A1680" i="3"/>
  <c r="F1679" i="3"/>
  <c r="E1679" i="3"/>
  <c r="D1679" i="3"/>
  <c r="C1679" i="3"/>
  <c r="B1679" i="3"/>
  <c r="A1679" i="3"/>
  <c r="F1678" i="3"/>
  <c r="E1678" i="3"/>
  <c r="D1678" i="3"/>
  <c r="C1678" i="3"/>
  <c r="B1678" i="3"/>
  <c r="A1678" i="3"/>
  <c r="F1677" i="3"/>
  <c r="E1677" i="3"/>
  <c r="D1677" i="3"/>
  <c r="C1677" i="3"/>
  <c r="B1677" i="3"/>
  <c r="A1677" i="3"/>
  <c r="F1676" i="3"/>
  <c r="E1676" i="3"/>
  <c r="D1676" i="3"/>
  <c r="C1676" i="3"/>
  <c r="B1676" i="3"/>
  <c r="A1676" i="3"/>
  <c r="F1675" i="3"/>
  <c r="E1675" i="3"/>
  <c r="D1675" i="3"/>
  <c r="C1675" i="3"/>
  <c r="B1675" i="3"/>
  <c r="A1675" i="3"/>
  <c r="F1674" i="3"/>
  <c r="E1674" i="3"/>
  <c r="D1674" i="3"/>
  <c r="C1674" i="3"/>
  <c r="B1674" i="3"/>
  <c r="A1674" i="3"/>
  <c r="F1673" i="3"/>
  <c r="E1673" i="3"/>
  <c r="D1673" i="3"/>
  <c r="C1673" i="3"/>
  <c r="B1673" i="3"/>
  <c r="A1673" i="3"/>
  <c r="F1672" i="3"/>
  <c r="E1672" i="3"/>
  <c r="D1672" i="3"/>
  <c r="C1672" i="3"/>
  <c r="B1672" i="3"/>
  <c r="A1672" i="3"/>
  <c r="F1671" i="3"/>
  <c r="E1671" i="3"/>
  <c r="D1671" i="3"/>
  <c r="C1671" i="3"/>
  <c r="B1671" i="3"/>
  <c r="A1671" i="3"/>
  <c r="F1670" i="3"/>
  <c r="E1670" i="3"/>
  <c r="D1670" i="3"/>
  <c r="C1670" i="3"/>
  <c r="B1670" i="3"/>
  <c r="A1670" i="3"/>
  <c r="F1669" i="3"/>
  <c r="E1669" i="3"/>
  <c r="D1669" i="3"/>
  <c r="C1669" i="3"/>
  <c r="B1669" i="3"/>
  <c r="A1669" i="3"/>
  <c r="F1668" i="3"/>
  <c r="E1668" i="3"/>
  <c r="D1668" i="3"/>
  <c r="C1668" i="3"/>
  <c r="B1668" i="3"/>
  <c r="A1668" i="3"/>
  <c r="F1667" i="3"/>
  <c r="E1667" i="3"/>
  <c r="D1667" i="3"/>
  <c r="C1667" i="3"/>
  <c r="B1667" i="3"/>
  <c r="A1667" i="3"/>
  <c r="F1666" i="3"/>
  <c r="E1666" i="3"/>
  <c r="D1666" i="3"/>
  <c r="C1666" i="3"/>
  <c r="B1666" i="3"/>
  <c r="A1666" i="3"/>
  <c r="F1665" i="3"/>
  <c r="E1665" i="3"/>
  <c r="D1665" i="3"/>
  <c r="C1665" i="3"/>
  <c r="B1665" i="3"/>
  <c r="A1665" i="3"/>
  <c r="F1664" i="3"/>
  <c r="E1664" i="3"/>
  <c r="D1664" i="3"/>
  <c r="C1664" i="3"/>
  <c r="B1664" i="3"/>
  <c r="A1664" i="3"/>
  <c r="F1663" i="3"/>
  <c r="E1663" i="3"/>
  <c r="D1663" i="3"/>
  <c r="C1663" i="3"/>
  <c r="B1663" i="3"/>
  <c r="A1663" i="3"/>
  <c r="F1662" i="3"/>
  <c r="E1662" i="3"/>
  <c r="D1662" i="3"/>
  <c r="C1662" i="3"/>
  <c r="B1662" i="3"/>
  <c r="A1662" i="3"/>
  <c r="F1661" i="3"/>
  <c r="E1661" i="3"/>
  <c r="D1661" i="3"/>
  <c r="C1661" i="3"/>
  <c r="B1661" i="3"/>
  <c r="A1661" i="3"/>
  <c r="F1660" i="3"/>
  <c r="E1660" i="3"/>
  <c r="D1660" i="3"/>
  <c r="C1660" i="3"/>
  <c r="B1660" i="3"/>
  <c r="A1660" i="3"/>
  <c r="F1659" i="3"/>
  <c r="E1659" i="3"/>
  <c r="D1659" i="3"/>
  <c r="C1659" i="3"/>
  <c r="B1659" i="3"/>
  <c r="A1659" i="3"/>
  <c r="F1658" i="3"/>
  <c r="E1658" i="3"/>
  <c r="D1658" i="3"/>
  <c r="C1658" i="3"/>
  <c r="B1658" i="3"/>
  <c r="A1658" i="3"/>
  <c r="F1657" i="3"/>
  <c r="E1657" i="3"/>
  <c r="D1657" i="3"/>
  <c r="C1657" i="3"/>
  <c r="B1657" i="3"/>
  <c r="A1657" i="3"/>
  <c r="F1656" i="3"/>
  <c r="E1656" i="3"/>
  <c r="D1656" i="3"/>
  <c r="C1656" i="3"/>
  <c r="B1656" i="3"/>
  <c r="A1656" i="3"/>
  <c r="F1655" i="3"/>
  <c r="E1655" i="3"/>
  <c r="D1655" i="3"/>
  <c r="C1655" i="3"/>
  <c r="B1655" i="3"/>
  <c r="A1655" i="3"/>
  <c r="F1654" i="3"/>
  <c r="E1654" i="3"/>
  <c r="D1654" i="3"/>
  <c r="C1654" i="3"/>
  <c r="B1654" i="3"/>
  <c r="A1654" i="3"/>
  <c r="F1653" i="3"/>
  <c r="E1653" i="3"/>
  <c r="D1653" i="3"/>
  <c r="C1653" i="3"/>
  <c r="B1653" i="3"/>
  <c r="A1653" i="3"/>
  <c r="F1652" i="3"/>
  <c r="E1652" i="3"/>
  <c r="D1652" i="3"/>
  <c r="C1652" i="3"/>
  <c r="B1652" i="3"/>
  <c r="A1652" i="3"/>
  <c r="F1651" i="3"/>
  <c r="E1651" i="3"/>
  <c r="D1651" i="3"/>
  <c r="C1651" i="3"/>
  <c r="B1651" i="3"/>
  <c r="A1651" i="3"/>
  <c r="F1650" i="3"/>
  <c r="E1650" i="3"/>
  <c r="D1650" i="3"/>
  <c r="C1650" i="3"/>
  <c r="B1650" i="3"/>
  <c r="A1650" i="3"/>
  <c r="F1649" i="3"/>
  <c r="E1649" i="3"/>
  <c r="D1649" i="3"/>
  <c r="C1649" i="3"/>
  <c r="B1649" i="3"/>
  <c r="A1649" i="3"/>
  <c r="F1648" i="3"/>
  <c r="E1648" i="3"/>
  <c r="D1648" i="3"/>
  <c r="C1648" i="3"/>
  <c r="B1648" i="3"/>
  <c r="A1648" i="3"/>
  <c r="F1647" i="3"/>
  <c r="E1647" i="3"/>
  <c r="D1647" i="3"/>
  <c r="C1647" i="3"/>
  <c r="B1647" i="3"/>
  <c r="A1647" i="3"/>
  <c r="F1646" i="3"/>
  <c r="E1646" i="3"/>
  <c r="D1646" i="3"/>
  <c r="C1646" i="3"/>
  <c r="B1646" i="3"/>
  <c r="A1646" i="3"/>
  <c r="F1645" i="3"/>
  <c r="E1645" i="3"/>
  <c r="D1645" i="3"/>
  <c r="C1645" i="3"/>
  <c r="B1645" i="3"/>
  <c r="A1645" i="3"/>
  <c r="F1644" i="3"/>
  <c r="E1644" i="3"/>
  <c r="D1644" i="3"/>
  <c r="C1644" i="3"/>
  <c r="B1644" i="3"/>
  <c r="A1644" i="3"/>
  <c r="F1643" i="3"/>
  <c r="E1643" i="3"/>
  <c r="D1643" i="3"/>
  <c r="C1643" i="3"/>
  <c r="B1643" i="3"/>
  <c r="A1643" i="3"/>
  <c r="F1642" i="3"/>
  <c r="E1642" i="3"/>
  <c r="D1642" i="3"/>
  <c r="C1642" i="3"/>
  <c r="B1642" i="3"/>
  <c r="A1642" i="3"/>
  <c r="F1641" i="3"/>
  <c r="E1641" i="3"/>
  <c r="D1641" i="3"/>
  <c r="C1641" i="3"/>
  <c r="B1641" i="3"/>
  <c r="A1641" i="3"/>
  <c r="F1640" i="3"/>
  <c r="E1640" i="3"/>
  <c r="D1640" i="3"/>
  <c r="C1640" i="3"/>
  <c r="B1640" i="3"/>
  <c r="A1640" i="3"/>
  <c r="F1639" i="3"/>
  <c r="E1639" i="3"/>
  <c r="D1639" i="3"/>
  <c r="C1639" i="3"/>
  <c r="B1639" i="3"/>
  <c r="A1639" i="3"/>
  <c r="F1638" i="3"/>
  <c r="E1638" i="3"/>
  <c r="D1638" i="3"/>
  <c r="C1638" i="3"/>
  <c r="B1638" i="3"/>
  <c r="A1638" i="3"/>
  <c r="F1637" i="3"/>
  <c r="E1637" i="3"/>
  <c r="D1637" i="3"/>
  <c r="C1637" i="3"/>
  <c r="B1637" i="3"/>
  <c r="A1637" i="3"/>
  <c r="F1636" i="3"/>
  <c r="E1636" i="3"/>
  <c r="D1636" i="3"/>
  <c r="C1636" i="3"/>
  <c r="B1636" i="3"/>
  <c r="A1636" i="3"/>
  <c r="F1635" i="3"/>
  <c r="E1635" i="3"/>
  <c r="D1635" i="3"/>
  <c r="C1635" i="3"/>
  <c r="B1635" i="3"/>
  <c r="A1635" i="3"/>
  <c r="F1634" i="3"/>
  <c r="E1634" i="3"/>
  <c r="D1634" i="3"/>
  <c r="C1634" i="3"/>
  <c r="B1634" i="3"/>
  <c r="A1634" i="3"/>
  <c r="F1633" i="3"/>
  <c r="E1633" i="3"/>
  <c r="D1633" i="3"/>
  <c r="C1633" i="3"/>
  <c r="B1633" i="3"/>
  <c r="A1633" i="3"/>
  <c r="F1632" i="3"/>
  <c r="E1632" i="3"/>
  <c r="D1632" i="3"/>
  <c r="C1632" i="3"/>
  <c r="B1632" i="3"/>
  <c r="A1632" i="3"/>
  <c r="F1631" i="3"/>
  <c r="E1631" i="3"/>
  <c r="D1631" i="3"/>
  <c r="C1631" i="3"/>
  <c r="B1631" i="3"/>
  <c r="A1631" i="3"/>
  <c r="F1630" i="3"/>
  <c r="E1630" i="3"/>
  <c r="D1630" i="3"/>
  <c r="C1630" i="3"/>
  <c r="B1630" i="3"/>
  <c r="A1630" i="3"/>
  <c r="F1629" i="3"/>
  <c r="E1629" i="3"/>
  <c r="D1629" i="3"/>
  <c r="C1629" i="3"/>
  <c r="B1629" i="3"/>
  <c r="A1629" i="3"/>
  <c r="F1628" i="3"/>
  <c r="E1628" i="3"/>
  <c r="D1628" i="3"/>
  <c r="C1628" i="3"/>
  <c r="B1628" i="3"/>
  <c r="A1628" i="3"/>
  <c r="F1627" i="3"/>
  <c r="E1627" i="3"/>
  <c r="D1627" i="3"/>
  <c r="C1627" i="3"/>
  <c r="B1627" i="3"/>
  <c r="A1627" i="3"/>
  <c r="F1626" i="3"/>
  <c r="E1626" i="3"/>
  <c r="D1626" i="3"/>
  <c r="C1626" i="3"/>
  <c r="B1626" i="3"/>
  <c r="A1626" i="3"/>
  <c r="F1625" i="3"/>
  <c r="E1625" i="3"/>
  <c r="D1625" i="3"/>
  <c r="C1625" i="3"/>
  <c r="B1625" i="3"/>
  <c r="A1625" i="3"/>
  <c r="F1624" i="3"/>
  <c r="E1624" i="3"/>
  <c r="D1624" i="3"/>
  <c r="C1624" i="3"/>
  <c r="B1624" i="3"/>
  <c r="A1624" i="3"/>
  <c r="F1623" i="3"/>
  <c r="E1623" i="3"/>
  <c r="D1623" i="3"/>
  <c r="C1623" i="3"/>
  <c r="B1623" i="3"/>
  <c r="A1623" i="3"/>
  <c r="F1622" i="3"/>
  <c r="E1622" i="3"/>
  <c r="D1622" i="3"/>
  <c r="C1622" i="3"/>
  <c r="B1622" i="3"/>
  <c r="A1622" i="3"/>
  <c r="F1621" i="3"/>
  <c r="E1621" i="3"/>
  <c r="D1621" i="3"/>
  <c r="C1621" i="3"/>
  <c r="B1621" i="3"/>
  <c r="A1621" i="3"/>
  <c r="F1620" i="3"/>
  <c r="E1620" i="3"/>
  <c r="D1620" i="3"/>
  <c r="C1620" i="3"/>
  <c r="B1620" i="3"/>
  <c r="A1620" i="3"/>
  <c r="F1619" i="3"/>
  <c r="E1619" i="3"/>
  <c r="D1619" i="3"/>
  <c r="C1619" i="3"/>
  <c r="B1619" i="3"/>
  <c r="A1619" i="3"/>
  <c r="F1618" i="3"/>
  <c r="E1618" i="3"/>
  <c r="D1618" i="3"/>
  <c r="C1618" i="3"/>
  <c r="B1618" i="3"/>
  <c r="A1618" i="3"/>
  <c r="F1617" i="3"/>
  <c r="E1617" i="3"/>
  <c r="D1617" i="3"/>
  <c r="C1617" i="3"/>
  <c r="B1617" i="3"/>
  <c r="A1617" i="3"/>
  <c r="F1616" i="3"/>
  <c r="E1616" i="3"/>
  <c r="D1616" i="3"/>
  <c r="C1616" i="3"/>
  <c r="B1616" i="3"/>
  <c r="A1616" i="3"/>
  <c r="F1615" i="3"/>
  <c r="E1615" i="3"/>
  <c r="D1615" i="3"/>
  <c r="C1615" i="3"/>
  <c r="B1615" i="3"/>
  <c r="A1615" i="3"/>
  <c r="F1614" i="3"/>
  <c r="E1614" i="3"/>
  <c r="D1614" i="3"/>
  <c r="C1614" i="3"/>
  <c r="B1614" i="3"/>
  <c r="A1614" i="3"/>
  <c r="F1613" i="3"/>
  <c r="E1613" i="3"/>
  <c r="D1613" i="3"/>
  <c r="C1613" i="3"/>
  <c r="B1613" i="3"/>
  <c r="A1613" i="3"/>
  <c r="F1612" i="3"/>
  <c r="E1612" i="3"/>
  <c r="D1612" i="3"/>
  <c r="C1612" i="3"/>
  <c r="B1612" i="3"/>
  <c r="A1612" i="3"/>
  <c r="F1611" i="3"/>
  <c r="E1611" i="3"/>
  <c r="D1611" i="3"/>
  <c r="C1611" i="3"/>
  <c r="B1611" i="3"/>
  <c r="A1611" i="3"/>
  <c r="F1610" i="3"/>
  <c r="E1610" i="3"/>
  <c r="D1610" i="3"/>
  <c r="C1610" i="3"/>
  <c r="B1610" i="3"/>
  <c r="A1610" i="3"/>
  <c r="F1609" i="3"/>
  <c r="E1609" i="3"/>
  <c r="D1609" i="3"/>
  <c r="C1609" i="3"/>
  <c r="B1609" i="3"/>
  <c r="A1609" i="3"/>
  <c r="F1608" i="3"/>
  <c r="E1608" i="3"/>
  <c r="D1608" i="3"/>
  <c r="C1608" i="3"/>
  <c r="B1608" i="3"/>
  <c r="A1608" i="3"/>
  <c r="F1607" i="3"/>
  <c r="E1607" i="3"/>
  <c r="D1607" i="3"/>
  <c r="C1607" i="3"/>
  <c r="B1607" i="3"/>
  <c r="A1607" i="3"/>
  <c r="F1606" i="3"/>
  <c r="E1606" i="3"/>
  <c r="D1606" i="3"/>
  <c r="C1606" i="3"/>
  <c r="B1606" i="3"/>
  <c r="A1606" i="3"/>
  <c r="F1605" i="3"/>
  <c r="E1605" i="3"/>
  <c r="D1605" i="3"/>
  <c r="C1605" i="3"/>
  <c r="B1605" i="3"/>
  <c r="A1605" i="3"/>
  <c r="F1604" i="3"/>
  <c r="E1604" i="3"/>
  <c r="D1604" i="3"/>
  <c r="C1604" i="3"/>
  <c r="B1604" i="3"/>
  <c r="A1604" i="3"/>
  <c r="F1603" i="3"/>
  <c r="E1603" i="3"/>
  <c r="D1603" i="3"/>
  <c r="C1603" i="3"/>
  <c r="B1603" i="3"/>
  <c r="A1603" i="3"/>
  <c r="F1602" i="3"/>
  <c r="E1602" i="3"/>
  <c r="D1602" i="3"/>
  <c r="C1602" i="3"/>
  <c r="B1602" i="3"/>
  <c r="A1602" i="3"/>
  <c r="F1601" i="3"/>
  <c r="E1601" i="3"/>
  <c r="D1601" i="3"/>
  <c r="C1601" i="3"/>
  <c r="B1601" i="3"/>
  <c r="A1601" i="3"/>
  <c r="F1600" i="3"/>
  <c r="E1600" i="3"/>
  <c r="D1600" i="3"/>
  <c r="C1600" i="3"/>
  <c r="B1600" i="3"/>
  <c r="A1600" i="3"/>
  <c r="F1599" i="3"/>
  <c r="E1599" i="3"/>
  <c r="D1599" i="3"/>
  <c r="C1599" i="3"/>
  <c r="B1599" i="3"/>
  <c r="A1599" i="3"/>
  <c r="F1598" i="3"/>
  <c r="E1598" i="3"/>
  <c r="D1598" i="3"/>
  <c r="C1598" i="3"/>
  <c r="B1598" i="3"/>
  <c r="A1598" i="3"/>
  <c r="F1597" i="3"/>
  <c r="E1597" i="3"/>
  <c r="D1597" i="3"/>
  <c r="C1597" i="3"/>
  <c r="B1597" i="3"/>
  <c r="A1597" i="3"/>
  <c r="F1596" i="3"/>
  <c r="E1596" i="3"/>
  <c r="D1596" i="3"/>
  <c r="C1596" i="3"/>
  <c r="B1596" i="3"/>
  <c r="A1596" i="3"/>
  <c r="F1595" i="3"/>
  <c r="E1595" i="3"/>
  <c r="D1595" i="3"/>
  <c r="C1595" i="3"/>
  <c r="B1595" i="3"/>
  <c r="A1595" i="3"/>
  <c r="F1594" i="3"/>
  <c r="E1594" i="3"/>
  <c r="D1594" i="3"/>
  <c r="C1594" i="3"/>
  <c r="B1594" i="3"/>
  <c r="A1594" i="3"/>
  <c r="F1593" i="3"/>
  <c r="E1593" i="3"/>
  <c r="D1593" i="3"/>
  <c r="C1593" i="3"/>
  <c r="B1593" i="3"/>
  <c r="A1593" i="3"/>
  <c r="F1592" i="3"/>
  <c r="E1592" i="3"/>
  <c r="D1592" i="3"/>
  <c r="C1592" i="3"/>
  <c r="B1592" i="3"/>
  <c r="A1592" i="3"/>
  <c r="F1591" i="3"/>
  <c r="E1591" i="3"/>
  <c r="D1591" i="3"/>
  <c r="C1591" i="3"/>
  <c r="B1591" i="3"/>
  <c r="A1591" i="3"/>
  <c r="F1590" i="3"/>
  <c r="E1590" i="3"/>
  <c r="D1590" i="3"/>
  <c r="C1590" i="3"/>
  <c r="B1590" i="3"/>
  <c r="A1590" i="3"/>
  <c r="F1589" i="3"/>
  <c r="E1589" i="3"/>
  <c r="D1589" i="3"/>
  <c r="C1589" i="3"/>
  <c r="B1589" i="3"/>
  <c r="A1589" i="3"/>
  <c r="F1588" i="3"/>
  <c r="E1588" i="3"/>
  <c r="D1588" i="3"/>
  <c r="C1588" i="3"/>
  <c r="B1588" i="3"/>
  <c r="A1588" i="3"/>
  <c r="F1587" i="3"/>
  <c r="E1587" i="3"/>
  <c r="D1587" i="3"/>
  <c r="C1587" i="3"/>
  <c r="B1587" i="3"/>
  <c r="A1587" i="3"/>
  <c r="F1586" i="3"/>
  <c r="E1586" i="3"/>
  <c r="D1586" i="3"/>
  <c r="C1586" i="3"/>
  <c r="B1586" i="3"/>
  <c r="A1586" i="3"/>
  <c r="F1585" i="3"/>
  <c r="E1585" i="3"/>
  <c r="D1585" i="3"/>
  <c r="C1585" i="3"/>
  <c r="B1585" i="3"/>
  <c r="A1585" i="3"/>
  <c r="F1584" i="3"/>
  <c r="E1584" i="3"/>
  <c r="D1584" i="3"/>
  <c r="C1584" i="3"/>
  <c r="B1584" i="3"/>
  <c r="A1584" i="3"/>
  <c r="F1583" i="3"/>
  <c r="E1583" i="3"/>
  <c r="D1583" i="3"/>
  <c r="C1583" i="3"/>
  <c r="B1583" i="3"/>
  <c r="A1583" i="3"/>
  <c r="F1582" i="3"/>
  <c r="E1582" i="3"/>
  <c r="D1582" i="3"/>
  <c r="C1582" i="3"/>
  <c r="B1582" i="3"/>
  <c r="A1582" i="3"/>
  <c r="F1581" i="3"/>
  <c r="E1581" i="3"/>
  <c r="D1581" i="3"/>
  <c r="C1581" i="3"/>
  <c r="B1581" i="3"/>
  <c r="A1581" i="3"/>
  <c r="F1580" i="3"/>
  <c r="E1580" i="3"/>
  <c r="D1580" i="3"/>
  <c r="C1580" i="3"/>
  <c r="B1580" i="3"/>
  <c r="A1580" i="3"/>
  <c r="F1579" i="3"/>
  <c r="E1579" i="3"/>
  <c r="D1579" i="3"/>
  <c r="C1579" i="3"/>
  <c r="B1579" i="3"/>
  <c r="A1579" i="3"/>
  <c r="F1578" i="3"/>
  <c r="E1578" i="3"/>
  <c r="D1578" i="3"/>
  <c r="C1578" i="3"/>
  <c r="B1578" i="3"/>
  <c r="A1578" i="3"/>
  <c r="F1577" i="3"/>
  <c r="E1577" i="3"/>
  <c r="D1577" i="3"/>
  <c r="C1577" i="3"/>
  <c r="B1577" i="3"/>
  <c r="A1577" i="3"/>
  <c r="F1576" i="3"/>
  <c r="E1576" i="3"/>
  <c r="D1576" i="3"/>
  <c r="C1576" i="3"/>
  <c r="B1576" i="3"/>
  <c r="A1576" i="3"/>
  <c r="F1575" i="3"/>
  <c r="E1575" i="3"/>
  <c r="D1575" i="3"/>
  <c r="C1575" i="3"/>
  <c r="B1575" i="3"/>
  <c r="A1575" i="3"/>
  <c r="F1574" i="3"/>
  <c r="E1574" i="3"/>
  <c r="D1574" i="3"/>
  <c r="C1574" i="3"/>
  <c r="B1574" i="3"/>
  <c r="A1574" i="3"/>
  <c r="F1573" i="3"/>
  <c r="E1573" i="3"/>
  <c r="D1573" i="3"/>
  <c r="C1573" i="3"/>
  <c r="B1573" i="3"/>
  <c r="A1573" i="3"/>
  <c r="F1572" i="3"/>
  <c r="E1572" i="3"/>
  <c r="D1572" i="3"/>
  <c r="C1572" i="3"/>
  <c r="B1572" i="3"/>
  <c r="A1572" i="3"/>
  <c r="F1571" i="3"/>
  <c r="E1571" i="3"/>
  <c r="D1571" i="3"/>
  <c r="C1571" i="3"/>
  <c r="B1571" i="3"/>
  <c r="A1571" i="3"/>
  <c r="F1570" i="3"/>
  <c r="E1570" i="3"/>
  <c r="D1570" i="3"/>
  <c r="C1570" i="3"/>
  <c r="B1570" i="3"/>
  <c r="A1570" i="3"/>
  <c r="F1569" i="3"/>
  <c r="E1569" i="3"/>
  <c r="D1569" i="3"/>
  <c r="C1569" i="3"/>
  <c r="B1569" i="3"/>
  <c r="A1569" i="3"/>
  <c r="F1568" i="3"/>
  <c r="E1568" i="3"/>
  <c r="D1568" i="3"/>
  <c r="C1568" i="3"/>
  <c r="B1568" i="3"/>
  <c r="A1568" i="3"/>
  <c r="F1567" i="3"/>
  <c r="E1567" i="3"/>
  <c r="D1567" i="3"/>
  <c r="C1567" i="3"/>
  <c r="B1567" i="3"/>
  <c r="A1567" i="3"/>
  <c r="F1566" i="3"/>
  <c r="E1566" i="3"/>
  <c r="D1566" i="3"/>
  <c r="C1566" i="3"/>
  <c r="B1566" i="3"/>
  <c r="A1566" i="3"/>
  <c r="F1565" i="3"/>
  <c r="E1565" i="3"/>
  <c r="D1565" i="3"/>
  <c r="C1565" i="3"/>
  <c r="B1565" i="3"/>
  <c r="A1565" i="3"/>
  <c r="F1564" i="3"/>
  <c r="E1564" i="3"/>
  <c r="D1564" i="3"/>
  <c r="C1564" i="3"/>
  <c r="B1564" i="3"/>
  <c r="A1564" i="3"/>
  <c r="F1563" i="3"/>
  <c r="E1563" i="3"/>
  <c r="D1563" i="3"/>
  <c r="C1563" i="3"/>
  <c r="B1563" i="3"/>
  <c r="A1563" i="3"/>
  <c r="F1562" i="3"/>
  <c r="E1562" i="3"/>
  <c r="D1562" i="3"/>
  <c r="C1562" i="3"/>
  <c r="B1562" i="3"/>
  <c r="A1562" i="3"/>
  <c r="F1561" i="3"/>
  <c r="E1561" i="3"/>
  <c r="D1561" i="3"/>
  <c r="C1561" i="3"/>
  <c r="B1561" i="3"/>
  <c r="A1561" i="3"/>
  <c r="F1560" i="3"/>
  <c r="E1560" i="3"/>
  <c r="D1560" i="3"/>
  <c r="C1560" i="3"/>
  <c r="B1560" i="3"/>
  <c r="A1560" i="3"/>
  <c r="F1559" i="3"/>
  <c r="E1559" i="3"/>
  <c r="D1559" i="3"/>
  <c r="C1559" i="3"/>
  <c r="B1559" i="3"/>
  <c r="A1559" i="3"/>
  <c r="F1558" i="3"/>
  <c r="E1558" i="3"/>
  <c r="D1558" i="3"/>
  <c r="C1558" i="3"/>
  <c r="B1558" i="3"/>
  <c r="A1558" i="3"/>
  <c r="F1557" i="3"/>
  <c r="E1557" i="3"/>
  <c r="D1557" i="3"/>
  <c r="C1557" i="3"/>
  <c r="B1557" i="3"/>
  <c r="A1557" i="3"/>
  <c r="F1556" i="3"/>
  <c r="E1556" i="3"/>
  <c r="D1556" i="3"/>
  <c r="C1556" i="3"/>
  <c r="B1556" i="3"/>
  <c r="A1556" i="3"/>
  <c r="F1555" i="3"/>
  <c r="E1555" i="3"/>
  <c r="D1555" i="3"/>
  <c r="C1555" i="3"/>
  <c r="B1555" i="3"/>
  <c r="A1555" i="3"/>
  <c r="F1554" i="3"/>
  <c r="E1554" i="3"/>
  <c r="D1554" i="3"/>
  <c r="C1554" i="3"/>
  <c r="B1554" i="3"/>
  <c r="A1554" i="3"/>
  <c r="F1553" i="3"/>
  <c r="E1553" i="3"/>
  <c r="D1553" i="3"/>
  <c r="C1553" i="3"/>
  <c r="B1553" i="3"/>
  <c r="A1553" i="3"/>
  <c r="F1552" i="3"/>
  <c r="E1552" i="3"/>
  <c r="D1552" i="3"/>
  <c r="C1552" i="3"/>
  <c r="B1552" i="3"/>
  <c r="A1552" i="3"/>
  <c r="F1551" i="3"/>
  <c r="E1551" i="3"/>
  <c r="D1551" i="3"/>
  <c r="C1551" i="3"/>
  <c r="B1551" i="3"/>
  <c r="A1551" i="3"/>
  <c r="F1550" i="3"/>
  <c r="E1550" i="3"/>
  <c r="D1550" i="3"/>
  <c r="C1550" i="3"/>
  <c r="B1550" i="3"/>
  <c r="A1550" i="3"/>
  <c r="F1549" i="3"/>
  <c r="E1549" i="3"/>
  <c r="D1549" i="3"/>
  <c r="C1549" i="3"/>
  <c r="B1549" i="3"/>
  <c r="A1549" i="3"/>
  <c r="F1548" i="3"/>
  <c r="E1548" i="3"/>
  <c r="D1548" i="3"/>
  <c r="C1548" i="3"/>
  <c r="B1548" i="3"/>
  <c r="A1548" i="3"/>
  <c r="F1547" i="3"/>
  <c r="E1547" i="3"/>
  <c r="D1547" i="3"/>
  <c r="C1547" i="3"/>
  <c r="B1547" i="3"/>
  <c r="A1547" i="3"/>
  <c r="F1546" i="3"/>
  <c r="E1546" i="3"/>
  <c r="D1546" i="3"/>
  <c r="C1546" i="3"/>
  <c r="B1546" i="3"/>
  <c r="A1546" i="3"/>
  <c r="F1545" i="3"/>
  <c r="E1545" i="3"/>
  <c r="D1545" i="3"/>
  <c r="C1545" i="3"/>
  <c r="B1545" i="3"/>
  <c r="A1545" i="3"/>
  <c r="F1544" i="3"/>
  <c r="E1544" i="3"/>
  <c r="D1544" i="3"/>
  <c r="C1544" i="3"/>
  <c r="B1544" i="3"/>
  <c r="A1544" i="3"/>
  <c r="F1543" i="3"/>
  <c r="E1543" i="3"/>
  <c r="D1543" i="3"/>
  <c r="C1543" i="3"/>
  <c r="B1543" i="3"/>
  <c r="A1543" i="3"/>
  <c r="F1542" i="3"/>
  <c r="E1542" i="3"/>
  <c r="D1542" i="3"/>
  <c r="C1542" i="3"/>
  <c r="B1542" i="3"/>
  <c r="A1542" i="3"/>
  <c r="F1541" i="3"/>
  <c r="E1541" i="3"/>
  <c r="D1541" i="3"/>
  <c r="C1541" i="3"/>
  <c r="B1541" i="3"/>
  <c r="A1541" i="3"/>
  <c r="F1540" i="3"/>
  <c r="E1540" i="3"/>
  <c r="D1540" i="3"/>
  <c r="C1540" i="3"/>
  <c r="B1540" i="3"/>
  <c r="A1540" i="3"/>
  <c r="F1539" i="3"/>
  <c r="E1539" i="3"/>
  <c r="D1539" i="3"/>
  <c r="C1539" i="3"/>
  <c r="B1539" i="3"/>
  <c r="A1539" i="3"/>
  <c r="F1538" i="3"/>
  <c r="E1538" i="3"/>
  <c r="D1538" i="3"/>
  <c r="C1538" i="3"/>
  <c r="B1538" i="3"/>
  <c r="A1538" i="3"/>
  <c r="F1537" i="3"/>
  <c r="E1537" i="3"/>
  <c r="D1537" i="3"/>
  <c r="C1537" i="3"/>
  <c r="B1537" i="3"/>
  <c r="A1537" i="3"/>
  <c r="F1536" i="3"/>
  <c r="E1536" i="3"/>
  <c r="D1536" i="3"/>
  <c r="C1536" i="3"/>
  <c r="B1536" i="3"/>
  <c r="A1536" i="3"/>
  <c r="F1535" i="3"/>
  <c r="E1535" i="3"/>
  <c r="D1535" i="3"/>
  <c r="C1535" i="3"/>
  <c r="B1535" i="3"/>
  <c r="A1535" i="3"/>
  <c r="F1534" i="3"/>
  <c r="E1534" i="3"/>
  <c r="D1534" i="3"/>
  <c r="C1534" i="3"/>
  <c r="B1534" i="3"/>
  <c r="A1534" i="3"/>
  <c r="F1533" i="3"/>
  <c r="E1533" i="3"/>
  <c r="D1533" i="3"/>
  <c r="C1533" i="3"/>
  <c r="B1533" i="3"/>
  <c r="A1533" i="3"/>
  <c r="F1532" i="3"/>
  <c r="E1532" i="3"/>
  <c r="D1532" i="3"/>
  <c r="C1532" i="3"/>
  <c r="B1532" i="3"/>
  <c r="A1532" i="3"/>
  <c r="F1531" i="3"/>
  <c r="E1531" i="3"/>
  <c r="D1531" i="3"/>
  <c r="C1531" i="3"/>
  <c r="B1531" i="3"/>
  <c r="A1531" i="3"/>
  <c r="F1530" i="3"/>
  <c r="E1530" i="3"/>
  <c r="D1530" i="3"/>
  <c r="C1530" i="3"/>
  <c r="B1530" i="3"/>
  <c r="A1530" i="3"/>
  <c r="F1529" i="3"/>
  <c r="E1529" i="3"/>
  <c r="D1529" i="3"/>
  <c r="C1529" i="3"/>
  <c r="B1529" i="3"/>
  <c r="A1529" i="3"/>
  <c r="F1528" i="3"/>
  <c r="E1528" i="3"/>
  <c r="D1528" i="3"/>
  <c r="C1528" i="3"/>
  <c r="B1528" i="3"/>
  <c r="A1528" i="3"/>
  <c r="F1527" i="3"/>
  <c r="E1527" i="3"/>
  <c r="D1527" i="3"/>
  <c r="C1527" i="3"/>
  <c r="B1527" i="3"/>
  <c r="A1527" i="3"/>
  <c r="F1526" i="3"/>
  <c r="E1526" i="3"/>
  <c r="D1526" i="3"/>
  <c r="C1526" i="3"/>
  <c r="B1526" i="3"/>
  <c r="A1526" i="3"/>
  <c r="F1525" i="3"/>
  <c r="E1525" i="3"/>
  <c r="D1525" i="3"/>
  <c r="C1525" i="3"/>
  <c r="B1525" i="3"/>
  <c r="A1525" i="3"/>
  <c r="F1524" i="3"/>
  <c r="E1524" i="3"/>
  <c r="D1524" i="3"/>
  <c r="C1524" i="3"/>
  <c r="B1524" i="3"/>
  <c r="A1524" i="3"/>
  <c r="F1523" i="3"/>
  <c r="E1523" i="3"/>
  <c r="D1523" i="3"/>
  <c r="C1523" i="3"/>
  <c r="B1523" i="3"/>
  <c r="A1523" i="3"/>
  <c r="F1522" i="3"/>
  <c r="E1522" i="3"/>
  <c r="D1522" i="3"/>
  <c r="C1522" i="3"/>
  <c r="B1522" i="3"/>
  <c r="A1522" i="3"/>
  <c r="F1521" i="3"/>
  <c r="E1521" i="3"/>
  <c r="D1521" i="3"/>
  <c r="C1521" i="3"/>
  <c r="B1521" i="3"/>
  <c r="A1521" i="3"/>
  <c r="F1520" i="3"/>
  <c r="E1520" i="3"/>
  <c r="D1520" i="3"/>
  <c r="C1520" i="3"/>
  <c r="B1520" i="3"/>
  <c r="A1520" i="3"/>
  <c r="F1519" i="3"/>
  <c r="E1519" i="3"/>
  <c r="D1519" i="3"/>
  <c r="C1519" i="3"/>
  <c r="B1519" i="3"/>
  <c r="A1519" i="3"/>
  <c r="F1518" i="3"/>
  <c r="E1518" i="3"/>
  <c r="D1518" i="3"/>
  <c r="C1518" i="3"/>
  <c r="B1518" i="3"/>
  <c r="A1518" i="3"/>
  <c r="F1517" i="3"/>
  <c r="E1517" i="3"/>
  <c r="D1517" i="3"/>
  <c r="C1517" i="3"/>
  <c r="B1517" i="3"/>
  <c r="A1517" i="3"/>
  <c r="F1516" i="3"/>
  <c r="E1516" i="3"/>
  <c r="D1516" i="3"/>
  <c r="C1516" i="3"/>
  <c r="B1516" i="3"/>
  <c r="A1516" i="3"/>
  <c r="F1515" i="3"/>
  <c r="E1515" i="3"/>
  <c r="D1515" i="3"/>
  <c r="C1515" i="3"/>
  <c r="B1515" i="3"/>
  <c r="A1515" i="3"/>
  <c r="F1514" i="3"/>
  <c r="E1514" i="3"/>
  <c r="D1514" i="3"/>
  <c r="C1514" i="3"/>
  <c r="B1514" i="3"/>
  <c r="A1514" i="3"/>
  <c r="F1513" i="3"/>
  <c r="E1513" i="3"/>
  <c r="D1513" i="3"/>
  <c r="C1513" i="3"/>
  <c r="B1513" i="3"/>
  <c r="A1513" i="3"/>
  <c r="F1512" i="3"/>
  <c r="E1512" i="3"/>
  <c r="D1512" i="3"/>
  <c r="C1512" i="3"/>
  <c r="B1512" i="3"/>
  <c r="A1512" i="3"/>
  <c r="F1511" i="3"/>
  <c r="E1511" i="3"/>
  <c r="D1511" i="3"/>
  <c r="C1511" i="3"/>
  <c r="B1511" i="3"/>
  <c r="A1511" i="3"/>
  <c r="F1510" i="3"/>
  <c r="E1510" i="3"/>
  <c r="D1510" i="3"/>
  <c r="C1510" i="3"/>
  <c r="B1510" i="3"/>
  <c r="A1510" i="3"/>
  <c r="F1509" i="3"/>
  <c r="E1509" i="3"/>
  <c r="D1509" i="3"/>
  <c r="C1509" i="3"/>
  <c r="B1509" i="3"/>
  <c r="A1509" i="3"/>
  <c r="F1508" i="3"/>
  <c r="E1508" i="3"/>
  <c r="D1508" i="3"/>
  <c r="C1508" i="3"/>
  <c r="B1508" i="3"/>
  <c r="A1508" i="3"/>
  <c r="F1507" i="3"/>
  <c r="E1507" i="3"/>
  <c r="D1507" i="3"/>
  <c r="C1507" i="3"/>
  <c r="B1507" i="3"/>
  <c r="A1507" i="3"/>
  <c r="F1506" i="3"/>
  <c r="E1506" i="3"/>
  <c r="D1506" i="3"/>
  <c r="C1506" i="3"/>
  <c r="B1506" i="3"/>
  <c r="A1506" i="3"/>
  <c r="F1505" i="3"/>
  <c r="E1505" i="3"/>
  <c r="D1505" i="3"/>
  <c r="C1505" i="3"/>
  <c r="B1505" i="3"/>
  <c r="A1505" i="3"/>
  <c r="F1504" i="3"/>
  <c r="E1504" i="3"/>
  <c r="D1504" i="3"/>
  <c r="C1504" i="3"/>
  <c r="B1504" i="3"/>
  <c r="A1504" i="3"/>
  <c r="F1503" i="3"/>
  <c r="E1503" i="3"/>
  <c r="D1503" i="3"/>
  <c r="C1503" i="3"/>
  <c r="B1503" i="3"/>
  <c r="A1503" i="3"/>
  <c r="F1502" i="3"/>
  <c r="E1502" i="3"/>
  <c r="D1502" i="3"/>
  <c r="C1502" i="3"/>
  <c r="B1502" i="3"/>
  <c r="A1502" i="3"/>
  <c r="F1501" i="3"/>
  <c r="E1501" i="3"/>
  <c r="D1501" i="3"/>
  <c r="C1501" i="3"/>
  <c r="B1501" i="3"/>
  <c r="A1501" i="3"/>
  <c r="F1500" i="3"/>
  <c r="E1500" i="3"/>
  <c r="D1500" i="3"/>
  <c r="C1500" i="3"/>
  <c r="B1500" i="3"/>
  <c r="A1500" i="3"/>
  <c r="F1499" i="3"/>
  <c r="E1499" i="3"/>
  <c r="D1499" i="3"/>
  <c r="C1499" i="3"/>
  <c r="B1499" i="3"/>
  <c r="A1499" i="3"/>
  <c r="F1498" i="3"/>
  <c r="E1498" i="3"/>
  <c r="D1498" i="3"/>
  <c r="C1498" i="3"/>
  <c r="B1498" i="3"/>
  <c r="A1498" i="3"/>
  <c r="F1497" i="3"/>
  <c r="E1497" i="3"/>
  <c r="D1497" i="3"/>
  <c r="C1497" i="3"/>
  <c r="B1497" i="3"/>
  <c r="A1497" i="3"/>
  <c r="F1496" i="3"/>
  <c r="E1496" i="3"/>
  <c r="D1496" i="3"/>
  <c r="C1496" i="3"/>
  <c r="B1496" i="3"/>
  <c r="A1496" i="3"/>
  <c r="F1495" i="3"/>
  <c r="E1495" i="3"/>
  <c r="D1495" i="3"/>
  <c r="C1495" i="3"/>
  <c r="B1495" i="3"/>
  <c r="A1495" i="3"/>
  <c r="F1494" i="3"/>
  <c r="E1494" i="3"/>
  <c r="D1494" i="3"/>
  <c r="C1494" i="3"/>
  <c r="B1494" i="3"/>
  <c r="A1494" i="3"/>
  <c r="F1493" i="3"/>
  <c r="E1493" i="3"/>
  <c r="D1493" i="3"/>
  <c r="C1493" i="3"/>
  <c r="B1493" i="3"/>
  <c r="A1493" i="3"/>
  <c r="F1492" i="3"/>
  <c r="E1492" i="3"/>
  <c r="D1492" i="3"/>
  <c r="C1492" i="3"/>
  <c r="B1492" i="3"/>
  <c r="A1492" i="3"/>
  <c r="F1491" i="3"/>
  <c r="E1491" i="3"/>
  <c r="D1491" i="3"/>
  <c r="C1491" i="3"/>
  <c r="B1491" i="3"/>
  <c r="A1491" i="3"/>
  <c r="F1490" i="3"/>
  <c r="E1490" i="3"/>
  <c r="D1490" i="3"/>
  <c r="C1490" i="3"/>
  <c r="B1490" i="3"/>
  <c r="A1490" i="3"/>
  <c r="F1489" i="3"/>
  <c r="E1489" i="3"/>
  <c r="D1489" i="3"/>
  <c r="C1489" i="3"/>
  <c r="B1489" i="3"/>
  <c r="A1489" i="3"/>
  <c r="F1488" i="3"/>
  <c r="E1488" i="3"/>
  <c r="D1488" i="3"/>
  <c r="C1488" i="3"/>
  <c r="B1488" i="3"/>
  <c r="A1488" i="3"/>
  <c r="F1487" i="3"/>
  <c r="E1487" i="3"/>
  <c r="D1487" i="3"/>
  <c r="C1487" i="3"/>
  <c r="B1487" i="3"/>
  <c r="A1487" i="3"/>
  <c r="F1486" i="3"/>
  <c r="E1486" i="3"/>
  <c r="D1486" i="3"/>
  <c r="C1486" i="3"/>
  <c r="B1486" i="3"/>
  <c r="A1486" i="3"/>
  <c r="F1485" i="3"/>
  <c r="E1485" i="3"/>
  <c r="D1485" i="3"/>
  <c r="C1485" i="3"/>
  <c r="B1485" i="3"/>
  <c r="A1485" i="3"/>
  <c r="F1484" i="3"/>
  <c r="E1484" i="3"/>
  <c r="D1484" i="3"/>
  <c r="C1484" i="3"/>
  <c r="B1484" i="3"/>
  <c r="A1484" i="3"/>
  <c r="F1483" i="3"/>
  <c r="E1483" i="3"/>
  <c r="D1483" i="3"/>
  <c r="C1483" i="3"/>
  <c r="B1483" i="3"/>
  <c r="A1483" i="3"/>
  <c r="F1482" i="3"/>
  <c r="E1482" i="3"/>
  <c r="D1482" i="3"/>
  <c r="C1482" i="3"/>
  <c r="B1482" i="3"/>
  <c r="A1482" i="3"/>
  <c r="F1481" i="3"/>
  <c r="E1481" i="3"/>
  <c r="D1481" i="3"/>
  <c r="C1481" i="3"/>
  <c r="B1481" i="3"/>
  <c r="A1481" i="3"/>
  <c r="F1480" i="3"/>
  <c r="E1480" i="3"/>
  <c r="D1480" i="3"/>
  <c r="C1480" i="3"/>
  <c r="B1480" i="3"/>
  <c r="A1480" i="3"/>
  <c r="F1479" i="3"/>
  <c r="E1479" i="3"/>
  <c r="D1479" i="3"/>
  <c r="C1479" i="3"/>
  <c r="B1479" i="3"/>
  <c r="A1479" i="3"/>
  <c r="F1478" i="3"/>
  <c r="E1478" i="3"/>
  <c r="D1478" i="3"/>
  <c r="C1478" i="3"/>
  <c r="B1478" i="3"/>
  <c r="A1478" i="3"/>
  <c r="F1477" i="3"/>
  <c r="E1477" i="3"/>
  <c r="D1477" i="3"/>
  <c r="C1477" i="3"/>
  <c r="B1477" i="3"/>
  <c r="A1477" i="3"/>
  <c r="F1476" i="3"/>
  <c r="E1476" i="3"/>
  <c r="D1476" i="3"/>
  <c r="C1476" i="3"/>
  <c r="B1476" i="3"/>
  <c r="A1476" i="3"/>
  <c r="F1475" i="3"/>
  <c r="E1475" i="3"/>
  <c r="D1475" i="3"/>
  <c r="C1475" i="3"/>
  <c r="B1475" i="3"/>
  <c r="A1475" i="3"/>
  <c r="F1474" i="3"/>
  <c r="E1474" i="3"/>
  <c r="D1474" i="3"/>
  <c r="C1474" i="3"/>
  <c r="B1474" i="3"/>
  <c r="A1474" i="3"/>
  <c r="F1473" i="3"/>
  <c r="E1473" i="3"/>
  <c r="D1473" i="3"/>
  <c r="C1473" i="3"/>
  <c r="B1473" i="3"/>
  <c r="A1473" i="3"/>
  <c r="F1472" i="3"/>
  <c r="E1472" i="3"/>
  <c r="D1472" i="3"/>
  <c r="C1472" i="3"/>
  <c r="B1472" i="3"/>
  <c r="A1472" i="3"/>
  <c r="F1471" i="3"/>
  <c r="E1471" i="3"/>
  <c r="D1471" i="3"/>
  <c r="C1471" i="3"/>
  <c r="B1471" i="3"/>
  <c r="A1471" i="3"/>
  <c r="F1470" i="3"/>
  <c r="E1470" i="3"/>
  <c r="D1470" i="3"/>
  <c r="C1470" i="3"/>
  <c r="B1470" i="3"/>
  <c r="A1470" i="3"/>
  <c r="F1469" i="3"/>
  <c r="E1469" i="3"/>
  <c r="D1469" i="3"/>
  <c r="C1469" i="3"/>
  <c r="B1469" i="3"/>
  <c r="A1469" i="3"/>
  <c r="F1468" i="3"/>
  <c r="E1468" i="3"/>
  <c r="D1468" i="3"/>
  <c r="C1468" i="3"/>
  <c r="B1468" i="3"/>
  <c r="A1468" i="3"/>
  <c r="F1467" i="3"/>
  <c r="E1467" i="3"/>
  <c r="D1467" i="3"/>
  <c r="C1467" i="3"/>
  <c r="B1467" i="3"/>
  <c r="A1467" i="3"/>
  <c r="F1466" i="3"/>
  <c r="E1466" i="3"/>
  <c r="D1466" i="3"/>
  <c r="C1466" i="3"/>
  <c r="B1466" i="3"/>
  <c r="A1466" i="3"/>
  <c r="F1465" i="3"/>
  <c r="E1465" i="3"/>
  <c r="D1465" i="3"/>
  <c r="C1465" i="3"/>
  <c r="B1465" i="3"/>
  <c r="A1465" i="3"/>
  <c r="F1464" i="3"/>
  <c r="E1464" i="3"/>
  <c r="D1464" i="3"/>
  <c r="C1464" i="3"/>
  <c r="B1464" i="3"/>
  <c r="A1464" i="3"/>
  <c r="F1463" i="3"/>
  <c r="E1463" i="3"/>
  <c r="D1463" i="3"/>
  <c r="C1463" i="3"/>
  <c r="B1463" i="3"/>
  <c r="A1463" i="3"/>
  <c r="F1462" i="3"/>
  <c r="E1462" i="3"/>
  <c r="D1462" i="3"/>
  <c r="C1462" i="3"/>
  <c r="B1462" i="3"/>
  <c r="A1462" i="3"/>
  <c r="F1461" i="3"/>
  <c r="E1461" i="3"/>
  <c r="D1461" i="3"/>
  <c r="C1461" i="3"/>
  <c r="B1461" i="3"/>
  <c r="A1461" i="3"/>
  <c r="F1460" i="3"/>
  <c r="E1460" i="3"/>
  <c r="D1460" i="3"/>
  <c r="C1460" i="3"/>
  <c r="B1460" i="3"/>
  <c r="A1460" i="3"/>
  <c r="F1459" i="3"/>
  <c r="E1459" i="3"/>
  <c r="D1459" i="3"/>
  <c r="C1459" i="3"/>
  <c r="B1459" i="3"/>
  <c r="A1459" i="3"/>
  <c r="F1458" i="3"/>
  <c r="E1458" i="3"/>
  <c r="D1458" i="3"/>
  <c r="C1458" i="3"/>
  <c r="B1458" i="3"/>
  <c r="A1458" i="3"/>
  <c r="F1457" i="3"/>
  <c r="E1457" i="3"/>
  <c r="D1457" i="3"/>
  <c r="C1457" i="3"/>
  <c r="B1457" i="3"/>
  <c r="A1457" i="3"/>
  <c r="F1456" i="3"/>
  <c r="E1456" i="3"/>
  <c r="D1456" i="3"/>
  <c r="C1456" i="3"/>
  <c r="B1456" i="3"/>
  <c r="A1456" i="3"/>
  <c r="F1455" i="3"/>
  <c r="E1455" i="3"/>
  <c r="D1455" i="3"/>
  <c r="C1455" i="3"/>
  <c r="B1455" i="3"/>
  <c r="A1455" i="3"/>
  <c r="F1454" i="3"/>
  <c r="E1454" i="3"/>
  <c r="D1454" i="3"/>
  <c r="C1454" i="3"/>
  <c r="B1454" i="3"/>
  <c r="A1454" i="3"/>
  <c r="F1453" i="3"/>
  <c r="E1453" i="3"/>
  <c r="D1453" i="3"/>
  <c r="C1453" i="3"/>
  <c r="B1453" i="3"/>
  <c r="A1453" i="3"/>
  <c r="F1452" i="3"/>
  <c r="E1452" i="3"/>
  <c r="D1452" i="3"/>
  <c r="C1452" i="3"/>
  <c r="B1452" i="3"/>
  <c r="A1452" i="3"/>
  <c r="F1451" i="3"/>
  <c r="E1451" i="3"/>
  <c r="D1451" i="3"/>
  <c r="C1451" i="3"/>
  <c r="B1451" i="3"/>
  <c r="A1451" i="3"/>
  <c r="F1450" i="3"/>
  <c r="E1450" i="3"/>
  <c r="D1450" i="3"/>
  <c r="C1450" i="3"/>
  <c r="B1450" i="3"/>
  <c r="A1450" i="3"/>
  <c r="F1449" i="3"/>
  <c r="E1449" i="3"/>
  <c r="D1449" i="3"/>
  <c r="C1449" i="3"/>
  <c r="B1449" i="3"/>
  <c r="A1449" i="3"/>
  <c r="F1448" i="3"/>
  <c r="E1448" i="3"/>
  <c r="D1448" i="3"/>
  <c r="C1448" i="3"/>
  <c r="B1448" i="3"/>
  <c r="A1448" i="3"/>
  <c r="F1447" i="3"/>
  <c r="E1447" i="3"/>
  <c r="D1447" i="3"/>
  <c r="C1447" i="3"/>
  <c r="B1447" i="3"/>
  <c r="A1447" i="3"/>
  <c r="F1446" i="3"/>
  <c r="E1446" i="3"/>
  <c r="D1446" i="3"/>
  <c r="C1446" i="3"/>
  <c r="B1446" i="3"/>
  <c r="A1446" i="3"/>
  <c r="F1445" i="3"/>
  <c r="E1445" i="3"/>
  <c r="D1445" i="3"/>
  <c r="C1445" i="3"/>
  <c r="B1445" i="3"/>
  <c r="A1445" i="3"/>
  <c r="F1444" i="3"/>
  <c r="E1444" i="3"/>
  <c r="D1444" i="3"/>
  <c r="C1444" i="3"/>
  <c r="B1444" i="3"/>
  <c r="A1444" i="3"/>
  <c r="F1443" i="3"/>
  <c r="E1443" i="3"/>
  <c r="D1443" i="3"/>
  <c r="C1443" i="3"/>
  <c r="B1443" i="3"/>
  <c r="A1443" i="3"/>
  <c r="F1442" i="3"/>
  <c r="E1442" i="3"/>
  <c r="D1442" i="3"/>
  <c r="C1442" i="3"/>
  <c r="B1442" i="3"/>
  <c r="A1442" i="3"/>
  <c r="F1441" i="3"/>
  <c r="E1441" i="3"/>
  <c r="D1441" i="3"/>
  <c r="C1441" i="3"/>
  <c r="B1441" i="3"/>
  <c r="A1441" i="3"/>
  <c r="F1440" i="3"/>
  <c r="E1440" i="3"/>
  <c r="D1440" i="3"/>
  <c r="C1440" i="3"/>
  <c r="B1440" i="3"/>
  <c r="A1440" i="3"/>
  <c r="F1439" i="3"/>
  <c r="E1439" i="3"/>
  <c r="D1439" i="3"/>
  <c r="C1439" i="3"/>
  <c r="B1439" i="3"/>
  <c r="A1439" i="3"/>
  <c r="F1438" i="3"/>
  <c r="E1438" i="3"/>
  <c r="D1438" i="3"/>
  <c r="C1438" i="3"/>
  <c r="B1438" i="3"/>
  <c r="A1438" i="3"/>
  <c r="F1437" i="3"/>
  <c r="E1437" i="3"/>
  <c r="D1437" i="3"/>
  <c r="C1437" i="3"/>
  <c r="B1437" i="3"/>
  <c r="A1437" i="3"/>
  <c r="F1436" i="3"/>
  <c r="E1436" i="3"/>
  <c r="D1436" i="3"/>
  <c r="C1436" i="3"/>
  <c r="B1436" i="3"/>
  <c r="A1436" i="3"/>
  <c r="F1435" i="3"/>
  <c r="E1435" i="3"/>
  <c r="D1435" i="3"/>
  <c r="C1435" i="3"/>
  <c r="B1435" i="3"/>
  <c r="A1435" i="3"/>
  <c r="F1434" i="3"/>
  <c r="E1434" i="3"/>
  <c r="D1434" i="3"/>
  <c r="C1434" i="3"/>
  <c r="B1434" i="3"/>
  <c r="A1434" i="3"/>
  <c r="F1433" i="3"/>
  <c r="E1433" i="3"/>
  <c r="D1433" i="3"/>
  <c r="C1433" i="3"/>
  <c r="B1433" i="3"/>
  <c r="A1433" i="3"/>
  <c r="F1432" i="3"/>
  <c r="E1432" i="3"/>
  <c r="D1432" i="3"/>
  <c r="C1432" i="3"/>
  <c r="B1432" i="3"/>
  <c r="A1432" i="3"/>
  <c r="F1431" i="3"/>
  <c r="E1431" i="3"/>
  <c r="D1431" i="3"/>
  <c r="C1431" i="3"/>
  <c r="B1431" i="3"/>
  <c r="A1431" i="3"/>
  <c r="F1430" i="3"/>
  <c r="E1430" i="3"/>
  <c r="D1430" i="3"/>
  <c r="C1430" i="3"/>
  <c r="B1430" i="3"/>
  <c r="A1430" i="3"/>
  <c r="F1429" i="3"/>
  <c r="E1429" i="3"/>
  <c r="D1429" i="3"/>
  <c r="C1429" i="3"/>
  <c r="B1429" i="3"/>
  <c r="A1429" i="3"/>
  <c r="F1428" i="3"/>
  <c r="E1428" i="3"/>
  <c r="D1428" i="3"/>
  <c r="C1428" i="3"/>
  <c r="B1428" i="3"/>
  <c r="A1428" i="3"/>
  <c r="F1427" i="3"/>
  <c r="E1427" i="3"/>
  <c r="D1427" i="3"/>
  <c r="C1427" i="3"/>
  <c r="B1427" i="3"/>
  <c r="A1427" i="3"/>
  <c r="F1426" i="3"/>
  <c r="E1426" i="3"/>
  <c r="D1426" i="3"/>
  <c r="C1426" i="3"/>
  <c r="B1426" i="3"/>
  <c r="A1426" i="3"/>
  <c r="F1425" i="3"/>
  <c r="E1425" i="3"/>
  <c r="D1425" i="3"/>
  <c r="C1425" i="3"/>
  <c r="B1425" i="3"/>
  <c r="A1425" i="3"/>
  <c r="F1424" i="3"/>
  <c r="E1424" i="3"/>
  <c r="D1424" i="3"/>
  <c r="C1424" i="3"/>
  <c r="B1424" i="3"/>
  <c r="A1424" i="3"/>
  <c r="F1423" i="3"/>
  <c r="E1423" i="3"/>
  <c r="D1423" i="3"/>
  <c r="C1423" i="3"/>
  <c r="B1423" i="3"/>
  <c r="A1423" i="3"/>
  <c r="F1422" i="3"/>
  <c r="E1422" i="3"/>
  <c r="D1422" i="3"/>
  <c r="C1422" i="3"/>
  <c r="B1422" i="3"/>
  <c r="A1422" i="3"/>
  <c r="F1421" i="3"/>
  <c r="E1421" i="3"/>
  <c r="D1421" i="3"/>
  <c r="C1421" i="3"/>
  <c r="B1421" i="3"/>
  <c r="A1421" i="3"/>
  <c r="F1420" i="3"/>
  <c r="E1420" i="3"/>
  <c r="D1420" i="3"/>
  <c r="C1420" i="3"/>
  <c r="B1420" i="3"/>
  <c r="A1420" i="3"/>
  <c r="F1419" i="3"/>
  <c r="E1419" i="3"/>
  <c r="D1419" i="3"/>
  <c r="C1419" i="3"/>
  <c r="B1419" i="3"/>
  <c r="A1419" i="3"/>
  <c r="F1418" i="3"/>
  <c r="E1418" i="3"/>
  <c r="D1418" i="3"/>
  <c r="C1418" i="3"/>
  <c r="B1418" i="3"/>
  <c r="A1418" i="3"/>
  <c r="F1417" i="3"/>
  <c r="E1417" i="3"/>
  <c r="D1417" i="3"/>
  <c r="C1417" i="3"/>
  <c r="B1417" i="3"/>
  <c r="A1417" i="3"/>
  <c r="F1416" i="3"/>
  <c r="E1416" i="3"/>
  <c r="D1416" i="3"/>
  <c r="C1416" i="3"/>
  <c r="B1416" i="3"/>
  <c r="A1416" i="3"/>
  <c r="F1415" i="3"/>
  <c r="E1415" i="3"/>
  <c r="D1415" i="3"/>
  <c r="C1415" i="3"/>
  <c r="B1415" i="3"/>
  <c r="A1415" i="3"/>
  <c r="F1414" i="3"/>
  <c r="E1414" i="3"/>
  <c r="D1414" i="3"/>
  <c r="C1414" i="3"/>
  <c r="B1414" i="3"/>
  <c r="A1414" i="3"/>
  <c r="F1413" i="3"/>
  <c r="E1413" i="3"/>
  <c r="D1413" i="3"/>
  <c r="C1413" i="3"/>
  <c r="B1413" i="3"/>
  <c r="A1413" i="3"/>
  <c r="F1412" i="3"/>
  <c r="E1412" i="3"/>
  <c r="D1412" i="3"/>
  <c r="C1412" i="3"/>
  <c r="B1412" i="3"/>
  <c r="A1412" i="3"/>
  <c r="F1411" i="3"/>
  <c r="E1411" i="3"/>
  <c r="D1411" i="3"/>
  <c r="C1411" i="3"/>
  <c r="B1411" i="3"/>
  <c r="A1411" i="3"/>
  <c r="F1410" i="3"/>
  <c r="E1410" i="3"/>
  <c r="D1410" i="3"/>
  <c r="C1410" i="3"/>
  <c r="B1410" i="3"/>
  <c r="A1410" i="3"/>
  <c r="F1409" i="3"/>
  <c r="E1409" i="3"/>
  <c r="D1409" i="3"/>
  <c r="C1409" i="3"/>
  <c r="B1409" i="3"/>
  <c r="A1409" i="3"/>
  <c r="F1408" i="3"/>
  <c r="E1408" i="3"/>
  <c r="D1408" i="3"/>
  <c r="C1408" i="3"/>
  <c r="B1408" i="3"/>
  <c r="A1408" i="3"/>
  <c r="F1407" i="3"/>
  <c r="E1407" i="3"/>
  <c r="D1407" i="3"/>
  <c r="C1407" i="3"/>
  <c r="B1407" i="3"/>
  <c r="A1407" i="3"/>
  <c r="F1406" i="3"/>
  <c r="E1406" i="3"/>
  <c r="D1406" i="3"/>
  <c r="C1406" i="3"/>
  <c r="B1406" i="3"/>
  <c r="A1406" i="3"/>
  <c r="F1405" i="3"/>
  <c r="E1405" i="3"/>
  <c r="D1405" i="3"/>
  <c r="C1405" i="3"/>
  <c r="B1405" i="3"/>
  <c r="A1405" i="3"/>
  <c r="F1404" i="3"/>
  <c r="E1404" i="3"/>
  <c r="D1404" i="3"/>
  <c r="C1404" i="3"/>
  <c r="B1404" i="3"/>
  <c r="A1404" i="3"/>
  <c r="F1403" i="3"/>
  <c r="E1403" i="3"/>
  <c r="D1403" i="3"/>
  <c r="C1403" i="3"/>
  <c r="B1403" i="3"/>
  <c r="A1403" i="3"/>
  <c r="F1402" i="3"/>
  <c r="E1402" i="3"/>
  <c r="D1402" i="3"/>
  <c r="C1402" i="3"/>
  <c r="B1402" i="3"/>
  <c r="A1402" i="3"/>
  <c r="F1401" i="3"/>
  <c r="E1401" i="3"/>
  <c r="D1401" i="3"/>
  <c r="C1401" i="3"/>
  <c r="B1401" i="3"/>
  <c r="A1401" i="3"/>
  <c r="F1400" i="3"/>
  <c r="E1400" i="3"/>
  <c r="D1400" i="3"/>
  <c r="C1400" i="3"/>
  <c r="B1400" i="3"/>
  <c r="A1400" i="3"/>
  <c r="F1399" i="3"/>
  <c r="E1399" i="3"/>
  <c r="D1399" i="3"/>
  <c r="C1399" i="3"/>
  <c r="B1399" i="3"/>
  <c r="A1399" i="3"/>
  <c r="F1398" i="3"/>
  <c r="E1398" i="3"/>
  <c r="D1398" i="3"/>
  <c r="C1398" i="3"/>
  <c r="B1398" i="3"/>
  <c r="A1398" i="3"/>
  <c r="F1397" i="3"/>
  <c r="E1397" i="3"/>
  <c r="D1397" i="3"/>
  <c r="C1397" i="3"/>
  <c r="B1397" i="3"/>
  <c r="A1397" i="3"/>
  <c r="F1396" i="3"/>
  <c r="E1396" i="3"/>
  <c r="D1396" i="3"/>
  <c r="C1396" i="3"/>
  <c r="B1396" i="3"/>
  <c r="A1396" i="3"/>
  <c r="F1395" i="3"/>
  <c r="E1395" i="3"/>
  <c r="D1395" i="3"/>
  <c r="C1395" i="3"/>
  <c r="B1395" i="3"/>
  <c r="A1395" i="3"/>
  <c r="F1394" i="3"/>
  <c r="E1394" i="3"/>
  <c r="D1394" i="3"/>
  <c r="C1394" i="3"/>
  <c r="B1394" i="3"/>
  <c r="A1394" i="3"/>
  <c r="F1393" i="3"/>
  <c r="E1393" i="3"/>
  <c r="D1393" i="3"/>
  <c r="C1393" i="3"/>
  <c r="B1393" i="3"/>
  <c r="A1393" i="3"/>
  <c r="F1392" i="3"/>
  <c r="E1392" i="3"/>
  <c r="D1392" i="3"/>
  <c r="C1392" i="3"/>
  <c r="B1392" i="3"/>
  <c r="A1392" i="3"/>
  <c r="F1391" i="3"/>
  <c r="E1391" i="3"/>
  <c r="D1391" i="3"/>
  <c r="C1391" i="3"/>
  <c r="B1391" i="3"/>
  <c r="A1391" i="3"/>
  <c r="F1390" i="3"/>
  <c r="E1390" i="3"/>
  <c r="D1390" i="3"/>
  <c r="C1390" i="3"/>
  <c r="B1390" i="3"/>
  <c r="A1390" i="3"/>
  <c r="F1389" i="3"/>
  <c r="E1389" i="3"/>
  <c r="D1389" i="3"/>
  <c r="C1389" i="3"/>
  <c r="B1389" i="3"/>
  <c r="A1389" i="3"/>
  <c r="F1388" i="3"/>
  <c r="E1388" i="3"/>
  <c r="D1388" i="3"/>
  <c r="C1388" i="3"/>
  <c r="B1388" i="3"/>
  <c r="A1388" i="3"/>
  <c r="F1387" i="3"/>
  <c r="E1387" i="3"/>
  <c r="D1387" i="3"/>
  <c r="C1387" i="3"/>
  <c r="B1387" i="3"/>
  <c r="A1387" i="3"/>
  <c r="F1386" i="3"/>
  <c r="E1386" i="3"/>
  <c r="D1386" i="3"/>
  <c r="C1386" i="3"/>
  <c r="B1386" i="3"/>
  <c r="A1386" i="3"/>
  <c r="F1385" i="3"/>
  <c r="E1385" i="3"/>
  <c r="D1385" i="3"/>
  <c r="C1385" i="3"/>
  <c r="B1385" i="3"/>
  <c r="A1385" i="3"/>
  <c r="F1384" i="3"/>
  <c r="E1384" i="3"/>
  <c r="D1384" i="3"/>
  <c r="C1384" i="3"/>
  <c r="B1384" i="3"/>
  <c r="A1384" i="3"/>
  <c r="F1383" i="3"/>
  <c r="E1383" i="3"/>
  <c r="D1383" i="3"/>
  <c r="C1383" i="3"/>
  <c r="B1383" i="3"/>
  <c r="A1383" i="3"/>
  <c r="F1382" i="3"/>
  <c r="E1382" i="3"/>
  <c r="D1382" i="3"/>
  <c r="C1382" i="3"/>
  <c r="B1382" i="3"/>
  <c r="A1382" i="3"/>
  <c r="F1381" i="3"/>
  <c r="E1381" i="3"/>
  <c r="D1381" i="3"/>
  <c r="C1381" i="3"/>
  <c r="B1381" i="3"/>
  <c r="A1381" i="3"/>
  <c r="F1380" i="3"/>
  <c r="E1380" i="3"/>
  <c r="D1380" i="3"/>
  <c r="C1380" i="3"/>
  <c r="B1380" i="3"/>
  <c r="A1380" i="3"/>
  <c r="F1379" i="3"/>
  <c r="E1379" i="3"/>
  <c r="D1379" i="3"/>
  <c r="C1379" i="3"/>
  <c r="B1379" i="3"/>
  <c r="A1379" i="3"/>
  <c r="F1378" i="3"/>
  <c r="E1378" i="3"/>
  <c r="D1378" i="3"/>
  <c r="C1378" i="3"/>
  <c r="B1378" i="3"/>
  <c r="A1378" i="3"/>
  <c r="F1377" i="3"/>
  <c r="E1377" i="3"/>
  <c r="D1377" i="3"/>
  <c r="C1377" i="3"/>
  <c r="B1377" i="3"/>
  <c r="A1377" i="3"/>
  <c r="F1376" i="3"/>
  <c r="E1376" i="3"/>
  <c r="D1376" i="3"/>
  <c r="C1376" i="3"/>
  <c r="B1376" i="3"/>
  <c r="A1376" i="3"/>
  <c r="F1375" i="3"/>
  <c r="E1375" i="3"/>
  <c r="D1375" i="3"/>
  <c r="C1375" i="3"/>
  <c r="B1375" i="3"/>
  <c r="A1375" i="3"/>
  <c r="F1374" i="3"/>
  <c r="E1374" i="3"/>
  <c r="D1374" i="3"/>
  <c r="C1374" i="3"/>
  <c r="B1374" i="3"/>
  <c r="A1374" i="3"/>
  <c r="F1373" i="3"/>
  <c r="E1373" i="3"/>
  <c r="D1373" i="3"/>
  <c r="C1373" i="3"/>
  <c r="B1373" i="3"/>
  <c r="A1373" i="3"/>
  <c r="F1372" i="3"/>
  <c r="E1372" i="3"/>
  <c r="D1372" i="3"/>
  <c r="C1372" i="3"/>
  <c r="B1372" i="3"/>
  <c r="A1372" i="3"/>
  <c r="F1371" i="3"/>
  <c r="E1371" i="3"/>
  <c r="D1371" i="3"/>
  <c r="C1371" i="3"/>
  <c r="B1371" i="3"/>
  <c r="A1371" i="3"/>
  <c r="F1370" i="3"/>
  <c r="E1370" i="3"/>
  <c r="D1370" i="3"/>
  <c r="C1370" i="3"/>
  <c r="B1370" i="3"/>
  <c r="A1370" i="3"/>
  <c r="F1369" i="3"/>
  <c r="E1369" i="3"/>
  <c r="D1369" i="3"/>
  <c r="C1369" i="3"/>
  <c r="B1369" i="3"/>
  <c r="A1369" i="3"/>
  <c r="F1368" i="3"/>
  <c r="E1368" i="3"/>
  <c r="D1368" i="3"/>
  <c r="C1368" i="3"/>
  <c r="B1368" i="3"/>
  <c r="A1368" i="3"/>
  <c r="F1367" i="3"/>
  <c r="E1367" i="3"/>
  <c r="D1367" i="3"/>
  <c r="C1367" i="3"/>
  <c r="B1367" i="3"/>
  <c r="A1367" i="3"/>
  <c r="F1366" i="3"/>
  <c r="E1366" i="3"/>
  <c r="D1366" i="3"/>
  <c r="C1366" i="3"/>
  <c r="B1366" i="3"/>
  <c r="A1366" i="3"/>
  <c r="F1365" i="3"/>
  <c r="E1365" i="3"/>
  <c r="D1365" i="3"/>
  <c r="C1365" i="3"/>
  <c r="B1365" i="3"/>
  <c r="A1365" i="3"/>
  <c r="F1364" i="3"/>
  <c r="E1364" i="3"/>
  <c r="D1364" i="3"/>
  <c r="C1364" i="3"/>
  <c r="B1364" i="3"/>
  <c r="A1364" i="3"/>
  <c r="F1363" i="3"/>
  <c r="E1363" i="3"/>
  <c r="D1363" i="3"/>
  <c r="C1363" i="3"/>
  <c r="B1363" i="3"/>
  <c r="A1363" i="3"/>
  <c r="F1362" i="3"/>
  <c r="E1362" i="3"/>
  <c r="D1362" i="3"/>
  <c r="C1362" i="3"/>
  <c r="B1362" i="3"/>
  <c r="A1362" i="3"/>
  <c r="F1361" i="3"/>
  <c r="E1361" i="3"/>
  <c r="D1361" i="3"/>
  <c r="C1361" i="3"/>
  <c r="B1361" i="3"/>
  <c r="A1361" i="3"/>
  <c r="F1360" i="3"/>
  <c r="E1360" i="3"/>
  <c r="D1360" i="3"/>
  <c r="C1360" i="3"/>
  <c r="B1360" i="3"/>
  <c r="A1360" i="3"/>
  <c r="F1359" i="3"/>
  <c r="E1359" i="3"/>
  <c r="D1359" i="3"/>
  <c r="C1359" i="3"/>
  <c r="B1359" i="3"/>
  <c r="A1359" i="3"/>
  <c r="F1358" i="3"/>
  <c r="E1358" i="3"/>
  <c r="D1358" i="3"/>
  <c r="C1358" i="3"/>
  <c r="B1358" i="3"/>
  <c r="A1358" i="3"/>
  <c r="F1357" i="3"/>
  <c r="E1357" i="3"/>
  <c r="D1357" i="3"/>
  <c r="C1357" i="3"/>
  <c r="B1357" i="3"/>
  <c r="A1357" i="3"/>
  <c r="F1356" i="3"/>
  <c r="E1356" i="3"/>
  <c r="D1356" i="3"/>
  <c r="C1356" i="3"/>
  <c r="B1356" i="3"/>
  <c r="A1356" i="3"/>
  <c r="F1355" i="3"/>
  <c r="E1355" i="3"/>
  <c r="D1355" i="3"/>
  <c r="C1355" i="3"/>
  <c r="B1355" i="3"/>
  <c r="A1355" i="3"/>
  <c r="F1354" i="3"/>
  <c r="E1354" i="3"/>
  <c r="D1354" i="3"/>
  <c r="C1354" i="3"/>
  <c r="B1354" i="3"/>
  <c r="A1354" i="3"/>
  <c r="F1353" i="3"/>
  <c r="E1353" i="3"/>
  <c r="D1353" i="3"/>
  <c r="C1353" i="3"/>
  <c r="B1353" i="3"/>
  <c r="A1353" i="3"/>
  <c r="F1352" i="3"/>
  <c r="E1352" i="3"/>
  <c r="D1352" i="3"/>
  <c r="C1352" i="3"/>
  <c r="B1352" i="3"/>
  <c r="A1352" i="3"/>
  <c r="F1351" i="3"/>
  <c r="E1351" i="3"/>
  <c r="D1351" i="3"/>
  <c r="C1351" i="3"/>
  <c r="B1351" i="3"/>
  <c r="A1351" i="3"/>
  <c r="F1350" i="3"/>
  <c r="E1350" i="3"/>
  <c r="D1350" i="3"/>
  <c r="C1350" i="3"/>
  <c r="B1350" i="3"/>
  <c r="A1350" i="3"/>
  <c r="F1349" i="3"/>
  <c r="E1349" i="3"/>
  <c r="D1349" i="3"/>
  <c r="C1349" i="3"/>
  <c r="B1349" i="3"/>
  <c r="A1349" i="3"/>
  <c r="F1348" i="3"/>
  <c r="E1348" i="3"/>
  <c r="D1348" i="3"/>
  <c r="C1348" i="3"/>
  <c r="B1348" i="3"/>
  <c r="A1348" i="3"/>
  <c r="F1347" i="3"/>
  <c r="E1347" i="3"/>
  <c r="D1347" i="3"/>
  <c r="C1347" i="3"/>
  <c r="B1347" i="3"/>
  <c r="A1347" i="3"/>
  <c r="F1346" i="3"/>
  <c r="E1346" i="3"/>
  <c r="D1346" i="3"/>
  <c r="C1346" i="3"/>
  <c r="B1346" i="3"/>
  <c r="A1346" i="3"/>
  <c r="F1345" i="3"/>
  <c r="E1345" i="3"/>
  <c r="D1345" i="3"/>
  <c r="C1345" i="3"/>
  <c r="B1345" i="3"/>
  <c r="A1345" i="3"/>
  <c r="F1344" i="3"/>
  <c r="E1344" i="3"/>
  <c r="D1344" i="3"/>
  <c r="C1344" i="3"/>
  <c r="B1344" i="3"/>
  <c r="A1344" i="3"/>
  <c r="F1343" i="3"/>
  <c r="E1343" i="3"/>
  <c r="D1343" i="3"/>
  <c r="C1343" i="3"/>
  <c r="B1343" i="3"/>
  <c r="A1343" i="3"/>
  <c r="F1342" i="3"/>
  <c r="E1342" i="3"/>
  <c r="D1342" i="3"/>
  <c r="C1342" i="3"/>
  <c r="B1342" i="3"/>
  <c r="A1342" i="3"/>
  <c r="F1341" i="3"/>
  <c r="E1341" i="3"/>
  <c r="D1341" i="3"/>
  <c r="C1341" i="3"/>
  <c r="B1341" i="3"/>
  <c r="A1341" i="3"/>
  <c r="F1340" i="3"/>
  <c r="E1340" i="3"/>
  <c r="D1340" i="3"/>
  <c r="C1340" i="3"/>
  <c r="B1340" i="3"/>
  <c r="A1340" i="3"/>
  <c r="F1339" i="3"/>
  <c r="E1339" i="3"/>
  <c r="D1339" i="3"/>
  <c r="C1339" i="3"/>
  <c r="B1339" i="3"/>
  <c r="A1339" i="3"/>
  <c r="F1338" i="3"/>
  <c r="E1338" i="3"/>
  <c r="D1338" i="3"/>
  <c r="C1338" i="3"/>
  <c r="B1338" i="3"/>
  <c r="A1338" i="3"/>
  <c r="F1337" i="3"/>
  <c r="E1337" i="3"/>
  <c r="D1337" i="3"/>
  <c r="C1337" i="3"/>
  <c r="B1337" i="3"/>
  <c r="A1337" i="3"/>
  <c r="F1336" i="3"/>
  <c r="E1336" i="3"/>
  <c r="D1336" i="3"/>
  <c r="C1336" i="3"/>
  <c r="B1336" i="3"/>
  <c r="A1336" i="3"/>
  <c r="F1335" i="3"/>
  <c r="E1335" i="3"/>
  <c r="D1335" i="3"/>
  <c r="C1335" i="3"/>
  <c r="B1335" i="3"/>
  <c r="A1335" i="3"/>
  <c r="F1334" i="3"/>
  <c r="E1334" i="3"/>
  <c r="D1334" i="3"/>
  <c r="C1334" i="3"/>
  <c r="B1334" i="3"/>
  <c r="A1334" i="3"/>
  <c r="F1333" i="3"/>
  <c r="E1333" i="3"/>
  <c r="D1333" i="3"/>
  <c r="C1333" i="3"/>
  <c r="B1333" i="3"/>
  <c r="A1333" i="3"/>
  <c r="F1332" i="3"/>
  <c r="E1332" i="3"/>
  <c r="D1332" i="3"/>
  <c r="C1332" i="3"/>
  <c r="B1332" i="3"/>
  <c r="A1332" i="3"/>
  <c r="F1331" i="3"/>
  <c r="E1331" i="3"/>
  <c r="D1331" i="3"/>
  <c r="C1331" i="3"/>
  <c r="B1331" i="3"/>
  <c r="A1331" i="3"/>
  <c r="F1330" i="3"/>
  <c r="E1330" i="3"/>
  <c r="D1330" i="3"/>
  <c r="C1330" i="3"/>
  <c r="B1330" i="3"/>
  <c r="A1330" i="3"/>
  <c r="F1329" i="3"/>
  <c r="E1329" i="3"/>
  <c r="D1329" i="3"/>
  <c r="C1329" i="3"/>
  <c r="B1329" i="3"/>
  <c r="A1329" i="3"/>
  <c r="F1328" i="3"/>
  <c r="E1328" i="3"/>
  <c r="D1328" i="3"/>
  <c r="C1328" i="3"/>
  <c r="B1328" i="3"/>
  <c r="A1328" i="3"/>
  <c r="F1327" i="3"/>
  <c r="E1327" i="3"/>
  <c r="D1327" i="3"/>
  <c r="C1327" i="3"/>
  <c r="B1327" i="3"/>
  <c r="A1327" i="3"/>
  <c r="F1326" i="3"/>
  <c r="E1326" i="3"/>
  <c r="D1326" i="3"/>
  <c r="C1326" i="3"/>
  <c r="B1326" i="3"/>
  <c r="A1326" i="3"/>
  <c r="F1325" i="3"/>
  <c r="E1325" i="3"/>
  <c r="D1325" i="3"/>
  <c r="C1325" i="3"/>
  <c r="B1325" i="3"/>
  <c r="A1325" i="3"/>
  <c r="F1324" i="3"/>
  <c r="E1324" i="3"/>
  <c r="D1324" i="3"/>
  <c r="C1324" i="3"/>
  <c r="B1324" i="3"/>
  <c r="A1324" i="3"/>
  <c r="F1323" i="3"/>
  <c r="E1323" i="3"/>
  <c r="D1323" i="3"/>
  <c r="C1323" i="3"/>
  <c r="B1323" i="3"/>
  <c r="A1323" i="3"/>
  <c r="F1322" i="3"/>
  <c r="E1322" i="3"/>
  <c r="D1322" i="3"/>
  <c r="C1322" i="3"/>
  <c r="B1322" i="3"/>
  <c r="A1322" i="3"/>
  <c r="F1321" i="3"/>
  <c r="E1321" i="3"/>
  <c r="D1321" i="3"/>
  <c r="C1321" i="3"/>
  <c r="B1321" i="3"/>
  <c r="A1321" i="3"/>
  <c r="F1320" i="3"/>
  <c r="E1320" i="3"/>
  <c r="D1320" i="3"/>
  <c r="C1320" i="3"/>
  <c r="B1320" i="3"/>
  <c r="A1320" i="3"/>
  <c r="F1319" i="3"/>
  <c r="E1319" i="3"/>
  <c r="D1319" i="3"/>
  <c r="C1319" i="3"/>
  <c r="B1319" i="3"/>
  <c r="A1319" i="3"/>
  <c r="F1318" i="3"/>
  <c r="E1318" i="3"/>
  <c r="D1318" i="3"/>
  <c r="C1318" i="3"/>
  <c r="B1318" i="3"/>
  <c r="A1318" i="3"/>
  <c r="F1317" i="3"/>
  <c r="E1317" i="3"/>
  <c r="D1317" i="3"/>
  <c r="C1317" i="3"/>
  <c r="B1317" i="3"/>
  <c r="A1317" i="3"/>
  <c r="F1316" i="3"/>
  <c r="E1316" i="3"/>
  <c r="D1316" i="3"/>
  <c r="C1316" i="3"/>
  <c r="B1316" i="3"/>
  <c r="A1316" i="3"/>
  <c r="F1315" i="3"/>
  <c r="E1315" i="3"/>
  <c r="D1315" i="3"/>
  <c r="C1315" i="3"/>
  <c r="B1315" i="3"/>
  <c r="A1315" i="3"/>
  <c r="F1314" i="3"/>
  <c r="E1314" i="3"/>
  <c r="D1314" i="3"/>
  <c r="C1314" i="3"/>
  <c r="B1314" i="3"/>
  <c r="A1314" i="3"/>
  <c r="F1313" i="3"/>
  <c r="E1313" i="3"/>
  <c r="D1313" i="3"/>
  <c r="C1313" i="3"/>
  <c r="B1313" i="3"/>
  <c r="A1313" i="3"/>
  <c r="F1312" i="3"/>
  <c r="E1312" i="3"/>
  <c r="D1312" i="3"/>
  <c r="C1312" i="3"/>
  <c r="B1312" i="3"/>
  <c r="A1312" i="3"/>
  <c r="F1311" i="3"/>
  <c r="E1311" i="3"/>
  <c r="D1311" i="3"/>
  <c r="C1311" i="3"/>
  <c r="B1311" i="3"/>
  <c r="A1311" i="3"/>
  <c r="F1310" i="3"/>
  <c r="E1310" i="3"/>
  <c r="D1310" i="3"/>
  <c r="C1310" i="3"/>
  <c r="B1310" i="3"/>
  <c r="A1310" i="3"/>
  <c r="F1309" i="3"/>
  <c r="E1309" i="3"/>
  <c r="D1309" i="3"/>
  <c r="C1309" i="3"/>
  <c r="B1309" i="3"/>
  <c r="A1309" i="3"/>
  <c r="F1308" i="3"/>
  <c r="E1308" i="3"/>
  <c r="D1308" i="3"/>
  <c r="C1308" i="3"/>
  <c r="B1308" i="3"/>
  <c r="A1308" i="3"/>
  <c r="F1307" i="3"/>
  <c r="E1307" i="3"/>
  <c r="D1307" i="3"/>
  <c r="C1307" i="3"/>
  <c r="B1307" i="3"/>
  <c r="A1307" i="3"/>
  <c r="F1306" i="3"/>
  <c r="E1306" i="3"/>
  <c r="D1306" i="3"/>
  <c r="C1306" i="3"/>
  <c r="B1306" i="3"/>
  <c r="A1306" i="3"/>
  <c r="F1305" i="3"/>
  <c r="E1305" i="3"/>
  <c r="D1305" i="3"/>
  <c r="C1305" i="3"/>
  <c r="B1305" i="3"/>
  <c r="A1305" i="3"/>
  <c r="F1304" i="3"/>
  <c r="E1304" i="3"/>
  <c r="D1304" i="3"/>
  <c r="C1304" i="3"/>
  <c r="B1304" i="3"/>
  <c r="A1304" i="3"/>
  <c r="F1303" i="3"/>
  <c r="E1303" i="3"/>
  <c r="D1303" i="3"/>
  <c r="C1303" i="3"/>
  <c r="B1303" i="3"/>
  <c r="A1303" i="3"/>
  <c r="F1302" i="3"/>
  <c r="E1302" i="3"/>
  <c r="D1302" i="3"/>
  <c r="C1302" i="3"/>
  <c r="B1302" i="3"/>
  <c r="A1302" i="3"/>
  <c r="F1301" i="3"/>
  <c r="E1301" i="3"/>
  <c r="D1301" i="3"/>
  <c r="C1301" i="3"/>
  <c r="B1301" i="3"/>
  <c r="A1301" i="3"/>
  <c r="F1300" i="3"/>
  <c r="E1300" i="3"/>
  <c r="D1300" i="3"/>
  <c r="C1300" i="3"/>
  <c r="B1300" i="3"/>
  <c r="A1300" i="3"/>
  <c r="F1299" i="3"/>
  <c r="E1299" i="3"/>
  <c r="D1299" i="3"/>
  <c r="C1299" i="3"/>
  <c r="B1299" i="3"/>
  <c r="A1299" i="3"/>
  <c r="F1298" i="3"/>
  <c r="E1298" i="3"/>
  <c r="D1298" i="3"/>
  <c r="C1298" i="3"/>
  <c r="B1298" i="3"/>
  <c r="A1298" i="3"/>
  <c r="F1297" i="3"/>
  <c r="E1297" i="3"/>
  <c r="D1297" i="3"/>
  <c r="C1297" i="3"/>
  <c r="B1297" i="3"/>
  <c r="A1297" i="3"/>
  <c r="F1296" i="3"/>
  <c r="E1296" i="3"/>
  <c r="D1296" i="3"/>
  <c r="C1296" i="3"/>
  <c r="B1296" i="3"/>
  <c r="A1296" i="3"/>
  <c r="F1295" i="3"/>
  <c r="E1295" i="3"/>
  <c r="D1295" i="3"/>
  <c r="C1295" i="3"/>
  <c r="B1295" i="3"/>
  <c r="A1295" i="3"/>
  <c r="F1294" i="3"/>
  <c r="E1294" i="3"/>
  <c r="D1294" i="3"/>
  <c r="C1294" i="3"/>
  <c r="B1294" i="3"/>
  <c r="A1294" i="3"/>
  <c r="F1293" i="3"/>
  <c r="E1293" i="3"/>
  <c r="D1293" i="3"/>
  <c r="C1293" i="3"/>
  <c r="B1293" i="3"/>
  <c r="A1293" i="3"/>
  <c r="F1292" i="3"/>
  <c r="E1292" i="3"/>
  <c r="D1292" i="3"/>
  <c r="C1292" i="3"/>
  <c r="B1292" i="3"/>
  <c r="A1292" i="3"/>
  <c r="F1291" i="3"/>
  <c r="E1291" i="3"/>
  <c r="D1291" i="3"/>
  <c r="C1291" i="3"/>
  <c r="B1291" i="3"/>
  <c r="A1291" i="3"/>
  <c r="F1290" i="3"/>
  <c r="E1290" i="3"/>
  <c r="D1290" i="3"/>
  <c r="C1290" i="3"/>
  <c r="B1290" i="3"/>
  <c r="A1290" i="3"/>
  <c r="F1289" i="3"/>
  <c r="E1289" i="3"/>
  <c r="D1289" i="3"/>
  <c r="C1289" i="3"/>
  <c r="B1289" i="3"/>
  <c r="A1289" i="3"/>
  <c r="F1288" i="3"/>
  <c r="E1288" i="3"/>
  <c r="D1288" i="3"/>
  <c r="C1288" i="3"/>
  <c r="B1288" i="3"/>
  <c r="A1288" i="3"/>
  <c r="F1287" i="3"/>
  <c r="E1287" i="3"/>
  <c r="D1287" i="3"/>
  <c r="C1287" i="3"/>
  <c r="B1287" i="3"/>
  <c r="A1287" i="3"/>
  <c r="F1286" i="3"/>
  <c r="E1286" i="3"/>
  <c r="D1286" i="3"/>
  <c r="C1286" i="3"/>
  <c r="B1286" i="3"/>
  <c r="A1286" i="3"/>
  <c r="F1285" i="3"/>
  <c r="E1285" i="3"/>
  <c r="D1285" i="3"/>
  <c r="C1285" i="3"/>
  <c r="B1285" i="3"/>
  <c r="A1285" i="3"/>
  <c r="F1284" i="3"/>
  <c r="E1284" i="3"/>
  <c r="D1284" i="3"/>
  <c r="C1284" i="3"/>
  <c r="B1284" i="3"/>
  <c r="A1284" i="3"/>
  <c r="F1283" i="3"/>
  <c r="E1283" i="3"/>
  <c r="D1283" i="3"/>
  <c r="C1283" i="3"/>
  <c r="B1283" i="3"/>
  <c r="A1283" i="3"/>
  <c r="F1282" i="3"/>
  <c r="E1282" i="3"/>
  <c r="D1282" i="3"/>
  <c r="C1282" i="3"/>
  <c r="B1282" i="3"/>
  <c r="A1282" i="3"/>
  <c r="F1281" i="3"/>
  <c r="E1281" i="3"/>
  <c r="D1281" i="3"/>
  <c r="C1281" i="3"/>
  <c r="B1281" i="3"/>
  <c r="A1281" i="3"/>
  <c r="F1280" i="3"/>
  <c r="E1280" i="3"/>
  <c r="D1280" i="3"/>
  <c r="C1280" i="3"/>
  <c r="B1280" i="3"/>
  <c r="A1280" i="3"/>
  <c r="F1279" i="3"/>
  <c r="E1279" i="3"/>
  <c r="D1279" i="3"/>
  <c r="C1279" i="3"/>
  <c r="B1279" i="3"/>
  <c r="A1279" i="3"/>
  <c r="F1278" i="3"/>
  <c r="E1278" i="3"/>
  <c r="D1278" i="3"/>
  <c r="C1278" i="3"/>
  <c r="B1278" i="3"/>
  <c r="A1278" i="3"/>
  <c r="F1277" i="3"/>
  <c r="E1277" i="3"/>
  <c r="D1277" i="3"/>
  <c r="C1277" i="3"/>
  <c r="B1277" i="3"/>
  <c r="A1277" i="3"/>
  <c r="F1276" i="3"/>
  <c r="E1276" i="3"/>
  <c r="D1276" i="3"/>
  <c r="C1276" i="3"/>
  <c r="B1276" i="3"/>
  <c r="A1276" i="3"/>
  <c r="F1275" i="3"/>
  <c r="E1275" i="3"/>
  <c r="D1275" i="3"/>
  <c r="C1275" i="3"/>
  <c r="B1275" i="3"/>
  <c r="A1275" i="3"/>
  <c r="F1274" i="3"/>
  <c r="E1274" i="3"/>
  <c r="D1274" i="3"/>
  <c r="C1274" i="3"/>
  <c r="B1274" i="3"/>
  <c r="A1274" i="3"/>
  <c r="F1273" i="3"/>
  <c r="E1273" i="3"/>
  <c r="D1273" i="3"/>
  <c r="C1273" i="3"/>
  <c r="B1273" i="3"/>
  <c r="A1273" i="3"/>
  <c r="F1272" i="3"/>
  <c r="E1272" i="3"/>
  <c r="D1272" i="3"/>
  <c r="C1272" i="3"/>
  <c r="B1272" i="3"/>
  <c r="A1272" i="3"/>
  <c r="F1271" i="3"/>
  <c r="E1271" i="3"/>
  <c r="D1271" i="3"/>
  <c r="C1271" i="3"/>
  <c r="B1271" i="3"/>
  <c r="A1271" i="3"/>
  <c r="F1270" i="3"/>
  <c r="E1270" i="3"/>
  <c r="D1270" i="3"/>
  <c r="C1270" i="3"/>
  <c r="B1270" i="3"/>
  <c r="A1270" i="3"/>
  <c r="F1269" i="3"/>
  <c r="E1269" i="3"/>
  <c r="D1269" i="3"/>
  <c r="C1269" i="3"/>
  <c r="B1269" i="3"/>
  <c r="A1269" i="3"/>
  <c r="F1268" i="3"/>
  <c r="E1268" i="3"/>
  <c r="D1268" i="3"/>
  <c r="C1268" i="3"/>
  <c r="B1268" i="3"/>
  <c r="A1268" i="3"/>
  <c r="F1267" i="3"/>
  <c r="E1267" i="3"/>
  <c r="D1267" i="3"/>
  <c r="C1267" i="3"/>
  <c r="B1267" i="3"/>
  <c r="A1267" i="3"/>
  <c r="F1266" i="3"/>
  <c r="E1266" i="3"/>
  <c r="D1266" i="3"/>
  <c r="C1266" i="3"/>
  <c r="B1266" i="3"/>
  <c r="A1266" i="3"/>
  <c r="F1265" i="3"/>
  <c r="E1265" i="3"/>
  <c r="D1265" i="3"/>
  <c r="C1265" i="3"/>
  <c r="B1265" i="3"/>
  <c r="A1265" i="3"/>
  <c r="F1264" i="3"/>
  <c r="E1264" i="3"/>
  <c r="D1264" i="3"/>
  <c r="C1264" i="3"/>
  <c r="B1264" i="3"/>
  <c r="A1264" i="3"/>
  <c r="F1263" i="3"/>
  <c r="E1263" i="3"/>
  <c r="D1263" i="3"/>
  <c r="C1263" i="3"/>
  <c r="B1263" i="3"/>
  <c r="A1263" i="3"/>
  <c r="F1262" i="3"/>
  <c r="E1262" i="3"/>
  <c r="D1262" i="3"/>
  <c r="C1262" i="3"/>
  <c r="B1262" i="3"/>
  <c r="A1262" i="3"/>
  <c r="F1261" i="3"/>
  <c r="E1261" i="3"/>
  <c r="D1261" i="3"/>
  <c r="C1261" i="3"/>
  <c r="B1261" i="3"/>
  <c r="A1261" i="3"/>
  <c r="F1260" i="3"/>
  <c r="E1260" i="3"/>
  <c r="D1260" i="3"/>
  <c r="C1260" i="3"/>
  <c r="B1260" i="3"/>
  <c r="A1260" i="3"/>
  <c r="F1259" i="3"/>
  <c r="E1259" i="3"/>
  <c r="D1259" i="3"/>
  <c r="C1259" i="3"/>
  <c r="B1259" i="3"/>
  <c r="A1259" i="3"/>
  <c r="F1258" i="3"/>
  <c r="E1258" i="3"/>
  <c r="D1258" i="3"/>
  <c r="C1258" i="3"/>
  <c r="B1258" i="3"/>
  <c r="A1258" i="3"/>
  <c r="F1257" i="3"/>
  <c r="E1257" i="3"/>
  <c r="D1257" i="3"/>
  <c r="C1257" i="3"/>
  <c r="B1257" i="3"/>
  <c r="A1257" i="3"/>
  <c r="F1256" i="3"/>
  <c r="E1256" i="3"/>
  <c r="D1256" i="3"/>
  <c r="C1256" i="3"/>
  <c r="B1256" i="3"/>
  <c r="A1256" i="3"/>
  <c r="F1255" i="3"/>
  <c r="E1255" i="3"/>
  <c r="D1255" i="3"/>
  <c r="C1255" i="3"/>
  <c r="B1255" i="3"/>
  <c r="A1255" i="3"/>
  <c r="F1254" i="3"/>
  <c r="E1254" i="3"/>
  <c r="D1254" i="3"/>
  <c r="C1254" i="3"/>
  <c r="B1254" i="3"/>
  <c r="A1254" i="3"/>
  <c r="F1253" i="3"/>
  <c r="E1253" i="3"/>
  <c r="D1253" i="3"/>
  <c r="C1253" i="3"/>
  <c r="B1253" i="3"/>
  <c r="A1253" i="3"/>
  <c r="F1252" i="3"/>
  <c r="E1252" i="3"/>
  <c r="D1252" i="3"/>
  <c r="C1252" i="3"/>
  <c r="B1252" i="3"/>
  <c r="A1252" i="3"/>
  <c r="F1251" i="3"/>
  <c r="E1251" i="3"/>
  <c r="D1251" i="3"/>
  <c r="C1251" i="3"/>
  <c r="B1251" i="3"/>
  <c r="A1251" i="3"/>
  <c r="F1250" i="3"/>
  <c r="E1250" i="3"/>
  <c r="D1250" i="3"/>
  <c r="C1250" i="3"/>
  <c r="B1250" i="3"/>
  <c r="A1250" i="3"/>
  <c r="F1249" i="3"/>
  <c r="E1249" i="3"/>
  <c r="D1249" i="3"/>
  <c r="C1249" i="3"/>
  <c r="B1249" i="3"/>
  <c r="A1249" i="3"/>
  <c r="F1248" i="3"/>
  <c r="E1248" i="3"/>
  <c r="D1248" i="3"/>
  <c r="C1248" i="3"/>
  <c r="B1248" i="3"/>
  <c r="A1248" i="3"/>
  <c r="F1247" i="3"/>
  <c r="E1247" i="3"/>
  <c r="D1247" i="3"/>
  <c r="C1247" i="3"/>
  <c r="B1247" i="3"/>
  <c r="A1247" i="3"/>
  <c r="F1246" i="3"/>
  <c r="E1246" i="3"/>
  <c r="D1246" i="3"/>
  <c r="C1246" i="3"/>
  <c r="B1246" i="3"/>
  <c r="A1246" i="3"/>
  <c r="F1245" i="3"/>
  <c r="E1245" i="3"/>
  <c r="D1245" i="3"/>
  <c r="C1245" i="3"/>
  <c r="B1245" i="3"/>
  <c r="A1245" i="3"/>
  <c r="F1244" i="3"/>
  <c r="E1244" i="3"/>
  <c r="D1244" i="3"/>
  <c r="C1244" i="3"/>
  <c r="B1244" i="3"/>
  <c r="A1244" i="3"/>
  <c r="F1243" i="3"/>
  <c r="E1243" i="3"/>
  <c r="D1243" i="3"/>
  <c r="C1243" i="3"/>
  <c r="B1243" i="3"/>
  <c r="A1243" i="3"/>
  <c r="F1242" i="3"/>
  <c r="E1242" i="3"/>
  <c r="D1242" i="3"/>
  <c r="C1242" i="3"/>
  <c r="B1242" i="3"/>
  <c r="A1242" i="3"/>
  <c r="F1241" i="3"/>
  <c r="E1241" i="3"/>
  <c r="D1241" i="3"/>
  <c r="C1241" i="3"/>
  <c r="B1241" i="3"/>
  <c r="A1241" i="3"/>
  <c r="F1240" i="3"/>
  <c r="E1240" i="3"/>
  <c r="D1240" i="3"/>
  <c r="C1240" i="3"/>
  <c r="B1240" i="3"/>
  <c r="A1240" i="3"/>
  <c r="F1239" i="3"/>
  <c r="E1239" i="3"/>
  <c r="D1239" i="3"/>
  <c r="C1239" i="3"/>
  <c r="B1239" i="3"/>
  <c r="A1239" i="3"/>
  <c r="F1238" i="3"/>
  <c r="E1238" i="3"/>
  <c r="D1238" i="3"/>
  <c r="C1238" i="3"/>
  <c r="B1238" i="3"/>
  <c r="A1238" i="3"/>
  <c r="F1237" i="3"/>
  <c r="E1237" i="3"/>
  <c r="D1237" i="3"/>
  <c r="C1237" i="3"/>
  <c r="B1237" i="3"/>
  <c r="A1237" i="3"/>
  <c r="F1236" i="3"/>
  <c r="E1236" i="3"/>
  <c r="D1236" i="3"/>
  <c r="C1236" i="3"/>
  <c r="B1236" i="3"/>
  <c r="A1236" i="3"/>
  <c r="F1235" i="3"/>
  <c r="E1235" i="3"/>
  <c r="D1235" i="3"/>
  <c r="C1235" i="3"/>
  <c r="B1235" i="3"/>
  <c r="A1235" i="3"/>
  <c r="F1234" i="3"/>
  <c r="E1234" i="3"/>
  <c r="D1234" i="3"/>
  <c r="C1234" i="3"/>
  <c r="B1234" i="3"/>
  <c r="A1234" i="3"/>
  <c r="F1233" i="3"/>
  <c r="E1233" i="3"/>
  <c r="D1233" i="3"/>
  <c r="C1233" i="3"/>
  <c r="B1233" i="3"/>
  <c r="A1233" i="3"/>
  <c r="F1232" i="3"/>
  <c r="E1232" i="3"/>
  <c r="D1232" i="3"/>
  <c r="C1232" i="3"/>
  <c r="B1232" i="3"/>
  <c r="A1232" i="3"/>
  <c r="F1231" i="3"/>
  <c r="E1231" i="3"/>
  <c r="D1231" i="3"/>
  <c r="C1231" i="3"/>
  <c r="B1231" i="3"/>
  <c r="A1231" i="3"/>
  <c r="F1230" i="3"/>
  <c r="E1230" i="3"/>
  <c r="D1230" i="3"/>
  <c r="C1230" i="3"/>
  <c r="B1230" i="3"/>
  <c r="A1230" i="3"/>
  <c r="F1229" i="3"/>
  <c r="E1229" i="3"/>
  <c r="D1229" i="3"/>
  <c r="C1229" i="3"/>
  <c r="B1229" i="3"/>
  <c r="A1229" i="3"/>
  <c r="F1228" i="3"/>
  <c r="E1228" i="3"/>
  <c r="D1228" i="3"/>
  <c r="C1228" i="3"/>
  <c r="B1228" i="3"/>
  <c r="A1228" i="3"/>
  <c r="F1227" i="3"/>
  <c r="E1227" i="3"/>
  <c r="D1227" i="3"/>
  <c r="C1227" i="3"/>
  <c r="B1227" i="3"/>
  <c r="A1227" i="3"/>
  <c r="F1226" i="3"/>
  <c r="E1226" i="3"/>
  <c r="D1226" i="3"/>
  <c r="C1226" i="3"/>
  <c r="B1226" i="3"/>
  <c r="A1226" i="3"/>
  <c r="F1225" i="3"/>
  <c r="E1225" i="3"/>
  <c r="D1225" i="3"/>
  <c r="C1225" i="3"/>
  <c r="B1225" i="3"/>
  <c r="A1225" i="3"/>
  <c r="F1224" i="3"/>
  <c r="E1224" i="3"/>
  <c r="D1224" i="3"/>
  <c r="C1224" i="3"/>
  <c r="B1224" i="3"/>
  <c r="A1224" i="3"/>
  <c r="F1223" i="3"/>
  <c r="E1223" i="3"/>
  <c r="D1223" i="3"/>
  <c r="C1223" i="3"/>
  <c r="B1223" i="3"/>
  <c r="A1223" i="3"/>
  <c r="F1222" i="3"/>
  <c r="E1222" i="3"/>
  <c r="D1222" i="3"/>
  <c r="C1222" i="3"/>
  <c r="B1222" i="3"/>
  <c r="A1222" i="3"/>
  <c r="F1221" i="3"/>
  <c r="E1221" i="3"/>
  <c r="D1221" i="3"/>
  <c r="C1221" i="3"/>
  <c r="B1221" i="3"/>
  <c r="A1221" i="3"/>
  <c r="F1220" i="3"/>
  <c r="E1220" i="3"/>
  <c r="D1220" i="3"/>
  <c r="C1220" i="3"/>
  <c r="B1220" i="3"/>
  <c r="A1220" i="3"/>
  <c r="F1219" i="3"/>
  <c r="E1219" i="3"/>
  <c r="D1219" i="3"/>
  <c r="C1219" i="3"/>
  <c r="B1219" i="3"/>
  <c r="A1219" i="3"/>
  <c r="F1218" i="3"/>
  <c r="E1218" i="3"/>
  <c r="D1218" i="3"/>
  <c r="C1218" i="3"/>
  <c r="B1218" i="3"/>
  <c r="A1218" i="3"/>
  <c r="F1217" i="3"/>
  <c r="E1217" i="3"/>
  <c r="D1217" i="3"/>
  <c r="C1217" i="3"/>
  <c r="B1217" i="3"/>
  <c r="A1217" i="3"/>
  <c r="F1216" i="3"/>
  <c r="E1216" i="3"/>
  <c r="D1216" i="3"/>
  <c r="C1216" i="3"/>
  <c r="B1216" i="3"/>
  <c r="A1216" i="3"/>
  <c r="F1215" i="3"/>
  <c r="E1215" i="3"/>
  <c r="D1215" i="3"/>
  <c r="C1215" i="3"/>
  <c r="B1215" i="3"/>
  <c r="A1215" i="3"/>
  <c r="F1214" i="3"/>
  <c r="E1214" i="3"/>
  <c r="D1214" i="3"/>
  <c r="C1214" i="3"/>
  <c r="B1214" i="3"/>
  <c r="A1214" i="3"/>
  <c r="F1213" i="3"/>
  <c r="E1213" i="3"/>
  <c r="D1213" i="3"/>
  <c r="C1213" i="3"/>
  <c r="B1213" i="3"/>
  <c r="A1213" i="3"/>
  <c r="F1212" i="3"/>
  <c r="E1212" i="3"/>
  <c r="D1212" i="3"/>
  <c r="C1212" i="3"/>
  <c r="B1212" i="3"/>
  <c r="A1212" i="3"/>
  <c r="F1211" i="3"/>
  <c r="E1211" i="3"/>
  <c r="D1211" i="3"/>
  <c r="C1211" i="3"/>
  <c r="B1211" i="3"/>
  <c r="A1211" i="3"/>
  <c r="F1210" i="3"/>
  <c r="E1210" i="3"/>
  <c r="D1210" i="3"/>
  <c r="C1210" i="3"/>
  <c r="B1210" i="3"/>
  <c r="A1210" i="3"/>
  <c r="F1209" i="3"/>
  <c r="E1209" i="3"/>
  <c r="D1209" i="3"/>
  <c r="C1209" i="3"/>
  <c r="B1209" i="3"/>
  <c r="A1209" i="3"/>
  <c r="F1208" i="3"/>
  <c r="E1208" i="3"/>
  <c r="D1208" i="3"/>
  <c r="C1208" i="3"/>
  <c r="B1208" i="3"/>
  <c r="A1208" i="3"/>
  <c r="F1207" i="3"/>
  <c r="E1207" i="3"/>
  <c r="D1207" i="3"/>
  <c r="C1207" i="3"/>
  <c r="B1207" i="3"/>
  <c r="A1207" i="3"/>
  <c r="F1206" i="3"/>
  <c r="E1206" i="3"/>
  <c r="D1206" i="3"/>
  <c r="C1206" i="3"/>
  <c r="B1206" i="3"/>
  <c r="A1206" i="3"/>
  <c r="F1205" i="3"/>
  <c r="E1205" i="3"/>
  <c r="D1205" i="3"/>
  <c r="C1205" i="3"/>
  <c r="B1205" i="3"/>
  <c r="A1205" i="3"/>
  <c r="F1204" i="3"/>
  <c r="E1204" i="3"/>
  <c r="D1204" i="3"/>
  <c r="C1204" i="3"/>
  <c r="B1204" i="3"/>
  <c r="A1204" i="3"/>
  <c r="F1203" i="3"/>
  <c r="E1203" i="3"/>
  <c r="D1203" i="3"/>
  <c r="C1203" i="3"/>
  <c r="B1203" i="3"/>
  <c r="A1203" i="3"/>
  <c r="F1202" i="3"/>
  <c r="E1202" i="3"/>
  <c r="D1202" i="3"/>
  <c r="C1202" i="3"/>
  <c r="B1202" i="3"/>
  <c r="A1202" i="3"/>
  <c r="F1201" i="3"/>
  <c r="E1201" i="3"/>
  <c r="D1201" i="3"/>
  <c r="C1201" i="3"/>
  <c r="B1201" i="3"/>
  <c r="A1201" i="3"/>
  <c r="F1200" i="3"/>
  <c r="E1200" i="3"/>
  <c r="D1200" i="3"/>
  <c r="C1200" i="3"/>
  <c r="B1200" i="3"/>
  <c r="A1200" i="3"/>
  <c r="F1199" i="3"/>
  <c r="E1199" i="3"/>
  <c r="D1199" i="3"/>
  <c r="C1199" i="3"/>
  <c r="B1199" i="3"/>
  <c r="A1199" i="3"/>
  <c r="F1198" i="3"/>
  <c r="E1198" i="3"/>
  <c r="D1198" i="3"/>
  <c r="C1198" i="3"/>
  <c r="B1198" i="3"/>
  <c r="A1198" i="3"/>
  <c r="F1197" i="3"/>
  <c r="E1197" i="3"/>
  <c r="D1197" i="3"/>
  <c r="C1197" i="3"/>
  <c r="B1197" i="3"/>
  <c r="A1197" i="3"/>
  <c r="F1196" i="3"/>
  <c r="E1196" i="3"/>
  <c r="D1196" i="3"/>
  <c r="C1196" i="3"/>
  <c r="B1196" i="3"/>
  <c r="A1196" i="3"/>
  <c r="F1195" i="3"/>
  <c r="E1195" i="3"/>
  <c r="D1195" i="3"/>
  <c r="C1195" i="3"/>
  <c r="B1195" i="3"/>
  <c r="A1195" i="3"/>
  <c r="F1194" i="3"/>
  <c r="E1194" i="3"/>
  <c r="D1194" i="3"/>
  <c r="C1194" i="3"/>
  <c r="B1194" i="3"/>
  <c r="A1194" i="3"/>
  <c r="F1193" i="3"/>
  <c r="E1193" i="3"/>
  <c r="D1193" i="3"/>
  <c r="C1193" i="3"/>
  <c r="B1193" i="3"/>
  <c r="A1193" i="3"/>
  <c r="F1192" i="3"/>
  <c r="E1192" i="3"/>
  <c r="D1192" i="3"/>
  <c r="C1192" i="3"/>
  <c r="B1192" i="3"/>
  <c r="A1192" i="3"/>
  <c r="F1191" i="3"/>
  <c r="E1191" i="3"/>
  <c r="D1191" i="3"/>
  <c r="C1191" i="3"/>
  <c r="B1191" i="3"/>
  <c r="A1191" i="3"/>
  <c r="F1190" i="3"/>
  <c r="E1190" i="3"/>
  <c r="D1190" i="3"/>
  <c r="C1190" i="3"/>
  <c r="B1190" i="3"/>
  <c r="A1190" i="3"/>
  <c r="F1189" i="3"/>
  <c r="E1189" i="3"/>
  <c r="D1189" i="3"/>
  <c r="C1189" i="3"/>
  <c r="B1189" i="3"/>
  <c r="A1189" i="3"/>
  <c r="F1188" i="3"/>
  <c r="E1188" i="3"/>
  <c r="D1188" i="3"/>
  <c r="C1188" i="3"/>
  <c r="B1188" i="3"/>
  <c r="A1188" i="3"/>
  <c r="F1187" i="3"/>
  <c r="E1187" i="3"/>
  <c r="D1187" i="3"/>
  <c r="C1187" i="3"/>
  <c r="B1187" i="3"/>
  <c r="A1187" i="3"/>
  <c r="F1186" i="3"/>
  <c r="E1186" i="3"/>
  <c r="D1186" i="3"/>
  <c r="C1186" i="3"/>
  <c r="B1186" i="3"/>
  <c r="A1186" i="3"/>
  <c r="F1185" i="3"/>
  <c r="E1185" i="3"/>
  <c r="D1185" i="3"/>
  <c r="C1185" i="3"/>
  <c r="B1185" i="3"/>
  <c r="A1185" i="3"/>
  <c r="F1184" i="3"/>
  <c r="E1184" i="3"/>
  <c r="D1184" i="3"/>
  <c r="C1184" i="3"/>
  <c r="B1184" i="3"/>
  <c r="A1184" i="3"/>
  <c r="F1183" i="3"/>
  <c r="E1183" i="3"/>
  <c r="D1183" i="3"/>
  <c r="C1183" i="3"/>
  <c r="B1183" i="3"/>
  <c r="A1183" i="3"/>
  <c r="F1182" i="3"/>
  <c r="E1182" i="3"/>
  <c r="D1182" i="3"/>
  <c r="C1182" i="3"/>
  <c r="B1182" i="3"/>
  <c r="A1182" i="3"/>
  <c r="F1181" i="3"/>
  <c r="E1181" i="3"/>
  <c r="D1181" i="3"/>
  <c r="C1181" i="3"/>
  <c r="B1181" i="3"/>
  <c r="A1181" i="3"/>
  <c r="F1180" i="3"/>
  <c r="E1180" i="3"/>
  <c r="D1180" i="3"/>
  <c r="C1180" i="3"/>
  <c r="B1180" i="3"/>
  <c r="A1180" i="3"/>
  <c r="F1179" i="3"/>
  <c r="E1179" i="3"/>
  <c r="D1179" i="3"/>
  <c r="C1179" i="3"/>
  <c r="B1179" i="3"/>
  <c r="A1179" i="3"/>
  <c r="F1178" i="3"/>
  <c r="E1178" i="3"/>
  <c r="D1178" i="3"/>
  <c r="C1178" i="3"/>
  <c r="B1178" i="3"/>
  <c r="A1178" i="3"/>
  <c r="F1177" i="3"/>
  <c r="E1177" i="3"/>
  <c r="D1177" i="3"/>
  <c r="C1177" i="3"/>
  <c r="B1177" i="3"/>
  <c r="A1177" i="3"/>
  <c r="F1176" i="3"/>
  <c r="E1176" i="3"/>
  <c r="D1176" i="3"/>
  <c r="C1176" i="3"/>
  <c r="B1176" i="3"/>
  <c r="A1176" i="3"/>
  <c r="F1175" i="3"/>
  <c r="E1175" i="3"/>
  <c r="D1175" i="3"/>
  <c r="C1175" i="3"/>
  <c r="B1175" i="3"/>
  <c r="A1175" i="3"/>
  <c r="F1174" i="3"/>
  <c r="E1174" i="3"/>
  <c r="D1174" i="3"/>
  <c r="C1174" i="3"/>
  <c r="B1174" i="3"/>
  <c r="A1174" i="3"/>
  <c r="F1173" i="3"/>
  <c r="E1173" i="3"/>
  <c r="D1173" i="3"/>
  <c r="C1173" i="3"/>
  <c r="B1173" i="3"/>
  <c r="A1173" i="3"/>
  <c r="F1172" i="3"/>
  <c r="E1172" i="3"/>
  <c r="D1172" i="3"/>
  <c r="C1172" i="3"/>
  <c r="B1172" i="3"/>
  <c r="A1172" i="3"/>
  <c r="F1171" i="3"/>
  <c r="E1171" i="3"/>
  <c r="D1171" i="3"/>
  <c r="C1171" i="3"/>
  <c r="B1171" i="3"/>
  <c r="A1171" i="3"/>
  <c r="F1170" i="3"/>
  <c r="E1170" i="3"/>
  <c r="D1170" i="3"/>
  <c r="C1170" i="3"/>
  <c r="B1170" i="3"/>
  <c r="A1170" i="3"/>
  <c r="F1169" i="3"/>
  <c r="E1169" i="3"/>
  <c r="D1169" i="3"/>
  <c r="C1169" i="3"/>
  <c r="B1169" i="3"/>
  <c r="A1169" i="3"/>
  <c r="F1168" i="3"/>
  <c r="E1168" i="3"/>
  <c r="D1168" i="3"/>
  <c r="C1168" i="3"/>
  <c r="B1168" i="3"/>
  <c r="A1168" i="3"/>
  <c r="F1167" i="3"/>
  <c r="E1167" i="3"/>
  <c r="D1167" i="3"/>
  <c r="C1167" i="3"/>
  <c r="B1167" i="3"/>
  <c r="A1167" i="3"/>
  <c r="F1166" i="3"/>
  <c r="E1166" i="3"/>
  <c r="D1166" i="3"/>
  <c r="C1166" i="3"/>
  <c r="B1166" i="3"/>
  <c r="A1166" i="3"/>
  <c r="F1165" i="3"/>
  <c r="E1165" i="3"/>
  <c r="D1165" i="3"/>
  <c r="C1165" i="3"/>
  <c r="B1165" i="3"/>
  <c r="A1165" i="3"/>
  <c r="F1164" i="3"/>
  <c r="E1164" i="3"/>
  <c r="D1164" i="3"/>
  <c r="C1164" i="3"/>
  <c r="B1164" i="3"/>
  <c r="A1164" i="3"/>
  <c r="F1163" i="3"/>
  <c r="E1163" i="3"/>
  <c r="D1163" i="3"/>
  <c r="C1163" i="3"/>
  <c r="B1163" i="3"/>
  <c r="A1163" i="3"/>
  <c r="F1162" i="3"/>
  <c r="E1162" i="3"/>
  <c r="D1162" i="3"/>
  <c r="C1162" i="3"/>
  <c r="B1162" i="3"/>
  <c r="A1162" i="3"/>
  <c r="F1161" i="3"/>
  <c r="E1161" i="3"/>
  <c r="D1161" i="3"/>
  <c r="C1161" i="3"/>
  <c r="B1161" i="3"/>
  <c r="A1161" i="3"/>
  <c r="F1160" i="3"/>
  <c r="E1160" i="3"/>
  <c r="D1160" i="3"/>
  <c r="C1160" i="3"/>
  <c r="B1160" i="3"/>
  <c r="A1160" i="3"/>
  <c r="F1159" i="3"/>
  <c r="E1159" i="3"/>
  <c r="D1159" i="3"/>
  <c r="C1159" i="3"/>
  <c r="B1159" i="3"/>
  <c r="A1159" i="3"/>
  <c r="F1158" i="3"/>
  <c r="E1158" i="3"/>
  <c r="D1158" i="3"/>
  <c r="C1158" i="3"/>
  <c r="B1158" i="3"/>
  <c r="A1158" i="3"/>
  <c r="F1157" i="3"/>
  <c r="E1157" i="3"/>
  <c r="D1157" i="3"/>
  <c r="C1157" i="3"/>
  <c r="B1157" i="3"/>
  <c r="A1157" i="3"/>
  <c r="F1156" i="3"/>
  <c r="E1156" i="3"/>
  <c r="D1156" i="3"/>
  <c r="C1156" i="3"/>
  <c r="B1156" i="3"/>
  <c r="A1156" i="3"/>
  <c r="F1155" i="3"/>
  <c r="E1155" i="3"/>
  <c r="D1155" i="3"/>
  <c r="C1155" i="3"/>
  <c r="B1155" i="3"/>
  <c r="A1155" i="3"/>
  <c r="F1154" i="3"/>
  <c r="E1154" i="3"/>
  <c r="D1154" i="3"/>
  <c r="C1154" i="3"/>
  <c r="B1154" i="3"/>
  <c r="A1154" i="3"/>
  <c r="F1153" i="3"/>
  <c r="E1153" i="3"/>
  <c r="D1153" i="3"/>
  <c r="C1153" i="3"/>
  <c r="B1153" i="3"/>
  <c r="A1153" i="3"/>
  <c r="F1152" i="3"/>
  <c r="E1152" i="3"/>
  <c r="D1152" i="3"/>
  <c r="C1152" i="3"/>
  <c r="B1152" i="3"/>
  <c r="A1152" i="3"/>
  <c r="F1151" i="3"/>
  <c r="E1151" i="3"/>
  <c r="D1151" i="3"/>
  <c r="C1151" i="3"/>
  <c r="B1151" i="3"/>
  <c r="A1151" i="3"/>
  <c r="F1150" i="3"/>
  <c r="E1150" i="3"/>
  <c r="D1150" i="3"/>
  <c r="C1150" i="3"/>
  <c r="B1150" i="3"/>
  <c r="A1150" i="3"/>
  <c r="F1149" i="3"/>
  <c r="E1149" i="3"/>
  <c r="D1149" i="3"/>
  <c r="C1149" i="3"/>
  <c r="B1149" i="3"/>
  <c r="A1149" i="3"/>
  <c r="F1148" i="3"/>
  <c r="E1148" i="3"/>
  <c r="D1148" i="3"/>
  <c r="C1148" i="3"/>
  <c r="B1148" i="3"/>
  <c r="A1148" i="3"/>
  <c r="F1147" i="3"/>
  <c r="E1147" i="3"/>
  <c r="D1147" i="3"/>
  <c r="C1147" i="3"/>
  <c r="B1147" i="3"/>
  <c r="A1147" i="3"/>
  <c r="F1146" i="3"/>
  <c r="E1146" i="3"/>
  <c r="D1146" i="3"/>
  <c r="C1146" i="3"/>
  <c r="B1146" i="3"/>
  <c r="A1146" i="3"/>
  <c r="F1145" i="3"/>
  <c r="E1145" i="3"/>
  <c r="D1145" i="3"/>
  <c r="C1145" i="3"/>
  <c r="B1145" i="3"/>
  <c r="A1145" i="3"/>
  <c r="F1144" i="3"/>
  <c r="E1144" i="3"/>
  <c r="D1144" i="3"/>
  <c r="C1144" i="3"/>
  <c r="B1144" i="3"/>
  <c r="A1144" i="3"/>
  <c r="F1143" i="3"/>
  <c r="E1143" i="3"/>
  <c r="D1143" i="3"/>
  <c r="C1143" i="3"/>
  <c r="B1143" i="3"/>
  <c r="A1143" i="3"/>
  <c r="F1142" i="3"/>
  <c r="E1142" i="3"/>
  <c r="D1142" i="3"/>
  <c r="C1142" i="3"/>
  <c r="B1142" i="3"/>
  <c r="A1142" i="3"/>
  <c r="F1141" i="3"/>
  <c r="E1141" i="3"/>
  <c r="D1141" i="3"/>
  <c r="C1141" i="3"/>
  <c r="B1141" i="3"/>
  <c r="A1141" i="3"/>
  <c r="F1140" i="3"/>
  <c r="E1140" i="3"/>
  <c r="D1140" i="3"/>
  <c r="C1140" i="3"/>
  <c r="B1140" i="3"/>
  <c r="A1140" i="3"/>
  <c r="F1139" i="3"/>
  <c r="E1139" i="3"/>
  <c r="D1139" i="3"/>
  <c r="C1139" i="3"/>
  <c r="B1139" i="3"/>
  <c r="A1139" i="3"/>
  <c r="F1138" i="3"/>
  <c r="E1138" i="3"/>
  <c r="D1138" i="3"/>
  <c r="C1138" i="3"/>
  <c r="B1138" i="3"/>
  <c r="A1138" i="3"/>
  <c r="F1137" i="3"/>
  <c r="E1137" i="3"/>
  <c r="D1137" i="3"/>
  <c r="C1137" i="3"/>
  <c r="B1137" i="3"/>
  <c r="A1137" i="3"/>
  <c r="F1136" i="3"/>
  <c r="E1136" i="3"/>
  <c r="D1136" i="3"/>
  <c r="C1136" i="3"/>
  <c r="B1136" i="3"/>
  <c r="A1136" i="3"/>
  <c r="F1135" i="3"/>
  <c r="E1135" i="3"/>
  <c r="D1135" i="3"/>
  <c r="C1135" i="3"/>
  <c r="B1135" i="3"/>
  <c r="A1135" i="3"/>
  <c r="F1134" i="3"/>
  <c r="E1134" i="3"/>
  <c r="D1134" i="3"/>
  <c r="C1134" i="3"/>
  <c r="B1134" i="3"/>
  <c r="A1134" i="3"/>
  <c r="F1133" i="3"/>
  <c r="E1133" i="3"/>
  <c r="D1133" i="3"/>
  <c r="C1133" i="3"/>
  <c r="B1133" i="3"/>
  <c r="A1133" i="3"/>
  <c r="F1132" i="3"/>
  <c r="E1132" i="3"/>
  <c r="D1132" i="3"/>
  <c r="C1132" i="3"/>
  <c r="B1132" i="3"/>
  <c r="A1132" i="3"/>
  <c r="F1131" i="3"/>
  <c r="E1131" i="3"/>
  <c r="D1131" i="3"/>
  <c r="C1131" i="3"/>
  <c r="B1131" i="3"/>
  <c r="A1131" i="3"/>
  <c r="F1130" i="3"/>
  <c r="E1130" i="3"/>
  <c r="D1130" i="3"/>
  <c r="C1130" i="3"/>
  <c r="B1130" i="3"/>
  <c r="A1130" i="3"/>
  <c r="F1129" i="3"/>
  <c r="E1129" i="3"/>
  <c r="D1129" i="3"/>
  <c r="C1129" i="3"/>
  <c r="B1129" i="3"/>
  <c r="A1129" i="3"/>
  <c r="F1128" i="3"/>
  <c r="E1128" i="3"/>
  <c r="D1128" i="3"/>
  <c r="C1128" i="3"/>
  <c r="B1128" i="3"/>
  <c r="A1128" i="3"/>
  <c r="F1127" i="3"/>
  <c r="E1127" i="3"/>
  <c r="D1127" i="3"/>
  <c r="C1127" i="3"/>
  <c r="B1127" i="3"/>
  <c r="A1127" i="3"/>
  <c r="F1126" i="3"/>
  <c r="E1126" i="3"/>
  <c r="D1126" i="3"/>
  <c r="C1126" i="3"/>
  <c r="B1126" i="3"/>
  <c r="A1126" i="3"/>
  <c r="F1125" i="3"/>
  <c r="E1125" i="3"/>
  <c r="D1125" i="3"/>
  <c r="C1125" i="3"/>
  <c r="B1125" i="3"/>
  <c r="A1125" i="3"/>
  <c r="F1124" i="3"/>
  <c r="E1124" i="3"/>
  <c r="D1124" i="3"/>
  <c r="C1124" i="3"/>
  <c r="B1124" i="3"/>
  <c r="A1124" i="3"/>
  <c r="F1123" i="3"/>
  <c r="E1123" i="3"/>
  <c r="D1123" i="3"/>
  <c r="C1123" i="3"/>
  <c r="B1123" i="3"/>
  <c r="A1123" i="3"/>
  <c r="F1122" i="3"/>
  <c r="E1122" i="3"/>
  <c r="D1122" i="3"/>
  <c r="C1122" i="3"/>
  <c r="B1122" i="3"/>
  <c r="A1122" i="3"/>
  <c r="F1121" i="3"/>
  <c r="E1121" i="3"/>
  <c r="D1121" i="3"/>
  <c r="C1121" i="3"/>
  <c r="B1121" i="3"/>
  <c r="A1121" i="3"/>
  <c r="F1120" i="3"/>
  <c r="E1120" i="3"/>
  <c r="D1120" i="3"/>
  <c r="C1120" i="3"/>
  <c r="B1120" i="3"/>
  <c r="A1120" i="3"/>
  <c r="F1119" i="3"/>
  <c r="E1119" i="3"/>
  <c r="D1119" i="3"/>
  <c r="C1119" i="3"/>
  <c r="B1119" i="3"/>
  <c r="A1119" i="3"/>
  <c r="F1118" i="3"/>
  <c r="E1118" i="3"/>
  <c r="D1118" i="3"/>
  <c r="C1118" i="3"/>
  <c r="B1118" i="3"/>
  <c r="A1118" i="3"/>
  <c r="F1117" i="3"/>
  <c r="E1117" i="3"/>
  <c r="D1117" i="3"/>
  <c r="C1117" i="3"/>
  <c r="B1117" i="3"/>
  <c r="A1117" i="3"/>
  <c r="F1116" i="3"/>
  <c r="E1116" i="3"/>
  <c r="D1116" i="3"/>
  <c r="C1116" i="3"/>
  <c r="B1116" i="3"/>
  <c r="A1116" i="3"/>
  <c r="F1115" i="3"/>
  <c r="E1115" i="3"/>
  <c r="D1115" i="3"/>
  <c r="C1115" i="3"/>
  <c r="B1115" i="3"/>
  <c r="A1115" i="3"/>
  <c r="F1114" i="3"/>
  <c r="E1114" i="3"/>
  <c r="D1114" i="3"/>
  <c r="C1114" i="3"/>
  <c r="B1114" i="3"/>
  <c r="A1114" i="3"/>
  <c r="F1113" i="3"/>
  <c r="E1113" i="3"/>
  <c r="D1113" i="3"/>
  <c r="C1113" i="3"/>
  <c r="B1113" i="3"/>
  <c r="A1113" i="3"/>
  <c r="F1112" i="3"/>
  <c r="E1112" i="3"/>
  <c r="D1112" i="3"/>
  <c r="C1112" i="3"/>
  <c r="B1112" i="3"/>
  <c r="A1112" i="3"/>
  <c r="F1111" i="3"/>
  <c r="E1111" i="3"/>
  <c r="D1111" i="3"/>
  <c r="C1111" i="3"/>
  <c r="B1111" i="3"/>
  <c r="A1111" i="3"/>
  <c r="F1110" i="3"/>
  <c r="E1110" i="3"/>
  <c r="D1110" i="3"/>
  <c r="C1110" i="3"/>
  <c r="B1110" i="3"/>
  <c r="A1110" i="3"/>
  <c r="F1109" i="3"/>
  <c r="E1109" i="3"/>
  <c r="D1109" i="3"/>
  <c r="C1109" i="3"/>
  <c r="B1109" i="3"/>
  <c r="A1109" i="3"/>
  <c r="F1108" i="3"/>
  <c r="E1108" i="3"/>
  <c r="D1108" i="3"/>
  <c r="C1108" i="3"/>
  <c r="B1108" i="3"/>
  <c r="A1108" i="3"/>
  <c r="F1107" i="3"/>
  <c r="E1107" i="3"/>
  <c r="D1107" i="3"/>
  <c r="C1107" i="3"/>
  <c r="B1107" i="3"/>
  <c r="A1107" i="3"/>
  <c r="F1106" i="3"/>
  <c r="E1106" i="3"/>
  <c r="D1106" i="3"/>
  <c r="C1106" i="3"/>
  <c r="B1106" i="3"/>
  <c r="A1106" i="3"/>
  <c r="F1105" i="3"/>
  <c r="E1105" i="3"/>
  <c r="D1105" i="3"/>
  <c r="C1105" i="3"/>
  <c r="B1105" i="3"/>
  <c r="A1105" i="3"/>
  <c r="F1104" i="3"/>
  <c r="E1104" i="3"/>
  <c r="D1104" i="3"/>
  <c r="C1104" i="3"/>
  <c r="B1104" i="3"/>
  <c r="A1104" i="3"/>
  <c r="F1103" i="3"/>
  <c r="E1103" i="3"/>
  <c r="D1103" i="3"/>
  <c r="C1103" i="3"/>
  <c r="B1103" i="3"/>
  <c r="A1103" i="3"/>
  <c r="F1102" i="3"/>
  <c r="E1102" i="3"/>
  <c r="D1102" i="3"/>
  <c r="C1102" i="3"/>
  <c r="B1102" i="3"/>
  <c r="A1102" i="3"/>
  <c r="F1101" i="3"/>
  <c r="E1101" i="3"/>
  <c r="D1101" i="3"/>
  <c r="C1101" i="3"/>
  <c r="B1101" i="3"/>
  <c r="A1101" i="3"/>
  <c r="F1100" i="3"/>
  <c r="E1100" i="3"/>
  <c r="D1100" i="3"/>
  <c r="C1100" i="3"/>
  <c r="B1100" i="3"/>
  <c r="A1100" i="3"/>
  <c r="F1099" i="3"/>
  <c r="E1099" i="3"/>
  <c r="D1099" i="3"/>
  <c r="C1099" i="3"/>
  <c r="B1099" i="3"/>
  <c r="A1099" i="3"/>
  <c r="F1098" i="3"/>
  <c r="E1098" i="3"/>
  <c r="D1098" i="3"/>
  <c r="C1098" i="3"/>
  <c r="B1098" i="3"/>
  <c r="A1098" i="3"/>
  <c r="F1097" i="3"/>
  <c r="E1097" i="3"/>
  <c r="D1097" i="3"/>
  <c r="C1097" i="3"/>
  <c r="B1097" i="3"/>
  <c r="A1097" i="3"/>
  <c r="F1096" i="3"/>
  <c r="E1096" i="3"/>
  <c r="D1096" i="3"/>
  <c r="C1096" i="3"/>
  <c r="B1096" i="3"/>
  <c r="A1096" i="3"/>
  <c r="F1095" i="3"/>
  <c r="E1095" i="3"/>
  <c r="D1095" i="3"/>
  <c r="C1095" i="3"/>
  <c r="B1095" i="3"/>
  <c r="A1095" i="3"/>
  <c r="F1094" i="3"/>
  <c r="E1094" i="3"/>
  <c r="D1094" i="3"/>
  <c r="C1094" i="3"/>
  <c r="B1094" i="3"/>
  <c r="A1094" i="3"/>
  <c r="F1093" i="3"/>
  <c r="E1093" i="3"/>
  <c r="D1093" i="3"/>
  <c r="C1093" i="3"/>
  <c r="B1093" i="3"/>
  <c r="A1093" i="3"/>
  <c r="F1092" i="3"/>
  <c r="E1092" i="3"/>
  <c r="D1092" i="3"/>
  <c r="C1092" i="3"/>
  <c r="B1092" i="3"/>
  <c r="A1092" i="3"/>
  <c r="F1091" i="3"/>
  <c r="E1091" i="3"/>
  <c r="D1091" i="3"/>
  <c r="C1091" i="3"/>
  <c r="B1091" i="3"/>
  <c r="A1091" i="3"/>
  <c r="F1090" i="3"/>
  <c r="E1090" i="3"/>
  <c r="D1090" i="3"/>
  <c r="C1090" i="3"/>
  <c r="B1090" i="3"/>
  <c r="A1090" i="3"/>
  <c r="F1089" i="3"/>
  <c r="E1089" i="3"/>
  <c r="D1089" i="3"/>
  <c r="C1089" i="3"/>
  <c r="B1089" i="3"/>
  <c r="A1089" i="3"/>
  <c r="F1088" i="3"/>
  <c r="E1088" i="3"/>
  <c r="D1088" i="3"/>
  <c r="C1088" i="3"/>
  <c r="B1088" i="3"/>
  <c r="A1088" i="3"/>
  <c r="F1087" i="3"/>
  <c r="E1087" i="3"/>
  <c r="D1087" i="3"/>
  <c r="C1087" i="3"/>
  <c r="B1087" i="3"/>
  <c r="A1087" i="3"/>
  <c r="F1086" i="3"/>
  <c r="E1086" i="3"/>
  <c r="D1086" i="3"/>
  <c r="C1086" i="3"/>
  <c r="B1086" i="3"/>
  <c r="A1086" i="3"/>
  <c r="F1085" i="3"/>
  <c r="E1085" i="3"/>
  <c r="D1085" i="3"/>
  <c r="C1085" i="3"/>
  <c r="B1085" i="3"/>
  <c r="A1085" i="3"/>
  <c r="F1084" i="3"/>
  <c r="E1084" i="3"/>
  <c r="D1084" i="3"/>
  <c r="C1084" i="3"/>
  <c r="B1084" i="3"/>
  <c r="A1084" i="3"/>
  <c r="F1083" i="3"/>
  <c r="E1083" i="3"/>
  <c r="D1083" i="3"/>
  <c r="C1083" i="3"/>
  <c r="B1083" i="3"/>
  <c r="A1083" i="3"/>
  <c r="F1082" i="3"/>
  <c r="E1082" i="3"/>
  <c r="D1082" i="3"/>
  <c r="C1082" i="3"/>
  <c r="B1082" i="3"/>
  <c r="A1082" i="3"/>
  <c r="F1081" i="3"/>
  <c r="E1081" i="3"/>
  <c r="D1081" i="3"/>
  <c r="C1081" i="3"/>
  <c r="B1081" i="3"/>
  <c r="A1081" i="3"/>
  <c r="F1080" i="3"/>
  <c r="E1080" i="3"/>
  <c r="D1080" i="3"/>
  <c r="C1080" i="3"/>
  <c r="B1080" i="3"/>
  <c r="A1080" i="3"/>
  <c r="F1079" i="3"/>
  <c r="E1079" i="3"/>
  <c r="D1079" i="3"/>
  <c r="C1079" i="3"/>
  <c r="B1079" i="3"/>
  <c r="A1079" i="3"/>
  <c r="F1078" i="3"/>
  <c r="E1078" i="3"/>
  <c r="D1078" i="3"/>
  <c r="C1078" i="3"/>
  <c r="B1078" i="3"/>
  <c r="A1078" i="3"/>
  <c r="F1077" i="3"/>
  <c r="E1077" i="3"/>
  <c r="D1077" i="3"/>
  <c r="C1077" i="3"/>
  <c r="B1077" i="3"/>
  <c r="A1077" i="3"/>
  <c r="F1076" i="3"/>
  <c r="E1076" i="3"/>
  <c r="D1076" i="3"/>
  <c r="C1076" i="3"/>
  <c r="B1076" i="3"/>
  <c r="A1076" i="3"/>
  <c r="F1075" i="3"/>
  <c r="E1075" i="3"/>
  <c r="D1075" i="3"/>
  <c r="C1075" i="3"/>
  <c r="B1075" i="3"/>
  <c r="A1075" i="3"/>
  <c r="F1074" i="3"/>
  <c r="E1074" i="3"/>
  <c r="D1074" i="3"/>
  <c r="C1074" i="3"/>
  <c r="B1074" i="3"/>
  <c r="A1074" i="3"/>
  <c r="F1073" i="3"/>
  <c r="E1073" i="3"/>
  <c r="D1073" i="3"/>
  <c r="C1073" i="3"/>
  <c r="B1073" i="3"/>
  <c r="A1073" i="3"/>
  <c r="F1072" i="3"/>
  <c r="E1072" i="3"/>
  <c r="D1072" i="3"/>
  <c r="C1072" i="3"/>
  <c r="B1072" i="3"/>
  <c r="A1072" i="3"/>
  <c r="F1071" i="3"/>
  <c r="E1071" i="3"/>
  <c r="D1071" i="3"/>
  <c r="C1071" i="3"/>
  <c r="B1071" i="3"/>
  <c r="A1071" i="3"/>
  <c r="F1070" i="3"/>
  <c r="E1070" i="3"/>
  <c r="D1070" i="3"/>
  <c r="C1070" i="3"/>
  <c r="B1070" i="3"/>
  <c r="A1070" i="3"/>
  <c r="F1069" i="3"/>
  <c r="E1069" i="3"/>
  <c r="D1069" i="3"/>
  <c r="C1069" i="3"/>
  <c r="B1069" i="3"/>
  <c r="A1069" i="3"/>
  <c r="F1068" i="3"/>
  <c r="E1068" i="3"/>
  <c r="D1068" i="3"/>
  <c r="C1068" i="3"/>
  <c r="B1068" i="3"/>
  <c r="A1068" i="3"/>
  <c r="F1067" i="3"/>
  <c r="E1067" i="3"/>
  <c r="D1067" i="3"/>
  <c r="C1067" i="3"/>
  <c r="B1067" i="3"/>
  <c r="A1067" i="3"/>
  <c r="F1066" i="3"/>
  <c r="E1066" i="3"/>
  <c r="D1066" i="3"/>
  <c r="C1066" i="3"/>
  <c r="B1066" i="3"/>
  <c r="A1066" i="3"/>
  <c r="F1065" i="3"/>
  <c r="E1065" i="3"/>
  <c r="D1065" i="3"/>
  <c r="C1065" i="3"/>
  <c r="B1065" i="3"/>
  <c r="A1065" i="3"/>
  <c r="F1064" i="3"/>
  <c r="E1064" i="3"/>
  <c r="D1064" i="3"/>
  <c r="C1064" i="3"/>
  <c r="B1064" i="3"/>
  <c r="A1064" i="3"/>
  <c r="F1063" i="3"/>
  <c r="E1063" i="3"/>
  <c r="D1063" i="3"/>
  <c r="C1063" i="3"/>
  <c r="B1063" i="3"/>
  <c r="A1063" i="3"/>
  <c r="F1062" i="3"/>
  <c r="E1062" i="3"/>
  <c r="D1062" i="3"/>
  <c r="C1062" i="3"/>
  <c r="B1062" i="3"/>
  <c r="A1062" i="3"/>
  <c r="F1061" i="3"/>
  <c r="E1061" i="3"/>
  <c r="D1061" i="3"/>
  <c r="C1061" i="3"/>
  <c r="B1061" i="3"/>
  <c r="A1061" i="3"/>
  <c r="F1060" i="3"/>
  <c r="E1060" i="3"/>
  <c r="D1060" i="3"/>
  <c r="C1060" i="3"/>
  <c r="B1060" i="3"/>
  <c r="A1060" i="3"/>
  <c r="F1059" i="3"/>
  <c r="E1059" i="3"/>
  <c r="D1059" i="3"/>
  <c r="C1059" i="3"/>
  <c r="B1059" i="3"/>
  <c r="A1059" i="3"/>
  <c r="F1058" i="3"/>
  <c r="E1058" i="3"/>
  <c r="D1058" i="3"/>
  <c r="C1058" i="3"/>
  <c r="B1058" i="3"/>
  <c r="A1058" i="3"/>
  <c r="F1057" i="3"/>
  <c r="E1057" i="3"/>
  <c r="D1057" i="3"/>
  <c r="C1057" i="3"/>
  <c r="B1057" i="3"/>
  <c r="A1057" i="3"/>
  <c r="F1056" i="3"/>
  <c r="E1056" i="3"/>
  <c r="D1056" i="3"/>
  <c r="C1056" i="3"/>
  <c r="B1056" i="3"/>
  <c r="A1056" i="3"/>
  <c r="F1055" i="3"/>
  <c r="E1055" i="3"/>
  <c r="D1055" i="3"/>
  <c r="C1055" i="3"/>
  <c r="B1055" i="3"/>
  <c r="A1055" i="3"/>
  <c r="F1054" i="3"/>
  <c r="E1054" i="3"/>
  <c r="D1054" i="3"/>
  <c r="C1054" i="3"/>
  <c r="B1054" i="3"/>
  <c r="A1054" i="3"/>
  <c r="F1053" i="3"/>
  <c r="E1053" i="3"/>
  <c r="D1053" i="3"/>
  <c r="C1053" i="3"/>
  <c r="B1053" i="3"/>
  <c r="A1053" i="3"/>
  <c r="F1052" i="3"/>
  <c r="E1052" i="3"/>
  <c r="D1052" i="3"/>
  <c r="C1052" i="3"/>
  <c r="B1052" i="3"/>
  <c r="A1052" i="3"/>
  <c r="F1051" i="3"/>
  <c r="E1051" i="3"/>
  <c r="D1051" i="3"/>
  <c r="C1051" i="3"/>
  <c r="B1051" i="3"/>
  <c r="A1051" i="3"/>
  <c r="F1050" i="3"/>
  <c r="E1050" i="3"/>
  <c r="D1050" i="3"/>
  <c r="C1050" i="3"/>
  <c r="B1050" i="3"/>
  <c r="A1050" i="3"/>
  <c r="F1049" i="3"/>
  <c r="E1049" i="3"/>
  <c r="D1049" i="3"/>
  <c r="C1049" i="3"/>
  <c r="B1049" i="3"/>
  <c r="A1049" i="3"/>
  <c r="F1048" i="3"/>
  <c r="E1048" i="3"/>
  <c r="D1048" i="3"/>
  <c r="C1048" i="3"/>
  <c r="B1048" i="3"/>
  <c r="A1048" i="3"/>
  <c r="F1047" i="3"/>
  <c r="E1047" i="3"/>
  <c r="D1047" i="3"/>
  <c r="C1047" i="3"/>
  <c r="B1047" i="3"/>
  <c r="A1047" i="3"/>
  <c r="F1046" i="3"/>
  <c r="E1046" i="3"/>
  <c r="D1046" i="3"/>
  <c r="C1046" i="3"/>
  <c r="B1046" i="3"/>
  <c r="A1046" i="3"/>
  <c r="F1045" i="3"/>
  <c r="E1045" i="3"/>
  <c r="D1045" i="3"/>
  <c r="C1045" i="3"/>
  <c r="B1045" i="3"/>
  <c r="A1045" i="3"/>
  <c r="F1044" i="3"/>
  <c r="E1044" i="3"/>
  <c r="D1044" i="3"/>
  <c r="C1044" i="3"/>
  <c r="B1044" i="3"/>
  <c r="A1044" i="3"/>
  <c r="F1043" i="3"/>
  <c r="E1043" i="3"/>
  <c r="D1043" i="3"/>
  <c r="C1043" i="3"/>
  <c r="B1043" i="3"/>
  <c r="A1043" i="3"/>
  <c r="F1042" i="3"/>
  <c r="E1042" i="3"/>
  <c r="D1042" i="3"/>
  <c r="C1042" i="3"/>
  <c r="B1042" i="3"/>
  <c r="A1042" i="3"/>
  <c r="F1041" i="3"/>
  <c r="E1041" i="3"/>
  <c r="D1041" i="3"/>
  <c r="C1041" i="3"/>
  <c r="B1041" i="3"/>
  <c r="A1041" i="3"/>
  <c r="F1040" i="3"/>
  <c r="E1040" i="3"/>
  <c r="D1040" i="3"/>
  <c r="C1040" i="3"/>
  <c r="B1040" i="3"/>
  <c r="A1040" i="3"/>
  <c r="F1039" i="3"/>
  <c r="E1039" i="3"/>
  <c r="D1039" i="3"/>
  <c r="C1039" i="3"/>
  <c r="B1039" i="3"/>
  <c r="A1039" i="3"/>
  <c r="F1038" i="3"/>
  <c r="E1038" i="3"/>
  <c r="D1038" i="3"/>
  <c r="C1038" i="3"/>
  <c r="B1038" i="3"/>
  <c r="A1038" i="3"/>
  <c r="F1037" i="3"/>
  <c r="E1037" i="3"/>
  <c r="D1037" i="3"/>
  <c r="C1037" i="3"/>
  <c r="B1037" i="3"/>
  <c r="A1037" i="3"/>
  <c r="F1036" i="3"/>
  <c r="E1036" i="3"/>
  <c r="D1036" i="3"/>
  <c r="C1036" i="3"/>
  <c r="B1036" i="3"/>
  <c r="A1036" i="3"/>
  <c r="F1035" i="3"/>
  <c r="E1035" i="3"/>
  <c r="D1035" i="3"/>
  <c r="C1035" i="3"/>
  <c r="B1035" i="3"/>
  <c r="A1035" i="3"/>
  <c r="F1034" i="3"/>
  <c r="E1034" i="3"/>
  <c r="D1034" i="3"/>
  <c r="C1034" i="3"/>
  <c r="B1034" i="3"/>
  <c r="A1034" i="3"/>
  <c r="F1033" i="3"/>
  <c r="E1033" i="3"/>
  <c r="D1033" i="3"/>
  <c r="C1033" i="3"/>
  <c r="B1033" i="3"/>
  <c r="A1033" i="3"/>
  <c r="F1032" i="3"/>
  <c r="E1032" i="3"/>
  <c r="D1032" i="3"/>
  <c r="C1032" i="3"/>
  <c r="B1032" i="3"/>
  <c r="A1032" i="3"/>
  <c r="F1031" i="3"/>
  <c r="E1031" i="3"/>
  <c r="D1031" i="3"/>
  <c r="C1031" i="3"/>
  <c r="B1031" i="3"/>
  <c r="A1031" i="3"/>
  <c r="F1030" i="3"/>
  <c r="E1030" i="3"/>
  <c r="D1030" i="3"/>
  <c r="C1030" i="3"/>
  <c r="B1030" i="3"/>
  <c r="A1030" i="3"/>
  <c r="F1029" i="3"/>
  <c r="E1029" i="3"/>
  <c r="D1029" i="3"/>
  <c r="C1029" i="3"/>
  <c r="B1029" i="3"/>
  <c r="A1029" i="3"/>
  <c r="F1028" i="3"/>
  <c r="E1028" i="3"/>
  <c r="D1028" i="3"/>
  <c r="C1028" i="3"/>
  <c r="B1028" i="3"/>
  <c r="A1028" i="3"/>
  <c r="F1027" i="3"/>
  <c r="E1027" i="3"/>
  <c r="D1027" i="3"/>
  <c r="C1027" i="3"/>
  <c r="B1027" i="3"/>
  <c r="A1027" i="3"/>
  <c r="F1026" i="3"/>
  <c r="E1026" i="3"/>
  <c r="D1026" i="3"/>
  <c r="C1026" i="3"/>
  <c r="B1026" i="3"/>
  <c r="A1026" i="3"/>
  <c r="F1025" i="3"/>
  <c r="E1025" i="3"/>
  <c r="D1025" i="3"/>
  <c r="C1025" i="3"/>
  <c r="B1025" i="3"/>
  <c r="A1025" i="3"/>
  <c r="F1024" i="3"/>
  <c r="E1024" i="3"/>
  <c r="D1024" i="3"/>
  <c r="C1024" i="3"/>
  <c r="B1024" i="3"/>
  <c r="A1024" i="3"/>
  <c r="F1023" i="3"/>
  <c r="E1023" i="3"/>
  <c r="D1023" i="3"/>
  <c r="C1023" i="3"/>
  <c r="B1023" i="3"/>
  <c r="A1023" i="3"/>
  <c r="F1022" i="3"/>
  <c r="E1022" i="3"/>
  <c r="D1022" i="3"/>
  <c r="C1022" i="3"/>
  <c r="B1022" i="3"/>
  <c r="A1022" i="3"/>
  <c r="F1021" i="3"/>
  <c r="E1021" i="3"/>
  <c r="D1021" i="3"/>
  <c r="C1021" i="3"/>
  <c r="B1021" i="3"/>
  <c r="A1021" i="3"/>
  <c r="F1020" i="3"/>
  <c r="E1020" i="3"/>
  <c r="D1020" i="3"/>
  <c r="C1020" i="3"/>
  <c r="B1020" i="3"/>
  <c r="A1020" i="3"/>
  <c r="F1019" i="3"/>
  <c r="E1019" i="3"/>
  <c r="D1019" i="3"/>
  <c r="C1019" i="3"/>
  <c r="B1019" i="3"/>
  <c r="A1019" i="3"/>
  <c r="F1018" i="3"/>
  <c r="E1018" i="3"/>
  <c r="D1018" i="3"/>
  <c r="C1018" i="3"/>
  <c r="B1018" i="3"/>
  <c r="A1018" i="3"/>
  <c r="F1017" i="3"/>
  <c r="E1017" i="3"/>
  <c r="D1017" i="3"/>
  <c r="C1017" i="3"/>
  <c r="B1017" i="3"/>
  <c r="A1017" i="3"/>
  <c r="F1016" i="3"/>
  <c r="E1016" i="3"/>
  <c r="D1016" i="3"/>
  <c r="C1016" i="3"/>
  <c r="B1016" i="3"/>
  <c r="A1016" i="3"/>
  <c r="F1015" i="3"/>
  <c r="E1015" i="3"/>
  <c r="D1015" i="3"/>
  <c r="C1015" i="3"/>
  <c r="B1015" i="3"/>
  <c r="A1015" i="3"/>
  <c r="F1014" i="3"/>
  <c r="E1014" i="3"/>
  <c r="D1014" i="3"/>
  <c r="C1014" i="3"/>
  <c r="B1014" i="3"/>
  <c r="A1014" i="3"/>
  <c r="F1013" i="3"/>
  <c r="E1013" i="3"/>
  <c r="D1013" i="3"/>
  <c r="C1013" i="3"/>
  <c r="B1013" i="3"/>
  <c r="A1013" i="3"/>
  <c r="F1012" i="3"/>
  <c r="E1012" i="3"/>
  <c r="D1012" i="3"/>
  <c r="C1012" i="3"/>
  <c r="B1012" i="3"/>
  <c r="A1012" i="3"/>
  <c r="F1011" i="3"/>
  <c r="E1011" i="3"/>
  <c r="D1011" i="3"/>
  <c r="C1011" i="3"/>
  <c r="B1011" i="3"/>
  <c r="A1011" i="3"/>
  <c r="F1010" i="3"/>
  <c r="E1010" i="3"/>
  <c r="D1010" i="3"/>
  <c r="C1010" i="3"/>
  <c r="B1010" i="3"/>
  <c r="A1010" i="3"/>
  <c r="F1009" i="3"/>
  <c r="E1009" i="3"/>
  <c r="D1009" i="3"/>
  <c r="C1009" i="3"/>
  <c r="B1009" i="3"/>
  <c r="A1009" i="3"/>
  <c r="F1008" i="3"/>
  <c r="E1008" i="3"/>
  <c r="D1008" i="3"/>
  <c r="C1008" i="3"/>
  <c r="B1008" i="3"/>
  <c r="A1008" i="3"/>
  <c r="F1007" i="3"/>
  <c r="E1007" i="3"/>
  <c r="D1007" i="3"/>
  <c r="C1007" i="3"/>
  <c r="B1007" i="3"/>
  <c r="A1007" i="3"/>
  <c r="F1006" i="3"/>
  <c r="E1006" i="3"/>
  <c r="D1006" i="3"/>
  <c r="C1006" i="3"/>
  <c r="B1006" i="3"/>
  <c r="A1006" i="3"/>
  <c r="F1005" i="3"/>
  <c r="E1005" i="3"/>
  <c r="D1005" i="3"/>
  <c r="C1005" i="3"/>
  <c r="B1005" i="3"/>
  <c r="A1005" i="3"/>
  <c r="F1004" i="3"/>
  <c r="E1004" i="3"/>
  <c r="D1004" i="3"/>
  <c r="C1004" i="3"/>
  <c r="B1004" i="3"/>
  <c r="A1004" i="3"/>
  <c r="F1003" i="3"/>
  <c r="E1003" i="3"/>
  <c r="D1003" i="3"/>
  <c r="C1003" i="3"/>
  <c r="B1003" i="3"/>
  <c r="A1003" i="3"/>
  <c r="F1002" i="3"/>
  <c r="E1002" i="3"/>
  <c r="D1002" i="3"/>
  <c r="C1002" i="3"/>
  <c r="B1002" i="3"/>
  <c r="A1002" i="3"/>
  <c r="F1001" i="3"/>
  <c r="E1001" i="3"/>
  <c r="D1001" i="3"/>
  <c r="C1001" i="3"/>
  <c r="B1001" i="3"/>
  <c r="A1001" i="3"/>
  <c r="F1000" i="3"/>
  <c r="E1000" i="3"/>
  <c r="D1000" i="3"/>
  <c r="C1000" i="3"/>
  <c r="B1000" i="3"/>
  <c r="A1000" i="3"/>
  <c r="F999" i="3"/>
  <c r="E999" i="3"/>
  <c r="D999" i="3"/>
  <c r="C999" i="3"/>
  <c r="B999" i="3"/>
  <c r="A999" i="3"/>
  <c r="F998" i="3"/>
  <c r="E998" i="3"/>
  <c r="D998" i="3"/>
  <c r="C998" i="3"/>
  <c r="B998" i="3"/>
  <c r="A998" i="3"/>
  <c r="F997" i="3"/>
  <c r="E997" i="3"/>
  <c r="D997" i="3"/>
  <c r="C997" i="3"/>
  <c r="B997" i="3"/>
  <c r="A997" i="3"/>
  <c r="F996" i="3"/>
  <c r="E996" i="3"/>
  <c r="D996" i="3"/>
  <c r="C996" i="3"/>
  <c r="B996" i="3"/>
  <c r="A996" i="3"/>
  <c r="F995" i="3"/>
  <c r="E995" i="3"/>
  <c r="D995" i="3"/>
  <c r="C995" i="3"/>
  <c r="B995" i="3"/>
  <c r="A995" i="3"/>
  <c r="F994" i="3"/>
  <c r="E994" i="3"/>
  <c r="D994" i="3"/>
  <c r="C994" i="3"/>
  <c r="B994" i="3"/>
  <c r="A994" i="3"/>
  <c r="F993" i="3"/>
  <c r="E993" i="3"/>
  <c r="D993" i="3"/>
  <c r="C993" i="3"/>
  <c r="B993" i="3"/>
  <c r="A993" i="3"/>
  <c r="F992" i="3"/>
  <c r="E992" i="3"/>
  <c r="D992" i="3"/>
  <c r="C992" i="3"/>
  <c r="B992" i="3"/>
  <c r="A992" i="3"/>
  <c r="F991" i="3"/>
  <c r="E991" i="3"/>
  <c r="D991" i="3"/>
  <c r="C991" i="3"/>
  <c r="B991" i="3"/>
  <c r="A991" i="3"/>
  <c r="F990" i="3"/>
  <c r="E990" i="3"/>
  <c r="D990" i="3"/>
  <c r="C990" i="3"/>
  <c r="B990" i="3"/>
  <c r="A990" i="3"/>
  <c r="F989" i="3"/>
  <c r="E989" i="3"/>
  <c r="D989" i="3"/>
  <c r="C989" i="3"/>
  <c r="B989" i="3"/>
  <c r="A989" i="3"/>
  <c r="F988" i="3"/>
  <c r="E988" i="3"/>
  <c r="D988" i="3"/>
  <c r="C988" i="3"/>
  <c r="B988" i="3"/>
  <c r="A988" i="3"/>
  <c r="F987" i="3"/>
  <c r="E987" i="3"/>
  <c r="D987" i="3"/>
  <c r="C987" i="3"/>
  <c r="B987" i="3"/>
  <c r="A987" i="3"/>
  <c r="F986" i="3"/>
  <c r="E986" i="3"/>
  <c r="D986" i="3"/>
  <c r="C986" i="3"/>
  <c r="B986" i="3"/>
  <c r="A986" i="3"/>
  <c r="F985" i="3"/>
  <c r="E985" i="3"/>
  <c r="D985" i="3"/>
  <c r="C985" i="3"/>
  <c r="B985" i="3"/>
  <c r="A985" i="3"/>
  <c r="F984" i="3"/>
  <c r="E984" i="3"/>
  <c r="D984" i="3"/>
  <c r="C984" i="3"/>
  <c r="B984" i="3"/>
  <c r="A984" i="3"/>
  <c r="F983" i="3"/>
  <c r="E983" i="3"/>
  <c r="D983" i="3"/>
  <c r="C983" i="3"/>
  <c r="B983" i="3"/>
  <c r="A983" i="3"/>
  <c r="F982" i="3"/>
  <c r="E982" i="3"/>
  <c r="D982" i="3"/>
  <c r="C982" i="3"/>
  <c r="B982" i="3"/>
  <c r="A982" i="3"/>
  <c r="F981" i="3"/>
  <c r="E981" i="3"/>
  <c r="D981" i="3"/>
  <c r="C981" i="3"/>
  <c r="B981" i="3"/>
  <c r="A981" i="3"/>
  <c r="F980" i="3"/>
  <c r="E980" i="3"/>
  <c r="D980" i="3"/>
  <c r="C980" i="3"/>
  <c r="B980" i="3"/>
  <c r="A980" i="3"/>
  <c r="F979" i="3"/>
  <c r="E979" i="3"/>
  <c r="D979" i="3"/>
  <c r="C979" i="3"/>
  <c r="B979" i="3"/>
  <c r="A979" i="3"/>
  <c r="F978" i="3"/>
  <c r="E978" i="3"/>
  <c r="D978" i="3"/>
  <c r="C978" i="3"/>
  <c r="B978" i="3"/>
  <c r="A978" i="3"/>
  <c r="F977" i="3"/>
  <c r="E977" i="3"/>
  <c r="D977" i="3"/>
  <c r="C977" i="3"/>
  <c r="B977" i="3"/>
  <c r="A977" i="3"/>
  <c r="F976" i="3"/>
  <c r="E976" i="3"/>
  <c r="D976" i="3"/>
  <c r="C976" i="3"/>
  <c r="B976" i="3"/>
  <c r="A976" i="3"/>
  <c r="F975" i="3"/>
  <c r="E975" i="3"/>
  <c r="D975" i="3"/>
  <c r="C975" i="3"/>
  <c r="B975" i="3"/>
  <c r="A975" i="3"/>
  <c r="F974" i="3"/>
  <c r="E974" i="3"/>
  <c r="D974" i="3"/>
  <c r="C974" i="3"/>
  <c r="B974" i="3"/>
  <c r="A974" i="3"/>
  <c r="F973" i="3"/>
  <c r="E973" i="3"/>
  <c r="D973" i="3"/>
  <c r="C973" i="3"/>
  <c r="B973" i="3"/>
  <c r="A973" i="3"/>
  <c r="F972" i="3"/>
  <c r="E972" i="3"/>
  <c r="D972" i="3"/>
  <c r="C972" i="3"/>
  <c r="B972" i="3"/>
  <c r="A972" i="3"/>
  <c r="F971" i="3"/>
  <c r="E971" i="3"/>
  <c r="D971" i="3"/>
  <c r="C971" i="3"/>
  <c r="B971" i="3"/>
  <c r="A971" i="3"/>
  <c r="F970" i="3"/>
  <c r="E970" i="3"/>
  <c r="D970" i="3"/>
  <c r="C970" i="3"/>
  <c r="B970" i="3"/>
  <c r="A970" i="3"/>
  <c r="F969" i="3"/>
  <c r="E969" i="3"/>
  <c r="D969" i="3"/>
  <c r="C969" i="3"/>
  <c r="B969" i="3"/>
  <c r="A969" i="3"/>
  <c r="F968" i="3"/>
  <c r="E968" i="3"/>
  <c r="D968" i="3"/>
  <c r="C968" i="3"/>
  <c r="B968" i="3"/>
  <c r="A968" i="3"/>
  <c r="F967" i="3"/>
  <c r="E967" i="3"/>
  <c r="D967" i="3"/>
  <c r="C967" i="3"/>
  <c r="B967" i="3"/>
  <c r="A967" i="3"/>
  <c r="F966" i="3"/>
  <c r="E966" i="3"/>
  <c r="D966" i="3"/>
  <c r="C966" i="3"/>
  <c r="B966" i="3"/>
  <c r="A966" i="3"/>
  <c r="F965" i="3"/>
  <c r="E965" i="3"/>
  <c r="D965" i="3"/>
  <c r="C965" i="3"/>
  <c r="B965" i="3"/>
  <c r="A965" i="3"/>
  <c r="F964" i="3"/>
  <c r="E964" i="3"/>
  <c r="D964" i="3"/>
  <c r="C964" i="3"/>
  <c r="B964" i="3"/>
  <c r="A964" i="3"/>
  <c r="F963" i="3"/>
  <c r="E963" i="3"/>
  <c r="D963" i="3"/>
  <c r="C963" i="3"/>
  <c r="B963" i="3"/>
  <c r="A963" i="3"/>
  <c r="F962" i="3"/>
  <c r="E962" i="3"/>
  <c r="D962" i="3"/>
  <c r="C962" i="3"/>
  <c r="B962" i="3"/>
  <c r="A962" i="3"/>
  <c r="F961" i="3"/>
  <c r="E961" i="3"/>
  <c r="D961" i="3"/>
  <c r="C961" i="3"/>
  <c r="B961" i="3"/>
  <c r="A961" i="3"/>
  <c r="F960" i="3"/>
  <c r="E960" i="3"/>
  <c r="D960" i="3"/>
  <c r="C960" i="3"/>
  <c r="B960" i="3"/>
  <c r="A960" i="3"/>
  <c r="F959" i="3"/>
  <c r="E959" i="3"/>
  <c r="D959" i="3"/>
  <c r="C959" i="3"/>
  <c r="B959" i="3"/>
  <c r="A959" i="3"/>
  <c r="F958" i="3"/>
  <c r="E958" i="3"/>
  <c r="D958" i="3"/>
  <c r="C958" i="3"/>
  <c r="B958" i="3"/>
  <c r="A958" i="3"/>
  <c r="F957" i="3"/>
  <c r="E957" i="3"/>
  <c r="D957" i="3"/>
  <c r="C957" i="3"/>
  <c r="B957" i="3"/>
  <c r="A957" i="3"/>
  <c r="F956" i="3"/>
  <c r="E956" i="3"/>
  <c r="D956" i="3"/>
  <c r="C956" i="3"/>
  <c r="B956" i="3"/>
  <c r="A956" i="3"/>
  <c r="F955" i="3"/>
  <c r="E955" i="3"/>
  <c r="D955" i="3"/>
  <c r="C955" i="3"/>
  <c r="B955" i="3"/>
  <c r="A955" i="3"/>
  <c r="F954" i="3"/>
  <c r="E954" i="3"/>
  <c r="D954" i="3"/>
  <c r="C954" i="3"/>
  <c r="B954" i="3"/>
  <c r="A954" i="3"/>
  <c r="F953" i="3"/>
  <c r="E953" i="3"/>
  <c r="D953" i="3"/>
  <c r="C953" i="3"/>
  <c r="B953" i="3"/>
  <c r="A953" i="3"/>
  <c r="F952" i="3"/>
  <c r="E952" i="3"/>
  <c r="D952" i="3"/>
  <c r="C952" i="3"/>
  <c r="B952" i="3"/>
  <c r="A952" i="3"/>
  <c r="F951" i="3"/>
  <c r="E951" i="3"/>
  <c r="D951" i="3"/>
  <c r="C951" i="3"/>
  <c r="B951" i="3"/>
  <c r="A951" i="3"/>
  <c r="F950" i="3"/>
  <c r="E950" i="3"/>
  <c r="D950" i="3"/>
  <c r="C950" i="3"/>
  <c r="B950" i="3"/>
  <c r="A950" i="3"/>
  <c r="F949" i="3"/>
  <c r="E949" i="3"/>
  <c r="D949" i="3"/>
  <c r="C949" i="3"/>
  <c r="B949" i="3"/>
  <c r="A949" i="3"/>
  <c r="F948" i="3"/>
  <c r="E948" i="3"/>
  <c r="D948" i="3"/>
  <c r="C948" i="3"/>
  <c r="B948" i="3"/>
  <c r="A948" i="3"/>
  <c r="F947" i="3"/>
  <c r="E947" i="3"/>
  <c r="D947" i="3"/>
  <c r="C947" i="3"/>
  <c r="B947" i="3"/>
  <c r="A947" i="3"/>
  <c r="F946" i="3"/>
  <c r="E946" i="3"/>
  <c r="D946" i="3"/>
  <c r="C946" i="3"/>
  <c r="B946" i="3"/>
  <c r="A946" i="3"/>
  <c r="F945" i="3"/>
  <c r="E945" i="3"/>
  <c r="D945" i="3"/>
  <c r="C945" i="3"/>
  <c r="B945" i="3"/>
  <c r="A945" i="3"/>
  <c r="F944" i="3"/>
  <c r="E944" i="3"/>
  <c r="D944" i="3"/>
  <c r="C944" i="3"/>
  <c r="B944" i="3"/>
  <c r="A944" i="3"/>
  <c r="F943" i="3"/>
  <c r="E943" i="3"/>
  <c r="D943" i="3"/>
  <c r="C943" i="3"/>
  <c r="B943" i="3"/>
  <c r="A943" i="3"/>
  <c r="F942" i="3"/>
  <c r="E942" i="3"/>
  <c r="D942" i="3"/>
  <c r="C942" i="3"/>
  <c r="B942" i="3"/>
  <c r="A942" i="3"/>
  <c r="F941" i="3"/>
  <c r="E941" i="3"/>
  <c r="D941" i="3"/>
  <c r="C941" i="3"/>
  <c r="B941" i="3"/>
  <c r="A941" i="3"/>
  <c r="F940" i="3"/>
  <c r="E940" i="3"/>
  <c r="D940" i="3"/>
  <c r="C940" i="3"/>
  <c r="B940" i="3"/>
  <c r="A940" i="3"/>
  <c r="F939" i="3"/>
  <c r="E939" i="3"/>
  <c r="D939" i="3"/>
  <c r="C939" i="3"/>
  <c r="B939" i="3"/>
  <c r="A939" i="3"/>
  <c r="F938" i="3"/>
  <c r="E938" i="3"/>
  <c r="D938" i="3"/>
  <c r="C938" i="3"/>
  <c r="B938" i="3"/>
  <c r="A938" i="3"/>
  <c r="F937" i="3"/>
  <c r="E937" i="3"/>
  <c r="D937" i="3"/>
  <c r="C937" i="3"/>
  <c r="B937" i="3"/>
  <c r="A937" i="3"/>
  <c r="F936" i="3"/>
  <c r="E936" i="3"/>
  <c r="D936" i="3"/>
  <c r="C936" i="3"/>
  <c r="B936" i="3"/>
  <c r="A936" i="3"/>
  <c r="F935" i="3"/>
  <c r="E935" i="3"/>
  <c r="D935" i="3"/>
  <c r="C935" i="3"/>
  <c r="B935" i="3"/>
  <c r="A935" i="3"/>
  <c r="F934" i="3"/>
  <c r="E934" i="3"/>
  <c r="D934" i="3"/>
  <c r="C934" i="3"/>
  <c r="B934" i="3"/>
  <c r="A934" i="3"/>
  <c r="F933" i="3"/>
  <c r="E933" i="3"/>
  <c r="D933" i="3"/>
  <c r="C933" i="3"/>
  <c r="B933" i="3"/>
  <c r="A933" i="3"/>
  <c r="F932" i="3"/>
  <c r="E932" i="3"/>
  <c r="D932" i="3"/>
  <c r="C932" i="3"/>
  <c r="B932" i="3"/>
  <c r="A932" i="3"/>
  <c r="F931" i="3"/>
  <c r="E931" i="3"/>
  <c r="D931" i="3"/>
  <c r="C931" i="3"/>
  <c r="B931" i="3"/>
  <c r="A931" i="3"/>
  <c r="F930" i="3"/>
  <c r="E930" i="3"/>
  <c r="D930" i="3"/>
  <c r="C930" i="3"/>
  <c r="B930" i="3"/>
  <c r="A930" i="3"/>
  <c r="F929" i="3"/>
  <c r="E929" i="3"/>
  <c r="D929" i="3"/>
  <c r="C929" i="3"/>
  <c r="B929" i="3"/>
  <c r="A929" i="3"/>
  <c r="F928" i="3"/>
  <c r="E928" i="3"/>
  <c r="D928" i="3"/>
  <c r="C928" i="3"/>
  <c r="B928" i="3"/>
  <c r="A928" i="3"/>
  <c r="F927" i="3"/>
  <c r="E927" i="3"/>
  <c r="D927" i="3"/>
  <c r="C927" i="3"/>
  <c r="B927" i="3"/>
  <c r="A927" i="3"/>
  <c r="F926" i="3"/>
  <c r="E926" i="3"/>
  <c r="D926" i="3"/>
  <c r="C926" i="3"/>
  <c r="B926" i="3"/>
  <c r="A926" i="3"/>
  <c r="F925" i="3"/>
  <c r="E925" i="3"/>
  <c r="D925" i="3"/>
  <c r="C925" i="3"/>
  <c r="B925" i="3"/>
  <c r="A925" i="3"/>
  <c r="F924" i="3"/>
  <c r="E924" i="3"/>
  <c r="D924" i="3"/>
  <c r="C924" i="3"/>
  <c r="B924" i="3"/>
  <c r="A924" i="3"/>
  <c r="F923" i="3"/>
  <c r="E923" i="3"/>
  <c r="D923" i="3"/>
  <c r="C923" i="3"/>
  <c r="B923" i="3"/>
  <c r="A923" i="3"/>
  <c r="F922" i="3"/>
  <c r="E922" i="3"/>
  <c r="D922" i="3"/>
  <c r="C922" i="3"/>
  <c r="B922" i="3"/>
  <c r="A922" i="3"/>
  <c r="F921" i="3"/>
  <c r="E921" i="3"/>
  <c r="D921" i="3"/>
  <c r="C921" i="3"/>
  <c r="B921" i="3"/>
  <c r="A921" i="3"/>
  <c r="F920" i="3"/>
  <c r="E920" i="3"/>
  <c r="D920" i="3"/>
  <c r="C920" i="3"/>
  <c r="B920" i="3"/>
  <c r="A920" i="3"/>
  <c r="F919" i="3"/>
  <c r="E919" i="3"/>
  <c r="D919" i="3"/>
  <c r="C919" i="3"/>
  <c r="B919" i="3"/>
  <c r="A919" i="3"/>
  <c r="F918" i="3"/>
  <c r="E918" i="3"/>
  <c r="D918" i="3"/>
  <c r="C918" i="3"/>
  <c r="B918" i="3"/>
  <c r="A918" i="3"/>
  <c r="F917" i="3"/>
  <c r="E917" i="3"/>
  <c r="D917" i="3"/>
  <c r="C917" i="3"/>
  <c r="B917" i="3"/>
  <c r="A917" i="3"/>
  <c r="F916" i="3"/>
  <c r="E916" i="3"/>
  <c r="D916" i="3"/>
  <c r="C916" i="3"/>
  <c r="B916" i="3"/>
  <c r="A916" i="3"/>
  <c r="F915" i="3"/>
  <c r="E915" i="3"/>
  <c r="D915" i="3"/>
  <c r="C915" i="3"/>
  <c r="B915" i="3"/>
  <c r="A915" i="3"/>
  <c r="F914" i="3"/>
  <c r="E914" i="3"/>
  <c r="D914" i="3"/>
  <c r="C914" i="3"/>
  <c r="B914" i="3"/>
  <c r="A914" i="3"/>
  <c r="F913" i="3"/>
  <c r="E913" i="3"/>
  <c r="D913" i="3"/>
  <c r="C913" i="3"/>
  <c r="B913" i="3"/>
  <c r="A913" i="3"/>
  <c r="F912" i="3"/>
  <c r="E912" i="3"/>
  <c r="D912" i="3"/>
  <c r="C912" i="3"/>
  <c r="B912" i="3"/>
  <c r="A912" i="3"/>
  <c r="F911" i="3"/>
  <c r="E911" i="3"/>
  <c r="D911" i="3"/>
  <c r="C911" i="3"/>
  <c r="B911" i="3"/>
  <c r="A911" i="3"/>
  <c r="F910" i="3"/>
  <c r="E910" i="3"/>
  <c r="D910" i="3"/>
  <c r="C910" i="3"/>
  <c r="B910" i="3"/>
  <c r="A910" i="3"/>
  <c r="F909" i="3"/>
  <c r="E909" i="3"/>
  <c r="D909" i="3"/>
  <c r="C909" i="3"/>
  <c r="B909" i="3"/>
  <c r="A909" i="3"/>
  <c r="F908" i="3"/>
  <c r="E908" i="3"/>
  <c r="D908" i="3"/>
  <c r="C908" i="3"/>
  <c r="B908" i="3"/>
  <c r="A908" i="3"/>
  <c r="F907" i="3"/>
  <c r="E907" i="3"/>
  <c r="D907" i="3"/>
  <c r="C907" i="3"/>
  <c r="B907" i="3"/>
  <c r="A907" i="3"/>
  <c r="F906" i="3"/>
  <c r="E906" i="3"/>
  <c r="D906" i="3"/>
  <c r="C906" i="3"/>
  <c r="B906" i="3"/>
  <c r="A906" i="3"/>
  <c r="F905" i="3"/>
  <c r="E905" i="3"/>
  <c r="D905" i="3"/>
  <c r="C905" i="3"/>
  <c r="B905" i="3"/>
  <c r="A905" i="3"/>
  <c r="F904" i="3"/>
  <c r="E904" i="3"/>
  <c r="D904" i="3"/>
  <c r="C904" i="3"/>
  <c r="B904" i="3"/>
  <c r="A904" i="3"/>
  <c r="F903" i="3"/>
  <c r="E903" i="3"/>
  <c r="D903" i="3"/>
  <c r="C903" i="3"/>
  <c r="B903" i="3"/>
  <c r="A903" i="3"/>
  <c r="F902" i="3"/>
  <c r="E902" i="3"/>
  <c r="D902" i="3"/>
  <c r="C902" i="3"/>
  <c r="B902" i="3"/>
  <c r="A902" i="3"/>
  <c r="F901" i="3"/>
  <c r="E901" i="3"/>
  <c r="D901" i="3"/>
  <c r="C901" i="3"/>
  <c r="B901" i="3"/>
  <c r="A901" i="3"/>
  <c r="F900" i="3"/>
  <c r="E900" i="3"/>
  <c r="D900" i="3"/>
  <c r="C900" i="3"/>
  <c r="B900" i="3"/>
  <c r="A900" i="3"/>
  <c r="F899" i="3"/>
  <c r="E899" i="3"/>
  <c r="D899" i="3"/>
  <c r="C899" i="3"/>
  <c r="B899" i="3"/>
  <c r="A899" i="3"/>
  <c r="F898" i="3"/>
  <c r="E898" i="3"/>
  <c r="D898" i="3"/>
  <c r="C898" i="3"/>
  <c r="B898" i="3"/>
  <c r="A898" i="3"/>
  <c r="F897" i="3"/>
  <c r="E897" i="3"/>
  <c r="D897" i="3"/>
  <c r="C897" i="3"/>
  <c r="B897" i="3"/>
  <c r="A897" i="3"/>
  <c r="F896" i="3"/>
  <c r="E896" i="3"/>
  <c r="D896" i="3"/>
  <c r="C896" i="3"/>
  <c r="B896" i="3"/>
  <c r="A896" i="3"/>
  <c r="F895" i="3"/>
  <c r="E895" i="3"/>
  <c r="D895" i="3"/>
  <c r="C895" i="3"/>
  <c r="B895" i="3"/>
  <c r="A895" i="3"/>
  <c r="F894" i="3"/>
  <c r="E894" i="3"/>
  <c r="D894" i="3"/>
  <c r="C894" i="3"/>
  <c r="B894" i="3"/>
  <c r="A894" i="3"/>
  <c r="F893" i="3"/>
  <c r="E893" i="3"/>
  <c r="D893" i="3"/>
  <c r="C893" i="3"/>
  <c r="B893" i="3"/>
  <c r="A893" i="3"/>
  <c r="F892" i="3"/>
  <c r="E892" i="3"/>
  <c r="D892" i="3"/>
  <c r="C892" i="3"/>
  <c r="B892" i="3"/>
  <c r="A892" i="3"/>
  <c r="F891" i="3"/>
  <c r="E891" i="3"/>
  <c r="D891" i="3"/>
  <c r="C891" i="3"/>
  <c r="B891" i="3"/>
  <c r="A891" i="3"/>
  <c r="F890" i="3"/>
  <c r="E890" i="3"/>
  <c r="D890" i="3"/>
  <c r="C890" i="3"/>
  <c r="B890" i="3"/>
  <c r="A890" i="3"/>
  <c r="F889" i="3"/>
  <c r="E889" i="3"/>
  <c r="D889" i="3"/>
  <c r="C889" i="3"/>
  <c r="B889" i="3"/>
  <c r="A889" i="3"/>
  <c r="F888" i="3"/>
  <c r="E888" i="3"/>
  <c r="D888" i="3"/>
  <c r="C888" i="3"/>
  <c r="B888" i="3"/>
  <c r="A888" i="3"/>
  <c r="F887" i="3"/>
  <c r="E887" i="3"/>
  <c r="D887" i="3"/>
  <c r="C887" i="3"/>
  <c r="B887" i="3"/>
  <c r="A887" i="3"/>
  <c r="F886" i="3"/>
  <c r="E886" i="3"/>
  <c r="D886" i="3"/>
  <c r="C886" i="3"/>
  <c r="B886" i="3"/>
  <c r="A886" i="3"/>
  <c r="F885" i="3"/>
  <c r="E885" i="3"/>
  <c r="D885" i="3"/>
  <c r="C885" i="3"/>
  <c r="B885" i="3"/>
  <c r="A885" i="3"/>
  <c r="F884" i="3"/>
  <c r="E884" i="3"/>
  <c r="D884" i="3"/>
  <c r="C884" i="3"/>
  <c r="B884" i="3"/>
  <c r="A884" i="3"/>
  <c r="F883" i="3"/>
  <c r="E883" i="3"/>
  <c r="D883" i="3"/>
  <c r="C883" i="3"/>
  <c r="B883" i="3"/>
  <c r="A883" i="3"/>
  <c r="F882" i="3"/>
  <c r="E882" i="3"/>
  <c r="D882" i="3"/>
  <c r="C882" i="3"/>
  <c r="B882" i="3"/>
  <c r="A882" i="3"/>
  <c r="F881" i="3"/>
  <c r="E881" i="3"/>
  <c r="D881" i="3"/>
  <c r="C881" i="3"/>
  <c r="B881" i="3"/>
  <c r="A881" i="3"/>
  <c r="F880" i="3"/>
  <c r="E880" i="3"/>
  <c r="D880" i="3"/>
  <c r="C880" i="3"/>
  <c r="B880" i="3"/>
  <c r="A880" i="3"/>
  <c r="F879" i="3"/>
  <c r="E879" i="3"/>
  <c r="D879" i="3"/>
  <c r="C879" i="3"/>
  <c r="B879" i="3"/>
  <c r="A879" i="3"/>
  <c r="F878" i="3"/>
  <c r="E878" i="3"/>
  <c r="D878" i="3"/>
  <c r="C878" i="3"/>
  <c r="B878" i="3"/>
  <c r="A878" i="3"/>
  <c r="F877" i="3"/>
  <c r="E877" i="3"/>
  <c r="D877" i="3"/>
  <c r="C877" i="3"/>
  <c r="B877" i="3"/>
  <c r="A877" i="3"/>
  <c r="F876" i="3"/>
  <c r="E876" i="3"/>
  <c r="D876" i="3"/>
  <c r="C876" i="3"/>
  <c r="B876" i="3"/>
  <c r="A876" i="3"/>
  <c r="F875" i="3"/>
  <c r="E875" i="3"/>
  <c r="D875" i="3"/>
  <c r="C875" i="3"/>
  <c r="B875" i="3"/>
  <c r="A875" i="3"/>
  <c r="F874" i="3"/>
  <c r="E874" i="3"/>
  <c r="D874" i="3"/>
  <c r="C874" i="3"/>
  <c r="B874" i="3"/>
  <c r="A874" i="3"/>
  <c r="F873" i="3"/>
  <c r="E873" i="3"/>
  <c r="D873" i="3"/>
  <c r="C873" i="3"/>
  <c r="B873" i="3"/>
  <c r="A873" i="3"/>
  <c r="F872" i="3"/>
  <c r="E872" i="3"/>
  <c r="D872" i="3"/>
  <c r="C872" i="3"/>
  <c r="B872" i="3"/>
  <c r="A872" i="3"/>
  <c r="F871" i="3"/>
  <c r="E871" i="3"/>
  <c r="D871" i="3"/>
  <c r="C871" i="3"/>
  <c r="B871" i="3"/>
  <c r="A871" i="3"/>
  <c r="F870" i="3"/>
  <c r="E870" i="3"/>
  <c r="D870" i="3"/>
  <c r="C870" i="3"/>
  <c r="B870" i="3"/>
  <c r="A870" i="3"/>
  <c r="F869" i="3"/>
  <c r="E869" i="3"/>
  <c r="D869" i="3"/>
  <c r="C869" i="3"/>
  <c r="B869" i="3"/>
  <c r="A869" i="3"/>
  <c r="F868" i="3"/>
  <c r="E868" i="3"/>
  <c r="D868" i="3"/>
  <c r="C868" i="3"/>
  <c r="B868" i="3"/>
  <c r="A868" i="3"/>
  <c r="F867" i="3"/>
  <c r="E867" i="3"/>
  <c r="D867" i="3"/>
  <c r="C867" i="3"/>
  <c r="B867" i="3"/>
  <c r="A867" i="3"/>
  <c r="F866" i="3"/>
  <c r="E866" i="3"/>
  <c r="D866" i="3"/>
  <c r="C866" i="3"/>
  <c r="B866" i="3"/>
  <c r="A866" i="3"/>
  <c r="F865" i="3"/>
  <c r="E865" i="3"/>
  <c r="D865" i="3"/>
  <c r="C865" i="3"/>
  <c r="B865" i="3"/>
  <c r="A865" i="3"/>
  <c r="F864" i="3"/>
  <c r="E864" i="3"/>
  <c r="D864" i="3"/>
  <c r="C864" i="3"/>
  <c r="B864" i="3"/>
  <c r="A864" i="3"/>
  <c r="F863" i="3"/>
  <c r="E863" i="3"/>
  <c r="D863" i="3"/>
  <c r="C863" i="3"/>
  <c r="B863" i="3"/>
  <c r="A863" i="3"/>
  <c r="F862" i="3"/>
  <c r="E862" i="3"/>
  <c r="D862" i="3"/>
  <c r="C862" i="3"/>
  <c r="B862" i="3"/>
  <c r="A862" i="3"/>
  <c r="F861" i="3"/>
  <c r="E861" i="3"/>
  <c r="D861" i="3"/>
  <c r="C861" i="3"/>
  <c r="B861" i="3"/>
  <c r="A861" i="3"/>
  <c r="F860" i="3"/>
  <c r="E860" i="3"/>
  <c r="D860" i="3"/>
  <c r="C860" i="3"/>
  <c r="B860" i="3"/>
  <c r="A860" i="3"/>
  <c r="F859" i="3"/>
  <c r="E859" i="3"/>
  <c r="D859" i="3"/>
  <c r="C859" i="3"/>
  <c r="B859" i="3"/>
  <c r="A859" i="3"/>
  <c r="F858" i="3"/>
  <c r="E858" i="3"/>
  <c r="D858" i="3"/>
  <c r="C858" i="3"/>
  <c r="B858" i="3"/>
  <c r="A858" i="3"/>
  <c r="F857" i="3"/>
  <c r="E857" i="3"/>
  <c r="D857" i="3"/>
  <c r="C857" i="3"/>
  <c r="B857" i="3"/>
  <c r="A857" i="3"/>
  <c r="F856" i="3"/>
  <c r="E856" i="3"/>
  <c r="D856" i="3"/>
  <c r="C856" i="3"/>
  <c r="B856" i="3"/>
  <c r="A856" i="3"/>
  <c r="F855" i="3"/>
  <c r="E855" i="3"/>
  <c r="D855" i="3"/>
  <c r="C855" i="3"/>
  <c r="B855" i="3"/>
  <c r="A855" i="3"/>
  <c r="F854" i="3"/>
  <c r="E854" i="3"/>
  <c r="D854" i="3"/>
  <c r="C854" i="3"/>
  <c r="B854" i="3"/>
  <c r="A854" i="3"/>
  <c r="F853" i="3"/>
  <c r="E853" i="3"/>
  <c r="D853" i="3"/>
  <c r="C853" i="3"/>
  <c r="B853" i="3"/>
  <c r="A853" i="3"/>
  <c r="F852" i="3"/>
  <c r="E852" i="3"/>
  <c r="D852" i="3"/>
  <c r="C852" i="3"/>
  <c r="B852" i="3"/>
  <c r="A852" i="3"/>
  <c r="F851" i="3"/>
  <c r="E851" i="3"/>
  <c r="D851" i="3"/>
  <c r="C851" i="3"/>
  <c r="B851" i="3"/>
  <c r="A851" i="3"/>
  <c r="F850" i="3"/>
  <c r="E850" i="3"/>
  <c r="D850" i="3"/>
  <c r="C850" i="3"/>
  <c r="B850" i="3"/>
  <c r="A850" i="3"/>
  <c r="F849" i="3"/>
  <c r="E849" i="3"/>
  <c r="D849" i="3"/>
  <c r="C849" i="3"/>
  <c r="B849" i="3"/>
  <c r="A849" i="3"/>
  <c r="F848" i="3"/>
  <c r="E848" i="3"/>
  <c r="D848" i="3"/>
  <c r="C848" i="3"/>
  <c r="B848" i="3"/>
  <c r="A848" i="3"/>
  <c r="F847" i="3"/>
  <c r="E847" i="3"/>
  <c r="D847" i="3"/>
  <c r="C847" i="3"/>
  <c r="B847" i="3"/>
  <c r="A847" i="3"/>
  <c r="F846" i="3"/>
  <c r="E846" i="3"/>
  <c r="D846" i="3"/>
  <c r="C846" i="3"/>
  <c r="B846" i="3"/>
  <c r="A846" i="3"/>
  <c r="F845" i="3"/>
  <c r="E845" i="3"/>
  <c r="D845" i="3"/>
  <c r="C845" i="3"/>
  <c r="B845" i="3"/>
  <c r="A845" i="3"/>
  <c r="F844" i="3"/>
  <c r="E844" i="3"/>
  <c r="D844" i="3"/>
  <c r="C844" i="3"/>
  <c r="B844" i="3"/>
  <c r="A844" i="3"/>
  <c r="F843" i="3"/>
  <c r="E843" i="3"/>
  <c r="D843" i="3"/>
  <c r="C843" i="3"/>
  <c r="B843" i="3"/>
  <c r="A843" i="3"/>
  <c r="F842" i="3"/>
  <c r="E842" i="3"/>
  <c r="D842" i="3"/>
  <c r="C842" i="3"/>
  <c r="B842" i="3"/>
  <c r="A842" i="3"/>
  <c r="F841" i="3"/>
  <c r="E841" i="3"/>
  <c r="D841" i="3"/>
  <c r="C841" i="3"/>
  <c r="B841" i="3"/>
  <c r="A841" i="3"/>
  <c r="F840" i="3"/>
  <c r="E840" i="3"/>
  <c r="D840" i="3"/>
  <c r="C840" i="3"/>
  <c r="B840" i="3"/>
  <c r="A840" i="3"/>
  <c r="F839" i="3"/>
  <c r="E839" i="3"/>
  <c r="D839" i="3"/>
  <c r="C839" i="3"/>
  <c r="B839" i="3"/>
  <c r="A839" i="3"/>
  <c r="F838" i="3"/>
  <c r="E838" i="3"/>
  <c r="D838" i="3"/>
  <c r="C838" i="3"/>
  <c r="B838" i="3"/>
  <c r="A838" i="3"/>
  <c r="F837" i="3"/>
  <c r="E837" i="3"/>
  <c r="D837" i="3"/>
  <c r="C837" i="3"/>
  <c r="B837" i="3"/>
  <c r="A837" i="3"/>
  <c r="F836" i="3"/>
  <c r="E836" i="3"/>
  <c r="D836" i="3"/>
  <c r="C836" i="3"/>
  <c r="B836" i="3"/>
  <c r="A836" i="3"/>
  <c r="F835" i="3"/>
  <c r="E835" i="3"/>
  <c r="D835" i="3"/>
  <c r="C835" i="3"/>
  <c r="B835" i="3"/>
  <c r="A835" i="3"/>
  <c r="F834" i="3"/>
  <c r="E834" i="3"/>
  <c r="D834" i="3"/>
  <c r="C834" i="3"/>
  <c r="B834" i="3"/>
  <c r="A834" i="3"/>
  <c r="F833" i="3"/>
  <c r="E833" i="3"/>
  <c r="D833" i="3"/>
  <c r="C833" i="3"/>
  <c r="B833" i="3"/>
  <c r="A833" i="3"/>
  <c r="F832" i="3"/>
  <c r="E832" i="3"/>
  <c r="D832" i="3"/>
  <c r="C832" i="3"/>
  <c r="B832" i="3"/>
  <c r="A832" i="3"/>
  <c r="F831" i="3"/>
  <c r="E831" i="3"/>
  <c r="D831" i="3"/>
  <c r="C831" i="3"/>
  <c r="B831" i="3"/>
  <c r="A831" i="3"/>
  <c r="F830" i="3"/>
  <c r="E830" i="3"/>
  <c r="D830" i="3"/>
  <c r="C830" i="3"/>
  <c r="B830" i="3"/>
  <c r="A830" i="3"/>
  <c r="F829" i="3"/>
  <c r="E829" i="3"/>
  <c r="D829" i="3"/>
  <c r="C829" i="3"/>
  <c r="B829" i="3"/>
  <c r="A829" i="3"/>
  <c r="F828" i="3"/>
  <c r="E828" i="3"/>
  <c r="D828" i="3"/>
  <c r="C828" i="3"/>
  <c r="B828" i="3"/>
  <c r="A828" i="3"/>
  <c r="F827" i="3"/>
  <c r="E827" i="3"/>
  <c r="D827" i="3"/>
  <c r="C827" i="3"/>
  <c r="B827" i="3"/>
  <c r="A827" i="3"/>
  <c r="F826" i="3"/>
  <c r="E826" i="3"/>
  <c r="D826" i="3"/>
  <c r="C826" i="3"/>
  <c r="B826" i="3"/>
  <c r="A826" i="3"/>
  <c r="F825" i="3"/>
  <c r="E825" i="3"/>
  <c r="D825" i="3"/>
  <c r="C825" i="3"/>
  <c r="B825" i="3"/>
  <c r="A825" i="3"/>
  <c r="F824" i="3"/>
  <c r="E824" i="3"/>
  <c r="D824" i="3"/>
  <c r="C824" i="3"/>
  <c r="B824" i="3"/>
  <c r="A824" i="3"/>
  <c r="F823" i="3"/>
  <c r="E823" i="3"/>
  <c r="D823" i="3"/>
  <c r="C823" i="3"/>
  <c r="B823" i="3"/>
  <c r="A823" i="3"/>
  <c r="F822" i="3"/>
  <c r="E822" i="3"/>
  <c r="D822" i="3"/>
  <c r="C822" i="3"/>
  <c r="B822" i="3"/>
  <c r="A822" i="3"/>
  <c r="F821" i="3"/>
  <c r="E821" i="3"/>
  <c r="D821" i="3"/>
  <c r="C821" i="3"/>
  <c r="B821" i="3"/>
  <c r="A821" i="3"/>
  <c r="F820" i="3"/>
  <c r="E820" i="3"/>
  <c r="D820" i="3"/>
  <c r="C820" i="3"/>
  <c r="B820" i="3"/>
  <c r="A820" i="3"/>
  <c r="F819" i="3"/>
  <c r="E819" i="3"/>
  <c r="D819" i="3"/>
  <c r="C819" i="3"/>
  <c r="B819" i="3"/>
  <c r="A819" i="3"/>
  <c r="F818" i="3"/>
  <c r="E818" i="3"/>
  <c r="D818" i="3"/>
  <c r="C818" i="3"/>
  <c r="B818" i="3"/>
  <c r="A818" i="3"/>
  <c r="F817" i="3"/>
  <c r="E817" i="3"/>
  <c r="D817" i="3"/>
  <c r="C817" i="3"/>
  <c r="B817" i="3"/>
  <c r="A817" i="3"/>
  <c r="F816" i="3"/>
  <c r="E816" i="3"/>
  <c r="D816" i="3"/>
  <c r="C816" i="3"/>
  <c r="B816" i="3"/>
  <c r="A816" i="3"/>
  <c r="F815" i="3"/>
  <c r="E815" i="3"/>
  <c r="D815" i="3"/>
  <c r="C815" i="3"/>
  <c r="B815" i="3"/>
  <c r="A815" i="3"/>
  <c r="F814" i="3"/>
  <c r="E814" i="3"/>
  <c r="D814" i="3"/>
  <c r="C814" i="3"/>
  <c r="B814" i="3"/>
  <c r="A814" i="3"/>
  <c r="F813" i="3"/>
  <c r="E813" i="3"/>
  <c r="D813" i="3"/>
  <c r="C813" i="3"/>
  <c r="B813" i="3"/>
  <c r="A813" i="3"/>
  <c r="F812" i="3"/>
  <c r="E812" i="3"/>
  <c r="D812" i="3"/>
  <c r="C812" i="3"/>
  <c r="B812" i="3"/>
  <c r="A812" i="3"/>
  <c r="F811" i="3"/>
  <c r="E811" i="3"/>
  <c r="D811" i="3"/>
  <c r="C811" i="3"/>
  <c r="B811" i="3"/>
  <c r="A811" i="3"/>
  <c r="F810" i="3"/>
  <c r="E810" i="3"/>
  <c r="D810" i="3"/>
  <c r="C810" i="3"/>
  <c r="B810" i="3"/>
  <c r="A810" i="3"/>
  <c r="F809" i="3"/>
  <c r="E809" i="3"/>
  <c r="D809" i="3"/>
  <c r="C809" i="3"/>
  <c r="B809" i="3"/>
  <c r="A809" i="3"/>
  <c r="F808" i="3"/>
  <c r="E808" i="3"/>
  <c r="D808" i="3"/>
  <c r="C808" i="3"/>
  <c r="B808" i="3"/>
  <c r="A808" i="3"/>
  <c r="F807" i="3"/>
  <c r="E807" i="3"/>
  <c r="D807" i="3"/>
  <c r="C807" i="3"/>
  <c r="B807" i="3"/>
  <c r="A807" i="3"/>
  <c r="F806" i="3"/>
  <c r="E806" i="3"/>
  <c r="D806" i="3"/>
  <c r="C806" i="3"/>
  <c r="B806" i="3"/>
  <c r="A806" i="3"/>
  <c r="F805" i="3"/>
  <c r="E805" i="3"/>
  <c r="D805" i="3"/>
  <c r="C805" i="3"/>
  <c r="B805" i="3"/>
  <c r="A805" i="3"/>
  <c r="F804" i="3"/>
  <c r="E804" i="3"/>
  <c r="D804" i="3"/>
  <c r="C804" i="3"/>
  <c r="B804" i="3"/>
  <c r="A804" i="3"/>
  <c r="F803" i="3"/>
  <c r="E803" i="3"/>
  <c r="D803" i="3"/>
  <c r="C803" i="3"/>
  <c r="B803" i="3"/>
  <c r="A803" i="3"/>
  <c r="F802" i="3"/>
  <c r="E802" i="3"/>
  <c r="D802" i="3"/>
  <c r="C802" i="3"/>
  <c r="B802" i="3"/>
  <c r="A802" i="3"/>
  <c r="F801" i="3"/>
  <c r="E801" i="3"/>
  <c r="D801" i="3"/>
  <c r="C801" i="3"/>
  <c r="B801" i="3"/>
  <c r="A801" i="3"/>
  <c r="F800" i="3"/>
  <c r="E800" i="3"/>
  <c r="D800" i="3"/>
  <c r="C800" i="3"/>
  <c r="B800" i="3"/>
  <c r="A800" i="3"/>
  <c r="F799" i="3"/>
  <c r="E799" i="3"/>
  <c r="D799" i="3"/>
  <c r="C799" i="3"/>
  <c r="B799" i="3"/>
  <c r="A799" i="3"/>
  <c r="F798" i="3"/>
  <c r="E798" i="3"/>
  <c r="D798" i="3"/>
  <c r="C798" i="3"/>
  <c r="B798" i="3"/>
  <c r="A798" i="3"/>
  <c r="F797" i="3"/>
  <c r="E797" i="3"/>
  <c r="D797" i="3"/>
  <c r="C797" i="3"/>
  <c r="B797" i="3"/>
  <c r="A797" i="3"/>
  <c r="F796" i="3"/>
  <c r="E796" i="3"/>
  <c r="D796" i="3"/>
  <c r="C796" i="3"/>
  <c r="B796" i="3"/>
  <c r="A796" i="3"/>
  <c r="F795" i="3"/>
  <c r="E795" i="3"/>
  <c r="D795" i="3"/>
  <c r="C795" i="3"/>
  <c r="B795" i="3"/>
  <c r="A795" i="3"/>
  <c r="F794" i="3"/>
  <c r="E794" i="3"/>
  <c r="D794" i="3"/>
  <c r="C794" i="3"/>
  <c r="B794" i="3"/>
  <c r="A794" i="3"/>
  <c r="F793" i="3"/>
  <c r="E793" i="3"/>
  <c r="D793" i="3"/>
  <c r="C793" i="3"/>
  <c r="B793" i="3"/>
  <c r="A793" i="3"/>
  <c r="F792" i="3"/>
  <c r="E792" i="3"/>
  <c r="D792" i="3"/>
  <c r="C792" i="3"/>
  <c r="B792" i="3"/>
  <c r="A792" i="3"/>
  <c r="F791" i="3"/>
  <c r="E791" i="3"/>
  <c r="D791" i="3"/>
  <c r="C791" i="3"/>
  <c r="B791" i="3"/>
  <c r="A791" i="3"/>
  <c r="F790" i="3"/>
  <c r="E790" i="3"/>
  <c r="D790" i="3"/>
  <c r="C790" i="3"/>
  <c r="B790" i="3"/>
  <c r="A790" i="3"/>
  <c r="F789" i="3"/>
  <c r="E789" i="3"/>
  <c r="D789" i="3"/>
  <c r="C789" i="3"/>
  <c r="B789" i="3"/>
  <c r="A789" i="3"/>
  <c r="F788" i="3"/>
  <c r="E788" i="3"/>
  <c r="D788" i="3"/>
  <c r="C788" i="3"/>
  <c r="B788" i="3"/>
  <c r="A788" i="3"/>
  <c r="F787" i="3"/>
  <c r="E787" i="3"/>
  <c r="D787" i="3"/>
  <c r="C787" i="3"/>
  <c r="B787" i="3"/>
  <c r="A787" i="3"/>
  <c r="F786" i="3"/>
  <c r="E786" i="3"/>
  <c r="D786" i="3"/>
  <c r="C786" i="3"/>
  <c r="B786" i="3"/>
  <c r="A786" i="3"/>
  <c r="F785" i="3"/>
  <c r="E785" i="3"/>
  <c r="D785" i="3"/>
  <c r="C785" i="3"/>
  <c r="B785" i="3"/>
  <c r="A785" i="3"/>
  <c r="F784" i="3"/>
  <c r="E784" i="3"/>
  <c r="D784" i="3"/>
  <c r="C784" i="3"/>
  <c r="B784" i="3"/>
  <c r="A784" i="3"/>
  <c r="F783" i="3"/>
  <c r="E783" i="3"/>
  <c r="D783" i="3"/>
  <c r="C783" i="3"/>
  <c r="B783" i="3"/>
  <c r="A783" i="3"/>
  <c r="F782" i="3"/>
  <c r="E782" i="3"/>
  <c r="D782" i="3"/>
  <c r="C782" i="3"/>
  <c r="B782" i="3"/>
  <c r="A782" i="3"/>
  <c r="F781" i="3"/>
  <c r="E781" i="3"/>
  <c r="D781" i="3"/>
  <c r="C781" i="3"/>
  <c r="B781" i="3"/>
  <c r="A781" i="3"/>
  <c r="F780" i="3"/>
  <c r="E780" i="3"/>
  <c r="D780" i="3"/>
  <c r="C780" i="3"/>
  <c r="B780" i="3"/>
  <c r="A780" i="3"/>
  <c r="F779" i="3"/>
  <c r="E779" i="3"/>
  <c r="D779" i="3"/>
  <c r="C779" i="3"/>
  <c r="B779" i="3"/>
  <c r="A779" i="3"/>
  <c r="F778" i="3"/>
  <c r="E778" i="3"/>
  <c r="D778" i="3"/>
  <c r="C778" i="3"/>
  <c r="B778" i="3"/>
  <c r="A778" i="3"/>
  <c r="F777" i="3"/>
  <c r="E777" i="3"/>
  <c r="D777" i="3"/>
  <c r="C777" i="3"/>
  <c r="B777" i="3"/>
  <c r="A777" i="3"/>
  <c r="F776" i="3"/>
  <c r="E776" i="3"/>
  <c r="D776" i="3"/>
  <c r="C776" i="3"/>
  <c r="B776" i="3"/>
  <c r="A776" i="3"/>
  <c r="F775" i="3"/>
  <c r="E775" i="3"/>
  <c r="D775" i="3"/>
  <c r="C775" i="3"/>
  <c r="B775" i="3"/>
  <c r="A775" i="3"/>
  <c r="F774" i="3"/>
  <c r="E774" i="3"/>
  <c r="D774" i="3"/>
  <c r="C774" i="3"/>
  <c r="B774" i="3"/>
  <c r="A774" i="3"/>
  <c r="F773" i="3"/>
  <c r="E773" i="3"/>
  <c r="D773" i="3"/>
  <c r="C773" i="3"/>
  <c r="B773" i="3"/>
  <c r="A773" i="3"/>
  <c r="F772" i="3"/>
  <c r="E772" i="3"/>
  <c r="D772" i="3"/>
  <c r="C772" i="3"/>
  <c r="B772" i="3"/>
  <c r="A772" i="3"/>
  <c r="F771" i="3"/>
  <c r="E771" i="3"/>
  <c r="D771" i="3"/>
  <c r="C771" i="3"/>
  <c r="B771" i="3"/>
  <c r="A771" i="3"/>
  <c r="F770" i="3"/>
  <c r="E770" i="3"/>
  <c r="D770" i="3"/>
  <c r="C770" i="3"/>
  <c r="B770" i="3"/>
  <c r="A770" i="3"/>
  <c r="F769" i="3"/>
  <c r="E769" i="3"/>
  <c r="D769" i="3"/>
  <c r="C769" i="3"/>
  <c r="B769" i="3"/>
  <c r="A769" i="3"/>
  <c r="F768" i="3"/>
  <c r="E768" i="3"/>
  <c r="D768" i="3"/>
  <c r="C768" i="3"/>
  <c r="B768" i="3"/>
  <c r="A768" i="3"/>
  <c r="F767" i="3"/>
  <c r="E767" i="3"/>
  <c r="D767" i="3"/>
  <c r="C767" i="3"/>
  <c r="B767" i="3"/>
  <c r="A767" i="3"/>
  <c r="F766" i="3"/>
  <c r="E766" i="3"/>
  <c r="D766" i="3"/>
  <c r="C766" i="3"/>
  <c r="B766" i="3"/>
  <c r="A766" i="3"/>
  <c r="F765" i="3"/>
  <c r="E765" i="3"/>
  <c r="D765" i="3"/>
  <c r="C765" i="3"/>
  <c r="B765" i="3"/>
  <c r="A765" i="3"/>
  <c r="F764" i="3"/>
  <c r="E764" i="3"/>
  <c r="D764" i="3"/>
  <c r="C764" i="3"/>
  <c r="B764" i="3"/>
  <c r="A764" i="3"/>
  <c r="F763" i="3"/>
  <c r="E763" i="3"/>
  <c r="D763" i="3"/>
  <c r="C763" i="3"/>
  <c r="B763" i="3"/>
  <c r="A763" i="3"/>
  <c r="F762" i="3"/>
  <c r="E762" i="3"/>
  <c r="D762" i="3"/>
  <c r="C762" i="3"/>
  <c r="B762" i="3"/>
  <c r="A762" i="3"/>
  <c r="F761" i="3"/>
  <c r="E761" i="3"/>
  <c r="D761" i="3"/>
  <c r="C761" i="3"/>
  <c r="B761" i="3"/>
  <c r="A761" i="3"/>
  <c r="F760" i="3"/>
  <c r="E760" i="3"/>
  <c r="D760" i="3"/>
  <c r="C760" i="3"/>
  <c r="B760" i="3"/>
  <c r="A760" i="3"/>
  <c r="F759" i="3"/>
  <c r="E759" i="3"/>
  <c r="D759" i="3"/>
  <c r="C759" i="3"/>
  <c r="B759" i="3"/>
  <c r="A759" i="3"/>
  <c r="F758" i="3"/>
  <c r="E758" i="3"/>
  <c r="D758" i="3"/>
  <c r="C758" i="3"/>
  <c r="B758" i="3"/>
  <c r="A758" i="3"/>
  <c r="F757" i="3"/>
  <c r="E757" i="3"/>
  <c r="D757" i="3"/>
  <c r="C757" i="3"/>
  <c r="B757" i="3"/>
  <c r="A757" i="3"/>
  <c r="F756" i="3"/>
  <c r="E756" i="3"/>
  <c r="D756" i="3"/>
  <c r="C756" i="3"/>
  <c r="B756" i="3"/>
  <c r="A756" i="3"/>
  <c r="F755" i="3"/>
  <c r="E755" i="3"/>
  <c r="D755" i="3"/>
  <c r="C755" i="3"/>
  <c r="B755" i="3"/>
  <c r="A755" i="3"/>
  <c r="F754" i="3"/>
  <c r="E754" i="3"/>
  <c r="D754" i="3"/>
  <c r="C754" i="3"/>
  <c r="B754" i="3"/>
  <c r="A754" i="3"/>
  <c r="F753" i="3"/>
  <c r="E753" i="3"/>
  <c r="D753" i="3"/>
  <c r="C753" i="3"/>
  <c r="B753" i="3"/>
  <c r="A753" i="3"/>
  <c r="F752" i="3"/>
  <c r="E752" i="3"/>
  <c r="D752" i="3"/>
  <c r="C752" i="3"/>
  <c r="B752" i="3"/>
  <c r="A752" i="3"/>
  <c r="F751" i="3"/>
  <c r="E751" i="3"/>
  <c r="D751" i="3"/>
  <c r="C751" i="3"/>
  <c r="B751" i="3"/>
  <c r="A751" i="3"/>
  <c r="F750" i="3"/>
  <c r="E750" i="3"/>
  <c r="D750" i="3"/>
  <c r="C750" i="3"/>
  <c r="B750" i="3"/>
  <c r="A750" i="3"/>
  <c r="F749" i="3"/>
  <c r="E749" i="3"/>
  <c r="D749" i="3"/>
  <c r="C749" i="3"/>
  <c r="B749" i="3"/>
  <c r="A749" i="3"/>
  <c r="F748" i="3"/>
  <c r="E748" i="3"/>
  <c r="D748" i="3"/>
  <c r="C748" i="3"/>
  <c r="B748" i="3"/>
  <c r="A748" i="3"/>
  <c r="F747" i="3"/>
  <c r="E747" i="3"/>
  <c r="D747" i="3"/>
  <c r="C747" i="3"/>
  <c r="B747" i="3"/>
  <c r="A747" i="3"/>
  <c r="F746" i="3"/>
  <c r="E746" i="3"/>
  <c r="D746" i="3"/>
  <c r="C746" i="3"/>
  <c r="B746" i="3"/>
  <c r="A746" i="3"/>
  <c r="F745" i="3"/>
  <c r="E745" i="3"/>
  <c r="D745" i="3"/>
  <c r="C745" i="3"/>
  <c r="B745" i="3"/>
  <c r="A745" i="3"/>
  <c r="F744" i="3"/>
  <c r="E744" i="3"/>
  <c r="D744" i="3"/>
  <c r="C744" i="3"/>
  <c r="B744" i="3"/>
  <c r="A744" i="3"/>
  <c r="F743" i="3"/>
  <c r="E743" i="3"/>
  <c r="D743" i="3"/>
  <c r="C743" i="3"/>
  <c r="B743" i="3"/>
  <c r="A743" i="3"/>
  <c r="F742" i="3"/>
  <c r="E742" i="3"/>
  <c r="D742" i="3"/>
  <c r="C742" i="3"/>
  <c r="B742" i="3"/>
  <c r="A742" i="3"/>
  <c r="F741" i="3"/>
  <c r="E741" i="3"/>
  <c r="D741" i="3"/>
  <c r="C741" i="3"/>
  <c r="B741" i="3"/>
  <c r="A741" i="3"/>
  <c r="F740" i="3"/>
  <c r="E740" i="3"/>
  <c r="D740" i="3"/>
  <c r="C740" i="3"/>
  <c r="B740" i="3"/>
  <c r="A740" i="3"/>
  <c r="F739" i="3"/>
  <c r="E739" i="3"/>
  <c r="D739" i="3"/>
  <c r="C739" i="3"/>
  <c r="B739" i="3"/>
  <c r="A739" i="3"/>
  <c r="F738" i="3"/>
  <c r="E738" i="3"/>
  <c r="D738" i="3"/>
  <c r="C738" i="3"/>
  <c r="B738" i="3"/>
  <c r="A738" i="3"/>
  <c r="F737" i="3"/>
  <c r="E737" i="3"/>
  <c r="D737" i="3"/>
  <c r="C737" i="3"/>
  <c r="B737" i="3"/>
  <c r="A737" i="3"/>
  <c r="F736" i="3"/>
  <c r="E736" i="3"/>
  <c r="D736" i="3"/>
  <c r="C736" i="3"/>
  <c r="B736" i="3"/>
  <c r="A736" i="3"/>
  <c r="F735" i="3"/>
  <c r="E735" i="3"/>
  <c r="D735" i="3"/>
  <c r="C735" i="3"/>
  <c r="B735" i="3"/>
  <c r="A735" i="3"/>
  <c r="F734" i="3"/>
  <c r="E734" i="3"/>
  <c r="D734" i="3"/>
  <c r="C734" i="3"/>
  <c r="B734" i="3"/>
  <c r="A734" i="3"/>
  <c r="F733" i="3"/>
  <c r="E733" i="3"/>
  <c r="D733" i="3"/>
  <c r="C733" i="3"/>
  <c r="B733" i="3"/>
  <c r="A733" i="3"/>
  <c r="F732" i="3"/>
  <c r="E732" i="3"/>
  <c r="D732" i="3"/>
  <c r="C732" i="3"/>
  <c r="B732" i="3"/>
  <c r="A732" i="3"/>
  <c r="F731" i="3"/>
  <c r="E731" i="3"/>
  <c r="D731" i="3"/>
  <c r="C731" i="3"/>
  <c r="B731" i="3"/>
  <c r="A731" i="3"/>
  <c r="F730" i="3"/>
  <c r="E730" i="3"/>
  <c r="D730" i="3"/>
  <c r="C730" i="3"/>
  <c r="B730" i="3"/>
  <c r="A730" i="3"/>
  <c r="F729" i="3"/>
  <c r="E729" i="3"/>
  <c r="D729" i="3"/>
  <c r="C729" i="3"/>
  <c r="B729" i="3"/>
  <c r="A729" i="3"/>
  <c r="F728" i="3"/>
  <c r="E728" i="3"/>
  <c r="D728" i="3"/>
  <c r="C728" i="3"/>
  <c r="B728" i="3"/>
  <c r="A728" i="3"/>
  <c r="F727" i="3"/>
  <c r="E727" i="3"/>
  <c r="D727" i="3"/>
  <c r="C727" i="3"/>
  <c r="B727" i="3"/>
  <c r="A727" i="3"/>
  <c r="F726" i="3"/>
  <c r="E726" i="3"/>
  <c r="D726" i="3"/>
  <c r="C726" i="3"/>
  <c r="B726" i="3"/>
  <c r="A726" i="3"/>
  <c r="F725" i="3"/>
  <c r="E725" i="3"/>
  <c r="D725" i="3"/>
  <c r="C725" i="3"/>
  <c r="B725" i="3"/>
  <c r="A725" i="3"/>
  <c r="F724" i="3"/>
  <c r="E724" i="3"/>
  <c r="D724" i="3"/>
  <c r="C724" i="3"/>
  <c r="B724" i="3"/>
  <c r="A724" i="3"/>
  <c r="F723" i="3"/>
  <c r="E723" i="3"/>
  <c r="D723" i="3"/>
  <c r="C723" i="3"/>
  <c r="B723" i="3"/>
  <c r="A723" i="3"/>
  <c r="F722" i="3"/>
  <c r="E722" i="3"/>
  <c r="D722" i="3"/>
  <c r="C722" i="3"/>
  <c r="B722" i="3"/>
  <c r="A722" i="3"/>
  <c r="F721" i="3"/>
  <c r="E721" i="3"/>
  <c r="D721" i="3"/>
  <c r="C721" i="3"/>
  <c r="B721" i="3"/>
  <c r="A721" i="3"/>
  <c r="F720" i="3"/>
  <c r="E720" i="3"/>
  <c r="D720" i="3"/>
  <c r="C720" i="3"/>
  <c r="B720" i="3"/>
  <c r="A720" i="3"/>
  <c r="F719" i="3"/>
  <c r="E719" i="3"/>
  <c r="D719" i="3"/>
  <c r="C719" i="3"/>
  <c r="B719" i="3"/>
  <c r="A719" i="3"/>
  <c r="F718" i="3"/>
  <c r="E718" i="3"/>
  <c r="D718" i="3"/>
  <c r="C718" i="3"/>
  <c r="B718" i="3"/>
  <c r="A718" i="3"/>
  <c r="F717" i="3"/>
  <c r="E717" i="3"/>
  <c r="D717" i="3"/>
  <c r="C717" i="3"/>
  <c r="B717" i="3"/>
  <c r="A717" i="3"/>
  <c r="F716" i="3"/>
  <c r="E716" i="3"/>
  <c r="D716" i="3"/>
  <c r="C716" i="3"/>
  <c r="B716" i="3"/>
  <c r="A716" i="3"/>
  <c r="F715" i="3"/>
  <c r="E715" i="3"/>
  <c r="D715" i="3"/>
  <c r="C715" i="3"/>
  <c r="B715" i="3"/>
  <c r="A715" i="3"/>
  <c r="F714" i="3"/>
  <c r="E714" i="3"/>
  <c r="D714" i="3"/>
  <c r="C714" i="3"/>
  <c r="B714" i="3"/>
  <c r="A714" i="3"/>
  <c r="F713" i="3"/>
  <c r="E713" i="3"/>
  <c r="D713" i="3"/>
  <c r="C713" i="3"/>
  <c r="B713" i="3"/>
  <c r="A713" i="3"/>
  <c r="F712" i="3"/>
  <c r="E712" i="3"/>
  <c r="D712" i="3"/>
  <c r="C712" i="3"/>
  <c r="B712" i="3"/>
  <c r="A712" i="3"/>
  <c r="F711" i="3"/>
  <c r="E711" i="3"/>
  <c r="D711" i="3"/>
  <c r="C711" i="3"/>
  <c r="B711" i="3"/>
  <c r="A711" i="3"/>
  <c r="F710" i="3"/>
  <c r="E710" i="3"/>
  <c r="D710" i="3"/>
  <c r="C710" i="3"/>
  <c r="B710" i="3"/>
  <c r="A710" i="3"/>
  <c r="F709" i="3"/>
  <c r="E709" i="3"/>
  <c r="D709" i="3"/>
  <c r="C709" i="3"/>
  <c r="B709" i="3"/>
  <c r="A709" i="3"/>
  <c r="F708" i="3"/>
  <c r="E708" i="3"/>
  <c r="D708" i="3"/>
  <c r="C708" i="3"/>
  <c r="B708" i="3"/>
  <c r="A708" i="3"/>
  <c r="F707" i="3"/>
  <c r="E707" i="3"/>
  <c r="D707" i="3"/>
  <c r="C707" i="3"/>
  <c r="B707" i="3"/>
  <c r="A707" i="3"/>
  <c r="F706" i="3"/>
  <c r="E706" i="3"/>
  <c r="D706" i="3"/>
  <c r="C706" i="3"/>
  <c r="B706" i="3"/>
  <c r="A706" i="3"/>
  <c r="F705" i="3"/>
  <c r="E705" i="3"/>
  <c r="D705" i="3"/>
  <c r="C705" i="3"/>
  <c r="B705" i="3"/>
  <c r="A705" i="3"/>
  <c r="F704" i="3"/>
  <c r="E704" i="3"/>
  <c r="D704" i="3"/>
  <c r="C704" i="3"/>
  <c r="B704" i="3"/>
  <c r="A704" i="3"/>
  <c r="F703" i="3"/>
  <c r="E703" i="3"/>
  <c r="D703" i="3"/>
  <c r="C703" i="3"/>
  <c r="B703" i="3"/>
  <c r="A703" i="3"/>
  <c r="F702" i="3"/>
  <c r="E702" i="3"/>
  <c r="D702" i="3"/>
  <c r="C702" i="3"/>
  <c r="B702" i="3"/>
  <c r="A702" i="3"/>
  <c r="F701" i="3"/>
  <c r="E701" i="3"/>
  <c r="D701" i="3"/>
  <c r="C701" i="3"/>
  <c r="B701" i="3"/>
  <c r="A701" i="3"/>
  <c r="F700" i="3"/>
  <c r="E700" i="3"/>
  <c r="D700" i="3"/>
  <c r="C700" i="3"/>
  <c r="B700" i="3"/>
  <c r="A700" i="3"/>
  <c r="F699" i="3"/>
  <c r="E699" i="3"/>
  <c r="D699" i="3"/>
  <c r="C699" i="3"/>
  <c r="B699" i="3"/>
  <c r="A699" i="3"/>
  <c r="F698" i="3"/>
  <c r="E698" i="3"/>
  <c r="D698" i="3"/>
  <c r="C698" i="3"/>
  <c r="B698" i="3"/>
  <c r="A698" i="3"/>
  <c r="F697" i="3"/>
  <c r="E697" i="3"/>
  <c r="D697" i="3"/>
  <c r="C697" i="3"/>
  <c r="B697" i="3"/>
  <c r="A697" i="3"/>
  <c r="F696" i="3"/>
  <c r="E696" i="3"/>
  <c r="D696" i="3"/>
  <c r="C696" i="3"/>
  <c r="B696" i="3"/>
  <c r="A696" i="3"/>
  <c r="F695" i="3"/>
  <c r="E695" i="3"/>
  <c r="D695" i="3"/>
  <c r="C695" i="3"/>
  <c r="B695" i="3"/>
  <c r="A695" i="3"/>
  <c r="F694" i="3"/>
  <c r="E694" i="3"/>
  <c r="D694" i="3"/>
  <c r="C694" i="3"/>
  <c r="B694" i="3"/>
  <c r="A694" i="3"/>
  <c r="F693" i="3"/>
  <c r="E693" i="3"/>
  <c r="D693" i="3"/>
  <c r="C693" i="3"/>
  <c r="B693" i="3"/>
  <c r="A693" i="3"/>
  <c r="F692" i="3"/>
  <c r="E692" i="3"/>
  <c r="D692" i="3"/>
  <c r="C692" i="3"/>
  <c r="B692" i="3"/>
  <c r="A692" i="3"/>
  <c r="F691" i="3"/>
  <c r="E691" i="3"/>
  <c r="D691" i="3"/>
  <c r="C691" i="3"/>
  <c r="B691" i="3"/>
  <c r="A691" i="3"/>
  <c r="F690" i="3"/>
  <c r="E690" i="3"/>
  <c r="D690" i="3"/>
  <c r="C690" i="3"/>
  <c r="B690" i="3"/>
  <c r="A690" i="3"/>
  <c r="F689" i="3"/>
  <c r="E689" i="3"/>
  <c r="D689" i="3"/>
  <c r="C689" i="3"/>
  <c r="B689" i="3"/>
  <c r="A689" i="3"/>
  <c r="F688" i="3"/>
  <c r="E688" i="3"/>
  <c r="D688" i="3"/>
  <c r="C688" i="3"/>
  <c r="B688" i="3"/>
  <c r="A688" i="3"/>
  <c r="F687" i="3"/>
  <c r="E687" i="3"/>
  <c r="D687" i="3"/>
  <c r="C687" i="3"/>
  <c r="B687" i="3"/>
  <c r="A687" i="3"/>
  <c r="F686" i="3"/>
  <c r="E686" i="3"/>
  <c r="D686" i="3"/>
  <c r="C686" i="3"/>
  <c r="B686" i="3"/>
  <c r="A686" i="3"/>
  <c r="F685" i="3"/>
  <c r="E685" i="3"/>
  <c r="D685" i="3"/>
  <c r="C685" i="3"/>
  <c r="B685" i="3"/>
  <c r="A685" i="3"/>
  <c r="F684" i="3"/>
  <c r="E684" i="3"/>
  <c r="D684" i="3"/>
  <c r="C684" i="3"/>
  <c r="B684" i="3"/>
  <c r="A684" i="3"/>
  <c r="F683" i="3"/>
  <c r="E683" i="3"/>
  <c r="D683" i="3"/>
  <c r="C683" i="3"/>
  <c r="B683" i="3"/>
  <c r="A683" i="3"/>
  <c r="F682" i="3"/>
  <c r="E682" i="3"/>
  <c r="D682" i="3"/>
  <c r="C682" i="3"/>
  <c r="B682" i="3"/>
  <c r="A682" i="3"/>
  <c r="F681" i="3"/>
  <c r="E681" i="3"/>
  <c r="D681" i="3"/>
  <c r="C681" i="3"/>
  <c r="B681" i="3"/>
  <c r="A681" i="3"/>
  <c r="F680" i="3"/>
  <c r="E680" i="3"/>
  <c r="D680" i="3"/>
  <c r="C680" i="3"/>
  <c r="B680" i="3"/>
  <c r="A680" i="3"/>
  <c r="F679" i="3"/>
  <c r="E679" i="3"/>
  <c r="D679" i="3"/>
  <c r="C679" i="3"/>
  <c r="B679" i="3"/>
  <c r="A679" i="3"/>
  <c r="F678" i="3"/>
  <c r="E678" i="3"/>
  <c r="D678" i="3"/>
  <c r="C678" i="3"/>
  <c r="B678" i="3"/>
  <c r="A678" i="3"/>
  <c r="F677" i="3"/>
  <c r="E677" i="3"/>
  <c r="D677" i="3"/>
  <c r="C677" i="3"/>
  <c r="B677" i="3"/>
  <c r="A677" i="3"/>
  <c r="F676" i="3"/>
  <c r="E676" i="3"/>
  <c r="D676" i="3"/>
  <c r="C676" i="3"/>
  <c r="B676" i="3"/>
  <c r="A676" i="3"/>
  <c r="F675" i="3"/>
  <c r="E675" i="3"/>
  <c r="D675" i="3"/>
  <c r="C675" i="3"/>
  <c r="B675" i="3"/>
  <c r="A675" i="3"/>
  <c r="F674" i="3"/>
  <c r="E674" i="3"/>
  <c r="D674" i="3"/>
  <c r="C674" i="3"/>
  <c r="B674" i="3"/>
  <c r="A674" i="3"/>
  <c r="F673" i="3"/>
  <c r="E673" i="3"/>
  <c r="D673" i="3"/>
  <c r="C673" i="3"/>
  <c r="B673" i="3"/>
  <c r="A673" i="3"/>
  <c r="F672" i="3"/>
  <c r="E672" i="3"/>
  <c r="D672" i="3"/>
  <c r="C672" i="3"/>
  <c r="B672" i="3"/>
  <c r="A672" i="3"/>
  <c r="F671" i="3"/>
  <c r="E671" i="3"/>
  <c r="D671" i="3"/>
  <c r="C671" i="3"/>
  <c r="B671" i="3"/>
  <c r="A671" i="3"/>
  <c r="F670" i="3"/>
  <c r="E670" i="3"/>
  <c r="D670" i="3"/>
  <c r="C670" i="3"/>
  <c r="B670" i="3"/>
  <c r="A670" i="3"/>
  <c r="F669" i="3"/>
  <c r="E669" i="3"/>
  <c r="D669" i="3"/>
  <c r="C669" i="3"/>
  <c r="B669" i="3"/>
  <c r="A669" i="3"/>
  <c r="F668" i="3"/>
  <c r="E668" i="3"/>
  <c r="D668" i="3"/>
  <c r="C668" i="3"/>
  <c r="B668" i="3"/>
  <c r="A668" i="3"/>
  <c r="F667" i="3"/>
  <c r="E667" i="3"/>
  <c r="D667" i="3"/>
  <c r="C667" i="3"/>
  <c r="B667" i="3"/>
  <c r="A667" i="3"/>
  <c r="F666" i="3"/>
  <c r="E666" i="3"/>
  <c r="D666" i="3"/>
  <c r="C666" i="3"/>
  <c r="B666" i="3"/>
  <c r="A666" i="3"/>
  <c r="F665" i="3"/>
  <c r="E665" i="3"/>
  <c r="D665" i="3"/>
  <c r="C665" i="3"/>
  <c r="B665" i="3"/>
  <c r="A665" i="3"/>
  <c r="F664" i="3"/>
  <c r="E664" i="3"/>
  <c r="D664" i="3"/>
  <c r="C664" i="3"/>
  <c r="B664" i="3"/>
  <c r="A664" i="3"/>
  <c r="F663" i="3"/>
  <c r="E663" i="3"/>
  <c r="D663" i="3"/>
  <c r="C663" i="3"/>
  <c r="B663" i="3"/>
  <c r="A663" i="3"/>
  <c r="F662" i="3"/>
  <c r="E662" i="3"/>
  <c r="D662" i="3"/>
  <c r="C662" i="3"/>
  <c r="B662" i="3"/>
  <c r="A662" i="3"/>
  <c r="F661" i="3"/>
  <c r="E661" i="3"/>
  <c r="D661" i="3"/>
  <c r="C661" i="3"/>
  <c r="B661" i="3"/>
  <c r="A661" i="3"/>
  <c r="F660" i="3"/>
  <c r="E660" i="3"/>
  <c r="D660" i="3"/>
  <c r="C660" i="3"/>
  <c r="B660" i="3"/>
  <c r="A660" i="3"/>
  <c r="F659" i="3"/>
  <c r="E659" i="3"/>
  <c r="D659" i="3"/>
  <c r="C659" i="3"/>
  <c r="B659" i="3"/>
  <c r="A659" i="3"/>
  <c r="F658" i="3"/>
  <c r="E658" i="3"/>
  <c r="D658" i="3"/>
  <c r="C658" i="3"/>
  <c r="B658" i="3"/>
  <c r="A658" i="3"/>
  <c r="F657" i="3"/>
  <c r="E657" i="3"/>
  <c r="D657" i="3"/>
  <c r="C657" i="3"/>
  <c r="B657" i="3"/>
  <c r="A657" i="3"/>
  <c r="F656" i="3"/>
  <c r="E656" i="3"/>
  <c r="D656" i="3"/>
  <c r="C656" i="3"/>
  <c r="B656" i="3"/>
  <c r="A656" i="3"/>
  <c r="F655" i="3"/>
  <c r="E655" i="3"/>
  <c r="D655" i="3"/>
  <c r="C655" i="3"/>
  <c r="B655" i="3"/>
  <c r="A655" i="3"/>
  <c r="F654" i="3"/>
  <c r="E654" i="3"/>
  <c r="D654" i="3"/>
  <c r="C654" i="3"/>
  <c r="B654" i="3"/>
  <c r="A654" i="3"/>
  <c r="F653" i="3"/>
  <c r="E653" i="3"/>
  <c r="D653" i="3"/>
  <c r="C653" i="3"/>
  <c r="B653" i="3"/>
  <c r="A653" i="3"/>
  <c r="F652" i="3"/>
  <c r="E652" i="3"/>
  <c r="D652" i="3"/>
  <c r="C652" i="3"/>
  <c r="B652" i="3"/>
  <c r="A652" i="3"/>
  <c r="F651" i="3"/>
  <c r="E651" i="3"/>
  <c r="D651" i="3"/>
  <c r="C651" i="3"/>
  <c r="B651" i="3"/>
  <c r="A651" i="3"/>
  <c r="F650" i="3"/>
  <c r="E650" i="3"/>
  <c r="D650" i="3"/>
  <c r="C650" i="3"/>
  <c r="B650" i="3"/>
  <c r="A650" i="3"/>
  <c r="F649" i="3"/>
  <c r="E649" i="3"/>
  <c r="D649" i="3"/>
  <c r="C649" i="3"/>
  <c r="B649" i="3"/>
  <c r="A649" i="3"/>
  <c r="F648" i="3"/>
  <c r="E648" i="3"/>
  <c r="D648" i="3"/>
  <c r="C648" i="3"/>
  <c r="B648" i="3"/>
  <c r="A648" i="3"/>
  <c r="F647" i="3"/>
  <c r="E647" i="3"/>
  <c r="D647" i="3"/>
  <c r="C647" i="3"/>
  <c r="B647" i="3"/>
  <c r="A647" i="3"/>
  <c r="F646" i="3"/>
  <c r="E646" i="3"/>
  <c r="D646" i="3"/>
  <c r="C646" i="3"/>
  <c r="B646" i="3"/>
  <c r="A646" i="3"/>
  <c r="F645" i="3"/>
  <c r="E645" i="3"/>
  <c r="D645" i="3"/>
  <c r="C645" i="3"/>
  <c r="B645" i="3"/>
  <c r="A645" i="3"/>
  <c r="F644" i="3"/>
  <c r="E644" i="3"/>
  <c r="D644" i="3"/>
  <c r="C644" i="3"/>
  <c r="B644" i="3"/>
  <c r="A644" i="3"/>
  <c r="F643" i="3"/>
  <c r="E643" i="3"/>
  <c r="D643" i="3"/>
  <c r="C643" i="3"/>
  <c r="B643" i="3"/>
  <c r="A643" i="3"/>
  <c r="F642" i="3"/>
  <c r="E642" i="3"/>
  <c r="D642" i="3"/>
  <c r="C642" i="3"/>
  <c r="B642" i="3"/>
  <c r="A642" i="3"/>
  <c r="F641" i="3"/>
  <c r="E641" i="3"/>
  <c r="D641" i="3"/>
  <c r="C641" i="3"/>
  <c r="B641" i="3"/>
  <c r="A641" i="3"/>
  <c r="F640" i="3"/>
  <c r="E640" i="3"/>
  <c r="D640" i="3"/>
  <c r="C640" i="3"/>
  <c r="B640" i="3"/>
  <c r="A640" i="3"/>
  <c r="F639" i="3"/>
  <c r="E639" i="3"/>
  <c r="D639" i="3"/>
  <c r="C639" i="3"/>
  <c r="B639" i="3"/>
  <c r="A639" i="3"/>
  <c r="F638" i="3"/>
  <c r="E638" i="3"/>
  <c r="D638" i="3"/>
  <c r="C638" i="3"/>
  <c r="B638" i="3"/>
  <c r="A638" i="3"/>
  <c r="F637" i="3"/>
  <c r="E637" i="3"/>
  <c r="D637" i="3"/>
  <c r="C637" i="3"/>
  <c r="B637" i="3"/>
  <c r="A637" i="3"/>
  <c r="F636" i="3"/>
  <c r="E636" i="3"/>
  <c r="D636" i="3"/>
  <c r="C636" i="3"/>
  <c r="B636" i="3"/>
  <c r="A636" i="3"/>
  <c r="F635" i="3"/>
  <c r="E635" i="3"/>
  <c r="D635" i="3"/>
  <c r="C635" i="3"/>
  <c r="B635" i="3"/>
  <c r="A635" i="3"/>
  <c r="F634" i="3"/>
  <c r="E634" i="3"/>
  <c r="D634" i="3"/>
  <c r="C634" i="3"/>
  <c r="B634" i="3"/>
  <c r="A634" i="3"/>
  <c r="F633" i="3"/>
  <c r="E633" i="3"/>
  <c r="D633" i="3"/>
  <c r="C633" i="3"/>
  <c r="B633" i="3"/>
  <c r="A633" i="3"/>
  <c r="F632" i="3"/>
  <c r="E632" i="3"/>
  <c r="D632" i="3"/>
  <c r="C632" i="3"/>
  <c r="B632" i="3"/>
  <c r="A632" i="3"/>
  <c r="F631" i="3"/>
  <c r="E631" i="3"/>
  <c r="D631" i="3"/>
  <c r="C631" i="3"/>
  <c r="B631" i="3"/>
  <c r="A631" i="3"/>
  <c r="F630" i="3"/>
  <c r="E630" i="3"/>
  <c r="D630" i="3"/>
  <c r="C630" i="3"/>
  <c r="B630" i="3"/>
  <c r="A630" i="3"/>
  <c r="F629" i="3"/>
  <c r="E629" i="3"/>
  <c r="D629" i="3"/>
  <c r="C629" i="3"/>
  <c r="B629" i="3"/>
  <c r="A629" i="3"/>
  <c r="F628" i="3"/>
  <c r="E628" i="3"/>
  <c r="D628" i="3"/>
  <c r="C628" i="3"/>
  <c r="B628" i="3"/>
  <c r="A628" i="3"/>
  <c r="F627" i="3"/>
  <c r="E627" i="3"/>
  <c r="D627" i="3"/>
  <c r="C627" i="3"/>
  <c r="B627" i="3"/>
  <c r="A627" i="3"/>
  <c r="F626" i="3"/>
  <c r="E626" i="3"/>
  <c r="D626" i="3"/>
  <c r="C626" i="3"/>
  <c r="B626" i="3"/>
  <c r="A626" i="3"/>
  <c r="F625" i="3"/>
  <c r="E625" i="3"/>
  <c r="D625" i="3"/>
  <c r="C625" i="3"/>
  <c r="B625" i="3"/>
  <c r="A625" i="3"/>
  <c r="F624" i="3"/>
  <c r="E624" i="3"/>
  <c r="D624" i="3"/>
  <c r="C624" i="3"/>
  <c r="B624" i="3"/>
  <c r="A624" i="3"/>
  <c r="F623" i="3"/>
  <c r="E623" i="3"/>
  <c r="D623" i="3"/>
  <c r="C623" i="3"/>
  <c r="B623" i="3"/>
  <c r="A623" i="3"/>
  <c r="F622" i="3"/>
  <c r="E622" i="3"/>
  <c r="D622" i="3"/>
  <c r="C622" i="3"/>
  <c r="B622" i="3"/>
  <c r="A622" i="3"/>
  <c r="F621" i="3"/>
  <c r="E621" i="3"/>
  <c r="D621" i="3"/>
  <c r="C621" i="3"/>
  <c r="B621" i="3"/>
  <c r="A621" i="3"/>
  <c r="F620" i="3"/>
  <c r="E620" i="3"/>
  <c r="D620" i="3"/>
  <c r="C620" i="3"/>
  <c r="B620" i="3"/>
  <c r="A620" i="3"/>
  <c r="F619" i="3"/>
  <c r="E619" i="3"/>
  <c r="D619" i="3"/>
  <c r="C619" i="3"/>
  <c r="B619" i="3"/>
  <c r="A619" i="3"/>
  <c r="F618" i="3"/>
  <c r="E618" i="3"/>
  <c r="D618" i="3"/>
  <c r="C618" i="3"/>
  <c r="B618" i="3"/>
  <c r="A618" i="3"/>
  <c r="F617" i="3"/>
  <c r="E617" i="3"/>
  <c r="D617" i="3"/>
  <c r="C617" i="3"/>
  <c r="B617" i="3"/>
  <c r="A617" i="3"/>
  <c r="F616" i="3"/>
  <c r="E616" i="3"/>
  <c r="D616" i="3"/>
  <c r="C616" i="3"/>
  <c r="B616" i="3"/>
  <c r="A616" i="3"/>
  <c r="F615" i="3"/>
  <c r="E615" i="3"/>
  <c r="D615" i="3"/>
  <c r="C615" i="3"/>
  <c r="B615" i="3"/>
  <c r="A615" i="3"/>
  <c r="F614" i="3"/>
  <c r="E614" i="3"/>
  <c r="D614" i="3"/>
  <c r="C614" i="3"/>
  <c r="B614" i="3"/>
  <c r="A614" i="3"/>
  <c r="F613" i="3"/>
  <c r="E613" i="3"/>
  <c r="D613" i="3"/>
  <c r="C613" i="3"/>
  <c r="B613" i="3"/>
  <c r="A613" i="3"/>
  <c r="F612" i="3"/>
  <c r="E612" i="3"/>
  <c r="D612" i="3"/>
  <c r="C612" i="3"/>
  <c r="B612" i="3"/>
  <c r="A612" i="3"/>
  <c r="F611" i="3"/>
  <c r="E611" i="3"/>
  <c r="D611" i="3"/>
  <c r="C611" i="3"/>
  <c r="B611" i="3"/>
  <c r="A611" i="3"/>
  <c r="F610" i="3"/>
  <c r="E610" i="3"/>
  <c r="D610" i="3"/>
  <c r="C610" i="3"/>
  <c r="B610" i="3"/>
  <c r="A610" i="3"/>
  <c r="F609" i="3"/>
  <c r="E609" i="3"/>
  <c r="D609" i="3"/>
  <c r="C609" i="3"/>
  <c r="B609" i="3"/>
  <c r="A609" i="3"/>
  <c r="F608" i="3"/>
  <c r="E608" i="3"/>
  <c r="D608" i="3"/>
  <c r="C608" i="3"/>
  <c r="B608" i="3"/>
  <c r="A608" i="3"/>
  <c r="F607" i="3"/>
  <c r="E607" i="3"/>
  <c r="D607" i="3"/>
  <c r="C607" i="3"/>
  <c r="B607" i="3"/>
  <c r="A607" i="3"/>
  <c r="F606" i="3"/>
  <c r="E606" i="3"/>
  <c r="D606" i="3"/>
  <c r="C606" i="3"/>
  <c r="B606" i="3"/>
  <c r="A606" i="3"/>
  <c r="F605" i="3"/>
  <c r="E605" i="3"/>
  <c r="D605" i="3"/>
  <c r="C605" i="3"/>
  <c r="B605" i="3"/>
  <c r="A605" i="3"/>
  <c r="F604" i="3"/>
  <c r="E604" i="3"/>
  <c r="D604" i="3"/>
  <c r="C604" i="3"/>
  <c r="B604" i="3"/>
  <c r="A604" i="3"/>
  <c r="F603" i="3"/>
  <c r="E603" i="3"/>
  <c r="D603" i="3"/>
  <c r="C603" i="3"/>
  <c r="B603" i="3"/>
  <c r="A603" i="3"/>
  <c r="F602" i="3"/>
  <c r="E602" i="3"/>
  <c r="D602" i="3"/>
  <c r="C602" i="3"/>
  <c r="B602" i="3"/>
  <c r="A602" i="3"/>
  <c r="F601" i="3"/>
  <c r="E601" i="3"/>
  <c r="D601" i="3"/>
  <c r="C601" i="3"/>
  <c r="B601" i="3"/>
  <c r="A601" i="3"/>
  <c r="F600" i="3"/>
  <c r="E600" i="3"/>
  <c r="D600" i="3"/>
  <c r="C600" i="3"/>
  <c r="B600" i="3"/>
  <c r="A600" i="3"/>
  <c r="F599" i="3"/>
  <c r="E599" i="3"/>
  <c r="D599" i="3"/>
  <c r="C599" i="3"/>
  <c r="B599" i="3"/>
  <c r="A599" i="3"/>
  <c r="F598" i="3"/>
  <c r="E598" i="3"/>
  <c r="D598" i="3"/>
  <c r="C598" i="3"/>
  <c r="B598" i="3"/>
  <c r="A598" i="3"/>
  <c r="F597" i="3"/>
  <c r="E597" i="3"/>
  <c r="D597" i="3"/>
  <c r="C597" i="3"/>
  <c r="B597" i="3"/>
  <c r="A597" i="3"/>
  <c r="F596" i="3"/>
  <c r="E596" i="3"/>
  <c r="D596" i="3"/>
  <c r="C596" i="3"/>
  <c r="B596" i="3"/>
  <c r="A596" i="3"/>
  <c r="F595" i="3"/>
  <c r="E595" i="3"/>
  <c r="D595" i="3"/>
  <c r="C595" i="3"/>
  <c r="B595" i="3"/>
  <c r="A595" i="3"/>
  <c r="F594" i="3"/>
  <c r="E594" i="3"/>
  <c r="D594" i="3"/>
  <c r="C594" i="3"/>
  <c r="B594" i="3"/>
  <c r="A594" i="3"/>
  <c r="F593" i="3"/>
  <c r="E593" i="3"/>
  <c r="D593" i="3"/>
  <c r="C593" i="3"/>
  <c r="B593" i="3"/>
  <c r="A593" i="3"/>
  <c r="F592" i="3"/>
  <c r="E592" i="3"/>
  <c r="D592" i="3"/>
  <c r="C592" i="3"/>
  <c r="B592" i="3"/>
  <c r="A592" i="3"/>
  <c r="F591" i="3"/>
  <c r="E591" i="3"/>
  <c r="D591" i="3"/>
  <c r="C591" i="3"/>
  <c r="B591" i="3"/>
  <c r="A591" i="3"/>
  <c r="F590" i="3"/>
  <c r="E590" i="3"/>
  <c r="D590" i="3"/>
  <c r="C590" i="3"/>
  <c r="B590" i="3"/>
  <c r="A590" i="3"/>
  <c r="F589" i="3"/>
  <c r="E589" i="3"/>
  <c r="D589" i="3"/>
  <c r="C589" i="3"/>
  <c r="B589" i="3"/>
  <c r="A589" i="3"/>
  <c r="F588" i="3"/>
  <c r="E588" i="3"/>
  <c r="D588" i="3"/>
  <c r="C588" i="3"/>
  <c r="B588" i="3"/>
  <c r="A588" i="3"/>
  <c r="F587" i="3"/>
  <c r="E587" i="3"/>
  <c r="D587" i="3"/>
  <c r="C587" i="3"/>
  <c r="B587" i="3"/>
  <c r="A587" i="3"/>
  <c r="F586" i="3"/>
  <c r="E586" i="3"/>
  <c r="D586" i="3"/>
  <c r="C586" i="3"/>
  <c r="B586" i="3"/>
  <c r="A586" i="3"/>
  <c r="F585" i="3"/>
  <c r="E585" i="3"/>
  <c r="D585" i="3"/>
  <c r="C585" i="3"/>
  <c r="B585" i="3"/>
  <c r="A585" i="3"/>
  <c r="F584" i="3"/>
  <c r="E584" i="3"/>
  <c r="D584" i="3"/>
  <c r="C584" i="3"/>
  <c r="B584" i="3"/>
  <c r="A584" i="3"/>
  <c r="F583" i="3"/>
  <c r="E583" i="3"/>
  <c r="D583" i="3"/>
  <c r="C583" i="3"/>
  <c r="B583" i="3"/>
  <c r="A583" i="3"/>
  <c r="F582" i="3"/>
  <c r="E582" i="3"/>
  <c r="D582" i="3"/>
  <c r="C582" i="3"/>
  <c r="B582" i="3"/>
  <c r="A582" i="3"/>
  <c r="F581" i="3"/>
  <c r="E581" i="3"/>
  <c r="D581" i="3"/>
  <c r="C581" i="3"/>
  <c r="B581" i="3"/>
  <c r="A581" i="3"/>
  <c r="F580" i="3"/>
  <c r="E580" i="3"/>
  <c r="D580" i="3"/>
  <c r="C580" i="3"/>
  <c r="B580" i="3"/>
  <c r="A580" i="3"/>
  <c r="F579" i="3"/>
  <c r="E579" i="3"/>
  <c r="D579" i="3"/>
  <c r="C579" i="3"/>
  <c r="B579" i="3"/>
  <c r="A579" i="3"/>
  <c r="F578" i="3"/>
  <c r="E578" i="3"/>
  <c r="D578" i="3"/>
  <c r="C578" i="3"/>
  <c r="B578" i="3"/>
  <c r="A578" i="3"/>
  <c r="F577" i="3"/>
  <c r="E577" i="3"/>
  <c r="D577" i="3"/>
  <c r="C577" i="3"/>
  <c r="B577" i="3"/>
  <c r="A577" i="3"/>
  <c r="F576" i="3"/>
  <c r="E576" i="3"/>
  <c r="D576" i="3"/>
  <c r="C576" i="3"/>
  <c r="B576" i="3"/>
  <c r="A576" i="3"/>
  <c r="F575" i="3"/>
  <c r="E575" i="3"/>
  <c r="D575" i="3"/>
  <c r="C575" i="3"/>
  <c r="B575" i="3"/>
  <c r="A575" i="3"/>
  <c r="F574" i="3"/>
  <c r="E574" i="3"/>
  <c r="D574" i="3"/>
  <c r="C574" i="3"/>
  <c r="B574" i="3"/>
  <c r="A574" i="3"/>
  <c r="F573" i="3"/>
  <c r="E573" i="3"/>
  <c r="D573" i="3"/>
  <c r="C573" i="3"/>
  <c r="B573" i="3"/>
  <c r="A573" i="3"/>
  <c r="F572" i="3"/>
  <c r="E572" i="3"/>
  <c r="D572" i="3"/>
  <c r="C572" i="3"/>
  <c r="B572" i="3"/>
  <c r="A572" i="3"/>
  <c r="F571" i="3"/>
  <c r="E571" i="3"/>
  <c r="D571" i="3"/>
  <c r="C571" i="3"/>
  <c r="B571" i="3"/>
  <c r="A571" i="3"/>
  <c r="F570" i="3"/>
  <c r="E570" i="3"/>
  <c r="D570" i="3"/>
  <c r="C570" i="3"/>
  <c r="B570" i="3"/>
  <c r="A570" i="3"/>
  <c r="F569" i="3"/>
  <c r="E569" i="3"/>
  <c r="D569" i="3"/>
  <c r="C569" i="3"/>
  <c r="B569" i="3"/>
  <c r="A569" i="3"/>
  <c r="F568" i="3"/>
  <c r="E568" i="3"/>
  <c r="D568" i="3"/>
  <c r="C568" i="3"/>
  <c r="B568" i="3"/>
  <c r="A568" i="3"/>
  <c r="F567" i="3"/>
  <c r="E567" i="3"/>
  <c r="D567" i="3"/>
  <c r="C567" i="3"/>
  <c r="B567" i="3"/>
  <c r="A567" i="3"/>
  <c r="F566" i="3"/>
  <c r="E566" i="3"/>
  <c r="D566" i="3"/>
  <c r="C566" i="3"/>
  <c r="B566" i="3"/>
  <c r="A566" i="3"/>
  <c r="F565" i="3"/>
  <c r="E565" i="3"/>
  <c r="D565" i="3"/>
  <c r="C565" i="3"/>
  <c r="B565" i="3"/>
  <c r="A565" i="3"/>
  <c r="F564" i="3"/>
  <c r="E564" i="3"/>
  <c r="D564" i="3"/>
  <c r="C564" i="3"/>
  <c r="B564" i="3"/>
  <c r="A564" i="3"/>
  <c r="F563" i="3"/>
  <c r="E563" i="3"/>
  <c r="D563" i="3"/>
  <c r="C563" i="3"/>
  <c r="B563" i="3"/>
  <c r="A563" i="3"/>
  <c r="F562" i="3"/>
  <c r="E562" i="3"/>
  <c r="D562" i="3"/>
  <c r="C562" i="3"/>
  <c r="B562" i="3"/>
  <c r="A562" i="3"/>
  <c r="F561" i="3"/>
  <c r="E561" i="3"/>
  <c r="D561" i="3"/>
  <c r="C561" i="3"/>
  <c r="B561" i="3"/>
  <c r="A561" i="3"/>
  <c r="F560" i="3"/>
  <c r="E560" i="3"/>
  <c r="D560" i="3"/>
  <c r="C560" i="3"/>
  <c r="B560" i="3"/>
  <c r="A560" i="3"/>
  <c r="F559" i="3"/>
  <c r="E559" i="3"/>
  <c r="D559" i="3"/>
  <c r="C559" i="3"/>
  <c r="B559" i="3"/>
  <c r="A559" i="3"/>
  <c r="F558" i="3"/>
  <c r="E558" i="3"/>
  <c r="D558" i="3"/>
  <c r="C558" i="3"/>
  <c r="B558" i="3"/>
  <c r="A558" i="3"/>
  <c r="F557" i="3"/>
  <c r="E557" i="3"/>
  <c r="D557" i="3"/>
  <c r="C557" i="3"/>
  <c r="B557" i="3"/>
  <c r="A557" i="3"/>
  <c r="F556" i="3"/>
  <c r="E556" i="3"/>
  <c r="D556" i="3"/>
  <c r="C556" i="3"/>
  <c r="B556" i="3"/>
  <c r="A556" i="3"/>
  <c r="F555" i="3"/>
  <c r="E555" i="3"/>
  <c r="D555" i="3"/>
  <c r="C555" i="3"/>
  <c r="B555" i="3"/>
  <c r="A555" i="3"/>
  <c r="F554" i="3"/>
  <c r="E554" i="3"/>
  <c r="D554" i="3"/>
  <c r="C554" i="3"/>
  <c r="B554" i="3"/>
  <c r="A554" i="3"/>
  <c r="F553" i="3"/>
  <c r="E553" i="3"/>
  <c r="D553" i="3"/>
  <c r="C553" i="3"/>
  <c r="B553" i="3"/>
  <c r="A553" i="3"/>
  <c r="F552" i="3"/>
  <c r="E552" i="3"/>
  <c r="D552" i="3"/>
  <c r="C552" i="3"/>
  <c r="B552" i="3"/>
  <c r="A552" i="3"/>
  <c r="F551" i="3"/>
  <c r="E551" i="3"/>
  <c r="D551" i="3"/>
  <c r="C551" i="3"/>
  <c r="B551" i="3"/>
  <c r="A551" i="3"/>
  <c r="F550" i="3"/>
  <c r="E550" i="3"/>
  <c r="D550" i="3"/>
  <c r="C550" i="3"/>
  <c r="B550" i="3"/>
  <c r="A550" i="3"/>
  <c r="F549" i="3"/>
  <c r="E549" i="3"/>
  <c r="D549" i="3"/>
  <c r="C549" i="3"/>
  <c r="B549" i="3"/>
  <c r="A549" i="3"/>
  <c r="F548" i="3"/>
  <c r="E548" i="3"/>
  <c r="D548" i="3"/>
  <c r="C548" i="3"/>
  <c r="B548" i="3"/>
  <c r="A548" i="3"/>
  <c r="F547" i="3"/>
  <c r="E547" i="3"/>
  <c r="D547" i="3"/>
  <c r="C547" i="3"/>
  <c r="B547" i="3"/>
  <c r="A547" i="3"/>
  <c r="F546" i="3"/>
  <c r="E546" i="3"/>
  <c r="D546" i="3"/>
  <c r="C546" i="3"/>
  <c r="B546" i="3"/>
  <c r="A546" i="3"/>
  <c r="F545" i="3"/>
  <c r="E545" i="3"/>
  <c r="D545" i="3"/>
  <c r="C545" i="3"/>
  <c r="B545" i="3"/>
  <c r="A545" i="3"/>
  <c r="F544" i="3"/>
  <c r="E544" i="3"/>
  <c r="D544" i="3"/>
  <c r="C544" i="3"/>
  <c r="B544" i="3"/>
  <c r="A544" i="3"/>
  <c r="F543" i="3"/>
  <c r="E543" i="3"/>
  <c r="D543" i="3"/>
  <c r="C543" i="3"/>
  <c r="B543" i="3"/>
  <c r="A543" i="3"/>
  <c r="F542" i="3"/>
  <c r="E542" i="3"/>
  <c r="D542" i="3"/>
  <c r="C542" i="3"/>
  <c r="B542" i="3"/>
  <c r="A542" i="3"/>
  <c r="F541" i="3"/>
  <c r="E541" i="3"/>
  <c r="D541" i="3"/>
  <c r="C541" i="3"/>
  <c r="B541" i="3"/>
  <c r="A541" i="3"/>
  <c r="F540" i="3"/>
  <c r="E540" i="3"/>
  <c r="D540" i="3"/>
  <c r="C540" i="3"/>
  <c r="B540" i="3"/>
  <c r="A540" i="3"/>
  <c r="F539" i="3"/>
  <c r="E539" i="3"/>
  <c r="D539" i="3"/>
  <c r="C539" i="3"/>
  <c r="B539" i="3"/>
  <c r="A539" i="3"/>
  <c r="F538" i="3"/>
  <c r="E538" i="3"/>
  <c r="D538" i="3"/>
  <c r="C538" i="3"/>
  <c r="B538" i="3"/>
  <c r="A538" i="3"/>
  <c r="F537" i="3"/>
  <c r="E537" i="3"/>
  <c r="D537" i="3"/>
  <c r="C537" i="3"/>
  <c r="B537" i="3"/>
  <c r="A537" i="3"/>
  <c r="F536" i="3"/>
  <c r="E536" i="3"/>
  <c r="D536" i="3"/>
  <c r="C536" i="3"/>
  <c r="B536" i="3"/>
  <c r="A536" i="3"/>
  <c r="F535" i="3"/>
  <c r="E535" i="3"/>
  <c r="D535" i="3"/>
  <c r="C535" i="3"/>
  <c r="B535" i="3"/>
  <c r="A535" i="3"/>
  <c r="F534" i="3"/>
  <c r="E534" i="3"/>
  <c r="D534" i="3"/>
  <c r="C534" i="3"/>
  <c r="B534" i="3"/>
  <c r="A534" i="3"/>
  <c r="F533" i="3"/>
  <c r="E533" i="3"/>
  <c r="D533" i="3"/>
  <c r="C533" i="3"/>
  <c r="B533" i="3"/>
  <c r="A533" i="3"/>
  <c r="F532" i="3"/>
  <c r="E532" i="3"/>
  <c r="D532" i="3"/>
  <c r="C532" i="3"/>
  <c r="B532" i="3"/>
  <c r="A532" i="3"/>
  <c r="F531" i="3"/>
  <c r="E531" i="3"/>
  <c r="D531" i="3"/>
  <c r="C531" i="3"/>
  <c r="B531" i="3"/>
  <c r="A531" i="3"/>
  <c r="F530" i="3"/>
  <c r="E530" i="3"/>
  <c r="D530" i="3"/>
  <c r="C530" i="3"/>
  <c r="B530" i="3"/>
  <c r="A530" i="3"/>
  <c r="F529" i="3"/>
  <c r="E529" i="3"/>
  <c r="D529" i="3"/>
  <c r="C529" i="3"/>
  <c r="B529" i="3"/>
  <c r="A529" i="3"/>
  <c r="F528" i="3"/>
  <c r="E528" i="3"/>
  <c r="D528" i="3"/>
  <c r="C528" i="3"/>
  <c r="B528" i="3"/>
  <c r="A528" i="3"/>
  <c r="F527" i="3"/>
  <c r="E527" i="3"/>
  <c r="D527" i="3"/>
  <c r="C527" i="3"/>
  <c r="B527" i="3"/>
  <c r="A527" i="3"/>
  <c r="F526" i="3"/>
  <c r="E526" i="3"/>
  <c r="D526" i="3"/>
  <c r="C526" i="3"/>
  <c r="B526" i="3"/>
  <c r="A526" i="3"/>
  <c r="F525" i="3"/>
  <c r="E525" i="3"/>
  <c r="D525" i="3"/>
  <c r="C525" i="3"/>
  <c r="B525" i="3"/>
  <c r="A525" i="3"/>
  <c r="F524" i="3"/>
  <c r="E524" i="3"/>
  <c r="D524" i="3"/>
  <c r="C524" i="3"/>
  <c r="B524" i="3"/>
  <c r="A524" i="3"/>
  <c r="F523" i="3"/>
  <c r="E523" i="3"/>
  <c r="D523" i="3"/>
  <c r="C523" i="3"/>
  <c r="B523" i="3"/>
  <c r="A523" i="3"/>
  <c r="F522" i="3"/>
  <c r="E522" i="3"/>
  <c r="D522" i="3"/>
  <c r="C522" i="3"/>
  <c r="B522" i="3"/>
  <c r="A522" i="3"/>
  <c r="F521" i="3"/>
  <c r="E521" i="3"/>
  <c r="D521" i="3"/>
  <c r="C521" i="3"/>
  <c r="B521" i="3"/>
  <c r="A521" i="3"/>
  <c r="F520" i="3"/>
  <c r="E520" i="3"/>
  <c r="D520" i="3"/>
  <c r="C520" i="3"/>
  <c r="B520" i="3"/>
  <c r="A520" i="3"/>
  <c r="F519" i="3"/>
  <c r="E519" i="3"/>
  <c r="D519" i="3"/>
  <c r="C519" i="3"/>
  <c r="B519" i="3"/>
  <c r="A519" i="3"/>
  <c r="F518" i="3"/>
  <c r="E518" i="3"/>
  <c r="D518" i="3"/>
  <c r="C518" i="3"/>
  <c r="B518" i="3"/>
  <c r="A518" i="3"/>
  <c r="F517" i="3"/>
  <c r="E517" i="3"/>
  <c r="D517" i="3"/>
  <c r="C517" i="3"/>
  <c r="B517" i="3"/>
  <c r="A517" i="3"/>
  <c r="F516" i="3"/>
  <c r="E516" i="3"/>
  <c r="D516" i="3"/>
  <c r="C516" i="3"/>
  <c r="B516" i="3"/>
  <c r="A516" i="3"/>
  <c r="F515" i="3"/>
  <c r="E515" i="3"/>
  <c r="D515" i="3"/>
  <c r="C515" i="3"/>
  <c r="B515" i="3"/>
  <c r="A515" i="3"/>
  <c r="F514" i="3"/>
  <c r="E514" i="3"/>
  <c r="D514" i="3"/>
  <c r="C514" i="3"/>
  <c r="B514" i="3"/>
  <c r="A514" i="3"/>
  <c r="F513" i="3"/>
  <c r="E513" i="3"/>
  <c r="D513" i="3"/>
  <c r="C513" i="3"/>
  <c r="B513" i="3"/>
  <c r="A513" i="3"/>
  <c r="F512" i="3"/>
  <c r="E512" i="3"/>
  <c r="D512" i="3"/>
  <c r="C512" i="3"/>
  <c r="B512" i="3"/>
  <c r="A512" i="3"/>
  <c r="F511" i="3"/>
  <c r="E511" i="3"/>
  <c r="D511" i="3"/>
  <c r="C511" i="3"/>
  <c r="B511" i="3"/>
  <c r="A511" i="3"/>
  <c r="F510" i="3"/>
  <c r="E510" i="3"/>
  <c r="D510" i="3"/>
  <c r="C510" i="3"/>
  <c r="B510" i="3"/>
  <c r="A510" i="3"/>
  <c r="F509" i="3"/>
  <c r="E509" i="3"/>
  <c r="D509" i="3"/>
  <c r="C509" i="3"/>
  <c r="B509" i="3"/>
  <c r="A509" i="3"/>
  <c r="F508" i="3"/>
  <c r="E508" i="3"/>
  <c r="D508" i="3"/>
  <c r="C508" i="3"/>
  <c r="B508" i="3"/>
  <c r="A508" i="3"/>
  <c r="F507" i="3"/>
  <c r="E507" i="3"/>
  <c r="D507" i="3"/>
  <c r="C507" i="3"/>
  <c r="B507" i="3"/>
  <c r="A507" i="3"/>
  <c r="F506" i="3"/>
  <c r="E506" i="3"/>
  <c r="D506" i="3"/>
  <c r="C506" i="3"/>
  <c r="B506" i="3"/>
  <c r="A506" i="3"/>
  <c r="F505" i="3"/>
  <c r="E505" i="3"/>
  <c r="D505" i="3"/>
  <c r="C505" i="3"/>
  <c r="B505" i="3"/>
  <c r="A505" i="3"/>
  <c r="F504" i="3"/>
  <c r="E504" i="3"/>
  <c r="D504" i="3"/>
  <c r="C504" i="3"/>
  <c r="B504" i="3"/>
  <c r="A504" i="3"/>
  <c r="F503" i="3"/>
  <c r="E503" i="3"/>
  <c r="D503" i="3"/>
  <c r="C503" i="3"/>
  <c r="B503" i="3"/>
  <c r="A503" i="3"/>
  <c r="F502" i="3"/>
  <c r="E502" i="3"/>
  <c r="D502" i="3"/>
  <c r="C502" i="3"/>
  <c r="B502" i="3"/>
  <c r="A502" i="3"/>
  <c r="F501" i="3"/>
  <c r="E501" i="3"/>
  <c r="D501" i="3"/>
  <c r="C501" i="3"/>
  <c r="B501" i="3"/>
  <c r="A501" i="3"/>
  <c r="F500" i="3"/>
  <c r="E500" i="3"/>
  <c r="D500" i="3"/>
  <c r="C500" i="3"/>
  <c r="B500" i="3"/>
  <c r="A500" i="3"/>
  <c r="F499" i="3"/>
  <c r="E499" i="3"/>
  <c r="D499" i="3"/>
  <c r="C499" i="3"/>
  <c r="B499" i="3"/>
  <c r="A499" i="3"/>
  <c r="F498" i="3"/>
  <c r="E498" i="3"/>
  <c r="D498" i="3"/>
  <c r="C498" i="3"/>
  <c r="B498" i="3"/>
  <c r="A498" i="3"/>
  <c r="F497" i="3"/>
  <c r="E497" i="3"/>
  <c r="D497" i="3"/>
  <c r="C497" i="3"/>
  <c r="B497" i="3"/>
  <c r="A497" i="3"/>
  <c r="F496" i="3"/>
  <c r="E496" i="3"/>
  <c r="D496" i="3"/>
  <c r="C496" i="3"/>
  <c r="B496" i="3"/>
  <c r="A496" i="3"/>
  <c r="F495" i="3"/>
  <c r="E495" i="3"/>
  <c r="D495" i="3"/>
  <c r="C495" i="3"/>
  <c r="B495" i="3"/>
  <c r="A495" i="3"/>
  <c r="F494" i="3"/>
  <c r="E494" i="3"/>
  <c r="D494" i="3"/>
  <c r="C494" i="3"/>
  <c r="B494" i="3"/>
  <c r="A494" i="3"/>
  <c r="F493" i="3"/>
  <c r="E493" i="3"/>
  <c r="D493" i="3"/>
  <c r="C493" i="3"/>
  <c r="B493" i="3"/>
  <c r="A493" i="3"/>
  <c r="F492" i="3"/>
  <c r="E492" i="3"/>
  <c r="D492" i="3"/>
  <c r="C492" i="3"/>
  <c r="B492" i="3"/>
  <c r="A492" i="3"/>
  <c r="F491" i="3"/>
  <c r="E491" i="3"/>
  <c r="D491" i="3"/>
  <c r="C491" i="3"/>
  <c r="B491" i="3"/>
  <c r="A491" i="3"/>
  <c r="F490" i="3"/>
  <c r="E490" i="3"/>
  <c r="D490" i="3"/>
  <c r="C490" i="3"/>
  <c r="B490" i="3"/>
  <c r="A490" i="3"/>
  <c r="F489" i="3"/>
  <c r="E489" i="3"/>
  <c r="D489" i="3"/>
  <c r="C489" i="3"/>
  <c r="B489" i="3"/>
  <c r="A489" i="3"/>
  <c r="F488" i="3"/>
  <c r="E488" i="3"/>
  <c r="D488" i="3"/>
  <c r="C488" i="3"/>
  <c r="B488" i="3"/>
  <c r="A488" i="3"/>
  <c r="F487" i="3"/>
  <c r="E487" i="3"/>
  <c r="D487" i="3"/>
  <c r="C487" i="3"/>
  <c r="B487" i="3"/>
  <c r="A487" i="3"/>
  <c r="F486" i="3"/>
  <c r="E486" i="3"/>
  <c r="D486" i="3"/>
  <c r="C486" i="3"/>
  <c r="B486" i="3"/>
  <c r="A486" i="3"/>
  <c r="F485" i="3"/>
  <c r="E485" i="3"/>
  <c r="D485" i="3"/>
  <c r="C485" i="3"/>
  <c r="B485" i="3"/>
  <c r="A485" i="3"/>
  <c r="F484" i="3"/>
  <c r="E484" i="3"/>
  <c r="D484" i="3"/>
  <c r="C484" i="3"/>
  <c r="B484" i="3"/>
  <c r="A484" i="3"/>
  <c r="F483" i="3"/>
  <c r="E483" i="3"/>
  <c r="D483" i="3"/>
  <c r="C483" i="3"/>
  <c r="B483" i="3"/>
  <c r="A483" i="3"/>
  <c r="F482" i="3"/>
  <c r="E482" i="3"/>
  <c r="D482" i="3"/>
  <c r="C482" i="3"/>
  <c r="B482" i="3"/>
  <c r="A482" i="3"/>
  <c r="F481" i="3"/>
  <c r="E481" i="3"/>
  <c r="D481" i="3"/>
  <c r="C481" i="3"/>
  <c r="B481" i="3"/>
  <c r="A481" i="3"/>
  <c r="F480" i="3"/>
  <c r="E480" i="3"/>
  <c r="D480" i="3"/>
  <c r="C480" i="3"/>
  <c r="B480" i="3"/>
  <c r="A480" i="3"/>
  <c r="F479" i="3"/>
  <c r="E479" i="3"/>
  <c r="D479" i="3"/>
  <c r="C479" i="3"/>
  <c r="B479" i="3"/>
  <c r="A479" i="3"/>
  <c r="F478" i="3"/>
  <c r="E478" i="3"/>
  <c r="D478" i="3"/>
  <c r="C478" i="3"/>
  <c r="B478" i="3"/>
  <c r="A478" i="3"/>
  <c r="F477" i="3"/>
  <c r="E477" i="3"/>
  <c r="D477" i="3"/>
  <c r="C477" i="3"/>
  <c r="B477" i="3"/>
  <c r="A477" i="3"/>
  <c r="F476" i="3"/>
  <c r="E476" i="3"/>
  <c r="D476" i="3"/>
  <c r="C476" i="3"/>
  <c r="B476" i="3"/>
  <c r="A476" i="3"/>
  <c r="F475" i="3"/>
  <c r="E475" i="3"/>
  <c r="D475" i="3"/>
  <c r="C475" i="3"/>
  <c r="B475" i="3"/>
  <c r="A475" i="3"/>
  <c r="F474" i="3"/>
  <c r="E474" i="3"/>
  <c r="D474" i="3"/>
  <c r="C474" i="3"/>
  <c r="B474" i="3"/>
  <c r="A474" i="3"/>
  <c r="F473" i="3"/>
  <c r="E473" i="3"/>
  <c r="D473" i="3"/>
  <c r="C473" i="3"/>
  <c r="B473" i="3"/>
  <c r="A473" i="3"/>
  <c r="F472" i="3"/>
  <c r="E472" i="3"/>
  <c r="D472" i="3"/>
  <c r="C472" i="3"/>
  <c r="B472" i="3"/>
  <c r="A472" i="3"/>
  <c r="F471" i="3"/>
  <c r="E471" i="3"/>
  <c r="D471" i="3"/>
  <c r="C471" i="3"/>
  <c r="B471" i="3"/>
  <c r="A471" i="3"/>
  <c r="F470" i="3"/>
  <c r="E470" i="3"/>
  <c r="D470" i="3"/>
  <c r="C470" i="3"/>
  <c r="B470" i="3"/>
  <c r="A470" i="3"/>
  <c r="F469" i="3"/>
  <c r="E469" i="3"/>
  <c r="D469" i="3"/>
  <c r="C469" i="3"/>
  <c r="B469" i="3"/>
  <c r="A469" i="3"/>
  <c r="F468" i="3"/>
  <c r="E468" i="3"/>
  <c r="D468" i="3"/>
  <c r="C468" i="3"/>
  <c r="B468" i="3"/>
  <c r="A468" i="3"/>
  <c r="F467" i="3"/>
  <c r="E467" i="3"/>
  <c r="D467" i="3"/>
  <c r="C467" i="3"/>
  <c r="B467" i="3"/>
  <c r="A467" i="3"/>
  <c r="F466" i="3"/>
  <c r="E466" i="3"/>
  <c r="D466" i="3"/>
  <c r="C466" i="3"/>
  <c r="B466" i="3"/>
  <c r="A466" i="3"/>
  <c r="F465" i="3"/>
  <c r="E465" i="3"/>
  <c r="D465" i="3"/>
  <c r="C465" i="3"/>
  <c r="B465" i="3"/>
  <c r="A465" i="3"/>
  <c r="F464" i="3"/>
  <c r="E464" i="3"/>
  <c r="D464" i="3"/>
  <c r="C464" i="3"/>
  <c r="B464" i="3"/>
  <c r="A464" i="3"/>
  <c r="F463" i="3"/>
  <c r="E463" i="3"/>
  <c r="D463" i="3"/>
  <c r="C463" i="3"/>
  <c r="B463" i="3"/>
  <c r="A463" i="3"/>
  <c r="F462" i="3"/>
  <c r="E462" i="3"/>
  <c r="D462" i="3"/>
  <c r="C462" i="3"/>
  <c r="B462" i="3"/>
  <c r="A462" i="3"/>
  <c r="F461" i="3"/>
  <c r="E461" i="3"/>
  <c r="D461" i="3"/>
  <c r="C461" i="3"/>
  <c r="B461" i="3"/>
  <c r="A461" i="3"/>
  <c r="F460" i="3"/>
  <c r="E460" i="3"/>
  <c r="D460" i="3"/>
  <c r="C460" i="3"/>
  <c r="B460" i="3"/>
  <c r="A460" i="3"/>
  <c r="F459" i="3"/>
  <c r="E459" i="3"/>
  <c r="D459" i="3"/>
  <c r="C459" i="3"/>
  <c r="B459" i="3"/>
  <c r="A459" i="3"/>
  <c r="F458" i="3"/>
  <c r="E458" i="3"/>
  <c r="D458" i="3"/>
  <c r="C458" i="3"/>
  <c r="B458" i="3"/>
  <c r="A458" i="3"/>
  <c r="F457" i="3"/>
  <c r="E457" i="3"/>
  <c r="D457" i="3"/>
  <c r="C457" i="3"/>
  <c r="B457" i="3"/>
  <c r="A457" i="3"/>
  <c r="F456" i="3"/>
  <c r="E456" i="3"/>
  <c r="D456" i="3"/>
  <c r="C456" i="3"/>
  <c r="B456" i="3"/>
  <c r="A456" i="3"/>
  <c r="F455" i="3"/>
  <c r="E455" i="3"/>
  <c r="D455" i="3"/>
  <c r="C455" i="3"/>
  <c r="B455" i="3"/>
  <c r="A455" i="3"/>
  <c r="F454" i="3"/>
  <c r="E454" i="3"/>
  <c r="D454" i="3"/>
  <c r="C454" i="3"/>
  <c r="B454" i="3"/>
  <c r="A454" i="3"/>
  <c r="F453" i="3"/>
  <c r="E453" i="3"/>
  <c r="D453" i="3"/>
  <c r="C453" i="3"/>
  <c r="B453" i="3"/>
  <c r="A453" i="3"/>
  <c r="F452" i="3"/>
  <c r="E452" i="3"/>
  <c r="D452" i="3"/>
  <c r="C452" i="3"/>
  <c r="B452" i="3"/>
  <c r="A452" i="3"/>
  <c r="F451" i="3"/>
  <c r="E451" i="3"/>
  <c r="D451" i="3"/>
  <c r="C451" i="3"/>
  <c r="B451" i="3"/>
  <c r="A451" i="3"/>
  <c r="F450" i="3"/>
  <c r="E450" i="3"/>
  <c r="D450" i="3"/>
  <c r="C450" i="3"/>
  <c r="B450" i="3"/>
  <c r="A450" i="3"/>
  <c r="F449" i="3"/>
  <c r="E449" i="3"/>
  <c r="D449" i="3"/>
  <c r="C449" i="3"/>
  <c r="B449" i="3"/>
  <c r="A449" i="3"/>
  <c r="F448" i="3"/>
  <c r="E448" i="3"/>
  <c r="D448" i="3"/>
  <c r="C448" i="3"/>
  <c r="B448" i="3"/>
  <c r="A448" i="3"/>
  <c r="F447" i="3"/>
  <c r="E447" i="3"/>
  <c r="D447" i="3"/>
  <c r="C447" i="3"/>
  <c r="B447" i="3"/>
  <c r="A447" i="3"/>
  <c r="F446" i="3"/>
  <c r="E446" i="3"/>
  <c r="D446" i="3"/>
  <c r="C446" i="3"/>
  <c r="B446" i="3"/>
  <c r="A446" i="3"/>
  <c r="F445" i="3"/>
  <c r="E445" i="3"/>
  <c r="D445" i="3"/>
  <c r="C445" i="3"/>
  <c r="B445" i="3"/>
  <c r="A445" i="3"/>
  <c r="F444" i="3"/>
  <c r="E444" i="3"/>
  <c r="D444" i="3"/>
  <c r="C444" i="3"/>
  <c r="B444" i="3"/>
  <c r="A444" i="3"/>
  <c r="F443" i="3"/>
  <c r="E443" i="3"/>
  <c r="D443" i="3"/>
  <c r="C443" i="3"/>
  <c r="B443" i="3"/>
  <c r="A443" i="3"/>
  <c r="F442" i="3"/>
  <c r="E442" i="3"/>
  <c r="D442" i="3"/>
  <c r="C442" i="3"/>
  <c r="B442" i="3"/>
  <c r="A442" i="3"/>
  <c r="F441" i="3"/>
  <c r="E441" i="3"/>
  <c r="D441" i="3"/>
  <c r="C441" i="3"/>
  <c r="B441" i="3"/>
  <c r="A441" i="3"/>
  <c r="F440" i="3"/>
  <c r="E440" i="3"/>
  <c r="D440" i="3"/>
  <c r="C440" i="3"/>
  <c r="B440" i="3"/>
  <c r="A440" i="3"/>
  <c r="F439" i="3"/>
  <c r="E439" i="3"/>
  <c r="D439" i="3"/>
  <c r="C439" i="3"/>
  <c r="B439" i="3"/>
  <c r="A439" i="3"/>
  <c r="F438" i="3"/>
  <c r="E438" i="3"/>
  <c r="D438" i="3"/>
  <c r="C438" i="3"/>
  <c r="B438" i="3"/>
  <c r="A438" i="3"/>
  <c r="F437" i="3"/>
  <c r="E437" i="3"/>
  <c r="D437" i="3"/>
  <c r="C437" i="3"/>
  <c r="B437" i="3"/>
  <c r="A437" i="3"/>
  <c r="F436" i="3"/>
  <c r="E436" i="3"/>
  <c r="D436" i="3"/>
  <c r="C436" i="3"/>
  <c r="B436" i="3"/>
  <c r="A436" i="3"/>
  <c r="F435" i="3"/>
  <c r="E435" i="3"/>
  <c r="D435" i="3"/>
  <c r="C435" i="3"/>
  <c r="B435" i="3"/>
  <c r="A435" i="3"/>
  <c r="F434" i="3"/>
  <c r="E434" i="3"/>
  <c r="D434" i="3"/>
  <c r="C434" i="3"/>
  <c r="B434" i="3"/>
  <c r="A434" i="3"/>
  <c r="F433" i="3"/>
  <c r="E433" i="3"/>
  <c r="D433" i="3"/>
  <c r="C433" i="3"/>
  <c r="B433" i="3"/>
  <c r="A433" i="3"/>
  <c r="F432" i="3"/>
  <c r="E432" i="3"/>
  <c r="D432" i="3"/>
  <c r="C432" i="3"/>
  <c r="B432" i="3"/>
  <c r="A432" i="3"/>
  <c r="F431" i="3"/>
  <c r="E431" i="3"/>
  <c r="D431" i="3"/>
  <c r="C431" i="3"/>
  <c r="B431" i="3"/>
  <c r="A431" i="3"/>
  <c r="F430" i="3"/>
  <c r="E430" i="3"/>
  <c r="D430" i="3"/>
  <c r="C430" i="3"/>
  <c r="B430" i="3"/>
  <c r="A430" i="3"/>
  <c r="F429" i="3"/>
  <c r="E429" i="3"/>
  <c r="D429" i="3"/>
  <c r="C429" i="3"/>
  <c r="B429" i="3"/>
  <c r="A429" i="3"/>
  <c r="F428" i="3"/>
  <c r="E428" i="3"/>
  <c r="D428" i="3"/>
  <c r="C428" i="3"/>
  <c r="B428" i="3"/>
  <c r="A428" i="3"/>
  <c r="F427" i="3"/>
  <c r="E427" i="3"/>
  <c r="D427" i="3"/>
  <c r="C427" i="3"/>
  <c r="B427" i="3"/>
  <c r="A427" i="3"/>
  <c r="F426" i="3"/>
  <c r="E426" i="3"/>
  <c r="D426" i="3"/>
  <c r="C426" i="3"/>
  <c r="B426" i="3"/>
  <c r="A426" i="3"/>
  <c r="F425" i="3"/>
  <c r="E425" i="3"/>
  <c r="D425" i="3"/>
  <c r="C425" i="3"/>
  <c r="B425" i="3"/>
  <c r="A425" i="3"/>
  <c r="F424" i="3"/>
  <c r="E424" i="3"/>
  <c r="D424" i="3"/>
  <c r="C424" i="3"/>
  <c r="B424" i="3"/>
  <c r="A424" i="3"/>
  <c r="F423" i="3"/>
  <c r="E423" i="3"/>
  <c r="D423" i="3"/>
  <c r="C423" i="3"/>
  <c r="B423" i="3"/>
  <c r="A423" i="3"/>
  <c r="F422" i="3"/>
  <c r="E422" i="3"/>
  <c r="D422" i="3"/>
  <c r="C422" i="3"/>
  <c r="B422" i="3"/>
  <c r="A422" i="3"/>
  <c r="F421" i="3"/>
  <c r="E421" i="3"/>
  <c r="D421" i="3"/>
  <c r="C421" i="3"/>
  <c r="B421" i="3"/>
  <c r="A421" i="3"/>
  <c r="F420" i="3"/>
  <c r="E420" i="3"/>
  <c r="D420" i="3"/>
  <c r="C420" i="3"/>
  <c r="B420" i="3"/>
  <c r="A420" i="3"/>
  <c r="F419" i="3"/>
  <c r="E419" i="3"/>
  <c r="D419" i="3"/>
  <c r="C419" i="3"/>
  <c r="B419" i="3"/>
  <c r="A419" i="3"/>
  <c r="F418" i="3"/>
  <c r="E418" i="3"/>
  <c r="D418" i="3"/>
  <c r="C418" i="3"/>
  <c r="B418" i="3"/>
  <c r="A418" i="3"/>
  <c r="F417" i="3"/>
  <c r="E417" i="3"/>
  <c r="D417" i="3"/>
  <c r="C417" i="3"/>
  <c r="B417" i="3"/>
  <c r="A417" i="3"/>
  <c r="F416" i="3"/>
  <c r="E416" i="3"/>
  <c r="D416" i="3"/>
  <c r="C416" i="3"/>
  <c r="B416" i="3"/>
  <c r="A416" i="3"/>
  <c r="F415" i="3"/>
  <c r="E415" i="3"/>
  <c r="D415" i="3"/>
  <c r="C415" i="3"/>
  <c r="B415" i="3"/>
  <c r="A415" i="3"/>
  <c r="F414" i="3"/>
  <c r="E414" i="3"/>
  <c r="D414" i="3"/>
  <c r="C414" i="3"/>
  <c r="B414" i="3"/>
  <c r="A414" i="3"/>
  <c r="F413" i="3"/>
  <c r="E413" i="3"/>
  <c r="D413" i="3"/>
  <c r="C413" i="3"/>
  <c r="B413" i="3"/>
  <c r="A413" i="3"/>
  <c r="F412" i="3"/>
  <c r="E412" i="3"/>
  <c r="D412" i="3"/>
  <c r="C412" i="3"/>
  <c r="B412" i="3"/>
  <c r="A412" i="3"/>
  <c r="F411" i="3"/>
  <c r="E411" i="3"/>
  <c r="D411" i="3"/>
  <c r="C411" i="3"/>
  <c r="B411" i="3"/>
  <c r="A411" i="3"/>
  <c r="F410" i="3"/>
  <c r="E410" i="3"/>
  <c r="D410" i="3"/>
  <c r="C410" i="3"/>
  <c r="B410" i="3"/>
  <c r="A410" i="3"/>
  <c r="F409" i="3"/>
  <c r="E409" i="3"/>
  <c r="D409" i="3"/>
  <c r="C409" i="3"/>
  <c r="B409" i="3"/>
  <c r="A409" i="3"/>
  <c r="F408" i="3"/>
  <c r="E408" i="3"/>
  <c r="D408" i="3"/>
  <c r="C408" i="3"/>
  <c r="B408" i="3"/>
  <c r="A408" i="3"/>
  <c r="F407" i="3"/>
  <c r="E407" i="3"/>
  <c r="D407" i="3"/>
  <c r="C407" i="3"/>
  <c r="B407" i="3"/>
  <c r="A407" i="3"/>
  <c r="F406" i="3"/>
  <c r="E406" i="3"/>
  <c r="D406" i="3"/>
  <c r="C406" i="3"/>
  <c r="B406" i="3"/>
  <c r="A406" i="3"/>
  <c r="F405" i="3"/>
  <c r="E405" i="3"/>
  <c r="D405" i="3"/>
  <c r="C405" i="3"/>
  <c r="B405" i="3"/>
  <c r="A405" i="3"/>
  <c r="F404" i="3"/>
  <c r="E404" i="3"/>
  <c r="D404" i="3"/>
  <c r="C404" i="3"/>
  <c r="B404" i="3"/>
  <c r="A404" i="3"/>
  <c r="F403" i="3"/>
  <c r="E403" i="3"/>
  <c r="D403" i="3"/>
  <c r="C403" i="3"/>
  <c r="B403" i="3"/>
  <c r="A403" i="3"/>
  <c r="F402" i="3"/>
  <c r="E402" i="3"/>
  <c r="D402" i="3"/>
  <c r="C402" i="3"/>
  <c r="B402" i="3"/>
  <c r="A402" i="3"/>
  <c r="F401" i="3"/>
  <c r="E401" i="3"/>
  <c r="D401" i="3"/>
  <c r="C401" i="3"/>
  <c r="B401" i="3"/>
  <c r="A401" i="3"/>
  <c r="F400" i="3"/>
  <c r="E400" i="3"/>
  <c r="D400" i="3"/>
  <c r="C400" i="3"/>
  <c r="B400" i="3"/>
  <c r="A400" i="3"/>
  <c r="F399" i="3"/>
  <c r="E399" i="3"/>
  <c r="D399" i="3"/>
  <c r="C399" i="3"/>
  <c r="B399" i="3"/>
  <c r="A399" i="3"/>
  <c r="F398" i="3"/>
  <c r="E398" i="3"/>
  <c r="D398" i="3"/>
  <c r="C398" i="3"/>
  <c r="B398" i="3"/>
  <c r="A398" i="3"/>
  <c r="F397" i="3"/>
  <c r="E397" i="3"/>
  <c r="D397" i="3"/>
  <c r="C397" i="3"/>
  <c r="B397" i="3"/>
  <c r="A397" i="3"/>
  <c r="F396" i="3"/>
  <c r="E396" i="3"/>
  <c r="D396" i="3"/>
  <c r="C396" i="3"/>
  <c r="B396" i="3"/>
  <c r="A396" i="3"/>
  <c r="F395" i="3"/>
  <c r="E395" i="3"/>
  <c r="D395" i="3"/>
  <c r="C395" i="3"/>
  <c r="B395" i="3"/>
  <c r="A395" i="3"/>
  <c r="F394" i="3"/>
  <c r="E394" i="3"/>
  <c r="D394" i="3"/>
  <c r="C394" i="3"/>
  <c r="B394" i="3"/>
  <c r="A394" i="3"/>
  <c r="F393" i="3"/>
  <c r="E393" i="3"/>
  <c r="D393" i="3"/>
  <c r="C393" i="3"/>
  <c r="B393" i="3"/>
  <c r="A393" i="3"/>
  <c r="F392" i="3"/>
  <c r="E392" i="3"/>
  <c r="D392" i="3"/>
  <c r="C392" i="3"/>
  <c r="B392" i="3"/>
  <c r="A392" i="3"/>
  <c r="F391" i="3"/>
  <c r="E391" i="3"/>
  <c r="D391" i="3"/>
  <c r="C391" i="3"/>
  <c r="B391" i="3"/>
  <c r="A391" i="3"/>
  <c r="F390" i="3"/>
  <c r="E390" i="3"/>
  <c r="D390" i="3"/>
  <c r="C390" i="3"/>
  <c r="B390" i="3"/>
  <c r="A390" i="3"/>
  <c r="F389" i="3"/>
  <c r="E389" i="3"/>
  <c r="D389" i="3"/>
  <c r="C389" i="3"/>
  <c r="B389" i="3"/>
  <c r="A389" i="3"/>
  <c r="F388" i="3"/>
  <c r="E388" i="3"/>
  <c r="D388" i="3"/>
  <c r="C388" i="3"/>
  <c r="B388" i="3"/>
  <c r="A388" i="3"/>
  <c r="F387" i="3"/>
  <c r="E387" i="3"/>
  <c r="D387" i="3"/>
  <c r="C387" i="3"/>
  <c r="B387" i="3"/>
  <c r="A387" i="3"/>
  <c r="F386" i="3"/>
  <c r="E386" i="3"/>
  <c r="D386" i="3"/>
  <c r="C386" i="3"/>
  <c r="B386" i="3"/>
  <c r="A386" i="3"/>
  <c r="F385" i="3"/>
  <c r="E385" i="3"/>
  <c r="D385" i="3"/>
  <c r="C385" i="3"/>
  <c r="B385" i="3"/>
  <c r="A385" i="3"/>
  <c r="F384" i="3"/>
  <c r="E384" i="3"/>
  <c r="D384" i="3"/>
  <c r="C384" i="3"/>
  <c r="B384" i="3"/>
  <c r="A384" i="3"/>
  <c r="F383" i="3"/>
  <c r="E383" i="3"/>
  <c r="D383" i="3"/>
  <c r="C383" i="3"/>
  <c r="B383" i="3"/>
  <c r="A383" i="3"/>
  <c r="F382" i="3"/>
  <c r="E382" i="3"/>
  <c r="D382" i="3"/>
  <c r="C382" i="3"/>
  <c r="B382" i="3"/>
  <c r="A382" i="3"/>
  <c r="F381" i="3"/>
  <c r="E381" i="3"/>
  <c r="D381" i="3"/>
  <c r="C381" i="3"/>
  <c r="B381" i="3"/>
  <c r="A381" i="3"/>
  <c r="F380" i="3"/>
  <c r="E380" i="3"/>
  <c r="D380" i="3"/>
  <c r="C380" i="3"/>
  <c r="B380" i="3"/>
  <c r="A380" i="3"/>
  <c r="F379" i="3"/>
  <c r="E379" i="3"/>
  <c r="D379" i="3"/>
  <c r="C379" i="3"/>
  <c r="B379" i="3"/>
  <c r="A379" i="3"/>
  <c r="F378" i="3"/>
  <c r="E378" i="3"/>
  <c r="D378" i="3"/>
  <c r="C378" i="3"/>
  <c r="B378" i="3"/>
  <c r="A378" i="3"/>
  <c r="F377" i="3"/>
  <c r="E377" i="3"/>
  <c r="D377" i="3"/>
  <c r="C377" i="3"/>
  <c r="B377" i="3"/>
  <c r="A377" i="3"/>
  <c r="F376" i="3"/>
  <c r="E376" i="3"/>
  <c r="D376" i="3"/>
  <c r="C376" i="3"/>
  <c r="B376" i="3"/>
  <c r="A376" i="3"/>
  <c r="F375" i="3"/>
  <c r="E375" i="3"/>
  <c r="D375" i="3"/>
  <c r="C375" i="3"/>
  <c r="B375" i="3"/>
  <c r="A375" i="3"/>
  <c r="F374" i="3"/>
  <c r="E374" i="3"/>
  <c r="D374" i="3"/>
  <c r="C374" i="3"/>
  <c r="B374" i="3"/>
  <c r="A374" i="3"/>
  <c r="F373" i="3"/>
  <c r="E373" i="3"/>
  <c r="D373" i="3"/>
  <c r="C373" i="3"/>
  <c r="B373" i="3"/>
  <c r="A373" i="3"/>
  <c r="F372" i="3"/>
  <c r="E372" i="3"/>
  <c r="D372" i="3"/>
  <c r="C372" i="3"/>
  <c r="B372" i="3"/>
  <c r="A372" i="3"/>
  <c r="F371" i="3"/>
  <c r="E371" i="3"/>
  <c r="D371" i="3"/>
  <c r="C371" i="3"/>
  <c r="B371" i="3"/>
  <c r="A371" i="3"/>
  <c r="F370" i="3"/>
  <c r="E370" i="3"/>
  <c r="D370" i="3"/>
  <c r="C370" i="3"/>
  <c r="B370" i="3"/>
  <c r="A370" i="3"/>
  <c r="F369" i="3"/>
  <c r="E369" i="3"/>
  <c r="D369" i="3"/>
  <c r="C369" i="3"/>
  <c r="B369" i="3"/>
  <c r="A369" i="3"/>
  <c r="F368" i="3"/>
  <c r="E368" i="3"/>
  <c r="D368" i="3"/>
  <c r="C368" i="3"/>
  <c r="B368" i="3"/>
  <c r="A368" i="3"/>
  <c r="F367" i="3"/>
  <c r="E367" i="3"/>
  <c r="D367" i="3"/>
  <c r="C367" i="3"/>
  <c r="B367" i="3"/>
  <c r="A367" i="3"/>
  <c r="F366" i="3"/>
  <c r="E366" i="3"/>
  <c r="D366" i="3"/>
  <c r="C366" i="3"/>
  <c r="B366" i="3"/>
  <c r="A366" i="3"/>
  <c r="F365" i="3"/>
  <c r="E365" i="3"/>
  <c r="D365" i="3"/>
  <c r="C365" i="3"/>
  <c r="B365" i="3"/>
  <c r="A365" i="3"/>
  <c r="F364" i="3"/>
  <c r="E364" i="3"/>
  <c r="D364" i="3"/>
  <c r="C364" i="3"/>
  <c r="B364" i="3"/>
  <c r="A364" i="3"/>
  <c r="F363" i="3"/>
  <c r="E363" i="3"/>
  <c r="D363" i="3"/>
  <c r="C363" i="3"/>
  <c r="B363" i="3"/>
  <c r="A363" i="3"/>
  <c r="F362" i="3"/>
  <c r="E362" i="3"/>
  <c r="D362" i="3"/>
  <c r="C362" i="3"/>
  <c r="B362" i="3"/>
  <c r="A362" i="3"/>
  <c r="F361" i="3"/>
  <c r="E361" i="3"/>
  <c r="D361" i="3"/>
  <c r="C361" i="3"/>
  <c r="B361" i="3"/>
  <c r="A361" i="3"/>
  <c r="F360" i="3"/>
  <c r="E360" i="3"/>
  <c r="D360" i="3"/>
  <c r="C360" i="3"/>
  <c r="B360" i="3"/>
  <c r="A360" i="3"/>
  <c r="F359" i="3"/>
  <c r="E359" i="3"/>
  <c r="D359" i="3"/>
  <c r="C359" i="3"/>
  <c r="B359" i="3"/>
  <c r="A359" i="3"/>
  <c r="F358" i="3"/>
  <c r="E358" i="3"/>
  <c r="D358" i="3"/>
  <c r="C358" i="3"/>
  <c r="B358" i="3"/>
  <c r="A358" i="3"/>
  <c r="F357" i="3"/>
  <c r="E357" i="3"/>
  <c r="D357" i="3"/>
  <c r="C357" i="3"/>
  <c r="B357" i="3"/>
  <c r="A357" i="3"/>
  <c r="F356" i="3"/>
  <c r="E356" i="3"/>
  <c r="D356" i="3"/>
  <c r="C356" i="3"/>
  <c r="B356" i="3"/>
  <c r="A356" i="3"/>
  <c r="F355" i="3"/>
  <c r="E355" i="3"/>
  <c r="D355" i="3"/>
  <c r="C355" i="3"/>
  <c r="B355" i="3"/>
  <c r="A355" i="3"/>
  <c r="F354" i="3"/>
  <c r="E354" i="3"/>
  <c r="D354" i="3"/>
  <c r="C354" i="3"/>
  <c r="B354" i="3"/>
  <c r="A354" i="3"/>
  <c r="F353" i="3"/>
  <c r="E353" i="3"/>
  <c r="D353" i="3"/>
  <c r="C353" i="3"/>
  <c r="B353" i="3"/>
  <c r="A353" i="3"/>
  <c r="F352" i="3"/>
  <c r="E352" i="3"/>
  <c r="D352" i="3"/>
  <c r="C352" i="3"/>
  <c r="B352" i="3"/>
  <c r="A352" i="3"/>
  <c r="F351" i="3"/>
  <c r="E351" i="3"/>
  <c r="D351" i="3"/>
  <c r="C351" i="3"/>
  <c r="B351" i="3"/>
  <c r="A351" i="3"/>
  <c r="F350" i="3"/>
  <c r="E350" i="3"/>
  <c r="D350" i="3"/>
  <c r="C350" i="3"/>
  <c r="B350" i="3"/>
  <c r="A350" i="3"/>
  <c r="F349" i="3"/>
  <c r="E349" i="3"/>
  <c r="D349" i="3"/>
  <c r="C349" i="3"/>
  <c r="B349" i="3"/>
  <c r="A349" i="3"/>
  <c r="F348" i="3"/>
  <c r="E348" i="3"/>
  <c r="D348" i="3"/>
  <c r="C348" i="3"/>
  <c r="B348" i="3"/>
  <c r="A348" i="3"/>
  <c r="F347" i="3"/>
  <c r="E347" i="3"/>
  <c r="D347" i="3"/>
  <c r="C347" i="3"/>
  <c r="B347" i="3"/>
  <c r="A347" i="3"/>
  <c r="F346" i="3"/>
  <c r="E346" i="3"/>
  <c r="D346" i="3"/>
  <c r="C346" i="3"/>
  <c r="B346" i="3"/>
  <c r="A346" i="3"/>
  <c r="F345" i="3"/>
  <c r="E345" i="3"/>
  <c r="D345" i="3"/>
  <c r="C345" i="3"/>
  <c r="B345" i="3"/>
  <c r="A345" i="3"/>
  <c r="F344" i="3"/>
  <c r="E344" i="3"/>
  <c r="D344" i="3"/>
  <c r="C344" i="3"/>
  <c r="B344" i="3"/>
  <c r="A344" i="3"/>
  <c r="F343" i="3"/>
  <c r="E343" i="3"/>
  <c r="D343" i="3"/>
  <c r="C343" i="3"/>
  <c r="B343" i="3"/>
  <c r="A343" i="3"/>
  <c r="F342" i="3"/>
  <c r="E342" i="3"/>
  <c r="D342" i="3"/>
  <c r="C342" i="3"/>
  <c r="B342" i="3"/>
  <c r="A342" i="3"/>
  <c r="F341" i="3"/>
  <c r="E341" i="3"/>
  <c r="D341" i="3"/>
  <c r="C341" i="3"/>
  <c r="B341" i="3"/>
  <c r="A341" i="3"/>
  <c r="F340" i="3"/>
  <c r="E340" i="3"/>
  <c r="D340" i="3"/>
  <c r="C340" i="3"/>
  <c r="B340" i="3"/>
  <c r="A340" i="3"/>
  <c r="F339" i="3"/>
  <c r="E339" i="3"/>
  <c r="D339" i="3"/>
  <c r="C339" i="3"/>
  <c r="B339" i="3"/>
  <c r="A339" i="3"/>
  <c r="F338" i="3"/>
  <c r="E338" i="3"/>
  <c r="D338" i="3"/>
  <c r="C338" i="3"/>
  <c r="B338" i="3"/>
  <c r="A338" i="3"/>
  <c r="F337" i="3"/>
  <c r="E337" i="3"/>
  <c r="D337" i="3"/>
  <c r="C337" i="3"/>
  <c r="B337" i="3"/>
  <c r="A337" i="3"/>
  <c r="F336" i="3"/>
  <c r="E336" i="3"/>
  <c r="D336" i="3"/>
  <c r="C336" i="3"/>
  <c r="B336" i="3"/>
  <c r="A336" i="3"/>
  <c r="F335" i="3"/>
  <c r="E335" i="3"/>
  <c r="D335" i="3"/>
  <c r="C335" i="3"/>
  <c r="B335" i="3"/>
  <c r="A335" i="3"/>
  <c r="F334" i="3"/>
  <c r="E334" i="3"/>
  <c r="D334" i="3"/>
  <c r="C334" i="3"/>
  <c r="B334" i="3"/>
  <c r="A334" i="3"/>
  <c r="F333" i="3"/>
  <c r="E333" i="3"/>
  <c r="D333" i="3"/>
  <c r="C333" i="3"/>
  <c r="B333" i="3"/>
  <c r="A333" i="3"/>
  <c r="F332" i="3"/>
  <c r="E332" i="3"/>
  <c r="D332" i="3"/>
  <c r="C332" i="3"/>
  <c r="B332" i="3"/>
  <c r="A332" i="3"/>
  <c r="F331" i="3"/>
  <c r="E331" i="3"/>
  <c r="D331" i="3"/>
  <c r="C331" i="3"/>
  <c r="B331" i="3"/>
  <c r="A331" i="3"/>
  <c r="F330" i="3"/>
  <c r="E330" i="3"/>
  <c r="D330" i="3"/>
  <c r="C330" i="3"/>
  <c r="B330" i="3"/>
  <c r="A330" i="3"/>
  <c r="F329" i="3"/>
  <c r="E329" i="3"/>
  <c r="D329" i="3"/>
  <c r="C329" i="3"/>
  <c r="B329" i="3"/>
  <c r="A329" i="3"/>
  <c r="F328" i="3"/>
  <c r="E328" i="3"/>
  <c r="D328" i="3"/>
  <c r="C328" i="3"/>
  <c r="B328" i="3"/>
  <c r="A328" i="3"/>
  <c r="F327" i="3"/>
  <c r="E327" i="3"/>
  <c r="D327" i="3"/>
  <c r="C327" i="3"/>
  <c r="B327" i="3"/>
  <c r="A327" i="3"/>
  <c r="F326" i="3"/>
  <c r="E326" i="3"/>
  <c r="D326" i="3"/>
  <c r="C326" i="3"/>
  <c r="B326" i="3"/>
  <c r="A326" i="3"/>
  <c r="F325" i="3"/>
  <c r="E325" i="3"/>
  <c r="D325" i="3"/>
  <c r="C325" i="3"/>
  <c r="B325" i="3"/>
  <c r="A325" i="3"/>
  <c r="F324" i="3"/>
  <c r="E324" i="3"/>
  <c r="D324" i="3"/>
  <c r="C324" i="3"/>
  <c r="B324" i="3"/>
  <c r="A324" i="3"/>
  <c r="F323" i="3"/>
  <c r="E323" i="3"/>
  <c r="D323" i="3"/>
  <c r="C323" i="3"/>
  <c r="B323" i="3"/>
  <c r="A323" i="3"/>
  <c r="F322" i="3"/>
  <c r="E322" i="3"/>
  <c r="D322" i="3"/>
  <c r="C322" i="3"/>
  <c r="B322" i="3"/>
  <c r="A322" i="3"/>
  <c r="F321" i="3"/>
  <c r="E321" i="3"/>
  <c r="D321" i="3"/>
  <c r="C321" i="3"/>
  <c r="B321" i="3"/>
  <c r="A321" i="3"/>
  <c r="F320" i="3"/>
  <c r="E320" i="3"/>
  <c r="D320" i="3"/>
  <c r="C320" i="3"/>
  <c r="B320" i="3"/>
  <c r="A320" i="3"/>
  <c r="F319" i="3"/>
  <c r="E319" i="3"/>
  <c r="D319" i="3"/>
  <c r="C319" i="3"/>
  <c r="B319" i="3"/>
  <c r="A319" i="3"/>
  <c r="F318" i="3"/>
  <c r="E318" i="3"/>
  <c r="D318" i="3"/>
  <c r="C318" i="3"/>
  <c r="B318" i="3"/>
  <c r="A318" i="3"/>
  <c r="F317" i="3"/>
  <c r="E317" i="3"/>
  <c r="D317" i="3"/>
  <c r="C317" i="3"/>
  <c r="B317" i="3"/>
  <c r="A317" i="3"/>
  <c r="F316" i="3"/>
  <c r="E316" i="3"/>
  <c r="D316" i="3"/>
  <c r="C316" i="3"/>
  <c r="B316" i="3"/>
  <c r="A316" i="3"/>
  <c r="F315" i="3"/>
  <c r="E315" i="3"/>
  <c r="D315" i="3"/>
  <c r="C315" i="3"/>
  <c r="B315" i="3"/>
  <c r="A315" i="3"/>
  <c r="F314" i="3"/>
  <c r="E314" i="3"/>
  <c r="D314" i="3"/>
  <c r="C314" i="3"/>
  <c r="B314" i="3"/>
  <c r="A314" i="3"/>
  <c r="F313" i="3"/>
  <c r="E313" i="3"/>
  <c r="D313" i="3"/>
  <c r="C313" i="3"/>
  <c r="B313" i="3"/>
  <c r="A313" i="3"/>
  <c r="F312" i="3"/>
  <c r="E312" i="3"/>
  <c r="D312" i="3"/>
  <c r="C312" i="3"/>
  <c r="B312" i="3"/>
  <c r="A312" i="3"/>
  <c r="F311" i="3"/>
  <c r="E311" i="3"/>
  <c r="D311" i="3"/>
  <c r="C311" i="3"/>
  <c r="B311" i="3"/>
  <c r="A311" i="3"/>
  <c r="F310" i="3"/>
  <c r="E310" i="3"/>
  <c r="D310" i="3"/>
  <c r="C310" i="3"/>
  <c r="B310" i="3"/>
  <c r="A310" i="3"/>
  <c r="F309" i="3"/>
  <c r="E309" i="3"/>
  <c r="D309" i="3"/>
  <c r="C309" i="3"/>
  <c r="B309" i="3"/>
  <c r="A309" i="3"/>
  <c r="F308" i="3"/>
  <c r="E308" i="3"/>
  <c r="D308" i="3"/>
  <c r="C308" i="3"/>
  <c r="B308" i="3"/>
  <c r="A308" i="3"/>
  <c r="F307" i="3"/>
  <c r="E307" i="3"/>
  <c r="D307" i="3"/>
  <c r="C307" i="3"/>
  <c r="B307" i="3"/>
  <c r="A307" i="3"/>
  <c r="F306" i="3"/>
  <c r="E306" i="3"/>
  <c r="D306" i="3"/>
  <c r="C306" i="3"/>
  <c r="B306" i="3"/>
  <c r="A306" i="3"/>
  <c r="F305" i="3"/>
  <c r="E305" i="3"/>
  <c r="D305" i="3"/>
  <c r="C305" i="3"/>
  <c r="B305" i="3"/>
  <c r="A305" i="3"/>
  <c r="F304" i="3"/>
  <c r="E304" i="3"/>
  <c r="D304" i="3"/>
  <c r="C304" i="3"/>
  <c r="B304" i="3"/>
  <c r="A304" i="3"/>
  <c r="F303" i="3"/>
  <c r="E303" i="3"/>
  <c r="D303" i="3"/>
  <c r="C303" i="3"/>
  <c r="B303" i="3"/>
  <c r="A303" i="3"/>
  <c r="F302" i="3"/>
  <c r="E302" i="3"/>
  <c r="D302" i="3"/>
  <c r="C302" i="3"/>
  <c r="B302" i="3"/>
  <c r="A302" i="3"/>
  <c r="F301" i="3"/>
  <c r="E301" i="3"/>
  <c r="D301" i="3"/>
  <c r="C301" i="3"/>
  <c r="B301" i="3"/>
  <c r="A301" i="3"/>
  <c r="F300" i="3"/>
  <c r="E300" i="3"/>
  <c r="D300" i="3"/>
  <c r="C300" i="3"/>
  <c r="B300" i="3"/>
  <c r="A300" i="3"/>
  <c r="F299" i="3"/>
  <c r="E299" i="3"/>
  <c r="D299" i="3"/>
  <c r="C299" i="3"/>
  <c r="B299" i="3"/>
  <c r="A299" i="3"/>
  <c r="F298" i="3"/>
  <c r="E298" i="3"/>
  <c r="D298" i="3"/>
  <c r="C298" i="3"/>
  <c r="B298" i="3"/>
  <c r="A298" i="3"/>
  <c r="F297" i="3"/>
  <c r="E297" i="3"/>
  <c r="D297" i="3"/>
  <c r="C297" i="3"/>
  <c r="B297" i="3"/>
  <c r="A297" i="3"/>
  <c r="F296" i="3"/>
  <c r="E296" i="3"/>
  <c r="D296" i="3"/>
  <c r="C296" i="3"/>
  <c r="B296" i="3"/>
  <c r="A296" i="3"/>
  <c r="F295" i="3"/>
  <c r="E295" i="3"/>
  <c r="D295" i="3"/>
  <c r="C295" i="3"/>
  <c r="B295" i="3"/>
  <c r="A295" i="3"/>
  <c r="F294" i="3"/>
  <c r="E294" i="3"/>
  <c r="D294" i="3"/>
  <c r="C294" i="3"/>
  <c r="B294" i="3"/>
  <c r="A294" i="3"/>
  <c r="F293" i="3"/>
  <c r="E293" i="3"/>
  <c r="D293" i="3"/>
  <c r="C293" i="3"/>
  <c r="B293" i="3"/>
  <c r="A293" i="3"/>
  <c r="F292" i="3"/>
  <c r="E292" i="3"/>
  <c r="D292" i="3"/>
  <c r="C292" i="3"/>
  <c r="B292" i="3"/>
  <c r="A292" i="3"/>
  <c r="F291" i="3"/>
  <c r="E291" i="3"/>
  <c r="D291" i="3"/>
  <c r="C291" i="3"/>
  <c r="B291" i="3"/>
  <c r="A291" i="3"/>
  <c r="F290" i="3"/>
  <c r="E290" i="3"/>
  <c r="D290" i="3"/>
  <c r="C290" i="3"/>
  <c r="B290" i="3"/>
  <c r="A290" i="3"/>
  <c r="F289" i="3"/>
  <c r="E289" i="3"/>
  <c r="D289" i="3"/>
  <c r="C289" i="3"/>
  <c r="B289" i="3"/>
  <c r="A289" i="3"/>
  <c r="F288" i="3"/>
  <c r="E288" i="3"/>
  <c r="D288" i="3"/>
  <c r="C288" i="3"/>
  <c r="B288" i="3"/>
  <c r="A288" i="3"/>
  <c r="F287" i="3"/>
  <c r="E287" i="3"/>
  <c r="D287" i="3"/>
  <c r="C287" i="3"/>
  <c r="B287" i="3"/>
  <c r="A287" i="3"/>
  <c r="F286" i="3"/>
  <c r="E286" i="3"/>
  <c r="D286" i="3"/>
  <c r="C286" i="3"/>
  <c r="B286" i="3"/>
  <c r="A286" i="3"/>
  <c r="F285" i="3"/>
  <c r="E285" i="3"/>
  <c r="D285" i="3"/>
  <c r="C285" i="3"/>
  <c r="B285" i="3"/>
  <c r="A285" i="3"/>
  <c r="F284" i="3"/>
  <c r="E284" i="3"/>
  <c r="D284" i="3"/>
  <c r="C284" i="3"/>
  <c r="B284" i="3"/>
  <c r="A284" i="3"/>
  <c r="F283" i="3"/>
  <c r="E283" i="3"/>
  <c r="D283" i="3"/>
  <c r="C283" i="3"/>
  <c r="B283" i="3"/>
  <c r="A283" i="3"/>
  <c r="F282" i="3"/>
  <c r="E282" i="3"/>
  <c r="D282" i="3"/>
  <c r="C282" i="3"/>
  <c r="B282" i="3"/>
  <c r="A282" i="3"/>
  <c r="F281" i="3"/>
  <c r="E281" i="3"/>
  <c r="D281" i="3"/>
  <c r="C281" i="3"/>
  <c r="B281" i="3"/>
  <c r="A281" i="3"/>
  <c r="F280" i="3"/>
  <c r="E280" i="3"/>
  <c r="D280" i="3"/>
  <c r="C280" i="3"/>
  <c r="B280" i="3"/>
  <c r="A280" i="3"/>
  <c r="F279" i="3"/>
  <c r="E279" i="3"/>
  <c r="D279" i="3"/>
  <c r="C279" i="3"/>
  <c r="B279" i="3"/>
  <c r="A279" i="3"/>
  <c r="F278" i="3"/>
  <c r="E278" i="3"/>
  <c r="D278" i="3"/>
  <c r="C278" i="3"/>
  <c r="B278" i="3"/>
  <c r="A278" i="3"/>
  <c r="F277" i="3"/>
  <c r="E277" i="3"/>
  <c r="D277" i="3"/>
  <c r="C277" i="3"/>
  <c r="B277" i="3"/>
  <c r="A277" i="3"/>
  <c r="F276" i="3"/>
  <c r="E276" i="3"/>
  <c r="D276" i="3"/>
  <c r="C276" i="3"/>
  <c r="B276" i="3"/>
  <c r="A276" i="3"/>
  <c r="F275" i="3"/>
  <c r="E275" i="3"/>
  <c r="D275" i="3"/>
  <c r="C275" i="3"/>
  <c r="B275" i="3"/>
  <c r="A275" i="3"/>
  <c r="F274" i="3"/>
  <c r="E274" i="3"/>
  <c r="D274" i="3"/>
  <c r="C274" i="3"/>
  <c r="B274" i="3"/>
  <c r="A274" i="3"/>
  <c r="F273" i="3"/>
  <c r="E273" i="3"/>
  <c r="D273" i="3"/>
  <c r="C273" i="3"/>
  <c r="B273" i="3"/>
  <c r="A273" i="3"/>
  <c r="F272" i="3"/>
  <c r="E272" i="3"/>
  <c r="D272" i="3"/>
  <c r="C272" i="3"/>
  <c r="B272" i="3"/>
  <c r="A272" i="3"/>
  <c r="F271" i="3"/>
  <c r="E271" i="3"/>
  <c r="D271" i="3"/>
  <c r="C271" i="3"/>
  <c r="B271" i="3"/>
  <c r="A271" i="3"/>
  <c r="F270" i="3"/>
  <c r="E270" i="3"/>
  <c r="D270" i="3"/>
  <c r="C270" i="3"/>
  <c r="B270" i="3"/>
  <c r="A270" i="3"/>
  <c r="F269" i="3"/>
  <c r="E269" i="3"/>
  <c r="D269" i="3"/>
  <c r="C269" i="3"/>
  <c r="B269" i="3"/>
  <c r="A269" i="3"/>
  <c r="F268" i="3"/>
  <c r="E268" i="3"/>
  <c r="D268" i="3"/>
  <c r="C268" i="3"/>
  <c r="B268" i="3"/>
  <c r="A268" i="3"/>
  <c r="F267" i="3"/>
  <c r="E267" i="3"/>
  <c r="D267" i="3"/>
  <c r="C267" i="3"/>
  <c r="B267" i="3"/>
  <c r="A267" i="3"/>
  <c r="F266" i="3"/>
  <c r="E266" i="3"/>
  <c r="D266" i="3"/>
  <c r="C266" i="3"/>
  <c r="B266" i="3"/>
  <c r="A266" i="3"/>
  <c r="F265" i="3"/>
  <c r="E265" i="3"/>
  <c r="D265" i="3"/>
  <c r="C265" i="3"/>
  <c r="B265" i="3"/>
  <c r="A265" i="3"/>
  <c r="F264" i="3"/>
  <c r="E264" i="3"/>
  <c r="D264" i="3"/>
  <c r="C264" i="3"/>
  <c r="B264" i="3"/>
  <c r="A264" i="3"/>
  <c r="F263" i="3"/>
  <c r="E263" i="3"/>
  <c r="D263" i="3"/>
  <c r="C263" i="3"/>
  <c r="B263" i="3"/>
  <c r="A263" i="3"/>
  <c r="F262" i="3"/>
  <c r="E262" i="3"/>
  <c r="D262" i="3"/>
  <c r="C262" i="3"/>
  <c r="B262" i="3"/>
  <c r="A262" i="3"/>
  <c r="F261" i="3"/>
  <c r="E261" i="3"/>
  <c r="D261" i="3"/>
  <c r="C261" i="3"/>
  <c r="B261" i="3"/>
  <c r="A261" i="3"/>
  <c r="F260" i="3"/>
  <c r="E260" i="3"/>
  <c r="D260" i="3"/>
  <c r="C260" i="3"/>
  <c r="B260" i="3"/>
  <c r="A260" i="3"/>
  <c r="F259" i="3"/>
  <c r="E259" i="3"/>
  <c r="D259" i="3"/>
  <c r="C259" i="3"/>
  <c r="B259" i="3"/>
  <c r="A259" i="3"/>
  <c r="F258" i="3"/>
  <c r="E258" i="3"/>
  <c r="D258" i="3"/>
  <c r="C258" i="3"/>
  <c r="B258" i="3"/>
  <c r="A258" i="3"/>
  <c r="F257" i="3"/>
  <c r="E257" i="3"/>
  <c r="D257" i="3"/>
  <c r="C257" i="3"/>
  <c r="B257" i="3"/>
  <c r="A257" i="3"/>
  <c r="F256" i="3"/>
  <c r="E256" i="3"/>
  <c r="D256" i="3"/>
  <c r="C256" i="3"/>
  <c r="B256" i="3"/>
  <c r="A256" i="3"/>
  <c r="F255" i="3"/>
  <c r="E255" i="3"/>
  <c r="D255" i="3"/>
  <c r="C255" i="3"/>
  <c r="B255" i="3"/>
  <c r="A255" i="3"/>
  <c r="F254" i="3"/>
  <c r="E254" i="3"/>
  <c r="D254" i="3"/>
  <c r="C254" i="3"/>
  <c r="B254" i="3"/>
  <c r="A254" i="3"/>
  <c r="F253" i="3"/>
  <c r="E253" i="3"/>
  <c r="D253" i="3"/>
  <c r="C253" i="3"/>
  <c r="B253" i="3"/>
  <c r="A253" i="3"/>
  <c r="F252" i="3"/>
  <c r="E252" i="3"/>
  <c r="D252" i="3"/>
  <c r="C252" i="3"/>
  <c r="B252" i="3"/>
  <c r="A252" i="3"/>
  <c r="F251" i="3"/>
  <c r="E251" i="3"/>
  <c r="D251" i="3"/>
  <c r="C251" i="3"/>
  <c r="B251" i="3"/>
  <c r="A251" i="3"/>
  <c r="F250" i="3"/>
  <c r="E250" i="3"/>
  <c r="D250" i="3"/>
  <c r="C250" i="3"/>
  <c r="B250" i="3"/>
  <c r="A250" i="3"/>
  <c r="F249" i="3"/>
  <c r="E249" i="3"/>
  <c r="D249" i="3"/>
  <c r="C249" i="3"/>
  <c r="B249" i="3"/>
  <c r="A249" i="3"/>
  <c r="F248" i="3"/>
  <c r="E248" i="3"/>
  <c r="D248" i="3"/>
  <c r="C248" i="3"/>
  <c r="B248" i="3"/>
  <c r="A248" i="3"/>
  <c r="F247" i="3"/>
  <c r="E247" i="3"/>
  <c r="D247" i="3"/>
  <c r="C247" i="3"/>
  <c r="B247" i="3"/>
  <c r="A247" i="3"/>
  <c r="F246" i="3"/>
  <c r="E246" i="3"/>
  <c r="D246" i="3"/>
  <c r="C246" i="3"/>
  <c r="B246" i="3"/>
  <c r="A246" i="3"/>
  <c r="F245" i="3"/>
  <c r="E245" i="3"/>
  <c r="D245" i="3"/>
  <c r="C245" i="3"/>
  <c r="B245" i="3"/>
  <c r="A245" i="3"/>
  <c r="F244" i="3"/>
  <c r="E244" i="3"/>
  <c r="D244" i="3"/>
  <c r="C244" i="3"/>
  <c r="B244" i="3"/>
  <c r="A244" i="3"/>
  <c r="F243" i="3"/>
  <c r="E243" i="3"/>
  <c r="D243" i="3"/>
  <c r="C243" i="3"/>
  <c r="B243" i="3"/>
  <c r="A243" i="3"/>
  <c r="F242" i="3"/>
  <c r="E242" i="3"/>
  <c r="D242" i="3"/>
  <c r="C242" i="3"/>
  <c r="B242" i="3"/>
  <c r="A242" i="3"/>
  <c r="F241" i="3"/>
  <c r="E241" i="3"/>
  <c r="D241" i="3"/>
  <c r="C241" i="3"/>
  <c r="B241" i="3"/>
  <c r="A241" i="3"/>
  <c r="F240" i="3"/>
  <c r="E240" i="3"/>
  <c r="D240" i="3"/>
  <c r="C240" i="3"/>
  <c r="B240" i="3"/>
  <c r="A240" i="3"/>
  <c r="F239" i="3"/>
  <c r="E239" i="3"/>
  <c r="D239" i="3"/>
  <c r="C239" i="3"/>
  <c r="B239" i="3"/>
  <c r="A239" i="3"/>
  <c r="F238" i="3"/>
  <c r="E238" i="3"/>
  <c r="D238" i="3"/>
  <c r="C238" i="3"/>
  <c r="B238" i="3"/>
  <c r="A238" i="3"/>
  <c r="F237" i="3"/>
  <c r="E237" i="3"/>
  <c r="D237" i="3"/>
  <c r="C237" i="3"/>
  <c r="B237" i="3"/>
  <c r="A237" i="3"/>
  <c r="F236" i="3"/>
  <c r="E236" i="3"/>
  <c r="D236" i="3"/>
  <c r="C236" i="3"/>
  <c r="B236" i="3"/>
  <c r="A236" i="3"/>
  <c r="F235" i="3"/>
  <c r="E235" i="3"/>
  <c r="D235" i="3"/>
  <c r="C235" i="3"/>
  <c r="B235" i="3"/>
  <c r="A235" i="3"/>
  <c r="F234" i="3"/>
  <c r="E234" i="3"/>
  <c r="D234" i="3"/>
  <c r="C234" i="3"/>
  <c r="B234" i="3"/>
  <c r="A234" i="3"/>
  <c r="F233" i="3"/>
  <c r="E233" i="3"/>
  <c r="D233" i="3"/>
  <c r="C233" i="3"/>
  <c r="B233" i="3"/>
  <c r="A233" i="3"/>
  <c r="F232" i="3"/>
  <c r="E232" i="3"/>
  <c r="D232" i="3"/>
  <c r="C232" i="3"/>
  <c r="B232" i="3"/>
  <c r="A232" i="3"/>
  <c r="F231" i="3"/>
  <c r="E231" i="3"/>
  <c r="D231" i="3"/>
  <c r="C231" i="3"/>
  <c r="B231" i="3"/>
  <c r="A231" i="3"/>
  <c r="F230" i="3"/>
  <c r="E230" i="3"/>
  <c r="D230" i="3"/>
  <c r="C230" i="3"/>
  <c r="B230" i="3"/>
  <c r="A230" i="3"/>
  <c r="F229" i="3"/>
  <c r="E229" i="3"/>
  <c r="D229" i="3"/>
  <c r="C229" i="3"/>
  <c r="B229" i="3"/>
  <c r="A229" i="3"/>
  <c r="F228" i="3"/>
  <c r="E228" i="3"/>
  <c r="D228" i="3"/>
  <c r="C228" i="3"/>
  <c r="B228" i="3"/>
  <c r="A228" i="3"/>
  <c r="F227" i="3"/>
  <c r="E227" i="3"/>
  <c r="D227" i="3"/>
  <c r="C227" i="3"/>
  <c r="B227" i="3"/>
  <c r="A227" i="3"/>
  <c r="F226" i="3"/>
  <c r="E226" i="3"/>
  <c r="D226" i="3"/>
  <c r="C226" i="3"/>
  <c r="B226" i="3"/>
  <c r="A226" i="3"/>
  <c r="F225" i="3"/>
  <c r="E225" i="3"/>
  <c r="D225" i="3"/>
  <c r="C225" i="3"/>
  <c r="B225" i="3"/>
  <c r="A225" i="3"/>
  <c r="F224" i="3"/>
  <c r="E224" i="3"/>
  <c r="D224" i="3"/>
  <c r="C224" i="3"/>
  <c r="B224" i="3"/>
  <c r="A224" i="3"/>
  <c r="F223" i="3"/>
  <c r="E223" i="3"/>
  <c r="D223" i="3"/>
  <c r="C223" i="3"/>
  <c r="B223" i="3"/>
  <c r="A223" i="3"/>
  <c r="F222" i="3"/>
  <c r="E222" i="3"/>
  <c r="D222" i="3"/>
  <c r="C222" i="3"/>
  <c r="B222" i="3"/>
  <c r="A222" i="3"/>
  <c r="F221" i="3"/>
  <c r="E221" i="3"/>
  <c r="D221" i="3"/>
  <c r="C221" i="3"/>
  <c r="B221" i="3"/>
  <c r="A221" i="3"/>
  <c r="F220" i="3"/>
  <c r="E220" i="3"/>
  <c r="D220" i="3"/>
  <c r="C220" i="3"/>
  <c r="B220" i="3"/>
  <c r="A220" i="3"/>
  <c r="F219" i="3"/>
  <c r="E219" i="3"/>
  <c r="D219" i="3"/>
  <c r="C219" i="3"/>
  <c r="B219" i="3"/>
  <c r="A219" i="3"/>
  <c r="F218" i="3"/>
  <c r="E218" i="3"/>
  <c r="D218" i="3"/>
  <c r="C218" i="3"/>
  <c r="B218" i="3"/>
  <c r="A218" i="3"/>
  <c r="F217" i="3"/>
  <c r="E217" i="3"/>
  <c r="D217" i="3"/>
  <c r="C217" i="3"/>
  <c r="B217" i="3"/>
  <c r="A217" i="3"/>
  <c r="F216" i="3"/>
  <c r="E216" i="3"/>
  <c r="D216" i="3"/>
  <c r="C216" i="3"/>
  <c r="B216" i="3"/>
  <c r="A216" i="3"/>
  <c r="F215" i="3"/>
  <c r="E215" i="3"/>
  <c r="D215" i="3"/>
  <c r="C215" i="3"/>
  <c r="B215" i="3"/>
  <c r="A215" i="3"/>
  <c r="F214" i="3"/>
  <c r="E214" i="3"/>
  <c r="D214" i="3"/>
  <c r="C214" i="3"/>
  <c r="B214" i="3"/>
  <c r="A214" i="3"/>
  <c r="F213" i="3"/>
  <c r="E213" i="3"/>
  <c r="D213" i="3"/>
  <c r="C213" i="3"/>
  <c r="B213" i="3"/>
  <c r="A213" i="3"/>
  <c r="F212" i="3"/>
  <c r="E212" i="3"/>
  <c r="D212" i="3"/>
  <c r="C212" i="3"/>
  <c r="B212" i="3"/>
  <c r="A212" i="3"/>
  <c r="F211" i="3"/>
  <c r="E211" i="3"/>
  <c r="D211" i="3"/>
  <c r="C211" i="3"/>
  <c r="B211" i="3"/>
  <c r="A211" i="3"/>
  <c r="F210" i="3"/>
  <c r="E210" i="3"/>
  <c r="D210" i="3"/>
  <c r="C210" i="3"/>
  <c r="B210" i="3"/>
  <c r="A210" i="3"/>
  <c r="F209" i="3"/>
  <c r="E209" i="3"/>
  <c r="D209" i="3"/>
  <c r="C209" i="3"/>
  <c r="B209" i="3"/>
  <c r="A209" i="3"/>
  <c r="F208" i="3"/>
  <c r="E208" i="3"/>
  <c r="D208" i="3"/>
  <c r="C208" i="3"/>
  <c r="B208" i="3"/>
  <c r="A208" i="3"/>
  <c r="F207" i="3"/>
  <c r="E207" i="3"/>
  <c r="D207" i="3"/>
  <c r="C207" i="3"/>
  <c r="B207" i="3"/>
  <c r="A207" i="3"/>
  <c r="F206" i="3"/>
  <c r="E206" i="3"/>
  <c r="D206" i="3"/>
  <c r="C206" i="3"/>
  <c r="B206" i="3"/>
  <c r="A206" i="3"/>
  <c r="F205" i="3"/>
  <c r="E205" i="3"/>
  <c r="D205" i="3"/>
  <c r="C205" i="3"/>
  <c r="B205" i="3"/>
  <c r="A205" i="3"/>
  <c r="F204" i="3"/>
  <c r="E204" i="3"/>
  <c r="D204" i="3"/>
  <c r="C204" i="3"/>
  <c r="B204" i="3"/>
  <c r="A204" i="3"/>
  <c r="F203" i="3"/>
  <c r="E203" i="3"/>
  <c r="D203" i="3"/>
  <c r="C203" i="3"/>
  <c r="B203" i="3"/>
  <c r="A203" i="3"/>
  <c r="F202" i="3"/>
  <c r="E202" i="3"/>
  <c r="D202" i="3"/>
  <c r="C202" i="3"/>
  <c r="B202" i="3"/>
  <c r="A202" i="3"/>
  <c r="F201" i="3"/>
  <c r="E201" i="3"/>
  <c r="D201" i="3"/>
  <c r="C201" i="3"/>
  <c r="B201" i="3"/>
  <c r="A201" i="3"/>
  <c r="F200" i="3"/>
  <c r="E200" i="3"/>
  <c r="D200" i="3"/>
  <c r="C200" i="3"/>
  <c r="B200" i="3"/>
  <c r="A200" i="3"/>
  <c r="F199" i="3"/>
  <c r="E199" i="3"/>
  <c r="D199" i="3"/>
  <c r="C199" i="3"/>
  <c r="B199" i="3"/>
  <c r="A199" i="3"/>
  <c r="F198" i="3"/>
  <c r="E198" i="3"/>
  <c r="D198" i="3"/>
  <c r="C198" i="3"/>
  <c r="B198" i="3"/>
  <c r="A198" i="3"/>
  <c r="F197" i="3"/>
  <c r="E197" i="3"/>
  <c r="D197" i="3"/>
  <c r="C197" i="3"/>
  <c r="B197" i="3"/>
  <c r="A197" i="3"/>
  <c r="F196" i="3"/>
  <c r="E196" i="3"/>
  <c r="D196" i="3"/>
  <c r="C196" i="3"/>
  <c r="B196" i="3"/>
  <c r="A196" i="3"/>
  <c r="F195" i="3"/>
  <c r="E195" i="3"/>
  <c r="D195" i="3"/>
  <c r="C195" i="3"/>
  <c r="B195" i="3"/>
  <c r="A195" i="3"/>
  <c r="F194" i="3"/>
  <c r="E194" i="3"/>
  <c r="D194" i="3"/>
  <c r="C194" i="3"/>
  <c r="B194" i="3"/>
  <c r="A194" i="3"/>
  <c r="F193" i="3"/>
  <c r="E193" i="3"/>
  <c r="D193" i="3"/>
  <c r="C193" i="3"/>
  <c r="B193" i="3"/>
  <c r="A193" i="3"/>
  <c r="F192" i="3"/>
  <c r="E192" i="3"/>
  <c r="D192" i="3"/>
  <c r="C192" i="3"/>
  <c r="B192" i="3"/>
  <c r="A192" i="3"/>
  <c r="F191" i="3"/>
  <c r="E191" i="3"/>
  <c r="D191" i="3"/>
  <c r="C191" i="3"/>
  <c r="B191" i="3"/>
  <c r="A191" i="3"/>
  <c r="F190" i="3"/>
  <c r="E190" i="3"/>
  <c r="D190" i="3"/>
  <c r="C190" i="3"/>
  <c r="B190" i="3"/>
  <c r="A190" i="3"/>
  <c r="F189" i="3"/>
  <c r="E189" i="3"/>
  <c r="D189" i="3"/>
  <c r="C189" i="3"/>
  <c r="B189" i="3"/>
  <c r="A189" i="3"/>
  <c r="F188" i="3"/>
  <c r="E188" i="3"/>
  <c r="D188" i="3"/>
  <c r="C188" i="3"/>
  <c r="B188" i="3"/>
  <c r="A188" i="3"/>
  <c r="F187" i="3"/>
  <c r="E187" i="3"/>
  <c r="D187" i="3"/>
  <c r="C187" i="3"/>
  <c r="B187" i="3"/>
  <c r="A187" i="3"/>
  <c r="F186" i="3"/>
  <c r="E186" i="3"/>
  <c r="D186" i="3"/>
  <c r="C186" i="3"/>
  <c r="B186" i="3"/>
  <c r="A186" i="3"/>
  <c r="F185" i="3"/>
  <c r="E185" i="3"/>
  <c r="D185" i="3"/>
  <c r="C185" i="3"/>
  <c r="B185" i="3"/>
  <c r="A185" i="3"/>
  <c r="F184" i="3"/>
  <c r="E184" i="3"/>
  <c r="D184" i="3"/>
  <c r="C184" i="3"/>
  <c r="B184" i="3"/>
  <c r="A184" i="3"/>
  <c r="F183" i="3"/>
  <c r="E183" i="3"/>
  <c r="D183" i="3"/>
  <c r="C183" i="3"/>
  <c r="B183" i="3"/>
  <c r="A183" i="3"/>
  <c r="F182" i="3"/>
  <c r="E182" i="3"/>
  <c r="D182" i="3"/>
  <c r="C182" i="3"/>
  <c r="B182" i="3"/>
  <c r="A182" i="3"/>
  <c r="F181" i="3"/>
  <c r="E181" i="3"/>
  <c r="D181" i="3"/>
  <c r="C181" i="3"/>
  <c r="B181" i="3"/>
  <c r="A181" i="3"/>
  <c r="F180" i="3"/>
  <c r="E180" i="3"/>
  <c r="D180" i="3"/>
  <c r="C180" i="3"/>
  <c r="B180" i="3"/>
  <c r="A180" i="3"/>
  <c r="F179" i="3"/>
  <c r="E179" i="3"/>
  <c r="D179" i="3"/>
  <c r="C179" i="3"/>
  <c r="B179" i="3"/>
  <c r="A179" i="3"/>
  <c r="F178" i="3"/>
  <c r="E178" i="3"/>
  <c r="D178" i="3"/>
  <c r="C178" i="3"/>
  <c r="B178" i="3"/>
  <c r="A178" i="3"/>
  <c r="F177" i="3"/>
  <c r="E177" i="3"/>
  <c r="D177" i="3"/>
  <c r="C177" i="3"/>
  <c r="B177" i="3"/>
  <c r="A177" i="3"/>
  <c r="F176" i="3"/>
  <c r="E176" i="3"/>
  <c r="D176" i="3"/>
  <c r="C176" i="3"/>
  <c r="B176" i="3"/>
  <c r="A176" i="3"/>
  <c r="F175" i="3"/>
  <c r="E175" i="3"/>
  <c r="D175" i="3"/>
  <c r="C175" i="3"/>
  <c r="B175" i="3"/>
  <c r="A175" i="3"/>
  <c r="F174" i="3"/>
  <c r="E174" i="3"/>
  <c r="D174" i="3"/>
  <c r="C174" i="3"/>
  <c r="B174" i="3"/>
  <c r="A174" i="3"/>
  <c r="F173" i="3"/>
  <c r="E173" i="3"/>
  <c r="D173" i="3"/>
  <c r="C173" i="3"/>
  <c r="B173" i="3"/>
  <c r="A173" i="3"/>
  <c r="F172" i="3"/>
  <c r="E172" i="3"/>
  <c r="D172" i="3"/>
  <c r="C172" i="3"/>
  <c r="B172" i="3"/>
  <c r="A172" i="3"/>
  <c r="F171" i="3"/>
  <c r="E171" i="3"/>
  <c r="D171" i="3"/>
  <c r="C171" i="3"/>
  <c r="B171" i="3"/>
  <c r="A171" i="3"/>
  <c r="F170" i="3"/>
  <c r="E170" i="3"/>
  <c r="D170" i="3"/>
  <c r="C170" i="3"/>
  <c r="B170" i="3"/>
  <c r="A170" i="3"/>
  <c r="F169" i="3"/>
  <c r="E169" i="3"/>
  <c r="D169" i="3"/>
  <c r="C169" i="3"/>
  <c r="B169" i="3"/>
  <c r="A169" i="3"/>
  <c r="F168" i="3"/>
  <c r="E168" i="3"/>
  <c r="D168" i="3"/>
  <c r="C168" i="3"/>
  <c r="B168" i="3"/>
  <c r="A168" i="3"/>
  <c r="F167" i="3"/>
  <c r="E167" i="3"/>
  <c r="D167" i="3"/>
  <c r="C167" i="3"/>
  <c r="B167" i="3"/>
  <c r="A167" i="3"/>
  <c r="F166" i="3"/>
  <c r="E166" i="3"/>
  <c r="D166" i="3"/>
  <c r="C166" i="3"/>
  <c r="B166" i="3"/>
  <c r="A166" i="3"/>
  <c r="F165" i="3"/>
  <c r="E165" i="3"/>
  <c r="D165" i="3"/>
  <c r="C165" i="3"/>
  <c r="B165" i="3"/>
  <c r="A165" i="3"/>
  <c r="F164" i="3"/>
  <c r="E164" i="3"/>
  <c r="D164" i="3"/>
  <c r="C164" i="3"/>
  <c r="B164" i="3"/>
  <c r="A164" i="3"/>
  <c r="F163" i="3"/>
  <c r="E163" i="3"/>
  <c r="D163" i="3"/>
  <c r="C163" i="3"/>
  <c r="B163" i="3"/>
  <c r="A163" i="3"/>
  <c r="F162" i="3"/>
  <c r="E162" i="3"/>
  <c r="D162" i="3"/>
  <c r="C162" i="3"/>
  <c r="B162" i="3"/>
  <c r="A162" i="3"/>
  <c r="F161" i="3"/>
  <c r="E161" i="3"/>
  <c r="D161" i="3"/>
  <c r="C161" i="3"/>
  <c r="B161" i="3"/>
  <c r="A161" i="3"/>
  <c r="F160" i="3"/>
  <c r="E160" i="3"/>
  <c r="D160" i="3"/>
  <c r="C160" i="3"/>
  <c r="B160" i="3"/>
  <c r="A160" i="3"/>
  <c r="F159" i="3"/>
  <c r="E159" i="3"/>
  <c r="D159" i="3"/>
  <c r="C159" i="3"/>
  <c r="B159" i="3"/>
  <c r="A159" i="3"/>
  <c r="F158" i="3"/>
  <c r="E158" i="3"/>
  <c r="D158" i="3"/>
  <c r="C158" i="3"/>
  <c r="B158" i="3"/>
  <c r="A158" i="3"/>
  <c r="F157" i="3"/>
  <c r="E157" i="3"/>
  <c r="D157" i="3"/>
  <c r="C157" i="3"/>
  <c r="B157" i="3"/>
  <c r="A157" i="3"/>
  <c r="F156" i="3"/>
  <c r="E156" i="3"/>
  <c r="D156" i="3"/>
  <c r="C156" i="3"/>
  <c r="B156" i="3"/>
  <c r="A156" i="3"/>
  <c r="F155" i="3"/>
  <c r="E155" i="3"/>
  <c r="D155" i="3"/>
  <c r="C155" i="3"/>
  <c r="B155" i="3"/>
  <c r="A155" i="3"/>
  <c r="F154" i="3"/>
  <c r="E154" i="3"/>
  <c r="D154" i="3"/>
  <c r="C154" i="3"/>
  <c r="B154" i="3"/>
  <c r="A154" i="3"/>
  <c r="F153" i="3"/>
  <c r="E153" i="3"/>
  <c r="D153" i="3"/>
  <c r="C153" i="3"/>
  <c r="B153" i="3"/>
  <c r="A153" i="3"/>
  <c r="F152" i="3"/>
  <c r="E152" i="3"/>
  <c r="D152" i="3"/>
  <c r="C152" i="3"/>
  <c r="B152" i="3"/>
  <c r="A152" i="3"/>
  <c r="F151" i="3"/>
  <c r="E151" i="3"/>
  <c r="D151" i="3"/>
  <c r="C151" i="3"/>
  <c r="B151" i="3"/>
  <c r="A151" i="3"/>
  <c r="F150" i="3"/>
  <c r="E150" i="3"/>
  <c r="D150" i="3"/>
  <c r="C150" i="3"/>
  <c r="B150" i="3"/>
  <c r="A150" i="3"/>
  <c r="F149" i="3"/>
  <c r="E149" i="3"/>
  <c r="D149" i="3"/>
  <c r="C149" i="3"/>
  <c r="B149" i="3"/>
  <c r="A149" i="3"/>
  <c r="F148" i="3"/>
  <c r="E148" i="3"/>
  <c r="D148" i="3"/>
  <c r="C148" i="3"/>
  <c r="B148" i="3"/>
  <c r="A148" i="3"/>
  <c r="F147" i="3"/>
  <c r="E147" i="3"/>
  <c r="D147" i="3"/>
  <c r="C147" i="3"/>
  <c r="B147" i="3"/>
  <c r="A147" i="3"/>
  <c r="F146" i="3"/>
  <c r="E146" i="3"/>
  <c r="D146" i="3"/>
  <c r="C146" i="3"/>
  <c r="B146" i="3"/>
  <c r="A146" i="3"/>
  <c r="F145" i="3"/>
  <c r="E145" i="3"/>
  <c r="D145" i="3"/>
  <c r="C145" i="3"/>
  <c r="B145" i="3"/>
  <c r="A145" i="3"/>
  <c r="F144" i="3"/>
  <c r="E144" i="3"/>
  <c r="D144" i="3"/>
  <c r="C144" i="3"/>
  <c r="B144" i="3"/>
  <c r="A144" i="3"/>
  <c r="F143" i="3"/>
  <c r="E143" i="3"/>
  <c r="D143" i="3"/>
  <c r="C143" i="3"/>
  <c r="B143" i="3"/>
  <c r="A143" i="3"/>
  <c r="F142" i="3"/>
  <c r="E142" i="3"/>
  <c r="D142" i="3"/>
  <c r="C142" i="3"/>
  <c r="B142" i="3"/>
  <c r="A142" i="3"/>
  <c r="F141" i="3"/>
  <c r="E141" i="3"/>
  <c r="D141" i="3"/>
  <c r="C141" i="3"/>
  <c r="B141" i="3"/>
  <c r="A141" i="3"/>
  <c r="F140" i="3"/>
  <c r="E140" i="3"/>
  <c r="D140" i="3"/>
  <c r="C140" i="3"/>
  <c r="B140" i="3"/>
  <c r="A140" i="3"/>
  <c r="F139" i="3"/>
  <c r="E139" i="3"/>
  <c r="D139" i="3"/>
  <c r="C139" i="3"/>
  <c r="B139" i="3"/>
  <c r="A139" i="3"/>
  <c r="F138" i="3"/>
  <c r="E138" i="3"/>
  <c r="D138" i="3"/>
  <c r="C138" i="3"/>
  <c r="B138" i="3"/>
  <c r="A138" i="3"/>
  <c r="F137" i="3"/>
  <c r="E137" i="3"/>
  <c r="D137" i="3"/>
  <c r="C137" i="3"/>
  <c r="B137" i="3"/>
  <c r="A137" i="3"/>
  <c r="F136" i="3"/>
  <c r="E136" i="3"/>
  <c r="D136" i="3"/>
  <c r="C136" i="3"/>
  <c r="B136" i="3"/>
  <c r="A136" i="3"/>
  <c r="F135" i="3"/>
  <c r="E135" i="3"/>
  <c r="D135" i="3"/>
  <c r="C135" i="3"/>
  <c r="B135" i="3"/>
  <c r="A135" i="3"/>
  <c r="F134" i="3"/>
  <c r="E134" i="3"/>
  <c r="D134" i="3"/>
  <c r="C134" i="3"/>
  <c r="B134" i="3"/>
  <c r="A134" i="3"/>
  <c r="F133" i="3"/>
  <c r="E133" i="3"/>
  <c r="D133" i="3"/>
  <c r="C133" i="3"/>
  <c r="B133" i="3"/>
  <c r="A133" i="3"/>
  <c r="F132" i="3"/>
  <c r="E132" i="3"/>
  <c r="D132" i="3"/>
  <c r="C132" i="3"/>
  <c r="B132" i="3"/>
  <c r="A132" i="3"/>
  <c r="F131" i="3"/>
  <c r="E131" i="3"/>
  <c r="D131" i="3"/>
  <c r="C131" i="3"/>
  <c r="B131" i="3"/>
  <c r="A131" i="3"/>
  <c r="F130" i="3"/>
  <c r="E130" i="3"/>
  <c r="D130" i="3"/>
  <c r="C130" i="3"/>
  <c r="B130" i="3"/>
  <c r="A130" i="3"/>
  <c r="F129" i="3"/>
  <c r="E129" i="3"/>
  <c r="D129" i="3"/>
  <c r="C129" i="3"/>
  <c r="B129" i="3"/>
  <c r="A129" i="3"/>
  <c r="F128" i="3"/>
  <c r="E128" i="3"/>
  <c r="D128" i="3"/>
  <c r="C128" i="3"/>
  <c r="B128" i="3"/>
  <c r="A128" i="3"/>
  <c r="F127" i="3"/>
  <c r="E127" i="3"/>
  <c r="D127" i="3"/>
  <c r="C127" i="3"/>
  <c r="B127" i="3"/>
  <c r="A127" i="3"/>
  <c r="F126" i="3"/>
  <c r="E126" i="3"/>
  <c r="D126" i="3"/>
  <c r="C126" i="3"/>
  <c r="B126" i="3"/>
  <c r="A126" i="3"/>
  <c r="F125" i="3"/>
  <c r="E125" i="3"/>
  <c r="D125" i="3"/>
  <c r="C125" i="3"/>
  <c r="B125" i="3"/>
  <c r="A125" i="3"/>
  <c r="F124" i="3"/>
  <c r="E124" i="3"/>
  <c r="D124" i="3"/>
  <c r="C124" i="3"/>
  <c r="B124" i="3"/>
  <c r="A124" i="3"/>
  <c r="F123" i="3"/>
  <c r="E123" i="3"/>
  <c r="D123" i="3"/>
  <c r="C123" i="3"/>
  <c r="B123" i="3"/>
  <c r="A123" i="3"/>
  <c r="F122" i="3"/>
  <c r="E122" i="3"/>
  <c r="D122" i="3"/>
  <c r="C122" i="3"/>
  <c r="B122" i="3"/>
  <c r="A122" i="3"/>
  <c r="F121" i="3"/>
  <c r="E121" i="3"/>
  <c r="D121" i="3"/>
  <c r="C121" i="3"/>
  <c r="B121" i="3"/>
  <c r="A121" i="3"/>
  <c r="F120" i="3"/>
  <c r="E120" i="3"/>
  <c r="D120" i="3"/>
  <c r="C120" i="3"/>
  <c r="B120" i="3"/>
  <c r="A120" i="3"/>
  <c r="F119" i="3"/>
  <c r="E119" i="3"/>
  <c r="D119" i="3"/>
  <c r="C119" i="3"/>
  <c r="B119" i="3"/>
  <c r="A119" i="3"/>
  <c r="F118" i="3"/>
  <c r="E118" i="3"/>
  <c r="D118" i="3"/>
  <c r="C118" i="3"/>
  <c r="B118" i="3"/>
  <c r="A118" i="3"/>
  <c r="F117" i="3"/>
  <c r="E117" i="3"/>
  <c r="D117" i="3"/>
  <c r="C117" i="3"/>
  <c r="B117" i="3"/>
  <c r="A117" i="3"/>
  <c r="F116" i="3"/>
  <c r="E116" i="3"/>
  <c r="D116" i="3"/>
  <c r="C116" i="3"/>
  <c r="B116" i="3"/>
  <c r="A116" i="3"/>
  <c r="F115" i="3"/>
  <c r="E115" i="3"/>
  <c r="D115" i="3"/>
  <c r="C115" i="3"/>
  <c r="B115" i="3"/>
  <c r="A115" i="3"/>
  <c r="F114" i="3"/>
  <c r="E114" i="3"/>
  <c r="D114" i="3"/>
  <c r="C114" i="3"/>
  <c r="B114" i="3"/>
  <c r="A114" i="3"/>
  <c r="F113" i="3"/>
  <c r="E113" i="3"/>
  <c r="D113" i="3"/>
  <c r="C113" i="3"/>
  <c r="B113" i="3"/>
  <c r="A113" i="3"/>
  <c r="F112" i="3"/>
  <c r="E112" i="3"/>
  <c r="D112" i="3"/>
  <c r="C112" i="3"/>
  <c r="B112" i="3"/>
  <c r="A112" i="3"/>
  <c r="F111" i="3"/>
  <c r="E111" i="3"/>
  <c r="D111" i="3"/>
  <c r="C111" i="3"/>
  <c r="B111" i="3"/>
  <c r="A111" i="3"/>
  <c r="F110" i="3"/>
  <c r="E110" i="3"/>
  <c r="D110" i="3"/>
  <c r="C110" i="3"/>
  <c r="B110" i="3"/>
  <c r="A110" i="3"/>
  <c r="F109" i="3"/>
  <c r="E109" i="3"/>
  <c r="D109" i="3"/>
  <c r="C109" i="3"/>
  <c r="B109" i="3"/>
  <c r="A109" i="3"/>
  <c r="F108" i="3"/>
  <c r="E108" i="3"/>
  <c r="D108" i="3"/>
  <c r="C108" i="3"/>
  <c r="B108" i="3"/>
  <c r="A108" i="3"/>
  <c r="F107" i="3"/>
  <c r="E107" i="3"/>
  <c r="D107" i="3"/>
  <c r="C107" i="3"/>
  <c r="B107" i="3"/>
  <c r="A107" i="3"/>
  <c r="F106" i="3"/>
  <c r="E106" i="3"/>
  <c r="D106" i="3"/>
  <c r="C106" i="3"/>
  <c r="B106" i="3"/>
  <c r="A106" i="3"/>
  <c r="F105" i="3"/>
  <c r="E105" i="3"/>
  <c r="D105" i="3"/>
  <c r="C105" i="3"/>
  <c r="B105" i="3"/>
  <c r="A105" i="3"/>
  <c r="F104" i="3"/>
  <c r="E104" i="3"/>
  <c r="D104" i="3"/>
  <c r="C104" i="3"/>
  <c r="B104" i="3"/>
  <c r="A104" i="3"/>
  <c r="F103" i="3"/>
  <c r="E103" i="3"/>
  <c r="D103" i="3"/>
  <c r="C103" i="3"/>
  <c r="B103" i="3"/>
  <c r="A103" i="3"/>
  <c r="F102" i="3"/>
  <c r="E102" i="3"/>
  <c r="D102" i="3"/>
  <c r="C102" i="3"/>
  <c r="B102" i="3"/>
  <c r="A102" i="3"/>
  <c r="F101" i="3"/>
  <c r="E101" i="3"/>
  <c r="D101" i="3"/>
  <c r="C101" i="3"/>
  <c r="B101" i="3"/>
  <c r="A101" i="3"/>
  <c r="F100" i="3"/>
  <c r="E100" i="3"/>
  <c r="D100" i="3"/>
  <c r="C100" i="3"/>
  <c r="B100" i="3"/>
  <c r="A100" i="3"/>
  <c r="F99" i="3"/>
  <c r="E99" i="3"/>
  <c r="D99" i="3"/>
  <c r="C99" i="3"/>
  <c r="B99" i="3"/>
  <c r="A99" i="3"/>
  <c r="F98" i="3"/>
  <c r="E98" i="3"/>
  <c r="D98" i="3"/>
  <c r="C98" i="3"/>
  <c r="B98" i="3"/>
  <c r="A98" i="3"/>
  <c r="F97" i="3"/>
  <c r="E97" i="3"/>
  <c r="D97" i="3"/>
  <c r="C97" i="3"/>
  <c r="B97" i="3"/>
  <c r="A97" i="3"/>
  <c r="F96" i="3"/>
  <c r="E96" i="3"/>
  <c r="D96" i="3"/>
  <c r="C96" i="3"/>
  <c r="B96" i="3"/>
  <c r="A96" i="3"/>
  <c r="F95" i="3"/>
  <c r="E95" i="3"/>
  <c r="D95" i="3"/>
  <c r="C95" i="3"/>
  <c r="B95" i="3"/>
  <c r="A95" i="3"/>
  <c r="F94" i="3"/>
  <c r="E94" i="3"/>
  <c r="D94" i="3"/>
  <c r="C94" i="3"/>
  <c r="B94" i="3"/>
  <c r="A94" i="3"/>
  <c r="F93" i="3"/>
  <c r="E93" i="3"/>
  <c r="D93" i="3"/>
  <c r="C93" i="3"/>
  <c r="B93" i="3"/>
  <c r="A93" i="3"/>
  <c r="F92" i="3"/>
  <c r="E92" i="3"/>
  <c r="D92" i="3"/>
  <c r="C92" i="3"/>
  <c r="B92" i="3"/>
  <c r="A92" i="3"/>
  <c r="F91" i="3"/>
  <c r="E91" i="3"/>
  <c r="D91" i="3"/>
  <c r="C91" i="3"/>
  <c r="B91" i="3"/>
  <c r="A91" i="3"/>
  <c r="F90" i="3"/>
  <c r="E90" i="3"/>
  <c r="D90" i="3"/>
  <c r="C90" i="3"/>
  <c r="B90" i="3"/>
  <c r="A90" i="3"/>
  <c r="F89" i="3"/>
  <c r="E89" i="3"/>
  <c r="D89" i="3"/>
  <c r="C89" i="3"/>
  <c r="B89" i="3"/>
  <c r="A89" i="3"/>
  <c r="F88" i="3"/>
  <c r="E88" i="3"/>
  <c r="D88" i="3"/>
  <c r="C88" i="3"/>
  <c r="B88" i="3"/>
  <c r="A88" i="3"/>
  <c r="F87" i="3"/>
  <c r="E87" i="3"/>
  <c r="D87" i="3"/>
  <c r="C87" i="3"/>
  <c r="B87" i="3"/>
  <c r="A87" i="3"/>
  <c r="F86" i="3"/>
  <c r="E86" i="3"/>
  <c r="D86" i="3"/>
  <c r="C86" i="3"/>
  <c r="B86" i="3"/>
  <c r="A86" i="3"/>
  <c r="F85" i="3"/>
  <c r="E85" i="3"/>
  <c r="D85" i="3"/>
  <c r="C85" i="3"/>
  <c r="B85" i="3"/>
  <c r="A85" i="3"/>
  <c r="F84" i="3"/>
  <c r="E84" i="3"/>
  <c r="D84" i="3"/>
  <c r="C84" i="3"/>
  <c r="B84" i="3"/>
  <c r="A84" i="3"/>
  <c r="F83" i="3"/>
  <c r="E83" i="3"/>
  <c r="D83" i="3"/>
  <c r="C83" i="3"/>
  <c r="B83" i="3"/>
  <c r="A83" i="3"/>
  <c r="F82" i="3"/>
  <c r="E82" i="3"/>
  <c r="D82" i="3"/>
  <c r="C82" i="3"/>
  <c r="B82" i="3"/>
  <c r="A82" i="3"/>
  <c r="F81" i="3"/>
  <c r="E81" i="3"/>
  <c r="D81" i="3"/>
  <c r="C81" i="3"/>
  <c r="B81" i="3"/>
  <c r="A81" i="3"/>
  <c r="F80" i="3"/>
  <c r="E80" i="3"/>
  <c r="D80" i="3"/>
  <c r="C80" i="3"/>
  <c r="B80" i="3"/>
  <c r="A80" i="3"/>
  <c r="F79" i="3"/>
  <c r="E79" i="3"/>
  <c r="D79" i="3"/>
  <c r="C79" i="3"/>
  <c r="B79" i="3"/>
  <c r="A79" i="3"/>
  <c r="F78" i="3"/>
  <c r="E78" i="3"/>
  <c r="D78" i="3"/>
  <c r="C78" i="3"/>
  <c r="B78" i="3"/>
  <c r="A78" i="3"/>
  <c r="F77" i="3"/>
  <c r="E77" i="3"/>
  <c r="D77" i="3"/>
  <c r="C77" i="3"/>
  <c r="B77" i="3"/>
  <c r="A77" i="3"/>
  <c r="F76" i="3"/>
  <c r="E76" i="3"/>
  <c r="D76" i="3"/>
  <c r="C76" i="3"/>
  <c r="B76" i="3"/>
  <c r="A76" i="3"/>
  <c r="F75" i="3"/>
  <c r="E75" i="3"/>
  <c r="D75" i="3"/>
  <c r="C75" i="3"/>
  <c r="B75" i="3"/>
  <c r="A75" i="3"/>
  <c r="F74" i="3"/>
  <c r="E74" i="3"/>
  <c r="D74" i="3"/>
  <c r="C74" i="3"/>
  <c r="B74" i="3"/>
  <c r="A74" i="3"/>
  <c r="F73" i="3"/>
  <c r="E73" i="3"/>
  <c r="D73" i="3"/>
  <c r="C73" i="3"/>
  <c r="B73" i="3"/>
  <c r="A73" i="3"/>
  <c r="F72" i="3"/>
  <c r="E72" i="3"/>
  <c r="D72" i="3"/>
  <c r="C72" i="3"/>
  <c r="B72" i="3"/>
  <c r="A72" i="3"/>
  <c r="F71" i="3"/>
  <c r="E71" i="3"/>
  <c r="D71" i="3"/>
  <c r="C71" i="3"/>
  <c r="B71" i="3"/>
  <c r="A71" i="3"/>
  <c r="F70" i="3"/>
  <c r="E70" i="3"/>
  <c r="D70" i="3"/>
  <c r="C70" i="3"/>
  <c r="B70" i="3"/>
  <c r="A70" i="3"/>
  <c r="F69" i="3"/>
  <c r="E69" i="3"/>
  <c r="D69" i="3"/>
  <c r="C69" i="3"/>
  <c r="B69" i="3"/>
  <c r="A69" i="3"/>
  <c r="F68" i="3"/>
  <c r="E68" i="3"/>
  <c r="D68" i="3"/>
  <c r="C68" i="3"/>
  <c r="B68" i="3"/>
  <c r="A68" i="3"/>
  <c r="F67" i="3"/>
  <c r="E67" i="3"/>
  <c r="D67" i="3"/>
  <c r="C67" i="3"/>
  <c r="B67" i="3"/>
  <c r="A67" i="3"/>
  <c r="F66" i="3"/>
  <c r="E66" i="3"/>
  <c r="D66" i="3"/>
  <c r="C66" i="3"/>
  <c r="B66" i="3"/>
  <c r="A66" i="3"/>
  <c r="F65" i="3"/>
  <c r="E65" i="3"/>
  <c r="D65" i="3"/>
  <c r="C65" i="3"/>
  <c r="B65" i="3"/>
  <c r="A65" i="3"/>
  <c r="F64" i="3"/>
  <c r="E64" i="3"/>
  <c r="D64" i="3"/>
  <c r="C64" i="3"/>
  <c r="B64" i="3"/>
  <c r="A64" i="3"/>
  <c r="F63" i="3"/>
  <c r="E63" i="3"/>
  <c r="D63" i="3"/>
  <c r="C63" i="3"/>
  <c r="B63" i="3"/>
  <c r="A63" i="3"/>
  <c r="F62" i="3"/>
  <c r="E62" i="3"/>
  <c r="D62" i="3"/>
  <c r="C62" i="3"/>
  <c r="B62" i="3"/>
  <c r="A62" i="3"/>
  <c r="F61" i="3"/>
  <c r="E61" i="3"/>
  <c r="D61" i="3"/>
  <c r="C61" i="3"/>
  <c r="B61" i="3"/>
  <c r="A61" i="3"/>
  <c r="F60" i="3"/>
  <c r="E60" i="3"/>
  <c r="D60" i="3"/>
  <c r="C60" i="3"/>
  <c r="B60" i="3"/>
  <c r="A60" i="3"/>
  <c r="F59" i="3"/>
  <c r="E59" i="3"/>
  <c r="D59" i="3"/>
  <c r="C59" i="3"/>
  <c r="B59" i="3"/>
  <c r="A59" i="3"/>
  <c r="F58" i="3"/>
  <c r="E58" i="3"/>
  <c r="D58" i="3"/>
  <c r="C58" i="3"/>
  <c r="B58" i="3"/>
  <c r="A58" i="3"/>
  <c r="F57" i="3"/>
  <c r="E57" i="3"/>
  <c r="D57" i="3"/>
  <c r="C57" i="3"/>
  <c r="B57" i="3"/>
  <c r="A57" i="3"/>
  <c r="F56" i="3"/>
  <c r="E56" i="3"/>
  <c r="D56" i="3"/>
  <c r="C56" i="3"/>
  <c r="B56" i="3"/>
  <c r="A56" i="3"/>
  <c r="F55" i="3"/>
  <c r="E55" i="3"/>
  <c r="D55" i="3"/>
  <c r="C55" i="3"/>
  <c r="B55" i="3"/>
  <c r="A55" i="3"/>
  <c r="F54" i="3"/>
  <c r="E54" i="3"/>
  <c r="D54" i="3"/>
  <c r="C54" i="3"/>
  <c r="B54" i="3"/>
  <c r="A54" i="3"/>
  <c r="F53" i="3"/>
  <c r="E53" i="3"/>
  <c r="D53" i="3"/>
  <c r="C53" i="3"/>
  <c r="B53" i="3"/>
  <c r="A53" i="3"/>
  <c r="F52" i="3"/>
  <c r="E52" i="3"/>
  <c r="D52" i="3"/>
  <c r="C52" i="3"/>
  <c r="B52" i="3"/>
  <c r="A52" i="3"/>
  <c r="F51" i="3"/>
  <c r="E51" i="3"/>
  <c r="D51" i="3"/>
  <c r="C51" i="3"/>
  <c r="B51" i="3"/>
  <c r="A51" i="3"/>
  <c r="F50" i="3"/>
  <c r="E50" i="3"/>
  <c r="D50" i="3"/>
  <c r="C50" i="3"/>
  <c r="B50" i="3"/>
  <c r="A50" i="3"/>
  <c r="F49" i="3"/>
  <c r="E49" i="3"/>
  <c r="D49" i="3"/>
  <c r="C49" i="3"/>
  <c r="B49" i="3"/>
  <c r="A49" i="3"/>
  <c r="F48" i="3"/>
  <c r="E48" i="3"/>
  <c r="D48" i="3"/>
  <c r="C48" i="3"/>
  <c r="B48" i="3"/>
  <c r="A48" i="3"/>
  <c r="F47" i="3"/>
  <c r="E47" i="3"/>
  <c r="D47" i="3"/>
  <c r="C47" i="3"/>
  <c r="B47" i="3"/>
  <c r="A47" i="3"/>
  <c r="F46" i="3"/>
  <c r="E46" i="3"/>
  <c r="D46" i="3"/>
  <c r="C46" i="3"/>
  <c r="B46" i="3"/>
  <c r="A46" i="3"/>
  <c r="F45" i="3"/>
  <c r="E45" i="3"/>
  <c r="D45" i="3"/>
  <c r="C45" i="3"/>
  <c r="B45" i="3"/>
  <c r="A45" i="3"/>
  <c r="F44" i="3"/>
  <c r="E44" i="3"/>
  <c r="D44" i="3"/>
  <c r="C44" i="3"/>
  <c r="B44" i="3"/>
  <c r="A44" i="3"/>
  <c r="F43" i="3"/>
  <c r="E43" i="3"/>
  <c r="D43" i="3"/>
  <c r="C43" i="3"/>
  <c r="B43" i="3"/>
  <c r="A43" i="3"/>
  <c r="F42" i="3"/>
  <c r="E42" i="3"/>
  <c r="D42" i="3"/>
  <c r="C42" i="3"/>
  <c r="B42" i="3"/>
  <c r="A42" i="3"/>
  <c r="F41" i="3"/>
  <c r="E41" i="3"/>
  <c r="D41" i="3"/>
  <c r="C41" i="3"/>
  <c r="B41" i="3"/>
  <c r="A41" i="3"/>
  <c r="F40" i="3"/>
  <c r="E40" i="3"/>
  <c r="D40" i="3"/>
  <c r="C40" i="3"/>
  <c r="B40" i="3"/>
  <c r="A40" i="3"/>
  <c r="F39" i="3"/>
  <c r="E39" i="3"/>
  <c r="D39" i="3"/>
  <c r="C39" i="3"/>
  <c r="B39" i="3"/>
  <c r="A39" i="3"/>
  <c r="F38" i="3"/>
  <c r="E38" i="3"/>
  <c r="D38" i="3"/>
  <c r="C38" i="3"/>
  <c r="B38" i="3"/>
  <c r="A38" i="3"/>
  <c r="F37" i="3"/>
  <c r="E37" i="3"/>
  <c r="D37" i="3"/>
  <c r="C37" i="3"/>
  <c r="B37" i="3"/>
  <c r="A37" i="3"/>
  <c r="F36" i="3"/>
  <c r="E36" i="3"/>
  <c r="D36" i="3"/>
  <c r="C36" i="3"/>
  <c r="B36" i="3"/>
  <c r="A36" i="3"/>
  <c r="F35" i="3"/>
  <c r="E35" i="3"/>
  <c r="D35" i="3"/>
  <c r="C35" i="3"/>
  <c r="B35" i="3"/>
  <c r="A35" i="3"/>
  <c r="F34" i="3"/>
  <c r="E34" i="3"/>
  <c r="D34" i="3"/>
  <c r="C34" i="3"/>
  <c r="B34" i="3"/>
  <c r="A34" i="3"/>
  <c r="F33" i="3"/>
  <c r="E33" i="3"/>
  <c r="D33" i="3"/>
  <c r="C33" i="3"/>
  <c r="B33" i="3"/>
  <c r="A33" i="3"/>
  <c r="F32" i="3"/>
  <c r="E32" i="3"/>
  <c r="D32" i="3"/>
  <c r="C32" i="3"/>
  <c r="B32" i="3"/>
  <c r="A32" i="3"/>
  <c r="F31" i="3"/>
  <c r="E31" i="3"/>
  <c r="D31" i="3"/>
  <c r="C31" i="3"/>
  <c r="B31" i="3"/>
  <c r="A31" i="3"/>
  <c r="F30" i="3"/>
  <c r="E30" i="3"/>
  <c r="D30" i="3"/>
  <c r="C30" i="3"/>
  <c r="B30" i="3"/>
  <c r="A30" i="3"/>
  <c r="F29" i="3"/>
  <c r="E29" i="3"/>
  <c r="D29" i="3"/>
  <c r="C29" i="3"/>
  <c r="B29" i="3"/>
  <c r="A29" i="3"/>
  <c r="F28" i="3"/>
  <c r="E28" i="3"/>
  <c r="D28" i="3"/>
  <c r="C28" i="3"/>
  <c r="B28" i="3"/>
  <c r="A28" i="3"/>
  <c r="F27" i="3"/>
  <c r="E27" i="3"/>
  <c r="D27" i="3"/>
  <c r="C27" i="3"/>
  <c r="B27" i="3"/>
  <c r="A27" i="3"/>
  <c r="F26" i="3"/>
  <c r="E26" i="3"/>
  <c r="D26" i="3"/>
  <c r="C26" i="3"/>
  <c r="B26" i="3"/>
  <c r="A26" i="3"/>
  <c r="F25" i="3"/>
  <c r="E25" i="3"/>
  <c r="D25" i="3"/>
  <c r="C25" i="3"/>
  <c r="B25" i="3"/>
  <c r="A25" i="3"/>
  <c r="F24" i="3"/>
  <c r="E24" i="3"/>
  <c r="D24" i="3"/>
  <c r="C24" i="3"/>
  <c r="B24" i="3"/>
  <c r="A24" i="3"/>
  <c r="F23" i="3"/>
  <c r="E23" i="3"/>
  <c r="D23" i="3"/>
  <c r="C23" i="3"/>
  <c r="B23" i="3"/>
  <c r="A23" i="3"/>
  <c r="F22" i="3"/>
  <c r="E22" i="3"/>
  <c r="D22" i="3"/>
  <c r="C22" i="3"/>
  <c r="B22" i="3"/>
  <c r="A22" i="3"/>
  <c r="F21" i="3"/>
  <c r="E21" i="3"/>
  <c r="D21" i="3"/>
  <c r="C21" i="3"/>
  <c r="B21" i="3"/>
  <c r="A21" i="3"/>
  <c r="F20" i="3"/>
  <c r="E20" i="3"/>
  <c r="D20" i="3"/>
  <c r="C20" i="3"/>
  <c r="B20" i="3"/>
  <c r="A20" i="3"/>
  <c r="F19" i="3"/>
  <c r="E19" i="3"/>
  <c r="D19" i="3"/>
  <c r="C19" i="3"/>
  <c r="B19" i="3"/>
  <c r="A19" i="3"/>
  <c r="F18" i="3"/>
  <c r="E18" i="3"/>
  <c r="D18" i="3"/>
  <c r="C18" i="3"/>
  <c r="B18" i="3"/>
  <c r="A18" i="3"/>
  <c r="F17" i="3"/>
  <c r="E17" i="3"/>
  <c r="D17" i="3"/>
  <c r="C17" i="3"/>
  <c r="B17" i="3"/>
  <c r="A17" i="3"/>
  <c r="F16" i="3"/>
  <c r="E16" i="3"/>
  <c r="D16" i="3"/>
  <c r="C16" i="3"/>
  <c r="B16" i="3"/>
  <c r="A16" i="3"/>
  <c r="F15" i="3"/>
  <c r="E15" i="3"/>
  <c r="D15" i="3"/>
  <c r="C15" i="3"/>
  <c r="B15" i="3"/>
  <c r="A15" i="3"/>
  <c r="F14" i="3"/>
  <c r="E14" i="3"/>
  <c r="D14" i="3"/>
  <c r="C14" i="3"/>
  <c r="B14" i="3"/>
  <c r="A14" i="3"/>
  <c r="F13" i="3"/>
  <c r="E13" i="3"/>
  <c r="D13" i="3"/>
  <c r="C13" i="3"/>
  <c r="B13" i="3"/>
  <c r="A13" i="3"/>
  <c r="F12" i="3"/>
  <c r="E12" i="3"/>
  <c r="D12" i="3"/>
  <c r="C12" i="3"/>
  <c r="B12" i="3"/>
  <c r="A12" i="3"/>
  <c r="F11" i="3"/>
  <c r="E11" i="3"/>
  <c r="D11" i="3"/>
  <c r="C11" i="3"/>
  <c r="B11" i="3"/>
  <c r="A11" i="3"/>
  <c r="F10" i="3"/>
  <c r="E10" i="3"/>
  <c r="D10" i="3"/>
  <c r="C10" i="3"/>
  <c r="B10" i="3"/>
  <c r="A10" i="3"/>
  <c r="F9" i="3"/>
  <c r="E9" i="3"/>
  <c r="D9" i="3"/>
  <c r="C9" i="3"/>
  <c r="B9" i="3"/>
  <c r="A9" i="3"/>
  <c r="F8" i="3"/>
  <c r="E8" i="3"/>
  <c r="D8" i="3"/>
  <c r="C8" i="3"/>
  <c r="B8" i="3"/>
  <c r="A8" i="3"/>
  <c r="F7" i="3"/>
  <c r="E7" i="3"/>
  <c r="D7" i="3"/>
  <c r="C7" i="3"/>
  <c r="B7" i="3"/>
  <c r="A7" i="3"/>
  <c r="F6" i="3"/>
  <c r="E6" i="3"/>
  <c r="D6" i="3"/>
  <c r="C6" i="3"/>
  <c r="B6" i="3"/>
  <c r="A6" i="3"/>
  <c r="F5" i="3"/>
  <c r="E5" i="3"/>
  <c r="D5" i="3"/>
  <c r="C5" i="3"/>
  <c r="B5" i="3"/>
  <c r="A5" i="3"/>
  <c r="F4" i="3"/>
  <c r="E4" i="3"/>
  <c r="D4" i="3"/>
  <c r="C4" i="3"/>
  <c r="B4" i="3"/>
  <c r="A4" i="3"/>
  <c r="F3" i="3"/>
  <c r="E3" i="3"/>
  <c r="D3" i="3"/>
  <c r="C3" i="3"/>
  <c r="B3" i="3"/>
  <c r="A3" i="3"/>
  <c r="F2" i="3"/>
  <c r="E2" i="3"/>
  <c r="D2" i="3"/>
  <c r="C2" i="3"/>
  <c r="B2" i="3"/>
  <c r="A2" i="3"/>
  <c r="F1" i="3"/>
  <c r="E1" i="3"/>
  <c r="D1" i="3"/>
  <c r="C1" i="3"/>
  <c r="B1" i="3"/>
  <c r="A1" i="3"/>
  <c r="F2740" i="2"/>
  <c r="E2740" i="2"/>
  <c r="D2740" i="2"/>
  <c r="C2740" i="2"/>
  <c r="B2740" i="2"/>
  <c r="A2740" i="2"/>
  <c r="F2739" i="2"/>
  <c r="E2739" i="2"/>
  <c r="D2739" i="2"/>
  <c r="C2739" i="2"/>
  <c r="B2739" i="2"/>
  <c r="A2739" i="2"/>
  <c r="F2738" i="2"/>
  <c r="E2738" i="2"/>
  <c r="D2738" i="2"/>
  <c r="C2738" i="2"/>
  <c r="B2738" i="2"/>
  <c r="A2738" i="2"/>
  <c r="F2737" i="2"/>
  <c r="E2737" i="2"/>
  <c r="D2737" i="2"/>
  <c r="C2737" i="2"/>
  <c r="B2737" i="2"/>
  <c r="A2737" i="2"/>
  <c r="F2736" i="2"/>
  <c r="E2736" i="2"/>
  <c r="D2736" i="2"/>
  <c r="C2736" i="2"/>
  <c r="B2736" i="2"/>
  <c r="A2736" i="2"/>
  <c r="F2735" i="2"/>
  <c r="E2735" i="2"/>
  <c r="D2735" i="2"/>
  <c r="C2735" i="2"/>
  <c r="B2735" i="2"/>
  <c r="A2735" i="2"/>
  <c r="F2734" i="2"/>
  <c r="E2734" i="2"/>
  <c r="D2734" i="2"/>
  <c r="C2734" i="2"/>
  <c r="B2734" i="2"/>
  <c r="A2734" i="2"/>
  <c r="F2733" i="2"/>
  <c r="E2733" i="2"/>
  <c r="D2733" i="2"/>
  <c r="C2733" i="2"/>
  <c r="B2733" i="2"/>
  <c r="A2733" i="2"/>
  <c r="F2732" i="2"/>
  <c r="E2732" i="2"/>
  <c r="D2732" i="2"/>
  <c r="C2732" i="2"/>
  <c r="B2732" i="2"/>
  <c r="A2732" i="2"/>
  <c r="F2731" i="2"/>
  <c r="E2731" i="2"/>
  <c r="D2731" i="2"/>
  <c r="C2731" i="2"/>
  <c r="B2731" i="2"/>
  <c r="A2731" i="2"/>
  <c r="F2730" i="2"/>
  <c r="E2730" i="2"/>
  <c r="D2730" i="2"/>
  <c r="C2730" i="2"/>
  <c r="B2730" i="2"/>
  <c r="A2730" i="2"/>
  <c r="F2729" i="2"/>
  <c r="E2729" i="2"/>
  <c r="D2729" i="2"/>
  <c r="C2729" i="2"/>
  <c r="B2729" i="2"/>
  <c r="A2729" i="2"/>
  <c r="F2728" i="2"/>
  <c r="E2728" i="2"/>
  <c r="D2728" i="2"/>
  <c r="C2728" i="2"/>
  <c r="B2728" i="2"/>
  <c r="A2728" i="2"/>
  <c r="F2727" i="2"/>
  <c r="E2727" i="2"/>
  <c r="D2727" i="2"/>
  <c r="C2727" i="2"/>
  <c r="B2727" i="2"/>
  <c r="A2727" i="2"/>
  <c r="F2726" i="2"/>
  <c r="E2726" i="2"/>
  <c r="D2726" i="2"/>
  <c r="C2726" i="2"/>
  <c r="B2726" i="2"/>
  <c r="A2726" i="2"/>
  <c r="F2725" i="2"/>
  <c r="E2725" i="2"/>
  <c r="D2725" i="2"/>
  <c r="C2725" i="2"/>
  <c r="B2725" i="2"/>
  <c r="A2725" i="2"/>
  <c r="F2724" i="2"/>
  <c r="E2724" i="2"/>
  <c r="D2724" i="2"/>
  <c r="C2724" i="2"/>
  <c r="B2724" i="2"/>
  <c r="A2724" i="2"/>
  <c r="F2723" i="2"/>
  <c r="E2723" i="2"/>
  <c r="D2723" i="2"/>
  <c r="C2723" i="2"/>
  <c r="B2723" i="2"/>
  <c r="A2723" i="2"/>
  <c r="F2722" i="2"/>
  <c r="E2722" i="2"/>
  <c r="D2722" i="2"/>
  <c r="C2722" i="2"/>
  <c r="B2722" i="2"/>
  <c r="A2722" i="2"/>
  <c r="F2721" i="2"/>
  <c r="E2721" i="2"/>
  <c r="D2721" i="2"/>
  <c r="C2721" i="2"/>
  <c r="B2721" i="2"/>
  <c r="A2721" i="2"/>
  <c r="F2720" i="2"/>
  <c r="E2720" i="2"/>
  <c r="D2720" i="2"/>
  <c r="C2720" i="2"/>
  <c r="B2720" i="2"/>
  <c r="A2720" i="2"/>
  <c r="F2719" i="2"/>
  <c r="E2719" i="2"/>
  <c r="D2719" i="2"/>
  <c r="C2719" i="2"/>
  <c r="B2719" i="2"/>
  <c r="A2719" i="2"/>
  <c r="F2718" i="2"/>
  <c r="E2718" i="2"/>
  <c r="D2718" i="2"/>
  <c r="C2718" i="2"/>
  <c r="B2718" i="2"/>
  <c r="A2718" i="2"/>
  <c r="F2717" i="2"/>
  <c r="E2717" i="2"/>
  <c r="D2717" i="2"/>
  <c r="C2717" i="2"/>
  <c r="B2717" i="2"/>
  <c r="A2717" i="2"/>
  <c r="F2716" i="2"/>
  <c r="E2716" i="2"/>
  <c r="D2716" i="2"/>
  <c r="C2716" i="2"/>
  <c r="B2716" i="2"/>
  <c r="A2716" i="2"/>
  <c r="F2715" i="2"/>
  <c r="E2715" i="2"/>
  <c r="D2715" i="2"/>
  <c r="C2715" i="2"/>
  <c r="B2715" i="2"/>
  <c r="A2715" i="2"/>
  <c r="F2714" i="2"/>
  <c r="E2714" i="2"/>
  <c r="D2714" i="2"/>
  <c r="C2714" i="2"/>
  <c r="B2714" i="2"/>
  <c r="A2714" i="2"/>
  <c r="F2713" i="2"/>
  <c r="E2713" i="2"/>
  <c r="D2713" i="2"/>
  <c r="C2713" i="2"/>
  <c r="B2713" i="2"/>
  <c r="A2713" i="2"/>
  <c r="F2712" i="2"/>
  <c r="E2712" i="2"/>
  <c r="D2712" i="2"/>
  <c r="C2712" i="2"/>
  <c r="B2712" i="2"/>
  <c r="A2712" i="2"/>
  <c r="F2711" i="2"/>
  <c r="E2711" i="2"/>
  <c r="D2711" i="2"/>
  <c r="C2711" i="2"/>
  <c r="B2711" i="2"/>
  <c r="A2711" i="2"/>
  <c r="F2710" i="2"/>
  <c r="E2710" i="2"/>
  <c r="D2710" i="2"/>
  <c r="C2710" i="2"/>
  <c r="B2710" i="2"/>
  <c r="A2710" i="2"/>
  <c r="F2709" i="2"/>
  <c r="E2709" i="2"/>
  <c r="D2709" i="2"/>
  <c r="C2709" i="2"/>
  <c r="B2709" i="2"/>
  <c r="A2709" i="2"/>
  <c r="F2708" i="2"/>
  <c r="E2708" i="2"/>
  <c r="D2708" i="2"/>
  <c r="C2708" i="2"/>
  <c r="B2708" i="2"/>
  <c r="A2708" i="2"/>
  <c r="F2707" i="2"/>
  <c r="E2707" i="2"/>
  <c r="D2707" i="2"/>
  <c r="C2707" i="2"/>
  <c r="B2707" i="2"/>
  <c r="A2707" i="2"/>
  <c r="F2706" i="2"/>
  <c r="E2706" i="2"/>
  <c r="D2706" i="2"/>
  <c r="C2706" i="2"/>
  <c r="B2706" i="2"/>
  <c r="A2706" i="2"/>
  <c r="F2705" i="2"/>
  <c r="E2705" i="2"/>
  <c r="D2705" i="2"/>
  <c r="C2705" i="2"/>
  <c r="B2705" i="2"/>
  <c r="A2705" i="2"/>
  <c r="F2704" i="2"/>
  <c r="E2704" i="2"/>
  <c r="D2704" i="2"/>
  <c r="C2704" i="2"/>
  <c r="B2704" i="2"/>
  <c r="A2704" i="2"/>
  <c r="F2703" i="2"/>
  <c r="E2703" i="2"/>
  <c r="D2703" i="2"/>
  <c r="C2703" i="2"/>
  <c r="B2703" i="2"/>
  <c r="A2703" i="2"/>
  <c r="F2702" i="2"/>
  <c r="E2702" i="2"/>
  <c r="D2702" i="2"/>
  <c r="C2702" i="2"/>
  <c r="B2702" i="2"/>
  <c r="A2702" i="2"/>
  <c r="F2701" i="2"/>
  <c r="E2701" i="2"/>
  <c r="D2701" i="2"/>
  <c r="C2701" i="2"/>
  <c r="B2701" i="2"/>
  <c r="A2701" i="2"/>
  <c r="F2700" i="2"/>
  <c r="E2700" i="2"/>
  <c r="D2700" i="2"/>
  <c r="C2700" i="2"/>
  <c r="B2700" i="2"/>
  <c r="A2700" i="2"/>
  <c r="F2699" i="2"/>
  <c r="E2699" i="2"/>
  <c r="D2699" i="2"/>
  <c r="C2699" i="2"/>
  <c r="B2699" i="2"/>
  <c r="A2699" i="2"/>
  <c r="F2698" i="2"/>
  <c r="E2698" i="2"/>
  <c r="D2698" i="2"/>
  <c r="C2698" i="2"/>
  <c r="B2698" i="2"/>
  <c r="A2698" i="2"/>
  <c r="F2697" i="2"/>
  <c r="E2697" i="2"/>
  <c r="D2697" i="2"/>
  <c r="C2697" i="2"/>
  <c r="B2697" i="2"/>
  <c r="A2697" i="2"/>
  <c r="F2696" i="2"/>
  <c r="E2696" i="2"/>
  <c r="D2696" i="2"/>
  <c r="C2696" i="2"/>
  <c r="B2696" i="2"/>
  <c r="A2696" i="2"/>
  <c r="F2695" i="2"/>
  <c r="E2695" i="2"/>
  <c r="D2695" i="2"/>
  <c r="C2695" i="2"/>
  <c r="B2695" i="2"/>
  <c r="A2695" i="2"/>
  <c r="F2694" i="2"/>
  <c r="E2694" i="2"/>
  <c r="D2694" i="2"/>
  <c r="C2694" i="2"/>
  <c r="B2694" i="2"/>
  <c r="A2694" i="2"/>
  <c r="F2693" i="2"/>
  <c r="E2693" i="2"/>
  <c r="D2693" i="2"/>
  <c r="C2693" i="2"/>
  <c r="B2693" i="2"/>
  <c r="A2693" i="2"/>
  <c r="F2692" i="2"/>
  <c r="E2692" i="2"/>
  <c r="D2692" i="2"/>
  <c r="C2692" i="2"/>
  <c r="B2692" i="2"/>
  <c r="A2692" i="2"/>
  <c r="F2691" i="2"/>
  <c r="E2691" i="2"/>
  <c r="D2691" i="2"/>
  <c r="C2691" i="2"/>
  <c r="B2691" i="2"/>
  <c r="A2691" i="2"/>
  <c r="F2690" i="2"/>
  <c r="E2690" i="2"/>
  <c r="D2690" i="2"/>
  <c r="C2690" i="2"/>
  <c r="B2690" i="2"/>
  <c r="A2690" i="2"/>
  <c r="F2689" i="2"/>
  <c r="E2689" i="2"/>
  <c r="D2689" i="2"/>
  <c r="C2689" i="2"/>
  <c r="B2689" i="2"/>
  <c r="A2689" i="2"/>
  <c r="F2688" i="2"/>
  <c r="E2688" i="2"/>
  <c r="D2688" i="2"/>
  <c r="C2688" i="2"/>
  <c r="B2688" i="2"/>
  <c r="A2688" i="2"/>
  <c r="F2687" i="2"/>
  <c r="E2687" i="2"/>
  <c r="D2687" i="2"/>
  <c r="C2687" i="2"/>
  <c r="B2687" i="2"/>
  <c r="A2687" i="2"/>
  <c r="F2686" i="2"/>
  <c r="E2686" i="2"/>
  <c r="D2686" i="2"/>
  <c r="C2686" i="2"/>
  <c r="B2686" i="2"/>
  <c r="A2686" i="2"/>
  <c r="F2685" i="2"/>
  <c r="E2685" i="2"/>
  <c r="D2685" i="2"/>
  <c r="C2685" i="2"/>
  <c r="B2685" i="2"/>
  <c r="A2685" i="2"/>
  <c r="F2684" i="2"/>
  <c r="E2684" i="2"/>
  <c r="D2684" i="2"/>
  <c r="C2684" i="2"/>
  <c r="B2684" i="2"/>
  <c r="A2684" i="2"/>
  <c r="F2683" i="2"/>
  <c r="E2683" i="2"/>
  <c r="D2683" i="2"/>
  <c r="C2683" i="2"/>
  <c r="B2683" i="2"/>
  <c r="A2683" i="2"/>
  <c r="F2682" i="2"/>
  <c r="E2682" i="2"/>
  <c r="D2682" i="2"/>
  <c r="C2682" i="2"/>
  <c r="B2682" i="2"/>
  <c r="A2682" i="2"/>
  <c r="F2681" i="2"/>
  <c r="E2681" i="2"/>
  <c r="D2681" i="2"/>
  <c r="C2681" i="2"/>
  <c r="B2681" i="2"/>
  <c r="A2681" i="2"/>
  <c r="F2680" i="2"/>
  <c r="E2680" i="2"/>
  <c r="D2680" i="2"/>
  <c r="C2680" i="2"/>
  <c r="B2680" i="2"/>
  <c r="A2680" i="2"/>
  <c r="F2679" i="2"/>
  <c r="E2679" i="2"/>
  <c r="D2679" i="2"/>
  <c r="C2679" i="2"/>
  <c r="B2679" i="2"/>
  <c r="A2679" i="2"/>
  <c r="F2678" i="2"/>
  <c r="E2678" i="2"/>
  <c r="D2678" i="2"/>
  <c r="C2678" i="2"/>
  <c r="B2678" i="2"/>
  <c r="A2678" i="2"/>
  <c r="F2677" i="2"/>
  <c r="E2677" i="2"/>
  <c r="D2677" i="2"/>
  <c r="C2677" i="2"/>
  <c r="B2677" i="2"/>
  <c r="A2677" i="2"/>
  <c r="F2676" i="2"/>
  <c r="E2676" i="2"/>
  <c r="D2676" i="2"/>
  <c r="C2676" i="2"/>
  <c r="B2676" i="2"/>
  <c r="A2676" i="2"/>
  <c r="F2675" i="2"/>
  <c r="E2675" i="2"/>
  <c r="D2675" i="2"/>
  <c r="C2675" i="2"/>
  <c r="B2675" i="2"/>
  <c r="A2675" i="2"/>
  <c r="F2674" i="2"/>
  <c r="E2674" i="2"/>
  <c r="D2674" i="2"/>
  <c r="C2674" i="2"/>
  <c r="B2674" i="2"/>
  <c r="A2674" i="2"/>
  <c r="F2673" i="2"/>
  <c r="E2673" i="2"/>
  <c r="D2673" i="2"/>
  <c r="C2673" i="2"/>
  <c r="B2673" i="2"/>
  <c r="A2673" i="2"/>
  <c r="F2672" i="2"/>
  <c r="E2672" i="2"/>
  <c r="D2672" i="2"/>
  <c r="C2672" i="2"/>
  <c r="B2672" i="2"/>
  <c r="A2672" i="2"/>
  <c r="F2671" i="2"/>
  <c r="E2671" i="2"/>
  <c r="D2671" i="2"/>
  <c r="C2671" i="2"/>
  <c r="B2671" i="2"/>
  <c r="A2671" i="2"/>
  <c r="F2670" i="2"/>
  <c r="E2670" i="2"/>
  <c r="D2670" i="2"/>
  <c r="C2670" i="2"/>
  <c r="B2670" i="2"/>
  <c r="A2670" i="2"/>
  <c r="F2669" i="2"/>
  <c r="E2669" i="2"/>
  <c r="D2669" i="2"/>
  <c r="C2669" i="2"/>
  <c r="B2669" i="2"/>
  <c r="A2669" i="2"/>
  <c r="F2668" i="2"/>
  <c r="E2668" i="2"/>
  <c r="D2668" i="2"/>
  <c r="C2668" i="2"/>
  <c r="B2668" i="2"/>
  <c r="A2668" i="2"/>
  <c r="F2667" i="2"/>
  <c r="E2667" i="2"/>
  <c r="D2667" i="2"/>
  <c r="C2667" i="2"/>
  <c r="B2667" i="2"/>
  <c r="A2667" i="2"/>
  <c r="F2666" i="2"/>
  <c r="E2666" i="2"/>
  <c r="D2666" i="2"/>
  <c r="C2666" i="2"/>
  <c r="B2666" i="2"/>
  <c r="A2666" i="2"/>
  <c r="F2665" i="2"/>
  <c r="E2665" i="2"/>
  <c r="D2665" i="2"/>
  <c r="C2665" i="2"/>
  <c r="B2665" i="2"/>
  <c r="A2665" i="2"/>
  <c r="F2664" i="2"/>
  <c r="E2664" i="2"/>
  <c r="D2664" i="2"/>
  <c r="C2664" i="2"/>
  <c r="B2664" i="2"/>
  <c r="A2664" i="2"/>
  <c r="F2663" i="2"/>
  <c r="E2663" i="2"/>
  <c r="D2663" i="2"/>
  <c r="C2663" i="2"/>
  <c r="B2663" i="2"/>
  <c r="A2663" i="2"/>
  <c r="F2662" i="2"/>
  <c r="E2662" i="2"/>
  <c r="D2662" i="2"/>
  <c r="C2662" i="2"/>
  <c r="B2662" i="2"/>
  <c r="A2662" i="2"/>
  <c r="F2661" i="2"/>
  <c r="E2661" i="2"/>
  <c r="D2661" i="2"/>
  <c r="C2661" i="2"/>
  <c r="B2661" i="2"/>
  <c r="A2661" i="2"/>
  <c r="F2660" i="2"/>
  <c r="E2660" i="2"/>
  <c r="D2660" i="2"/>
  <c r="C2660" i="2"/>
  <c r="B2660" i="2"/>
  <c r="A2660" i="2"/>
  <c r="F2659" i="2"/>
  <c r="E2659" i="2"/>
  <c r="D2659" i="2"/>
  <c r="C2659" i="2"/>
  <c r="B2659" i="2"/>
  <c r="A2659" i="2"/>
  <c r="F2658" i="2"/>
  <c r="E2658" i="2"/>
  <c r="D2658" i="2"/>
  <c r="C2658" i="2"/>
  <c r="B2658" i="2"/>
  <c r="A2658" i="2"/>
  <c r="F2657" i="2"/>
  <c r="E2657" i="2"/>
  <c r="D2657" i="2"/>
  <c r="C2657" i="2"/>
  <c r="B2657" i="2"/>
  <c r="A2657" i="2"/>
  <c r="F2656" i="2"/>
  <c r="E2656" i="2"/>
  <c r="D2656" i="2"/>
  <c r="C2656" i="2"/>
  <c r="B2656" i="2"/>
  <c r="A2656" i="2"/>
  <c r="F2655" i="2"/>
  <c r="E2655" i="2"/>
  <c r="D2655" i="2"/>
  <c r="C2655" i="2"/>
  <c r="B2655" i="2"/>
  <c r="A2655" i="2"/>
  <c r="F2654" i="2"/>
  <c r="E2654" i="2"/>
  <c r="D2654" i="2"/>
  <c r="C2654" i="2"/>
  <c r="B2654" i="2"/>
  <c r="A2654" i="2"/>
  <c r="F2653" i="2"/>
  <c r="E2653" i="2"/>
  <c r="D2653" i="2"/>
  <c r="C2653" i="2"/>
  <c r="B2653" i="2"/>
  <c r="A2653" i="2"/>
  <c r="F2652" i="2"/>
  <c r="E2652" i="2"/>
  <c r="D2652" i="2"/>
  <c r="C2652" i="2"/>
  <c r="B2652" i="2"/>
  <c r="A2652" i="2"/>
  <c r="F2651" i="2"/>
  <c r="E2651" i="2"/>
  <c r="D2651" i="2"/>
  <c r="C2651" i="2"/>
  <c r="B2651" i="2"/>
  <c r="A2651" i="2"/>
  <c r="F2650" i="2"/>
  <c r="E2650" i="2"/>
  <c r="D2650" i="2"/>
  <c r="C2650" i="2"/>
  <c r="B2650" i="2"/>
  <c r="A2650" i="2"/>
  <c r="F2649" i="2"/>
  <c r="E2649" i="2"/>
  <c r="D2649" i="2"/>
  <c r="C2649" i="2"/>
  <c r="B2649" i="2"/>
  <c r="A2649" i="2"/>
  <c r="F2648" i="2"/>
  <c r="E2648" i="2"/>
  <c r="D2648" i="2"/>
  <c r="C2648" i="2"/>
  <c r="B2648" i="2"/>
  <c r="A2648" i="2"/>
  <c r="F2647" i="2"/>
  <c r="E2647" i="2"/>
  <c r="D2647" i="2"/>
  <c r="C2647" i="2"/>
  <c r="B2647" i="2"/>
  <c r="A2647" i="2"/>
  <c r="F2646" i="2"/>
  <c r="E2646" i="2"/>
  <c r="D2646" i="2"/>
  <c r="C2646" i="2"/>
  <c r="B2646" i="2"/>
  <c r="A2646" i="2"/>
  <c r="F2645" i="2"/>
  <c r="E2645" i="2"/>
  <c r="D2645" i="2"/>
  <c r="C2645" i="2"/>
  <c r="B2645" i="2"/>
  <c r="A2645" i="2"/>
  <c r="F2644" i="2"/>
  <c r="E2644" i="2"/>
  <c r="D2644" i="2"/>
  <c r="C2644" i="2"/>
  <c r="B2644" i="2"/>
  <c r="A2644" i="2"/>
  <c r="F2643" i="2"/>
  <c r="E2643" i="2"/>
  <c r="D2643" i="2"/>
  <c r="C2643" i="2"/>
  <c r="B2643" i="2"/>
  <c r="A2643" i="2"/>
  <c r="F2642" i="2"/>
  <c r="E2642" i="2"/>
  <c r="D2642" i="2"/>
  <c r="C2642" i="2"/>
  <c r="B2642" i="2"/>
  <c r="A2642" i="2"/>
  <c r="F2641" i="2"/>
  <c r="E2641" i="2"/>
  <c r="D2641" i="2"/>
  <c r="C2641" i="2"/>
  <c r="B2641" i="2"/>
  <c r="A2641" i="2"/>
  <c r="F2640" i="2"/>
  <c r="E2640" i="2"/>
  <c r="D2640" i="2"/>
  <c r="C2640" i="2"/>
  <c r="B2640" i="2"/>
  <c r="A2640" i="2"/>
  <c r="F2639" i="2"/>
  <c r="E2639" i="2"/>
  <c r="D2639" i="2"/>
  <c r="C2639" i="2"/>
  <c r="B2639" i="2"/>
  <c r="A2639" i="2"/>
  <c r="F2638" i="2"/>
  <c r="E2638" i="2"/>
  <c r="D2638" i="2"/>
  <c r="C2638" i="2"/>
  <c r="B2638" i="2"/>
  <c r="A2638" i="2"/>
  <c r="F2637" i="2"/>
  <c r="E2637" i="2"/>
  <c r="D2637" i="2"/>
  <c r="C2637" i="2"/>
  <c r="B2637" i="2"/>
  <c r="A2637" i="2"/>
  <c r="F2636" i="2"/>
  <c r="E2636" i="2"/>
  <c r="D2636" i="2"/>
  <c r="C2636" i="2"/>
  <c r="B2636" i="2"/>
  <c r="A2636" i="2"/>
  <c r="F2635" i="2"/>
  <c r="E2635" i="2"/>
  <c r="D2635" i="2"/>
  <c r="C2635" i="2"/>
  <c r="B2635" i="2"/>
  <c r="A2635" i="2"/>
  <c r="F2634" i="2"/>
  <c r="E2634" i="2"/>
  <c r="D2634" i="2"/>
  <c r="C2634" i="2"/>
  <c r="B2634" i="2"/>
  <c r="A2634" i="2"/>
  <c r="F2633" i="2"/>
  <c r="E2633" i="2"/>
  <c r="D2633" i="2"/>
  <c r="C2633" i="2"/>
  <c r="B2633" i="2"/>
  <c r="A2633" i="2"/>
  <c r="F2632" i="2"/>
  <c r="E2632" i="2"/>
  <c r="D2632" i="2"/>
  <c r="C2632" i="2"/>
  <c r="B2632" i="2"/>
  <c r="A2632" i="2"/>
  <c r="F2631" i="2"/>
  <c r="E2631" i="2"/>
  <c r="D2631" i="2"/>
  <c r="C2631" i="2"/>
  <c r="B2631" i="2"/>
  <c r="A2631" i="2"/>
  <c r="F2630" i="2"/>
  <c r="E2630" i="2"/>
  <c r="D2630" i="2"/>
  <c r="C2630" i="2"/>
  <c r="B2630" i="2"/>
  <c r="A2630" i="2"/>
  <c r="F2629" i="2"/>
  <c r="E2629" i="2"/>
  <c r="D2629" i="2"/>
  <c r="C2629" i="2"/>
  <c r="B2629" i="2"/>
  <c r="A2629" i="2"/>
  <c r="F2628" i="2"/>
  <c r="E2628" i="2"/>
  <c r="D2628" i="2"/>
  <c r="C2628" i="2"/>
  <c r="B2628" i="2"/>
  <c r="A2628" i="2"/>
  <c r="F2627" i="2"/>
  <c r="E2627" i="2"/>
  <c r="D2627" i="2"/>
  <c r="C2627" i="2"/>
  <c r="B2627" i="2"/>
  <c r="A2627" i="2"/>
  <c r="F2626" i="2"/>
  <c r="E2626" i="2"/>
  <c r="D2626" i="2"/>
  <c r="C2626" i="2"/>
  <c r="B2626" i="2"/>
  <c r="A2626" i="2"/>
  <c r="F2625" i="2"/>
  <c r="E2625" i="2"/>
  <c r="D2625" i="2"/>
  <c r="C2625" i="2"/>
  <c r="B2625" i="2"/>
  <c r="A2625" i="2"/>
  <c r="F2624" i="2"/>
  <c r="E2624" i="2"/>
  <c r="D2624" i="2"/>
  <c r="C2624" i="2"/>
  <c r="B2624" i="2"/>
  <c r="A2624" i="2"/>
  <c r="F2623" i="2"/>
  <c r="E2623" i="2"/>
  <c r="D2623" i="2"/>
  <c r="C2623" i="2"/>
  <c r="B2623" i="2"/>
  <c r="A2623" i="2"/>
  <c r="F2622" i="2"/>
  <c r="E2622" i="2"/>
  <c r="D2622" i="2"/>
  <c r="C2622" i="2"/>
  <c r="B2622" i="2"/>
  <c r="A2622" i="2"/>
  <c r="F2621" i="2"/>
  <c r="E2621" i="2"/>
  <c r="D2621" i="2"/>
  <c r="C2621" i="2"/>
  <c r="B2621" i="2"/>
  <c r="A2621" i="2"/>
  <c r="F2620" i="2"/>
  <c r="E2620" i="2"/>
  <c r="D2620" i="2"/>
  <c r="C2620" i="2"/>
  <c r="B2620" i="2"/>
  <c r="A2620" i="2"/>
  <c r="F2619" i="2"/>
  <c r="E2619" i="2"/>
  <c r="D2619" i="2"/>
  <c r="C2619" i="2"/>
  <c r="B2619" i="2"/>
  <c r="A2619" i="2"/>
  <c r="F2618" i="2"/>
  <c r="E2618" i="2"/>
  <c r="D2618" i="2"/>
  <c r="C2618" i="2"/>
  <c r="B2618" i="2"/>
  <c r="A2618" i="2"/>
  <c r="F2617" i="2"/>
  <c r="E2617" i="2"/>
  <c r="D2617" i="2"/>
  <c r="C2617" i="2"/>
  <c r="B2617" i="2"/>
  <c r="A2617" i="2"/>
  <c r="F2616" i="2"/>
  <c r="E2616" i="2"/>
  <c r="D2616" i="2"/>
  <c r="C2616" i="2"/>
  <c r="B2616" i="2"/>
  <c r="A2616" i="2"/>
  <c r="F2615" i="2"/>
  <c r="E2615" i="2"/>
  <c r="D2615" i="2"/>
  <c r="C2615" i="2"/>
  <c r="B2615" i="2"/>
  <c r="A2615" i="2"/>
  <c r="F2614" i="2"/>
  <c r="E2614" i="2"/>
  <c r="D2614" i="2"/>
  <c r="C2614" i="2"/>
  <c r="B2614" i="2"/>
  <c r="A2614" i="2"/>
  <c r="F2613" i="2"/>
  <c r="E2613" i="2"/>
  <c r="D2613" i="2"/>
  <c r="C2613" i="2"/>
  <c r="B2613" i="2"/>
  <c r="A2613" i="2"/>
  <c r="F2612" i="2"/>
  <c r="E2612" i="2"/>
  <c r="D2612" i="2"/>
  <c r="C2612" i="2"/>
  <c r="B2612" i="2"/>
  <c r="A2612" i="2"/>
  <c r="F2611" i="2"/>
  <c r="E2611" i="2"/>
  <c r="D2611" i="2"/>
  <c r="C2611" i="2"/>
  <c r="B2611" i="2"/>
  <c r="A2611" i="2"/>
  <c r="F2610" i="2"/>
  <c r="E2610" i="2"/>
  <c r="D2610" i="2"/>
  <c r="C2610" i="2"/>
  <c r="B2610" i="2"/>
  <c r="A2610" i="2"/>
  <c r="F2609" i="2"/>
  <c r="E2609" i="2"/>
  <c r="D2609" i="2"/>
  <c r="C2609" i="2"/>
  <c r="B2609" i="2"/>
  <c r="A2609" i="2"/>
  <c r="F2608" i="2"/>
  <c r="E2608" i="2"/>
  <c r="D2608" i="2"/>
  <c r="C2608" i="2"/>
  <c r="B2608" i="2"/>
  <c r="A2608" i="2"/>
  <c r="F2607" i="2"/>
  <c r="E2607" i="2"/>
  <c r="D2607" i="2"/>
  <c r="C2607" i="2"/>
  <c r="B2607" i="2"/>
  <c r="A2607" i="2"/>
  <c r="F2606" i="2"/>
  <c r="E2606" i="2"/>
  <c r="D2606" i="2"/>
  <c r="C2606" i="2"/>
  <c r="B2606" i="2"/>
  <c r="A2606" i="2"/>
  <c r="F2605" i="2"/>
  <c r="E2605" i="2"/>
  <c r="D2605" i="2"/>
  <c r="C2605" i="2"/>
  <c r="B2605" i="2"/>
  <c r="A2605" i="2"/>
  <c r="F2604" i="2"/>
  <c r="E2604" i="2"/>
  <c r="D2604" i="2"/>
  <c r="C2604" i="2"/>
  <c r="B2604" i="2"/>
  <c r="A2604" i="2"/>
  <c r="F2603" i="2"/>
  <c r="E2603" i="2"/>
  <c r="D2603" i="2"/>
  <c r="C2603" i="2"/>
  <c r="B2603" i="2"/>
  <c r="A2603" i="2"/>
  <c r="F2602" i="2"/>
  <c r="E2602" i="2"/>
  <c r="D2602" i="2"/>
  <c r="C2602" i="2"/>
  <c r="B2602" i="2"/>
  <c r="A2602" i="2"/>
  <c r="F2601" i="2"/>
  <c r="E2601" i="2"/>
  <c r="D2601" i="2"/>
  <c r="C2601" i="2"/>
  <c r="B2601" i="2"/>
  <c r="A2601" i="2"/>
  <c r="F2600" i="2"/>
  <c r="E2600" i="2"/>
  <c r="D2600" i="2"/>
  <c r="C2600" i="2"/>
  <c r="B2600" i="2"/>
  <c r="A2600" i="2"/>
  <c r="F2599" i="2"/>
  <c r="E2599" i="2"/>
  <c r="D2599" i="2"/>
  <c r="C2599" i="2"/>
  <c r="B2599" i="2"/>
  <c r="A2599" i="2"/>
  <c r="F2598" i="2"/>
  <c r="E2598" i="2"/>
  <c r="D2598" i="2"/>
  <c r="C2598" i="2"/>
  <c r="B2598" i="2"/>
  <c r="A2598" i="2"/>
  <c r="F2597" i="2"/>
  <c r="E2597" i="2"/>
  <c r="D2597" i="2"/>
  <c r="C2597" i="2"/>
  <c r="B2597" i="2"/>
  <c r="A2597" i="2"/>
  <c r="F2596" i="2"/>
  <c r="E2596" i="2"/>
  <c r="D2596" i="2"/>
  <c r="C2596" i="2"/>
  <c r="B2596" i="2"/>
  <c r="A2596" i="2"/>
  <c r="F2595" i="2"/>
  <c r="E2595" i="2"/>
  <c r="D2595" i="2"/>
  <c r="C2595" i="2"/>
  <c r="B2595" i="2"/>
  <c r="A2595" i="2"/>
  <c r="F2594" i="2"/>
  <c r="E2594" i="2"/>
  <c r="D2594" i="2"/>
  <c r="C2594" i="2"/>
  <c r="B2594" i="2"/>
  <c r="A2594" i="2"/>
  <c r="F2593" i="2"/>
  <c r="E2593" i="2"/>
  <c r="D2593" i="2"/>
  <c r="C2593" i="2"/>
  <c r="B2593" i="2"/>
  <c r="A2593" i="2"/>
  <c r="F2592" i="2"/>
  <c r="E2592" i="2"/>
  <c r="D2592" i="2"/>
  <c r="C2592" i="2"/>
  <c r="B2592" i="2"/>
  <c r="A2592" i="2"/>
  <c r="F2591" i="2"/>
  <c r="E2591" i="2"/>
  <c r="D2591" i="2"/>
  <c r="C2591" i="2"/>
  <c r="B2591" i="2"/>
  <c r="A2591" i="2"/>
  <c r="F2590" i="2"/>
  <c r="E2590" i="2"/>
  <c r="D2590" i="2"/>
  <c r="C2590" i="2"/>
  <c r="B2590" i="2"/>
  <c r="A2590" i="2"/>
  <c r="F2589" i="2"/>
  <c r="E2589" i="2"/>
  <c r="D2589" i="2"/>
  <c r="C2589" i="2"/>
  <c r="B2589" i="2"/>
  <c r="A2589" i="2"/>
  <c r="F2588" i="2"/>
  <c r="E2588" i="2"/>
  <c r="D2588" i="2"/>
  <c r="C2588" i="2"/>
  <c r="B2588" i="2"/>
  <c r="A2588" i="2"/>
  <c r="F2587" i="2"/>
  <c r="E2587" i="2"/>
  <c r="D2587" i="2"/>
  <c r="C2587" i="2"/>
  <c r="B2587" i="2"/>
  <c r="A2587" i="2"/>
  <c r="F2586" i="2"/>
  <c r="E2586" i="2"/>
  <c r="D2586" i="2"/>
  <c r="C2586" i="2"/>
  <c r="B2586" i="2"/>
  <c r="A2586" i="2"/>
  <c r="F2585" i="2"/>
  <c r="E2585" i="2"/>
  <c r="D2585" i="2"/>
  <c r="C2585" i="2"/>
  <c r="B2585" i="2"/>
  <c r="A2585" i="2"/>
  <c r="F2584" i="2"/>
  <c r="E2584" i="2"/>
  <c r="D2584" i="2"/>
  <c r="C2584" i="2"/>
  <c r="B2584" i="2"/>
  <c r="A2584" i="2"/>
  <c r="F2583" i="2"/>
  <c r="E2583" i="2"/>
  <c r="D2583" i="2"/>
  <c r="C2583" i="2"/>
  <c r="B2583" i="2"/>
  <c r="A2583" i="2"/>
  <c r="F2582" i="2"/>
  <c r="E2582" i="2"/>
  <c r="D2582" i="2"/>
  <c r="C2582" i="2"/>
  <c r="B2582" i="2"/>
  <c r="A2582" i="2"/>
  <c r="F2581" i="2"/>
  <c r="E2581" i="2"/>
  <c r="D2581" i="2"/>
  <c r="C2581" i="2"/>
  <c r="B2581" i="2"/>
  <c r="A2581" i="2"/>
  <c r="F2580" i="2"/>
  <c r="E2580" i="2"/>
  <c r="D2580" i="2"/>
  <c r="C2580" i="2"/>
  <c r="B2580" i="2"/>
  <c r="A2580" i="2"/>
  <c r="F2579" i="2"/>
  <c r="E2579" i="2"/>
  <c r="D2579" i="2"/>
  <c r="C2579" i="2"/>
  <c r="B2579" i="2"/>
  <c r="A2579" i="2"/>
  <c r="F2578" i="2"/>
  <c r="E2578" i="2"/>
  <c r="D2578" i="2"/>
  <c r="C2578" i="2"/>
  <c r="B2578" i="2"/>
  <c r="A2578" i="2"/>
  <c r="F2577" i="2"/>
  <c r="E2577" i="2"/>
  <c r="D2577" i="2"/>
  <c r="C2577" i="2"/>
  <c r="B2577" i="2"/>
  <c r="A2577" i="2"/>
  <c r="F2576" i="2"/>
  <c r="E2576" i="2"/>
  <c r="D2576" i="2"/>
  <c r="C2576" i="2"/>
  <c r="B2576" i="2"/>
  <c r="A2576" i="2"/>
  <c r="F2575" i="2"/>
  <c r="E2575" i="2"/>
  <c r="D2575" i="2"/>
  <c r="C2575" i="2"/>
  <c r="B2575" i="2"/>
  <c r="A2575" i="2"/>
  <c r="F2574" i="2"/>
  <c r="E2574" i="2"/>
  <c r="D2574" i="2"/>
  <c r="C2574" i="2"/>
  <c r="B2574" i="2"/>
  <c r="A2574" i="2"/>
  <c r="F2573" i="2"/>
  <c r="E2573" i="2"/>
  <c r="D2573" i="2"/>
  <c r="C2573" i="2"/>
  <c r="B2573" i="2"/>
  <c r="A2573" i="2"/>
  <c r="F2572" i="2"/>
  <c r="E2572" i="2"/>
  <c r="D2572" i="2"/>
  <c r="C2572" i="2"/>
  <c r="B2572" i="2"/>
  <c r="A2572" i="2"/>
  <c r="F2571" i="2"/>
  <c r="E2571" i="2"/>
  <c r="D2571" i="2"/>
  <c r="C2571" i="2"/>
  <c r="B2571" i="2"/>
  <c r="A2571" i="2"/>
  <c r="F2570" i="2"/>
  <c r="E2570" i="2"/>
  <c r="D2570" i="2"/>
  <c r="C2570" i="2"/>
  <c r="B2570" i="2"/>
  <c r="A2570" i="2"/>
  <c r="F2569" i="2"/>
  <c r="E2569" i="2"/>
  <c r="D2569" i="2"/>
  <c r="C2569" i="2"/>
  <c r="B2569" i="2"/>
  <c r="A2569" i="2"/>
  <c r="F2568" i="2"/>
  <c r="E2568" i="2"/>
  <c r="D2568" i="2"/>
  <c r="C2568" i="2"/>
  <c r="B2568" i="2"/>
  <c r="A2568" i="2"/>
  <c r="F2567" i="2"/>
  <c r="E2567" i="2"/>
  <c r="D2567" i="2"/>
  <c r="C2567" i="2"/>
  <c r="B2567" i="2"/>
  <c r="A2567" i="2"/>
  <c r="F2566" i="2"/>
  <c r="E2566" i="2"/>
  <c r="D2566" i="2"/>
  <c r="C2566" i="2"/>
  <c r="B2566" i="2"/>
  <c r="A2566" i="2"/>
  <c r="F2565" i="2"/>
  <c r="E2565" i="2"/>
  <c r="D2565" i="2"/>
  <c r="C2565" i="2"/>
  <c r="B2565" i="2"/>
  <c r="A2565" i="2"/>
  <c r="F2564" i="2"/>
  <c r="E2564" i="2"/>
  <c r="D2564" i="2"/>
  <c r="C2564" i="2"/>
  <c r="B2564" i="2"/>
  <c r="A2564" i="2"/>
  <c r="F2563" i="2"/>
  <c r="E2563" i="2"/>
  <c r="D2563" i="2"/>
  <c r="C2563" i="2"/>
  <c r="B2563" i="2"/>
  <c r="A2563" i="2"/>
  <c r="F2562" i="2"/>
  <c r="E2562" i="2"/>
  <c r="D2562" i="2"/>
  <c r="C2562" i="2"/>
  <c r="B2562" i="2"/>
  <c r="A2562" i="2"/>
  <c r="F2561" i="2"/>
  <c r="E2561" i="2"/>
  <c r="D2561" i="2"/>
  <c r="C2561" i="2"/>
  <c r="B2561" i="2"/>
  <c r="A2561" i="2"/>
  <c r="F2560" i="2"/>
  <c r="E2560" i="2"/>
  <c r="D2560" i="2"/>
  <c r="C2560" i="2"/>
  <c r="B2560" i="2"/>
  <c r="A2560" i="2"/>
  <c r="F2559" i="2"/>
  <c r="E2559" i="2"/>
  <c r="D2559" i="2"/>
  <c r="C2559" i="2"/>
  <c r="B2559" i="2"/>
  <c r="A2559" i="2"/>
  <c r="F2558" i="2"/>
  <c r="E2558" i="2"/>
  <c r="D2558" i="2"/>
  <c r="C2558" i="2"/>
  <c r="B2558" i="2"/>
  <c r="A2558" i="2"/>
  <c r="F2557" i="2"/>
  <c r="E2557" i="2"/>
  <c r="D2557" i="2"/>
  <c r="C2557" i="2"/>
  <c r="B2557" i="2"/>
  <c r="A2557" i="2"/>
  <c r="F2556" i="2"/>
  <c r="E2556" i="2"/>
  <c r="D2556" i="2"/>
  <c r="C2556" i="2"/>
  <c r="B2556" i="2"/>
  <c r="A2556" i="2"/>
  <c r="F2555" i="2"/>
  <c r="E2555" i="2"/>
  <c r="D2555" i="2"/>
  <c r="C2555" i="2"/>
  <c r="B2555" i="2"/>
  <c r="A2555" i="2"/>
  <c r="F2554" i="2"/>
  <c r="E2554" i="2"/>
  <c r="D2554" i="2"/>
  <c r="C2554" i="2"/>
  <c r="B2554" i="2"/>
  <c r="A2554" i="2"/>
  <c r="F2553" i="2"/>
  <c r="E2553" i="2"/>
  <c r="D2553" i="2"/>
  <c r="C2553" i="2"/>
  <c r="B2553" i="2"/>
  <c r="A2553" i="2"/>
  <c r="F2552" i="2"/>
  <c r="E2552" i="2"/>
  <c r="D2552" i="2"/>
  <c r="C2552" i="2"/>
  <c r="B2552" i="2"/>
  <c r="A2552" i="2"/>
  <c r="F2551" i="2"/>
  <c r="E2551" i="2"/>
  <c r="D2551" i="2"/>
  <c r="C2551" i="2"/>
  <c r="B2551" i="2"/>
  <c r="A2551" i="2"/>
  <c r="F2550" i="2"/>
  <c r="E2550" i="2"/>
  <c r="D2550" i="2"/>
  <c r="C2550" i="2"/>
  <c r="B2550" i="2"/>
  <c r="A2550" i="2"/>
  <c r="F2549" i="2"/>
  <c r="E2549" i="2"/>
  <c r="D2549" i="2"/>
  <c r="C2549" i="2"/>
  <c r="B2549" i="2"/>
  <c r="A2549" i="2"/>
  <c r="F2548" i="2"/>
  <c r="E2548" i="2"/>
  <c r="D2548" i="2"/>
  <c r="C2548" i="2"/>
  <c r="B2548" i="2"/>
  <c r="A2548" i="2"/>
  <c r="F2547" i="2"/>
  <c r="E2547" i="2"/>
  <c r="D2547" i="2"/>
  <c r="C2547" i="2"/>
  <c r="B2547" i="2"/>
  <c r="A2547" i="2"/>
  <c r="F2546" i="2"/>
  <c r="E2546" i="2"/>
  <c r="D2546" i="2"/>
  <c r="C2546" i="2"/>
  <c r="B2546" i="2"/>
  <c r="A2546" i="2"/>
  <c r="F2545" i="2"/>
  <c r="E2545" i="2"/>
  <c r="D2545" i="2"/>
  <c r="C2545" i="2"/>
  <c r="B2545" i="2"/>
  <c r="A2545" i="2"/>
  <c r="F2544" i="2"/>
  <c r="E2544" i="2"/>
  <c r="D2544" i="2"/>
  <c r="C2544" i="2"/>
  <c r="B2544" i="2"/>
  <c r="A2544" i="2"/>
  <c r="F2543" i="2"/>
  <c r="E2543" i="2"/>
  <c r="D2543" i="2"/>
  <c r="C2543" i="2"/>
  <c r="B2543" i="2"/>
  <c r="A2543" i="2"/>
  <c r="F2542" i="2"/>
  <c r="E2542" i="2"/>
  <c r="D2542" i="2"/>
  <c r="C2542" i="2"/>
  <c r="B2542" i="2"/>
  <c r="A2542" i="2"/>
  <c r="F2541" i="2"/>
  <c r="E2541" i="2"/>
  <c r="D2541" i="2"/>
  <c r="C2541" i="2"/>
  <c r="B2541" i="2"/>
  <c r="A2541" i="2"/>
  <c r="F2540" i="2"/>
  <c r="E2540" i="2"/>
  <c r="D2540" i="2"/>
  <c r="C2540" i="2"/>
  <c r="B2540" i="2"/>
  <c r="A2540" i="2"/>
  <c r="F2539" i="2"/>
  <c r="E2539" i="2"/>
  <c r="D2539" i="2"/>
  <c r="C2539" i="2"/>
  <c r="B2539" i="2"/>
  <c r="A2539" i="2"/>
  <c r="F2538" i="2"/>
  <c r="E2538" i="2"/>
  <c r="D2538" i="2"/>
  <c r="C2538" i="2"/>
  <c r="B2538" i="2"/>
  <c r="A2538" i="2"/>
  <c r="F2537" i="2"/>
  <c r="E2537" i="2"/>
  <c r="D2537" i="2"/>
  <c r="C2537" i="2"/>
  <c r="B2537" i="2"/>
  <c r="A2537" i="2"/>
  <c r="F2536" i="2"/>
  <c r="E2536" i="2"/>
  <c r="D2536" i="2"/>
  <c r="C2536" i="2"/>
  <c r="B2536" i="2"/>
  <c r="A2536" i="2"/>
  <c r="F2535" i="2"/>
  <c r="E2535" i="2"/>
  <c r="D2535" i="2"/>
  <c r="C2535" i="2"/>
  <c r="B2535" i="2"/>
  <c r="A2535" i="2"/>
  <c r="F2534" i="2"/>
  <c r="E2534" i="2"/>
  <c r="D2534" i="2"/>
  <c r="C2534" i="2"/>
  <c r="B2534" i="2"/>
  <c r="A2534" i="2"/>
  <c r="F2533" i="2"/>
  <c r="E2533" i="2"/>
  <c r="D2533" i="2"/>
  <c r="C2533" i="2"/>
  <c r="B2533" i="2"/>
  <c r="A2533" i="2"/>
  <c r="F2532" i="2"/>
  <c r="E2532" i="2"/>
  <c r="D2532" i="2"/>
  <c r="C2532" i="2"/>
  <c r="B2532" i="2"/>
  <c r="A2532" i="2"/>
  <c r="F2531" i="2"/>
  <c r="E2531" i="2"/>
  <c r="D2531" i="2"/>
  <c r="C2531" i="2"/>
  <c r="B2531" i="2"/>
  <c r="A2531" i="2"/>
  <c r="F2530" i="2"/>
  <c r="E2530" i="2"/>
  <c r="D2530" i="2"/>
  <c r="C2530" i="2"/>
  <c r="B2530" i="2"/>
  <c r="A2530" i="2"/>
  <c r="F2529" i="2"/>
  <c r="E2529" i="2"/>
  <c r="D2529" i="2"/>
  <c r="C2529" i="2"/>
  <c r="B2529" i="2"/>
  <c r="A2529" i="2"/>
  <c r="F2528" i="2"/>
  <c r="E2528" i="2"/>
  <c r="D2528" i="2"/>
  <c r="C2528" i="2"/>
  <c r="B2528" i="2"/>
  <c r="A2528" i="2"/>
  <c r="F2527" i="2"/>
  <c r="E2527" i="2"/>
  <c r="D2527" i="2"/>
  <c r="C2527" i="2"/>
  <c r="B2527" i="2"/>
  <c r="A2527" i="2"/>
  <c r="F2526" i="2"/>
  <c r="E2526" i="2"/>
  <c r="D2526" i="2"/>
  <c r="C2526" i="2"/>
  <c r="B2526" i="2"/>
  <c r="A2526" i="2"/>
  <c r="F2525" i="2"/>
  <c r="E2525" i="2"/>
  <c r="D2525" i="2"/>
  <c r="C2525" i="2"/>
  <c r="B2525" i="2"/>
  <c r="A2525" i="2"/>
  <c r="F2524" i="2"/>
  <c r="E2524" i="2"/>
  <c r="D2524" i="2"/>
  <c r="C2524" i="2"/>
  <c r="B2524" i="2"/>
  <c r="A2524" i="2"/>
  <c r="F2523" i="2"/>
  <c r="E2523" i="2"/>
  <c r="D2523" i="2"/>
  <c r="C2523" i="2"/>
  <c r="B2523" i="2"/>
  <c r="A2523" i="2"/>
  <c r="F2522" i="2"/>
  <c r="E2522" i="2"/>
  <c r="D2522" i="2"/>
  <c r="C2522" i="2"/>
  <c r="B2522" i="2"/>
  <c r="A2522" i="2"/>
  <c r="F2521" i="2"/>
  <c r="E2521" i="2"/>
  <c r="D2521" i="2"/>
  <c r="C2521" i="2"/>
  <c r="B2521" i="2"/>
  <c r="A2521" i="2"/>
  <c r="F2520" i="2"/>
  <c r="E2520" i="2"/>
  <c r="D2520" i="2"/>
  <c r="C2520" i="2"/>
  <c r="B2520" i="2"/>
  <c r="A2520" i="2"/>
  <c r="F2519" i="2"/>
  <c r="E2519" i="2"/>
  <c r="D2519" i="2"/>
  <c r="C2519" i="2"/>
  <c r="B2519" i="2"/>
  <c r="A2519" i="2"/>
  <c r="F2518" i="2"/>
  <c r="E2518" i="2"/>
  <c r="D2518" i="2"/>
  <c r="C2518" i="2"/>
  <c r="B2518" i="2"/>
  <c r="A2518" i="2"/>
  <c r="F2517" i="2"/>
  <c r="E2517" i="2"/>
  <c r="D2517" i="2"/>
  <c r="C2517" i="2"/>
  <c r="B2517" i="2"/>
  <c r="A2517" i="2"/>
  <c r="F2516" i="2"/>
  <c r="E2516" i="2"/>
  <c r="D2516" i="2"/>
  <c r="C2516" i="2"/>
  <c r="B2516" i="2"/>
  <c r="A2516" i="2"/>
  <c r="F2515" i="2"/>
  <c r="E2515" i="2"/>
  <c r="D2515" i="2"/>
  <c r="C2515" i="2"/>
  <c r="B2515" i="2"/>
  <c r="A2515" i="2"/>
  <c r="F2514" i="2"/>
  <c r="E2514" i="2"/>
  <c r="D2514" i="2"/>
  <c r="C2514" i="2"/>
  <c r="B2514" i="2"/>
  <c r="A2514" i="2"/>
  <c r="F2513" i="2"/>
  <c r="E2513" i="2"/>
  <c r="D2513" i="2"/>
  <c r="C2513" i="2"/>
  <c r="B2513" i="2"/>
  <c r="A2513" i="2"/>
  <c r="F2512" i="2"/>
  <c r="E2512" i="2"/>
  <c r="D2512" i="2"/>
  <c r="C2512" i="2"/>
  <c r="B2512" i="2"/>
  <c r="A2512" i="2"/>
  <c r="F2511" i="2"/>
  <c r="E2511" i="2"/>
  <c r="D2511" i="2"/>
  <c r="C2511" i="2"/>
  <c r="B2511" i="2"/>
  <c r="A2511" i="2"/>
  <c r="F2510" i="2"/>
  <c r="E2510" i="2"/>
  <c r="D2510" i="2"/>
  <c r="C2510" i="2"/>
  <c r="B2510" i="2"/>
  <c r="A2510" i="2"/>
  <c r="F2509" i="2"/>
  <c r="E2509" i="2"/>
  <c r="D2509" i="2"/>
  <c r="C2509" i="2"/>
  <c r="B2509" i="2"/>
  <c r="A2509" i="2"/>
  <c r="F2508" i="2"/>
  <c r="E2508" i="2"/>
  <c r="D2508" i="2"/>
  <c r="C2508" i="2"/>
  <c r="B2508" i="2"/>
  <c r="A2508" i="2"/>
  <c r="F2507" i="2"/>
  <c r="E2507" i="2"/>
  <c r="D2507" i="2"/>
  <c r="C2507" i="2"/>
  <c r="B2507" i="2"/>
  <c r="A2507" i="2"/>
  <c r="F2506" i="2"/>
  <c r="E2506" i="2"/>
  <c r="D2506" i="2"/>
  <c r="C2506" i="2"/>
  <c r="B2506" i="2"/>
  <c r="A2506" i="2"/>
  <c r="F2505" i="2"/>
  <c r="E2505" i="2"/>
  <c r="D2505" i="2"/>
  <c r="C2505" i="2"/>
  <c r="B2505" i="2"/>
  <c r="A2505" i="2"/>
  <c r="F2504" i="2"/>
  <c r="E2504" i="2"/>
  <c r="D2504" i="2"/>
  <c r="C2504" i="2"/>
  <c r="B2504" i="2"/>
  <c r="A2504" i="2"/>
  <c r="F2503" i="2"/>
  <c r="E2503" i="2"/>
  <c r="D2503" i="2"/>
  <c r="C2503" i="2"/>
  <c r="B2503" i="2"/>
  <c r="A2503" i="2"/>
  <c r="F2502" i="2"/>
  <c r="E2502" i="2"/>
  <c r="D2502" i="2"/>
  <c r="C2502" i="2"/>
  <c r="B2502" i="2"/>
  <c r="A2502" i="2"/>
  <c r="F2501" i="2"/>
  <c r="E2501" i="2"/>
  <c r="D2501" i="2"/>
  <c r="C2501" i="2"/>
  <c r="B2501" i="2"/>
  <c r="A2501" i="2"/>
  <c r="F2500" i="2"/>
  <c r="E2500" i="2"/>
  <c r="D2500" i="2"/>
  <c r="C2500" i="2"/>
  <c r="B2500" i="2"/>
  <c r="A2500" i="2"/>
  <c r="F2499" i="2"/>
  <c r="E2499" i="2"/>
  <c r="D2499" i="2"/>
  <c r="C2499" i="2"/>
  <c r="B2499" i="2"/>
  <c r="A2499" i="2"/>
  <c r="F2498" i="2"/>
  <c r="E2498" i="2"/>
  <c r="D2498" i="2"/>
  <c r="C2498" i="2"/>
  <c r="B2498" i="2"/>
  <c r="A2498" i="2"/>
  <c r="F2497" i="2"/>
  <c r="E2497" i="2"/>
  <c r="D2497" i="2"/>
  <c r="C2497" i="2"/>
  <c r="B2497" i="2"/>
  <c r="A2497" i="2"/>
  <c r="F2496" i="2"/>
  <c r="E2496" i="2"/>
  <c r="D2496" i="2"/>
  <c r="C2496" i="2"/>
  <c r="B2496" i="2"/>
  <c r="A2496" i="2"/>
  <c r="F2495" i="2"/>
  <c r="E2495" i="2"/>
  <c r="D2495" i="2"/>
  <c r="C2495" i="2"/>
  <c r="B2495" i="2"/>
  <c r="A2495" i="2"/>
  <c r="F2494" i="2"/>
  <c r="E2494" i="2"/>
  <c r="D2494" i="2"/>
  <c r="C2494" i="2"/>
  <c r="B2494" i="2"/>
  <c r="A2494" i="2"/>
  <c r="F2493" i="2"/>
  <c r="E2493" i="2"/>
  <c r="D2493" i="2"/>
  <c r="C2493" i="2"/>
  <c r="B2493" i="2"/>
  <c r="A2493" i="2"/>
  <c r="F2492" i="2"/>
  <c r="E2492" i="2"/>
  <c r="D2492" i="2"/>
  <c r="C2492" i="2"/>
  <c r="B2492" i="2"/>
  <c r="A2492" i="2"/>
  <c r="F2491" i="2"/>
  <c r="E2491" i="2"/>
  <c r="D2491" i="2"/>
  <c r="C2491" i="2"/>
  <c r="B2491" i="2"/>
  <c r="A2491" i="2"/>
  <c r="F2490" i="2"/>
  <c r="E2490" i="2"/>
  <c r="D2490" i="2"/>
  <c r="C2490" i="2"/>
  <c r="B2490" i="2"/>
  <c r="A2490" i="2"/>
  <c r="F2489" i="2"/>
  <c r="E2489" i="2"/>
  <c r="D2489" i="2"/>
  <c r="C2489" i="2"/>
  <c r="B2489" i="2"/>
  <c r="A2489" i="2"/>
  <c r="F2488" i="2"/>
  <c r="E2488" i="2"/>
  <c r="D2488" i="2"/>
  <c r="C2488" i="2"/>
  <c r="B2488" i="2"/>
  <c r="A2488" i="2"/>
  <c r="F2487" i="2"/>
  <c r="E2487" i="2"/>
  <c r="D2487" i="2"/>
  <c r="C2487" i="2"/>
  <c r="B2487" i="2"/>
  <c r="A2487" i="2"/>
  <c r="F2486" i="2"/>
  <c r="E2486" i="2"/>
  <c r="D2486" i="2"/>
  <c r="C2486" i="2"/>
  <c r="B2486" i="2"/>
  <c r="A2486" i="2"/>
  <c r="F2485" i="2"/>
  <c r="E2485" i="2"/>
  <c r="D2485" i="2"/>
  <c r="C2485" i="2"/>
  <c r="B2485" i="2"/>
  <c r="A2485" i="2"/>
  <c r="F2484" i="2"/>
  <c r="E2484" i="2"/>
  <c r="D2484" i="2"/>
  <c r="C2484" i="2"/>
  <c r="B2484" i="2"/>
  <c r="A2484" i="2"/>
  <c r="F2483" i="2"/>
  <c r="E2483" i="2"/>
  <c r="D2483" i="2"/>
  <c r="C2483" i="2"/>
  <c r="B2483" i="2"/>
  <c r="A2483" i="2"/>
  <c r="F2482" i="2"/>
  <c r="E2482" i="2"/>
  <c r="D2482" i="2"/>
  <c r="C2482" i="2"/>
  <c r="B2482" i="2"/>
  <c r="A2482" i="2"/>
  <c r="F2481" i="2"/>
  <c r="E2481" i="2"/>
  <c r="D2481" i="2"/>
  <c r="C2481" i="2"/>
  <c r="B2481" i="2"/>
  <c r="A2481" i="2"/>
  <c r="F2480" i="2"/>
  <c r="E2480" i="2"/>
  <c r="D2480" i="2"/>
  <c r="C2480" i="2"/>
  <c r="B2480" i="2"/>
  <c r="A2480" i="2"/>
  <c r="F2479" i="2"/>
  <c r="E2479" i="2"/>
  <c r="D2479" i="2"/>
  <c r="C2479" i="2"/>
  <c r="B2479" i="2"/>
  <c r="A2479" i="2"/>
  <c r="F2478" i="2"/>
  <c r="E2478" i="2"/>
  <c r="D2478" i="2"/>
  <c r="C2478" i="2"/>
  <c r="B2478" i="2"/>
  <c r="A2478" i="2"/>
  <c r="F2477" i="2"/>
  <c r="E2477" i="2"/>
  <c r="D2477" i="2"/>
  <c r="C2477" i="2"/>
  <c r="B2477" i="2"/>
  <c r="A2477" i="2"/>
  <c r="F2476" i="2"/>
  <c r="E2476" i="2"/>
  <c r="D2476" i="2"/>
  <c r="C2476" i="2"/>
  <c r="B2476" i="2"/>
  <c r="A2476" i="2"/>
  <c r="F2475" i="2"/>
  <c r="E2475" i="2"/>
  <c r="D2475" i="2"/>
  <c r="C2475" i="2"/>
  <c r="B2475" i="2"/>
  <c r="A2475" i="2"/>
  <c r="F2474" i="2"/>
  <c r="E2474" i="2"/>
  <c r="D2474" i="2"/>
  <c r="C2474" i="2"/>
  <c r="B2474" i="2"/>
  <c r="A2474" i="2"/>
  <c r="F2473" i="2"/>
  <c r="E2473" i="2"/>
  <c r="D2473" i="2"/>
  <c r="C2473" i="2"/>
  <c r="B2473" i="2"/>
  <c r="A2473" i="2"/>
  <c r="F2472" i="2"/>
  <c r="E2472" i="2"/>
  <c r="D2472" i="2"/>
  <c r="C2472" i="2"/>
  <c r="B2472" i="2"/>
  <c r="A2472" i="2"/>
  <c r="F2471" i="2"/>
  <c r="E2471" i="2"/>
  <c r="D2471" i="2"/>
  <c r="C2471" i="2"/>
  <c r="B2471" i="2"/>
  <c r="A2471" i="2"/>
  <c r="F2470" i="2"/>
  <c r="E2470" i="2"/>
  <c r="D2470" i="2"/>
  <c r="C2470" i="2"/>
  <c r="B2470" i="2"/>
  <c r="A2470" i="2"/>
  <c r="F2469" i="2"/>
  <c r="E2469" i="2"/>
  <c r="D2469" i="2"/>
  <c r="C2469" i="2"/>
  <c r="B2469" i="2"/>
  <c r="A2469" i="2"/>
  <c r="F2468" i="2"/>
  <c r="E2468" i="2"/>
  <c r="D2468" i="2"/>
  <c r="C2468" i="2"/>
  <c r="B2468" i="2"/>
  <c r="A2468" i="2"/>
  <c r="F2467" i="2"/>
  <c r="E2467" i="2"/>
  <c r="D2467" i="2"/>
  <c r="C2467" i="2"/>
  <c r="B2467" i="2"/>
  <c r="A2467" i="2"/>
  <c r="F2466" i="2"/>
  <c r="E2466" i="2"/>
  <c r="D2466" i="2"/>
  <c r="C2466" i="2"/>
  <c r="B2466" i="2"/>
  <c r="A2466" i="2"/>
  <c r="F2465" i="2"/>
  <c r="E2465" i="2"/>
  <c r="D2465" i="2"/>
  <c r="C2465" i="2"/>
  <c r="B2465" i="2"/>
  <c r="A2465" i="2"/>
  <c r="F2464" i="2"/>
  <c r="E2464" i="2"/>
  <c r="D2464" i="2"/>
  <c r="C2464" i="2"/>
  <c r="B2464" i="2"/>
  <c r="A2464" i="2"/>
  <c r="F2463" i="2"/>
  <c r="E2463" i="2"/>
  <c r="D2463" i="2"/>
  <c r="C2463" i="2"/>
  <c r="B2463" i="2"/>
  <c r="A2463" i="2"/>
  <c r="F2462" i="2"/>
  <c r="E2462" i="2"/>
  <c r="D2462" i="2"/>
  <c r="C2462" i="2"/>
  <c r="B2462" i="2"/>
  <c r="A2462" i="2"/>
  <c r="F2461" i="2"/>
  <c r="E2461" i="2"/>
  <c r="D2461" i="2"/>
  <c r="C2461" i="2"/>
  <c r="B2461" i="2"/>
  <c r="A2461" i="2"/>
  <c r="F2460" i="2"/>
  <c r="E2460" i="2"/>
  <c r="D2460" i="2"/>
  <c r="C2460" i="2"/>
  <c r="B2460" i="2"/>
  <c r="A2460" i="2"/>
  <c r="F2459" i="2"/>
  <c r="E2459" i="2"/>
  <c r="D2459" i="2"/>
  <c r="C2459" i="2"/>
  <c r="B2459" i="2"/>
  <c r="A2459" i="2"/>
  <c r="F2458" i="2"/>
  <c r="E2458" i="2"/>
  <c r="D2458" i="2"/>
  <c r="C2458" i="2"/>
  <c r="B2458" i="2"/>
  <c r="A2458" i="2"/>
  <c r="F2457" i="2"/>
  <c r="E2457" i="2"/>
  <c r="D2457" i="2"/>
  <c r="C2457" i="2"/>
  <c r="B2457" i="2"/>
  <c r="A2457" i="2"/>
  <c r="F2456" i="2"/>
  <c r="E2456" i="2"/>
  <c r="D2456" i="2"/>
  <c r="C2456" i="2"/>
  <c r="B2456" i="2"/>
  <c r="A2456" i="2"/>
  <c r="F2455" i="2"/>
  <c r="E2455" i="2"/>
  <c r="D2455" i="2"/>
  <c r="C2455" i="2"/>
  <c r="B2455" i="2"/>
  <c r="A2455" i="2"/>
  <c r="F2454" i="2"/>
  <c r="E2454" i="2"/>
  <c r="D2454" i="2"/>
  <c r="C2454" i="2"/>
  <c r="B2454" i="2"/>
  <c r="A2454" i="2"/>
  <c r="F2453" i="2"/>
  <c r="E2453" i="2"/>
  <c r="D2453" i="2"/>
  <c r="C2453" i="2"/>
  <c r="B2453" i="2"/>
  <c r="A2453" i="2"/>
  <c r="F2452" i="2"/>
  <c r="E2452" i="2"/>
  <c r="D2452" i="2"/>
  <c r="C2452" i="2"/>
  <c r="B2452" i="2"/>
  <c r="A2452" i="2"/>
  <c r="F2451" i="2"/>
  <c r="E2451" i="2"/>
  <c r="D2451" i="2"/>
  <c r="C2451" i="2"/>
  <c r="B2451" i="2"/>
  <c r="A2451" i="2"/>
  <c r="F2450" i="2"/>
  <c r="E2450" i="2"/>
  <c r="D2450" i="2"/>
  <c r="C2450" i="2"/>
  <c r="B2450" i="2"/>
  <c r="A2450" i="2"/>
  <c r="F2449" i="2"/>
  <c r="E2449" i="2"/>
  <c r="D2449" i="2"/>
  <c r="C2449" i="2"/>
  <c r="B2449" i="2"/>
  <c r="A2449" i="2"/>
  <c r="F2448" i="2"/>
  <c r="E2448" i="2"/>
  <c r="D2448" i="2"/>
  <c r="C2448" i="2"/>
  <c r="B2448" i="2"/>
  <c r="A2448" i="2"/>
  <c r="F2447" i="2"/>
  <c r="E2447" i="2"/>
  <c r="D2447" i="2"/>
  <c r="C2447" i="2"/>
  <c r="B2447" i="2"/>
  <c r="A2447" i="2"/>
  <c r="F2446" i="2"/>
  <c r="E2446" i="2"/>
  <c r="D2446" i="2"/>
  <c r="C2446" i="2"/>
  <c r="B2446" i="2"/>
  <c r="A2446" i="2"/>
  <c r="F2445" i="2"/>
  <c r="E2445" i="2"/>
  <c r="D2445" i="2"/>
  <c r="C2445" i="2"/>
  <c r="B2445" i="2"/>
  <c r="A2445" i="2"/>
  <c r="F2444" i="2"/>
  <c r="E2444" i="2"/>
  <c r="D2444" i="2"/>
  <c r="C2444" i="2"/>
  <c r="B2444" i="2"/>
  <c r="A2444" i="2"/>
  <c r="F2443" i="2"/>
  <c r="E2443" i="2"/>
  <c r="D2443" i="2"/>
  <c r="C2443" i="2"/>
  <c r="B2443" i="2"/>
  <c r="A2443" i="2"/>
  <c r="F2442" i="2"/>
  <c r="E2442" i="2"/>
  <c r="D2442" i="2"/>
  <c r="C2442" i="2"/>
  <c r="B2442" i="2"/>
  <c r="A2442" i="2"/>
  <c r="F2441" i="2"/>
  <c r="E2441" i="2"/>
  <c r="D2441" i="2"/>
  <c r="C2441" i="2"/>
  <c r="B2441" i="2"/>
  <c r="A2441" i="2"/>
  <c r="F2440" i="2"/>
  <c r="E2440" i="2"/>
  <c r="D2440" i="2"/>
  <c r="C2440" i="2"/>
  <c r="B2440" i="2"/>
  <c r="A2440" i="2"/>
  <c r="F2439" i="2"/>
  <c r="E2439" i="2"/>
  <c r="D2439" i="2"/>
  <c r="C2439" i="2"/>
  <c r="B2439" i="2"/>
  <c r="A2439" i="2"/>
  <c r="F2438" i="2"/>
  <c r="E2438" i="2"/>
  <c r="D2438" i="2"/>
  <c r="C2438" i="2"/>
  <c r="B2438" i="2"/>
  <c r="A2438" i="2"/>
  <c r="F2437" i="2"/>
  <c r="E2437" i="2"/>
  <c r="D2437" i="2"/>
  <c r="C2437" i="2"/>
  <c r="B2437" i="2"/>
  <c r="A2437" i="2"/>
  <c r="F2436" i="2"/>
  <c r="E2436" i="2"/>
  <c r="D2436" i="2"/>
  <c r="C2436" i="2"/>
  <c r="B2436" i="2"/>
  <c r="A2436" i="2"/>
  <c r="F2435" i="2"/>
  <c r="E2435" i="2"/>
  <c r="D2435" i="2"/>
  <c r="C2435" i="2"/>
  <c r="B2435" i="2"/>
  <c r="A2435" i="2"/>
  <c r="F2434" i="2"/>
  <c r="E2434" i="2"/>
  <c r="D2434" i="2"/>
  <c r="C2434" i="2"/>
  <c r="B2434" i="2"/>
  <c r="A2434" i="2"/>
  <c r="F2433" i="2"/>
  <c r="E2433" i="2"/>
  <c r="D2433" i="2"/>
  <c r="C2433" i="2"/>
  <c r="B2433" i="2"/>
  <c r="A2433" i="2"/>
  <c r="F2432" i="2"/>
  <c r="E2432" i="2"/>
  <c r="D2432" i="2"/>
  <c r="C2432" i="2"/>
  <c r="B2432" i="2"/>
  <c r="A2432" i="2"/>
  <c r="F2431" i="2"/>
  <c r="E2431" i="2"/>
  <c r="D2431" i="2"/>
  <c r="C2431" i="2"/>
  <c r="B2431" i="2"/>
  <c r="A2431" i="2"/>
  <c r="F2430" i="2"/>
  <c r="E2430" i="2"/>
  <c r="D2430" i="2"/>
  <c r="C2430" i="2"/>
  <c r="B2430" i="2"/>
  <c r="A2430" i="2"/>
  <c r="F2429" i="2"/>
  <c r="E2429" i="2"/>
  <c r="D2429" i="2"/>
  <c r="C2429" i="2"/>
  <c r="B2429" i="2"/>
  <c r="A2429" i="2"/>
  <c r="F2428" i="2"/>
  <c r="E2428" i="2"/>
  <c r="D2428" i="2"/>
  <c r="C2428" i="2"/>
  <c r="B2428" i="2"/>
  <c r="A2428" i="2"/>
  <c r="F2427" i="2"/>
  <c r="E2427" i="2"/>
  <c r="D2427" i="2"/>
  <c r="C2427" i="2"/>
  <c r="B2427" i="2"/>
  <c r="A2427" i="2"/>
  <c r="F2426" i="2"/>
  <c r="E2426" i="2"/>
  <c r="D2426" i="2"/>
  <c r="C2426" i="2"/>
  <c r="B2426" i="2"/>
  <c r="A2426" i="2"/>
  <c r="F2425" i="2"/>
  <c r="E2425" i="2"/>
  <c r="D2425" i="2"/>
  <c r="C2425" i="2"/>
  <c r="B2425" i="2"/>
  <c r="A2425" i="2"/>
  <c r="F2424" i="2"/>
  <c r="E2424" i="2"/>
  <c r="D2424" i="2"/>
  <c r="C2424" i="2"/>
  <c r="B2424" i="2"/>
  <c r="A2424" i="2"/>
  <c r="F2423" i="2"/>
  <c r="E2423" i="2"/>
  <c r="D2423" i="2"/>
  <c r="C2423" i="2"/>
  <c r="B2423" i="2"/>
  <c r="A2423" i="2"/>
  <c r="F2422" i="2"/>
  <c r="E2422" i="2"/>
  <c r="D2422" i="2"/>
  <c r="C2422" i="2"/>
  <c r="B2422" i="2"/>
  <c r="A2422" i="2"/>
  <c r="F2421" i="2"/>
  <c r="E2421" i="2"/>
  <c r="D2421" i="2"/>
  <c r="C2421" i="2"/>
  <c r="B2421" i="2"/>
  <c r="A2421" i="2"/>
  <c r="F2420" i="2"/>
  <c r="E2420" i="2"/>
  <c r="D2420" i="2"/>
  <c r="C2420" i="2"/>
  <c r="B2420" i="2"/>
  <c r="A2420" i="2"/>
  <c r="F2419" i="2"/>
  <c r="E2419" i="2"/>
  <c r="D2419" i="2"/>
  <c r="C2419" i="2"/>
  <c r="B2419" i="2"/>
  <c r="A2419" i="2"/>
  <c r="F2418" i="2"/>
  <c r="E2418" i="2"/>
  <c r="D2418" i="2"/>
  <c r="C2418" i="2"/>
  <c r="B2418" i="2"/>
  <c r="A2418" i="2"/>
  <c r="F2417" i="2"/>
  <c r="E2417" i="2"/>
  <c r="D2417" i="2"/>
  <c r="C2417" i="2"/>
  <c r="B2417" i="2"/>
  <c r="A2417" i="2"/>
  <c r="F2416" i="2"/>
  <c r="E2416" i="2"/>
  <c r="D2416" i="2"/>
  <c r="C2416" i="2"/>
  <c r="B2416" i="2"/>
  <c r="A2416" i="2"/>
  <c r="F2415" i="2"/>
  <c r="E2415" i="2"/>
  <c r="D2415" i="2"/>
  <c r="C2415" i="2"/>
  <c r="B2415" i="2"/>
  <c r="A2415" i="2"/>
  <c r="F2414" i="2"/>
  <c r="E2414" i="2"/>
  <c r="D2414" i="2"/>
  <c r="C2414" i="2"/>
  <c r="B2414" i="2"/>
  <c r="A2414" i="2"/>
  <c r="F2413" i="2"/>
  <c r="E2413" i="2"/>
  <c r="D2413" i="2"/>
  <c r="C2413" i="2"/>
  <c r="B2413" i="2"/>
  <c r="A2413" i="2"/>
  <c r="F2412" i="2"/>
  <c r="E2412" i="2"/>
  <c r="D2412" i="2"/>
  <c r="C2412" i="2"/>
  <c r="B2412" i="2"/>
  <c r="A2412" i="2"/>
  <c r="F2411" i="2"/>
  <c r="E2411" i="2"/>
  <c r="D2411" i="2"/>
  <c r="C2411" i="2"/>
  <c r="B2411" i="2"/>
  <c r="A2411" i="2"/>
  <c r="F2410" i="2"/>
  <c r="E2410" i="2"/>
  <c r="D2410" i="2"/>
  <c r="C2410" i="2"/>
  <c r="B2410" i="2"/>
  <c r="A2410" i="2"/>
  <c r="F2409" i="2"/>
  <c r="E2409" i="2"/>
  <c r="D2409" i="2"/>
  <c r="C2409" i="2"/>
  <c r="B2409" i="2"/>
  <c r="A2409" i="2"/>
  <c r="F2408" i="2"/>
  <c r="E2408" i="2"/>
  <c r="D2408" i="2"/>
  <c r="C2408" i="2"/>
  <c r="B2408" i="2"/>
  <c r="A2408" i="2"/>
  <c r="F2407" i="2"/>
  <c r="E2407" i="2"/>
  <c r="D2407" i="2"/>
  <c r="C2407" i="2"/>
  <c r="B2407" i="2"/>
  <c r="A2407" i="2"/>
  <c r="F2406" i="2"/>
  <c r="E2406" i="2"/>
  <c r="D2406" i="2"/>
  <c r="C2406" i="2"/>
  <c r="B2406" i="2"/>
  <c r="A2406" i="2"/>
  <c r="F2405" i="2"/>
  <c r="E2405" i="2"/>
  <c r="D2405" i="2"/>
  <c r="C2405" i="2"/>
  <c r="B2405" i="2"/>
  <c r="A2405" i="2"/>
  <c r="F2404" i="2"/>
  <c r="E2404" i="2"/>
  <c r="D2404" i="2"/>
  <c r="C2404" i="2"/>
  <c r="B2404" i="2"/>
  <c r="A2404" i="2"/>
  <c r="F2403" i="2"/>
  <c r="E2403" i="2"/>
  <c r="D2403" i="2"/>
  <c r="C2403" i="2"/>
  <c r="B2403" i="2"/>
  <c r="A2403" i="2"/>
  <c r="F2402" i="2"/>
  <c r="E2402" i="2"/>
  <c r="D2402" i="2"/>
  <c r="C2402" i="2"/>
  <c r="B2402" i="2"/>
  <c r="A2402" i="2"/>
  <c r="F2401" i="2"/>
  <c r="E2401" i="2"/>
  <c r="D2401" i="2"/>
  <c r="C2401" i="2"/>
  <c r="B2401" i="2"/>
  <c r="A2401" i="2"/>
  <c r="F2400" i="2"/>
  <c r="E2400" i="2"/>
  <c r="D2400" i="2"/>
  <c r="C2400" i="2"/>
  <c r="B2400" i="2"/>
  <c r="A2400" i="2"/>
  <c r="F2399" i="2"/>
  <c r="E2399" i="2"/>
  <c r="D2399" i="2"/>
  <c r="C2399" i="2"/>
  <c r="B2399" i="2"/>
  <c r="A2399" i="2"/>
  <c r="F2398" i="2"/>
  <c r="E2398" i="2"/>
  <c r="D2398" i="2"/>
  <c r="C2398" i="2"/>
  <c r="B2398" i="2"/>
  <c r="A2398" i="2"/>
  <c r="F2397" i="2"/>
  <c r="E2397" i="2"/>
  <c r="D2397" i="2"/>
  <c r="C2397" i="2"/>
  <c r="B2397" i="2"/>
  <c r="A2397" i="2"/>
  <c r="F2396" i="2"/>
  <c r="E2396" i="2"/>
  <c r="D2396" i="2"/>
  <c r="C2396" i="2"/>
  <c r="B2396" i="2"/>
  <c r="A2396" i="2"/>
  <c r="F2395" i="2"/>
  <c r="E2395" i="2"/>
  <c r="D2395" i="2"/>
  <c r="C2395" i="2"/>
  <c r="B2395" i="2"/>
  <c r="A2395" i="2"/>
  <c r="F2394" i="2"/>
  <c r="E2394" i="2"/>
  <c r="D2394" i="2"/>
  <c r="C2394" i="2"/>
  <c r="B2394" i="2"/>
  <c r="A2394" i="2"/>
  <c r="F2393" i="2"/>
  <c r="E2393" i="2"/>
  <c r="D2393" i="2"/>
  <c r="C2393" i="2"/>
  <c r="B2393" i="2"/>
  <c r="A2393" i="2"/>
  <c r="F2392" i="2"/>
  <c r="E2392" i="2"/>
  <c r="D2392" i="2"/>
  <c r="C2392" i="2"/>
  <c r="B2392" i="2"/>
  <c r="A2392" i="2"/>
  <c r="F2391" i="2"/>
  <c r="E2391" i="2"/>
  <c r="D2391" i="2"/>
  <c r="C2391" i="2"/>
  <c r="B2391" i="2"/>
  <c r="A2391" i="2"/>
  <c r="F2390" i="2"/>
  <c r="E2390" i="2"/>
  <c r="D2390" i="2"/>
  <c r="C2390" i="2"/>
  <c r="B2390" i="2"/>
  <c r="A2390" i="2"/>
  <c r="F2389" i="2"/>
  <c r="E2389" i="2"/>
  <c r="D2389" i="2"/>
  <c r="C2389" i="2"/>
  <c r="B2389" i="2"/>
  <c r="A2389" i="2"/>
  <c r="F2388" i="2"/>
  <c r="E2388" i="2"/>
  <c r="D2388" i="2"/>
  <c r="C2388" i="2"/>
  <c r="B2388" i="2"/>
  <c r="A2388" i="2"/>
  <c r="F2387" i="2"/>
  <c r="E2387" i="2"/>
  <c r="D2387" i="2"/>
  <c r="C2387" i="2"/>
  <c r="B2387" i="2"/>
  <c r="A2387" i="2"/>
  <c r="F2386" i="2"/>
  <c r="E2386" i="2"/>
  <c r="D2386" i="2"/>
  <c r="C2386" i="2"/>
  <c r="B2386" i="2"/>
  <c r="A2386" i="2"/>
  <c r="F2385" i="2"/>
  <c r="E2385" i="2"/>
  <c r="D2385" i="2"/>
  <c r="C2385" i="2"/>
  <c r="B2385" i="2"/>
  <c r="A2385" i="2"/>
  <c r="F2384" i="2"/>
  <c r="E2384" i="2"/>
  <c r="D2384" i="2"/>
  <c r="C2384" i="2"/>
  <c r="B2384" i="2"/>
  <c r="A2384" i="2"/>
  <c r="F2383" i="2"/>
  <c r="E2383" i="2"/>
  <c r="D2383" i="2"/>
  <c r="C2383" i="2"/>
  <c r="B2383" i="2"/>
  <c r="A2383" i="2"/>
  <c r="F2382" i="2"/>
  <c r="E2382" i="2"/>
  <c r="D2382" i="2"/>
  <c r="C2382" i="2"/>
  <c r="B2382" i="2"/>
  <c r="A2382" i="2"/>
  <c r="F2381" i="2"/>
  <c r="E2381" i="2"/>
  <c r="D2381" i="2"/>
  <c r="C2381" i="2"/>
  <c r="B2381" i="2"/>
  <c r="A2381" i="2"/>
  <c r="F2380" i="2"/>
  <c r="E2380" i="2"/>
  <c r="D2380" i="2"/>
  <c r="C2380" i="2"/>
  <c r="B2380" i="2"/>
  <c r="A2380" i="2"/>
  <c r="F2379" i="2"/>
  <c r="E2379" i="2"/>
  <c r="D2379" i="2"/>
  <c r="C2379" i="2"/>
  <c r="B2379" i="2"/>
  <c r="A2379" i="2"/>
  <c r="F2378" i="2"/>
  <c r="E2378" i="2"/>
  <c r="D2378" i="2"/>
  <c r="C2378" i="2"/>
  <c r="B2378" i="2"/>
  <c r="A2378" i="2"/>
  <c r="F2377" i="2"/>
  <c r="E2377" i="2"/>
  <c r="D2377" i="2"/>
  <c r="C2377" i="2"/>
  <c r="B2377" i="2"/>
  <c r="A2377" i="2"/>
  <c r="F2376" i="2"/>
  <c r="E2376" i="2"/>
  <c r="D2376" i="2"/>
  <c r="C2376" i="2"/>
  <c r="B2376" i="2"/>
  <c r="A2376" i="2"/>
  <c r="F2375" i="2"/>
  <c r="E2375" i="2"/>
  <c r="D2375" i="2"/>
  <c r="C2375" i="2"/>
  <c r="B2375" i="2"/>
  <c r="A2375" i="2"/>
  <c r="F2374" i="2"/>
  <c r="E2374" i="2"/>
  <c r="D2374" i="2"/>
  <c r="C2374" i="2"/>
  <c r="B2374" i="2"/>
  <c r="A2374" i="2"/>
  <c r="F2373" i="2"/>
  <c r="E2373" i="2"/>
  <c r="D2373" i="2"/>
  <c r="C2373" i="2"/>
  <c r="B2373" i="2"/>
  <c r="A2373" i="2"/>
  <c r="F2372" i="2"/>
  <c r="E2372" i="2"/>
  <c r="D2372" i="2"/>
  <c r="C2372" i="2"/>
  <c r="B2372" i="2"/>
  <c r="A2372" i="2"/>
  <c r="F2371" i="2"/>
  <c r="E2371" i="2"/>
  <c r="D2371" i="2"/>
  <c r="C2371" i="2"/>
  <c r="B2371" i="2"/>
  <c r="A2371" i="2"/>
  <c r="F2370" i="2"/>
  <c r="E2370" i="2"/>
  <c r="D2370" i="2"/>
  <c r="C2370" i="2"/>
  <c r="B2370" i="2"/>
  <c r="A2370" i="2"/>
  <c r="F2369" i="2"/>
  <c r="E2369" i="2"/>
  <c r="D2369" i="2"/>
  <c r="C2369" i="2"/>
  <c r="B2369" i="2"/>
  <c r="A2369" i="2"/>
  <c r="F2368" i="2"/>
  <c r="E2368" i="2"/>
  <c r="D2368" i="2"/>
  <c r="C2368" i="2"/>
  <c r="B2368" i="2"/>
  <c r="A2368" i="2"/>
  <c r="F2367" i="2"/>
  <c r="E2367" i="2"/>
  <c r="D2367" i="2"/>
  <c r="C2367" i="2"/>
  <c r="B2367" i="2"/>
  <c r="A2367" i="2"/>
  <c r="F2366" i="2"/>
  <c r="E2366" i="2"/>
  <c r="D2366" i="2"/>
  <c r="C2366" i="2"/>
  <c r="B2366" i="2"/>
  <c r="A2366" i="2"/>
  <c r="F2365" i="2"/>
  <c r="E2365" i="2"/>
  <c r="D2365" i="2"/>
  <c r="C2365" i="2"/>
  <c r="B2365" i="2"/>
  <c r="A2365" i="2"/>
  <c r="F2364" i="2"/>
  <c r="E2364" i="2"/>
  <c r="D2364" i="2"/>
  <c r="C2364" i="2"/>
  <c r="B2364" i="2"/>
  <c r="A2364" i="2"/>
  <c r="F2363" i="2"/>
  <c r="E2363" i="2"/>
  <c r="D2363" i="2"/>
  <c r="C2363" i="2"/>
  <c r="B2363" i="2"/>
  <c r="A2363" i="2"/>
  <c r="F2362" i="2"/>
  <c r="E2362" i="2"/>
  <c r="D2362" i="2"/>
  <c r="C2362" i="2"/>
  <c r="B2362" i="2"/>
  <c r="A2362" i="2"/>
  <c r="F2361" i="2"/>
  <c r="E2361" i="2"/>
  <c r="D2361" i="2"/>
  <c r="C2361" i="2"/>
  <c r="B2361" i="2"/>
  <c r="A2361" i="2"/>
  <c r="F2360" i="2"/>
  <c r="E2360" i="2"/>
  <c r="D2360" i="2"/>
  <c r="C2360" i="2"/>
  <c r="B2360" i="2"/>
  <c r="A2360" i="2"/>
  <c r="F2359" i="2"/>
  <c r="E2359" i="2"/>
  <c r="D2359" i="2"/>
  <c r="C2359" i="2"/>
  <c r="B2359" i="2"/>
  <c r="A2359" i="2"/>
  <c r="F2358" i="2"/>
  <c r="E2358" i="2"/>
  <c r="D2358" i="2"/>
  <c r="C2358" i="2"/>
  <c r="B2358" i="2"/>
  <c r="A2358" i="2"/>
  <c r="F2357" i="2"/>
  <c r="E2357" i="2"/>
  <c r="D2357" i="2"/>
  <c r="C2357" i="2"/>
  <c r="B2357" i="2"/>
  <c r="A2357" i="2"/>
  <c r="F2356" i="2"/>
  <c r="E2356" i="2"/>
  <c r="D2356" i="2"/>
  <c r="C2356" i="2"/>
  <c r="B2356" i="2"/>
  <c r="A2356" i="2"/>
  <c r="F2355" i="2"/>
  <c r="E2355" i="2"/>
  <c r="D2355" i="2"/>
  <c r="C2355" i="2"/>
  <c r="B2355" i="2"/>
  <c r="A2355" i="2"/>
  <c r="F2354" i="2"/>
  <c r="E2354" i="2"/>
  <c r="D2354" i="2"/>
  <c r="C2354" i="2"/>
  <c r="B2354" i="2"/>
  <c r="A2354" i="2"/>
  <c r="F2353" i="2"/>
  <c r="E2353" i="2"/>
  <c r="D2353" i="2"/>
  <c r="C2353" i="2"/>
  <c r="B2353" i="2"/>
  <c r="A2353" i="2"/>
  <c r="F2352" i="2"/>
  <c r="E2352" i="2"/>
  <c r="D2352" i="2"/>
  <c r="C2352" i="2"/>
  <c r="B2352" i="2"/>
  <c r="A2352" i="2"/>
  <c r="F2351" i="2"/>
  <c r="E2351" i="2"/>
  <c r="D2351" i="2"/>
  <c r="C2351" i="2"/>
  <c r="B2351" i="2"/>
  <c r="A2351" i="2"/>
  <c r="F2350" i="2"/>
  <c r="E2350" i="2"/>
  <c r="D2350" i="2"/>
  <c r="C2350" i="2"/>
  <c r="B2350" i="2"/>
  <c r="A2350" i="2"/>
  <c r="F2349" i="2"/>
  <c r="E2349" i="2"/>
  <c r="D2349" i="2"/>
  <c r="C2349" i="2"/>
  <c r="B2349" i="2"/>
  <c r="A2349" i="2"/>
  <c r="F2348" i="2"/>
  <c r="E2348" i="2"/>
  <c r="D2348" i="2"/>
  <c r="C2348" i="2"/>
  <c r="B2348" i="2"/>
  <c r="A2348" i="2"/>
  <c r="F2347" i="2"/>
  <c r="E2347" i="2"/>
  <c r="D2347" i="2"/>
  <c r="C2347" i="2"/>
  <c r="B2347" i="2"/>
  <c r="A2347" i="2"/>
  <c r="F2346" i="2"/>
  <c r="E2346" i="2"/>
  <c r="D2346" i="2"/>
  <c r="C2346" i="2"/>
  <c r="B2346" i="2"/>
  <c r="A2346" i="2"/>
  <c r="F2345" i="2"/>
  <c r="E2345" i="2"/>
  <c r="D2345" i="2"/>
  <c r="C2345" i="2"/>
  <c r="B2345" i="2"/>
  <c r="A2345" i="2"/>
  <c r="F2344" i="2"/>
  <c r="E2344" i="2"/>
  <c r="D2344" i="2"/>
  <c r="C2344" i="2"/>
  <c r="B2344" i="2"/>
  <c r="A2344" i="2"/>
  <c r="F2343" i="2"/>
  <c r="E2343" i="2"/>
  <c r="D2343" i="2"/>
  <c r="C2343" i="2"/>
  <c r="B2343" i="2"/>
  <c r="A2343" i="2"/>
  <c r="F2342" i="2"/>
  <c r="E2342" i="2"/>
  <c r="D2342" i="2"/>
  <c r="C2342" i="2"/>
  <c r="B2342" i="2"/>
  <c r="A2342" i="2"/>
  <c r="F2341" i="2"/>
  <c r="E2341" i="2"/>
  <c r="D2341" i="2"/>
  <c r="C2341" i="2"/>
  <c r="B2341" i="2"/>
  <c r="A2341" i="2"/>
  <c r="F2340" i="2"/>
  <c r="E2340" i="2"/>
  <c r="D2340" i="2"/>
  <c r="C2340" i="2"/>
  <c r="B2340" i="2"/>
  <c r="A2340" i="2"/>
  <c r="F2339" i="2"/>
  <c r="E2339" i="2"/>
  <c r="D2339" i="2"/>
  <c r="C2339" i="2"/>
  <c r="B2339" i="2"/>
  <c r="A2339" i="2"/>
  <c r="F2338" i="2"/>
  <c r="E2338" i="2"/>
  <c r="D2338" i="2"/>
  <c r="C2338" i="2"/>
  <c r="B2338" i="2"/>
  <c r="A2338" i="2"/>
  <c r="F2337" i="2"/>
  <c r="E2337" i="2"/>
  <c r="D2337" i="2"/>
  <c r="C2337" i="2"/>
  <c r="B2337" i="2"/>
  <c r="A2337" i="2"/>
  <c r="F2336" i="2"/>
  <c r="E2336" i="2"/>
  <c r="D2336" i="2"/>
  <c r="C2336" i="2"/>
  <c r="B2336" i="2"/>
  <c r="A2336" i="2"/>
  <c r="F2335" i="2"/>
  <c r="E2335" i="2"/>
  <c r="D2335" i="2"/>
  <c r="C2335" i="2"/>
  <c r="B2335" i="2"/>
  <c r="A2335" i="2"/>
  <c r="F2334" i="2"/>
  <c r="E2334" i="2"/>
  <c r="D2334" i="2"/>
  <c r="C2334" i="2"/>
  <c r="B2334" i="2"/>
  <c r="A2334" i="2"/>
  <c r="F2333" i="2"/>
  <c r="E2333" i="2"/>
  <c r="D2333" i="2"/>
  <c r="C2333" i="2"/>
  <c r="B2333" i="2"/>
  <c r="A2333" i="2"/>
  <c r="F2332" i="2"/>
  <c r="E2332" i="2"/>
  <c r="D2332" i="2"/>
  <c r="C2332" i="2"/>
  <c r="B2332" i="2"/>
  <c r="A2332" i="2"/>
  <c r="F2331" i="2"/>
  <c r="E2331" i="2"/>
  <c r="D2331" i="2"/>
  <c r="C2331" i="2"/>
  <c r="B2331" i="2"/>
  <c r="A2331" i="2"/>
  <c r="F2330" i="2"/>
  <c r="E2330" i="2"/>
  <c r="D2330" i="2"/>
  <c r="C2330" i="2"/>
  <c r="B2330" i="2"/>
  <c r="A2330" i="2"/>
  <c r="F2329" i="2"/>
  <c r="E2329" i="2"/>
  <c r="D2329" i="2"/>
  <c r="C2329" i="2"/>
  <c r="B2329" i="2"/>
  <c r="A2329" i="2"/>
  <c r="F2328" i="2"/>
  <c r="E2328" i="2"/>
  <c r="D2328" i="2"/>
  <c r="C2328" i="2"/>
  <c r="B2328" i="2"/>
  <c r="A2328" i="2"/>
  <c r="F2327" i="2"/>
  <c r="E2327" i="2"/>
  <c r="D2327" i="2"/>
  <c r="C2327" i="2"/>
  <c r="B2327" i="2"/>
  <c r="A2327" i="2"/>
  <c r="F2326" i="2"/>
  <c r="E2326" i="2"/>
  <c r="D2326" i="2"/>
  <c r="C2326" i="2"/>
  <c r="B2326" i="2"/>
  <c r="A2326" i="2"/>
  <c r="F2325" i="2"/>
  <c r="E2325" i="2"/>
  <c r="D2325" i="2"/>
  <c r="C2325" i="2"/>
  <c r="B2325" i="2"/>
  <c r="A2325" i="2"/>
  <c r="F2324" i="2"/>
  <c r="E2324" i="2"/>
  <c r="D2324" i="2"/>
  <c r="C2324" i="2"/>
  <c r="B2324" i="2"/>
  <c r="A2324" i="2"/>
  <c r="F2323" i="2"/>
  <c r="E2323" i="2"/>
  <c r="D2323" i="2"/>
  <c r="C2323" i="2"/>
  <c r="B2323" i="2"/>
  <c r="A2323" i="2"/>
  <c r="F2322" i="2"/>
  <c r="E2322" i="2"/>
  <c r="D2322" i="2"/>
  <c r="C2322" i="2"/>
  <c r="B2322" i="2"/>
  <c r="A2322" i="2"/>
  <c r="F2321" i="2"/>
  <c r="E2321" i="2"/>
  <c r="D2321" i="2"/>
  <c r="C2321" i="2"/>
  <c r="B2321" i="2"/>
  <c r="A2321" i="2"/>
  <c r="F2320" i="2"/>
  <c r="E2320" i="2"/>
  <c r="D2320" i="2"/>
  <c r="C2320" i="2"/>
  <c r="B2320" i="2"/>
  <c r="A2320" i="2"/>
  <c r="F2319" i="2"/>
  <c r="E2319" i="2"/>
  <c r="D2319" i="2"/>
  <c r="C2319" i="2"/>
  <c r="B2319" i="2"/>
  <c r="A2319" i="2"/>
  <c r="F2318" i="2"/>
  <c r="E2318" i="2"/>
  <c r="D2318" i="2"/>
  <c r="C2318" i="2"/>
  <c r="B2318" i="2"/>
  <c r="A2318" i="2"/>
  <c r="F2317" i="2"/>
  <c r="E2317" i="2"/>
  <c r="D2317" i="2"/>
  <c r="C2317" i="2"/>
  <c r="B2317" i="2"/>
  <c r="A2317" i="2"/>
  <c r="F2316" i="2"/>
  <c r="E2316" i="2"/>
  <c r="D2316" i="2"/>
  <c r="C2316" i="2"/>
  <c r="B2316" i="2"/>
  <c r="A2316" i="2"/>
  <c r="F2315" i="2"/>
  <c r="E2315" i="2"/>
  <c r="D2315" i="2"/>
  <c r="C2315" i="2"/>
  <c r="B2315" i="2"/>
  <c r="A2315" i="2"/>
  <c r="F2314" i="2"/>
  <c r="E2314" i="2"/>
  <c r="D2314" i="2"/>
  <c r="C2314" i="2"/>
  <c r="B2314" i="2"/>
  <c r="A2314" i="2"/>
  <c r="F2313" i="2"/>
  <c r="E2313" i="2"/>
  <c r="D2313" i="2"/>
  <c r="C2313" i="2"/>
  <c r="B2313" i="2"/>
  <c r="A2313" i="2"/>
  <c r="F2312" i="2"/>
  <c r="E2312" i="2"/>
  <c r="D2312" i="2"/>
  <c r="C2312" i="2"/>
  <c r="B2312" i="2"/>
  <c r="A2312" i="2"/>
  <c r="F2311" i="2"/>
  <c r="E2311" i="2"/>
  <c r="D2311" i="2"/>
  <c r="C2311" i="2"/>
  <c r="B2311" i="2"/>
  <c r="A2311" i="2"/>
  <c r="F2310" i="2"/>
  <c r="E2310" i="2"/>
  <c r="D2310" i="2"/>
  <c r="C2310" i="2"/>
  <c r="B2310" i="2"/>
  <c r="A2310" i="2"/>
  <c r="F2309" i="2"/>
  <c r="E2309" i="2"/>
  <c r="D2309" i="2"/>
  <c r="C2309" i="2"/>
  <c r="B2309" i="2"/>
  <c r="A2309" i="2"/>
  <c r="F2308" i="2"/>
  <c r="E2308" i="2"/>
  <c r="D2308" i="2"/>
  <c r="C2308" i="2"/>
  <c r="B2308" i="2"/>
  <c r="A2308" i="2"/>
  <c r="F2307" i="2"/>
  <c r="E2307" i="2"/>
  <c r="D2307" i="2"/>
  <c r="C2307" i="2"/>
  <c r="B2307" i="2"/>
  <c r="A2307" i="2"/>
  <c r="F2306" i="2"/>
  <c r="E2306" i="2"/>
  <c r="D2306" i="2"/>
  <c r="C2306" i="2"/>
  <c r="B2306" i="2"/>
  <c r="A2306" i="2"/>
  <c r="F2305" i="2"/>
  <c r="E2305" i="2"/>
  <c r="D2305" i="2"/>
  <c r="C2305" i="2"/>
  <c r="B2305" i="2"/>
  <c r="A2305" i="2"/>
  <c r="F2304" i="2"/>
  <c r="E2304" i="2"/>
  <c r="D2304" i="2"/>
  <c r="C2304" i="2"/>
  <c r="B2304" i="2"/>
  <c r="A2304" i="2"/>
  <c r="F2303" i="2"/>
  <c r="E2303" i="2"/>
  <c r="D2303" i="2"/>
  <c r="C2303" i="2"/>
  <c r="B2303" i="2"/>
  <c r="A2303" i="2"/>
  <c r="F2302" i="2"/>
  <c r="E2302" i="2"/>
  <c r="D2302" i="2"/>
  <c r="C2302" i="2"/>
  <c r="B2302" i="2"/>
  <c r="A2302" i="2"/>
  <c r="F2301" i="2"/>
  <c r="E2301" i="2"/>
  <c r="D2301" i="2"/>
  <c r="C2301" i="2"/>
  <c r="B2301" i="2"/>
  <c r="A2301" i="2"/>
  <c r="F2300" i="2"/>
  <c r="E2300" i="2"/>
  <c r="D2300" i="2"/>
  <c r="C2300" i="2"/>
  <c r="B2300" i="2"/>
  <c r="A2300" i="2"/>
  <c r="F2299" i="2"/>
  <c r="E2299" i="2"/>
  <c r="D2299" i="2"/>
  <c r="C2299" i="2"/>
  <c r="B2299" i="2"/>
  <c r="A2299" i="2"/>
  <c r="F2298" i="2"/>
  <c r="E2298" i="2"/>
  <c r="D2298" i="2"/>
  <c r="C2298" i="2"/>
  <c r="B2298" i="2"/>
  <c r="A2298" i="2"/>
  <c r="F2297" i="2"/>
  <c r="E2297" i="2"/>
  <c r="D2297" i="2"/>
  <c r="C2297" i="2"/>
  <c r="B2297" i="2"/>
  <c r="A2297" i="2"/>
  <c r="F2296" i="2"/>
  <c r="E2296" i="2"/>
  <c r="D2296" i="2"/>
  <c r="C2296" i="2"/>
  <c r="B2296" i="2"/>
  <c r="A2296" i="2"/>
  <c r="F2295" i="2"/>
  <c r="E2295" i="2"/>
  <c r="D2295" i="2"/>
  <c r="C2295" i="2"/>
  <c r="B2295" i="2"/>
  <c r="A2295" i="2"/>
  <c r="F2294" i="2"/>
  <c r="E2294" i="2"/>
  <c r="D2294" i="2"/>
  <c r="C2294" i="2"/>
  <c r="B2294" i="2"/>
  <c r="A2294" i="2"/>
  <c r="F2293" i="2"/>
  <c r="E2293" i="2"/>
  <c r="D2293" i="2"/>
  <c r="C2293" i="2"/>
  <c r="B2293" i="2"/>
  <c r="A2293" i="2"/>
  <c r="F2292" i="2"/>
  <c r="E2292" i="2"/>
  <c r="D2292" i="2"/>
  <c r="C2292" i="2"/>
  <c r="B2292" i="2"/>
  <c r="A2292" i="2"/>
  <c r="F2291" i="2"/>
  <c r="E2291" i="2"/>
  <c r="D2291" i="2"/>
  <c r="C2291" i="2"/>
  <c r="B2291" i="2"/>
  <c r="A2291" i="2"/>
  <c r="F2290" i="2"/>
  <c r="E2290" i="2"/>
  <c r="D2290" i="2"/>
  <c r="C2290" i="2"/>
  <c r="B2290" i="2"/>
  <c r="A2290" i="2"/>
  <c r="F2289" i="2"/>
  <c r="E2289" i="2"/>
  <c r="D2289" i="2"/>
  <c r="C2289" i="2"/>
  <c r="B2289" i="2"/>
  <c r="A2289" i="2"/>
  <c r="F2288" i="2"/>
  <c r="E2288" i="2"/>
  <c r="D2288" i="2"/>
  <c r="C2288" i="2"/>
  <c r="B2288" i="2"/>
  <c r="A2288" i="2"/>
  <c r="F2287" i="2"/>
  <c r="E2287" i="2"/>
  <c r="D2287" i="2"/>
  <c r="C2287" i="2"/>
  <c r="B2287" i="2"/>
  <c r="A2287" i="2"/>
  <c r="F2286" i="2"/>
  <c r="E2286" i="2"/>
  <c r="D2286" i="2"/>
  <c r="C2286" i="2"/>
  <c r="B2286" i="2"/>
  <c r="A2286" i="2"/>
  <c r="F2285" i="2"/>
  <c r="E2285" i="2"/>
  <c r="D2285" i="2"/>
  <c r="C2285" i="2"/>
  <c r="B2285" i="2"/>
  <c r="A2285" i="2"/>
  <c r="F2284" i="2"/>
  <c r="E2284" i="2"/>
  <c r="D2284" i="2"/>
  <c r="C2284" i="2"/>
  <c r="B2284" i="2"/>
  <c r="A2284" i="2"/>
  <c r="F2283" i="2"/>
  <c r="E2283" i="2"/>
  <c r="D2283" i="2"/>
  <c r="C2283" i="2"/>
  <c r="B2283" i="2"/>
  <c r="A2283" i="2"/>
  <c r="F2282" i="2"/>
  <c r="E2282" i="2"/>
  <c r="D2282" i="2"/>
  <c r="C2282" i="2"/>
  <c r="B2282" i="2"/>
  <c r="A2282" i="2"/>
  <c r="F2281" i="2"/>
  <c r="E2281" i="2"/>
  <c r="D2281" i="2"/>
  <c r="C2281" i="2"/>
  <c r="B2281" i="2"/>
  <c r="A2281" i="2"/>
  <c r="F2280" i="2"/>
  <c r="E2280" i="2"/>
  <c r="D2280" i="2"/>
  <c r="C2280" i="2"/>
  <c r="B2280" i="2"/>
  <c r="A2280" i="2"/>
  <c r="F2279" i="2"/>
  <c r="E2279" i="2"/>
  <c r="D2279" i="2"/>
  <c r="C2279" i="2"/>
  <c r="B2279" i="2"/>
  <c r="A2279" i="2"/>
  <c r="F2278" i="2"/>
  <c r="E2278" i="2"/>
  <c r="D2278" i="2"/>
  <c r="C2278" i="2"/>
  <c r="B2278" i="2"/>
  <c r="A2278" i="2"/>
  <c r="F2277" i="2"/>
  <c r="E2277" i="2"/>
  <c r="D2277" i="2"/>
  <c r="C2277" i="2"/>
  <c r="B2277" i="2"/>
  <c r="A2277" i="2"/>
  <c r="F2276" i="2"/>
  <c r="E2276" i="2"/>
  <c r="D2276" i="2"/>
  <c r="C2276" i="2"/>
  <c r="B2276" i="2"/>
  <c r="A2276" i="2"/>
  <c r="F2275" i="2"/>
  <c r="E2275" i="2"/>
  <c r="D2275" i="2"/>
  <c r="C2275" i="2"/>
  <c r="B2275" i="2"/>
  <c r="A2275" i="2"/>
  <c r="F2274" i="2"/>
  <c r="E2274" i="2"/>
  <c r="D2274" i="2"/>
  <c r="C2274" i="2"/>
  <c r="B2274" i="2"/>
  <c r="A2274" i="2"/>
  <c r="F2273" i="2"/>
  <c r="E2273" i="2"/>
  <c r="D2273" i="2"/>
  <c r="C2273" i="2"/>
  <c r="B2273" i="2"/>
  <c r="A2273" i="2"/>
  <c r="F2272" i="2"/>
  <c r="E2272" i="2"/>
  <c r="D2272" i="2"/>
  <c r="C2272" i="2"/>
  <c r="B2272" i="2"/>
  <c r="A2272" i="2"/>
  <c r="F2271" i="2"/>
  <c r="E2271" i="2"/>
  <c r="D2271" i="2"/>
  <c r="C2271" i="2"/>
  <c r="B2271" i="2"/>
  <c r="A2271" i="2"/>
  <c r="F2270" i="2"/>
  <c r="E2270" i="2"/>
  <c r="D2270" i="2"/>
  <c r="C2270" i="2"/>
  <c r="B2270" i="2"/>
  <c r="A2270" i="2"/>
  <c r="F2269" i="2"/>
  <c r="E2269" i="2"/>
  <c r="D2269" i="2"/>
  <c r="C2269" i="2"/>
  <c r="B2269" i="2"/>
  <c r="A2269" i="2"/>
  <c r="F2268" i="2"/>
  <c r="E2268" i="2"/>
  <c r="D2268" i="2"/>
  <c r="C2268" i="2"/>
  <c r="B2268" i="2"/>
  <c r="A2268" i="2"/>
  <c r="F2267" i="2"/>
  <c r="E2267" i="2"/>
  <c r="D2267" i="2"/>
  <c r="C2267" i="2"/>
  <c r="B2267" i="2"/>
  <c r="A2267" i="2"/>
  <c r="F2266" i="2"/>
  <c r="E2266" i="2"/>
  <c r="D2266" i="2"/>
  <c r="C2266" i="2"/>
  <c r="B2266" i="2"/>
  <c r="A2266" i="2"/>
  <c r="F2265" i="2"/>
  <c r="E2265" i="2"/>
  <c r="D2265" i="2"/>
  <c r="C2265" i="2"/>
  <c r="B2265" i="2"/>
  <c r="A2265" i="2"/>
  <c r="F2264" i="2"/>
  <c r="E2264" i="2"/>
  <c r="D2264" i="2"/>
  <c r="C2264" i="2"/>
  <c r="B2264" i="2"/>
  <c r="A2264" i="2"/>
  <c r="F2263" i="2"/>
  <c r="E2263" i="2"/>
  <c r="D2263" i="2"/>
  <c r="C2263" i="2"/>
  <c r="B2263" i="2"/>
  <c r="A2263" i="2"/>
  <c r="F2262" i="2"/>
  <c r="E2262" i="2"/>
  <c r="D2262" i="2"/>
  <c r="C2262" i="2"/>
  <c r="B2262" i="2"/>
  <c r="A2262" i="2"/>
  <c r="F2261" i="2"/>
  <c r="E2261" i="2"/>
  <c r="D2261" i="2"/>
  <c r="C2261" i="2"/>
  <c r="B2261" i="2"/>
  <c r="A2261" i="2"/>
  <c r="F2260" i="2"/>
  <c r="E2260" i="2"/>
  <c r="D2260" i="2"/>
  <c r="C2260" i="2"/>
  <c r="B2260" i="2"/>
  <c r="A2260" i="2"/>
  <c r="F2259" i="2"/>
  <c r="E2259" i="2"/>
  <c r="D2259" i="2"/>
  <c r="C2259" i="2"/>
  <c r="B2259" i="2"/>
  <c r="A2259" i="2"/>
  <c r="F2258" i="2"/>
  <c r="E2258" i="2"/>
  <c r="D2258" i="2"/>
  <c r="C2258" i="2"/>
  <c r="B2258" i="2"/>
  <c r="A2258" i="2"/>
  <c r="F2257" i="2"/>
  <c r="E2257" i="2"/>
  <c r="D2257" i="2"/>
  <c r="C2257" i="2"/>
  <c r="B2257" i="2"/>
  <c r="A2257" i="2"/>
  <c r="F2256" i="2"/>
  <c r="E2256" i="2"/>
  <c r="D2256" i="2"/>
  <c r="C2256" i="2"/>
  <c r="B2256" i="2"/>
  <c r="A2256" i="2"/>
  <c r="F2255" i="2"/>
  <c r="E2255" i="2"/>
  <c r="D2255" i="2"/>
  <c r="C2255" i="2"/>
  <c r="B2255" i="2"/>
  <c r="A2255" i="2"/>
  <c r="F2254" i="2"/>
  <c r="E2254" i="2"/>
  <c r="D2254" i="2"/>
  <c r="C2254" i="2"/>
  <c r="B2254" i="2"/>
  <c r="A2254" i="2"/>
  <c r="F2253" i="2"/>
  <c r="E2253" i="2"/>
  <c r="D2253" i="2"/>
  <c r="C2253" i="2"/>
  <c r="B2253" i="2"/>
  <c r="A2253" i="2"/>
  <c r="F2252" i="2"/>
  <c r="E2252" i="2"/>
  <c r="D2252" i="2"/>
  <c r="C2252" i="2"/>
  <c r="B2252" i="2"/>
  <c r="A2252" i="2"/>
  <c r="F2251" i="2"/>
  <c r="E2251" i="2"/>
  <c r="D2251" i="2"/>
  <c r="C2251" i="2"/>
  <c r="B2251" i="2"/>
  <c r="A2251" i="2"/>
  <c r="F2250" i="2"/>
  <c r="E2250" i="2"/>
  <c r="D2250" i="2"/>
  <c r="C2250" i="2"/>
  <c r="B2250" i="2"/>
  <c r="A2250" i="2"/>
  <c r="F2249" i="2"/>
  <c r="E2249" i="2"/>
  <c r="D2249" i="2"/>
  <c r="C2249" i="2"/>
  <c r="B2249" i="2"/>
  <c r="A2249" i="2"/>
  <c r="F2248" i="2"/>
  <c r="E2248" i="2"/>
  <c r="D2248" i="2"/>
  <c r="C2248" i="2"/>
  <c r="B2248" i="2"/>
  <c r="A2248" i="2"/>
  <c r="F2247" i="2"/>
  <c r="E2247" i="2"/>
  <c r="D2247" i="2"/>
  <c r="C2247" i="2"/>
  <c r="B2247" i="2"/>
  <c r="A2247" i="2"/>
  <c r="F2246" i="2"/>
  <c r="E2246" i="2"/>
  <c r="D2246" i="2"/>
  <c r="C2246" i="2"/>
  <c r="B2246" i="2"/>
  <c r="A2246" i="2"/>
  <c r="F2245" i="2"/>
  <c r="E2245" i="2"/>
  <c r="D2245" i="2"/>
  <c r="C2245" i="2"/>
  <c r="B2245" i="2"/>
  <c r="A2245" i="2"/>
  <c r="F2244" i="2"/>
  <c r="E2244" i="2"/>
  <c r="D2244" i="2"/>
  <c r="C2244" i="2"/>
  <c r="B2244" i="2"/>
  <c r="A2244" i="2"/>
  <c r="F2243" i="2"/>
  <c r="E2243" i="2"/>
  <c r="D2243" i="2"/>
  <c r="C2243" i="2"/>
  <c r="B2243" i="2"/>
  <c r="A2243" i="2"/>
  <c r="F2242" i="2"/>
  <c r="E2242" i="2"/>
  <c r="D2242" i="2"/>
  <c r="C2242" i="2"/>
  <c r="B2242" i="2"/>
  <c r="A2242" i="2"/>
  <c r="F2241" i="2"/>
  <c r="E2241" i="2"/>
  <c r="D2241" i="2"/>
  <c r="C2241" i="2"/>
  <c r="B2241" i="2"/>
  <c r="A2241" i="2"/>
  <c r="F2240" i="2"/>
  <c r="E2240" i="2"/>
  <c r="D2240" i="2"/>
  <c r="C2240" i="2"/>
  <c r="B2240" i="2"/>
  <c r="A2240" i="2"/>
  <c r="F2239" i="2"/>
  <c r="E2239" i="2"/>
  <c r="D2239" i="2"/>
  <c r="C2239" i="2"/>
  <c r="B2239" i="2"/>
  <c r="A2239" i="2"/>
  <c r="F2238" i="2"/>
  <c r="E2238" i="2"/>
  <c r="D2238" i="2"/>
  <c r="C2238" i="2"/>
  <c r="B2238" i="2"/>
  <c r="A2238" i="2"/>
  <c r="F2237" i="2"/>
  <c r="E2237" i="2"/>
  <c r="D2237" i="2"/>
  <c r="C2237" i="2"/>
  <c r="B2237" i="2"/>
  <c r="A2237" i="2"/>
  <c r="F2236" i="2"/>
  <c r="E2236" i="2"/>
  <c r="D2236" i="2"/>
  <c r="C2236" i="2"/>
  <c r="B2236" i="2"/>
  <c r="A2236" i="2"/>
  <c r="F2235" i="2"/>
  <c r="E2235" i="2"/>
  <c r="D2235" i="2"/>
  <c r="C2235" i="2"/>
  <c r="B2235" i="2"/>
  <c r="A2235" i="2"/>
  <c r="F2234" i="2"/>
  <c r="E2234" i="2"/>
  <c r="D2234" i="2"/>
  <c r="C2234" i="2"/>
  <c r="B2234" i="2"/>
  <c r="A2234" i="2"/>
  <c r="F2233" i="2"/>
  <c r="E2233" i="2"/>
  <c r="D2233" i="2"/>
  <c r="C2233" i="2"/>
  <c r="B2233" i="2"/>
  <c r="A2233" i="2"/>
  <c r="F2232" i="2"/>
  <c r="E2232" i="2"/>
  <c r="D2232" i="2"/>
  <c r="C2232" i="2"/>
  <c r="B2232" i="2"/>
  <c r="A2232" i="2"/>
  <c r="F2231" i="2"/>
  <c r="E2231" i="2"/>
  <c r="D2231" i="2"/>
  <c r="C2231" i="2"/>
  <c r="B2231" i="2"/>
  <c r="A2231" i="2"/>
  <c r="F2230" i="2"/>
  <c r="E2230" i="2"/>
  <c r="D2230" i="2"/>
  <c r="C2230" i="2"/>
  <c r="B2230" i="2"/>
  <c r="A2230" i="2"/>
  <c r="F2229" i="2"/>
  <c r="E2229" i="2"/>
  <c r="D2229" i="2"/>
  <c r="C2229" i="2"/>
  <c r="B2229" i="2"/>
  <c r="A2229" i="2"/>
  <c r="F2228" i="2"/>
  <c r="E2228" i="2"/>
  <c r="D2228" i="2"/>
  <c r="C2228" i="2"/>
  <c r="B2228" i="2"/>
  <c r="A2228" i="2"/>
  <c r="F2227" i="2"/>
  <c r="E2227" i="2"/>
  <c r="D2227" i="2"/>
  <c r="C2227" i="2"/>
  <c r="B2227" i="2"/>
  <c r="A2227" i="2"/>
  <c r="F2226" i="2"/>
  <c r="E2226" i="2"/>
  <c r="D2226" i="2"/>
  <c r="C2226" i="2"/>
  <c r="B2226" i="2"/>
  <c r="A2226" i="2"/>
  <c r="F2225" i="2"/>
  <c r="E2225" i="2"/>
  <c r="D2225" i="2"/>
  <c r="C2225" i="2"/>
  <c r="B2225" i="2"/>
  <c r="A2225" i="2"/>
  <c r="F2224" i="2"/>
  <c r="E2224" i="2"/>
  <c r="D2224" i="2"/>
  <c r="C2224" i="2"/>
  <c r="B2224" i="2"/>
  <c r="A2224" i="2"/>
  <c r="F2223" i="2"/>
  <c r="E2223" i="2"/>
  <c r="D2223" i="2"/>
  <c r="C2223" i="2"/>
  <c r="B2223" i="2"/>
  <c r="A2223" i="2"/>
  <c r="F2222" i="2"/>
  <c r="E2222" i="2"/>
  <c r="D2222" i="2"/>
  <c r="C2222" i="2"/>
  <c r="B2222" i="2"/>
  <c r="A2222" i="2"/>
  <c r="F2221" i="2"/>
  <c r="E2221" i="2"/>
  <c r="D2221" i="2"/>
  <c r="C2221" i="2"/>
  <c r="B2221" i="2"/>
  <c r="A2221" i="2"/>
  <c r="F2220" i="2"/>
  <c r="E2220" i="2"/>
  <c r="D2220" i="2"/>
  <c r="C2220" i="2"/>
  <c r="B2220" i="2"/>
  <c r="A2220" i="2"/>
  <c r="F2219" i="2"/>
  <c r="E2219" i="2"/>
  <c r="D2219" i="2"/>
  <c r="C2219" i="2"/>
  <c r="B2219" i="2"/>
  <c r="A2219" i="2"/>
  <c r="F2218" i="2"/>
  <c r="E2218" i="2"/>
  <c r="D2218" i="2"/>
  <c r="C2218" i="2"/>
  <c r="B2218" i="2"/>
  <c r="A2218" i="2"/>
  <c r="F2217" i="2"/>
  <c r="E2217" i="2"/>
  <c r="D2217" i="2"/>
  <c r="C2217" i="2"/>
  <c r="B2217" i="2"/>
  <c r="A2217" i="2"/>
  <c r="F2216" i="2"/>
  <c r="E2216" i="2"/>
  <c r="D2216" i="2"/>
  <c r="C2216" i="2"/>
  <c r="B2216" i="2"/>
  <c r="A2216" i="2"/>
  <c r="F2215" i="2"/>
  <c r="E2215" i="2"/>
  <c r="D2215" i="2"/>
  <c r="C2215" i="2"/>
  <c r="B2215" i="2"/>
  <c r="A2215" i="2"/>
  <c r="F2214" i="2"/>
  <c r="E2214" i="2"/>
  <c r="D2214" i="2"/>
  <c r="C2214" i="2"/>
  <c r="B2214" i="2"/>
  <c r="A2214" i="2"/>
  <c r="F2213" i="2"/>
  <c r="E2213" i="2"/>
  <c r="D2213" i="2"/>
  <c r="C2213" i="2"/>
  <c r="B2213" i="2"/>
  <c r="A2213" i="2"/>
  <c r="F2212" i="2"/>
  <c r="E2212" i="2"/>
  <c r="D2212" i="2"/>
  <c r="C2212" i="2"/>
  <c r="B2212" i="2"/>
  <c r="A2212" i="2"/>
  <c r="F2211" i="2"/>
  <c r="E2211" i="2"/>
  <c r="D2211" i="2"/>
  <c r="C2211" i="2"/>
  <c r="B2211" i="2"/>
  <c r="A2211" i="2"/>
  <c r="F2210" i="2"/>
  <c r="E2210" i="2"/>
  <c r="D2210" i="2"/>
  <c r="C2210" i="2"/>
  <c r="B2210" i="2"/>
  <c r="A2210" i="2"/>
  <c r="F2209" i="2"/>
  <c r="E2209" i="2"/>
  <c r="D2209" i="2"/>
  <c r="C2209" i="2"/>
  <c r="B2209" i="2"/>
  <c r="A2209" i="2"/>
  <c r="F2208" i="2"/>
  <c r="E2208" i="2"/>
  <c r="D2208" i="2"/>
  <c r="C2208" i="2"/>
  <c r="B2208" i="2"/>
  <c r="A2208" i="2"/>
  <c r="F2207" i="2"/>
  <c r="E2207" i="2"/>
  <c r="D2207" i="2"/>
  <c r="C2207" i="2"/>
  <c r="B2207" i="2"/>
  <c r="A2207" i="2"/>
  <c r="F2206" i="2"/>
  <c r="E2206" i="2"/>
  <c r="D2206" i="2"/>
  <c r="C2206" i="2"/>
  <c r="B2206" i="2"/>
  <c r="A2206" i="2"/>
  <c r="F2205" i="2"/>
  <c r="E2205" i="2"/>
  <c r="D2205" i="2"/>
  <c r="C2205" i="2"/>
  <c r="B2205" i="2"/>
  <c r="A2205" i="2"/>
  <c r="F2204" i="2"/>
  <c r="E2204" i="2"/>
  <c r="D2204" i="2"/>
  <c r="C2204" i="2"/>
  <c r="B2204" i="2"/>
  <c r="A2204" i="2"/>
  <c r="F2203" i="2"/>
  <c r="E2203" i="2"/>
  <c r="D2203" i="2"/>
  <c r="C2203" i="2"/>
  <c r="B2203" i="2"/>
  <c r="A2203" i="2"/>
  <c r="F2202" i="2"/>
  <c r="E2202" i="2"/>
  <c r="D2202" i="2"/>
  <c r="C2202" i="2"/>
  <c r="B2202" i="2"/>
  <c r="A2202" i="2"/>
  <c r="F2201" i="2"/>
  <c r="E2201" i="2"/>
  <c r="D2201" i="2"/>
  <c r="C2201" i="2"/>
  <c r="B2201" i="2"/>
  <c r="A2201" i="2"/>
  <c r="F2200" i="2"/>
  <c r="E2200" i="2"/>
  <c r="D2200" i="2"/>
  <c r="C2200" i="2"/>
  <c r="B2200" i="2"/>
  <c r="A2200" i="2"/>
  <c r="F2199" i="2"/>
  <c r="E2199" i="2"/>
  <c r="D2199" i="2"/>
  <c r="C2199" i="2"/>
  <c r="B2199" i="2"/>
  <c r="A2199" i="2"/>
  <c r="F2198" i="2"/>
  <c r="E2198" i="2"/>
  <c r="D2198" i="2"/>
  <c r="C2198" i="2"/>
  <c r="B2198" i="2"/>
  <c r="A2198" i="2"/>
  <c r="F2197" i="2"/>
  <c r="E2197" i="2"/>
  <c r="D2197" i="2"/>
  <c r="C2197" i="2"/>
  <c r="B2197" i="2"/>
  <c r="A2197" i="2"/>
  <c r="F2196" i="2"/>
  <c r="E2196" i="2"/>
  <c r="D2196" i="2"/>
  <c r="C2196" i="2"/>
  <c r="B2196" i="2"/>
  <c r="A2196" i="2"/>
  <c r="F2195" i="2"/>
  <c r="E2195" i="2"/>
  <c r="D2195" i="2"/>
  <c r="C2195" i="2"/>
  <c r="B2195" i="2"/>
  <c r="A2195" i="2"/>
  <c r="F2194" i="2"/>
  <c r="E2194" i="2"/>
  <c r="D2194" i="2"/>
  <c r="C2194" i="2"/>
  <c r="B2194" i="2"/>
  <c r="A2194" i="2"/>
  <c r="F2193" i="2"/>
  <c r="E2193" i="2"/>
  <c r="D2193" i="2"/>
  <c r="C2193" i="2"/>
  <c r="B2193" i="2"/>
  <c r="A2193" i="2"/>
  <c r="F2192" i="2"/>
  <c r="E2192" i="2"/>
  <c r="D2192" i="2"/>
  <c r="C2192" i="2"/>
  <c r="B2192" i="2"/>
  <c r="A2192" i="2"/>
  <c r="F2191" i="2"/>
  <c r="E2191" i="2"/>
  <c r="D2191" i="2"/>
  <c r="C2191" i="2"/>
  <c r="B2191" i="2"/>
  <c r="A2191" i="2"/>
  <c r="F2190" i="2"/>
  <c r="E2190" i="2"/>
  <c r="D2190" i="2"/>
  <c r="C2190" i="2"/>
  <c r="B2190" i="2"/>
  <c r="A2190" i="2"/>
  <c r="F2189" i="2"/>
  <c r="E2189" i="2"/>
  <c r="D2189" i="2"/>
  <c r="C2189" i="2"/>
  <c r="B2189" i="2"/>
  <c r="A2189" i="2"/>
  <c r="F2188" i="2"/>
  <c r="E2188" i="2"/>
  <c r="D2188" i="2"/>
  <c r="C2188" i="2"/>
  <c r="B2188" i="2"/>
  <c r="A2188" i="2"/>
  <c r="F2187" i="2"/>
  <c r="E2187" i="2"/>
  <c r="D2187" i="2"/>
  <c r="C2187" i="2"/>
  <c r="B2187" i="2"/>
  <c r="A2187" i="2"/>
  <c r="F2186" i="2"/>
  <c r="E2186" i="2"/>
  <c r="D2186" i="2"/>
  <c r="C2186" i="2"/>
  <c r="B2186" i="2"/>
  <c r="A2186" i="2"/>
  <c r="F2185" i="2"/>
  <c r="E2185" i="2"/>
  <c r="D2185" i="2"/>
  <c r="C2185" i="2"/>
  <c r="B2185" i="2"/>
  <c r="A2185" i="2"/>
  <c r="F2184" i="2"/>
  <c r="E2184" i="2"/>
  <c r="D2184" i="2"/>
  <c r="C2184" i="2"/>
  <c r="B2184" i="2"/>
  <c r="A2184" i="2"/>
  <c r="F2183" i="2"/>
  <c r="E2183" i="2"/>
  <c r="D2183" i="2"/>
  <c r="C2183" i="2"/>
  <c r="B2183" i="2"/>
  <c r="A2183" i="2"/>
  <c r="F2182" i="2"/>
  <c r="E2182" i="2"/>
  <c r="D2182" i="2"/>
  <c r="C2182" i="2"/>
  <c r="B2182" i="2"/>
  <c r="A2182" i="2"/>
  <c r="F2181" i="2"/>
  <c r="E2181" i="2"/>
  <c r="D2181" i="2"/>
  <c r="C2181" i="2"/>
  <c r="B2181" i="2"/>
  <c r="A2181" i="2"/>
  <c r="F2180" i="2"/>
  <c r="E2180" i="2"/>
  <c r="D2180" i="2"/>
  <c r="C2180" i="2"/>
  <c r="B2180" i="2"/>
  <c r="A2180" i="2"/>
  <c r="F2179" i="2"/>
  <c r="E2179" i="2"/>
  <c r="D2179" i="2"/>
  <c r="C2179" i="2"/>
  <c r="B2179" i="2"/>
  <c r="A2179" i="2"/>
  <c r="F2178" i="2"/>
  <c r="E2178" i="2"/>
  <c r="D2178" i="2"/>
  <c r="C2178" i="2"/>
  <c r="B2178" i="2"/>
  <c r="A2178" i="2"/>
  <c r="F2177" i="2"/>
  <c r="E2177" i="2"/>
  <c r="D2177" i="2"/>
  <c r="C2177" i="2"/>
  <c r="B2177" i="2"/>
  <c r="A2177" i="2"/>
  <c r="F2176" i="2"/>
  <c r="E2176" i="2"/>
  <c r="D2176" i="2"/>
  <c r="C2176" i="2"/>
  <c r="B2176" i="2"/>
  <c r="A2176" i="2"/>
  <c r="F2175" i="2"/>
  <c r="E2175" i="2"/>
  <c r="D2175" i="2"/>
  <c r="C2175" i="2"/>
  <c r="B2175" i="2"/>
  <c r="A2175" i="2"/>
  <c r="F2174" i="2"/>
  <c r="E2174" i="2"/>
  <c r="D2174" i="2"/>
  <c r="C2174" i="2"/>
  <c r="B2174" i="2"/>
  <c r="A2174" i="2"/>
  <c r="F2173" i="2"/>
  <c r="E2173" i="2"/>
  <c r="D2173" i="2"/>
  <c r="C2173" i="2"/>
  <c r="B2173" i="2"/>
  <c r="A2173" i="2"/>
  <c r="F2172" i="2"/>
  <c r="E2172" i="2"/>
  <c r="D2172" i="2"/>
  <c r="C2172" i="2"/>
  <c r="B2172" i="2"/>
  <c r="A2172" i="2"/>
  <c r="F2171" i="2"/>
  <c r="E2171" i="2"/>
  <c r="D2171" i="2"/>
  <c r="C2171" i="2"/>
  <c r="B2171" i="2"/>
  <c r="A2171" i="2"/>
  <c r="F2170" i="2"/>
  <c r="E2170" i="2"/>
  <c r="D2170" i="2"/>
  <c r="C2170" i="2"/>
  <c r="B2170" i="2"/>
  <c r="A2170" i="2"/>
  <c r="F2169" i="2"/>
  <c r="E2169" i="2"/>
  <c r="D2169" i="2"/>
  <c r="C2169" i="2"/>
  <c r="B2169" i="2"/>
  <c r="A2169" i="2"/>
  <c r="F2168" i="2"/>
  <c r="E2168" i="2"/>
  <c r="D2168" i="2"/>
  <c r="C2168" i="2"/>
  <c r="B2168" i="2"/>
  <c r="A2168" i="2"/>
  <c r="F2167" i="2"/>
  <c r="E2167" i="2"/>
  <c r="D2167" i="2"/>
  <c r="C2167" i="2"/>
  <c r="B2167" i="2"/>
  <c r="A2167" i="2"/>
  <c r="F2166" i="2"/>
  <c r="E2166" i="2"/>
  <c r="D2166" i="2"/>
  <c r="C2166" i="2"/>
  <c r="B2166" i="2"/>
  <c r="A2166" i="2"/>
  <c r="F2165" i="2"/>
  <c r="E2165" i="2"/>
  <c r="D2165" i="2"/>
  <c r="C2165" i="2"/>
  <c r="B2165" i="2"/>
  <c r="A2165" i="2"/>
  <c r="F2164" i="2"/>
  <c r="E2164" i="2"/>
  <c r="D2164" i="2"/>
  <c r="C2164" i="2"/>
  <c r="B2164" i="2"/>
  <c r="A2164" i="2"/>
  <c r="F2163" i="2"/>
  <c r="E2163" i="2"/>
  <c r="D2163" i="2"/>
  <c r="C2163" i="2"/>
  <c r="B2163" i="2"/>
  <c r="A2163" i="2"/>
  <c r="F2162" i="2"/>
  <c r="E2162" i="2"/>
  <c r="D2162" i="2"/>
  <c r="C2162" i="2"/>
  <c r="B2162" i="2"/>
  <c r="A2162" i="2"/>
  <c r="F2161" i="2"/>
  <c r="E2161" i="2"/>
  <c r="D2161" i="2"/>
  <c r="C2161" i="2"/>
  <c r="B2161" i="2"/>
  <c r="A2161" i="2"/>
  <c r="F2160" i="2"/>
  <c r="E2160" i="2"/>
  <c r="D2160" i="2"/>
  <c r="C2160" i="2"/>
  <c r="B2160" i="2"/>
  <c r="A2160" i="2"/>
  <c r="F2159" i="2"/>
  <c r="E2159" i="2"/>
  <c r="D2159" i="2"/>
  <c r="C2159" i="2"/>
  <c r="B2159" i="2"/>
  <c r="A2159" i="2"/>
  <c r="F2158" i="2"/>
  <c r="E2158" i="2"/>
  <c r="D2158" i="2"/>
  <c r="C2158" i="2"/>
  <c r="B2158" i="2"/>
  <c r="A2158" i="2"/>
  <c r="F2157" i="2"/>
  <c r="E2157" i="2"/>
  <c r="D2157" i="2"/>
  <c r="C2157" i="2"/>
  <c r="B2157" i="2"/>
  <c r="A2157" i="2"/>
  <c r="F2156" i="2"/>
  <c r="E2156" i="2"/>
  <c r="D2156" i="2"/>
  <c r="C2156" i="2"/>
  <c r="B2156" i="2"/>
  <c r="A2156" i="2"/>
  <c r="F2155" i="2"/>
  <c r="E2155" i="2"/>
  <c r="D2155" i="2"/>
  <c r="C2155" i="2"/>
  <c r="B2155" i="2"/>
  <c r="A2155" i="2"/>
  <c r="F2154" i="2"/>
  <c r="E2154" i="2"/>
  <c r="D2154" i="2"/>
  <c r="C2154" i="2"/>
  <c r="B2154" i="2"/>
  <c r="A2154" i="2"/>
  <c r="F2153" i="2"/>
  <c r="E2153" i="2"/>
  <c r="D2153" i="2"/>
  <c r="C2153" i="2"/>
  <c r="B2153" i="2"/>
  <c r="A2153" i="2"/>
  <c r="F2152" i="2"/>
  <c r="E2152" i="2"/>
  <c r="D2152" i="2"/>
  <c r="C2152" i="2"/>
  <c r="B2152" i="2"/>
  <c r="A2152" i="2"/>
  <c r="F2151" i="2"/>
  <c r="E2151" i="2"/>
  <c r="D2151" i="2"/>
  <c r="C2151" i="2"/>
  <c r="B2151" i="2"/>
  <c r="A2151" i="2"/>
  <c r="F2150" i="2"/>
  <c r="E2150" i="2"/>
  <c r="D2150" i="2"/>
  <c r="C2150" i="2"/>
  <c r="B2150" i="2"/>
  <c r="A2150" i="2"/>
  <c r="F2149" i="2"/>
  <c r="E2149" i="2"/>
  <c r="D2149" i="2"/>
  <c r="C2149" i="2"/>
  <c r="B2149" i="2"/>
  <c r="A2149" i="2"/>
  <c r="F2148" i="2"/>
  <c r="E2148" i="2"/>
  <c r="D2148" i="2"/>
  <c r="C2148" i="2"/>
  <c r="B2148" i="2"/>
  <c r="A2148" i="2"/>
  <c r="F2147" i="2"/>
  <c r="E2147" i="2"/>
  <c r="D2147" i="2"/>
  <c r="C2147" i="2"/>
  <c r="B2147" i="2"/>
  <c r="A2147" i="2"/>
  <c r="F2146" i="2"/>
  <c r="E2146" i="2"/>
  <c r="D2146" i="2"/>
  <c r="C2146" i="2"/>
  <c r="B2146" i="2"/>
  <c r="A2146" i="2"/>
  <c r="F2145" i="2"/>
  <c r="E2145" i="2"/>
  <c r="D2145" i="2"/>
  <c r="C2145" i="2"/>
  <c r="B2145" i="2"/>
  <c r="A2145" i="2"/>
  <c r="F2144" i="2"/>
  <c r="E2144" i="2"/>
  <c r="D2144" i="2"/>
  <c r="C2144" i="2"/>
  <c r="B2144" i="2"/>
  <c r="A2144" i="2"/>
  <c r="F2143" i="2"/>
  <c r="E2143" i="2"/>
  <c r="D2143" i="2"/>
  <c r="C2143" i="2"/>
  <c r="B2143" i="2"/>
  <c r="A2143" i="2"/>
  <c r="F2142" i="2"/>
  <c r="E2142" i="2"/>
  <c r="D2142" i="2"/>
  <c r="C2142" i="2"/>
  <c r="B2142" i="2"/>
  <c r="A2142" i="2"/>
  <c r="F2141" i="2"/>
  <c r="E2141" i="2"/>
  <c r="D2141" i="2"/>
  <c r="C2141" i="2"/>
  <c r="B2141" i="2"/>
  <c r="A2141" i="2"/>
  <c r="F2140" i="2"/>
  <c r="E2140" i="2"/>
  <c r="D2140" i="2"/>
  <c r="C2140" i="2"/>
  <c r="B2140" i="2"/>
  <c r="A2140" i="2"/>
  <c r="F2139" i="2"/>
  <c r="E2139" i="2"/>
  <c r="D2139" i="2"/>
  <c r="C2139" i="2"/>
  <c r="B2139" i="2"/>
  <c r="A2139" i="2"/>
  <c r="F2138" i="2"/>
  <c r="E2138" i="2"/>
  <c r="D2138" i="2"/>
  <c r="C2138" i="2"/>
  <c r="B2138" i="2"/>
  <c r="A2138" i="2"/>
  <c r="F2137" i="2"/>
  <c r="E2137" i="2"/>
  <c r="D2137" i="2"/>
  <c r="C2137" i="2"/>
  <c r="B2137" i="2"/>
  <c r="A2137" i="2"/>
  <c r="F2136" i="2"/>
  <c r="E2136" i="2"/>
  <c r="D2136" i="2"/>
  <c r="C2136" i="2"/>
  <c r="B2136" i="2"/>
  <c r="A2136" i="2"/>
  <c r="F2135" i="2"/>
  <c r="E2135" i="2"/>
  <c r="D2135" i="2"/>
  <c r="C2135" i="2"/>
  <c r="B2135" i="2"/>
  <c r="A2135" i="2"/>
  <c r="F2134" i="2"/>
  <c r="E2134" i="2"/>
  <c r="D2134" i="2"/>
  <c r="C2134" i="2"/>
  <c r="B2134" i="2"/>
  <c r="A2134" i="2"/>
  <c r="F2133" i="2"/>
  <c r="E2133" i="2"/>
  <c r="D2133" i="2"/>
  <c r="C2133" i="2"/>
  <c r="B2133" i="2"/>
  <c r="A2133" i="2"/>
  <c r="F2132" i="2"/>
  <c r="E2132" i="2"/>
  <c r="D2132" i="2"/>
  <c r="C2132" i="2"/>
  <c r="B2132" i="2"/>
  <c r="A2132" i="2"/>
  <c r="F2131" i="2"/>
  <c r="E2131" i="2"/>
  <c r="D2131" i="2"/>
  <c r="C2131" i="2"/>
  <c r="B2131" i="2"/>
  <c r="A2131" i="2"/>
  <c r="F2130" i="2"/>
  <c r="E2130" i="2"/>
  <c r="D2130" i="2"/>
  <c r="C2130" i="2"/>
  <c r="B2130" i="2"/>
  <c r="A2130" i="2"/>
  <c r="F2129" i="2"/>
  <c r="E2129" i="2"/>
  <c r="D2129" i="2"/>
  <c r="C2129" i="2"/>
  <c r="B2129" i="2"/>
  <c r="A2129" i="2"/>
  <c r="F2128" i="2"/>
  <c r="E2128" i="2"/>
  <c r="D2128" i="2"/>
  <c r="C2128" i="2"/>
  <c r="B2128" i="2"/>
  <c r="A2128" i="2"/>
  <c r="F2127" i="2"/>
  <c r="E2127" i="2"/>
  <c r="D2127" i="2"/>
  <c r="C2127" i="2"/>
  <c r="B2127" i="2"/>
  <c r="A2127" i="2"/>
  <c r="F2126" i="2"/>
  <c r="E2126" i="2"/>
  <c r="D2126" i="2"/>
  <c r="C2126" i="2"/>
  <c r="B2126" i="2"/>
  <c r="A2126" i="2"/>
  <c r="F2125" i="2"/>
  <c r="E2125" i="2"/>
  <c r="D2125" i="2"/>
  <c r="C2125" i="2"/>
  <c r="B2125" i="2"/>
  <c r="A2125" i="2"/>
  <c r="F2124" i="2"/>
  <c r="E2124" i="2"/>
  <c r="D2124" i="2"/>
  <c r="C2124" i="2"/>
  <c r="B2124" i="2"/>
  <c r="A2124" i="2"/>
  <c r="F2123" i="2"/>
  <c r="E2123" i="2"/>
  <c r="D2123" i="2"/>
  <c r="C2123" i="2"/>
  <c r="B2123" i="2"/>
  <c r="A2123" i="2"/>
  <c r="F2122" i="2"/>
  <c r="E2122" i="2"/>
  <c r="D2122" i="2"/>
  <c r="C2122" i="2"/>
  <c r="B2122" i="2"/>
  <c r="A2122" i="2"/>
  <c r="F2121" i="2"/>
  <c r="E2121" i="2"/>
  <c r="D2121" i="2"/>
  <c r="C2121" i="2"/>
  <c r="B2121" i="2"/>
  <c r="A2121" i="2"/>
  <c r="F2120" i="2"/>
  <c r="E2120" i="2"/>
  <c r="D2120" i="2"/>
  <c r="C2120" i="2"/>
  <c r="B2120" i="2"/>
  <c r="A2120" i="2"/>
  <c r="F2119" i="2"/>
  <c r="E2119" i="2"/>
  <c r="D2119" i="2"/>
  <c r="C2119" i="2"/>
  <c r="B2119" i="2"/>
  <c r="A2119" i="2"/>
  <c r="F2118" i="2"/>
  <c r="E2118" i="2"/>
  <c r="D2118" i="2"/>
  <c r="C2118" i="2"/>
  <c r="B2118" i="2"/>
  <c r="A2118" i="2"/>
  <c r="F2117" i="2"/>
  <c r="E2117" i="2"/>
  <c r="D2117" i="2"/>
  <c r="C2117" i="2"/>
  <c r="B2117" i="2"/>
  <c r="A2117" i="2"/>
  <c r="F2116" i="2"/>
  <c r="E2116" i="2"/>
  <c r="D2116" i="2"/>
  <c r="C2116" i="2"/>
  <c r="B2116" i="2"/>
  <c r="A2116" i="2"/>
  <c r="F2115" i="2"/>
  <c r="E2115" i="2"/>
  <c r="D2115" i="2"/>
  <c r="C2115" i="2"/>
  <c r="B2115" i="2"/>
  <c r="A2115" i="2"/>
  <c r="F2114" i="2"/>
  <c r="E2114" i="2"/>
  <c r="D2114" i="2"/>
  <c r="C2114" i="2"/>
  <c r="B2114" i="2"/>
  <c r="A2114" i="2"/>
  <c r="F2113" i="2"/>
  <c r="E2113" i="2"/>
  <c r="D2113" i="2"/>
  <c r="C2113" i="2"/>
  <c r="B2113" i="2"/>
  <c r="A2113" i="2"/>
  <c r="F2112" i="2"/>
  <c r="E2112" i="2"/>
  <c r="D2112" i="2"/>
  <c r="C2112" i="2"/>
  <c r="B2112" i="2"/>
  <c r="A2112" i="2"/>
  <c r="F2111" i="2"/>
  <c r="E2111" i="2"/>
  <c r="D2111" i="2"/>
  <c r="C2111" i="2"/>
  <c r="B2111" i="2"/>
  <c r="A2111" i="2"/>
  <c r="F2110" i="2"/>
  <c r="E2110" i="2"/>
  <c r="D2110" i="2"/>
  <c r="C2110" i="2"/>
  <c r="B2110" i="2"/>
  <c r="A2110" i="2"/>
  <c r="F2109" i="2"/>
  <c r="E2109" i="2"/>
  <c r="D2109" i="2"/>
  <c r="C2109" i="2"/>
  <c r="B2109" i="2"/>
  <c r="A2109" i="2"/>
  <c r="F2108" i="2"/>
  <c r="E2108" i="2"/>
  <c r="D2108" i="2"/>
  <c r="C2108" i="2"/>
  <c r="B2108" i="2"/>
  <c r="A2108" i="2"/>
  <c r="F2107" i="2"/>
  <c r="E2107" i="2"/>
  <c r="D2107" i="2"/>
  <c r="C2107" i="2"/>
  <c r="B2107" i="2"/>
  <c r="A2107" i="2"/>
  <c r="F2106" i="2"/>
  <c r="E2106" i="2"/>
  <c r="D2106" i="2"/>
  <c r="C2106" i="2"/>
  <c r="B2106" i="2"/>
  <c r="A2106" i="2"/>
  <c r="F2105" i="2"/>
  <c r="E2105" i="2"/>
  <c r="D2105" i="2"/>
  <c r="C2105" i="2"/>
  <c r="B2105" i="2"/>
  <c r="A2105" i="2"/>
  <c r="F2104" i="2"/>
  <c r="E2104" i="2"/>
  <c r="D2104" i="2"/>
  <c r="C2104" i="2"/>
  <c r="B2104" i="2"/>
  <c r="A2104" i="2"/>
  <c r="F2103" i="2"/>
  <c r="E2103" i="2"/>
  <c r="D2103" i="2"/>
  <c r="C2103" i="2"/>
  <c r="B2103" i="2"/>
  <c r="A2103" i="2"/>
  <c r="F2102" i="2"/>
  <c r="E2102" i="2"/>
  <c r="D2102" i="2"/>
  <c r="C2102" i="2"/>
  <c r="B2102" i="2"/>
  <c r="A2102" i="2"/>
  <c r="F2101" i="2"/>
  <c r="E2101" i="2"/>
  <c r="D2101" i="2"/>
  <c r="C2101" i="2"/>
  <c r="B2101" i="2"/>
  <c r="A2101" i="2"/>
  <c r="F2100" i="2"/>
  <c r="E2100" i="2"/>
  <c r="D2100" i="2"/>
  <c r="C2100" i="2"/>
  <c r="B2100" i="2"/>
  <c r="A2100" i="2"/>
  <c r="F2099" i="2"/>
  <c r="E2099" i="2"/>
  <c r="D2099" i="2"/>
  <c r="C2099" i="2"/>
  <c r="B2099" i="2"/>
  <c r="A2099" i="2"/>
  <c r="F2098" i="2"/>
  <c r="E2098" i="2"/>
  <c r="D2098" i="2"/>
  <c r="C2098" i="2"/>
  <c r="B2098" i="2"/>
  <c r="A2098" i="2"/>
  <c r="F2097" i="2"/>
  <c r="E2097" i="2"/>
  <c r="D2097" i="2"/>
  <c r="C2097" i="2"/>
  <c r="B2097" i="2"/>
  <c r="A2097" i="2"/>
  <c r="F2096" i="2"/>
  <c r="E2096" i="2"/>
  <c r="D2096" i="2"/>
  <c r="C2096" i="2"/>
  <c r="B2096" i="2"/>
  <c r="A2096" i="2"/>
  <c r="F2095" i="2"/>
  <c r="E2095" i="2"/>
  <c r="D2095" i="2"/>
  <c r="C2095" i="2"/>
  <c r="B2095" i="2"/>
  <c r="A2095" i="2"/>
  <c r="F2094" i="2"/>
  <c r="E2094" i="2"/>
  <c r="D2094" i="2"/>
  <c r="C2094" i="2"/>
  <c r="B2094" i="2"/>
  <c r="A2094" i="2"/>
  <c r="F2093" i="2"/>
  <c r="E2093" i="2"/>
  <c r="D2093" i="2"/>
  <c r="C2093" i="2"/>
  <c r="B2093" i="2"/>
  <c r="A2093" i="2"/>
  <c r="F2092" i="2"/>
  <c r="E2092" i="2"/>
  <c r="D2092" i="2"/>
  <c r="C2092" i="2"/>
  <c r="B2092" i="2"/>
  <c r="A2092" i="2"/>
  <c r="F2091" i="2"/>
  <c r="E2091" i="2"/>
  <c r="D2091" i="2"/>
  <c r="C2091" i="2"/>
  <c r="B2091" i="2"/>
  <c r="A2091" i="2"/>
  <c r="F2090" i="2"/>
  <c r="E2090" i="2"/>
  <c r="D2090" i="2"/>
  <c r="C2090" i="2"/>
  <c r="B2090" i="2"/>
  <c r="A2090" i="2"/>
  <c r="F2089" i="2"/>
  <c r="E2089" i="2"/>
  <c r="D2089" i="2"/>
  <c r="C2089" i="2"/>
  <c r="B2089" i="2"/>
  <c r="A2089" i="2"/>
  <c r="F2088" i="2"/>
  <c r="E2088" i="2"/>
  <c r="D2088" i="2"/>
  <c r="C2088" i="2"/>
  <c r="B2088" i="2"/>
  <c r="A2088" i="2"/>
  <c r="F2087" i="2"/>
  <c r="E2087" i="2"/>
  <c r="D2087" i="2"/>
  <c r="C2087" i="2"/>
  <c r="B2087" i="2"/>
  <c r="A2087" i="2"/>
  <c r="F2086" i="2"/>
  <c r="E2086" i="2"/>
  <c r="D2086" i="2"/>
  <c r="C2086" i="2"/>
  <c r="B2086" i="2"/>
  <c r="A2086" i="2"/>
  <c r="F2085" i="2"/>
  <c r="E2085" i="2"/>
  <c r="D2085" i="2"/>
  <c r="C2085" i="2"/>
  <c r="B2085" i="2"/>
  <c r="A2085" i="2"/>
  <c r="F2084" i="2"/>
  <c r="E2084" i="2"/>
  <c r="D2084" i="2"/>
  <c r="C2084" i="2"/>
  <c r="B2084" i="2"/>
  <c r="A2084" i="2"/>
  <c r="F2083" i="2"/>
  <c r="E2083" i="2"/>
  <c r="D2083" i="2"/>
  <c r="C2083" i="2"/>
  <c r="B2083" i="2"/>
  <c r="A2083" i="2"/>
  <c r="F2082" i="2"/>
  <c r="E2082" i="2"/>
  <c r="D2082" i="2"/>
  <c r="C2082" i="2"/>
  <c r="B2082" i="2"/>
  <c r="A2082" i="2"/>
  <c r="F2081" i="2"/>
  <c r="E2081" i="2"/>
  <c r="D2081" i="2"/>
  <c r="C2081" i="2"/>
  <c r="B2081" i="2"/>
  <c r="A2081" i="2"/>
  <c r="F2080" i="2"/>
  <c r="E2080" i="2"/>
  <c r="D2080" i="2"/>
  <c r="C2080" i="2"/>
  <c r="B2080" i="2"/>
  <c r="A2080" i="2"/>
  <c r="F2079" i="2"/>
  <c r="E2079" i="2"/>
  <c r="D2079" i="2"/>
  <c r="C2079" i="2"/>
  <c r="B2079" i="2"/>
  <c r="A2079" i="2"/>
  <c r="F2078" i="2"/>
  <c r="E2078" i="2"/>
  <c r="D2078" i="2"/>
  <c r="C2078" i="2"/>
  <c r="B2078" i="2"/>
  <c r="A2078" i="2"/>
  <c r="F2077" i="2"/>
  <c r="E2077" i="2"/>
  <c r="D2077" i="2"/>
  <c r="C2077" i="2"/>
  <c r="B2077" i="2"/>
  <c r="A2077" i="2"/>
  <c r="F2076" i="2"/>
  <c r="E2076" i="2"/>
  <c r="D2076" i="2"/>
  <c r="C2076" i="2"/>
  <c r="B2076" i="2"/>
  <c r="A2076" i="2"/>
  <c r="F2075" i="2"/>
  <c r="E2075" i="2"/>
  <c r="D2075" i="2"/>
  <c r="C2075" i="2"/>
  <c r="B2075" i="2"/>
  <c r="A2075" i="2"/>
  <c r="F2074" i="2"/>
  <c r="E2074" i="2"/>
  <c r="D2074" i="2"/>
  <c r="C2074" i="2"/>
  <c r="B2074" i="2"/>
  <c r="A2074" i="2"/>
  <c r="F2073" i="2"/>
  <c r="E2073" i="2"/>
  <c r="D2073" i="2"/>
  <c r="C2073" i="2"/>
  <c r="B2073" i="2"/>
  <c r="A2073" i="2"/>
  <c r="F2072" i="2"/>
  <c r="E2072" i="2"/>
  <c r="D2072" i="2"/>
  <c r="C2072" i="2"/>
  <c r="B2072" i="2"/>
  <c r="A2072" i="2"/>
  <c r="F2071" i="2"/>
  <c r="E2071" i="2"/>
  <c r="D2071" i="2"/>
  <c r="C2071" i="2"/>
  <c r="B2071" i="2"/>
  <c r="A2071" i="2"/>
  <c r="F2070" i="2"/>
  <c r="E2070" i="2"/>
  <c r="D2070" i="2"/>
  <c r="C2070" i="2"/>
  <c r="B2070" i="2"/>
  <c r="A2070" i="2"/>
  <c r="F2069" i="2"/>
  <c r="E2069" i="2"/>
  <c r="D2069" i="2"/>
  <c r="C2069" i="2"/>
  <c r="B2069" i="2"/>
  <c r="A2069" i="2"/>
  <c r="F2068" i="2"/>
  <c r="E2068" i="2"/>
  <c r="D2068" i="2"/>
  <c r="C2068" i="2"/>
  <c r="B2068" i="2"/>
  <c r="A2068" i="2"/>
  <c r="F2067" i="2"/>
  <c r="E2067" i="2"/>
  <c r="D2067" i="2"/>
  <c r="C2067" i="2"/>
  <c r="B2067" i="2"/>
  <c r="A2067" i="2"/>
  <c r="F2066" i="2"/>
  <c r="E2066" i="2"/>
  <c r="D2066" i="2"/>
  <c r="C2066" i="2"/>
  <c r="B2066" i="2"/>
  <c r="A2066" i="2"/>
  <c r="F2065" i="2"/>
  <c r="E2065" i="2"/>
  <c r="D2065" i="2"/>
  <c r="C2065" i="2"/>
  <c r="B2065" i="2"/>
  <c r="A2065" i="2"/>
  <c r="F2064" i="2"/>
  <c r="E2064" i="2"/>
  <c r="D2064" i="2"/>
  <c r="C2064" i="2"/>
  <c r="B2064" i="2"/>
  <c r="A2064" i="2"/>
  <c r="F2063" i="2"/>
  <c r="E2063" i="2"/>
  <c r="D2063" i="2"/>
  <c r="C2063" i="2"/>
  <c r="B2063" i="2"/>
  <c r="A2063" i="2"/>
  <c r="F2062" i="2"/>
  <c r="E2062" i="2"/>
  <c r="D2062" i="2"/>
  <c r="C2062" i="2"/>
  <c r="B2062" i="2"/>
  <c r="A2062" i="2"/>
  <c r="F2061" i="2"/>
  <c r="E2061" i="2"/>
  <c r="D2061" i="2"/>
  <c r="C2061" i="2"/>
  <c r="B2061" i="2"/>
  <c r="A2061" i="2"/>
  <c r="F2060" i="2"/>
  <c r="E2060" i="2"/>
  <c r="D2060" i="2"/>
  <c r="C2060" i="2"/>
  <c r="B2060" i="2"/>
  <c r="A2060" i="2"/>
  <c r="F2059" i="2"/>
  <c r="E2059" i="2"/>
  <c r="D2059" i="2"/>
  <c r="C2059" i="2"/>
  <c r="B2059" i="2"/>
  <c r="A2059" i="2"/>
  <c r="F2058" i="2"/>
  <c r="E2058" i="2"/>
  <c r="D2058" i="2"/>
  <c r="C2058" i="2"/>
  <c r="B2058" i="2"/>
  <c r="A2058" i="2"/>
  <c r="F2057" i="2"/>
  <c r="E2057" i="2"/>
  <c r="D2057" i="2"/>
  <c r="C2057" i="2"/>
  <c r="B2057" i="2"/>
  <c r="A2057" i="2"/>
  <c r="F2056" i="2"/>
  <c r="E2056" i="2"/>
  <c r="D2056" i="2"/>
  <c r="C2056" i="2"/>
  <c r="B2056" i="2"/>
  <c r="A2056" i="2"/>
  <c r="F2055" i="2"/>
  <c r="E2055" i="2"/>
  <c r="D2055" i="2"/>
  <c r="C2055" i="2"/>
  <c r="B2055" i="2"/>
  <c r="A2055" i="2"/>
  <c r="F2054" i="2"/>
  <c r="E2054" i="2"/>
  <c r="D2054" i="2"/>
  <c r="C2054" i="2"/>
  <c r="B2054" i="2"/>
  <c r="A2054" i="2"/>
  <c r="F2053" i="2"/>
  <c r="E2053" i="2"/>
  <c r="D2053" i="2"/>
  <c r="C2053" i="2"/>
  <c r="B2053" i="2"/>
  <c r="A2053" i="2"/>
  <c r="F2052" i="2"/>
  <c r="E2052" i="2"/>
  <c r="D2052" i="2"/>
  <c r="C2052" i="2"/>
  <c r="B2052" i="2"/>
  <c r="A2052" i="2"/>
  <c r="F2051" i="2"/>
  <c r="E2051" i="2"/>
  <c r="D2051" i="2"/>
  <c r="C2051" i="2"/>
  <c r="B2051" i="2"/>
  <c r="A2051" i="2"/>
  <c r="F2050" i="2"/>
  <c r="E2050" i="2"/>
  <c r="D2050" i="2"/>
  <c r="C2050" i="2"/>
  <c r="B2050" i="2"/>
  <c r="A2050" i="2"/>
  <c r="F2049" i="2"/>
  <c r="E2049" i="2"/>
  <c r="D2049" i="2"/>
  <c r="C2049" i="2"/>
  <c r="B2049" i="2"/>
  <c r="A2049" i="2"/>
  <c r="F2048" i="2"/>
  <c r="E2048" i="2"/>
  <c r="D2048" i="2"/>
  <c r="C2048" i="2"/>
  <c r="B2048" i="2"/>
  <c r="A2048" i="2"/>
  <c r="F2047" i="2"/>
  <c r="E2047" i="2"/>
  <c r="D2047" i="2"/>
  <c r="C2047" i="2"/>
  <c r="B2047" i="2"/>
  <c r="A2047" i="2"/>
  <c r="F2046" i="2"/>
  <c r="E2046" i="2"/>
  <c r="D2046" i="2"/>
  <c r="C2046" i="2"/>
  <c r="B2046" i="2"/>
  <c r="A2046" i="2"/>
  <c r="F2045" i="2"/>
  <c r="E2045" i="2"/>
  <c r="D2045" i="2"/>
  <c r="C2045" i="2"/>
  <c r="B2045" i="2"/>
  <c r="A2045" i="2"/>
  <c r="F2044" i="2"/>
  <c r="E2044" i="2"/>
  <c r="D2044" i="2"/>
  <c r="C2044" i="2"/>
  <c r="B2044" i="2"/>
  <c r="A2044" i="2"/>
  <c r="F2043" i="2"/>
  <c r="E2043" i="2"/>
  <c r="D2043" i="2"/>
  <c r="C2043" i="2"/>
  <c r="B2043" i="2"/>
  <c r="A2043" i="2"/>
  <c r="F2042" i="2"/>
  <c r="E2042" i="2"/>
  <c r="D2042" i="2"/>
  <c r="C2042" i="2"/>
  <c r="B2042" i="2"/>
  <c r="A2042" i="2"/>
  <c r="F2041" i="2"/>
  <c r="E2041" i="2"/>
  <c r="D2041" i="2"/>
  <c r="C2041" i="2"/>
  <c r="B2041" i="2"/>
  <c r="A2041" i="2"/>
  <c r="F2040" i="2"/>
  <c r="E2040" i="2"/>
  <c r="D2040" i="2"/>
  <c r="C2040" i="2"/>
  <c r="B2040" i="2"/>
  <c r="A2040" i="2"/>
  <c r="F2039" i="2"/>
  <c r="E2039" i="2"/>
  <c r="D2039" i="2"/>
  <c r="C2039" i="2"/>
  <c r="B2039" i="2"/>
  <c r="A2039" i="2"/>
  <c r="F2038" i="2"/>
  <c r="E2038" i="2"/>
  <c r="D2038" i="2"/>
  <c r="C2038" i="2"/>
  <c r="B2038" i="2"/>
  <c r="A2038" i="2"/>
  <c r="F2037" i="2"/>
  <c r="E2037" i="2"/>
  <c r="D2037" i="2"/>
  <c r="C2037" i="2"/>
  <c r="B2037" i="2"/>
  <c r="A2037" i="2"/>
  <c r="F2036" i="2"/>
  <c r="E2036" i="2"/>
  <c r="D2036" i="2"/>
  <c r="C2036" i="2"/>
  <c r="B2036" i="2"/>
  <c r="A2036" i="2"/>
  <c r="F2035" i="2"/>
  <c r="E2035" i="2"/>
  <c r="D2035" i="2"/>
  <c r="C2035" i="2"/>
  <c r="B2035" i="2"/>
  <c r="A2035" i="2"/>
  <c r="F2034" i="2"/>
  <c r="E2034" i="2"/>
  <c r="D2034" i="2"/>
  <c r="C2034" i="2"/>
  <c r="B2034" i="2"/>
  <c r="A2034" i="2"/>
  <c r="F2033" i="2"/>
  <c r="E2033" i="2"/>
  <c r="D2033" i="2"/>
  <c r="C2033" i="2"/>
  <c r="B2033" i="2"/>
  <c r="A2033" i="2"/>
  <c r="F2032" i="2"/>
  <c r="E2032" i="2"/>
  <c r="D2032" i="2"/>
  <c r="C2032" i="2"/>
  <c r="B2032" i="2"/>
  <c r="A2032" i="2"/>
  <c r="F2031" i="2"/>
  <c r="E2031" i="2"/>
  <c r="D2031" i="2"/>
  <c r="C2031" i="2"/>
  <c r="B2031" i="2"/>
  <c r="A2031" i="2"/>
  <c r="F2030" i="2"/>
  <c r="E2030" i="2"/>
  <c r="D2030" i="2"/>
  <c r="C2030" i="2"/>
  <c r="B2030" i="2"/>
  <c r="A2030" i="2"/>
  <c r="F2029" i="2"/>
  <c r="E2029" i="2"/>
  <c r="D2029" i="2"/>
  <c r="C2029" i="2"/>
  <c r="B2029" i="2"/>
  <c r="A2029" i="2"/>
  <c r="F2028" i="2"/>
  <c r="E2028" i="2"/>
  <c r="D2028" i="2"/>
  <c r="C2028" i="2"/>
  <c r="B2028" i="2"/>
  <c r="A2028" i="2"/>
  <c r="F2027" i="2"/>
  <c r="E2027" i="2"/>
  <c r="D2027" i="2"/>
  <c r="C2027" i="2"/>
  <c r="B2027" i="2"/>
  <c r="A2027" i="2"/>
  <c r="F2026" i="2"/>
  <c r="E2026" i="2"/>
  <c r="D2026" i="2"/>
  <c r="C2026" i="2"/>
  <c r="B2026" i="2"/>
  <c r="A2026" i="2"/>
  <c r="F2025" i="2"/>
  <c r="E2025" i="2"/>
  <c r="D2025" i="2"/>
  <c r="C2025" i="2"/>
  <c r="B2025" i="2"/>
  <c r="A2025" i="2"/>
  <c r="F2024" i="2"/>
  <c r="E2024" i="2"/>
  <c r="D2024" i="2"/>
  <c r="C2024" i="2"/>
  <c r="B2024" i="2"/>
  <c r="A2024" i="2"/>
  <c r="F2023" i="2"/>
  <c r="E2023" i="2"/>
  <c r="D2023" i="2"/>
  <c r="C2023" i="2"/>
  <c r="B2023" i="2"/>
  <c r="A2023" i="2"/>
  <c r="F2022" i="2"/>
  <c r="E2022" i="2"/>
  <c r="D2022" i="2"/>
  <c r="C2022" i="2"/>
  <c r="B2022" i="2"/>
  <c r="A2022" i="2"/>
  <c r="F2021" i="2"/>
  <c r="E2021" i="2"/>
  <c r="D2021" i="2"/>
  <c r="C2021" i="2"/>
  <c r="B2021" i="2"/>
  <c r="A2021" i="2"/>
  <c r="F2020" i="2"/>
  <c r="E2020" i="2"/>
  <c r="D2020" i="2"/>
  <c r="C2020" i="2"/>
  <c r="B2020" i="2"/>
  <c r="A2020" i="2"/>
  <c r="F2019" i="2"/>
  <c r="E2019" i="2"/>
  <c r="D2019" i="2"/>
  <c r="C2019" i="2"/>
  <c r="B2019" i="2"/>
  <c r="A2019" i="2"/>
  <c r="F2018" i="2"/>
  <c r="E2018" i="2"/>
  <c r="D2018" i="2"/>
  <c r="C2018" i="2"/>
  <c r="B2018" i="2"/>
  <c r="A2018" i="2"/>
  <c r="F2017" i="2"/>
  <c r="E2017" i="2"/>
  <c r="D2017" i="2"/>
  <c r="C2017" i="2"/>
  <c r="B2017" i="2"/>
  <c r="A2017" i="2"/>
  <c r="F2016" i="2"/>
  <c r="E2016" i="2"/>
  <c r="D2016" i="2"/>
  <c r="C2016" i="2"/>
  <c r="B2016" i="2"/>
  <c r="A2016" i="2"/>
  <c r="F2015" i="2"/>
  <c r="E2015" i="2"/>
  <c r="D2015" i="2"/>
  <c r="C2015" i="2"/>
  <c r="B2015" i="2"/>
  <c r="A2015" i="2"/>
  <c r="F2014" i="2"/>
  <c r="E2014" i="2"/>
  <c r="D2014" i="2"/>
  <c r="C2014" i="2"/>
  <c r="B2014" i="2"/>
  <c r="A2014" i="2"/>
  <c r="F2013" i="2"/>
  <c r="E2013" i="2"/>
  <c r="D2013" i="2"/>
  <c r="C2013" i="2"/>
  <c r="B2013" i="2"/>
  <c r="A2013" i="2"/>
  <c r="F2012" i="2"/>
  <c r="E2012" i="2"/>
  <c r="D2012" i="2"/>
  <c r="C2012" i="2"/>
  <c r="B2012" i="2"/>
  <c r="A2012" i="2"/>
  <c r="F2011" i="2"/>
  <c r="E2011" i="2"/>
  <c r="D2011" i="2"/>
  <c r="C2011" i="2"/>
  <c r="B2011" i="2"/>
  <c r="A2011" i="2"/>
  <c r="F2010" i="2"/>
  <c r="E2010" i="2"/>
  <c r="D2010" i="2"/>
  <c r="C2010" i="2"/>
  <c r="B2010" i="2"/>
  <c r="A2010" i="2"/>
  <c r="F2009" i="2"/>
  <c r="E2009" i="2"/>
  <c r="D2009" i="2"/>
  <c r="C2009" i="2"/>
  <c r="B2009" i="2"/>
  <c r="A2009" i="2"/>
  <c r="F2008" i="2"/>
  <c r="E2008" i="2"/>
  <c r="D2008" i="2"/>
  <c r="C2008" i="2"/>
  <c r="B2008" i="2"/>
  <c r="A2008" i="2"/>
  <c r="F2007" i="2"/>
  <c r="E2007" i="2"/>
  <c r="D2007" i="2"/>
  <c r="C2007" i="2"/>
  <c r="B2007" i="2"/>
  <c r="A2007" i="2"/>
  <c r="F2006" i="2"/>
  <c r="E2006" i="2"/>
  <c r="D2006" i="2"/>
  <c r="C2006" i="2"/>
  <c r="B2006" i="2"/>
  <c r="A2006" i="2"/>
  <c r="F2005" i="2"/>
  <c r="E2005" i="2"/>
  <c r="D2005" i="2"/>
  <c r="C2005" i="2"/>
  <c r="B2005" i="2"/>
  <c r="A2005" i="2"/>
  <c r="F2004" i="2"/>
  <c r="E2004" i="2"/>
  <c r="D2004" i="2"/>
  <c r="C2004" i="2"/>
  <c r="B2004" i="2"/>
  <c r="A2004" i="2"/>
  <c r="F2003" i="2"/>
  <c r="E2003" i="2"/>
  <c r="D2003" i="2"/>
  <c r="C2003" i="2"/>
  <c r="B2003" i="2"/>
  <c r="A2003" i="2"/>
  <c r="F2002" i="2"/>
  <c r="E2002" i="2"/>
  <c r="D2002" i="2"/>
  <c r="C2002" i="2"/>
  <c r="B2002" i="2"/>
  <c r="A2002" i="2"/>
  <c r="F2001" i="2"/>
  <c r="E2001" i="2"/>
  <c r="D2001" i="2"/>
  <c r="C2001" i="2"/>
  <c r="B2001" i="2"/>
  <c r="A2001" i="2"/>
  <c r="F2000" i="2"/>
  <c r="E2000" i="2"/>
  <c r="D2000" i="2"/>
  <c r="C2000" i="2"/>
  <c r="B2000" i="2"/>
  <c r="A2000" i="2"/>
  <c r="F1999" i="2"/>
  <c r="E1999" i="2"/>
  <c r="D1999" i="2"/>
  <c r="C1999" i="2"/>
  <c r="B1999" i="2"/>
  <c r="A1999" i="2"/>
  <c r="F1998" i="2"/>
  <c r="E1998" i="2"/>
  <c r="D1998" i="2"/>
  <c r="C1998" i="2"/>
  <c r="B1998" i="2"/>
  <c r="A1998" i="2"/>
  <c r="F1997" i="2"/>
  <c r="E1997" i="2"/>
  <c r="D1997" i="2"/>
  <c r="C1997" i="2"/>
  <c r="B1997" i="2"/>
  <c r="A1997" i="2"/>
  <c r="F1996" i="2"/>
  <c r="E1996" i="2"/>
  <c r="D1996" i="2"/>
  <c r="C1996" i="2"/>
  <c r="B1996" i="2"/>
  <c r="A1996" i="2"/>
  <c r="F1995" i="2"/>
  <c r="E1995" i="2"/>
  <c r="D1995" i="2"/>
  <c r="C1995" i="2"/>
  <c r="B1995" i="2"/>
  <c r="A1995" i="2"/>
  <c r="F1994" i="2"/>
  <c r="E1994" i="2"/>
  <c r="D1994" i="2"/>
  <c r="C1994" i="2"/>
  <c r="B1994" i="2"/>
  <c r="A1994" i="2"/>
  <c r="F1993" i="2"/>
  <c r="E1993" i="2"/>
  <c r="D1993" i="2"/>
  <c r="C1993" i="2"/>
  <c r="B1993" i="2"/>
  <c r="A1993" i="2"/>
  <c r="F1992" i="2"/>
  <c r="E1992" i="2"/>
  <c r="D1992" i="2"/>
  <c r="C1992" i="2"/>
  <c r="B1992" i="2"/>
  <c r="A1992" i="2"/>
  <c r="F1991" i="2"/>
  <c r="E1991" i="2"/>
  <c r="D1991" i="2"/>
  <c r="C1991" i="2"/>
  <c r="B1991" i="2"/>
  <c r="A1991" i="2"/>
  <c r="F1990" i="2"/>
  <c r="E1990" i="2"/>
  <c r="D1990" i="2"/>
  <c r="C1990" i="2"/>
  <c r="B1990" i="2"/>
  <c r="A1990" i="2"/>
  <c r="F1989" i="2"/>
  <c r="E1989" i="2"/>
  <c r="D1989" i="2"/>
  <c r="C1989" i="2"/>
  <c r="B1989" i="2"/>
  <c r="A1989" i="2"/>
  <c r="F1988" i="2"/>
  <c r="E1988" i="2"/>
  <c r="D1988" i="2"/>
  <c r="C1988" i="2"/>
  <c r="B1988" i="2"/>
  <c r="A1988" i="2"/>
  <c r="F1987" i="2"/>
  <c r="E1987" i="2"/>
  <c r="D1987" i="2"/>
  <c r="C1987" i="2"/>
  <c r="B1987" i="2"/>
  <c r="A1987" i="2"/>
  <c r="F1986" i="2"/>
  <c r="E1986" i="2"/>
  <c r="D1986" i="2"/>
  <c r="C1986" i="2"/>
  <c r="B1986" i="2"/>
  <c r="A1986" i="2"/>
  <c r="F1985" i="2"/>
  <c r="E1985" i="2"/>
  <c r="D1985" i="2"/>
  <c r="C1985" i="2"/>
  <c r="B1985" i="2"/>
  <c r="A1985" i="2"/>
  <c r="F1984" i="2"/>
  <c r="E1984" i="2"/>
  <c r="D1984" i="2"/>
  <c r="C1984" i="2"/>
  <c r="B1984" i="2"/>
  <c r="A1984" i="2"/>
  <c r="F1983" i="2"/>
  <c r="E1983" i="2"/>
  <c r="D1983" i="2"/>
  <c r="C1983" i="2"/>
  <c r="B1983" i="2"/>
  <c r="A1983" i="2"/>
  <c r="F1982" i="2"/>
  <c r="E1982" i="2"/>
  <c r="D1982" i="2"/>
  <c r="C1982" i="2"/>
  <c r="B1982" i="2"/>
  <c r="A1982" i="2"/>
  <c r="F1981" i="2"/>
  <c r="E1981" i="2"/>
  <c r="D1981" i="2"/>
  <c r="C1981" i="2"/>
  <c r="B1981" i="2"/>
  <c r="A1981" i="2"/>
  <c r="F1980" i="2"/>
  <c r="E1980" i="2"/>
  <c r="D1980" i="2"/>
  <c r="C1980" i="2"/>
  <c r="B1980" i="2"/>
  <c r="A1980" i="2"/>
  <c r="F1979" i="2"/>
  <c r="E1979" i="2"/>
  <c r="D1979" i="2"/>
  <c r="C1979" i="2"/>
  <c r="B1979" i="2"/>
  <c r="A1979" i="2"/>
  <c r="F1978" i="2"/>
  <c r="E1978" i="2"/>
  <c r="D1978" i="2"/>
  <c r="C1978" i="2"/>
  <c r="B1978" i="2"/>
  <c r="A1978" i="2"/>
  <c r="F1977" i="2"/>
  <c r="E1977" i="2"/>
  <c r="D1977" i="2"/>
  <c r="C1977" i="2"/>
  <c r="B1977" i="2"/>
  <c r="A1977" i="2"/>
  <c r="F1976" i="2"/>
  <c r="E1976" i="2"/>
  <c r="D1976" i="2"/>
  <c r="C1976" i="2"/>
  <c r="B1976" i="2"/>
  <c r="A1976" i="2"/>
  <c r="F1975" i="2"/>
  <c r="E1975" i="2"/>
  <c r="D1975" i="2"/>
  <c r="C1975" i="2"/>
  <c r="B1975" i="2"/>
  <c r="A1975" i="2"/>
  <c r="F1974" i="2"/>
  <c r="E1974" i="2"/>
  <c r="D1974" i="2"/>
  <c r="C1974" i="2"/>
  <c r="B1974" i="2"/>
  <c r="A1974" i="2"/>
  <c r="F1973" i="2"/>
  <c r="E1973" i="2"/>
  <c r="D1973" i="2"/>
  <c r="C1973" i="2"/>
  <c r="B1973" i="2"/>
  <c r="A1973" i="2"/>
  <c r="F1972" i="2"/>
  <c r="E1972" i="2"/>
  <c r="D1972" i="2"/>
  <c r="C1972" i="2"/>
  <c r="B1972" i="2"/>
  <c r="A1972" i="2"/>
  <c r="F1971" i="2"/>
  <c r="E1971" i="2"/>
  <c r="D1971" i="2"/>
  <c r="C1971" i="2"/>
  <c r="B1971" i="2"/>
  <c r="A1971" i="2"/>
  <c r="F1970" i="2"/>
  <c r="E1970" i="2"/>
  <c r="D1970" i="2"/>
  <c r="C1970" i="2"/>
  <c r="B1970" i="2"/>
  <c r="A1970" i="2"/>
  <c r="F1969" i="2"/>
  <c r="E1969" i="2"/>
  <c r="D1969" i="2"/>
  <c r="C1969" i="2"/>
  <c r="B1969" i="2"/>
  <c r="A1969" i="2"/>
  <c r="F1968" i="2"/>
  <c r="E1968" i="2"/>
  <c r="D1968" i="2"/>
  <c r="C1968" i="2"/>
  <c r="B1968" i="2"/>
  <c r="A1968" i="2"/>
  <c r="F1967" i="2"/>
  <c r="E1967" i="2"/>
  <c r="D1967" i="2"/>
  <c r="C1967" i="2"/>
  <c r="B1967" i="2"/>
  <c r="A1967" i="2"/>
  <c r="F1966" i="2"/>
  <c r="E1966" i="2"/>
  <c r="D1966" i="2"/>
  <c r="C1966" i="2"/>
  <c r="B1966" i="2"/>
  <c r="A1966" i="2"/>
  <c r="F1965" i="2"/>
  <c r="E1965" i="2"/>
  <c r="D1965" i="2"/>
  <c r="C1965" i="2"/>
  <c r="B1965" i="2"/>
  <c r="A1965" i="2"/>
  <c r="F1964" i="2"/>
  <c r="E1964" i="2"/>
  <c r="D1964" i="2"/>
  <c r="C1964" i="2"/>
  <c r="B1964" i="2"/>
  <c r="A1964" i="2"/>
  <c r="F1963" i="2"/>
  <c r="E1963" i="2"/>
  <c r="D1963" i="2"/>
  <c r="C1963" i="2"/>
  <c r="B1963" i="2"/>
  <c r="A1963" i="2"/>
  <c r="F1962" i="2"/>
  <c r="E1962" i="2"/>
  <c r="D1962" i="2"/>
  <c r="C1962" i="2"/>
  <c r="B1962" i="2"/>
  <c r="A1962" i="2"/>
  <c r="F1961" i="2"/>
  <c r="E1961" i="2"/>
  <c r="D1961" i="2"/>
  <c r="C1961" i="2"/>
  <c r="B1961" i="2"/>
  <c r="A1961" i="2"/>
  <c r="F1960" i="2"/>
  <c r="E1960" i="2"/>
  <c r="D1960" i="2"/>
  <c r="C1960" i="2"/>
  <c r="B1960" i="2"/>
  <c r="A1960" i="2"/>
  <c r="F1959" i="2"/>
  <c r="E1959" i="2"/>
  <c r="D1959" i="2"/>
  <c r="C1959" i="2"/>
  <c r="B1959" i="2"/>
  <c r="A1959" i="2"/>
  <c r="F1958" i="2"/>
  <c r="E1958" i="2"/>
  <c r="D1958" i="2"/>
  <c r="C1958" i="2"/>
  <c r="B1958" i="2"/>
  <c r="A1958" i="2"/>
  <c r="F1957" i="2"/>
  <c r="E1957" i="2"/>
  <c r="D1957" i="2"/>
  <c r="C1957" i="2"/>
  <c r="B1957" i="2"/>
  <c r="A1957" i="2"/>
  <c r="F1956" i="2"/>
  <c r="E1956" i="2"/>
  <c r="D1956" i="2"/>
  <c r="C1956" i="2"/>
  <c r="B1956" i="2"/>
  <c r="A1956" i="2"/>
  <c r="F1955" i="2"/>
  <c r="E1955" i="2"/>
  <c r="D1955" i="2"/>
  <c r="C1955" i="2"/>
  <c r="B1955" i="2"/>
  <c r="A1955" i="2"/>
  <c r="F1954" i="2"/>
  <c r="E1954" i="2"/>
  <c r="D1954" i="2"/>
  <c r="C1954" i="2"/>
  <c r="B1954" i="2"/>
  <c r="A1954" i="2"/>
  <c r="F1953" i="2"/>
  <c r="E1953" i="2"/>
  <c r="D1953" i="2"/>
  <c r="C1953" i="2"/>
  <c r="B1953" i="2"/>
  <c r="A1953" i="2"/>
  <c r="F1952" i="2"/>
  <c r="E1952" i="2"/>
  <c r="D1952" i="2"/>
  <c r="C1952" i="2"/>
  <c r="B1952" i="2"/>
  <c r="A1952" i="2"/>
  <c r="F1951" i="2"/>
  <c r="E1951" i="2"/>
  <c r="D1951" i="2"/>
  <c r="C1951" i="2"/>
  <c r="B1951" i="2"/>
  <c r="A1951" i="2"/>
  <c r="F1950" i="2"/>
  <c r="E1950" i="2"/>
  <c r="D1950" i="2"/>
  <c r="C1950" i="2"/>
  <c r="B1950" i="2"/>
  <c r="A1950" i="2"/>
  <c r="F1949" i="2"/>
  <c r="E1949" i="2"/>
  <c r="D1949" i="2"/>
  <c r="C1949" i="2"/>
  <c r="B1949" i="2"/>
  <c r="A1949" i="2"/>
  <c r="F1948" i="2"/>
  <c r="E1948" i="2"/>
  <c r="D1948" i="2"/>
  <c r="C1948" i="2"/>
  <c r="B1948" i="2"/>
  <c r="A1948" i="2"/>
  <c r="F1947" i="2"/>
  <c r="E1947" i="2"/>
  <c r="D1947" i="2"/>
  <c r="C1947" i="2"/>
  <c r="B1947" i="2"/>
  <c r="A1947" i="2"/>
  <c r="F1946" i="2"/>
  <c r="E1946" i="2"/>
  <c r="D1946" i="2"/>
  <c r="C1946" i="2"/>
  <c r="B1946" i="2"/>
  <c r="A1946" i="2"/>
  <c r="F1945" i="2"/>
  <c r="E1945" i="2"/>
  <c r="D1945" i="2"/>
  <c r="C1945" i="2"/>
  <c r="B1945" i="2"/>
  <c r="A1945" i="2"/>
  <c r="F1944" i="2"/>
  <c r="E1944" i="2"/>
  <c r="D1944" i="2"/>
  <c r="C1944" i="2"/>
  <c r="B1944" i="2"/>
  <c r="A1944" i="2"/>
  <c r="F1943" i="2"/>
  <c r="E1943" i="2"/>
  <c r="D1943" i="2"/>
  <c r="C1943" i="2"/>
  <c r="B1943" i="2"/>
  <c r="A1943" i="2"/>
  <c r="F1942" i="2"/>
  <c r="E1942" i="2"/>
  <c r="D1942" i="2"/>
  <c r="C1942" i="2"/>
  <c r="B1942" i="2"/>
  <c r="A1942" i="2"/>
  <c r="F1941" i="2"/>
  <c r="E1941" i="2"/>
  <c r="D1941" i="2"/>
  <c r="C1941" i="2"/>
  <c r="B1941" i="2"/>
  <c r="A1941" i="2"/>
  <c r="F1940" i="2"/>
  <c r="E1940" i="2"/>
  <c r="D1940" i="2"/>
  <c r="C1940" i="2"/>
  <c r="B1940" i="2"/>
  <c r="A1940" i="2"/>
  <c r="F1939" i="2"/>
  <c r="E1939" i="2"/>
  <c r="D1939" i="2"/>
  <c r="C1939" i="2"/>
  <c r="B1939" i="2"/>
  <c r="A1939" i="2"/>
  <c r="F1938" i="2"/>
  <c r="E1938" i="2"/>
  <c r="D1938" i="2"/>
  <c r="C1938" i="2"/>
  <c r="B1938" i="2"/>
  <c r="A1938" i="2"/>
  <c r="F1937" i="2"/>
  <c r="E1937" i="2"/>
  <c r="D1937" i="2"/>
  <c r="C1937" i="2"/>
  <c r="B1937" i="2"/>
  <c r="A1937" i="2"/>
  <c r="F1936" i="2"/>
  <c r="E1936" i="2"/>
  <c r="D1936" i="2"/>
  <c r="C1936" i="2"/>
  <c r="B1936" i="2"/>
  <c r="A1936" i="2"/>
  <c r="F1935" i="2"/>
  <c r="E1935" i="2"/>
  <c r="D1935" i="2"/>
  <c r="C1935" i="2"/>
  <c r="B1935" i="2"/>
  <c r="A1935" i="2"/>
  <c r="F1934" i="2"/>
  <c r="E1934" i="2"/>
  <c r="D1934" i="2"/>
  <c r="C1934" i="2"/>
  <c r="B1934" i="2"/>
  <c r="A1934" i="2"/>
  <c r="F1933" i="2"/>
  <c r="E1933" i="2"/>
  <c r="D1933" i="2"/>
  <c r="C1933" i="2"/>
  <c r="B1933" i="2"/>
  <c r="A1933" i="2"/>
  <c r="F1932" i="2"/>
  <c r="E1932" i="2"/>
  <c r="D1932" i="2"/>
  <c r="C1932" i="2"/>
  <c r="B1932" i="2"/>
  <c r="A1932" i="2"/>
  <c r="F1931" i="2"/>
  <c r="E1931" i="2"/>
  <c r="D1931" i="2"/>
  <c r="C1931" i="2"/>
  <c r="B1931" i="2"/>
  <c r="A1931" i="2"/>
  <c r="F1930" i="2"/>
  <c r="E1930" i="2"/>
  <c r="D1930" i="2"/>
  <c r="C1930" i="2"/>
  <c r="B1930" i="2"/>
  <c r="A1930" i="2"/>
  <c r="F1929" i="2"/>
  <c r="E1929" i="2"/>
  <c r="D1929" i="2"/>
  <c r="C1929" i="2"/>
  <c r="B1929" i="2"/>
  <c r="A1929" i="2"/>
  <c r="F1928" i="2"/>
  <c r="E1928" i="2"/>
  <c r="D1928" i="2"/>
  <c r="C1928" i="2"/>
  <c r="B1928" i="2"/>
  <c r="A1928" i="2"/>
  <c r="F1927" i="2"/>
  <c r="E1927" i="2"/>
  <c r="D1927" i="2"/>
  <c r="C1927" i="2"/>
  <c r="B1927" i="2"/>
  <c r="A1927" i="2"/>
  <c r="F1926" i="2"/>
  <c r="E1926" i="2"/>
  <c r="D1926" i="2"/>
  <c r="C1926" i="2"/>
  <c r="B1926" i="2"/>
  <c r="A1926" i="2"/>
  <c r="F1925" i="2"/>
  <c r="E1925" i="2"/>
  <c r="D1925" i="2"/>
  <c r="C1925" i="2"/>
  <c r="B1925" i="2"/>
  <c r="A1925" i="2"/>
  <c r="F1924" i="2"/>
  <c r="E1924" i="2"/>
  <c r="D1924" i="2"/>
  <c r="C1924" i="2"/>
  <c r="B1924" i="2"/>
  <c r="A1924" i="2"/>
  <c r="F1923" i="2"/>
  <c r="E1923" i="2"/>
  <c r="D1923" i="2"/>
  <c r="C1923" i="2"/>
  <c r="B1923" i="2"/>
  <c r="A1923" i="2"/>
  <c r="F1922" i="2"/>
  <c r="E1922" i="2"/>
  <c r="D1922" i="2"/>
  <c r="C1922" i="2"/>
  <c r="B1922" i="2"/>
  <c r="A1922" i="2"/>
  <c r="F1921" i="2"/>
  <c r="E1921" i="2"/>
  <c r="D1921" i="2"/>
  <c r="C1921" i="2"/>
  <c r="B1921" i="2"/>
  <c r="A1921" i="2"/>
  <c r="F1920" i="2"/>
  <c r="E1920" i="2"/>
  <c r="D1920" i="2"/>
  <c r="C1920" i="2"/>
  <c r="B1920" i="2"/>
  <c r="A1920" i="2"/>
  <c r="F1919" i="2"/>
  <c r="E1919" i="2"/>
  <c r="D1919" i="2"/>
  <c r="C1919" i="2"/>
  <c r="B1919" i="2"/>
  <c r="A1919" i="2"/>
  <c r="F1918" i="2"/>
  <c r="E1918" i="2"/>
  <c r="D1918" i="2"/>
  <c r="C1918" i="2"/>
  <c r="B1918" i="2"/>
  <c r="A1918" i="2"/>
  <c r="F1917" i="2"/>
  <c r="E1917" i="2"/>
  <c r="D1917" i="2"/>
  <c r="C1917" i="2"/>
  <c r="B1917" i="2"/>
  <c r="A1917" i="2"/>
  <c r="F1916" i="2"/>
  <c r="E1916" i="2"/>
  <c r="D1916" i="2"/>
  <c r="C1916" i="2"/>
  <c r="B1916" i="2"/>
  <c r="A1916" i="2"/>
  <c r="F1915" i="2"/>
  <c r="E1915" i="2"/>
  <c r="D1915" i="2"/>
  <c r="C1915" i="2"/>
  <c r="B1915" i="2"/>
  <c r="A1915" i="2"/>
  <c r="F1914" i="2"/>
  <c r="E1914" i="2"/>
  <c r="D1914" i="2"/>
  <c r="C1914" i="2"/>
  <c r="B1914" i="2"/>
  <c r="A1914" i="2"/>
  <c r="F1913" i="2"/>
  <c r="E1913" i="2"/>
  <c r="D1913" i="2"/>
  <c r="C1913" i="2"/>
  <c r="B1913" i="2"/>
  <c r="A1913" i="2"/>
  <c r="F1912" i="2"/>
  <c r="E1912" i="2"/>
  <c r="D1912" i="2"/>
  <c r="C1912" i="2"/>
  <c r="B1912" i="2"/>
  <c r="A1912" i="2"/>
  <c r="F1911" i="2"/>
  <c r="E1911" i="2"/>
  <c r="D1911" i="2"/>
  <c r="C1911" i="2"/>
  <c r="B1911" i="2"/>
  <c r="A1911" i="2"/>
  <c r="F1910" i="2"/>
  <c r="E1910" i="2"/>
  <c r="D1910" i="2"/>
  <c r="C1910" i="2"/>
  <c r="B1910" i="2"/>
  <c r="A1910" i="2"/>
  <c r="F1909" i="2"/>
  <c r="E1909" i="2"/>
  <c r="D1909" i="2"/>
  <c r="C1909" i="2"/>
  <c r="B1909" i="2"/>
  <c r="A1909" i="2"/>
  <c r="F1908" i="2"/>
  <c r="E1908" i="2"/>
  <c r="D1908" i="2"/>
  <c r="C1908" i="2"/>
  <c r="B1908" i="2"/>
  <c r="A1908" i="2"/>
  <c r="F1907" i="2"/>
  <c r="E1907" i="2"/>
  <c r="D1907" i="2"/>
  <c r="C1907" i="2"/>
  <c r="B1907" i="2"/>
  <c r="A1907" i="2"/>
  <c r="F1906" i="2"/>
  <c r="E1906" i="2"/>
  <c r="D1906" i="2"/>
  <c r="C1906" i="2"/>
  <c r="B1906" i="2"/>
  <c r="A1906" i="2"/>
  <c r="F1905" i="2"/>
  <c r="E1905" i="2"/>
  <c r="D1905" i="2"/>
  <c r="C1905" i="2"/>
  <c r="B1905" i="2"/>
  <c r="A1905" i="2"/>
  <c r="F1904" i="2"/>
  <c r="E1904" i="2"/>
  <c r="D1904" i="2"/>
  <c r="C1904" i="2"/>
  <c r="B1904" i="2"/>
  <c r="A1904" i="2"/>
  <c r="F1903" i="2"/>
  <c r="E1903" i="2"/>
  <c r="D1903" i="2"/>
  <c r="C1903" i="2"/>
  <c r="B1903" i="2"/>
  <c r="A1903" i="2"/>
  <c r="F1902" i="2"/>
  <c r="E1902" i="2"/>
  <c r="D1902" i="2"/>
  <c r="C1902" i="2"/>
  <c r="B1902" i="2"/>
  <c r="A1902" i="2"/>
  <c r="F1901" i="2"/>
  <c r="E1901" i="2"/>
  <c r="D1901" i="2"/>
  <c r="C1901" i="2"/>
  <c r="B1901" i="2"/>
  <c r="A1901" i="2"/>
  <c r="F1900" i="2"/>
  <c r="E1900" i="2"/>
  <c r="D1900" i="2"/>
  <c r="C1900" i="2"/>
  <c r="B1900" i="2"/>
  <c r="A1900" i="2"/>
  <c r="F1899" i="2"/>
  <c r="E1899" i="2"/>
  <c r="D1899" i="2"/>
  <c r="C1899" i="2"/>
  <c r="B1899" i="2"/>
  <c r="A1899" i="2"/>
  <c r="F1898" i="2"/>
  <c r="E1898" i="2"/>
  <c r="D1898" i="2"/>
  <c r="C1898" i="2"/>
  <c r="B1898" i="2"/>
  <c r="A1898" i="2"/>
  <c r="F1897" i="2"/>
  <c r="E1897" i="2"/>
  <c r="D1897" i="2"/>
  <c r="C1897" i="2"/>
  <c r="B1897" i="2"/>
  <c r="A1897" i="2"/>
  <c r="F1896" i="2"/>
  <c r="E1896" i="2"/>
  <c r="D1896" i="2"/>
  <c r="C1896" i="2"/>
  <c r="B1896" i="2"/>
  <c r="A1896" i="2"/>
  <c r="F1895" i="2"/>
  <c r="E1895" i="2"/>
  <c r="D1895" i="2"/>
  <c r="C1895" i="2"/>
  <c r="B1895" i="2"/>
  <c r="A1895" i="2"/>
  <c r="F1894" i="2"/>
  <c r="E1894" i="2"/>
  <c r="D1894" i="2"/>
  <c r="C1894" i="2"/>
  <c r="B1894" i="2"/>
  <c r="A1894" i="2"/>
  <c r="F1893" i="2"/>
  <c r="E1893" i="2"/>
  <c r="D1893" i="2"/>
  <c r="C1893" i="2"/>
  <c r="B1893" i="2"/>
  <c r="A1893" i="2"/>
  <c r="F1892" i="2"/>
  <c r="E1892" i="2"/>
  <c r="D1892" i="2"/>
  <c r="C1892" i="2"/>
  <c r="B1892" i="2"/>
  <c r="A1892" i="2"/>
  <c r="F1891" i="2"/>
  <c r="E1891" i="2"/>
  <c r="D1891" i="2"/>
  <c r="C1891" i="2"/>
  <c r="B1891" i="2"/>
  <c r="A1891" i="2"/>
  <c r="F1890" i="2"/>
  <c r="E1890" i="2"/>
  <c r="D1890" i="2"/>
  <c r="C1890" i="2"/>
  <c r="B1890" i="2"/>
  <c r="A1890" i="2"/>
  <c r="F1889" i="2"/>
  <c r="E1889" i="2"/>
  <c r="D1889" i="2"/>
  <c r="C1889" i="2"/>
  <c r="B1889" i="2"/>
  <c r="A1889" i="2"/>
  <c r="F1888" i="2"/>
  <c r="E1888" i="2"/>
  <c r="D1888" i="2"/>
  <c r="C1888" i="2"/>
  <c r="B1888" i="2"/>
  <c r="A1888" i="2"/>
  <c r="F1887" i="2"/>
  <c r="E1887" i="2"/>
  <c r="D1887" i="2"/>
  <c r="C1887" i="2"/>
  <c r="B1887" i="2"/>
  <c r="A1887" i="2"/>
  <c r="F1886" i="2"/>
  <c r="E1886" i="2"/>
  <c r="D1886" i="2"/>
  <c r="C1886" i="2"/>
  <c r="B1886" i="2"/>
  <c r="A1886" i="2"/>
  <c r="F1885" i="2"/>
  <c r="E1885" i="2"/>
  <c r="D1885" i="2"/>
  <c r="C1885" i="2"/>
  <c r="B1885" i="2"/>
  <c r="A1885" i="2"/>
  <c r="F1884" i="2"/>
  <c r="E1884" i="2"/>
  <c r="D1884" i="2"/>
  <c r="C1884" i="2"/>
  <c r="B1884" i="2"/>
  <c r="A1884" i="2"/>
  <c r="F1883" i="2"/>
  <c r="E1883" i="2"/>
  <c r="D1883" i="2"/>
  <c r="C1883" i="2"/>
  <c r="B1883" i="2"/>
  <c r="A1883" i="2"/>
  <c r="F1882" i="2"/>
  <c r="E1882" i="2"/>
  <c r="D1882" i="2"/>
  <c r="C1882" i="2"/>
  <c r="B1882" i="2"/>
  <c r="A1882" i="2"/>
  <c r="F1881" i="2"/>
  <c r="E1881" i="2"/>
  <c r="D1881" i="2"/>
  <c r="C1881" i="2"/>
  <c r="B1881" i="2"/>
  <c r="A1881" i="2"/>
  <c r="F1880" i="2"/>
  <c r="E1880" i="2"/>
  <c r="D1880" i="2"/>
  <c r="C1880" i="2"/>
  <c r="B1880" i="2"/>
  <c r="A1880" i="2"/>
  <c r="F1879" i="2"/>
  <c r="E1879" i="2"/>
  <c r="D1879" i="2"/>
  <c r="C1879" i="2"/>
  <c r="B1879" i="2"/>
  <c r="A1879" i="2"/>
  <c r="F1878" i="2"/>
  <c r="E1878" i="2"/>
  <c r="D1878" i="2"/>
  <c r="C1878" i="2"/>
  <c r="B1878" i="2"/>
  <c r="A1878" i="2"/>
  <c r="F1877" i="2"/>
  <c r="E1877" i="2"/>
  <c r="D1877" i="2"/>
  <c r="C1877" i="2"/>
  <c r="B1877" i="2"/>
  <c r="A1877" i="2"/>
  <c r="F1876" i="2"/>
  <c r="E1876" i="2"/>
  <c r="D1876" i="2"/>
  <c r="C1876" i="2"/>
  <c r="B1876" i="2"/>
  <c r="A1876" i="2"/>
  <c r="F1875" i="2"/>
  <c r="E1875" i="2"/>
  <c r="D1875" i="2"/>
  <c r="C1875" i="2"/>
  <c r="B1875" i="2"/>
  <c r="A1875" i="2"/>
  <c r="F1874" i="2"/>
  <c r="E1874" i="2"/>
  <c r="D1874" i="2"/>
  <c r="C1874" i="2"/>
  <c r="B1874" i="2"/>
  <c r="A1874" i="2"/>
  <c r="F1873" i="2"/>
  <c r="E1873" i="2"/>
  <c r="D1873" i="2"/>
  <c r="C1873" i="2"/>
  <c r="B1873" i="2"/>
  <c r="A1873" i="2"/>
  <c r="F1872" i="2"/>
  <c r="E1872" i="2"/>
  <c r="D1872" i="2"/>
  <c r="C1872" i="2"/>
  <c r="B1872" i="2"/>
  <c r="A1872" i="2"/>
  <c r="F1871" i="2"/>
  <c r="E1871" i="2"/>
  <c r="D1871" i="2"/>
  <c r="C1871" i="2"/>
  <c r="B1871" i="2"/>
  <c r="A1871" i="2"/>
  <c r="F1870" i="2"/>
  <c r="E1870" i="2"/>
  <c r="D1870" i="2"/>
  <c r="C1870" i="2"/>
  <c r="B1870" i="2"/>
  <c r="A1870" i="2"/>
  <c r="F1869" i="2"/>
  <c r="E1869" i="2"/>
  <c r="D1869" i="2"/>
  <c r="C1869" i="2"/>
  <c r="B1869" i="2"/>
  <c r="A1869" i="2"/>
  <c r="F1868" i="2"/>
  <c r="E1868" i="2"/>
  <c r="D1868" i="2"/>
  <c r="C1868" i="2"/>
  <c r="B1868" i="2"/>
  <c r="A1868" i="2"/>
  <c r="F1867" i="2"/>
  <c r="E1867" i="2"/>
  <c r="D1867" i="2"/>
  <c r="C1867" i="2"/>
  <c r="B1867" i="2"/>
  <c r="A1867" i="2"/>
  <c r="F1866" i="2"/>
  <c r="E1866" i="2"/>
  <c r="D1866" i="2"/>
  <c r="C1866" i="2"/>
  <c r="B1866" i="2"/>
  <c r="A1866" i="2"/>
  <c r="F1865" i="2"/>
  <c r="E1865" i="2"/>
  <c r="D1865" i="2"/>
  <c r="C1865" i="2"/>
  <c r="B1865" i="2"/>
  <c r="A1865" i="2"/>
  <c r="F1864" i="2"/>
  <c r="E1864" i="2"/>
  <c r="D1864" i="2"/>
  <c r="C1864" i="2"/>
  <c r="B1864" i="2"/>
  <c r="A1864" i="2"/>
  <c r="F1863" i="2"/>
  <c r="E1863" i="2"/>
  <c r="D1863" i="2"/>
  <c r="C1863" i="2"/>
  <c r="B1863" i="2"/>
  <c r="A1863" i="2"/>
  <c r="F1862" i="2"/>
  <c r="E1862" i="2"/>
  <c r="D1862" i="2"/>
  <c r="C1862" i="2"/>
  <c r="B1862" i="2"/>
  <c r="A1862" i="2"/>
  <c r="F1861" i="2"/>
  <c r="E1861" i="2"/>
  <c r="D1861" i="2"/>
  <c r="C1861" i="2"/>
  <c r="B1861" i="2"/>
  <c r="A1861" i="2"/>
  <c r="F1860" i="2"/>
  <c r="E1860" i="2"/>
  <c r="D1860" i="2"/>
  <c r="C1860" i="2"/>
  <c r="B1860" i="2"/>
  <c r="A1860" i="2"/>
  <c r="F1859" i="2"/>
  <c r="E1859" i="2"/>
  <c r="D1859" i="2"/>
  <c r="C1859" i="2"/>
  <c r="B1859" i="2"/>
  <c r="A1859" i="2"/>
  <c r="F1858" i="2"/>
  <c r="E1858" i="2"/>
  <c r="D1858" i="2"/>
  <c r="C1858" i="2"/>
  <c r="B1858" i="2"/>
  <c r="A1858" i="2"/>
  <c r="F1857" i="2"/>
  <c r="E1857" i="2"/>
  <c r="D1857" i="2"/>
  <c r="C1857" i="2"/>
  <c r="B1857" i="2"/>
  <c r="A1857" i="2"/>
  <c r="F1856" i="2"/>
  <c r="E1856" i="2"/>
  <c r="D1856" i="2"/>
  <c r="C1856" i="2"/>
  <c r="B1856" i="2"/>
  <c r="A1856" i="2"/>
  <c r="F1855" i="2"/>
  <c r="E1855" i="2"/>
  <c r="D1855" i="2"/>
  <c r="C1855" i="2"/>
  <c r="B1855" i="2"/>
  <c r="A1855" i="2"/>
  <c r="F1854" i="2"/>
  <c r="E1854" i="2"/>
  <c r="D1854" i="2"/>
  <c r="C1854" i="2"/>
  <c r="B1854" i="2"/>
  <c r="A1854" i="2"/>
  <c r="F1853" i="2"/>
  <c r="E1853" i="2"/>
  <c r="D1853" i="2"/>
  <c r="C1853" i="2"/>
  <c r="B1853" i="2"/>
  <c r="A1853" i="2"/>
  <c r="F1852" i="2"/>
  <c r="E1852" i="2"/>
  <c r="D1852" i="2"/>
  <c r="C1852" i="2"/>
  <c r="B1852" i="2"/>
  <c r="A1852" i="2"/>
  <c r="F1851" i="2"/>
  <c r="E1851" i="2"/>
  <c r="D1851" i="2"/>
  <c r="C1851" i="2"/>
  <c r="B1851" i="2"/>
  <c r="A1851" i="2"/>
  <c r="F1850" i="2"/>
  <c r="E1850" i="2"/>
  <c r="D1850" i="2"/>
  <c r="C1850" i="2"/>
  <c r="B1850" i="2"/>
  <c r="A1850" i="2"/>
  <c r="F1849" i="2"/>
  <c r="E1849" i="2"/>
  <c r="D1849" i="2"/>
  <c r="C1849" i="2"/>
  <c r="B1849" i="2"/>
  <c r="A1849" i="2"/>
  <c r="F1848" i="2"/>
  <c r="E1848" i="2"/>
  <c r="D1848" i="2"/>
  <c r="C1848" i="2"/>
  <c r="B1848" i="2"/>
  <c r="A1848" i="2"/>
  <c r="F1847" i="2"/>
  <c r="E1847" i="2"/>
  <c r="D1847" i="2"/>
  <c r="C1847" i="2"/>
  <c r="B1847" i="2"/>
  <c r="A1847" i="2"/>
  <c r="F1846" i="2"/>
  <c r="E1846" i="2"/>
  <c r="D1846" i="2"/>
  <c r="C1846" i="2"/>
  <c r="B1846" i="2"/>
  <c r="A1846" i="2"/>
  <c r="F1845" i="2"/>
  <c r="E1845" i="2"/>
  <c r="D1845" i="2"/>
  <c r="C1845" i="2"/>
  <c r="B1845" i="2"/>
  <c r="A1845" i="2"/>
  <c r="F1844" i="2"/>
  <c r="E1844" i="2"/>
  <c r="D1844" i="2"/>
  <c r="C1844" i="2"/>
  <c r="B1844" i="2"/>
  <c r="A1844" i="2"/>
  <c r="F1843" i="2"/>
  <c r="E1843" i="2"/>
  <c r="D1843" i="2"/>
  <c r="C1843" i="2"/>
  <c r="B1843" i="2"/>
  <c r="A1843" i="2"/>
  <c r="F1842" i="2"/>
  <c r="E1842" i="2"/>
  <c r="D1842" i="2"/>
  <c r="C1842" i="2"/>
  <c r="B1842" i="2"/>
  <c r="A1842" i="2"/>
  <c r="F1841" i="2"/>
  <c r="E1841" i="2"/>
  <c r="D1841" i="2"/>
  <c r="C1841" i="2"/>
  <c r="B1841" i="2"/>
  <c r="A1841" i="2"/>
  <c r="F1840" i="2"/>
  <c r="E1840" i="2"/>
  <c r="D1840" i="2"/>
  <c r="C1840" i="2"/>
  <c r="B1840" i="2"/>
  <c r="A1840" i="2"/>
  <c r="F1839" i="2"/>
  <c r="E1839" i="2"/>
  <c r="D1839" i="2"/>
  <c r="C1839" i="2"/>
  <c r="B1839" i="2"/>
  <c r="A1839" i="2"/>
  <c r="F1838" i="2"/>
  <c r="E1838" i="2"/>
  <c r="D1838" i="2"/>
  <c r="C1838" i="2"/>
  <c r="B1838" i="2"/>
  <c r="A1838" i="2"/>
  <c r="F1837" i="2"/>
  <c r="E1837" i="2"/>
  <c r="D1837" i="2"/>
  <c r="C1837" i="2"/>
  <c r="B1837" i="2"/>
  <c r="A1837" i="2"/>
  <c r="F1836" i="2"/>
  <c r="E1836" i="2"/>
  <c r="D1836" i="2"/>
  <c r="C1836" i="2"/>
  <c r="B1836" i="2"/>
  <c r="A1836" i="2"/>
  <c r="F1835" i="2"/>
  <c r="E1835" i="2"/>
  <c r="D1835" i="2"/>
  <c r="C1835" i="2"/>
  <c r="B1835" i="2"/>
  <c r="A1835" i="2"/>
  <c r="F1834" i="2"/>
  <c r="E1834" i="2"/>
  <c r="D1834" i="2"/>
  <c r="C1834" i="2"/>
  <c r="B1834" i="2"/>
  <c r="A1834" i="2"/>
  <c r="F1833" i="2"/>
  <c r="E1833" i="2"/>
  <c r="D1833" i="2"/>
  <c r="C1833" i="2"/>
  <c r="B1833" i="2"/>
  <c r="A1833" i="2"/>
  <c r="F1832" i="2"/>
  <c r="E1832" i="2"/>
  <c r="D1832" i="2"/>
  <c r="C1832" i="2"/>
  <c r="B1832" i="2"/>
  <c r="A1832" i="2"/>
  <c r="F1831" i="2"/>
  <c r="E1831" i="2"/>
  <c r="D1831" i="2"/>
  <c r="C1831" i="2"/>
  <c r="B1831" i="2"/>
  <c r="A1831" i="2"/>
  <c r="F1830" i="2"/>
  <c r="E1830" i="2"/>
  <c r="D1830" i="2"/>
  <c r="C1830" i="2"/>
  <c r="B1830" i="2"/>
  <c r="A1830" i="2"/>
  <c r="F1829" i="2"/>
  <c r="E1829" i="2"/>
  <c r="D1829" i="2"/>
  <c r="C1829" i="2"/>
  <c r="B1829" i="2"/>
  <c r="A1829" i="2"/>
  <c r="F1828" i="2"/>
  <c r="E1828" i="2"/>
  <c r="D1828" i="2"/>
  <c r="C1828" i="2"/>
  <c r="B1828" i="2"/>
  <c r="A1828" i="2"/>
  <c r="F1827" i="2"/>
  <c r="E1827" i="2"/>
  <c r="D1827" i="2"/>
  <c r="C1827" i="2"/>
  <c r="B1827" i="2"/>
  <c r="A1827" i="2"/>
  <c r="F1826" i="2"/>
  <c r="E1826" i="2"/>
  <c r="D1826" i="2"/>
  <c r="C1826" i="2"/>
  <c r="B1826" i="2"/>
  <c r="A1826" i="2"/>
  <c r="F1825" i="2"/>
  <c r="E1825" i="2"/>
  <c r="D1825" i="2"/>
  <c r="C1825" i="2"/>
  <c r="B1825" i="2"/>
  <c r="A1825" i="2"/>
  <c r="F1824" i="2"/>
  <c r="E1824" i="2"/>
  <c r="D1824" i="2"/>
  <c r="C1824" i="2"/>
  <c r="B1824" i="2"/>
  <c r="A1824" i="2"/>
  <c r="F1823" i="2"/>
  <c r="E1823" i="2"/>
  <c r="D1823" i="2"/>
  <c r="C1823" i="2"/>
  <c r="B1823" i="2"/>
  <c r="A1823" i="2"/>
  <c r="F1822" i="2"/>
  <c r="E1822" i="2"/>
  <c r="D1822" i="2"/>
  <c r="C1822" i="2"/>
  <c r="B1822" i="2"/>
  <c r="A1822" i="2"/>
  <c r="F1821" i="2"/>
  <c r="E1821" i="2"/>
  <c r="D1821" i="2"/>
  <c r="C1821" i="2"/>
  <c r="B1821" i="2"/>
  <c r="A1821" i="2"/>
  <c r="F1820" i="2"/>
  <c r="E1820" i="2"/>
  <c r="D1820" i="2"/>
  <c r="C1820" i="2"/>
  <c r="B1820" i="2"/>
  <c r="A1820" i="2"/>
  <c r="F1819" i="2"/>
  <c r="E1819" i="2"/>
  <c r="D1819" i="2"/>
  <c r="C1819" i="2"/>
  <c r="B1819" i="2"/>
  <c r="A1819" i="2"/>
  <c r="F1818" i="2"/>
  <c r="E1818" i="2"/>
  <c r="D1818" i="2"/>
  <c r="C1818" i="2"/>
  <c r="B1818" i="2"/>
  <c r="A1818" i="2"/>
  <c r="F1817" i="2"/>
  <c r="E1817" i="2"/>
  <c r="D1817" i="2"/>
  <c r="C1817" i="2"/>
  <c r="B1817" i="2"/>
  <c r="A1817" i="2"/>
  <c r="F1816" i="2"/>
  <c r="E1816" i="2"/>
  <c r="D1816" i="2"/>
  <c r="C1816" i="2"/>
  <c r="B1816" i="2"/>
  <c r="A1816" i="2"/>
  <c r="F1815" i="2"/>
  <c r="E1815" i="2"/>
  <c r="D1815" i="2"/>
  <c r="C1815" i="2"/>
  <c r="B1815" i="2"/>
  <c r="A1815" i="2"/>
  <c r="F1814" i="2"/>
  <c r="E1814" i="2"/>
  <c r="D1814" i="2"/>
  <c r="C1814" i="2"/>
  <c r="B1814" i="2"/>
  <c r="A1814" i="2"/>
  <c r="F1813" i="2"/>
  <c r="E1813" i="2"/>
  <c r="D1813" i="2"/>
  <c r="C1813" i="2"/>
  <c r="B1813" i="2"/>
  <c r="A1813" i="2"/>
  <c r="F1812" i="2"/>
  <c r="E1812" i="2"/>
  <c r="D1812" i="2"/>
  <c r="C1812" i="2"/>
  <c r="B1812" i="2"/>
  <c r="A1812" i="2"/>
  <c r="F1811" i="2"/>
  <c r="E1811" i="2"/>
  <c r="D1811" i="2"/>
  <c r="C1811" i="2"/>
  <c r="B1811" i="2"/>
  <c r="A1811" i="2"/>
  <c r="F1810" i="2"/>
  <c r="E1810" i="2"/>
  <c r="D1810" i="2"/>
  <c r="C1810" i="2"/>
  <c r="B1810" i="2"/>
  <c r="A1810" i="2"/>
  <c r="F1809" i="2"/>
  <c r="E1809" i="2"/>
  <c r="D1809" i="2"/>
  <c r="C1809" i="2"/>
  <c r="B1809" i="2"/>
  <c r="A1809" i="2"/>
  <c r="F1808" i="2"/>
  <c r="E1808" i="2"/>
  <c r="D1808" i="2"/>
  <c r="C1808" i="2"/>
  <c r="B1808" i="2"/>
  <c r="A1808" i="2"/>
  <c r="F1807" i="2"/>
  <c r="E1807" i="2"/>
  <c r="D1807" i="2"/>
  <c r="C1807" i="2"/>
  <c r="B1807" i="2"/>
  <c r="A1807" i="2"/>
  <c r="F1806" i="2"/>
  <c r="E1806" i="2"/>
  <c r="D1806" i="2"/>
  <c r="C1806" i="2"/>
  <c r="B1806" i="2"/>
  <c r="A1806" i="2"/>
  <c r="F1805" i="2"/>
  <c r="E1805" i="2"/>
  <c r="D1805" i="2"/>
  <c r="C1805" i="2"/>
  <c r="B1805" i="2"/>
  <c r="A1805" i="2"/>
  <c r="F1804" i="2"/>
  <c r="E1804" i="2"/>
  <c r="D1804" i="2"/>
  <c r="C1804" i="2"/>
  <c r="B1804" i="2"/>
  <c r="A1804" i="2"/>
  <c r="F1803" i="2"/>
  <c r="E1803" i="2"/>
  <c r="D1803" i="2"/>
  <c r="C1803" i="2"/>
  <c r="B1803" i="2"/>
  <c r="A1803" i="2"/>
  <c r="F1802" i="2"/>
  <c r="E1802" i="2"/>
  <c r="D1802" i="2"/>
  <c r="C1802" i="2"/>
  <c r="B1802" i="2"/>
  <c r="A1802" i="2"/>
  <c r="F1801" i="2"/>
  <c r="E1801" i="2"/>
  <c r="D1801" i="2"/>
  <c r="C1801" i="2"/>
  <c r="B1801" i="2"/>
  <c r="A1801" i="2"/>
  <c r="F1800" i="2"/>
  <c r="E1800" i="2"/>
  <c r="D1800" i="2"/>
  <c r="C1800" i="2"/>
  <c r="B1800" i="2"/>
  <c r="A1800" i="2"/>
  <c r="F1799" i="2"/>
  <c r="E1799" i="2"/>
  <c r="D1799" i="2"/>
  <c r="C1799" i="2"/>
  <c r="B1799" i="2"/>
  <c r="A1799" i="2"/>
  <c r="F1798" i="2"/>
  <c r="E1798" i="2"/>
  <c r="D1798" i="2"/>
  <c r="C1798" i="2"/>
  <c r="B1798" i="2"/>
  <c r="A1798" i="2"/>
  <c r="F1797" i="2"/>
  <c r="E1797" i="2"/>
  <c r="D1797" i="2"/>
  <c r="C1797" i="2"/>
  <c r="B1797" i="2"/>
  <c r="A1797" i="2"/>
  <c r="F1796" i="2"/>
  <c r="E1796" i="2"/>
  <c r="D1796" i="2"/>
  <c r="C1796" i="2"/>
  <c r="B1796" i="2"/>
  <c r="A1796" i="2"/>
  <c r="F1795" i="2"/>
  <c r="E1795" i="2"/>
  <c r="D1795" i="2"/>
  <c r="C1795" i="2"/>
  <c r="B1795" i="2"/>
  <c r="A1795" i="2"/>
  <c r="F1794" i="2"/>
  <c r="E1794" i="2"/>
  <c r="D1794" i="2"/>
  <c r="C1794" i="2"/>
  <c r="B1794" i="2"/>
  <c r="A1794" i="2"/>
  <c r="F1793" i="2"/>
  <c r="E1793" i="2"/>
  <c r="D1793" i="2"/>
  <c r="C1793" i="2"/>
  <c r="B1793" i="2"/>
  <c r="A1793" i="2"/>
  <c r="F1792" i="2"/>
  <c r="E1792" i="2"/>
  <c r="D1792" i="2"/>
  <c r="C1792" i="2"/>
  <c r="B1792" i="2"/>
  <c r="A1792" i="2"/>
  <c r="F1791" i="2"/>
  <c r="E1791" i="2"/>
  <c r="D1791" i="2"/>
  <c r="C1791" i="2"/>
  <c r="B1791" i="2"/>
  <c r="A1791" i="2"/>
  <c r="F1790" i="2"/>
  <c r="E1790" i="2"/>
  <c r="D1790" i="2"/>
  <c r="C1790" i="2"/>
  <c r="B1790" i="2"/>
  <c r="A1790" i="2"/>
  <c r="F1789" i="2"/>
  <c r="E1789" i="2"/>
  <c r="D1789" i="2"/>
  <c r="C1789" i="2"/>
  <c r="B1789" i="2"/>
  <c r="A1789" i="2"/>
  <c r="F1788" i="2"/>
  <c r="E1788" i="2"/>
  <c r="D1788" i="2"/>
  <c r="C1788" i="2"/>
  <c r="B1788" i="2"/>
  <c r="A1788" i="2"/>
  <c r="F1787" i="2"/>
  <c r="E1787" i="2"/>
  <c r="D1787" i="2"/>
  <c r="C1787" i="2"/>
  <c r="B1787" i="2"/>
  <c r="A1787" i="2"/>
  <c r="F1786" i="2"/>
  <c r="E1786" i="2"/>
  <c r="D1786" i="2"/>
  <c r="C1786" i="2"/>
  <c r="B1786" i="2"/>
  <c r="A1786" i="2"/>
  <c r="F1785" i="2"/>
  <c r="E1785" i="2"/>
  <c r="D1785" i="2"/>
  <c r="C1785" i="2"/>
  <c r="B1785" i="2"/>
  <c r="A1785" i="2"/>
  <c r="F1784" i="2"/>
  <c r="E1784" i="2"/>
  <c r="D1784" i="2"/>
  <c r="C1784" i="2"/>
  <c r="B1784" i="2"/>
  <c r="A1784" i="2"/>
  <c r="F1783" i="2"/>
  <c r="E1783" i="2"/>
  <c r="D1783" i="2"/>
  <c r="C1783" i="2"/>
  <c r="B1783" i="2"/>
  <c r="A1783" i="2"/>
  <c r="F1782" i="2"/>
  <c r="E1782" i="2"/>
  <c r="D1782" i="2"/>
  <c r="C1782" i="2"/>
  <c r="B1782" i="2"/>
  <c r="A1782" i="2"/>
  <c r="F1781" i="2"/>
  <c r="E1781" i="2"/>
  <c r="D1781" i="2"/>
  <c r="C1781" i="2"/>
  <c r="B1781" i="2"/>
  <c r="A1781" i="2"/>
  <c r="F1780" i="2"/>
  <c r="E1780" i="2"/>
  <c r="D1780" i="2"/>
  <c r="C1780" i="2"/>
  <c r="B1780" i="2"/>
  <c r="A1780" i="2"/>
  <c r="F1779" i="2"/>
  <c r="E1779" i="2"/>
  <c r="D1779" i="2"/>
  <c r="C1779" i="2"/>
  <c r="B1779" i="2"/>
  <c r="A1779" i="2"/>
  <c r="F1778" i="2"/>
  <c r="E1778" i="2"/>
  <c r="D1778" i="2"/>
  <c r="C1778" i="2"/>
  <c r="B1778" i="2"/>
  <c r="A1778" i="2"/>
  <c r="F1777" i="2"/>
  <c r="E1777" i="2"/>
  <c r="D1777" i="2"/>
  <c r="C1777" i="2"/>
  <c r="B1777" i="2"/>
  <c r="A1777" i="2"/>
  <c r="F1776" i="2"/>
  <c r="E1776" i="2"/>
  <c r="D1776" i="2"/>
  <c r="C1776" i="2"/>
  <c r="B1776" i="2"/>
  <c r="A1776" i="2"/>
  <c r="F1775" i="2"/>
  <c r="E1775" i="2"/>
  <c r="D1775" i="2"/>
  <c r="C1775" i="2"/>
  <c r="B1775" i="2"/>
  <c r="A1775" i="2"/>
  <c r="F1774" i="2"/>
  <c r="E1774" i="2"/>
  <c r="D1774" i="2"/>
  <c r="C1774" i="2"/>
  <c r="B1774" i="2"/>
  <c r="A1774" i="2"/>
  <c r="F1773" i="2"/>
  <c r="E1773" i="2"/>
  <c r="D1773" i="2"/>
  <c r="C1773" i="2"/>
  <c r="B1773" i="2"/>
  <c r="A1773" i="2"/>
  <c r="F1772" i="2"/>
  <c r="E1772" i="2"/>
  <c r="D1772" i="2"/>
  <c r="C1772" i="2"/>
  <c r="B1772" i="2"/>
  <c r="A1772" i="2"/>
  <c r="F1771" i="2"/>
  <c r="E1771" i="2"/>
  <c r="D1771" i="2"/>
  <c r="C1771" i="2"/>
  <c r="B1771" i="2"/>
  <c r="A1771" i="2"/>
  <c r="F1770" i="2"/>
  <c r="E1770" i="2"/>
  <c r="D1770" i="2"/>
  <c r="C1770" i="2"/>
  <c r="B1770" i="2"/>
  <c r="A1770" i="2"/>
  <c r="F1769" i="2"/>
  <c r="E1769" i="2"/>
  <c r="D1769" i="2"/>
  <c r="C1769" i="2"/>
  <c r="B1769" i="2"/>
  <c r="A1769" i="2"/>
  <c r="F1768" i="2"/>
  <c r="E1768" i="2"/>
  <c r="D1768" i="2"/>
  <c r="C1768" i="2"/>
  <c r="B1768" i="2"/>
  <c r="A1768" i="2"/>
  <c r="F1767" i="2"/>
  <c r="E1767" i="2"/>
  <c r="D1767" i="2"/>
  <c r="C1767" i="2"/>
  <c r="B1767" i="2"/>
  <c r="A1767" i="2"/>
  <c r="F1766" i="2"/>
  <c r="E1766" i="2"/>
  <c r="D1766" i="2"/>
  <c r="C1766" i="2"/>
  <c r="B1766" i="2"/>
  <c r="A1766" i="2"/>
  <c r="F1765" i="2"/>
  <c r="E1765" i="2"/>
  <c r="D1765" i="2"/>
  <c r="C1765" i="2"/>
  <c r="B1765" i="2"/>
  <c r="A1765" i="2"/>
  <c r="F1764" i="2"/>
  <c r="E1764" i="2"/>
  <c r="D1764" i="2"/>
  <c r="C1764" i="2"/>
  <c r="B1764" i="2"/>
  <c r="A1764" i="2"/>
  <c r="F1763" i="2"/>
  <c r="E1763" i="2"/>
  <c r="D1763" i="2"/>
  <c r="C1763" i="2"/>
  <c r="B1763" i="2"/>
  <c r="A1763" i="2"/>
  <c r="F1762" i="2"/>
  <c r="E1762" i="2"/>
  <c r="D1762" i="2"/>
  <c r="C1762" i="2"/>
  <c r="B1762" i="2"/>
  <c r="A1762" i="2"/>
  <c r="F1761" i="2"/>
  <c r="E1761" i="2"/>
  <c r="D1761" i="2"/>
  <c r="C1761" i="2"/>
  <c r="B1761" i="2"/>
  <c r="A1761" i="2"/>
  <c r="F1760" i="2"/>
  <c r="E1760" i="2"/>
  <c r="D1760" i="2"/>
  <c r="C1760" i="2"/>
  <c r="B1760" i="2"/>
  <c r="A1760" i="2"/>
  <c r="F1759" i="2"/>
  <c r="E1759" i="2"/>
  <c r="D1759" i="2"/>
  <c r="C1759" i="2"/>
  <c r="B1759" i="2"/>
  <c r="A1759" i="2"/>
  <c r="F1758" i="2"/>
  <c r="E1758" i="2"/>
  <c r="D1758" i="2"/>
  <c r="C1758" i="2"/>
  <c r="B1758" i="2"/>
  <c r="A1758" i="2"/>
  <c r="F1757" i="2"/>
  <c r="E1757" i="2"/>
  <c r="D1757" i="2"/>
  <c r="C1757" i="2"/>
  <c r="B1757" i="2"/>
  <c r="A1757" i="2"/>
  <c r="F1756" i="2"/>
  <c r="E1756" i="2"/>
  <c r="D1756" i="2"/>
  <c r="C1756" i="2"/>
  <c r="B1756" i="2"/>
  <c r="A1756" i="2"/>
  <c r="F1755" i="2"/>
  <c r="E1755" i="2"/>
  <c r="D1755" i="2"/>
  <c r="C1755" i="2"/>
  <c r="B1755" i="2"/>
  <c r="A1755" i="2"/>
  <c r="F1754" i="2"/>
  <c r="E1754" i="2"/>
  <c r="D1754" i="2"/>
  <c r="C1754" i="2"/>
  <c r="B1754" i="2"/>
  <c r="A1754" i="2"/>
  <c r="F1753" i="2"/>
  <c r="E1753" i="2"/>
  <c r="D1753" i="2"/>
  <c r="C1753" i="2"/>
  <c r="B1753" i="2"/>
  <c r="A1753" i="2"/>
  <c r="F1752" i="2"/>
  <c r="E1752" i="2"/>
  <c r="D1752" i="2"/>
  <c r="C1752" i="2"/>
  <c r="B1752" i="2"/>
  <c r="A1752" i="2"/>
  <c r="F1751" i="2"/>
  <c r="E1751" i="2"/>
  <c r="D1751" i="2"/>
  <c r="C1751" i="2"/>
  <c r="B1751" i="2"/>
  <c r="A1751" i="2"/>
  <c r="F1750" i="2"/>
  <c r="E1750" i="2"/>
  <c r="D1750" i="2"/>
  <c r="C1750" i="2"/>
  <c r="B1750" i="2"/>
  <c r="A1750" i="2"/>
  <c r="F1749" i="2"/>
  <c r="E1749" i="2"/>
  <c r="D1749" i="2"/>
  <c r="C1749" i="2"/>
  <c r="B1749" i="2"/>
  <c r="A1749" i="2"/>
  <c r="F1748" i="2"/>
  <c r="E1748" i="2"/>
  <c r="D1748" i="2"/>
  <c r="C1748" i="2"/>
  <c r="B1748" i="2"/>
  <c r="A1748" i="2"/>
  <c r="F1747" i="2"/>
  <c r="E1747" i="2"/>
  <c r="D1747" i="2"/>
  <c r="C1747" i="2"/>
  <c r="B1747" i="2"/>
  <c r="A1747" i="2"/>
  <c r="F1746" i="2"/>
  <c r="E1746" i="2"/>
  <c r="D1746" i="2"/>
  <c r="C1746" i="2"/>
  <c r="B1746" i="2"/>
  <c r="A1746" i="2"/>
  <c r="F1745" i="2"/>
  <c r="E1745" i="2"/>
  <c r="D1745" i="2"/>
  <c r="C1745" i="2"/>
  <c r="B1745" i="2"/>
  <c r="A1745" i="2"/>
  <c r="F1744" i="2"/>
  <c r="E1744" i="2"/>
  <c r="D1744" i="2"/>
  <c r="C1744" i="2"/>
  <c r="B1744" i="2"/>
  <c r="A1744" i="2"/>
  <c r="F1743" i="2"/>
  <c r="E1743" i="2"/>
  <c r="D1743" i="2"/>
  <c r="C1743" i="2"/>
  <c r="B1743" i="2"/>
  <c r="A1743" i="2"/>
  <c r="F1742" i="2"/>
  <c r="E1742" i="2"/>
  <c r="D1742" i="2"/>
  <c r="C1742" i="2"/>
  <c r="B1742" i="2"/>
  <c r="A1742" i="2"/>
  <c r="F1741" i="2"/>
  <c r="E1741" i="2"/>
  <c r="D1741" i="2"/>
  <c r="C1741" i="2"/>
  <c r="B1741" i="2"/>
  <c r="A1741" i="2"/>
  <c r="F1740" i="2"/>
  <c r="E1740" i="2"/>
  <c r="D1740" i="2"/>
  <c r="C1740" i="2"/>
  <c r="B1740" i="2"/>
  <c r="A1740" i="2"/>
  <c r="F1739" i="2"/>
  <c r="E1739" i="2"/>
  <c r="D1739" i="2"/>
  <c r="C1739" i="2"/>
  <c r="B1739" i="2"/>
  <c r="A1739" i="2"/>
  <c r="F1738" i="2"/>
  <c r="E1738" i="2"/>
  <c r="D1738" i="2"/>
  <c r="C1738" i="2"/>
  <c r="B1738" i="2"/>
  <c r="A1738" i="2"/>
  <c r="F1737" i="2"/>
  <c r="E1737" i="2"/>
  <c r="D1737" i="2"/>
  <c r="C1737" i="2"/>
  <c r="B1737" i="2"/>
  <c r="A1737" i="2"/>
  <c r="F1736" i="2"/>
  <c r="E1736" i="2"/>
  <c r="D1736" i="2"/>
  <c r="C1736" i="2"/>
  <c r="B1736" i="2"/>
  <c r="A1736" i="2"/>
  <c r="F1735" i="2"/>
  <c r="E1735" i="2"/>
  <c r="D1735" i="2"/>
  <c r="C1735" i="2"/>
  <c r="B1735" i="2"/>
  <c r="A1735" i="2"/>
  <c r="F1734" i="2"/>
  <c r="E1734" i="2"/>
  <c r="D1734" i="2"/>
  <c r="C1734" i="2"/>
  <c r="B1734" i="2"/>
  <c r="A1734" i="2"/>
  <c r="F1733" i="2"/>
  <c r="E1733" i="2"/>
  <c r="D1733" i="2"/>
  <c r="C1733" i="2"/>
  <c r="B1733" i="2"/>
  <c r="A1733" i="2"/>
  <c r="F1732" i="2"/>
  <c r="E1732" i="2"/>
  <c r="D1732" i="2"/>
  <c r="C1732" i="2"/>
  <c r="B1732" i="2"/>
  <c r="A1732" i="2"/>
  <c r="F1731" i="2"/>
  <c r="E1731" i="2"/>
  <c r="D1731" i="2"/>
  <c r="C1731" i="2"/>
  <c r="B1731" i="2"/>
  <c r="A1731" i="2"/>
  <c r="F1730" i="2"/>
  <c r="E1730" i="2"/>
  <c r="D1730" i="2"/>
  <c r="C1730" i="2"/>
  <c r="B1730" i="2"/>
  <c r="A1730" i="2"/>
  <c r="F1729" i="2"/>
  <c r="E1729" i="2"/>
  <c r="D1729" i="2"/>
  <c r="C1729" i="2"/>
  <c r="B1729" i="2"/>
  <c r="A1729" i="2"/>
  <c r="F1728" i="2"/>
  <c r="E1728" i="2"/>
  <c r="D1728" i="2"/>
  <c r="C1728" i="2"/>
  <c r="B1728" i="2"/>
  <c r="A1728" i="2"/>
  <c r="F1727" i="2"/>
  <c r="E1727" i="2"/>
  <c r="D1727" i="2"/>
  <c r="C1727" i="2"/>
  <c r="B1727" i="2"/>
  <c r="A1727" i="2"/>
  <c r="F1726" i="2"/>
  <c r="E1726" i="2"/>
  <c r="D1726" i="2"/>
  <c r="C1726" i="2"/>
  <c r="B1726" i="2"/>
  <c r="A1726" i="2"/>
  <c r="F1725" i="2"/>
  <c r="E1725" i="2"/>
  <c r="D1725" i="2"/>
  <c r="C1725" i="2"/>
  <c r="B1725" i="2"/>
  <c r="A1725" i="2"/>
  <c r="F1724" i="2"/>
  <c r="E1724" i="2"/>
  <c r="D1724" i="2"/>
  <c r="C1724" i="2"/>
  <c r="B1724" i="2"/>
  <c r="A1724" i="2"/>
  <c r="F1723" i="2"/>
  <c r="E1723" i="2"/>
  <c r="D1723" i="2"/>
  <c r="C1723" i="2"/>
  <c r="B1723" i="2"/>
  <c r="A1723" i="2"/>
  <c r="F1722" i="2"/>
  <c r="E1722" i="2"/>
  <c r="D1722" i="2"/>
  <c r="C1722" i="2"/>
  <c r="B1722" i="2"/>
  <c r="A1722" i="2"/>
  <c r="F1721" i="2"/>
  <c r="E1721" i="2"/>
  <c r="D1721" i="2"/>
  <c r="C1721" i="2"/>
  <c r="B1721" i="2"/>
  <c r="A1721" i="2"/>
  <c r="F1720" i="2"/>
  <c r="E1720" i="2"/>
  <c r="D1720" i="2"/>
  <c r="C1720" i="2"/>
  <c r="B1720" i="2"/>
  <c r="A1720" i="2"/>
  <c r="F1719" i="2"/>
  <c r="E1719" i="2"/>
  <c r="D1719" i="2"/>
  <c r="C1719" i="2"/>
  <c r="B1719" i="2"/>
  <c r="A1719" i="2"/>
  <c r="F1718" i="2"/>
  <c r="E1718" i="2"/>
  <c r="D1718" i="2"/>
  <c r="C1718" i="2"/>
  <c r="B1718" i="2"/>
  <c r="A1718" i="2"/>
  <c r="F1717" i="2"/>
  <c r="E1717" i="2"/>
  <c r="D1717" i="2"/>
  <c r="C1717" i="2"/>
  <c r="B1717" i="2"/>
  <c r="A1717" i="2"/>
  <c r="F1716" i="2"/>
  <c r="E1716" i="2"/>
  <c r="D1716" i="2"/>
  <c r="C1716" i="2"/>
  <c r="B1716" i="2"/>
  <c r="A1716" i="2"/>
  <c r="F1715" i="2"/>
  <c r="E1715" i="2"/>
  <c r="D1715" i="2"/>
  <c r="C1715" i="2"/>
  <c r="B1715" i="2"/>
  <c r="A1715" i="2"/>
  <c r="F1714" i="2"/>
  <c r="E1714" i="2"/>
  <c r="D1714" i="2"/>
  <c r="C1714" i="2"/>
  <c r="B1714" i="2"/>
  <c r="A1714" i="2"/>
  <c r="F1713" i="2"/>
  <c r="E1713" i="2"/>
  <c r="D1713" i="2"/>
  <c r="C1713" i="2"/>
  <c r="B1713" i="2"/>
  <c r="A1713" i="2"/>
  <c r="F1712" i="2"/>
  <c r="E1712" i="2"/>
  <c r="D1712" i="2"/>
  <c r="C1712" i="2"/>
  <c r="B1712" i="2"/>
  <c r="A1712" i="2"/>
  <c r="F1711" i="2"/>
  <c r="E1711" i="2"/>
  <c r="D1711" i="2"/>
  <c r="C1711" i="2"/>
  <c r="B1711" i="2"/>
  <c r="A1711" i="2"/>
  <c r="F1710" i="2"/>
  <c r="E1710" i="2"/>
  <c r="D1710" i="2"/>
  <c r="C1710" i="2"/>
  <c r="B1710" i="2"/>
  <c r="A1710" i="2"/>
  <c r="F1709" i="2"/>
  <c r="E1709" i="2"/>
  <c r="D1709" i="2"/>
  <c r="C1709" i="2"/>
  <c r="B1709" i="2"/>
  <c r="A1709" i="2"/>
  <c r="F1708" i="2"/>
  <c r="E1708" i="2"/>
  <c r="D1708" i="2"/>
  <c r="C1708" i="2"/>
  <c r="B1708" i="2"/>
  <c r="A1708" i="2"/>
  <c r="F1707" i="2"/>
  <c r="E1707" i="2"/>
  <c r="D1707" i="2"/>
  <c r="C1707" i="2"/>
  <c r="B1707" i="2"/>
  <c r="A1707" i="2"/>
  <c r="F1706" i="2"/>
  <c r="E1706" i="2"/>
  <c r="D1706" i="2"/>
  <c r="C1706" i="2"/>
  <c r="B1706" i="2"/>
  <c r="A1706" i="2"/>
  <c r="F1705" i="2"/>
  <c r="E1705" i="2"/>
  <c r="D1705" i="2"/>
  <c r="C1705" i="2"/>
  <c r="B1705" i="2"/>
  <c r="A1705" i="2"/>
  <c r="F1704" i="2"/>
  <c r="E1704" i="2"/>
  <c r="D1704" i="2"/>
  <c r="C1704" i="2"/>
  <c r="B1704" i="2"/>
  <c r="A1704" i="2"/>
  <c r="F1703" i="2"/>
  <c r="E1703" i="2"/>
  <c r="D1703" i="2"/>
  <c r="C1703" i="2"/>
  <c r="B1703" i="2"/>
  <c r="A1703" i="2"/>
  <c r="F1702" i="2"/>
  <c r="E1702" i="2"/>
  <c r="D1702" i="2"/>
  <c r="C1702" i="2"/>
  <c r="B1702" i="2"/>
  <c r="A1702" i="2"/>
  <c r="F1701" i="2"/>
  <c r="E1701" i="2"/>
  <c r="D1701" i="2"/>
  <c r="C1701" i="2"/>
  <c r="B1701" i="2"/>
  <c r="A1701" i="2"/>
  <c r="F1700" i="2"/>
  <c r="E1700" i="2"/>
  <c r="D1700" i="2"/>
  <c r="C1700" i="2"/>
  <c r="B1700" i="2"/>
  <c r="A1700" i="2"/>
  <c r="F1699" i="2"/>
  <c r="E1699" i="2"/>
  <c r="D1699" i="2"/>
  <c r="C1699" i="2"/>
  <c r="B1699" i="2"/>
  <c r="A1699" i="2"/>
  <c r="F1698" i="2"/>
  <c r="E1698" i="2"/>
  <c r="D1698" i="2"/>
  <c r="C1698" i="2"/>
  <c r="B1698" i="2"/>
  <c r="A1698" i="2"/>
  <c r="F1697" i="2"/>
  <c r="E1697" i="2"/>
  <c r="D1697" i="2"/>
  <c r="C1697" i="2"/>
  <c r="B1697" i="2"/>
  <c r="A1697" i="2"/>
  <c r="F1696" i="2"/>
  <c r="E1696" i="2"/>
  <c r="D1696" i="2"/>
  <c r="C1696" i="2"/>
  <c r="B1696" i="2"/>
  <c r="A1696" i="2"/>
  <c r="F1695" i="2"/>
  <c r="E1695" i="2"/>
  <c r="D1695" i="2"/>
  <c r="C1695" i="2"/>
  <c r="B1695" i="2"/>
  <c r="A1695" i="2"/>
  <c r="F1694" i="2"/>
  <c r="E1694" i="2"/>
  <c r="D1694" i="2"/>
  <c r="C1694" i="2"/>
  <c r="B1694" i="2"/>
  <c r="A1694" i="2"/>
  <c r="F1693" i="2"/>
  <c r="E1693" i="2"/>
  <c r="D1693" i="2"/>
  <c r="C1693" i="2"/>
  <c r="B1693" i="2"/>
  <c r="A1693" i="2"/>
  <c r="F1692" i="2"/>
  <c r="E1692" i="2"/>
  <c r="D1692" i="2"/>
  <c r="C1692" i="2"/>
  <c r="B1692" i="2"/>
  <c r="A1692" i="2"/>
  <c r="F1691" i="2"/>
  <c r="E1691" i="2"/>
  <c r="D1691" i="2"/>
  <c r="C1691" i="2"/>
  <c r="B1691" i="2"/>
  <c r="A1691" i="2"/>
  <c r="F1690" i="2"/>
  <c r="E1690" i="2"/>
  <c r="D1690" i="2"/>
  <c r="C1690" i="2"/>
  <c r="B1690" i="2"/>
  <c r="A1690" i="2"/>
  <c r="F1689" i="2"/>
  <c r="E1689" i="2"/>
  <c r="D1689" i="2"/>
  <c r="C1689" i="2"/>
  <c r="B1689" i="2"/>
  <c r="A1689" i="2"/>
  <c r="F1688" i="2"/>
  <c r="E1688" i="2"/>
  <c r="D1688" i="2"/>
  <c r="C1688" i="2"/>
  <c r="B1688" i="2"/>
  <c r="A1688" i="2"/>
  <c r="F1687" i="2"/>
  <c r="E1687" i="2"/>
  <c r="D1687" i="2"/>
  <c r="C1687" i="2"/>
  <c r="B1687" i="2"/>
  <c r="A1687" i="2"/>
  <c r="F1686" i="2"/>
  <c r="E1686" i="2"/>
  <c r="D1686" i="2"/>
  <c r="C1686" i="2"/>
  <c r="B1686" i="2"/>
  <c r="A1686" i="2"/>
  <c r="F1685" i="2"/>
  <c r="E1685" i="2"/>
  <c r="D1685" i="2"/>
  <c r="C1685" i="2"/>
  <c r="B1685" i="2"/>
  <c r="A1685" i="2"/>
  <c r="F1684" i="2"/>
  <c r="E1684" i="2"/>
  <c r="D1684" i="2"/>
  <c r="C1684" i="2"/>
  <c r="B1684" i="2"/>
  <c r="A1684" i="2"/>
  <c r="F1683" i="2"/>
  <c r="E1683" i="2"/>
  <c r="D1683" i="2"/>
  <c r="C1683" i="2"/>
  <c r="B1683" i="2"/>
  <c r="A1683" i="2"/>
  <c r="F1682" i="2"/>
  <c r="E1682" i="2"/>
  <c r="D1682" i="2"/>
  <c r="C1682" i="2"/>
  <c r="B1682" i="2"/>
  <c r="A1682" i="2"/>
  <c r="F1681" i="2"/>
  <c r="E1681" i="2"/>
  <c r="D1681" i="2"/>
  <c r="C1681" i="2"/>
  <c r="B1681" i="2"/>
  <c r="A1681" i="2"/>
  <c r="F1680" i="2"/>
  <c r="E1680" i="2"/>
  <c r="D1680" i="2"/>
  <c r="C1680" i="2"/>
  <c r="B1680" i="2"/>
  <c r="A1680" i="2"/>
  <c r="F1679" i="2"/>
  <c r="E1679" i="2"/>
  <c r="D1679" i="2"/>
  <c r="C1679" i="2"/>
  <c r="B1679" i="2"/>
  <c r="A1679" i="2"/>
  <c r="F1678" i="2"/>
  <c r="E1678" i="2"/>
  <c r="D1678" i="2"/>
  <c r="C1678" i="2"/>
  <c r="B1678" i="2"/>
  <c r="A1678" i="2"/>
  <c r="F1677" i="2"/>
  <c r="E1677" i="2"/>
  <c r="D1677" i="2"/>
  <c r="C1677" i="2"/>
  <c r="B1677" i="2"/>
  <c r="A1677" i="2"/>
  <c r="F1676" i="2"/>
  <c r="E1676" i="2"/>
  <c r="D1676" i="2"/>
  <c r="C1676" i="2"/>
  <c r="B1676" i="2"/>
  <c r="A1676" i="2"/>
  <c r="F1675" i="2"/>
  <c r="E1675" i="2"/>
  <c r="D1675" i="2"/>
  <c r="C1675" i="2"/>
  <c r="B1675" i="2"/>
  <c r="A1675" i="2"/>
  <c r="F1674" i="2"/>
  <c r="E1674" i="2"/>
  <c r="D1674" i="2"/>
  <c r="C1674" i="2"/>
  <c r="B1674" i="2"/>
  <c r="A1674" i="2"/>
  <c r="F1673" i="2"/>
  <c r="E1673" i="2"/>
  <c r="D1673" i="2"/>
  <c r="C1673" i="2"/>
  <c r="B1673" i="2"/>
  <c r="A1673" i="2"/>
  <c r="F1672" i="2"/>
  <c r="E1672" i="2"/>
  <c r="D1672" i="2"/>
  <c r="C1672" i="2"/>
  <c r="B1672" i="2"/>
  <c r="A1672" i="2"/>
  <c r="F1671" i="2"/>
  <c r="E1671" i="2"/>
  <c r="D1671" i="2"/>
  <c r="C1671" i="2"/>
  <c r="B1671" i="2"/>
  <c r="A1671" i="2"/>
  <c r="F1670" i="2"/>
  <c r="E1670" i="2"/>
  <c r="D1670" i="2"/>
  <c r="C1670" i="2"/>
  <c r="B1670" i="2"/>
  <c r="A1670" i="2"/>
  <c r="F1669" i="2"/>
  <c r="E1669" i="2"/>
  <c r="D1669" i="2"/>
  <c r="C1669" i="2"/>
  <c r="B1669" i="2"/>
  <c r="A1669" i="2"/>
  <c r="F1668" i="2"/>
  <c r="E1668" i="2"/>
  <c r="D1668" i="2"/>
  <c r="C1668" i="2"/>
  <c r="B1668" i="2"/>
  <c r="A1668" i="2"/>
  <c r="F1667" i="2"/>
  <c r="E1667" i="2"/>
  <c r="D1667" i="2"/>
  <c r="C1667" i="2"/>
  <c r="B1667" i="2"/>
  <c r="A1667" i="2"/>
  <c r="F1666" i="2"/>
  <c r="E1666" i="2"/>
  <c r="D1666" i="2"/>
  <c r="C1666" i="2"/>
  <c r="B1666" i="2"/>
  <c r="A1666" i="2"/>
  <c r="F1665" i="2"/>
  <c r="E1665" i="2"/>
  <c r="D1665" i="2"/>
  <c r="C1665" i="2"/>
  <c r="B1665" i="2"/>
  <c r="A1665" i="2"/>
  <c r="F1664" i="2"/>
  <c r="E1664" i="2"/>
  <c r="D1664" i="2"/>
  <c r="C1664" i="2"/>
  <c r="B1664" i="2"/>
  <c r="A1664" i="2"/>
  <c r="F1663" i="2"/>
  <c r="E1663" i="2"/>
  <c r="D1663" i="2"/>
  <c r="C1663" i="2"/>
  <c r="B1663" i="2"/>
  <c r="A1663" i="2"/>
  <c r="F1662" i="2"/>
  <c r="E1662" i="2"/>
  <c r="D1662" i="2"/>
  <c r="C1662" i="2"/>
  <c r="B1662" i="2"/>
  <c r="A1662" i="2"/>
  <c r="F1661" i="2"/>
  <c r="E1661" i="2"/>
  <c r="D1661" i="2"/>
  <c r="C1661" i="2"/>
  <c r="B1661" i="2"/>
  <c r="A1661" i="2"/>
  <c r="F1660" i="2"/>
  <c r="E1660" i="2"/>
  <c r="D1660" i="2"/>
  <c r="C1660" i="2"/>
  <c r="B1660" i="2"/>
  <c r="A1660" i="2"/>
  <c r="F1659" i="2"/>
  <c r="E1659" i="2"/>
  <c r="D1659" i="2"/>
  <c r="C1659" i="2"/>
  <c r="B1659" i="2"/>
  <c r="A1659" i="2"/>
  <c r="F1658" i="2"/>
  <c r="E1658" i="2"/>
  <c r="D1658" i="2"/>
  <c r="C1658" i="2"/>
  <c r="B1658" i="2"/>
  <c r="A1658" i="2"/>
  <c r="F1657" i="2"/>
  <c r="E1657" i="2"/>
  <c r="D1657" i="2"/>
  <c r="C1657" i="2"/>
  <c r="B1657" i="2"/>
  <c r="A1657" i="2"/>
  <c r="F1656" i="2"/>
  <c r="E1656" i="2"/>
  <c r="D1656" i="2"/>
  <c r="C1656" i="2"/>
  <c r="B1656" i="2"/>
  <c r="A1656" i="2"/>
  <c r="F1655" i="2"/>
  <c r="E1655" i="2"/>
  <c r="D1655" i="2"/>
  <c r="C1655" i="2"/>
  <c r="B1655" i="2"/>
  <c r="A1655" i="2"/>
  <c r="F1654" i="2"/>
  <c r="E1654" i="2"/>
  <c r="D1654" i="2"/>
  <c r="C1654" i="2"/>
  <c r="B1654" i="2"/>
  <c r="A1654" i="2"/>
  <c r="F1653" i="2"/>
  <c r="E1653" i="2"/>
  <c r="D1653" i="2"/>
  <c r="C1653" i="2"/>
  <c r="B1653" i="2"/>
  <c r="A1653" i="2"/>
  <c r="F1652" i="2"/>
  <c r="E1652" i="2"/>
  <c r="D1652" i="2"/>
  <c r="C1652" i="2"/>
  <c r="B1652" i="2"/>
  <c r="A1652" i="2"/>
  <c r="F1651" i="2"/>
  <c r="E1651" i="2"/>
  <c r="D1651" i="2"/>
  <c r="C1651" i="2"/>
  <c r="B1651" i="2"/>
  <c r="A1651" i="2"/>
  <c r="F1650" i="2"/>
  <c r="E1650" i="2"/>
  <c r="D1650" i="2"/>
  <c r="C1650" i="2"/>
  <c r="B1650" i="2"/>
  <c r="A1650" i="2"/>
  <c r="F1649" i="2"/>
  <c r="E1649" i="2"/>
  <c r="D1649" i="2"/>
  <c r="C1649" i="2"/>
  <c r="B1649" i="2"/>
  <c r="A1649" i="2"/>
  <c r="F1648" i="2"/>
  <c r="E1648" i="2"/>
  <c r="D1648" i="2"/>
  <c r="C1648" i="2"/>
  <c r="B1648" i="2"/>
  <c r="A1648" i="2"/>
  <c r="F1647" i="2"/>
  <c r="E1647" i="2"/>
  <c r="D1647" i="2"/>
  <c r="C1647" i="2"/>
  <c r="B1647" i="2"/>
  <c r="A1647" i="2"/>
  <c r="F1646" i="2"/>
  <c r="E1646" i="2"/>
  <c r="D1646" i="2"/>
  <c r="C1646" i="2"/>
  <c r="B1646" i="2"/>
  <c r="A1646" i="2"/>
  <c r="F1645" i="2"/>
  <c r="E1645" i="2"/>
  <c r="D1645" i="2"/>
  <c r="C1645" i="2"/>
  <c r="B1645" i="2"/>
  <c r="A1645" i="2"/>
  <c r="F1644" i="2"/>
  <c r="E1644" i="2"/>
  <c r="D1644" i="2"/>
  <c r="C1644" i="2"/>
  <c r="B1644" i="2"/>
  <c r="A1644" i="2"/>
  <c r="F1643" i="2"/>
  <c r="E1643" i="2"/>
  <c r="D1643" i="2"/>
  <c r="C1643" i="2"/>
  <c r="B1643" i="2"/>
  <c r="A1643" i="2"/>
  <c r="F1642" i="2"/>
  <c r="E1642" i="2"/>
  <c r="D1642" i="2"/>
  <c r="C1642" i="2"/>
  <c r="B1642" i="2"/>
  <c r="A1642" i="2"/>
  <c r="F1641" i="2"/>
  <c r="E1641" i="2"/>
  <c r="D1641" i="2"/>
  <c r="C1641" i="2"/>
  <c r="B1641" i="2"/>
  <c r="A1641" i="2"/>
  <c r="F1640" i="2"/>
  <c r="E1640" i="2"/>
  <c r="D1640" i="2"/>
  <c r="C1640" i="2"/>
  <c r="B1640" i="2"/>
  <c r="A1640" i="2"/>
  <c r="F1639" i="2"/>
  <c r="E1639" i="2"/>
  <c r="D1639" i="2"/>
  <c r="C1639" i="2"/>
  <c r="B1639" i="2"/>
  <c r="A1639" i="2"/>
  <c r="F1638" i="2"/>
  <c r="E1638" i="2"/>
  <c r="D1638" i="2"/>
  <c r="C1638" i="2"/>
  <c r="B1638" i="2"/>
  <c r="A1638" i="2"/>
  <c r="F1637" i="2"/>
  <c r="E1637" i="2"/>
  <c r="D1637" i="2"/>
  <c r="C1637" i="2"/>
  <c r="B1637" i="2"/>
  <c r="A1637" i="2"/>
  <c r="F1636" i="2"/>
  <c r="E1636" i="2"/>
  <c r="D1636" i="2"/>
  <c r="C1636" i="2"/>
  <c r="B1636" i="2"/>
  <c r="A1636" i="2"/>
  <c r="F1635" i="2"/>
  <c r="E1635" i="2"/>
  <c r="D1635" i="2"/>
  <c r="C1635" i="2"/>
  <c r="B1635" i="2"/>
  <c r="A1635" i="2"/>
  <c r="F1634" i="2"/>
  <c r="E1634" i="2"/>
  <c r="D1634" i="2"/>
  <c r="C1634" i="2"/>
  <c r="B1634" i="2"/>
  <c r="A1634" i="2"/>
  <c r="F1633" i="2"/>
  <c r="E1633" i="2"/>
  <c r="D1633" i="2"/>
  <c r="C1633" i="2"/>
  <c r="B1633" i="2"/>
  <c r="A1633" i="2"/>
  <c r="F1632" i="2"/>
  <c r="E1632" i="2"/>
  <c r="D1632" i="2"/>
  <c r="C1632" i="2"/>
  <c r="B1632" i="2"/>
  <c r="A1632" i="2"/>
  <c r="F1631" i="2"/>
  <c r="E1631" i="2"/>
  <c r="D1631" i="2"/>
  <c r="C1631" i="2"/>
  <c r="B1631" i="2"/>
  <c r="A1631" i="2"/>
  <c r="F1630" i="2"/>
  <c r="E1630" i="2"/>
  <c r="D1630" i="2"/>
  <c r="C1630" i="2"/>
  <c r="B1630" i="2"/>
  <c r="A1630" i="2"/>
  <c r="F1629" i="2"/>
  <c r="E1629" i="2"/>
  <c r="D1629" i="2"/>
  <c r="C1629" i="2"/>
  <c r="B1629" i="2"/>
  <c r="A1629" i="2"/>
  <c r="F1628" i="2"/>
  <c r="E1628" i="2"/>
  <c r="D1628" i="2"/>
  <c r="C1628" i="2"/>
  <c r="B1628" i="2"/>
  <c r="A1628" i="2"/>
  <c r="F1627" i="2"/>
  <c r="E1627" i="2"/>
  <c r="D1627" i="2"/>
  <c r="C1627" i="2"/>
  <c r="B1627" i="2"/>
  <c r="A1627" i="2"/>
  <c r="F1626" i="2"/>
  <c r="E1626" i="2"/>
  <c r="D1626" i="2"/>
  <c r="C1626" i="2"/>
  <c r="B1626" i="2"/>
  <c r="A1626" i="2"/>
  <c r="F1625" i="2"/>
  <c r="E1625" i="2"/>
  <c r="D1625" i="2"/>
  <c r="C1625" i="2"/>
  <c r="B1625" i="2"/>
  <c r="A1625" i="2"/>
  <c r="F1624" i="2"/>
  <c r="E1624" i="2"/>
  <c r="D1624" i="2"/>
  <c r="C1624" i="2"/>
  <c r="B1624" i="2"/>
  <c r="A1624" i="2"/>
  <c r="F1623" i="2"/>
  <c r="E1623" i="2"/>
  <c r="D1623" i="2"/>
  <c r="C1623" i="2"/>
  <c r="B1623" i="2"/>
  <c r="A1623" i="2"/>
  <c r="F1622" i="2"/>
  <c r="E1622" i="2"/>
  <c r="D1622" i="2"/>
  <c r="C1622" i="2"/>
  <c r="B1622" i="2"/>
  <c r="A1622" i="2"/>
  <c r="F1621" i="2"/>
  <c r="E1621" i="2"/>
  <c r="D1621" i="2"/>
  <c r="C1621" i="2"/>
  <c r="B1621" i="2"/>
  <c r="A1621" i="2"/>
  <c r="F1620" i="2"/>
  <c r="E1620" i="2"/>
  <c r="D1620" i="2"/>
  <c r="C1620" i="2"/>
  <c r="B1620" i="2"/>
  <c r="A1620" i="2"/>
  <c r="F1619" i="2"/>
  <c r="E1619" i="2"/>
  <c r="D1619" i="2"/>
  <c r="C1619" i="2"/>
  <c r="B1619" i="2"/>
  <c r="A1619" i="2"/>
  <c r="F1618" i="2"/>
  <c r="E1618" i="2"/>
  <c r="D1618" i="2"/>
  <c r="C1618" i="2"/>
  <c r="B1618" i="2"/>
  <c r="A1618" i="2"/>
  <c r="F1617" i="2"/>
  <c r="E1617" i="2"/>
  <c r="D1617" i="2"/>
  <c r="C1617" i="2"/>
  <c r="B1617" i="2"/>
  <c r="A1617" i="2"/>
  <c r="F1616" i="2"/>
  <c r="E1616" i="2"/>
  <c r="D1616" i="2"/>
  <c r="C1616" i="2"/>
  <c r="B1616" i="2"/>
  <c r="A1616" i="2"/>
  <c r="F1615" i="2"/>
  <c r="E1615" i="2"/>
  <c r="D1615" i="2"/>
  <c r="C1615" i="2"/>
  <c r="B1615" i="2"/>
  <c r="A1615" i="2"/>
  <c r="F1614" i="2"/>
  <c r="E1614" i="2"/>
  <c r="D1614" i="2"/>
  <c r="C1614" i="2"/>
  <c r="B1614" i="2"/>
  <c r="A1614" i="2"/>
  <c r="F1613" i="2"/>
  <c r="E1613" i="2"/>
  <c r="D1613" i="2"/>
  <c r="C1613" i="2"/>
  <c r="B1613" i="2"/>
  <c r="A1613" i="2"/>
  <c r="F1612" i="2"/>
  <c r="E1612" i="2"/>
  <c r="D1612" i="2"/>
  <c r="C1612" i="2"/>
  <c r="B1612" i="2"/>
  <c r="A1612" i="2"/>
  <c r="F1611" i="2"/>
  <c r="E1611" i="2"/>
  <c r="D1611" i="2"/>
  <c r="C1611" i="2"/>
  <c r="B1611" i="2"/>
  <c r="A1611" i="2"/>
  <c r="F1610" i="2"/>
  <c r="E1610" i="2"/>
  <c r="D1610" i="2"/>
  <c r="C1610" i="2"/>
  <c r="B1610" i="2"/>
  <c r="A1610" i="2"/>
  <c r="F1609" i="2"/>
  <c r="E1609" i="2"/>
  <c r="D1609" i="2"/>
  <c r="C1609" i="2"/>
  <c r="B1609" i="2"/>
  <c r="A1609" i="2"/>
  <c r="F1608" i="2"/>
  <c r="E1608" i="2"/>
  <c r="D1608" i="2"/>
  <c r="C1608" i="2"/>
  <c r="B1608" i="2"/>
  <c r="A1608" i="2"/>
  <c r="F1607" i="2"/>
  <c r="E1607" i="2"/>
  <c r="D1607" i="2"/>
  <c r="C1607" i="2"/>
  <c r="B1607" i="2"/>
  <c r="A1607" i="2"/>
  <c r="F1606" i="2"/>
  <c r="E1606" i="2"/>
  <c r="D1606" i="2"/>
  <c r="C1606" i="2"/>
  <c r="B1606" i="2"/>
  <c r="A1606" i="2"/>
  <c r="F1605" i="2"/>
  <c r="E1605" i="2"/>
  <c r="D1605" i="2"/>
  <c r="C1605" i="2"/>
  <c r="B1605" i="2"/>
  <c r="A1605" i="2"/>
  <c r="F1604" i="2"/>
  <c r="E1604" i="2"/>
  <c r="D1604" i="2"/>
  <c r="C1604" i="2"/>
  <c r="B1604" i="2"/>
  <c r="A1604" i="2"/>
  <c r="F1603" i="2"/>
  <c r="E1603" i="2"/>
  <c r="D1603" i="2"/>
  <c r="C1603" i="2"/>
  <c r="B1603" i="2"/>
  <c r="A1603" i="2"/>
  <c r="F1602" i="2"/>
  <c r="E1602" i="2"/>
  <c r="D1602" i="2"/>
  <c r="C1602" i="2"/>
  <c r="B1602" i="2"/>
  <c r="A1602" i="2"/>
  <c r="F1601" i="2"/>
  <c r="E1601" i="2"/>
  <c r="D1601" i="2"/>
  <c r="C1601" i="2"/>
  <c r="B1601" i="2"/>
  <c r="A1601" i="2"/>
  <c r="F1600" i="2"/>
  <c r="E1600" i="2"/>
  <c r="D1600" i="2"/>
  <c r="C1600" i="2"/>
  <c r="B1600" i="2"/>
  <c r="A1600" i="2"/>
  <c r="F1599" i="2"/>
  <c r="E1599" i="2"/>
  <c r="D1599" i="2"/>
  <c r="C1599" i="2"/>
  <c r="B1599" i="2"/>
  <c r="A1599" i="2"/>
  <c r="F1598" i="2"/>
  <c r="E1598" i="2"/>
  <c r="D1598" i="2"/>
  <c r="C1598" i="2"/>
  <c r="B1598" i="2"/>
  <c r="A1598" i="2"/>
  <c r="F1597" i="2"/>
  <c r="E1597" i="2"/>
  <c r="D1597" i="2"/>
  <c r="C1597" i="2"/>
  <c r="B1597" i="2"/>
  <c r="A1597" i="2"/>
  <c r="F1596" i="2"/>
  <c r="E1596" i="2"/>
  <c r="D1596" i="2"/>
  <c r="C1596" i="2"/>
  <c r="B1596" i="2"/>
  <c r="A1596" i="2"/>
  <c r="F1595" i="2"/>
  <c r="E1595" i="2"/>
  <c r="D1595" i="2"/>
  <c r="C1595" i="2"/>
  <c r="B1595" i="2"/>
  <c r="A1595" i="2"/>
  <c r="F1594" i="2"/>
  <c r="E1594" i="2"/>
  <c r="D1594" i="2"/>
  <c r="C1594" i="2"/>
  <c r="B1594" i="2"/>
  <c r="A1594" i="2"/>
  <c r="F1593" i="2"/>
  <c r="E1593" i="2"/>
  <c r="D1593" i="2"/>
  <c r="C1593" i="2"/>
  <c r="B1593" i="2"/>
  <c r="A1593" i="2"/>
  <c r="F1592" i="2"/>
  <c r="E1592" i="2"/>
  <c r="D1592" i="2"/>
  <c r="C1592" i="2"/>
  <c r="B1592" i="2"/>
  <c r="A1592" i="2"/>
  <c r="F1591" i="2"/>
  <c r="E1591" i="2"/>
  <c r="D1591" i="2"/>
  <c r="C1591" i="2"/>
  <c r="B1591" i="2"/>
  <c r="A1591" i="2"/>
  <c r="F1590" i="2"/>
  <c r="E1590" i="2"/>
  <c r="D1590" i="2"/>
  <c r="C1590" i="2"/>
  <c r="B1590" i="2"/>
  <c r="A1590" i="2"/>
  <c r="F1589" i="2"/>
  <c r="E1589" i="2"/>
  <c r="D1589" i="2"/>
  <c r="C1589" i="2"/>
  <c r="B1589" i="2"/>
  <c r="A1589" i="2"/>
  <c r="F1588" i="2"/>
  <c r="E1588" i="2"/>
  <c r="D1588" i="2"/>
  <c r="C1588" i="2"/>
  <c r="B1588" i="2"/>
  <c r="A1588" i="2"/>
  <c r="F1587" i="2"/>
  <c r="E1587" i="2"/>
  <c r="D1587" i="2"/>
  <c r="C1587" i="2"/>
  <c r="B1587" i="2"/>
  <c r="A1587" i="2"/>
  <c r="F1586" i="2"/>
  <c r="E1586" i="2"/>
  <c r="D1586" i="2"/>
  <c r="C1586" i="2"/>
  <c r="B1586" i="2"/>
  <c r="A1586" i="2"/>
  <c r="F1585" i="2"/>
  <c r="E1585" i="2"/>
  <c r="D1585" i="2"/>
  <c r="C1585" i="2"/>
  <c r="B1585" i="2"/>
  <c r="A1585" i="2"/>
  <c r="F1584" i="2"/>
  <c r="E1584" i="2"/>
  <c r="D1584" i="2"/>
  <c r="C1584" i="2"/>
  <c r="B1584" i="2"/>
  <c r="A1584" i="2"/>
  <c r="F1583" i="2"/>
  <c r="E1583" i="2"/>
  <c r="D1583" i="2"/>
  <c r="C1583" i="2"/>
  <c r="B1583" i="2"/>
  <c r="A1583" i="2"/>
  <c r="F1582" i="2"/>
  <c r="E1582" i="2"/>
  <c r="D1582" i="2"/>
  <c r="C1582" i="2"/>
  <c r="B1582" i="2"/>
  <c r="A1582" i="2"/>
  <c r="F1581" i="2"/>
  <c r="E1581" i="2"/>
  <c r="D1581" i="2"/>
  <c r="C1581" i="2"/>
  <c r="B1581" i="2"/>
  <c r="A1581" i="2"/>
  <c r="F1580" i="2"/>
  <c r="E1580" i="2"/>
  <c r="D1580" i="2"/>
  <c r="C1580" i="2"/>
  <c r="B1580" i="2"/>
  <c r="A1580" i="2"/>
  <c r="F1579" i="2"/>
  <c r="E1579" i="2"/>
  <c r="D1579" i="2"/>
  <c r="C1579" i="2"/>
  <c r="B1579" i="2"/>
  <c r="A1579" i="2"/>
  <c r="F1578" i="2"/>
  <c r="E1578" i="2"/>
  <c r="D1578" i="2"/>
  <c r="C1578" i="2"/>
  <c r="B1578" i="2"/>
  <c r="A1578" i="2"/>
  <c r="F1577" i="2"/>
  <c r="E1577" i="2"/>
  <c r="D1577" i="2"/>
  <c r="C1577" i="2"/>
  <c r="B1577" i="2"/>
  <c r="A1577" i="2"/>
  <c r="F1576" i="2"/>
  <c r="E1576" i="2"/>
  <c r="D1576" i="2"/>
  <c r="C1576" i="2"/>
  <c r="B1576" i="2"/>
  <c r="A1576" i="2"/>
  <c r="F1575" i="2"/>
  <c r="E1575" i="2"/>
  <c r="D1575" i="2"/>
  <c r="C1575" i="2"/>
  <c r="B1575" i="2"/>
  <c r="A1575" i="2"/>
  <c r="F1574" i="2"/>
  <c r="E1574" i="2"/>
  <c r="D1574" i="2"/>
  <c r="C1574" i="2"/>
  <c r="B1574" i="2"/>
  <c r="A1574" i="2"/>
  <c r="F1573" i="2"/>
  <c r="E1573" i="2"/>
  <c r="D1573" i="2"/>
  <c r="C1573" i="2"/>
  <c r="B1573" i="2"/>
  <c r="A1573" i="2"/>
  <c r="F1572" i="2"/>
  <c r="E1572" i="2"/>
  <c r="D1572" i="2"/>
  <c r="C1572" i="2"/>
  <c r="B1572" i="2"/>
  <c r="A1572" i="2"/>
  <c r="F1571" i="2"/>
  <c r="E1571" i="2"/>
  <c r="D1571" i="2"/>
  <c r="C1571" i="2"/>
  <c r="B1571" i="2"/>
  <c r="A1571" i="2"/>
  <c r="F1570" i="2"/>
  <c r="E1570" i="2"/>
  <c r="D1570" i="2"/>
  <c r="C1570" i="2"/>
  <c r="B1570" i="2"/>
  <c r="A1570" i="2"/>
  <c r="F1569" i="2"/>
  <c r="E1569" i="2"/>
  <c r="D1569" i="2"/>
  <c r="C1569" i="2"/>
  <c r="B1569" i="2"/>
  <c r="A1569" i="2"/>
  <c r="F1568" i="2"/>
  <c r="E1568" i="2"/>
  <c r="D1568" i="2"/>
  <c r="C1568" i="2"/>
  <c r="B1568" i="2"/>
  <c r="A1568" i="2"/>
  <c r="F1567" i="2"/>
  <c r="E1567" i="2"/>
  <c r="D1567" i="2"/>
  <c r="C1567" i="2"/>
  <c r="B1567" i="2"/>
  <c r="A1567" i="2"/>
  <c r="F1566" i="2"/>
  <c r="E1566" i="2"/>
  <c r="D1566" i="2"/>
  <c r="C1566" i="2"/>
  <c r="B1566" i="2"/>
  <c r="A1566" i="2"/>
  <c r="F1565" i="2"/>
  <c r="E1565" i="2"/>
  <c r="D1565" i="2"/>
  <c r="C1565" i="2"/>
  <c r="B1565" i="2"/>
  <c r="A1565" i="2"/>
  <c r="F1564" i="2"/>
  <c r="E1564" i="2"/>
  <c r="D1564" i="2"/>
  <c r="C1564" i="2"/>
  <c r="B1564" i="2"/>
  <c r="A1564" i="2"/>
  <c r="F1563" i="2"/>
  <c r="E1563" i="2"/>
  <c r="D1563" i="2"/>
  <c r="C1563" i="2"/>
  <c r="B1563" i="2"/>
  <c r="A1563" i="2"/>
  <c r="F1562" i="2"/>
  <c r="E1562" i="2"/>
  <c r="D1562" i="2"/>
  <c r="C1562" i="2"/>
  <c r="B1562" i="2"/>
  <c r="A1562" i="2"/>
  <c r="F1561" i="2"/>
  <c r="E1561" i="2"/>
  <c r="D1561" i="2"/>
  <c r="C1561" i="2"/>
  <c r="B1561" i="2"/>
  <c r="A1561" i="2"/>
  <c r="F1560" i="2"/>
  <c r="E1560" i="2"/>
  <c r="D1560" i="2"/>
  <c r="C1560" i="2"/>
  <c r="B1560" i="2"/>
  <c r="A1560" i="2"/>
  <c r="F1559" i="2"/>
  <c r="E1559" i="2"/>
  <c r="D1559" i="2"/>
  <c r="C1559" i="2"/>
  <c r="B1559" i="2"/>
  <c r="A1559" i="2"/>
  <c r="F1558" i="2"/>
  <c r="E1558" i="2"/>
  <c r="D1558" i="2"/>
  <c r="C1558" i="2"/>
  <c r="B1558" i="2"/>
  <c r="A1558" i="2"/>
  <c r="F1557" i="2"/>
  <c r="E1557" i="2"/>
  <c r="D1557" i="2"/>
  <c r="C1557" i="2"/>
  <c r="B1557" i="2"/>
  <c r="A1557" i="2"/>
  <c r="F1556" i="2"/>
  <c r="E1556" i="2"/>
  <c r="D1556" i="2"/>
  <c r="C1556" i="2"/>
  <c r="B1556" i="2"/>
  <c r="A1556" i="2"/>
  <c r="F1555" i="2"/>
  <c r="E1555" i="2"/>
  <c r="D1555" i="2"/>
  <c r="C1555" i="2"/>
  <c r="B1555" i="2"/>
  <c r="A1555" i="2"/>
  <c r="F1554" i="2"/>
  <c r="E1554" i="2"/>
  <c r="D1554" i="2"/>
  <c r="C1554" i="2"/>
  <c r="B1554" i="2"/>
  <c r="A1554" i="2"/>
  <c r="F1553" i="2"/>
  <c r="E1553" i="2"/>
  <c r="D1553" i="2"/>
  <c r="C1553" i="2"/>
  <c r="B1553" i="2"/>
  <c r="A1553" i="2"/>
  <c r="F1552" i="2"/>
  <c r="E1552" i="2"/>
  <c r="D1552" i="2"/>
  <c r="C1552" i="2"/>
  <c r="B1552" i="2"/>
  <c r="A1552" i="2"/>
  <c r="F1551" i="2"/>
  <c r="E1551" i="2"/>
  <c r="D1551" i="2"/>
  <c r="C1551" i="2"/>
  <c r="B1551" i="2"/>
  <c r="A1551" i="2"/>
  <c r="F1550" i="2"/>
  <c r="E1550" i="2"/>
  <c r="D1550" i="2"/>
  <c r="C1550" i="2"/>
  <c r="B1550" i="2"/>
  <c r="A1550" i="2"/>
  <c r="F1549" i="2"/>
  <c r="E1549" i="2"/>
  <c r="D1549" i="2"/>
  <c r="C1549" i="2"/>
  <c r="B1549" i="2"/>
  <c r="A1549" i="2"/>
  <c r="F1548" i="2"/>
  <c r="E1548" i="2"/>
  <c r="D1548" i="2"/>
  <c r="C1548" i="2"/>
  <c r="B1548" i="2"/>
  <c r="A1548" i="2"/>
  <c r="F1547" i="2"/>
  <c r="E1547" i="2"/>
  <c r="D1547" i="2"/>
  <c r="C1547" i="2"/>
  <c r="B1547" i="2"/>
  <c r="A1547" i="2"/>
  <c r="F1546" i="2"/>
  <c r="E1546" i="2"/>
  <c r="D1546" i="2"/>
  <c r="C1546" i="2"/>
  <c r="B1546" i="2"/>
  <c r="A1546" i="2"/>
  <c r="F1545" i="2"/>
  <c r="E1545" i="2"/>
  <c r="D1545" i="2"/>
  <c r="C1545" i="2"/>
  <c r="B1545" i="2"/>
  <c r="A1545" i="2"/>
  <c r="F1544" i="2"/>
  <c r="E1544" i="2"/>
  <c r="D1544" i="2"/>
  <c r="C1544" i="2"/>
  <c r="B1544" i="2"/>
  <c r="A1544" i="2"/>
  <c r="F1543" i="2"/>
  <c r="E1543" i="2"/>
  <c r="D1543" i="2"/>
  <c r="C1543" i="2"/>
  <c r="B1543" i="2"/>
  <c r="A1543" i="2"/>
  <c r="F1542" i="2"/>
  <c r="E1542" i="2"/>
  <c r="D1542" i="2"/>
  <c r="C1542" i="2"/>
  <c r="B1542" i="2"/>
  <c r="A1542" i="2"/>
  <c r="F1541" i="2"/>
  <c r="E1541" i="2"/>
  <c r="D1541" i="2"/>
  <c r="C1541" i="2"/>
  <c r="B1541" i="2"/>
  <c r="A1541" i="2"/>
  <c r="F1540" i="2"/>
  <c r="E1540" i="2"/>
  <c r="D1540" i="2"/>
  <c r="C1540" i="2"/>
  <c r="B1540" i="2"/>
  <c r="A1540" i="2"/>
  <c r="F1539" i="2"/>
  <c r="E1539" i="2"/>
  <c r="D1539" i="2"/>
  <c r="C1539" i="2"/>
  <c r="B1539" i="2"/>
  <c r="A1539" i="2"/>
  <c r="F1538" i="2"/>
  <c r="E1538" i="2"/>
  <c r="D1538" i="2"/>
  <c r="C1538" i="2"/>
  <c r="B1538" i="2"/>
  <c r="A1538" i="2"/>
  <c r="F1537" i="2"/>
  <c r="E1537" i="2"/>
  <c r="D1537" i="2"/>
  <c r="C1537" i="2"/>
  <c r="B1537" i="2"/>
  <c r="A1537" i="2"/>
  <c r="F1536" i="2"/>
  <c r="E1536" i="2"/>
  <c r="D1536" i="2"/>
  <c r="C1536" i="2"/>
  <c r="B1536" i="2"/>
  <c r="A1536" i="2"/>
  <c r="F1535" i="2"/>
  <c r="E1535" i="2"/>
  <c r="D1535" i="2"/>
  <c r="C1535" i="2"/>
  <c r="B1535" i="2"/>
  <c r="A1535" i="2"/>
  <c r="F1534" i="2"/>
  <c r="E1534" i="2"/>
  <c r="D1534" i="2"/>
  <c r="C1534" i="2"/>
  <c r="B1534" i="2"/>
  <c r="A1534" i="2"/>
  <c r="F1533" i="2"/>
  <c r="E1533" i="2"/>
  <c r="D1533" i="2"/>
  <c r="C1533" i="2"/>
  <c r="B1533" i="2"/>
  <c r="A1533" i="2"/>
  <c r="F1532" i="2"/>
  <c r="E1532" i="2"/>
  <c r="D1532" i="2"/>
  <c r="C1532" i="2"/>
  <c r="B1532" i="2"/>
  <c r="A1532" i="2"/>
  <c r="F1531" i="2"/>
  <c r="E1531" i="2"/>
  <c r="D1531" i="2"/>
  <c r="C1531" i="2"/>
  <c r="B1531" i="2"/>
  <c r="A1531" i="2"/>
  <c r="F1530" i="2"/>
  <c r="E1530" i="2"/>
  <c r="D1530" i="2"/>
  <c r="C1530" i="2"/>
  <c r="B1530" i="2"/>
  <c r="A1530" i="2"/>
  <c r="F1529" i="2"/>
  <c r="E1529" i="2"/>
  <c r="D1529" i="2"/>
  <c r="C1529" i="2"/>
  <c r="B1529" i="2"/>
  <c r="A1529" i="2"/>
  <c r="F1528" i="2"/>
  <c r="E1528" i="2"/>
  <c r="D1528" i="2"/>
  <c r="C1528" i="2"/>
  <c r="B1528" i="2"/>
  <c r="A1528" i="2"/>
  <c r="F1527" i="2"/>
  <c r="E1527" i="2"/>
  <c r="D1527" i="2"/>
  <c r="C1527" i="2"/>
  <c r="B1527" i="2"/>
  <c r="A1527" i="2"/>
  <c r="F1526" i="2"/>
  <c r="E1526" i="2"/>
  <c r="D1526" i="2"/>
  <c r="C1526" i="2"/>
  <c r="B1526" i="2"/>
  <c r="A1526" i="2"/>
  <c r="F1525" i="2"/>
  <c r="E1525" i="2"/>
  <c r="D1525" i="2"/>
  <c r="C1525" i="2"/>
  <c r="B1525" i="2"/>
  <c r="A1525" i="2"/>
  <c r="F1524" i="2"/>
  <c r="E1524" i="2"/>
  <c r="D1524" i="2"/>
  <c r="C1524" i="2"/>
  <c r="B1524" i="2"/>
  <c r="A1524" i="2"/>
  <c r="F1523" i="2"/>
  <c r="E1523" i="2"/>
  <c r="D1523" i="2"/>
  <c r="C1523" i="2"/>
  <c r="B1523" i="2"/>
  <c r="A1523" i="2"/>
  <c r="F1522" i="2"/>
  <c r="E1522" i="2"/>
  <c r="D1522" i="2"/>
  <c r="C1522" i="2"/>
  <c r="B1522" i="2"/>
  <c r="A1522" i="2"/>
  <c r="F1521" i="2"/>
  <c r="E1521" i="2"/>
  <c r="D1521" i="2"/>
  <c r="C1521" i="2"/>
  <c r="B1521" i="2"/>
  <c r="A1521" i="2"/>
  <c r="F1520" i="2"/>
  <c r="E1520" i="2"/>
  <c r="D1520" i="2"/>
  <c r="C1520" i="2"/>
  <c r="B1520" i="2"/>
  <c r="A1520" i="2"/>
  <c r="F1519" i="2"/>
  <c r="E1519" i="2"/>
  <c r="D1519" i="2"/>
  <c r="C1519" i="2"/>
  <c r="B1519" i="2"/>
  <c r="A1519" i="2"/>
  <c r="F1518" i="2"/>
  <c r="E1518" i="2"/>
  <c r="D1518" i="2"/>
  <c r="C1518" i="2"/>
  <c r="B1518" i="2"/>
  <c r="A1518" i="2"/>
  <c r="F1517" i="2"/>
  <c r="E1517" i="2"/>
  <c r="D1517" i="2"/>
  <c r="C1517" i="2"/>
  <c r="B1517" i="2"/>
  <c r="A1517" i="2"/>
  <c r="F1516" i="2"/>
  <c r="E1516" i="2"/>
  <c r="D1516" i="2"/>
  <c r="C1516" i="2"/>
  <c r="B1516" i="2"/>
  <c r="A1516" i="2"/>
  <c r="F1515" i="2"/>
  <c r="E1515" i="2"/>
  <c r="D1515" i="2"/>
  <c r="C1515" i="2"/>
  <c r="B1515" i="2"/>
  <c r="A1515" i="2"/>
  <c r="F1514" i="2"/>
  <c r="E1514" i="2"/>
  <c r="D1514" i="2"/>
  <c r="C1514" i="2"/>
  <c r="B1514" i="2"/>
  <c r="A1514" i="2"/>
  <c r="F1513" i="2"/>
  <c r="E1513" i="2"/>
  <c r="D1513" i="2"/>
  <c r="C1513" i="2"/>
  <c r="B1513" i="2"/>
  <c r="A1513" i="2"/>
  <c r="F1512" i="2"/>
  <c r="E1512" i="2"/>
  <c r="D1512" i="2"/>
  <c r="C1512" i="2"/>
  <c r="B1512" i="2"/>
  <c r="A1512" i="2"/>
  <c r="F1511" i="2"/>
  <c r="E1511" i="2"/>
  <c r="D1511" i="2"/>
  <c r="C1511" i="2"/>
  <c r="B1511" i="2"/>
  <c r="A1511" i="2"/>
  <c r="F1510" i="2"/>
  <c r="E1510" i="2"/>
  <c r="D1510" i="2"/>
  <c r="C1510" i="2"/>
  <c r="B1510" i="2"/>
  <c r="A1510" i="2"/>
  <c r="F1509" i="2"/>
  <c r="E1509" i="2"/>
  <c r="D1509" i="2"/>
  <c r="C1509" i="2"/>
  <c r="B1509" i="2"/>
  <c r="A1509" i="2"/>
  <c r="F1508" i="2"/>
  <c r="E1508" i="2"/>
  <c r="D1508" i="2"/>
  <c r="C1508" i="2"/>
  <c r="B1508" i="2"/>
  <c r="A1508" i="2"/>
  <c r="F1507" i="2"/>
  <c r="E1507" i="2"/>
  <c r="D1507" i="2"/>
  <c r="C1507" i="2"/>
  <c r="B1507" i="2"/>
  <c r="A1507" i="2"/>
  <c r="F1506" i="2"/>
  <c r="E1506" i="2"/>
  <c r="D1506" i="2"/>
  <c r="C1506" i="2"/>
  <c r="B1506" i="2"/>
  <c r="A1506" i="2"/>
  <c r="F1505" i="2"/>
  <c r="E1505" i="2"/>
  <c r="D1505" i="2"/>
  <c r="C1505" i="2"/>
  <c r="B1505" i="2"/>
  <c r="A1505" i="2"/>
  <c r="F1504" i="2"/>
  <c r="E1504" i="2"/>
  <c r="D1504" i="2"/>
  <c r="C1504" i="2"/>
  <c r="B1504" i="2"/>
  <c r="A1504" i="2"/>
  <c r="F1503" i="2"/>
  <c r="E1503" i="2"/>
  <c r="D1503" i="2"/>
  <c r="C1503" i="2"/>
  <c r="B1503" i="2"/>
  <c r="A1503" i="2"/>
  <c r="F1502" i="2"/>
  <c r="E1502" i="2"/>
  <c r="D1502" i="2"/>
  <c r="C1502" i="2"/>
  <c r="B1502" i="2"/>
  <c r="A1502" i="2"/>
  <c r="F1501" i="2"/>
  <c r="E1501" i="2"/>
  <c r="D1501" i="2"/>
  <c r="C1501" i="2"/>
  <c r="B1501" i="2"/>
  <c r="A1501" i="2"/>
  <c r="F1500" i="2"/>
  <c r="E1500" i="2"/>
  <c r="D1500" i="2"/>
  <c r="C1500" i="2"/>
  <c r="B1500" i="2"/>
  <c r="A1500" i="2"/>
  <c r="F1499" i="2"/>
  <c r="E1499" i="2"/>
  <c r="D1499" i="2"/>
  <c r="C1499" i="2"/>
  <c r="B1499" i="2"/>
  <c r="A1499" i="2"/>
  <c r="F1498" i="2"/>
  <c r="E1498" i="2"/>
  <c r="D1498" i="2"/>
  <c r="C1498" i="2"/>
  <c r="B1498" i="2"/>
  <c r="A1498" i="2"/>
  <c r="F1497" i="2"/>
  <c r="E1497" i="2"/>
  <c r="D1497" i="2"/>
  <c r="C1497" i="2"/>
  <c r="B1497" i="2"/>
  <c r="A1497" i="2"/>
  <c r="F1496" i="2"/>
  <c r="E1496" i="2"/>
  <c r="D1496" i="2"/>
  <c r="C1496" i="2"/>
  <c r="B1496" i="2"/>
  <c r="A1496" i="2"/>
  <c r="F1495" i="2"/>
  <c r="E1495" i="2"/>
  <c r="D1495" i="2"/>
  <c r="C1495" i="2"/>
  <c r="B1495" i="2"/>
  <c r="A1495" i="2"/>
  <c r="F1494" i="2"/>
  <c r="E1494" i="2"/>
  <c r="D1494" i="2"/>
  <c r="C1494" i="2"/>
  <c r="B1494" i="2"/>
  <c r="A1494" i="2"/>
  <c r="F1493" i="2"/>
  <c r="E1493" i="2"/>
  <c r="D1493" i="2"/>
  <c r="C1493" i="2"/>
  <c r="B1493" i="2"/>
  <c r="A1493" i="2"/>
  <c r="F1492" i="2"/>
  <c r="E1492" i="2"/>
  <c r="D1492" i="2"/>
  <c r="C1492" i="2"/>
  <c r="B1492" i="2"/>
  <c r="A1492" i="2"/>
  <c r="F1491" i="2"/>
  <c r="E1491" i="2"/>
  <c r="D1491" i="2"/>
  <c r="C1491" i="2"/>
  <c r="B1491" i="2"/>
  <c r="A1491" i="2"/>
  <c r="F1490" i="2"/>
  <c r="E1490" i="2"/>
  <c r="D1490" i="2"/>
  <c r="C1490" i="2"/>
  <c r="B1490" i="2"/>
  <c r="A1490" i="2"/>
  <c r="F1489" i="2"/>
  <c r="E1489" i="2"/>
  <c r="D1489" i="2"/>
  <c r="C1489" i="2"/>
  <c r="B1489" i="2"/>
  <c r="A1489" i="2"/>
  <c r="F1488" i="2"/>
  <c r="E1488" i="2"/>
  <c r="D1488" i="2"/>
  <c r="C1488" i="2"/>
  <c r="B1488" i="2"/>
  <c r="A1488" i="2"/>
  <c r="F1487" i="2"/>
  <c r="E1487" i="2"/>
  <c r="D1487" i="2"/>
  <c r="C1487" i="2"/>
  <c r="B1487" i="2"/>
  <c r="A1487" i="2"/>
  <c r="F1486" i="2"/>
  <c r="E1486" i="2"/>
  <c r="D1486" i="2"/>
  <c r="C1486" i="2"/>
  <c r="B1486" i="2"/>
  <c r="A1486" i="2"/>
  <c r="F1485" i="2"/>
  <c r="E1485" i="2"/>
  <c r="D1485" i="2"/>
  <c r="C1485" i="2"/>
  <c r="B1485" i="2"/>
  <c r="A1485" i="2"/>
  <c r="F1484" i="2"/>
  <c r="E1484" i="2"/>
  <c r="D1484" i="2"/>
  <c r="C1484" i="2"/>
  <c r="B1484" i="2"/>
  <c r="A1484" i="2"/>
  <c r="F1483" i="2"/>
  <c r="E1483" i="2"/>
  <c r="D1483" i="2"/>
  <c r="C1483" i="2"/>
  <c r="B1483" i="2"/>
  <c r="A1483" i="2"/>
  <c r="F1482" i="2"/>
  <c r="E1482" i="2"/>
  <c r="D1482" i="2"/>
  <c r="C1482" i="2"/>
  <c r="B1482" i="2"/>
  <c r="A1482" i="2"/>
  <c r="F1481" i="2"/>
  <c r="E1481" i="2"/>
  <c r="D1481" i="2"/>
  <c r="C1481" i="2"/>
  <c r="B1481" i="2"/>
  <c r="A1481" i="2"/>
  <c r="F1480" i="2"/>
  <c r="E1480" i="2"/>
  <c r="D1480" i="2"/>
  <c r="C1480" i="2"/>
  <c r="B1480" i="2"/>
  <c r="A1480" i="2"/>
  <c r="F1479" i="2"/>
  <c r="E1479" i="2"/>
  <c r="D1479" i="2"/>
  <c r="C1479" i="2"/>
  <c r="B1479" i="2"/>
  <c r="A1479" i="2"/>
  <c r="F1478" i="2"/>
  <c r="E1478" i="2"/>
  <c r="D1478" i="2"/>
  <c r="C1478" i="2"/>
  <c r="B1478" i="2"/>
  <c r="A1478" i="2"/>
  <c r="F1477" i="2"/>
  <c r="E1477" i="2"/>
  <c r="D1477" i="2"/>
  <c r="C1477" i="2"/>
  <c r="B1477" i="2"/>
  <c r="A1477" i="2"/>
  <c r="F1476" i="2"/>
  <c r="E1476" i="2"/>
  <c r="D1476" i="2"/>
  <c r="C1476" i="2"/>
  <c r="B1476" i="2"/>
  <c r="A1476" i="2"/>
  <c r="F1475" i="2"/>
  <c r="E1475" i="2"/>
  <c r="D1475" i="2"/>
  <c r="C1475" i="2"/>
  <c r="B1475" i="2"/>
  <c r="A1475" i="2"/>
  <c r="F1474" i="2"/>
  <c r="E1474" i="2"/>
  <c r="D1474" i="2"/>
  <c r="C1474" i="2"/>
  <c r="B1474" i="2"/>
  <c r="A1474" i="2"/>
  <c r="F1473" i="2"/>
  <c r="E1473" i="2"/>
  <c r="D1473" i="2"/>
  <c r="C1473" i="2"/>
  <c r="B1473" i="2"/>
  <c r="A1473" i="2"/>
  <c r="F1472" i="2"/>
  <c r="E1472" i="2"/>
  <c r="D1472" i="2"/>
  <c r="C1472" i="2"/>
  <c r="B1472" i="2"/>
  <c r="A1472" i="2"/>
  <c r="F1471" i="2"/>
  <c r="E1471" i="2"/>
  <c r="D1471" i="2"/>
  <c r="C1471" i="2"/>
  <c r="B1471" i="2"/>
  <c r="A1471" i="2"/>
  <c r="F1470" i="2"/>
  <c r="E1470" i="2"/>
  <c r="D1470" i="2"/>
  <c r="C1470" i="2"/>
  <c r="B1470" i="2"/>
  <c r="A1470" i="2"/>
  <c r="F1469" i="2"/>
  <c r="E1469" i="2"/>
  <c r="D1469" i="2"/>
  <c r="C1469" i="2"/>
  <c r="B1469" i="2"/>
  <c r="A1469" i="2"/>
  <c r="F1468" i="2"/>
  <c r="E1468" i="2"/>
  <c r="D1468" i="2"/>
  <c r="C1468" i="2"/>
  <c r="B1468" i="2"/>
  <c r="A1468" i="2"/>
  <c r="F1467" i="2"/>
  <c r="E1467" i="2"/>
  <c r="D1467" i="2"/>
  <c r="C1467" i="2"/>
  <c r="B1467" i="2"/>
  <c r="A1467" i="2"/>
  <c r="F1466" i="2"/>
  <c r="E1466" i="2"/>
  <c r="D1466" i="2"/>
  <c r="C1466" i="2"/>
  <c r="B1466" i="2"/>
  <c r="A1466" i="2"/>
  <c r="F1465" i="2"/>
  <c r="E1465" i="2"/>
  <c r="D1465" i="2"/>
  <c r="C1465" i="2"/>
  <c r="B1465" i="2"/>
  <c r="A1465" i="2"/>
  <c r="F1464" i="2"/>
  <c r="E1464" i="2"/>
  <c r="D1464" i="2"/>
  <c r="C1464" i="2"/>
  <c r="B1464" i="2"/>
  <c r="A1464" i="2"/>
  <c r="F1463" i="2"/>
  <c r="E1463" i="2"/>
  <c r="D1463" i="2"/>
  <c r="C1463" i="2"/>
  <c r="B1463" i="2"/>
  <c r="A1463" i="2"/>
  <c r="F1462" i="2"/>
  <c r="E1462" i="2"/>
  <c r="D1462" i="2"/>
  <c r="C1462" i="2"/>
  <c r="B1462" i="2"/>
  <c r="A1462" i="2"/>
  <c r="F1461" i="2"/>
  <c r="E1461" i="2"/>
  <c r="D1461" i="2"/>
  <c r="C1461" i="2"/>
  <c r="B1461" i="2"/>
  <c r="A1461" i="2"/>
  <c r="F1460" i="2"/>
  <c r="E1460" i="2"/>
  <c r="D1460" i="2"/>
  <c r="C1460" i="2"/>
  <c r="B1460" i="2"/>
  <c r="A1460" i="2"/>
  <c r="F1459" i="2"/>
  <c r="E1459" i="2"/>
  <c r="D1459" i="2"/>
  <c r="C1459" i="2"/>
  <c r="B1459" i="2"/>
  <c r="A1459" i="2"/>
  <c r="F1458" i="2"/>
  <c r="E1458" i="2"/>
  <c r="D1458" i="2"/>
  <c r="C1458" i="2"/>
  <c r="B1458" i="2"/>
  <c r="A1458" i="2"/>
  <c r="F1457" i="2"/>
  <c r="E1457" i="2"/>
  <c r="D1457" i="2"/>
  <c r="C1457" i="2"/>
  <c r="B1457" i="2"/>
  <c r="A1457" i="2"/>
  <c r="F1456" i="2"/>
  <c r="E1456" i="2"/>
  <c r="D1456" i="2"/>
  <c r="C1456" i="2"/>
  <c r="B1456" i="2"/>
  <c r="A1456" i="2"/>
  <c r="F1455" i="2"/>
  <c r="E1455" i="2"/>
  <c r="D1455" i="2"/>
  <c r="C1455" i="2"/>
  <c r="B1455" i="2"/>
  <c r="A1455" i="2"/>
  <c r="F1454" i="2"/>
  <c r="E1454" i="2"/>
  <c r="D1454" i="2"/>
  <c r="C1454" i="2"/>
  <c r="B1454" i="2"/>
  <c r="A1454" i="2"/>
  <c r="F1453" i="2"/>
  <c r="E1453" i="2"/>
  <c r="D1453" i="2"/>
  <c r="C1453" i="2"/>
  <c r="B1453" i="2"/>
  <c r="A1453" i="2"/>
  <c r="F1452" i="2"/>
  <c r="E1452" i="2"/>
  <c r="D1452" i="2"/>
  <c r="C1452" i="2"/>
  <c r="B1452" i="2"/>
  <c r="A1452" i="2"/>
  <c r="F1451" i="2"/>
  <c r="E1451" i="2"/>
  <c r="D1451" i="2"/>
  <c r="C1451" i="2"/>
  <c r="B1451" i="2"/>
  <c r="A1451" i="2"/>
  <c r="F1450" i="2"/>
  <c r="E1450" i="2"/>
  <c r="D1450" i="2"/>
  <c r="C1450" i="2"/>
  <c r="B1450" i="2"/>
  <c r="A1450" i="2"/>
  <c r="F1449" i="2"/>
  <c r="E1449" i="2"/>
  <c r="D1449" i="2"/>
  <c r="C1449" i="2"/>
  <c r="B1449" i="2"/>
  <c r="A1449" i="2"/>
  <c r="F1448" i="2"/>
  <c r="E1448" i="2"/>
  <c r="D1448" i="2"/>
  <c r="C1448" i="2"/>
  <c r="B1448" i="2"/>
  <c r="A1448" i="2"/>
  <c r="F1447" i="2"/>
  <c r="E1447" i="2"/>
  <c r="D1447" i="2"/>
  <c r="C1447" i="2"/>
  <c r="B1447" i="2"/>
  <c r="A1447" i="2"/>
  <c r="F1446" i="2"/>
  <c r="E1446" i="2"/>
  <c r="D1446" i="2"/>
  <c r="C1446" i="2"/>
  <c r="B1446" i="2"/>
  <c r="A1446" i="2"/>
  <c r="F1445" i="2"/>
  <c r="E1445" i="2"/>
  <c r="D1445" i="2"/>
  <c r="C1445" i="2"/>
  <c r="B1445" i="2"/>
  <c r="A1445" i="2"/>
  <c r="F1444" i="2"/>
  <c r="E1444" i="2"/>
  <c r="D1444" i="2"/>
  <c r="C1444" i="2"/>
  <c r="B1444" i="2"/>
  <c r="A1444" i="2"/>
  <c r="F1443" i="2"/>
  <c r="E1443" i="2"/>
  <c r="D1443" i="2"/>
  <c r="C1443" i="2"/>
  <c r="B1443" i="2"/>
  <c r="A1443" i="2"/>
  <c r="F1442" i="2"/>
  <c r="E1442" i="2"/>
  <c r="D1442" i="2"/>
  <c r="C1442" i="2"/>
  <c r="B1442" i="2"/>
  <c r="A1442" i="2"/>
  <c r="F1441" i="2"/>
  <c r="E1441" i="2"/>
  <c r="D1441" i="2"/>
  <c r="C1441" i="2"/>
  <c r="B1441" i="2"/>
  <c r="A1441" i="2"/>
  <c r="F1440" i="2"/>
  <c r="E1440" i="2"/>
  <c r="D1440" i="2"/>
  <c r="C1440" i="2"/>
  <c r="B1440" i="2"/>
  <c r="A1440" i="2"/>
  <c r="F1439" i="2"/>
  <c r="E1439" i="2"/>
  <c r="D1439" i="2"/>
  <c r="C1439" i="2"/>
  <c r="B1439" i="2"/>
  <c r="A1439" i="2"/>
  <c r="F1438" i="2"/>
  <c r="E1438" i="2"/>
  <c r="D1438" i="2"/>
  <c r="C1438" i="2"/>
  <c r="B1438" i="2"/>
  <c r="A1438" i="2"/>
  <c r="F1437" i="2"/>
  <c r="E1437" i="2"/>
  <c r="D1437" i="2"/>
  <c r="C1437" i="2"/>
  <c r="B1437" i="2"/>
  <c r="A1437" i="2"/>
  <c r="F1436" i="2"/>
  <c r="E1436" i="2"/>
  <c r="D1436" i="2"/>
  <c r="C1436" i="2"/>
  <c r="B1436" i="2"/>
  <c r="A1436" i="2"/>
  <c r="F1435" i="2"/>
  <c r="E1435" i="2"/>
  <c r="D1435" i="2"/>
  <c r="C1435" i="2"/>
  <c r="B1435" i="2"/>
  <c r="A1435" i="2"/>
  <c r="F1434" i="2"/>
  <c r="E1434" i="2"/>
  <c r="D1434" i="2"/>
  <c r="C1434" i="2"/>
  <c r="B1434" i="2"/>
  <c r="A1434" i="2"/>
  <c r="F1433" i="2"/>
  <c r="E1433" i="2"/>
  <c r="D1433" i="2"/>
  <c r="C1433" i="2"/>
  <c r="B1433" i="2"/>
  <c r="A1433" i="2"/>
  <c r="F1432" i="2"/>
  <c r="E1432" i="2"/>
  <c r="D1432" i="2"/>
  <c r="C1432" i="2"/>
  <c r="B1432" i="2"/>
  <c r="A1432" i="2"/>
  <c r="F1431" i="2"/>
  <c r="E1431" i="2"/>
  <c r="D1431" i="2"/>
  <c r="C1431" i="2"/>
  <c r="B1431" i="2"/>
  <c r="A1431" i="2"/>
  <c r="F1430" i="2"/>
  <c r="E1430" i="2"/>
  <c r="D1430" i="2"/>
  <c r="C1430" i="2"/>
  <c r="B1430" i="2"/>
  <c r="A1430" i="2"/>
  <c r="F1429" i="2"/>
  <c r="E1429" i="2"/>
  <c r="D1429" i="2"/>
  <c r="C1429" i="2"/>
  <c r="B1429" i="2"/>
  <c r="A1429" i="2"/>
  <c r="F1428" i="2"/>
  <c r="E1428" i="2"/>
  <c r="D1428" i="2"/>
  <c r="C1428" i="2"/>
  <c r="B1428" i="2"/>
  <c r="A1428" i="2"/>
  <c r="F1427" i="2"/>
  <c r="E1427" i="2"/>
  <c r="D1427" i="2"/>
  <c r="C1427" i="2"/>
  <c r="B1427" i="2"/>
  <c r="A1427" i="2"/>
  <c r="F1426" i="2"/>
  <c r="E1426" i="2"/>
  <c r="D1426" i="2"/>
  <c r="C1426" i="2"/>
  <c r="B1426" i="2"/>
  <c r="A1426" i="2"/>
  <c r="F1425" i="2"/>
  <c r="E1425" i="2"/>
  <c r="D1425" i="2"/>
  <c r="C1425" i="2"/>
  <c r="B1425" i="2"/>
  <c r="A1425" i="2"/>
  <c r="F1424" i="2"/>
  <c r="E1424" i="2"/>
  <c r="D1424" i="2"/>
  <c r="C1424" i="2"/>
  <c r="B1424" i="2"/>
  <c r="A1424" i="2"/>
  <c r="F1423" i="2"/>
  <c r="E1423" i="2"/>
  <c r="D1423" i="2"/>
  <c r="C1423" i="2"/>
  <c r="B1423" i="2"/>
  <c r="A1423" i="2"/>
  <c r="F1422" i="2"/>
  <c r="E1422" i="2"/>
  <c r="D1422" i="2"/>
  <c r="C1422" i="2"/>
  <c r="B1422" i="2"/>
  <c r="A1422" i="2"/>
  <c r="F1421" i="2"/>
  <c r="E1421" i="2"/>
  <c r="D1421" i="2"/>
  <c r="C1421" i="2"/>
  <c r="B1421" i="2"/>
  <c r="A1421" i="2"/>
  <c r="F1420" i="2"/>
  <c r="E1420" i="2"/>
  <c r="D1420" i="2"/>
  <c r="C1420" i="2"/>
  <c r="B1420" i="2"/>
  <c r="A1420" i="2"/>
  <c r="F1419" i="2"/>
  <c r="E1419" i="2"/>
  <c r="D1419" i="2"/>
  <c r="C1419" i="2"/>
  <c r="B1419" i="2"/>
  <c r="A1419" i="2"/>
  <c r="F1418" i="2"/>
  <c r="E1418" i="2"/>
  <c r="D1418" i="2"/>
  <c r="C1418" i="2"/>
  <c r="B1418" i="2"/>
  <c r="A1418" i="2"/>
  <c r="F1417" i="2"/>
  <c r="E1417" i="2"/>
  <c r="D1417" i="2"/>
  <c r="C1417" i="2"/>
  <c r="B1417" i="2"/>
  <c r="A1417" i="2"/>
  <c r="F1416" i="2"/>
  <c r="E1416" i="2"/>
  <c r="D1416" i="2"/>
  <c r="C1416" i="2"/>
  <c r="B1416" i="2"/>
  <c r="A1416" i="2"/>
  <c r="F1415" i="2"/>
  <c r="E1415" i="2"/>
  <c r="D1415" i="2"/>
  <c r="C1415" i="2"/>
  <c r="B1415" i="2"/>
  <c r="A1415" i="2"/>
  <c r="F1414" i="2"/>
  <c r="E1414" i="2"/>
  <c r="D1414" i="2"/>
  <c r="C1414" i="2"/>
  <c r="B1414" i="2"/>
  <c r="A1414" i="2"/>
  <c r="F1413" i="2"/>
  <c r="E1413" i="2"/>
  <c r="D1413" i="2"/>
  <c r="C1413" i="2"/>
  <c r="B1413" i="2"/>
  <c r="A1413" i="2"/>
  <c r="F1412" i="2"/>
  <c r="E1412" i="2"/>
  <c r="D1412" i="2"/>
  <c r="C1412" i="2"/>
  <c r="B1412" i="2"/>
  <c r="A1412" i="2"/>
  <c r="F1411" i="2"/>
  <c r="E1411" i="2"/>
  <c r="D1411" i="2"/>
  <c r="C1411" i="2"/>
  <c r="B1411" i="2"/>
  <c r="A1411" i="2"/>
  <c r="F1410" i="2"/>
  <c r="E1410" i="2"/>
  <c r="D1410" i="2"/>
  <c r="C1410" i="2"/>
  <c r="B1410" i="2"/>
  <c r="A1410" i="2"/>
  <c r="F1409" i="2"/>
  <c r="E1409" i="2"/>
  <c r="D1409" i="2"/>
  <c r="C1409" i="2"/>
  <c r="B1409" i="2"/>
  <c r="A1409" i="2"/>
  <c r="F1408" i="2"/>
  <c r="E1408" i="2"/>
  <c r="D1408" i="2"/>
  <c r="C1408" i="2"/>
  <c r="B1408" i="2"/>
  <c r="A1408" i="2"/>
  <c r="F1407" i="2"/>
  <c r="E1407" i="2"/>
  <c r="D1407" i="2"/>
  <c r="C1407" i="2"/>
  <c r="B1407" i="2"/>
  <c r="A1407" i="2"/>
  <c r="F1406" i="2"/>
  <c r="E1406" i="2"/>
  <c r="D1406" i="2"/>
  <c r="C1406" i="2"/>
  <c r="B1406" i="2"/>
  <c r="A1406" i="2"/>
  <c r="F1405" i="2"/>
  <c r="E1405" i="2"/>
  <c r="D1405" i="2"/>
  <c r="C1405" i="2"/>
  <c r="B1405" i="2"/>
  <c r="A1405" i="2"/>
  <c r="F1404" i="2"/>
  <c r="E1404" i="2"/>
  <c r="D1404" i="2"/>
  <c r="C1404" i="2"/>
  <c r="B1404" i="2"/>
  <c r="A1404" i="2"/>
  <c r="F1403" i="2"/>
  <c r="E1403" i="2"/>
  <c r="D1403" i="2"/>
  <c r="C1403" i="2"/>
  <c r="B1403" i="2"/>
  <c r="A1403" i="2"/>
  <c r="F1402" i="2"/>
  <c r="E1402" i="2"/>
  <c r="D1402" i="2"/>
  <c r="C1402" i="2"/>
  <c r="B1402" i="2"/>
  <c r="A1402" i="2"/>
  <c r="F1401" i="2"/>
  <c r="E1401" i="2"/>
  <c r="D1401" i="2"/>
  <c r="C1401" i="2"/>
  <c r="B1401" i="2"/>
  <c r="A1401" i="2"/>
  <c r="F1400" i="2"/>
  <c r="E1400" i="2"/>
  <c r="D1400" i="2"/>
  <c r="C1400" i="2"/>
  <c r="B1400" i="2"/>
  <c r="A1400" i="2"/>
  <c r="F1399" i="2"/>
  <c r="E1399" i="2"/>
  <c r="D1399" i="2"/>
  <c r="C1399" i="2"/>
  <c r="B1399" i="2"/>
  <c r="A1399" i="2"/>
  <c r="F1398" i="2"/>
  <c r="E1398" i="2"/>
  <c r="D1398" i="2"/>
  <c r="C1398" i="2"/>
  <c r="B1398" i="2"/>
  <c r="A1398" i="2"/>
  <c r="F1397" i="2"/>
  <c r="E1397" i="2"/>
  <c r="D1397" i="2"/>
  <c r="C1397" i="2"/>
  <c r="B1397" i="2"/>
  <c r="A1397" i="2"/>
  <c r="F1396" i="2"/>
  <c r="E1396" i="2"/>
  <c r="D1396" i="2"/>
  <c r="C1396" i="2"/>
  <c r="B1396" i="2"/>
  <c r="A1396" i="2"/>
  <c r="F1395" i="2"/>
  <c r="E1395" i="2"/>
  <c r="D1395" i="2"/>
  <c r="C1395" i="2"/>
  <c r="B1395" i="2"/>
  <c r="A1395" i="2"/>
  <c r="F1394" i="2"/>
  <c r="E1394" i="2"/>
  <c r="D1394" i="2"/>
  <c r="C1394" i="2"/>
  <c r="B1394" i="2"/>
  <c r="A1394" i="2"/>
  <c r="F1393" i="2"/>
  <c r="E1393" i="2"/>
  <c r="D1393" i="2"/>
  <c r="C1393" i="2"/>
  <c r="B1393" i="2"/>
  <c r="A1393" i="2"/>
  <c r="F1392" i="2"/>
  <c r="E1392" i="2"/>
  <c r="D1392" i="2"/>
  <c r="C1392" i="2"/>
  <c r="B1392" i="2"/>
  <c r="A1392" i="2"/>
  <c r="F1391" i="2"/>
  <c r="E1391" i="2"/>
  <c r="D1391" i="2"/>
  <c r="C1391" i="2"/>
  <c r="B1391" i="2"/>
  <c r="A1391" i="2"/>
  <c r="F1390" i="2"/>
  <c r="E1390" i="2"/>
  <c r="D1390" i="2"/>
  <c r="C1390" i="2"/>
  <c r="B1390" i="2"/>
  <c r="A1390" i="2"/>
  <c r="F1389" i="2"/>
  <c r="E1389" i="2"/>
  <c r="D1389" i="2"/>
  <c r="C1389" i="2"/>
  <c r="B1389" i="2"/>
  <c r="A1389" i="2"/>
  <c r="F1388" i="2"/>
  <c r="E1388" i="2"/>
  <c r="D1388" i="2"/>
  <c r="C1388" i="2"/>
  <c r="B1388" i="2"/>
  <c r="A1388" i="2"/>
  <c r="F1387" i="2"/>
  <c r="E1387" i="2"/>
  <c r="D1387" i="2"/>
  <c r="C1387" i="2"/>
  <c r="B1387" i="2"/>
  <c r="A1387" i="2"/>
  <c r="F1386" i="2"/>
  <c r="E1386" i="2"/>
  <c r="D1386" i="2"/>
  <c r="C1386" i="2"/>
  <c r="B1386" i="2"/>
  <c r="A1386" i="2"/>
  <c r="F1385" i="2"/>
  <c r="E1385" i="2"/>
  <c r="D1385" i="2"/>
  <c r="C1385" i="2"/>
  <c r="B1385" i="2"/>
  <c r="A1385" i="2"/>
  <c r="F1384" i="2"/>
  <c r="E1384" i="2"/>
  <c r="D1384" i="2"/>
  <c r="C1384" i="2"/>
  <c r="B1384" i="2"/>
  <c r="A1384" i="2"/>
  <c r="F1383" i="2"/>
  <c r="E1383" i="2"/>
  <c r="D1383" i="2"/>
  <c r="C1383" i="2"/>
  <c r="B1383" i="2"/>
  <c r="A1383" i="2"/>
  <c r="F1382" i="2"/>
  <c r="E1382" i="2"/>
  <c r="D1382" i="2"/>
  <c r="C1382" i="2"/>
  <c r="B1382" i="2"/>
  <c r="A1382" i="2"/>
  <c r="F1381" i="2"/>
  <c r="E1381" i="2"/>
  <c r="D1381" i="2"/>
  <c r="C1381" i="2"/>
  <c r="B1381" i="2"/>
  <c r="A1381" i="2"/>
  <c r="F1380" i="2"/>
  <c r="E1380" i="2"/>
  <c r="D1380" i="2"/>
  <c r="C1380" i="2"/>
  <c r="B1380" i="2"/>
  <c r="A1380" i="2"/>
  <c r="F1379" i="2"/>
  <c r="E1379" i="2"/>
  <c r="D1379" i="2"/>
  <c r="C1379" i="2"/>
  <c r="B1379" i="2"/>
  <c r="A1379" i="2"/>
  <c r="F1378" i="2"/>
  <c r="E1378" i="2"/>
  <c r="D1378" i="2"/>
  <c r="C1378" i="2"/>
  <c r="B1378" i="2"/>
  <c r="A1378" i="2"/>
  <c r="F1377" i="2"/>
  <c r="E1377" i="2"/>
  <c r="D1377" i="2"/>
  <c r="C1377" i="2"/>
  <c r="B1377" i="2"/>
  <c r="A1377" i="2"/>
  <c r="F1376" i="2"/>
  <c r="E1376" i="2"/>
  <c r="D1376" i="2"/>
  <c r="C1376" i="2"/>
  <c r="B1376" i="2"/>
  <c r="A1376" i="2"/>
  <c r="F1375" i="2"/>
  <c r="E1375" i="2"/>
  <c r="D1375" i="2"/>
  <c r="C1375" i="2"/>
  <c r="B1375" i="2"/>
  <c r="A1375" i="2"/>
  <c r="F1374" i="2"/>
  <c r="E1374" i="2"/>
  <c r="D1374" i="2"/>
  <c r="C1374" i="2"/>
  <c r="B1374" i="2"/>
  <c r="A1374" i="2"/>
  <c r="F1373" i="2"/>
  <c r="E1373" i="2"/>
  <c r="D1373" i="2"/>
  <c r="C1373" i="2"/>
  <c r="B1373" i="2"/>
  <c r="A1373" i="2"/>
  <c r="F1372" i="2"/>
  <c r="E1372" i="2"/>
  <c r="D1372" i="2"/>
  <c r="C1372" i="2"/>
  <c r="B1372" i="2"/>
  <c r="A1372" i="2"/>
  <c r="F1371" i="2"/>
  <c r="E1371" i="2"/>
  <c r="D1371" i="2"/>
  <c r="C1371" i="2"/>
  <c r="B1371" i="2"/>
  <c r="A1371" i="2"/>
  <c r="F1370" i="2"/>
  <c r="E1370" i="2"/>
  <c r="D1370" i="2"/>
  <c r="C1370" i="2"/>
  <c r="B1370" i="2"/>
  <c r="A1370" i="2"/>
  <c r="F1369" i="2"/>
  <c r="E1369" i="2"/>
  <c r="D1369" i="2"/>
  <c r="C1369" i="2"/>
  <c r="B1369" i="2"/>
  <c r="A1369" i="2"/>
  <c r="F1368" i="2"/>
  <c r="E1368" i="2"/>
  <c r="D1368" i="2"/>
  <c r="C1368" i="2"/>
  <c r="B1368" i="2"/>
  <c r="A1368" i="2"/>
  <c r="F1367" i="2"/>
  <c r="E1367" i="2"/>
  <c r="D1367" i="2"/>
  <c r="C1367" i="2"/>
  <c r="B1367" i="2"/>
  <c r="A1367" i="2"/>
  <c r="F1366" i="2"/>
  <c r="E1366" i="2"/>
  <c r="D1366" i="2"/>
  <c r="C1366" i="2"/>
  <c r="B1366" i="2"/>
  <c r="A1366" i="2"/>
  <c r="F1365" i="2"/>
  <c r="E1365" i="2"/>
  <c r="D1365" i="2"/>
  <c r="C1365" i="2"/>
  <c r="B1365" i="2"/>
  <c r="A1365" i="2"/>
  <c r="F1364" i="2"/>
  <c r="E1364" i="2"/>
  <c r="D1364" i="2"/>
  <c r="C1364" i="2"/>
  <c r="B1364" i="2"/>
  <c r="A1364" i="2"/>
  <c r="F1363" i="2"/>
  <c r="E1363" i="2"/>
  <c r="D1363" i="2"/>
  <c r="C1363" i="2"/>
  <c r="B1363" i="2"/>
  <c r="A1363" i="2"/>
  <c r="F1362" i="2"/>
  <c r="E1362" i="2"/>
  <c r="D1362" i="2"/>
  <c r="C1362" i="2"/>
  <c r="B1362" i="2"/>
  <c r="A1362" i="2"/>
  <c r="F1361" i="2"/>
  <c r="E1361" i="2"/>
  <c r="D1361" i="2"/>
  <c r="C1361" i="2"/>
  <c r="B1361" i="2"/>
  <c r="A1361" i="2"/>
  <c r="F1360" i="2"/>
  <c r="E1360" i="2"/>
  <c r="D1360" i="2"/>
  <c r="C1360" i="2"/>
  <c r="B1360" i="2"/>
  <c r="A1360" i="2"/>
  <c r="F1359" i="2"/>
  <c r="E1359" i="2"/>
  <c r="D1359" i="2"/>
  <c r="C1359" i="2"/>
  <c r="B1359" i="2"/>
  <c r="A1359" i="2"/>
  <c r="F1358" i="2"/>
  <c r="E1358" i="2"/>
  <c r="D1358" i="2"/>
  <c r="C1358" i="2"/>
  <c r="B1358" i="2"/>
  <c r="A1358" i="2"/>
  <c r="F1357" i="2"/>
  <c r="E1357" i="2"/>
  <c r="D1357" i="2"/>
  <c r="C1357" i="2"/>
  <c r="B1357" i="2"/>
  <c r="A1357" i="2"/>
  <c r="F1356" i="2"/>
  <c r="E1356" i="2"/>
  <c r="D1356" i="2"/>
  <c r="C1356" i="2"/>
  <c r="B1356" i="2"/>
  <c r="A1356" i="2"/>
  <c r="F1355" i="2"/>
  <c r="E1355" i="2"/>
  <c r="D1355" i="2"/>
  <c r="C1355" i="2"/>
  <c r="B1355" i="2"/>
  <c r="A1355" i="2"/>
  <c r="F1354" i="2"/>
  <c r="E1354" i="2"/>
  <c r="D1354" i="2"/>
  <c r="C1354" i="2"/>
  <c r="B1354" i="2"/>
  <c r="A1354" i="2"/>
  <c r="F1353" i="2"/>
  <c r="E1353" i="2"/>
  <c r="D1353" i="2"/>
  <c r="C1353" i="2"/>
  <c r="B1353" i="2"/>
  <c r="A1353" i="2"/>
  <c r="F1352" i="2"/>
  <c r="E1352" i="2"/>
  <c r="D1352" i="2"/>
  <c r="C1352" i="2"/>
  <c r="B1352" i="2"/>
  <c r="A1352" i="2"/>
  <c r="F1351" i="2"/>
  <c r="E1351" i="2"/>
  <c r="D1351" i="2"/>
  <c r="C1351" i="2"/>
  <c r="B1351" i="2"/>
  <c r="A1351" i="2"/>
  <c r="F1350" i="2"/>
  <c r="E1350" i="2"/>
  <c r="D1350" i="2"/>
  <c r="C1350" i="2"/>
  <c r="B1350" i="2"/>
  <c r="A1350" i="2"/>
  <c r="F1349" i="2"/>
  <c r="E1349" i="2"/>
  <c r="D1349" i="2"/>
  <c r="C1349" i="2"/>
  <c r="B1349" i="2"/>
  <c r="A1349" i="2"/>
  <c r="F1348" i="2"/>
  <c r="E1348" i="2"/>
  <c r="D1348" i="2"/>
  <c r="C1348" i="2"/>
  <c r="B1348" i="2"/>
  <c r="A1348" i="2"/>
  <c r="F1347" i="2"/>
  <c r="E1347" i="2"/>
  <c r="D1347" i="2"/>
  <c r="C1347" i="2"/>
  <c r="B1347" i="2"/>
  <c r="A1347" i="2"/>
  <c r="F1346" i="2"/>
  <c r="E1346" i="2"/>
  <c r="D1346" i="2"/>
  <c r="C1346" i="2"/>
  <c r="B1346" i="2"/>
  <c r="A1346" i="2"/>
  <c r="F1345" i="2"/>
  <c r="E1345" i="2"/>
  <c r="D1345" i="2"/>
  <c r="C1345" i="2"/>
  <c r="B1345" i="2"/>
  <c r="A1345" i="2"/>
  <c r="F1344" i="2"/>
  <c r="E1344" i="2"/>
  <c r="D1344" i="2"/>
  <c r="C1344" i="2"/>
  <c r="B1344" i="2"/>
  <c r="A1344" i="2"/>
  <c r="F1343" i="2"/>
  <c r="E1343" i="2"/>
  <c r="D1343" i="2"/>
  <c r="C1343" i="2"/>
  <c r="B1343" i="2"/>
  <c r="A1343" i="2"/>
  <c r="F1342" i="2"/>
  <c r="E1342" i="2"/>
  <c r="D1342" i="2"/>
  <c r="C1342" i="2"/>
  <c r="B1342" i="2"/>
  <c r="A1342" i="2"/>
  <c r="F1341" i="2"/>
  <c r="E1341" i="2"/>
  <c r="D1341" i="2"/>
  <c r="C1341" i="2"/>
  <c r="B1341" i="2"/>
  <c r="A1341" i="2"/>
  <c r="F1340" i="2"/>
  <c r="E1340" i="2"/>
  <c r="D1340" i="2"/>
  <c r="C1340" i="2"/>
  <c r="B1340" i="2"/>
  <c r="A1340" i="2"/>
  <c r="F1339" i="2"/>
  <c r="E1339" i="2"/>
  <c r="D1339" i="2"/>
  <c r="C1339" i="2"/>
  <c r="B1339" i="2"/>
  <c r="A1339" i="2"/>
  <c r="F1338" i="2"/>
  <c r="E1338" i="2"/>
  <c r="D1338" i="2"/>
  <c r="C1338" i="2"/>
  <c r="B1338" i="2"/>
  <c r="A1338" i="2"/>
  <c r="F1337" i="2"/>
  <c r="E1337" i="2"/>
  <c r="D1337" i="2"/>
  <c r="C1337" i="2"/>
  <c r="B1337" i="2"/>
  <c r="A1337" i="2"/>
  <c r="F1336" i="2"/>
  <c r="E1336" i="2"/>
  <c r="D1336" i="2"/>
  <c r="C1336" i="2"/>
  <c r="B1336" i="2"/>
  <c r="A1336" i="2"/>
  <c r="F1335" i="2"/>
  <c r="E1335" i="2"/>
  <c r="D1335" i="2"/>
  <c r="C1335" i="2"/>
  <c r="B1335" i="2"/>
  <c r="A1335" i="2"/>
  <c r="F1334" i="2"/>
  <c r="E1334" i="2"/>
  <c r="D1334" i="2"/>
  <c r="C1334" i="2"/>
  <c r="B1334" i="2"/>
  <c r="A1334" i="2"/>
  <c r="F1333" i="2"/>
  <c r="E1333" i="2"/>
  <c r="D1333" i="2"/>
  <c r="C1333" i="2"/>
  <c r="B1333" i="2"/>
  <c r="A1333" i="2"/>
  <c r="F1332" i="2"/>
  <c r="E1332" i="2"/>
  <c r="D1332" i="2"/>
  <c r="C1332" i="2"/>
  <c r="B1332" i="2"/>
  <c r="A1332" i="2"/>
  <c r="F1331" i="2"/>
  <c r="E1331" i="2"/>
  <c r="D1331" i="2"/>
  <c r="C1331" i="2"/>
  <c r="B1331" i="2"/>
  <c r="A1331" i="2"/>
  <c r="F1330" i="2"/>
  <c r="E1330" i="2"/>
  <c r="D1330" i="2"/>
  <c r="C1330" i="2"/>
  <c r="B1330" i="2"/>
  <c r="A1330" i="2"/>
  <c r="F1329" i="2"/>
  <c r="E1329" i="2"/>
  <c r="D1329" i="2"/>
  <c r="C1329" i="2"/>
  <c r="B1329" i="2"/>
  <c r="A1329" i="2"/>
  <c r="F1328" i="2"/>
  <c r="E1328" i="2"/>
  <c r="D1328" i="2"/>
  <c r="C1328" i="2"/>
  <c r="B1328" i="2"/>
  <c r="A1328" i="2"/>
  <c r="F1327" i="2"/>
  <c r="E1327" i="2"/>
  <c r="D1327" i="2"/>
  <c r="C1327" i="2"/>
  <c r="B1327" i="2"/>
  <c r="A1327" i="2"/>
  <c r="F1326" i="2"/>
  <c r="E1326" i="2"/>
  <c r="D1326" i="2"/>
  <c r="C1326" i="2"/>
  <c r="B1326" i="2"/>
  <c r="A1326" i="2"/>
  <c r="F1325" i="2"/>
  <c r="E1325" i="2"/>
  <c r="D1325" i="2"/>
  <c r="C1325" i="2"/>
  <c r="B1325" i="2"/>
  <c r="A1325" i="2"/>
  <c r="F1324" i="2"/>
  <c r="E1324" i="2"/>
  <c r="D1324" i="2"/>
  <c r="C1324" i="2"/>
  <c r="B1324" i="2"/>
  <c r="A1324" i="2"/>
  <c r="F1323" i="2"/>
  <c r="E1323" i="2"/>
  <c r="D1323" i="2"/>
  <c r="C1323" i="2"/>
  <c r="B1323" i="2"/>
  <c r="A1323" i="2"/>
  <c r="F1322" i="2"/>
  <c r="E1322" i="2"/>
  <c r="D1322" i="2"/>
  <c r="C1322" i="2"/>
  <c r="B1322" i="2"/>
  <c r="A1322" i="2"/>
  <c r="F1321" i="2"/>
  <c r="E1321" i="2"/>
  <c r="D1321" i="2"/>
  <c r="C1321" i="2"/>
  <c r="B1321" i="2"/>
  <c r="A1321" i="2"/>
  <c r="F1320" i="2"/>
  <c r="E1320" i="2"/>
  <c r="D1320" i="2"/>
  <c r="C1320" i="2"/>
  <c r="B1320" i="2"/>
  <c r="A1320" i="2"/>
  <c r="F1319" i="2"/>
  <c r="E1319" i="2"/>
  <c r="D1319" i="2"/>
  <c r="C1319" i="2"/>
  <c r="B1319" i="2"/>
  <c r="A1319" i="2"/>
  <c r="F1318" i="2"/>
  <c r="E1318" i="2"/>
  <c r="D1318" i="2"/>
  <c r="C1318" i="2"/>
  <c r="B1318" i="2"/>
  <c r="A1318" i="2"/>
  <c r="F1317" i="2"/>
  <c r="E1317" i="2"/>
  <c r="D1317" i="2"/>
  <c r="C1317" i="2"/>
  <c r="B1317" i="2"/>
  <c r="A1317" i="2"/>
  <c r="F1316" i="2"/>
  <c r="E1316" i="2"/>
  <c r="D1316" i="2"/>
  <c r="C1316" i="2"/>
  <c r="B1316" i="2"/>
  <c r="A1316" i="2"/>
  <c r="F1315" i="2"/>
  <c r="E1315" i="2"/>
  <c r="D1315" i="2"/>
  <c r="C1315" i="2"/>
  <c r="B1315" i="2"/>
  <c r="A1315" i="2"/>
  <c r="F1314" i="2"/>
  <c r="E1314" i="2"/>
  <c r="D1314" i="2"/>
  <c r="C1314" i="2"/>
  <c r="B1314" i="2"/>
  <c r="A1314" i="2"/>
  <c r="F1313" i="2"/>
  <c r="E1313" i="2"/>
  <c r="D1313" i="2"/>
  <c r="C1313" i="2"/>
  <c r="B1313" i="2"/>
  <c r="A1313" i="2"/>
  <c r="F1312" i="2"/>
  <c r="E1312" i="2"/>
  <c r="D1312" i="2"/>
  <c r="C1312" i="2"/>
  <c r="B1312" i="2"/>
  <c r="A1312" i="2"/>
  <c r="F1311" i="2"/>
  <c r="E1311" i="2"/>
  <c r="D1311" i="2"/>
  <c r="C1311" i="2"/>
  <c r="B1311" i="2"/>
  <c r="A1311" i="2"/>
  <c r="F1310" i="2"/>
  <c r="E1310" i="2"/>
  <c r="D1310" i="2"/>
  <c r="C1310" i="2"/>
  <c r="B1310" i="2"/>
  <c r="A1310" i="2"/>
  <c r="F1309" i="2"/>
  <c r="E1309" i="2"/>
  <c r="D1309" i="2"/>
  <c r="C1309" i="2"/>
  <c r="B1309" i="2"/>
  <c r="A1309" i="2"/>
  <c r="F1308" i="2"/>
  <c r="E1308" i="2"/>
  <c r="D1308" i="2"/>
  <c r="C1308" i="2"/>
  <c r="B1308" i="2"/>
  <c r="A1308" i="2"/>
  <c r="F1307" i="2"/>
  <c r="E1307" i="2"/>
  <c r="D1307" i="2"/>
  <c r="C1307" i="2"/>
  <c r="B1307" i="2"/>
  <c r="A1307" i="2"/>
  <c r="F1306" i="2"/>
  <c r="E1306" i="2"/>
  <c r="D1306" i="2"/>
  <c r="C1306" i="2"/>
  <c r="B1306" i="2"/>
  <c r="A1306" i="2"/>
  <c r="F1305" i="2"/>
  <c r="E1305" i="2"/>
  <c r="D1305" i="2"/>
  <c r="C1305" i="2"/>
  <c r="B1305" i="2"/>
  <c r="A1305" i="2"/>
  <c r="F1304" i="2"/>
  <c r="E1304" i="2"/>
  <c r="D1304" i="2"/>
  <c r="C1304" i="2"/>
  <c r="B1304" i="2"/>
  <c r="A1304" i="2"/>
  <c r="F1303" i="2"/>
  <c r="E1303" i="2"/>
  <c r="D1303" i="2"/>
  <c r="C1303" i="2"/>
  <c r="B1303" i="2"/>
  <c r="A1303" i="2"/>
  <c r="F1302" i="2"/>
  <c r="E1302" i="2"/>
  <c r="D1302" i="2"/>
  <c r="C1302" i="2"/>
  <c r="B1302" i="2"/>
  <c r="A1302" i="2"/>
  <c r="F1301" i="2"/>
  <c r="E1301" i="2"/>
  <c r="D1301" i="2"/>
  <c r="C1301" i="2"/>
  <c r="B1301" i="2"/>
  <c r="A1301" i="2"/>
  <c r="F1300" i="2"/>
  <c r="E1300" i="2"/>
  <c r="D1300" i="2"/>
  <c r="C1300" i="2"/>
  <c r="B1300" i="2"/>
  <c r="A1300" i="2"/>
  <c r="F1299" i="2"/>
  <c r="E1299" i="2"/>
  <c r="D1299" i="2"/>
  <c r="C1299" i="2"/>
  <c r="B1299" i="2"/>
  <c r="A1299" i="2"/>
  <c r="F1298" i="2"/>
  <c r="E1298" i="2"/>
  <c r="D1298" i="2"/>
  <c r="C1298" i="2"/>
  <c r="B1298" i="2"/>
  <c r="A1298" i="2"/>
  <c r="F1297" i="2"/>
  <c r="E1297" i="2"/>
  <c r="D1297" i="2"/>
  <c r="C1297" i="2"/>
  <c r="B1297" i="2"/>
  <c r="A1297" i="2"/>
  <c r="F1296" i="2"/>
  <c r="E1296" i="2"/>
  <c r="D1296" i="2"/>
  <c r="C1296" i="2"/>
  <c r="B1296" i="2"/>
  <c r="A1296" i="2"/>
  <c r="F1295" i="2"/>
  <c r="E1295" i="2"/>
  <c r="D1295" i="2"/>
  <c r="C1295" i="2"/>
  <c r="B1295" i="2"/>
  <c r="A1295" i="2"/>
  <c r="F1294" i="2"/>
  <c r="E1294" i="2"/>
  <c r="D1294" i="2"/>
  <c r="C1294" i="2"/>
  <c r="B1294" i="2"/>
  <c r="A1294" i="2"/>
  <c r="F1293" i="2"/>
  <c r="E1293" i="2"/>
  <c r="D1293" i="2"/>
  <c r="C1293" i="2"/>
  <c r="B1293" i="2"/>
  <c r="A1293" i="2"/>
  <c r="F1292" i="2"/>
  <c r="E1292" i="2"/>
  <c r="D1292" i="2"/>
  <c r="C1292" i="2"/>
  <c r="B1292" i="2"/>
  <c r="A1292" i="2"/>
  <c r="F1291" i="2"/>
  <c r="E1291" i="2"/>
  <c r="D1291" i="2"/>
  <c r="C1291" i="2"/>
  <c r="B1291" i="2"/>
  <c r="A1291" i="2"/>
  <c r="F1290" i="2"/>
  <c r="E1290" i="2"/>
  <c r="D1290" i="2"/>
  <c r="C1290" i="2"/>
  <c r="B1290" i="2"/>
  <c r="A1290" i="2"/>
  <c r="F1289" i="2"/>
  <c r="E1289" i="2"/>
  <c r="D1289" i="2"/>
  <c r="C1289" i="2"/>
  <c r="B1289" i="2"/>
  <c r="A1289" i="2"/>
  <c r="F1288" i="2"/>
  <c r="E1288" i="2"/>
  <c r="D1288" i="2"/>
  <c r="C1288" i="2"/>
  <c r="B1288" i="2"/>
  <c r="A1288" i="2"/>
  <c r="F1287" i="2"/>
  <c r="E1287" i="2"/>
  <c r="D1287" i="2"/>
  <c r="C1287" i="2"/>
  <c r="B1287" i="2"/>
  <c r="A1287" i="2"/>
  <c r="F1286" i="2"/>
  <c r="E1286" i="2"/>
  <c r="D1286" i="2"/>
  <c r="C1286" i="2"/>
  <c r="B1286" i="2"/>
  <c r="A1286" i="2"/>
  <c r="F1285" i="2"/>
  <c r="E1285" i="2"/>
  <c r="D1285" i="2"/>
  <c r="C1285" i="2"/>
  <c r="B1285" i="2"/>
  <c r="A1285" i="2"/>
  <c r="F1284" i="2"/>
  <c r="E1284" i="2"/>
  <c r="D1284" i="2"/>
  <c r="C1284" i="2"/>
  <c r="B1284" i="2"/>
  <c r="A1284" i="2"/>
  <c r="F1283" i="2"/>
  <c r="E1283" i="2"/>
  <c r="D1283" i="2"/>
  <c r="C1283" i="2"/>
  <c r="B1283" i="2"/>
  <c r="A1283" i="2"/>
  <c r="F1282" i="2"/>
  <c r="E1282" i="2"/>
  <c r="D1282" i="2"/>
  <c r="C1282" i="2"/>
  <c r="B1282" i="2"/>
  <c r="A1282" i="2"/>
  <c r="F1281" i="2"/>
  <c r="E1281" i="2"/>
  <c r="D1281" i="2"/>
  <c r="C1281" i="2"/>
  <c r="B1281" i="2"/>
  <c r="A1281" i="2"/>
  <c r="F1280" i="2"/>
  <c r="E1280" i="2"/>
  <c r="D1280" i="2"/>
  <c r="C1280" i="2"/>
  <c r="B1280" i="2"/>
  <c r="A1280" i="2"/>
  <c r="F1279" i="2"/>
  <c r="E1279" i="2"/>
  <c r="D1279" i="2"/>
  <c r="C1279" i="2"/>
  <c r="B1279" i="2"/>
  <c r="A1279" i="2"/>
  <c r="F1278" i="2"/>
  <c r="E1278" i="2"/>
  <c r="D1278" i="2"/>
  <c r="C1278" i="2"/>
  <c r="B1278" i="2"/>
  <c r="A1278" i="2"/>
  <c r="F1277" i="2"/>
  <c r="E1277" i="2"/>
  <c r="D1277" i="2"/>
  <c r="C1277" i="2"/>
  <c r="B1277" i="2"/>
  <c r="A1277" i="2"/>
  <c r="F1276" i="2"/>
  <c r="E1276" i="2"/>
  <c r="D1276" i="2"/>
  <c r="C1276" i="2"/>
  <c r="B1276" i="2"/>
  <c r="A1276" i="2"/>
  <c r="F1275" i="2"/>
  <c r="E1275" i="2"/>
  <c r="D1275" i="2"/>
  <c r="C1275" i="2"/>
  <c r="B1275" i="2"/>
  <c r="A1275" i="2"/>
  <c r="F1274" i="2"/>
  <c r="E1274" i="2"/>
  <c r="D1274" i="2"/>
  <c r="C1274" i="2"/>
  <c r="B1274" i="2"/>
  <c r="A1274" i="2"/>
  <c r="F1273" i="2"/>
  <c r="E1273" i="2"/>
  <c r="D1273" i="2"/>
  <c r="C1273" i="2"/>
  <c r="B1273" i="2"/>
  <c r="A1273" i="2"/>
  <c r="F1272" i="2"/>
  <c r="E1272" i="2"/>
  <c r="D1272" i="2"/>
  <c r="C1272" i="2"/>
  <c r="B1272" i="2"/>
  <c r="A1272" i="2"/>
  <c r="F1271" i="2"/>
  <c r="E1271" i="2"/>
  <c r="D1271" i="2"/>
  <c r="C1271" i="2"/>
  <c r="B1271" i="2"/>
  <c r="A1271" i="2"/>
  <c r="F1270" i="2"/>
  <c r="E1270" i="2"/>
  <c r="D1270" i="2"/>
  <c r="C1270" i="2"/>
  <c r="B1270" i="2"/>
  <c r="A1270" i="2"/>
  <c r="F1269" i="2"/>
  <c r="E1269" i="2"/>
  <c r="D1269" i="2"/>
  <c r="C1269" i="2"/>
  <c r="B1269" i="2"/>
  <c r="A1269" i="2"/>
  <c r="F1268" i="2"/>
  <c r="E1268" i="2"/>
  <c r="D1268" i="2"/>
  <c r="C1268" i="2"/>
  <c r="B1268" i="2"/>
  <c r="A1268" i="2"/>
  <c r="F1267" i="2"/>
  <c r="E1267" i="2"/>
  <c r="D1267" i="2"/>
  <c r="C1267" i="2"/>
  <c r="B1267" i="2"/>
  <c r="A1267" i="2"/>
  <c r="F1266" i="2"/>
  <c r="E1266" i="2"/>
  <c r="D1266" i="2"/>
  <c r="C1266" i="2"/>
  <c r="B1266" i="2"/>
  <c r="A1266" i="2"/>
  <c r="F1265" i="2"/>
  <c r="E1265" i="2"/>
  <c r="D1265" i="2"/>
  <c r="C1265" i="2"/>
  <c r="B1265" i="2"/>
  <c r="A1265" i="2"/>
  <c r="F1264" i="2"/>
  <c r="E1264" i="2"/>
  <c r="D1264" i="2"/>
  <c r="C1264" i="2"/>
  <c r="B1264" i="2"/>
  <c r="A1264" i="2"/>
  <c r="F1263" i="2"/>
  <c r="E1263" i="2"/>
  <c r="D1263" i="2"/>
  <c r="C1263" i="2"/>
  <c r="B1263" i="2"/>
  <c r="A1263" i="2"/>
  <c r="F1262" i="2"/>
  <c r="E1262" i="2"/>
  <c r="D1262" i="2"/>
  <c r="C1262" i="2"/>
  <c r="B1262" i="2"/>
  <c r="A1262" i="2"/>
  <c r="F1261" i="2"/>
  <c r="E1261" i="2"/>
  <c r="D1261" i="2"/>
  <c r="C1261" i="2"/>
  <c r="B1261" i="2"/>
  <c r="A1261" i="2"/>
  <c r="F1260" i="2"/>
  <c r="E1260" i="2"/>
  <c r="D1260" i="2"/>
  <c r="C1260" i="2"/>
  <c r="B1260" i="2"/>
  <c r="A1260" i="2"/>
  <c r="F1259" i="2"/>
  <c r="E1259" i="2"/>
  <c r="D1259" i="2"/>
  <c r="C1259" i="2"/>
  <c r="B1259" i="2"/>
  <c r="A1259" i="2"/>
  <c r="F1258" i="2"/>
  <c r="E1258" i="2"/>
  <c r="D1258" i="2"/>
  <c r="C1258" i="2"/>
  <c r="B1258" i="2"/>
  <c r="A1258" i="2"/>
  <c r="F1257" i="2"/>
  <c r="E1257" i="2"/>
  <c r="D1257" i="2"/>
  <c r="C1257" i="2"/>
  <c r="B1257" i="2"/>
  <c r="A1257" i="2"/>
  <c r="F1256" i="2"/>
  <c r="E1256" i="2"/>
  <c r="D1256" i="2"/>
  <c r="C1256" i="2"/>
  <c r="B1256" i="2"/>
  <c r="A1256" i="2"/>
  <c r="F1255" i="2"/>
  <c r="E1255" i="2"/>
  <c r="D1255" i="2"/>
  <c r="C1255" i="2"/>
  <c r="B1255" i="2"/>
  <c r="A1255" i="2"/>
  <c r="F1254" i="2"/>
  <c r="E1254" i="2"/>
  <c r="D1254" i="2"/>
  <c r="C1254" i="2"/>
  <c r="B1254" i="2"/>
  <c r="A1254" i="2"/>
  <c r="F1253" i="2"/>
  <c r="E1253" i="2"/>
  <c r="D1253" i="2"/>
  <c r="C1253" i="2"/>
  <c r="B1253" i="2"/>
  <c r="A1253" i="2"/>
  <c r="F1252" i="2"/>
  <c r="E1252" i="2"/>
  <c r="D1252" i="2"/>
  <c r="C1252" i="2"/>
  <c r="B1252" i="2"/>
  <c r="A1252" i="2"/>
  <c r="F1251" i="2"/>
  <c r="E1251" i="2"/>
  <c r="D1251" i="2"/>
  <c r="C1251" i="2"/>
  <c r="B1251" i="2"/>
  <c r="A1251" i="2"/>
  <c r="F1250" i="2"/>
  <c r="E1250" i="2"/>
  <c r="D1250" i="2"/>
  <c r="C1250" i="2"/>
  <c r="B1250" i="2"/>
  <c r="A1250" i="2"/>
  <c r="F1249" i="2"/>
  <c r="E1249" i="2"/>
  <c r="D1249" i="2"/>
  <c r="C1249" i="2"/>
  <c r="B1249" i="2"/>
  <c r="A1249" i="2"/>
  <c r="F1248" i="2"/>
  <c r="E1248" i="2"/>
  <c r="D1248" i="2"/>
  <c r="C1248" i="2"/>
  <c r="B1248" i="2"/>
  <c r="A1248" i="2"/>
  <c r="F1247" i="2"/>
  <c r="E1247" i="2"/>
  <c r="D1247" i="2"/>
  <c r="C1247" i="2"/>
  <c r="B1247" i="2"/>
  <c r="A1247" i="2"/>
  <c r="F1246" i="2"/>
  <c r="E1246" i="2"/>
  <c r="D1246" i="2"/>
  <c r="C1246" i="2"/>
  <c r="B1246" i="2"/>
  <c r="A1246" i="2"/>
  <c r="F1245" i="2"/>
  <c r="E1245" i="2"/>
  <c r="D1245" i="2"/>
  <c r="C1245" i="2"/>
  <c r="B1245" i="2"/>
  <c r="A1245" i="2"/>
  <c r="F1244" i="2"/>
  <c r="E1244" i="2"/>
  <c r="D1244" i="2"/>
  <c r="C1244" i="2"/>
  <c r="B1244" i="2"/>
  <c r="A1244" i="2"/>
  <c r="F1243" i="2"/>
  <c r="E1243" i="2"/>
  <c r="D1243" i="2"/>
  <c r="C1243" i="2"/>
  <c r="B1243" i="2"/>
  <c r="A1243" i="2"/>
  <c r="F1242" i="2"/>
  <c r="E1242" i="2"/>
  <c r="D1242" i="2"/>
  <c r="C1242" i="2"/>
  <c r="B1242" i="2"/>
  <c r="A1242" i="2"/>
  <c r="F1241" i="2"/>
  <c r="E1241" i="2"/>
  <c r="D1241" i="2"/>
  <c r="C1241" i="2"/>
  <c r="B1241" i="2"/>
  <c r="A1241" i="2"/>
  <c r="F1240" i="2"/>
  <c r="E1240" i="2"/>
  <c r="D1240" i="2"/>
  <c r="C1240" i="2"/>
  <c r="B1240" i="2"/>
  <c r="A1240" i="2"/>
  <c r="F1239" i="2"/>
  <c r="E1239" i="2"/>
  <c r="D1239" i="2"/>
  <c r="C1239" i="2"/>
  <c r="B1239" i="2"/>
  <c r="A1239" i="2"/>
  <c r="F1238" i="2"/>
  <c r="E1238" i="2"/>
  <c r="D1238" i="2"/>
  <c r="C1238" i="2"/>
  <c r="B1238" i="2"/>
  <c r="A1238" i="2"/>
  <c r="F1237" i="2"/>
  <c r="E1237" i="2"/>
  <c r="D1237" i="2"/>
  <c r="C1237" i="2"/>
  <c r="B1237" i="2"/>
  <c r="A1237" i="2"/>
  <c r="F1236" i="2"/>
  <c r="E1236" i="2"/>
  <c r="D1236" i="2"/>
  <c r="C1236" i="2"/>
  <c r="B1236" i="2"/>
  <c r="A1236" i="2"/>
  <c r="F1235" i="2"/>
  <c r="E1235" i="2"/>
  <c r="D1235" i="2"/>
  <c r="C1235" i="2"/>
  <c r="B1235" i="2"/>
  <c r="A1235" i="2"/>
  <c r="F1234" i="2"/>
  <c r="E1234" i="2"/>
  <c r="D1234" i="2"/>
  <c r="C1234" i="2"/>
  <c r="B1234" i="2"/>
  <c r="A1234" i="2"/>
  <c r="F1233" i="2"/>
  <c r="E1233" i="2"/>
  <c r="D1233" i="2"/>
  <c r="C1233" i="2"/>
  <c r="B1233" i="2"/>
  <c r="A1233" i="2"/>
  <c r="F1232" i="2"/>
  <c r="E1232" i="2"/>
  <c r="D1232" i="2"/>
  <c r="C1232" i="2"/>
  <c r="B1232" i="2"/>
  <c r="A1232" i="2"/>
  <c r="F1231" i="2"/>
  <c r="E1231" i="2"/>
  <c r="D1231" i="2"/>
  <c r="C1231" i="2"/>
  <c r="B1231" i="2"/>
  <c r="A1231" i="2"/>
  <c r="F1230" i="2"/>
  <c r="E1230" i="2"/>
  <c r="D1230" i="2"/>
  <c r="C1230" i="2"/>
  <c r="B1230" i="2"/>
  <c r="A1230" i="2"/>
  <c r="F1229" i="2"/>
  <c r="E1229" i="2"/>
  <c r="D1229" i="2"/>
  <c r="C1229" i="2"/>
  <c r="B1229" i="2"/>
  <c r="A1229" i="2"/>
  <c r="F1228" i="2"/>
  <c r="E1228" i="2"/>
  <c r="D1228" i="2"/>
  <c r="C1228" i="2"/>
  <c r="B1228" i="2"/>
  <c r="A1228" i="2"/>
  <c r="F1227" i="2"/>
  <c r="E1227" i="2"/>
  <c r="D1227" i="2"/>
  <c r="C1227" i="2"/>
  <c r="B1227" i="2"/>
  <c r="A1227" i="2"/>
  <c r="F1226" i="2"/>
  <c r="E1226" i="2"/>
  <c r="D1226" i="2"/>
  <c r="C1226" i="2"/>
  <c r="B1226" i="2"/>
  <c r="A1226" i="2"/>
  <c r="F1225" i="2"/>
  <c r="E1225" i="2"/>
  <c r="D1225" i="2"/>
  <c r="C1225" i="2"/>
  <c r="B1225" i="2"/>
  <c r="A1225" i="2"/>
  <c r="F1224" i="2"/>
  <c r="E1224" i="2"/>
  <c r="D1224" i="2"/>
  <c r="C1224" i="2"/>
  <c r="B1224" i="2"/>
  <c r="A1224" i="2"/>
  <c r="F1223" i="2"/>
  <c r="E1223" i="2"/>
  <c r="D1223" i="2"/>
  <c r="C1223" i="2"/>
  <c r="B1223" i="2"/>
  <c r="A1223" i="2"/>
  <c r="F1222" i="2"/>
  <c r="E1222" i="2"/>
  <c r="D1222" i="2"/>
  <c r="C1222" i="2"/>
  <c r="B1222" i="2"/>
  <c r="A1222" i="2"/>
  <c r="F1221" i="2"/>
  <c r="E1221" i="2"/>
  <c r="D1221" i="2"/>
  <c r="C1221" i="2"/>
  <c r="B1221" i="2"/>
  <c r="A1221" i="2"/>
  <c r="F1220" i="2"/>
  <c r="E1220" i="2"/>
  <c r="D1220" i="2"/>
  <c r="C1220" i="2"/>
  <c r="B1220" i="2"/>
  <c r="A1220" i="2"/>
  <c r="F1219" i="2"/>
  <c r="E1219" i="2"/>
  <c r="D1219" i="2"/>
  <c r="C1219" i="2"/>
  <c r="B1219" i="2"/>
  <c r="A1219" i="2"/>
  <c r="F1218" i="2"/>
  <c r="E1218" i="2"/>
  <c r="D1218" i="2"/>
  <c r="C1218" i="2"/>
  <c r="B1218" i="2"/>
  <c r="A1218" i="2"/>
  <c r="F1217" i="2"/>
  <c r="E1217" i="2"/>
  <c r="D1217" i="2"/>
  <c r="C1217" i="2"/>
  <c r="B1217" i="2"/>
  <c r="A1217" i="2"/>
  <c r="F1216" i="2"/>
  <c r="E1216" i="2"/>
  <c r="D1216" i="2"/>
  <c r="C1216" i="2"/>
  <c r="B1216" i="2"/>
  <c r="A1216" i="2"/>
  <c r="F1215" i="2"/>
  <c r="E1215" i="2"/>
  <c r="D1215" i="2"/>
  <c r="C1215" i="2"/>
  <c r="B1215" i="2"/>
  <c r="A1215" i="2"/>
  <c r="F1214" i="2"/>
  <c r="E1214" i="2"/>
  <c r="D1214" i="2"/>
  <c r="C1214" i="2"/>
  <c r="B1214" i="2"/>
  <c r="A1214" i="2"/>
  <c r="F1213" i="2"/>
  <c r="E1213" i="2"/>
  <c r="D1213" i="2"/>
  <c r="C1213" i="2"/>
  <c r="B1213" i="2"/>
  <c r="A1213" i="2"/>
  <c r="F1212" i="2"/>
  <c r="E1212" i="2"/>
  <c r="D1212" i="2"/>
  <c r="C1212" i="2"/>
  <c r="B1212" i="2"/>
  <c r="A1212" i="2"/>
  <c r="F1211" i="2"/>
  <c r="E1211" i="2"/>
  <c r="D1211" i="2"/>
  <c r="C1211" i="2"/>
  <c r="B1211" i="2"/>
  <c r="A1211" i="2"/>
  <c r="F1210" i="2"/>
  <c r="E1210" i="2"/>
  <c r="D1210" i="2"/>
  <c r="C1210" i="2"/>
  <c r="B1210" i="2"/>
  <c r="A1210" i="2"/>
  <c r="F1209" i="2"/>
  <c r="E1209" i="2"/>
  <c r="D1209" i="2"/>
  <c r="C1209" i="2"/>
  <c r="B1209" i="2"/>
  <c r="A1209" i="2"/>
  <c r="F1208" i="2"/>
  <c r="E1208" i="2"/>
  <c r="D1208" i="2"/>
  <c r="C1208" i="2"/>
  <c r="B1208" i="2"/>
  <c r="A1208" i="2"/>
  <c r="F1207" i="2"/>
  <c r="E1207" i="2"/>
  <c r="D1207" i="2"/>
  <c r="C1207" i="2"/>
  <c r="B1207" i="2"/>
  <c r="A1207" i="2"/>
  <c r="F1206" i="2"/>
  <c r="E1206" i="2"/>
  <c r="D1206" i="2"/>
  <c r="C1206" i="2"/>
  <c r="B1206" i="2"/>
  <c r="A1206" i="2"/>
  <c r="F1205" i="2"/>
  <c r="E1205" i="2"/>
  <c r="D1205" i="2"/>
  <c r="C1205" i="2"/>
  <c r="B1205" i="2"/>
  <c r="A1205" i="2"/>
  <c r="F1204" i="2"/>
  <c r="E1204" i="2"/>
  <c r="D1204" i="2"/>
  <c r="C1204" i="2"/>
  <c r="B1204" i="2"/>
  <c r="A1204" i="2"/>
  <c r="F1203" i="2"/>
  <c r="E1203" i="2"/>
  <c r="D1203" i="2"/>
  <c r="C1203" i="2"/>
  <c r="B1203" i="2"/>
  <c r="A1203" i="2"/>
  <c r="F1202" i="2"/>
  <c r="E1202" i="2"/>
  <c r="D1202" i="2"/>
  <c r="C1202" i="2"/>
  <c r="B1202" i="2"/>
  <c r="A1202" i="2"/>
  <c r="F1201" i="2"/>
  <c r="E1201" i="2"/>
  <c r="D1201" i="2"/>
  <c r="C1201" i="2"/>
  <c r="B1201" i="2"/>
  <c r="A1201" i="2"/>
  <c r="F1200" i="2"/>
  <c r="E1200" i="2"/>
  <c r="D1200" i="2"/>
  <c r="C1200" i="2"/>
  <c r="B1200" i="2"/>
  <c r="A1200" i="2"/>
  <c r="F1199" i="2"/>
  <c r="E1199" i="2"/>
  <c r="D1199" i="2"/>
  <c r="C1199" i="2"/>
  <c r="B1199" i="2"/>
  <c r="A1199" i="2"/>
  <c r="F1198" i="2"/>
  <c r="E1198" i="2"/>
  <c r="D1198" i="2"/>
  <c r="C1198" i="2"/>
  <c r="B1198" i="2"/>
  <c r="A1198" i="2"/>
  <c r="F1197" i="2"/>
  <c r="E1197" i="2"/>
  <c r="D1197" i="2"/>
  <c r="C1197" i="2"/>
  <c r="B1197" i="2"/>
  <c r="A1197" i="2"/>
  <c r="F1196" i="2"/>
  <c r="E1196" i="2"/>
  <c r="D1196" i="2"/>
  <c r="C1196" i="2"/>
  <c r="B1196" i="2"/>
  <c r="A1196" i="2"/>
  <c r="F1195" i="2"/>
  <c r="E1195" i="2"/>
  <c r="D1195" i="2"/>
  <c r="C1195" i="2"/>
  <c r="B1195" i="2"/>
  <c r="A1195" i="2"/>
  <c r="F1194" i="2"/>
  <c r="E1194" i="2"/>
  <c r="D1194" i="2"/>
  <c r="C1194" i="2"/>
  <c r="B1194" i="2"/>
  <c r="A1194" i="2"/>
  <c r="F1193" i="2"/>
  <c r="E1193" i="2"/>
  <c r="D1193" i="2"/>
  <c r="C1193" i="2"/>
  <c r="B1193" i="2"/>
  <c r="A1193" i="2"/>
  <c r="F1192" i="2"/>
  <c r="E1192" i="2"/>
  <c r="D1192" i="2"/>
  <c r="C1192" i="2"/>
  <c r="B1192" i="2"/>
  <c r="A1192" i="2"/>
  <c r="F1191" i="2"/>
  <c r="E1191" i="2"/>
  <c r="D1191" i="2"/>
  <c r="C1191" i="2"/>
  <c r="B1191" i="2"/>
  <c r="A1191" i="2"/>
  <c r="F1190" i="2"/>
  <c r="E1190" i="2"/>
  <c r="D1190" i="2"/>
  <c r="C1190" i="2"/>
  <c r="B1190" i="2"/>
  <c r="A1190" i="2"/>
  <c r="F1189" i="2"/>
  <c r="E1189" i="2"/>
  <c r="D1189" i="2"/>
  <c r="C1189" i="2"/>
  <c r="B1189" i="2"/>
  <c r="A1189" i="2"/>
  <c r="F1188" i="2"/>
  <c r="E1188" i="2"/>
  <c r="D1188" i="2"/>
  <c r="C1188" i="2"/>
  <c r="B1188" i="2"/>
  <c r="A1188" i="2"/>
  <c r="F1187" i="2"/>
  <c r="E1187" i="2"/>
  <c r="D1187" i="2"/>
  <c r="C1187" i="2"/>
  <c r="B1187" i="2"/>
  <c r="A1187" i="2"/>
  <c r="F1186" i="2"/>
  <c r="E1186" i="2"/>
  <c r="D1186" i="2"/>
  <c r="C1186" i="2"/>
  <c r="B1186" i="2"/>
  <c r="A1186" i="2"/>
  <c r="F1185" i="2"/>
  <c r="E1185" i="2"/>
  <c r="D1185" i="2"/>
  <c r="C1185" i="2"/>
  <c r="B1185" i="2"/>
  <c r="A1185" i="2"/>
  <c r="F1184" i="2"/>
  <c r="E1184" i="2"/>
  <c r="D1184" i="2"/>
  <c r="C1184" i="2"/>
  <c r="B1184" i="2"/>
  <c r="A1184" i="2"/>
  <c r="F1183" i="2"/>
  <c r="E1183" i="2"/>
  <c r="D1183" i="2"/>
  <c r="C1183" i="2"/>
  <c r="B1183" i="2"/>
  <c r="A1183" i="2"/>
  <c r="F1182" i="2"/>
  <c r="E1182" i="2"/>
  <c r="D1182" i="2"/>
  <c r="C1182" i="2"/>
  <c r="B1182" i="2"/>
  <c r="A1182" i="2"/>
  <c r="F1181" i="2"/>
  <c r="E1181" i="2"/>
  <c r="D1181" i="2"/>
  <c r="C1181" i="2"/>
  <c r="B1181" i="2"/>
  <c r="A1181" i="2"/>
  <c r="F1180" i="2"/>
  <c r="E1180" i="2"/>
  <c r="D1180" i="2"/>
  <c r="C1180" i="2"/>
  <c r="B1180" i="2"/>
  <c r="A1180" i="2"/>
  <c r="F1179" i="2"/>
  <c r="E1179" i="2"/>
  <c r="D1179" i="2"/>
  <c r="C1179" i="2"/>
  <c r="B1179" i="2"/>
  <c r="A1179" i="2"/>
  <c r="F1178" i="2"/>
  <c r="E1178" i="2"/>
  <c r="D1178" i="2"/>
  <c r="C1178" i="2"/>
  <c r="B1178" i="2"/>
  <c r="A1178" i="2"/>
  <c r="F1177" i="2"/>
  <c r="E1177" i="2"/>
  <c r="D1177" i="2"/>
  <c r="C1177" i="2"/>
  <c r="B1177" i="2"/>
  <c r="A1177" i="2"/>
  <c r="F1176" i="2"/>
  <c r="E1176" i="2"/>
  <c r="D1176" i="2"/>
  <c r="C1176" i="2"/>
  <c r="B1176" i="2"/>
  <c r="A1176" i="2"/>
  <c r="F1175" i="2"/>
  <c r="E1175" i="2"/>
  <c r="D1175" i="2"/>
  <c r="C1175" i="2"/>
  <c r="B1175" i="2"/>
  <c r="A1175" i="2"/>
  <c r="F1174" i="2"/>
  <c r="E1174" i="2"/>
  <c r="D1174" i="2"/>
  <c r="C1174" i="2"/>
  <c r="B1174" i="2"/>
  <c r="A1174" i="2"/>
  <c r="F1173" i="2"/>
  <c r="E1173" i="2"/>
  <c r="D1173" i="2"/>
  <c r="C1173" i="2"/>
  <c r="B1173" i="2"/>
  <c r="A1173" i="2"/>
  <c r="F1172" i="2"/>
  <c r="E1172" i="2"/>
  <c r="D1172" i="2"/>
  <c r="C1172" i="2"/>
  <c r="B1172" i="2"/>
  <c r="A1172" i="2"/>
  <c r="F1171" i="2"/>
  <c r="E1171" i="2"/>
  <c r="D1171" i="2"/>
  <c r="C1171" i="2"/>
  <c r="B1171" i="2"/>
  <c r="A1171" i="2"/>
  <c r="F1170" i="2"/>
  <c r="E1170" i="2"/>
  <c r="D1170" i="2"/>
  <c r="C1170" i="2"/>
  <c r="B1170" i="2"/>
  <c r="A1170" i="2"/>
  <c r="F1169" i="2"/>
  <c r="E1169" i="2"/>
  <c r="D1169" i="2"/>
  <c r="C1169" i="2"/>
  <c r="B1169" i="2"/>
  <c r="A1169" i="2"/>
  <c r="F1168" i="2"/>
  <c r="E1168" i="2"/>
  <c r="D1168" i="2"/>
  <c r="C1168" i="2"/>
  <c r="B1168" i="2"/>
  <c r="A1168" i="2"/>
  <c r="F1167" i="2"/>
  <c r="E1167" i="2"/>
  <c r="D1167" i="2"/>
  <c r="C1167" i="2"/>
  <c r="B1167" i="2"/>
  <c r="A1167" i="2"/>
  <c r="F1166" i="2"/>
  <c r="E1166" i="2"/>
  <c r="D1166" i="2"/>
  <c r="C1166" i="2"/>
  <c r="B1166" i="2"/>
  <c r="A1166" i="2"/>
  <c r="F1165" i="2"/>
  <c r="E1165" i="2"/>
  <c r="D1165" i="2"/>
  <c r="C1165" i="2"/>
  <c r="B1165" i="2"/>
  <c r="A1165" i="2"/>
  <c r="F1164" i="2"/>
  <c r="E1164" i="2"/>
  <c r="D1164" i="2"/>
  <c r="C1164" i="2"/>
  <c r="B1164" i="2"/>
  <c r="A1164" i="2"/>
  <c r="F1163" i="2"/>
  <c r="E1163" i="2"/>
  <c r="D1163" i="2"/>
  <c r="C1163" i="2"/>
  <c r="B1163" i="2"/>
  <c r="A1163" i="2"/>
  <c r="F1162" i="2"/>
  <c r="E1162" i="2"/>
  <c r="D1162" i="2"/>
  <c r="C1162" i="2"/>
  <c r="B1162" i="2"/>
  <c r="A1162" i="2"/>
  <c r="F1161" i="2"/>
  <c r="E1161" i="2"/>
  <c r="D1161" i="2"/>
  <c r="C1161" i="2"/>
  <c r="B1161" i="2"/>
  <c r="A1161" i="2"/>
  <c r="F1160" i="2"/>
  <c r="E1160" i="2"/>
  <c r="D1160" i="2"/>
  <c r="C1160" i="2"/>
  <c r="B1160" i="2"/>
  <c r="A1160" i="2"/>
  <c r="F1159" i="2"/>
  <c r="E1159" i="2"/>
  <c r="D1159" i="2"/>
  <c r="C1159" i="2"/>
  <c r="B1159" i="2"/>
  <c r="A1159" i="2"/>
  <c r="F1158" i="2"/>
  <c r="E1158" i="2"/>
  <c r="D1158" i="2"/>
  <c r="C1158" i="2"/>
  <c r="B1158" i="2"/>
  <c r="A1158" i="2"/>
  <c r="F1157" i="2"/>
  <c r="E1157" i="2"/>
  <c r="D1157" i="2"/>
  <c r="C1157" i="2"/>
  <c r="B1157" i="2"/>
  <c r="A1157" i="2"/>
  <c r="F1156" i="2"/>
  <c r="E1156" i="2"/>
  <c r="D1156" i="2"/>
  <c r="C1156" i="2"/>
  <c r="B1156" i="2"/>
  <c r="A1156" i="2"/>
  <c r="F1155" i="2"/>
  <c r="E1155" i="2"/>
  <c r="D1155" i="2"/>
  <c r="C1155" i="2"/>
  <c r="B1155" i="2"/>
  <c r="A1155" i="2"/>
  <c r="F1154" i="2"/>
  <c r="E1154" i="2"/>
  <c r="D1154" i="2"/>
  <c r="C1154" i="2"/>
  <c r="B1154" i="2"/>
  <c r="A1154" i="2"/>
  <c r="F1153" i="2"/>
  <c r="E1153" i="2"/>
  <c r="D1153" i="2"/>
  <c r="C1153" i="2"/>
  <c r="B1153" i="2"/>
  <c r="A1153" i="2"/>
  <c r="F1152" i="2"/>
  <c r="E1152" i="2"/>
  <c r="D1152" i="2"/>
  <c r="C1152" i="2"/>
  <c r="B1152" i="2"/>
  <c r="A1152" i="2"/>
  <c r="F1151" i="2"/>
  <c r="E1151" i="2"/>
  <c r="D1151" i="2"/>
  <c r="C1151" i="2"/>
  <c r="B1151" i="2"/>
  <c r="A1151" i="2"/>
  <c r="F1150" i="2"/>
  <c r="E1150" i="2"/>
  <c r="D1150" i="2"/>
  <c r="C1150" i="2"/>
  <c r="B1150" i="2"/>
  <c r="A1150" i="2"/>
  <c r="F1149" i="2"/>
  <c r="E1149" i="2"/>
  <c r="D1149" i="2"/>
  <c r="C1149" i="2"/>
  <c r="B1149" i="2"/>
  <c r="A1149" i="2"/>
  <c r="F1148" i="2"/>
  <c r="E1148" i="2"/>
  <c r="D1148" i="2"/>
  <c r="C1148" i="2"/>
  <c r="B1148" i="2"/>
  <c r="A1148" i="2"/>
  <c r="F1147" i="2"/>
  <c r="E1147" i="2"/>
  <c r="D1147" i="2"/>
  <c r="C1147" i="2"/>
  <c r="B1147" i="2"/>
  <c r="A1147" i="2"/>
  <c r="F1146" i="2"/>
  <c r="E1146" i="2"/>
  <c r="D1146" i="2"/>
  <c r="C1146" i="2"/>
  <c r="B1146" i="2"/>
  <c r="A1146" i="2"/>
  <c r="F1145" i="2"/>
  <c r="E1145" i="2"/>
  <c r="D1145" i="2"/>
  <c r="C1145" i="2"/>
  <c r="B1145" i="2"/>
  <c r="A1145" i="2"/>
  <c r="F1144" i="2"/>
  <c r="E1144" i="2"/>
  <c r="D1144" i="2"/>
  <c r="C1144" i="2"/>
  <c r="B1144" i="2"/>
  <c r="A1144" i="2"/>
  <c r="F1143" i="2"/>
  <c r="E1143" i="2"/>
  <c r="D1143" i="2"/>
  <c r="C1143" i="2"/>
  <c r="B1143" i="2"/>
  <c r="A1143" i="2"/>
  <c r="F1142" i="2"/>
  <c r="E1142" i="2"/>
  <c r="D1142" i="2"/>
  <c r="C1142" i="2"/>
  <c r="B1142" i="2"/>
  <c r="A1142" i="2"/>
  <c r="F1141" i="2"/>
  <c r="E1141" i="2"/>
  <c r="D1141" i="2"/>
  <c r="C1141" i="2"/>
  <c r="B1141" i="2"/>
  <c r="A1141" i="2"/>
  <c r="F1140" i="2"/>
  <c r="E1140" i="2"/>
  <c r="D1140" i="2"/>
  <c r="C1140" i="2"/>
  <c r="B1140" i="2"/>
  <c r="A1140" i="2"/>
  <c r="F1139" i="2"/>
  <c r="E1139" i="2"/>
  <c r="D1139" i="2"/>
  <c r="C1139" i="2"/>
  <c r="B1139" i="2"/>
  <c r="A1139" i="2"/>
  <c r="F1138" i="2"/>
  <c r="E1138" i="2"/>
  <c r="D1138" i="2"/>
  <c r="C1138" i="2"/>
  <c r="B1138" i="2"/>
  <c r="A1138" i="2"/>
  <c r="F1137" i="2"/>
  <c r="E1137" i="2"/>
  <c r="D1137" i="2"/>
  <c r="C1137" i="2"/>
  <c r="B1137" i="2"/>
  <c r="A1137" i="2"/>
  <c r="F1136" i="2"/>
  <c r="E1136" i="2"/>
  <c r="D1136" i="2"/>
  <c r="C1136" i="2"/>
  <c r="B1136" i="2"/>
  <c r="A1136" i="2"/>
  <c r="F1135" i="2"/>
  <c r="E1135" i="2"/>
  <c r="D1135" i="2"/>
  <c r="C1135" i="2"/>
  <c r="B1135" i="2"/>
  <c r="A1135" i="2"/>
  <c r="F1134" i="2"/>
  <c r="E1134" i="2"/>
  <c r="D1134" i="2"/>
  <c r="C1134" i="2"/>
  <c r="B1134" i="2"/>
  <c r="A1134" i="2"/>
  <c r="F1133" i="2"/>
  <c r="E1133" i="2"/>
  <c r="D1133" i="2"/>
  <c r="C1133" i="2"/>
  <c r="B1133" i="2"/>
  <c r="A1133" i="2"/>
  <c r="F1132" i="2"/>
  <c r="E1132" i="2"/>
  <c r="D1132" i="2"/>
  <c r="C1132" i="2"/>
  <c r="B1132" i="2"/>
  <c r="A1132" i="2"/>
  <c r="F1131" i="2"/>
  <c r="E1131" i="2"/>
  <c r="D1131" i="2"/>
  <c r="C1131" i="2"/>
  <c r="B1131" i="2"/>
  <c r="A1131" i="2"/>
  <c r="F1130" i="2"/>
  <c r="E1130" i="2"/>
  <c r="D1130" i="2"/>
  <c r="C1130" i="2"/>
  <c r="B1130" i="2"/>
  <c r="A1130" i="2"/>
  <c r="F1129" i="2"/>
  <c r="E1129" i="2"/>
  <c r="D1129" i="2"/>
  <c r="C1129" i="2"/>
  <c r="B1129" i="2"/>
  <c r="A1129" i="2"/>
  <c r="F1128" i="2"/>
  <c r="E1128" i="2"/>
  <c r="D1128" i="2"/>
  <c r="C1128" i="2"/>
  <c r="B1128" i="2"/>
  <c r="A1128" i="2"/>
  <c r="F1127" i="2"/>
  <c r="E1127" i="2"/>
  <c r="D1127" i="2"/>
  <c r="C1127" i="2"/>
  <c r="B1127" i="2"/>
  <c r="A1127" i="2"/>
  <c r="F1126" i="2"/>
  <c r="E1126" i="2"/>
  <c r="D1126" i="2"/>
  <c r="C1126" i="2"/>
  <c r="B1126" i="2"/>
  <c r="A1126" i="2"/>
  <c r="F1125" i="2"/>
  <c r="E1125" i="2"/>
  <c r="D1125" i="2"/>
  <c r="C1125" i="2"/>
  <c r="B1125" i="2"/>
  <c r="A1125" i="2"/>
  <c r="F1124" i="2"/>
  <c r="E1124" i="2"/>
  <c r="D1124" i="2"/>
  <c r="C1124" i="2"/>
  <c r="B1124" i="2"/>
  <c r="A1124" i="2"/>
  <c r="F1123" i="2"/>
  <c r="E1123" i="2"/>
  <c r="D1123" i="2"/>
  <c r="C1123" i="2"/>
  <c r="B1123" i="2"/>
  <c r="A1123" i="2"/>
  <c r="F1122" i="2"/>
  <c r="E1122" i="2"/>
  <c r="D1122" i="2"/>
  <c r="C1122" i="2"/>
  <c r="B1122" i="2"/>
  <c r="A1122" i="2"/>
  <c r="F1121" i="2"/>
  <c r="E1121" i="2"/>
  <c r="D1121" i="2"/>
  <c r="C1121" i="2"/>
  <c r="B1121" i="2"/>
  <c r="A1121" i="2"/>
  <c r="F1120" i="2"/>
  <c r="E1120" i="2"/>
  <c r="D1120" i="2"/>
  <c r="C1120" i="2"/>
  <c r="B1120" i="2"/>
  <c r="A1120" i="2"/>
  <c r="F1119" i="2"/>
  <c r="E1119" i="2"/>
  <c r="D1119" i="2"/>
  <c r="C1119" i="2"/>
  <c r="B1119" i="2"/>
  <c r="A1119" i="2"/>
  <c r="F1118" i="2"/>
  <c r="E1118" i="2"/>
  <c r="D1118" i="2"/>
  <c r="C1118" i="2"/>
  <c r="B1118" i="2"/>
  <c r="A1118" i="2"/>
  <c r="F1117" i="2"/>
  <c r="E1117" i="2"/>
  <c r="D1117" i="2"/>
  <c r="C1117" i="2"/>
  <c r="B1117" i="2"/>
  <c r="A1117" i="2"/>
  <c r="F1116" i="2"/>
  <c r="E1116" i="2"/>
  <c r="D1116" i="2"/>
  <c r="C1116" i="2"/>
  <c r="B1116" i="2"/>
  <c r="A1116" i="2"/>
  <c r="F1115" i="2"/>
  <c r="E1115" i="2"/>
  <c r="D1115" i="2"/>
  <c r="C1115" i="2"/>
  <c r="B1115" i="2"/>
  <c r="A1115" i="2"/>
  <c r="F1114" i="2"/>
  <c r="E1114" i="2"/>
  <c r="D1114" i="2"/>
  <c r="C1114" i="2"/>
  <c r="B1114" i="2"/>
  <c r="A1114" i="2"/>
  <c r="F1113" i="2"/>
  <c r="E1113" i="2"/>
  <c r="D1113" i="2"/>
  <c r="C1113" i="2"/>
  <c r="B1113" i="2"/>
  <c r="A1113" i="2"/>
  <c r="F1112" i="2"/>
  <c r="E1112" i="2"/>
  <c r="D1112" i="2"/>
  <c r="C1112" i="2"/>
  <c r="B1112" i="2"/>
  <c r="A1112" i="2"/>
  <c r="F1111" i="2"/>
  <c r="E1111" i="2"/>
  <c r="D1111" i="2"/>
  <c r="C1111" i="2"/>
  <c r="B1111" i="2"/>
  <c r="A1111" i="2"/>
  <c r="F1110" i="2"/>
  <c r="E1110" i="2"/>
  <c r="D1110" i="2"/>
  <c r="C1110" i="2"/>
  <c r="B1110" i="2"/>
  <c r="A1110" i="2"/>
  <c r="F1109" i="2"/>
  <c r="E1109" i="2"/>
  <c r="D1109" i="2"/>
  <c r="C1109" i="2"/>
  <c r="B1109" i="2"/>
  <c r="A1109" i="2"/>
  <c r="F1108" i="2"/>
  <c r="E1108" i="2"/>
  <c r="D1108" i="2"/>
  <c r="C1108" i="2"/>
  <c r="B1108" i="2"/>
  <c r="A1108" i="2"/>
  <c r="F1107" i="2"/>
  <c r="E1107" i="2"/>
  <c r="D1107" i="2"/>
  <c r="C1107" i="2"/>
  <c r="B1107" i="2"/>
  <c r="A1107" i="2"/>
  <c r="F1106" i="2"/>
  <c r="E1106" i="2"/>
  <c r="D1106" i="2"/>
  <c r="C1106" i="2"/>
  <c r="B1106" i="2"/>
  <c r="A1106" i="2"/>
  <c r="F1105" i="2"/>
  <c r="E1105" i="2"/>
  <c r="D1105" i="2"/>
  <c r="C1105" i="2"/>
  <c r="B1105" i="2"/>
  <c r="A1105" i="2"/>
  <c r="F1104" i="2"/>
  <c r="E1104" i="2"/>
  <c r="D1104" i="2"/>
  <c r="C1104" i="2"/>
  <c r="B1104" i="2"/>
  <c r="A1104" i="2"/>
  <c r="F1103" i="2"/>
  <c r="E1103" i="2"/>
  <c r="D1103" i="2"/>
  <c r="C1103" i="2"/>
  <c r="B1103" i="2"/>
  <c r="A1103" i="2"/>
  <c r="F1102" i="2"/>
  <c r="E1102" i="2"/>
  <c r="D1102" i="2"/>
  <c r="C1102" i="2"/>
  <c r="B1102" i="2"/>
  <c r="A1102" i="2"/>
  <c r="F1101" i="2"/>
  <c r="E1101" i="2"/>
  <c r="D1101" i="2"/>
  <c r="C1101" i="2"/>
  <c r="B1101" i="2"/>
  <c r="A1101" i="2"/>
  <c r="F1100" i="2"/>
  <c r="E1100" i="2"/>
  <c r="D1100" i="2"/>
  <c r="C1100" i="2"/>
  <c r="B1100" i="2"/>
  <c r="A1100" i="2"/>
  <c r="F1099" i="2"/>
  <c r="E1099" i="2"/>
  <c r="D1099" i="2"/>
  <c r="C1099" i="2"/>
  <c r="B1099" i="2"/>
  <c r="A1099" i="2"/>
  <c r="F1098" i="2"/>
  <c r="E1098" i="2"/>
  <c r="D1098" i="2"/>
  <c r="C1098" i="2"/>
  <c r="B1098" i="2"/>
  <c r="A1098" i="2"/>
  <c r="F1097" i="2"/>
  <c r="E1097" i="2"/>
  <c r="D1097" i="2"/>
  <c r="C1097" i="2"/>
  <c r="B1097" i="2"/>
  <c r="A1097" i="2"/>
  <c r="F1096" i="2"/>
  <c r="E1096" i="2"/>
  <c r="D1096" i="2"/>
  <c r="C1096" i="2"/>
  <c r="B1096" i="2"/>
  <c r="A1096" i="2"/>
  <c r="F1095" i="2"/>
  <c r="E1095" i="2"/>
  <c r="D1095" i="2"/>
  <c r="C1095" i="2"/>
  <c r="B1095" i="2"/>
  <c r="A1095" i="2"/>
  <c r="F1094" i="2"/>
  <c r="E1094" i="2"/>
  <c r="D1094" i="2"/>
  <c r="C1094" i="2"/>
  <c r="B1094" i="2"/>
  <c r="A1094" i="2"/>
  <c r="F1093" i="2"/>
  <c r="E1093" i="2"/>
  <c r="D1093" i="2"/>
  <c r="C1093" i="2"/>
  <c r="B1093" i="2"/>
  <c r="A1093" i="2"/>
  <c r="F1092" i="2"/>
  <c r="E1092" i="2"/>
  <c r="D1092" i="2"/>
  <c r="C1092" i="2"/>
  <c r="B1092" i="2"/>
  <c r="A1092" i="2"/>
  <c r="F1091" i="2"/>
  <c r="E1091" i="2"/>
  <c r="D1091" i="2"/>
  <c r="C1091" i="2"/>
  <c r="B1091" i="2"/>
  <c r="A1091" i="2"/>
  <c r="F1090" i="2"/>
  <c r="E1090" i="2"/>
  <c r="D1090" i="2"/>
  <c r="C1090" i="2"/>
  <c r="B1090" i="2"/>
  <c r="A1090" i="2"/>
  <c r="F1089" i="2"/>
  <c r="E1089" i="2"/>
  <c r="D1089" i="2"/>
  <c r="C1089" i="2"/>
  <c r="B1089" i="2"/>
  <c r="A1089" i="2"/>
  <c r="F1088" i="2"/>
  <c r="E1088" i="2"/>
  <c r="D1088" i="2"/>
  <c r="C1088" i="2"/>
  <c r="B1088" i="2"/>
  <c r="A1088" i="2"/>
  <c r="F1087" i="2"/>
  <c r="E1087" i="2"/>
  <c r="D1087" i="2"/>
  <c r="C1087" i="2"/>
  <c r="B1087" i="2"/>
  <c r="A1087" i="2"/>
  <c r="F1086" i="2"/>
  <c r="E1086" i="2"/>
  <c r="D1086" i="2"/>
  <c r="C1086" i="2"/>
  <c r="B1086" i="2"/>
  <c r="A1086" i="2"/>
  <c r="F1085" i="2"/>
  <c r="E1085" i="2"/>
  <c r="D1085" i="2"/>
  <c r="C1085" i="2"/>
  <c r="B1085" i="2"/>
  <c r="A1085" i="2"/>
  <c r="F1084" i="2"/>
  <c r="E1084" i="2"/>
  <c r="D1084" i="2"/>
  <c r="C1084" i="2"/>
  <c r="B1084" i="2"/>
  <c r="A1084" i="2"/>
  <c r="F1083" i="2"/>
  <c r="E1083" i="2"/>
  <c r="D1083" i="2"/>
  <c r="C1083" i="2"/>
  <c r="B1083" i="2"/>
  <c r="A1083" i="2"/>
  <c r="F1082" i="2"/>
  <c r="E1082" i="2"/>
  <c r="D1082" i="2"/>
  <c r="C1082" i="2"/>
  <c r="B1082" i="2"/>
  <c r="A1082" i="2"/>
  <c r="F1081" i="2"/>
  <c r="E1081" i="2"/>
  <c r="D1081" i="2"/>
  <c r="C1081" i="2"/>
  <c r="B1081" i="2"/>
  <c r="A1081" i="2"/>
  <c r="F1080" i="2"/>
  <c r="E1080" i="2"/>
  <c r="D1080" i="2"/>
  <c r="C1080" i="2"/>
  <c r="B1080" i="2"/>
  <c r="A1080" i="2"/>
  <c r="F1079" i="2"/>
  <c r="E1079" i="2"/>
  <c r="D1079" i="2"/>
  <c r="C1079" i="2"/>
  <c r="B1079" i="2"/>
  <c r="A1079" i="2"/>
  <c r="F1078" i="2"/>
  <c r="E1078" i="2"/>
  <c r="D1078" i="2"/>
  <c r="C1078" i="2"/>
  <c r="B1078" i="2"/>
  <c r="A1078" i="2"/>
  <c r="F1077" i="2"/>
  <c r="E1077" i="2"/>
  <c r="D1077" i="2"/>
  <c r="C1077" i="2"/>
  <c r="B1077" i="2"/>
  <c r="A1077" i="2"/>
  <c r="F1076" i="2"/>
  <c r="E1076" i="2"/>
  <c r="D1076" i="2"/>
  <c r="C1076" i="2"/>
  <c r="B1076" i="2"/>
  <c r="A1076" i="2"/>
  <c r="F1075" i="2"/>
  <c r="E1075" i="2"/>
  <c r="D1075" i="2"/>
  <c r="C1075" i="2"/>
  <c r="B1075" i="2"/>
  <c r="A1075" i="2"/>
  <c r="F1074" i="2"/>
  <c r="E1074" i="2"/>
  <c r="D1074" i="2"/>
  <c r="C1074" i="2"/>
  <c r="B1074" i="2"/>
  <c r="A1074" i="2"/>
  <c r="F1073" i="2"/>
  <c r="E1073" i="2"/>
  <c r="D1073" i="2"/>
  <c r="C1073" i="2"/>
  <c r="B1073" i="2"/>
  <c r="A1073" i="2"/>
  <c r="F1072" i="2"/>
  <c r="E1072" i="2"/>
  <c r="D1072" i="2"/>
  <c r="C1072" i="2"/>
  <c r="B1072" i="2"/>
  <c r="A1072" i="2"/>
  <c r="F1071" i="2"/>
  <c r="E1071" i="2"/>
  <c r="D1071" i="2"/>
  <c r="C1071" i="2"/>
  <c r="B1071" i="2"/>
  <c r="A1071" i="2"/>
  <c r="F1070" i="2"/>
  <c r="E1070" i="2"/>
  <c r="D1070" i="2"/>
  <c r="C1070" i="2"/>
  <c r="B1070" i="2"/>
  <c r="A1070" i="2"/>
  <c r="F1069" i="2"/>
  <c r="E1069" i="2"/>
  <c r="D1069" i="2"/>
  <c r="C1069" i="2"/>
  <c r="B1069" i="2"/>
  <c r="A1069" i="2"/>
  <c r="F1068" i="2"/>
  <c r="E1068" i="2"/>
  <c r="D1068" i="2"/>
  <c r="C1068" i="2"/>
  <c r="B1068" i="2"/>
  <c r="A1068" i="2"/>
  <c r="F1067" i="2"/>
  <c r="E1067" i="2"/>
  <c r="D1067" i="2"/>
  <c r="C1067" i="2"/>
  <c r="B1067" i="2"/>
  <c r="A1067" i="2"/>
  <c r="F1066" i="2"/>
  <c r="E1066" i="2"/>
  <c r="D1066" i="2"/>
  <c r="C1066" i="2"/>
  <c r="B1066" i="2"/>
  <c r="A1066" i="2"/>
  <c r="F1065" i="2"/>
  <c r="E1065" i="2"/>
  <c r="D1065" i="2"/>
  <c r="C1065" i="2"/>
  <c r="B1065" i="2"/>
  <c r="A1065" i="2"/>
  <c r="F1064" i="2"/>
  <c r="E1064" i="2"/>
  <c r="D1064" i="2"/>
  <c r="C1064" i="2"/>
  <c r="B1064" i="2"/>
  <c r="A1064" i="2"/>
  <c r="F1063" i="2"/>
  <c r="E1063" i="2"/>
  <c r="D1063" i="2"/>
  <c r="C1063" i="2"/>
  <c r="B1063" i="2"/>
  <c r="A1063" i="2"/>
  <c r="F1062" i="2"/>
  <c r="E1062" i="2"/>
  <c r="D1062" i="2"/>
  <c r="C1062" i="2"/>
  <c r="B1062" i="2"/>
  <c r="A1062" i="2"/>
  <c r="F1061" i="2"/>
  <c r="E1061" i="2"/>
  <c r="D1061" i="2"/>
  <c r="C1061" i="2"/>
  <c r="B1061" i="2"/>
  <c r="A1061" i="2"/>
  <c r="F1060" i="2"/>
  <c r="E1060" i="2"/>
  <c r="D1060" i="2"/>
  <c r="C1060" i="2"/>
  <c r="B1060" i="2"/>
  <c r="A1060" i="2"/>
  <c r="F1059" i="2"/>
  <c r="E1059" i="2"/>
  <c r="D1059" i="2"/>
  <c r="C1059" i="2"/>
  <c r="B1059" i="2"/>
  <c r="A1059" i="2"/>
  <c r="F1058" i="2"/>
  <c r="E1058" i="2"/>
  <c r="D1058" i="2"/>
  <c r="C1058" i="2"/>
  <c r="B1058" i="2"/>
  <c r="A1058" i="2"/>
  <c r="F1057" i="2"/>
  <c r="E1057" i="2"/>
  <c r="D1057" i="2"/>
  <c r="C1057" i="2"/>
  <c r="B1057" i="2"/>
  <c r="A1057" i="2"/>
  <c r="F1056" i="2"/>
  <c r="E1056" i="2"/>
  <c r="D1056" i="2"/>
  <c r="C1056" i="2"/>
  <c r="B1056" i="2"/>
  <c r="A1056" i="2"/>
  <c r="F1055" i="2"/>
  <c r="E1055" i="2"/>
  <c r="D1055" i="2"/>
  <c r="C1055" i="2"/>
  <c r="B1055" i="2"/>
  <c r="A1055" i="2"/>
  <c r="F1054" i="2"/>
  <c r="E1054" i="2"/>
  <c r="D1054" i="2"/>
  <c r="C1054" i="2"/>
  <c r="B1054" i="2"/>
  <c r="A1054" i="2"/>
  <c r="F1053" i="2"/>
  <c r="E1053" i="2"/>
  <c r="D1053" i="2"/>
  <c r="C1053" i="2"/>
  <c r="B1053" i="2"/>
  <c r="A1053" i="2"/>
  <c r="F1052" i="2"/>
  <c r="E1052" i="2"/>
  <c r="D1052" i="2"/>
  <c r="C1052" i="2"/>
  <c r="B1052" i="2"/>
  <c r="A1052" i="2"/>
  <c r="F1051" i="2"/>
  <c r="E1051" i="2"/>
  <c r="D1051" i="2"/>
  <c r="C1051" i="2"/>
  <c r="B1051" i="2"/>
  <c r="A1051" i="2"/>
  <c r="F1050" i="2"/>
  <c r="E1050" i="2"/>
  <c r="D1050" i="2"/>
  <c r="C1050" i="2"/>
  <c r="B1050" i="2"/>
  <c r="A1050" i="2"/>
  <c r="F1049" i="2"/>
  <c r="E1049" i="2"/>
  <c r="D1049" i="2"/>
  <c r="C1049" i="2"/>
  <c r="B1049" i="2"/>
  <c r="A1049" i="2"/>
  <c r="F1048" i="2"/>
  <c r="E1048" i="2"/>
  <c r="D1048" i="2"/>
  <c r="C1048" i="2"/>
  <c r="B1048" i="2"/>
  <c r="A1048" i="2"/>
  <c r="F1047" i="2"/>
  <c r="E1047" i="2"/>
  <c r="D1047" i="2"/>
  <c r="C1047" i="2"/>
  <c r="B1047" i="2"/>
  <c r="A1047" i="2"/>
  <c r="F1046" i="2"/>
  <c r="E1046" i="2"/>
  <c r="D1046" i="2"/>
  <c r="C1046" i="2"/>
  <c r="B1046" i="2"/>
  <c r="A1046" i="2"/>
  <c r="F1045" i="2"/>
  <c r="E1045" i="2"/>
  <c r="D1045" i="2"/>
  <c r="C1045" i="2"/>
  <c r="B1045" i="2"/>
  <c r="A1045" i="2"/>
  <c r="F1044" i="2"/>
  <c r="E1044" i="2"/>
  <c r="D1044" i="2"/>
  <c r="C1044" i="2"/>
  <c r="B1044" i="2"/>
  <c r="A1044" i="2"/>
  <c r="F1043" i="2"/>
  <c r="E1043" i="2"/>
  <c r="D1043" i="2"/>
  <c r="C1043" i="2"/>
  <c r="B1043" i="2"/>
  <c r="A1043" i="2"/>
  <c r="F1042" i="2"/>
  <c r="E1042" i="2"/>
  <c r="D1042" i="2"/>
  <c r="C1042" i="2"/>
  <c r="B1042" i="2"/>
  <c r="A1042" i="2"/>
  <c r="F1041" i="2"/>
  <c r="E1041" i="2"/>
  <c r="D1041" i="2"/>
  <c r="C1041" i="2"/>
  <c r="B1041" i="2"/>
  <c r="A1041" i="2"/>
  <c r="F1040" i="2"/>
  <c r="E1040" i="2"/>
  <c r="D1040" i="2"/>
  <c r="C1040" i="2"/>
  <c r="B1040" i="2"/>
  <c r="A1040" i="2"/>
  <c r="F1039" i="2"/>
  <c r="E1039" i="2"/>
  <c r="D1039" i="2"/>
  <c r="C1039" i="2"/>
  <c r="B1039" i="2"/>
  <c r="A1039" i="2"/>
  <c r="F1038" i="2"/>
  <c r="E1038" i="2"/>
  <c r="D1038" i="2"/>
  <c r="C1038" i="2"/>
  <c r="B1038" i="2"/>
  <c r="A1038" i="2"/>
  <c r="F1037" i="2"/>
  <c r="E1037" i="2"/>
  <c r="D1037" i="2"/>
  <c r="C1037" i="2"/>
  <c r="B1037" i="2"/>
  <c r="A1037" i="2"/>
  <c r="F1036" i="2"/>
  <c r="E1036" i="2"/>
  <c r="D1036" i="2"/>
  <c r="C1036" i="2"/>
  <c r="B1036" i="2"/>
  <c r="A1036" i="2"/>
  <c r="F1035" i="2"/>
  <c r="E1035" i="2"/>
  <c r="D1035" i="2"/>
  <c r="C1035" i="2"/>
  <c r="B1035" i="2"/>
  <c r="A1035" i="2"/>
  <c r="F1034" i="2"/>
  <c r="E1034" i="2"/>
  <c r="D1034" i="2"/>
  <c r="C1034" i="2"/>
  <c r="B1034" i="2"/>
  <c r="A1034" i="2"/>
  <c r="F1033" i="2"/>
  <c r="E1033" i="2"/>
  <c r="D1033" i="2"/>
  <c r="C1033" i="2"/>
  <c r="B1033" i="2"/>
  <c r="A1033" i="2"/>
  <c r="F1032" i="2"/>
  <c r="E1032" i="2"/>
  <c r="D1032" i="2"/>
  <c r="C1032" i="2"/>
  <c r="B1032" i="2"/>
  <c r="A1032" i="2"/>
  <c r="F1031" i="2"/>
  <c r="E1031" i="2"/>
  <c r="D1031" i="2"/>
  <c r="C1031" i="2"/>
  <c r="B1031" i="2"/>
  <c r="A1031" i="2"/>
  <c r="F1030" i="2"/>
  <c r="E1030" i="2"/>
  <c r="D1030" i="2"/>
  <c r="C1030" i="2"/>
  <c r="B1030" i="2"/>
  <c r="A1030" i="2"/>
  <c r="F1029" i="2"/>
  <c r="E1029" i="2"/>
  <c r="D1029" i="2"/>
  <c r="C1029" i="2"/>
  <c r="B1029" i="2"/>
  <c r="A1029" i="2"/>
  <c r="F1028" i="2"/>
  <c r="E1028" i="2"/>
  <c r="D1028" i="2"/>
  <c r="C1028" i="2"/>
  <c r="B1028" i="2"/>
  <c r="A1028" i="2"/>
  <c r="F1027" i="2"/>
  <c r="E1027" i="2"/>
  <c r="D1027" i="2"/>
  <c r="C1027" i="2"/>
  <c r="B1027" i="2"/>
  <c r="A1027" i="2"/>
  <c r="F1026" i="2"/>
  <c r="E1026" i="2"/>
  <c r="D1026" i="2"/>
  <c r="C1026" i="2"/>
  <c r="B1026" i="2"/>
  <c r="A1026" i="2"/>
  <c r="F1025" i="2"/>
  <c r="E1025" i="2"/>
  <c r="D1025" i="2"/>
  <c r="C1025" i="2"/>
  <c r="B1025" i="2"/>
  <c r="A1025" i="2"/>
  <c r="F1024" i="2"/>
  <c r="E1024" i="2"/>
  <c r="D1024" i="2"/>
  <c r="C1024" i="2"/>
  <c r="B1024" i="2"/>
  <c r="A1024" i="2"/>
  <c r="F1023" i="2"/>
  <c r="E1023" i="2"/>
  <c r="D1023" i="2"/>
  <c r="C1023" i="2"/>
  <c r="B1023" i="2"/>
  <c r="A1023" i="2"/>
  <c r="F1022" i="2"/>
  <c r="E1022" i="2"/>
  <c r="D1022" i="2"/>
  <c r="C1022" i="2"/>
  <c r="B1022" i="2"/>
  <c r="A1022" i="2"/>
  <c r="F1021" i="2"/>
  <c r="E1021" i="2"/>
  <c r="D1021" i="2"/>
  <c r="C1021" i="2"/>
  <c r="B1021" i="2"/>
  <c r="A1021" i="2"/>
  <c r="F1020" i="2"/>
  <c r="E1020" i="2"/>
  <c r="D1020" i="2"/>
  <c r="C1020" i="2"/>
  <c r="B1020" i="2"/>
  <c r="A1020" i="2"/>
  <c r="F1019" i="2"/>
  <c r="E1019" i="2"/>
  <c r="D1019" i="2"/>
  <c r="C1019" i="2"/>
  <c r="B1019" i="2"/>
  <c r="A1019" i="2"/>
  <c r="F1018" i="2"/>
  <c r="E1018" i="2"/>
  <c r="D1018" i="2"/>
  <c r="C1018" i="2"/>
  <c r="B1018" i="2"/>
  <c r="A1018" i="2"/>
  <c r="F1017" i="2"/>
  <c r="E1017" i="2"/>
  <c r="D1017" i="2"/>
  <c r="C1017" i="2"/>
  <c r="B1017" i="2"/>
  <c r="A1017" i="2"/>
  <c r="F1016" i="2"/>
  <c r="E1016" i="2"/>
  <c r="D1016" i="2"/>
  <c r="C1016" i="2"/>
  <c r="B1016" i="2"/>
  <c r="A1016" i="2"/>
  <c r="F1015" i="2"/>
  <c r="E1015" i="2"/>
  <c r="D1015" i="2"/>
  <c r="C1015" i="2"/>
  <c r="B1015" i="2"/>
  <c r="A1015" i="2"/>
  <c r="F1014" i="2"/>
  <c r="E1014" i="2"/>
  <c r="D1014" i="2"/>
  <c r="C1014" i="2"/>
  <c r="B1014" i="2"/>
  <c r="A1014" i="2"/>
  <c r="F1013" i="2"/>
  <c r="E1013" i="2"/>
  <c r="D1013" i="2"/>
  <c r="C1013" i="2"/>
  <c r="B1013" i="2"/>
  <c r="A1013" i="2"/>
  <c r="F1012" i="2"/>
  <c r="E1012" i="2"/>
  <c r="D1012" i="2"/>
  <c r="C1012" i="2"/>
  <c r="B1012" i="2"/>
  <c r="A1012" i="2"/>
  <c r="F1011" i="2"/>
  <c r="E1011" i="2"/>
  <c r="D1011" i="2"/>
  <c r="C1011" i="2"/>
  <c r="B1011" i="2"/>
  <c r="A1011" i="2"/>
  <c r="F1010" i="2"/>
  <c r="E1010" i="2"/>
  <c r="D1010" i="2"/>
  <c r="C1010" i="2"/>
  <c r="B1010" i="2"/>
  <c r="A1010" i="2"/>
  <c r="F1009" i="2"/>
  <c r="E1009" i="2"/>
  <c r="D1009" i="2"/>
  <c r="C1009" i="2"/>
  <c r="B1009" i="2"/>
  <c r="A1009" i="2"/>
  <c r="F1008" i="2"/>
  <c r="E1008" i="2"/>
  <c r="D1008" i="2"/>
  <c r="C1008" i="2"/>
  <c r="B1008" i="2"/>
  <c r="A1008" i="2"/>
  <c r="F1007" i="2"/>
  <c r="E1007" i="2"/>
  <c r="D1007" i="2"/>
  <c r="C1007" i="2"/>
  <c r="B1007" i="2"/>
  <c r="A1007" i="2"/>
  <c r="F1006" i="2"/>
  <c r="E1006" i="2"/>
  <c r="D1006" i="2"/>
  <c r="C1006" i="2"/>
  <c r="B1006" i="2"/>
  <c r="A1006" i="2"/>
  <c r="F1005" i="2"/>
  <c r="E1005" i="2"/>
  <c r="D1005" i="2"/>
  <c r="C1005" i="2"/>
  <c r="B1005" i="2"/>
  <c r="A1005" i="2"/>
  <c r="F1004" i="2"/>
  <c r="E1004" i="2"/>
  <c r="D1004" i="2"/>
  <c r="C1004" i="2"/>
  <c r="B1004" i="2"/>
  <c r="A1004" i="2"/>
  <c r="F1003" i="2"/>
  <c r="E1003" i="2"/>
  <c r="D1003" i="2"/>
  <c r="C1003" i="2"/>
  <c r="B1003" i="2"/>
  <c r="A1003" i="2"/>
  <c r="F1002" i="2"/>
  <c r="E1002" i="2"/>
  <c r="D1002" i="2"/>
  <c r="C1002" i="2"/>
  <c r="B1002" i="2"/>
  <c r="A1002" i="2"/>
  <c r="F1001" i="2"/>
  <c r="E1001" i="2"/>
  <c r="D1001" i="2"/>
  <c r="C1001" i="2"/>
  <c r="B1001" i="2"/>
  <c r="A1001" i="2"/>
  <c r="F1000" i="2"/>
  <c r="E1000" i="2"/>
  <c r="D1000" i="2"/>
  <c r="C1000" i="2"/>
  <c r="B1000" i="2"/>
  <c r="A1000" i="2"/>
  <c r="F999" i="2"/>
  <c r="E999" i="2"/>
  <c r="D999" i="2"/>
  <c r="C999" i="2"/>
  <c r="B999" i="2"/>
  <c r="A999" i="2"/>
  <c r="F998" i="2"/>
  <c r="E998" i="2"/>
  <c r="D998" i="2"/>
  <c r="C998" i="2"/>
  <c r="B998" i="2"/>
  <c r="A998" i="2"/>
  <c r="F997" i="2"/>
  <c r="E997" i="2"/>
  <c r="D997" i="2"/>
  <c r="C997" i="2"/>
  <c r="B997" i="2"/>
  <c r="A997" i="2"/>
  <c r="F996" i="2"/>
  <c r="E996" i="2"/>
  <c r="D996" i="2"/>
  <c r="C996" i="2"/>
  <c r="B996" i="2"/>
  <c r="A996" i="2"/>
  <c r="F995" i="2"/>
  <c r="E995" i="2"/>
  <c r="D995" i="2"/>
  <c r="C995" i="2"/>
  <c r="B995" i="2"/>
  <c r="A995" i="2"/>
  <c r="F994" i="2"/>
  <c r="E994" i="2"/>
  <c r="D994" i="2"/>
  <c r="C994" i="2"/>
  <c r="B994" i="2"/>
  <c r="A994" i="2"/>
  <c r="F993" i="2"/>
  <c r="E993" i="2"/>
  <c r="D993" i="2"/>
  <c r="C993" i="2"/>
  <c r="B993" i="2"/>
  <c r="A993" i="2"/>
  <c r="F992" i="2"/>
  <c r="E992" i="2"/>
  <c r="D992" i="2"/>
  <c r="C992" i="2"/>
  <c r="B992" i="2"/>
  <c r="A992" i="2"/>
  <c r="F991" i="2"/>
  <c r="E991" i="2"/>
  <c r="D991" i="2"/>
  <c r="C991" i="2"/>
  <c r="B991" i="2"/>
  <c r="A991" i="2"/>
  <c r="F990" i="2"/>
  <c r="E990" i="2"/>
  <c r="D990" i="2"/>
  <c r="C990" i="2"/>
  <c r="B990" i="2"/>
  <c r="A990" i="2"/>
  <c r="F989" i="2"/>
  <c r="E989" i="2"/>
  <c r="D989" i="2"/>
  <c r="C989" i="2"/>
  <c r="B989" i="2"/>
  <c r="A989" i="2"/>
  <c r="F988" i="2"/>
  <c r="E988" i="2"/>
  <c r="D988" i="2"/>
  <c r="C988" i="2"/>
  <c r="B988" i="2"/>
  <c r="A988" i="2"/>
  <c r="F987" i="2"/>
  <c r="E987" i="2"/>
  <c r="D987" i="2"/>
  <c r="C987" i="2"/>
  <c r="B987" i="2"/>
  <c r="A987" i="2"/>
  <c r="F986" i="2"/>
  <c r="E986" i="2"/>
  <c r="D986" i="2"/>
  <c r="C986" i="2"/>
  <c r="B986" i="2"/>
  <c r="A986" i="2"/>
  <c r="F985" i="2"/>
  <c r="E985" i="2"/>
  <c r="D985" i="2"/>
  <c r="C985" i="2"/>
  <c r="B985" i="2"/>
  <c r="A985" i="2"/>
  <c r="F984" i="2"/>
  <c r="E984" i="2"/>
  <c r="D984" i="2"/>
  <c r="C984" i="2"/>
  <c r="B984" i="2"/>
  <c r="A984" i="2"/>
  <c r="F983" i="2"/>
  <c r="E983" i="2"/>
  <c r="D983" i="2"/>
  <c r="C983" i="2"/>
  <c r="B983" i="2"/>
  <c r="A983" i="2"/>
  <c r="F982" i="2"/>
  <c r="E982" i="2"/>
  <c r="D982" i="2"/>
  <c r="C982" i="2"/>
  <c r="B982" i="2"/>
  <c r="A982" i="2"/>
  <c r="F981" i="2"/>
  <c r="E981" i="2"/>
  <c r="D981" i="2"/>
  <c r="C981" i="2"/>
  <c r="B981" i="2"/>
  <c r="A981" i="2"/>
  <c r="F980" i="2"/>
  <c r="E980" i="2"/>
  <c r="D980" i="2"/>
  <c r="C980" i="2"/>
  <c r="B980" i="2"/>
  <c r="A980" i="2"/>
  <c r="F979" i="2"/>
  <c r="E979" i="2"/>
  <c r="D979" i="2"/>
  <c r="C979" i="2"/>
  <c r="B979" i="2"/>
  <c r="A979" i="2"/>
  <c r="F978" i="2"/>
  <c r="E978" i="2"/>
  <c r="D978" i="2"/>
  <c r="C978" i="2"/>
  <c r="B978" i="2"/>
  <c r="A978" i="2"/>
  <c r="F977" i="2"/>
  <c r="E977" i="2"/>
  <c r="D977" i="2"/>
  <c r="C977" i="2"/>
  <c r="B977" i="2"/>
  <c r="A977" i="2"/>
  <c r="F976" i="2"/>
  <c r="E976" i="2"/>
  <c r="D976" i="2"/>
  <c r="C976" i="2"/>
  <c r="B976" i="2"/>
  <c r="A976" i="2"/>
  <c r="F975" i="2"/>
  <c r="E975" i="2"/>
  <c r="D975" i="2"/>
  <c r="C975" i="2"/>
  <c r="B975" i="2"/>
  <c r="A975" i="2"/>
  <c r="F974" i="2"/>
  <c r="E974" i="2"/>
  <c r="D974" i="2"/>
  <c r="C974" i="2"/>
  <c r="B974" i="2"/>
  <c r="A974" i="2"/>
  <c r="F973" i="2"/>
  <c r="E973" i="2"/>
  <c r="D973" i="2"/>
  <c r="C973" i="2"/>
  <c r="B973" i="2"/>
  <c r="A973" i="2"/>
  <c r="F972" i="2"/>
  <c r="E972" i="2"/>
  <c r="D972" i="2"/>
  <c r="C972" i="2"/>
  <c r="B972" i="2"/>
  <c r="A972" i="2"/>
  <c r="F971" i="2"/>
  <c r="E971" i="2"/>
  <c r="D971" i="2"/>
  <c r="C971" i="2"/>
  <c r="B971" i="2"/>
  <c r="A971" i="2"/>
  <c r="F970" i="2"/>
  <c r="E970" i="2"/>
  <c r="D970" i="2"/>
  <c r="C970" i="2"/>
  <c r="B970" i="2"/>
  <c r="A970" i="2"/>
  <c r="F969" i="2"/>
  <c r="E969" i="2"/>
  <c r="D969" i="2"/>
  <c r="C969" i="2"/>
  <c r="B969" i="2"/>
  <c r="A969" i="2"/>
  <c r="F968" i="2"/>
  <c r="E968" i="2"/>
  <c r="D968" i="2"/>
  <c r="C968" i="2"/>
  <c r="B968" i="2"/>
  <c r="A968" i="2"/>
  <c r="F967" i="2"/>
  <c r="E967" i="2"/>
  <c r="D967" i="2"/>
  <c r="C967" i="2"/>
  <c r="B967" i="2"/>
  <c r="A967" i="2"/>
  <c r="F966" i="2"/>
  <c r="E966" i="2"/>
  <c r="D966" i="2"/>
  <c r="C966" i="2"/>
  <c r="B966" i="2"/>
  <c r="A966" i="2"/>
  <c r="F965" i="2"/>
  <c r="E965" i="2"/>
  <c r="D965" i="2"/>
  <c r="C965" i="2"/>
  <c r="B965" i="2"/>
  <c r="A965" i="2"/>
  <c r="F964" i="2"/>
  <c r="E964" i="2"/>
  <c r="D964" i="2"/>
  <c r="C964" i="2"/>
  <c r="B964" i="2"/>
  <c r="A964" i="2"/>
  <c r="F963" i="2"/>
  <c r="E963" i="2"/>
  <c r="D963" i="2"/>
  <c r="C963" i="2"/>
  <c r="B963" i="2"/>
  <c r="A963" i="2"/>
  <c r="F962" i="2"/>
  <c r="E962" i="2"/>
  <c r="D962" i="2"/>
  <c r="C962" i="2"/>
  <c r="B962" i="2"/>
  <c r="A962" i="2"/>
  <c r="F961" i="2"/>
  <c r="E961" i="2"/>
  <c r="D961" i="2"/>
  <c r="C961" i="2"/>
  <c r="B961" i="2"/>
  <c r="A961" i="2"/>
  <c r="F960" i="2"/>
  <c r="E960" i="2"/>
  <c r="D960" i="2"/>
  <c r="C960" i="2"/>
  <c r="B960" i="2"/>
  <c r="A960" i="2"/>
  <c r="F959" i="2"/>
  <c r="E959" i="2"/>
  <c r="D959" i="2"/>
  <c r="C959" i="2"/>
  <c r="B959" i="2"/>
  <c r="A959" i="2"/>
  <c r="F958" i="2"/>
  <c r="E958" i="2"/>
  <c r="D958" i="2"/>
  <c r="C958" i="2"/>
  <c r="B958" i="2"/>
  <c r="A958" i="2"/>
  <c r="F957" i="2"/>
  <c r="E957" i="2"/>
  <c r="D957" i="2"/>
  <c r="C957" i="2"/>
  <c r="B957" i="2"/>
  <c r="A957" i="2"/>
  <c r="F956" i="2"/>
  <c r="E956" i="2"/>
  <c r="D956" i="2"/>
  <c r="C956" i="2"/>
  <c r="B956" i="2"/>
  <c r="A956" i="2"/>
  <c r="F955" i="2"/>
  <c r="E955" i="2"/>
  <c r="D955" i="2"/>
  <c r="C955" i="2"/>
  <c r="B955" i="2"/>
  <c r="A955" i="2"/>
  <c r="F954" i="2"/>
  <c r="E954" i="2"/>
  <c r="D954" i="2"/>
  <c r="C954" i="2"/>
  <c r="B954" i="2"/>
  <c r="A954" i="2"/>
  <c r="F953" i="2"/>
  <c r="E953" i="2"/>
  <c r="D953" i="2"/>
  <c r="C953" i="2"/>
  <c r="B953" i="2"/>
  <c r="A953" i="2"/>
  <c r="F952" i="2"/>
  <c r="E952" i="2"/>
  <c r="D952" i="2"/>
  <c r="C952" i="2"/>
  <c r="B952" i="2"/>
  <c r="A952" i="2"/>
  <c r="F951" i="2"/>
  <c r="E951" i="2"/>
  <c r="D951" i="2"/>
  <c r="C951" i="2"/>
  <c r="B951" i="2"/>
  <c r="A951" i="2"/>
  <c r="F950" i="2"/>
  <c r="E950" i="2"/>
  <c r="D950" i="2"/>
  <c r="C950" i="2"/>
  <c r="B950" i="2"/>
  <c r="A950" i="2"/>
  <c r="F949" i="2"/>
  <c r="E949" i="2"/>
  <c r="D949" i="2"/>
  <c r="C949" i="2"/>
  <c r="B949" i="2"/>
  <c r="A949" i="2"/>
  <c r="F948" i="2"/>
  <c r="E948" i="2"/>
  <c r="D948" i="2"/>
  <c r="C948" i="2"/>
  <c r="B948" i="2"/>
  <c r="A948" i="2"/>
  <c r="F947" i="2"/>
  <c r="E947" i="2"/>
  <c r="D947" i="2"/>
  <c r="C947" i="2"/>
  <c r="B947" i="2"/>
  <c r="A947" i="2"/>
  <c r="F946" i="2"/>
  <c r="E946" i="2"/>
  <c r="D946" i="2"/>
  <c r="C946" i="2"/>
  <c r="B946" i="2"/>
  <c r="A946" i="2"/>
  <c r="F945" i="2"/>
  <c r="E945" i="2"/>
  <c r="D945" i="2"/>
  <c r="C945" i="2"/>
  <c r="B945" i="2"/>
  <c r="A945" i="2"/>
  <c r="F944" i="2"/>
  <c r="E944" i="2"/>
  <c r="D944" i="2"/>
  <c r="C944" i="2"/>
  <c r="B944" i="2"/>
  <c r="A944" i="2"/>
  <c r="F943" i="2"/>
  <c r="E943" i="2"/>
  <c r="D943" i="2"/>
  <c r="C943" i="2"/>
  <c r="B943" i="2"/>
  <c r="A943" i="2"/>
  <c r="F942" i="2"/>
  <c r="E942" i="2"/>
  <c r="D942" i="2"/>
  <c r="C942" i="2"/>
  <c r="B942" i="2"/>
  <c r="A942" i="2"/>
  <c r="F941" i="2"/>
  <c r="E941" i="2"/>
  <c r="D941" i="2"/>
  <c r="C941" i="2"/>
  <c r="B941" i="2"/>
  <c r="A941" i="2"/>
  <c r="F940" i="2"/>
  <c r="E940" i="2"/>
  <c r="D940" i="2"/>
  <c r="C940" i="2"/>
  <c r="B940" i="2"/>
  <c r="A940" i="2"/>
  <c r="F939" i="2"/>
  <c r="E939" i="2"/>
  <c r="D939" i="2"/>
  <c r="C939" i="2"/>
  <c r="B939" i="2"/>
  <c r="A939" i="2"/>
  <c r="F938" i="2"/>
  <c r="E938" i="2"/>
  <c r="D938" i="2"/>
  <c r="C938" i="2"/>
  <c r="B938" i="2"/>
  <c r="A938" i="2"/>
  <c r="F937" i="2"/>
  <c r="E937" i="2"/>
  <c r="D937" i="2"/>
  <c r="C937" i="2"/>
  <c r="B937" i="2"/>
  <c r="A937" i="2"/>
  <c r="F936" i="2"/>
  <c r="E936" i="2"/>
  <c r="D936" i="2"/>
  <c r="C936" i="2"/>
  <c r="B936" i="2"/>
  <c r="A936" i="2"/>
  <c r="F935" i="2"/>
  <c r="E935" i="2"/>
  <c r="D935" i="2"/>
  <c r="C935" i="2"/>
  <c r="B935" i="2"/>
  <c r="A935" i="2"/>
  <c r="F934" i="2"/>
  <c r="E934" i="2"/>
  <c r="D934" i="2"/>
  <c r="C934" i="2"/>
  <c r="B934" i="2"/>
  <c r="A934" i="2"/>
  <c r="F933" i="2"/>
  <c r="E933" i="2"/>
  <c r="D933" i="2"/>
  <c r="C933" i="2"/>
  <c r="B933" i="2"/>
  <c r="A933" i="2"/>
  <c r="F932" i="2"/>
  <c r="E932" i="2"/>
  <c r="D932" i="2"/>
  <c r="C932" i="2"/>
  <c r="B932" i="2"/>
  <c r="A932" i="2"/>
  <c r="F931" i="2"/>
  <c r="E931" i="2"/>
  <c r="D931" i="2"/>
  <c r="C931" i="2"/>
  <c r="B931" i="2"/>
  <c r="A931" i="2"/>
  <c r="F930" i="2"/>
  <c r="E930" i="2"/>
  <c r="D930" i="2"/>
  <c r="C930" i="2"/>
  <c r="B930" i="2"/>
  <c r="A930" i="2"/>
  <c r="F929" i="2"/>
  <c r="E929" i="2"/>
  <c r="D929" i="2"/>
  <c r="C929" i="2"/>
  <c r="B929" i="2"/>
  <c r="A929" i="2"/>
  <c r="F928" i="2"/>
  <c r="E928" i="2"/>
  <c r="D928" i="2"/>
  <c r="C928" i="2"/>
  <c r="B928" i="2"/>
  <c r="A928" i="2"/>
  <c r="F927" i="2"/>
  <c r="E927" i="2"/>
  <c r="D927" i="2"/>
  <c r="C927" i="2"/>
  <c r="B927" i="2"/>
  <c r="A927" i="2"/>
  <c r="F926" i="2"/>
  <c r="E926" i="2"/>
  <c r="D926" i="2"/>
  <c r="C926" i="2"/>
  <c r="B926" i="2"/>
  <c r="A926" i="2"/>
  <c r="F925" i="2"/>
  <c r="E925" i="2"/>
  <c r="D925" i="2"/>
  <c r="C925" i="2"/>
  <c r="B925" i="2"/>
  <c r="A925" i="2"/>
  <c r="F924" i="2"/>
  <c r="E924" i="2"/>
  <c r="D924" i="2"/>
  <c r="C924" i="2"/>
  <c r="B924" i="2"/>
  <c r="A924" i="2"/>
  <c r="F923" i="2"/>
  <c r="E923" i="2"/>
  <c r="D923" i="2"/>
  <c r="C923" i="2"/>
  <c r="B923" i="2"/>
  <c r="A923" i="2"/>
  <c r="F922" i="2"/>
  <c r="E922" i="2"/>
  <c r="D922" i="2"/>
  <c r="C922" i="2"/>
  <c r="B922" i="2"/>
  <c r="A922" i="2"/>
  <c r="F921" i="2"/>
  <c r="E921" i="2"/>
  <c r="D921" i="2"/>
  <c r="C921" i="2"/>
  <c r="B921" i="2"/>
  <c r="A921" i="2"/>
  <c r="F920" i="2"/>
  <c r="E920" i="2"/>
  <c r="D920" i="2"/>
  <c r="C920" i="2"/>
  <c r="B920" i="2"/>
  <c r="A920" i="2"/>
  <c r="F919" i="2"/>
  <c r="E919" i="2"/>
  <c r="D919" i="2"/>
  <c r="C919" i="2"/>
  <c r="B919" i="2"/>
  <c r="A919" i="2"/>
  <c r="F918" i="2"/>
  <c r="E918" i="2"/>
  <c r="D918" i="2"/>
  <c r="C918" i="2"/>
  <c r="B918" i="2"/>
  <c r="A918" i="2"/>
  <c r="F917" i="2"/>
  <c r="E917" i="2"/>
  <c r="D917" i="2"/>
  <c r="C917" i="2"/>
  <c r="B917" i="2"/>
  <c r="A917" i="2"/>
  <c r="F916" i="2"/>
  <c r="E916" i="2"/>
  <c r="D916" i="2"/>
  <c r="C916" i="2"/>
  <c r="B916" i="2"/>
  <c r="A916" i="2"/>
  <c r="F915" i="2"/>
  <c r="E915" i="2"/>
  <c r="D915" i="2"/>
  <c r="C915" i="2"/>
  <c r="B915" i="2"/>
  <c r="A915" i="2"/>
  <c r="F914" i="2"/>
  <c r="E914" i="2"/>
  <c r="D914" i="2"/>
  <c r="C914" i="2"/>
  <c r="B914" i="2"/>
  <c r="A914" i="2"/>
  <c r="F913" i="2"/>
  <c r="E913" i="2"/>
  <c r="D913" i="2"/>
  <c r="C913" i="2"/>
  <c r="B913" i="2"/>
  <c r="A913" i="2"/>
  <c r="F912" i="2"/>
  <c r="E912" i="2"/>
  <c r="D912" i="2"/>
  <c r="C912" i="2"/>
  <c r="B912" i="2"/>
  <c r="A912" i="2"/>
  <c r="F911" i="2"/>
  <c r="E911" i="2"/>
  <c r="D911" i="2"/>
  <c r="C911" i="2"/>
  <c r="B911" i="2"/>
  <c r="A911" i="2"/>
  <c r="F910" i="2"/>
  <c r="E910" i="2"/>
  <c r="D910" i="2"/>
  <c r="C910" i="2"/>
  <c r="B910" i="2"/>
  <c r="A910" i="2"/>
  <c r="F909" i="2"/>
  <c r="E909" i="2"/>
  <c r="D909" i="2"/>
  <c r="C909" i="2"/>
  <c r="B909" i="2"/>
  <c r="A909" i="2"/>
  <c r="F908" i="2"/>
  <c r="E908" i="2"/>
  <c r="D908" i="2"/>
  <c r="C908" i="2"/>
  <c r="B908" i="2"/>
  <c r="A908" i="2"/>
  <c r="F907" i="2"/>
  <c r="E907" i="2"/>
  <c r="D907" i="2"/>
  <c r="C907" i="2"/>
  <c r="B907" i="2"/>
  <c r="A907" i="2"/>
  <c r="F906" i="2"/>
  <c r="E906" i="2"/>
  <c r="D906" i="2"/>
  <c r="C906" i="2"/>
  <c r="B906" i="2"/>
  <c r="A906" i="2"/>
  <c r="F905" i="2"/>
  <c r="E905" i="2"/>
  <c r="D905" i="2"/>
  <c r="C905" i="2"/>
  <c r="B905" i="2"/>
  <c r="A905" i="2"/>
  <c r="F904" i="2"/>
  <c r="E904" i="2"/>
  <c r="D904" i="2"/>
  <c r="C904" i="2"/>
  <c r="B904" i="2"/>
  <c r="A904" i="2"/>
  <c r="F903" i="2"/>
  <c r="E903" i="2"/>
  <c r="D903" i="2"/>
  <c r="C903" i="2"/>
  <c r="B903" i="2"/>
  <c r="A903" i="2"/>
  <c r="F902" i="2"/>
  <c r="E902" i="2"/>
  <c r="D902" i="2"/>
  <c r="C902" i="2"/>
  <c r="B902" i="2"/>
  <c r="A902" i="2"/>
  <c r="F901" i="2"/>
  <c r="E901" i="2"/>
  <c r="D901" i="2"/>
  <c r="C901" i="2"/>
  <c r="B901" i="2"/>
  <c r="A901" i="2"/>
  <c r="F900" i="2"/>
  <c r="E900" i="2"/>
  <c r="D900" i="2"/>
  <c r="C900" i="2"/>
  <c r="B900" i="2"/>
  <c r="A900" i="2"/>
  <c r="F899" i="2"/>
  <c r="E899" i="2"/>
  <c r="D899" i="2"/>
  <c r="C899" i="2"/>
  <c r="B899" i="2"/>
  <c r="A899" i="2"/>
  <c r="F898" i="2"/>
  <c r="E898" i="2"/>
  <c r="D898" i="2"/>
  <c r="C898" i="2"/>
  <c r="B898" i="2"/>
  <c r="A898" i="2"/>
  <c r="F897" i="2"/>
  <c r="E897" i="2"/>
  <c r="D897" i="2"/>
  <c r="C897" i="2"/>
  <c r="B897" i="2"/>
  <c r="A897" i="2"/>
  <c r="F896" i="2"/>
  <c r="E896" i="2"/>
  <c r="D896" i="2"/>
  <c r="C896" i="2"/>
  <c r="B896" i="2"/>
  <c r="A896" i="2"/>
  <c r="F895" i="2"/>
  <c r="E895" i="2"/>
  <c r="D895" i="2"/>
  <c r="C895" i="2"/>
  <c r="B895" i="2"/>
  <c r="A895" i="2"/>
  <c r="F894" i="2"/>
  <c r="E894" i="2"/>
  <c r="D894" i="2"/>
  <c r="C894" i="2"/>
  <c r="B894" i="2"/>
  <c r="A894" i="2"/>
  <c r="F893" i="2"/>
  <c r="E893" i="2"/>
  <c r="D893" i="2"/>
  <c r="C893" i="2"/>
  <c r="B893" i="2"/>
  <c r="A893" i="2"/>
  <c r="F892" i="2"/>
  <c r="E892" i="2"/>
  <c r="D892" i="2"/>
  <c r="C892" i="2"/>
  <c r="B892" i="2"/>
  <c r="A892" i="2"/>
  <c r="F891" i="2"/>
  <c r="E891" i="2"/>
  <c r="D891" i="2"/>
  <c r="C891" i="2"/>
  <c r="B891" i="2"/>
  <c r="A891" i="2"/>
  <c r="F890" i="2"/>
  <c r="E890" i="2"/>
  <c r="D890" i="2"/>
  <c r="C890" i="2"/>
  <c r="B890" i="2"/>
  <c r="A890" i="2"/>
  <c r="F889" i="2"/>
  <c r="E889" i="2"/>
  <c r="D889" i="2"/>
  <c r="C889" i="2"/>
  <c r="B889" i="2"/>
  <c r="A889" i="2"/>
  <c r="F888" i="2"/>
  <c r="E888" i="2"/>
  <c r="D888" i="2"/>
  <c r="C888" i="2"/>
  <c r="B888" i="2"/>
  <c r="A888" i="2"/>
  <c r="F887" i="2"/>
  <c r="E887" i="2"/>
  <c r="D887" i="2"/>
  <c r="C887" i="2"/>
  <c r="B887" i="2"/>
  <c r="A887" i="2"/>
  <c r="F886" i="2"/>
  <c r="E886" i="2"/>
  <c r="D886" i="2"/>
  <c r="C886" i="2"/>
  <c r="B886" i="2"/>
  <c r="A886" i="2"/>
  <c r="F885" i="2"/>
  <c r="E885" i="2"/>
  <c r="D885" i="2"/>
  <c r="C885" i="2"/>
  <c r="B885" i="2"/>
  <c r="A885" i="2"/>
  <c r="F884" i="2"/>
  <c r="E884" i="2"/>
  <c r="D884" i="2"/>
  <c r="C884" i="2"/>
  <c r="B884" i="2"/>
  <c r="A884" i="2"/>
  <c r="F883" i="2"/>
  <c r="E883" i="2"/>
  <c r="D883" i="2"/>
  <c r="C883" i="2"/>
  <c r="B883" i="2"/>
  <c r="A883" i="2"/>
  <c r="F882" i="2"/>
  <c r="E882" i="2"/>
  <c r="D882" i="2"/>
  <c r="C882" i="2"/>
  <c r="B882" i="2"/>
  <c r="A882" i="2"/>
  <c r="F881" i="2"/>
  <c r="E881" i="2"/>
  <c r="D881" i="2"/>
  <c r="C881" i="2"/>
  <c r="B881" i="2"/>
  <c r="A881" i="2"/>
  <c r="F880" i="2"/>
  <c r="E880" i="2"/>
  <c r="D880" i="2"/>
  <c r="C880" i="2"/>
  <c r="B880" i="2"/>
  <c r="A880" i="2"/>
  <c r="F879" i="2"/>
  <c r="E879" i="2"/>
  <c r="D879" i="2"/>
  <c r="C879" i="2"/>
  <c r="B879" i="2"/>
  <c r="A879" i="2"/>
  <c r="F878" i="2"/>
  <c r="E878" i="2"/>
  <c r="D878" i="2"/>
  <c r="C878" i="2"/>
  <c r="B878" i="2"/>
  <c r="A878" i="2"/>
  <c r="F877" i="2"/>
  <c r="E877" i="2"/>
  <c r="D877" i="2"/>
  <c r="C877" i="2"/>
  <c r="B877" i="2"/>
  <c r="A877" i="2"/>
  <c r="F876" i="2"/>
  <c r="E876" i="2"/>
  <c r="D876" i="2"/>
  <c r="C876" i="2"/>
  <c r="B876" i="2"/>
  <c r="A876" i="2"/>
  <c r="F875" i="2"/>
  <c r="E875" i="2"/>
  <c r="D875" i="2"/>
  <c r="C875" i="2"/>
  <c r="B875" i="2"/>
  <c r="A875" i="2"/>
  <c r="F874" i="2"/>
  <c r="E874" i="2"/>
  <c r="D874" i="2"/>
  <c r="C874" i="2"/>
  <c r="B874" i="2"/>
  <c r="A874" i="2"/>
  <c r="F873" i="2"/>
  <c r="E873" i="2"/>
  <c r="D873" i="2"/>
  <c r="C873" i="2"/>
  <c r="B873" i="2"/>
  <c r="A873" i="2"/>
  <c r="F872" i="2"/>
  <c r="E872" i="2"/>
  <c r="D872" i="2"/>
  <c r="C872" i="2"/>
  <c r="B872" i="2"/>
  <c r="A872" i="2"/>
  <c r="F871" i="2"/>
  <c r="E871" i="2"/>
  <c r="D871" i="2"/>
  <c r="C871" i="2"/>
  <c r="B871" i="2"/>
  <c r="A871" i="2"/>
  <c r="F870" i="2"/>
  <c r="E870" i="2"/>
  <c r="D870" i="2"/>
  <c r="C870" i="2"/>
  <c r="B870" i="2"/>
  <c r="A870" i="2"/>
  <c r="F869" i="2"/>
  <c r="E869" i="2"/>
  <c r="D869" i="2"/>
  <c r="C869" i="2"/>
  <c r="B869" i="2"/>
  <c r="A869" i="2"/>
  <c r="F868" i="2"/>
  <c r="E868" i="2"/>
  <c r="D868" i="2"/>
  <c r="C868" i="2"/>
  <c r="B868" i="2"/>
  <c r="A868" i="2"/>
  <c r="F867" i="2"/>
  <c r="E867" i="2"/>
  <c r="D867" i="2"/>
  <c r="C867" i="2"/>
  <c r="B867" i="2"/>
  <c r="A867" i="2"/>
  <c r="F866" i="2"/>
  <c r="E866" i="2"/>
  <c r="D866" i="2"/>
  <c r="C866" i="2"/>
  <c r="B866" i="2"/>
  <c r="A866" i="2"/>
  <c r="F865" i="2"/>
  <c r="E865" i="2"/>
  <c r="D865" i="2"/>
  <c r="C865" i="2"/>
  <c r="B865" i="2"/>
  <c r="A865" i="2"/>
  <c r="F864" i="2"/>
  <c r="E864" i="2"/>
  <c r="D864" i="2"/>
  <c r="C864" i="2"/>
  <c r="B864" i="2"/>
  <c r="A864" i="2"/>
  <c r="F863" i="2"/>
  <c r="E863" i="2"/>
  <c r="D863" i="2"/>
  <c r="C863" i="2"/>
  <c r="B863" i="2"/>
  <c r="A863" i="2"/>
  <c r="F862" i="2"/>
  <c r="E862" i="2"/>
  <c r="D862" i="2"/>
  <c r="C862" i="2"/>
  <c r="B862" i="2"/>
  <c r="A862" i="2"/>
  <c r="F861" i="2"/>
  <c r="E861" i="2"/>
  <c r="D861" i="2"/>
  <c r="C861" i="2"/>
  <c r="B861" i="2"/>
  <c r="A861" i="2"/>
  <c r="F860" i="2"/>
  <c r="E860" i="2"/>
  <c r="D860" i="2"/>
  <c r="C860" i="2"/>
  <c r="B860" i="2"/>
  <c r="A860" i="2"/>
  <c r="F859" i="2"/>
  <c r="E859" i="2"/>
  <c r="D859" i="2"/>
  <c r="C859" i="2"/>
  <c r="B859" i="2"/>
  <c r="A859" i="2"/>
  <c r="F858" i="2"/>
  <c r="E858" i="2"/>
  <c r="D858" i="2"/>
  <c r="C858" i="2"/>
  <c r="B858" i="2"/>
  <c r="A858" i="2"/>
  <c r="F857" i="2"/>
  <c r="E857" i="2"/>
  <c r="D857" i="2"/>
  <c r="C857" i="2"/>
  <c r="B857" i="2"/>
  <c r="A857" i="2"/>
  <c r="F856" i="2"/>
  <c r="E856" i="2"/>
  <c r="D856" i="2"/>
  <c r="C856" i="2"/>
  <c r="B856" i="2"/>
  <c r="A856" i="2"/>
  <c r="F855" i="2"/>
  <c r="E855" i="2"/>
  <c r="D855" i="2"/>
  <c r="C855" i="2"/>
  <c r="B855" i="2"/>
  <c r="A855" i="2"/>
  <c r="F854" i="2"/>
  <c r="E854" i="2"/>
  <c r="D854" i="2"/>
  <c r="C854" i="2"/>
  <c r="B854" i="2"/>
  <c r="A854" i="2"/>
  <c r="F853" i="2"/>
  <c r="E853" i="2"/>
  <c r="D853" i="2"/>
  <c r="C853" i="2"/>
  <c r="B853" i="2"/>
  <c r="A853" i="2"/>
  <c r="F852" i="2"/>
  <c r="E852" i="2"/>
  <c r="D852" i="2"/>
  <c r="C852" i="2"/>
  <c r="B852" i="2"/>
  <c r="A852" i="2"/>
  <c r="F851" i="2"/>
  <c r="E851" i="2"/>
  <c r="D851" i="2"/>
  <c r="C851" i="2"/>
  <c r="B851" i="2"/>
  <c r="A851" i="2"/>
  <c r="F850" i="2"/>
  <c r="E850" i="2"/>
  <c r="D850" i="2"/>
  <c r="C850" i="2"/>
  <c r="B850" i="2"/>
  <c r="A850" i="2"/>
  <c r="F849" i="2"/>
  <c r="E849" i="2"/>
  <c r="D849" i="2"/>
  <c r="C849" i="2"/>
  <c r="B849" i="2"/>
  <c r="A849" i="2"/>
  <c r="F848" i="2"/>
  <c r="E848" i="2"/>
  <c r="D848" i="2"/>
  <c r="C848" i="2"/>
  <c r="B848" i="2"/>
  <c r="A848" i="2"/>
  <c r="F847" i="2"/>
  <c r="E847" i="2"/>
  <c r="D847" i="2"/>
  <c r="C847" i="2"/>
  <c r="B847" i="2"/>
  <c r="A847" i="2"/>
  <c r="F846" i="2"/>
  <c r="E846" i="2"/>
  <c r="D846" i="2"/>
  <c r="C846" i="2"/>
  <c r="B846" i="2"/>
  <c r="A846" i="2"/>
  <c r="F845" i="2"/>
  <c r="E845" i="2"/>
  <c r="D845" i="2"/>
  <c r="C845" i="2"/>
  <c r="B845" i="2"/>
  <c r="A845" i="2"/>
  <c r="F844" i="2"/>
  <c r="E844" i="2"/>
  <c r="D844" i="2"/>
  <c r="C844" i="2"/>
  <c r="B844" i="2"/>
  <c r="A844" i="2"/>
  <c r="F843" i="2"/>
  <c r="E843" i="2"/>
  <c r="D843" i="2"/>
  <c r="C843" i="2"/>
  <c r="B843" i="2"/>
  <c r="A843" i="2"/>
  <c r="F842" i="2"/>
  <c r="E842" i="2"/>
  <c r="D842" i="2"/>
  <c r="C842" i="2"/>
  <c r="B842" i="2"/>
  <c r="A842" i="2"/>
  <c r="F841" i="2"/>
  <c r="E841" i="2"/>
  <c r="D841" i="2"/>
  <c r="C841" i="2"/>
  <c r="B841" i="2"/>
  <c r="A841" i="2"/>
  <c r="F840" i="2"/>
  <c r="E840" i="2"/>
  <c r="D840" i="2"/>
  <c r="C840" i="2"/>
  <c r="B840" i="2"/>
  <c r="A840" i="2"/>
  <c r="F839" i="2"/>
  <c r="E839" i="2"/>
  <c r="D839" i="2"/>
  <c r="C839" i="2"/>
  <c r="B839" i="2"/>
  <c r="A839" i="2"/>
  <c r="F838" i="2"/>
  <c r="E838" i="2"/>
  <c r="D838" i="2"/>
  <c r="C838" i="2"/>
  <c r="B838" i="2"/>
  <c r="A838" i="2"/>
  <c r="F837" i="2"/>
  <c r="E837" i="2"/>
  <c r="D837" i="2"/>
  <c r="C837" i="2"/>
  <c r="B837" i="2"/>
  <c r="A837" i="2"/>
  <c r="F836" i="2"/>
  <c r="E836" i="2"/>
  <c r="D836" i="2"/>
  <c r="C836" i="2"/>
  <c r="B836" i="2"/>
  <c r="A836" i="2"/>
  <c r="F835" i="2"/>
  <c r="E835" i="2"/>
  <c r="D835" i="2"/>
  <c r="C835" i="2"/>
  <c r="B835" i="2"/>
  <c r="A835" i="2"/>
  <c r="F834" i="2"/>
  <c r="E834" i="2"/>
  <c r="D834" i="2"/>
  <c r="C834" i="2"/>
  <c r="B834" i="2"/>
  <c r="A834" i="2"/>
  <c r="F833" i="2"/>
  <c r="E833" i="2"/>
  <c r="D833" i="2"/>
  <c r="C833" i="2"/>
  <c r="B833" i="2"/>
  <c r="A833" i="2"/>
  <c r="F832" i="2"/>
  <c r="E832" i="2"/>
  <c r="D832" i="2"/>
  <c r="C832" i="2"/>
  <c r="B832" i="2"/>
  <c r="A832" i="2"/>
  <c r="F831" i="2"/>
  <c r="E831" i="2"/>
  <c r="D831" i="2"/>
  <c r="C831" i="2"/>
  <c r="B831" i="2"/>
  <c r="A831" i="2"/>
  <c r="F830" i="2"/>
  <c r="E830" i="2"/>
  <c r="D830" i="2"/>
  <c r="C830" i="2"/>
  <c r="B830" i="2"/>
  <c r="A830" i="2"/>
  <c r="F829" i="2"/>
  <c r="E829" i="2"/>
  <c r="D829" i="2"/>
  <c r="C829" i="2"/>
  <c r="B829" i="2"/>
  <c r="A829" i="2"/>
  <c r="F828" i="2"/>
  <c r="E828" i="2"/>
  <c r="D828" i="2"/>
  <c r="C828" i="2"/>
  <c r="B828" i="2"/>
  <c r="A828" i="2"/>
  <c r="F827" i="2"/>
  <c r="E827" i="2"/>
  <c r="D827" i="2"/>
  <c r="C827" i="2"/>
  <c r="B827" i="2"/>
  <c r="A827" i="2"/>
  <c r="F826" i="2"/>
  <c r="E826" i="2"/>
  <c r="D826" i="2"/>
  <c r="C826" i="2"/>
  <c r="B826" i="2"/>
  <c r="A826" i="2"/>
  <c r="F825" i="2"/>
  <c r="E825" i="2"/>
  <c r="D825" i="2"/>
  <c r="C825" i="2"/>
  <c r="B825" i="2"/>
  <c r="A825" i="2"/>
  <c r="F824" i="2"/>
  <c r="E824" i="2"/>
  <c r="D824" i="2"/>
  <c r="C824" i="2"/>
  <c r="B824" i="2"/>
  <c r="A824" i="2"/>
  <c r="F823" i="2"/>
  <c r="E823" i="2"/>
  <c r="D823" i="2"/>
  <c r="C823" i="2"/>
  <c r="B823" i="2"/>
  <c r="A823" i="2"/>
  <c r="F822" i="2"/>
  <c r="E822" i="2"/>
  <c r="D822" i="2"/>
  <c r="C822" i="2"/>
  <c r="B822" i="2"/>
  <c r="A822" i="2"/>
  <c r="F821" i="2"/>
  <c r="E821" i="2"/>
  <c r="D821" i="2"/>
  <c r="C821" i="2"/>
  <c r="B821" i="2"/>
  <c r="A821" i="2"/>
  <c r="F820" i="2"/>
  <c r="E820" i="2"/>
  <c r="D820" i="2"/>
  <c r="C820" i="2"/>
  <c r="B820" i="2"/>
  <c r="A820" i="2"/>
  <c r="F819" i="2"/>
  <c r="E819" i="2"/>
  <c r="D819" i="2"/>
  <c r="C819" i="2"/>
  <c r="B819" i="2"/>
  <c r="A819" i="2"/>
  <c r="F818" i="2"/>
  <c r="E818" i="2"/>
  <c r="D818" i="2"/>
  <c r="C818" i="2"/>
  <c r="B818" i="2"/>
  <c r="A818" i="2"/>
  <c r="F817" i="2"/>
  <c r="E817" i="2"/>
  <c r="D817" i="2"/>
  <c r="C817" i="2"/>
  <c r="B817" i="2"/>
  <c r="A817" i="2"/>
  <c r="F816" i="2"/>
  <c r="E816" i="2"/>
  <c r="D816" i="2"/>
  <c r="C816" i="2"/>
  <c r="B816" i="2"/>
  <c r="A816" i="2"/>
  <c r="F815" i="2"/>
  <c r="E815" i="2"/>
  <c r="D815" i="2"/>
  <c r="C815" i="2"/>
  <c r="B815" i="2"/>
  <c r="A815" i="2"/>
  <c r="F814" i="2"/>
  <c r="E814" i="2"/>
  <c r="D814" i="2"/>
  <c r="C814" i="2"/>
  <c r="B814" i="2"/>
  <c r="A814" i="2"/>
  <c r="F813" i="2"/>
  <c r="E813" i="2"/>
  <c r="D813" i="2"/>
  <c r="C813" i="2"/>
  <c r="B813" i="2"/>
  <c r="A813" i="2"/>
  <c r="F812" i="2"/>
  <c r="E812" i="2"/>
  <c r="D812" i="2"/>
  <c r="C812" i="2"/>
  <c r="B812" i="2"/>
  <c r="A812" i="2"/>
  <c r="F811" i="2"/>
  <c r="E811" i="2"/>
  <c r="D811" i="2"/>
  <c r="C811" i="2"/>
  <c r="B811" i="2"/>
  <c r="A811" i="2"/>
  <c r="F810" i="2"/>
  <c r="E810" i="2"/>
  <c r="D810" i="2"/>
  <c r="C810" i="2"/>
  <c r="B810" i="2"/>
  <c r="A810" i="2"/>
  <c r="F809" i="2"/>
  <c r="E809" i="2"/>
  <c r="D809" i="2"/>
  <c r="C809" i="2"/>
  <c r="B809" i="2"/>
  <c r="A809" i="2"/>
  <c r="F808" i="2"/>
  <c r="E808" i="2"/>
  <c r="D808" i="2"/>
  <c r="C808" i="2"/>
  <c r="B808" i="2"/>
  <c r="A808" i="2"/>
  <c r="F807" i="2"/>
  <c r="E807" i="2"/>
  <c r="D807" i="2"/>
  <c r="C807" i="2"/>
  <c r="B807" i="2"/>
  <c r="A807" i="2"/>
  <c r="F806" i="2"/>
  <c r="E806" i="2"/>
  <c r="D806" i="2"/>
  <c r="C806" i="2"/>
  <c r="B806" i="2"/>
  <c r="A806" i="2"/>
  <c r="F805" i="2"/>
  <c r="E805" i="2"/>
  <c r="D805" i="2"/>
  <c r="C805" i="2"/>
  <c r="B805" i="2"/>
  <c r="A805" i="2"/>
  <c r="F804" i="2"/>
  <c r="E804" i="2"/>
  <c r="D804" i="2"/>
  <c r="C804" i="2"/>
  <c r="B804" i="2"/>
  <c r="A804" i="2"/>
  <c r="F803" i="2"/>
  <c r="E803" i="2"/>
  <c r="D803" i="2"/>
  <c r="C803" i="2"/>
  <c r="B803" i="2"/>
  <c r="A803" i="2"/>
  <c r="F802" i="2"/>
  <c r="E802" i="2"/>
  <c r="D802" i="2"/>
  <c r="C802" i="2"/>
  <c r="B802" i="2"/>
  <c r="A802" i="2"/>
  <c r="F801" i="2"/>
  <c r="E801" i="2"/>
  <c r="D801" i="2"/>
  <c r="C801" i="2"/>
  <c r="B801" i="2"/>
  <c r="A801" i="2"/>
  <c r="F800" i="2"/>
  <c r="E800" i="2"/>
  <c r="D800" i="2"/>
  <c r="C800" i="2"/>
  <c r="B800" i="2"/>
  <c r="A800" i="2"/>
  <c r="F799" i="2"/>
  <c r="E799" i="2"/>
  <c r="D799" i="2"/>
  <c r="C799" i="2"/>
  <c r="B799" i="2"/>
  <c r="A799" i="2"/>
  <c r="F798" i="2"/>
  <c r="E798" i="2"/>
  <c r="D798" i="2"/>
  <c r="C798" i="2"/>
  <c r="B798" i="2"/>
  <c r="A798" i="2"/>
  <c r="F797" i="2"/>
  <c r="E797" i="2"/>
  <c r="D797" i="2"/>
  <c r="C797" i="2"/>
  <c r="B797" i="2"/>
  <c r="A797" i="2"/>
  <c r="F796" i="2"/>
  <c r="E796" i="2"/>
  <c r="D796" i="2"/>
  <c r="C796" i="2"/>
  <c r="B796" i="2"/>
  <c r="A796" i="2"/>
  <c r="F795" i="2"/>
  <c r="E795" i="2"/>
  <c r="D795" i="2"/>
  <c r="C795" i="2"/>
  <c r="B795" i="2"/>
  <c r="A795" i="2"/>
  <c r="F794" i="2"/>
  <c r="E794" i="2"/>
  <c r="D794" i="2"/>
  <c r="C794" i="2"/>
  <c r="B794" i="2"/>
  <c r="A794" i="2"/>
  <c r="F793" i="2"/>
  <c r="E793" i="2"/>
  <c r="D793" i="2"/>
  <c r="C793" i="2"/>
  <c r="B793" i="2"/>
  <c r="A793" i="2"/>
  <c r="F792" i="2"/>
  <c r="E792" i="2"/>
  <c r="D792" i="2"/>
  <c r="C792" i="2"/>
  <c r="B792" i="2"/>
  <c r="A792" i="2"/>
  <c r="F791" i="2"/>
  <c r="E791" i="2"/>
  <c r="D791" i="2"/>
  <c r="C791" i="2"/>
  <c r="B791" i="2"/>
  <c r="A791" i="2"/>
  <c r="F790" i="2"/>
  <c r="E790" i="2"/>
  <c r="D790" i="2"/>
  <c r="C790" i="2"/>
  <c r="B790" i="2"/>
  <c r="A790" i="2"/>
  <c r="F789" i="2"/>
  <c r="E789" i="2"/>
  <c r="D789" i="2"/>
  <c r="C789" i="2"/>
  <c r="B789" i="2"/>
  <c r="A789" i="2"/>
  <c r="F788" i="2"/>
  <c r="E788" i="2"/>
  <c r="D788" i="2"/>
  <c r="C788" i="2"/>
  <c r="B788" i="2"/>
  <c r="A788" i="2"/>
  <c r="F787" i="2"/>
  <c r="E787" i="2"/>
  <c r="D787" i="2"/>
  <c r="C787" i="2"/>
  <c r="B787" i="2"/>
  <c r="A787" i="2"/>
  <c r="F786" i="2"/>
  <c r="E786" i="2"/>
  <c r="D786" i="2"/>
  <c r="C786" i="2"/>
  <c r="B786" i="2"/>
  <c r="A786" i="2"/>
  <c r="F785" i="2"/>
  <c r="E785" i="2"/>
  <c r="D785" i="2"/>
  <c r="C785" i="2"/>
  <c r="B785" i="2"/>
  <c r="A785" i="2"/>
  <c r="F784" i="2"/>
  <c r="E784" i="2"/>
  <c r="D784" i="2"/>
  <c r="C784" i="2"/>
  <c r="B784" i="2"/>
  <c r="A784" i="2"/>
  <c r="F783" i="2"/>
  <c r="E783" i="2"/>
  <c r="D783" i="2"/>
  <c r="C783" i="2"/>
  <c r="B783" i="2"/>
  <c r="A783" i="2"/>
  <c r="F782" i="2"/>
  <c r="E782" i="2"/>
  <c r="D782" i="2"/>
  <c r="C782" i="2"/>
  <c r="B782" i="2"/>
  <c r="A782" i="2"/>
  <c r="F781" i="2"/>
  <c r="E781" i="2"/>
  <c r="D781" i="2"/>
  <c r="C781" i="2"/>
  <c r="B781" i="2"/>
  <c r="A781" i="2"/>
  <c r="F780" i="2"/>
  <c r="E780" i="2"/>
  <c r="D780" i="2"/>
  <c r="C780" i="2"/>
  <c r="B780" i="2"/>
  <c r="A780" i="2"/>
  <c r="F779" i="2"/>
  <c r="E779" i="2"/>
  <c r="D779" i="2"/>
  <c r="C779" i="2"/>
  <c r="B779" i="2"/>
  <c r="A779" i="2"/>
  <c r="F778" i="2"/>
  <c r="E778" i="2"/>
  <c r="D778" i="2"/>
  <c r="C778" i="2"/>
  <c r="B778" i="2"/>
  <c r="A778" i="2"/>
  <c r="F777" i="2"/>
  <c r="E777" i="2"/>
  <c r="D777" i="2"/>
  <c r="C777" i="2"/>
  <c r="B777" i="2"/>
  <c r="A777" i="2"/>
  <c r="F776" i="2"/>
  <c r="E776" i="2"/>
  <c r="D776" i="2"/>
  <c r="C776" i="2"/>
  <c r="B776" i="2"/>
  <c r="A776" i="2"/>
  <c r="F775" i="2"/>
  <c r="E775" i="2"/>
  <c r="D775" i="2"/>
  <c r="C775" i="2"/>
  <c r="B775" i="2"/>
  <c r="A775" i="2"/>
  <c r="F774" i="2"/>
  <c r="E774" i="2"/>
  <c r="D774" i="2"/>
  <c r="C774" i="2"/>
  <c r="B774" i="2"/>
  <c r="A774" i="2"/>
  <c r="F773" i="2"/>
  <c r="E773" i="2"/>
  <c r="D773" i="2"/>
  <c r="C773" i="2"/>
  <c r="B773" i="2"/>
  <c r="A773" i="2"/>
  <c r="F772" i="2"/>
  <c r="E772" i="2"/>
  <c r="D772" i="2"/>
  <c r="C772" i="2"/>
  <c r="B772" i="2"/>
  <c r="A772" i="2"/>
  <c r="F771" i="2"/>
  <c r="E771" i="2"/>
  <c r="D771" i="2"/>
  <c r="C771" i="2"/>
  <c r="B771" i="2"/>
  <c r="A771" i="2"/>
  <c r="F770" i="2"/>
  <c r="E770" i="2"/>
  <c r="D770" i="2"/>
  <c r="C770" i="2"/>
  <c r="B770" i="2"/>
  <c r="A770" i="2"/>
  <c r="F769" i="2"/>
  <c r="E769" i="2"/>
  <c r="D769" i="2"/>
  <c r="C769" i="2"/>
  <c r="B769" i="2"/>
  <c r="A769" i="2"/>
  <c r="F768" i="2"/>
  <c r="E768" i="2"/>
  <c r="D768" i="2"/>
  <c r="C768" i="2"/>
  <c r="B768" i="2"/>
  <c r="A768" i="2"/>
  <c r="F767" i="2"/>
  <c r="E767" i="2"/>
  <c r="D767" i="2"/>
  <c r="C767" i="2"/>
  <c r="B767" i="2"/>
  <c r="A767" i="2"/>
  <c r="F766" i="2"/>
  <c r="E766" i="2"/>
  <c r="D766" i="2"/>
  <c r="C766" i="2"/>
  <c r="B766" i="2"/>
  <c r="A766" i="2"/>
  <c r="F765" i="2"/>
  <c r="E765" i="2"/>
  <c r="D765" i="2"/>
  <c r="C765" i="2"/>
  <c r="B765" i="2"/>
  <c r="A765" i="2"/>
  <c r="F764" i="2"/>
  <c r="E764" i="2"/>
  <c r="D764" i="2"/>
  <c r="C764" i="2"/>
  <c r="B764" i="2"/>
  <c r="A764" i="2"/>
  <c r="F763" i="2"/>
  <c r="E763" i="2"/>
  <c r="D763" i="2"/>
  <c r="C763" i="2"/>
  <c r="B763" i="2"/>
  <c r="A763" i="2"/>
  <c r="F762" i="2"/>
  <c r="E762" i="2"/>
  <c r="D762" i="2"/>
  <c r="C762" i="2"/>
  <c r="B762" i="2"/>
  <c r="A762" i="2"/>
  <c r="F761" i="2"/>
  <c r="E761" i="2"/>
  <c r="D761" i="2"/>
  <c r="C761" i="2"/>
  <c r="B761" i="2"/>
  <c r="A761" i="2"/>
  <c r="F760" i="2"/>
  <c r="E760" i="2"/>
  <c r="D760" i="2"/>
  <c r="C760" i="2"/>
  <c r="B760" i="2"/>
  <c r="A760" i="2"/>
  <c r="F759" i="2"/>
  <c r="E759" i="2"/>
  <c r="D759" i="2"/>
  <c r="C759" i="2"/>
  <c r="B759" i="2"/>
  <c r="A759" i="2"/>
  <c r="F758" i="2"/>
  <c r="E758" i="2"/>
  <c r="D758" i="2"/>
  <c r="C758" i="2"/>
  <c r="B758" i="2"/>
  <c r="A758" i="2"/>
  <c r="F757" i="2"/>
  <c r="E757" i="2"/>
  <c r="D757" i="2"/>
  <c r="C757" i="2"/>
  <c r="B757" i="2"/>
  <c r="A757" i="2"/>
  <c r="F756" i="2"/>
  <c r="E756" i="2"/>
  <c r="D756" i="2"/>
  <c r="C756" i="2"/>
  <c r="B756" i="2"/>
  <c r="A756" i="2"/>
  <c r="F755" i="2"/>
  <c r="E755" i="2"/>
  <c r="D755" i="2"/>
  <c r="C755" i="2"/>
  <c r="B755" i="2"/>
  <c r="A755" i="2"/>
  <c r="F754" i="2"/>
  <c r="E754" i="2"/>
  <c r="D754" i="2"/>
  <c r="C754" i="2"/>
  <c r="B754" i="2"/>
  <c r="A754" i="2"/>
  <c r="F753" i="2"/>
  <c r="E753" i="2"/>
  <c r="D753" i="2"/>
  <c r="C753" i="2"/>
  <c r="B753" i="2"/>
  <c r="A753" i="2"/>
  <c r="F752" i="2"/>
  <c r="E752" i="2"/>
  <c r="D752" i="2"/>
  <c r="C752" i="2"/>
  <c r="B752" i="2"/>
  <c r="A752" i="2"/>
  <c r="F751" i="2"/>
  <c r="E751" i="2"/>
  <c r="D751" i="2"/>
  <c r="C751" i="2"/>
  <c r="B751" i="2"/>
  <c r="A751" i="2"/>
  <c r="F750" i="2"/>
  <c r="E750" i="2"/>
  <c r="D750" i="2"/>
  <c r="C750" i="2"/>
  <c r="B750" i="2"/>
  <c r="A750" i="2"/>
  <c r="F749" i="2"/>
  <c r="E749" i="2"/>
  <c r="D749" i="2"/>
  <c r="C749" i="2"/>
  <c r="B749" i="2"/>
  <c r="A749" i="2"/>
  <c r="F748" i="2"/>
  <c r="E748" i="2"/>
  <c r="D748" i="2"/>
  <c r="C748" i="2"/>
  <c r="B748" i="2"/>
  <c r="A748" i="2"/>
  <c r="F747" i="2"/>
  <c r="E747" i="2"/>
  <c r="D747" i="2"/>
  <c r="C747" i="2"/>
  <c r="B747" i="2"/>
  <c r="A747" i="2"/>
  <c r="F746" i="2"/>
  <c r="E746" i="2"/>
  <c r="D746" i="2"/>
  <c r="C746" i="2"/>
  <c r="B746" i="2"/>
  <c r="A746" i="2"/>
  <c r="F745" i="2"/>
  <c r="E745" i="2"/>
  <c r="D745" i="2"/>
  <c r="C745" i="2"/>
  <c r="B745" i="2"/>
  <c r="A745" i="2"/>
  <c r="F744" i="2"/>
  <c r="E744" i="2"/>
  <c r="D744" i="2"/>
  <c r="C744" i="2"/>
  <c r="B744" i="2"/>
  <c r="A744" i="2"/>
  <c r="F743" i="2"/>
  <c r="E743" i="2"/>
  <c r="D743" i="2"/>
  <c r="C743" i="2"/>
  <c r="B743" i="2"/>
  <c r="A743" i="2"/>
  <c r="F742" i="2"/>
  <c r="E742" i="2"/>
  <c r="D742" i="2"/>
  <c r="C742" i="2"/>
  <c r="B742" i="2"/>
  <c r="A742" i="2"/>
  <c r="F741" i="2"/>
  <c r="E741" i="2"/>
  <c r="D741" i="2"/>
  <c r="C741" i="2"/>
  <c r="B741" i="2"/>
  <c r="A741" i="2"/>
  <c r="F740" i="2"/>
  <c r="E740" i="2"/>
  <c r="D740" i="2"/>
  <c r="C740" i="2"/>
  <c r="B740" i="2"/>
  <c r="A740" i="2"/>
  <c r="F739" i="2"/>
  <c r="E739" i="2"/>
  <c r="D739" i="2"/>
  <c r="C739" i="2"/>
  <c r="B739" i="2"/>
  <c r="A739" i="2"/>
  <c r="F738" i="2"/>
  <c r="E738" i="2"/>
  <c r="D738" i="2"/>
  <c r="C738" i="2"/>
  <c r="B738" i="2"/>
  <c r="A738" i="2"/>
  <c r="F737" i="2"/>
  <c r="E737" i="2"/>
  <c r="D737" i="2"/>
  <c r="C737" i="2"/>
  <c r="B737" i="2"/>
  <c r="A737" i="2"/>
  <c r="F736" i="2"/>
  <c r="E736" i="2"/>
  <c r="D736" i="2"/>
  <c r="C736" i="2"/>
  <c r="B736" i="2"/>
  <c r="A736" i="2"/>
  <c r="F735" i="2"/>
  <c r="E735" i="2"/>
  <c r="D735" i="2"/>
  <c r="C735" i="2"/>
  <c r="B735" i="2"/>
  <c r="A735" i="2"/>
  <c r="F734" i="2"/>
  <c r="E734" i="2"/>
  <c r="D734" i="2"/>
  <c r="C734" i="2"/>
  <c r="B734" i="2"/>
  <c r="A734" i="2"/>
  <c r="F733" i="2"/>
  <c r="E733" i="2"/>
  <c r="D733" i="2"/>
  <c r="C733" i="2"/>
  <c r="B733" i="2"/>
  <c r="A733" i="2"/>
  <c r="F732" i="2"/>
  <c r="E732" i="2"/>
  <c r="D732" i="2"/>
  <c r="C732" i="2"/>
  <c r="B732" i="2"/>
  <c r="A732" i="2"/>
  <c r="F731" i="2"/>
  <c r="E731" i="2"/>
  <c r="D731" i="2"/>
  <c r="C731" i="2"/>
  <c r="B731" i="2"/>
  <c r="A731" i="2"/>
  <c r="F730" i="2"/>
  <c r="E730" i="2"/>
  <c r="D730" i="2"/>
  <c r="C730" i="2"/>
  <c r="B730" i="2"/>
  <c r="A730" i="2"/>
  <c r="F729" i="2"/>
  <c r="E729" i="2"/>
  <c r="D729" i="2"/>
  <c r="C729" i="2"/>
  <c r="B729" i="2"/>
  <c r="A729" i="2"/>
  <c r="F728" i="2"/>
  <c r="E728" i="2"/>
  <c r="D728" i="2"/>
  <c r="C728" i="2"/>
  <c r="B728" i="2"/>
  <c r="A728" i="2"/>
  <c r="F727" i="2"/>
  <c r="E727" i="2"/>
  <c r="D727" i="2"/>
  <c r="C727" i="2"/>
  <c r="B727" i="2"/>
  <c r="A727" i="2"/>
  <c r="F726" i="2"/>
  <c r="E726" i="2"/>
  <c r="D726" i="2"/>
  <c r="C726" i="2"/>
  <c r="B726" i="2"/>
  <c r="A726" i="2"/>
  <c r="F725" i="2"/>
  <c r="E725" i="2"/>
  <c r="D725" i="2"/>
  <c r="C725" i="2"/>
  <c r="B725" i="2"/>
  <c r="A725" i="2"/>
  <c r="F724" i="2"/>
  <c r="E724" i="2"/>
  <c r="D724" i="2"/>
  <c r="C724" i="2"/>
  <c r="B724" i="2"/>
  <c r="A724" i="2"/>
  <c r="F723" i="2"/>
  <c r="E723" i="2"/>
  <c r="D723" i="2"/>
  <c r="C723" i="2"/>
  <c r="B723" i="2"/>
  <c r="A723" i="2"/>
  <c r="F722" i="2"/>
  <c r="E722" i="2"/>
  <c r="D722" i="2"/>
  <c r="C722" i="2"/>
  <c r="B722" i="2"/>
  <c r="A722" i="2"/>
  <c r="F721" i="2"/>
  <c r="E721" i="2"/>
  <c r="D721" i="2"/>
  <c r="C721" i="2"/>
  <c r="B721" i="2"/>
  <c r="A721" i="2"/>
  <c r="F720" i="2"/>
  <c r="E720" i="2"/>
  <c r="D720" i="2"/>
  <c r="C720" i="2"/>
  <c r="B720" i="2"/>
  <c r="A720" i="2"/>
  <c r="F719" i="2"/>
  <c r="E719" i="2"/>
  <c r="D719" i="2"/>
  <c r="C719" i="2"/>
  <c r="B719" i="2"/>
  <c r="A719" i="2"/>
  <c r="F718" i="2"/>
  <c r="E718" i="2"/>
  <c r="D718" i="2"/>
  <c r="C718" i="2"/>
  <c r="B718" i="2"/>
  <c r="A718" i="2"/>
  <c r="F717" i="2"/>
  <c r="E717" i="2"/>
  <c r="D717" i="2"/>
  <c r="C717" i="2"/>
  <c r="B717" i="2"/>
  <c r="A717" i="2"/>
  <c r="F716" i="2"/>
  <c r="E716" i="2"/>
  <c r="D716" i="2"/>
  <c r="C716" i="2"/>
  <c r="B716" i="2"/>
  <c r="A716" i="2"/>
  <c r="F715" i="2"/>
  <c r="E715" i="2"/>
  <c r="D715" i="2"/>
  <c r="C715" i="2"/>
  <c r="B715" i="2"/>
  <c r="A715" i="2"/>
  <c r="F714" i="2"/>
  <c r="E714" i="2"/>
  <c r="D714" i="2"/>
  <c r="C714" i="2"/>
  <c r="B714" i="2"/>
  <c r="A714" i="2"/>
  <c r="F713" i="2"/>
  <c r="E713" i="2"/>
  <c r="D713" i="2"/>
  <c r="C713" i="2"/>
  <c r="B713" i="2"/>
  <c r="A713" i="2"/>
  <c r="F712" i="2"/>
  <c r="E712" i="2"/>
  <c r="D712" i="2"/>
  <c r="C712" i="2"/>
  <c r="B712" i="2"/>
  <c r="A712" i="2"/>
  <c r="F711" i="2"/>
  <c r="E711" i="2"/>
  <c r="D711" i="2"/>
  <c r="C711" i="2"/>
  <c r="B711" i="2"/>
  <c r="A711" i="2"/>
  <c r="F710" i="2"/>
  <c r="E710" i="2"/>
  <c r="D710" i="2"/>
  <c r="C710" i="2"/>
  <c r="B710" i="2"/>
  <c r="A710" i="2"/>
  <c r="F709" i="2"/>
  <c r="E709" i="2"/>
  <c r="D709" i="2"/>
  <c r="C709" i="2"/>
  <c r="B709" i="2"/>
  <c r="A709" i="2"/>
  <c r="F708" i="2"/>
  <c r="E708" i="2"/>
  <c r="D708" i="2"/>
  <c r="C708" i="2"/>
  <c r="B708" i="2"/>
  <c r="A708" i="2"/>
  <c r="F707" i="2"/>
  <c r="E707" i="2"/>
  <c r="D707" i="2"/>
  <c r="C707" i="2"/>
  <c r="B707" i="2"/>
  <c r="A707" i="2"/>
  <c r="F706" i="2"/>
  <c r="E706" i="2"/>
  <c r="D706" i="2"/>
  <c r="C706" i="2"/>
  <c r="B706" i="2"/>
  <c r="A706" i="2"/>
  <c r="F705" i="2"/>
  <c r="E705" i="2"/>
  <c r="D705" i="2"/>
  <c r="C705" i="2"/>
  <c r="B705" i="2"/>
  <c r="A705" i="2"/>
  <c r="F704" i="2"/>
  <c r="E704" i="2"/>
  <c r="D704" i="2"/>
  <c r="C704" i="2"/>
  <c r="B704" i="2"/>
  <c r="A704" i="2"/>
  <c r="F703" i="2"/>
  <c r="E703" i="2"/>
  <c r="D703" i="2"/>
  <c r="C703" i="2"/>
  <c r="B703" i="2"/>
  <c r="A703" i="2"/>
  <c r="F702" i="2"/>
  <c r="E702" i="2"/>
  <c r="D702" i="2"/>
  <c r="C702" i="2"/>
  <c r="B702" i="2"/>
  <c r="A702" i="2"/>
  <c r="F701" i="2"/>
  <c r="E701" i="2"/>
  <c r="D701" i="2"/>
  <c r="C701" i="2"/>
  <c r="B701" i="2"/>
  <c r="A701" i="2"/>
  <c r="F700" i="2"/>
  <c r="E700" i="2"/>
  <c r="D700" i="2"/>
  <c r="C700" i="2"/>
  <c r="B700" i="2"/>
  <c r="A700" i="2"/>
  <c r="F699" i="2"/>
  <c r="E699" i="2"/>
  <c r="D699" i="2"/>
  <c r="C699" i="2"/>
  <c r="B699" i="2"/>
  <c r="A699" i="2"/>
  <c r="F698" i="2"/>
  <c r="E698" i="2"/>
  <c r="D698" i="2"/>
  <c r="C698" i="2"/>
  <c r="B698" i="2"/>
  <c r="A698" i="2"/>
  <c r="F697" i="2"/>
  <c r="E697" i="2"/>
  <c r="D697" i="2"/>
  <c r="C697" i="2"/>
  <c r="B697" i="2"/>
  <c r="A697" i="2"/>
  <c r="F696" i="2"/>
  <c r="E696" i="2"/>
  <c r="D696" i="2"/>
  <c r="C696" i="2"/>
  <c r="B696" i="2"/>
  <c r="A696" i="2"/>
  <c r="F695" i="2"/>
  <c r="E695" i="2"/>
  <c r="D695" i="2"/>
  <c r="C695" i="2"/>
  <c r="B695" i="2"/>
  <c r="A695" i="2"/>
  <c r="F694" i="2"/>
  <c r="E694" i="2"/>
  <c r="D694" i="2"/>
  <c r="C694" i="2"/>
  <c r="B694" i="2"/>
  <c r="A694" i="2"/>
  <c r="F693" i="2"/>
  <c r="E693" i="2"/>
  <c r="D693" i="2"/>
  <c r="C693" i="2"/>
  <c r="B693" i="2"/>
  <c r="A693" i="2"/>
  <c r="F692" i="2"/>
  <c r="E692" i="2"/>
  <c r="D692" i="2"/>
  <c r="C692" i="2"/>
  <c r="B692" i="2"/>
  <c r="A692" i="2"/>
  <c r="F691" i="2"/>
  <c r="E691" i="2"/>
  <c r="D691" i="2"/>
  <c r="C691" i="2"/>
  <c r="B691" i="2"/>
  <c r="A691" i="2"/>
  <c r="F690" i="2"/>
  <c r="E690" i="2"/>
  <c r="D690" i="2"/>
  <c r="C690" i="2"/>
  <c r="B690" i="2"/>
  <c r="A690" i="2"/>
  <c r="F689" i="2"/>
  <c r="E689" i="2"/>
  <c r="D689" i="2"/>
  <c r="C689" i="2"/>
  <c r="B689" i="2"/>
  <c r="A689" i="2"/>
  <c r="F688" i="2"/>
  <c r="E688" i="2"/>
  <c r="D688" i="2"/>
  <c r="C688" i="2"/>
  <c r="B688" i="2"/>
  <c r="A688" i="2"/>
  <c r="F687" i="2"/>
  <c r="E687" i="2"/>
  <c r="D687" i="2"/>
  <c r="C687" i="2"/>
  <c r="B687" i="2"/>
  <c r="A687" i="2"/>
  <c r="F686" i="2"/>
  <c r="E686" i="2"/>
  <c r="D686" i="2"/>
  <c r="C686" i="2"/>
  <c r="B686" i="2"/>
  <c r="A686" i="2"/>
  <c r="F685" i="2"/>
  <c r="E685" i="2"/>
  <c r="D685" i="2"/>
  <c r="C685" i="2"/>
  <c r="B685" i="2"/>
  <c r="A685" i="2"/>
  <c r="F684" i="2"/>
  <c r="E684" i="2"/>
  <c r="D684" i="2"/>
  <c r="C684" i="2"/>
  <c r="B684" i="2"/>
  <c r="A684" i="2"/>
  <c r="F683" i="2"/>
  <c r="E683" i="2"/>
  <c r="D683" i="2"/>
  <c r="C683" i="2"/>
  <c r="B683" i="2"/>
  <c r="A683" i="2"/>
  <c r="F682" i="2"/>
  <c r="E682" i="2"/>
  <c r="D682" i="2"/>
  <c r="C682" i="2"/>
  <c r="B682" i="2"/>
  <c r="A682" i="2"/>
  <c r="F681" i="2"/>
  <c r="E681" i="2"/>
  <c r="D681" i="2"/>
  <c r="C681" i="2"/>
  <c r="B681" i="2"/>
  <c r="A681" i="2"/>
  <c r="F680" i="2"/>
  <c r="E680" i="2"/>
  <c r="D680" i="2"/>
  <c r="C680" i="2"/>
  <c r="B680" i="2"/>
  <c r="A680" i="2"/>
  <c r="F679" i="2"/>
  <c r="E679" i="2"/>
  <c r="D679" i="2"/>
  <c r="C679" i="2"/>
  <c r="B679" i="2"/>
  <c r="A679" i="2"/>
  <c r="F678" i="2"/>
  <c r="E678" i="2"/>
  <c r="D678" i="2"/>
  <c r="C678" i="2"/>
  <c r="B678" i="2"/>
  <c r="A678" i="2"/>
  <c r="F677" i="2"/>
  <c r="E677" i="2"/>
  <c r="D677" i="2"/>
  <c r="C677" i="2"/>
  <c r="B677" i="2"/>
  <c r="A677" i="2"/>
  <c r="F676" i="2"/>
  <c r="E676" i="2"/>
  <c r="D676" i="2"/>
  <c r="C676" i="2"/>
  <c r="B676" i="2"/>
  <c r="A676" i="2"/>
  <c r="F675" i="2"/>
  <c r="E675" i="2"/>
  <c r="D675" i="2"/>
  <c r="C675" i="2"/>
  <c r="B675" i="2"/>
  <c r="A675" i="2"/>
  <c r="F674" i="2"/>
  <c r="E674" i="2"/>
  <c r="D674" i="2"/>
  <c r="C674" i="2"/>
  <c r="B674" i="2"/>
  <c r="A674" i="2"/>
  <c r="F673" i="2"/>
  <c r="E673" i="2"/>
  <c r="D673" i="2"/>
  <c r="C673" i="2"/>
  <c r="B673" i="2"/>
  <c r="A673" i="2"/>
  <c r="F672" i="2"/>
  <c r="E672" i="2"/>
  <c r="D672" i="2"/>
  <c r="C672" i="2"/>
  <c r="B672" i="2"/>
  <c r="A672" i="2"/>
  <c r="F671" i="2"/>
  <c r="E671" i="2"/>
  <c r="D671" i="2"/>
  <c r="C671" i="2"/>
  <c r="B671" i="2"/>
  <c r="A671" i="2"/>
  <c r="F670" i="2"/>
  <c r="E670" i="2"/>
  <c r="D670" i="2"/>
  <c r="C670" i="2"/>
  <c r="B670" i="2"/>
  <c r="A670" i="2"/>
  <c r="F669" i="2"/>
  <c r="E669" i="2"/>
  <c r="D669" i="2"/>
  <c r="C669" i="2"/>
  <c r="B669" i="2"/>
  <c r="A669" i="2"/>
  <c r="F668" i="2"/>
  <c r="E668" i="2"/>
  <c r="D668" i="2"/>
  <c r="C668" i="2"/>
  <c r="B668" i="2"/>
  <c r="A668" i="2"/>
  <c r="F667" i="2"/>
  <c r="E667" i="2"/>
  <c r="D667" i="2"/>
  <c r="C667" i="2"/>
  <c r="B667" i="2"/>
  <c r="A667" i="2"/>
  <c r="F666" i="2"/>
  <c r="E666" i="2"/>
  <c r="D666" i="2"/>
  <c r="C666" i="2"/>
  <c r="B666" i="2"/>
  <c r="A666" i="2"/>
  <c r="F665" i="2"/>
  <c r="E665" i="2"/>
  <c r="D665" i="2"/>
  <c r="C665" i="2"/>
  <c r="B665" i="2"/>
  <c r="A665" i="2"/>
  <c r="F664" i="2"/>
  <c r="E664" i="2"/>
  <c r="D664" i="2"/>
  <c r="C664" i="2"/>
  <c r="B664" i="2"/>
  <c r="A664" i="2"/>
  <c r="F663" i="2"/>
  <c r="E663" i="2"/>
  <c r="D663" i="2"/>
  <c r="C663" i="2"/>
  <c r="B663" i="2"/>
  <c r="A663" i="2"/>
  <c r="F662" i="2"/>
  <c r="E662" i="2"/>
  <c r="D662" i="2"/>
  <c r="C662" i="2"/>
  <c r="B662" i="2"/>
  <c r="A662" i="2"/>
  <c r="F661" i="2"/>
  <c r="E661" i="2"/>
  <c r="D661" i="2"/>
  <c r="C661" i="2"/>
  <c r="B661" i="2"/>
  <c r="A661" i="2"/>
  <c r="F660" i="2"/>
  <c r="E660" i="2"/>
  <c r="D660" i="2"/>
  <c r="C660" i="2"/>
  <c r="B660" i="2"/>
  <c r="A660" i="2"/>
  <c r="F659" i="2"/>
  <c r="E659" i="2"/>
  <c r="D659" i="2"/>
  <c r="C659" i="2"/>
  <c r="B659" i="2"/>
  <c r="A659" i="2"/>
  <c r="F658" i="2"/>
  <c r="E658" i="2"/>
  <c r="D658" i="2"/>
  <c r="C658" i="2"/>
  <c r="B658" i="2"/>
  <c r="A658" i="2"/>
  <c r="F657" i="2"/>
  <c r="E657" i="2"/>
  <c r="D657" i="2"/>
  <c r="C657" i="2"/>
  <c r="B657" i="2"/>
  <c r="A657" i="2"/>
  <c r="F656" i="2"/>
  <c r="E656" i="2"/>
  <c r="D656" i="2"/>
  <c r="C656" i="2"/>
  <c r="B656" i="2"/>
  <c r="A656" i="2"/>
  <c r="F655" i="2"/>
  <c r="E655" i="2"/>
  <c r="D655" i="2"/>
  <c r="C655" i="2"/>
  <c r="B655" i="2"/>
  <c r="A655" i="2"/>
  <c r="F654" i="2"/>
  <c r="E654" i="2"/>
  <c r="D654" i="2"/>
  <c r="C654" i="2"/>
  <c r="B654" i="2"/>
  <c r="A654" i="2"/>
  <c r="F653" i="2"/>
  <c r="E653" i="2"/>
  <c r="D653" i="2"/>
  <c r="C653" i="2"/>
  <c r="B653" i="2"/>
  <c r="A653" i="2"/>
  <c r="F652" i="2"/>
  <c r="E652" i="2"/>
  <c r="D652" i="2"/>
  <c r="C652" i="2"/>
  <c r="B652" i="2"/>
  <c r="A652" i="2"/>
  <c r="F651" i="2"/>
  <c r="E651" i="2"/>
  <c r="D651" i="2"/>
  <c r="C651" i="2"/>
  <c r="B651" i="2"/>
  <c r="A651" i="2"/>
  <c r="F650" i="2"/>
  <c r="E650" i="2"/>
  <c r="D650" i="2"/>
  <c r="C650" i="2"/>
  <c r="B650" i="2"/>
  <c r="A650" i="2"/>
  <c r="F649" i="2"/>
  <c r="E649" i="2"/>
  <c r="D649" i="2"/>
  <c r="C649" i="2"/>
  <c r="B649" i="2"/>
  <c r="A649" i="2"/>
  <c r="F648" i="2"/>
  <c r="E648" i="2"/>
  <c r="D648" i="2"/>
  <c r="C648" i="2"/>
  <c r="B648" i="2"/>
  <c r="A648" i="2"/>
  <c r="F647" i="2"/>
  <c r="E647" i="2"/>
  <c r="D647" i="2"/>
  <c r="C647" i="2"/>
  <c r="B647" i="2"/>
  <c r="A647" i="2"/>
  <c r="F646" i="2"/>
  <c r="E646" i="2"/>
  <c r="D646" i="2"/>
  <c r="C646" i="2"/>
  <c r="B646" i="2"/>
  <c r="A646" i="2"/>
  <c r="F645" i="2"/>
  <c r="E645" i="2"/>
  <c r="D645" i="2"/>
  <c r="C645" i="2"/>
  <c r="B645" i="2"/>
  <c r="A645" i="2"/>
  <c r="F644" i="2"/>
  <c r="E644" i="2"/>
  <c r="D644" i="2"/>
  <c r="C644" i="2"/>
  <c r="B644" i="2"/>
  <c r="A644" i="2"/>
  <c r="F643" i="2"/>
  <c r="E643" i="2"/>
  <c r="D643" i="2"/>
  <c r="C643" i="2"/>
  <c r="B643" i="2"/>
  <c r="A643" i="2"/>
  <c r="F642" i="2"/>
  <c r="E642" i="2"/>
  <c r="D642" i="2"/>
  <c r="C642" i="2"/>
  <c r="B642" i="2"/>
  <c r="A642" i="2"/>
  <c r="F641" i="2"/>
  <c r="E641" i="2"/>
  <c r="D641" i="2"/>
  <c r="C641" i="2"/>
  <c r="B641" i="2"/>
  <c r="A641" i="2"/>
  <c r="F640" i="2"/>
  <c r="E640" i="2"/>
  <c r="D640" i="2"/>
  <c r="C640" i="2"/>
  <c r="B640" i="2"/>
  <c r="A640" i="2"/>
  <c r="F639" i="2"/>
  <c r="E639" i="2"/>
  <c r="D639" i="2"/>
  <c r="C639" i="2"/>
  <c r="B639" i="2"/>
  <c r="A639" i="2"/>
  <c r="F638" i="2"/>
  <c r="E638" i="2"/>
  <c r="D638" i="2"/>
  <c r="C638" i="2"/>
  <c r="B638" i="2"/>
  <c r="A638" i="2"/>
  <c r="F637" i="2"/>
  <c r="E637" i="2"/>
  <c r="D637" i="2"/>
  <c r="C637" i="2"/>
  <c r="B637" i="2"/>
  <c r="A637" i="2"/>
  <c r="F636" i="2"/>
  <c r="E636" i="2"/>
  <c r="D636" i="2"/>
  <c r="C636" i="2"/>
  <c r="B636" i="2"/>
  <c r="A636" i="2"/>
  <c r="F635" i="2"/>
  <c r="E635" i="2"/>
  <c r="D635" i="2"/>
  <c r="C635" i="2"/>
  <c r="B635" i="2"/>
  <c r="A635" i="2"/>
  <c r="F634" i="2"/>
  <c r="E634" i="2"/>
  <c r="D634" i="2"/>
  <c r="C634" i="2"/>
  <c r="B634" i="2"/>
  <c r="A634" i="2"/>
  <c r="F633" i="2"/>
  <c r="E633" i="2"/>
  <c r="D633" i="2"/>
  <c r="C633" i="2"/>
  <c r="B633" i="2"/>
  <c r="A633" i="2"/>
  <c r="F632" i="2"/>
  <c r="E632" i="2"/>
  <c r="D632" i="2"/>
  <c r="C632" i="2"/>
  <c r="B632" i="2"/>
  <c r="A632" i="2"/>
  <c r="F631" i="2"/>
  <c r="E631" i="2"/>
  <c r="D631" i="2"/>
  <c r="C631" i="2"/>
  <c r="B631" i="2"/>
  <c r="A631" i="2"/>
  <c r="F630" i="2"/>
  <c r="E630" i="2"/>
  <c r="D630" i="2"/>
  <c r="C630" i="2"/>
  <c r="B630" i="2"/>
  <c r="A630" i="2"/>
  <c r="F629" i="2"/>
  <c r="E629" i="2"/>
  <c r="D629" i="2"/>
  <c r="C629" i="2"/>
  <c r="B629" i="2"/>
  <c r="A629" i="2"/>
  <c r="F628" i="2"/>
  <c r="E628" i="2"/>
  <c r="D628" i="2"/>
  <c r="C628" i="2"/>
  <c r="B628" i="2"/>
  <c r="A628" i="2"/>
  <c r="F627" i="2"/>
  <c r="E627" i="2"/>
  <c r="D627" i="2"/>
  <c r="C627" i="2"/>
  <c r="B627" i="2"/>
  <c r="A627" i="2"/>
  <c r="F626" i="2"/>
  <c r="E626" i="2"/>
  <c r="D626" i="2"/>
  <c r="C626" i="2"/>
  <c r="B626" i="2"/>
  <c r="A626" i="2"/>
  <c r="F625" i="2"/>
  <c r="E625" i="2"/>
  <c r="D625" i="2"/>
  <c r="C625" i="2"/>
  <c r="B625" i="2"/>
  <c r="A625" i="2"/>
  <c r="F624" i="2"/>
  <c r="E624" i="2"/>
  <c r="D624" i="2"/>
  <c r="C624" i="2"/>
  <c r="B624" i="2"/>
  <c r="A624" i="2"/>
  <c r="F623" i="2"/>
  <c r="E623" i="2"/>
  <c r="D623" i="2"/>
  <c r="C623" i="2"/>
  <c r="B623" i="2"/>
  <c r="A623" i="2"/>
  <c r="F622" i="2"/>
  <c r="E622" i="2"/>
  <c r="D622" i="2"/>
  <c r="C622" i="2"/>
  <c r="B622" i="2"/>
  <c r="A622" i="2"/>
  <c r="F621" i="2"/>
  <c r="E621" i="2"/>
  <c r="D621" i="2"/>
  <c r="C621" i="2"/>
  <c r="B621" i="2"/>
  <c r="A621" i="2"/>
  <c r="F620" i="2"/>
  <c r="E620" i="2"/>
  <c r="D620" i="2"/>
  <c r="C620" i="2"/>
  <c r="B620" i="2"/>
  <c r="A620" i="2"/>
  <c r="F619" i="2"/>
  <c r="E619" i="2"/>
  <c r="D619" i="2"/>
  <c r="C619" i="2"/>
  <c r="B619" i="2"/>
  <c r="A619" i="2"/>
  <c r="F618" i="2"/>
  <c r="E618" i="2"/>
  <c r="D618" i="2"/>
  <c r="C618" i="2"/>
  <c r="B618" i="2"/>
  <c r="A618" i="2"/>
  <c r="F617" i="2"/>
  <c r="E617" i="2"/>
  <c r="D617" i="2"/>
  <c r="C617" i="2"/>
  <c r="B617" i="2"/>
  <c r="A617" i="2"/>
  <c r="F616" i="2"/>
  <c r="E616" i="2"/>
  <c r="D616" i="2"/>
  <c r="C616" i="2"/>
  <c r="B616" i="2"/>
  <c r="A616" i="2"/>
  <c r="F615" i="2"/>
  <c r="E615" i="2"/>
  <c r="D615" i="2"/>
  <c r="C615" i="2"/>
  <c r="B615" i="2"/>
  <c r="A615" i="2"/>
  <c r="F614" i="2"/>
  <c r="E614" i="2"/>
  <c r="D614" i="2"/>
  <c r="C614" i="2"/>
  <c r="B614" i="2"/>
  <c r="A614" i="2"/>
  <c r="F613" i="2"/>
  <c r="E613" i="2"/>
  <c r="D613" i="2"/>
  <c r="C613" i="2"/>
  <c r="B613" i="2"/>
  <c r="A613" i="2"/>
  <c r="F612" i="2"/>
  <c r="E612" i="2"/>
  <c r="D612" i="2"/>
  <c r="C612" i="2"/>
  <c r="B612" i="2"/>
  <c r="A612" i="2"/>
  <c r="F611" i="2"/>
  <c r="E611" i="2"/>
  <c r="D611" i="2"/>
  <c r="C611" i="2"/>
  <c r="B611" i="2"/>
  <c r="A611" i="2"/>
  <c r="F610" i="2"/>
  <c r="E610" i="2"/>
  <c r="D610" i="2"/>
  <c r="C610" i="2"/>
  <c r="B610" i="2"/>
  <c r="A610" i="2"/>
  <c r="F609" i="2"/>
  <c r="E609" i="2"/>
  <c r="D609" i="2"/>
  <c r="C609" i="2"/>
  <c r="B609" i="2"/>
  <c r="A609" i="2"/>
  <c r="F608" i="2"/>
  <c r="E608" i="2"/>
  <c r="D608" i="2"/>
  <c r="C608" i="2"/>
  <c r="B608" i="2"/>
  <c r="A608" i="2"/>
  <c r="F607" i="2"/>
  <c r="E607" i="2"/>
  <c r="D607" i="2"/>
  <c r="C607" i="2"/>
  <c r="B607" i="2"/>
  <c r="A607" i="2"/>
  <c r="F606" i="2"/>
  <c r="E606" i="2"/>
  <c r="D606" i="2"/>
  <c r="C606" i="2"/>
  <c r="B606" i="2"/>
  <c r="A606" i="2"/>
  <c r="F605" i="2"/>
  <c r="E605" i="2"/>
  <c r="D605" i="2"/>
  <c r="C605" i="2"/>
  <c r="B605" i="2"/>
  <c r="A605" i="2"/>
  <c r="F604" i="2"/>
  <c r="E604" i="2"/>
  <c r="D604" i="2"/>
  <c r="C604" i="2"/>
  <c r="B604" i="2"/>
  <c r="A604" i="2"/>
  <c r="F603" i="2"/>
  <c r="E603" i="2"/>
  <c r="D603" i="2"/>
  <c r="C603" i="2"/>
  <c r="B603" i="2"/>
  <c r="A603" i="2"/>
  <c r="F602" i="2"/>
  <c r="E602" i="2"/>
  <c r="D602" i="2"/>
  <c r="C602" i="2"/>
  <c r="B602" i="2"/>
  <c r="A602" i="2"/>
  <c r="F601" i="2"/>
  <c r="E601" i="2"/>
  <c r="D601" i="2"/>
  <c r="C601" i="2"/>
  <c r="B601" i="2"/>
  <c r="A601" i="2"/>
  <c r="F600" i="2"/>
  <c r="E600" i="2"/>
  <c r="D600" i="2"/>
  <c r="C600" i="2"/>
  <c r="B600" i="2"/>
  <c r="A600" i="2"/>
  <c r="F599" i="2"/>
  <c r="E599" i="2"/>
  <c r="D599" i="2"/>
  <c r="C599" i="2"/>
  <c r="B599" i="2"/>
  <c r="A599" i="2"/>
  <c r="F598" i="2"/>
  <c r="E598" i="2"/>
  <c r="D598" i="2"/>
  <c r="C598" i="2"/>
  <c r="B598" i="2"/>
  <c r="A598" i="2"/>
  <c r="F597" i="2"/>
  <c r="E597" i="2"/>
  <c r="D597" i="2"/>
  <c r="C597" i="2"/>
  <c r="B597" i="2"/>
  <c r="A597" i="2"/>
  <c r="F596" i="2"/>
  <c r="E596" i="2"/>
  <c r="D596" i="2"/>
  <c r="C596" i="2"/>
  <c r="B596" i="2"/>
  <c r="A596" i="2"/>
  <c r="F595" i="2"/>
  <c r="E595" i="2"/>
  <c r="D595" i="2"/>
  <c r="C595" i="2"/>
  <c r="B595" i="2"/>
  <c r="A595" i="2"/>
  <c r="F594" i="2"/>
  <c r="E594" i="2"/>
  <c r="D594" i="2"/>
  <c r="C594" i="2"/>
  <c r="B594" i="2"/>
  <c r="A594" i="2"/>
  <c r="F593" i="2"/>
  <c r="E593" i="2"/>
  <c r="D593" i="2"/>
  <c r="C593" i="2"/>
  <c r="B593" i="2"/>
  <c r="A593" i="2"/>
  <c r="F592" i="2"/>
  <c r="E592" i="2"/>
  <c r="D592" i="2"/>
  <c r="C592" i="2"/>
  <c r="B592" i="2"/>
  <c r="A592" i="2"/>
  <c r="F591" i="2"/>
  <c r="E591" i="2"/>
  <c r="D591" i="2"/>
  <c r="C591" i="2"/>
  <c r="B591" i="2"/>
  <c r="A591" i="2"/>
  <c r="F590" i="2"/>
  <c r="E590" i="2"/>
  <c r="D590" i="2"/>
  <c r="C590" i="2"/>
  <c r="B590" i="2"/>
  <c r="A590" i="2"/>
  <c r="F589" i="2"/>
  <c r="E589" i="2"/>
  <c r="D589" i="2"/>
  <c r="C589" i="2"/>
  <c r="B589" i="2"/>
  <c r="A589" i="2"/>
  <c r="F588" i="2"/>
  <c r="E588" i="2"/>
  <c r="D588" i="2"/>
  <c r="C588" i="2"/>
  <c r="B588" i="2"/>
  <c r="A588" i="2"/>
  <c r="F587" i="2"/>
  <c r="E587" i="2"/>
  <c r="D587" i="2"/>
  <c r="C587" i="2"/>
  <c r="B587" i="2"/>
  <c r="A587" i="2"/>
  <c r="F586" i="2"/>
  <c r="E586" i="2"/>
  <c r="D586" i="2"/>
  <c r="C586" i="2"/>
  <c r="B586" i="2"/>
  <c r="A586" i="2"/>
  <c r="F585" i="2"/>
  <c r="E585" i="2"/>
  <c r="D585" i="2"/>
  <c r="C585" i="2"/>
  <c r="B585" i="2"/>
  <c r="A585" i="2"/>
  <c r="F584" i="2"/>
  <c r="E584" i="2"/>
  <c r="D584" i="2"/>
  <c r="C584" i="2"/>
  <c r="B584" i="2"/>
  <c r="A584" i="2"/>
  <c r="F583" i="2"/>
  <c r="E583" i="2"/>
  <c r="D583" i="2"/>
  <c r="C583" i="2"/>
  <c r="B583" i="2"/>
  <c r="A583" i="2"/>
  <c r="F582" i="2"/>
  <c r="E582" i="2"/>
  <c r="D582" i="2"/>
  <c r="C582" i="2"/>
  <c r="B582" i="2"/>
  <c r="A582" i="2"/>
  <c r="F581" i="2"/>
  <c r="E581" i="2"/>
  <c r="D581" i="2"/>
  <c r="C581" i="2"/>
  <c r="B581" i="2"/>
  <c r="A581" i="2"/>
  <c r="F580" i="2"/>
  <c r="E580" i="2"/>
  <c r="D580" i="2"/>
  <c r="C580" i="2"/>
  <c r="B580" i="2"/>
  <c r="A580" i="2"/>
  <c r="F579" i="2"/>
  <c r="E579" i="2"/>
  <c r="D579" i="2"/>
  <c r="C579" i="2"/>
  <c r="B579" i="2"/>
  <c r="A579" i="2"/>
  <c r="F578" i="2"/>
  <c r="E578" i="2"/>
  <c r="D578" i="2"/>
  <c r="C578" i="2"/>
  <c r="B578" i="2"/>
  <c r="A578" i="2"/>
  <c r="F577" i="2"/>
  <c r="E577" i="2"/>
  <c r="D577" i="2"/>
  <c r="C577" i="2"/>
  <c r="B577" i="2"/>
  <c r="A577" i="2"/>
  <c r="F576" i="2"/>
  <c r="E576" i="2"/>
  <c r="D576" i="2"/>
  <c r="C576" i="2"/>
  <c r="B576" i="2"/>
  <c r="A576" i="2"/>
  <c r="F575" i="2"/>
  <c r="E575" i="2"/>
  <c r="D575" i="2"/>
  <c r="C575" i="2"/>
  <c r="B575" i="2"/>
  <c r="A575" i="2"/>
  <c r="F574" i="2"/>
  <c r="E574" i="2"/>
  <c r="D574" i="2"/>
  <c r="C574" i="2"/>
  <c r="B574" i="2"/>
  <c r="A574" i="2"/>
  <c r="F573" i="2"/>
  <c r="E573" i="2"/>
  <c r="D573" i="2"/>
  <c r="C573" i="2"/>
  <c r="B573" i="2"/>
  <c r="A573" i="2"/>
  <c r="F572" i="2"/>
  <c r="E572" i="2"/>
  <c r="D572" i="2"/>
  <c r="C572" i="2"/>
  <c r="B572" i="2"/>
  <c r="A572" i="2"/>
  <c r="F571" i="2"/>
  <c r="E571" i="2"/>
  <c r="D571" i="2"/>
  <c r="C571" i="2"/>
  <c r="B571" i="2"/>
  <c r="A571" i="2"/>
  <c r="F570" i="2"/>
  <c r="E570" i="2"/>
  <c r="D570" i="2"/>
  <c r="C570" i="2"/>
  <c r="B570" i="2"/>
  <c r="A570" i="2"/>
  <c r="F569" i="2"/>
  <c r="E569" i="2"/>
  <c r="D569" i="2"/>
  <c r="C569" i="2"/>
  <c r="B569" i="2"/>
  <c r="A569" i="2"/>
  <c r="F568" i="2"/>
  <c r="E568" i="2"/>
  <c r="D568" i="2"/>
  <c r="C568" i="2"/>
  <c r="B568" i="2"/>
  <c r="A568" i="2"/>
  <c r="F567" i="2"/>
  <c r="E567" i="2"/>
  <c r="D567" i="2"/>
  <c r="C567" i="2"/>
  <c r="B567" i="2"/>
  <c r="A567" i="2"/>
  <c r="F566" i="2"/>
  <c r="E566" i="2"/>
  <c r="D566" i="2"/>
  <c r="C566" i="2"/>
  <c r="B566" i="2"/>
  <c r="A566" i="2"/>
  <c r="F565" i="2"/>
  <c r="E565" i="2"/>
  <c r="D565" i="2"/>
  <c r="C565" i="2"/>
  <c r="B565" i="2"/>
  <c r="A565" i="2"/>
  <c r="F564" i="2"/>
  <c r="E564" i="2"/>
  <c r="D564" i="2"/>
  <c r="C564" i="2"/>
  <c r="B564" i="2"/>
  <c r="A564" i="2"/>
  <c r="F563" i="2"/>
  <c r="E563" i="2"/>
  <c r="D563" i="2"/>
  <c r="C563" i="2"/>
  <c r="B563" i="2"/>
  <c r="A563" i="2"/>
  <c r="F562" i="2"/>
  <c r="E562" i="2"/>
  <c r="D562" i="2"/>
  <c r="C562" i="2"/>
  <c r="B562" i="2"/>
  <c r="A562" i="2"/>
  <c r="F561" i="2"/>
  <c r="E561" i="2"/>
  <c r="D561" i="2"/>
  <c r="C561" i="2"/>
  <c r="B561" i="2"/>
  <c r="A561" i="2"/>
  <c r="F560" i="2"/>
  <c r="E560" i="2"/>
  <c r="D560" i="2"/>
  <c r="C560" i="2"/>
  <c r="B560" i="2"/>
  <c r="A560" i="2"/>
  <c r="F559" i="2"/>
  <c r="E559" i="2"/>
  <c r="D559" i="2"/>
  <c r="C559" i="2"/>
  <c r="B559" i="2"/>
  <c r="A559" i="2"/>
  <c r="F558" i="2"/>
  <c r="E558" i="2"/>
  <c r="D558" i="2"/>
  <c r="C558" i="2"/>
  <c r="B558" i="2"/>
  <c r="A558" i="2"/>
  <c r="F557" i="2"/>
  <c r="E557" i="2"/>
  <c r="D557" i="2"/>
  <c r="C557" i="2"/>
  <c r="B557" i="2"/>
  <c r="A557" i="2"/>
  <c r="F556" i="2"/>
  <c r="E556" i="2"/>
  <c r="D556" i="2"/>
  <c r="C556" i="2"/>
  <c r="B556" i="2"/>
  <c r="A556" i="2"/>
  <c r="F555" i="2"/>
  <c r="E555" i="2"/>
  <c r="D555" i="2"/>
  <c r="C555" i="2"/>
  <c r="B555" i="2"/>
  <c r="A555" i="2"/>
  <c r="F554" i="2"/>
  <c r="E554" i="2"/>
  <c r="D554" i="2"/>
  <c r="C554" i="2"/>
  <c r="B554" i="2"/>
  <c r="A554" i="2"/>
  <c r="F553" i="2"/>
  <c r="E553" i="2"/>
  <c r="D553" i="2"/>
  <c r="C553" i="2"/>
  <c r="B553" i="2"/>
  <c r="A553" i="2"/>
  <c r="F552" i="2"/>
  <c r="E552" i="2"/>
  <c r="D552" i="2"/>
  <c r="C552" i="2"/>
  <c r="B552" i="2"/>
  <c r="A552" i="2"/>
  <c r="F551" i="2"/>
  <c r="E551" i="2"/>
  <c r="D551" i="2"/>
  <c r="C551" i="2"/>
  <c r="B551" i="2"/>
  <c r="A551" i="2"/>
  <c r="F550" i="2"/>
  <c r="E550" i="2"/>
  <c r="D550" i="2"/>
  <c r="C550" i="2"/>
  <c r="B550" i="2"/>
  <c r="A550" i="2"/>
  <c r="F549" i="2"/>
  <c r="E549" i="2"/>
  <c r="D549" i="2"/>
  <c r="C549" i="2"/>
  <c r="B549" i="2"/>
  <c r="A549" i="2"/>
  <c r="F548" i="2"/>
  <c r="E548" i="2"/>
  <c r="D548" i="2"/>
  <c r="C548" i="2"/>
  <c r="B548" i="2"/>
  <c r="A548" i="2"/>
  <c r="F547" i="2"/>
  <c r="E547" i="2"/>
  <c r="D547" i="2"/>
  <c r="C547" i="2"/>
  <c r="B547" i="2"/>
  <c r="A547" i="2"/>
  <c r="F546" i="2"/>
  <c r="E546" i="2"/>
  <c r="D546" i="2"/>
  <c r="C546" i="2"/>
  <c r="B546" i="2"/>
  <c r="A546" i="2"/>
  <c r="F545" i="2"/>
  <c r="E545" i="2"/>
  <c r="D545" i="2"/>
  <c r="C545" i="2"/>
  <c r="B545" i="2"/>
  <c r="A545" i="2"/>
  <c r="F544" i="2"/>
  <c r="E544" i="2"/>
  <c r="D544" i="2"/>
  <c r="C544" i="2"/>
  <c r="B544" i="2"/>
  <c r="A544" i="2"/>
  <c r="F543" i="2"/>
  <c r="E543" i="2"/>
  <c r="D543" i="2"/>
  <c r="C543" i="2"/>
  <c r="B543" i="2"/>
  <c r="A543" i="2"/>
  <c r="F542" i="2"/>
  <c r="E542" i="2"/>
  <c r="D542" i="2"/>
  <c r="C542" i="2"/>
  <c r="B542" i="2"/>
  <c r="A542" i="2"/>
  <c r="F541" i="2"/>
  <c r="E541" i="2"/>
  <c r="D541" i="2"/>
  <c r="C541" i="2"/>
  <c r="B541" i="2"/>
  <c r="A541" i="2"/>
  <c r="F540" i="2"/>
  <c r="E540" i="2"/>
  <c r="D540" i="2"/>
  <c r="C540" i="2"/>
  <c r="B540" i="2"/>
  <c r="A540" i="2"/>
  <c r="F539" i="2"/>
  <c r="E539" i="2"/>
  <c r="D539" i="2"/>
  <c r="C539" i="2"/>
  <c r="B539" i="2"/>
  <c r="A539" i="2"/>
  <c r="F538" i="2"/>
  <c r="E538" i="2"/>
  <c r="D538" i="2"/>
  <c r="C538" i="2"/>
  <c r="B538" i="2"/>
  <c r="A538" i="2"/>
  <c r="F537" i="2"/>
  <c r="E537" i="2"/>
  <c r="D537" i="2"/>
  <c r="C537" i="2"/>
  <c r="B537" i="2"/>
  <c r="A537" i="2"/>
  <c r="F536" i="2"/>
  <c r="E536" i="2"/>
  <c r="D536" i="2"/>
  <c r="C536" i="2"/>
  <c r="B536" i="2"/>
  <c r="A536" i="2"/>
  <c r="F535" i="2"/>
  <c r="E535" i="2"/>
  <c r="D535" i="2"/>
  <c r="C535" i="2"/>
  <c r="B535" i="2"/>
  <c r="A535" i="2"/>
  <c r="F534" i="2"/>
  <c r="E534" i="2"/>
  <c r="D534" i="2"/>
  <c r="C534" i="2"/>
  <c r="B534" i="2"/>
  <c r="A534" i="2"/>
  <c r="F533" i="2"/>
  <c r="E533" i="2"/>
  <c r="D533" i="2"/>
  <c r="C533" i="2"/>
  <c r="B533" i="2"/>
  <c r="A533" i="2"/>
  <c r="F532" i="2"/>
  <c r="E532" i="2"/>
  <c r="D532" i="2"/>
  <c r="C532" i="2"/>
  <c r="B532" i="2"/>
  <c r="A532" i="2"/>
  <c r="F531" i="2"/>
  <c r="E531" i="2"/>
  <c r="D531" i="2"/>
  <c r="C531" i="2"/>
  <c r="B531" i="2"/>
  <c r="A531" i="2"/>
  <c r="F530" i="2"/>
  <c r="E530" i="2"/>
  <c r="D530" i="2"/>
  <c r="C530" i="2"/>
  <c r="B530" i="2"/>
  <c r="A530" i="2"/>
  <c r="F529" i="2"/>
  <c r="E529" i="2"/>
  <c r="D529" i="2"/>
  <c r="C529" i="2"/>
  <c r="B529" i="2"/>
  <c r="A529" i="2"/>
  <c r="F528" i="2"/>
  <c r="E528" i="2"/>
  <c r="D528" i="2"/>
  <c r="C528" i="2"/>
  <c r="B528" i="2"/>
  <c r="A528" i="2"/>
  <c r="F527" i="2"/>
  <c r="E527" i="2"/>
  <c r="D527" i="2"/>
  <c r="C527" i="2"/>
  <c r="B527" i="2"/>
  <c r="A527" i="2"/>
  <c r="F526" i="2"/>
  <c r="E526" i="2"/>
  <c r="D526" i="2"/>
  <c r="C526" i="2"/>
  <c r="B526" i="2"/>
  <c r="A526" i="2"/>
  <c r="F525" i="2"/>
  <c r="E525" i="2"/>
  <c r="D525" i="2"/>
  <c r="C525" i="2"/>
  <c r="B525" i="2"/>
  <c r="A525" i="2"/>
  <c r="F524" i="2"/>
  <c r="E524" i="2"/>
  <c r="D524" i="2"/>
  <c r="C524" i="2"/>
  <c r="B524" i="2"/>
  <c r="A524" i="2"/>
  <c r="F523" i="2"/>
  <c r="E523" i="2"/>
  <c r="D523" i="2"/>
  <c r="C523" i="2"/>
  <c r="B523" i="2"/>
  <c r="A523" i="2"/>
  <c r="F522" i="2"/>
  <c r="E522" i="2"/>
  <c r="D522" i="2"/>
  <c r="C522" i="2"/>
  <c r="B522" i="2"/>
  <c r="A522" i="2"/>
  <c r="F521" i="2"/>
  <c r="E521" i="2"/>
  <c r="D521" i="2"/>
  <c r="C521" i="2"/>
  <c r="B521" i="2"/>
  <c r="A521" i="2"/>
  <c r="F520" i="2"/>
  <c r="E520" i="2"/>
  <c r="D520" i="2"/>
  <c r="C520" i="2"/>
  <c r="B520" i="2"/>
  <c r="A520" i="2"/>
  <c r="F519" i="2"/>
  <c r="E519" i="2"/>
  <c r="D519" i="2"/>
  <c r="C519" i="2"/>
  <c r="B519" i="2"/>
  <c r="A519" i="2"/>
  <c r="F518" i="2"/>
  <c r="E518" i="2"/>
  <c r="D518" i="2"/>
  <c r="C518" i="2"/>
  <c r="B518" i="2"/>
  <c r="A518" i="2"/>
  <c r="F517" i="2"/>
  <c r="E517" i="2"/>
  <c r="D517" i="2"/>
  <c r="C517" i="2"/>
  <c r="B517" i="2"/>
  <c r="A517" i="2"/>
  <c r="F516" i="2"/>
  <c r="E516" i="2"/>
  <c r="D516" i="2"/>
  <c r="C516" i="2"/>
  <c r="B516" i="2"/>
  <c r="A516" i="2"/>
  <c r="F515" i="2"/>
  <c r="E515" i="2"/>
  <c r="D515" i="2"/>
  <c r="C515" i="2"/>
  <c r="B515" i="2"/>
  <c r="A515" i="2"/>
  <c r="F514" i="2"/>
  <c r="E514" i="2"/>
  <c r="D514" i="2"/>
  <c r="C514" i="2"/>
  <c r="B514" i="2"/>
  <c r="A514" i="2"/>
  <c r="F513" i="2"/>
  <c r="E513" i="2"/>
  <c r="D513" i="2"/>
  <c r="C513" i="2"/>
  <c r="B513" i="2"/>
  <c r="A513" i="2"/>
  <c r="F512" i="2"/>
  <c r="E512" i="2"/>
  <c r="D512" i="2"/>
  <c r="C512" i="2"/>
  <c r="B512" i="2"/>
  <c r="A512" i="2"/>
  <c r="F511" i="2"/>
  <c r="E511" i="2"/>
  <c r="D511" i="2"/>
  <c r="C511" i="2"/>
  <c r="B511" i="2"/>
  <c r="A511" i="2"/>
  <c r="F510" i="2"/>
  <c r="E510" i="2"/>
  <c r="D510" i="2"/>
  <c r="C510" i="2"/>
  <c r="B510" i="2"/>
  <c r="A510" i="2"/>
  <c r="F509" i="2"/>
  <c r="E509" i="2"/>
  <c r="D509" i="2"/>
  <c r="C509" i="2"/>
  <c r="B509" i="2"/>
  <c r="A509" i="2"/>
  <c r="F508" i="2"/>
  <c r="E508" i="2"/>
  <c r="D508" i="2"/>
  <c r="C508" i="2"/>
  <c r="B508" i="2"/>
  <c r="A508" i="2"/>
  <c r="F507" i="2"/>
  <c r="E507" i="2"/>
  <c r="D507" i="2"/>
  <c r="C507" i="2"/>
  <c r="B507" i="2"/>
  <c r="A507" i="2"/>
  <c r="F506" i="2"/>
  <c r="E506" i="2"/>
  <c r="D506" i="2"/>
  <c r="C506" i="2"/>
  <c r="B506" i="2"/>
  <c r="A506" i="2"/>
  <c r="F505" i="2"/>
  <c r="E505" i="2"/>
  <c r="D505" i="2"/>
  <c r="C505" i="2"/>
  <c r="B505" i="2"/>
  <c r="A505" i="2"/>
  <c r="F504" i="2"/>
  <c r="E504" i="2"/>
  <c r="D504" i="2"/>
  <c r="C504" i="2"/>
  <c r="B504" i="2"/>
  <c r="A504" i="2"/>
  <c r="F503" i="2"/>
  <c r="E503" i="2"/>
  <c r="D503" i="2"/>
  <c r="C503" i="2"/>
  <c r="B503" i="2"/>
  <c r="A503" i="2"/>
  <c r="F502" i="2"/>
  <c r="E502" i="2"/>
  <c r="D502" i="2"/>
  <c r="C502" i="2"/>
  <c r="B502" i="2"/>
  <c r="A502" i="2"/>
  <c r="F501" i="2"/>
  <c r="E501" i="2"/>
  <c r="D501" i="2"/>
  <c r="C501" i="2"/>
  <c r="B501" i="2"/>
  <c r="A501" i="2"/>
  <c r="F500" i="2"/>
  <c r="E500" i="2"/>
  <c r="D500" i="2"/>
  <c r="C500" i="2"/>
  <c r="B500" i="2"/>
  <c r="A500" i="2"/>
  <c r="F499" i="2"/>
  <c r="E499" i="2"/>
  <c r="D499" i="2"/>
  <c r="C499" i="2"/>
  <c r="B499" i="2"/>
  <c r="A499" i="2"/>
  <c r="F498" i="2"/>
  <c r="E498" i="2"/>
  <c r="D498" i="2"/>
  <c r="C498" i="2"/>
  <c r="B498" i="2"/>
  <c r="A498" i="2"/>
  <c r="F497" i="2"/>
  <c r="E497" i="2"/>
  <c r="D497" i="2"/>
  <c r="C497" i="2"/>
  <c r="B497" i="2"/>
  <c r="A497" i="2"/>
  <c r="F496" i="2"/>
  <c r="E496" i="2"/>
  <c r="D496" i="2"/>
  <c r="C496" i="2"/>
  <c r="B496" i="2"/>
  <c r="A496" i="2"/>
  <c r="F495" i="2"/>
  <c r="E495" i="2"/>
  <c r="D495" i="2"/>
  <c r="C495" i="2"/>
  <c r="B495" i="2"/>
  <c r="A495" i="2"/>
  <c r="F494" i="2"/>
  <c r="E494" i="2"/>
  <c r="D494" i="2"/>
  <c r="C494" i="2"/>
  <c r="B494" i="2"/>
  <c r="A494" i="2"/>
  <c r="F493" i="2"/>
  <c r="E493" i="2"/>
  <c r="D493" i="2"/>
  <c r="C493" i="2"/>
  <c r="B493" i="2"/>
  <c r="A493" i="2"/>
  <c r="F492" i="2"/>
  <c r="E492" i="2"/>
  <c r="D492" i="2"/>
  <c r="C492" i="2"/>
  <c r="B492" i="2"/>
  <c r="A492" i="2"/>
  <c r="F491" i="2"/>
  <c r="E491" i="2"/>
  <c r="D491" i="2"/>
  <c r="C491" i="2"/>
  <c r="B491" i="2"/>
  <c r="A491" i="2"/>
  <c r="F490" i="2"/>
  <c r="E490" i="2"/>
  <c r="D490" i="2"/>
  <c r="C490" i="2"/>
  <c r="B490" i="2"/>
  <c r="A490" i="2"/>
  <c r="F489" i="2"/>
  <c r="E489" i="2"/>
  <c r="D489" i="2"/>
  <c r="C489" i="2"/>
  <c r="B489" i="2"/>
  <c r="A489" i="2"/>
  <c r="F488" i="2"/>
  <c r="E488" i="2"/>
  <c r="D488" i="2"/>
  <c r="C488" i="2"/>
  <c r="B488" i="2"/>
  <c r="A488" i="2"/>
  <c r="F487" i="2"/>
  <c r="E487" i="2"/>
  <c r="D487" i="2"/>
  <c r="C487" i="2"/>
  <c r="B487" i="2"/>
  <c r="A487" i="2"/>
  <c r="F486" i="2"/>
  <c r="E486" i="2"/>
  <c r="D486" i="2"/>
  <c r="C486" i="2"/>
  <c r="B486" i="2"/>
  <c r="A486" i="2"/>
  <c r="F485" i="2"/>
  <c r="E485" i="2"/>
  <c r="D485" i="2"/>
  <c r="C485" i="2"/>
  <c r="B485" i="2"/>
  <c r="A485" i="2"/>
  <c r="F484" i="2"/>
  <c r="E484" i="2"/>
  <c r="D484" i="2"/>
  <c r="C484" i="2"/>
  <c r="B484" i="2"/>
  <c r="A484" i="2"/>
  <c r="F483" i="2"/>
  <c r="E483" i="2"/>
  <c r="D483" i="2"/>
  <c r="C483" i="2"/>
  <c r="B483" i="2"/>
  <c r="A483" i="2"/>
  <c r="F482" i="2"/>
  <c r="E482" i="2"/>
  <c r="D482" i="2"/>
  <c r="C482" i="2"/>
  <c r="B482" i="2"/>
  <c r="A482" i="2"/>
  <c r="F481" i="2"/>
  <c r="E481" i="2"/>
  <c r="D481" i="2"/>
  <c r="C481" i="2"/>
  <c r="B481" i="2"/>
  <c r="A481" i="2"/>
  <c r="F480" i="2"/>
  <c r="E480" i="2"/>
  <c r="D480" i="2"/>
  <c r="C480" i="2"/>
  <c r="B480" i="2"/>
  <c r="A480" i="2"/>
  <c r="F479" i="2"/>
  <c r="E479" i="2"/>
  <c r="D479" i="2"/>
  <c r="C479" i="2"/>
  <c r="B479" i="2"/>
  <c r="A479" i="2"/>
  <c r="F478" i="2"/>
  <c r="E478" i="2"/>
  <c r="D478" i="2"/>
  <c r="C478" i="2"/>
  <c r="B478" i="2"/>
  <c r="A478" i="2"/>
  <c r="F477" i="2"/>
  <c r="E477" i="2"/>
  <c r="D477" i="2"/>
  <c r="C477" i="2"/>
  <c r="B477" i="2"/>
  <c r="A477" i="2"/>
  <c r="F476" i="2"/>
  <c r="E476" i="2"/>
  <c r="D476" i="2"/>
  <c r="C476" i="2"/>
  <c r="B476" i="2"/>
  <c r="A476" i="2"/>
  <c r="F475" i="2"/>
  <c r="E475" i="2"/>
  <c r="D475" i="2"/>
  <c r="C475" i="2"/>
  <c r="B475" i="2"/>
  <c r="A475" i="2"/>
  <c r="F474" i="2"/>
  <c r="E474" i="2"/>
  <c r="D474" i="2"/>
  <c r="C474" i="2"/>
  <c r="B474" i="2"/>
  <c r="A474" i="2"/>
  <c r="F473" i="2"/>
  <c r="E473" i="2"/>
  <c r="D473" i="2"/>
  <c r="C473" i="2"/>
  <c r="B473" i="2"/>
  <c r="A473" i="2"/>
  <c r="F472" i="2"/>
  <c r="E472" i="2"/>
  <c r="D472" i="2"/>
  <c r="C472" i="2"/>
  <c r="B472" i="2"/>
  <c r="A472" i="2"/>
  <c r="F471" i="2"/>
  <c r="E471" i="2"/>
  <c r="D471" i="2"/>
  <c r="C471" i="2"/>
  <c r="B471" i="2"/>
  <c r="A471" i="2"/>
  <c r="F470" i="2"/>
  <c r="E470" i="2"/>
  <c r="D470" i="2"/>
  <c r="C470" i="2"/>
  <c r="B470" i="2"/>
  <c r="A470" i="2"/>
  <c r="F469" i="2"/>
  <c r="E469" i="2"/>
  <c r="D469" i="2"/>
  <c r="C469" i="2"/>
  <c r="B469" i="2"/>
  <c r="A469" i="2"/>
  <c r="F468" i="2"/>
  <c r="E468" i="2"/>
  <c r="D468" i="2"/>
  <c r="C468" i="2"/>
  <c r="B468" i="2"/>
  <c r="A468" i="2"/>
  <c r="F467" i="2"/>
  <c r="E467" i="2"/>
  <c r="D467" i="2"/>
  <c r="C467" i="2"/>
  <c r="B467" i="2"/>
  <c r="A467" i="2"/>
  <c r="F466" i="2"/>
  <c r="E466" i="2"/>
  <c r="D466" i="2"/>
  <c r="C466" i="2"/>
  <c r="B466" i="2"/>
  <c r="A466" i="2"/>
  <c r="F465" i="2"/>
  <c r="E465" i="2"/>
  <c r="D465" i="2"/>
  <c r="C465" i="2"/>
  <c r="B465" i="2"/>
  <c r="A465" i="2"/>
  <c r="F464" i="2"/>
  <c r="E464" i="2"/>
  <c r="D464" i="2"/>
  <c r="C464" i="2"/>
  <c r="B464" i="2"/>
  <c r="A464" i="2"/>
  <c r="F463" i="2"/>
  <c r="E463" i="2"/>
  <c r="D463" i="2"/>
  <c r="C463" i="2"/>
  <c r="B463" i="2"/>
  <c r="A463" i="2"/>
  <c r="F462" i="2"/>
  <c r="E462" i="2"/>
  <c r="D462" i="2"/>
  <c r="C462" i="2"/>
  <c r="B462" i="2"/>
  <c r="A462" i="2"/>
  <c r="F461" i="2"/>
  <c r="E461" i="2"/>
  <c r="D461" i="2"/>
  <c r="C461" i="2"/>
  <c r="B461" i="2"/>
  <c r="A461" i="2"/>
  <c r="F460" i="2"/>
  <c r="E460" i="2"/>
  <c r="D460" i="2"/>
  <c r="C460" i="2"/>
  <c r="B460" i="2"/>
  <c r="A460" i="2"/>
  <c r="F459" i="2"/>
  <c r="E459" i="2"/>
  <c r="D459" i="2"/>
  <c r="C459" i="2"/>
  <c r="B459" i="2"/>
  <c r="A459" i="2"/>
  <c r="F458" i="2"/>
  <c r="E458" i="2"/>
  <c r="D458" i="2"/>
  <c r="C458" i="2"/>
  <c r="B458" i="2"/>
  <c r="A458" i="2"/>
  <c r="F457" i="2"/>
  <c r="E457" i="2"/>
  <c r="D457" i="2"/>
  <c r="C457" i="2"/>
  <c r="B457" i="2"/>
  <c r="A457" i="2"/>
  <c r="F456" i="2"/>
  <c r="E456" i="2"/>
  <c r="D456" i="2"/>
  <c r="C456" i="2"/>
  <c r="B456" i="2"/>
  <c r="A456" i="2"/>
  <c r="F455" i="2"/>
  <c r="E455" i="2"/>
  <c r="D455" i="2"/>
  <c r="C455" i="2"/>
  <c r="B455" i="2"/>
  <c r="A455" i="2"/>
  <c r="F454" i="2"/>
  <c r="E454" i="2"/>
  <c r="D454" i="2"/>
  <c r="C454" i="2"/>
  <c r="B454" i="2"/>
  <c r="A454" i="2"/>
  <c r="F453" i="2"/>
  <c r="E453" i="2"/>
  <c r="D453" i="2"/>
  <c r="C453" i="2"/>
  <c r="B453" i="2"/>
  <c r="A453" i="2"/>
  <c r="F452" i="2"/>
  <c r="E452" i="2"/>
  <c r="D452" i="2"/>
  <c r="C452" i="2"/>
  <c r="B452" i="2"/>
  <c r="A452" i="2"/>
  <c r="F451" i="2"/>
  <c r="E451" i="2"/>
  <c r="D451" i="2"/>
  <c r="C451" i="2"/>
  <c r="B451" i="2"/>
  <c r="A451" i="2"/>
  <c r="F450" i="2"/>
  <c r="E450" i="2"/>
  <c r="D450" i="2"/>
  <c r="C450" i="2"/>
  <c r="B450" i="2"/>
  <c r="A450" i="2"/>
  <c r="F449" i="2"/>
  <c r="E449" i="2"/>
  <c r="D449" i="2"/>
  <c r="C449" i="2"/>
  <c r="B449" i="2"/>
  <c r="A449" i="2"/>
  <c r="F448" i="2"/>
  <c r="E448" i="2"/>
  <c r="D448" i="2"/>
  <c r="C448" i="2"/>
  <c r="B448" i="2"/>
  <c r="A448" i="2"/>
  <c r="F447" i="2"/>
  <c r="E447" i="2"/>
  <c r="D447" i="2"/>
  <c r="C447" i="2"/>
  <c r="B447" i="2"/>
  <c r="A447" i="2"/>
  <c r="F446" i="2"/>
  <c r="E446" i="2"/>
  <c r="D446" i="2"/>
  <c r="C446" i="2"/>
  <c r="B446" i="2"/>
  <c r="A446" i="2"/>
  <c r="F445" i="2"/>
  <c r="E445" i="2"/>
  <c r="D445" i="2"/>
  <c r="C445" i="2"/>
  <c r="B445" i="2"/>
  <c r="A445" i="2"/>
  <c r="F444" i="2"/>
  <c r="E444" i="2"/>
  <c r="D444" i="2"/>
  <c r="C444" i="2"/>
  <c r="B444" i="2"/>
  <c r="A444" i="2"/>
  <c r="F443" i="2"/>
  <c r="E443" i="2"/>
  <c r="D443" i="2"/>
  <c r="C443" i="2"/>
  <c r="B443" i="2"/>
  <c r="A443" i="2"/>
  <c r="F442" i="2"/>
  <c r="E442" i="2"/>
  <c r="D442" i="2"/>
  <c r="C442" i="2"/>
  <c r="B442" i="2"/>
  <c r="A442" i="2"/>
  <c r="F441" i="2"/>
  <c r="E441" i="2"/>
  <c r="D441" i="2"/>
  <c r="C441" i="2"/>
  <c r="B441" i="2"/>
  <c r="A441" i="2"/>
  <c r="F440" i="2"/>
  <c r="E440" i="2"/>
  <c r="D440" i="2"/>
  <c r="C440" i="2"/>
  <c r="B440" i="2"/>
  <c r="A440" i="2"/>
  <c r="F439" i="2"/>
  <c r="E439" i="2"/>
  <c r="D439" i="2"/>
  <c r="C439" i="2"/>
  <c r="B439" i="2"/>
  <c r="A439" i="2"/>
  <c r="F438" i="2"/>
  <c r="E438" i="2"/>
  <c r="D438" i="2"/>
  <c r="C438" i="2"/>
  <c r="B438" i="2"/>
  <c r="A438" i="2"/>
  <c r="F437" i="2"/>
  <c r="E437" i="2"/>
  <c r="D437" i="2"/>
  <c r="C437" i="2"/>
  <c r="B437" i="2"/>
  <c r="A437" i="2"/>
  <c r="F436" i="2"/>
  <c r="E436" i="2"/>
  <c r="D436" i="2"/>
  <c r="C436" i="2"/>
  <c r="B436" i="2"/>
  <c r="A436" i="2"/>
  <c r="F435" i="2"/>
  <c r="E435" i="2"/>
  <c r="D435" i="2"/>
  <c r="C435" i="2"/>
  <c r="B435" i="2"/>
  <c r="A435" i="2"/>
  <c r="F434" i="2"/>
  <c r="E434" i="2"/>
  <c r="D434" i="2"/>
  <c r="C434" i="2"/>
  <c r="B434" i="2"/>
  <c r="A434" i="2"/>
  <c r="F433" i="2"/>
  <c r="E433" i="2"/>
  <c r="D433" i="2"/>
  <c r="C433" i="2"/>
  <c r="B433" i="2"/>
  <c r="A433" i="2"/>
  <c r="F432" i="2"/>
  <c r="E432" i="2"/>
  <c r="D432" i="2"/>
  <c r="C432" i="2"/>
  <c r="B432" i="2"/>
  <c r="A432" i="2"/>
  <c r="F431" i="2"/>
  <c r="E431" i="2"/>
  <c r="D431" i="2"/>
  <c r="C431" i="2"/>
  <c r="B431" i="2"/>
  <c r="A431" i="2"/>
  <c r="F430" i="2"/>
  <c r="E430" i="2"/>
  <c r="D430" i="2"/>
  <c r="C430" i="2"/>
  <c r="B430" i="2"/>
  <c r="A430" i="2"/>
  <c r="F429" i="2"/>
  <c r="E429" i="2"/>
  <c r="D429" i="2"/>
  <c r="C429" i="2"/>
  <c r="B429" i="2"/>
  <c r="A429" i="2"/>
  <c r="F428" i="2"/>
  <c r="E428" i="2"/>
  <c r="D428" i="2"/>
  <c r="C428" i="2"/>
  <c r="B428" i="2"/>
  <c r="A428" i="2"/>
  <c r="F427" i="2"/>
  <c r="E427" i="2"/>
  <c r="D427" i="2"/>
  <c r="C427" i="2"/>
  <c r="B427" i="2"/>
  <c r="A427" i="2"/>
  <c r="F426" i="2"/>
  <c r="E426" i="2"/>
  <c r="D426" i="2"/>
  <c r="C426" i="2"/>
  <c r="B426" i="2"/>
  <c r="A426" i="2"/>
  <c r="F425" i="2"/>
  <c r="E425" i="2"/>
  <c r="D425" i="2"/>
  <c r="C425" i="2"/>
  <c r="B425" i="2"/>
  <c r="A425" i="2"/>
  <c r="F424" i="2"/>
  <c r="E424" i="2"/>
  <c r="D424" i="2"/>
  <c r="C424" i="2"/>
  <c r="B424" i="2"/>
  <c r="A424" i="2"/>
  <c r="F423" i="2"/>
  <c r="E423" i="2"/>
  <c r="D423" i="2"/>
  <c r="C423" i="2"/>
  <c r="B423" i="2"/>
  <c r="A423" i="2"/>
  <c r="F422" i="2"/>
  <c r="E422" i="2"/>
  <c r="D422" i="2"/>
  <c r="C422" i="2"/>
  <c r="B422" i="2"/>
  <c r="A422" i="2"/>
  <c r="F421" i="2"/>
  <c r="E421" i="2"/>
  <c r="D421" i="2"/>
  <c r="C421" i="2"/>
  <c r="B421" i="2"/>
  <c r="A421" i="2"/>
  <c r="F420" i="2"/>
  <c r="E420" i="2"/>
  <c r="D420" i="2"/>
  <c r="C420" i="2"/>
  <c r="B420" i="2"/>
  <c r="A420" i="2"/>
  <c r="F419" i="2"/>
  <c r="E419" i="2"/>
  <c r="D419" i="2"/>
  <c r="C419" i="2"/>
  <c r="B419" i="2"/>
  <c r="A419" i="2"/>
  <c r="F418" i="2"/>
  <c r="E418" i="2"/>
  <c r="D418" i="2"/>
  <c r="C418" i="2"/>
  <c r="B418" i="2"/>
  <c r="A418" i="2"/>
  <c r="F417" i="2"/>
  <c r="E417" i="2"/>
  <c r="D417" i="2"/>
  <c r="C417" i="2"/>
  <c r="B417" i="2"/>
  <c r="A417" i="2"/>
  <c r="F416" i="2"/>
  <c r="E416" i="2"/>
  <c r="D416" i="2"/>
  <c r="C416" i="2"/>
  <c r="B416" i="2"/>
  <c r="A416" i="2"/>
  <c r="F415" i="2"/>
  <c r="E415" i="2"/>
  <c r="D415" i="2"/>
  <c r="C415" i="2"/>
  <c r="B415" i="2"/>
  <c r="A415" i="2"/>
  <c r="F414" i="2"/>
  <c r="E414" i="2"/>
  <c r="D414" i="2"/>
  <c r="C414" i="2"/>
  <c r="B414" i="2"/>
  <c r="A414" i="2"/>
  <c r="F413" i="2"/>
  <c r="E413" i="2"/>
  <c r="D413" i="2"/>
  <c r="C413" i="2"/>
  <c r="B413" i="2"/>
  <c r="A413" i="2"/>
  <c r="F412" i="2"/>
  <c r="E412" i="2"/>
  <c r="D412" i="2"/>
  <c r="C412" i="2"/>
  <c r="B412" i="2"/>
  <c r="A412" i="2"/>
  <c r="F411" i="2"/>
  <c r="E411" i="2"/>
  <c r="D411" i="2"/>
  <c r="C411" i="2"/>
  <c r="B411" i="2"/>
  <c r="A411" i="2"/>
  <c r="F410" i="2"/>
  <c r="E410" i="2"/>
  <c r="D410" i="2"/>
  <c r="C410" i="2"/>
  <c r="B410" i="2"/>
  <c r="A410" i="2"/>
  <c r="F409" i="2"/>
  <c r="E409" i="2"/>
  <c r="D409" i="2"/>
  <c r="C409" i="2"/>
  <c r="B409" i="2"/>
  <c r="A409" i="2"/>
  <c r="F408" i="2"/>
  <c r="E408" i="2"/>
  <c r="D408" i="2"/>
  <c r="C408" i="2"/>
  <c r="B408" i="2"/>
  <c r="A408" i="2"/>
  <c r="F407" i="2"/>
  <c r="E407" i="2"/>
  <c r="D407" i="2"/>
  <c r="C407" i="2"/>
  <c r="B407" i="2"/>
  <c r="A407" i="2"/>
  <c r="F406" i="2"/>
  <c r="E406" i="2"/>
  <c r="D406" i="2"/>
  <c r="C406" i="2"/>
  <c r="B406" i="2"/>
  <c r="A406" i="2"/>
  <c r="F405" i="2"/>
  <c r="E405" i="2"/>
  <c r="D405" i="2"/>
  <c r="C405" i="2"/>
  <c r="B405" i="2"/>
  <c r="A405" i="2"/>
  <c r="F404" i="2"/>
  <c r="E404" i="2"/>
  <c r="D404" i="2"/>
  <c r="C404" i="2"/>
  <c r="B404" i="2"/>
  <c r="A404" i="2"/>
  <c r="F403" i="2"/>
  <c r="E403" i="2"/>
  <c r="D403" i="2"/>
  <c r="C403" i="2"/>
  <c r="B403" i="2"/>
  <c r="A403" i="2"/>
  <c r="F402" i="2"/>
  <c r="E402" i="2"/>
  <c r="D402" i="2"/>
  <c r="C402" i="2"/>
  <c r="B402" i="2"/>
  <c r="A402" i="2"/>
  <c r="F401" i="2"/>
  <c r="E401" i="2"/>
  <c r="D401" i="2"/>
  <c r="C401" i="2"/>
  <c r="B401" i="2"/>
  <c r="A401" i="2"/>
  <c r="F400" i="2"/>
  <c r="E400" i="2"/>
  <c r="D400" i="2"/>
  <c r="C400" i="2"/>
  <c r="B400" i="2"/>
  <c r="A400" i="2"/>
  <c r="F399" i="2"/>
  <c r="E399" i="2"/>
  <c r="D399" i="2"/>
  <c r="C399" i="2"/>
  <c r="B399" i="2"/>
  <c r="A399" i="2"/>
  <c r="F398" i="2"/>
  <c r="E398" i="2"/>
  <c r="D398" i="2"/>
  <c r="C398" i="2"/>
  <c r="B398" i="2"/>
  <c r="A398" i="2"/>
  <c r="F397" i="2"/>
  <c r="E397" i="2"/>
  <c r="D397" i="2"/>
  <c r="C397" i="2"/>
  <c r="B397" i="2"/>
  <c r="A397" i="2"/>
  <c r="F396" i="2"/>
  <c r="E396" i="2"/>
  <c r="D396" i="2"/>
  <c r="C396" i="2"/>
  <c r="B396" i="2"/>
  <c r="A396" i="2"/>
  <c r="F395" i="2"/>
  <c r="E395" i="2"/>
  <c r="D395" i="2"/>
  <c r="C395" i="2"/>
  <c r="B395" i="2"/>
  <c r="A395" i="2"/>
  <c r="F394" i="2"/>
  <c r="E394" i="2"/>
  <c r="D394" i="2"/>
  <c r="C394" i="2"/>
  <c r="B394" i="2"/>
  <c r="A394" i="2"/>
  <c r="F393" i="2"/>
  <c r="E393" i="2"/>
  <c r="D393" i="2"/>
  <c r="C393" i="2"/>
  <c r="B393" i="2"/>
  <c r="A393" i="2"/>
  <c r="F392" i="2"/>
  <c r="E392" i="2"/>
  <c r="D392" i="2"/>
  <c r="C392" i="2"/>
  <c r="B392" i="2"/>
  <c r="A392" i="2"/>
  <c r="F391" i="2"/>
  <c r="E391" i="2"/>
  <c r="D391" i="2"/>
  <c r="C391" i="2"/>
  <c r="B391" i="2"/>
  <c r="A391" i="2"/>
  <c r="F390" i="2"/>
  <c r="E390" i="2"/>
  <c r="D390" i="2"/>
  <c r="C390" i="2"/>
  <c r="B390" i="2"/>
  <c r="A390" i="2"/>
  <c r="F389" i="2"/>
  <c r="E389" i="2"/>
  <c r="D389" i="2"/>
  <c r="C389" i="2"/>
  <c r="B389" i="2"/>
  <c r="A389" i="2"/>
  <c r="F388" i="2"/>
  <c r="E388" i="2"/>
  <c r="D388" i="2"/>
  <c r="C388" i="2"/>
  <c r="B388" i="2"/>
  <c r="A388" i="2"/>
  <c r="F387" i="2"/>
  <c r="E387" i="2"/>
  <c r="D387" i="2"/>
  <c r="C387" i="2"/>
  <c r="B387" i="2"/>
  <c r="A387" i="2"/>
  <c r="F386" i="2"/>
  <c r="E386" i="2"/>
  <c r="D386" i="2"/>
  <c r="C386" i="2"/>
  <c r="B386" i="2"/>
  <c r="A386" i="2"/>
  <c r="F385" i="2"/>
  <c r="E385" i="2"/>
  <c r="D385" i="2"/>
  <c r="C385" i="2"/>
  <c r="B385" i="2"/>
  <c r="A385" i="2"/>
  <c r="F384" i="2"/>
  <c r="E384" i="2"/>
  <c r="D384" i="2"/>
  <c r="C384" i="2"/>
  <c r="B384" i="2"/>
  <c r="A384" i="2"/>
  <c r="F383" i="2"/>
  <c r="E383" i="2"/>
  <c r="D383" i="2"/>
  <c r="C383" i="2"/>
  <c r="B383" i="2"/>
  <c r="A383" i="2"/>
  <c r="F382" i="2"/>
  <c r="E382" i="2"/>
  <c r="D382" i="2"/>
  <c r="C382" i="2"/>
  <c r="B382" i="2"/>
  <c r="A382" i="2"/>
  <c r="F381" i="2"/>
  <c r="E381" i="2"/>
  <c r="D381" i="2"/>
  <c r="C381" i="2"/>
  <c r="B381" i="2"/>
  <c r="A381" i="2"/>
  <c r="F380" i="2"/>
  <c r="E380" i="2"/>
  <c r="D380" i="2"/>
  <c r="C380" i="2"/>
  <c r="B380" i="2"/>
  <c r="A380" i="2"/>
  <c r="F379" i="2"/>
  <c r="E379" i="2"/>
  <c r="D379" i="2"/>
  <c r="C379" i="2"/>
  <c r="B379" i="2"/>
  <c r="A379" i="2"/>
  <c r="F378" i="2"/>
  <c r="E378" i="2"/>
  <c r="D378" i="2"/>
  <c r="C378" i="2"/>
  <c r="B378" i="2"/>
  <c r="A378" i="2"/>
  <c r="F377" i="2"/>
  <c r="E377" i="2"/>
  <c r="D377" i="2"/>
  <c r="C377" i="2"/>
  <c r="B377" i="2"/>
  <c r="A377" i="2"/>
  <c r="F376" i="2"/>
  <c r="E376" i="2"/>
  <c r="D376" i="2"/>
  <c r="C376" i="2"/>
  <c r="B376" i="2"/>
  <c r="A376" i="2"/>
  <c r="F375" i="2"/>
  <c r="E375" i="2"/>
  <c r="D375" i="2"/>
  <c r="C375" i="2"/>
  <c r="B375" i="2"/>
  <c r="A375" i="2"/>
  <c r="F374" i="2"/>
  <c r="E374" i="2"/>
  <c r="D374" i="2"/>
  <c r="C374" i="2"/>
  <c r="B374" i="2"/>
  <c r="A374" i="2"/>
  <c r="F373" i="2"/>
  <c r="E373" i="2"/>
  <c r="D373" i="2"/>
  <c r="C373" i="2"/>
  <c r="B373" i="2"/>
  <c r="A373" i="2"/>
  <c r="F372" i="2"/>
  <c r="E372" i="2"/>
  <c r="D372" i="2"/>
  <c r="C372" i="2"/>
  <c r="B372" i="2"/>
  <c r="A372" i="2"/>
  <c r="F371" i="2"/>
  <c r="E371" i="2"/>
  <c r="D371" i="2"/>
  <c r="C371" i="2"/>
  <c r="B371" i="2"/>
  <c r="A371" i="2"/>
  <c r="F370" i="2"/>
  <c r="E370" i="2"/>
  <c r="D370" i="2"/>
  <c r="C370" i="2"/>
  <c r="B370" i="2"/>
  <c r="A370" i="2"/>
  <c r="F369" i="2"/>
  <c r="E369" i="2"/>
  <c r="D369" i="2"/>
  <c r="C369" i="2"/>
  <c r="B369" i="2"/>
  <c r="A369" i="2"/>
  <c r="F368" i="2"/>
  <c r="E368" i="2"/>
  <c r="D368" i="2"/>
  <c r="C368" i="2"/>
  <c r="B368" i="2"/>
  <c r="A368" i="2"/>
  <c r="F367" i="2"/>
  <c r="E367" i="2"/>
  <c r="D367" i="2"/>
  <c r="C367" i="2"/>
  <c r="B367" i="2"/>
  <c r="A367" i="2"/>
  <c r="F366" i="2"/>
  <c r="E366" i="2"/>
  <c r="D366" i="2"/>
  <c r="C366" i="2"/>
  <c r="B366" i="2"/>
  <c r="A366" i="2"/>
  <c r="F365" i="2"/>
  <c r="E365" i="2"/>
  <c r="D365" i="2"/>
  <c r="C365" i="2"/>
  <c r="B365" i="2"/>
  <c r="A365" i="2"/>
  <c r="F364" i="2"/>
  <c r="E364" i="2"/>
  <c r="D364" i="2"/>
  <c r="C364" i="2"/>
  <c r="B364" i="2"/>
  <c r="A364" i="2"/>
  <c r="F363" i="2"/>
  <c r="E363" i="2"/>
  <c r="D363" i="2"/>
  <c r="C363" i="2"/>
  <c r="B363" i="2"/>
  <c r="A363" i="2"/>
  <c r="F362" i="2"/>
  <c r="E362" i="2"/>
  <c r="D362" i="2"/>
  <c r="C362" i="2"/>
  <c r="B362" i="2"/>
  <c r="A362" i="2"/>
  <c r="F361" i="2"/>
  <c r="E361" i="2"/>
  <c r="D361" i="2"/>
  <c r="C361" i="2"/>
  <c r="B361" i="2"/>
  <c r="A361" i="2"/>
  <c r="F360" i="2"/>
  <c r="E360" i="2"/>
  <c r="D360" i="2"/>
  <c r="C360" i="2"/>
  <c r="B360" i="2"/>
  <c r="A360" i="2"/>
  <c r="F359" i="2"/>
  <c r="E359" i="2"/>
  <c r="D359" i="2"/>
  <c r="C359" i="2"/>
  <c r="B359" i="2"/>
  <c r="A359" i="2"/>
  <c r="F358" i="2"/>
  <c r="E358" i="2"/>
  <c r="D358" i="2"/>
  <c r="C358" i="2"/>
  <c r="B358" i="2"/>
  <c r="A358" i="2"/>
  <c r="F357" i="2"/>
  <c r="E357" i="2"/>
  <c r="D357" i="2"/>
  <c r="C357" i="2"/>
  <c r="B357" i="2"/>
  <c r="A357" i="2"/>
  <c r="F356" i="2"/>
  <c r="E356" i="2"/>
  <c r="D356" i="2"/>
  <c r="C356" i="2"/>
  <c r="B356" i="2"/>
  <c r="A356" i="2"/>
  <c r="F355" i="2"/>
  <c r="E355" i="2"/>
  <c r="D355" i="2"/>
  <c r="C355" i="2"/>
  <c r="B355" i="2"/>
  <c r="A355" i="2"/>
  <c r="F354" i="2"/>
  <c r="E354" i="2"/>
  <c r="D354" i="2"/>
  <c r="C354" i="2"/>
  <c r="B354" i="2"/>
  <c r="A354" i="2"/>
  <c r="F353" i="2"/>
  <c r="E353" i="2"/>
  <c r="D353" i="2"/>
  <c r="C353" i="2"/>
  <c r="B353" i="2"/>
  <c r="A353" i="2"/>
  <c r="F352" i="2"/>
  <c r="E352" i="2"/>
  <c r="D352" i="2"/>
  <c r="C352" i="2"/>
  <c r="B352" i="2"/>
  <c r="A352" i="2"/>
  <c r="F351" i="2"/>
  <c r="E351" i="2"/>
  <c r="D351" i="2"/>
  <c r="C351" i="2"/>
  <c r="B351" i="2"/>
  <c r="A351" i="2"/>
  <c r="F350" i="2"/>
  <c r="E350" i="2"/>
  <c r="D350" i="2"/>
  <c r="C350" i="2"/>
  <c r="B350" i="2"/>
  <c r="A350" i="2"/>
  <c r="F349" i="2"/>
  <c r="E349" i="2"/>
  <c r="D349" i="2"/>
  <c r="C349" i="2"/>
  <c r="B349" i="2"/>
  <c r="A349" i="2"/>
  <c r="F348" i="2"/>
  <c r="E348" i="2"/>
  <c r="D348" i="2"/>
  <c r="C348" i="2"/>
  <c r="B348" i="2"/>
  <c r="A348" i="2"/>
  <c r="F347" i="2"/>
  <c r="E347" i="2"/>
  <c r="D347" i="2"/>
  <c r="C347" i="2"/>
  <c r="B347" i="2"/>
  <c r="A347" i="2"/>
  <c r="F346" i="2"/>
  <c r="E346" i="2"/>
  <c r="D346" i="2"/>
  <c r="C346" i="2"/>
  <c r="B346" i="2"/>
  <c r="A346" i="2"/>
  <c r="F345" i="2"/>
  <c r="E345" i="2"/>
  <c r="D345" i="2"/>
  <c r="C345" i="2"/>
  <c r="B345" i="2"/>
  <c r="A345" i="2"/>
  <c r="F344" i="2"/>
  <c r="E344" i="2"/>
  <c r="D344" i="2"/>
  <c r="C344" i="2"/>
  <c r="B344" i="2"/>
  <c r="A344" i="2"/>
  <c r="F343" i="2"/>
  <c r="E343" i="2"/>
  <c r="D343" i="2"/>
  <c r="C343" i="2"/>
  <c r="B343" i="2"/>
  <c r="A343" i="2"/>
  <c r="F342" i="2"/>
  <c r="E342" i="2"/>
  <c r="D342" i="2"/>
  <c r="C342" i="2"/>
  <c r="B342" i="2"/>
  <c r="A342" i="2"/>
  <c r="F341" i="2"/>
  <c r="E341" i="2"/>
  <c r="D341" i="2"/>
  <c r="C341" i="2"/>
  <c r="B341" i="2"/>
  <c r="A341" i="2"/>
  <c r="F340" i="2"/>
  <c r="E340" i="2"/>
  <c r="D340" i="2"/>
  <c r="C340" i="2"/>
  <c r="B340" i="2"/>
  <c r="A340" i="2"/>
  <c r="F339" i="2"/>
  <c r="E339" i="2"/>
  <c r="D339" i="2"/>
  <c r="C339" i="2"/>
  <c r="B339" i="2"/>
  <c r="A339" i="2"/>
  <c r="F338" i="2"/>
  <c r="E338" i="2"/>
  <c r="D338" i="2"/>
  <c r="C338" i="2"/>
  <c r="B338" i="2"/>
  <c r="A338" i="2"/>
  <c r="F337" i="2"/>
  <c r="E337" i="2"/>
  <c r="D337" i="2"/>
  <c r="C337" i="2"/>
  <c r="B337" i="2"/>
  <c r="A337" i="2"/>
  <c r="F336" i="2"/>
  <c r="E336" i="2"/>
  <c r="D336" i="2"/>
  <c r="C336" i="2"/>
  <c r="B336" i="2"/>
  <c r="A336" i="2"/>
  <c r="F335" i="2"/>
  <c r="E335" i="2"/>
  <c r="D335" i="2"/>
  <c r="C335" i="2"/>
  <c r="B335" i="2"/>
  <c r="A335" i="2"/>
  <c r="F334" i="2"/>
  <c r="E334" i="2"/>
  <c r="D334" i="2"/>
  <c r="C334" i="2"/>
  <c r="B334" i="2"/>
  <c r="A334" i="2"/>
  <c r="F333" i="2"/>
  <c r="E333" i="2"/>
  <c r="D333" i="2"/>
  <c r="C333" i="2"/>
  <c r="B333" i="2"/>
  <c r="A333" i="2"/>
  <c r="F332" i="2"/>
  <c r="E332" i="2"/>
  <c r="D332" i="2"/>
  <c r="C332" i="2"/>
  <c r="B332" i="2"/>
  <c r="A332" i="2"/>
  <c r="F331" i="2"/>
  <c r="E331" i="2"/>
  <c r="D331" i="2"/>
  <c r="C331" i="2"/>
  <c r="B331" i="2"/>
  <c r="A331" i="2"/>
  <c r="F330" i="2"/>
  <c r="E330" i="2"/>
  <c r="D330" i="2"/>
  <c r="C330" i="2"/>
  <c r="B330" i="2"/>
  <c r="A330" i="2"/>
  <c r="F329" i="2"/>
  <c r="E329" i="2"/>
  <c r="D329" i="2"/>
  <c r="C329" i="2"/>
  <c r="B329" i="2"/>
  <c r="A329" i="2"/>
  <c r="F328" i="2"/>
  <c r="E328" i="2"/>
  <c r="D328" i="2"/>
  <c r="C328" i="2"/>
  <c r="B328" i="2"/>
  <c r="A328" i="2"/>
  <c r="F327" i="2"/>
  <c r="E327" i="2"/>
  <c r="D327" i="2"/>
  <c r="C327" i="2"/>
  <c r="B327" i="2"/>
  <c r="A327" i="2"/>
  <c r="F326" i="2"/>
  <c r="E326" i="2"/>
  <c r="D326" i="2"/>
  <c r="C326" i="2"/>
  <c r="B326" i="2"/>
  <c r="A326" i="2"/>
  <c r="F325" i="2"/>
  <c r="E325" i="2"/>
  <c r="D325" i="2"/>
  <c r="C325" i="2"/>
  <c r="B325" i="2"/>
  <c r="A325" i="2"/>
  <c r="F324" i="2"/>
  <c r="E324" i="2"/>
  <c r="D324" i="2"/>
  <c r="C324" i="2"/>
  <c r="B324" i="2"/>
  <c r="A324" i="2"/>
  <c r="F323" i="2"/>
  <c r="E323" i="2"/>
  <c r="D323" i="2"/>
  <c r="C323" i="2"/>
  <c r="B323" i="2"/>
  <c r="A323" i="2"/>
  <c r="F322" i="2"/>
  <c r="E322" i="2"/>
  <c r="D322" i="2"/>
  <c r="C322" i="2"/>
  <c r="B322" i="2"/>
  <c r="A322" i="2"/>
  <c r="F321" i="2"/>
  <c r="E321" i="2"/>
  <c r="D321" i="2"/>
  <c r="C321" i="2"/>
  <c r="B321" i="2"/>
  <c r="A321" i="2"/>
  <c r="F320" i="2"/>
  <c r="E320" i="2"/>
  <c r="D320" i="2"/>
  <c r="C320" i="2"/>
  <c r="B320" i="2"/>
  <c r="A320" i="2"/>
  <c r="F319" i="2"/>
  <c r="E319" i="2"/>
  <c r="D319" i="2"/>
  <c r="C319" i="2"/>
  <c r="B319" i="2"/>
  <c r="A319" i="2"/>
  <c r="F318" i="2"/>
  <c r="E318" i="2"/>
  <c r="D318" i="2"/>
  <c r="C318" i="2"/>
  <c r="B318" i="2"/>
  <c r="A318" i="2"/>
  <c r="F317" i="2"/>
  <c r="E317" i="2"/>
  <c r="D317" i="2"/>
  <c r="C317" i="2"/>
  <c r="B317" i="2"/>
  <c r="A317" i="2"/>
  <c r="F316" i="2"/>
  <c r="E316" i="2"/>
  <c r="D316" i="2"/>
  <c r="C316" i="2"/>
  <c r="B316" i="2"/>
  <c r="A316" i="2"/>
  <c r="F315" i="2"/>
  <c r="E315" i="2"/>
  <c r="D315" i="2"/>
  <c r="C315" i="2"/>
  <c r="B315" i="2"/>
  <c r="A315" i="2"/>
  <c r="F314" i="2"/>
  <c r="E314" i="2"/>
  <c r="D314" i="2"/>
  <c r="C314" i="2"/>
  <c r="B314" i="2"/>
  <c r="A314" i="2"/>
  <c r="F313" i="2"/>
  <c r="E313" i="2"/>
  <c r="D313" i="2"/>
  <c r="C313" i="2"/>
  <c r="B313" i="2"/>
  <c r="A313" i="2"/>
  <c r="F312" i="2"/>
  <c r="E312" i="2"/>
  <c r="D312" i="2"/>
  <c r="C312" i="2"/>
  <c r="B312" i="2"/>
  <c r="A312" i="2"/>
  <c r="F311" i="2"/>
  <c r="E311" i="2"/>
  <c r="D311" i="2"/>
  <c r="C311" i="2"/>
  <c r="B311" i="2"/>
  <c r="A311" i="2"/>
  <c r="F310" i="2"/>
  <c r="E310" i="2"/>
  <c r="D310" i="2"/>
  <c r="C310" i="2"/>
  <c r="B310" i="2"/>
  <c r="A310" i="2"/>
  <c r="F309" i="2"/>
  <c r="E309" i="2"/>
  <c r="D309" i="2"/>
  <c r="C309" i="2"/>
  <c r="B309" i="2"/>
  <c r="A309" i="2"/>
  <c r="F308" i="2"/>
  <c r="E308" i="2"/>
  <c r="D308" i="2"/>
  <c r="C308" i="2"/>
  <c r="B308" i="2"/>
  <c r="A308" i="2"/>
  <c r="F307" i="2"/>
  <c r="E307" i="2"/>
  <c r="D307" i="2"/>
  <c r="C307" i="2"/>
  <c r="B307" i="2"/>
  <c r="A307" i="2"/>
  <c r="F306" i="2"/>
  <c r="E306" i="2"/>
  <c r="D306" i="2"/>
  <c r="C306" i="2"/>
  <c r="B306" i="2"/>
  <c r="A306" i="2"/>
  <c r="F305" i="2"/>
  <c r="E305" i="2"/>
  <c r="D305" i="2"/>
  <c r="C305" i="2"/>
  <c r="B305" i="2"/>
  <c r="A305" i="2"/>
  <c r="F304" i="2"/>
  <c r="E304" i="2"/>
  <c r="D304" i="2"/>
  <c r="C304" i="2"/>
  <c r="B304" i="2"/>
  <c r="A304" i="2"/>
  <c r="F303" i="2"/>
  <c r="E303" i="2"/>
  <c r="D303" i="2"/>
  <c r="C303" i="2"/>
  <c r="B303" i="2"/>
  <c r="A303" i="2"/>
  <c r="F302" i="2"/>
  <c r="E302" i="2"/>
  <c r="D302" i="2"/>
  <c r="C302" i="2"/>
  <c r="B302" i="2"/>
  <c r="A302" i="2"/>
  <c r="F301" i="2"/>
  <c r="E301" i="2"/>
  <c r="D301" i="2"/>
  <c r="C301" i="2"/>
  <c r="B301" i="2"/>
  <c r="A301" i="2"/>
  <c r="F300" i="2"/>
  <c r="E300" i="2"/>
  <c r="D300" i="2"/>
  <c r="C300" i="2"/>
  <c r="B300" i="2"/>
  <c r="A300" i="2"/>
  <c r="F299" i="2"/>
  <c r="E299" i="2"/>
  <c r="D299" i="2"/>
  <c r="C299" i="2"/>
  <c r="B299" i="2"/>
  <c r="A299" i="2"/>
  <c r="F298" i="2"/>
  <c r="E298" i="2"/>
  <c r="D298" i="2"/>
  <c r="C298" i="2"/>
  <c r="B298" i="2"/>
  <c r="A298" i="2"/>
  <c r="F297" i="2"/>
  <c r="E297" i="2"/>
  <c r="D297" i="2"/>
  <c r="C297" i="2"/>
  <c r="B297" i="2"/>
  <c r="A297" i="2"/>
  <c r="F296" i="2"/>
  <c r="E296" i="2"/>
  <c r="D296" i="2"/>
  <c r="C296" i="2"/>
  <c r="B296" i="2"/>
  <c r="A296" i="2"/>
  <c r="F295" i="2"/>
  <c r="E295" i="2"/>
  <c r="D295" i="2"/>
  <c r="C295" i="2"/>
  <c r="B295" i="2"/>
  <c r="A295" i="2"/>
  <c r="F294" i="2"/>
  <c r="E294" i="2"/>
  <c r="D294" i="2"/>
  <c r="C294" i="2"/>
  <c r="B294" i="2"/>
  <c r="A294" i="2"/>
  <c r="F293" i="2"/>
  <c r="E293" i="2"/>
  <c r="D293" i="2"/>
  <c r="C293" i="2"/>
  <c r="B293" i="2"/>
  <c r="A293" i="2"/>
  <c r="F292" i="2"/>
  <c r="E292" i="2"/>
  <c r="D292" i="2"/>
  <c r="C292" i="2"/>
  <c r="B292" i="2"/>
  <c r="A292" i="2"/>
  <c r="F291" i="2"/>
  <c r="E291" i="2"/>
  <c r="D291" i="2"/>
  <c r="C291" i="2"/>
  <c r="B291" i="2"/>
  <c r="A291" i="2"/>
  <c r="F290" i="2"/>
  <c r="E290" i="2"/>
  <c r="D290" i="2"/>
  <c r="C290" i="2"/>
  <c r="B290" i="2"/>
  <c r="A290" i="2"/>
  <c r="F289" i="2"/>
  <c r="E289" i="2"/>
  <c r="D289" i="2"/>
  <c r="C289" i="2"/>
  <c r="B289" i="2"/>
  <c r="A289" i="2"/>
  <c r="F288" i="2"/>
  <c r="E288" i="2"/>
  <c r="D288" i="2"/>
  <c r="C288" i="2"/>
  <c r="B288" i="2"/>
  <c r="A288" i="2"/>
  <c r="F287" i="2"/>
  <c r="E287" i="2"/>
  <c r="D287" i="2"/>
  <c r="C287" i="2"/>
  <c r="B287" i="2"/>
  <c r="A287" i="2"/>
  <c r="F286" i="2"/>
  <c r="E286" i="2"/>
  <c r="D286" i="2"/>
  <c r="C286" i="2"/>
  <c r="B286" i="2"/>
  <c r="A286" i="2"/>
  <c r="F285" i="2"/>
  <c r="E285" i="2"/>
  <c r="D285" i="2"/>
  <c r="C285" i="2"/>
  <c r="B285" i="2"/>
  <c r="A285" i="2"/>
  <c r="F284" i="2"/>
  <c r="E284" i="2"/>
  <c r="D284" i="2"/>
  <c r="C284" i="2"/>
  <c r="B284" i="2"/>
  <c r="A284" i="2"/>
  <c r="F283" i="2"/>
  <c r="E283" i="2"/>
  <c r="D283" i="2"/>
  <c r="C283" i="2"/>
  <c r="B283" i="2"/>
  <c r="A283" i="2"/>
  <c r="F282" i="2"/>
  <c r="E282" i="2"/>
  <c r="D282" i="2"/>
  <c r="C282" i="2"/>
  <c r="B282" i="2"/>
  <c r="A282" i="2"/>
  <c r="F281" i="2"/>
  <c r="E281" i="2"/>
  <c r="D281" i="2"/>
  <c r="C281" i="2"/>
  <c r="B281" i="2"/>
  <c r="A281" i="2"/>
  <c r="F280" i="2"/>
  <c r="E280" i="2"/>
  <c r="D280" i="2"/>
  <c r="C280" i="2"/>
  <c r="B280" i="2"/>
  <c r="A280" i="2"/>
  <c r="F279" i="2"/>
  <c r="E279" i="2"/>
  <c r="D279" i="2"/>
  <c r="C279" i="2"/>
  <c r="B279" i="2"/>
  <c r="A279" i="2"/>
  <c r="F278" i="2"/>
  <c r="E278" i="2"/>
  <c r="D278" i="2"/>
  <c r="C278" i="2"/>
  <c r="B278" i="2"/>
  <c r="A278" i="2"/>
  <c r="F277" i="2"/>
  <c r="E277" i="2"/>
  <c r="D277" i="2"/>
  <c r="C277" i="2"/>
  <c r="B277" i="2"/>
  <c r="A277" i="2"/>
  <c r="F276" i="2"/>
  <c r="E276" i="2"/>
  <c r="D276" i="2"/>
  <c r="C276" i="2"/>
  <c r="B276" i="2"/>
  <c r="A276" i="2"/>
  <c r="F275" i="2"/>
  <c r="E275" i="2"/>
  <c r="D275" i="2"/>
  <c r="C275" i="2"/>
  <c r="B275" i="2"/>
  <c r="A275" i="2"/>
  <c r="F274" i="2"/>
  <c r="E274" i="2"/>
  <c r="D274" i="2"/>
  <c r="C274" i="2"/>
  <c r="B274" i="2"/>
  <c r="A274" i="2"/>
  <c r="F273" i="2"/>
  <c r="E273" i="2"/>
  <c r="D273" i="2"/>
  <c r="C273" i="2"/>
  <c r="B273" i="2"/>
  <c r="A273" i="2"/>
  <c r="F272" i="2"/>
  <c r="E272" i="2"/>
  <c r="D272" i="2"/>
  <c r="C272" i="2"/>
  <c r="B272" i="2"/>
  <c r="A272" i="2"/>
  <c r="F271" i="2"/>
  <c r="E271" i="2"/>
  <c r="D271" i="2"/>
  <c r="C271" i="2"/>
  <c r="B271" i="2"/>
  <c r="A271" i="2"/>
  <c r="F270" i="2"/>
  <c r="E270" i="2"/>
  <c r="D270" i="2"/>
  <c r="C270" i="2"/>
  <c r="B270" i="2"/>
  <c r="A270" i="2"/>
  <c r="F269" i="2"/>
  <c r="E269" i="2"/>
  <c r="D269" i="2"/>
  <c r="C269" i="2"/>
  <c r="B269" i="2"/>
  <c r="A269" i="2"/>
  <c r="F268" i="2"/>
  <c r="E268" i="2"/>
  <c r="D268" i="2"/>
  <c r="C268" i="2"/>
  <c r="B268" i="2"/>
  <c r="A268" i="2"/>
  <c r="F267" i="2"/>
  <c r="E267" i="2"/>
  <c r="D267" i="2"/>
  <c r="C267" i="2"/>
  <c r="B267" i="2"/>
  <c r="A267" i="2"/>
  <c r="F266" i="2"/>
  <c r="E266" i="2"/>
  <c r="D266" i="2"/>
  <c r="C266" i="2"/>
  <c r="B266" i="2"/>
  <c r="A266" i="2"/>
  <c r="F265" i="2"/>
  <c r="E265" i="2"/>
  <c r="D265" i="2"/>
  <c r="C265" i="2"/>
  <c r="B265" i="2"/>
  <c r="A265" i="2"/>
  <c r="F264" i="2"/>
  <c r="E264" i="2"/>
  <c r="D264" i="2"/>
  <c r="C264" i="2"/>
  <c r="B264" i="2"/>
  <c r="A264" i="2"/>
  <c r="F263" i="2"/>
  <c r="E263" i="2"/>
  <c r="D263" i="2"/>
  <c r="C263" i="2"/>
  <c r="B263" i="2"/>
  <c r="A263" i="2"/>
  <c r="F262" i="2"/>
  <c r="E262" i="2"/>
  <c r="D262" i="2"/>
  <c r="C262" i="2"/>
  <c r="B262" i="2"/>
  <c r="A262" i="2"/>
  <c r="F261" i="2"/>
  <c r="E261" i="2"/>
  <c r="D261" i="2"/>
  <c r="C261" i="2"/>
  <c r="B261" i="2"/>
  <c r="A261" i="2"/>
  <c r="F260" i="2"/>
  <c r="E260" i="2"/>
  <c r="D260" i="2"/>
  <c r="C260" i="2"/>
  <c r="B260" i="2"/>
  <c r="A260" i="2"/>
  <c r="F259" i="2"/>
  <c r="E259" i="2"/>
  <c r="D259" i="2"/>
  <c r="C259" i="2"/>
  <c r="B259" i="2"/>
  <c r="A259" i="2"/>
  <c r="F258" i="2"/>
  <c r="E258" i="2"/>
  <c r="D258" i="2"/>
  <c r="C258" i="2"/>
  <c r="B258" i="2"/>
  <c r="A258" i="2"/>
  <c r="F257" i="2"/>
  <c r="E257" i="2"/>
  <c r="D257" i="2"/>
  <c r="C257" i="2"/>
  <c r="B257" i="2"/>
  <c r="A257" i="2"/>
  <c r="F256" i="2"/>
  <c r="E256" i="2"/>
  <c r="D256" i="2"/>
  <c r="C256" i="2"/>
  <c r="B256" i="2"/>
  <c r="A256" i="2"/>
  <c r="F255" i="2"/>
  <c r="E255" i="2"/>
  <c r="D255" i="2"/>
  <c r="C255" i="2"/>
  <c r="B255" i="2"/>
  <c r="A255" i="2"/>
  <c r="F254" i="2"/>
  <c r="E254" i="2"/>
  <c r="D254" i="2"/>
  <c r="C254" i="2"/>
  <c r="B254" i="2"/>
  <c r="A254" i="2"/>
  <c r="F253" i="2"/>
  <c r="E253" i="2"/>
  <c r="D253" i="2"/>
  <c r="C253" i="2"/>
  <c r="B253" i="2"/>
  <c r="A253" i="2"/>
  <c r="F252" i="2"/>
  <c r="E252" i="2"/>
  <c r="D252" i="2"/>
  <c r="C252" i="2"/>
  <c r="B252" i="2"/>
  <c r="A252" i="2"/>
  <c r="F251" i="2"/>
  <c r="E251" i="2"/>
  <c r="D251" i="2"/>
  <c r="C251" i="2"/>
  <c r="B251" i="2"/>
  <c r="A251" i="2"/>
  <c r="F250" i="2"/>
  <c r="E250" i="2"/>
  <c r="D250" i="2"/>
  <c r="C250" i="2"/>
  <c r="B250" i="2"/>
  <c r="A250" i="2"/>
  <c r="F249" i="2"/>
  <c r="E249" i="2"/>
  <c r="D249" i="2"/>
  <c r="C249" i="2"/>
  <c r="B249" i="2"/>
  <c r="A249" i="2"/>
  <c r="F248" i="2"/>
  <c r="E248" i="2"/>
  <c r="D248" i="2"/>
  <c r="C248" i="2"/>
  <c r="B248" i="2"/>
  <c r="A248" i="2"/>
  <c r="F247" i="2"/>
  <c r="E247" i="2"/>
  <c r="D247" i="2"/>
  <c r="C247" i="2"/>
  <c r="B247" i="2"/>
  <c r="A247" i="2"/>
  <c r="F246" i="2"/>
  <c r="E246" i="2"/>
  <c r="D246" i="2"/>
  <c r="C246" i="2"/>
  <c r="B246" i="2"/>
  <c r="A246" i="2"/>
  <c r="F245" i="2"/>
  <c r="E245" i="2"/>
  <c r="D245" i="2"/>
  <c r="C245" i="2"/>
  <c r="B245" i="2"/>
  <c r="A245" i="2"/>
  <c r="F244" i="2"/>
  <c r="E244" i="2"/>
  <c r="D244" i="2"/>
  <c r="C244" i="2"/>
  <c r="B244" i="2"/>
  <c r="A244" i="2"/>
  <c r="F243" i="2"/>
  <c r="E243" i="2"/>
  <c r="D243" i="2"/>
  <c r="C243" i="2"/>
  <c r="B243" i="2"/>
  <c r="A243" i="2"/>
  <c r="F242" i="2"/>
  <c r="E242" i="2"/>
  <c r="D242" i="2"/>
  <c r="C242" i="2"/>
  <c r="B242" i="2"/>
  <c r="A242" i="2"/>
  <c r="F241" i="2"/>
  <c r="E241" i="2"/>
  <c r="D241" i="2"/>
  <c r="C241" i="2"/>
  <c r="B241" i="2"/>
  <c r="A241" i="2"/>
  <c r="F240" i="2"/>
  <c r="E240" i="2"/>
  <c r="D240" i="2"/>
  <c r="C240" i="2"/>
  <c r="B240" i="2"/>
  <c r="A240" i="2"/>
  <c r="F239" i="2"/>
  <c r="E239" i="2"/>
  <c r="D239" i="2"/>
  <c r="C239" i="2"/>
  <c r="B239" i="2"/>
  <c r="A239" i="2"/>
  <c r="F238" i="2"/>
  <c r="E238" i="2"/>
  <c r="D238" i="2"/>
  <c r="C238" i="2"/>
  <c r="B238" i="2"/>
  <c r="A238" i="2"/>
  <c r="F237" i="2"/>
  <c r="E237" i="2"/>
  <c r="D237" i="2"/>
  <c r="C237" i="2"/>
  <c r="B237" i="2"/>
  <c r="A237" i="2"/>
  <c r="F236" i="2"/>
  <c r="E236" i="2"/>
  <c r="D236" i="2"/>
  <c r="C236" i="2"/>
  <c r="B236" i="2"/>
  <c r="A236" i="2"/>
  <c r="F235" i="2"/>
  <c r="E235" i="2"/>
  <c r="D235" i="2"/>
  <c r="C235" i="2"/>
  <c r="B235" i="2"/>
  <c r="A235" i="2"/>
  <c r="F234" i="2"/>
  <c r="E234" i="2"/>
  <c r="D234" i="2"/>
  <c r="C234" i="2"/>
  <c r="B234" i="2"/>
  <c r="A234" i="2"/>
  <c r="F233" i="2"/>
  <c r="E233" i="2"/>
  <c r="D233" i="2"/>
  <c r="C233" i="2"/>
  <c r="B233" i="2"/>
  <c r="A233" i="2"/>
  <c r="F232" i="2"/>
  <c r="E232" i="2"/>
  <c r="D232" i="2"/>
  <c r="C232" i="2"/>
  <c r="B232" i="2"/>
  <c r="A232" i="2"/>
  <c r="F231" i="2"/>
  <c r="E231" i="2"/>
  <c r="D231" i="2"/>
  <c r="C231" i="2"/>
  <c r="B231" i="2"/>
  <c r="A231" i="2"/>
  <c r="F230" i="2"/>
  <c r="E230" i="2"/>
  <c r="D230" i="2"/>
  <c r="C230" i="2"/>
  <c r="B230" i="2"/>
  <c r="A230" i="2"/>
  <c r="F229" i="2"/>
  <c r="E229" i="2"/>
  <c r="D229" i="2"/>
  <c r="C229" i="2"/>
  <c r="B229" i="2"/>
  <c r="A229" i="2"/>
  <c r="F228" i="2"/>
  <c r="E228" i="2"/>
  <c r="D228" i="2"/>
  <c r="C228" i="2"/>
  <c r="B228" i="2"/>
  <c r="A228" i="2"/>
  <c r="F227" i="2"/>
  <c r="E227" i="2"/>
  <c r="D227" i="2"/>
  <c r="C227" i="2"/>
  <c r="B227" i="2"/>
  <c r="A227" i="2"/>
  <c r="F226" i="2"/>
  <c r="E226" i="2"/>
  <c r="D226" i="2"/>
  <c r="C226" i="2"/>
  <c r="B226" i="2"/>
  <c r="A226" i="2"/>
  <c r="F225" i="2"/>
  <c r="E225" i="2"/>
  <c r="D225" i="2"/>
  <c r="C225" i="2"/>
  <c r="B225" i="2"/>
  <c r="A225" i="2"/>
  <c r="F224" i="2"/>
  <c r="E224" i="2"/>
  <c r="D224" i="2"/>
  <c r="C224" i="2"/>
  <c r="B224" i="2"/>
  <c r="A224" i="2"/>
  <c r="F223" i="2"/>
  <c r="E223" i="2"/>
  <c r="D223" i="2"/>
  <c r="C223" i="2"/>
  <c r="B223" i="2"/>
  <c r="A223" i="2"/>
  <c r="F222" i="2"/>
  <c r="E222" i="2"/>
  <c r="D222" i="2"/>
  <c r="C222" i="2"/>
  <c r="B222" i="2"/>
  <c r="A222" i="2"/>
  <c r="F221" i="2"/>
  <c r="E221" i="2"/>
  <c r="D221" i="2"/>
  <c r="C221" i="2"/>
  <c r="B221" i="2"/>
  <c r="A221" i="2"/>
  <c r="F220" i="2"/>
  <c r="E220" i="2"/>
  <c r="D220" i="2"/>
  <c r="C220" i="2"/>
  <c r="B220" i="2"/>
  <c r="A220" i="2"/>
  <c r="F219" i="2"/>
  <c r="E219" i="2"/>
  <c r="D219" i="2"/>
  <c r="C219" i="2"/>
  <c r="B219" i="2"/>
  <c r="A219" i="2"/>
  <c r="F218" i="2"/>
  <c r="E218" i="2"/>
  <c r="D218" i="2"/>
  <c r="C218" i="2"/>
  <c r="B218" i="2"/>
  <c r="A218" i="2"/>
  <c r="F217" i="2"/>
  <c r="E217" i="2"/>
  <c r="D217" i="2"/>
  <c r="C217" i="2"/>
  <c r="B217" i="2"/>
  <c r="A217" i="2"/>
  <c r="F216" i="2"/>
  <c r="E216" i="2"/>
  <c r="D216" i="2"/>
  <c r="C216" i="2"/>
  <c r="B216" i="2"/>
  <c r="A216" i="2"/>
  <c r="F215" i="2"/>
  <c r="E215" i="2"/>
  <c r="D215" i="2"/>
  <c r="C215" i="2"/>
  <c r="B215" i="2"/>
  <c r="A215" i="2"/>
  <c r="F214" i="2"/>
  <c r="E214" i="2"/>
  <c r="D214" i="2"/>
  <c r="C214" i="2"/>
  <c r="B214" i="2"/>
  <c r="A214" i="2"/>
  <c r="F213" i="2"/>
  <c r="E213" i="2"/>
  <c r="D213" i="2"/>
  <c r="C213" i="2"/>
  <c r="B213" i="2"/>
  <c r="A213" i="2"/>
  <c r="F212" i="2"/>
  <c r="E212" i="2"/>
  <c r="D212" i="2"/>
  <c r="C212" i="2"/>
  <c r="B212" i="2"/>
  <c r="A212" i="2"/>
  <c r="F211" i="2"/>
  <c r="E211" i="2"/>
  <c r="D211" i="2"/>
  <c r="C211" i="2"/>
  <c r="B211" i="2"/>
  <c r="A211" i="2"/>
  <c r="F210" i="2"/>
  <c r="E210" i="2"/>
  <c r="D210" i="2"/>
  <c r="C210" i="2"/>
  <c r="B210" i="2"/>
  <c r="A210" i="2"/>
  <c r="F209" i="2"/>
  <c r="E209" i="2"/>
  <c r="D209" i="2"/>
  <c r="C209" i="2"/>
  <c r="B209" i="2"/>
  <c r="A209" i="2"/>
  <c r="F208" i="2"/>
  <c r="E208" i="2"/>
  <c r="D208" i="2"/>
  <c r="C208" i="2"/>
  <c r="B208" i="2"/>
  <c r="A208" i="2"/>
  <c r="F207" i="2"/>
  <c r="E207" i="2"/>
  <c r="D207" i="2"/>
  <c r="C207" i="2"/>
  <c r="B207" i="2"/>
  <c r="A207" i="2"/>
  <c r="F206" i="2"/>
  <c r="E206" i="2"/>
  <c r="D206" i="2"/>
  <c r="C206" i="2"/>
  <c r="B206" i="2"/>
  <c r="A206" i="2"/>
  <c r="F205" i="2"/>
  <c r="E205" i="2"/>
  <c r="D205" i="2"/>
  <c r="C205" i="2"/>
  <c r="B205" i="2"/>
  <c r="A205" i="2"/>
  <c r="F204" i="2"/>
  <c r="E204" i="2"/>
  <c r="D204" i="2"/>
  <c r="C204" i="2"/>
  <c r="B204" i="2"/>
  <c r="A204" i="2"/>
  <c r="F203" i="2"/>
  <c r="E203" i="2"/>
  <c r="D203" i="2"/>
  <c r="C203" i="2"/>
  <c r="B203" i="2"/>
  <c r="A203" i="2"/>
  <c r="F202" i="2"/>
  <c r="E202" i="2"/>
  <c r="D202" i="2"/>
  <c r="C202" i="2"/>
  <c r="B202" i="2"/>
  <c r="A202" i="2"/>
  <c r="F201" i="2"/>
  <c r="E201" i="2"/>
  <c r="D201" i="2"/>
  <c r="C201" i="2"/>
  <c r="B201" i="2"/>
  <c r="A201" i="2"/>
  <c r="F200" i="2"/>
  <c r="E200" i="2"/>
  <c r="D200" i="2"/>
  <c r="C200" i="2"/>
  <c r="B200" i="2"/>
  <c r="A200" i="2"/>
  <c r="F199" i="2"/>
  <c r="E199" i="2"/>
  <c r="D199" i="2"/>
  <c r="C199" i="2"/>
  <c r="B199" i="2"/>
  <c r="A199" i="2"/>
  <c r="F198" i="2"/>
  <c r="E198" i="2"/>
  <c r="D198" i="2"/>
  <c r="C198" i="2"/>
  <c r="B198" i="2"/>
  <c r="A198" i="2"/>
  <c r="F197" i="2"/>
  <c r="E197" i="2"/>
  <c r="D197" i="2"/>
  <c r="C197" i="2"/>
  <c r="B197" i="2"/>
  <c r="A197" i="2"/>
  <c r="F196" i="2"/>
  <c r="E196" i="2"/>
  <c r="D196" i="2"/>
  <c r="C196" i="2"/>
  <c r="B196" i="2"/>
  <c r="A196" i="2"/>
  <c r="F195" i="2"/>
  <c r="E195" i="2"/>
  <c r="D195" i="2"/>
  <c r="C195" i="2"/>
  <c r="B195" i="2"/>
  <c r="A195" i="2"/>
  <c r="F194" i="2"/>
  <c r="E194" i="2"/>
  <c r="D194" i="2"/>
  <c r="C194" i="2"/>
  <c r="B194" i="2"/>
  <c r="A194" i="2"/>
  <c r="F193" i="2"/>
  <c r="E193" i="2"/>
  <c r="D193" i="2"/>
  <c r="C193" i="2"/>
  <c r="B193" i="2"/>
  <c r="A193" i="2"/>
  <c r="F192" i="2"/>
  <c r="E192" i="2"/>
  <c r="D192" i="2"/>
  <c r="C192" i="2"/>
  <c r="B192" i="2"/>
  <c r="A192" i="2"/>
  <c r="F191" i="2"/>
  <c r="E191" i="2"/>
  <c r="D191" i="2"/>
  <c r="C191" i="2"/>
  <c r="B191" i="2"/>
  <c r="A191" i="2"/>
  <c r="F190" i="2"/>
  <c r="E190" i="2"/>
  <c r="D190" i="2"/>
  <c r="C190" i="2"/>
  <c r="B190" i="2"/>
  <c r="A190" i="2"/>
  <c r="F189" i="2"/>
  <c r="E189" i="2"/>
  <c r="D189" i="2"/>
  <c r="C189" i="2"/>
  <c r="B189" i="2"/>
  <c r="A189" i="2"/>
  <c r="F188" i="2"/>
  <c r="E188" i="2"/>
  <c r="D188" i="2"/>
  <c r="C188" i="2"/>
  <c r="B188" i="2"/>
  <c r="A188" i="2"/>
  <c r="F187" i="2"/>
  <c r="E187" i="2"/>
  <c r="D187" i="2"/>
  <c r="C187" i="2"/>
  <c r="B187" i="2"/>
  <c r="A187" i="2"/>
  <c r="F186" i="2"/>
  <c r="E186" i="2"/>
  <c r="D186" i="2"/>
  <c r="C186" i="2"/>
  <c r="B186" i="2"/>
  <c r="A186" i="2"/>
  <c r="F185" i="2"/>
  <c r="E185" i="2"/>
  <c r="D185" i="2"/>
  <c r="C185" i="2"/>
  <c r="B185" i="2"/>
  <c r="A185" i="2"/>
  <c r="F184" i="2"/>
  <c r="E184" i="2"/>
  <c r="D184" i="2"/>
  <c r="C184" i="2"/>
  <c r="B184" i="2"/>
  <c r="A184" i="2"/>
  <c r="F183" i="2"/>
  <c r="E183" i="2"/>
  <c r="D183" i="2"/>
  <c r="C183" i="2"/>
  <c r="B183" i="2"/>
  <c r="A183" i="2"/>
  <c r="F182" i="2"/>
  <c r="E182" i="2"/>
  <c r="D182" i="2"/>
  <c r="C182" i="2"/>
  <c r="B182" i="2"/>
  <c r="A182" i="2"/>
  <c r="F181" i="2"/>
  <c r="E181" i="2"/>
  <c r="D181" i="2"/>
  <c r="C181" i="2"/>
  <c r="B181" i="2"/>
  <c r="A181" i="2"/>
  <c r="F180" i="2"/>
  <c r="E180" i="2"/>
  <c r="D180" i="2"/>
  <c r="C180" i="2"/>
  <c r="B180" i="2"/>
  <c r="A180" i="2"/>
  <c r="F179" i="2"/>
  <c r="E179" i="2"/>
  <c r="D179" i="2"/>
  <c r="C179" i="2"/>
  <c r="B179" i="2"/>
  <c r="A179" i="2"/>
  <c r="F178" i="2"/>
  <c r="E178" i="2"/>
  <c r="D178" i="2"/>
  <c r="C178" i="2"/>
  <c r="B178" i="2"/>
  <c r="A178" i="2"/>
  <c r="F177" i="2"/>
  <c r="E177" i="2"/>
  <c r="D177" i="2"/>
  <c r="C177" i="2"/>
  <c r="B177" i="2"/>
  <c r="A177" i="2"/>
  <c r="F176" i="2"/>
  <c r="E176" i="2"/>
  <c r="D176" i="2"/>
  <c r="C176" i="2"/>
  <c r="B176" i="2"/>
  <c r="A176" i="2"/>
  <c r="F175" i="2"/>
  <c r="E175" i="2"/>
  <c r="D175" i="2"/>
  <c r="C175" i="2"/>
  <c r="B175" i="2"/>
  <c r="A175" i="2"/>
  <c r="F174" i="2"/>
  <c r="E174" i="2"/>
  <c r="D174" i="2"/>
  <c r="C174" i="2"/>
  <c r="B174" i="2"/>
  <c r="A174" i="2"/>
  <c r="F173" i="2"/>
  <c r="E173" i="2"/>
  <c r="D173" i="2"/>
  <c r="C173" i="2"/>
  <c r="B173" i="2"/>
  <c r="A173" i="2"/>
  <c r="F172" i="2"/>
  <c r="E172" i="2"/>
  <c r="D172" i="2"/>
  <c r="C172" i="2"/>
  <c r="B172" i="2"/>
  <c r="A172" i="2"/>
  <c r="F171" i="2"/>
  <c r="E171" i="2"/>
  <c r="D171" i="2"/>
  <c r="C171" i="2"/>
  <c r="B171" i="2"/>
  <c r="A171" i="2"/>
  <c r="F170" i="2"/>
  <c r="E170" i="2"/>
  <c r="D170" i="2"/>
  <c r="C170" i="2"/>
  <c r="B170" i="2"/>
  <c r="A170" i="2"/>
  <c r="F169" i="2"/>
  <c r="E169" i="2"/>
  <c r="D169" i="2"/>
  <c r="C169" i="2"/>
  <c r="B169" i="2"/>
  <c r="A169" i="2"/>
  <c r="F168" i="2"/>
  <c r="E168" i="2"/>
  <c r="D168" i="2"/>
  <c r="C168" i="2"/>
  <c r="B168" i="2"/>
  <c r="A168" i="2"/>
  <c r="F167" i="2"/>
  <c r="E167" i="2"/>
  <c r="D167" i="2"/>
  <c r="C167" i="2"/>
  <c r="B167" i="2"/>
  <c r="A167" i="2"/>
  <c r="F166" i="2"/>
  <c r="E166" i="2"/>
  <c r="D166" i="2"/>
  <c r="C166" i="2"/>
  <c r="B166" i="2"/>
  <c r="A166" i="2"/>
  <c r="F165" i="2"/>
  <c r="E165" i="2"/>
  <c r="D165" i="2"/>
  <c r="C165" i="2"/>
  <c r="B165" i="2"/>
  <c r="A165" i="2"/>
  <c r="F164" i="2"/>
  <c r="E164" i="2"/>
  <c r="D164" i="2"/>
  <c r="C164" i="2"/>
  <c r="B164" i="2"/>
  <c r="A164" i="2"/>
  <c r="F163" i="2"/>
  <c r="E163" i="2"/>
  <c r="D163" i="2"/>
  <c r="C163" i="2"/>
  <c r="B163" i="2"/>
  <c r="A163" i="2"/>
  <c r="F162" i="2"/>
  <c r="E162" i="2"/>
  <c r="D162" i="2"/>
  <c r="C162" i="2"/>
  <c r="B162" i="2"/>
  <c r="A162" i="2"/>
  <c r="F161" i="2"/>
  <c r="E161" i="2"/>
  <c r="D161" i="2"/>
  <c r="C161" i="2"/>
  <c r="B161" i="2"/>
  <c r="A161" i="2"/>
  <c r="F160" i="2"/>
  <c r="E160" i="2"/>
  <c r="D160" i="2"/>
  <c r="C160" i="2"/>
  <c r="B160" i="2"/>
  <c r="A160" i="2"/>
  <c r="F159" i="2"/>
  <c r="E159" i="2"/>
  <c r="D159" i="2"/>
  <c r="C159" i="2"/>
  <c r="B159" i="2"/>
  <c r="A159" i="2"/>
  <c r="F158" i="2"/>
  <c r="E158" i="2"/>
  <c r="D158" i="2"/>
  <c r="C158" i="2"/>
  <c r="B158" i="2"/>
  <c r="A158" i="2"/>
  <c r="F157" i="2"/>
  <c r="E157" i="2"/>
  <c r="D157" i="2"/>
  <c r="C157" i="2"/>
  <c r="B157" i="2"/>
  <c r="A157" i="2"/>
  <c r="F156" i="2"/>
  <c r="E156" i="2"/>
  <c r="D156" i="2"/>
  <c r="C156" i="2"/>
  <c r="B156" i="2"/>
  <c r="A156" i="2"/>
  <c r="F155" i="2"/>
  <c r="E155" i="2"/>
  <c r="D155" i="2"/>
  <c r="C155" i="2"/>
  <c r="B155" i="2"/>
  <c r="A155" i="2"/>
  <c r="F154" i="2"/>
  <c r="E154" i="2"/>
  <c r="D154" i="2"/>
  <c r="C154" i="2"/>
  <c r="B154" i="2"/>
  <c r="A154" i="2"/>
  <c r="F153" i="2"/>
  <c r="E153" i="2"/>
  <c r="D153" i="2"/>
  <c r="C153" i="2"/>
  <c r="B153" i="2"/>
  <c r="A153" i="2"/>
  <c r="F152" i="2"/>
  <c r="E152" i="2"/>
  <c r="D152" i="2"/>
  <c r="C152" i="2"/>
  <c r="B152" i="2"/>
  <c r="A152" i="2"/>
  <c r="F151" i="2"/>
  <c r="E151" i="2"/>
  <c r="D151" i="2"/>
  <c r="C151" i="2"/>
  <c r="B151" i="2"/>
  <c r="A151" i="2"/>
  <c r="F150" i="2"/>
  <c r="E150" i="2"/>
  <c r="D150" i="2"/>
  <c r="C150" i="2"/>
  <c r="B150" i="2"/>
  <c r="A150" i="2"/>
  <c r="F149" i="2"/>
  <c r="E149" i="2"/>
  <c r="D149" i="2"/>
  <c r="C149" i="2"/>
  <c r="B149" i="2"/>
  <c r="A149" i="2"/>
  <c r="F148" i="2"/>
  <c r="E148" i="2"/>
  <c r="D148" i="2"/>
  <c r="C148" i="2"/>
  <c r="B148" i="2"/>
  <c r="A148" i="2"/>
  <c r="F147" i="2"/>
  <c r="E147" i="2"/>
  <c r="D147" i="2"/>
  <c r="C147" i="2"/>
  <c r="B147" i="2"/>
  <c r="A147" i="2"/>
  <c r="F146" i="2"/>
  <c r="E146" i="2"/>
  <c r="D146" i="2"/>
  <c r="C146" i="2"/>
  <c r="B146" i="2"/>
  <c r="A146" i="2"/>
  <c r="F145" i="2"/>
  <c r="E145" i="2"/>
  <c r="D145" i="2"/>
  <c r="C145" i="2"/>
  <c r="B145" i="2"/>
  <c r="A145" i="2"/>
  <c r="F144" i="2"/>
  <c r="E144" i="2"/>
  <c r="D144" i="2"/>
  <c r="C144" i="2"/>
  <c r="B144" i="2"/>
  <c r="A144" i="2"/>
  <c r="F143" i="2"/>
  <c r="E143" i="2"/>
  <c r="D143" i="2"/>
  <c r="C143" i="2"/>
  <c r="B143" i="2"/>
  <c r="A143" i="2"/>
  <c r="F142" i="2"/>
  <c r="E142" i="2"/>
  <c r="D142" i="2"/>
  <c r="C142" i="2"/>
  <c r="B142" i="2"/>
  <c r="A142" i="2"/>
  <c r="F141" i="2"/>
  <c r="E141" i="2"/>
  <c r="D141" i="2"/>
  <c r="C141" i="2"/>
  <c r="B141" i="2"/>
  <c r="A141" i="2"/>
  <c r="F140" i="2"/>
  <c r="E140" i="2"/>
  <c r="D140" i="2"/>
  <c r="C140" i="2"/>
  <c r="B140" i="2"/>
  <c r="A140" i="2"/>
  <c r="F139" i="2"/>
  <c r="E139" i="2"/>
  <c r="D139" i="2"/>
  <c r="C139" i="2"/>
  <c r="B139" i="2"/>
  <c r="A139" i="2"/>
  <c r="F138" i="2"/>
  <c r="E138" i="2"/>
  <c r="D138" i="2"/>
  <c r="C138" i="2"/>
  <c r="B138" i="2"/>
  <c r="A138" i="2"/>
  <c r="F137" i="2"/>
  <c r="E137" i="2"/>
  <c r="D137" i="2"/>
  <c r="C137" i="2"/>
  <c r="B137" i="2"/>
  <c r="A137" i="2"/>
  <c r="F136" i="2"/>
  <c r="E136" i="2"/>
  <c r="D136" i="2"/>
  <c r="C136" i="2"/>
  <c r="B136" i="2"/>
  <c r="A136" i="2"/>
  <c r="F135" i="2"/>
  <c r="E135" i="2"/>
  <c r="D135" i="2"/>
  <c r="C135" i="2"/>
  <c r="B135" i="2"/>
  <c r="A135" i="2"/>
  <c r="F134" i="2"/>
  <c r="E134" i="2"/>
  <c r="D134" i="2"/>
  <c r="C134" i="2"/>
  <c r="B134" i="2"/>
  <c r="A134" i="2"/>
  <c r="F133" i="2"/>
  <c r="E133" i="2"/>
  <c r="D133" i="2"/>
  <c r="C133" i="2"/>
  <c r="B133" i="2"/>
  <c r="A133" i="2"/>
  <c r="F132" i="2"/>
  <c r="E132" i="2"/>
  <c r="D132" i="2"/>
  <c r="C132" i="2"/>
  <c r="B132" i="2"/>
  <c r="A132" i="2"/>
  <c r="F131" i="2"/>
  <c r="E131" i="2"/>
  <c r="D131" i="2"/>
  <c r="C131" i="2"/>
  <c r="B131" i="2"/>
  <c r="A131" i="2"/>
  <c r="F130" i="2"/>
  <c r="E130" i="2"/>
  <c r="D130" i="2"/>
  <c r="C130" i="2"/>
  <c r="B130" i="2"/>
  <c r="A130" i="2"/>
  <c r="F129" i="2"/>
  <c r="E129" i="2"/>
  <c r="D129" i="2"/>
  <c r="C129" i="2"/>
  <c r="B129" i="2"/>
  <c r="A129" i="2"/>
  <c r="F128" i="2"/>
  <c r="E128" i="2"/>
  <c r="D128" i="2"/>
  <c r="C128" i="2"/>
  <c r="B128" i="2"/>
  <c r="A128" i="2"/>
  <c r="F127" i="2"/>
  <c r="E127" i="2"/>
  <c r="D127" i="2"/>
  <c r="C127" i="2"/>
  <c r="B127" i="2"/>
  <c r="A127" i="2"/>
  <c r="F126" i="2"/>
  <c r="E126" i="2"/>
  <c r="D126" i="2"/>
  <c r="C126" i="2"/>
  <c r="B126" i="2"/>
  <c r="A126" i="2"/>
  <c r="F125" i="2"/>
  <c r="E125" i="2"/>
  <c r="D125" i="2"/>
  <c r="C125" i="2"/>
  <c r="B125" i="2"/>
  <c r="A125" i="2"/>
  <c r="F124" i="2"/>
  <c r="E124" i="2"/>
  <c r="D124" i="2"/>
  <c r="C124" i="2"/>
  <c r="B124" i="2"/>
  <c r="A124" i="2"/>
  <c r="F123" i="2"/>
  <c r="E123" i="2"/>
  <c r="D123" i="2"/>
  <c r="C123" i="2"/>
  <c r="B123" i="2"/>
  <c r="A123" i="2"/>
  <c r="F122" i="2"/>
  <c r="E122" i="2"/>
  <c r="D122" i="2"/>
  <c r="C122" i="2"/>
  <c r="B122" i="2"/>
  <c r="A122" i="2"/>
  <c r="F121" i="2"/>
  <c r="E121" i="2"/>
  <c r="D121" i="2"/>
  <c r="C121" i="2"/>
  <c r="B121" i="2"/>
  <c r="A121" i="2"/>
  <c r="F120" i="2"/>
  <c r="E120" i="2"/>
  <c r="D120" i="2"/>
  <c r="C120" i="2"/>
  <c r="B120" i="2"/>
  <c r="A120" i="2"/>
  <c r="F119" i="2"/>
  <c r="E119" i="2"/>
  <c r="D119" i="2"/>
  <c r="C119" i="2"/>
  <c r="B119" i="2"/>
  <c r="A119" i="2"/>
  <c r="F118" i="2"/>
  <c r="E118" i="2"/>
  <c r="D118" i="2"/>
  <c r="C118" i="2"/>
  <c r="B118" i="2"/>
  <c r="A118" i="2"/>
  <c r="F117" i="2"/>
  <c r="E117" i="2"/>
  <c r="D117" i="2"/>
  <c r="C117" i="2"/>
  <c r="B117" i="2"/>
  <c r="A117" i="2"/>
  <c r="F116" i="2"/>
  <c r="E116" i="2"/>
  <c r="D116" i="2"/>
  <c r="C116" i="2"/>
  <c r="B116" i="2"/>
  <c r="A116" i="2"/>
  <c r="F115" i="2"/>
  <c r="E115" i="2"/>
  <c r="D115" i="2"/>
  <c r="C115" i="2"/>
  <c r="B115" i="2"/>
  <c r="A115" i="2"/>
  <c r="F114" i="2"/>
  <c r="E114" i="2"/>
  <c r="D114" i="2"/>
  <c r="C114" i="2"/>
  <c r="B114" i="2"/>
  <c r="A114" i="2"/>
  <c r="F113" i="2"/>
  <c r="E113" i="2"/>
  <c r="D113" i="2"/>
  <c r="C113" i="2"/>
  <c r="B113" i="2"/>
  <c r="A113" i="2"/>
  <c r="F112" i="2"/>
  <c r="E112" i="2"/>
  <c r="D112" i="2"/>
  <c r="C112" i="2"/>
  <c r="B112" i="2"/>
  <c r="A112" i="2"/>
  <c r="F111" i="2"/>
  <c r="E111" i="2"/>
  <c r="D111" i="2"/>
  <c r="C111" i="2"/>
  <c r="B111" i="2"/>
  <c r="A111" i="2"/>
  <c r="F110" i="2"/>
  <c r="E110" i="2"/>
  <c r="D110" i="2"/>
  <c r="C110" i="2"/>
  <c r="B110" i="2"/>
  <c r="A110" i="2"/>
  <c r="F109" i="2"/>
  <c r="E109" i="2"/>
  <c r="D109" i="2"/>
  <c r="C109" i="2"/>
  <c r="B109" i="2"/>
  <c r="A109" i="2"/>
  <c r="F108" i="2"/>
  <c r="E108" i="2"/>
  <c r="D108" i="2"/>
  <c r="C108" i="2"/>
  <c r="B108" i="2"/>
  <c r="A108" i="2"/>
  <c r="F107" i="2"/>
  <c r="E107" i="2"/>
  <c r="D107" i="2"/>
  <c r="C107" i="2"/>
  <c r="B107" i="2"/>
  <c r="A107" i="2"/>
  <c r="F106" i="2"/>
  <c r="E106" i="2"/>
  <c r="D106" i="2"/>
  <c r="C106" i="2"/>
  <c r="B106" i="2"/>
  <c r="A106" i="2"/>
  <c r="F105" i="2"/>
  <c r="E105" i="2"/>
  <c r="D105" i="2"/>
  <c r="C105" i="2"/>
  <c r="B105" i="2"/>
  <c r="A105" i="2"/>
  <c r="F104" i="2"/>
  <c r="E104" i="2"/>
  <c r="D104" i="2"/>
  <c r="C104" i="2"/>
  <c r="B104" i="2"/>
  <c r="A104" i="2"/>
  <c r="F103" i="2"/>
  <c r="E103" i="2"/>
  <c r="D103" i="2"/>
  <c r="C103" i="2"/>
  <c r="B103" i="2"/>
  <c r="A103" i="2"/>
  <c r="F102" i="2"/>
  <c r="E102" i="2"/>
  <c r="D102" i="2"/>
  <c r="C102" i="2"/>
  <c r="B102" i="2"/>
  <c r="A102" i="2"/>
  <c r="F101" i="2"/>
  <c r="E101" i="2"/>
  <c r="D101" i="2"/>
  <c r="C101" i="2"/>
  <c r="B101" i="2"/>
  <c r="A101" i="2"/>
  <c r="F100" i="2"/>
  <c r="E100" i="2"/>
  <c r="D100" i="2"/>
  <c r="C100" i="2"/>
  <c r="B100" i="2"/>
  <c r="A100" i="2"/>
  <c r="F99" i="2"/>
  <c r="E99" i="2"/>
  <c r="D99" i="2"/>
  <c r="C99" i="2"/>
  <c r="B99" i="2"/>
  <c r="A99" i="2"/>
  <c r="F98" i="2"/>
  <c r="E98" i="2"/>
  <c r="D98" i="2"/>
  <c r="C98" i="2"/>
  <c r="B98" i="2"/>
  <c r="A98" i="2"/>
  <c r="F97" i="2"/>
  <c r="E97" i="2"/>
  <c r="D97" i="2"/>
  <c r="C97" i="2"/>
  <c r="B97" i="2"/>
  <c r="A97" i="2"/>
  <c r="F96" i="2"/>
  <c r="E96" i="2"/>
  <c r="D96" i="2"/>
  <c r="C96" i="2"/>
  <c r="B96" i="2"/>
  <c r="A96" i="2"/>
  <c r="F95" i="2"/>
  <c r="E95" i="2"/>
  <c r="D95" i="2"/>
  <c r="C95" i="2"/>
  <c r="B95" i="2"/>
  <c r="A95" i="2"/>
  <c r="F94" i="2"/>
  <c r="E94" i="2"/>
  <c r="D94" i="2"/>
  <c r="C94" i="2"/>
  <c r="B94" i="2"/>
  <c r="A94" i="2"/>
  <c r="F93" i="2"/>
  <c r="E93" i="2"/>
  <c r="D93" i="2"/>
  <c r="C93" i="2"/>
  <c r="B93" i="2"/>
  <c r="A93" i="2"/>
  <c r="F92" i="2"/>
  <c r="E92" i="2"/>
  <c r="D92" i="2"/>
  <c r="C92" i="2"/>
  <c r="B92" i="2"/>
  <c r="A92" i="2"/>
  <c r="F91" i="2"/>
  <c r="E91" i="2"/>
  <c r="D91" i="2"/>
  <c r="C91" i="2"/>
  <c r="B91" i="2"/>
  <c r="A91" i="2"/>
  <c r="F90" i="2"/>
  <c r="E90" i="2"/>
  <c r="D90" i="2"/>
  <c r="C90" i="2"/>
  <c r="B90" i="2"/>
  <c r="A90" i="2"/>
  <c r="F89" i="2"/>
  <c r="E89" i="2"/>
  <c r="D89" i="2"/>
  <c r="C89" i="2"/>
  <c r="B89" i="2"/>
  <c r="A89" i="2"/>
  <c r="F88" i="2"/>
  <c r="E88" i="2"/>
  <c r="D88" i="2"/>
  <c r="C88" i="2"/>
  <c r="B88" i="2"/>
  <c r="A88" i="2"/>
  <c r="F87" i="2"/>
  <c r="E87" i="2"/>
  <c r="D87" i="2"/>
  <c r="C87" i="2"/>
  <c r="B87" i="2"/>
  <c r="A87" i="2"/>
  <c r="F86" i="2"/>
  <c r="E86" i="2"/>
  <c r="D86" i="2"/>
  <c r="C86" i="2"/>
  <c r="B86" i="2"/>
  <c r="A86" i="2"/>
  <c r="F85" i="2"/>
  <c r="E85" i="2"/>
  <c r="D85" i="2"/>
  <c r="C85" i="2"/>
  <c r="B85" i="2"/>
  <c r="A85" i="2"/>
  <c r="F84" i="2"/>
  <c r="E84" i="2"/>
  <c r="D84" i="2"/>
  <c r="C84" i="2"/>
  <c r="B84" i="2"/>
  <c r="A84" i="2"/>
  <c r="F83" i="2"/>
  <c r="E83" i="2"/>
  <c r="D83" i="2"/>
  <c r="C83" i="2"/>
  <c r="B83" i="2"/>
  <c r="A83" i="2"/>
  <c r="F82" i="2"/>
  <c r="E82" i="2"/>
  <c r="D82" i="2"/>
  <c r="C82" i="2"/>
  <c r="B82" i="2"/>
  <c r="A82" i="2"/>
  <c r="F81" i="2"/>
  <c r="E81" i="2"/>
  <c r="D81" i="2"/>
  <c r="C81" i="2"/>
  <c r="B81" i="2"/>
  <c r="A81" i="2"/>
  <c r="F80" i="2"/>
  <c r="E80" i="2"/>
  <c r="D80" i="2"/>
  <c r="C80" i="2"/>
  <c r="B80" i="2"/>
  <c r="A80" i="2"/>
  <c r="F79" i="2"/>
  <c r="E79" i="2"/>
  <c r="D79" i="2"/>
  <c r="C79" i="2"/>
  <c r="B79" i="2"/>
  <c r="A79" i="2"/>
  <c r="F78" i="2"/>
  <c r="E78" i="2"/>
  <c r="D78" i="2"/>
  <c r="C78" i="2"/>
  <c r="B78" i="2"/>
  <c r="A78" i="2"/>
  <c r="F77" i="2"/>
  <c r="E77" i="2"/>
  <c r="D77" i="2"/>
  <c r="C77" i="2"/>
  <c r="B77" i="2"/>
  <c r="A77" i="2"/>
  <c r="F76" i="2"/>
  <c r="E76" i="2"/>
  <c r="D76" i="2"/>
  <c r="C76" i="2"/>
  <c r="B76" i="2"/>
  <c r="A76" i="2"/>
  <c r="F75" i="2"/>
  <c r="E75" i="2"/>
  <c r="D75" i="2"/>
  <c r="C75" i="2"/>
  <c r="B75" i="2"/>
  <c r="A75" i="2"/>
  <c r="F74" i="2"/>
  <c r="E74" i="2"/>
  <c r="D74" i="2"/>
  <c r="C74" i="2"/>
  <c r="B74" i="2"/>
  <c r="A74" i="2"/>
  <c r="F73" i="2"/>
  <c r="E73" i="2"/>
  <c r="D73" i="2"/>
  <c r="C73" i="2"/>
  <c r="B73" i="2"/>
  <c r="A73" i="2"/>
  <c r="F72" i="2"/>
  <c r="E72" i="2"/>
  <c r="D72" i="2"/>
  <c r="C72" i="2"/>
  <c r="B72" i="2"/>
  <c r="A72" i="2"/>
  <c r="F71" i="2"/>
  <c r="E71" i="2"/>
  <c r="D71" i="2"/>
  <c r="C71" i="2"/>
  <c r="B71" i="2"/>
  <c r="A71" i="2"/>
  <c r="F70" i="2"/>
  <c r="E70" i="2"/>
  <c r="D70" i="2"/>
  <c r="C70" i="2"/>
  <c r="B70" i="2"/>
  <c r="A70" i="2"/>
  <c r="F69" i="2"/>
  <c r="E69" i="2"/>
  <c r="D69" i="2"/>
  <c r="C69" i="2"/>
  <c r="B69" i="2"/>
  <c r="A69" i="2"/>
  <c r="F68" i="2"/>
  <c r="E68" i="2"/>
  <c r="D68" i="2"/>
  <c r="C68" i="2"/>
  <c r="B68" i="2"/>
  <c r="A68" i="2"/>
  <c r="F67" i="2"/>
  <c r="E67" i="2"/>
  <c r="D67" i="2"/>
  <c r="C67" i="2"/>
  <c r="B67" i="2"/>
  <c r="A67" i="2"/>
  <c r="F66" i="2"/>
  <c r="E66" i="2"/>
  <c r="D66" i="2"/>
  <c r="C66" i="2"/>
  <c r="B66" i="2"/>
  <c r="A66" i="2"/>
  <c r="F65" i="2"/>
  <c r="E65" i="2"/>
  <c r="D65" i="2"/>
  <c r="C65" i="2"/>
  <c r="B65" i="2"/>
  <c r="A65" i="2"/>
  <c r="F64" i="2"/>
  <c r="E64" i="2"/>
  <c r="D64" i="2"/>
  <c r="C64" i="2"/>
  <c r="B64" i="2"/>
  <c r="A64" i="2"/>
  <c r="F63" i="2"/>
  <c r="E63" i="2"/>
  <c r="D63" i="2"/>
  <c r="C63" i="2"/>
  <c r="B63" i="2"/>
  <c r="A63" i="2"/>
  <c r="F62" i="2"/>
  <c r="E62" i="2"/>
  <c r="D62" i="2"/>
  <c r="C62" i="2"/>
  <c r="B62" i="2"/>
  <c r="A62" i="2"/>
  <c r="F61" i="2"/>
  <c r="E61" i="2"/>
  <c r="D61" i="2"/>
  <c r="C61" i="2"/>
  <c r="B61" i="2"/>
  <c r="A61" i="2"/>
  <c r="F60" i="2"/>
  <c r="E60" i="2"/>
  <c r="D60" i="2"/>
  <c r="C60" i="2"/>
  <c r="B60" i="2"/>
  <c r="A60" i="2"/>
  <c r="F59" i="2"/>
  <c r="E59" i="2"/>
  <c r="D59" i="2"/>
  <c r="C59" i="2"/>
  <c r="B59" i="2"/>
  <c r="A59" i="2"/>
  <c r="F58" i="2"/>
  <c r="E58" i="2"/>
  <c r="D58" i="2"/>
  <c r="C58" i="2"/>
  <c r="B58" i="2"/>
  <c r="A58" i="2"/>
  <c r="F57" i="2"/>
  <c r="E57" i="2"/>
  <c r="D57" i="2"/>
  <c r="C57" i="2"/>
  <c r="B57" i="2"/>
  <c r="A57" i="2"/>
  <c r="F56" i="2"/>
  <c r="E56" i="2"/>
  <c r="D56" i="2"/>
  <c r="C56" i="2"/>
  <c r="B56" i="2"/>
  <c r="A56" i="2"/>
  <c r="F55" i="2"/>
  <c r="E55" i="2"/>
  <c r="D55" i="2"/>
  <c r="C55" i="2"/>
  <c r="B55" i="2"/>
  <c r="A55" i="2"/>
  <c r="F54" i="2"/>
  <c r="E54" i="2"/>
  <c r="D54" i="2"/>
  <c r="C54" i="2"/>
  <c r="B54" i="2"/>
  <c r="A54" i="2"/>
  <c r="F53" i="2"/>
  <c r="E53" i="2"/>
  <c r="D53" i="2"/>
  <c r="C53" i="2"/>
  <c r="B53" i="2"/>
  <c r="A53" i="2"/>
  <c r="F52" i="2"/>
  <c r="E52" i="2"/>
  <c r="D52" i="2"/>
  <c r="C52" i="2"/>
  <c r="B52" i="2"/>
  <c r="A52" i="2"/>
  <c r="F51" i="2"/>
  <c r="E51" i="2"/>
  <c r="D51" i="2"/>
  <c r="C51" i="2"/>
  <c r="B51" i="2"/>
  <c r="A51" i="2"/>
  <c r="F50" i="2"/>
  <c r="E50" i="2"/>
  <c r="D50" i="2"/>
  <c r="C50" i="2"/>
  <c r="B50" i="2"/>
  <c r="A50" i="2"/>
  <c r="F49" i="2"/>
  <c r="E49" i="2"/>
  <c r="D49" i="2"/>
  <c r="C49" i="2"/>
  <c r="B49" i="2"/>
  <c r="A49" i="2"/>
  <c r="F48" i="2"/>
  <c r="E48" i="2"/>
  <c r="D48" i="2"/>
  <c r="C48" i="2"/>
  <c r="B48" i="2"/>
  <c r="A48" i="2"/>
  <c r="F47" i="2"/>
  <c r="E47" i="2"/>
  <c r="D47" i="2"/>
  <c r="C47" i="2"/>
  <c r="B47" i="2"/>
  <c r="A47" i="2"/>
  <c r="F46" i="2"/>
  <c r="E46" i="2"/>
  <c r="D46" i="2"/>
  <c r="C46" i="2"/>
  <c r="B46" i="2"/>
  <c r="A46" i="2"/>
  <c r="F45" i="2"/>
  <c r="E45" i="2"/>
  <c r="D45" i="2"/>
  <c r="C45" i="2"/>
  <c r="B45" i="2"/>
  <c r="A45" i="2"/>
  <c r="F44" i="2"/>
  <c r="E44" i="2"/>
  <c r="D44" i="2"/>
  <c r="C44" i="2"/>
  <c r="B44" i="2"/>
  <c r="A44" i="2"/>
  <c r="F43" i="2"/>
  <c r="E43" i="2"/>
  <c r="D43" i="2"/>
  <c r="C43" i="2"/>
  <c r="B43" i="2"/>
  <c r="A43" i="2"/>
  <c r="F42" i="2"/>
  <c r="E42" i="2"/>
  <c r="D42" i="2"/>
  <c r="C42" i="2"/>
  <c r="B42" i="2"/>
  <c r="A42" i="2"/>
  <c r="F41" i="2"/>
  <c r="E41" i="2"/>
  <c r="D41" i="2"/>
  <c r="C41" i="2"/>
  <c r="B41" i="2"/>
  <c r="A41" i="2"/>
  <c r="F40" i="2"/>
  <c r="E40" i="2"/>
  <c r="D40" i="2"/>
  <c r="C40" i="2"/>
  <c r="B40" i="2"/>
  <c r="A40" i="2"/>
  <c r="F39" i="2"/>
  <c r="E39" i="2"/>
  <c r="D39" i="2"/>
  <c r="C39" i="2"/>
  <c r="B39" i="2"/>
  <c r="A39" i="2"/>
  <c r="F38" i="2"/>
  <c r="E38" i="2"/>
  <c r="D38" i="2"/>
  <c r="C38" i="2"/>
  <c r="B38" i="2"/>
  <c r="A38" i="2"/>
  <c r="F37" i="2"/>
  <c r="E37" i="2"/>
  <c r="D37" i="2"/>
  <c r="C37" i="2"/>
  <c r="B37" i="2"/>
  <c r="A37" i="2"/>
  <c r="F36" i="2"/>
  <c r="E36" i="2"/>
  <c r="D36" i="2"/>
  <c r="C36" i="2"/>
  <c r="B36" i="2"/>
  <c r="A36" i="2"/>
  <c r="F35" i="2"/>
  <c r="E35" i="2"/>
  <c r="D35" i="2"/>
  <c r="C35" i="2"/>
  <c r="B35" i="2"/>
  <c r="A35" i="2"/>
  <c r="F34" i="2"/>
  <c r="E34" i="2"/>
  <c r="D34" i="2"/>
  <c r="C34" i="2"/>
  <c r="B34" i="2"/>
  <c r="A34" i="2"/>
  <c r="F33" i="2"/>
  <c r="E33" i="2"/>
  <c r="D33" i="2"/>
  <c r="C33" i="2"/>
  <c r="B33" i="2"/>
  <c r="A33" i="2"/>
  <c r="F32" i="2"/>
  <c r="E32" i="2"/>
  <c r="D32" i="2"/>
  <c r="C32" i="2"/>
  <c r="B32" i="2"/>
  <c r="A32" i="2"/>
  <c r="F31" i="2"/>
  <c r="E31" i="2"/>
  <c r="D31" i="2"/>
  <c r="C31" i="2"/>
  <c r="B31" i="2"/>
  <c r="A31" i="2"/>
  <c r="F30" i="2"/>
  <c r="E30" i="2"/>
  <c r="D30" i="2"/>
  <c r="C30" i="2"/>
  <c r="B30" i="2"/>
  <c r="A30" i="2"/>
  <c r="F29" i="2"/>
  <c r="E29" i="2"/>
  <c r="D29" i="2"/>
  <c r="C29" i="2"/>
  <c r="B29" i="2"/>
  <c r="A29" i="2"/>
  <c r="F28" i="2"/>
  <c r="E28" i="2"/>
  <c r="D28" i="2"/>
  <c r="C28" i="2"/>
  <c r="B28" i="2"/>
  <c r="A28" i="2"/>
  <c r="F27" i="2"/>
  <c r="E27" i="2"/>
  <c r="D27" i="2"/>
  <c r="C27" i="2"/>
  <c r="B27" i="2"/>
  <c r="A27" i="2"/>
  <c r="F26" i="2"/>
  <c r="E26" i="2"/>
  <c r="D26" i="2"/>
  <c r="C26" i="2"/>
  <c r="B26" i="2"/>
  <c r="A26" i="2"/>
  <c r="F25" i="2"/>
  <c r="E25" i="2"/>
  <c r="D25" i="2"/>
  <c r="C25" i="2"/>
  <c r="B25" i="2"/>
  <c r="A25" i="2"/>
  <c r="F24" i="2"/>
  <c r="E24" i="2"/>
  <c r="D24" i="2"/>
  <c r="C24" i="2"/>
  <c r="B24" i="2"/>
  <c r="A24" i="2"/>
  <c r="F23" i="2"/>
  <c r="E23" i="2"/>
  <c r="D23" i="2"/>
  <c r="C23" i="2"/>
  <c r="B23" i="2"/>
  <c r="A23" i="2"/>
  <c r="F22" i="2"/>
  <c r="E22" i="2"/>
  <c r="D22" i="2"/>
  <c r="C22" i="2"/>
  <c r="B22" i="2"/>
  <c r="A22" i="2"/>
  <c r="F21" i="2"/>
  <c r="E21" i="2"/>
  <c r="D21" i="2"/>
  <c r="C21" i="2"/>
  <c r="B21" i="2"/>
  <c r="A21" i="2"/>
  <c r="F20" i="2"/>
  <c r="E20" i="2"/>
  <c r="D20" i="2"/>
  <c r="C20" i="2"/>
  <c r="B20" i="2"/>
  <c r="A20" i="2"/>
  <c r="F19" i="2"/>
  <c r="E19" i="2"/>
  <c r="D19" i="2"/>
  <c r="C19" i="2"/>
  <c r="B19" i="2"/>
  <c r="A19" i="2"/>
  <c r="F18" i="2"/>
  <c r="E18" i="2"/>
  <c r="D18" i="2"/>
  <c r="C18" i="2"/>
  <c r="B18" i="2"/>
  <c r="A18" i="2"/>
  <c r="F17" i="2"/>
  <c r="E17" i="2"/>
  <c r="D17" i="2"/>
  <c r="C17" i="2"/>
  <c r="B17" i="2"/>
  <c r="A17" i="2"/>
  <c r="F16" i="2"/>
  <c r="E16" i="2"/>
  <c r="D16" i="2"/>
  <c r="C16" i="2"/>
  <c r="B16" i="2"/>
  <c r="A16" i="2"/>
  <c r="F15" i="2"/>
  <c r="E15" i="2"/>
  <c r="D15" i="2"/>
  <c r="C15" i="2"/>
  <c r="B15" i="2"/>
  <c r="A15" i="2"/>
  <c r="F14" i="2"/>
  <c r="E14" i="2"/>
  <c r="D14" i="2"/>
  <c r="C14" i="2"/>
  <c r="B14" i="2"/>
  <c r="A14" i="2"/>
  <c r="F13" i="2"/>
  <c r="E13" i="2"/>
  <c r="D13" i="2"/>
  <c r="C13" i="2"/>
  <c r="B13" i="2"/>
  <c r="A13" i="2"/>
  <c r="F12" i="2"/>
  <c r="E12" i="2"/>
  <c r="D12" i="2"/>
  <c r="C12" i="2"/>
  <c r="B12" i="2"/>
  <c r="A12" i="2"/>
  <c r="F11" i="2"/>
  <c r="E11" i="2"/>
  <c r="D11" i="2"/>
  <c r="C11" i="2"/>
  <c r="B11" i="2"/>
  <c r="A11" i="2"/>
  <c r="F10" i="2"/>
  <c r="E10" i="2"/>
  <c r="D10" i="2"/>
  <c r="C10" i="2"/>
  <c r="B10" i="2"/>
  <c r="A10" i="2"/>
  <c r="F9" i="2"/>
  <c r="E9" i="2"/>
  <c r="D9" i="2"/>
  <c r="C9" i="2"/>
  <c r="B9" i="2"/>
  <c r="A9" i="2"/>
  <c r="F8" i="2"/>
  <c r="E8" i="2"/>
  <c r="D8" i="2"/>
  <c r="C8" i="2"/>
  <c r="B8" i="2"/>
  <c r="A8" i="2"/>
  <c r="F7" i="2"/>
  <c r="E7" i="2"/>
  <c r="D7" i="2"/>
  <c r="C7" i="2"/>
  <c r="B7" i="2"/>
  <c r="A7" i="2"/>
  <c r="F6" i="2"/>
  <c r="E6" i="2"/>
  <c r="D6" i="2"/>
  <c r="C6" i="2"/>
  <c r="B6" i="2"/>
  <c r="A6" i="2"/>
  <c r="F5" i="2"/>
  <c r="E5" i="2"/>
  <c r="D5" i="2"/>
  <c r="C5" i="2"/>
  <c r="B5" i="2"/>
  <c r="A5" i="2"/>
  <c r="F4" i="2"/>
  <c r="E4" i="2"/>
  <c r="D4" i="2"/>
  <c r="C4" i="2"/>
  <c r="B4" i="2"/>
  <c r="A4" i="2"/>
  <c r="F3" i="2"/>
  <c r="E3" i="2"/>
  <c r="D3" i="2"/>
  <c r="C3" i="2"/>
  <c r="B3" i="2"/>
  <c r="A3" i="2"/>
  <c r="F2" i="2"/>
  <c r="E2" i="2"/>
  <c r="D2" i="2"/>
  <c r="C2" i="2"/>
  <c r="B2" i="2"/>
  <c r="A2" i="2"/>
  <c r="F1" i="2"/>
  <c r="E1" i="2"/>
  <c r="D1" i="2"/>
  <c r="C1" i="2"/>
  <c r="B1" i="2"/>
  <c r="A1" i="2"/>
  <c r="F2742" i="1"/>
  <c r="E2742" i="1"/>
  <c r="D2742" i="1"/>
  <c r="C2742" i="1"/>
  <c r="B2742" i="1"/>
  <c r="A2742" i="1"/>
  <c r="F2741" i="1"/>
  <c r="E2741" i="1"/>
  <c r="D2741" i="1"/>
  <c r="C2741" i="1"/>
  <c r="B2741" i="1"/>
  <c r="A2741" i="1"/>
  <c r="F2740" i="1"/>
  <c r="E2740" i="1"/>
  <c r="D2740" i="1"/>
  <c r="C2740" i="1"/>
  <c r="B2740" i="1"/>
  <c r="A2740" i="1"/>
  <c r="F2739" i="1"/>
  <c r="E2739" i="1"/>
  <c r="D2739" i="1"/>
  <c r="C2739" i="1"/>
  <c r="B2739" i="1"/>
  <c r="A2739" i="1"/>
  <c r="F2738" i="1"/>
  <c r="E2738" i="1"/>
  <c r="D2738" i="1"/>
  <c r="C2738" i="1"/>
  <c r="B2738" i="1"/>
  <c r="A2738" i="1"/>
  <c r="F2737" i="1"/>
  <c r="E2737" i="1"/>
  <c r="D2737" i="1"/>
  <c r="C2737" i="1"/>
  <c r="B2737" i="1"/>
  <c r="A2737" i="1"/>
  <c r="F2736" i="1"/>
  <c r="E2736" i="1"/>
  <c r="D2736" i="1"/>
  <c r="C2736" i="1"/>
  <c r="B2736" i="1"/>
  <c r="A2736" i="1"/>
  <c r="F2735" i="1"/>
  <c r="E2735" i="1"/>
  <c r="D2735" i="1"/>
  <c r="C2735" i="1"/>
  <c r="B2735" i="1"/>
  <c r="A2735" i="1"/>
  <c r="F2734" i="1"/>
  <c r="E2734" i="1"/>
  <c r="D2734" i="1"/>
  <c r="C2734" i="1"/>
  <c r="B2734" i="1"/>
  <c r="A2734" i="1"/>
  <c r="F2733" i="1"/>
  <c r="E2733" i="1"/>
  <c r="D2733" i="1"/>
  <c r="C2733" i="1"/>
  <c r="B2733" i="1"/>
  <c r="A2733" i="1"/>
  <c r="F2732" i="1"/>
  <c r="E2732" i="1"/>
  <c r="D2732" i="1"/>
  <c r="C2732" i="1"/>
  <c r="B2732" i="1"/>
  <c r="A2732" i="1"/>
  <c r="F2731" i="1"/>
  <c r="E2731" i="1"/>
  <c r="D2731" i="1"/>
  <c r="C2731" i="1"/>
  <c r="B2731" i="1"/>
  <c r="A2731" i="1"/>
  <c r="F2730" i="1"/>
  <c r="E2730" i="1"/>
  <c r="D2730" i="1"/>
  <c r="C2730" i="1"/>
  <c r="B2730" i="1"/>
  <c r="A2730" i="1"/>
  <c r="F2729" i="1"/>
  <c r="E2729" i="1"/>
  <c r="D2729" i="1"/>
  <c r="C2729" i="1"/>
  <c r="B2729" i="1"/>
  <c r="A2729" i="1"/>
  <c r="F2728" i="1"/>
  <c r="E2728" i="1"/>
  <c r="D2728" i="1"/>
  <c r="C2728" i="1"/>
  <c r="B2728" i="1"/>
  <c r="A2728" i="1"/>
  <c r="F2727" i="1"/>
  <c r="E2727" i="1"/>
  <c r="D2727" i="1"/>
  <c r="C2727" i="1"/>
  <c r="B2727" i="1"/>
  <c r="A2727" i="1"/>
  <c r="F2726" i="1"/>
  <c r="E2726" i="1"/>
  <c r="D2726" i="1"/>
  <c r="C2726" i="1"/>
  <c r="B2726" i="1"/>
  <c r="A2726" i="1"/>
  <c r="F2725" i="1"/>
  <c r="E2725" i="1"/>
  <c r="D2725" i="1"/>
  <c r="C2725" i="1"/>
  <c r="B2725" i="1"/>
  <c r="A2725" i="1"/>
  <c r="F2724" i="1"/>
  <c r="E2724" i="1"/>
  <c r="D2724" i="1"/>
  <c r="C2724" i="1"/>
  <c r="B2724" i="1"/>
  <c r="A2724" i="1"/>
  <c r="F2723" i="1"/>
  <c r="E2723" i="1"/>
  <c r="D2723" i="1"/>
  <c r="C2723" i="1"/>
  <c r="B2723" i="1"/>
  <c r="A2723" i="1"/>
  <c r="F2722" i="1"/>
  <c r="E2722" i="1"/>
  <c r="D2722" i="1"/>
  <c r="C2722" i="1"/>
  <c r="B2722" i="1"/>
  <c r="A2722" i="1"/>
  <c r="F2721" i="1"/>
  <c r="E2721" i="1"/>
  <c r="D2721" i="1"/>
  <c r="C2721" i="1"/>
  <c r="B2721" i="1"/>
  <c r="A2721" i="1"/>
  <c r="F2720" i="1"/>
  <c r="E2720" i="1"/>
  <c r="D2720" i="1"/>
  <c r="C2720" i="1"/>
  <c r="B2720" i="1"/>
  <c r="A2720" i="1"/>
  <c r="F2719" i="1"/>
  <c r="E2719" i="1"/>
  <c r="D2719" i="1"/>
  <c r="C2719" i="1"/>
  <c r="B2719" i="1"/>
  <c r="A2719" i="1"/>
  <c r="F2718" i="1"/>
  <c r="E2718" i="1"/>
  <c r="D2718" i="1"/>
  <c r="C2718" i="1"/>
  <c r="B2718" i="1"/>
  <c r="A2718" i="1"/>
  <c r="F2717" i="1"/>
  <c r="E2717" i="1"/>
  <c r="D2717" i="1"/>
  <c r="C2717" i="1"/>
  <c r="B2717" i="1"/>
  <c r="A2717" i="1"/>
  <c r="F2716" i="1"/>
  <c r="E2716" i="1"/>
  <c r="D2716" i="1"/>
  <c r="C2716" i="1"/>
  <c r="B2716" i="1"/>
  <c r="A2716" i="1"/>
  <c r="F2715" i="1"/>
  <c r="E2715" i="1"/>
  <c r="D2715" i="1"/>
  <c r="C2715" i="1"/>
  <c r="B2715" i="1"/>
  <c r="A2715" i="1"/>
  <c r="F2714" i="1"/>
  <c r="E2714" i="1"/>
  <c r="D2714" i="1"/>
  <c r="C2714" i="1"/>
  <c r="B2714" i="1"/>
  <c r="A2714" i="1"/>
  <c r="F2713" i="1"/>
  <c r="E2713" i="1"/>
  <c r="D2713" i="1"/>
  <c r="C2713" i="1"/>
  <c r="B2713" i="1"/>
  <c r="A2713" i="1"/>
  <c r="F2712" i="1"/>
  <c r="E2712" i="1"/>
  <c r="D2712" i="1"/>
  <c r="C2712" i="1"/>
  <c r="B2712" i="1"/>
  <c r="A2712" i="1"/>
  <c r="F2711" i="1"/>
  <c r="E2711" i="1"/>
  <c r="D2711" i="1"/>
  <c r="C2711" i="1"/>
  <c r="B2711" i="1"/>
  <c r="A2711" i="1"/>
  <c r="F2710" i="1"/>
  <c r="E2710" i="1"/>
  <c r="D2710" i="1"/>
  <c r="C2710" i="1"/>
  <c r="B2710" i="1"/>
  <c r="A2710" i="1"/>
  <c r="F2709" i="1"/>
  <c r="E2709" i="1"/>
  <c r="D2709" i="1"/>
  <c r="C2709" i="1"/>
  <c r="B2709" i="1"/>
  <c r="A2709" i="1"/>
  <c r="F2708" i="1"/>
  <c r="E2708" i="1"/>
  <c r="D2708" i="1"/>
  <c r="C2708" i="1"/>
  <c r="B2708" i="1"/>
  <c r="A2708" i="1"/>
  <c r="F2707" i="1"/>
  <c r="E2707" i="1"/>
  <c r="D2707" i="1"/>
  <c r="C2707" i="1"/>
  <c r="B2707" i="1"/>
  <c r="A2707" i="1"/>
  <c r="F2706" i="1"/>
  <c r="E2706" i="1"/>
  <c r="D2706" i="1"/>
  <c r="C2706" i="1"/>
  <c r="B2706" i="1"/>
  <c r="A2706" i="1"/>
  <c r="F2705" i="1"/>
  <c r="E2705" i="1"/>
  <c r="D2705" i="1"/>
  <c r="C2705" i="1"/>
  <c r="B2705" i="1"/>
  <c r="A2705" i="1"/>
  <c r="F2704" i="1"/>
  <c r="E2704" i="1"/>
  <c r="D2704" i="1"/>
  <c r="C2704" i="1"/>
  <c r="B2704" i="1"/>
  <c r="A2704" i="1"/>
  <c r="F2703" i="1"/>
  <c r="E2703" i="1"/>
  <c r="D2703" i="1"/>
  <c r="C2703" i="1"/>
  <c r="B2703" i="1"/>
  <c r="A2703" i="1"/>
  <c r="F2702" i="1"/>
  <c r="E2702" i="1"/>
  <c r="D2702" i="1"/>
  <c r="C2702" i="1"/>
  <c r="B2702" i="1"/>
  <c r="A2702" i="1"/>
  <c r="F2701" i="1"/>
  <c r="E2701" i="1"/>
  <c r="D2701" i="1"/>
  <c r="C2701" i="1"/>
  <c r="B2701" i="1"/>
  <c r="A2701" i="1"/>
  <c r="F2700" i="1"/>
  <c r="E2700" i="1"/>
  <c r="D2700" i="1"/>
  <c r="C2700" i="1"/>
  <c r="B2700" i="1"/>
  <c r="A2700" i="1"/>
  <c r="F2699" i="1"/>
  <c r="E2699" i="1"/>
  <c r="D2699" i="1"/>
  <c r="C2699" i="1"/>
  <c r="B2699" i="1"/>
  <c r="A2699" i="1"/>
  <c r="F2698" i="1"/>
  <c r="E2698" i="1"/>
  <c r="D2698" i="1"/>
  <c r="C2698" i="1"/>
  <c r="B2698" i="1"/>
  <c r="A2698" i="1"/>
  <c r="F2697" i="1"/>
  <c r="E2697" i="1"/>
  <c r="D2697" i="1"/>
  <c r="C2697" i="1"/>
  <c r="B2697" i="1"/>
  <c r="A2697" i="1"/>
  <c r="F2696" i="1"/>
  <c r="E2696" i="1"/>
  <c r="D2696" i="1"/>
  <c r="C2696" i="1"/>
  <c r="B2696" i="1"/>
  <c r="A2696" i="1"/>
  <c r="F2695" i="1"/>
  <c r="E2695" i="1"/>
  <c r="D2695" i="1"/>
  <c r="C2695" i="1"/>
  <c r="B2695" i="1"/>
  <c r="A2695" i="1"/>
  <c r="F2694" i="1"/>
  <c r="E2694" i="1"/>
  <c r="D2694" i="1"/>
  <c r="C2694" i="1"/>
  <c r="B2694" i="1"/>
  <c r="A2694" i="1"/>
  <c r="F2693" i="1"/>
  <c r="E2693" i="1"/>
  <c r="D2693" i="1"/>
  <c r="C2693" i="1"/>
  <c r="B2693" i="1"/>
  <c r="A2693" i="1"/>
  <c r="F2692" i="1"/>
  <c r="E2692" i="1"/>
  <c r="D2692" i="1"/>
  <c r="C2692" i="1"/>
  <c r="B2692" i="1"/>
  <c r="A2692" i="1"/>
  <c r="F2691" i="1"/>
  <c r="E2691" i="1"/>
  <c r="D2691" i="1"/>
  <c r="C2691" i="1"/>
  <c r="B2691" i="1"/>
  <c r="A2691" i="1"/>
  <c r="F2690" i="1"/>
  <c r="E2690" i="1"/>
  <c r="D2690" i="1"/>
  <c r="C2690" i="1"/>
  <c r="B2690" i="1"/>
  <c r="A2690" i="1"/>
  <c r="F2689" i="1"/>
  <c r="E2689" i="1"/>
  <c r="D2689" i="1"/>
  <c r="C2689" i="1"/>
  <c r="B2689" i="1"/>
  <c r="A2689" i="1"/>
  <c r="F2688" i="1"/>
  <c r="E2688" i="1"/>
  <c r="D2688" i="1"/>
  <c r="C2688" i="1"/>
  <c r="B2688" i="1"/>
  <c r="A2688" i="1"/>
  <c r="F2687" i="1"/>
  <c r="E2687" i="1"/>
  <c r="D2687" i="1"/>
  <c r="C2687" i="1"/>
  <c r="B2687" i="1"/>
  <c r="A2687" i="1"/>
  <c r="F2686" i="1"/>
  <c r="E2686" i="1"/>
  <c r="D2686" i="1"/>
  <c r="C2686" i="1"/>
  <c r="B2686" i="1"/>
  <c r="A2686" i="1"/>
  <c r="F2685" i="1"/>
  <c r="E2685" i="1"/>
  <c r="D2685" i="1"/>
  <c r="C2685" i="1"/>
  <c r="B2685" i="1"/>
  <c r="A2685" i="1"/>
  <c r="F2684" i="1"/>
  <c r="E2684" i="1"/>
  <c r="D2684" i="1"/>
  <c r="C2684" i="1"/>
  <c r="B2684" i="1"/>
  <c r="A2684" i="1"/>
  <c r="F2683" i="1"/>
  <c r="E2683" i="1"/>
  <c r="D2683" i="1"/>
  <c r="C2683" i="1"/>
  <c r="B2683" i="1"/>
  <c r="A2683" i="1"/>
  <c r="F2682" i="1"/>
  <c r="E2682" i="1"/>
  <c r="D2682" i="1"/>
  <c r="C2682" i="1"/>
  <c r="B2682" i="1"/>
  <c r="A2682" i="1"/>
  <c r="F2681" i="1"/>
  <c r="E2681" i="1"/>
  <c r="D2681" i="1"/>
  <c r="C2681" i="1"/>
  <c r="B2681" i="1"/>
  <c r="A2681" i="1"/>
  <c r="F2680" i="1"/>
  <c r="E2680" i="1"/>
  <c r="D2680" i="1"/>
  <c r="C2680" i="1"/>
  <c r="B2680" i="1"/>
  <c r="A2680" i="1"/>
  <c r="F2679" i="1"/>
  <c r="E2679" i="1"/>
  <c r="D2679" i="1"/>
  <c r="C2679" i="1"/>
  <c r="B2679" i="1"/>
  <c r="A2679" i="1"/>
  <c r="F2678" i="1"/>
  <c r="E2678" i="1"/>
  <c r="D2678" i="1"/>
  <c r="C2678" i="1"/>
  <c r="B2678" i="1"/>
  <c r="A2678" i="1"/>
  <c r="F2677" i="1"/>
  <c r="E2677" i="1"/>
  <c r="D2677" i="1"/>
  <c r="C2677" i="1"/>
  <c r="B2677" i="1"/>
  <c r="A2677" i="1"/>
  <c r="F2676" i="1"/>
  <c r="E2676" i="1"/>
  <c r="D2676" i="1"/>
  <c r="C2676" i="1"/>
  <c r="B2676" i="1"/>
  <c r="A2676" i="1"/>
  <c r="F2675" i="1"/>
  <c r="E2675" i="1"/>
  <c r="D2675" i="1"/>
  <c r="C2675" i="1"/>
  <c r="B2675" i="1"/>
  <c r="A2675" i="1"/>
  <c r="F2674" i="1"/>
  <c r="E2674" i="1"/>
  <c r="D2674" i="1"/>
  <c r="C2674" i="1"/>
  <c r="B2674" i="1"/>
  <c r="A2674" i="1"/>
  <c r="F2673" i="1"/>
  <c r="E2673" i="1"/>
  <c r="D2673" i="1"/>
  <c r="C2673" i="1"/>
  <c r="B2673" i="1"/>
  <c r="A2673" i="1"/>
  <c r="F2672" i="1"/>
  <c r="E2672" i="1"/>
  <c r="D2672" i="1"/>
  <c r="C2672" i="1"/>
  <c r="B2672" i="1"/>
  <c r="A2672" i="1"/>
  <c r="F2671" i="1"/>
  <c r="E2671" i="1"/>
  <c r="D2671" i="1"/>
  <c r="C2671" i="1"/>
  <c r="B2671" i="1"/>
  <c r="A2671" i="1"/>
  <c r="F2670" i="1"/>
  <c r="E2670" i="1"/>
  <c r="D2670" i="1"/>
  <c r="C2670" i="1"/>
  <c r="B2670" i="1"/>
  <c r="A2670" i="1"/>
  <c r="F2669" i="1"/>
  <c r="E2669" i="1"/>
  <c r="D2669" i="1"/>
  <c r="C2669" i="1"/>
  <c r="B2669" i="1"/>
  <c r="A2669" i="1"/>
  <c r="F2668" i="1"/>
  <c r="E2668" i="1"/>
  <c r="D2668" i="1"/>
  <c r="C2668" i="1"/>
  <c r="B2668" i="1"/>
  <c r="A2668" i="1"/>
  <c r="F2667" i="1"/>
  <c r="E2667" i="1"/>
  <c r="D2667" i="1"/>
  <c r="C2667" i="1"/>
  <c r="B2667" i="1"/>
  <c r="A2667" i="1"/>
  <c r="F2666" i="1"/>
  <c r="E2666" i="1"/>
  <c r="D2666" i="1"/>
  <c r="C2666" i="1"/>
  <c r="B2666" i="1"/>
  <c r="A2666" i="1"/>
  <c r="F2665" i="1"/>
  <c r="E2665" i="1"/>
  <c r="D2665" i="1"/>
  <c r="C2665" i="1"/>
  <c r="B2665" i="1"/>
  <c r="A2665" i="1"/>
  <c r="F2664" i="1"/>
  <c r="E2664" i="1"/>
  <c r="D2664" i="1"/>
  <c r="C2664" i="1"/>
  <c r="B2664" i="1"/>
  <c r="A2664" i="1"/>
  <c r="F2663" i="1"/>
  <c r="E2663" i="1"/>
  <c r="D2663" i="1"/>
  <c r="C2663" i="1"/>
  <c r="B2663" i="1"/>
  <c r="A2663" i="1"/>
  <c r="F2662" i="1"/>
  <c r="E2662" i="1"/>
  <c r="D2662" i="1"/>
  <c r="C2662" i="1"/>
  <c r="B2662" i="1"/>
  <c r="A2662" i="1"/>
  <c r="F2661" i="1"/>
  <c r="E2661" i="1"/>
  <c r="D2661" i="1"/>
  <c r="C2661" i="1"/>
  <c r="B2661" i="1"/>
  <c r="A2661" i="1"/>
  <c r="F2660" i="1"/>
  <c r="E2660" i="1"/>
  <c r="D2660" i="1"/>
  <c r="C2660" i="1"/>
  <c r="B2660" i="1"/>
  <c r="A2660" i="1"/>
  <c r="F2659" i="1"/>
  <c r="E2659" i="1"/>
  <c r="D2659" i="1"/>
  <c r="C2659" i="1"/>
  <c r="B2659" i="1"/>
  <c r="A2659" i="1"/>
  <c r="F2658" i="1"/>
  <c r="E2658" i="1"/>
  <c r="D2658" i="1"/>
  <c r="C2658" i="1"/>
  <c r="B2658" i="1"/>
  <c r="A2658" i="1"/>
  <c r="F2657" i="1"/>
  <c r="E2657" i="1"/>
  <c r="D2657" i="1"/>
  <c r="C2657" i="1"/>
  <c r="B2657" i="1"/>
  <c r="A2657" i="1"/>
  <c r="F2656" i="1"/>
  <c r="E2656" i="1"/>
  <c r="D2656" i="1"/>
  <c r="C2656" i="1"/>
  <c r="B2656" i="1"/>
  <c r="A2656" i="1"/>
  <c r="F2655" i="1"/>
  <c r="E2655" i="1"/>
  <c r="D2655" i="1"/>
  <c r="C2655" i="1"/>
  <c r="B2655" i="1"/>
  <c r="A2655" i="1"/>
  <c r="F2654" i="1"/>
  <c r="E2654" i="1"/>
  <c r="D2654" i="1"/>
  <c r="C2654" i="1"/>
  <c r="B2654" i="1"/>
  <c r="A2654" i="1"/>
  <c r="F2653" i="1"/>
  <c r="E2653" i="1"/>
  <c r="D2653" i="1"/>
  <c r="C2653" i="1"/>
  <c r="B2653" i="1"/>
  <c r="A2653" i="1"/>
  <c r="F2652" i="1"/>
  <c r="E2652" i="1"/>
  <c r="D2652" i="1"/>
  <c r="C2652" i="1"/>
  <c r="B2652" i="1"/>
  <c r="A2652" i="1"/>
  <c r="F2651" i="1"/>
  <c r="E2651" i="1"/>
  <c r="D2651" i="1"/>
  <c r="C2651" i="1"/>
  <c r="B2651" i="1"/>
  <c r="A2651" i="1"/>
  <c r="F2650" i="1"/>
  <c r="E2650" i="1"/>
  <c r="D2650" i="1"/>
  <c r="C2650" i="1"/>
  <c r="B2650" i="1"/>
  <c r="A2650" i="1"/>
  <c r="F2649" i="1"/>
  <c r="E2649" i="1"/>
  <c r="D2649" i="1"/>
  <c r="C2649" i="1"/>
  <c r="B2649" i="1"/>
  <c r="A2649" i="1"/>
  <c r="F2648" i="1"/>
  <c r="E2648" i="1"/>
  <c r="D2648" i="1"/>
  <c r="C2648" i="1"/>
  <c r="B2648" i="1"/>
  <c r="A2648" i="1"/>
  <c r="F2647" i="1"/>
  <c r="E2647" i="1"/>
  <c r="D2647" i="1"/>
  <c r="C2647" i="1"/>
  <c r="B2647" i="1"/>
  <c r="A2647" i="1"/>
  <c r="F2646" i="1"/>
  <c r="E2646" i="1"/>
  <c r="D2646" i="1"/>
  <c r="C2646" i="1"/>
  <c r="B2646" i="1"/>
  <c r="A2646" i="1"/>
  <c r="F2645" i="1"/>
  <c r="E2645" i="1"/>
  <c r="D2645" i="1"/>
  <c r="C2645" i="1"/>
  <c r="B2645" i="1"/>
  <c r="A2645" i="1"/>
  <c r="F2644" i="1"/>
  <c r="E2644" i="1"/>
  <c r="D2644" i="1"/>
  <c r="C2644" i="1"/>
  <c r="B2644" i="1"/>
  <c r="A2644" i="1"/>
  <c r="F2643" i="1"/>
  <c r="E2643" i="1"/>
  <c r="D2643" i="1"/>
  <c r="C2643" i="1"/>
  <c r="B2643" i="1"/>
  <c r="A2643" i="1"/>
  <c r="F2642" i="1"/>
  <c r="E2642" i="1"/>
  <c r="D2642" i="1"/>
  <c r="C2642" i="1"/>
  <c r="B2642" i="1"/>
  <c r="A2642" i="1"/>
  <c r="F2641" i="1"/>
  <c r="E2641" i="1"/>
  <c r="D2641" i="1"/>
  <c r="C2641" i="1"/>
  <c r="B2641" i="1"/>
  <c r="A2641" i="1"/>
  <c r="F2640" i="1"/>
  <c r="E2640" i="1"/>
  <c r="D2640" i="1"/>
  <c r="C2640" i="1"/>
  <c r="B2640" i="1"/>
  <c r="A2640" i="1"/>
  <c r="F2639" i="1"/>
  <c r="E2639" i="1"/>
  <c r="D2639" i="1"/>
  <c r="C2639" i="1"/>
  <c r="B2639" i="1"/>
  <c r="A2639" i="1"/>
  <c r="F2638" i="1"/>
  <c r="E2638" i="1"/>
  <c r="D2638" i="1"/>
  <c r="C2638" i="1"/>
  <c r="B2638" i="1"/>
  <c r="A2638" i="1"/>
  <c r="F2637" i="1"/>
  <c r="E2637" i="1"/>
  <c r="D2637" i="1"/>
  <c r="C2637" i="1"/>
  <c r="B2637" i="1"/>
  <c r="A2637" i="1"/>
  <c r="F2636" i="1"/>
  <c r="E2636" i="1"/>
  <c r="D2636" i="1"/>
  <c r="C2636" i="1"/>
  <c r="B2636" i="1"/>
  <c r="A2636" i="1"/>
  <c r="F2635" i="1"/>
  <c r="E2635" i="1"/>
  <c r="D2635" i="1"/>
  <c r="C2635" i="1"/>
  <c r="B2635" i="1"/>
  <c r="A2635" i="1"/>
  <c r="F2634" i="1"/>
  <c r="E2634" i="1"/>
  <c r="D2634" i="1"/>
  <c r="C2634" i="1"/>
  <c r="B2634" i="1"/>
  <c r="A2634" i="1"/>
  <c r="F2633" i="1"/>
  <c r="E2633" i="1"/>
  <c r="D2633" i="1"/>
  <c r="C2633" i="1"/>
  <c r="B2633" i="1"/>
  <c r="A2633" i="1"/>
  <c r="F2632" i="1"/>
  <c r="E2632" i="1"/>
  <c r="D2632" i="1"/>
  <c r="C2632" i="1"/>
  <c r="B2632" i="1"/>
  <c r="A2632" i="1"/>
  <c r="F2631" i="1"/>
  <c r="E2631" i="1"/>
  <c r="D2631" i="1"/>
  <c r="C2631" i="1"/>
  <c r="B2631" i="1"/>
  <c r="A2631" i="1"/>
  <c r="F2630" i="1"/>
  <c r="E2630" i="1"/>
  <c r="D2630" i="1"/>
  <c r="C2630" i="1"/>
  <c r="B2630" i="1"/>
  <c r="A2630" i="1"/>
  <c r="F2629" i="1"/>
  <c r="E2629" i="1"/>
  <c r="D2629" i="1"/>
  <c r="C2629" i="1"/>
  <c r="B2629" i="1"/>
  <c r="A2629" i="1"/>
  <c r="F2628" i="1"/>
  <c r="E2628" i="1"/>
  <c r="D2628" i="1"/>
  <c r="C2628" i="1"/>
  <c r="B2628" i="1"/>
  <c r="A2628" i="1"/>
  <c r="F2627" i="1"/>
  <c r="E2627" i="1"/>
  <c r="D2627" i="1"/>
  <c r="C2627" i="1"/>
  <c r="B2627" i="1"/>
  <c r="A2627" i="1"/>
  <c r="F2626" i="1"/>
  <c r="E2626" i="1"/>
  <c r="D2626" i="1"/>
  <c r="C2626" i="1"/>
  <c r="B2626" i="1"/>
  <c r="A2626" i="1"/>
  <c r="F2625" i="1"/>
  <c r="E2625" i="1"/>
  <c r="D2625" i="1"/>
  <c r="C2625" i="1"/>
  <c r="B2625" i="1"/>
  <c r="A2625" i="1"/>
  <c r="F2624" i="1"/>
  <c r="E2624" i="1"/>
  <c r="D2624" i="1"/>
  <c r="C2624" i="1"/>
  <c r="B2624" i="1"/>
  <c r="A2624" i="1"/>
  <c r="F2623" i="1"/>
  <c r="E2623" i="1"/>
  <c r="D2623" i="1"/>
  <c r="C2623" i="1"/>
  <c r="B2623" i="1"/>
  <c r="A2623" i="1"/>
  <c r="F2622" i="1"/>
  <c r="E2622" i="1"/>
  <c r="D2622" i="1"/>
  <c r="C2622" i="1"/>
  <c r="B2622" i="1"/>
  <c r="A2622" i="1"/>
  <c r="F2621" i="1"/>
  <c r="E2621" i="1"/>
  <c r="D2621" i="1"/>
  <c r="C2621" i="1"/>
  <c r="B2621" i="1"/>
  <c r="A2621" i="1"/>
  <c r="F2620" i="1"/>
  <c r="E2620" i="1"/>
  <c r="D2620" i="1"/>
  <c r="C2620" i="1"/>
  <c r="B2620" i="1"/>
  <c r="A2620" i="1"/>
  <c r="F2619" i="1"/>
  <c r="E2619" i="1"/>
  <c r="D2619" i="1"/>
  <c r="C2619" i="1"/>
  <c r="B2619" i="1"/>
  <c r="A2619" i="1"/>
  <c r="F2618" i="1"/>
  <c r="E2618" i="1"/>
  <c r="D2618" i="1"/>
  <c r="C2618" i="1"/>
  <c r="B2618" i="1"/>
  <c r="A2618" i="1"/>
  <c r="F2617" i="1"/>
  <c r="E2617" i="1"/>
  <c r="D2617" i="1"/>
  <c r="C2617" i="1"/>
  <c r="B2617" i="1"/>
  <c r="A2617" i="1"/>
  <c r="F2616" i="1"/>
  <c r="E2616" i="1"/>
  <c r="D2616" i="1"/>
  <c r="C2616" i="1"/>
  <c r="B2616" i="1"/>
  <c r="A2616" i="1"/>
  <c r="F2615" i="1"/>
  <c r="E2615" i="1"/>
  <c r="D2615" i="1"/>
  <c r="C2615" i="1"/>
  <c r="B2615" i="1"/>
  <c r="A2615" i="1"/>
  <c r="F2614" i="1"/>
  <c r="E2614" i="1"/>
  <c r="D2614" i="1"/>
  <c r="C2614" i="1"/>
  <c r="B2614" i="1"/>
  <c r="A2614" i="1"/>
  <c r="F2613" i="1"/>
  <c r="E2613" i="1"/>
  <c r="D2613" i="1"/>
  <c r="C2613" i="1"/>
  <c r="B2613" i="1"/>
  <c r="A2613" i="1"/>
  <c r="F2612" i="1"/>
  <c r="E2612" i="1"/>
  <c r="D2612" i="1"/>
  <c r="C2612" i="1"/>
  <c r="B2612" i="1"/>
  <c r="A2612" i="1"/>
  <c r="F2611" i="1"/>
  <c r="E2611" i="1"/>
  <c r="D2611" i="1"/>
  <c r="C2611" i="1"/>
  <c r="B2611" i="1"/>
  <c r="A2611" i="1"/>
  <c r="F2610" i="1"/>
  <c r="E2610" i="1"/>
  <c r="D2610" i="1"/>
  <c r="C2610" i="1"/>
  <c r="B2610" i="1"/>
  <c r="A2610" i="1"/>
  <c r="F2609" i="1"/>
  <c r="E2609" i="1"/>
  <c r="D2609" i="1"/>
  <c r="C2609" i="1"/>
  <c r="B2609" i="1"/>
  <c r="A2609" i="1"/>
  <c r="F2608" i="1"/>
  <c r="E2608" i="1"/>
  <c r="D2608" i="1"/>
  <c r="C2608" i="1"/>
  <c r="B2608" i="1"/>
  <c r="A2608" i="1"/>
  <c r="F2607" i="1"/>
  <c r="E2607" i="1"/>
  <c r="D2607" i="1"/>
  <c r="C2607" i="1"/>
  <c r="B2607" i="1"/>
  <c r="A2607" i="1"/>
  <c r="F2606" i="1"/>
  <c r="E2606" i="1"/>
  <c r="D2606" i="1"/>
  <c r="C2606" i="1"/>
  <c r="B2606" i="1"/>
  <c r="A2606" i="1"/>
  <c r="F2605" i="1"/>
  <c r="E2605" i="1"/>
  <c r="D2605" i="1"/>
  <c r="C2605" i="1"/>
  <c r="B2605" i="1"/>
  <c r="A2605" i="1"/>
  <c r="F2604" i="1"/>
  <c r="E2604" i="1"/>
  <c r="D2604" i="1"/>
  <c r="C2604" i="1"/>
  <c r="B2604" i="1"/>
  <c r="A2604" i="1"/>
  <c r="F2603" i="1"/>
  <c r="E2603" i="1"/>
  <c r="D2603" i="1"/>
  <c r="C2603" i="1"/>
  <c r="B2603" i="1"/>
  <c r="A2603" i="1"/>
  <c r="F2602" i="1"/>
  <c r="E2602" i="1"/>
  <c r="D2602" i="1"/>
  <c r="C2602" i="1"/>
  <c r="B2602" i="1"/>
  <c r="A2602" i="1"/>
  <c r="F2601" i="1"/>
  <c r="E2601" i="1"/>
  <c r="D2601" i="1"/>
  <c r="C2601" i="1"/>
  <c r="B2601" i="1"/>
  <c r="A2601" i="1"/>
  <c r="F2600" i="1"/>
  <c r="E2600" i="1"/>
  <c r="D2600" i="1"/>
  <c r="C2600" i="1"/>
  <c r="B2600" i="1"/>
  <c r="A2600" i="1"/>
  <c r="F2599" i="1"/>
  <c r="E2599" i="1"/>
  <c r="D2599" i="1"/>
  <c r="C2599" i="1"/>
  <c r="B2599" i="1"/>
  <c r="A2599" i="1"/>
  <c r="F2598" i="1"/>
  <c r="E2598" i="1"/>
  <c r="D2598" i="1"/>
  <c r="C2598" i="1"/>
  <c r="B2598" i="1"/>
  <c r="A2598" i="1"/>
  <c r="F2597" i="1"/>
  <c r="E2597" i="1"/>
  <c r="D2597" i="1"/>
  <c r="C2597" i="1"/>
  <c r="B2597" i="1"/>
  <c r="A2597" i="1"/>
  <c r="F2596" i="1"/>
  <c r="E2596" i="1"/>
  <c r="D2596" i="1"/>
  <c r="C2596" i="1"/>
  <c r="B2596" i="1"/>
  <c r="A2596" i="1"/>
  <c r="F2595" i="1"/>
  <c r="E2595" i="1"/>
  <c r="D2595" i="1"/>
  <c r="C2595" i="1"/>
  <c r="B2595" i="1"/>
  <c r="A2595" i="1"/>
  <c r="F2594" i="1"/>
  <c r="E2594" i="1"/>
  <c r="D2594" i="1"/>
  <c r="C2594" i="1"/>
  <c r="B2594" i="1"/>
  <c r="A2594" i="1"/>
  <c r="F2593" i="1"/>
  <c r="E2593" i="1"/>
  <c r="D2593" i="1"/>
  <c r="C2593" i="1"/>
  <c r="B2593" i="1"/>
  <c r="A2593" i="1"/>
  <c r="F2592" i="1"/>
  <c r="E2592" i="1"/>
  <c r="D2592" i="1"/>
  <c r="C2592" i="1"/>
  <c r="B2592" i="1"/>
  <c r="A2592" i="1"/>
  <c r="F2591" i="1"/>
  <c r="E2591" i="1"/>
  <c r="D2591" i="1"/>
  <c r="C2591" i="1"/>
  <c r="B2591" i="1"/>
  <c r="A2591" i="1"/>
  <c r="F2590" i="1"/>
  <c r="E2590" i="1"/>
  <c r="D2590" i="1"/>
  <c r="C2590" i="1"/>
  <c r="B2590" i="1"/>
  <c r="A2590" i="1"/>
  <c r="F2589" i="1"/>
  <c r="E2589" i="1"/>
  <c r="D2589" i="1"/>
  <c r="C2589" i="1"/>
  <c r="B2589" i="1"/>
  <c r="A2589" i="1"/>
  <c r="F2588" i="1"/>
  <c r="E2588" i="1"/>
  <c r="D2588" i="1"/>
  <c r="C2588" i="1"/>
  <c r="B2588" i="1"/>
  <c r="A2588" i="1"/>
  <c r="F2587" i="1"/>
  <c r="E2587" i="1"/>
  <c r="D2587" i="1"/>
  <c r="C2587" i="1"/>
  <c r="B2587" i="1"/>
  <c r="A2587" i="1"/>
  <c r="F2586" i="1"/>
  <c r="E2586" i="1"/>
  <c r="D2586" i="1"/>
  <c r="C2586" i="1"/>
  <c r="B2586" i="1"/>
  <c r="A2586" i="1"/>
  <c r="F2585" i="1"/>
  <c r="E2585" i="1"/>
  <c r="D2585" i="1"/>
  <c r="C2585" i="1"/>
  <c r="B2585" i="1"/>
  <c r="A2585" i="1"/>
  <c r="F2584" i="1"/>
  <c r="E2584" i="1"/>
  <c r="D2584" i="1"/>
  <c r="C2584" i="1"/>
  <c r="B2584" i="1"/>
  <c r="A2584" i="1"/>
  <c r="F2583" i="1"/>
  <c r="E2583" i="1"/>
  <c r="D2583" i="1"/>
  <c r="C2583" i="1"/>
  <c r="B2583" i="1"/>
  <c r="A2583" i="1"/>
  <c r="F2582" i="1"/>
  <c r="E2582" i="1"/>
  <c r="D2582" i="1"/>
  <c r="C2582" i="1"/>
  <c r="B2582" i="1"/>
  <c r="A2582" i="1"/>
  <c r="F2581" i="1"/>
  <c r="E2581" i="1"/>
  <c r="D2581" i="1"/>
  <c r="C2581" i="1"/>
  <c r="B2581" i="1"/>
  <c r="A2581" i="1"/>
  <c r="F2580" i="1"/>
  <c r="E2580" i="1"/>
  <c r="D2580" i="1"/>
  <c r="C2580" i="1"/>
  <c r="B2580" i="1"/>
  <c r="A2580" i="1"/>
  <c r="F2579" i="1"/>
  <c r="E2579" i="1"/>
  <c r="D2579" i="1"/>
  <c r="C2579" i="1"/>
  <c r="B2579" i="1"/>
  <c r="A2579" i="1"/>
  <c r="F2578" i="1"/>
  <c r="E2578" i="1"/>
  <c r="D2578" i="1"/>
  <c r="C2578" i="1"/>
  <c r="B2578" i="1"/>
  <c r="A2578" i="1"/>
  <c r="F2577" i="1"/>
  <c r="E2577" i="1"/>
  <c r="D2577" i="1"/>
  <c r="C2577" i="1"/>
  <c r="B2577" i="1"/>
  <c r="A2577" i="1"/>
  <c r="F2576" i="1"/>
  <c r="E2576" i="1"/>
  <c r="D2576" i="1"/>
  <c r="C2576" i="1"/>
  <c r="B2576" i="1"/>
  <c r="A2576" i="1"/>
  <c r="F2575" i="1"/>
  <c r="E2575" i="1"/>
  <c r="D2575" i="1"/>
  <c r="C2575" i="1"/>
  <c r="B2575" i="1"/>
  <c r="A2575" i="1"/>
  <c r="F2574" i="1"/>
  <c r="E2574" i="1"/>
  <c r="D2574" i="1"/>
  <c r="C2574" i="1"/>
  <c r="B2574" i="1"/>
  <c r="A2574" i="1"/>
  <c r="F2573" i="1"/>
  <c r="E2573" i="1"/>
  <c r="D2573" i="1"/>
  <c r="C2573" i="1"/>
  <c r="B2573" i="1"/>
  <c r="A2573" i="1"/>
  <c r="F2572" i="1"/>
  <c r="E2572" i="1"/>
  <c r="D2572" i="1"/>
  <c r="C2572" i="1"/>
  <c r="B2572" i="1"/>
  <c r="A2572" i="1"/>
  <c r="F2571" i="1"/>
  <c r="E2571" i="1"/>
  <c r="D2571" i="1"/>
  <c r="C2571" i="1"/>
  <c r="B2571" i="1"/>
  <c r="A2571" i="1"/>
  <c r="F2570" i="1"/>
  <c r="E2570" i="1"/>
  <c r="D2570" i="1"/>
  <c r="C2570" i="1"/>
  <c r="B2570" i="1"/>
  <c r="A2570" i="1"/>
  <c r="F2569" i="1"/>
  <c r="E2569" i="1"/>
  <c r="D2569" i="1"/>
  <c r="C2569" i="1"/>
  <c r="B2569" i="1"/>
  <c r="A2569" i="1"/>
  <c r="F2568" i="1"/>
  <c r="E2568" i="1"/>
  <c r="D2568" i="1"/>
  <c r="C2568" i="1"/>
  <c r="B2568" i="1"/>
  <c r="A2568" i="1"/>
  <c r="F2567" i="1"/>
  <c r="E2567" i="1"/>
  <c r="D2567" i="1"/>
  <c r="C2567" i="1"/>
  <c r="B2567" i="1"/>
  <c r="A2567" i="1"/>
  <c r="F2566" i="1"/>
  <c r="E2566" i="1"/>
  <c r="D2566" i="1"/>
  <c r="C2566" i="1"/>
  <c r="B2566" i="1"/>
  <c r="A2566" i="1"/>
  <c r="F2565" i="1"/>
  <c r="E2565" i="1"/>
  <c r="D2565" i="1"/>
  <c r="C2565" i="1"/>
  <c r="B2565" i="1"/>
  <c r="A2565" i="1"/>
  <c r="F2564" i="1"/>
  <c r="E2564" i="1"/>
  <c r="D2564" i="1"/>
  <c r="C2564" i="1"/>
  <c r="B2564" i="1"/>
  <c r="A2564" i="1"/>
  <c r="F2563" i="1"/>
  <c r="E2563" i="1"/>
  <c r="D2563" i="1"/>
  <c r="C2563" i="1"/>
  <c r="B2563" i="1"/>
  <c r="A2563" i="1"/>
  <c r="F2562" i="1"/>
  <c r="E2562" i="1"/>
  <c r="D2562" i="1"/>
  <c r="C2562" i="1"/>
  <c r="B2562" i="1"/>
  <c r="A2562" i="1"/>
  <c r="F2561" i="1"/>
  <c r="E2561" i="1"/>
  <c r="D2561" i="1"/>
  <c r="C2561" i="1"/>
  <c r="B2561" i="1"/>
  <c r="A2561" i="1"/>
  <c r="F2560" i="1"/>
  <c r="E2560" i="1"/>
  <c r="D2560" i="1"/>
  <c r="C2560" i="1"/>
  <c r="B2560" i="1"/>
  <c r="A2560" i="1"/>
  <c r="F2559" i="1"/>
  <c r="E2559" i="1"/>
  <c r="D2559" i="1"/>
  <c r="C2559" i="1"/>
  <c r="B2559" i="1"/>
  <c r="A2559" i="1"/>
  <c r="F2558" i="1"/>
  <c r="E2558" i="1"/>
  <c r="D2558" i="1"/>
  <c r="C2558" i="1"/>
  <c r="B2558" i="1"/>
  <c r="A2558" i="1"/>
  <c r="F2557" i="1"/>
  <c r="E2557" i="1"/>
  <c r="D2557" i="1"/>
  <c r="C2557" i="1"/>
  <c r="B2557" i="1"/>
  <c r="A2557" i="1"/>
  <c r="F2556" i="1"/>
  <c r="E2556" i="1"/>
  <c r="D2556" i="1"/>
  <c r="C2556" i="1"/>
  <c r="B2556" i="1"/>
  <c r="A2556" i="1"/>
  <c r="F2555" i="1"/>
  <c r="E2555" i="1"/>
  <c r="D2555" i="1"/>
  <c r="C2555" i="1"/>
  <c r="B2555" i="1"/>
  <c r="A2555" i="1"/>
  <c r="F2554" i="1"/>
  <c r="E2554" i="1"/>
  <c r="D2554" i="1"/>
  <c r="C2554" i="1"/>
  <c r="B2554" i="1"/>
  <c r="A2554" i="1"/>
  <c r="F2553" i="1"/>
  <c r="E2553" i="1"/>
  <c r="D2553" i="1"/>
  <c r="C2553" i="1"/>
  <c r="B2553" i="1"/>
  <c r="A2553" i="1"/>
  <c r="F2552" i="1"/>
  <c r="E2552" i="1"/>
  <c r="D2552" i="1"/>
  <c r="C2552" i="1"/>
  <c r="B2552" i="1"/>
  <c r="A2552" i="1"/>
  <c r="F2551" i="1"/>
  <c r="E2551" i="1"/>
  <c r="D2551" i="1"/>
  <c r="C2551" i="1"/>
  <c r="B2551" i="1"/>
  <c r="A2551" i="1"/>
  <c r="F2550" i="1"/>
  <c r="E2550" i="1"/>
  <c r="D2550" i="1"/>
  <c r="C2550" i="1"/>
  <c r="B2550" i="1"/>
  <c r="A2550" i="1"/>
  <c r="F2549" i="1"/>
  <c r="E2549" i="1"/>
  <c r="D2549" i="1"/>
  <c r="C2549" i="1"/>
  <c r="B2549" i="1"/>
  <c r="A2549" i="1"/>
  <c r="F2548" i="1"/>
  <c r="E2548" i="1"/>
  <c r="D2548" i="1"/>
  <c r="C2548" i="1"/>
  <c r="B2548" i="1"/>
  <c r="A2548" i="1"/>
  <c r="F2547" i="1"/>
  <c r="E2547" i="1"/>
  <c r="D2547" i="1"/>
  <c r="C2547" i="1"/>
  <c r="B2547" i="1"/>
  <c r="A2547" i="1"/>
  <c r="F2546" i="1"/>
  <c r="E2546" i="1"/>
  <c r="D2546" i="1"/>
  <c r="C2546" i="1"/>
  <c r="B2546" i="1"/>
  <c r="A2546" i="1"/>
  <c r="F2545" i="1"/>
  <c r="E2545" i="1"/>
  <c r="D2545" i="1"/>
  <c r="C2545" i="1"/>
  <c r="B2545" i="1"/>
  <c r="A2545" i="1"/>
  <c r="F2544" i="1"/>
  <c r="E2544" i="1"/>
  <c r="D2544" i="1"/>
  <c r="C2544" i="1"/>
  <c r="B2544" i="1"/>
  <c r="A2544" i="1"/>
  <c r="F2543" i="1"/>
  <c r="E2543" i="1"/>
  <c r="D2543" i="1"/>
  <c r="C2543" i="1"/>
  <c r="B2543" i="1"/>
  <c r="A2543" i="1"/>
  <c r="F2542" i="1"/>
  <c r="E2542" i="1"/>
  <c r="D2542" i="1"/>
  <c r="C2542" i="1"/>
  <c r="B2542" i="1"/>
  <c r="A2542" i="1"/>
  <c r="F2541" i="1"/>
  <c r="E2541" i="1"/>
  <c r="D2541" i="1"/>
  <c r="C2541" i="1"/>
  <c r="B2541" i="1"/>
  <c r="A2541" i="1"/>
  <c r="F2540" i="1"/>
  <c r="E2540" i="1"/>
  <c r="D2540" i="1"/>
  <c r="C2540" i="1"/>
  <c r="B2540" i="1"/>
  <c r="A2540" i="1"/>
  <c r="F2539" i="1"/>
  <c r="E2539" i="1"/>
  <c r="D2539" i="1"/>
  <c r="C2539" i="1"/>
  <c r="B2539" i="1"/>
  <c r="A2539" i="1"/>
  <c r="F2538" i="1"/>
  <c r="E2538" i="1"/>
  <c r="D2538" i="1"/>
  <c r="C2538" i="1"/>
  <c r="B2538" i="1"/>
  <c r="A2538" i="1"/>
  <c r="F2537" i="1"/>
  <c r="E2537" i="1"/>
  <c r="D2537" i="1"/>
  <c r="C2537" i="1"/>
  <c r="B2537" i="1"/>
  <c r="A2537" i="1"/>
  <c r="F2536" i="1"/>
  <c r="E2536" i="1"/>
  <c r="D2536" i="1"/>
  <c r="C2536" i="1"/>
  <c r="B2536" i="1"/>
  <c r="A2536" i="1"/>
  <c r="F2535" i="1"/>
  <c r="E2535" i="1"/>
  <c r="D2535" i="1"/>
  <c r="C2535" i="1"/>
  <c r="B2535" i="1"/>
  <c r="A2535" i="1"/>
  <c r="F2534" i="1"/>
  <c r="E2534" i="1"/>
  <c r="D2534" i="1"/>
  <c r="C2534" i="1"/>
  <c r="B2534" i="1"/>
  <c r="A2534" i="1"/>
  <c r="F2533" i="1"/>
  <c r="E2533" i="1"/>
  <c r="D2533" i="1"/>
  <c r="C2533" i="1"/>
  <c r="B2533" i="1"/>
  <c r="A2533" i="1"/>
  <c r="F2532" i="1"/>
  <c r="E2532" i="1"/>
  <c r="D2532" i="1"/>
  <c r="C2532" i="1"/>
  <c r="B2532" i="1"/>
  <c r="A2532" i="1"/>
  <c r="F2531" i="1"/>
  <c r="E2531" i="1"/>
  <c r="D2531" i="1"/>
  <c r="C2531" i="1"/>
  <c r="B2531" i="1"/>
  <c r="A2531" i="1"/>
  <c r="F2530" i="1"/>
  <c r="E2530" i="1"/>
  <c r="D2530" i="1"/>
  <c r="C2530" i="1"/>
  <c r="B2530" i="1"/>
  <c r="A2530" i="1"/>
  <c r="F2529" i="1"/>
  <c r="E2529" i="1"/>
  <c r="D2529" i="1"/>
  <c r="C2529" i="1"/>
  <c r="B2529" i="1"/>
  <c r="A2529" i="1"/>
  <c r="F2528" i="1"/>
  <c r="E2528" i="1"/>
  <c r="D2528" i="1"/>
  <c r="C2528" i="1"/>
  <c r="B2528" i="1"/>
  <c r="A2528" i="1"/>
  <c r="F2527" i="1"/>
  <c r="E2527" i="1"/>
  <c r="D2527" i="1"/>
  <c r="C2527" i="1"/>
  <c r="B2527" i="1"/>
  <c r="A2527" i="1"/>
  <c r="F2526" i="1"/>
  <c r="E2526" i="1"/>
  <c r="D2526" i="1"/>
  <c r="C2526" i="1"/>
  <c r="B2526" i="1"/>
  <c r="A2526" i="1"/>
  <c r="F2525" i="1"/>
  <c r="E2525" i="1"/>
  <c r="D2525" i="1"/>
  <c r="C2525" i="1"/>
  <c r="B2525" i="1"/>
  <c r="A2525" i="1"/>
  <c r="F2524" i="1"/>
  <c r="E2524" i="1"/>
  <c r="D2524" i="1"/>
  <c r="C2524" i="1"/>
  <c r="B2524" i="1"/>
  <c r="A2524" i="1"/>
  <c r="F2523" i="1"/>
  <c r="E2523" i="1"/>
  <c r="D2523" i="1"/>
  <c r="C2523" i="1"/>
  <c r="B2523" i="1"/>
  <c r="A2523" i="1"/>
  <c r="F2522" i="1"/>
  <c r="E2522" i="1"/>
  <c r="D2522" i="1"/>
  <c r="C2522" i="1"/>
  <c r="B2522" i="1"/>
  <c r="A2522" i="1"/>
  <c r="F2521" i="1"/>
  <c r="E2521" i="1"/>
  <c r="D2521" i="1"/>
  <c r="C2521" i="1"/>
  <c r="B2521" i="1"/>
  <c r="A2521" i="1"/>
  <c r="F2520" i="1"/>
  <c r="E2520" i="1"/>
  <c r="D2520" i="1"/>
  <c r="C2520" i="1"/>
  <c r="B2520" i="1"/>
  <c r="A2520" i="1"/>
  <c r="F2519" i="1"/>
  <c r="E2519" i="1"/>
  <c r="D2519" i="1"/>
  <c r="C2519" i="1"/>
  <c r="B2519" i="1"/>
  <c r="A2519" i="1"/>
  <c r="F2518" i="1"/>
  <c r="E2518" i="1"/>
  <c r="D2518" i="1"/>
  <c r="C2518" i="1"/>
  <c r="B2518" i="1"/>
  <c r="A2518" i="1"/>
  <c r="F2517" i="1"/>
  <c r="E2517" i="1"/>
  <c r="D2517" i="1"/>
  <c r="C2517" i="1"/>
  <c r="B2517" i="1"/>
  <c r="A2517" i="1"/>
  <c r="F2516" i="1"/>
  <c r="E2516" i="1"/>
  <c r="D2516" i="1"/>
  <c r="C2516" i="1"/>
  <c r="B2516" i="1"/>
  <c r="A2516" i="1"/>
  <c r="F2515" i="1"/>
  <c r="E2515" i="1"/>
  <c r="D2515" i="1"/>
  <c r="C2515" i="1"/>
  <c r="B2515" i="1"/>
  <c r="A2515" i="1"/>
  <c r="F2514" i="1"/>
  <c r="E2514" i="1"/>
  <c r="D2514" i="1"/>
  <c r="C2514" i="1"/>
  <c r="B2514" i="1"/>
  <c r="A2514" i="1"/>
  <c r="F2513" i="1"/>
  <c r="E2513" i="1"/>
  <c r="D2513" i="1"/>
  <c r="C2513" i="1"/>
  <c r="B2513" i="1"/>
  <c r="A2513" i="1"/>
  <c r="F2512" i="1"/>
  <c r="E2512" i="1"/>
  <c r="D2512" i="1"/>
  <c r="C2512" i="1"/>
  <c r="B2512" i="1"/>
  <c r="A2512" i="1"/>
  <c r="F2511" i="1"/>
  <c r="E2511" i="1"/>
  <c r="D2511" i="1"/>
  <c r="C2511" i="1"/>
  <c r="B2511" i="1"/>
  <c r="A2511" i="1"/>
  <c r="F2510" i="1"/>
  <c r="E2510" i="1"/>
  <c r="D2510" i="1"/>
  <c r="C2510" i="1"/>
  <c r="B2510" i="1"/>
  <c r="A2510" i="1"/>
  <c r="F2509" i="1"/>
  <c r="E2509" i="1"/>
  <c r="D2509" i="1"/>
  <c r="C2509" i="1"/>
  <c r="B2509" i="1"/>
  <c r="A2509" i="1"/>
  <c r="F2508" i="1"/>
  <c r="E2508" i="1"/>
  <c r="D2508" i="1"/>
  <c r="C2508" i="1"/>
  <c r="B2508" i="1"/>
  <c r="A2508" i="1"/>
  <c r="F2507" i="1"/>
  <c r="E2507" i="1"/>
  <c r="D2507" i="1"/>
  <c r="C2507" i="1"/>
  <c r="B2507" i="1"/>
  <c r="A2507" i="1"/>
  <c r="F2506" i="1"/>
  <c r="E2506" i="1"/>
  <c r="D2506" i="1"/>
  <c r="C2506" i="1"/>
  <c r="B2506" i="1"/>
  <c r="A2506" i="1"/>
  <c r="F2505" i="1"/>
  <c r="E2505" i="1"/>
  <c r="D2505" i="1"/>
  <c r="C2505" i="1"/>
  <c r="B2505" i="1"/>
  <c r="A2505" i="1"/>
  <c r="F2504" i="1"/>
  <c r="E2504" i="1"/>
  <c r="D2504" i="1"/>
  <c r="C2504" i="1"/>
  <c r="B2504" i="1"/>
  <c r="A2504" i="1"/>
  <c r="F2503" i="1"/>
  <c r="E2503" i="1"/>
  <c r="D2503" i="1"/>
  <c r="C2503" i="1"/>
  <c r="B2503" i="1"/>
  <c r="A2503" i="1"/>
  <c r="F2502" i="1"/>
  <c r="E2502" i="1"/>
  <c r="D2502" i="1"/>
  <c r="C2502" i="1"/>
  <c r="B2502" i="1"/>
  <c r="A2502" i="1"/>
  <c r="F2501" i="1"/>
  <c r="E2501" i="1"/>
  <c r="D2501" i="1"/>
  <c r="C2501" i="1"/>
  <c r="B2501" i="1"/>
  <c r="A2501" i="1"/>
  <c r="F2500" i="1"/>
  <c r="E2500" i="1"/>
  <c r="D2500" i="1"/>
  <c r="C2500" i="1"/>
  <c r="B2500" i="1"/>
  <c r="A2500" i="1"/>
  <c r="F2499" i="1"/>
  <c r="E2499" i="1"/>
  <c r="D2499" i="1"/>
  <c r="C2499" i="1"/>
  <c r="B2499" i="1"/>
  <c r="A2499" i="1"/>
  <c r="F2498" i="1"/>
  <c r="E2498" i="1"/>
  <c r="D2498" i="1"/>
  <c r="C2498" i="1"/>
  <c r="B2498" i="1"/>
  <c r="A2498" i="1"/>
  <c r="F2497" i="1"/>
  <c r="E2497" i="1"/>
  <c r="D2497" i="1"/>
  <c r="C2497" i="1"/>
  <c r="B2497" i="1"/>
  <c r="A2497" i="1"/>
  <c r="F2496" i="1"/>
  <c r="E2496" i="1"/>
  <c r="D2496" i="1"/>
  <c r="C2496" i="1"/>
  <c r="B2496" i="1"/>
  <c r="A2496" i="1"/>
  <c r="F2495" i="1"/>
  <c r="E2495" i="1"/>
  <c r="D2495" i="1"/>
  <c r="C2495" i="1"/>
  <c r="B2495" i="1"/>
  <c r="A2495" i="1"/>
  <c r="F2494" i="1"/>
  <c r="E2494" i="1"/>
  <c r="D2494" i="1"/>
  <c r="C2494" i="1"/>
  <c r="B2494" i="1"/>
  <c r="A2494" i="1"/>
  <c r="F2493" i="1"/>
  <c r="E2493" i="1"/>
  <c r="D2493" i="1"/>
  <c r="C2493" i="1"/>
  <c r="B2493" i="1"/>
  <c r="A2493" i="1"/>
  <c r="F2492" i="1"/>
  <c r="E2492" i="1"/>
  <c r="D2492" i="1"/>
  <c r="C2492" i="1"/>
  <c r="B2492" i="1"/>
  <c r="A2492" i="1"/>
  <c r="F2491" i="1"/>
  <c r="E2491" i="1"/>
  <c r="D2491" i="1"/>
  <c r="C2491" i="1"/>
  <c r="B2491" i="1"/>
  <c r="A2491" i="1"/>
  <c r="F2490" i="1"/>
  <c r="E2490" i="1"/>
  <c r="D2490" i="1"/>
  <c r="C2490" i="1"/>
  <c r="B2490" i="1"/>
  <c r="A2490" i="1"/>
  <c r="F2489" i="1"/>
  <c r="E2489" i="1"/>
  <c r="D2489" i="1"/>
  <c r="C2489" i="1"/>
  <c r="B2489" i="1"/>
  <c r="A2489" i="1"/>
  <c r="F2488" i="1"/>
  <c r="E2488" i="1"/>
  <c r="D2488" i="1"/>
  <c r="C2488" i="1"/>
  <c r="B2488" i="1"/>
  <c r="A2488" i="1"/>
  <c r="F2487" i="1"/>
  <c r="E2487" i="1"/>
  <c r="D2487" i="1"/>
  <c r="C2487" i="1"/>
  <c r="B2487" i="1"/>
  <c r="A2487" i="1"/>
  <c r="F2486" i="1"/>
  <c r="E2486" i="1"/>
  <c r="D2486" i="1"/>
  <c r="C2486" i="1"/>
  <c r="B2486" i="1"/>
  <c r="A2486" i="1"/>
  <c r="F2485" i="1"/>
  <c r="E2485" i="1"/>
  <c r="D2485" i="1"/>
  <c r="C2485" i="1"/>
  <c r="B2485" i="1"/>
  <c r="A2485" i="1"/>
  <c r="F2484" i="1"/>
  <c r="E2484" i="1"/>
  <c r="D2484" i="1"/>
  <c r="C2484" i="1"/>
  <c r="B2484" i="1"/>
  <c r="A2484" i="1"/>
  <c r="F2483" i="1"/>
  <c r="E2483" i="1"/>
  <c r="D2483" i="1"/>
  <c r="C2483" i="1"/>
  <c r="B2483" i="1"/>
  <c r="A2483" i="1"/>
  <c r="F2482" i="1"/>
  <c r="E2482" i="1"/>
  <c r="D2482" i="1"/>
  <c r="C2482" i="1"/>
  <c r="B2482" i="1"/>
  <c r="A2482" i="1"/>
  <c r="F2481" i="1"/>
  <c r="E2481" i="1"/>
  <c r="D2481" i="1"/>
  <c r="C2481" i="1"/>
  <c r="B2481" i="1"/>
  <c r="A2481" i="1"/>
  <c r="F2480" i="1"/>
  <c r="E2480" i="1"/>
  <c r="D2480" i="1"/>
  <c r="C2480" i="1"/>
  <c r="B2480" i="1"/>
  <c r="A2480" i="1"/>
  <c r="F2479" i="1"/>
  <c r="E2479" i="1"/>
  <c r="D2479" i="1"/>
  <c r="C2479" i="1"/>
  <c r="B2479" i="1"/>
  <c r="A2479" i="1"/>
  <c r="F2478" i="1"/>
  <c r="E2478" i="1"/>
  <c r="D2478" i="1"/>
  <c r="C2478" i="1"/>
  <c r="B2478" i="1"/>
  <c r="A2478" i="1"/>
  <c r="F2477" i="1"/>
  <c r="E2477" i="1"/>
  <c r="D2477" i="1"/>
  <c r="C2477" i="1"/>
  <c r="B2477" i="1"/>
  <c r="A2477" i="1"/>
  <c r="F2476" i="1"/>
  <c r="E2476" i="1"/>
  <c r="D2476" i="1"/>
  <c r="C2476" i="1"/>
  <c r="B2476" i="1"/>
  <c r="A2476" i="1"/>
  <c r="F2475" i="1"/>
  <c r="E2475" i="1"/>
  <c r="D2475" i="1"/>
  <c r="C2475" i="1"/>
  <c r="B2475" i="1"/>
  <c r="A2475" i="1"/>
  <c r="F2474" i="1"/>
  <c r="E2474" i="1"/>
  <c r="D2474" i="1"/>
  <c r="C2474" i="1"/>
  <c r="B2474" i="1"/>
  <c r="A2474" i="1"/>
  <c r="F2473" i="1"/>
  <c r="E2473" i="1"/>
  <c r="D2473" i="1"/>
  <c r="C2473" i="1"/>
  <c r="B2473" i="1"/>
  <c r="A2473" i="1"/>
  <c r="F2472" i="1"/>
  <c r="E2472" i="1"/>
  <c r="D2472" i="1"/>
  <c r="C2472" i="1"/>
  <c r="B2472" i="1"/>
  <c r="A2472" i="1"/>
  <c r="F2471" i="1"/>
  <c r="E2471" i="1"/>
  <c r="D2471" i="1"/>
  <c r="C2471" i="1"/>
  <c r="B2471" i="1"/>
  <c r="A2471" i="1"/>
  <c r="F2470" i="1"/>
  <c r="E2470" i="1"/>
  <c r="D2470" i="1"/>
  <c r="C2470" i="1"/>
  <c r="B2470" i="1"/>
  <c r="A2470" i="1"/>
  <c r="F2469" i="1"/>
  <c r="E2469" i="1"/>
  <c r="D2469" i="1"/>
  <c r="C2469" i="1"/>
  <c r="B2469" i="1"/>
  <c r="A2469" i="1"/>
  <c r="F2468" i="1"/>
  <c r="E2468" i="1"/>
  <c r="D2468" i="1"/>
  <c r="C2468" i="1"/>
  <c r="B2468" i="1"/>
  <c r="A2468" i="1"/>
  <c r="F2467" i="1"/>
  <c r="E2467" i="1"/>
  <c r="D2467" i="1"/>
  <c r="C2467" i="1"/>
  <c r="B2467" i="1"/>
  <c r="A2467" i="1"/>
  <c r="F2466" i="1"/>
  <c r="E2466" i="1"/>
  <c r="D2466" i="1"/>
  <c r="C2466" i="1"/>
  <c r="B2466" i="1"/>
  <c r="A2466" i="1"/>
  <c r="F2465" i="1"/>
  <c r="E2465" i="1"/>
  <c r="D2465" i="1"/>
  <c r="C2465" i="1"/>
  <c r="B2465" i="1"/>
  <c r="A2465" i="1"/>
  <c r="F2464" i="1"/>
  <c r="E2464" i="1"/>
  <c r="D2464" i="1"/>
  <c r="C2464" i="1"/>
  <c r="B2464" i="1"/>
  <c r="A2464" i="1"/>
  <c r="F2463" i="1"/>
  <c r="E2463" i="1"/>
  <c r="D2463" i="1"/>
  <c r="C2463" i="1"/>
  <c r="B2463" i="1"/>
  <c r="A2463" i="1"/>
  <c r="F2462" i="1"/>
  <c r="E2462" i="1"/>
  <c r="D2462" i="1"/>
  <c r="C2462" i="1"/>
  <c r="B2462" i="1"/>
  <c r="A2462" i="1"/>
  <c r="F2461" i="1"/>
  <c r="E2461" i="1"/>
  <c r="D2461" i="1"/>
  <c r="C2461" i="1"/>
  <c r="B2461" i="1"/>
  <c r="A2461" i="1"/>
  <c r="F2460" i="1"/>
  <c r="E2460" i="1"/>
  <c r="D2460" i="1"/>
  <c r="C2460" i="1"/>
  <c r="B2460" i="1"/>
  <c r="A2460" i="1"/>
  <c r="F2459" i="1"/>
  <c r="E2459" i="1"/>
  <c r="D2459" i="1"/>
  <c r="C2459" i="1"/>
  <c r="B2459" i="1"/>
  <c r="A2459" i="1"/>
  <c r="F2458" i="1"/>
  <c r="E2458" i="1"/>
  <c r="D2458" i="1"/>
  <c r="C2458" i="1"/>
  <c r="B2458" i="1"/>
  <c r="A2458" i="1"/>
  <c r="F2457" i="1"/>
  <c r="E2457" i="1"/>
  <c r="D2457" i="1"/>
  <c r="C2457" i="1"/>
  <c r="B2457" i="1"/>
  <c r="A2457" i="1"/>
  <c r="F2456" i="1"/>
  <c r="E2456" i="1"/>
  <c r="D2456" i="1"/>
  <c r="C2456" i="1"/>
  <c r="B2456" i="1"/>
  <c r="A2456" i="1"/>
  <c r="F2455" i="1"/>
  <c r="E2455" i="1"/>
  <c r="D2455" i="1"/>
  <c r="C2455" i="1"/>
  <c r="B2455" i="1"/>
  <c r="A2455" i="1"/>
  <c r="F2454" i="1"/>
  <c r="E2454" i="1"/>
  <c r="D2454" i="1"/>
  <c r="C2454" i="1"/>
  <c r="B2454" i="1"/>
  <c r="A2454" i="1"/>
  <c r="F2453" i="1"/>
  <c r="E2453" i="1"/>
  <c r="D2453" i="1"/>
  <c r="C2453" i="1"/>
  <c r="B2453" i="1"/>
  <c r="A2453" i="1"/>
  <c r="F2452" i="1"/>
  <c r="E2452" i="1"/>
  <c r="D2452" i="1"/>
  <c r="C2452" i="1"/>
  <c r="B2452" i="1"/>
  <c r="A2452" i="1"/>
  <c r="F2451" i="1"/>
  <c r="E2451" i="1"/>
  <c r="D2451" i="1"/>
  <c r="C2451" i="1"/>
  <c r="B2451" i="1"/>
  <c r="A2451" i="1"/>
  <c r="F2450" i="1"/>
  <c r="E2450" i="1"/>
  <c r="D2450" i="1"/>
  <c r="C2450" i="1"/>
  <c r="B2450" i="1"/>
  <c r="A2450" i="1"/>
  <c r="F2449" i="1"/>
  <c r="E2449" i="1"/>
  <c r="D2449" i="1"/>
  <c r="C2449" i="1"/>
  <c r="B2449" i="1"/>
  <c r="A2449" i="1"/>
  <c r="F2448" i="1"/>
  <c r="E2448" i="1"/>
  <c r="D2448" i="1"/>
  <c r="C2448" i="1"/>
  <c r="B2448" i="1"/>
  <c r="A2448" i="1"/>
  <c r="F2447" i="1"/>
  <c r="E2447" i="1"/>
  <c r="D2447" i="1"/>
  <c r="C2447" i="1"/>
  <c r="B2447" i="1"/>
  <c r="A2447" i="1"/>
  <c r="F2446" i="1"/>
  <c r="E2446" i="1"/>
  <c r="D2446" i="1"/>
  <c r="C2446" i="1"/>
  <c r="B2446" i="1"/>
  <c r="A2446" i="1"/>
  <c r="F2445" i="1"/>
  <c r="E2445" i="1"/>
  <c r="D2445" i="1"/>
  <c r="C2445" i="1"/>
  <c r="B2445" i="1"/>
  <c r="A2445" i="1"/>
  <c r="F2444" i="1"/>
  <c r="E2444" i="1"/>
  <c r="D2444" i="1"/>
  <c r="C2444" i="1"/>
  <c r="B2444" i="1"/>
  <c r="A2444" i="1"/>
  <c r="F2443" i="1"/>
  <c r="E2443" i="1"/>
  <c r="D2443" i="1"/>
  <c r="C2443" i="1"/>
  <c r="B2443" i="1"/>
  <c r="A2443" i="1"/>
  <c r="F2442" i="1"/>
  <c r="E2442" i="1"/>
  <c r="D2442" i="1"/>
  <c r="C2442" i="1"/>
  <c r="B2442" i="1"/>
  <c r="A2442" i="1"/>
  <c r="F2441" i="1"/>
  <c r="E2441" i="1"/>
  <c r="D2441" i="1"/>
  <c r="C2441" i="1"/>
  <c r="B2441" i="1"/>
  <c r="A2441" i="1"/>
  <c r="F2440" i="1"/>
  <c r="E2440" i="1"/>
  <c r="D2440" i="1"/>
  <c r="C2440" i="1"/>
  <c r="B2440" i="1"/>
  <c r="A2440" i="1"/>
  <c r="F2439" i="1"/>
  <c r="E2439" i="1"/>
  <c r="D2439" i="1"/>
  <c r="C2439" i="1"/>
  <c r="B2439" i="1"/>
  <c r="A2439" i="1"/>
  <c r="F2438" i="1"/>
  <c r="E2438" i="1"/>
  <c r="D2438" i="1"/>
  <c r="C2438" i="1"/>
  <c r="B2438" i="1"/>
  <c r="A2438" i="1"/>
  <c r="F2437" i="1"/>
  <c r="E2437" i="1"/>
  <c r="D2437" i="1"/>
  <c r="C2437" i="1"/>
  <c r="B2437" i="1"/>
  <c r="A2437" i="1"/>
  <c r="F2436" i="1"/>
  <c r="E2436" i="1"/>
  <c r="D2436" i="1"/>
  <c r="C2436" i="1"/>
  <c r="B2436" i="1"/>
  <c r="A2436" i="1"/>
  <c r="F2435" i="1"/>
  <c r="E2435" i="1"/>
  <c r="D2435" i="1"/>
  <c r="C2435" i="1"/>
  <c r="B2435" i="1"/>
  <c r="A2435" i="1"/>
  <c r="F2434" i="1"/>
  <c r="E2434" i="1"/>
  <c r="D2434" i="1"/>
  <c r="C2434" i="1"/>
  <c r="B2434" i="1"/>
  <c r="A2434" i="1"/>
  <c r="F2433" i="1"/>
  <c r="E2433" i="1"/>
  <c r="D2433" i="1"/>
  <c r="C2433" i="1"/>
  <c r="B2433" i="1"/>
  <c r="A2433" i="1"/>
  <c r="F2432" i="1"/>
  <c r="E2432" i="1"/>
  <c r="D2432" i="1"/>
  <c r="C2432" i="1"/>
  <c r="B2432" i="1"/>
  <c r="A2432" i="1"/>
  <c r="F2431" i="1"/>
  <c r="E2431" i="1"/>
  <c r="D2431" i="1"/>
  <c r="C2431" i="1"/>
  <c r="B2431" i="1"/>
  <c r="A2431" i="1"/>
  <c r="F2430" i="1"/>
  <c r="E2430" i="1"/>
  <c r="D2430" i="1"/>
  <c r="C2430" i="1"/>
  <c r="B2430" i="1"/>
  <c r="A2430" i="1"/>
  <c r="F2429" i="1"/>
  <c r="E2429" i="1"/>
  <c r="D2429" i="1"/>
  <c r="C2429" i="1"/>
  <c r="B2429" i="1"/>
  <c r="A2429" i="1"/>
  <c r="F2428" i="1"/>
  <c r="E2428" i="1"/>
  <c r="D2428" i="1"/>
  <c r="C2428" i="1"/>
  <c r="B2428" i="1"/>
  <c r="A2428" i="1"/>
  <c r="F2427" i="1"/>
  <c r="E2427" i="1"/>
  <c r="D2427" i="1"/>
  <c r="C2427" i="1"/>
  <c r="B2427" i="1"/>
  <c r="A2427" i="1"/>
  <c r="F2426" i="1"/>
  <c r="E2426" i="1"/>
  <c r="D2426" i="1"/>
  <c r="C2426" i="1"/>
  <c r="B2426" i="1"/>
  <c r="A2426" i="1"/>
  <c r="F2425" i="1"/>
  <c r="E2425" i="1"/>
  <c r="D2425" i="1"/>
  <c r="C2425" i="1"/>
  <c r="B2425" i="1"/>
  <c r="A2425" i="1"/>
  <c r="F2424" i="1"/>
  <c r="E2424" i="1"/>
  <c r="D2424" i="1"/>
  <c r="C2424" i="1"/>
  <c r="B2424" i="1"/>
  <c r="A2424" i="1"/>
  <c r="F2423" i="1"/>
  <c r="E2423" i="1"/>
  <c r="D2423" i="1"/>
  <c r="C2423" i="1"/>
  <c r="B2423" i="1"/>
  <c r="A2423" i="1"/>
  <c r="F2422" i="1"/>
  <c r="E2422" i="1"/>
  <c r="D2422" i="1"/>
  <c r="C2422" i="1"/>
  <c r="B2422" i="1"/>
  <c r="A2422" i="1"/>
  <c r="F2421" i="1"/>
  <c r="E2421" i="1"/>
  <c r="D2421" i="1"/>
  <c r="C2421" i="1"/>
  <c r="B2421" i="1"/>
  <c r="A2421" i="1"/>
  <c r="F2420" i="1"/>
  <c r="E2420" i="1"/>
  <c r="D2420" i="1"/>
  <c r="C2420" i="1"/>
  <c r="B2420" i="1"/>
  <c r="A2420" i="1"/>
  <c r="F2419" i="1"/>
  <c r="E2419" i="1"/>
  <c r="D2419" i="1"/>
  <c r="C2419" i="1"/>
  <c r="B2419" i="1"/>
  <c r="A2419" i="1"/>
  <c r="F2418" i="1"/>
  <c r="E2418" i="1"/>
  <c r="D2418" i="1"/>
  <c r="C2418" i="1"/>
  <c r="B2418" i="1"/>
  <c r="A2418" i="1"/>
  <c r="F2417" i="1"/>
  <c r="E2417" i="1"/>
  <c r="D2417" i="1"/>
  <c r="C2417" i="1"/>
  <c r="B2417" i="1"/>
  <c r="A2417" i="1"/>
  <c r="F2416" i="1"/>
  <c r="E2416" i="1"/>
  <c r="D2416" i="1"/>
  <c r="C2416" i="1"/>
  <c r="B2416" i="1"/>
  <c r="A2416" i="1"/>
  <c r="F2415" i="1"/>
  <c r="E2415" i="1"/>
  <c r="D2415" i="1"/>
  <c r="C2415" i="1"/>
  <c r="B2415" i="1"/>
  <c r="A2415" i="1"/>
  <c r="F2414" i="1"/>
  <c r="E2414" i="1"/>
  <c r="D2414" i="1"/>
  <c r="C2414" i="1"/>
  <c r="B2414" i="1"/>
  <c r="A2414" i="1"/>
  <c r="F2413" i="1"/>
  <c r="E2413" i="1"/>
  <c r="D2413" i="1"/>
  <c r="C2413" i="1"/>
  <c r="B2413" i="1"/>
  <c r="A2413" i="1"/>
  <c r="F2412" i="1"/>
  <c r="E2412" i="1"/>
  <c r="D2412" i="1"/>
  <c r="C2412" i="1"/>
  <c r="B2412" i="1"/>
  <c r="A2412" i="1"/>
  <c r="F2411" i="1"/>
  <c r="E2411" i="1"/>
  <c r="D2411" i="1"/>
  <c r="C2411" i="1"/>
  <c r="B2411" i="1"/>
  <c r="A2411" i="1"/>
  <c r="F2410" i="1"/>
  <c r="E2410" i="1"/>
  <c r="D2410" i="1"/>
  <c r="C2410" i="1"/>
  <c r="B2410" i="1"/>
  <c r="A2410" i="1"/>
  <c r="F2409" i="1"/>
  <c r="E2409" i="1"/>
  <c r="D2409" i="1"/>
  <c r="C2409" i="1"/>
  <c r="B2409" i="1"/>
  <c r="A2409" i="1"/>
  <c r="F2408" i="1"/>
  <c r="E2408" i="1"/>
  <c r="D2408" i="1"/>
  <c r="C2408" i="1"/>
  <c r="B2408" i="1"/>
  <c r="A2408" i="1"/>
  <c r="F2407" i="1"/>
  <c r="E2407" i="1"/>
  <c r="D2407" i="1"/>
  <c r="C2407" i="1"/>
  <c r="B2407" i="1"/>
  <c r="A2407" i="1"/>
  <c r="F2406" i="1"/>
  <c r="E2406" i="1"/>
  <c r="D2406" i="1"/>
  <c r="C2406" i="1"/>
  <c r="B2406" i="1"/>
  <c r="A2406" i="1"/>
  <c r="F2405" i="1"/>
  <c r="E2405" i="1"/>
  <c r="D2405" i="1"/>
  <c r="C2405" i="1"/>
  <c r="B2405" i="1"/>
  <c r="A2405" i="1"/>
  <c r="F2404" i="1"/>
  <c r="E2404" i="1"/>
  <c r="D2404" i="1"/>
  <c r="C2404" i="1"/>
  <c r="B2404" i="1"/>
  <c r="A2404" i="1"/>
  <c r="F2403" i="1"/>
  <c r="E2403" i="1"/>
  <c r="D2403" i="1"/>
  <c r="C2403" i="1"/>
  <c r="B2403" i="1"/>
  <c r="A2403" i="1"/>
  <c r="F2402" i="1"/>
  <c r="E2402" i="1"/>
  <c r="D2402" i="1"/>
  <c r="C2402" i="1"/>
  <c r="B2402" i="1"/>
  <c r="A2402" i="1"/>
  <c r="F2401" i="1"/>
  <c r="E2401" i="1"/>
  <c r="D2401" i="1"/>
  <c r="C2401" i="1"/>
  <c r="B2401" i="1"/>
  <c r="A2401" i="1"/>
  <c r="F2400" i="1"/>
  <c r="E2400" i="1"/>
  <c r="D2400" i="1"/>
  <c r="C2400" i="1"/>
  <c r="B2400" i="1"/>
  <c r="A2400" i="1"/>
  <c r="F2399" i="1"/>
  <c r="E2399" i="1"/>
  <c r="D2399" i="1"/>
  <c r="C2399" i="1"/>
  <c r="B2399" i="1"/>
  <c r="A2399" i="1"/>
  <c r="F2398" i="1"/>
  <c r="E2398" i="1"/>
  <c r="D2398" i="1"/>
  <c r="C2398" i="1"/>
  <c r="B2398" i="1"/>
  <c r="A2398" i="1"/>
  <c r="F2397" i="1"/>
  <c r="E2397" i="1"/>
  <c r="D2397" i="1"/>
  <c r="C2397" i="1"/>
  <c r="B2397" i="1"/>
  <c r="A2397" i="1"/>
  <c r="F2396" i="1"/>
  <c r="E2396" i="1"/>
  <c r="D2396" i="1"/>
  <c r="C2396" i="1"/>
  <c r="B2396" i="1"/>
  <c r="A2396" i="1"/>
  <c r="F2395" i="1"/>
  <c r="E2395" i="1"/>
  <c r="D2395" i="1"/>
  <c r="C2395" i="1"/>
  <c r="B2395" i="1"/>
  <c r="A2395" i="1"/>
  <c r="F2394" i="1"/>
  <c r="E2394" i="1"/>
  <c r="D2394" i="1"/>
  <c r="C2394" i="1"/>
  <c r="B2394" i="1"/>
  <c r="A2394" i="1"/>
  <c r="F2393" i="1"/>
  <c r="E2393" i="1"/>
  <c r="D2393" i="1"/>
  <c r="C2393" i="1"/>
  <c r="B2393" i="1"/>
  <c r="A2393" i="1"/>
  <c r="F2392" i="1"/>
  <c r="E2392" i="1"/>
  <c r="D2392" i="1"/>
  <c r="C2392" i="1"/>
  <c r="B2392" i="1"/>
  <c r="A2392" i="1"/>
  <c r="F2391" i="1"/>
  <c r="E2391" i="1"/>
  <c r="D2391" i="1"/>
  <c r="C2391" i="1"/>
  <c r="B2391" i="1"/>
  <c r="A2391" i="1"/>
  <c r="F2390" i="1"/>
  <c r="E2390" i="1"/>
  <c r="D2390" i="1"/>
  <c r="C2390" i="1"/>
  <c r="B2390" i="1"/>
  <c r="A2390" i="1"/>
  <c r="F2389" i="1"/>
  <c r="E2389" i="1"/>
  <c r="D2389" i="1"/>
  <c r="C2389" i="1"/>
  <c r="B2389" i="1"/>
  <c r="A2389" i="1"/>
  <c r="F2388" i="1"/>
  <c r="E2388" i="1"/>
  <c r="D2388" i="1"/>
  <c r="C2388" i="1"/>
  <c r="B2388" i="1"/>
  <c r="A2388" i="1"/>
  <c r="F2387" i="1"/>
  <c r="E2387" i="1"/>
  <c r="D2387" i="1"/>
  <c r="C2387" i="1"/>
  <c r="B2387" i="1"/>
  <c r="A2387" i="1"/>
  <c r="F2386" i="1"/>
  <c r="E2386" i="1"/>
  <c r="D2386" i="1"/>
  <c r="C2386" i="1"/>
  <c r="B2386" i="1"/>
  <c r="A2386" i="1"/>
  <c r="F2385" i="1"/>
  <c r="E2385" i="1"/>
  <c r="D2385" i="1"/>
  <c r="C2385" i="1"/>
  <c r="B2385" i="1"/>
  <c r="A2385" i="1"/>
  <c r="F2384" i="1"/>
  <c r="E2384" i="1"/>
  <c r="D2384" i="1"/>
  <c r="C2384" i="1"/>
  <c r="B2384" i="1"/>
  <c r="A2384" i="1"/>
  <c r="F2383" i="1"/>
  <c r="E2383" i="1"/>
  <c r="D2383" i="1"/>
  <c r="C2383" i="1"/>
  <c r="B2383" i="1"/>
  <c r="A2383" i="1"/>
  <c r="F2382" i="1"/>
  <c r="E2382" i="1"/>
  <c r="D2382" i="1"/>
  <c r="C2382" i="1"/>
  <c r="B2382" i="1"/>
  <c r="A2382" i="1"/>
  <c r="F2381" i="1"/>
  <c r="E2381" i="1"/>
  <c r="D2381" i="1"/>
  <c r="C2381" i="1"/>
  <c r="B2381" i="1"/>
  <c r="A2381" i="1"/>
  <c r="F2380" i="1"/>
  <c r="E2380" i="1"/>
  <c r="D2380" i="1"/>
  <c r="C2380" i="1"/>
  <c r="B2380" i="1"/>
  <c r="A2380" i="1"/>
  <c r="F2379" i="1"/>
  <c r="E2379" i="1"/>
  <c r="D2379" i="1"/>
  <c r="C2379" i="1"/>
  <c r="B2379" i="1"/>
  <c r="A2379" i="1"/>
  <c r="F2378" i="1"/>
  <c r="E2378" i="1"/>
  <c r="D2378" i="1"/>
  <c r="C2378" i="1"/>
  <c r="B2378" i="1"/>
  <c r="A2378" i="1"/>
  <c r="F2377" i="1"/>
  <c r="E2377" i="1"/>
  <c r="D2377" i="1"/>
  <c r="C2377" i="1"/>
  <c r="B2377" i="1"/>
  <c r="A2377" i="1"/>
  <c r="F2376" i="1"/>
  <c r="E2376" i="1"/>
  <c r="D2376" i="1"/>
  <c r="C2376" i="1"/>
  <c r="B2376" i="1"/>
  <c r="A2376" i="1"/>
  <c r="F2375" i="1"/>
  <c r="E2375" i="1"/>
  <c r="D2375" i="1"/>
  <c r="C2375" i="1"/>
  <c r="B2375" i="1"/>
  <c r="A2375" i="1"/>
  <c r="F2374" i="1"/>
  <c r="E2374" i="1"/>
  <c r="D2374" i="1"/>
  <c r="C2374" i="1"/>
  <c r="B2374" i="1"/>
  <c r="A2374" i="1"/>
  <c r="F2373" i="1"/>
  <c r="E2373" i="1"/>
  <c r="D2373" i="1"/>
  <c r="C2373" i="1"/>
  <c r="B2373" i="1"/>
  <c r="A2373" i="1"/>
  <c r="F2372" i="1"/>
  <c r="E2372" i="1"/>
  <c r="D2372" i="1"/>
  <c r="C2372" i="1"/>
  <c r="B2372" i="1"/>
  <c r="A2372" i="1"/>
  <c r="F2371" i="1"/>
  <c r="E2371" i="1"/>
  <c r="D2371" i="1"/>
  <c r="C2371" i="1"/>
  <c r="B2371" i="1"/>
  <c r="A2371" i="1"/>
  <c r="F2370" i="1"/>
  <c r="E2370" i="1"/>
  <c r="D2370" i="1"/>
  <c r="C2370" i="1"/>
  <c r="B2370" i="1"/>
  <c r="A2370" i="1"/>
  <c r="F2369" i="1"/>
  <c r="E2369" i="1"/>
  <c r="D2369" i="1"/>
  <c r="C2369" i="1"/>
  <c r="B2369" i="1"/>
  <c r="A2369" i="1"/>
  <c r="F2368" i="1"/>
  <c r="E2368" i="1"/>
  <c r="D2368" i="1"/>
  <c r="C2368" i="1"/>
  <c r="B2368" i="1"/>
  <c r="A2368" i="1"/>
  <c r="F2367" i="1"/>
  <c r="E2367" i="1"/>
  <c r="D2367" i="1"/>
  <c r="C2367" i="1"/>
  <c r="B2367" i="1"/>
  <c r="A2367" i="1"/>
  <c r="F2366" i="1"/>
  <c r="E2366" i="1"/>
  <c r="D2366" i="1"/>
  <c r="C2366" i="1"/>
  <c r="B2366" i="1"/>
  <c r="A2366" i="1"/>
  <c r="F2365" i="1"/>
  <c r="E2365" i="1"/>
  <c r="D2365" i="1"/>
  <c r="C2365" i="1"/>
  <c r="B2365" i="1"/>
  <c r="A2365" i="1"/>
  <c r="F2364" i="1"/>
  <c r="E2364" i="1"/>
  <c r="D2364" i="1"/>
  <c r="C2364" i="1"/>
  <c r="B2364" i="1"/>
  <c r="A2364" i="1"/>
  <c r="F2363" i="1"/>
  <c r="E2363" i="1"/>
  <c r="D2363" i="1"/>
  <c r="C2363" i="1"/>
  <c r="B2363" i="1"/>
  <c r="A2363" i="1"/>
  <c r="F2362" i="1"/>
  <c r="E2362" i="1"/>
  <c r="D2362" i="1"/>
  <c r="C2362" i="1"/>
  <c r="B2362" i="1"/>
  <c r="A2362" i="1"/>
  <c r="F2361" i="1"/>
  <c r="E2361" i="1"/>
  <c r="D2361" i="1"/>
  <c r="C2361" i="1"/>
  <c r="B2361" i="1"/>
  <c r="A2361" i="1"/>
  <c r="F2360" i="1"/>
  <c r="E2360" i="1"/>
  <c r="D2360" i="1"/>
  <c r="C2360" i="1"/>
  <c r="B2360" i="1"/>
  <c r="A2360" i="1"/>
  <c r="F2359" i="1"/>
  <c r="E2359" i="1"/>
  <c r="D2359" i="1"/>
  <c r="C2359" i="1"/>
  <c r="B2359" i="1"/>
  <c r="A2359" i="1"/>
  <c r="F2358" i="1"/>
  <c r="E2358" i="1"/>
  <c r="D2358" i="1"/>
  <c r="C2358" i="1"/>
  <c r="B2358" i="1"/>
  <c r="A2358" i="1"/>
  <c r="F2357" i="1"/>
  <c r="E2357" i="1"/>
  <c r="D2357" i="1"/>
  <c r="C2357" i="1"/>
  <c r="B2357" i="1"/>
  <c r="A2357" i="1"/>
  <c r="F2356" i="1"/>
  <c r="E2356" i="1"/>
  <c r="D2356" i="1"/>
  <c r="C2356" i="1"/>
  <c r="B2356" i="1"/>
  <c r="A2356" i="1"/>
  <c r="F2355" i="1"/>
  <c r="E2355" i="1"/>
  <c r="D2355" i="1"/>
  <c r="C2355" i="1"/>
  <c r="B2355" i="1"/>
  <c r="A2355" i="1"/>
  <c r="F2354" i="1"/>
  <c r="E2354" i="1"/>
  <c r="D2354" i="1"/>
  <c r="C2354" i="1"/>
  <c r="B2354" i="1"/>
  <c r="A2354" i="1"/>
  <c r="F2353" i="1"/>
  <c r="E2353" i="1"/>
  <c r="D2353" i="1"/>
  <c r="C2353" i="1"/>
  <c r="B2353" i="1"/>
  <c r="A2353" i="1"/>
  <c r="F2352" i="1"/>
  <c r="E2352" i="1"/>
  <c r="D2352" i="1"/>
  <c r="C2352" i="1"/>
  <c r="B2352" i="1"/>
  <c r="A2352" i="1"/>
  <c r="F2351" i="1"/>
  <c r="E2351" i="1"/>
  <c r="D2351" i="1"/>
  <c r="C2351" i="1"/>
  <c r="B2351" i="1"/>
  <c r="A2351" i="1"/>
  <c r="F2350" i="1"/>
  <c r="E2350" i="1"/>
  <c r="D2350" i="1"/>
  <c r="C2350" i="1"/>
  <c r="B2350" i="1"/>
  <c r="A2350" i="1"/>
  <c r="F2349" i="1"/>
  <c r="E2349" i="1"/>
  <c r="D2349" i="1"/>
  <c r="C2349" i="1"/>
  <c r="B2349" i="1"/>
  <c r="A2349" i="1"/>
  <c r="F2348" i="1"/>
  <c r="E2348" i="1"/>
  <c r="D2348" i="1"/>
  <c r="C2348" i="1"/>
  <c r="B2348" i="1"/>
  <c r="A2348" i="1"/>
  <c r="F2347" i="1"/>
  <c r="E2347" i="1"/>
  <c r="D2347" i="1"/>
  <c r="C2347" i="1"/>
  <c r="B2347" i="1"/>
  <c r="A2347" i="1"/>
  <c r="F2346" i="1"/>
  <c r="E2346" i="1"/>
  <c r="D2346" i="1"/>
  <c r="C2346" i="1"/>
  <c r="B2346" i="1"/>
  <c r="A2346" i="1"/>
  <c r="F2345" i="1"/>
  <c r="E2345" i="1"/>
  <c r="D2345" i="1"/>
  <c r="C2345" i="1"/>
  <c r="B2345" i="1"/>
  <c r="A2345" i="1"/>
  <c r="F2344" i="1"/>
  <c r="E2344" i="1"/>
  <c r="D2344" i="1"/>
  <c r="C2344" i="1"/>
  <c r="B2344" i="1"/>
  <c r="A2344" i="1"/>
  <c r="F2343" i="1"/>
  <c r="E2343" i="1"/>
  <c r="D2343" i="1"/>
  <c r="C2343" i="1"/>
  <c r="B2343" i="1"/>
  <c r="A2343" i="1"/>
  <c r="F2342" i="1"/>
  <c r="E2342" i="1"/>
  <c r="D2342" i="1"/>
  <c r="C2342" i="1"/>
  <c r="B2342" i="1"/>
  <c r="A2342" i="1"/>
  <c r="F2341" i="1"/>
  <c r="E2341" i="1"/>
  <c r="D2341" i="1"/>
  <c r="C2341" i="1"/>
  <c r="B2341" i="1"/>
  <c r="A2341" i="1"/>
  <c r="F2340" i="1"/>
  <c r="E2340" i="1"/>
  <c r="D2340" i="1"/>
  <c r="C2340" i="1"/>
  <c r="B2340" i="1"/>
  <c r="A2340" i="1"/>
  <c r="F2339" i="1"/>
  <c r="E2339" i="1"/>
  <c r="D2339" i="1"/>
  <c r="C2339" i="1"/>
  <c r="B2339" i="1"/>
  <c r="A2339" i="1"/>
  <c r="F2338" i="1"/>
  <c r="E2338" i="1"/>
  <c r="D2338" i="1"/>
  <c r="C2338" i="1"/>
  <c r="B2338" i="1"/>
  <c r="A2338" i="1"/>
  <c r="F2337" i="1"/>
  <c r="E2337" i="1"/>
  <c r="D2337" i="1"/>
  <c r="C2337" i="1"/>
  <c r="B2337" i="1"/>
  <c r="A2337" i="1"/>
  <c r="F2336" i="1"/>
  <c r="E2336" i="1"/>
  <c r="D2336" i="1"/>
  <c r="C2336" i="1"/>
  <c r="B2336" i="1"/>
  <c r="A2336" i="1"/>
  <c r="F2335" i="1"/>
  <c r="E2335" i="1"/>
  <c r="D2335" i="1"/>
  <c r="C2335" i="1"/>
  <c r="B2335" i="1"/>
  <c r="A2335" i="1"/>
  <c r="F2334" i="1"/>
  <c r="E2334" i="1"/>
  <c r="D2334" i="1"/>
  <c r="C2334" i="1"/>
  <c r="B2334" i="1"/>
  <c r="A2334" i="1"/>
  <c r="F2333" i="1"/>
  <c r="E2333" i="1"/>
  <c r="D2333" i="1"/>
  <c r="C2333" i="1"/>
  <c r="B2333" i="1"/>
  <c r="A2333" i="1"/>
  <c r="F2332" i="1"/>
  <c r="E2332" i="1"/>
  <c r="D2332" i="1"/>
  <c r="C2332" i="1"/>
  <c r="B2332" i="1"/>
  <c r="A2332" i="1"/>
  <c r="F2331" i="1"/>
  <c r="E2331" i="1"/>
  <c r="D2331" i="1"/>
  <c r="C2331" i="1"/>
  <c r="B2331" i="1"/>
  <c r="A2331" i="1"/>
  <c r="F2330" i="1"/>
  <c r="E2330" i="1"/>
  <c r="D2330" i="1"/>
  <c r="C2330" i="1"/>
  <c r="B2330" i="1"/>
  <c r="A2330" i="1"/>
  <c r="F2329" i="1"/>
  <c r="E2329" i="1"/>
  <c r="D2329" i="1"/>
  <c r="C2329" i="1"/>
  <c r="B2329" i="1"/>
  <c r="A2329" i="1"/>
  <c r="F2328" i="1"/>
  <c r="E2328" i="1"/>
  <c r="D2328" i="1"/>
  <c r="C2328" i="1"/>
  <c r="B2328" i="1"/>
  <c r="A2328" i="1"/>
  <c r="F2327" i="1"/>
  <c r="E2327" i="1"/>
  <c r="D2327" i="1"/>
  <c r="C2327" i="1"/>
  <c r="B2327" i="1"/>
  <c r="A2327" i="1"/>
  <c r="F2326" i="1"/>
  <c r="E2326" i="1"/>
  <c r="D2326" i="1"/>
  <c r="C2326" i="1"/>
  <c r="B2326" i="1"/>
  <c r="A2326" i="1"/>
  <c r="F2325" i="1"/>
  <c r="E2325" i="1"/>
  <c r="D2325" i="1"/>
  <c r="C2325" i="1"/>
  <c r="B2325" i="1"/>
  <c r="A2325" i="1"/>
  <c r="F2324" i="1"/>
  <c r="E2324" i="1"/>
  <c r="D2324" i="1"/>
  <c r="C2324" i="1"/>
  <c r="B2324" i="1"/>
  <c r="A2324" i="1"/>
  <c r="F2323" i="1"/>
  <c r="E2323" i="1"/>
  <c r="D2323" i="1"/>
  <c r="C2323" i="1"/>
  <c r="B2323" i="1"/>
  <c r="A2323" i="1"/>
  <c r="F2322" i="1"/>
  <c r="E2322" i="1"/>
  <c r="D2322" i="1"/>
  <c r="C2322" i="1"/>
  <c r="B2322" i="1"/>
  <c r="A2322" i="1"/>
  <c r="F2321" i="1"/>
  <c r="E2321" i="1"/>
  <c r="D2321" i="1"/>
  <c r="C2321" i="1"/>
  <c r="B2321" i="1"/>
  <c r="A2321" i="1"/>
  <c r="F2320" i="1"/>
  <c r="E2320" i="1"/>
  <c r="D2320" i="1"/>
  <c r="C2320" i="1"/>
  <c r="B2320" i="1"/>
  <c r="A2320" i="1"/>
  <c r="F2319" i="1"/>
  <c r="E2319" i="1"/>
  <c r="D2319" i="1"/>
  <c r="C2319" i="1"/>
  <c r="B2319" i="1"/>
  <c r="A2319" i="1"/>
  <c r="F2318" i="1"/>
  <c r="E2318" i="1"/>
  <c r="D2318" i="1"/>
  <c r="C2318" i="1"/>
  <c r="B2318" i="1"/>
  <c r="A2318" i="1"/>
  <c r="F2317" i="1"/>
  <c r="E2317" i="1"/>
  <c r="D2317" i="1"/>
  <c r="C2317" i="1"/>
  <c r="B2317" i="1"/>
  <c r="A2317" i="1"/>
  <c r="F2316" i="1"/>
  <c r="E2316" i="1"/>
  <c r="D2316" i="1"/>
  <c r="C2316" i="1"/>
  <c r="B2316" i="1"/>
  <c r="A2316" i="1"/>
  <c r="F2315" i="1"/>
  <c r="E2315" i="1"/>
  <c r="D2315" i="1"/>
  <c r="C2315" i="1"/>
  <c r="B2315" i="1"/>
  <c r="A2315" i="1"/>
  <c r="F2314" i="1"/>
  <c r="E2314" i="1"/>
  <c r="D2314" i="1"/>
  <c r="C2314" i="1"/>
  <c r="B2314" i="1"/>
  <c r="A2314" i="1"/>
  <c r="F2313" i="1"/>
  <c r="E2313" i="1"/>
  <c r="D2313" i="1"/>
  <c r="C2313" i="1"/>
  <c r="B2313" i="1"/>
  <c r="A2313" i="1"/>
  <c r="F2312" i="1"/>
  <c r="E2312" i="1"/>
  <c r="D2312" i="1"/>
  <c r="C2312" i="1"/>
  <c r="B2312" i="1"/>
  <c r="A2312" i="1"/>
  <c r="F2311" i="1"/>
  <c r="E2311" i="1"/>
  <c r="D2311" i="1"/>
  <c r="C2311" i="1"/>
  <c r="B2311" i="1"/>
  <c r="A2311" i="1"/>
  <c r="F2310" i="1"/>
  <c r="E2310" i="1"/>
  <c r="D2310" i="1"/>
  <c r="C2310" i="1"/>
  <c r="B2310" i="1"/>
  <c r="A2310" i="1"/>
  <c r="F2309" i="1"/>
  <c r="E2309" i="1"/>
  <c r="D2309" i="1"/>
  <c r="C2309" i="1"/>
  <c r="B2309" i="1"/>
  <c r="A2309" i="1"/>
  <c r="F2308" i="1"/>
  <c r="E2308" i="1"/>
  <c r="D2308" i="1"/>
  <c r="C2308" i="1"/>
  <c r="B2308" i="1"/>
  <c r="A2308" i="1"/>
  <c r="F2307" i="1"/>
  <c r="E2307" i="1"/>
  <c r="D2307" i="1"/>
  <c r="C2307" i="1"/>
  <c r="B2307" i="1"/>
  <c r="A2307" i="1"/>
  <c r="F2306" i="1"/>
  <c r="E2306" i="1"/>
  <c r="D2306" i="1"/>
  <c r="C2306" i="1"/>
  <c r="B2306" i="1"/>
  <c r="A2306" i="1"/>
  <c r="F2305" i="1"/>
  <c r="E2305" i="1"/>
  <c r="D2305" i="1"/>
  <c r="C2305" i="1"/>
  <c r="B2305" i="1"/>
  <c r="A2305" i="1"/>
  <c r="F2304" i="1"/>
  <c r="E2304" i="1"/>
  <c r="D2304" i="1"/>
  <c r="C2304" i="1"/>
  <c r="B2304" i="1"/>
  <c r="A2304" i="1"/>
  <c r="F2303" i="1"/>
  <c r="E2303" i="1"/>
  <c r="D2303" i="1"/>
  <c r="C2303" i="1"/>
  <c r="B2303" i="1"/>
  <c r="A2303" i="1"/>
  <c r="F2302" i="1"/>
  <c r="E2302" i="1"/>
  <c r="D2302" i="1"/>
  <c r="C2302" i="1"/>
  <c r="B2302" i="1"/>
  <c r="A2302" i="1"/>
  <c r="F2301" i="1"/>
  <c r="E2301" i="1"/>
  <c r="D2301" i="1"/>
  <c r="C2301" i="1"/>
  <c r="B2301" i="1"/>
  <c r="A2301" i="1"/>
  <c r="F2300" i="1"/>
  <c r="E2300" i="1"/>
  <c r="D2300" i="1"/>
  <c r="C2300" i="1"/>
  <c r="B2300" i="1"/>
  <c r="A2300" i="1"/>
  <c r="F2299" i="1"/>
  <c r="E2299" i="1"/>
  <c r="D2299" i="1"/>
  <c r="C2299" i="1"/>
  <c r="B2299" i="1"/>
  <c r="A2299" i="1"/>
  <c r="F2298" i="1"/>
  <c r="E2298" i="1"/>
  <c r="D2298" i="1"/>
  <c r="C2298" i="1"/>
  <c r="B2298" i="1"/>
  <c r="A2298" i="1"/>
  <c r="F2297" i="1"/>
  <c r="E2297" i="1"/>
  <c r="D2297" i="1"/>
  <c r="C2297" i="1"/>
  <c r="B2297" i="1"/>
  <c r="A2297" i="1"/>
  <c r="F2296" i="1"/>
  <c r="E2296" i="1"/>
  <c r="D2296" i="1"/>
  <c r="C2296" i="1"/>
  <c r="B2296" i="1"/>
  <c r="A2296" i="1"/>
  <c r="F2295" i="1"/>
  <c r="E2295" i="1"/>
  <c r="D2295" i="1"/>
  <c r="C2295" i="1"/>
  <c r="B2295" i="1"/>
  <c r="A2295" i="1"/>
  <c r="F2294" i="1"/>
  <c r="E2294" i="1"/>
  <c r="D2294" i="1"/>
  <c r="C2294" i="1"/>
  <c r="B2294" i="1"/>
  <c r="A2294" i="1"/>
  <c r="F2293" i="1"/>
  <c r="E2293" i="1"/>
  <c r="D2293" i="1"/>
  <c r="C2293" i="1"/>
  <c r="B2293" i="1"/>
  <c r="A2293" i="1"/>
  <c r="F2292" i="1"/>
  <c r="E2292" i="1"/>
  <c r="D2292" i="1"/>
  <c r="C2292" i="1"/>
  <c r="B2292" i="1"/>
  <c r="A2292" i="1"/>
  <c r="F2291" i="1"/>
  <c r="E2291" i="1"/>
  <c r="D2291" i="1"/>
  <c r="C2291" i="1"/>
  <c r="B2291" i="1"/>
  <c r="A2291" i="1"/>
  <c r="F2290" i="1"/>
  <c r="E2290" i="1"/>
  <c r="D2290" i="1"/>
  <c r="C2290" i="1"/>
  <c r="B2290" i="1"/>
  <c r="A2290" i="1"/>
  <c r="F2289" i="1"/>
  <c r="E2289" i="1"/>
  <c r="D2289" i="1"/>
  <c r="C2289" i="1"/>
  <c r="B2289" i="1"/>
  <c r="A2289" i="1"/>
  <c r="F2288" i="1"/>
  <c r="E2288" i="1"/>
  <c r="D2288" i="1"/>
  <c r="C2288" i="1"/>
  <c r="B2288" i="1"/>
  <c r="A2288" i="1"/>
  <c r="F2287" i="1"/>
  <c r="E2287" i="1"/>
  <c r="D2287" i="1"/>
  <c r="C2287" i="1"/>
  <c r="B2287" i="1"/>
  <c r="A2287" i="1"/>
  <c r="F2286" i="1"/>
  <c r="E2286" i="1"/>
  <c r="D2286" i="1"/>
  <c r="C2286" i="1"/>
  <c r="B2286" i="1"/>
  <c r="A2286" i="1"/>
  <c r="F2285" i="1"/>
  <c r="E2285" i="1"/>
  <c r="D2285" i="1"/>
  <c r="C2285" i="1"/>
  <c r="B2285" i="1"/>
  <c r="A2285" i="1"/>
  <c r="F2284" i="1"/>
  <c r="E2284" i="1"/>
  <c r="D2284" i="1"/>
  <c r="C2284" i="1"/>
  <c r="B2284" i="1"/>
  <c r="A2284" i="1"/>
  <c r="F2283" i="1"/>
  <c r="E2283" i="1"/>
  <c r="D2283" i="1"/>
  <c r="C2283" i="1"/>
  <c r="B2283" i="1"/>
  <c r="A2283" i="1"/>
  <c r="F2282" i="1"/>
  <c r="E2282" i="1"/>
  <c r="D2282" i="1"/>
  <c r="C2282" i="1"/>
  <c r="B2282" i="1"/>
  <c r="A2282" i="1"/>
  <c r="F2281" i="1"/>
  <c r="E2281" i="1"/>
  <c r="D2281" i="1"/>
  <c r="C2281" i="1"/>
  <c r="B2281" i="1"/>
  <c r="A2281" i="1"/>
  <c r="F2280" i="1"/>
  <c r="E2280" i="1"/>
  <c r="D2280" i="1"/>
  <c r="C2280" i="1"/>
  <c r="B2280" i="1"/>
  <c r="A2280" i="1"/>
  <c r="F2279" i="1"/>
  <c r="E2279" i="1"/>
  <c r="D2279" i="1"/>
  <c r="C2279" i="1"/>
  <c r="B2279" i="1"/>
  <c r="A2279" i="1"/>
  <c r="F2278" i="1"/>
  <c r="E2278" i="1"/>
  <c r="D2278" i="1"/>
  <c r="C2278" i="1"/>
  <c r="B2278" i="1"/>
  <c r="A2278" i="1"/>
  <c r="F2277" i="1"/>
  <c r="E2277" i="1"/>
  <c r="D2277" i="1"/>
  <c r="C2277" i="1"/>
  <c r="B2277" i="1"/>
  <c r="A2277" i="1"/>
  <c r="F2276" i="1"/>
  <c r="E2276" i="1"/>
  <c r="D2276" i="1"/>
  <c r="C2276" i="1"/>
  <c r="B2276" i="1"/>
  <c r="A2276" i="1"/>
  <c r="F2275" i="1"/>
  <c r="E2275" i="1"/>
  <c r="D2275" i="1"/>
  <c r="C2275" i="1"/>
  <c r="B2275" i="1"/>
  <c r="A2275" i="1"/>
  <c r="F2274" i="1"/>
  <c r="E2274" i="1"/>
  <c r="D2274" i="1"/>
  <c r="C2274" i="1"/>
  <c r="B2274" i="1"/>
  <c r="A2274" i="1"/>
  <c r="F2273" i="1"/>
  <c r="E2273" i="1"/>
  <c r="D2273" i="1"/>
  <c r="C2273" i="1"/>
  <c r="B2273" i="1"/>
  <c r="A2273" i="1"/>
  <c r="F2272" i="1"/>
  <c r="E2272" i="1"/>
  <c r="D2272" i="1"/>
  <c r="C2272" i="1"/>
  <c r="B2272" i="1"/>
  <c r="A2272" i="1"/>
  <c r="F2271" i="1"/>
  <c r="E2271" i="1"/>
  <c r="D2271" i="1"/>
  <c r="C2271" i="1"/>
  <c r="B2271" i="1"/>
  <c r="A2271" i="1"/>
  <c r="F2270" i="1"/>
  <c r="E2270" i="1"/>
  <c r="D2270" i="1"/>
  <c r="C2270" i="1"/>
  <c r="B2270" i="1"/>
  <c r="A2270" i="1"/>
  <c r="F2269" i="1"/>
  <c r="E2269" i="1"/>
  <c r="D2269" i="1"/>
  <c r="C2269" i="1"/>
  <c r="B2269" i="1"/>
  <c r="A2269" i="1"/>
  <c r="F2268" i="1"/>
  <c r="E2268" i="1"/>
  <c r="D2268" i="1"/>
  <c r="C2268" i="1"/>
  <c r="B2268" i="1"/>
  <c r="A2268" i="1"/>
  <c r="F2267" i="1"/>
  <c r="E2267" i="1"/>
  <c r="D2267" i="1"/>
  <c r="C2267" i="1"/>
  <c r="B2267" i="1"/>
  <c r="A2267" i="1"/>
  <c r="F2266" i="1"/>
  <c r="E2266" i="1"/>
  <c r="D2266" i="1"/>
  <c r="C2266" i="1"/>
  <c r="B2266" i="1"/>
  <c r="A2266" i="1"/>
  <c r="F2265" i="1"/>
  <c r="E2265" i="1"/>
  <c r="D2265" i="1"/>
  <c r="C2265" i="1"/>
  <c r="B2265" i="1"/>
  <c r="A2265" i="1"/>
  <c r="F2264" i="1"/>
  <c r="E2264" i="1"/>
  <c r="D2264" i="1"/>
  <c r="C2264" i="1"/>
  <c r="B2264" i="1"/>
  <c r="A2264" i="1"/>
  <c r="F2263" i="1"/>
  <c r="E2263" i="1"/>
  <c r="D2263" i="1"/>
  <c r="C2263" i="1"/>
  <c r="B2263" i="1"/>
  <c r="A2263" i="1"/>
  <c r="F2262" i="1"/>
  <c r="E2262" i="1"/>
  <c r="D2262" i="1"/>
  <c r="C2262" i="1"/>
  <c r="B2262" i="1"/>
  <c r="A2262" i="1"/>
  <c r="F2261" i="1"/>
  <c r="E2261" i="1"/>
  <c r="D2261" i="1"/>
  <c r="C2261" i="1"/>
  <c r="B2261" i="1"/>
  <c r="A2261" i="1"/>
  <c r="F2260" i="1"/>
  <c r="E2260" i="1"/>
  <c r="D2260" i="1"/>
  <c r="C2260" i="1"/>
  <c r="B2260" i="1"/>
  <c r="A2260" i="1"/>
  <c r="F2259" i="1"/>
  <c r="E2259" i="1"/>
  <c r="D2259" i="1"/>
  <c r="C2259" i="1"/>
  <c r="B2259" i="1"/>
  <c r="A2259" i="1"/>
  <c r="F2258" i="1"/>
  <c r="E2258" i="1"/>
  <c r="D2258" i="1"/>
  <c r="C2258" i="1"/>
  <c r="B2258" i="1"/>
  <c r="A2258" i="1"/>
  <c r="F2257" i="1"/>
  <c r="E2257" i="1"/>
  <c r="D2257" i="1"/>
  <c r="C2257" i="1"/>
  <c r="B2257" i="1"/>
  <c r="A2257" i="1"/>
  <c r="F2256" i="1"/>
  <c r="E2256" i="1"/>
  <c r="D2256" i="1"/>
  <c r="C2256" i="1"/>
  <c r="B2256" i="1"/>
  <c r="A2256" i="1"/>
  <c r="F2255" i="1"/>
  <c r="E2255" i="1"/>
  <c r="D2255" i="1"/>
  <c r="C2255" i="1"/>
  <c r="B2255" i="1"/>
  <c r="A2255" i="1"/>
  <c r="F2254" i="1"/>
  <c r="E2254" i="1"/>
  <c r="D2254" i="1"/>
  <c r="C2254" i="1"/>
  <c r="B2254" i="1"/>
  <c r="A2254" i="1"/>
  <c r="F2253" i="1"/>
  <c r="E2253" i="1"/>
  <c r="D2253" i="1"/>
  <c r="C2253" i="1"/>
  <c r="B2253" i="1"/>
  <c r="A2253" i="1"/>
  <c r="F2252" i="1"/>
  <c r="E2252" i="1"/>
  <c r="D2252" i="1"/>
  <c r="C2252" i="1"/>
  <c r="B2252" i="1"/>
  <c r="A2252" i="1"/>
  <c r="F2251" i="1"/>
  <c r="E2251" i="1"/>
  <c r="D2251" i="1"/>
  <c r="C2251" i="1"/>
  <c r="B2251" i="1"/>
  <c r="A2251" i="1"/>
  <c r="F2250" i="1"/>
  <c r="E2250" i="1"/>
  <c r="D2250" i="1"/>
  <c r="C2250" i="1"/>
  <c r="B2250" i="1"/>
  <c r="A2250" i="1"/>
  <c r="F2249" i="1"/>
  <c r="E2249" i="1"/>
  <c r="D2249" i="1"/>
  <c r="C2249" i="1"/>
  <c r="B2249" i="1"/>
  <c r="A2249" i="1"/>
  <c r="F2248" i="1"/>
  <c r="E2248" i="1"/>
  <c r="D2248" i="1"/>
  <c r="C2248" i="1"/>
  <c r="B2248" i="1"/>
  <c r="A2248" i="1"/>
  <c r="F2247" i="1"/>
  <c r="E2247" i="1"/>
  <c r="D2247" i="1"/>
  <c r="C2247" i="1"/>
  <c r="B2247" i="1"/>
  <c r="A2247" i="1"/>
  <c r="F2246" i="1"/>
  <c r="E2246" i="1"/>
  <c r="D2246" i="1"/>
  <c r="C2246" i="1"/>
  <c r="B2246" i="1"/>
  <c r="A2246" i="1"/>
  <c r="F2245" i="1"/>
  <c r="E2245" i="1"/>
  <c r="D2245" i="1"/>
  <c r="C2245" i="1"/>
  <c r="B2245" i="1"/>
  <c r="A2245" i="1"/>
  <c r="F2244" i="1"/>
  <c r="E2244" i="1"/>
  <c r="D2244" i="1"/>
  <c r="C2244" i="1"/>
  <c r="B2244" i="1"/>
  <c r="A2244" i="1"/>
  <c r="F2243" i="1"/>
  <c r="E2243" i="1"/>
  <c r="D2243" i="1"/>
  <c r="C2243" i="1"/>
  <c r="B2243" i="1"/>
  <c r="A2243" i="1"/>
  <c r="F2242" i="1"/>
  <c r="E2242" i="1"/>
  <c r="D2242" i="1"/>
  <c r="C2242" i="1"/>
  <c r="B2242" i="1"/>
  <c r="A2242" i="1"/>
  <c r="F2241" i="1"/>
  <c r="E2241" i="1"/>
  <c r="D2241" i="1"/>
  <c r="C2241" i="1"/>
  <c r="B2241" i="1"/>
  <c r="A2241" i="1"/>
  <c r="F2240" i="1"/>
  <c r="E2240" i="1"/>
  <c r="D2240" i="1"/>
  <c r="C2240" i="1"/>
  <c r="B2240" i="1"/>
  <c r="A2240" i="1"/>
  <c r="F2239" i="1"/>
  <c r="E2239" i="1"/>
  <c r="D2239" i="1"/>
  <c r="C2239" i="1"/>
  <c r="B2239" i="1"/>
  <c r="A2239" i="1"/>
  <c r="F2238" i="1"/>
  <c r="E2238" i="1"/>
  <c r="D2238" i="1"/>
  <c r="C2238" i="1"/>
  <c r="B2238" i="1"/>
  <c r="A2238" i="1"/>
  <c r="F2237" i="1"/>
  <c r="E2237" i="1"/>
  <c r="D2237" i="1"/>
  <c r="C2237" i="1"/>
  <c r="B2237" i="1"/>
  <c r="A2237" i="1"/>
  <c r="F2236" i="1"/>
  <c r="E2236" i="1"/>
  <c r="D2236" i="1"/>
  <c r="C2236" i="1"/>
  <c r="B2236" i="1"/>
  <c r="A2236" i="1"/>
  <c r="F2235" i="1"/>
  <c r="E2235" i="1"/>
  <c r="D2235" i="1"/>
  <c r="C2235" i="1"/>
  <c r="B2235" i="1"/>
  <c r="A2235" i="1"/>
  <c r="F2234" i="1"/>
  <c r="E2234" i="1"/>
  <c r="D2234" i="1"/>
  <c r="C2234" i="1"/>
  <c r="B2234" i="1"/>
  <c r="A2234" i="1"/>
  <c r="F2233" i="1"/>
  <c r="E2233" i="1"/>
  <c r="D2233" i="1"/>
  <c r="C2233" i="1"/>
  <c r="B2233" i="1"/>
  <c r="A2233" i="1"/>
  <c r="F2232" i="1"/>
  <c r="E2232" i="1"/>
  <c r="D2232" i="1"/>
  <c r="C2232" i="1"/>
  <c r="B2232" i="1"/>
  <c r="A2232" i="1"/>
  <c r="F2231" i="1"/>
  <c r="E2231" i="1"/>
  <c r="D2231" i="1"/>
  <c r="C2231" i="1"/>
  <c r="B2231" i="1"/>
  <c r="A2231" i="1"/>
  <c r="F2230" i="1"/>
  <c r="E2230" i="1"/>
  <c r="D2230" i="1"/>
  <c r="C2230" i="1"/>
  <c r="B2230" i="1"/>
  <c r="A2230" i="1"/>
  <c r="F2229" i="1"/>
  <c r="E2229" i="1"/>
  <c r="D2229" i="1"/>
  <c r="C2229" i="1"/>
  <c r="B2229" i="1"/>
  <c r="A2229" i="1"/>
  <c r="F2228" i="1"/>
  <c r="E2228" i="1"/>
  <c r="D2228" i="1"/>
  <c r="C2228" i="1"/>
  <c r="B2228" i="1"/>
  <c r="A2228" i="1"/>
  <c r="F2227" i="1"/>
  <c r="E2227" i="1"/>
  <c r="D2227" i="1"/>
  <c r="C2227" i="1"/>
  <c r="B2227" i="1"/>
  <c r="A2227" i="1"/>
  <c r="F2226" i="1"/>
  <c r="E2226" i="1"/>
  <c r="D2226" i="1"/>
  <c r="C2226" i="1"/>
  <c r="B2226" i="1"/>
  <c r="A2226" i="1"/>
  <c r="F2225" i="1"/>
  <c r="E2225" i="1"/>
  <c r="D2225" i="1"/>
  <c r="C2225" i="1"/>
  <c r="B2225" i="1"/>
  <c r="A2225" i="1"/>
  <c r="F2224" i="1"/>
  <c r="E2224" i="1"/>
  <c r="D2224" i="1"/>
  <c r="C2224" i="1"/>
  <c r="B2224" i="1"/>
  <c r="A2224" i="1"/>
  <c r="F2223" i="1"/>
  <c r="E2223" i="1"/>
  <c r="D2223" i="1"/>
  <c r="C2223" i="1"/>
  <c r="B2223" i="1"/>
  <c r="A2223" i="1"/>
  <c r="F2222" i="1"/>
  <c r="E2222" i="1"/>
  <c r="D2222" i="1"/>
  <c r="C2222" i="1"/>
  <c r="B2222" i="1"/>
  <c r="A2222" i="1"/>
  <c r="F2221" i="1"/>
  <c r="E2221" i="1"/>
  <c r="D2221" i="1"/>
  <c r="C2221" i="1"/>
  <c r="B2221" i="1"/>
  <c r="A2221" i="1"/>
  <c r="F2220" i="1"/>
  <c r="E2220" i="1"/>
  <c r="D2220" i="1"/>
  <c r="C2220" i="1"/>
  <c r="B2220" i="1"/>
  <c r="A2220" i="1"/>
  <c r="F2219" i="1"/>
  <c r="E2219" i="1"/>
  <c r="D2219" i="1"/>
  <c r="C2219" i="1"/>
  <c r="B2219" i="1"/>
  <c r="A2219" i="1"/>
  <c r="F2218" i="1"/>
  <c r="E2218" i="1"/>
  <c r="D2218" i="1"/>
  <c r="C2218" i="1"/>
  <c r="B2218" i="1"/>
  <c r="A2218" i="1"/>
  <c r="F2217" i="1"/>
  <c r="E2217" i="1"/>
  <c r="D2217" i="1"/>
  <c r="C2217" i="1"/>
  <c r="B2217" i="1"/>
  <c r="A2217" i="1"/>
  <c r="F2216" i="1"/>
  <c r="E2216" i="1"/>
  <c r="D2216" i="1"/>
  <c r="C2216" i="1"/>
  <c r="B2216" i="1"/>
  <c r="A2216" i="1"/>
  <c r="F2215" i="1"/>
  <c r="E2215" i="1"/>
  <c r="D2215" i="1"/>
  <c r="C2215" i="1"/>
  <c r="B2215" i="1"/>
  <c r="A2215" i="1"/>
  <c r="F2214" i="1"/>
  <c r="E2214" i="1"/>
  <c r="D2214" i="1"/>
  <c r="C2214" i="1"/>
  <c r="B2214" i="1"/>
  <c r="A2214" i="1"/>
  <c r="F2213" i="1"/>
  <c r="E2213" i="1"/>
  <c r="D2213" i="1"/>
  <c r="C2213" i="1"/>
  <c r="B2213" i="1"/>
  <c r="A2213" i="1"/>
  <c r="F2212" i="1"/>
  <c r="E2212" i="1"/>
  <c r="D2212" i="1"/>
  <c r="C2212" i="1"/>
  <c r="B2212" i="1"/>
  <c r="A2212" i="1"/>
  <c r="F2211" i="1"/>
  <c r="E2211" i="1"/>
  <c r="D2211" i="1"/>
  <c r="C2211" i="1"/>
  <c r="B2211" i="1"/>
  <c r="A2211" i="1"/>
  <c r="F2210" i="1"/>
  <c r="E2210" i="1"/>
  <c r="D2210" i="1"/>
  <c r="C2210" i="1"/>
  <c r="B2210" i="1"/>
  <c r="A2210" i="1"/>
  <c r="F2209" i="1"/>
  <c r="E2209" i="1"/>
  <c r="D2209" i="1"/>
  <c r="C2209" i="1"/>
  <c r="B2209" i="1"/>
  <c r="A2209" i="1"/>
  <c r="F2208" i="1"/>
  <c r="E2208" i="1"/>
  <c r="D2208" i="1"/>
  <c r="C2208" i="1"/>
  <c r="B2208" i="1"/>
  <c r="A2208" i="1"/>
  <c r="F2207" i="1"/>
  <c r="E2207" i="1"/>
  <c r="D2207" i="1"/>
  <c r="C2207" i="1"/>
  <c r="B2207" i="1"/>
  <c r="A2207" i="1"/>
  <c r="F2206" i="1"/>
  <c r="E2206" i="1"/>
  <c r="D2206" i="1"/>
  <c r="C2206" i="1"/>
  <c r="B2206" i="1"/>
  <c r="A2206" i="1"/>
  <c r="F2205" i="1"/>
  <c r="E2205" i="1"/>
  <c r="D2205" i="1"/>
  <c r="C2205" i="1"/>
  <c r="B2205" i="1"/>
  <c r="A2205" i="1"/>
  <c r="F2204" i="1"/>
  <c r="E2204" i="1"/>
  <c r="D2204" i="1"/>
  <c r="C2204" i="1"/>
  <c r="B2204" i="1"/>
  <c r="A2204" i="1"/>
  <c r="F2203" i="1"/>
  <c r="E2203" i="1"/>
  <c r="D2203" i="1"/>
  <c r="C2203" i="1"/>
  <c r="B2203" i="1"/>
  <c r="A2203" i="1"/>
  <c r="F2202" i="1"/>
  <c r="E2202" i="1"/>
  <c r="D2202" i="1"/>
  <c r="C2202" i="1"/>
  <c r="B2202" i="1"/>
  <c r="A2202" i="1"/>
  <c r="F2201" i="1"/>
  <c r="E2201" i="1"/>
  <c r="D2201" i="1"/>
  <c r="C2201" i="1"/>
  <c r="B2201" i="1"/>
  <c r="A2201" i="1"/>
  <c r="F2200" i="1"/>
  <c r="E2200" i="1"/>
  <c r="D2200" i="1"/>
  <c r="C2200" i="1"/>
  <c r="B2200" i="1"/>
  <c r="A2200" i="1"/>
  <c r="F2199" i="1"/>
  <c r="E2199" i="1"/>
  <c r="D2199" i="1"/>
  <c r="C2199" i="1"/>
  <c r="B2199" i="1"/>
  <c r="A2199" i="1"/>
  <c r="F2198" i="1"/>
  <c r="E2198" i="1"/>
  <c r="D2198" i="1"/>
  <c r="C2198" i="1"/>
  <c r="B2198" i="1"/>
  <c r="A2198" i="1"/>
  <c r="F2197" i="1"/>
  <c r="E2197" i="1"/>
  <c r="D2197" i="1"/>
  <c r="C2197" i="1"/>
  <c r="B2197" i="1"/>
  <c r="A2197" i="1"/>
  <c r="F2196" i="1"/>
  <c r="E2196" i="1"/>
  <c r="D2196" i="1"/>
  <c r="C2196" i="1"/>
  <c r="B2196" i="1"/>
  <c r="A2196" i="1"/>
  <c r="F2195" i="1"/>
  <c r="E2195" i="1"/>
  <c r="D2195" i="1"/>
  <c r="C2195" i="1"/>
  <c r="B2195" i="1"/>
  <c r="A2195" i="1"/>
  <c r="F2194" i="1"/>
  <c r="E2194" i="1"/>
  <c r="D2194" i="1"/>
  <c r="C2194" i="1"/>
  <c r="B2194" i="1"/>
  <c r="A2194" i="1"/>
  <c r="F2193" i="1"/>
  <c r="E2193" i="1"/>
  <c r="D2193" i="1"/>
  <c r="C2193" i="1"/>
  <c r="B2193" i="1"/>
  <c r="A2193" i="1"/>
  <c r="F2192" i="1"/>
  <c r="E2192" i="1"/>
  <c r="D2192" i="1"/>
  <c r="C2192" i="1"/>
  <c r="B2192" i="1"/>
  <c r="A2192" i="1"/>
  <c r="F2191" i="1"/>
  <c r="E2191" i="1"/>
  <c r="D2191" i="1"/>
  <c r="C2191" i="1"/>
  <c r="B2191" i="1"/>
  <c r="A2191" i="1"/>
  <c r="F2190" i="1"/>
  <c r="E2190" i="1"/>
  <c r="D2190" i="1"/>
  <c r="C2190" i="1"/>
  <c r="B2190" i="1"/>
  <c r="A2190" i="1"/>
  <c r="F2189" i="1"/>
  <c r="E2189" i="1"/>
  <c r="D2189" i="1"/>
  <c r="C2189" i="1"/>
  <c r="B2189" i="1"/>
  <c r="A2189" i="1"/>
  <c r="F2188" i="1"/>
  <c r="E2188" i="1"/>
  <c r="D2188" i="1"/>
  <c r="C2188" i="1"/>
  <c r="B2188" i="1"/>
  <c r="A2188" i="1"/>
  <c r="F2187" i="1"/>
  <c r="E2187" i="1"/>
  <c r="D2187" i="1"/>
  <c r="C2187" i="1"/>
  <c r="B2187" i="1"/>
  <c r="A2187" i="1"/>
  <c r="F2186" i="1"/>
  <c r="E2186" i="1"/>
  <c r="D2186" i="1"/>
  <c r="C2186" i="1"/>
  <c r="B2186" i="1"/>
  <c r="A2186" i="1"/>
  <c r="F2185" i="1"/>
  <c r="E2185" i="1"/>
  <c r="D2185" i="1"/>
  <c r="C2185" i="1"/>
  <c r="B2185" i="1"/>
  <c r="A2185" i="1"/>
  <c r="F2184" i="1"/>
  <c r="E2184" i="1"/>
  <c r="D2184" i="1"/>
  <c r="C2184" i="1"/>
  <c r="B2184" i="1"/>
  <c r="A2184" i="1"/>
  <c r="F2183" i="1"/>
  <c r="E2183" i="1"/>
  <c r="D2183" i="1"/>
  <c r="C2183" i="1"/>
  <c r="B2183" i="1"/>
  <c r="A2183" i="1"/>
  <c r="F2182" i="1"/>
  <c r="E2182" i="1"/>
  <c r="D2182" i="1"/>
  <c r="C2182" i="1"/>
  <c r="B2182" i="1"/>
  <c r="A2182" i="1"/>
  <c r="F2181" i="1"/>
  <c r="E2181" i="1"/>
  <c r="D2181" i="1"/>
  <c r="C2181" i="1"/>
  <c r="B2181" i="1"/>
  <c r="A2181" i="1"/>
  <c r="F2180" i="1"/>
  <c r="E2180" i="1"/>
  <c r="D2180" i="1"/>
  <c r="C2180" i="1"/>
  <c r="B2180" i="1"/>
  <c r="A2180" i="1"/>
  <c r="F2179" i="1"/>
  <c r="E2179" i="1"/>
  <c r="D2179" i="1"/>
  <c r="C2179" i="1"/>
  <c r="B2179" i="1"/>
  <c r="A2179" i="1"/>
  <c r="F2178" i="1"/>
  <c r="E2178" i="1"/>
  <c r="D2178" i="1"/>
  <c r="C2178" i="1"/>
  <c r="B2178" i="1"/>
  <c r="A2178" i="1"/>
  <c r="F2177" i="1"/>
  <c r="E2177" i="1"/>
  <c r="D2177" i="1"/>
  <c r="C2177" i="1"/>
  <c r="B2177" i="1"/>
  <c r="A2177" i="1"/>
  <c r="F2176" i="1"/>
  <c r="E2176" i="1"/>
  <c r="D2176" i="1"/>
  <c r="C2176" i="1"/>
  <c r="B2176" i="1"/>
  <c r="A2176" i="1"/>
  <c r="F2175" i="1"/>
  <c r="E2175" i="1"/>
  <c r="D2175" i="1"/>
  <c r="C2175" i="1"/>
  <c r="B2175" i="1"/>
  <c r="A2175" i="1"/>
  <c r="F2174" i="1"/>
  <c r="E2174" i="1"/>
  <c r="D2174" i="1"/>
  <c r="C2174" i="1"/>
  <c r="B2174" i="1"/>
  <c r="A2174" i="1"/>
  <c r="F2173" i="1"/>
  <c r="E2173" i="1"/>
  <c r="D2173" i="1"/>
  <c r="C2173" i="1"/>
  <c r="B2173" i="1"/>
  <c r="A2173" i="1"/>
  <c r="F2172" i="1"/>
  <c r="E2172" i="1"/>
  <c r="D2172" i="1"/>
  <c r="C2172" i="1"/>
  <c r="B2172" i="1"/>
  <c r="A2172" i="1"/>
  <c r="F2171" i="1"/>
  <c r="E2171" i="1"/>
  <c r="D2171" i="1"/>
  <c r="C2171" i="1"/>
  <c r="B2171" i="1"/>
  <c r="A2171" i="1"/>
  <c r="F2170" i="1"/>
  <c r="E2170" i="1"/>
  <c r="D2170" i="1"/>
  <c r="C2170" i="1"/>
  <c r="B2170" i="1"/>
  <c r="A2170" i="1"/>
  <c r="F2169" i="1"/>
  <c r="E2169" i="1"/>
  <c r="D2169" i="1"/>
  <c r="C2169" i="1"/>
  <c r="B2169" i="1"/>
  <c r="A2169" i="1"/>
  <c r="F2168" i="1"/>
  <c r="E2168" i="1"/>
  <c r="D2168" i="1"/>
  <c r="C2168" i="1"/>
  <c r="B2168" i="1"/>
  <c r="A2168" i="1"/>
  <c r="F2167" i="1"/>
  <c r="E2167" i="1"/>
  <c r="D2167" i="1"/>
  <c r="C2167" i="1"/>
  <c r="B2167" i="1"/>
  <c r="A2167" i="1"/>
  <c r="F2166" i="1"/>
  <c r="E2166" i="1"/>
  <c r="D2166" i="1"/>
  <c r="C2166" i="1"/>
  <c r="B2166" i="1"/>
  <c r="A2166" i="1"/>
  <c r="F2165" i="1"/>
  <c r="E2165" i="1"/>
  <c r="D2165" i="1"/>
  <c r="C2165" i="1"/>
  <c r="B2165" i="1"/>
  <c r="A2165" i="1"/>
  <c r="F2164" i="1"/>
  <c r="E2164" i="1"/>
  <c r="D2164" i="1"/>
  <c r="C2164" i="1"/>
  <c r="B2164" i="1"/>
  <c r="A2164" i="1"/>
  <c r="F2163" i="1"/>
  <c r="E2163" i="1"/>
  <c r="D2163" i="1"/>
  <c r="C2163" i="1"/>
  <c r="B2163" i="1"/>
  <c r="A2163" i="1"/>
  <c r="F2162" i="1"/>
  <c r="E2162" i="1"/>
  <c r="D2162" i="1"/>
  <c r="C2162" i="1"/>
  <c r="B2162" i="1"/>
  <c r="A2162" i="1"/>
  <c r="F2161" i="1"/>
  <c r="E2161" i="1"/>
  <c r="D2161" i="1"/>
  <c r="C2161" i="1"/>
  <c r="B2161" i="1"/>
  <c r="A2161" i="1"/>
  <c r="F2160" i="1"/>
  <c r="E2160" i="1"/>
  <c r="D2160" i="1"/>
  <c r="C2160" i="1"/>
  <c r="B2160" i="1"/>
  <c r="A2160" i="1"/>
  <c r="F2159" i="1"/>
  <c r="E2159" i="1"/>
  <c r="D2159" i="1"/>
  <c r="C2159" i="1"/>
  <c r="B2159" i="1"/>
  <c r="A2159" i="1"/>
  <c r="F2158" i="1"/>
  <c r="E2158" i="1"/>
  <c r="D2158" i="1"/>
  <c r="C2158" i="1"/>
  <c r="B2158" i="1"/>
  <c r="A2158" i="1"/>
  <c r="F2157" i="1"/>
  <c r="E2157" i="1"/>
  <c r="D2157" i="1"/>
  <c r="C2157" i="1"/>
  <c r="B2157" i="1"/>
  <c r="A2157" i="1"/>
  <c r="F2156" i="1"/>
  <c r="E2156" i="1"/>
  <c r="D2156" i="1"/>
  <c r="C2156" i="1"/>
  <c r="B2156" i="1"/>
  <c r="A2156" i="1"/>
  <c r="F2155" i="1"/>
  <c r="E2155" i="1"/>
  <c r="D2155" i="1"/>
  <c r="C2155" i="1"/>
  <c r="B2155" i="1"/>
  <c r="A2155" i="1"/>
  <c r="F2154" i="1"/>
  <c r="E2154" i="1"/>
  <c r="D2154" i="1"/>
  <c r="C2154" i="1"/>
  <c r="B2154" i="1"/>
  <c r="A2154" i="1"/>
  <c r="F2153" i="1"/>
  <c r="E2153" i="1"/>
  <c r="D2153" i="1"/>
  <c r="C2153" i="1"/>
  <c r="B2153" i="1"/>
  <c r="A2153" i="1"/>
  <c r="F2152" i="1"/>
  <c r="E2152" i="1"/>
  <c r="D2152" i="1"/>
  <c r="C2152" i="1"/>
  <c r="B2152" i="1"/>
  <c r="A2152" i="1"/>
  <c r="F2151" i="1"/>
  <c r="E2151" i="1"/>
  <c r="D2151" i="1"/>
  <c r="C2151" i="1"/>
  <c r="B2151" i="1"/>
  <c r="A2151" i="1"/>
  <c r="F2150" i="1"/>
  <c r="E2150" i="1"/>
  <c r="D2150" i="1"/>
  <c r="C2150" i="1"/>
  <c r="B2150" i="1"/>
  <c r="A2150" i="1"/>
  <c r="F2149" i="1"/>
  <c r="E2149" i="1"/>
  <c r="D2149" i="1"/>
  <c r="C2149" i="1"/>
  <c r="B2149" i="1"/>
  <c r="A2149" i="1"/>
  <c r="F2148" i="1"/>
  <c r="E2148" i="1"/>
  <c r="D2148" i="1"/>
  <c r="C2148" i="1"/>
  <c r="B2148" i="1"/>
  <c r="A2148" i="1"/>
  <c r="F2147" i="1"/>
  <c r="E2147" i="1"/>
  <c r="D2147" i="1"/>
  <c r="C2147" i="1"/>
  <c r="B2147" i="1"/>
  <c r="A2147" i="1"/>
  <c r="F2146" i="1"/>
  <c r="E2146" i="1"/>
  <c r="D2146" i="1"/>
  <c r="C2146" i="1"/>
  <c r="B2146" i="1"/>
  <c r="A2146" i="1"/>
  <c r="F2145" i="1"/>
  <c r="E2145" i="1"/>
  <c r="D2145" i="1"/>
  <c r="C2145" i="1"/>
  <c r="B2145" i="1"/>
  <c r="A2145" i="1"/>
  <c r="F2144" i="1"/>
  <c r="E2144" i="1"/>
  <c r="D2144" i="1"/>
  <c r="C2144" i="1"/>
  <c r="B2144" i="1"/>
  <c r="A2144" i="1"/>
  <c r="F2143" i="1"/>
  <c r="E2143" i="1"/>
  <c r="D2143" i="1"/>
  <c r="C2143" i="1"/>
  <c r="B2143" i="1"/>
  <c r="A2143" i="1"/>
  <c r="F2142" i="1"/>
  <c r="E2142" i="1"/>
  <c r="D2142" i="1"/>
  <c r="C2142" i="1"/>
  <c r="B2142" i="1"/>
  <c r="A2142" i="1"/>
  <c r="F2141" i="1"/>
  <c r="E2141" i="1"/>
  <c r="D2141" i="1"/>
  <c r="C2141" i="1"/>
  <c r="B2141" i="1"/>
  <c r="A2141" i="1"/>
  <c r="F2140" i="1"/>
  <c r="E2140" i="1"/>
  <c r="D2140" i="1"/>
  <c r="C2140" i="1"/>
  <c r="B2140" i="1"/>
  <c r="A2140" i="1"/>
  <c r="F2139" i="1"/>
  <c r="E2139" i="1"/>
  <c r="D2139" i="1"/>
  <c r="C2139" i="1"/>
  <c r="B2139" i="1"/>
  <c r="A2139" i="1"/>
  <c r="F2138" i="1"/>
  <c r="E2138" i="1"/>
  <c r="D2138" i="1"/>
  <c r="C2138" i="1"/>
  <c r="B2138" i="1"/>
  <c r="A2138" i="1"/>
  <c r="F2137" i="1"/>
  <c r="E2137" i="1"/>
  <c r="D2137" i="1"/>
  <c r="C2137" i="1"/>
  <c r="B2137" i="1"/>
  <c r="A2137" i="1"/>
  <c r="F2136" i="1"/>
  <c r="E2136" i="1"/>
  <c r="D2136" i="1"/>
  <c r="C2136" i="1"/>
  <c r="B2136" i="1"/>
  <c r="A2136" i="1"/>
  <c r="F2135" i="1"/>
  <c r="E2135" i="1"/>
  <c r="D2135" i="1"/>
  <c r="C2135" i="1"/>
  <c r="B2135" i="1"/>
  <c r="A2135" i="1"/>
  <c r="F2134" i="1"/>
  <c r="E2134" i="1"/>
  <c r="D2134" i="1"/>
  <c r="C2134" i="1"/>
  <c r="B2134" i="1"/>
  <c r="A2134" i="1"/>
  <c r="F2133" i="1"/>
  <c r="E2133" i="1"/>
  <c r="D2133" i="1"/>
  <c r="C2133" i="1"/>
  <c r="B2133" i="1"/>
  <c r="A2133" i="1"/>
  <c r="F2132" i="1"/>
  <c r="E2132" i="1"/>
  <c r="D2132" i="1"/>
  <c r="C2132" i="1"/>
  <c r="B2132" i="1"/>
  <c r="A2132" i="1"/>
  <c r="F2131" i="1"/>
  <c r="E2131" i="1"/>
  <c r="D2131" i="1"/>
  <c r="C2131" i="1"/>
  <c r="B2131" i="1"/>
  <c r="A2131" i="1"/>
  <c r="F2130" i="1"/>
  <c r="E2130" i="1"/>
  <c r="D2130" i="1"/>
  <c r="C2130" i="1"/>
  <c r="B2130" i="1"/>
  <c r="A2130" i="1"/>
  <c r="F2129" i="1"/>
  <c r="E2129" i="1"/>
  <c r="D2129" i="1"/>
  <c r="C2129" i="1"/>
  <c r="B2129" i="1"/>
  <c r="A2129" i="1"/>
  <c r="F2128" i="1"/>
  <c r="E2128" i="1"/>
  <c r="D2128" i="1"/>
  <c r="C2128" i="1"/>
  <c r="B2128" i="1"/>
  <c r="A2128" i="1"/>
  <c r="F2127" i="1"/>
  <c r="E2127" i="1"/>
  <c r="D2127" i="1"/>
  <c r="C2127" i="1"/>
  <c r="B2127" i="1"/>
  <c r="A2127" i="1"/>
  <c r="F2126" i="1"/>
  <c r="E2126" i="1"/>
  <c r="D2126" i="1"/>
  <c r="C2126" i="1"/>
  <c r="B2126" i="1"/>
  <c r="A2126" i="1"/>
  <c r="F2125" i="1"/>
  <c r="E2125" i="1"/>
  <c r="D2125" i="1"/>
  <c r="C2125" i="1"/>
  <c r="B2125" i="1"/>
  <c r="A2125" i="1"/>
  <c r="F2124" i="1"/>
  <c r="E2124" i="1"/>
  <c r="D2124" i="1"/>
  <c r="C2124" i="1"/>
  <c r="B2124" i="1"/>
  <c r="A2124" i="1"/>
  <c r="F2123" i="1"/>
  <c r="E2123" i="1"/>
  <c r="D2123" i="1"/>
  <c r="C2123" i="1"/>
  <c r="B2123" i="1"/>
  <c r="A2123" i="1"/>
  <c r="F2122" i="1"/>
  <c r="E2122" i="1"/>
  <c r="D2122" i="1"/>
  <c r="C2122" i="1"/>
  <c r="B2122" i="1"/>
  <c r="A2122" i="1"/>
  <c r="F2121" i="1"/>
  <c r="E2121" i="1"/>
  <c r="D2121" i="1"/>
  <c r="C2121" i="1"/>
  <c r="B2121" i="1"/>
  <c r="A2121" i="1"/>
  <c r="F2120" i="1"/>
  <c r="E2120" i="1"/>
  <c r="D2120" i="1"/>
  <c r="C2120" i="1"/>
  <c r="B2120" i="1"/>
  <c r="A2120" i="1"/>
  <c r="F2119" i="1"/>
  <c r="E2119" i="1"/>
  <c r="D2119" i="1"/>
  <c r="C2119" i="1"/>
  <c r="B2119" i="1"/>
  <c r="A2119" i="1"/>
  <c r="F2118" i="1"/>
  <c r="E2118" i="1"/>
  <c r="D2118" i="1"/>
  <c r="C2118" i="1"/>
  <c r="B2118" i="1"/>
  <c r="A2118" i="1"/>
  <c r="F2117" i="1"/>
  <c r="E2117" i="1"/>
  <c r="D2117" i="1"/>
  <c r="C2117" i="1"/>
  <c r="B2117" i="1"/>
  <c r="A2117" i="1"/>
  <c r="F2116" i="1"/>
  <c r="E2116" i="1"/>
  <c r="D2116" i="1"/>
  <c r="C2116" i="1"/>
  <c r="B2116" i="1"/>
  <c r="A2116" i="1"/>
  <c r="F2115" i="1"/>
  <c r="E2115" i="1"/>
  <c r="D2115" i="1"/>
  <c r="C2115" i="1"/>
  <c r="B2115" i="1"/>
  <c r="A2115" i="1"/>
  <c r="F2114" i="1"/>
  <c r="E2114" i="1"/>
  <c r="D2114" i="1"/>
  <c r="C2114" i="1"/>
  <c r="B2114" i="1"/>
  <c r="A2114" i="1"/>
  <c r="F2113" i="1"/>
  <c r="E2113" i="1"/>
  <c r="D2113" i="1"/>
  <c r="C2113" i="1"/>
  <c r="B2113" i="1"/>
  <c r="A2113" i="1"/>
  <c r="F2112" i="1"/>
  <c r="E2112" i="1"/>
  <c r="D2112" i="1"/>
  <c r="C2112" i="1"/>
  <c r="B2112" i="1"/>
  <c r="A2112" i="1"/>
  <c r="F2111" i="1"/>
  <c r="E2111" i="1"/>
  <c r="D2111" i="1"/>
  <c r="C2111" i="1"/>
  <c r="B2111" i="1"/>
  <c r="A2111" i="1"/>
  <c r="F2110" i="1"/>
  <c r="E2110" i="1"/>
  <c r="D2110" i="1"/>
  <c r="C2110" i="1"/>
  <c r="B2110" i="1"/>
  <c r="A2110" i="1"/>
  <c r="F2109" i="1"/>
  <c r="E2109" i="1"/>
  <c r="D2109" i="1"/>
  <c r="C2109" i="1"/>
  <c r="B2109" i="1"/>
  <c r="A2109" i="1"/>
  <c r="F2108" i="1"/>
  <c r="E2108" i="1"/>
  <c r="D2108" i="1"/>
  <c r="C2108" i="1"/>
  <c r="B2108" i="1"/>
  <c r="A2108" i="1"/>
  <c r="F2107" i="1"/>
  <c r="E2107" i="1"/>
  <c r="D2107" i="1"/>
  <c r="C2107" i="1"/>
  <c r="B2107" i="1"/>
  <c r="A2107" i="1"/>
  <c r="F2106" i="1"/>
  <c r="E2106" i="1"/>
  <c r="D2106" i="1"/>
  <c r="C2106" i="1"/>
  <c r="B2106" i="1"/>
  <c r="A2106" i="1"/>
  <c r="F2105" i="1"/>
  <c r="E2105" i="1"/>
  <c r="D2105" i="1"/>
  <c r="C2105" i="1"/>
  <c r="B2105" i="1"/>
  <c r="A2105" i="1"/>
  <c r="F2104" i="1"/>
  <c r="E2104" i="1"/>
  <c r="D2104" i="1"/>
  <c r="C2104" i="1"/>
  <c r="B2104" i="1"/>
  <c r="A2104" i="1"/>
  <c r="F2103" i="1"/>
  <c r="E2103" i="1"/>
  <c r="D2103" i="1"/>
  <c r="C2103" i="1"/>
  <c r="B2103" i="1"/>
  <c r="A2103" i="1"/>
  <c r="F2102" i="1"/>
  <c r="E2102" i="1"/>
  <c r="D2102" i="1"/>
  <c r="C2102" i="1"/>
  <c r="B2102" i="1"/>
  <c r="A2102" i="1"/>
  <c r="F2101" i="1"/>
  <c r="E2101" i="1"/>
  <c r="D2101" i="1"/>
  <c r="C2101" i="1"/>
  <c r="B2101" i="1"/>
  <c r="A2101" i="1"/>
  <c r="F2100" i="1"/>
  <c r="E2100" i="1"/>
  <c r="D2100" i="1"/>
  <c r="C2100" i="1"/>
  <c r="B2100" i="1"/>
  <c r="A2100" i="1"/>
  <c r="F2099" i="1"/>
  <c r="E2099" i="1"/>
  <c r="D2099" i="1"/>
  <c r="C2099" i="1"/>
  <c r="B2099" i="1"/>
  <c r="A2099" i="1"/>
  <c r="F2098" i="1"/>
  <c r="E2098" i="1"/>
  <c r="D2098" i="1"/>
  <c r="C2098" i="1"/>
  <c r="B2098" i="1"/>
  <c r="A2098" i="1"/>
  <c r="F2097" i="1"/>
  <c r="E2097" i="1"/>
  <c r="D2097" i="1"/>
  <c r="C2097" i="1"/>
  <c r="B2097" i="1"/>
  <c r="A2097" i="1"/>
  <c r="F2096" i="1"/>
  <c r="E2096" i="1"/>
  <c r="D2096" i="1"/>
  <c r="C2096" i="1"/>
  <c r="B2096" i="1"/>
  <c r="A2096" i="1"/>
  <c r="F2095" i="1"/>
  <c r="E2095" i="1"/>
  <c r="D2095" i="1"/>
  <c r="C2095" i="1"/>
  <c r="B2095" i="1"/>
  <c r="A2095" i="1"/>
  <c r="F2094" i="1"/>
  <c r="E2094" i="1"/>
  <c r="D2094" i="1"/>
  <c r="C2094" i="1"/>
  <c r="B2094" i="1"/>
  <c r="A2094" i="1"/>
  <c r="F2093" i="1"/>
  <c r="E2093" i="1"/>
  <c r="D2093" i="1"/>
  <c r="C2093" i="1"/>
  <c r="B2093" i="1"/>
  <c r="A2093" i="1"/>
  <c r="F2092" i="1"/>
  <c r="E2092" i="1"/>
  <c r="D2092" i="1"/>
  <c r="C2092" i="1"/>
  <c r="B2092" i="1"/>
  <c r="A2092" i="1"/>
  <c r="F2091" i="1"/>
  <c r="E2091" i="1"/>
  <c r="D2091" i="1"/>
  <c r="C2091" i="1"/>
  <c r="B2091" i="1"/>
  <c r="A2091" i="1"/>
  <c r="F2090" i="1"/>
  <c r="E2090" i="1"/>
  <c r="D2090" i="1"/>
  <c r="C2090" i="1"/>
  <c r="B2090" i="1"/>
  <c r="A2090" i="1"/>
  <c r="F2089" i="1"/>
  <c r="E2089" i="1"/>
  <c r="D2089" i="1"/>
  <c r="C2089" i="1"/>
  <c r="B2089" i="1"/>
  <c r="A2089" i="1"/>
  <c r="F2088" i="1"/>
  <c r="E2088" i="1"/>
  <c r="D2088" i="1"/>
  <c r="C2088" i="1"/>
  <c r="B2088" i="1"/>
  <c r="A2088" i="1"/>
  <c r="F2087" i="1"/>
  <c r="E2087" i="1"/>
  <c r="D2087" i="1"/>
  <c r="C2087" i="1"/>
  <c r="B2087" i="1"/>
  <c r="A2087" i="1"/>
  <c r="F2086" i="1"/>
  <c r="E2086" i="1"/>
  <c r="D2086" i="1"/>
  <c r="C2086" i="1"/>
  <c r="B2086" i="1"/>
  <c r="A2086" i="1"/>
  <c r="F2085" i="1"/>
  <c r="E2085" i="1"/>
  <c r="D2085" i="1"/>
  <c r="C2085" i="1"/>
  <c r="B2085" i="1"/>
  <c r="A2085" i="1"/>
  <c r="F2084" i="1"/>
  <c r="E2084" i="1"/>
  <c r="D2084" i="1"/>
  <c r="C2084" i="1"/>
  <c r="B2084" i="1"/>
  <c r="A2084" i="1"/>
  <c r="F2083" i="1"/>
  <c r="E2083" i="1"/>
  <c r="D2083" i="1"/>
  <c r="C2083" i="1"/>
  <c r="B2083" i="1"/>
  <c r="A2083" i="1"/>
  <c r="F2082" i="1"/>
  <c r="E2082" i="1"/>
  <c r="D2082" i="1"/>
  <c r="C2082" i="1"/>
  <c r="B2082" i="1"/>
  <c r="A2082" i="1"/>
  <c r="F2081" i="1"/>
  <c r="E2081" i="1"/>
  <c r="D2081" i="1"/>
  <c r="C2081" i="1"/>
  <c r="B2081" i="1"/>
  <c r="A2081" i="1"/>
  <c r="F2080" i="1"/>
  <c r="E2080" i="1"/>
  <c r="D2080" i="1"/>
  <c r="C2080" i="1"/>
  <c r="B2080" i="1"/>
  <c r="A2080" i="1"/>
  <c r="F2079" i="1"/>
  <c r="E2079" i="1"/>
  <c r="D2079" i="1"/>
  <c r="C2079" i="1"/>
  <c r="B2079" i="1"/>
  <c r="A2079" i="1"/>
  <c r="F2078" i="1"/>
  <c r="E2078" i="1"/>
  <c r="D2078" i="1"/>
  <c r="C2078" i="1"/>
  <c r="B2078" i="1"/>
  <c r="A2078" i="1"/>
  <c r="F2077" i="1"/>
  <c r="E2077" i="1"/>
  <c r="D2077" i="1"/>
  <c r="C2077" i="1"/>
  <c r="B2077" i="1"/>
  <c r="A2077" i="1"/>
  <c r="F2076" i="1"/>
  <c r="E2076" i="1"/>
  <c r="D2076" i="1"/>
  <c r="C2076" i="1"/>
  <c r="B2076" i="1"/>
  <c r="A2076" i="1"/>
  <c r="F2075" i="1"/>
  <c r="E2075" i="1"/>
  <c r="D2075" i="1"/>
  <c r="C2075" i="1"/>
  <c r="B2075" i="1"/>
  <c r="A2075" i="1"/>
  <c r="F2074" i="1"/>
  <c r="E2074" i="1"/>
  <c r="D2074" i="1"/>
  <c r="C2074" i="1"/>
  <c r="B2074" i="1"/>
  <c r="A2074" i="1"/>
  <c r="F2073" i="1"/>
  <c r="E2073" i="1"/>
  <c r="D2073" i="1"/>
  <c r="C2073" i="1"/>
  <c r="B2073" i="1"/>
  <c r="A2073" i="1"/>
  <c r="F2072" i="1"/>
  <c r="E2072" i="1"/>
  <c r="D2072" i="1"/>
  <c r="C2072" i="1"/>
  <c r="B2072" i="1"/>
  <c r="A2072" i="1"/>
  <c r="F2071" i="1"/>
  <c r="E2071" i="1"/>
  <c r="D2071" i="1"/>
  <c r="C2071" i="1"/>
  <c r="B2071" i="1"/>
  <c r="A2071" i="1"/>
  <c r="F2070" i="1"/>
  <c r="E2070" i="1"/>
  <c r="D2070" i="1"/>
  <c r="C2070" i="1"/>
  <c r="B2070" i="1"/>
  <c r="A2070" i="1"/>
  <c r="F2069" i="1"/>
  <c r="E2069" i="1"/>
  <c r="D2069" i="1"/>
  <c r="C2069" i="1"/>
  <c r="B2069" i="1"/>
  <c r="A2069" i="1"/>
  <c r="F2068" i="1"/>
  <c r="E2068" i="1"/>
  <c r="D2068" i="1"/>
  <c r="C2068" i="1"/>
  <c r="B2068" i="1"/>
  <c r="A2068" i="1"/>
  <c r="F2067" i="1"/>
  <c r="E2067" i="1"/>
  <c r="D2067" i="1"/>
  <c r="C2067" i="1"/>
  <c r="B2067" i="1"/>
  <c r="A2067" i="1"/>
  <c r="F2066" i="1"/>
  <c r="E2066" i="1"/>
  <c r="D2066" i="1"/>
  <c r="C2066" i="1"/>
  <c r="B2066" i="1"/>
  <c r="A2066" i="1"/>
  <c r="F2065" i="1"/>
  <c r="E2065" i="1"/>
  <c r="D2065" i="1"/>
  <c r="C2065" i="1"/>
  <c r="B2065" i="1"/>
  <c r="A2065" i="1"/>
  <c r="F2064" i="1"/>
  <c r="E2064" i="1"/>
  <c r="D2064" i="1"/>
  <c r="C2064" i="1"/>
  <c r="B2064" i="1"/>
  <c r="A2064" i="1"/>
  <c r="F2063" i="1"/>
  <c r="E2063" i="1"/>
  <c r="D2063" i="1"/>
  <c r="C2063" i="1"/>
  <c r="B2063" i="1"/>
  <c r="A2063" i="1"/>
  <c r="F2062" i="1"/>
  <c r="E2062" i="1"/>
  <c r="D2062" i="1"/>
  <c r="C2062" i="1"/>
  <c r="B2062" i="1"/>
  <c r="A2062" i="1"/>
  <c r="F2061" i="1"/>
  <c r="E2061" i="1"/>
  <c r="D2061" i="1"/>
  <c r="C2061" i="1"/>
  <c r="B2061" i="1"/>
  <c r="A2061" i="1"/>
  <c r="F2060" i="1"/>
  <c r="E2060" i="1"/>
  <c r="D2060" i="1"/>
  <c r="C2060" i="1"/>
  <c r="B2060" i="1"/>
  <c r="A2060" i="1"/>
  <c r="F2059" i="1"/>
  <c r="E2059" i="1"/>
  <c r="D2059" i="1"/>
  <c r="C2059" i="1"/>
  <c r="B2059" i="1"/>
  <c r="A2059" i="1"/>
  <c r="F2058" i="1"/>
  <c r="E2058" i="1"/>
  <c r="D2058" i="1"/>
  <c r="C2058" i="1"/>
  <c r="B2058" i="1"/>
  <c r="A2058" i="1"/>
  <c r="F2057" i="1"/>
  <c r="E2057" i="1"/>
  <c r="D2057" i="1"/>
  <c r="C2057" i="1"/>
  <c r="B2057" i="1"/>
  <c r="A2057" i="1"/>
  <c r="F2056" i="1"/>
  <c r="E2056" i="1"/>
  <c r="D2056" i="1"/>
  <c r="C2056" i="1"/>
  <c r="B2056" i="1"/>
  <c r="A2056" i="1"/>
  <c r="F2055" i="1"/>
  <c r="E2055" i="1"/>
  <c r="D2055" i="1"/>
  <c r="C2055" i="1"/>
  <c r="B2055" i="1"/>
  <c r="A2055" i="1"/>
  <c r="F2054" i="1"/>
  <c r="E2054" i="1"/>
  <c r="D2054" i="1"/>
  <c r="C2054" i="1"/>
  <c r="B2054" i="1"/>
  <c r="A2054" i="1"/>
  <c r="F2053" i="1"/>
  <c r="E2053" i="1"/>
  <c r="D2053" i="1"/>
  <c r="C2053" i="1"/>
  <c r="B2053" i="1"/>
  <c r="A2053" i="1"/>
  <c r="F2052" i="1"/>
  <c r="E2052" i="1"/>
  <c r="D2052" i="1"/>
  <c r="C2052" i="1"/>
  <c r="B2052" i="1"/>
  <c r="A2052" i="1"/>
  <c r="F2051" i="1"/>
  <c r="E2051" i="1"/>
  <c r="D2051" i="1"/>
  <c r="C2051" i="1"/>
  <c r="B2051" i="1"/>
  <c r="A2051" i="1"/>
  <c r="F2050" i="1"/>
  <c r="E2050" i="1"/>
  <c r="D2050" i="1"/>
  <c r="C2050" i="1"/>
  <c r="B2050" i="1"/>
  <c r="A2050" i="1"/>
  <c r="F2049" i="1"/>
  <c r="E2049" i="1"/>
  <c r="D2049" i="1"/>
  <c r="C2049" i="1"/>
  <c r="B2049" i="1"/>
  <c r="A2049" i="1"/>
  <c r="F2048" i="1"/>
  <c r="E2048" i="1"/>
  <c r="D2048" i="1"/>
  <c r="C2048" i="1"/>
  <c r="B2048" i="1"/>
  <c r="A2048" i="1"/>
  <c r="F2047" i="1"/>
  <c r="E2047" i="1"/>
  <c r="D2047" i="1"/>
  <c r="C2047" i="1"/>
  <c r="B2047" i="1"/>
  <c r="A2047" i="1"/>
  <c r="F2046" i="1"/>
  <c r="E2046" i="1"/>
  <c r="D2046" i="1"/>
  <c r="C2046" i="1"/>
  <c r="B2046" i="1"/>
  <c r="A2046" i="1"/>
  <c r="F2045" i="1"/>
  <c r="E2045" i="1"/>
  <c r="D2045" i="1"/>
  <c r="C2045" i="1"/>
  <c r="B2045" i="1"/>
  <c r="A2045" i="1"/>
  <c r="F2044" i="1"/>
  <c r="E2044" i="1"/>
  <c r="D2044" i="1"/>
  <c r="C2044" i="1"/>
  <c r="B2044" i="1"/>
  <c r="A2044" i="1"/>
  <c r="F2043" i="1"/>
  <c r="E2043" i="1"/>
  <c r="D2043" i="1"/>
  <c r="C2043" i="1"/>
  <c r="B2043" i="1"/>
  <c r="A2043" i="1"/>
  <c r="F2042" i="1"/>
  <c r="E2042" i="1"/>
  <c r="D2042" i="1"/>
  <c r="C2042" i="1"/>
  <c r="B2042" i="1"/>
  <c r="A2042" i="1"/>
  <c r="F2041" i="1"/>
  <c r="E2041" i="1"/>
  <c r="D2041" i="1"/>
  <c r="C2041" i="1"/>
  <c r="B2041" i="1"/>
  <c r="A2041" i="1"/>
  <c r="F2040" i="1"/>
  <c r="E2040" i="1"/>
  <c r="D2040" i="1"/>
  <c r="C2040" i="1"/>
  <c r="B2040" i="1"/>
  <c r="A2040" i="1"/>
  <c r="F2039" i="1"/>
  <c r="E2039" i="1"/>
  <c r="D2039" i="1"/>
  <c r="C2039" i="1"/>
  <c r="B2039" i="1"/>
  <c r="A2039" i="1"/>
  <c r="F2038" i="1"/>
  <c r="E2038" i="1"/>
  <c r="D2038" i="1"/>
  <c r="C2038" i="1"/>
  <c r="B2038" i="1"/>
  <c r="A2038" i="1"/>
  <c r="F2037" i="1"/>
  <c r="E2037" i="1"/>
  <c r="D2037" i="1"/>
  <c r="C2037" i="1"/>
  <c r="B2037" i="1"/>
  <c r="A2037" i="1"/>
  <c r="F2036" i="1"/>
  <c r="E2036" i="1"/>
  <c r="D2036" i="1"/>
  <c r="C2036" i="1"/>
  <c r="B2036" i="1"/>
  <c r="A2036" i="1"/>
  <c r="F2035" i="1"/>
  <c r="E2035" i="1"/>
  <c r="D2035" i="1"/>
  <c r="C2035" i="1"/>
  <c r="B2035" i="1"/>
  <c r="A2035" i="1"/>
  <c r="F2034" i="1"/>
  <c r="E2034" i="1"/>
  <c r="D2034" i="1"/>
  <c r="C2034" i="1"/>
  <c r="B2034" i="1"/>
  <c r="A2034" i="1"/>
  <c r="F2033" i="1"/>
  <c r="E2033" i="1"/>
  <c r="D2033" i="1"/>
  <c r="C2033" i="1"/>
  <c r="B2033" i="1"/>
  <c r="A2033" i="1"/>
  <c r="F2032" i="1"/>
  <c r="E2032" i="1"/>
  <c r="D2032" i="1"/>
  <c r="C2032" i="1"/>
  <c r="B2032" i="1"/>
  <c r="A2032" i="1"/>
  <c r="F2031" i="1"/>
  <c r="E2031" i="1"/>
  <c r="D2031" i="1"/>
  <c r="C2031" i="1"/>
  <c r="B2031" i="1"/>
  <c r="A2031" i="1"/>
  <c r="F2030" i="1"/>
  <c r="E2030" i="1"/>
  <c r="D2030" i="1"/>
  <c r="C2030" i="1"/>
  <c r="B2030" i="1"/>
  <c r="A2030" i="1"/>
  <c r="F2029" i="1"/>
  <c r="E2029" i="1"/>
  <c r="D2029" i="1"/>
  <c r="C2029" i="1"/>
  <c r="B2029" i="1"/>
  <c r="A2029" i="1"/>
  <c r="F2028" i="1"/>
  <c r="E2028" i="1"/>
  <c r="D2028" i="1"/>
  <c r="C2028" i="1"/>
  <c r="B2028" i="1"/>
  <c r="A2028" i="1"/>
  <c r="F2027" i="1"/>
  <c r="E2027" i="1"/>
  <c r="D2027" i="1"/>
  <c r="C2027" i="1"/>
  <c r="B2027" i="1"/>
  <c r="A2027" i="1"/>
  <c r="F2026" i="1"/>
  <c r="E2026" i="1"/>
  <c r="D2026" i="1"/>
  <c r="C2026" i="1"/>
  <c r="B2026" i="1"/>
  <c r="A2026" i="1"/>
  <c r="F2025" i="1"/>
  <c r="E2025" i="1"/>
  <c r="D2025" i="1"/>
  <c r="C2025" i="1"/>
  <c r="B2025" i="1"/>
  <c r="A2025" i="1"/>
  <c r="F2024" i="1"/>
  <c r="E2024" i="1"/>
  <c r="D2024" i="1"/>
  <c r="C2024" i="1"/>
  <c r="B2024" i="1"/>
  <c r="A2024" i="1"/>
  <c r="F2023" i="1"/>
  <c r="E2023" i="1"/>
  <c r="D2023" i="1"/>
  <c r="C2023" i="1"/>
  <c r="B2023" i="1"/>
  <c r="A2023" i="1"/>
  <c r="F2022" i="1"/>
  <c r="E2022" i="1"/>
  <c r="D2022" i="1"/>
  <c r="C2022" i="1"/>
  <c r="B2022" i="1"/>
  <c r="A2022" i="1"/>
  <c r="F2021" i="1"/>
  <c r="E2021" i="1"/>
  <c r="D2021" i="1"/>
  <c r="C2021" i="1"/>
  <c r="B2021" i="1"/>
  <c r="A2021" i="1"/>
  <c r="F2020" i="1"/>
  <c r="E2020" i="1"/>
  <c r="D2020" i="1"/>
  <c r="C2020" i="1"/>
  <c r="B2020" i="1"/>
  <c r="A2020" i="1"/>
  <c r="F2019" i="1"/>
  <c r="E2019" i="1"/>
  <c r="D2019" i="1"/>
  <c r="C2019" i="1"/>
  <c r="B2019" i="1"/>
  <c r="A2019" i="1"/>
  <c r="F2018" i="1"/>
  <c r="E2018" i="1"/>
  <c r="D2018" i="1"/>
  <c r="C2018" i="1"/>
  <c r="B2018" i="1"/>
  <c r="A2018" i="1"/>
  <c r="F2017" i="1"/>
  <c r="E2017" i="1"/>
  <c r="D2017" i="1"/>
  <c r="C2017" i="1"/>
  <c r="B2017" i="1"/>
  <c r="A2017" i="1"/>
  <c r="F2016" i="1"/>
  <c r="E2016" i="1"/>
  <c r="D2016" i="1"/>
  <c r="C2016" i="1"/>
  <c r="B2016" i="1"/>
  <c r="A2016" i="1"/>
  <c r="F2015" i="1"/>
  <c r="E2015" i="1"/>
  <c r="D2015" i="1"/>
  <c r="C2015" i="1"/>
  <c r="B2015" i="1"/>
  <c r="A2015" i="1"/>
  <c r="F2014" i="1"/>
  <c r="E2014" i="1"/>
  <c r="D2014" i="1"/>
  <c r="C2014" i="1"/>
  <c r="B2014" i="1"/>
  <c r="A2014" i="1"/>
  <c r="F2013" i="1"/>
  <c r="E2013" i="1"/>
  <c r="D2013" i="1"/>
  <c r="C2013" i="1"/>
  <c r="B2013" i="1"/>
  <c r="A2013" i="1"/>
  <c r="F2012" i="1"/>
  <c r="E2012" i="1"/>
  <c r="D2012" i="1"/>
  <c r="C2012" i="1"/>
  <c r="B2012" i="1"/>
  <c r="A2012" i="1"/>
  <c r="F2011" i="1"/>
  <c r="E2011" i="1"/>
  <c r="D2011" i="1"/>
  <c r="C2011" i="1"/>
  <c r="B2011" i="1"/>
  <c r="A2011" i="1"/>
  <c r="F2010" i="1"/>
  <c r="E2010" i="1"/>
  <c r="D2010" i="1"/>
  <c r="C2010" i="1"/>
  <c r="B2010" i="1"/>
  <c r="A2010" i="1"/>
  <c r="F2009" i="1"/>
  <c r="E2009" i="1"/>
  <c r="D2009" i="1"/>
  <c r="C2009" i="1"/>
  <c r="B2009" i="1"/>
  <c r="A2009" i="1"/>
  <c r="F2008" i="1"/>
  <c r="E2008" i="1"/>
  <c r="D2008" i="1"/>
  <c r="C2008" i="1"/>
  <c r="B2008" i="1"/>
  <c r="A2008" i="1"/>
  <c r="F2007" i="1"/>
  <c r="E2007" i="1"/>
  <c r="D2007" i="1"/>
  <c r="C2007" i="1"/>
  <c r="B2007" i="1"/>
  <c r="A2007" i="1"/>
  <c r="F2006" i="1"/>
  <c r="E2006" i="1"/>
  <c r="D2006" i="1"/>
  <c r="C2006" i="1"/>
  <c r="B2006" i="1"/>
  <c r="A2006" i="1"/>
  <c r="F2005" i="1"/>
  <c r="E2005" i="1"/>
  <c r="D2005" i="1"/>
  <c r="C2005" i="1"/>
  <c r="B2005" i="1"/>
  <c r="A2005" i="1"/>
  <c r="F2004" i="1"/>
  <c r="E2004" i="1"/>
  <c r="D2004" i="1"/>
  <c r="C2004" i="1"/>
  <c r="B2004" i="1"/>
  <c r="A2004" i="1"/>
  <c r="F2003" i="1"/>
  <c r="E2003" i="1"/>
  <c r="D2003" i="1"/>
  <c r="C2003" i="1"/>
  <c r="B2003" i="1"/>
  <c r="A2003" i="1"/>
  <c r="F2002" i="1"/>
  <c r="E2002" i="1"/>
  <c r="D2002" i="1"/>
  <c r="C2002" i="1"/>
  <c r="B2002" i="1"/>
  <c r="A2002" i="1"/>
  <c r="F2001" i="1"/>
  <c r="E2001" i="1"/>
  <c r="D2001" i="1"/>
  <c r="C2001" i="1"/>
  <c r="B2001" i="1"/>
  <c r="A2001" i="1"/>
  <c r="F2000" i="1"/>
  <c r="E2000" i="1"/>
  <c r="D2000" i="1"/>
  <c r="C2000" i="1"/>
  <c r="B2000" i="1"/>
  <c r="A2000" i="1"/>
  <c r="F1999" i="1"/>
  <c r="E1999" i="1"/>
  <c r="D1999" i="1"/>
  <c r="C1999" i="1"/>
  <c r="B1999" i="1"/>
  <c r="A1999" i="1"/>
  <c r="F1998" i="1"/>
  <c r="E1998" i="1"/>
  <c r="D1998" i="1"/>
  <c r="C1998" i="1"/>
  <c r="B1998" i="1"/>
  <c r="A1998" i="1"/>
  <c r="F1997" i="1"/>
  <c r="E1997" i="1"/>
  <c r="D1997" i="1"/>
  <c r="C1997" i="1"/>
  <c r="B1997" i="1"/>
  <c r="A1997" i="1"/>
  <c r="F1996" i="1"/>
  <c r="E1996" i="1"/>
  <c r="D1996" i="1"/>
  <c r="C1996" i="1"/>
  <c r="B1996" i="1"/>
  <c r="A1996" i="1"/>
  <c r="F1995" i="1"/>
  <c r="E1995" i="1"/>
  <c r="D1995" i="1"/>
  <c r="C1995" i="1"/>
  <c r="B1995" i="1"/>
  <c r="A1995" i="1"/>
  <c r="F1994" i="1"/>
  <c r="E1994" i="1"/>
  <c r="D1994" i="1"/>
  <c r="C1994" i="1"/>
  <c r="B1994" i="1"/>
  <c r="A1994" i="1"/>
  <c r="F1993" i="1"/>
  <c r="E1993" i="1"/>
  <c r="D1993" i="1"/>
  <c r="C1993" i="1"/>
  <c r="B1993" i="1"/>
  <c r="A1993" i="1"/>
  <c r="F1992" i="1"/>
  <c r="E1992" i="1"/>
  <c r="D1992" i="1"/>
  <c r="C1992" i="1"/>
  <c r="B1992" i="1"/>
  <c r="A1992" i="1"/>
  <c r="F1991" i="1"/>
  <c r="E1991" i="1"/>
  <c r="D1991" i="1"/>
  <c r="C1991" i="1"/>
  <c r="B1991" i="1"/>
  <c r="A1991" i="1"/>
  <c r="F1990" i="1"/>
  <c r="E1990" i="1"/>
  <c r="D1990" i="1"/>
  <c r="C1990" i="1"/>
  <c r="B1990" i="1"/>
  <c r="A1990" i="1"/>
  <c r="F1989" i="1"/>
  <c r="E1989" i="1"/>
  <c r="D1989" i="1"/>
  <c r="C1989" i="1"/>
  <c r="B1989" i="1"/>
  <c r="A1989" i="1"/>
  <c r="F1988" i="1"/>
  <c r="E1988" i="1"/>
  <c r="D1988" i="1"/>
  <c r="C1988" i="1"/>
  <c r="B1988" i="1"/>
  <c r="A1988" i="1"/>
  <c r="F1987" i="1"/>
  <c r="E1987" i="1"/>
  <c r="D1987" i="1"/>
  <c r="C1987" i="1"/>
  <c r="B1987" i="1"/>
  <c r="A1987" i="1"/>
  <c r="F1986" i="1"/>
  <c r="E1986" i="1"/>
  <c r="D1986" i="1"/>
  <c r="C1986" i="1"/>
  <c r="B1986" i="1"/>
  <c r="A1986" i="1"/>
  <c r="F1985" i="1"/>
  <c r="E1985" i="1"/>
  <c r="D1985" i="1"/>
  <c r="C1985" i="1"/>
  <c r="B1985" i="1"/>
  <c r="A1985" i="1"/>
  <c r="F1984" i="1"/>
  <c r="E1984" i="1"/>
  <c r="D1984" i="1"/>
  <c r="C1984" i="1"/>
  <c r="B1984" i="1"/>
  <c r="A1984" i="1"/>
  <c r="F1983" i="1"/>
  <c r="E1983" i="1"/>
  <c r="D1983" i="1"/>
  <c r="C1983" i="1"/>
  <c r="B1983" i="1"/>
  <c r="A1983" i="1"/>
  <c r="F1982" i="1"/>
  <c r="E1982" i="1"/>
  <c r="D1982" i="1"/>
  <c r="C1982" i="1"/>
  <c r="B1982" i="1"/>
  <c r="A1982" i="1"/>
  <c r="F1981" i="1"/>
  <c r="E1981" i="1"/>
  <c r="D1981" i="1"/>
  <c r="C1981" i="1"/>
  <c r="B1981" i="1"/>
  <c r="A1981" i="1"/>
  <c r="F1980" i="1"/>
  <c r="E1980" i="1"/>
  <c r="D1980" i="1"/>
  <c r="C1980" i="1"/>
  <c r="B1980" i="1"/>
  <c r="A1980" i="1"/>
  <c r="F1979" i="1"/>
  <c r="E1979" i="1"/>
  <c r="D1979" i="1"/>
  <c r="C1979" i="1"/>
  <c r="B1979" i="1"/>
  <c r="A1979" i="1"/>
  <c r="F1978" i="1"/>
  <c r="E1978" i="1"/>
  <c r="D1978" i="1"/>
  <c r="C1978" i="1"/>
  <c r="B1978" i="1"/>
  <c r="A1978" i="1"/>
  <c r="F1977" i="1"/>
  <c r="E1977" i="1"/>
  <c r="D1977" i="1"/>
  <c r="C1977" i="1"/>
  <c r="B1977" i="1"/>
  <c r="A1977" i="1"/>
  <c r="F1976" i="1"/>
  <c r="E1976" i="1"/>
  <c r="D1976" i="1"/>
  <c r="C1976" i="1"/>
  <c r="B1976" i="1"/>
  <c r="A1976" i="1"/>
  <c r="F1975" i="1"/>
  <c r="E1975" i="1"/>
  <c r="D1975" i="1"/>
  <c r="C1975" i="1"/>
  <c r="B1975" i="1"/>
  <c r="A1975" i="1"/>
  <c r="F1974" i="1"/>
  <c r="E1974" i="1"/>
  <c r="D1974" i="1"/>
  <c r="C1974" i="1"/>
  <c r="B1974" i="1"/>
  <c r="A1974" i="1"/>
  <c r="F1973" i="1"/>
  <c r="E1973" i="1"/>
  <c r="D1973" i="1"/>
  <c r="C1973" i="1"/>
  <c r="B1973" i="1"/>
  <c r="A1973" i="1"/>
  <c r="F1972" i="1"/>
  <c r="E1972" i="1"/>
  <c r="D1972" i="1"/>
  <c r="C1972" i="1"/>
  <c r="B1972" i="1"/>
  <c r="A1972" i="1"/>
  <c r="F1971" i="1"/>
  <c r="E1971" i="1"/>
  <c r="D1971" i="1"/>
  <c r="C1971" i="1"/>
  <c r="B1971" i="1"/>
  <c r="A1971" i="1"/>
  <c r="F1970" i="1"/>
  <c r="E1970" i="1"/>
  <c r="D1970" i="1"/>
  <c r="C1970" i="1"/>
  <c r="B1970" i="1"/>
  <c r="A1970" i="1"/>
  <c r="F1969" i="1"/>
  <c r="E1969" i="1"/>
  <c r="D1969" i="1"/>
  <c r="C1969" i="1"/>
  <c r="B1969" i="1"/>
  <c r="A1969" i="1"/>
  <c r="F1968" i="1"/>
  <c r="E1968" i="1"/>
  <c r="D1968" i="1"/>
  <c r="C1968" i="1"/>
  <c r="B1968" i="1"/>
  <c r="A1968" i="1"/>
  <c r="F1967" i="1"/>
  <c r="E1967" i="1"/>
  <c r="D1967" i="1"/>
  <c r="C1967" i="1"/>
  <c r="B1967" i="1"/>
  <c r="A1967" i="1"/>
  <c r="F1966" i="1"/>
  <c r="E1966" i="1"/>
  <c r="D1966" i="1"/>
  <c r="C1966" i="1"/>
  <c r="B1966" i="1"/>
  <c r="A1966" i="1"/>
  <c r="F1965" i="1"/>
  <c r="E1965" i="1"/>
  <c r="D1965" i="1"/>
  <c r="C1965" i="1"/>
  <c r="B1965" i="1"/>
  <c r="A1965" i="1"/>
  <c r="F1964" i="1"/>
  <c r="E1964" i="1"/>
  <c r="D1964" i="1"/>
  <c r="C1964" i="1"/>
  <c r="B1964" i="1"/>
  <c r="A1964" i="1"/>
  <c r="F1963" i="1"/>
  <c r="E1963" i="1"/>
  <c r="D1963" i="1"/>
  <c r="C1963" i="1"/>
  <c r="B1963" i="1"/>
  <c r="A1963" i="1"/>
  <c r="F1962" i="1"/>
  <c r="E1962" i="1"/>
  <c r="D1962" i="1"/>
  <c r="C1962" i="1"/>
  <c r="B1962" i="1"/>
  <c r="A1962" i="1"/>
  <c r="F1961" i="1"/>
  <c r="E1961" i="1"/>
  <c r="D1961" i="1"/>
  <c r="C1961" i="1"/>
  <c r="B1961" i="1"/>
  <c r="A1961" i="1"/>
  <c r="F1960" i="1"/>
  <c r="E1960" i="1"/>
  <c r="D1960" i="1"/>
  <c r="C1960" i="1"/>
  <c r="B1960" i="1"/>
  <c r="A1960" i="1"/>
  <c r="F1959" i="1"/>
  <c r="E1959" i="1"/>
  <c r="D1959" i="1"/>
  <c r="C1959" i="1"/>
  <c r="B1959" i="1"/>
  <c r="A1959" i="1"/>
  <c r="F1958" i="1"/>
  <c r="E1958" i="1"/>
  <c r="D1958" i="1"/>
  <c r="C1958" i="1"/>
  <c r="B1958" i="1"/>
  <c r="A1958" i="1"/>
  <c r="F1957" i="1"/>
  <c r="E1957" i="1"/>
  <c r="D1957" i="1"/>
  <c r="C1957" i="1"/>
  <c r="B1957" i="1"/>
  <c r="A1957" i="1"/>
  <c r="F1956" i="1"/>
  <c r="E1956" i="1"/>
  <c r="D1956" i="1"/>
  <c r="C1956" i="1"/>
  <c r="B1956" i="1"/>
  <c r="A1956" i="1"/>
  <c r="F1955" i="1"/>
  <c r="E1955" i="1"/>
  <c r="D1955" i="1"/>
  <c r="C1955" i="1"/>
  <c r="B1955" i="1"/>
  <c r="A1955" i="1"/>
  <c r="F1954" i="1"/>
  <c r="E1954" i="1"/>
  <c r="D1954" i="1"/>
  <c r="C1954" i="1"/>
  <c r="B1954" i="1"/>
  <c r="A1954" i="1"/>
  <c r="F1953" i="1"/>
  <c r="E1953" i="1"/>
  <c r="D1953" i="1"/>
  <c r="C1953" i="1"/>
  <c r="B1953" i="1"/>
  <c r="A1953" i="1"/>
  <c r="F1952" i="1"/>
  <c r="E1952" i="1"/>
  <c r="D1952" i="1"/>
  <c r="C1952" i="1"/>
  <c r="B1952" i="1"/>
  <c r="A1952" i="1"/>
  <c r="F1951" i="1"/>
  <c r="E1951" i="1"/>
  <c r="D1951" i="1"/>
  <c r="C1951" i="1"/>
  <c r="B1951" i="1"/>
  <c r="A1951" i="1"/>
  <c r="F1950" i="1"/>
  <c r="E1950" i="1"/>
  <c r="D1950" i="1"/>
  <c r="C1950" i="1"/>
  <c r="B1950" i="1"/>
  <c r="A1950" i="1"/>
  <c r="F1949" i="1"/>
  <c r="E1949" i="1"/>
  <c r="D1949" i="1"/>
  <c r="C1949" i="1"/>
  <c r="B1949" i="1"/>
  <c r="A1949" i="1"/>
  <c r="F1948" i="1"/>
  <c r="E1948" i="1"/>
  <c r="D1948" i="1"/>
  <c r="C1948" i="1"/>
  <c r="B1948" i="1"/>
  <c r="A1948" i="1"/>
  <c r="F1947" i="1"/>
  <c r="E1947" i="1"/>
  <c r="D1947" i="1"/>
  <c r="C1947" i="1"/>
  <c r="B1947" i="1"/>
  <c r="A1947" i="1"/>
  <c r="F1946" i="1"/>
  <c r="E1946" i="1"/>
  <c r="D1946" i="1"/>
  <c r="C1946" i="1"/>
  <c r="B1946" i="1"/>
  <c r="A1946" i="1"/>
  <c r="F1945" i="1"/>
  <c r="E1945" i="1"/>
  <c r="D1945" i="1"/>
  <c r="C1945" i="1"/>
  <c r="B1945" i="1"/>
  <c r="A1945" i="1"/>
  <c r="F1944" i="1"/>
  <c r="E1944" i="1"/>
  <c r="D1944" i="1"/>
  <c r="C1944" i="1"/>
  <c r="B1944" i="1"/>
  <c r="A1944" i="1"/>
  <c r="F1943" i="1"/>
  <c r="E1943" i="1"/>
  <c r="D1943" i="1"/>
  <c r="C1943" i="1"/>
  <c r="B1943" i="1"/>
  <c r="A1943" i="1"/>
  <c r="F1942" i="1"/>
  <c r="E1942" i="1"/>
  <c r="D1942" i="1"/>
  <c r="C1942" i="1"/>
  <c r="B1942" i="1"/>
  <c r="A1942" i="1"/>
  <c r="F1941" i="1"/>
  <c r="E1941" i="1"/>
  <c r="D1941" i="1"/>
  <c r="C1941" i="1"/>
  <c r="B1941" i="1"/>
  <c r="A1941" i="1"/>
  <c r="F1940" i="1"/>
  <c r="E1940" i="1"/>
  <c r="D1940" i="1"/>
  <c r="C1940" i="1"/>
  <c r="B1940" i="1"/>
  <c r="A1940" i="1"/>
  <c r="F1939" i="1"/>
  <c r="E1939" i="1"/>
  <c r="D1939" i="1"/>
  <c r="C1939" i="1"/>
  <c r="B1939" i="1"/>
  <c r="A1939" i="1"/>
  <c r="F1938" i="1"/>
  <c r="E1938" i="1"/>
  <c r="D1938" i="1"/>
  <c r="C1938" i="1"/>
  <c r="B1938" i="1"/>
  <c r="A1938" i="1"/>
  <c r="F1937" i="1"/>
  <c r="E1937" i="1"/>
  <c r="D1937" i="1"/>
  <c r="C1937" i="1"/>
  <c r="B1937" i="1"/>
  <c r="A1937" i="1"/>
  <c r="F1936" i="1"/>
  <c r="E1936" i="1"/>
  <c r="D1936" i="1"/>
  <c r="C1936" i="1"/>
  <c r="B1936" i="1"/>
  <c r="A1936" i="1"/>
  <c r="F1935" i="1"/>
  <c r="E1935" i="1"/>
  <c r="D1935" i="1"/>
  <c r="C1935" i="1"/>
  <c r="B1935" i="1"/>
  <c r="A1935" i="1"/>
  <c r="F1934" i="1"/>
  <c r="E1934" i="1"/>
  <c r="D1934" i="1"/>
  <c r="C1934" i="1"/>
  <c r="B1934" i="1"/>
  <c r="A1934" i="1"/>
  <c r="F1933" i="1"/>
  <c r="E1933" i="1"/>
  <c r="D1933" i="1"/>
  <c r="C1933" i="1"/>
  <c r="B1933" i="1"/>
  <c r="A1933" i="1"/>
  <c r="F1932" i="1"/>
  <c r="E1932" i="1"/>
  <c r="D1932" i="1"/>
  <c r="C1932" i="1"/>
  <c r="B1932" i="1"/>
  <c r="A1932" i="1"/>
  <c r="F1931" i="1"/>
  <c r="E1931" i="1"/>
  <c r="D1931" i="1"/>
  <c r="C1931" i="1"/>
  <c r="B1931" i="1"/>
  <c r="A1931" i="1"/>
  <c r="F1930" i="1"/>
  <c r="E1930" i="1"/>
  <c r="D1930" i="1"/>
  <c r="C1930" i="1"/>
  <c r="B1930" i="1"/>
  <c r="A1930" i="1"/>
  <c r="F1929" i="1"/>
  <c r="E1929" i="1"/>
  <c r="D1929" i="1"/>
  <c r="C1929" i="1"/>
  <c r="B1929" i="1"/>
  <c r="A1929" i="1"/>
  <c r="F1928" i="1"/>
  <c r="E1928" i="1"/>
  <c r="D1928" i="1"/>
  <c r="C1928" i="1"/>
  <c r="B1928" i="1"/>
  <c r="A1928" i="1"/>
  <c r="F1927" i="1"/>
  <c r="E1927" i="1"/>
  <c r="D1927" i="1"/>
  <c r="C1927" i="1"/>
  <c r="B1927" i="1"/>
  <c r="A1927" i="1"/>
  <c r="F1926" i="1"/>
  <c r="E1926" i="1"/>
  <c r="D1926" i="1"/>
  <c r="C1926" i="1"/>
  <c r="B1926" i="1"/>
  <c r="A1926" i="1"/>
  <c r="F1925" i="1"/>
  <c r="E1925" i="1"/>
  <c r="D1925" i="1"/>
  <c r="C1925" i="1"/>
  <c r="B1925" i="1"/>
  <c r="A1925" i="1"/>
  <c r="F1924" i="1"/>
  <c r="E1924" i="1"/>
  <c r="D1924" i="1"/>
  <c r="C1924" i="1"/>
  <c r="B1924" i="1"/>
  <c r="A1924" i="1"/>
  <c r="F1923" i="1"/>
  <c r="E1923" i="1"/>
  <c r="D1923" i="1"/>
  <c r="C1923" i="1"/>
  <c r="B1923" i="1"/>
  <c r="A1923" i="1"/>
  <c r="F1922" i="1"/>
  <c r="E1922" i="1"/>
  <c r="D1922" i="1"/>
  <c r="C1922" i="1"/>
  <c r="B1922" i="1"/>
  <c r="A1922" i="1"/>
  <c r="F1921" i="1"/>
  <c r="E1921" i="1"/>
  <c r="D1921" i="1"/>
  <c r="C1921" i="1"/>
  <c r="B1921" i="1"/>
  <c r="A1921" i="1"/>
  <c r="F1920" i="1"/>
  <c r="E1920" i="1"/>
  <c r="D1920" i="1"/>
  <c r="C1920" i="1"/>
  <c r="B1920" i="1"/>
  <c r="A1920" i="1"/>
  <c r="F1919" i="1"/>
  <c r="E1919" i="1"/>
  <c r="D1919" i="1"/>
  <c r="C1919" i="1"/>
  <c r="B1919" i="1"/>
  <c r="A1919" i="1"/>
  <c r="F1918" i="1"/>
  <c r="E1918" i="1"/>
  <c r="D1918" i="1"/>
  <c r="C1918" i="1"/>
  <c r="B1918" i="1"/>
  <c r="A1918" i="1"/>
  <c r="F1917" i="1"/>
  <c r="E1917" i="1"/>
  <c r="D1917" i="1"/>
  <c r="C1917" i="1"/>
  <c r="B1917" i="1"/>
  <c r="A1917" i="1"/>
  <c r="F1916" i="1"/>
  <c r="E1916" i="1"/>
  <c r="D1916" i="1"/>
  <c r="C1916" i="1"/>
  <c r="B1916" i="1"/>
  <c r="A1916" i="1"/>
  <c r="F1915" i="1"/>
  <c r="E1915" i="1"/>
  <c r="D1915" i="1"/>
  <c r="C1915" i="1"/>
  <c r="B1915" i="1"/>
  <c r="A1915" i="1"/>
  <c r="F1914" i="1"/>
  <c r="E1914" i="1"/>
  <c r="D1914" i="1"/>
  <c r="C1914" i="1"/>
  <c r="B1914" i="1"/>
  <c r="A1914" i="1"/>
  <c r="F1913" i="1"/>
  <c r="E1913" i="1"/>
  <c r="D1913" i="1"/>
  <c r="C1913" i="1"/>
  <c r="B1913" i="1"/>
  <c r="A1913" i="1"/>
  <c r="F1912" i="1"/>
  <c r="E1912" i="1"/>
  <c r="D1912" i="1"/>
  <c r="C1912" i="1"/>
  <c r="B1912" i="1"/>
  <c r="A1912" i="1"/>
  <c r="F1911" i="1"/>
  <c r="E1911" i="1"/>
  <c r="D1911" i="1"/>
  <c r="C1911" i="1"/>
  <c r="B1911" i="1"/>
  <c r="A1911" i="1"/>
  <c r="F1910" i="1"/>
  <c r="E1910" i="1"/>
  <c r="D1910" i="1"/>
  <c r="C1910" i="1"/>
  <c r="B1910" i="1"/>
  <c r="A1910" i="1"/>
  <c r="F1909" i="1"/>
  <c r="E1909" i="1"/>
  <c r="D1909" i="1"/>
  <c r="C1909" i="1"/>
  <c r="B1909" i="1"/>
  <c r="A1909" i="1"/>
  <c r="F1908" i="1"/>
  <c r="E1908" i="1"/>
  <c r="D1908" i="1"/>
  <c r="C1908" i="1"/>
  <c r="B1908" i="1"/>
  <c r="A1908" i="1"/>
  <c r="F1907" i="1"/>
  <c r="E1907" i="1"/>
  <c r="D1907" i="1"/>
  <c r="C1907" i="1"/>
  <c r="B1907" i="1"/>
  <c r="A1907" i="1"/>
  <c r="F1906" i="1"/>
  <c r="E1906" i="1"/>
  <c r="D1906" i="1"/>
  <c r="C1906" i="1"/>
  <c r="B1906" i="1"/>
  <c r="A1906" i="1"/>
  <c r="F1905" i="1"/>
  <c r="E1905" i="1"/>
  <c r="D1905" i="1"/>
  <c r="C1905" i="1"/>
  <c r="B1905" i="1"/>
  <c r="A1905" i="1"/>
  <c r="F1904" i="1"/>
  <c r="E1904" i="1"/>
  <c r="D1904" i="1"/>
  <c r="C1904" i="1"/>
  <c r="B1904" i="1"/>
  <c r="A1904" i="1"/>
  <c r="F1903" i="1"/>
  <c r="E1903" i="1"/>
  <c r="D1903" i="1"/>
  <c r="C1903" i="1"/>
  <c r="B1903" i="1"/>
  <c r="A1903" i="1"/>
  <c r="F1902" i="1"/>
  <c r="E1902" i="1"/>
  <c r="D1902" i="1"/>
  <c r="C1902" i="1"/>
  <c r="B1902" i="1"/>
  <c r="A1902" i="1"/>
  <c r="F1901" i="1"/>
  <c r="E1901" i="1"/>
  <c r="D1901" i="1"/>
  <c r="C1901" i="1"/>
  <c r="B1901" i="1"/>
  <c r="A1901" i="1"/>
  <c r="F1900" i="1"/>
  <c r="E1900" i="1"/>
  <c r="D1900" i="1"/>
  <c r="C1900" i="1"/>
  <c r="B1900" i="1"/>
  <c r="A1900" i="1"/>
  <c r="F1899" i="1"/>
  <c r="E1899" i="1"/>
  <c r="D1899" i="1"/>
  <c r="C1899" i="1"/>
  <c r="B1899" i="1"/>
  <c r="A1899" i="1"/>
  <c r="F1898" i="1"/>
  <c r="E1898" i="1"/>
  <c r="D1898" i="1"/>
  <c r="C1898" i="1"/>
  <c r="B1898" i="1"/>
  <c r="A1898" i="1"/>
  <c r="F1897" i="1"/>
  <c r="E1897" i="1"/>
  <c r="D1897" i="1"/>
  <c r="C1897" i="1"/>
  <c r="B1897" i="1"/>
  <c r="A1897" i="1"/>
  <c r="F1896" i="1"/>
  <c r="E1896" i="1"/>
  <c r="D1896" i="1"/>
  <c r="C1896" i="1"/>
  <c r="B1896" i="1"/>
  <c r="A1896" i="1"/>
  <c r="F1895" i="1"/>
  <c r="E1895" i="1"/>
  <c r="D1895" i="1"/>
  <c r="C1895" i="1"/>
  <c r="B1895" i="1"/>
  <c r="A1895" i="1"/>
  <c r="F1894" i="1"/>
  <c r="E1894" i="1"/>
  <c r="D1894" i="1"/>
  <c r="C1894" i="1"/>
  <c r="B1894" i="1"/>
  <c r="A1894" i="1"/>
  <c r="F1893" i="1"/>
  <c r="E1893" i="1"/>
  <c r="D1893" i="1"/>
  <c r="C1893" i="1"/>
  <c r="B1893" i="1"/>
  <c r="A1893" i="1"/>
  <c r="F1892" i="1"/>
  <c r="E1892" i="1"/>
  <c r="D1892" i="1"/>
  <c r="C1892" i="1"/>
  <c r="B1892" i="1"/>
  <c r="A1892" i="1"/>
  <c r="F1891" i="1"/>
  <c r="E1891" i="1"/>
  <c r="D1891" i="1"/>
  <c r="C1891" i="1"/>
  <c r="B1891" i="1"/>
  <c r="A1891" i="1"/>
  <c r="F1890" i="1"/>
  <c r="E1890" i="1"/>
  <c r="D1890" i="1"/>
  <c r="C1890" i="1"/>
  <c r="B1890" i="1"/>
  <c r="A1890" i="1"/>
  <c r="F1889" i="1"/>
  <c r="E1889" i="1"/>
  <c r="D1889" i="1"/>
  <c r="C1889" i="1"/>
  <c r="B1889" i="1"/>
  <c r="A1889" i="1"/>
  <c r="F1888" i="1"/>
  <c r="E1888" i="1"/>
  <c r="D1888" i="1"/>
  <c r="C1888" i="1"/>
  <c r="B1888" i="1"/>
  <c r="A1888" i="1"/>
  <c r="F1887" i="1"/>
  <c r="E1887" i="1"/>
  <c r="D1887" i="1"/>
  <c r="C1887" i="1"/>
  <c r="B1887" i="1"/>
  <c r="A1887" i="1"/>
  <c r="F1886" i="1"/>
  <c r="E1886" i="1"/>
  <c r="D1886" i="1"/>
  <c r="C1886" i="1"/>
  <c r="B1886" i="1"/>
  <c r="A1886" i="1"/>
  <c r="F1885" i="1"/>
  <c r="E1885" i="1"/>
  <c r="D1885" i="1"/>
  <c r="C1885" i="1"/>
  <c r="B1885" i="1"/>
  <c r="A1885" i="1"/>
  <c r="F1884" i="1"/>
  <c r="E1884" i="1"/>
  <c r="D1884" i="1"/>
  <c r="C1884" i="1"/>
  <c r="B1884" i="1"/>
  <c r="A1884" i="1"/>
  <c r="F1883" i="1"/>
  <c r="E1883" i="1"/>
  <c r="D1883" i="1"/>
  <c r="C1883" i="1"/>
  <c r="B1883" i="1"/>
  <c r="A1883" i="1"/>
  <c r="F1882" i="1"/>
  <c r="E1882" i="1"/>
  <c r="D1882" i="1"/>
  <c r="C1882" i="1"/>
  <c r="B1882" i="1"/>
  <c r="A1882" i="1"/>
  <c r="F1881" i="1"/>
  <c r="E1881" i="1"/>
  <c r="D1881" i="1"/>
  <c r="C1881" i="1"/>
  <c r="B1881" i="1"/>
  <c r="A1881" i="1"/>
  <c r="F1880" i="1"/>
  <c r="E1880" i="1"/>
  <c r="D1880" i="1"/>
  <c r="C1880" i="1"/>
  <c r="B1880" i="1"/>
  <c r="A1880" i="1"/>
  <c r="F1879" i="1"/>
  <c r="E1879" i="1"/>
  <c r="D1879" i="1"/>
  <c r="C1879" i="1"/>
  <c r="B1879" i="1"/>
  <c r="A1879" i="1"/>
  <c r="F1878" i="1"/>
  <c r="E1878" i="1"/>
  <c r="D1878" i="1"/>
  <c r="C1878" i="1"/>
  <c r="B1878" i="1"/>
  <c r="A1878" i="1"/>
  <c r="F1877" i="1"/>
  <c r="E1877" i="1"/>
  <c r="D1877" i="1"/>
  <c r="C1877" i="1"/>
  <c r="B1877" i="1"/>
  <c r="A1877" i="1"/>
  <c r="F1876" i="1"/>
  <c r="E1876" i="1"/>
  <c r="D1876" i="1"/>
  <c r="C1876" i="1"/>
  <c r="B1876" i="1"/>
  <c r="A1876" i="1"/>
  <c r="F1875" i="1"/>
  <c r="E1875" i="1"/>
  <c r="D1875" i="1"/>
  <c r="C1875" i="1"/>
  <c r="B1875" i="1"/>
  <c r="A1875" i="1"/>
  <c r="F1874" i="1"/>
  <c r="E1874" i="1"/>
  <c r="D1874" i="1"/>
  <c r="C1874" i="1"/>
  <c r="B1874" i="1"/>
  <c r="A1874" i="1"/>
  <c r="F1873" i="1"/>
  <c r="E1873" i="1"/>
  <c r="D1873" i="1"/>
  <c r="C1873" i="1"/>
  <c r="B1873" i="1"/>
  <c r="A1873" i="1"/>
  <c r="F1872" i="1"/>
  <c r="E1872" i="1"/>
  <c r="D1872" i="1"/>
  <c r="C1872" i="1"/>
  <c r="B1872" i="1"/>
  <c r="A1872" i="1"/>
  <c r="F1871" i="1"/>
  <c r="E1871" i="1"/>
  <c r="D1871" i="1"/>
  <c r="C1871" i="1"/>
  <c r="B1871" i="1"/>
  <c r="A1871" i="1"/>
  <c r="F1870" i="1"/>
  <c r="E1870" i="1"/>
  <c r="D1870" i="1"/>
  <c r="C1870" i="1"/>
  <c r="B1870" i="1"/>
  <c r="A1870" i="1"/>
  <c r="F1869" i="1"/>
  <c r="E1869" i="1"/>
  <c r="D1869" i="1"/>
  <c r="C1869" i="1"/>
  <c r="B1869" i="1"/>
  <c r="A1869" i="1"/>
  <c r="F1868" i="1"/>
  <c r="E1868" i="1"/>
  <c r="D1868" i="1"/>
  <c r="C1868" i="1"/>
  <c r="B1868" i="1"/>
  <c r="A1868" i="1"/>
  <c r="F1867" i="1"/>
  <c r="E1867" i="1"/>
  <c r="D1867" i="1"/>
  <c r="C1867" i="1"/>
  <c r="B1867" i="1"/>
  <c r="A1867" i="1"/>
  <c r="F1866" i="1"/>
  <c r="E1866" i="1"/>
  <c r="D1866" i="1"/>
  <c r="C1866" i="1"/>
  <c r="B1866" i="1"/>
  <c r="A1866" i="1"/>
  <c r="F1865" i="1"/>
  <c r="E1865" i="1"/>
  <c r="D1865" i="1"/>
  <c r="C1865" i="1"/>
  <c r="B1865" i="1"/>
  <c r="A1865" i="1"/>
  <c r="F1864" i="1"/>
  <c r="E1864" i="1"/>
  <c r="D1864" i="1"/>
  <c r="C1864" i="1"/>
  <c r="B1864" i="1"/>
  <c r="A1864" i="1"/>
  <c r="F1863" i="1"/>
  <c r="E1863" i="1"/>
  <c r="D1863" i="1"/>
  <c r="C1863" i="1"/>
  <c r="B1863" i="1"/>
  <c r="A1863" i="1"/>
  <c r="F1862" i="1"/>
  <c r="E1862" i="1"/>
  <c r="D1862" i="1"/>
  <c r="C1862" i="1"/>
  <c r="B1862" i="1"/>
  <c r="A1862" i="1"/>
  <c r="F1861" i="1"/>
  <c r="E1861" i="1"/>
  <c r="D1861" i="1"/>
  <c r="C1861" i="1"/>
  <c r="B1861" i="1"/>
  <c r="A1861" i="1"/>
  <c r="F1860" i="1"/>
  <c r="E1860" i="1"/>
  <c r="D1860" i="1"/>
  <c r="C1860" i="1"/>
  <c r="B1860" i="1"/>
  <c r="A1860" i="1"/>
  <c r="F1859" i="1"/>
  <c r="E1859" i="1"/>
  <c r="D1859" i="1"/>
  <c r="C1859" i="1"/>
  <c r="B1859" i="1"/>
  <c r="A1859" i="1"/>
  <c r="F1858" i="1"/>
  <c r="E1858" i="1"/>
  <c r="D1858" i="1"/>
  <c r="C1858" i="1"/>
  <c r="B1858" i="1"/>
  <c r="A1858" i="1"/>
  <c r="F1857" i="1"/>
  <c r="E1857" i="1"/>
  <c r="D1857" i="1"/>
  <c r="C1857" i="1"/>
  <c r="B1857" i="1"/>
  <c r="A1857" i="1"/>
  <c r="F1856" i="1"/>
  <c r="E1856" i="1"/>
  <c r="D1856" i="1"/>
  <c r="C1856" i="1"/>
  <c r="B1856" i="1"/>
  <c r="A1856" i="1"/>
  <c r="F1855" i="1"/>
  <c r="E1855" i="1"/>
  <c r="D1855" i="1"/>
  <c r="C1855" i="1"/>
  <c r="B1855" i="1"/>
  <c r="A1855" i="1"/>
  <c r="F1854" i="1"/>
  <c r="E1854" i="1"/>
  <c r="D1854" i="1"/>
  <c r="C1854" i="1"/>
  <c r="B1854" i="1"/>
  <c r="A1854" i="1"/>
  <c r="F1853" i="1"/>
  <c r="E1853" i="1"/>
  <c r="D1853" i="1"/>
  <c r="C1853" i="1"/>
  <c r="B1853" i="1"/>
  <c r="A1853" i="1"/>
  <c r="F1852" i="1"/>
  <c r="E1852" i="1"/>
  <c r="D1852" i="1"/>
  <c r="C1852" i="1"/>
  <c r="B1852" i="1"/>
  <c r="A1852" i="1"/>
  <c r="F1851" i="1"/>
  <c r="E1851" i="1"/>
  <c r="D1851" i="1"/>
  <c r="C1851" i="1"/>
  <c r="B1851" i="1"/>
  <c r="A1851" i="1"/>
  <c r="F1850" i="1"/>
  <c r="E1850" i="1"/>
  <c r="D1850" i="1"/>
  <c r="C1850" i="1"/>
  <c r="B1850" i="1"/>
  <c r="A1850" i="1"/>
  <c r="F1849" i="1"/>
  <c r="E1849" i="1"/>
  <c r="D1849" i="1"/>
  <c r="C1849" i="1"/>
  <c r="B1849" i="1"/>
  <c r="A1849" i="1"/>
  <c r="F1848" i="1"/>
  <c r="E1848" i="1"/>
  <c r="D1848" i="1"/>
  <c r="C1848" i="1"/>
  <c r="B1848" i="1"/>
  <c r="A1848" i="1"/>
  <c r="F1847" i="1"/>
  <c r="E1847" i="1"/>
  <c r="D1847" i="1"/>
  <c r="C1847" i="1"/>
  <c r="B1847" i="1"/>
  <c r="A1847" i="1"/>
  <c r="F1846" i="1"/>
  <c r="E1846" i="1"/>
  <c r="D1846" i="1"/>
  <c r="C1846" i="1"/>
  <c r="B1846" i="1"/>
  <c r="A1846" i="1"/>
  <c r="F1845" i="1"/>
  <c r="E1845" i="1"/>
  <c r="D1845" i="1"/>
  <c r="C1845" i="1"/>
  <c r="B1845" i="1"/>
  <c r="A1845" i="1"/>
  <c r="F1844" i="1"/>
  <c r="E1844" i="1"/>
  <c r="D1844" i="1"/>
  <c r="C1844" i="1"/>
  <c r="B1844" i="1"/>
  <c r="A1844" i="1"/>
  <c r="F1843" i="1"/>
  <c r="E1843" i="1"/>
  <c r="D1843" i="1"/>
  <c r="C1843" i="1"/>
  <c r="B1843" i="1"/>
  <c r="A1843" i="1"/>
  <c r="F1842" i="1"/>
  <c r="E1842" i="1"/>
  <c r="D1842" i="1"/>
  <c r="C1842" i="1"/>
  <c r="B1842" i="1"/>
  <c r="A1842" i="1"/>
  <c r="F1841" i="1"/>
  <c r="E1841" i="1"/>
  <c r="D1841" i="1"/>
  <c r="C1841" i="1"/>
  <c r="B1841" i="1"/>
  <c r="A1841" i="1"/>
  <c r="F1840" i="1"/>
  <c r="E1840" i="1"/>
  <c r="D1840" i="1"/>
  <c r="C1840" i="1"/>
  <c r="B1840" i="1"/>
  <c r="A1840" i="1"/>
  <c r="F1839" i="1"/>
  <c r="E1839" i="1"/>
  <c r="D1839" i="1"/>
  <c r="C1839" i="1"/>
  <c r="B1839" i="1"/>
  <c r="A1839" i="1"/>
  <c r="F1838" i="1"/>
  <c r="E1838" i="1"/>
  <c r="D1838" i="1"/>
  <c r="C1838" i="1"/>
  <c r="B1838" i="1"/>
  <c r="A1838" i="1"/>
  <c r="F1837" i="1"/>
  <c r="E1837" i="1"/>
  <c r="D1837" i="1"/>
  <c r="C1837" i="1"/>
  <c r="B1837" i="1"/>
  <c r="A1837" i="1"/>
  <c r="F1836" i="1"/>
  <c r="E1836" i="1"/>
  <c r="D1836" i="1"/>
  <c r="C1836" i="1"/>
  <c r="B1836" i="1"/>
  <c r="A1836" i="1"/>
  <c r="F1835" i="1"/>
  <c r="E1835" i="1"/>
  <c r="D1835" i="1"/>
  <c r="C1835" i="1"/>
  <c r="B1835" i="1"/>
  <c r="A1835" i="1"/>
  <c r="F1834" i="1"/>
  <c r="E1834" i="1"/>
  <c r="D1834" i="1"/>
  <c r="C1834" i="1"/>
  <c r="B1834" i="1"/>
  <c r="A1834" i="1"/>
  <c r="F1833" i="1"/>
  <c r="E1833" i="1"/>
  <c r="D1833" i="1"/>
  <c r="C1833" i="1"/>
  <c r="B1833" i="1"/>
  <c r="A1833" i="1"/>
  <c r="F1832" i="1"/>
  <c r="E1832" i="1"/>
  <c r="D1832" i="1"/>
  <c r="C1832" i="1"/>
  <c r="B1832" i="1"/>
  <c r="A1832" i="1"/>
  <c r="F1831" i="1"/>
  <c r="E1831" i="1"/>
  <c r="D1831" i="1"/>
  <c r="C1831" i="1"/>
  <c r="B1831" i="1"/>
  <c r="A1831" i="1"/>
  <c r="F1830" i="1"/>
  <c r="E1830" i="1"/>
  <c r="D1830" i="1"/>
  <c r="C1830" i="1"/>
  <c r="B1830" i="1"/>
  <c r="A1830" i="1"/>
  <c r="F1829" i="1"/>
  <c r="E1829" i="1"/>
  <c r="D1829" i="1"/>
  <c r="C1829" i="1"/>
  <c r="B1829" i="1"/>
  <c r="A1829" i="1"/>
  <c r="F1828" i="1"/>
  <c r="E1828" i="1"/>
  <c r="D1828" i="1"/>
  <c r="C1828" i="1"/>
  <c r="B1828" i="1"/>
  <c r="A1828" i="1"/>
  <c r="F1827" i="1"/>
  <c r="E1827" i="1"/>
  <c r="D1827" i="1"/>
  <c r="C1827" i="1"/>
  <c r="B1827" i="1"/>
  <c r="A1827" i="1"/>
  <c r="F1826" i="1"/>
  <c r="E1826" i="1"/>
  <c r="D1826" i="1"/>
  <c r="C1826" i="1"/>
  <c r="B1826" i="1"/>
  <c r="A1826" i="1"/>
  <c r="F1825" i="1"/>
  <c r="E1825" i="1"/>
  <c r="D1825" i="1"/>
  <c r="C1825" i="1"/>
  <c r="B1825" i="1"/>
  <c r="A1825" i="1"/>
  <c r="F1824" i="1"/>
  <c r="E1824" i="1"/>
  <c r="D1824" i="1"/>
  <c r="C1824" i="1"/>
  <c r="B1824" i="1"/>
  <c r="A1824" i="1"/>
  <c r="F1823" i="1"/>
  <c r="E1823" i="1"/>
  <c r="D1823" i="1"/>
  <c r="C1823" i="1"/>
  <c r="B1823" i="1"/>
  <c r="A1823" i="1"/>
  <c r="F1822" i="1"/>
  <c r="E1822" i="1"/>
  <c r="D1822" i="1"/>
  <c r="C1822" i="1"/>
  <c r="B1822" i="1"/>
  <c r="A1822" i="1"/>
  <c r="F1821" i="1"/>
  <c r="E1821" i="1"/>
  <c r="D1821" i="1"/>
  <c r="C1821" i="1"/>
  <c r="B1821" i="1"/>
  <c r="A1821" i="1"/>
  <c r="F1820" i="1"/>
  <c r="E1820" i="1"/>
  <c r="D1820" i="1"/>
  <c r="C1820" i="1"/>
  <c r="B1820" i="1"/>
  <c r="A1820" i="1"/>
  <c r="F1819" i="1"/>
  <c r="E1819" i="1"/>
  <c r="D1819" i="1"/>
  <c r="C1819" i="1"/>
  <c r="B1819" i="1"/>
  <c r="A1819" i="1"/>
  <c r="F1818" i="1"/>
  <c r="E1818" i="1"/>
  <c r="D1818" i="1"/>
  <c r="C1818" i="1"/>
  <c r="B1818" i="1"/>
  <c r="A1818" i="1"/>
  <c r="F1817" i="1"/>
  <c r="E1817" i="1"/>
  <c r="D1817" i="1"/>
  <c r="C1817" i="1"/>
  <c r="B1817" i="1"/>
  <c r="A1817" i="1"/>
  <c r="F1816" i="1"/>
  <c r="E1816" i="1"/>
  <c r="D1816" i="1"/>
  <c r="C1816" i="1"/>
  <c r="B1816" i="1"/>
  <c r="A1816" i="1"/>
  <c r="F1815" i="1"/>
  <c r="E1815" i="1"/>
  <c r="D1815" i="1"/>
  <c r="C1815" i="1"/>
  <c r="B1815" i="1"/>
  <c r="A1815" i="1"/>
  <c r="F1814" i="1"/>
  <c r="E1814" i="1"/>
  <c r="D1814" i="1"/>
  <c r="C1814" i="1"/>
  <c r="B1814" i="1"/>
  <c r="A1814" i="1"/>
  <c r="F1813" i="1"/>
  <c r="E1813" i="1"/>
  <c r="D1813" i="1"/>
  <c r="C1813" i="1"/>
  <c r="B1813" i="1"/>
  <c r="A1813" i="1"/>
  <c r="F1812" i="1"/>
  <c r="E1812" i="1"/>
  <c r="D1812" i="1"/>
  <c r="C1812" i="1"/>
  <c r="B1812" i="1"/>
  <c r="A1812" i="1"/>
  <c r="F1811" i="1"/>
  <c r="E1811" i="1"/>
  <c r="D1811" i="1"/>
  <c r="C1811" i="1"/>
  <c r="B1811" i="1"/>
  <c r="A1811" i="1"/>
  <c r="F1810" i="1"/>
  <c r="E1810" i="1"/>
  <c r="D1810" i="1"/>
  <c r="C1810" i="1"/>
  <c r="B1810" i="1"/>
  <c r="A1810" i="1"/>
  <c r="F1809" i="1"/>
  <c r="E1809" i="1"/>
  <c r="D1809" i="1"/>
  <c r="C1809" i="1"/>
  <c r="B1809" i="1"/>
  <c r="A1809" i="1"/>
  <c r="F1808" i="1"/>
  <c r="E1808" i="1"/>
  <c r="D1808" i="1"/>
  <c r="C1808" i="1"/>
  <c r="B1808" i="1"/>
  <c r="A1808" i="1"/>
  <c r="F1807" i="1"/>
  <c r="E1807" i="1"/>
  <c r="D1807" i="1"/>
  <c r="C1807" i="1"/>
  <c r="B1807" i="1"/>
  <c r="A1807" i="1"/>
  <c r="F1806" i="1"/>
  <c r="E1806" i="1"/>
  <c r="D1806" i="1"/>
  <c r="C1806" i="1"/>
  <c r="B1806" i="1"/>
  <c r="A1806" i="1"/>
  <c r="F1805" i="1"/>
  <c r="E1805" i="1"/>
  <c r="D1805" i="1"/>
  <c r="C1805" i="1"/>
  <c r="B1805" i="1"/>
  <c r="A1805" i="1"/>
  <c r="F1804" i="1"/>
  <c r="E1804" i="1"/>
  <c r="D1804" i="1"/>
  <c r="C1804" i="1"/>
  <c r="B1804" i="1"/>
  <c r="A1804" i="1"/>
  <c r="F1803" i="1"/>
  <c r="E1803" i="1"/>
  <c r="D1803" i="1"/>
  <c r="C1803" i="1"/>
  <c r="B1803" i="1"/>
  <c r="A1803" i="1"/>
  <c r="F1802" i="1"/>
  <c r="E1802" i="1"/>
  <c r="D1802" i="1"/>
  <c r="C1802" i="1"/>
  <c r="B1802" i="1"/>
  <c r="A1802" i="1"/>
  <c r="F1801" i="1"/>
  <c r="E1801" i="1"/>
  <c r="D1801" i="1"/>
  <c r="C1801" i="1"/>
  <c r="B1801" i="1"/>
  <c r="A1801" i="1"/>
  <c r="F1800" i="1"/>
  <c r="E1800" i="1"/>
  <c r="D1800" i="1"/>
  <c r="C1800" i="1"/>
  <c r="B1800" i="1"/>
  <c r="A1800" i="1"/>
  <c r="F1799" i="1"/>
  <c r="E1799" i="1"/>
  <c r="D1799" i="1"/>
  <c r="C1799" i="1"/>
  <c r="B1799" i="1"/>
  <c r="A1799" i="1"/>
  <c r="F1798" i="1"/>
  <c r="E1798" i="1"/>
  <c r="D1798" i="1"/>
  <c r="C1798" i="1"/>
  <c r="B1798" i="1"/>
  <c r="A1798" i="1"/>
  <c r="F1797" i="1"/>
  <c r="E1797" i="1"/>
  <c r="D1797" i="1"/>
  <c r="C1797" i="1"/>
  <c r="B1797" i="1"/>
  <c r="A1797" i="1"/>
  <c r="F1796" i="1"/>
  <c r="E1796" i="1"/>
  <c r="D1796" i="1"/>
  <c r="C1796" i="1"/>
  <c r="B1796" i="1"/>
  <c r="A1796" i="1"/>
  <c r="F1795" i="1"/>
  <c r="E1795" i="1"/>
  <c r="D1795" i="1"/>
  <c r="C1795" i="1"/>
  <c r="B1795" i="1"/>
  <c r="A1795" i="1"/>
  <c r="F1794" i="1"/>
  <c r="E1794" i="1"/>
  <c r="D1794" i="1"/>
  <c r="C1794" i="1"/>
  <c r="B1794" i="1"/>
  <c r="A1794" i="1"/>
  <c r="F1793" i="1"/>
  <c r="E1793" i="1"/>
  <c r="D1793" i="1"/>
  <c r="C1793" i="1"/>
  <c r="B1793" i="1"/>
  <c r="A1793" i="1"/>
  <c r="F1792" i="1"/>
  <c r="E1792" i="1"/>
  <c r="D1792" i="1"/>
  <c r="C1792" i="1"/>
  <c r="B1792" i="1"/>
  <c r="A1792" i="1"/>
  <c r="F1791" i="1"/>
  <c r="E1791" i="1"/>
  <c r="D1791" i="1"/>
  <c r="C1791" i="1"/>
  <c r="B1791" i="1"/>
  <c r="A1791" i="1"/>
  <c r="F1790" i="1"/>
  <c r="E1790" i="1"/>
  <c r="D1790" i="1"/>
  <c r="C1790" i="1"/>
  <c r="B1790" i="1"/>
  <c r="A1790" i="1"/>
  <c r="F1789" i="1"/>
  <c r="E1789" i="1"/>
  <c r="D1789" i="1"/>
  <c r="C1789" i="1"/>
  <c r="B1789" i="1"/>
  <c r="A1789" i="1"/>
  <c r="F1788" i="1"/>
  <c r="E1788" i="1"/>
  <c r="D1788" i="1"/>
  <c r="C1788" i="1"/>
  <c r="B1788" i="1"/>
  <c r="A1788" i="1"/>
  <c r="F1787" i="1"/>
  <c r="E1787" i="1"/>
  <c r="D1787" i="1"/>
  <c r="C1787" i="1"/>
  <c r="B1787" i="1"/>
  <c r="A1787" i="1"/>
  <c r="F1786" i="1"/>
  <c r="E1786" i="1"/>
  <c r="D1786" i="1"/>
  <c r="C1786" i="1"/>
  <c r="B1786" i="1"/>
  <c r="A1786" i="1"/>
  <c r="F1785" i="1"/>
  <c r="E1785" i="1"/>
  <c r="D1785" i="1"/>
  <c r="C1785" i="1"/>
  <c r="B1785" i="1"/>
  <c r="A1785" i="1"/>
  <c r="F1784" i="1"/>
  <c r="E1784" i="1"/>
  <c r="D1784" i="1"/>
  <c r="C1784" i="1"/>
  <c r="B1784" i="1"/>
  <c r="A1784" i="1"/>
  <c r="F1783" i="1"/>
  <c r="E1783" i="1"/>
  <c r="D1783" i="1"/>
  <c r="C1783" i="1"/>
  <c r="B1783" i="1"/>
  <c r="A1783" i="1"/>
  <c r="F1782" i="1"/>
  <c r="E1782" i="1"/>
  <c r="D1782" i="1"/>
  <c r="C1782" i="1"/>
  <c r="B1782" i="1"/>
  <c r="A1782" i="1"/>
  <c r="F1781" i="1"/>
  <c r="E1781" i="1"/>
  <c r="D1781" i="1"/>
  <c r="C1781" i="1"/>
  <c r="B1781" i="1"/>
  <c r="A1781" i="1"/>
  <c r="F1780" i="1"/>
  <c r="E1780" i="1"/>
  <c r="D1780" i="1"/>
  <c r="C1780" i="1"/>
  <c r="B1780" i="1"/>
  <c r="A1780" i="1"/>
  <c r="F1779" i="1"/>
  <c r="E1779" i="1"/>
  <c r="D1779" i="1"/>
  <c r="C1779" i="1"/>
  <c r="B1779" i="1"/>
  <c r="A1779" i="1"/>
  <c r="F1778" i="1"/>
  <c r="E1778" i="1"/>
  <c r="D1778" i="1"/>
  <c r="C1778" i="1"/>
  <c r="B1778" i="1"/>
  <c r="A1778" i="1"/>
  <c r="F1777" i="1"/>
  <c r="E1777" i="1"/>
  <c r="D1777" i="1"/>
  <c r="C1777" i="1"/>
  <c r="B1777" i="1"/>
  <c r="A1777" i="1"/>
  <c r="F1776" i="1"/>
  <c r="E1776" i="1"/>
  <c r="D1776" i="1"/>
  <c r="C1776" i="1"/>
  <c r="B1776" i="1"/>
  <c r="A1776" i="1"/>
  <c r="F1775" i="1"/>
  <c r="E1775" i="1"/>
  <c r="D1775" i="1"/>
  <c r="C1775" i="1"/>
  <c r="B1775" i="1"/>
  <c r="A1775" i="1"/>
  <c r="F1774" i="1"/>
  <c r="E1774" i="1"/>
  <c r="D1774" i="1"/>
  <c r="C1774" i="1"/>
  <c r="B1774" i="1"/>
  <c r="A1774" i="1"/>
  <c r="F1773" i="1"/>
  <c r="E1773" i="1"/>
  <c r="D1773" i="1"/>
  <c r="C1773" i="1"/>
  <c r="B1773" i="1"/>
  <c r="A1773" i="1"/>
  <c r="F1772" i="1"/>
  <c r="E1772" i="1"/>
  <c r="D1772" i="1"/>
  <c r="C1772" i="1"/>
  <c r="B1772" i="1"/>
  <c r="A1772" i="1"/>
  <c r="F1771" i="1"/>
  <c r="E1771" i="1"/>
  <c r="D1771" i="1"/>
  <c r="C1771" i="1"/>
  <c r="B1771" i="1"/>
  <c r="A1771" i="1"/>
  <c r="F1770" i="1"/>
  <c r="E1770" i="1"/>
  <c r="D1770" i="1"/>
  <c r="C1770" i="1"/>
  <c r="B1770" i="1"/>
  <c r="A1770" i="1"/>
  <c r="F1769" i="1"/>
  <c r="E1769" i="1"/>
  <c r="D1769" i="1"/>
  <c r="C1769" i="1"/>
  <c r="B1769" i="1"/>
  <c r="A1769" i="1"/>
  <c r="F1768" i="1"/>
  <c r="E1768" i="1"/>
  <c r="D1768" i="1"/>
  <c r="C1768" i="1"/>
  <c r="B1768" i="1"/>
  <c r="A1768" i="1"/>
  <c r="F1767" i="1"/>
  <c r="E1767" i="1"/>
  <c r="D1767" i="1"/>
  <c r="C1767" i="1"/>
  <c r="B1767" i="1"/>
  <c r="A1767" i="1"/>
  <c r="F1766" i="1"/>
  <c r="E1766" i="1"/>
  <c r="D1766" i="1"/>
  <c r="C1766" i="1"/>
  <c r="B1766" i="1"/>
  <c r="A1766" i="1"/>
  <c r="F1765" i="1"/>
  <c r="E1765" i="1"/>
  <c r="D1765" i="1"/>
  <c r="C1765" i="1"/>
  <c r="B1765" i="1"/>
  <c r="A1765" i="1"/>
  <c r="F1764" i="1"/>
  <c r="E1764" i="1"/>
  <c r="D1764" i="1"/>
  <c r="C1764" i="1"/>
  <c r="B1764" i="1"/>
  <c r="A1764" i="1"/>
  <c r="F1763" i="1"/>
  <c r="E1763" i="1"/>
  <c r="D1763" i="1"/>
  <c r="C1763" i="1"/>
  <c r="B1763" i="1"/>
  <c r="A1763" i="1"/>
  <c r="F1762" i="1"/>
  <c r="E1762" i="1"/>
  <c r="D1762" i="1"/>
  <c r="C1762" i="1"/>
  <c r="B1762" i="1"/>
  <c r="A1762" i="1"/>
  <c r="F1761" i="1"/>
  <c r="E1761" i="1"/>
  <c r="D1761" i="1"/>
  <c r="C1761" i="1"/>
  <c r="B1761" i="1"/>
  <c r="A1761" i="1"/>
  <c r="F1760" i="1"/>
  <c r="E1760" i="1"/>
  <c r="D1760" i="1"/>
  <c r="C1760" i="1"/>
  <c r="B1760" i="1"/>
  <c r="A1760" i="1"/>
  <c r="F1759" i="1"/>
  <c r="E1759" i="1"/>
  <c r="D1759" i="1"/>
  <c r="C1759" i="1"/>
  <c r="B1759" i="1"/>
  <c r="A1759" i="1"/>
  <c r="F1758" i="1"/>
  <c r="E1758" i="1"/>
  <c r="D1758" i="1"/>
  <c r="C1758" i="1"/>
  <c r="B1758" i="1"/>
  <c r="A1758" i="1"/>
  <c r="F1757" i="1"/>
  <c r="E1757" i="1"/>
  <c r="D1757" i="1"/>
  <c r="C1757" i="1"/>
  <c r="B1757" i="1"/>
  <c r="A1757" i="1"/>
  <c r="F1756" i="1"/>
  <c r="E1756" i="1"/>
  <c r="D1756" i="1"/>
  <c r="C1756" i="1"/>
  <c r="B1756" i="1"/>
  <c r="A1756" i="1"/>
  <c r="F1755" i="1"/>
  <c r="E1755" i="1"/>
  <c r="D1755" i="1"/>
  <c r="C1755" i="1"/>
  <c r="B1755" i="1"/>
  <c r="A1755" i="1"/>
  <c r="F1754" i="1"/>
  <c r="E1754" i="1"/>
  <c r="D1754" i="1"/>
  <c r="C1754" i="1"/>
  <c r="B1754" i="1"/>
  <c r="A1754" i="1"/>
  <c r="F1753" i="1"/>
  <c r="E1753" i="1"/>
  <c r="D1753" i="1"/>
  <c r="C1753" i="1"/>
  <c r="B1753" i="1"/>
  <c r="A1753" i="1"/>
  <c r="F1752" i="1"/>
  <c r="E1752" i="1"/>
  <c r="D1752" i="1"/>
  <c r="C1752" i="1"/>
  <c r="B1752" i="1"/>
  <c r="A1752" i="1"/>
  <c r="F1751" i="1"/>
  <c r="E1751" i="1"/>
  <c r="D1751" i="1"/>
  <c r="C1751" i="1"/>
  <c r="B1751" i="1"/>
  <c r="A1751" i="1"/>
  <c r="F1750" i="1"/>
  <c r="E1750" i="1"/>
  <c r="D1750" i="1"/>
  <c r="C1750" i="1"/>
  <c r="B1750" i="1"/>
  <c r="A1750" i="1"/>
  <c r="F1749" i="1"/>
  <c r="E1749" i="1"/>
  <c r="D1749" i="1"/>
  <c r="C1749" i="1"/>
  <c r="B1749" i="1"/>
  <c r="A1749" i="1"/>
  <c r="F1748" i="1"/>
  <c r="E1748" i="1"/>
  <c r="D1748" i="1"/>
  <c r="C1748" i="1"/>
  <c r="B1748" i="1"/>
  <c r="A1748" i="1"/>
  <c r="F1747" i="1"/>
  <c r="E1747" i="1"/>
  <c r="D1747" i="1"/>
  <c r="C1747" i="1"/>
  <c r="B1747" i="1"/>
  <c r="A1747" i="1"/>
  <c r="F1746" i="1"/>
  <c r="E1746" i="1"/>
  <c r="D1746" i="1"/>
  <c r="C1746" i="1"/>
  <c r="B1746" i="1"/>
  <c r="A1746" i="1"/>
  <c r="F1745" i="1"/>
  <c r="E1745" i="1"/>
  <c r="D1745" i="1"/>
  <c r="C1745" i="1"/>
  <c r="B1745" i="1"/>
  <c r="A1745" i="1"/>
  <c r="F1744" i="1"/>
  <c r="E1744" i="1"/>
  <c r="D1744" i="1"/>
  <c r="C1744" i="1"/>
  <c r="B1744" i="1"/>
  <c r="A1744" i="1"/>
  <c r="F1743" i="1"/>
  <c r="E1743" i="1"/>
  <c r="D1743" i="1"/>
  <c r="C1743" i="1"/>
  <c r="B1743" i="1"/>
  <c r="A1743" i="1"/>
  <c r="F1742" i="1"/>
  <c r="E1742" i="1"/>
  <c r="D1742" i="1"/>
  <c r="C1742" i="1"/>
  <c r="B1742" i="1"/>
  <c r="A1742" i="1"/>
  <c r="F1741" i="1"/>
  <c r="E1741" i="1"/>
  <c r="D1741" i="1"/>
  <c r="C1741" i="1"/>
  <c r="B1741" i="1"/>
  <c r="A1741" i="1"/>
  <c r="F1740" i="1"/>
  <c r="E1740" i="1"/>
  <c r="D1740" i="1"/>
  <c r="C1740" i="1"/>
  <c r="B1740" i="1"/>
  <c r="A1740" i="1"/>
  <c r="F1739" i="1"/>
  <c r="E1739" i="1"/>
  <c r="D1739" i="1"/>
  <c r="C1739" i="1"/>
  <c r="B1739" i="1"/>
  <c r="A1739" i="1"/>
  <c r="F1738" i="1"/>
  <c r="E1738" i="1"/>
  <c r="D1738" i="1"/>
  <c r="C1738" i="1"/>
  <c r="B1738" i="1"/>
  <c r="A1738" i="1"/>
  <c r="F1737" i="1"/>
  <c r="E1737" i="1"/>
  <c r="D1737" i="1"/>
  <c r="C1737" i="1"/>
  <c r="B1737" i="1"/>
  <c r="A1737" i="1"/>
  <c r="F1736" i="1"/>
  <c r="E1736" i="1"/>
  <c r="D1736" i="1"/>
  <c r="C1736" i="1"/>
  <c r="B1736" i="1"/>
  <c r="A1736" i="1"/>
  <c r="F1735" i="1"/>
  <c r="E1735" i="1"/>
  <c r="D1735" i="1"/>
  <c r="C1735" i="1"/>
  <c r="B1735" i="1"/>
  <c r="A1735" i="1"/>
  <c r="F1734" i="1"/>
  <c r="E1734" i="1"/>
  <c r="D1734" i="1"/>
  <c r="C1734" i="1"/>
  <c r="B1734" i="1"/>
  <c r="A1734" i="1"/>
  <c r="F1733" i="1"/>
  <c r="E1733" i="1"/>
  <c r="D1733" i="1"/>
  <c r="C1733" i="1"/>
  <c r="B1733" i="1"/>
  <c r="A1733" i="1"/>
  <c r="F1732" i="1"/>
  <c r="E1732" i="1"/>
  <c r="D1732" i="1"/>
  <c r="C1732" i="1"/>
  <c r="B1732" i="1"/>
  <c r="A1732" i="1"/>
  <c r="F1731" i="1"/>
  <c r="E1731" i="1"/>
  <c r="D1731" i="1"/>
  <c r="C1731" i="1"/>
  <c r="B1731" i="1"/>
  <c r="A1731" i="1"/>
  <c r="F1730" i="1"/>
  <c r="E1730" i="1"/>
  <c r="D1730" i="1"/>
  <c r="C1730" i="1"/>
  <c r="B1730" i="1"/>
  <c r="A1730" i="1"/>
  <c r="F1729" i="1"/>
  <c r="E1729" i="1"/>
  <c r="D1729" i="1"/>
  <c r="C1729" i="1"/>
  <c r="B1729" i="1"/>
  <c r="A1729" i="1"/>
  <c r="F1728" i="1"/>
  <c r="E1728" i="1"/>
  <c r="D1728" i="1"/>
  <c r="C1728" i="1"/>
  <c r="B1728" i="1"/>
  <c r="A1728" i="1"/>
  <c r="F1727" i="1"/>
  <c r="E1727" i="1"/>
  <c r="D1727" i="1"/>
  <c r="C1727" i="1"/>
  <c r="B1727" i="1"/>
  <c r="A1727" i="1"/>
  <c r="F1726" i="1"/>
  <c r="E1726" i="1"/>
  <c r="D1726" i="1"/>
  <c r="C1726" i="1"/>
  <c r="B1726" i="1"/>
  <c r="A1726" i="1"/>
  <c r="F1725" i="1"/>
  <c r="E1725" i="1"/>
  <c r="D1725" i="1"/>
  <c r="C1725" i="1"/>
  <c r="B1725" i="1"/>
  <c r="A1725" i="1"/>
  <c r="F1724" i="1"/>
  <c r="E1724" i="1"/>
  <c r="D1724" i="1"/>
  <c r="C1724" i="1"/>
  <c r="B1724" i="1"/>
  <c r="A1724" i="1"/>
  <c r="F1723" i="1"/>
  <c r="E1723" i="1"/>
  <c r="D1723" i="1"/>
  <c r="C1723" i="1"/>
  <c r="B1723" i="1"/>
  <c r="A1723" i="1"/>
  <c r="F1722" i="1"/>
  <c r="E1722" i="1"/>
  <c r="D1722" i="1"/>
  <c r="C1722" i="1"/>
  <c r="B1722" i="1"/>
  <c r="A1722" i="1"/>
  <c r="F1721" i="1"/>
  <c r="E1721" i="1"/>
  <c r="D1721" i="1"/>
  <c r="C1721" i="1"/>
  <c r="B1721" i="1"/>
  <c r="A1721" i="1"/>
  <c r="F1720" i="1"/>
  <c r="E1720" i="1"/>
  <c r="D1720" i="1"/>
  <c r="C1720" i="1"/>
  <c r="B1720" i="1"/>
  <c r="A1720" i="1"/>
  <c r="F1719" i="1"/>
  <c r="E1719" i="1"/>
  <c r="D1719" i="1"/>
  <c r="C1719" i="1"/>
  <c r="B1719" i="1"/>
  <c r="A1719" i="1"/>
  <c r="F1718" i="1"/>
  <c r="E1718" i="1"/>
  <c r="D1718" i="1"/>
  <c r="C1718" i="1"/>
  <c r="B1718" i="1"/>
  <c r="A1718" i="1"/>
  <c r="F1717" i="1"/>
  <c r="E1717" i="1"/>
  <c r="D1717" i="1"/>
  <c r="C1717" i="1"/>
  <c r="B1717" i="1"/>
  <c r="A1717" i="1"/>
  <c r="F1716" i="1"/>
  <c r="E1716" i="1"/>
  <c r="D1716" i="1"/>
  <c r="C1716" i="1"/>
  <c r="B1716" i="1"/>
  <c r="A1716" i="1"/>
  <c r="F1715" i="1"/>
  <c r="E1715" i="1"/>
  <c r="D1715" i="1"/>
  <c r="C1715" i="1"/>
  <c r="B1715" i="1"/>
  <c r="A1715" i="1"/>
  <c r="F1714" i="1"/>
  <c r="E1714" i="1"/>
  <c r="D1714" i="1"/>
  <c r="C1714" i="1"/>
  <c r="B1714" i="1"/>
  <c r="A1714" i="1"/>
  <c r="F1713" i="1"/>
  <c r="E1713" i="1"/>
  <c r="D1713" i="1"/>
  <c r="C1713" i="1"/>
  <c r="B1713" i="1"/>
  <c r="A1713" i="1"/>
  <c r="F1712" i="1"/>
  <c r="E1712" i="1"/>
  <c r="D1712" i="1"/>
  <c r="C1712" i="1"/>
  <c r="B1712" i="1"/>
  <c r="A1712" i="1"/>
  <c r="F1711" i="1"/>
  <c r="E1711" i="1"/>
  <c r="D1711" i="1"/>
  <c r="C1711" i="1"/>
  <c r="B1711" i="1"/>
  <c r="A1711" i="1"/>
  <c r="F1710" i="1"/>
  <c r="E1710" i="1"/>
  <c r="D1710" i="1"/>
  <c r="C1710" i="1"/>
  <c r="B1710" i="1"/>
  <c r="A1710" i="1"/>
  <c r="F1709" i="1"/>
  <c r="E1709" i="1"/>
  <c r="D1709" i="1"/>
  <c r="C1709" i="1"/>
  <c r="B1709" i="1"/>
  <c r="A1709" i="1"/>
  <c r="F1708" i="1"/>
  <c r="E1708" i="1"/>
  <c r="D1708" i="1"/>
  <c r="C1708" i="1"/>
  <c r="B1708" i="1"/>
  <c r="A1708" i="1"/>
  <c r="F1707" i="1"/>
  <c r="E1707" i="1"/>
  <c r="D1707" i="1"/>
  <c r="C1707" i="1"/>
  <c r="B1707" i="1"/>
  <c r="A1707" i="1"/>
  <c r="F1706" i="1"/>
  <c r="E1706" i="1"/>
  <c r="D1706" i="1"/>
  <c r="C1706" i="1"/>
  <c r="B1706" i="1"/>
  <c r="A1706" i="1"/>
  <c r="F1705" i="1"/>
  <c r="E1705" i="1"/>
  <c r="D1705" i="1"/>
  <c r="C1705" i="1"/>
  <c r="B1705" i="1"/>
  <c r="A1705" i="1"/>
  <c r="F1704" i="1"/>
  <c r="E1704" i="1"/>
  <c r="D1704" i="1"/>
  <c r="C1704" i="1"/>
  <c r="B1704" i="1"/>
  <c r="A1704" i="1"/>
  <c r="F1703" i="1"/>
  <c r="E1703" i="1"/>
  <c r="D1703" i="1"/>
  <c r="C1703" i="1"/>
  <c r="B1703" i="1"/>
  <c r="A1703" i="1"/>
  <c r="F1702" i="1"/>
  <c r="E1702" i="1"/>
  <c r="D1702" i="1"/>
  <c r="C1702" i="1"/>
  <c r="B1702" i="1"/>
  <c r="A1702" i="1"/>
  <c r="F1701" i="1"/>
  <c r="E1701" i="1"/>
  <c r="D1701" i="1"/>
  <c r="C1701" i="1"/>
  <c r="B1701" i="1"/>
  <c r="A1701" i="1"/>
  <c r="F1700" i="1"/>
  <c r="E1700" i="1"/>
  <c r="D1700" i="1"/>
  <c r="C1700" i="1"/>
  <c r="B1700" i="1"/>
  <c r="A1700" i="1"/>
  <c r="F1699" i="1"/>
  <c r="E1699" i="1"/>
  <c r="D1699" i="1"/>
  <c r="C1699" i="1"/>
  <c r="B1699" i="1"/>
  <c r="A1699" i="1"/>
  <c r="F1698" i="1"/>
  <c r="E1698" i="1"/>
  <c r="D1698" i="1"/>
  <c r="C1698" i="1"/>
  <c r="B1698" i="1"/>
  <c r="A1698" i="1"/>
  <c r="F1697" i="1"/>
  <c r="E1697" i="1"/>
  <c r="D1697" i="1"/>
  <c r="C1697" i="1"/>
  <c r="B1697" i="1"/>
  <c r="A1697" i="1"/>
  <c r="F1696" i="1"/>
  <c r="E1696" i="1"/>
  <c r="D1696" i="1"/>
  <c r="C1696" i="1"/>
  <c r="B1696" i="1"/>
  <c r="A1696" i="1"/>
  <c r="F1695" i="1"/>
  <c r="E1695" i="1"/>
  <c r="D1695" i="1"/>
  <c r="C1695" i="1"/>
  <c r="B1695" i="1"/>
  <c r="A1695" i="1"/>
  <c r="F1694" i="1"/>
  <c r="E1694" i="1"/>
  <c r="D1694" i="1"/>
  <c r="C1694" i="1"/>
  <c r="B1694" i="1"/>
  <c r="A1694" i="1"/>
  <c r="F1693" i="1"/>
  <c r="E1693" i="1"/>
  <c r="D1693" i="1"/>
  <c r="C1693" i="1"/>
  <c r="B1693" i="1"/>
  <c r="A1693" i="1"/>
  <c r="F1692" i="1"/>
  <c r="E1692" i="1"/>
  <c r="D1692" i="1"/>
  <c r="C1692" i="1"/>
  <c r="B1692" i="1"/>
  <c r="A1692" i="1"/>
  <c r="F1691" i="1"/>
  <c r="E1691" i="1"/>
  <c r="D1691" i="1"/>
  <c r="C1691" i="1"/>
  <c r="B1691" i="1"/>
  <c r="A1691" i="1"/>
  <c r="F1690" i="1"/>
  <c r="E1690" i="1"/>
  <c r="D1690" i="1"/>
  <c r="C1690" i="1"/>
  <c r="B1690" i="1"/>
  <c r="A1690" i="1"/>
  <c r="F1689" i="1"/>
  <c r="E1689" i="1"/>
  <c r="D1689" i="1"/>
  <c r="C1689" i="1"/>
  <c r="B1689" i="1"/>
  <c r="A1689" i="1"/>
  <c r="F1688" i="1"/>
  <c r="E1688" i="1"/>
  <c r="D1688" i="1"/>
  <c r="C1688" i="1"/>
  <c r="B1688" i="1"/>
  <c r="A1688" i="1"/>
  <c r="F1687" i="1"/>
  <c r="E1687" i="1"/>
  <c r="D1687" i="1"/>
  <c r="C1687" i="1"/>
  <c r="B1687" i="1"/>
  <c r="A1687" i="1"/>
  <c r="F1686" i="1"/>
  <c r="E1686" i="1"/>
  <c r="D1686" i="1"/>
  <c r="C1686" i="1"/>
  <c r="B1686" i="1"/>
  <c r="A1686" i="1"/>
  <c r="F1685" i="1"/>
  <c r="E1685" i="1"/>
  <c r="D1685" i="1"/>
  <c r="C1685" i="1"/>
  <c r="B1685" i="1"/>
  <c r="A1685" i="1"/>
  <c r="F1684" i="1"/>
  <c r="E1684" i="1"/>
  <c r="D1684" i="1"/>
  <c r="C1684" i="1"/>
  <c r="B1684" i="1"/>
  <c r="A1684" i="1"/>
  <c r="F1683" i="1"/>
  <c r="E1683" i="1"/>
  <c r="D1683" i="1"/>
  <c r="C1683" i="1"/>
  <c r="B1683" i="1"/>
  <c r="A1683" i="1"/>
  <c r="F1682" i="1"/>
  <c r="E1682" i="1"/>
  <c r="D1682" i="1"/>
  <c r="C1682" i="1"/>
  <c r="B1682" i="1"/>
  <c r="A1682" i="1"/>
  <c r="F1681" i="1"/>
  <c r="E1681" i="1"/>
  <c r="D1681" i="1"/>
  <c r="C1681" i="1"/>
  <c r="B1681" i="1"/>
  <c r="A1681" i="1"/>
  <c r="F1680" i="1"/>
  <c r="E1680" i="1"/>
  <c r="D1680" i="1"/>
  <c r="C1680" i="1"/>
  <c r="B1680" i="1"/>
  <c r="A1680" i="1"/>
  <c r="F1679" i="1"/>
  <c r="E1679" i="1"/>
  <c r="D1679" i="1"/>
  <c r="C1679" i="1"/>
  <c r="B1679" i="1"/>
  <c r="A1679" i="1"/>
  <c r="F1678" i="1"/>
  <c r="E1678" i="1"/>
  <c r="D1678" i="1"/>
  <c r="C1678" i="1"/>
  <c r="B1678" i="1"/>
  <c r="A1678" i="1"/>
  <c r="F1677" i="1"/>
  <c r="E1677" i="1"/>
  <c r="D1677" i="1"/>
  <c r="C1677" i="1"/>
  <c r="B1677" i="1"/>
  <c r="A1677" i="1"/>
  <c r="F1676" i="1"/>
  <c r="E1676" i="1"/>
  <c r="D1676" i="1"/>
  <c r="C1676" i="1"/>
  <c r="B1676" i="1"/>
  <c r="A1676" i="1"/>
  <c r="F1675" i="1"/>
  <c r="E1675" i="1"/>
  <c r="D1675" i="1"/>
  <c r="C1675" i="1"/>
  <c r="B1675" i="1"/>
  <c r="A1675" i="1"/>
  <c r="F1674" i="1"/>
  <c r="E1674" i="1"/>
  <c r="D1674" i="1"/>
  <c r="C1674" i="1"/>
  <c r="B1674" i="1"/>
  <c r="A1674" i="1"/>
  <c r="F1673" i="1"/>
  <c r="E1673" i="1"/>
  <c r="D1673" i="1"/>
  <c r="C1673" i="1"/>
  <c r="B1673" i="1"/>
  <c r="A1673" i="1"/>
  <c r="F1672" i="1"/>
  <c r="E1672" i="1"/>
  <c r="D1672" i="1"/>
  <c r="C1672" i="1"/>
  <c r="B1672" i="1"/>
  <c r="A1672" i="1"/>
  <c r="F1671" i="1"/>
  <c r="E1671" i="1"/>
  <c r="D1671" i="1"/>
  <c r="C1671" i="1"/>
  <c r="B1671" i="1"/>
  <c r="A1671" i="1"/>
  <c r="F1670" i="1"/>
  <c r="E1670" i="1"/>
  <c r="D1670" i="1"/>
  <c r="C1670" i="1"/>
  <c r="B1670" i="1"/>
  <c r="A1670" i="1"/>
  <c r="F1669" i="1"/>
  <c r="E1669" i="1"/>
  <c r="D1669" i="1"/>
  <c r="C1669" i="1"/>
  <c r="B1669" i="1"/>
  <c r="A1669" i="1"/>
  <c r="F1668" i="1"/>
  <c r="E1668" i="1"/>
  <c r="D1668" i="1"/>
  <c r="C1668" i="1"/>
  <c r="B1668" i="1"/>
  <c r="A1668" i="1"/>
  <c r="F1667" i="1"/>
  <c r="E1667" i="1"/>
  <c r="D1667" i="1"/>
  <c r="C1667" i="1"/>
  <c r="B1667" i="1"/>
  <c r="A1667" i="1"/>
  <c r="F1666" i="1"/>
  <c r="E1666" i="1"/>
  <c r="D1666" i="1"/>
  <c r="C1666" i="1"/>
  <c r="B1666" i="1"/>
  <c r="A1666" i="1"/>
  <c r="F1665" i="1"/>
  <c r="E1665" i="1"/>
  <c r="D1665" i="1"/>
  <c r="C1665" i="1"/>
  <c r="B1665" i="1"/>
  <c r="A1665" i="1"/>
  <c r="F1664" i="1"/>
  <c r="E1664" i="1"/>
  <c r="D1664" i="1"/>
  <c r="C1664" i="1"/>
  <c r="B1664" i="1"/>
  <c r="A1664" i="1"/>
  <c r="F1663" i="1"/>
  <c r="E1663" i="1"/>
  <c r="D1663" i="1"/>
  <c r="C1663" i="1"/>
  <c r="B1663" i="1"/>
  <c r="A1663" i="1"/>
  <c r="F1662" i="1"/>
  <c r="E1662" i="1"/>
  <c r="D1662" i="1"/>
  <c r="C1662" i="1"/>
  <c r="B1662" i="1"/>
  <c r="A1662" i="1"/>
  <c r="F1661" i="1"/>
  <c r="E1661" i="1"/>
  <c r="D1661" i="1"/>
  <c r="C1661" i="1"/>
  <c r="B1661" i="1"/>
  <c r="A1661" i="1"/>
  <c r="F1660" i="1"/>
  <c r="E1660" i="1"/>
  <c r="D1660" i="1"/>
  <c r="C1660" i="1"/>
  <c r="B1660" i="1"/>
  <c r="A1660" i="1"/>
  <c r="F1659" i="1"/>
  <c r="E1659" i="1"/>
  <c r="D1659" i="1"/>
  <c r="C1659" i="1"/>
  <c r="B1659" i="1"/>
  <c r="A1659" i="1"/>
  <c r="F1658" i="1"/>
  <c r="E1658" i="1"/>
  <c r="D1658" i="1"/>
  <c r="C1658" i="1"/>
  <c r="B1658" i="1"/>
  <c r="A1658" i="1"/>
  <c r="F1657" i="1"/>
  <c r="E1657" i="1"/>
  <c r="D1657" i="1"/>
  <c r="C1657" i="1"/>
  <c r="B1657" i="1"/>
  <c r="A1657" i="1"/>
  <c r="F1656" i="1"/>
  <c r="E1656" i="1"/>
  <c r="D1656" i="1"/>
  <c r="C1656" i="1"/>
  <c r="B1656" i="1"/>
  <c r="A1656" i="1"/>
  <c r="F1655" i="1"/>
  <c r="E1655" i="1"/>
  <c r="D1655" i="1"/>
  <c r="C1655" i="1"/>
  <c r="B1655" i="1"/>
  <c r="A1655" i="1"/>
  <c r="F1654" i="1"/>
  <c r="E1654" i="1"/>
  <c r="D1654" i="1"/>
  <c r="C1654" i="1"/>
  <c r="B1654" i="1"/>
  <c r="A1654" i="1"/>
  <c r="F1653" i="1"/>
  <c r="E1653" i="1"/>
  <c r="D1653" i="1"/>
  <c r="C1653" i="1"/>
  <c r="B1653" i="1"/>
  <c r="A1653" i="1"/>
  <c r="F1652" i="1"/>
  <c r="E1652" i="1"/>
  <c r="D1652" i="1"/>
  <c r="C1652" i="1"/>
  <c r="B1652" i="1"/>
  <c r="A1652" i="1"/>
  <c r="F1651" i="1"/>
  <c r="E1651" i="1"/>
  <c r="D1651" i="1"/>
  <c r="C1651" i="1"/>
  <c r="B1651" i="1"/>
  <c r="A1651" i="1"/>
  <c r="F1650" i="1"/>
  <c r="E1650" i="1"/>
  <c r="D1650" i="1"/>
  <c r="C1650" i="1"/>
  <c r="B1650" i="1"/>
  <c r="A1650" i="1"/>
  <c r="F1649" i="1"/>
  <c r="E1649" i="1"/>
  <c r="D1649" i="1"/>
  <c r="C1649" i="1"/>
  <c r="B1649" i="1"/>
  <c r="A1649" i="1"/>
  <c r="F1648" i="1"/>
  <c r="E1648" i="1"/>
  <c r="D1648" i="1"/>
  <c r="C1648" i="1"/>
  <c r="B1648" i="1"/>
  <c r="A1648" i="1"/>
  <c r="F1647" i="1"/>
  <c r="E1647" i="1"/>
  <c r="D1647" i="1"/>
  <c r="C1647" i="1"/>
  <c r="B1647" i="1"/>
  <c r="A1647" i="1"/>
  <c r="F1646" i="1"/>
  <c r="E1646" i="1"/>
  <c r="D1646" i="1"/>
  <c r="C1646" i="1"/>
  <c r="B1646" i="1"/>
  <c r="A1646" i="1"/>
  <c r="F1645" i="1"/>
  <c r="E1645" i="1"/>
  <c r="D1645" i="1"/>
  <c r="C1645" i="1"/>
  <c r="B1645" i="1"/>
  <c r="A1645" i="1"/>
  <c r="F1644" i="1"/>
  <c r="E1644" i="1"/>
  <c r="D1644" i="1"/>
  <c r="C1644" i="1"/>
  <c r="B1644" i="1"/>
  <c r="A1644" i="1"/>
  <c r="F1643" i="1"/>
  <c r="E1643" i="1"/>
  <c r="D1643" i="1"/>
  <c r="C1643" i="1"/>
  <c r="B1643" i="1"/>
  <c r="A1643" i="1"/>
  <c r="F1642" i="1"/>
  <c r="E1642" i="1"/>
  <c r="D1642" i="1"/>
  <c r="C1642" i="1"/>
  <c r="B1642" i="1"/>
  <c r="A1642" i="1"/>
  <c r="F1641" i="1"/>
  <c r="E1641" i="1"/>
  <c r="D1641" i="1"/>
  <c r="C1641" i="1"/>
  <c r="B1641" i="1"/>
  <c r="A1641" i="1"/>
  <c r="F1640" i="1"/>
  <c r="E1640" i="1"/>
  <c r="D1640" i="1"/>
  <c r="C1640" i="1"/>
  <c r="B1640" i="1"/>
  <c r="A1640" i="1"/>
  <c r="F1639" i="1"/>
  <c r="E1639" i="1"/>
  <c r="D1639" i="1"/>
  <c r="C1639" i="1"/>
  <c r="B1639" i="1"/>
  <c r="A1639" i="1"/>
  <c r="F1638" i="1"/>
  <c r="E1638" i="1"/>
  <c r="D1638" i="1"/>
  <c r="C1638" i="1"/>
  <c r="B1638" i="1"/>
  <c r="A1638" i="1"/>
  <c r="F1637" i="1"/>
  <c r="E1637" i="1"/>
  <c r="D1637" i="1"/>
  <c r="C1637" i="1"/>
  <c r="B1637" i="1"/>
  <c r="A1637" i="1"/>
  <c r="F1636" i="1"/>
  <c r="E1636" i="1"/>
  <c r="D1636" i="1"/>
  <c r="C1636" i="1"/>
  <c r="B1636" i="1"/>
  <c r="A1636" i="1"/>
  <c r="F1635" i="1"/>
  <c r="E1635" i="1"/>
  <c r="D1635" i="1"/>
  <c r="C1635" i="1"/>
  <c r="B1635" i="1"/>
  <c r="A1635" i="1"/>
  <c r="F1634" i="1"/>
  <c r="E1634" i="1"/>
  <c r="D1634" i="1"/>
  <c r="C1634" i="1"/>
  <c r="B1634" i="1"/>
  <c r="A1634" i="1"/>
  <c r="F1633" i="1"/>
  <c r="E1633" i="1"/>
  <c r="D1633" i="1"/>
  <c r="C1633" i="1"/>
  <c r="B1633" i="1"/>
  <c r="A1633" i="1"/>
  <c r="F1632" i="1"/>
  <c r="E1632" i="1"/>
  <c r="D1632" i="1"/>
  <c r="C1632" i="1"/>
  <c r="B1632" i="1"/>
  <c r="A1632" i="1"/>
  <c r="F1631" i="1"/>
  <c r="E1631" i="1"/>
  <c r="D1631" i="1"/>
  <c r="C1631" i="1"/>
  <c r="B1631" i="1"/>
  <c r="A1631" i="1"/>
  <c r="F1630" i="1"/>
  <c r="E1630" i="1"/>
  <c r="D1630" i="1"/>
  <c r="C1630" i="1"/>
  <c r="B1630" i="1"/>
  <c r="A1630" i="1"/>
  <c r="F1629" i="1"/>
  <c r="E1629" i="1"/>
  <c r="D1629" i="1"/>
  <c r="C1629" i="1"/>
  <c r="B1629" i="1"/>
  <c r="A1629" i="1"/>
  <c r="F1628" i="1"/>
  <c r="E1628" i="1"/>
  <c r="D1628" i="1"/>
  <c r="C1628" i="1"/>
  <c r="B1628" i="1"/>
  <c r="A1628" i="1"/>
  <c r="F1627" i="1"/>
  <c r="E1627" i="1"/>
  <c r="D1627" i="1"/>
  <c r="C1627" i="1"/>
  <c r="B1627" i="1"/>
  <c r="A1627" i="1"/>
  <c r="F1626" i="1"/>
  <c r="E1626" i="1"/>
  <c r="D1626" i="1"/>
  <c r="C1626" i="1"/>
  <c r="B1626" i="1"/>
  <c r="A1626" i="1"/>
  <c r="F1625" i="1"/>
  <c r="E1625" i="1"/>
  <c r="D1625" i="1"/>
  <c r="C1625" i="1"/>
  <c r="B1625" i="1"/>
  <c r="A1625" i="1"/>
  <c r="F1624" i="1"/>
  <c r="E1624" i="1"/>
  <c r="D1624" i="1"/>
  <c r="C1624" i="1"/>
  <c r="B1624" i="1"/>
  <c r="A1624" i="1"/>
  <c r="F1623" i="1"/>
  <c r="E1623" i="1"/>
  <c r="D1623" i="1"/>
  <c r="C1623" i="1"/>
  <c r="B1623" i="1"/>
  <c r="A1623" i="1"/>
  <c r="F1622" i="1"/>
  <c r="E1622" i="1"/>
  <c r="D1622" i="1"/>
  <c r="C1622" i="1"/>
  <c r="B1622" i="1"/>
  <c r="A1622" i="1"/>
  <c r="F1621" i="1"/>
  <c r="E1621" i="1"/>
  <c r="D1621" i="1"/>
  <c r="C1621" i="1"/>
  <c r="B1621" i="1"/>
  <c r="A1621" i="1"/>
  <c r="F1620" i="1"/>
  <c r="E1620" i="1"/>
  <c r="D1620" i="1"/>
  <c r="C1620" i="1"/>
  <c r="B1620" i="1"/>
  <c r="A1620" i="1"/>
  <c r="F1619" i="1"/>
  <c r="E1619" i="1"/>
  <c r="D1619" i="1"/>
  <c r="C1619" i="1"/>
  <c r="B1619" i="1"/>
  <c r="A1619" i="1"/>
  <c r="F1618" i="1"/>
  <c r="E1618" i="1"/>
  <c r="D1618" i="1"/>
  <c r="C1618" i="1"/>
  <c r="B1618" i="1"/>
  <c r="A1618" i="1"/>
  <c r="F1617" i="1"/>
  <c r="E1617" i="1"/>
  <c r="D1617" i="1"/>
  <c r="C1617" i="1"/>
  <c r="B1617" i="1"/>
  <c r="A1617" i="1"/>
  <c r="F1616" i="1"/>
  <c r="E1616" i="1"/>
  <c r="D1616" i="1"/>
  <c r="C1616" i="1"/>
  <c r="B1616" i="1"/>
  <c r="A1616" i="1"/>
  <c r="F1615" i="1"/>
  <c r="E1615" i="1"/>
  <c r="D1615" i="1"/>
  <c r="C1615" i="1"/>
  <c r="B1615" i="1"/>
  <c r="A1615" i="1"/>
  <c r="F1614" i="1"/>
  <c r="E1614" i="1"/>
  <c r="D1614" i="1"/>
  <c r="C1614" i="1"/>
  <c r="B1614" i="1"/>
  <c r="A1614" i="1"/>
  <c r="F1613" i="1"/>
  <c r="E1613" i="1"/>
  <c r="D1613" i="1"/>
  <c r="C1613" i="1"/>
  <c r="B1613" i="1"/>
  <c r="A1613" i="1"/>
  <c r="F1612" i="1"/>
  <c r="E1612" i="1"/>
  <c r="D1612" i="1"/>
  <c r="C1612" i="1"/>
  <c r="B1612" i="1"/>
  <c r="A1612" i="1"/>
  <c r="F1611" i="1"/>
  <c r="E1611" i="1"/>
  <c r="D1611" i="1"/>
  <c r="C1611" i="1"/>
  <c r="B1611" i="1"/>
  <c r="A1611" i="1"/>
  <c r="F1610" i="1"/>
  <c r="E1610" i="1"/>
  <c r="D1610" i="1"/>
  <c r="C1610" i="1"/>
  <c r="B1610" i="1"/>
  <c r="A1610" i="1"/>
  <c r="F1609" i="1"/>
  <c r="E1609" i="1"/>
  <c r="D1609" i="1"/>
  <c r="C1609" i="1"/>
  <c r="B1609" i="1"/>
  <c r="A1609" i="1"/>
  <c r="F1608" i="1"/>
  <c r="E1608" i="1"/>
  <c r="D1608" i="1"/>
  <c r="C1608" i="1"/>
  <c r="B1608" i="1"/>
  <c r="A1608" i="1"/>
  <c r="F1607" i="1"/>
  <c r="E1607" i="1"/>
  <c r="D1607" i="1"/>
  <c r="C1607" i="1"/>
  <c r="B1607" i="1"/>
  <c r="A1607" i="1"/>
  <c r="F1606" i="1"/>
  <c r="E1606" i="1"/>
  <c r="D1606" i="1"/>
  <c r="C1606" i="1"/>
  <c r="B1606" i="1"/>
  <c r="A1606" i="1"/>
  <c r="F1605" i="1"/>
  <c r="E1605" i="1"/>
  <c r="D1605" i="1"/>
  <c r="C1605" i="1"/>
  <c r="B1605" i="1"/>
  <c r="A1605" i="1"/>
  <c r="F1604" i="1"/>
  <c r="E1604" i="1"/>
  <c r="D1604" i="1"/>
  <c r="C1604" i="1"/>
  <c r="B1604" i="1"/>
  <c r="A1604" i="1"/>
  <c r="F1603" i="1"/>
  <c r="E1603" i="1"/>
  <c r="D1603" i="1"/>
  <c r="C1603" i="1"/>
  <c r="B1603" i="1"/>
  <c r="A1603" i="1"/>
  <c r="F1602" i="1"/>
  <c r="E1602" i="1"/>
  <c r="D1602" i="1"/>
  <c r="C1602" i="1"/>
  <c r="B1602" i="1"/>
  <c r="A1602" i="1"/>
  <c r="F1601" i="1"/>
  <c r="E1601" i="1"/>
  <c r="D1601" i="1"/>
  <c r="C1601" i="1"/>
  <c r="B1601" i="1"/>
  <c r="A1601" i="1"/>
  <c r="F1600" i="1"/>
  <c r="E1600" i="1"/>
  <c r="D1600" i="1"/>
  <c r="C1600" i="1"/>
  <c r="B1600" i="1"/>
  <c r="A1600" i="1"/>
  <c r="F1599" i="1"/>
  <c r="E1599" i="1"/>
  <c r="D1599" i="1"/>
  <c r="C1599" i="1"/>
  <c r="B1599" i="1"/>
  <c r="A1599" i="1"/>
  <c r="F1598" i="1"/>
  <c r="E1598" i="1"/>
  <c r="D1598" i="1"/>
  <c r="C1598" i="1"/>
  <c r="B1598" i="1"/>
  <c r="A1598" i="1"/>
  <c r="F1597" i="1"/>
  <c r="E1597" i="1"/>
  <c r="D1597" i="1"/>
  <c r="C1597" i="1"/>
  <c r="B1597" i="1"/>
  <c r="A1597" i="1"/>
  <c r="F1596" i="1"/>
  <c r="E1596" i="1"/>
  <c r="D1596" i="1"/>
  <c r="C1596" i="1"/>
  <c r="B1596" i="1"/>
  <c r="A1596" i="1"/>
  <c r="F1595" i="1"/>
  <c r="E1595" i="1"/>
  <c r="D1595" i="1"/>
  <c r="C1595" i="1"/>
  <c r="B1595" i="1"/>
  <c r="A1595" i="1"/>
  <c r="F1594" i="1"/>
  <c r="E1594" i="1"/>
  <c r="D1594" i="1"/>
  <c r="C1594" i="1"/>
  <c r="B1594" i="1"/>
  <c r="A1594" i="1"/>
  <c r="F1593" i="1"/>
  <c r="E1593" i="1"/>
  <c r="D1593" i="1"/>
  <c r="C1593" i="1"/>
  <c r="B1593" i="1"/>
  <c r="A1593" i="1"/>
  <c r="F1592" i="1"/>
  <c r="E1592" i="1"/>
  <c r="D1592" i="1"/>
  <c r="C1592" i="1"/>
  <c r="B1592" i="1"/>
  <c r="A1592" i="1"/>
  <c r="F1591" i="1"/>
  <c r="E1591" i="1"/>
  <c r="D1591" i="1"/>
  <c r="C1591" i="1"/>
  <c r="B1591" i="1"/>
  <c r="A1591" i="1"/>
  <c r="F1590" i="1"/>
  <c r="E1590" i="1"/>
  <c r="D1590" i="1"/>
  <c r="C1590" i="1"/>
  <c r="B1590" i="1"/>
  <c r="A1590" i="1"/>
  <c r="F1589" i="1"/>
  <c r="E1589" i="1"/>
  <c r="D1589" i="1"/>
  <c r="C1589" i="1"/>
  <c r="B1589" i="1"/>
  <c r="A1589" i="1"/>
  <c r="F1588" i="1"/>
  <c r="E1588" i="1"/>
  <c r="D1588" i="1"/>
  <c r="C1588" i="1"/>
  <c r="B1588" i="1"/>
  <c r="A1588" i="1"/>
  <c r="F1587" i="1"/>
  <c r="E1587" i="1"/>
  <c r="D1587" i="1"/>
  <c r="C1587" i="1"/>
  <c r="B1587" i="1"/>
  <c r="A1587" i="1"/>
  <c r="F1586" i="1"/>
  <c r="E1586" i="1"/>
  <c r="D1586" i="1"/>
  <c r="C1586" i="1"/>
  <c r="B1586" i="1"/>
  <c r="A1586" i="1"/>
  <c r="F1585" i="1"/>
  <c r="E1585" i="1"/>
  <c r="D1585" i="1"/>
  <c r="C1585" i="1"/>
  <c r="B1585" i="1"/>
  <c r="A1585" i="1"/>
  <c r="F1584" i="1"/>
  <c r="E1584" i="1"/>
  <c r="D1584" i="1"/>
  <c r="C1584" i="1"/>
  <c r="B1584" i="1"/>
  <c r="A1584" i="1"/>
  <c r="F1583" i="1"/>
  <c r="E1583" i="1"/>
  <c r="D1583" i="1"/>
  <c r="C1583" i="1"/>
  <c r="B1583" i="1"/>
  <c r="A1583" i="1"/>
  <c r="F1582" i="1"/>
  <c r="E1582" i="1"/>
  <c r="D1582" i="1"/>
  <c r="C1582" i="1"/>
  <c r="B1582" i="1"/>
  <c r="A1582" i="1"/>
  <c r="F1581" i="1"/>
  <c r="E1581" i="1"/>
  <c r="D1581" i="1"/>
  <c r="C1581" i="1"/>
  <c r="B1581" i="1"/>
  <c r="A1581" i="1"/>
  <c r="F1580" i="1"/>
  <c r="E1580" i="1"/>
  <c r="D1580" i="1"/>
  <c r="C1580" i="1"/>
  <c r="B1580" i="1"/>
  <c r="A1580" i="1"/>
  <c r="F1579" i="1"/>
  <c r="E1579" i="1"/>
  <c r="D1579" i="1"/>
  <c r="C1579" i="1"/>
  <c r="B1579" i="1"/>
  <c r="A1579" i="1"/>
  <c r="F1578" i="1"/>
  <c r="E1578" i="1"/>
  <c r="D1578" i="1"/>
  <c r="C1578" i="1"/>
  <c r="B1578" i="1"/>
  <c r="A1578" i="1"/>
  <c r="F1577" i="1"/>
  <c r="E1577" i="1"/>
  <c r="D1577" i="1"/>
  <c r="C1577" i="1"/>
  <c r="B1577" i="1"/>
  <c r="A1577" i="1"/>
  <c r="F1576" i="1"/>
  <c r="E1576" i="1"/>
  <c r="D1576" i="1"/>
  <c r="C1576" i="1"/>
  <c r="B1576" i="1"/>
  <c r="A1576" i="1"/>
  <c r="F1575" i="1"/>
  <c r="E1575" i="1"/>
  <c r="D1575" i="1"/>
  <c r="C1575" i="1"/>
  <c r="B1575" i="1"/>
  <c r="A1575" i="1"/>
  <c r="F1574" i="1"/>
  <c r="E1574" i="1"/>
  <c r="D1574" i="1"/>
  <c r="C1574" i="1"/>
  <c r="B1574" i="1"/>
  <c r="A1574" i="1"/>
  <c r="F1573" i="1"/>
  <c r="E1573" i="1"/>
  <c r="D1573" i="1"/>
  <c r="C1573" i="1"/>
  <c r="B1573" i="1"/>
  <c r="A1573" i="1"/>
  <c r="F1572" i="1"/>
  <c r="E1572" i="1"/>
  <c r="D1572" i="1"/>
  <c r="C1572" i="1"/>
  <c r="B1572" i="1"/>
  <c r="A1572" i="1"/>
  <c r="F1571" i="1"/>
  <c r="E1571" i="1"/>
  <c r="D1571" i="1"/>
  <c r="C1571" i="1"/>
  <c r="B1571" i="1"/>
  <c r="A1571" i="1"/>
  <c r="F1570" i="1"/>
  <c r="E1570" i="1"/>
  <c r="D1570" i="1"/>
  <c r="C1570" i="1"/>
  <c r="B1570" i="1"/>
  <c r="A1570" i="1"/>
  <c r="F1569" i="1"/>
  <c r="E1569" i="1"/>
  <c r="D1569" i="1"/>
  <c r="C1569" i="1"/>
  <c r="B1569" i="1"/>
  <c r="A1569" i="1"/>
  <c r="F1568" i="1"/>
  <c r="E1568" i="1"/>
  <c r="D1568" i="1"/>
  <c r="C1568" i="1"/>
  <c r="B1568" i="1"/>
  <c r="A1568" i="1"/>
  <c r="F1567" i="1"/>
  <c r="E1567" i="1"/>
  <c r="D1567" i="1"/>
  <c r="C1567" i="1"/>
  <c r="B1567" i="1"/>
  <c r="A1567" i="1"/>
  <c r="F1566" i="1"/>
  <c r="E1566" i="1"/>
  <c r="D1566" i="1"/>
  <c r="C1566" i="1"/>
  <c r="B1566" i="1"/>
  <c r="A1566" i="1"/>
  <c r="F1565" i="1"/>
  <c r="E1565" i="1"/>
  <c r="D1565" i="1"/>
  <c r="C1565" i="1"/>
  <c r="B1565" i="1"/>
  <c r="A1565" i="1"/>
  <c r="F1564" i="1"/>
  <c r="E1564" i="1"/>
  <c r="D1564" i="1"/>
  <c r="C1564" i="1"/>
  <c r="B1564" i="1"/>
  <c r="A1564" i="1"/>
  <c r="F1563" i="1"/>
  <c r="E1563" i="1"/>
  <c r="D1563" i="1"/>
  <c r="C1563" i="1"/>
  <c r="B1563" i="1"/>
  <c r="A1563" i="1"/>
  <c r="F1562" i="1"/>
  <c r="E1562" i="1"/>
  <c r="D1562" i="1"/>
  <c r="C1562" i="1"/>
  <c r="B1562" i="1"/>
  <c r="A1562" i="1"/>
  <c r="F1561" i="1"/>
  <c r="E1561" i="1"/>
  <c r="D1561" i="1"/>
  <c r="C1561" i="1"/>
  <c r="B1561" i="1"/>
  <c r="A1561" i="1"/>
  <c r="F1560" i="1"/>
  <c r="E1560" i="1"/>
  <c r="D1560" i="1"/>
  <c r="C1560" i="1"/>
  <c r="B1560" i="1"/>
  <c r="A1560" i="1"/>
  <c r="F1559" i="1"/>
  <c r="E1559" i="1"/>
  <c r="D1559" i="1"/>
  <c r="C1559" i="1"/>
  <c r="B1559" i="1"/>
  <c r="A1559" i="1"/>
  <c r="F1558" i="1"/>
  <c r="E1558" i="1"/>
  <c r="D1558" i="1"/>
  <c r="C1558" i="1"/>
  <c r="B1558" i="1"/>
  <c r="A1558" i="1"/>
  <c r="F1557" i="1"/>
  <c r="E1557" i="1"/>
  <c r="D1557" i="1"/>
  <c r="C1557" i="1"/>
  <c r="B1557" i="1"/>
  <c r="A1557" i="1"/>
  <c r="F1556" i="1"/>
  <c r="E1556" i="1"/>
  <c r="D1556" i="1"/>
  <c r="C1556" i="1"/>
  <c r="B1556" i="1"/>
  <c r="A1556" i="1"/>
  <c r="F1555" i="1"/>
  <c r="E1555" i="1"/>
  <c r="D1555" i="1"/>
  <c r="C1555" i="1"/>
  <c r="B1555" i="1"/>
  <c r="A1555" i="1"/>
  <c r="F1554" i="1"/>
  <c r="E1554" i="1"/>
  <c r="D1554" i="1"/>
  <c r="C1554" i="1"/>
  <c r="B1554" i="1"/>
  <c r="A1554" i="1"/>
  <c r="F1553" i="1"/>
  <c r="E1553" i="1"/>
  <c r="D1553" i="1"/>
  <c r="C1553" i="1"/>
  <c r="B1553" i="1"/>
  <c r="A1553" i="1"/>
  <c r="F1552" i="1"/>
  <c r="E1552" i="1"/>
  <c r="D1552" i="1"/>
  <c r="C1552" i="1"/>
  <c r="B1552" i="1"/>
  <c r="A1552" i="1"/>
  <c r="F1551" i="1"/>
  <c r="E1551" i="1"/>
  <c r="D1551" i="1"/>
  <c r="C1551" i="1"/>
  <c r="B1551" i="1"/>
  <c r="A1551" i="1"/>
  <c r="F1550" i="1"/>
  <c r="E1550" i="1"/>
  <c r="D1550" i="1"/>
  <c r="C1550" i="1"/>
  <c r="B1550" i="1"/>
  <c r="A1550" i="1"/>
  <c r="F1549" i="1"/>
  <c r="E1549" i="1"/>
  <c r="D1549" i="1"/>
  <c r="C1549" i="1"/>
  <c r="B1549" i="1"/>
  <c r="A1549" i="1"/>
  <c r="F1548" i="1"/>
  <c r="E1548" i="1"/>
  <c r="D1548" i="1"/>
  <c r="C1548" i="1"/>
  <c r="B1548" i="1"/>
  <c r="A1548" i="1"/>
  <c r="F1547" i="1"/>
  <c r="E1547" i="1"/>
  <c r="D1547" i="1"/>
  <c r="C1547" i="1"/>
  <c r="B1547" i="1"/>
  <c r="A1547" i="1"/>
  <c r="F1546" i="1"/>
  <c r="E1546" i="1"/>
  <c r="D1546" i="1"/>
  <c r="C1546" i="1"/>
  <c r="B1546" i="1"/>
  <c r="A1546" i="1"/>
  <c r="F1545" i="1"/>
  <c r="E1545" i="1"/>
  <c r="D1545" i="1"/>
  <c r="C1545" i="1"/>
  <c r="B1545" i="1"/>
  <c r="A1545" i="1"/>
  <c r="F1544" i="1"/>
  <c r="E1544" i="1"/>
  <c r="D1544" i="1"/>
  <c r="C1544" i="1"/>
  <c r="B1544" i="1"/>
  <c r="A1544" i="1"/>
  <c r="F1543" i="1"/>
  <c r="E1543" i="1"/>
  <c r="D1543" i="1"/>
  <c r="C1543" i="1"/>
  <c r="B1543" i="1"/>
  <c r="A1543" i="1"/>
  <c r="F1542" i="1"/>
  <c r="E1542" i="1"/>
  <c r="D1542" i="1"/>
  <c r="C1542" i="1"/>
  <c r="B1542" i="1"/>
  <c r="A1542" i="1"/>
  <c r="F1541" i="1"/>
  <c r="E1541" i="1"/>
  <c r="D1541" i="1"/>
  <c r="C1541" i="1"/>
  <c r="B1541" i="1"/>
  <c r="A1541" i="1"/>
  <c r="F1540" i="1"/>
  <c r="E1540" i="1"/>
  <c r="D1540" i="1"/>
  <c r="C1540" i="1"/>
  <c r="B1540" i="1"/>
  <c r="A1540" i="1"/>
  <c r="F1539" i="1"/>
  <c r="E1539" i="1"/>
  <c r="D1539" i="1"/>
  <c r="C1539" i="1"/>
  <c r="B1539" i="1"/>
  <c r="A1539" i="1"/>
  <c r="F1538" i="1"/>
  <c r="E1538" i="1"/>
  <c r="D1538" i="1"/>
  <c r="C1538" i="1"/>
  <c r="B1538" i="1"/>
  <c r="A1538" i="1"/>
  <c r="F1537" i="1"/>
  <c r="E1537" i="1"/>
  <c r="D1537" i="1"/>
  <c r="C1537" i="1"/>
  <c r="B1537" i="1"/>
  <c r="A1537" i="1"/>
  <c r="F1536" i="1"/>
  <c r="E1536" i="1"/>
  <c r="D1536" i="1"/>
  <c r="C1536" i="1"/>
  <c r="B1536" i="1"/>
  <c r="A1536" i="1"/>
  <c r="F1535" i="1"/>
  <c r="E1535" i="1"/>
  <c r="D1535" i="1"/>
  <c r="C1535" i="1"/>
  <c r="B1535" i="1"/>
  <c r="A1535" i="1"/>
  <c r="F1534" i="1"/>
  <c r="E1534" i="1"/>
  <c r="D1534" i="1"/>
  <c r="C1534" i="1"/>
  <c r="B1534" i="1"/>
  <c r="A1534" i="1"/>
  <c r="F1533" i="1"/>
  <c r="E1533" i="1"/>
  <c r="D1533" i="1"/>
  <c r="C1533" i="1"/>
  <c r="B1533" i="1"/>
  <c r="A1533" i="1"/>
  <c r="F1532" i="1"/>
  <c r="E1532" i="1"/>
  <c r="D1532" i="1"/>
  <c r="C1532" i="1"/>
  <c r="B1532" i="1"/>
  <c r="A1532" i="1"/>
  <c r="F1531" i="1"/>
  <c r="E1531" i="1"/>
  <c r="D1531" i="1"/>
  <c r="C1531" i="1"/>
  <c r="B1531" i="1"/>
  <c r="A1531" i="1"/>
  <c r="F1530" i="1"/>
  <c r="E1530" i="1"/>
  <c r="D1530" i="1"/>
  <c r="C1530" i="1"/>
  <c r="B1530" i="1"/>
  <c r="A1530" i="1"/>
  <c r="F1529" i="1"/>
  <c r="E1529" i="1"/>
  <c r="D1529" i="1"/>
  <c r="C1529" i="1"/>
  <c r="B1529" i="1"/>
  <c r="A1529" i="1"/>
  <c r="F1528" i="1"/>
  <c r="E1528" i="1"/>
  <c r="D1528" i="1"/>
  <c r="C1528" i="1"/>
  <c r="B1528" i="1"/>
  <c r="A1528" i="1"/>
  <c r="F1527" i="1"/>
  <c r="E1527" i="1"/>
  <c r="D1527" i="1"/>
  <c r="C1527" i="1"/>
  <c r="B1527" i="1"/>
  <c r="A1527" i="1"/>
  <c r="F1526" i="1"/>
  <c r="E1526" i="1"/>
  <c r="D1526" i="1"/>
  <c r="C1526" i="1"/>
  <c r="B1526" i="1"/>
  <c r="A1526" i="1"/>
  <c r="F1525" i="1"/>
  <c r="E1525" i="1"/>
  <c r="D1525" i="1"/>
  <c r="C1525" i="1"/>
  <c r="B1525" i="1"/>
  <c r="A1525" i="1"/>
  <c r="F1524" i="1"/>
  <c r="E1524" i="1"/>
  <c r="D1524" i="1"/>
  <c r="C1524" i="1"/>
  <c r="B1524" i="1"/>
  <c r="A1524" i="1"/>
  <c r="F1523" i="1"/>
  <c r="E1523" i="1"/>
  <c r="D1523" i="1"/>
  <c r="C1523" i="1"/>
  <c r="B1523" i="1"/>
  <c r="A1523" i="1"/>
  <c r="F1522" i="1"/>
  <c r="E1522" i="1"/>
  <c r="D1522" i="1"/>
  <c r="C1522" i="1"/>
  <c r="B1522" i="1"/>
  <c r="A1522" i="1"/>
  <c r="F1521" i="1"/>
  <c r="E1521" i="1"/>
  <c r="D1521" i="1"/>
  <c r="C1521" i="1"/>
  <c r="B1521" i="1"/>
  <c r="A1521" i="1"/>
  <c r="F1520" i="1"/>
  <c r="E1520" i="1"/>
  <c r="D1520" i="1"/>
  <c r="C1520" i="1"/>
  <c r="B1520" i="1"/>
  <c r="A1520" i="1"/>
  <c r="F1519" i="1"/>
  <c r="E1519" i="1"/>
  <c r="D1519" i="1"/>
  <c r="C1519" i="1"/>
  <c r="B1519" i="1"/>
  <c r="A1519" i="1"/>
  <c r="F1518" i="1"/>
  <c r="E1518" i="1"/>
  <c r="D1518" i="1"/>
  <c r="C1518" i="1"/>
  <c r="B1518" i="1"/>
  <c r="A1518" i="1"/>
  <c r="F1517" i="1"/>
  <c r="E1517" i="1"/>
  <c r="D1517" i="1"/>
  <c r="C1517" i="1"/>
  <c r="B1517" i="1"/>
  <c r="A1517" i="1"/>
  <c r="F1516" i="1"/>
  <c r="E1516" i="1"/>
  <c r="D1516" i="1"/>
  <c r="C1516" i="1"/>
  <c r="B1516" i="1"/>
  <c r="A1516" i="1"/>
  <c r="F1515" i="1"/>
  <c r="E1515" i="1"/>
  <c r="D1515" i="1"/>
  <c r="C1515" i="1"/>
  <c r="B1515" i="1"/>
  <c r="A1515" i="1"/>
  <c r="F1514" i="1"/>
  <c r="E1514" i="1"/>
  <c r="D1514" i="1"/>
  <c r="C1514" i="1"/>
  <c r="B1514" i="1"/>
  <c r="A1514" i="1"/>
  <c r="F1513" i="1"/>
  <c r="E1513" i="1"/>
  <c r="D1513" i="1"/>
  <c r="C1513" i="1"/>
  <c r="B1513" i="1"/>
  <c r="A1513" i="1"/>
  <c r="F1512" i="1"/>
  <c r="E1512" i="1"/>
  <c r="D1512" i="1"/>
  <c r="C1512" i="1"/>
  <c r="B1512" i="1"/>
  <c r="A1512" i="1"/>
  <c r="F1511" i="1"/>
  <c r="E1511" i="1"/>
  <c r="D1511" i="1"/>
  <c r="C1511" i="1"/>
  <c r="B1511" i="1"/>
  <c r="A1511" i="1"/>
  <c r="F1510" i="1"/>
  <c r="E1510" i="1"/>
  <c r="D1510" i="1"/>
  <c r="C1510" i="1"/>
  <c r="B1510" i="1"/>
  <c r="A1510" i="1"/>
  <c r="F1509" i="1"/>
  <c r="E1509" i="1"/>
  <c r="D1509" i="1"/>
  <c r="C1509" i="1"/>
  <c r="B1509" i="1"/>
  <c r="A1509" i="1"/>
  <c r="F1508" i="1"/>
  <c r="E1508" i="1"/>
  <c r="D1508" i="1"/>
  <c r="C1508" i="1"/>
  <c r="B1508" i="1"/>
  <c r="A1508" i="1"/>
  <c r="F1507" i="1"/>
  <c r="E1507" i="1"/>
  <c r="D1507" i="1"/>
  <c r="C1507" i="1"/>
  <c r="B1507" i="1"/>
  <c r="A1507" i="1"/>
  <c r="F1506" i="1"/>
  <c r="E1506" i="1"/>
  <c r="D1506" i="1"/>
  <c r="C1506" i="1"/>
  <c r="B1506" i="1"/>
  <c r="A1506" i="1"/>
  <c r="F1505" i="1"/>
  <c r="E1505" i="1"/>
  <c r="D1505" i="1"/>
  <c r="C1505" i="1"/>
  <c r="B1505" i="1"/>
  <c r="A1505" i="1"/>
  <c r="F1504" i="1"/>
  <c r="E1504" i="1"/>
  <c r="D1504" i="1"/>
  <c r="C1504" i="1"/>
  <c r="B1504" i="1"/>
  <c r="A1504" i="1"/>
  <c r="F1503" i="1"/>
  <c r="E1503" i="1"/>
  <c r="D1503" i="1"/>
  <c r="C1503" i="1"/>
  <c r="B1503" i="1"/>
  <c r="A1503" i="1"/>
  <c r="F1502" i="1"/>
  <c r="E1502" i="1"/>
  <c r="D1502" i="1"/>
  <c r="C1502" i="1"/>
  <c r="B1502" i="1"/>
  <c r="A1502" i="1"/>
  <c r="F1501" i="1"/>
  <c r="E1501" i="1"/>
  <c r="D1501" i="1"/>
  <c r="C1501" i="1"/>
  <c r="B1501" i="1"/>
  <c r="A1501" i="1"/>
  <c r="F1500" i="1"/>
  <c r="E1500" i="1"/>
  <c r="D1500" i="1"/>
  <c r="C1500" i="1"/>
  <c r="B1500" i="1"/>
  <c r="A1500" i="1"/>
  <c r="F1499" i="1"/>
  <c r="E1499" i="1"/>
  <c r="D1499" i="1"/>
  <c r="C1499" i="1"/>
  <c r="B1499" i="1"/>
  <c r="A1499" i="1"/>
  <c r="F1498" i="1"/>
  <c r="E1498" i="1"/>
  <c r="D1498" i="1"/>
  <c r="C1498" i="1"/>
  <c r="B1498" i="1"/>
  <c r="A1498" i="1"/>
  <c r="F1497" i="1"/>
  <c r="E1497" i="1"/>
  <c r="D1497" i="1"/>
  <c r="C1497" i="1"/>
  <c r="B1497" i="1"/>
  <c r="A1497" i="1"/>
  <c r="F1496" i="1"/>
  <c r="E1496" i="1"/>
  <c r="D1496" i="1"/>
  <c r="C1496" i="1"/>
  <c r="B1496" i="1"/>
  <c r="A1496" i="1"/>
  <c r="F1495" i="1"/>
  <c r="E1495" i="1"/>
  <c r="D1495" i="1"/>
  <c r="C1495" i="1"/>
  <c r="B1495" i="1"/>
  <c r="A1495" i="1"/>
  <c r="F1494" i="1"/>
  <c r="E1494" i="1"/>
  <c r="D1494" i="1"/>
  <c r="C1494" i="1"/>
  <c r="B1494" i="1"/>
  <c r="A1494" i="1"/>
  <c r="F1493" i="1"/>
  <c r="E1493" i="1"/>
  <c r="D1493" i="1"/>
  <c r="C1493" i="1"/>
  <c r="B1493" i="1"/>
  <c r="A1493" i="1"/>
  <c r="F1492" i="1"/>
  <c r="E1492" i="1"/>
  <c r="D1492" i="1"/>
  <c r="C1492" i="1"/>
  <c r="B1492" i="1"/>
  <c r="A1492" i="1"/>
  <c r="F1491" i="1"/>
  <c r="E1491" i="1"/>
  <c r="D1491" i="1"/>
  <c r="C1491" i="1"/>
  <c r="B1491" i="1"/>
  <c r="A1491" i="1"/>
  <c r="F1490" i="1"/>
  <c r="E1490" i="1"/>
  <c r="D1490" i="1"/>
  <c r="C1490" i="1"/>
  <c r="B1490" i="1"/>
  <c r="A1490" i="1"/>
  <c r="F1489" i="1"/>
  <c r="E1489" i="1"/>
  <c r="D1489" i="1"/>
  <c r="C1489" i="1"/>
  <c r="B1489" i="1"/>
  <c r="A1489" i="1"/>
  <c r="F1488" i="1"/>
  <c r="E1488" i="1"/>
  <c r="D1488" i="1"/>
  <c r="C1488" i="1"/>
  <c r="B1488" i="1"/>
  <c r="A1488" i="1"/>
  <c r="F1487" i="1"/>
  <c r="E1487" i="1"/>
  <c r="D1487" i="1"/>
  <c r="C1487" i="1"/>
  <c r="B1487" i="1"/>
  <c r="A1487" i="1"/>
  <c r="F1486" i="1"/>
  <c r="E1486" i="1"/>
  <c r="D1486" i="1"/>
  <c r="C1486" i="1"/>
  <c r="B1486" i="1"/>
  <c r="A1486" i="1"/>
  <c r="F1485" i="1"/>
  <c r="E1485" i="1"/>
  <c r="D1485" i="1"/>
  <c r="C1485" i="1"/>
  <c r="B1485" i="1"/>
  <c r="A1485" i="1"/>
  <c r="F1484" i="1"/>
  <c r="E1484" i="1"/>
  <c r="D1484" i="1"/>
  <c r="C1484" i="1"/>
  <c r="B1484" i="1"/>
  <c r="A1484" i="1"/>
  <c r="F1483" i="1"/>
  <c r="E1483" i="1"/>
  <c r="D1483" i="1"/>
  <c r="C1483" i="1"/>
  <c r="B1483" i="1"/>
  <c r="A1483" i="1"/>
  <c r="F1482" i="1"/>
  <c r="E1482" i="1"/>
  <c r="D1482" i="1"/>
  <c r="C1482" i="1"/>
  <c r="B1482" i="1"/>
  <c r="A1482" i="1"/>
  <c r="F1481" i="1"/>
  <c r="E1481" i="1"/>
  <c r="D1481" i="1"/>
  <c r="C1481" i="1"/>
  <c r="B1481" i="1"/>
  <c r="A1481" i="1"/>
  <c r="F1480" i="1"/>
  <c r="E1480" i="1"/>
  <c r="D1480" i="1"/>
  <c r="C1480" i="1"/>
  <c r="B1480" i="1"/>
  <c r="A1480" i="1"/>
  <c r="F1479" i="1"/>
  <c r="E1479" i="1"/>
  <c r="D1479" i="1"/>
  <c r="C1479" i="1"/>
  <c r="B1479" i="1"/>
  <c r="A1479" i="1"/>
  <c r="F1478" i="1"/>
  <c r="E1478" i="1"/>
  <c r="D1478" i="1"/>
  <c r="C1478" i="1"/>
  <c r="B1478" i="1"/>
  <c r="A1478" i="1"/>
  <c r="F1477" i="1"/>
  <c r="E1477" i="1"/>
  <c r="D1477" i="1"/>
  <c r="C1477" i="1"/>
  <c r="B1477" i="1"/>
  <c r="A1477" i="1"/>
  <c r="F1476" i="1"/>
  <c r="E1476" i="1"/>
  <c r="D1476" i="1"/>
  <c r="C1476" i="1"/>
  <c r="B1476" i="1"/>
  <c r="A1476" i="1"/>
  <c r="F1475" i="1"/>
  <c r="E1475" i="1"/>
  <c r="D1475" i="1"/>
  <c r="C1475" i="1"/>
  <c r="B1475" i="1"/>
  <c r="A1475" i="1"/>
  <c r="F1474" i="1"/>
  <c r="E1474" i="1"/>
  <c r="D1474" i="1"/>
  <c r="C1474" i="1"/>
  <c r="B1474" i="1"/>
  <c r="A1474" i="1"/>
  <c r="F1473" i="1"/>
  <c r="E1473" i="1"/>
  <c r="D1473" i="1"/>
  <c r="C1473" i="1"/>
  <c r="B1473" i="1"/>
  <c r="A1473" i="1"/>
  <c r="F1472" i="1"/>
  <c r="E1472" i="1"/>
  <c r="D1472" i="1"/>
  <c r="C1472" i="1"/>
  <c r="B1472" i="1"/>
  <c r="A1472" i="1"/>
  <c r="F1471" i="1"/>
  <c r="E1471" i="1"/>
  <c r="D1471" i="1"/>
  <c r="C1471" i="1"/>
  <c r="B1471" i="1"/>
  <c r="A1471" i="1"/>
  <c r="F1470" i="1"/>
  <c r="E1470" i="1"/>
  <c r="D1470" i="1"/>
  <c r="C1470" i="1"/>
  <c r="B1470" i="1"/>
  <c r="A1470" i="1"/>
  <c r="F1469" i="1"/>
  <c r="E1469" i="1"/>
  <c r="D1469" i="1"/>
  <c r="C1469" i="1"/>
  <c r="B1469" i="1"/>
  <c r="A1469" i="1"/>
  <c r="F1468" i="1"/>
  <c r="E1468" i="1"/>
  <c r="D1468" i="1"/>
  <c r="C1468" i="1"/>
  <c r="B1468" i="1"/>
  <c r="A1468" i="1"/>
  <c r="F1467" i="1"/>
  <c r="E1467" i="1"/>
  <c r="D1467" i="1"/>
  <c r="C1467" i="1"/>
  <c r="B1467" i="1"/>
  <c r="A1467" i="1"/>
  <c r="F1466" i="1"/>
  <c r="E1466" i="1"/>
  <c r="D1466" i="1"/>
  <c r="C1466" i="1"/>
  <c r="B1466" i="1"/>
  <c r="A1466" i="1"/>
  <c r="F1465" i="1"/>
  <c r="E1465" i="1"/>
  <c r="D1465" i="1"/>
  <c r="C1465" i="1"/>
  <c r="B1465" i="1"/>
  <c r="A1465" i="1"/>
  <c r="F1464" i="1"/>
  <c r="E1464" i="1"/>
  <c r="D1464" i="1"/>
  <c r="C1464" i="1"/>
  <c r="B1464" i="1"/>
  <c r="A1464" i="1"/>
  <c r="F1463" i="1"/>
  <c r="E1463" i="1"/>
  <c r="D1463" i="1"/>
  <c r="C1463" i="1"/>
  <c r="B1463" i="1"/>
  <c r="A1463" i="1"/>
  <c r="F1462" i="1"/>
  <c r="E1462" i="1"/>
  <c r="D1462" i="1"/>
  <c r="C1462" i="1"/>
  <c r="B1462" i="1"/>
  <c r="A1462" i="1"/>
  <c r="F1461" i="1"/>
  <c r="E1461" i="1"/>
  <c r="D1461" i="1"/>
  <c r="C1461" i="1"/>
  <c r="B1461" i="1"/>
  <c r="A1461" i="1"/>
  <c r="F1460" i="1"/>
  <c r="E1460" i="1"/>
  <c r="D1460" i="1"/>
  <c r="C1460" i="1"/>
  <c r="B1460" i="1"/>
  <c r="A1460" i="1"/>
  <c r="F1459" i="1"/>
  <c r="E1459" i="1"/>
  <c r="D1459" i="1"/>
  <c r="C1459" i="1"/>
  <c r="B1459" i="1"/>
  <c r="A1459" i="1"/>
  <c r="F1458" i="1"/>
  <c r="E1458" i="1"/>
  <c r="D1458" i="1"/>
  <c r="C1458" i="1"/>
  <c r="B1458" i="1"/>
  <c r="A1458" i="1"/>
  <c r="F1457" i="1"/>
  <c r="E1457" i="1"/>
  <c r="D1457" i="1"/>
  <c r="C1457" i="1"/>
  <c r="B1457" i="1"/>
  <c r="A1457" i="1"/>
  <c r="F1456" i="1"/>
  <c r="E1456" i="1"/>
  <c r="D1456" i="1"/>
  <c r="C1456" i="1"/>
  <c r="B1456" i="1"/>
  <c r="A1456" i="1"/>
  <c r="F1455" i="1"/>
  <c r="E1455" i="1"/>
  <c r="D1455" i="1"/>
  <c r="C1455" i="1"/>
  <c r="B1455" i="1"/>
  <c r="A1455" i="1"/>
  <c r="F1454" i="1"/>
  <c r="E1454" i="1"/>
  <c r="D1454" i="1"/>
  <c r="C1454" i="1"/>
  <c r="B1454" i="1"/>
  <c r="A1454" i="1"/>
  <c r="F1453" i="1"/>
  <c r="E1453" i="1"/>
  <c r="D1453" i="1"/>
  <c r="C1453" i="1"/>
  <c r="B1453" i="1"/>
  <c r="A1453" i="1"/>
  <c r="F1452" i="1"/>
  <c r="E1452" i="1"/>
  <c r="D1452" i="1"/>
  <c r="C1452" i="1"/>
  <c r="B1452" i="1"/>
  <c r="A1452" i="1"/>
  <c r="F1451" i="1"/>
  <c r="E1451" i="1"/>
  <c r="D1451" i="1"/>
  <c r="C1451" i="1"/>
  <c r="B1451" i="1"/>
  <c r="A1451" i="1"/>
  <c r="F1450" i="1"/>
  <c r="E1450" i="1"/>
  <c r="D1450" i="1"/>
  <c r="C1450" i="1"/>
  <c r="B1450" i="1"/>
  <c r="A1450" i="1"/>
  <c r="F1449" i="1"/>
  <c r="E1449" i="1"/>
  <c r="D1449" i="1"/>
  <c r="C1449" i="1"/>
  <c r="B1449" i="1"/>
  <c r="A1449" i="1"/>
  <c r="F1448" i="1"/>
  <c r="E1448" i="1"/>
  <c r="D1448" i="1"/>
  <c r="C1448" i="1"/>
  <c r="B1448" i="1"/>
  <c r="A1448" i="1"/>
  <c r="F1447" i="1"/>
  <c r="E1447" i="1"/>
  <c r="D1447" i="1"/>
  <c r="C1447" i="1"/>
  <c r="B1447" i="1"/>
  <c r="A1447" i="1"/>
  <c r="F1446" i="1"/>
  <c r="E1446" i="1"/>
  <c r="D1446" i="1"/>
  <c r="C1446" i="1"/>
  <c r="B1446" i="1"/>
  <c r="A1446" i="1"/>
  <c r="F1445" i="1"/>
  <c r="E1445" i="1"/>
  <c r="D1445" i="1"/>
  <c r="C1445" i="1"/>
  <c r="B1445" i="1"/>
  <c r="A1445" i="1"/>
  <c r="F1444" i="1"/>
  <c r="E1444" i="1"/>
  <c r="D1444" i="1"/>
  <c r="C1444" i="1"/>
  <c r="B1444" i="1"/>
  <c r="A1444" i="1"/>
  <c r="F1443" i="1"/>
  <c r="E1443" i="1"/>
  <c r="D1443" i="1"/>
  <c r="C1443" i="1"/>
  <c r="B1443" i="1"/>
  <c r="A1443" i="1"/>
  <c r="F1442" i="1"/>
  <c r="E1442" i="1"/>
  <c r="D1442" i="1"/>
  <c r="C1442" i="1"/>
  <c r="B1442" i="1"/>
  <c r="A1442" i="1"/>
  <c r="F1441" i="1"/>
  <c r="E1441" i="1"/>
  <c r="D1441" i="1"/>
  <c r="C1441" i="1"/>
  <c r="B1441" i="1"/>
  <c r="A1441" i="1"/>
  <c r="F1440" i="1"/>
  <c r="E1440" i="1"/>
  <c r="D1440" i="1"/>
  <c r="C1440" i="1"/>
  <c r="B1440" i="1"/>
  <c r="A1440" i="1"/>
  <c r="F1439" i="1"/>
  <c r="E1439" i="1"/>
  <c r="D1439" i="1"/>
  <c r="C1439" i="1"/>
  <c r="B1439" i="1"/>
  <c r="A1439" i="1"/>
  <c r="F1438" i="1"/>
  <c r="E1438" i="1"/>
  <c r="D1438" i="1"/>
  <c r="C1438" i="1"/>
  <c r="B1438" i="1"/>
  <c r="A1438" i="1"/>
  <c r="F1437" i="1"/>
  <c r="E1437" i="1"/>
  <c r="D1437" i="1"/>
  <c r="C1437" i="1"/>
  <c r="B1437" i="1"/>
  <c r="A1437" i="1"/>
  <c r="F1436" i="1"/>
  <c r="E1436" i="1"/>
  <c r="D1436" i="1"/>
  <c r="C1436" i="1"/>
  <c r="B1436" i="1"/>
  <c r="A1436" i="1"/>
  <c r="F1435" i="1"/>
  <c r="E1435" i="1"/>
  <c r="D1435" i="1"/>
  <c r="C1435" i="1"/>
  <c r="B1435" i="1"/>
  <c r="A1435" i="1"/>
  <c r="F1434" i="1"/>
  <c r="E1434" i="1"/>
  <c r="D1434" i="1"/>
  <c r="C1434" i="1"/>
  <c r="B1434" i="1"/>
  <c r="A1434" i="1"/>
  <c r="F1433" i="1"/>
  <c r="E1433" i="1"/>
  <c r="D1433" i="1"/>
  <c r="C1433" i="1"/>
  <c r="B1433" i="1"/>
  <c r="A1433" i="1"/>
  <c r="F1432" i="1"/>
  <c r="E1432" i="1"/>
  <c r="D1432" i="1"/>
  <c r="C1432" i="1"/>
  <c r="B1432" i="1"/>
  <c r="A1432" i="1"/>
  <c r="F1431" i="1"/>
  <c r="E1431" i="1"/>
  <c r="D1431" i="1"/>
  <c r="C1431" i="1"/>
  <c r="B1431" i="1"/>
  <c r="A1431" i="1"/>
  <c r="F1430" i="1"/>
  <c r="E1430" i="1"/>
  <c r="D1430" i="1"/>
  <c r="C1430" i="1"/>
  <c r="B1430" i="1"/>
  <c r="A1430" i="1"/>
  <c r="F1429" i="1"/>
  <c r="E1429" i="1"/>
  <c r="D1429" i="1"/>
  <c r="C1429" i="1"/>
  <c r="B1429" i="1"/>
  <c r="A1429" i="1"/>
  <c r="F1428" i="1"/>
  <c r="E1428" i="1"/>
  <c r="D1428" i="1"/>
  <c r="C1428" i="1"/>
  <c r="B1428" i="1"/>
  <c r="A1428" i="1"/>
  <c r="F1427" i="1"/>
  <c r="E1427" i="1"/>
  <c r="D1427" i="1"/>
  <c r="C1427" i="1"/>
  <c r="B1427" i="1"/>
  <c r="A1427" i="1"/>
  <c r="F1426" i="1"/>
  <c r="E1426" i="1"/>
  <c r="D1426" i="1"/>
  <c r="C1426" i="1"/>
  <c r="B1426" i="1"/>
  <c r="A1426" i="1"/>
  <c r="F1425" i="1"/>
  <c r="E1425" i="1"/>
  <c r="D1425" i="1"/>
  <c r="C1425" i="1"/>
  <c r="B1425" i="1"/>
  <c r="A1425" i="1"/>
  <c r="F1424" i="1"/>
  <c r="E1424" i="1"/>
  <c r="D1424" i="1"/>
  <c r="C1424" i="1"/>
  <c r="B1424" i="1"/>
  <c r="A1424" i="1"/>
  <c r="F1423" i="1"/>
  <c r="E1423" i="1"/>
  <c r="D1423" i="1"/>
  <c r="C1423" i="1"/>
  <c r="B1423" i="1"/>
  <c r="A1423" i="1"/>
  <c r="F1422" i="1"/>
  <c r="E1422" i="1"/>
  <c r="D1422" i="1"/>
  <c r="C1422" i="1"/>
  <c r="B1422" i="1"/>
  <c r="A1422" i="1"/>
  <c r="F1421" i="1"/>
  <c r="E1421" i="1"/>
  <c r="D1421" i="1"/>
  <c r="C1421" i="1"/>
  <c r="B1421" i="1"/>
  <c r="A1421" i="1"/>
  <c r="F1420" i="1"/>
  <c r="E1420" i="1"/>
  <c r="D1420" i="1"/>
  <c r="C1420" i="1"/>
  <c r="B1420" i="1"/>
  <c r="A1420" i="1"/>
  <c r="F1419" i="1"/>
  <c r="E1419" i="1"/>
  <c r="D1419" i="1"/>
  <c r="C1419" i="1"/>
  <c r="B1419" i="1"/>
  <c r="A1419" i="1"/>
  <c r="F1418" i="1"/>
  <c r="E1418" i="1"/>
  <c r="D1418" i="1"/>
  <c r="C1418" i="1"/>
  <c r="B1418" i="1"/>
  <c r="A1418" i="1"/>
  <c r="F1417" i="1"/>
  <c r="E1417" i="1"/>
  <c r="D1417" i="1"/>
  <c r="C1417" i="1"/>
  <c r="B1417" i="1"/>
  <c r="A1417" i="1"/>
  <c r="F1416" i="1"/>
  <c r="E1416" i="1"/>
  <c r="D1416" i="1"/>
  <c r="C1416" i="1"/>
  <c r="B1416" i="1"/>
  <c r="A1416" i="1"/>
  <c r="F1415" i="1"/>
  <c r="E1415" i="1"/>
  <c r="D1415" i="1"/>
  <c r="C1415" i="1"/>
  <c r="B1415" i="1"/>
  <c r="A1415" i="1"/>
  <c r="F1414" i="1"/>
  <c r="E1414" i="1"/>
  <c r="D1414" i="1"/>
  <c r="C1414" i="1"/>
  <c r="B1414" i="1"/>
  <c r="A1414" i="1"/>
  <c r="F1413" i="1"/>
  <c r="E1413" i="1"/>
  <c r="D1413" i="1"/>
  <c r="C1413" i="1"/>
  <c r="B1413" i="1"/>
  <c r="A1413" i="1"/>
  <c r="F1412" i="1"/>
  <c r="E1412" i="1"/>
  <c r="D1412" i="1"/>
  <c r="C1412" i="1"/>
  <c r="B1412" i="1"/>
  <c r="A1412" i="1"/>
  <c r="F1411" i="1"/>
  <c r="E1411" i="1"/>
  <c r="D1411" i="1"/>
  <c r="C1411" i="1"/>
  <c r="B1411" i="1"/>
  <c r="A1411" i="1"/>
  <c r="F1410" i="1"/>
  <c r="E1410" i="1"/>
  <c r="D1410" i="1"/>
  <c r="C1410" i="1"/>
  <c r="B1410" i="1"/>
  <c r="A1410" i="1"/>
  <c r="F1409" i="1"/>
  <c r="E1409" i="1"/>
  <c r="D1409" i="1"/>
  <c r="C1409" i="1"/>
  <c r="B1409" i="1"/>
  <c r="A1409" i="1"/>
  <c r="F1408" i="1"/>
  <c r="E1408" i="1"/>
  <c r="D1408" i="1"/>
  <c r="C1408" i="1"/>
  <c r="B1408" i="1"/>
  <c r="A1408" i="1"/>
  <c r="F1407" i="1"/>
  <c r="E1407" i="1"/>
  <c r="D1407" i="1"/>
  <c r="C1407" i="1"/>
  <c r="B1407" i="1"/>
  <c r="A1407" i="1"/>
  <c r="F1406" i="1"/>
  <c r="E1406" i="1"/>
  <c r="D1406" i="1"/>
  <c r="C1406" i="1"/>
  <c r="B1406" i="1"/>
  <c r="A1406" i="1"/>
  <c r="F1405" i="1"/>
  <c r="E1405" i="1"/>
  <c r="D1405" i="1"/>
  <c r="C1405" i="1"/>
  <c r="B1405" i="1"/>
  <c r="A1405" i="1"/>
  <c r="F1404" i="1"/>
  <c r="E1404" i="1"/>
  <c r="D1404" i="1"/>
  <c r="C1404" i="1"/>
  <c r="B1404" i="1"/>
  <c r="A1404" i="1"/>
  <c r="F1403" i="1"/>
  <c r="E1403" i="1"/>
  <c r="D1403" i="1"/>
  <c r="C1403" i="1"/>
  <c r="B1403" i="1"/>
  <c r="A1403" i="1"/>
  <c r="F1402" i="1"/>
  <c r="E1402" i="1"/>
  <c r="D1402" i="1"/>
  <c r="C1402" i="1"/>
  <c r="B1402" i="1"/>
  <c r="A1402" i="1"/>
  <c r="F1401" i="1"/>
  <c r="E1401" i="1"/>
  <c r="D1401" i="1"/>
  <c r="C1401" i="1"/>
  <c r="B1401" i="1"/>
  <c r="A1401" i="1"/>
  <c r="F1400" i="1"/>
  <c r="E1400" i="1"/>
  <c r="D1400" i="1"/>
  <c r="C1400" i="1"/>
  <c r="B1400" i="1"/>
  <c r="A1400" i="1"/>
  <c r="F1399" i="1"/>
  <c r="E1399" i="1"/>
  <c r="D1399" i="1"/>
  <c r="C1399" i="1"/>
  <c r="B1399" i="1"/>
  <c r="A1399" i="1"/>
  <c r="F1398" i="1"/>
  <c r="E1398" i="1"/>
  <c r="D1398" i="1"/>
  <c r="C1398" i="1"/>
  <c r="B1398" i="1"/>
  <c r="A1398" i="1"/>
  <c r="F1397" i="1"/>
  <c r="E1397" i="1"/>
  <c r="D1397" i="1"/>
  <c r="C1397" i="1"/>
  <c r="B1397" i="1"/>
  <c r="A1397" i="1"/>
  <c r="F1396" i="1"/>
  <c r="E1396" i="1"/>
  <c r="D1396" i="1"/>
  <c r="C1396" i="1"/>
  <c r="B1396" i="1"/>
  <c r="A1396" i="1"/>
  <c r="F1395" i="1"/>
  <c r="E1395" i="1"/>
  <c r="D1395" i="1"/>
  <c r="C1395" i="1"/>
  <c r="B1395" i="1"/>
  <c r="A1395" i="1"/>
  <c r="F1394" i="1"/>
  <c r="E1394" i="1"/>
  <c r="D1394" i="1"/>
  <c r="C1394" i="1"/>
  <c r="B1394" i="1"/>
  <c r="A1394" i="1"/>
  <c r="F1393" i="1"/>
  <c r="E1393" i="1"/>
  <c r="D1393" i="1"/>
  <c r="C1393" i="1"/>
  <c r="B1393" i="1"/>
  <c r="A1393" i="1"/>
  <c r="F1392" i="1"/>
  <c r="E1392" i="1"/>
  <c r="D1392" i="1"/>
  <c r="C1392" i="1"/>
  <c r="B1392" i="1"/>
  <c r="A1392" i="1"/>
  <c r="F1391" i="1"/>
  <c r="E1391" i="1"/>
  <c r="D1391" i="1"/>
  <c r="C1391" i="1"/>
  <c r="B1391" i="1"/>
  <c r="A1391" i="1"/>
  <c r="F1390" i="1"/>
  <c r="E1390" i="1"/>
  <c r="D1390" i="1"/>
  <c r="C1390" i="1"/>
  <c r="B1390" i="1"/>
  <c r="A1390" i="1"/>
  <c r="F1389" i="1"/>
  <c r="E1389" i="1"/>
  <c r="D1389" i="1"/>
  <c r="C1389" i="1"/>
  <c r="B1389" i="1"/>
  <c r="A1389" i="1"/>
  <c r="F1388" i="1"/>
  <c r="E1388" i="1"/>
  <c r="D1388" i="1"/>
  <c r="C1388" i="1"/>
  <c r="B1388" i="1"/>
  <c r="A1388" i="1"/>
  <c r="F1387" i="1"/>
  <c r="E1387" i="1"/>
  <c r="D1387" i="1"/>
  <c r="C1387" i="1"/>
  <c r="B1387" i="1"/>
  <c r="A1387" i="1"/>
  <c r="F1386" i="1"/>
  <c r="E1386" i="1"/>
  <c r="D1386" i="1"/>
  <c r="C1386" i="1"/>
  <c r="B1386" i="1"/>
  <c r="A1386" i="1"/>
  <c r="F1385" i="1"/>
  <c r="E1385" i="1"/>
  <c r="D1385" i="1"/>
  <c r="C1385" i="1"/>
  <c r="B1385" i="1"/>
  <c r="A1385" i="1"/>
  <c r="F1384" i="1"/>
  <c r="E1384" i="1"/>
  <c r="D1384" i="1"/>
  <c r="C1384" i="1"/>
  <c r="B1384" i="1"/>
  <c r="A1384" i="1"/>
  <c r="F1383" i="1"/>
  <c r="E1383" i="1"/>
  <c r="D1383" i="1"/>
  <c r="C1383" i="1"/>
  <c r="B1383" i="1"/>
  <c r="A1383" i="1"/>
  <c r="F1382" i="1"/>
  <c r="E1382" i="1"/>
  <c r="D1382" i="1"/>
  <c r="C1382" i="1"/>
  <c r="B1382" i="1"/>
  <c r="A1382" i="1"/>
  <c r="F1381" i="1"/>
  <c r="E1381" i="1"/>
  <c r="D1381" i="1"/>
  <c r="C1381" i="1"/>
  <c r="B1381" i="1"/>
  <c r="A1381" i="1"/>
  <c r="F1380" i="1"/>
  <c r="E1380" i="1"/>
  <c r="D1380" i="1"/>
  <c r="C1380" i="1"/>
  <c r="B1380" i="1"/>
  <c r="A1380" i="1"/>
  <c r="F1379" i="1"/>
  <c r="E1379" i="1"/>
  <c r="D1379" i="1"/>
  <c r="C1379" i="1"/>
  <c r="B1379" i="1"/>
  <c r="A1379" i="1"/>
  <c r="F1378" i="1"/>
  <c r="E1378" i="1"/>
  <c r="D1378" i="1"/>
  <c r="C1378" i="1"/>
  <c r="B1378" i="1"/>
  <c r="A1378" i="1"/>
  <c r="F1377" i="1"/>
  <c r="E1377" i="1"/>
  <c r="D1377" i="1"/>
  <c r="C1377" i="1"/>
  <c r="B1377" i="1"/>
  <c r="A1377" i="1"/>
  <c r="F1376" i="1"/>
  <c r="E1376" i="1"/>
  <c r="D1376" i="1"/>
  <c r="C1376" i="1"/>
  <c r="B1376" i="1"/>
  <c r="A1376" i="1"/>
  <c r="F1375" i="1"/>
  <c r="E1375" i="1"/>
  <c r="D1375" i="1"/>
  <c r="C1375" i="1"/>
  <c r="B1375" i="1"/>
  <c r="A1375" i="1"/>
  <c r="F1374" i="1"/>
  <c r="E1374" i="1"/>
  <c r="D1374" i="1"/>
  <c r="C1374" i="1"/>
  <c r="B1374" i="1"/>
  <c r="A1374" i="1"/>
  <c r="F1373" i="1"/>
  <c r="E1373" i="1"/>
  <c r="D1373" i="1"/>
  <c r="C1373" i="1"/>
  <c r="B1373" i="1"/>
  <c r="A1373" i="1"/>
  <c r="F1372" i="1"/>
  <c r="E1372" i="1"/>
  <c r="D1372" i="1"/>
  <c r="C1372" i="1"/>
  <c r="B1372" i="1"/>
  <c r="A1372" i="1"/>
  <c r="F1371" i="1"/>
  <c r="E1371" i="1"/>
  <c r="D1371" i="1"/>
  <c r="C1371" i="1"/>
  <c r="B1371" i="1"/>
  <c r="A1371" i="1"/>
  <c r="F1370" i="1"/>
  <c r="E1370" i="1"/>
  <c r="D1370" i="1"/>
  <c r="C1370" i="1"/>
  <c r="B1370" i="1"/>
  <c r="A1370" i="1"/>
  <c r="F1369" i="1"/>
  <c r="E1369" i="1"/>
  <c r="D1369" i="1"/>
  <c r="C1369" i="1"/>
  <c r="B1369" i="1"/>
  <c r="A1369" i="1"/>
  <c r="F1368" i="1"/>
  <c r="E1368" i="1"/>
  <c r="D1368" i="1"/>
  <c r="C1368" i="1"/>
  <c r="B1368" i="1"/>
  <c r="A1368" i="1"/>
  <c r="F1367" i="1"/>
  <c r="E1367" i="1"/>
  <c r="D1367" i="1"/>
  <c r="C1367" i="1"/>
  <c r="B1367" i="1"/>
  <c r="A1367" i="1"/>
  <c r="F1366" i="1"/>
  <c r="E1366" i="1"/>
  <c r="D1366" i="1"/>
  <c r="C1366" i="1"/>
  <c r="B1366" i="1"/>
  <c r="A1366" i="1"/>
  <c r="F1365" i="1"/>
  <c r="E1365" i="1"/>
  <c r="D1365" i="1"/>
  <c r="C1365" i="1"/>
  <c r="B1365" i="1"/>
  <c r="A1365" i="1"/>
  <c r="F1364" i="1"/>
  <c r="E1364" i="1"/>
  <c r="D1364" i="1"/>
  <c r="C1364" i="1"/>
  <c r="B1364" i="1"/>
  <c r="A1364" i="1"/>
  <c r="F1363" i="1"/>
  <c r="E1363" i="1"/>
  <c r="D1363" i="1"/>
  <c r="C1363" i="1"/>
  <c r="B1363" i="1"/>
  <c r="A1363" i="1"/>
  <c r="F1362" i="1"/>
  <c r="E1362" i="1"/>
  <c r="D1362" i="1"/>
  <c r="C1362" i="1"/>
  <c r="B1362" i="1"/>
  <c r="A1362" i="1"/>
  <c r="F1361" i="1"/>
  <c r="E1361" i="1"/>
  <c r="D1361" i="1"/>
  <c r="C1361" i="1"/>
  <c r="B1361" i="1"/>
  <c r="A1361" i="1"/>
  <c r="F1360" i="1"/>
  <c r="E1360" i="1"/>
  <c r="D1360" i="1"/>
  <c r="C1360" i="1"/>
  <c r="B1360" i="1"/>
  <c r="A1360" i="1"/>
  <c r="F1359" i="1"/>
  <c r="E1359" i="1"/>
  <c r="D1359" i="1"/>
  <c r="C1359" i="1"/>
  <c r="B1359" i="1"/>
  <c r="A1359" i="1"/>
  <c r="F1358" i="1"/>
  <c r="E1358" i="1"/>
  <c r="D1358" i="1"/>
  <c r="C1358" i="1"/>
  <c r="B1358" i="1"/>
  <c r="A1358" i="1"/>
  <c r="F1357" i="1"/>
  <c r="E1357" i="1"/>
  <c r="D1357" i="1"/>
  <c r="C1357" i="1"/>
  <c r="B1357" i="1"/>
  <c r="A1357" i="1"/>
  <c r="F1356" i="1"/>
  <c r="E1356" i="1"/>
  <c r="D1356" i="1"/>
  <c r="C1356" i="1"/>
  <c r="B1356" i="1"/>
  <c r="A1356" i="1"/>
  <c r="F1355" i="1"/>
  <c r="E1355" i="1"/>
  <c r="D1355" i="1"/>
  <c r="C1355" i="1"/>
  <c r="B1355" i="1"/>
  <c r="A1355" i="1"/>
  <c r="F1354" i="1"/>
  <c r="E1354" i="1"/>
  <c r="D1354" i="1"/>
  <c r="C1354" i="1"/>
  <c r="B1354" i="1"/>
  <c r="A1354" i="1"/>
  <c r="F1353" i="1"/>
  <c r="E1353" i="1"/>
  <c r="D1353" i="1"/>
  <c r="C1353" i="1"/>
  <c r="B1353" i="1"/>
  <c r="A1353" i="1"/>
  <c r="F1352" i="1"/>
  <c r="E1352" i="1"/>
  <c r="D1352" i="1"/>
  <c r="C1352" i="1"/>
  <c r="B1352" i="1"/>
  <c r="A1352" i="1"/>
  <c r="F1351" i="1"/>
  <c r="E1351" i="1"/>
  <c r="D1351" i="1"/>
  <c r="C1351" i="1"/>
  <c r="B1351" i="1"/>
  <c r="A1351" i="1"/>
  <c r="F1350" i="1"/>
  <c r="E1350" i="1"/>
  <c r="D1350" i="1"/>
  <c r="C1350" i="1"/>
  <c r="B1350" i="1"/>
  <c r="A1350" i="1"/>
  <c r="F1349" i="1"/>
  <c r="E1349" i="1"/>
  <c r="D1349" i="1"/>
  <c r="C1349" i="1"/>
  <c r="B1349" i="1"/>
  <c r="A1349" i="1"/>
  <c r="F1348" i="1"/>
  <c r="E1348" i="1"/>
  <c r="D1348" i="1"/>
  <c r="C1348" i="1"/>
  <c r="B1348" i="1"/>
  <c r="A1348" i="1"/>
  <c r="F1347" i="1"/>
  <c r="E1347" i="1"/>
  <c r="D1347" i="1"/>
  <c r="C1347" i="1"/>
  <c r="B1347" i="1"/>
  <c r="A1347" i="1"/>
  <c r="F1346" i="1"/>
  <c r="E1346" i="1"/>
  <c r="D1346" i="1"/>
  <c r="C1346" i="1"/>
  <c r="B1346" i="1"/>
  <c r="A1346" i="1"/>
  <c r="F1345" i="1"/>
  <c r="E1345" i="1"/>
  <c r="D1345" i="1"/>
  <c r="C1345" i="1"/>
  <c r="B1345" i="1"/>
  <c r="A1345" i="1"/>
  <c r="F1344" i="1"/>
  <c r="E1344" i="1"/>
  <c r="D1344" i="1"/>
  <c r="C1344" i="1"/>
  <c r="B1344" i="1"/>
  <c r="A1344" i="1"/>
  <c r="F1343" i="1"/>
  <c r="E1343" i="1"/>
  <c r="D1343" i="1"/>
  <c r="C1343" i="1"/>
  <c r="B1343" i="1"/>
  <c r="A1343" i="1"/>
  <c r="F1342" i="1"/>
  <c r="E1342" i="1"/>
  <c r="D1342" i="1"/>
  <c r="C1342" i="1"/>
  <c r="B1342" i="1"/>
  <c r="A1342" i="1"/>
  <c r="F1341" i="1"/>
  <c r="E1341" i="1"/>
  <c r="D1341" i="1"/>
  <c r="C1341" i="1"/>
  <c r="B1341" i="1"/>
  <c r="A1341" i="1"/>
  <c r="F1340" i="1"/>
  <c r="E1340" i="1"/>
  <c r="D1340" i="1"/>
  <c r="C1340" i="1"/>
  <c r="B1340" i="1"/>
  <c r="A1340" i="1"/>
  <c r="F1339" i="1"/>
  <c r="E1339" i="1"/>
  <c r="D1339" i="1"/>
  <c r="C1339" i="1"/>
  <c r="B1339" i="1"/>
  <c r="A1339" i="1"/>
  <c r="F1338" i="1"/>
  <c r="E1338" i="1"/>
  <c r="D1338" i="1"/>
  <c r="C1338" i="1"/>
  <c r="B1338" i="1"/>
  <c r="A1338" i="1"/>
  <c r="F1337" i="1"/>
  <c r="E1337" i="1"/>
  <c r="D1337" i="1"/>
  <c r="C1337" i="1"/>
  <c r="B1337" i="1"/>
  <c r="A1337" i="1"/>
  <c r="F1336" i="1"/>
  <c r="E1336" i="1"/>
  <c r="D1336" i="1"/>
  <c r="C1336" i="1"/>
  <c r="B1336" i="1"/>
  <c r="A1336" i="1"/>
  <c r="F1335" i="1"/>
  <c r="E1335" i="1"/>
  <c r="D1335" i="1"/>
  <c r="C1335" i="1"/>
  <c r="B1335" i="1"/>
  <c r="A1335" i="1"/>
  <c r="F1334" i="1"/>
  <c r="E1334" i="1"/>
  <c r="D1334" i="1"/>
  <c r="C1334" i="1"/>
  <c r="B1334" i="1"/>
  <c r="A1334" i="1"/>
  <c r="F1333" i="1"/>
  <c r="E1333" i="1"/>
  <c r="D1333" i="1"/>
  <c r="C1333" i="1"/>
  <c r="B1333" i="1"/>
  <c r="A1333" i="1"/>
  <c r="F1332" i="1"/>
  <c r="E1332" i="1"/>
  <c r="D1332" i="1"/>
  <c r="C1332" i="1"/>
  <c r="B1332" i="1"/>
  <c r="A1332" i="1"/>
  <c r="F1331" i="1"/>
  <c r="E1331" i="1"/>
  <c r="D1331" i="1"/>
  <c r="C1331" i="1"/>
  <c r="B1331" i="1"/>
  <c r="A1331" i="1"/>
  <c r="F1330" i="1"/>
  <c r="E1330" i="1"/>
  <c r="D1330" i="1"/>
  <c r="C1330" i="1"/>
  <c r="B1330" i="1"/>
  <c r="A1330" i="1"/>
  <c r="F1329" i="1"/>
  <c r="E1329" i="1"/>
  <c r="D1329" i="1"/>
  <c r="C1329" i="1"/>
  <c r="B1329" i="1"/>
  <c r="A1329" i="1"/>
  <c r="F1328" i="1"/>
  <c r="E1328" i="1"/>
  <c r="D1328" i="1"/>
  <c r="C1328" i="1"/>
  <c r="B1328" i="1"/>
  <c r="A1328" i="1"/>
  <c r="F1327" i="1"/>
  <c r="E1327" i="1"/>
  <c r="D1327" i="1"/>
  <c r="C1327" i="1"/>
  <c r="B1327" i="1"/>
  <c r="A1327" i="1"/>
  <c r="F1326" i="1"/>
  <c r="E1326" i="1"/>
  <c r="D1326" i="1"/>
  <c r="C1326" i="1"/>
  <c r="B1326" i="1"/>
  <c r="A1326" i="1"/>
  <c r="F1325" i="1"/>
  <c r="E1325" i="1"/>
  <c r="D1325" i="1"/>
  <c r="C1325" i="1"/>
  <c r="B1325" i="1"/>
  <c r="A1325" i="1"/>
  <c r="F1324" i="1"/>
  <c r="E1324" i="1"/>
  <c r="D1324" i="1"/>
  <c r="C1324" i="1"/>
  <c r="B1324" i="1"/>
  <c r="A1324" i="1"/>
  <c r="F1323" i="1"/>
  <c r="E1323" i="1"/>
  <c r="D1323" i="1"/>
  <c r="C1323" i="1"/>
  <c r="B1323" i="1"/>
  <c r="A1323" i="1"/>
  <c r="F1322" i="1"/>
  <c r="E1322" i="1"/>
  <c r="D1322" i="1"/>
  <c r="C1322" i="1"/>
  <c r="B1322" i="1"/>
  <c r="A1322" i="1"/>
  <c r="F1321" i="1"/>
  <c r="E1321" i="1"/>
  <c r="D1321" i="1"/>
  <c r="C1321" i="1"/>
  <c r="B1321" i="1"/>
  <c r="A1321" i="1"/>
  <c r="F1320" i="1"/>
  <c r="E1320" i="1"/>
  <c r="D1320" i="1"/>
  <c r="C1320" i="1"/>
  <c r="B1320" i="1"/>
  <c r="A1320" i="1"/>
  <c r="F1319" i="1"/>
  <c r="E1319" i="1"/>
  <c r="D1319" i="1"/>
  <c r="C1319" i="1"/>
  <c r="B1319" i="1"/>
  <c r="A1319" i="1"/>
  <c r="F1318" i="1"/>
  <c r="E1318" i="1"/>
  <c r="D1318" i="1"/>
  <c r="C1318" i="1"/>
  <c r="B1318" i="1"/>
  <c r="A1318" i="1"/>
  <c r="F1317" i="1"/>
  <c r="E1317" i="1"/>
  <c r="D1317" i="1"/>
  <c r="C1317" i="1"/>
  <c r="B1317" i="1"/>
  <c r="A1317" i="1"/>
  <c r="F1316" i="1"/>
  <c r="E1316" i="1"/>
  <c r="D1316" i="1"/>
  <c r="C1316" i="1"/>
  <c r="B1316" i="1"/>
  <c r="A1316" i="1"/>
  <c r="F1315" i="1"/>
  <c r="E1315" i="1"/>
  <c r="D1315" i="1"/>
  <c r="C1315" i="1"/>
  <c r="B1315" i="1"/>
  <c r="A1315" i="1"/>
  <c r="F1314" i="1"/>
  <c r="E1314" i="1"/>
  <c r="D1314" i="1"/>
  <c r="C1314" i="1"/>
  <c r="B1314" i="1"/>
  <c r="A1314" i="1"/>
  <c r="F1313" i="1"/>
  <c r="E1313" i="1"/>
  <c r="D1313" i="1"/>
  <c r="C1313" i="1"/>
  <c r="B1313" i="1"/>
  <c r="A1313" i="1"/>
  <c r="F1312" i="1"/>
  <c r="E1312" i="1"/>
  <c r="D1312" i="1"/>
  <c r="C1312" i="1"/>
  <c r="B1312" i="1"/>
  <c r="A1312" i="1"/>
  <c r="F1311" i="1"/>
  <c r="E1311" i="1"/>
  <c r="D1311" i="1"/>
  <c r="C1311" i="1"/>
  <c r="B1311" i="1"/>
  <c r="A1311" i="1"/>
  <c r="F1310" i="1"/>
  <c r="E1310" i="1"/>
  <c r="D1310" i="1"/>
  <c r="C1310" i="1"/>
  <c r="B1310" i="1"/>
  <c r="A1310" i="1"/>
  <c r="F1309" i="1"/>
  <c r="E1309" i="1"/>
  <c r="D1309" i="1"/>
  <c r="C1309" i="1"/>
  <c r="B1309" i="1"/>
  <c r="A1309" i="1"/>
  <c r="F1308" i="1"/>
  <c r="E1308" i="1"/>
  <c r="D1308" i="1"/>
  <c r="C1308" i="1"/>
  <c r="B1308" i="1"/>
  <c r="A1308" i="1"/>
  <c r="F1307" i="1"/>
  <c r="E1307" i="1"/>
  <c r="D1307" i="1"/>
  <c r="C1307" i="1"/>
  <c r="B1307" i="1"/>
  <c r="A1307" i="1"/>
  <c r="F1306" i="1"/>
  <c r="E1306" i="1"/>
  <c r="D1306" i="1"/>
  <c r="C1306" i="1"/>
  <c r="B1306" i="1"/>
  <c r="A1306" i="1"/>
  <c r="F1305" i="1"/>
  <c r="E1305" i="1"/>
  <c r="D1305" i="1"/>
  <c r="C1305" i="1"/>
  <c r="B1305" i="1"/>
  <c r="A1305" i="1"/>
  <c r="F1304" i="1"/>
  <c r="E1304" i="1"/>
  <c r="D1304" i="1"/>
  <c r="C1304" i="1"/>
  <c r="B1304" i="1"/>
  <c r="A1304" i="1"/>
  <c r="F1303" i="1"/>
  <c r="E1303" i="1"/>
  <c r="D1303" i="1"/>
  <c r="C1303" i="1"/>
  <c r="B1303" i="1"/>
  <c r="A1303" i="1"/>
  <c r="F1302" i="1"/>
  <c r="E1302" i="1"/>
  <c r="D1302" i="1"/>
  <c r="C1302" i="1"/>
  <c r="B1302" i="1"/>
  <c r="A1302" i="1"/>
  <c r="F1301" i="1"/>
  <c r="E1301" i="1"/>
  <c r="D1301" i="1"/>
  <c r="C1301" i="1"/>
  <c r="B1301" i="1"/>
  <c r="A1301" i="1"/>
  <c r="F1300" i="1"/>
  <c r="E1300" i="1"/>
  <c r="D1300" i="1"/>
  <c r="C1300" i="1"/>
  <c r="B1300" i="1"/>
  <c r="A1300" i="1"/>
  <c r="F1299" i="1"/>
  <c r="E1299" i="1"/>
  <c r="D1299" i="1"/>
  <c r="C1299" i="1"/>
  <c r="B1299" i="1"/>
  <c r="A1299" i="1"/>
  <c r="F1298" i="1"/>
  <c r="E1298" i="1"/>
  <c r="D1298" i="1"/>
  <c r="C1298" i="1"/>
  <c r="B1298" i="1"/>
  <c r="A1298" i="1"/>
  <c r="F1297" i="1"/>
  <c r="E1297" i="1"/>
  <c r="D1297" i="1"/>
  <c r="C1297" i="1"/>
  <c r="B1297" i="1"/>
  <c r="A1297" i="1"/>
  <c r="F1296" i="1"/>
  <c r="E1296" i="1"/>
  <c r="D1296" i="1"/>
  <c r="C1296" i="1"/>
  <c r="B1296" i="1"/>
  <c r="A1296" i="1"/>
  <c r="F1295" i="1"/>
  <c r="E1295" i="1"/>
  <c r="D1295" i="1"/>
  <c r="C1295" i="1"/>
  <c r="B1295" i="1"/>
  <c r="A1295" i="1"/>
  <c r="F1294" i="1"/>
  <c r="E1294" i="1"/>
  <c r="D1294" i="1"/>
  <c r="C1294" i="1"/>
  <c r="B1294" i="1"/>
  <c r="A1294" i="1"/>
  <c r="F1293" i="1"/>
  <c r="E1293" i="1"/>
  <c r="D1293" i="1"/>
  <c r="C1293" i="1"/>
  <c r="B1293" i="1"/>
  <c r="A1293" i="1"/>
  <c r="F1292" i="1"/>
  <c r="E1292" i="1"/>
  <c r="D1292" i="1"/>
  <c r="C1292" i="1"/>
  <c r="B1292" i="1"/>
  <c r="A1292" i="1"/>
  <c r="F1291" i="1"/>
  <c r="E1291" i="1"/>
  <c r="D1291" i="1"/>
  <c r="C1291" i="1"/>
  <c r="B1291" i="1"/>
  <c r="A1291" i="1"/>
  <c r="F1290" i="1"/>
  <c r="E1290" i="1"/>
  <c r="D1290" i="1"/>
  <c r="C1290" i="1"/>
  <c r="B1290" i="1"/>
  <c r="A1290" i="1"/>
  <c r="F1289" i="1"/>
  <c r="E1289" i="1"/>
  <c r="D1289" i="1"/>
  <c r="C1289" i="1"/>
  <c r="B1289" i="1"/>
  <c r="A1289" i="1"/>
  <c r="F1288" i="1"/>
  <c r="E1288" i="1"/>
  <c r="D1288" i="1"/>
  <c r="C1288" i="1"/>
  <c r="B1288" i="1"/>
  <c r="A1288" i="1"/>
  <c r="F1287" i="1"/>
  <c r="E1287" i="1"/>
  <c r="D1287" i="1"/>
  <c r="C1287" i="1"/>
  <c r="B1287" i="1"/>
  <c r="A1287" i="1"/>
  <c r="F1286" i="1"/>
  <c r="E1286" i="1"/>
  <c r="D1286" i="1"/>
  <c r="C1286" i="1"/>
  <c r="B1286" i="1"/>
  <c r="A1286" i="1"/>
  <c r="F1285" i="1"/>
  <c r="E1285" i="1"/>
  <c r="D1285" i="1"/>
  <c r="C1285" i="1"/>
  <c r="B1285" i="1"/>
  <c r="A1285" i="1"/>
  <c r="F1284" i="1"/>
  <c r="E1284" i="1"/>
  <c r="D1284" i="1"/>
  <c r="C1284" i="1"/>
  <c r="B1284" i="1"/>
  <c r="A1284" i="1"/>
  <c r="F1283" i="1"/>
  <c r="E1283" i="1"/>
  <c r="D1283" i="1"/>
  <c r="C1283" i="1"/>
  <c r="B1283" i="1"/>
  <c r="A1283" i="1"/>
  <c r="F1282" i="1"/>
  <c r="E1282" i="1"/>
  <c r="D1282" i="1"/>
  <c r="C1282" i="1"/>
  <c r="B1282" i="1"/>
  <c r="A1282" i="1"/>
  <c r="F1281" i="1"/>
  <c r="E1281" i="1"/>
  <c r="D1281" i="1"/>
  <c r="C1281" i="1"/>
  <c r="B1281" i="1"/>
  <c r="A1281" i="1"/>
  <c r="F1280" i="1"/>
  <c r="E1280" i="1"/>
  <c r="D1280" i="1"/>
  <c r="C1280" i="1"/>
  <c r="B1280" i="1"/>
  <c r="A1280" i="1"/>
  <c r="F1279" i="1"/>
  <c r="E1279" i="1"/>
  <c r="D1279" i="1"/>
  <c r="C1279" i="1"/>
  <c r="B1279" i="1"/>
  <c r="A1279" i="1"/>
  <c r="F1278" i="1"/>
  <c r="E1278" i="1"/>
  <c r="D1278" i="1"/>
  <c r="C1278" i="1"/>
  <c r="B1278" i="1"/>
  <c r="A1278" i="1"/>
  <c r="F1277" i="1"/>
  <c r="E1277" i="1"/>
  <c r="D1277" i="1"/>
  <c r="C1277" i="1"/>
  <c r="B1277" i="1"/>
  <c r="A1277" i="1"/>
  <c r="F1276" i="1"/>
  <c r="E1276" i="1"/>
  <c r="D1276" i="1"/>
  <c r="C1276" i="1"/>
  <c r="B1276" i="1"/>
  <c r="A1276" i="1"/>
  <c r="F1275" i="1"/>
  <c r="E1275" i="1"/>
  <c r="D1275" i="1"/>
  <c r="C1275" i="1"/>
  <c r="B1275" i="1"/>
  <c r="A1275" i="1"/>
  <c r="F1274" i="1"/>
  <c r="E1274" i="1"/>
  <c r="D1274" i="1"/>
  <c r="C1274" i="1"/>
  <c r="B1274" i="1"/>
  <c r="A1274" i="1"/>
  <c r="F1273" i="1"/>
  <c r="E1273" i="1"/>
  <c r="D1273" i="1"/>
  <c r="C1273" i="1"/>
  <c r="B1273" i="1"/>
  <c r="A1273" i="1"/>
  <c r="F1272" i="1"/>
  <c r="E1272" i="1"/>
  <c r="D1272" i="1"/>
  <c r="C1272" i="1"/>
  <c r="B1272" i="1"/>
  <c r="A1272" i="1"/>
  <c r="F1271" i="1"/>
  <c r="E1271" i="1"/>
  <c r="D1271" i="1"/>
  <c r="C1271" i="1"/>
  <c r="B1271" i="1"/>
  <c r="A1271" i="1"/>
  <c r="F1270" i="1"/>
  <c r="E1270" i="1"/>
  <c r="D1270" i="1"/>
  <c r="C1270" i="1"/>
  <c r="B1270" i="1"/>
  <c r="A1270" i="1"/>
  <c r="F1269" i="1"/>
  <c r="E1269" i="1"/>
  <c r="D1269" i="1"/>
  <c r="C1269" i="1"/>
  <c r="B1269" i="1"/>
  <c r="A1269" i="1"/>
  <c r="F1268" i="1"/>
  <c r="E1268" i="1"/>
  <c r="D1268" i="1"/>
  <c r="C1268" i="1"/>
  <c r="B1268" i="1"/>
  <c r="A1268" i="1"/>
  <c r="F1267" i="1"/>
  <c r="E1267" i="1"/>
  <c r="D1267" i="1"/>
  <c r="C1267" i="1"/>
  <c r="B1267" i="1"/>
  <c r="A1267" i="1"/>
  <c r="F1266" i="1"/>
  <c r="E1266" i="1"/>
  <c r="D1266" i="1"/>
  <c r="C1266" i="1"/>
  <c r="B1266" i="1"/>
  <c r="A1266" i="1"/>
  <c r="F1265" i="1"/>
  <c r="E1265" i="1"/>
  <c r="D1265" i="1"/>
  <c r="C1265" i="1"/>
  <c r="B1265" i="1"/>
  <c r="A1265" i="1"/>
  <c r="F1264" i="1"/>
  <c r="E1264" i="1"/>
  <c r="D1264" i="1"/>
  <c r="C1264" i="1"/>
  <c r="B1264" i="1"/>
  <c r="A1264" i="1"/>
  <c r="F1263" i="1"/>
  <c r="E1263" i="1"/>
  <c r="D1263" i="1"/>
  <c r="C1263" i="1"/>
  <c r="B1263" i="1"/>
  <c r="A1263" i="1"/>
  <c r="F1262" i="1"/>
  <c r="E1262" i="1"/>
  <c r="D1262" i="1"/>
  <c r="C1262" i="1"/>
  <c r="B1262" i="1"/>
  <c r="A1262" i="1"/>
  <c r="F1261" i="1"/>
  <c r="E1261" i="1"/>
  <c r="D1261" i="1"/>
  <c r="C1261" i="1"/>
  <c r="B1261" i="1"/>
  <c r="A1261" i="1"/>
  <c r="F1260" i="1"/>
  <c r="E1260" i="1"/>
  <c r="D1260" i="1"/>
  <c r="C1260" i="1"/>
  <c r="B1260" i="1"/>
  <c r="A1260" i="1"/>
  <c r="F1259" i="1"/>
  <c r="E1259" i="1"/>
  <c r="D1259" i="1"/>
  <c r="C1259" i="1"/>
  <c r="B1259" i="1"/>
  <c r="A1259" i="1"/>
  <c r="F1258" i="1"/>
  <c r="E1258" i="1"/>
  <c r="D1258" i="1"/>
  <c r="C1258" i="1"/>
  <c r="B1258" i="1"/>
  <c r="A1258" i="1"/>
  <c r="F1257" i="1"/>
  <c r="E1257" i="1"/>
  <c r="D1257" i="1"/>
  <c r="C1257" i="1"/>
  <c r="B1257" i="1"/>
  <c r="A1257" i="1"/>
  <c r="F1256" i="1"/>
  <c r="E1256" i="1"/>
  <c r="D1256" i="1"/>
  <c r="C1256" i="1"/>
  <c r="B1256" i="1"/>
  <c r="A1256" i="1"/>
  <c r="F1255" i="1"/>
  <c r="E1255" i="1"/>
  <c r="D1255" i="1"/>
  <c r="C1255" i="1"/>
  <c r="B1255" i="1"/>
  <c r="A1255" i="1"/>
  <c r="F1254" i="1"/>
  <c r="E1254" i="1"/>
  <c r="D1254" i="1"/>
  <c r="C1254" i="1"/>
  <c r="B1254" i="1"/>
  <c r="A1254" i="1"/>
  <c r="F1253" i="1"/>
  <c r="E1253" i="1"/>
  <c r="D1253" i="1"/>
  <c r="C1253" i="1"/>
  <c r="B1253" i="1"/>
  <c r="A1253" i="1"/>
  <c r="F1252" i="1"/>
  <c r="E1252" i="1"/>
  <c r="D1252" i="1"/>
  <c r="C1252" i="1"/>
  <c r="B1252" i="1"/>
  <c r="A1252" i="1"/>
  <c r="F1251" i="1"/>
  <c r="E1251" i="1"/>
  <c r="D1251" i="1"/>
  <c r="C1251" i="1"/>
  <c r="B1251" i="1"/>
  <c r="A1251" i="1"/>
  <c r="F1250" i="1"/>
  <c r="E1250" i="1"/>
  <c r="D1250" i="1"/>
  <c r="C1250" i="1"/>
  <c r="B1250" i="1"/>
  <c r="A1250" i="1"/>
  <c r="F1249" i="1"/>
  <c r="E1249" i="1"/>
  <c r="D1249" i="1"/>
  <c r="C1249" i="1"/>
  <c r="B1249" i="1"/>
  <c r="A1249" i="1"/>
  <c r="F1248" i="1"/>
  <c r="E1248" i="1"/>
  <c r="D1248" i="1"/>
  <c r="C1248" i="1"/>
  <c r="B1248" i="1"/>
  <c r="A1248" i="1"/>
  <c r="F1247" i="1"/>
  <c r="E1247" i="1"/>
  <c r="D1247" i="1"/>
  <c r="C1247" i="1"/>
  <c r="B1247" i="1"/>
  <c r="A1247" i="1"/>
  <c r="F1246" i="1"/>
  <c r="E1246" i="1"/>
  <c r="D1246" i="1"/>
  <c r="C1246" i="1"/>
  <c r="B1246" i="1"/>
  <c r="A1246" i="1"/>
  <c r="F1245" i="1"/>
  <c r="E1245" i="1"/>
  <c r="D1245" i="1"/>
  <c r="C1245" i="1"/>
  <c r="B1245" i="1"/>
  <c r="A1245" i="1"/>
  <c r="F1244" i="1"/>
  <c r="E1244" i="1"/>
  <c r="D1244" i="1"/>
  <c r="C1244" i="1"/>
  <c r="B1244" i="1"/>
  <c r="A1244" i="1"/>
  <c r="F1243" i="1"/>
  <c r="E1243" i="1"/>
  <c r="D1243" i="1"/>
  <c r="C1243" i="1"/>
  <c r="B1243" i="1"/>
  <c r="A1243" i="1"/>
  <c r="F1242" i="1"/>
  <c r="E1242" i="1"/>
  <c r="D1242" i="1"/>
  <c r="C1242" i="1"/>
  <c r="B1242" i="1"/>
  <c r="A1242" i="1"/>
  <c r="F1241" i="1"/>
  <c r="E1241" i="1"/>
  <c r="D1241" i="1"/>
  <c r="C1241" i="1"/>
  <c r="B1241" i="1"/>
  <c r="A1241" i="1"/>
  <c r="F1240" i="1"/>
  <c r="E1240" i="1"/>
  <c r="D1240" i="1"/>
  <c r="C1240" i="1"/>
  <c r="B1240" i="1"/>
  <c r="A1240" i="1"/>
  <c r="F1239" i="1"/>
  <c r="E1239" i="1"/>
  <c r="D1239" i="1"/>
  <c r="C1239" i="1"/>
  <c r="B1239" i="1"/>
  <c r="A1239" i="1"/>
  <c r="F1238" i="1"/>
  <c r="E1238" i="1"/>
  <c r="D1238" i="1"/>
  <c r="C1238" i="1"/>
  <c r="B1238" i="1"/>
  <c r="A1238" i="1"/>
  <c r="F1237" i="1"/>
  <c r="E1237" i="1"/>
  <c r="D1237" i="1"/>
  <c r="C1237" i="1"/>
  <c r="B1237" i="1"/>
  <c r="A1237" i="1"/>
  <c r="F1236" i="1"/>
  <c r="E1236" i="1"/>
  <c r="D1236" i="1"/>
  <c r="C1236" i="1"/>
  <c r="B1236" i="1"/>
  <c r="A1236" i="1"/>
  <c r="F1235" i="1"/>
  <c r="E1235" i="1"/>
  <c r="D1235" i="1"/>
  <c r="C1235" i="1"/>
  <c r="B1235" i="1"/>
  <c r="A1235" i="1"/>
  <c r="F1234" i="1"/>
  <c r="E1234" i="1"/>
  <c r="D1234" i="1"/>
  <c r="C1234" i="1"/>
  <c r="B1234" i="1"/>
  <c r="A1234" i="1"/>
  <c r="F1233" i="1"/>
  <c r="E1233" i="1"/>
  <c r="D1233" i="1"/>
  <c r="C1233" i="1"/>
  <c r="B1233" i="1"/>
  <c r="A1233" i="1"/>
  <c r="F1232" i="1"/>
  <c r="E1232" i="1"/>
  <c r="D1232" i="1"/>
  <c r="C1232" i="1"/>
  <c r="B1232" i="1"/>
  <c r="A1232" i="1"/>
  <c r="F1231" i="1"/>
  <c r="E1231" i="1"/>
  <c r="D1231" i="1"/>
  <c r="C1231" i="1"/>
  <c r="B1231" i="1"/>
  <c r="A1231" i="1"/>
  <c r="F1230" i="1"/>
  <c r="E1230" i="1"/>
  <c r="D1230" i="1"/>
  <c r="C1230" i="1"/>
  <c r="B1230" i="1"/>
  <c r="A1230" i="1"/>
  <c r="F1229" i="1"/>
  <c r="E1229" i="1"/>
  <c r="D1229" i="1"/>
  <c r="C1229" i="1"/>
  <c r="B1229" i="1"/>
  <c r="A1229" i="1"/>
  <c r="F1228" i="1"/>
  <c r="E1228" i="1"/>
  <c r="D1228" i="1"/>
  <c r="C1228" i="1"/>
  <c r="B1228" i="1"/>
  <c r="A1228" i="1"/>
  <c r="F1227" i="1"/>
  <c r="E1227" i="1"/>
  <c r="D1227" i="1"/>
  <c r="C1227" i="1"/>
  <c r="B1227" i="1"/>
  <c r="A1227" i="1"/>
  <c r="F1226" i="1"/>
  <c r="E1226" i="1"/>
  <c r="D1226" i="1"/>
  <c r="C1226" i="1"/>
  <c r="B1226" i="1"/>
  <c r="A1226" i="1"/>
  <c r="F1225" i="1"/>
  <c r="E1225" i="1"/>
  <c r="D1225" i="1"/>
  <c r="C1225" i="1"/>
  <c r="B1225" i="1"/>
  <c r="A1225" i="1"/>
  <c r="F1224" i="1"/>
  <c r="E1224" i="1"/>
  <c r="D1224" i="1"/>
  <c r="C1224" i="1"/>
  <c r="B1224" i="1"/>
  <c r="A1224" i="1"/>
  <c r="F1223" i="1"/>
  <c r="E1223" i="1"/>
  <c r="D1223" i="1"/>
  <c r="C1223" i="1"/>
  <c r="B1223" i="1"/>
  <c r="A1223" i="1"/>
  <c r="F1222" i="1"/>
  <c r="E1222" i="1"/>
  <c r="D1222" i="1"/>
  <c r="C1222" i="1"/>
  <c r="B1222" i="1"/>
  <c r="A1222" i="1"/>
  <c r="F1221" i="1"/>
  <c r="E1221" i="1"/>
  <c r="D1221" i="1"/>
  <c r="C1221" i="1"/>
  <c r="B1221" i="1"/>
  <c r="A1221" i="1"/>
  <c r="F1220" i="1"/>
  <c r="E1220" i="1"/>
  <c r="D1220" i="1"/>
  <c r="C1220" i="1"/>
  <c r="B1220" i="1"/>
  <c r="A1220" i="1"/>
  <c r="F1219" i="1"/>
  <c r="E1219" i="1"/>
  <c r="D1219" i="1"/>
  <c r="C1219" i="1"/>
  <c r="B1219" i="1"/>
  <c r="A1219" i="1"/>
  <c r="F1218" i="1"/>
  <c r="E1218" i="1"/>
  <c r="D1218" i="1"/>
  <c r="C1218" i="1"/>
  <c r="B1218" i="1"/>
  <c r="A1218" i="1"/>
  <c r="F1217" i="1"/>
  <c r="E1217" i="1"/>
  <c r="D1217" i="1"/>
  <c r="C1217" i="1"/>
  <c r="B1217" i="1"/>
  <c r="A1217" i="1"/>
  <c r="F1216" i="1"/>
  <c r="E1216" i="1"/>
  <c r="D1216" i="1"/>
  <c r="C1216" i="1"/>
  <c r="B1216" i="1"/>
  <c r="A1216" i="1"/>
  <c r="F1215" i="1"/>
  <c r="E1215" i="1"/>
  <c r="D1215" i="1"/>
  <c r="C1215" i="1"/>
  <c r="B1215" i="1"/>
  <c r="A1215" i="1"/>
  <c r="F1214" i="1"/>
  <c r="E1214" i="1"/>
  <c r="D1214" i="1"/>
  <c r="C1214" i="1"/>
  <c r="B1214" i="1"/>
  <c r="A1214" i="1"/>
  <c r="F1213" i="1"/>
  <c r="E1213" i="1"/>
  <c r="D1213" i="1"/>
  <c r="C1213" i="1"/>
  <c r="B1213" i="1"/>
  <c r="A1213" i="1"/>
  <c r="F1212" i="1"/>
  <c r="E1212" i="1"/>
  <c r="D1212" i="1"/>
  <c r="C1212" i="1"/>
  <c r="B1212" i="1"/>
  <c r="A1212" i="1"/>
  <c r="F1211" i="1"/>
  <c r="E1211" i="1"/>
  <c r="D1211" i="1"/>
  <c r="C1211" i="1"/>
  <c r="B1211" i="1"/>
  <c r="A1211" i="1"/>
  <c r="F1210" i="1"/>
  <c r="E1210" i="1"/>
  <c r="D1210" i="1"/>
  <c r="C1210" i="1"/>
  <c r="B1210" i="1"/>
  <c r="A1210" i="1"/>
  <c r="F1209" i="1"/>
  <c r="E1209" i="1"/>
  <c r="D1209" i="1"/>
  <c r="C1209" i="1"/>
  <c r="B1209" i="1"/>
  <c r="A1209" i="1"/>
  <c r="F1208" i="1"/>
  <c r="E1208" i="1"/>
  <c r="D1208" i="1"/>
  <c r="C1208" i="1"/>
  <c r="B1208" i="1"/>
  <c r="A1208" i="1"/>
  <c r="F1207" i="1"/>
  <c r="E1207" i="1"/>
  <c r="D1207" i="1"/>
  <c r="C1207" i="1"/>
  <c r="B1207" i="1"/>
  <c r="A1207" i="1"/>
  <c r="F1206" i="1"/>
  <c r="E1206" i="1"/>
  <c r="D1206" i="1"/>
  <c r="C1206" i="1"/>
  <c r="B1206" i="1"/>
  <c r="A1206" i="1"/>
  <c r="F1205" i="1"/>
  <c r="E1205" i="1"/>
  <c r="D1205" i="1"/>
  <c r="C1205" i="1"/>
  <c r="B1205" i="1"/>
  <c r="A1205" i="1"/>
  <c r="F1204" i="1"/>
  <c r="E1204" i="1"/>
  <c r="D1204" i="1"/>
  <c r="C1204" i="1"/>
  <c r="B1204" i="1"/>
  <c r="A1204" i="1"/>
  <c r="F1203" i="1"/>
  <c r="E1203" i="1"/>
  <c r="D1203" i="1"/>
  <c r="C1203" i="1"/>
  <c r="B1203" i="1"/>
  <c r="A1203" i="1"/>
  <c r="F1202" i="1"/>
  <c r="E1202" i="1"/>
  <c r="D1202" i="1"/>
  <c r="C1202" i="1"/>
  <c r="B1202" i="1"/>
  <c r="A1202" i="1"/>
  <c r="F1201" i="1"/>
  <c r="E1201" i="1"/>
  <c r="D1201" i="1"/>
  <c r="C1201" i="1"/>
  <c r="B1201" i="1"/>
  <c r="A1201" i="1"/>
  <c r="F1200" i="1"/>
  <c r="E1200" i="1"/>
  <c r="D1200" i="1"/>
  <c r="C1200" i="1"/>
  <c r="B1200" i="1"/>
  <c r="A1200" i="1"/>
  <c r="F1199" i="1"/>
  <c r="E1199" i="1"/>
  <c r="D1199" i="1"/>
  <c r="C1199" i="1"/>
  <c r="B1199" i="1"/>
  <c r="A1199" i="1"/>
  <c r="F1198" i="1"/>
  <c r="E1198" i="1"/>
  <c r="D1198" i="1"/>
  <c r="C1198" i="1"/>
  <c r="B1198" i="1"/>
  <c r="A1198" i="1"/>
  <c r="F1197" i="1"/>
  <c r="E1197" i="1"/>
  <c r="D1197" i="1"/>
  <c r="C1197" i="1"/>
  <c r="B1197" i="1"/>
  <c r="A1197" i="1"/>
  <c r="F1196" i="1"/>
  <c r="E1196" i="1"/>
  <c r="D1196" i="1"/>
  <c r="C1196" i="1"/>
  <c r="B1196" i="1"/>
  <c r="A1196" i="1"/>
  <c r="F1195" i="1"/>
  <c r="E1195" i="1"/>
  <c r="D1195" i="1"/>
  <c r="C1195" i="1"/>
  <c r="B1195" i="1"/>
  <c r="A1195" i="1"/>
  <c r="F1194" i="1"/>
  <c r="E1194" i="1"/>
  <c r="D1194" i="1"/>
  <c r="C1194" i="1"/>
  <c r="B1194" i="1"/>
  <c r="A1194" i="1"/>
  <c r="F1193" i="1"/>
  <c r="E1193" i="1"/>
  <c r="D1193" i="1"/>
  <c r="C1193" i="1"/>
  <c r="B1193" i="1"/>
  <c r="A1193" i="1"/>
  <c r="F1192" i="1"/>
  <c r="E1192" i="1"/>
  <c r="D1192" i="1"/>
  <c r="C1192" i="1"/>
  <c r="B1192" i="1"/>
  <c r="A1192" i="1"/>
  <c r="F1191" i="1"/>
  <c r="E1191" i="1"/>
  <c r="D1191" i="1"/>
  <c r="C1191" i="1"/>
  <c r="B1191" i="1"/>
  <c r="A1191" i="1"/>
  <c r="F1190" i="1"/>
  <c r="E1190" i="1"/>
  <c r="D1190" i="1"/>
  <c r="C1190" i="1"/>
  <c r="B1190" i="1"/>
  <c r="A1190" i="1"/>
  <c r="F1189" i="1"/>
  <c r="E1189" i="1"/>
  <c r="D1189" i="1"/>
  <c r="C1189" i="1"/>
  <c r="B1189" i="1"/>
  <c r="A1189" i="1"/>
  <c r="F1188" i="1"/>
  <c r="E1188" i="1"/>
  <c r="D1188" i="1"/>
  <c r="C1188" i="1"/>
  <c r="B1188" i="1"/>
  <c r="A1188" i="1"/>
  <c r="F1187" i="1"/>
  <c r="E1187" i="1"/>
  <c r="D1187" i="1"/>
  <c r="C1187" i="1"/>
  <c r="B1187" i="1"/>
  <c r="A1187" i="1"/>
  <c r="F1186" i="1"/>
  <c r="E1186" i="1"/>
  <c r="D1186" i="1"/>
  <c r="C1186" i="1"/>
  <c r="B1186" i="1"/>
  <c r="A1186" i="1"/>
  <c r="F1185" i="1"/>
  <c r="E1185" i="1"/>
  <c r="D1185" i="1"/>
  <c r="C1185" i="1"/>
  <c r="B1185" i="1"/>
  <c r="A1185" i="1"/>
  <c r="F1184" i="1"/>
  <c r="E1184" i="1"/>
  <c r="D1184" i="1"/>
  <c r="C1184" i="1"/>
  <c r="B1184" i="1"/>
  <c r="A1184" i="1"/>
  <c r="F1183" i="1"/>
  <c r="E1183" i="1"/>
  <c r="D1183" i="1"/>
  <c r="C1183" i="1"/>
  <c r="B1183" i="1"/>
  <c r="A1183" i="1"/>
  <c r="F1182" i="1"/>
  <c r="E1182" i="1"/>
  <c r="D1182" i="1"/>
  <c r="C1182" i="1"/>
  <c r="B1182" i="1"/>
  <c r="A1182" i="1"/>
  <c r="F1181" i="1"/>
  <c r="E1181" i="1"/>
  <c r="D1181" i="1"/>
  <c r="C1181" i="1"/>
  <c r="B1181" i="1"/>
  <c r="A1181" i="1"/>
  <c r="F1180" i="1"/>
  <c r="E1180" i="1"/>
  <c r="D1180" i="1"/>
  <c r="C1180" i="1"/>
  <c r="B1180" i="1"/>
  <c r="A1180" i="1"/>
  <c r="F1179" i="1"/>
  <c r="E1179" i="1"/>
  <c r="D1179" i="1"/>
  <c r="C1179" i="1"/>
  <c r="B1179" i="1"/>
  <c r="A1179" i="1"/>
  <c r="F1178" i="1"/>
  <c r="E1178" i="1"/>
  <c r="D1178" i="1"/>
  <c r="C1178" i="1"/>
  <c r="B1178" i="1"/>
  <c r="A1178" i="1"/>
  <c r="F1177" i="1"/>
  <c r="E1177" i="1"/>
  <c r="D1177" i="1"/>
  <c r="C1177" i="1"/>
  <c r="B1177" i="1"/>
  <c r="A1177" i="1"/>
  <c r="F1176" i="1"/>
  <c r="E1176" i="1"/>
  <c r="D1176" i="1"/>
  <c r="C1176" i="1"/>
  <c r="B1176" i="1"/>
  <c r="A1176" i="1"/>
  <c r="F1175" i="1"/>
  <c r="E1175" i="1"/>
  <c r="D1175" i="1"/>
  <c r="C1175" i="1"/>
  <c r="B1175" i="1"/>
  <c r="A1175" i="1"/>
  <c r="F1174" i="1"/>
  <c r="E1174" i="1"/>
  <c r="D1174" i="1"/>
  <c r="C1174" i="1"/>
  <c r="B1174" i="1"/>
  <c r="A1174" i="1"/>
  <c r="F1173" i="1"/>
  <c r="E1173" i="1"/>
  <c r="D1173" i="1"/>
  <c r="C1173" i="1"/>
  <c r="B1173" i="1"/>
  <c r="A1173" i="1"/>
  <c r="F1172" i="1"/>
  <c r="E1172" i="1"/>
  <c r="D1172" i="1"/>
  <c r="C1172" i="1"/>
  <c r="B1172" i="1"/>
  <c r="A1172" i="1"/>
  <c r="F1171" i="1"/>
  <c r="E1171" i="1"/>
  <c r="D1171" i="1"/>
  <c r="C1171" i="1"/>
  <c r="B1171" i="1"/>
  <c r="A1171" i="1"/>
  <c r="F1170" i="1"/>
  <c r="E1170" i="1"/>
  <c r="D1170" i="1"/>
  <c r="C1170" i="1"/>
  <c r="B1170" i="1"/>
  <c r="A1170" i="1"/>
  <c r="F1169" i="1"/>
  <c r="E1169" i="1"/>
  <c r="D1169" i="1"/>
  <c r="C1169" i="1"/>
  <c r="B1169" i="1"/>
  <c r="A1169" i="1"/>
  <c r="F1168" i="1"/>
  <c r="E1168" i="1"/>
  <c r="D1168" i="1"/>
  <c r="C1168" i="1"/>
  <c r="B1168" i="1"/>
  <c r="A1168" i="1"/>
  <c r="F1167" i="1"/>
  <c r="E1167" i="1"/>
  <c r="D1167" i="1"/>
  <c r="C1167" i="1"/>
  <c r="B1167" i="1"/>
  <c r="A1167" i="1"/>
  <c r="F1166" i="1"/>
  <c r="E1166" i="1"/>
  <c r="D1166" i="1"/>
  <c r="C1166" i="1"/>
  <c r="B1166" i="1"/>
  <c r="A1166" i="1"/>
  <c r="F1165" i="1"/>
  <c r="E1165" i="1"/>
  <c r="D1165" i="1"/>
  <c r="C1165" i="1"/>
  <c r="B1165" i="1"/>
  <c r="A1165" i="1"/>
  <c r="F1164" i="1"/>
  <c r="E1164" i="1"/>
  <c r="D1164" i="1"/>
  <c r="C1164" i="1"/>
  <c r="B1164" i="1"/>
  <c r="A1164" i="1"/>
  <c r="F1163" i="1"/>
  <c r="E1163" i="1"/>
  <c r="D1163" i="1"/>
  <c r="C1163" i="1"/>
  <c r="B1163" i="1"/>
  <c r="A1163" i="1"/>
  <c r="F1162" i="1"/>
  <c r="E1162" i="1"/>
  <c r="D1162" i="1"/>
  <c r="C1162" i="1"/>
  <c r="B1162" i="1"/>
  <c r="A1162" i="1"/>
  <c r="F1161" i="1"/>
  <c r="E1161" i="1"/>
  <c r="D1161" i="1"/>
  <c r="C1161" i="1"/>
  <c r="B1161" i="1"/>
  <c r="A1161" i="1"/>
  <c r="F1160" i="1"/>
  <c r="E1160" i="1"/>
  <c r="D1160" i="1"/>
  <c r="C1160" i="1"/>
  <c r="B1160" i="1"/>
  <c r="A1160" i="1"/>
  <c r="F1159" i="1"/>
  <c r="E1159" i="1"/>
  <c r="D1159" i="1"/>
  <c r="C1159" i="1"/>
  <c r="B1159" i="1"/>
  <c r="A1159" i="1"/>
  <c r="F1158" i="1"/>
  <c r="E1158" i="1"/>
  <c r="D1158" i="1"/>
  <c r="C1158" i="1"/>
  <c r="B1158" i="1"/>
  <c r="A1158" i="1"/>
  <c r="F1157" i="1"/>
  <c r="E1157" i="1"/>
  <c r="D1157" i="1"/>
  <c r="C1157" i="1"/>
  <c r="B1157" i="1"/>
  <c r="A1157" i="1"/>
  <c r="F1156" i="1"/>
  <c r="E1156" i="1"/>
  <c r="D1156" i="1"/>
  <c r="C1156" i="1"/>
  <c r="B1156" i="1"/>
  <c r="A1156" i="1"/>
  <c r="F1155" i="1"/>
  <c r="E1155" i="1"/>
  <c r="D1155" i="1"/>
  <c r="C1155" i="1"/>
  <c r="B1155" i="1"/>
  <c r="A1155" i="1"/>
  <c r="F1154" i="1"/>
  <c r="E1154" i="1"/>
  <c r="D1154" i="1"/>
  <c r="C1154" i="1"/>
  <c r="B1154" i="1"/>
  <c r="A1154" i="1"/>
  <c r="F1153" i="1"/>
  <c r="E1153" i="1"/>
  <c r="D1153" i="1"/>
  <c r="C1153" i="1"/>
  <c r="B1153" i="1"/>
  <c r="A1153" i="1"/>
  <c r="F1152" i="1"/>
  <c r="E1152" i="1"/>
  <c r="D1152" i="1"/>
  <c r="C1152" i="1"/>
  <c r="B1152" i="1"/>
  <c r="A1152" i="1"/>
  <c r="F1151" i="1"/>
  <c r="E1151" i="1"/>
  <c r="D1151" i="1"/>
  <c r="C1151" i="1"/>
  <c r="B1151" i="1"/>
  <c r="A1151" i="1"/>
  <c r="F1150" i="1"/>
  <c r="E1150" i="1"/>
  <c r="D1150" i="1"/>
  <c r="C1150" i="1"/>
  <c r="B1150" i="1"/>
  <c r="A1150" i="1"/>
  <c r="F1149" i="1"/>
  <c r="E1149" i="1"/>
  <c r="D1149" i="1"/>
  <c r="C1149" i="1"/>
  <c r="B1149" i="1"/>
  <c r="A1149" i="1"/>
  <c r="F1148" i="1"/>
  <c r="E1148" i="1"/>
  <c r="D1148" i="1"/>
  <c r="C1148" i="1"/>
  <c r="B1148" i="1"/>
  <c r="A1148" i="1"/>
  <c r="F1147" i="1"/>
  <c r="E1147" i="1"/>
  <c r="D1147" i="1"/>
  <c r="C1147" i="1"/>
  <c r="B1147" i="1"/>
  <c r="A1147" i="1"/>
  <c r="F1146" i="1"/>
  <c r="E1146" i="1"/>
  <c r="D1146" i="1"/>
  <c r="C1146" i="1"/>
  <c r="B1146" i="1"/>
  <c r="A1146" i="1"/>
  <c r="F1145" i="1"/>
  <c r="E1145" i="1"/>
  <c r="D1145" i="1"/>
  <c r="C1145" i="1"/>
  <c r="B1145" i="1"/>
  <c r="A1145" i="1"/>
  <c r="F1144" i="1"/>
  <c r="E1144" i="1"/>
  <c r="D1144" i="1"/>
  <c r="C1144" i="1"/>
  <c r="B1144" i="1"/>
  <c r="A1144" i="1"/>
  <c r="F1143" i="1"/>
  <c r="E1143" i="1"/>
  <c r="D1143" i="1"/>
  <c r="C1143" i="1"/>
  <c r="B1143" i="1"/>
  <c r="A1143" i="1"/>
  <c r="F1142" i="1"/>
  <c r="E1142" i="1"/>
  <c r="D1142" i="1"/>
  <c r="C1142" i="1"/>
  <c r="B1142" i="1"/>
  <c r="A1142" i="1"/>
  <c r="F1141" i="1"/>
  <c r="E1141" i="1"/>
  <c r="D1141" i="1"/>
  <c r="C1141" i="1"/>
  <c r="B1141" i="1"/>
  <c r="A1141" i="1"/>
  <c r="F1140" i="1"/>
  <c r="E1140" i="1"/>
  <c r="D1140" i="1"/>
  <c r="C1140" i="1"/>
  <c r="B1140" i="1"/>
  <c r="A1140" i="1"/>
  <c r="F1139" i="1"/>
  <c r="E1139" i="1"/>
  <c r="D1139" i="1"/>
  <c r="C1139" i="1"/>
  <c r="B1139" i="1"/>
  <c r="A1139" i="1"/>
  <c r="F1138" i="1"/>
  <c r="E1138" i="1"/>
  <c r="D1138" i="1"/>
  <c r="C1138" i="1"/>
  <c r="B1138" i="1"/>
  <c r="A1138" i="1"/>
  <c r="F1137" i="1"/>
  <c r="E1137" i="1"/>
  <c r="D1137" i="1"/>
  <c r="C1137" i="1"/>
  <c r="B1137" i="1"/>
  <c r="A1137" i="1"/>
  <c r="F1136" i="1"/>
  <c r="E1136" i="1"/>
  <c r="D1136" i="1"/>
  <c r="C1136" i="1"/>
  <c r="B1136" i="1"/>
  <c r="A1136" i="1"/>
  <c r="F1135" i="1"/>
  <c r="E1135" i="1"/>
  <c r="D1135" i="1"/>
  <c r="C1135" i="1"/>
  <c r="B1135" i="1"/>
  <c r="A1135" i="1"/>
  <c r="F1134" i="1"/>
  <c r="E1134" i="1"/>
  <c r="D1134" i="1"/>
  <c r="C1134" i="1"/>
  <c r="B1134" i="1"/>
  <c r="A1134" i="1"/>
  <c r="F1133" i="1"/>
  <c r="E1133" i="1"/>
  <c r="D1133" i="1"/>
  <c r="C1133" i="1"/>
  <c r="B1133" i="1"/>
  <c r="A1133" i="1"/>
  <c r="F1132" i="1"/>
  <c r="E1132" i="1"/>
  <c r="D1132" i="1"/>
  <c r="C1132" i="1"/>
  <c r="B1132" i="1"/>
  <c r="A1132" i="1"/>
  <c r="F1131" i="1"/>
  <c r="E1131" i="1"/>
  <c r="D1131" i="1"/>
  <c r="C1131" i="1"/>
  <c r="B1131" i="1"/>
  <c r="A1131" i="1"/>
  <c r="F1130" i="1"/>
  <c r="E1130" i="1"/>
  <c r="D1130" i="1"/>
  <c r="C1130" i="1"/>
  <c r="B1130" i="1"/>
  <c r="A1130" i="1"/>
  <c r="F1129" i="1"/>
  <c r="E1129" i="1"/>
  <c r="D1129" i="1"/>
  <c r="C1129" i="1"/>
  <c r="B1129" i="1"/>
  <c r="A1129" i="1"/>
  <c r="F1128" i="1"/>
  <c r="E1128" i="1"/>
  <c r="D1128" i="1"/>
  <c r="C1128" i="1"/>
  <c r="B1128" i="1"/>
  <c r="A1128" i="1"/>
  <c r="F1127" i="1"/>
  <c r="E1127" i="1"/>
  <c r="D1127" i="1"/>
  <c r="C1127" i="1"/>
  <c r="B1127" i="1"/>
  <c r="A1127" i="1"/>
  <c r="F1126" i="1"/>
  <c r="E1126" i="1"/>
  <c r="D1126" i="1"/>
  <c r="C1126" i="1"/>
  <c r="B1126" i="1"/>
  <c r="A1126" i="1"/>
  <c r="F1125" i="1"/>
  <c r="E1125" i="1"/>
  <c r="D1125" i="1"/>
  <c r="C1125" i="1"/>
  <c r="B1125" i="1"/>
  <c r="A1125" i="1"/>
  <c r="F1124" i="1"/>
  <c r="E1124" i="1"/>
  <c r="D1124" i="1"/>
  <c r="C1124" i="1"/>
  <c r="B1124" i="1"/>
  <c r="A1124" i="1"/>
  <c r="F1123" i="1"/>
  <c r="E1123" i="1"/>
  <c r="D1123" i="1"/>
  <c r="C1123" i="1"/>
  <c r="B1123" i="1"/>
  <c r="A1123" i="1"/>
  <c r="F1122" i="1"/>
  <c r="E1122" i="1"/>
  <c r="D1122" i="1"/>
  <c r="C1122" i="1"/>
  <c r="B1122" i="1"/>
  <c r="A1122" i="1"/>
  <c r="F1121" i="1"/>
  <c r="E1121" i="1"/>
  <c r="D1121" i="1"/>
  <c r="C1121" i="1"/>
  <c r="B1121" i="1"/>
  <c r="A1121" i="1"/>
  <c r="F1120" i="1"/>
  <c r="E1120" i="1"/>
  <c r="D1120" i="1"/>
  <c r="C1120" i="1"/>
  <c r="B1120" i="1"/>
  <c r="A1120" i="1"/>
  <c r="F1119" i="1"/>
  <c r="E1119" i="1"/>
  <c r="D1119" i="1"/>
  <c r="C1119" i="1"/>
  <c r="B1119" i="1"/>
  <c r="A1119" i="1"/>
  <c r="F1118" i="1"/>
  <c r="E1118" i="1"/>
  <c r="D1118" i="1"/>
  <c r="C1118" i="1"/>
  <c r="B1118" i="1"/>
  <c r="A1118" i="1"/>
  <c r="F1117" i="1"/>
  <c r="E1117" i="1"/>
  <c r="D1117" i="1"/>
  <c r="C1117" i="1"/>
  <c r="B1117" i="1"/>
  <c r="A1117" i="1"/>
  <c r="F1116" i="1"/>
  <c r="E1116" i="1"/>
  <c r="D1116" i="1"/>
  <c r="C1116" i="1"/>
  <c r="B1116" i="1"/>
  <c r="A1116" i="1"/>
  <c r="F1115" i="1"/>
  <c r="E1115" i="1"/>
  <c r="D1115" i="1"/>
  <c r="C1115" i="1"/>
  <c r="B1115" i="1"/>
  <c r="A1115" i="1"/>
  <c r="F1114" i="1"/>
  <c r="E1114" i="1"/>
  <c r="D1114" i="1"/>
  <c r="C1114" i="1"/>
  <c r="B1114" i="1"/>
  <c r="A1114" i="1"/>
  <c r="F1113" i="1"/>
  <c r="E1113" i="1"/>
  <c r="D1113" i="1"/>
  <c r="C1113" i="1"/>
  <c r="B1113" i="1"/>
  <c r="A1113" i="1"/>
  <c r="F1112" i="1"/>
  <c r="E1112" i="1"/>
  <c r="D1112" i="1"/>
  <c r="C1112" i="1"/>
  <c r="B1112" i="1"/>
  <c r="A1112" i="1"/>
  <c r="F1111" i="1"/>
  <c r="E1111" i="1"/>
  <c r="D1111" i="1"/>
  <c r="C1111" i="1"/>
  <c r="B1111" i="1"/>
  <c r="A1111" i="1"/>
  <c r="F1110" i="1"/>
  <c r="E1110" i="1"/>
  <c r="D1110" i="1"/>
  <c r="C1110" i="1"/>
  <c r="B1110" i="1"/>
  <c r="A1110" i="1"/>
  <c r="F1109" i="1"/>
  <c r="E1109" i="1"/>
  <c r="D1109" i="1"/>
  <c r="C1109" i="1"/>
  <c r="B1109" i="1"/>
  <c r="A1109" i="1"/>
  <c r="F1108" i="1"/>
  <c r="E1108" i="1"/>
  <c r="D1108" i="1"/>
  <c r="C1108" i="1"/>
  <c r="B1108" i="1"/>
  <c r="A1108" i="1"/>
  <c r="F1107" i="1"/>
  <c r="E1107" i="1"/>
  <c r="D1107" i="1"/>
  <c r="C1107" i="1"/>
  <c r="B1107" i="1"/>
  <c r="A1107" i="1"/>
  <c r="F1106" i="1"/>
  <c r="E1106" i="1"/>
  <c r="D1106" i="1"/>
  <c r="C1106" i="1"/>
  <c r="B1106" i="1"/>
  <c r="A1106" i="1"/>
  <c r="F1105" i="1"/>
  <c r="E1105" i="1"/>
  <c r="D1105" i="1"/>
  <c r="C1105" i="1"/>
  <c r="B1105" i="1"/>
  <c r="A1105" i="1"/>
  <c r="F1104" i="1"/>
  <c r="E1104" i="1"/>
  <c r="D1104" i="1"/>
  <c r="C1104" i="1"/>
  <c r="B1104" i="1"/>
  <c r="A1104" i="1"/>
  <c r="F1103" i="1"/>
  <c r="E1103" i="1"/>
  <c r="D1103" i="1"/>
  <c r="C1103" i="1"/>
  <c r="B1103" i="1"/>
  <c r="A1103" i="1"/>
  <c r="F1102" i="1"/>
  <c r="E1102" i="1"/>
  <c r="D1102" i="1"/>
  <c r="C1102" i="1"/>
  <c r="B1102" i="1"/>
  <c r="A1102" i="1"/>
  <c r="F1101" i="1"/>
  <c r="E1101" i="1"/>
  <c r="D1101" i="1"/>
  <c r="C1101" i="1"/>
  <c r="B1101" i="1"/>
  <c r="A1101" i="1"/>
  <c r="F1100" i="1"/>
  <c r="E1100" i="1"/>
  <c r="D1100" i="1"/>
  <c r="C1100" i="1"/>
  <c r="B1100" i="1"/>
  <c r="A1100" i="1"/>
  <c r="F1099" i="1"/>
  <c r="E1099" i="1"/>
  <c r="D1099" i="1"/>
  <c r="C1099" i="1"/>
  <c r="B1099" i="1"/>
  <c r="A1099" i="1"/>
  <c r="F1098" i="1"/>
  <c r="E1098" i="1"/>
  <c r="D1098" i="1"/>
  <c r="C1098" i="1"/>
  <c r="B1098" i="1"/>
  <c r="A1098" i="1"/>
  <c r="F1097" i="1"/>
  <c r="E1097" i="1"/>
  <c r="D1097" i="1"/>
  <c r="C1097" i="1"/>
  <c r="B1097" i="1"/>
  <c r="A1097" i="1"/>
  <c r="F1096" i="1"/>
  <c r="E1096" i="1"/>
  <c r="D1096" i="1"/>
  <c r="C1096" i="1"/>
  <c r="B1096" i="1"/>
  <c r="A1096" i="1"/>
  <c r="F1095" i="1"/>
  <c r="E1095" i="1"/>
  <c r="D1095" i="1"/>
  <c r="C1095" i="1"/>
  <c r="B1095" i="1"/>
  <c r="A1095" i="1"/>
  <c r="F1094" i="1"/>
  <c r="E1094" i="1"/>
  <c r="D1094" i="1"/>
  <c r="C1094" i="1"/>
  <c r="B1094" i="1"/>
  <c r="A1094" i="1"/>
  <c r="F1093" i="1"/>
  <c r="E1093" i="1"/>
  <c r="D1093" i="1"/>
  <c r="C1093" i="1"/>
  <c r="B1093" i="1"/>
  <c r="A1093" i="1"/>
  <c r="F1092" i="1"/>
  <c r="E1092" i="1"/>
  <c r="D1092" i="1"/>
  <c r="C1092" i="1"/>
  <c r="B1092" i="1"/>
  <c r="A1092" i="1"/>
  <c r="F1091" i="1"/>
  <c r="E1091" i="1"/>
  <c r="D1091" i="1"/>
  <c r="C1091" i="1"/>
  <c r="B1091" i="1"/>
  <c r="A1091" i="1"/>
  <c r="F1090" i="1"/>
  <c r="E1090" i="1"/>
  <c r="D1090" i="1"/>
  <c r="C1090" i="1"/>
  <c r="B1090" i="1"/>
  <c r="A1090" i="1"/>
  <c r="F1089" i="1"/>
  <c r="E1089" i="1"/>
  <c r="D1089" i="1"/>
  <c r="C1089" i="1"/>
  <c r="B1089" i="1"/>
  <c r="A1089" i="1"/>
  <c r="F1088" i="1"/>
  <c r="E1088" i="1"/>
  <c r="D1088" i="1"/>
  <c r="C1088" i="1"/>
  <c r="B1088" i="1"/>
  <c r="A1088" i="1"/>
  <c r="F1087" i="1"/>
  <c r="E1087" i="1"/>
  <c r="D1087" i="1"/>
  <c r="C1087" i="1"/>
  <c r="B1087" i="1"/>
  <c r="A1087" i="1"/>
  <c r="F1086" i="1"/>
  <c r="E1086" i="1"/>
  <c r="D1086" i="1"/>
  <c r="C1086" i="1"/>
  <c r="B1086" i="1"/>
  <c r="A1086" i="1"/>
  <c r="F1085" i="1"/>
  <c r="E1085" i="1"/>
  <c r="D1085" i="1"/>
  <c r="C1085" i="1"/>
  <c r="B1085" i="1"/>
  <c r="A1085" i="1"/>
  <c r="F1084" i="1"/>
  <c r="E1084" i="1"/>
  <c r="D1084" i="1"/>
  <c r="C1084" i="1"/>
  <c r="B1084" i="1"/>
  <c r="A1084" i="1"/>
  <c r="F1083" i="1"/>
  <c r="E1083" i="1"/>
  <c r="D1083" i="1"/>
  <c r="C1083" i="1"/>
  <c r="B1083" i="1"/>
  <c r="A1083" i="1"/>
  <c r="F1082" i="1"/>
  <c r="E1082" i="1"/>
  <c r="D1082" i="1"/>
  <c r="C1082" i="1"/>
  <c r="B1082" i="1"/>
  <c r="A1082" i="1"/>
  <c r="F1081" i="1"/>
  <c r="E1081" i="1"/>
  <c r="D1081" i="1"/>
  <c r="C1081" i="1"/>
  <c r="B1081" i="1"/>
  <c r="A1081" i="1"/>
  <c r="F1080" i="1"/>
  <c r="E1080" i="1"/>
  <c r="D1080" i="1"/>
  <c r="C1080" i="1"/>
  <c r="B1080" i="1"/>
  <c r="A1080" i="1"/>
  <c r="F1079" i="1"/>
  <c r="E1079" i="1"/>
  <c r="D1079" i="1"/>
  <c r="C1079" i="1"/>
  <c r="B1079" i="1"/>
  <c r="A1079" i="1"/>
  <c r="F1078" i="1"/>
  <c r="E1078" i="1"/>
  <c r="D1078" i="1"/>
  <c r="C1078" i="1"/>
  <c r="B1078" i="1"/>
  <c r="A1078" i="1"/>
  <c r="F1077" i="1"/>
  <c r="E1077" i="1"/>
  <c r="D1077" i="1"/>
  <c r="C1077" i="1"/>
  <c r="B1077" i="1"/>
  <c r="A1077" i="1"/>
  <c r="F1076" i="1"/>
  <c r="E1076" i="1"/>
  <c r="D1076" i="1"/>
  <c r="C1076" i="1"/>
  <c r="B1076" i="1"/>
  <c r="A1076" i="1"/>
  <c r="F1075" i="1"/>
  <c r="E1075" i="1"/>
  <c r="D1075" i="1"/>
  <c r="C1075" i="1"/>
  <c r="B1075" i="1"/>
  <c r="A1075" i="1"/>
  <c r="F1074" i="1"/>
  <c r="E1074" i="1"/>
  <c r="D1074" i="1"/>
  <c r="C1074" i="1"/>
  <c r="B1074" i="1"/>
  <c r="A1074" i="1"/>
  <c r="F1073" i="1"/>
  <c r="E1073" i="1"/>
  <c r="D1073" i="1"/>
  <c r="C1073" i="1"/>
  <c r="B1073" i="1"/>
  <c r="A1073" i="1"/>
  <c r="F1072" i="1"/>
  <c r="E1072" i="1"/>
  <c r="D1072" i="1"/>
  <c r="C1072" i="1"/>
  <c r="B1072" i="1"/>
  <c r="A1072" i="1"/>
  <c r="F1071" i="1"/>
  <c r="E1071" i="1"/>
  <c r="D1071" i="1"/>
  <c r="C1071" i="1"/>
  <c r="B1071" i="1"/>
  <c r="A1071" i="1"/>
  <c r="F1070" i="1"/>
  <c r="E1070" i="1"/>
  <c r="D1070" i="1"/>
  <c r="C1070" i="1"/>
  <c r="B1070" i="1"/>
  <c r="A1070" i="1"/>
  <c r="F1069" i="1"/>
  <c r="E1069" i="1"/>
  <c r="D1069" i="1"/>
  <c r="C1069" i="1"/>
  <c r="B1069" i="1"/>
  <c r="A1069" i="1"/>
  <c r="F1068" i="1"/>
  <c r="E1068" i="1"/>
  <c r="D1068" i="1"/>
  <c r="C1068" i="1"/>
  <c r="B1068" i="1"/>
  <c r="A1068" i="1"/>
  <c r="F1067" i="1"/>
  <c r="E1067" i="1"/>
  <c r="D1067" i="1"/>
  <c r="C1067" i="1"/>
  <c r="B1067" i="1"/>
  <c r="A1067" i="1"/>
  <c r="F1066" i="1"/>
  <c r="E1066" i="1"/>
  <c r="D1066" i="1"/>
  <c r="C1066" i="1"/>
  <c r="B1066" i="1"/>
  <c r="A1066" i="1"/>
  <c r="F1065" i="1"/>
  <c r="E1065" i="1"/>
  <c r="D1065" i="1"/>
  <c r="C1065" i="1"/>
  <c r="B1065" i="1"/>
  <c r="A1065" i="1"/>
  <c r="F1064" i="1"/>
  <c r="E1064" i="1"/>
  <c r="D1064" i="1"/>
  <c r="C1064" i="1"/>
  <c r="B1064" i="1"/>
  <c r="A1064" i="1"/>
  <c r="F1063" i="1"/>
  <c r="E1063" i="1"/>
  <c r="D1063" i="1"/>
  <c r="C1063" i="1"/>
  <c r="B1063" i="1"/>
  <c r="A1063" i="1"/>
  <c r="F1062" i="1"/>
  <c r="E1062" i="1"/>
  <c r="D1062" i="1"/>
  <c r="C1062" i="1"/>
  <c r="B1062" i="1"/>
  <c r="A1062" i="1"/>
  <c r="F1061" i="1"/>
  <c r="E1061" i="1"/>
  <c r="D1061" i="1"/>
  <c r="C1061" i="1"/>
  <c r="B1061" i="1"/>
  <c r="A1061" i="1"/>
  <c r="F1060" i="1"/>
  <c r="E1060" i="1"/>
  <c r="D1060" i="1"/>
  <c r="C1060" i="1"/>
  <c r="B1060" i="1"/>
  <c r="A1060" i="1"/>
  <c r="F1059" i="1"/>
  <c r="E1059" i="1"/>
  <c r="D1059" i="1"/>
  <c r="C1059" i="1"/>
  <c r="B1059" i="1"/>
  <c r="A1059" i="1"/>
  <c r="F1058" i="1"/>
  <c r="E1058" i="1"/>
  <c r="D1058" i="1"/>
  <c r="C1058" i="1"/>
  <c r="B1058" i="1"/>
  <c r="A1058" i="1"/>
  <c r="F1057" i="1"/>
  <c r="E1057" i="1"/>
  <c r="D1057" i="1"/>
  <c r="C1057" i="1"/>
  <c r="B1057" i="1"/>
  <c r="A1057" i="1"/>
  <c r="F1056" i="1"/>
  <c r="E1056" i="1"/>
  <c r="D1056" i="1"/>
  <c r="C1056" i="1"/>
  <c r="B1056" i="1"/>
  <c r="A1056" i="1"/>
  <c r="F1055" i="1"/>
  <c r="E1055" i="1"/>
  <c r="D1055" i="1"/>
  <c r="C1055" i="1"/>
  <c r="B1055" i="1"/>
  <c r="A1055" i="1"/>
  <c r="F1054" i="1"/>
  <c r="E1054" i="1"/>
  <c r="D1054" i="1"/>
  <c r="C1054" i="1"/>
  <c r="B1054" i="1"/>
  <c r="A1054" i="1"/>
  <c r="F1053" i="1"/>
  <c r="E1053" i="1"/>
  <c r="D1053" i="1"/>
  <c r="C1053" i="1"/>
  <c r="B1053" i="1"/>
  <c r="A1053" i="1"/>
  <c r="F1052" i="1"/>
  <c r="E1052" i="1"/>
  <c r="D1052" i="1"/>
  <c r="C1052" i="1"/>
  <c r="B1052" i="1"/>
  <c r="A1052" i="1"/>
  <c r="F1051" i="1"/>
  <c r="E1051" i="1"/>
  <c r="D1051" i="1"/>
  <c r="C1051" i="1"/>
  <c r="B1051" i="1"/>
  <c r="A1051" i="1"/>
  <c r="F1050" i="1"/>
  <c r="E1050" i="1"/>
  <c r="D1050" i="1"/>
  <c r="C1050" i="1"/>
  <c r="B1050" i="1"/>
  <c r="A1050" i="1"/>
  <c r="F1049" i="1"/>
  <c r="E1049" i="1"/>
  <c r="D1049" i="1"/>
  <c r="C1049" i="1"/>
  <c r="B1049" i="1"/>
  <c r="A1049" i="1"/>
  <c r="F1048" i="1"/>
  <c r="E1048" i="1"/>
  <c r="D1048" i="1"/>
  <c r="C1048" i="1"/>
  <c r="B1048" i="1"/>
  <c r="A1048" i="1"/>
  <c r="F1047" i="1"/>
  <c r="E1047" i="1"/>
  <c r="D1047" i="1"/>
  <c r="C1047" i="1"/>
  <c r="B1047" i="1"/>
  <c r="A1047" i="1"/>
  <c r="F1046" i="1"/>
  <c r="E1046" i="1"/>
  <c r="D1046" i="1"/>
  <c r="C1046" i="1"/>
  <c r="B1046" i="1"/>
  <c r="A1046" i="1"/>
  <c r="F1045" i="1"/>
  <c r="E1045" i="1"/>
  <c r="D1045" i="1"/>
  <c r="C1045" i="1"/>
  <c r="B1045" i="1"/>
  <c r="A1045" i="1"/>
  <c r="F1044" i="1"/>
  <c r="E1044" i="1"/>
  <c r="D1044" i="1"/>
  <c r="C1044" i="1"/>
  <c r="B1044" i="1"/>
  <c r="A1044" i="1"/>
  <c r="F1043" i="1"/>
  <c r="E1043" i="1"/>
  <c r="D1043" i="1"/>
  <c r="C1043" i="1"/>
  <c r="B1043" i="1"/>
  <c r="A1043" i="1"/>
  <c r="F1042" i="1"/>
  <c r="E1042" i="1"/>
  <c r="D1042" i="1"/>
  <c r="C1042" i="1"/>
  <c r="B1042" i="1"/>
  <c r="A1042" i="1"/>
  <c r="F1041" i="1"/>
  <c r="E1041" i="1"/>
  <c r="D1041" i="1"/>
  <c r="C1041" i="1"/>
  <c r="B1041" i="1"/>
  <c r="A1041" i="1"/>
  <c r="F1040" i="1"/>
  <c r="E1040" i="1"/>
  <c r="D1040" i="1"/>
  <c r="C1040" i="1"/>
  <c r="B1040" i="1"/>
  <c r="A1040" i="1"/>
  <c r="F1039" i="1"/>
  <c r="E1039" i="1"/>
  <c r="D1039" i="1"/>
  <c r="C1039" i="1"/>
  <c r="B1039" i="1"/>
  <c r="A1039" i="1"/>
  <c r="F1038" i="1"/>
  <c r="E1038" i="1"/>
  <c r="D1038" i="1"/>
  <c r="C1038" i="1"/>
  <c r="B1038" i="1"/>
  <c r="A1038" i="1"/>
  <c r="F1037" i="1"/>
  <c r="E1037" i="1"/>
  <c r="D1037" i="1"/>
  <c r="C1037" i="1"/>
  <c r="B1037" i="1"/>
  <c r="A1037" i="1"/>
  <c r="F1036" i="1"/>
  <c r="E1036" i="1"/>
  <c r="D1036" i="1"/>
  <c r="C1036" i="1"/>
  <c r="B1036" i="1"/>
  <c r="A1036" i="1"/>
  <c r="F1035" i="1"/>
  <c r="E1035" i="1"/>
  <c r="D1035" i="1"/>
  <c r="C1035" i="1"/>
  <c r="B1035" i="1"/>
  <c r="A1035" i="1"/>
  <c r="F1034" i="1"/>
  <c r="E1034" i="1"/>
  <c r="D1034" i="1"/>
  <c r="C1034" i="1"/>
  <c r="B1034" i="1"/>
  <c r="A1034" i="1"/>
  <c r="F1033" i="1"/>
  <c r="E1033" i="1"/>
  <c r="D1033" i="1"/>
  <c r="C1033" i="1"/>
  <c r="B1033" i="1"/>
  <c r="A1033" i="1"/>
  <c r="F1032" i="1"/>
  <c r="E1032" i="1"/>
  <c r="D1032" i="1"/>
  <c r="C1032" i="1"/>
  <c r="B1032" i="1"/>
  <c r="A1032" i="1"/>
  <c r="F1031" i="1"/>
  <c r="E1031" i="1"/>
  <c r="D1031" i="1"/>
  <c r="C1031" i="1"/>
  <c r="B1031" i="1"/>
  <c r="A1031" i="1"/>
  <c r="F1030" i="1"/>
  <c r="E1030" i="1"/>
  <c r="D1030" i="1"/>
  <c r="C1030" i="1"/>
  <c r="B1030" i="1"/>
  <c r="A1030" i="1"/>
  <c r="F1029" i="1"/>
  <c r="E1029" i="1"/>
  <c r="D1029" i="1"/>
  <c r="C1029" i="1"/>
  <c r="B1029" i="1"/>
  <c r="A1029" i="1"/>
  <c r="F1028" i="1"/>
  <c r="E1028" i="1"/>
  <c r="D1028" i="1"/>
  <c r="C1028" i="1"/>
  <c r="B1028" i="1"/>
  <c r="A1028" i="1"/>
  <c r="F1027" i="1"/>
  <c r="E1027" i="1"/>
  <c r="D1027" i="1"/>
  <c r="C1027" i="1"/>
  <c r="B1027" i="1"/>
  <c r="A1027" i="1"/>
  <c r="F1026" i="1"/>
  <c r="E1026" i="1"/>
  <c r="D1026" i="1"/>
  <c r="C1026" i="1"/>
  <c r="B1026" i="1"/>
  <c r="A1026" i="1"/>
  <c r="F1025" i="1"/>
  <c r="E1025" i="1"/>
  <c r="D1025" i="1"/>
  <c r="C1025" i="1"/>
  <c r="B1025" i="1"/>
  <c r="A1025" i="1"/>
  <c r="F1024" i="1"/>
  <c r="E1024" i="1"/>
  <c r="D1024" i="1"/>
  <c r="C1024" i="1"/>
  <c r="B1024" i="1"/>
  <c r="A1024" i="1"/>
  <c r="F1023" i="1"/>
  <c r="E1023" i="1"/>
  <c r="D1023" i="1"/>
  <c r="C1023" i="1"/>
  <c r="B1023" i="1"/>
  <c r="A1023" i="1"/>
  <c r="F1022" i="1"/>
  <c r="E1022" i="1"/>
  <c r="D1022" i="1"/>
  <c r="C1022" i="1"/>
  <c r="B1022" i="1"/>
  <c r="A1022" i="1"/>
  <c r="F1021" i="1"/>
  <c r="E1021" i="1"/>
  <c r="D1021" i="1"/>
  <c r="C1021" i="1"/>
  <c r="B1021" i="1"/>
  <c r="A1021" i="1"/>
  <c r="F1020" i="1"/>
  <c r="E1020" i="1"/>
  <c r="D1020" i="1"/>
  <c r="C1020" i="1"/>
  <c r="B1020" i="1"/>
  <c r="A1020" i="1"/>
  <c r="F1019" i="1"/>
  <c r="E1019" i="1"/>
  <c r="D1019" i="1"/>
  <c r="C1019" i="1"/>
  <c r="B1019" i="1"/>
  <c r="A1019" i="1"/>
  <c r="F1018" i="1"/>
  <c r="E1018" i="1"/>
  <c r="D1018" i="1"/>
  <c r="C1018" i="1"/>
  <c r="B1018" i="1"/>
  <c r="A1018" i="1"/>
  <c r="F1017" i="1"/>
  <c r="E1017" i="1"/>
  <c r="D1017" i="1"/>
  <c r="C1017" i="1"/>
  <c r="B1017" i="1"/>
  <c r="A1017" i="1"/>
  <c r="F1016" i="1"/>
  <c r="E1016" i="1"/>
  <c r="D1016" i="1"/>
  <c r="C1016" i="1"/>
  <c r="B1016" i="1"/>
  <c r="A1016" i="1"/>
  <c r="F1015" i="1"/>
  <c r="E1015" i="1"/>
  <c r="D1015" i="1"/>
  <c r="C1015" i="1"/>
  <c r="B1015" i="1"/>
  <c r="A1015" i="1"/>
  <c r="F1014" i="1"/>
  <c r="E1014" i="1"/>
  <c r="D1014" i="1"/>
  <c r="C1014" i="1"/>
  <c r="B1014" i="1"/>
  <c r="A1014" i="1"/>
  <c r="F1013" i="1"/>
  <c r="E1013" i="1"/>
  <c r="D1013" i="1"/>
  <c r="C1013" i="1"/>
  <c r="B1013" i="1"/>
  <c r="A1013" i="1"/>
  <c r="F1012" i="1"/>
  <c r="E1012" i="1"/>
  <c r="D1012" i="1"/>
  <c r="C1012" i="1"/>
  <c r="B1012" i="1"/>
  <c r="A1012" i="1"/>
  <c r="F1011" i="1"/>
  <c r="E1011" i="1"/>
  <c r="D1011" i="1"/>
  <c r="C1011" i="1"/>
  <c r="B1011" i="1"/>
  <c r="A1011" i="1"/>
  <c r="F1010" i="1"/>
  <c r="E1010" i="1"/>
  <c r="D1010" i="1"/>
  <c r="C1010" i="1"/>
  <c r="B1010" i="1"/>
  <c r="A1010" i="1"/>
  <c r="F1009" i="1"/>
  <c r="E1009" i="1"/>
  <c r="D1009" i="1"/>
  <c r="C1009" i="1"/>
  <c r="B1009" i="1"/>
  <c r="A1009" i="1"/>
  <c r="F1008" i="1"/>
  <c r="E1008" i="1"/>
  <c r="D1008" i="1"/>
  <c r="C1008" i="1"/>
  <c r="B1008" i="1"/>
  <c r="A1008" i="1"/>
  <c r="F1007" i="1"/>
  <c r="E1007" i="1"/>
  <c r="D1007" i="1"/>
  <c r="C1007" i="1"/>
  <c r="B1007" i="1"/>
  <c r="A1007" i="1"/>
  <c r="F1006" i="1"/>
  <c r="E1006" i="1"/>
  <c r="D1006" i="1"/>
  <c r="C1006" i="1"/>
  <c r="B1006" i="1"/>
  <c r="A1006" i="1"/>
  <c r="F1005" i="1"/>
  <c r="E1005" i="1"/>
  <c r="D1005" i="1"/>
  <c r="C1005" i="1"/>
  <c r="B1005" i="1"/>
  <c r="A1005" i="1"/>
  <c r="F1004" i="1"/>
  <c r="E1004" i="1"/>
  <c r="D1004" i="1"/>
  <c r="C1004" i="1"/>
  <c r="B1004" i="1"/>
  <c r="A1004" i="1"/>
  <c r="F1003" i="1"/>
  <c r="E1003" i="1"/>
  <c r="D1003" i="1"/>
  <c r="C1003" i="1"/>
  <c r="B1003" i="1"/>
  <c r="A1003" i="1"/>
  <c r="F1002" i="1"/>
  <c r="E1002" i="1"/>
  <c r="D1002" i="1"/>
  <c r="C1002" i="1"/>
  <c r="B1002" i="1"/>
  <c r="A1002" i="1"/>
  <c r="F1001" i="1"/>
  <c r="E1001" i="1"/>
  <c r="D1001" i="1"/>
  <c r="C1001" i="1"/>
  <c r="B1001" i="1"/>
  <c r="A1001" i="1"/>
  <c r="F1000" i="1"/>
  <c r="E1000" i="1"/>
  <c r="D1000" i="1"/>
  <c r="C1000" i="1"/>
  <c r="B1000" i="1"/>
  <c r="A1000" i="1"/>
  <c r="F999" i="1"/>
  <c r="E999" i="1"/>
  <c r="D999" i="1"/>
  <c r="C999" i="1"/>
  <c r="B999" i="1"/>
  <c r="A999" i="1"/>
  <c r="F998" i="1"/>
  <c r="E998" i="1"/>
  <c r="D998" i="1"/>
  <c r="C998" i="1"/>
  <c r="B998" i="1"/>
  <c r="A998" i="1"/>
  <c r="F997" i="1"/>
  <c r="E997" i="1"/>
  <c r="D997" i="1"/>
  <c r="C997" i="1"/>
  <c r="B997" i="1"/>
  <c r="A997" i="1"/>
  <c r="F996" i="1"/>
  <c r="E996" i="1"/>
  <c r="D996" i="1"/>
  <c r="C996" i="1"/>
  <c r="B996" i="1"/>
  <c r="A996" i="1"/>
  <c r="F995" i="1"/>
  <c r="E995" i="1"/>
  <c r="D995" i="1"/>
  <c r="C995" i="1"/>
  <c r="B995" i="1"/>
  <c r="A995" i="1"/>
  <c r="F994" i="1"/>
  <c r="E994" i="1"/>
  <c r="D994" i="1"/>
  <c r="C994" i="1"/>
  <c r="B994" i="1"/>
  <c r="A994" i="1"/>
  <c r="F993" i="1"/>
  <c r="E993" i="1"/>
  <c r="D993" i="1"/>
  <c r="C993" i="1"/>
  <c r="B993" i="1"/>
  <c r="A993" i="1"/>
  <c r="F992" i="1"/>
  <c r="E992" i="1"/>
  <c r="D992" i="1"/>
  <c r="C992" i="1"/>
  <c r="B992" i="1"/>
  <c r="A992" i="1"/>
  <c r="F991" i="1"/>
  <c r="E991" i="1"/>
  <c r="D991" i="1"/>
  <c r="C991" i="1"/>
  <c r="B991" i="1"/>
  <c r="A991" i="1"/>
  <c r="F990" i="1"/>
  <c r="E990" i="1"/>
  <c r="D990" i="1"/>
  <c r="C990" i="1"/>
  <c r="B990" i="1"/>
  <c r="A990" i="1"/>
  <c r="F989" i="1"/>
  <c r="E989" i="1"/>
  <c r="D989" i="1"/>
  <c r="C989" i="1"/>
  <c r="B989" i="1"/>
  <c r="A989" i="1"/>
  <c r="F988" i="1"/>
  <c r="E988" i="1"/>
  <c r="D988" i="1"/>
  <c r="C988" i="1"/>
  <c r="B988" i="1"/>
  <c r="A988" i="1"/>
  <c r="F987" i="1"/>
  <c r="E987" i="1"/>
  <c r="D987" i="1"/>
  <c r="C987" i="1"/>
  <c r="B987" i="1"/>
  <c r="A987" i="1"/>
  <c r="F986" i="1"/>
  <c r="E986" i="1"/>
  <c r="D986" i="1"/>
  <c r="C986" i="1"/>
  <c r="B986" i="1"/>
  <c r="A986" i="1"/>
  <c r="F985" i="1"/>
  <c r="E985" i="1"/>
  <c r="D985" i="1"/>
  <c r="C985" i="1"/>
  <c r="B985" i="1"/>
  <c r="A985" i="1"/>
  <c r="F984" i="1"/>
  <c r="E984" i="1"/>
  <c r="D984" i="1"/>
  <c r="C984" i="1"/>
  <c r="B984" i="1"/>
  <c r="A984" i="1"/>
  <c r="F983" i="1"/>
  <c r="E983" i="1"/>
  <c r="D983" i="1"/>
  <c r="C983" i="1"/>
  <c r="B983" i="1"/>
  <c r="A983" i="1"/>
  <c r="F982" i="1"/>
  <c r="E982" i="1"/>
  <c r="D982" i="1"/>
  <c r="C982" i="1"/>
  <c r="B982" i="1"/>
  <c r="A982" i="1"/>
  <c r="F981" i="1"/>
  <c r="E981" i="1"/>
  <c r="D981" i="1"/>
  <c r="C981" i="1"/>
  <c r="B981" i="1"/>
  <c r="A981" i="1"/>
  <c r="F980" i="1"/>
  <c r="E980" i="1"/>
  <c r="D980" i="1"/>
  <c r="C980" i="1"/>
  <c r="B980" i="1"/>
  <c r="A980" i="1"/>
  <c r="F979" i="1"/>
  <c r="E979" i="1"/>
  <c r="D979" i="1"/>
  <c r="C979" i="1"/>
  <c r="B979" i="1"/>
  <c r="A979" i="1"/>
  <c r="F978" i="1"/>
  <c r="E978" i="1"/>
  <c r="D978" i="1"/>
  <c r="C978" i="1"/>
  <c r="B978" i="1"/>
  <c r="A978" i="1"/>
  <c r="F977" i="1"/>
  <c r="E977" i="1"/>
  <c r="D977" i="1"/>
  <c r="C977" i="1"/>
  <c r="B977" i="1"/>
  <c r="A977" i="1"/>
  <c r="F976" i="1"/>
  <c r="E976" i="1"/>
  <c r="D976" i="1"/>
  <c r="C976" i="1"/>
  <c r="B976" i="1"/>
  <c r="A976" i="1"/>
  <c r="F975" i="1"/>
  <c r="E975" i="1"/>
  <c r="D975" i="1"/>
  <c r="C975" i="1"/>
  <c r="B975" i="1"/>
  <c r="A975" i="1"/>
  <c r="F974" i="1"/>
  <c r="E974" i="1"/>
  <c r="D974" i="1"/>
  <c r="C974" i="1"/>
  <c r="B974" i="1"/>
  <c r="A974" i="1"/>
  <c r="F973" i="1"/>
  <c r="E973" i="1"/>
  <c r="D973" i="1"/>
  <c r="C973" i="1"/>
  <c r="B973" i="1"/>
  <c r="A973" i="1"/>
  <c r="F972" i="1"/>
  <c r="E972" i="1"/>
  <c r="D972" i="1"/>
  <c r="C972" i="1"/>
  <c r="B972" i="1"/>
  <c r="A972" i="1"/>
  <c r="F971" i="1"/>
  <c r="E971" i="1"/>
  <c r="D971" i="1"/>
  <c r="C971" i="1"/>
  <c r="B971" i="1"/>
  <c r="A971" i="1"/>
  <c r="F970" i="1"/>
  <c r="E970" i="1"/>
  <c r="D970" i="1"/>
  <c r="C970" i="1"/>
  <c r="B970" i="1"/>
  <c r="A970" i="1"/>
  <c r="F969" i="1"/>
  <c r="E969" i="1"/>
  <c r="D969" i="1"/>
  <c r="C969" i="1"/>
  <c r="B969" i="1"/>
  <c r="A969" i="1"/>
  <c r="F968" i="1"/>
  <c r="E968" i="1"/>
  <c r="D968" i="1"/>
  <c r="C968" i="1"/>
  <c r="B968" i="1"/>
  <c r="A968" i="1"/>
  <c r="F967" i="1"/>
  <c r="E967" i="1"/>
  <c r="D967" i="1"/>
  <c r="C967" i="1"/>
  <c r="B967" i="1"/>
  <c r="A967" i="1"/>
  <c r="F966" i="1"/>
  <c r="E966" i="1"/>
  <c r="D966" i="1"/>
  <c r="C966" i="1"/>
  <c r="B966" i="1"/>
  <c r="A966" i="1"/>
  <c r="F965" i="1"/>
  <c r="E965" i="1"/>
  <c r="D965" i="1"/>
  <c r="C965" i="1"/>
  <c r="B965" i="1"/>
  <c r="A965" i="1"/>
  <c r="F964" i="1"/>
  <c r="E964" i="1"/>
  <c r="D964" i="1"/>
  <c r="C964" i="1"/>
  <c r="B964" i="1"/>
  <c r="A964" i="1"/>
  <c r="F963" i="1"/>
  <c r="E963" i="1"/>
  <c r="D963" i="1"/>
  <c r="C963" i="1"/>
  <c r="B963" i="1"/>
  <c r="A963" i="1"/>
  <c r="F962" i="1"/>
  <c r="E962" i="1"/>
  <c r="D962" i="1"/>
  <c r="C962" i="1"/>
  <c r="B962" i="1"/>
  <c r="A962" i="1"/>
  <c r="F961" i="1"/>
  <c r="E961" i="1"/>
  <c r="D961" i="1"/>
  <c r="C961" i="1"/>
  <c r="B961" i="1"/>
  <c r="A961" i="1"/>
  <c r="F960" i="1"/>
  <c r="E960" i="1"/>
  <c r="D960" i="1"/>
  <c r="C960" i="1"/>
  <c r="B960" i="1"/>
  <c r="A960" i="1"/>
  <c r="F959" i="1"/>
  <c r="E959" i="1"/>
  <c r="D959" i="1"/>
  <c r="C959" i="1"/>
  <c r="B959" i="1"/>
  <c r="A959" i="1"/>
  <c r="F958" i="1"/>
  <c r="E958" i="1"/>
  <c r="D958" i="1"/>
  <c r="C958" i="1"/>
  <c r="B958" i="1"/>
  <c r="A958" i="1"/>
  <c r="F957" i="1"/>
  <c r="E957" i="1"/>
  <c r="D957" i="1"/>
  <c r="C957" i="1"/>
  <c r="B957" i="1"/>
  <c r="A957" i="1"/>
  <c r="F956" i="1"/>
  <c r="E956" i="1"/>
  <c r="D956" i="1"/>
  <c r="C956" i="1"/>
  <c r="B956" i="1"/>
  <c r="A956" i="1"/>
  <c r="F955" i="1"/>
  <c r="E955" i="1"/>
  <c r="D955" i="1"/>
  <c r="C955" i="1"/>
  <c r="B955" i="1"/>
  <c r="A955" i="1"/>
  <c r="F954" i="1"/>
  <c r="E954" i="1"/>
  <c r="D954" i="1"/>
  <c r="C954" i="1"/>
  <c r="B954" i="1"/>
  <c r="A954" i="1"/>
  <c r="F953" i="1"/>
  <c r="E953" i="1"/>
  <c r="D953" i="1"/>
  <c r="C953" i="1"/>
  <c r="B953" i="1"/>
  <c r="A953" i="1"/>
  <c r="F952" i="1"/>
  <c r="E952" i="1"/>
  <c r="D952" i="1"/>
  <c r="C952" i="1"/>
  <c r="B952" i="1"/>
  <c r="A952" i="1"/>
  <c r="F951" i="1"/>
  <c r="E951" i="1"/>
  <c r="D951" i="1"/>
  <c r="C951" i="1"/>
  <c r="B951" i="1"/>
  <c r="A951" i="1"/>
  <c r="F950" i="1"/>
  <c r="E950" i="1"/>
  <c r="D950" i="1"/>
  <c r="C950" i="1"/>
  <c r="B950" i="1"/>
  <c r="A950" i="1"/>
  <c r="F949" i="1"/>
  <c r="E949" i="1"/>
  <c r="D949" i="1"/>
  <c r="C949" i="1"/>
  <c r="B949" i="1"/>
  <c r="A949" i="1"/>
  <c r="F948" i="1"/>
  <c r="E948" i="1"/>
  <c r="D948" i="1"/>
  <c r="C948" i="1"/>
  <c r="B948" i="1"/>
  <c r="A948" i="1"/>
  <c r="F947" i="1"/>
  <c r="E947" i="1"/>
  <c r="D947" i="1"/>
  <c r="C947" i="1"/>
  <c r="B947" i="1"/>
  <c r="A947" i="1"/>
  <c r="F946" i="1"/>
  <c r="E946" i="1"/>
  <c r="D946" i="1"/>
  <c r="C946" i="1"/>
  <c r="B946" i="1"/>
  <c r="A946" i="1"/>
  <c r="F945" i="1"/>
  <c r="E945" i="1"/>
  <c r="D945" i="1"/>
  <c r="C945" i="1"/>
  <c r="B945" i="1"/>
  <c r="A945" i="1"/>
  <c r="F944" i="1"/>
  <c r="E944" i="1"/>
  <c r="D944" i="1"/>
  <c r="C944" i="1"/>
  <c r="B944" i="1"/>
  <c r="A944" i="1"/>
  <c r="F943" i="1"/>
  <c r="E943" i="1"/>
  <c r="D943" i="1"/>
  <c r="C943" i="1"/>
  <c r="B943" i="1"/>
  <c r="A943" i="1"/>
  <c r="F942" i="1"/>
  <c r="E942" i="1"/>
  <c r="D942" i="1"/>
  <c r="C942" i="1"/>
  <c r="B942" i="1"/>
  <c r="A942" i="1"/>
  <c r="F941" i="1"/>
  <c r="E941" i="1"/>
  <c r="D941" i="1"/>
  <c r="C941" i="1"/>
  <c r="B941" i="1"/>
  <c r="A941" i="1"/>
  <c r="F940" i="1"/>
  <c r="E940" i="1"/>
  <c r="D940" i="1"/>
  <c r="C940" i="1"/>
  <c r="B940" i="1"/>
  <c r="A940" i="1"/>
  <c r="F939" i="1"/>
  <c r="E939" i="1"/>
  <c r="D939" i="1"/>
  <c r="C939" i="1"/>
  <c r="B939" i="1"/>
  <c r="A939" i="1"/>
  <c r="F938" i="1"/>
  <c r="E938" i="1"/>
  <c r="D938" i="1"/>
  <c r="C938" i="1"/>
  <c r="B938" i="1"/>
  <c r="A938" i="1"/>
  <c r="F937" i="1"/>
  <c r="E937" i="1"/>
  <c r="D937" i="1"/>
  <c r="C937" i="1"/>
  <c r="B937" i="1"/>
  <c r="A937" i="1"/>
  <c r="F936" i="1"/>
  <c r="E936" i="1"/>
  <c r="D936" i="1"/>
  <c r="C936" i="1"/>
  <c r="B936" i="1"/>
  <c r="A936" i="1"/>
  <c r="F935" i="1"/>
  <c r="E935" i="1"/>
  <c r="D935" i="1"/>
  <c r="C935" i="1"/>
  <c r="B935" i="1"/>
  <c r="A935" i="1"/>
  <c r="F934" i="1"/>
  <c r="E934" i="1"/>
  <c r="D934" i="1"/>
  <c r="C934" i="1"/>
  <c r="B934" i="1"/>
  <c r="A934" i="1"/>
  <c r="F933" i="1"/>
  <c r="E933" i="1"/>
  <c r="D933" i="1"/>
  <c r="C933" i="1"/>
  <c r="B933" i="1"/>
  <c r="A933" i="1"/>
  <c r="F932" i="1"/>
  <c r="E932" i="1"/>
  <c r="D932" i="1"/>
  <c r="C932" i="1"/>
  <c r="B932" i="1"/>
  <c r="A932" i="1"/>
  <c r="F931" i="1"/>
  <c r="E931" i="1"/>
  <c r="D931" i="1"/>
  <c r="C931" i="1"/>
  <c r="B931" i="1"/>
  <c r="A931" i="1"/>
  <c r="F930" i="1"/>
  <c r="E930" i="1"/>
  <c r="D930" i="1"/>
  <c r="C930" i="1"/>
  <c r="B930" i="1"/>
  <c r="A930" i="1"/>
  <c r="F929" i="1"/>
  <c r="E929" i="1"/>
  <c r="D929" i="1"/>
  <c r="C929" i="1"/>
  <c r="B929" i="1"/>
  <c r="A929" i="1"/>
  <c r="F928" i="1"/>
  <c r="E928" i="1"/>
  <c r="D928" i="1"/>
  <c r="C928" i="1"/>
  <c r="B928" i="1"/>
  <c r="A928" i="1"/>
  <c r="F927" i="1"/>
  <c r="E927" i="1"/>
  <c r="D927" i="1"/>
  <c r="C927" i="1"/>
  <c r="B927" i="1"/>
  <c r="A927" i="1"/>
  <c r="F926" i="1"/>
  <c r="E926" i="1"/>
  <c r="D926" i="1"/>
  <c r="C926" i="1"/>
  <c r="B926" i="1"/>
  <c r="A926" i="1"/>
  <c r="F925" i="1"/>
  <c r="E925" i="1"/>
  <c r="D925" i="1"/>
  <c r="C925" i="1"/>
  <c r="B925" i="1"/>
  <c r="A925" i="1"/>
  <c r="F924" i="1"/>
  <c r="E924" i="1"/>
  <c r="D924" i="1"/>
  <c r="C924" i="1"/>
  <c r="B924" i="1"/>
  <c r="A924" i="1"/>
  <c r="F923" i="1"/>
  <c r="E923" i="1"/>
  <c r="D923" i="1"/>
  <c r="C923" i="1"/>
  <c r="B923" i="1"/>
  <c r="A923" i="1"/>
  <c r="F922" i="1"/>
  <c r="E922" i="1"/>
  <c r="D922" i="1"/>
  <c r="C922" i="1"/>
  <c r="B922" i="1"/>
  <c r="A922" i="1"/>
  <c r="F921" i="1"/>
  <c r="E921" i="1"/>
  <c r="D921" i="1"/>
  <c r="C921" i="1"/>
  <c r="B921" i="1"/>
  <c r="A921" i="1"/>
  <c r="F920" i="1"/>
  <c r="E920" i="1"/>
  <c r="D920" i="1"/>
  <c r="C920" i="1"/>
  <c r="B920" i="1"/>
  <c r="A920" i="1"/>
  <c r="F919" i="1"/>
  <c r="E919" i="1"/>
  <c r="D919" i="1"/>
  <c r="C919" i="1"/>
  <c r="B919" i="1"/>
  <c r="A919" i="1"/>
  <c r="F918" i="1"/>
  <c r="E918" i="1"/>
  <c r="D918" i="1"/>
  <c r="C918" i="1"/>
  <c r="B918" i="1"/>
  <c r="A918" i="1"/>
  <c r="F917" i="1"/>
  <c r="E917" i="1"/>
  <c r="D917" i="1"/>
  <c r="C917" i="1"/>
  <c r="B917" i="1"/>
  <c r="A917" i="1"/>
  <c r="F916" i="1"/>
  <c r="E916" i="1"/>
  <c r="D916" i="1"/>
  <c r="C916" i="1"/>
  <c r="B916" i="1"/>
  <c r="A916" i="1"/>
  <c r="F915" i="1"/>
  <c r="E915" i="1"/>
  <c r="D915" i="1"/>
  <c r="C915" i="1"/>
  <c r="B915" i="1"/>
  <c r="A915" i="1"/>
  <c r="F914" i="1"/>
  <c r="E914" i="1"/>
  <c r="D914" i="1"/>
  <c r="C914" i="1"/>
  <c r="B914" i="1"/>
  <c r="A914" i="1"/>
  <c r="F913" i="1"/>
  <c r="E913" i="1"/>
  <c r="D913" i="1"/>
  <c r="C913" i="1"/>
  <c r="B913" i="1"/>
  <c r="A913" i="1"/>
  <c r="F912" i="1"/>
  <c r="E912" i="1"/>
  <c r="D912" i="1"/>
  <c r="C912" i="1"/>
  <c r="B912" i="1"/>
  <c r="A912" i="1"/>
  <c r="F911" i="1"/>
  <c r="E911" i="1"/>
  <c r="D911" i="1"/>
  <c r="C911" i="1"/>
  <c r="B911" i="1"/>
  <c r="A911" i="1"/>
  <c r="F910" i="1"/>
  <c r="E910" i="1"/>
  <c r="D910" i="1"/>
  <c r="C910" i="1"/>
  <c r="B910" i="1"/>
  <c r="A910" i="1"/>
  <c r="F909" i="1"/>
  <c r="E909" i="1"/>
  <c r="D909" i="1"/>
  <c r="C909" i="1"/>
  <c r="B909" i="1"/>
  <c r="A909" i="1"/>
  <c r="F908" i="1"/>
  <c r="E908" i="1"/>
  <c r="D908" i="1"/>
  <c r="C908" i="1"/>
  <c r="B908" i="1"/>
  <c r="A908" i="1"/>
  <c r="F907" i="1"/>
  <c r="E907" i="1"/>
  <c r="D907" i="1"/>
  <c r="C907" i="1"/>
  <c r="B907" i="1"/>
  <c r="A907" i="1"/>
  <c r="F906" i="1"/>
  <c r="E906" i="1"/>
  <c r="D906" i="1"/>
  <c r="C906" i="1"/>
  <c r="B906" i="1"/>
  <c r="A906" i="1"/>
  <c r="F905" i="1"/>
  <c r="E905" i="1"/>
  <c r="D905" i="1"/>
  <c r="C905" i="1"/>
  <c r="B905" i="1"/>
  <c r="A905" i="1"/>
  <c r="F904" i="1"/>
  <c r="E904" i="1"/>
  <c r="D904" i="1"/>
  <c r="C904" i="1"/>
  <c r="B904" i="1"/>
  <c r="A904" i="1"/>
  <c r="F903" i="1"/>
  <c r="E903" i="1"/>
  <c r="D903" i="1"/>
  <c r="C903" i="1"/>
  <c r="B903" i="1"/>
  <c r="A903" i="1"/>
  <c r="F902" i="1"/>
  <c r="E902" i="1"/>
  <c r="D902" i="1"/>
  <c r="C902" i="1"/>
  <c r="B902" i="1"/>
  <c r="A902" i="1"/>
  <c r="F901" i="1"/>
  <c r="E901" i="1"/>
  <c r="D901" i="1"/>
  <c r="C901" i="1"/>
  <c r="B901" i="1"/>
  <c r="A901" i="1"/>
  <c r="F900" i="1"/>
  <c r="E900" i="1"/>
  <c r="D900" i="1"/>
  <c r="C900" i="1"/>
  <c r="B900" i="1"/>
  <c r="A900" i="1"/>
  <c r="F899" i="1"/>
  <c r="E899" i="1"/>
  <c r="D899" i="1"/>
  <c r="C899" i="1"/>
  <c r="B899" i="1"/>
  <c r="A899" i="1"/>
  <c r="F898" i="1"/>
  <c r="E898" i="1"/>
  <c r="D898" i="1"/>
  <c r="C898" i="1"/>
  <c r="B898" i="1"/>
  <c r="A898" i="1"/>
  <c r="F897" i="1"/>
  <c r="E897" i="1"/>
  <c r="D897" i="1"/>
  <c r="C897" i="1"/>
  <c r="B897" i="1"/>
  <c r="A897" i="1"/>
  <c r="F896" i="1"/>
  <c r="E896" i="1"/>
  <c r="D896" i="1"/>
  <c r="C896" i="1"/>
  <c r="B896" i="1"/>
  <c r="A896" i="1"/>
  <c r="F895" i="1"/>
  <c r="E895" i="1"/>
  <c r="D895" i="1"/>
  <c r="C895" i="1"/>
  <c r="B895" i="1"/>
  <c r="A895" i="1"/>
  <c r="F894" i="1"/>
  <c r="E894" i="1"/>
  <c r="D894" i="1"/>
  <c r="C894" i="1"/>
  <c r="B894" i="1"/>
  <c r="A894" i="1"/>
  <c r="F893" i="1"/>
  <c r="E893" i="1"/>
  <c r="D893" i="1"/>
  <c r="C893" i="1"/>
  <c r="B893" i="1"/>
  <c r="A893" i="1"/>
  <c r="F892" i="1"/>
  <c r="E892" i="1"/>
  <c r="D892" i="1"/>
  <c r="C892" i="1"/>
  <c r="B892" i="1"/>
  <c r="A892" i="1"/>
  <c r="F891" i="1"/>
  <c r="E891" i="1"/>
  <c r="D891" i="1"/>
  <c r="C891" i="1"/>
  <c r="B891" i="1"/>
  <c r="A891" i="1"/>
  <c r="F890" i="1"/>
  <c r="E890" i="1"/>
  <c r="D890" i="1"/>
  <c r="C890" i="1"/>
  <c r="B890" i="1"/>
  <c r="A890" i="1"/>
  <c r="F889" i="1"/>
  <c r="E889" i="1"/>
  <c r="D889" i="1"/>
  <c r="C889" i="1"/>
  <c r="B889" i="1"/>
  <c r="A889" i="1"/>
  <c r="F888" i="1"/>
  <c r="E888" i="1"/>
  <c r="D888" i="1"/>
  <c r="C888" i="1"/>
  <c r="B888" i="1"/>
  <c r="A888" i="1"/>
  <c r="F887" i="1"/>
  <c r="E887" i="1"/>
  <c r="D887" i="1"/>
  <c r="C887" i="1"/>
  <c r="B887" i="1"/>
  <c r="A887" i="1"/>
  <c r="F886" i="1"/>
  <c r="E886" i="1"/>
  <c r="D886" i="1"/>
  <c r="C886" i="1"/>
  <c r="B886" i="1"/>
  <c r="A886" i="1"/>
  <c r="F885" i="1"/>
  <c r="E885" i="1"/>
  <c r="D885" i="1"/>
  <c r="C885" i="1"/>
  <c r="B885" i="1"/>
  <c r="A885" i="1"/>
  <c r="F884" i="1"/>
  <c r="E884" i="1"/>
  <c r="D884" i="1"/>
  <c r="C884" i="1"/>
  <c r="B884" i="1"/>
  <c r="A884" i="1"/>
  <c r="F883" i="1"/>
  <c r="E883" i="1"/>
  <c r="D883" i="1"/>
  <c r="C883" i="1"/>
  <c r="B883" i="1"/>
  <c r="A883" i="1"/>
  <c r="F882" i="1"/>
  <c r="E882" i="1"/>
  <c r="D882" i="1"/>
  <c r="C882" i="1"/>
  <c r="B882" i="1"/>
  <c r="A882" i="1"/>
  <c r="F881" i="1"/>
  <c r="E881" i="1"/>
  <c r="D881" i="1"/>
  <c r="C881" i="1"/>
  <c r="B881" i="1"/>
  <c r="A881" i="1"/>
  <c r="F880" i="1"/>
  <c r="E880" i="1"/>
  <c r="D880" i="1"/>
  <c r="C880" i="1"/>
  <c r="B880" i="1"/>
  <c r="A880" i="1"/>
  <c r="F879" i="1"/>
  <c r="E879" i="1"/>
  <c r="D879" i="1"/>
  <c r="C879" i="1"/>
  <c r="B879" i="1"/>
  <c r="A879" i="1"/>
  <c r="F878" i="1"/>
  <c r="E878" i="1"/>
  <c r="D878" i="1"/>
  <c r="C878" i="1"/>
  <c r="B878" i="1"/>
  <c r="A878" i="1"/>
  <c r="F877" i="1"/>
  <c r="E877" i="1"/>
  <c r="D877" i="1"/>
  <c r="C877" i="1"/>
  <c r="B877" i="1"/>
  <c r="A877" i="1"/>
  <c r="F876" i="1"/>
  <c r="E876" i="1"/>
  <c r="D876" i="1"/>
  <c r="C876" i="1"/>
  <c r="B876" i="1"/>
  <c r="A876" i="1"/>
  <c r="F875" i="1"/>
  <c r="E875" i="1"/>
  <c r="D875" i="1"/>
  <c r="C875" i="1"/>
  <c r="B875" i="1"/>
  <c r="A875" i="1"/>
  <c r="F874" i="1"/>
  <c r="E874" i="1"/>
  <c r="D874" i="1"/>
  <c r="C874" i="1"/>
  <c r="B874" i="1"/>
  <c r="A874" i="1"/>
  <c r="F873" i="1"/>
  <c r="E873" i="1"/>
  <c r="D873" i="1"/>
  <c r="C873" i="1"/>
  <c r="B873" i="1"/>
  <c r="A873" i="1"/>
  <c r="F872" i="1"/>
  <c r="E872" i="1"/>
  <c r="D872" i="1"/>
  <c r="C872" i="1"/>
  <c r="B872" i="1"/>
  <c r="A872" i="1"/>
  <c r="F871" i="1"/>
  <c r="E871" i="1"/>
  <c r="D871" i="1"/>
  <c r="C871" i="1"/>
  <c r="B871" i="1"/>
  <c r="A871" i="1"/>
  <c r="F870" i="1"/>
  <c r="E870" i="1"/>
  <c r="D870" i="1"/>
  <c r="C870" i="1"/>
  <c r="B870" i="1"/>
  <c r="A870" i="1"/>
  <c r="F869" i="1"/>
  <c r="E869" i="1"/>
  <c r="D869" i="1"/>
  <c r="C869" i="1"/>
  <c r="B869" i="1"/>
  <c r="A869" i="1"/>
  <c r="F868" i="1"/>
  <c r="E868" i="1"/>
  <c r="D868" i="1"/>
  <c r="C868" i="1"/>
  <c r="B868" i="1"/>
  <c r="A868" i="1"/>
  <c r="F867" i="1"/>
  <c r="E867" i="1"/>
  <c r="D867" i="1"/>
  <c r="C867" i="1"/>
  <c r="B867" i="1"/>
  <c r="A867" i="1"/>
  <c r="F866" i="1"/>
  <c r="E866" i="1"/>
  <c r="D866" i="1"/>
  <c r="C866" i="1"/>
  <c r="B866" i="1"/>
  <c r="A866" i="1"/>
  <c r="F865" i="1"/>
  <c r="E865" i="1"/>
  <c r="D865" i="1"/>
  <c r="C865" i="1"/>
  <c r="B865" i="1"/>
  <c r="A865" i="1"/>
  <c r="F864" i="1"/>
  <c r="E864" i="1"/>
  <c r="D864" i="1"/>
  <c r="C864" i="1"/>
  <c r="B864" i="1"/>
  <c r="A864" i="1"/>
  <c r="F863" i="1"/>
  <c r="E863" i="1"/>
  <c r="D863" i="1"/>
  <c r="C863" i="1"/>
  <c r="B863" i="1"/>
  <c r="A863" i="1"/>
  <c r="F862" i="1"/>
  <c r="E862" i="1"/>
  <c r="D862" i="1"/>
  <c r="C862" i="1"/>
  <c r="B862" i="1"/>
  <c r="A862" i="1"/>
  <c r="F861" i="1"/>
  <c r="E861" i="1"/>
  <c r="D861" i="1"/>
  <c r="C861" i="1"/>
  <c r="B861" i="1"/>
  <c r="A861" i="1"/>
  <c r="F860" i="1"/>
  <c r="E860" i="1"/>
  <c r="D860" i="1"/>
  <c r="C860" i="1"/>
  <c r="B860" i="1"/>
  <c r="A860" i="1"/>
  <c r="F859" i="1"/>
  <c r="E859" i="1"/>
  <c r="D859" i="1"/>
  <c r="C859" i="1"/>
  <c r="B859" i="1"/>
  <c r="A859" i="1"/>
  <c r="F858" i="1"/>
  <c r="E858" i="1"/>
  <c r="D858" i="1"/>
  <c r="C858" i="1"/>
  <c r="B858" i="1"/>
  <c r="A858" i="1"/>
  <c r="F857" i="1"/>
  <c r="E857" i="1"/>
  <c r="D857" i="1"/>
  <c r="C857" i="1"/>
  <c r="B857" i="1"/>
  <c r="A857" i="1"/>
  <c r="F856" i="1"/>
  <c r="E856" i="1"/>
  <c r="D856" i="1"/>
  <c r="C856" i="1"/>
  <c r="B856" i="1"/>
  <c r="A856" i="1"/>
  <c r="F855" i="1"/>
  <c r="E855" i="1"/>
  <c r="D855" i="1"/>
  <c r="C855" i="1"/>
  <c r="B855" i="1"/>
  <c r="A855" i="1"/>
  <c r="F854" i="1"/>
  <c r="E854" i="1"/>
  <c r="D854" i="1"/>
  <c r="C854" i="1"/>
  <c r="B854" i="1"/>
  <c r="A854" i="1"/>
  <c r="F853" i="1"/>
  <c r="E853" i="1"/>
  <c r="D853" i="1"/>
  <c r="C853" i="1"/>
  <c r="B853" i="1"/>
  <c r="A853" i="1"/>
  <c r="F852" i="1"/>
  <c r="E852" i="1"/>
  <c r="D852" i="1"/>
  <c r="C852" i="1"/>
  <c r="B852" i="1"/>
  <c r="A852" i="1"/>
  <c r="F851" i="1"/>
  <c r="E851" i="1"/>
  <c r="D851" i="1"/>
  <c r="C851" i="1"/>
  <c r="B851" i="1"/>
  <c r="A851" i="1"/>
  <c r="F850" i="1"/>
  <c r="E850" i="1"/>
  <c r="D850" i="1"/>
  <c r="C850" i="1"/>
  <c r="B850" i="1"/>
  <c r="A850" i="1"/>
  <c r="F849" i="1"/>
  <c r="E849" i="1"/>
  <c r="D849" i="1"/>
  <c r="C849" i="1"/>
  <c r="B849" i="1"/>
  <c r="A849" i="1"/>
  <c r="F848" i="1"/>
  <c r="E848" i="1"/>
  <c r="D848" i="1"/>
  <c r="C848" i="1"/>
  <c r="B848" i="1"/>
  <c r="A848" i="1"/>
  <c r="F847" i="1"/>
  <c r="E847" i="1"/>
  <c r="D847" i="1"/>
  <c r="C847" i="1"/>
  <c r="B847" i="1"/>
  <c r="A847" i="1"/>
  <c r="F846" i="1"/>
  <c r="E846" i="1"/>
  <c r="D846" i="1"/>
  <c r="C846" i="1"/>
  <c r="B846" i="1"/>
  <c r="A846" i="1"/>
  <c r="F845" i="1"/>
  <c r="E845" i="1"/>
  <c r="D845" i="1"/>
  <c r="C845" i="1"/>
  <c r="B845" i="1"/>
  <c r="A845" i="1"/>
  <c r="F844" i="1"/>
  <c r="E844" i="1"/>
  <c r="D844" i="1"/>
  <c r="C844" i="1"/>
  <c r="B844" i="1"/>
  <c r="A844" i="1"/>
  <c r="F843" i="1"/>
  <c r="E843" i="1"/>
  <c r="D843" i="1"/>
  <c r="C843" i="1"/>
  <c r="B843" i="1"/>
  <c r="A843" i="1"/>
  <c r="F842" i="1"/>
  <c r="E842" i="1"/>
  <c r="D842" i="1"/>
  <c r="C842" i="1"/>
  <c r="B842" i="1"/>
  <c r="A842" i="1"/>
  <c r="F841" i="1"/>
  <c r="E841" i="1"/>
  <c r="D841" i="1"/>
  <c r="C841" i="1"/>
  <c r="B841" i="1"/>
  <c r="A841" i="1"/>
  <c r="F840" i="1"/>
  <c r="E840" i="1"/>
  <c r="D840" i="1"/>
  <c r="C840" i="1"/>
  <c r="B840" i="1"/>
  <c r="A840" i="1"/>
  <c r="F839" i="1"/>
  <c r="E839" i="1"/>
  <c r="D839" i="1"/>
  <c r="C839" i="1"/>
  <c r="B839" i="1"/>
  <c r="A839" i="1"/>
  <c r="F838" i="1"/>
  <c r="E838" i="1"/>
  <c r="D838" i="1"/>
  <c r="C838" i="1"/>
  <c r="B838" i="1"/>
  <c r="A838" i="1"/>
  <c r="F837" i="1"/>
  <c r="E837" i="1"/>
  <c r="D837" i="1"/>
  <c r="C837" i="1"/>
  <c r="B837" i="1"/>
  <c r="A837" i="1"/>
  <c r="F836" i="1"/>
  <c r="E836" i="1"/>
  <c r="D836" i="1"/>
  <c r="C836" i="1"/>
  <c r="B836" i="1"/>
  <c r="A836" i="1"/>
  <c r="F835" i="1"/>
  <c r="E835" i="1"/>
  <c r="D835" i="1"/>
  <c r="C835" i="1"/>
  <c r="B835" i="1"/>
  <c r="A835" i="1"/>
  <c r="F834" i="1"/>
  <c r="E834" i="1"/>
  <c r="D834" i="1"/>
  <c r="C834" i="1"/>
  <c r="B834" i="1"/>
  <c r="A834" i="1"/>
  <c r="F833" i="1"/>
  <c r="E833" i="1"/>
  <c r="D833" i="1"/>
  <c r="C833" i="1"/>
  <c r="B833" i="1"/>
  <c r="A833" i="1"/>
  <c r="F832" i="1"/>
  <c r="E832" i="1"/>
  <c r="D832" i="1"/>
  <c r="C832" i="1"/>
  <c r="B832" i="1"/>
  <c r="A832" i="1"/>
  <c r="F831" i="1"/>
  <c r="E831" i="1"/>
  <c r="D831" i="1"/>
  <c r="C831" i="1"/>
  <c r="B831" i="1"/>
  <c r="A831" i="1"/>
  <c r="F830" i="1"/>
  <c r="E830" i="1"/>
  <c r="D830" i="1"/>
  <c r="C830" i="1"/>
  <c r="B830" i="1"/>
  <c r="A830" i="1"/>
  <c r="F829" i="1"/>
  <c r="E829" i="1"/>
  <c r="D829" i="1"/>
  <c r="C829" i="1"/>
  <c r="B829" i="1"/>
  <c r="A829" i="1"/>
  <c r="F828" i="1"/>
  <c r="E828" i="1"/>
  <c r="D828" i="1"/>
  <c r="C828" i="1"/>
  <c r="B828" i="1"/>
  <c r="A828" i="1"/>
  <c r="F827" i="1"/>
  <c r="E827" i="1"/>
  <c r="D827" i="1"/>
  <c r="C827" i="1"/>
  <c r="B827" i="1"/>
  <c r="A827" i="1"/>
  <c r="F826" i="1"/>
  <c r="E826" i="1"/>
  <c r="D826" i="1"/>
  <c r="C826" i="1"/>
  <c r="B826" i="1"/>
  <c r="A826" i="1"/>
  <c r="F825" i="1"/>
  <c r="E825" i="1"/>
  <c r="D825" i="1"/>
  <c r="C825" i="1"/>
  <c r="B825" i="1"/>
  <c r="A825" i="1"/>
  <c r="F824" i="1"/>
  <c r="E824" i="1"/>
  <c r="D824" i="1"/>
  <c r="C824" i="1"/>
  <c r="B824" i="1"/>
  <c r="A824" i="1"/>
  <c r="F823" i="1"/>
  <c r="E823" i="1"/>
  <c r="D823" i="1"/>
  <c r="C823" i="1"/>
  <c r="B823" i="1"/>
  <c r="A823" i="1"/>
  <c r="F822" i="1"/>
  <c r="E822" i="1"/>
  <c r="D822" i="1"/>
  <c r="C822" i="1"/>
  <c r="B822" i="1"/>
  <c r="A822" i="1"/>
  <c r="F821" i="1"/>
  <c r="E821" i="1"/>
  <c r="D821" i="1"/>
  <c r="C821" i="1"/>
  <c r="B821" i="1"/>
  <c r="A821" i="1"/>
  <c r="F820" i="1"/>
  <c r="E820" i="1"/>
  <c r="D820" i="1"/>
  <c r="C820" i="1"/>
  <c r="B820" i="1"/>
  <c r="A820" i="1"/>
  <c r="F819" i="1"/>
  <c r="E819" i="1"/>
  <c r="D819" i="1"/>
  <c r="C819" i="1"/>
  <c r="B819" i="1"/>
  <c r="A819" i="1"/>
  <c r="F818" i="1"/>
  <c r="E818" i="1"/>
  <c r="D818" i="1"/>
  <c r="C818" i="1"/>
  <c r="B818" i="1"/>
  <c r="A818" i="1"/>
  <c r="F817" i="1"/>
  <c r="E817" i="1"/>
  <c r="D817" i="1"/>
  <c r="C817" i="1"/>
  <c r="B817" i="1"/>
  <c r="A817" i="1"/>
  <c r="F816" i="1"/>
  <c r="E816" i="1"/>
  <c r="D816" i="1"/>
  <c r="C816" i="1"/>
  <c r="B816" i="1"/>
  <c r="A816" i="1"/>
  <c r="F815" i="1"/>
  <c r="E815" i="1"/>
  <c r="D815" i="1"/>
  <c r="C815" i="1"/>
  <c r="B815" i="1"/>
  <c r="A815" i="1"/>
  <c r="F814" i="1"/>
  <c r="E814" i="1"/>
  <c r="D814" i="1"/>
  <c r="C814" i="1"/>
  <c r="B814" i="1"/>
  <c r="A814" i="1"/>
  <c r="F813" i="1"/>
  <c r="E813" i="1"/>
  <c r="D813" i="1"/>
  <c r="C813" i="1"/>
  <c r="B813" i="1"/>
  <c r="A813" i="1"/>
  <c r="F812" i="1"/>
  <c r="E812" i="1"/>
  <c r="D812" i="1"/>
  <c r="C812" i="1"/>
  <c r="B812" i="1"/>
  <c r="A812" i="1"/>
  <c r="F811" i="1"/>
  <c r="E811" i="1"/>
  <c r="D811" i="1"/>
  <c r="C811" i="1"/>
  <c r="B811" i="1"/>
  <c r="A811" i="1"/>
  <c r="F810" i="1"/>
  <c r="E810" i="1"/>
  <c r="D810" i="1"/>
  <c r="C810" i="1"/>
  <c r="B810" i="1"/>
  <c r="A810" i="1"/>
  <c r="F809" i="1"/>
  <c r="E809" i="1"/>
  <c r="D809" i="1"/>
  <c r="C809" i="1"/>
  <c r="B809" i="1"/>
  <c r="A809" i="1"/>
  <c r="F808" i="1"/>
  <c r="E808" i="1"/>
  <c r="D808" i="1"/>
  <c r="C808" i="1"/>
  <c r="B808" i="1"/>
  <c r="A808" i="1"/>
  <c r="F807" i="1"/>
  <c r="E807" i="1"/>
  <c r="D807" i="1"/>
  <c r="C807" i="1"/>
  <c r="B807" i="1"/>
  <c r="A807" i="1"/>
  <c r="F806" i="1"/>
  <c r="E806" i="1"/>
  <c r="D806" i="1"/>
  <c r="C806" i="1"/>
  <c r="B806" i="1"/>
  <c r="A806" i="1"/>
  <c r="F805" i="1"/>
  <c r="E805" i="1"/>
  <c r="D805" i="1"/>
  <c r="C805" i="1"/>
  <c r="B805" i="1"/>
  <c r="A805" i="1"/>
  <c r="F804" i="1"/>
  <c r="E804" i="1"/>
  <c r="D804" i="1"/>
  <c r="C804" i="1"/>
  <c r="B804" i="1"/>
  <c r="A804" i="1"/>
  <c r="F803" i="1"/>
  <c r="E803" i="1"/>
  <c r="D803" i="1"/>
  <c r="C803" i="1"/>
  <c r="B803" i="1"/>
  <c r="A803" i="1"/>
  <c r="F802" i="1"/>
  <c r="E802" i="1"/>
  <c r="D802" i="1"/>
  <c r="C802" i="1"/>
  <c r="B802" i="1"/>
  <c r="A802" i="1"/>
  <c r="F801" i="1"/>
  <c r="E801" i="1"/>
  <c r="D801" i="1"/>
  <c r="C801" i="1"/>
  <c r="B801" i="1"/>
  <c r="A801" i="1"/>
  <c r="F800" i="1"/>
  <c r="E800" i="1"/>
  <c r="D800" i="1"/>
  <c r="C800" i="1"/>
  <c r="B800" i="1"/>
  <c r="A800" i="1"/>
  <c r="F799" i="1"/>
  <c r="E799" i="1"/>
  <c r="D799" i="1"/>
  <c r="C799" i="1"/>
  <c r="B799" i="1"/>
  <c r="A799" i="1"/>
  <c r="F798" i="1"/>
  <c r="E798" i="1"/>
  <c r="D798" i="1"/>
  <c r="C798" i="1"/>
  <c r="B798" i="1"/>
  <c r="A798" i="1"/>
  <c r="F797" i="1"/>
  <c r="E797" i="1"/>
  <c r="D797" i="1"/>
  <c r="C797" i="1"/>
  <c r="B797" i="1"/>
  <c r="A797" i="1"/>
  <c r="F796" i="1"/>
  <c r="E796" i="1"/>
  <c r="D796" i="1"/>
  <c r="C796" i="1"/>
  <c r="B796" i="1"/>
  <c r="A796" i="1"/>
  <c r="F795" i="1"/>
  <c r="E795" i="1"/>
  <c r="D795" i="1"/>
  <c r="C795" i="1"/>
  <c r="B795" i="1"/>
  <c r="A795" i="1"/>
  <c r="F794" i="1"/>
  <c r="E794" i="1"/>
  <c r="D794" i="1"/>
  <c r="C794" i="1"/>
  <c r="B794" i="1"/>
  <c r="A794" i="1"/>
  <c r="F793" i="1"/>
  <c r="E793" i="1"/>
  <c r="D793" i="1"/>
  <c r="C793" i="1"/>
  <c r="B793" i="1"/>
  <c r="A793" i="1"/>
  <c r="F792" i="1"/>
  <c r="E792" i="1"/>
  <c r="D792" i="1"/>
  <c r="C792" i="1"/>
  <c r="B792" i="1"/>
  <c r="A792" i="1"/>
  <c r="F791" i="1"/>
  <c r="E791" i="1"/>
  <c r="D791" i="1"/>
  <c r="C791" i="1"/>
  <c r="B791" i="1"/>
  <c r="A791" i="1"/>
  <c r="F790" i="1"/>
  <c r="E790" i="1"/>
  <c r="D790" i="1"/>
  <c r="C790" i="1"/>
  <c r="B790" i="1"/>
  <c r="A790" i="1"/>
  <c r="F789" i="1"/>
  <c r="E789" i="1"/>
  <c r="D789" i="1"/>
  <c r="C789" i="1"/>
  <c r="B789" i="1"/>
  <c r="A789" i="1"/>
  <c r="F788" i="1"/>
  <c r="E788" i="1"/>
  <c r="D788" i="1"/>
  <c r="C788" i="1"/>
  <c r="B788" i="1"/>
  <c r="A788" i="1"/>
  <c r="F787" i="1"/>
  <c r="E787" i="1"/>
  <c r="D787" i="1"/>
  <c r="C787" i="1"/>
  <c r="B787" i="1"/>
  <c r="A787" i="1"/>
  <c r="F786" i="1"/>
  <c r="E786" i="1"/>
  <c r="D786" i="1"/>
  <c r="C786" i="1"/>
  <c r="B786" i="1"/>
  <c r="A786" i="1"/>
  <c r="F785" i="1"/>
  <c r="E785" i="1"/>
  <c r="D785" i="1"/>
  <c r="C785" i="1"/>
  <c r="B785" i="1"/>
  <c r="A785" i="1"/>
  <c r="F784" i="1"/>
  <c r="E784" i="1"/>
  <c r="D784" i="1"/>
  <c r="C784" i="1"/>
  <c r="B784" i="1"/>
  <c r="A784" i="1"/>
  <c r="F783" i="1"/>
  <c r="E783" i="1"/>
  <c r="D783" i="1"/>
  <c r="C783" i="1"/>
  <c r="B783" i="1"/>
  <c r="A783" i="1"/>
  <c r="F782" i="1"/>
  <c r="E782" i="1"/>
  <c r="D782" i="1"/>
  <c r="C782" i="1"/>
  <c r="B782" i="1"/>
  <c r="A782" i="1"/>
  <c r="F781" i="1"/>
  <c r="E781" i="1"/>
  <c r="D781" i="1"/>
  <c r="C781" i="1"/>
  <c r="B781" i="1"/>
  <c r="A781" i="1"/>
  <c r="F780" i="1"/>
  <c r="E780" i="1"/>
  <c r="D780" i="1"/>
  <c r="C780" i="1"/>
  <c r="B780" i="1"/>
  <c r="A780" i="1"/>
  <c r="F779" i="1"/>
  <c r="E779" i="1"/>
  <c r="D779" i="1"/>
  <c r="C779" i="1"/>
  <c r="B779" i="1"/>
  <c r="A779" i="1"/>
  <c r="F778" i="1"/>
  <c r="E778" i="1"/>
  <c r="D778" i="1"/>
  <c r="C778" i="1"/>
  <c r="B778" i="1"/>
  <c r="A778" i="1"/>
  <c r="F777" i="1"/>
  <c r="E777" i="1"/>
  <c r="D777" i="1"/>
  <c r="C777" i="1"/>
  <c r="B777" i="1"/>
  <c r="A777" i="1"/>
  <c r="F776" i="1"/>
  <c r="E776" i="1"/>
  <c r="D776" i="1"/>
  <c r="C776" i="1"/>
  <c r="B776" i="1"/>
  <c r="A776" i="1"/>
  <c r="F775" i="1"/>
  <c r="E775" i="1"/>
  <c r="D775" i="1"/>
  <c r="C775" i="1"/>
  <c r="B775" i="1"/>
  <c r="A775" i="1"/>
  <c r="F774" i="1"/>
  <c r="E774" i="1"/>
  <c r="D774" i="1"/>
  <c r="C774" i="1"/>
  <c r="B774" i="1"/>
  <c r="A774" i="1"/>
  <c r="F773" i="1"/>
  <c r="E773" i="1"/>
  <c r="D773" i="1"/>
  <c r="C773" i="1"/>
  <c r="B773" i="1"/>
  <c r="A773" i="1"/>
  <c r="F772" i="1"/>
  <c r="E772" i="1"/>
  <c r="D772" i="1"/>
  <c r="C772" i="1"/>
  <c r="B772" i="1"/>
  <c r="A772" i="1"/>
  <c r="F771" i="1"/>
  <c r="E771" i="1"/>
  <c r="D771" i="1"/>
  <c r="C771" i="1"/>
  <c r="B771" i="1"/>
  <c r="A771" i="1"/>
  <c r="F770" i="1"/>
  <c r="E770" i="1"/>
  <c r="D770" i="1"/>
  <c r="C770" i="1"/>
  <c r="B770" i="1"/>
  <c r="A770" i="1"/>
  <c r="F769" i="1"/>
  <c r="E769" i="1"/>
  <c r="D769" i="1"/>
  <c r="C769" i="1"/>
  <c r="B769" i="1"/>
  <c r="A769" i="1"/>
  <c r="F768" i="1"/>
  <c r="E768" i="1"/>
  <c r="D768" i="1"/>
  <c r="C768" i="1"/>
  <c r="B768" i="1"/>
  <c r="A768" i="1"/>
  <c r="F767" i="1"/>
  <c r="E767" i="1"/>
  <c r="D767" i="1"/>
  <c r="C767" i="1"/>
  <c r="B767" i="1"/>
  <c r="A767" i="1"/>
  <c r="F766" i="1"/>
  <c r="E766" i="1"/>
  <c r="D766" i="1"/>
  <c r="C766" i="1"/>
  <c r="B766" i="1"/>
  <c r="A766" i="1"/>
  <c r="F765" i="1"/>
  <c r="E765" i="1"/>
  <c r="D765" i="1"/>
  <c r="C765" i="1"/>
  <c r="B765" i="1"/>
  <c r="A765" i="1"/>
  <c r="F764" i="1"/>
  <c r="E764" i="1"/>
  <c r="D764" i="1"/>
  <c r="C764" i="1"/>
  <c r="B764" i="1"/>
  <c r="A764" i="1"/>
  <c r="F763" i="1"/>
  <c r="E763" i="1"/>
  <c r="D763" i="1"/>
  <c r="C763" i="1"/>
  <c r="B763" i="1"/>
  <c r="A763" i="1"/>
  <c r="F762" i="1"/>
  <c r="E762" i="1"/>
  <c r="D762" i="1"/>
  <c r="C762" i="1"/>
  <c r="B762" i="1"/>
  <c r="A762" i="1"/>
  <c r="F761" i="1"/>
  <c r="E761" i="1"/>
  <c r="D761" i="1"/>
  <c r="C761" i="1"/>
  <c r="B761" i="1"/>
  <c r="A761" i="1"/>
  <c r="F760" i="1"/>
  <c r="E760" i="1"/>
  <c r="D760" i="1"/>
  <c r="C760" i="1"/>
  <c r="B760" i="1"/>
  <c r="A760" i="1"/>
  <c r="F759" i="1"/>
  <c r="E759" i="1"/>
  <c r="D759" i="1"/>
  <c r="C759" i="1"/>
  <c r="B759" i="1"/>
  <c r="A759" i="1"/>
  <c r="F758" i="1"/>
  <c r="E758" i="1"/>
  <c r="D758" i="1"/>
  <c r="C758" i="1"/>
  <c r="B758" i="1"/>
  <c r="A758" i="1"/>
  <c r="F757" i="1"/>
  <c r="E757" i="1"/>
  <c r="D757" i="1"/>
  <c r="C757" i="1"/>
  <c r="B757" i="1"/>
  <c r="A757" i="1"/>
  <c r="F756" i="1"/>
  <c r="E756" i="1"/>
  <c r="D756" i="1"/>
  <c r="C756" i="1"/>
  <c r="B756" i="1"/>
  <c r="A756" i="1"/>
  <c r="F755" i="1"/>
  <c r="E755" i="1"/>
  <c r="D755" i="1"/>
  <c r="C755" i="1"/>
  <c r="B755" i="1"/>
  <c r="A755" i="1"/>
  <c r="F754" i="1"/>
  <c r="E754" i="1"/>
  <c r="D754" i="1"/>
  <c r="C754" i="1"/>
  <c r="B754" i="1"/>
  <c r="A754" i="1"/>
  <c r="F753" i="1"/>
  <c r="E753" i="1"/>
  <c r="D753" i="1"/>
  <c r="C753" i="1"/>
  <c r="B753" i="1"/>
  <c r="A753" i="1"/>
  <c r="F752" i="1"/>
  <c r="E752" i="1"/>
  <c r="D752" i="1"/>
  <c r="C752" i="1"/>
  <c r="B752" i="1"/>
  <c r="A752" i="1"/>
  <c r="F751" i="1"/>
  <c r="E751" i="1"/>
  <c r="D751" i="1"/>
  <c r="C751" i="1"/>
  <c r="B751" i="1"/>
  <c r="A751" i="1"/>
  <c r="F750" i="1"/>
  <c r="E750" i="1"/>
  <c r="D750" i="1"/>
  <c r="C750" i="1"/>
  <c r="B750" i="1"/>
  <c r="A750" i="1"/>
  <c r="F749" i="1"/>
  <c r="E749" i="1"/>
  <c r="D749" i="1"/>
  <c r="C749" i="1"/>
  <c r="B749" i="1"/>
  <c r="A749" i="1"/>
  <c r="F748" i="1"/>
  <c r="E748" i="1"/>
  <c r="D748" i="1"/>
  <c r="C748" i="1"/>
  <c r="B748" i="1"/>
  <c r="A748" i="1"/>
  <c r="F747" i="1"/>
  <c r="E747" i="1"/>
  <c r="D747" i="1"/>
  <c r="C747" i="1"/>
  <c r="B747" i="1"/>
  <c r="A747" i="1"/>
  <c r="F746" i="1"/>
  <c r="E746" i="1"/>
  <c r="D746" i="1"/>
  <c r="C746" i="1"/>
  <c r="B746" i="1"/>
  <c r="A746" i="1"/>
  <c r="F745" i="1"/>
  <c r="E745" i="1"/>
  <c r="D745" i="1"/>
  <c r="C745" i="1"/>
  <c r="B745" i="1"/>
  <c r="A745" i="1"/>
  <c r="F744" i="1"/>
  <c r="E744" i="1"/>
  <c r="D744" i="1"/>
  <c r="C744" i="1"/>
  <c r="B744" i="1"/>
  <c r="A744" i="1"/>
  <c r="F743" i="1"/>
  <c r="E743" i="1"/>
  <c r="D743" i="1"/>
  <c r="C743" i="1"/>
  <c r="B743" i="1"/>
  <c r="A743" i="1"/>
  <c r="F742" i="1"/>
  <c r="E742" i="1"/>
  <c r="D742" i="1"/>
  <c r="C742" i="1"/>
  <c r="B742" i="1"/>
  <c r="A742" i="1"/>
  <c r="F741" i="1"/>
  <c r="E741" i="1"/>
  <c r="D741" i="1"/>
  <c r="C741" i="1"/>
  <c r="B741" i="1"/>
  <c r="A741" i="1"/>
  <c r="F740" i="1"/>
  <c r="E740" i="1"/>
  <c r="D740" i="1"/>
  <c r="C740" i="1"/>
  <c r="B740" i="1"/>
  <c r="A740" i="1"/>
  <c r="F739" i="1"/>
  <c r="E739" i="1"/>
  <c r="D739" i="1"/>
  <c r="C739" i="1"/>
  <c r="B739" i="1"/>
  <c r="A739" i="1"/>
  <c r="F738" i="1"/>
  <c r="E738" i="1"/>
  <c r="D738" i="1"/>
  <c r="C738" i="1"/>
  <c r="B738" i="1"/>
  <c r="A738" i="1"/>
  <c r="F737" i="1"/>
  <c r="E737" i="1"/>
  <c r="D737" i="1"/>
  <c r="C737" i="1"/>
  <c r="B737" i="1"/>
  <c r="A737" i="1"/>
  <c r="F736" i="1"/>
  <c r="E736" i="1"/>
  <c r="D736" i="1"/>
  <c r="C736" i="1"/>
  <c r="B736" i="1"/>
  <c r="A736" i="1"/>
  <c r="F735" i="1"/>
  <c r="E735" i="1"/>
  <c r="D735" i="1"/>
  <c r="C735" i="1"/>
  <c r="B735" i="1"/>
  <c r="A735" i="1"/>
  <c r="F734" i="1"/>
  <c r="E734" i="1"/>
  <c r="D734" i="1"/>
  <c r="C734" i="1"/>
  <c r="B734" i="1"/>
  <c r="A734" i="1"/>
  <c r="F733" i="1"/>
  <c r="E733" i="1"/>
  <c r="D733" i="1"/>
  <c r="C733" i="1"/>
  <c r="B733" i="1"/>
  <c r="A733" i="1"/>
  <c r="F732" i="1"/>
  <c r="E732" i="1"/>
  <c r="D732" i="1"/>
  <c r="C732" i="1"/>
  <c r="B732" i="1"/>
  <c r="A732" i="1"/>
  <c r="F731" i="1"/>
  <c r="E731" i="1"/>
  <c r="D731" i="1"/>
  <c r="C731" i="1"/>
  <c r="B731" i="1"/>
  <c r="A731" i="1"/>
  <c r="F730" i="1"/>
  <c r="E730" i="1"/>
  <c r="D730" i="1"/>
  <c r="C730" i="1"/>
  <c r="B730" i="1"/>
  <c r="A730" i="1"/>
  <c r="F729" i="1"/>
  <c r="E729" i="1"/>
  <c r="D729" i="1"/>
  <c r="C729" i="1"/>
  <c r="B729" i="1"/>
  <c r="A729" i="1"/>
  <c r="F728" i="1"/>
  <c r="E728" i="1"/>
  <c r="D728" i="1"/>
  <c r="C728" i="1"/>
  <c r="B728" i="1"/>
  <c r="A728" i="1"/>
  <c r="F727" i="1"/>
  <c r="E727" i="1"/>
  <c r="D727" i="1"/>
  <c r="C727" i="1"/>
  <c r="B727" i="1"/>
  <c r="A727" i="1"/>
  <c r="F726" i="1"/>
  <c r="E726" i="1"/>
  <c r="D726" i="1"/>
  <c r="C726" i="1"/>
  <c r="B726" i="1"/>
  <c r="A726" i="1"/>
  <c r="F725" i="1"/>
  <c r="E725" i="1"/>
  <c r="D725" i="1"/>
  <c r="C725" i="1"/>
  <c r="B725" i="1"/>
  <c r="A725" i="1"/>
  <c r="F724" i="1"/>
  <c r="E724" i="1"/>
  <c r="D724" i="1"/>
  <c r="C724" i="1"/>
  <c r="B724" i="1"/>
  <c r="A724" i="1"/>
  <c r="F723" i="1"/>
  <c r="E723" i="1"/>
  <c r="D723" i="1"/>
  <c r="C723" i="1"/>
  <c r="B723" i="1"/>
  <c r="A723" i="1"/>
  <c r="F722" i="1"/>
  <c r="E722" i="1"/>
  <c r="D722" i="1"/>
  <c r="C722" i="1"/>
  <c r="B722" i="1"/>
  <c r="A722" i="1"/>
  <c r="F721" i="1"/>
  <c r="E721" i="1"/>
  <c r="D721" i="1"/>
  <c r="C721" i="1"/>
  <c r="B721" i="1"/>
  <c r="A721" i="1"/>
  <c r="F720" i="1"/>
  <c r="E720" i="1"/>
  <c r="D720" i="1"/>
  <c r="C720" i="1"/>
  <c r="B720" i="1"/>
  <c r="A720" i="1"/>
  <c r="F719" i="1"/>
  <c r="E719" i="1"/>
  <c r="D719" i="1"/>
  <c r="C719" i="1"/>
  <c r="B719" i="1"/>
  <c r="A719" i="1"/>
  <c r="F718" i="1"/>
  <c r="E718" i="1"/>
  <c r="D718" i="1"/>
  <c r="C718" i="1"/>
  <c r="B718" i="1"/>
  <c r="A718" i="1"/>
  <c r="F717" i="1"/>
  <c r="E717" i="1"/>
  <c r="D717" i="1"/>
  <c r="C717" i="1"/>
  <c r="B717" i="1"/>
  <c r="A717" i="1"/>
  <c r="F716" i="1"/>
  <c r="E716" i="1"/>
  <c r="D716" i="1"/>
  <c r="C716" i="1"/>
  <c r="B716" i="1"/>
  <c r="A716" i="1"/>
  <c r="F715" i="1"/>
  <c r="E715" i="1"/>
  <c r="D715" i="1"/>
  <c r="C715" i="1"/>
  <c r="B715" i="1"/>
  <c r="A715" i="1"/>
  <c r="F714" i="1"/>
  <c r="E714" i="1"/>
  <c r="D714" i="1"/>
  <c r="C714" i="1"/>
  <c r="B714" i="1"/>
  <c r="A714" i="1"/>
  <c r="F713" i="1"/>
  <c r="E713" i="1"/>
  <c r="D713" i="1"/>
  <c r="C713" i="1"/>
  <c r="B713" i="1"/>
  <c r="A713" i="1"/>
  <c r="F712" i="1"/>
  <c r="E712" i="1"/>
  <c r="D712" i="1"/>
  <c r="C712" i="1"/>
  <c r="B712" i="1"/>
  <c r="A712" i="1"/>
  <c r="F711" i="1"/>
  <c r="E711" i="1"/>
  <c r="D711" i="1"/>
  <c r="C711" i="1"/>
  <c r="B711" i="1"/>
  <c r="A711" i="1"/>
  <c r="F710" i="1"/>
  <c r="E710" i="1"/>
  <c r="D710" i="1"/>
  <c r="C710" i="1"/>
  <c r="B710" i="1"/>
  <c r="A710" i="1"/>
  <c r="F709" i="1"/>
  <c r="E709" i="1"/>
  <c r="D709" i="1"/>
  <c r="C709" i="1"/>
  <c r="B709" i="1"/>
  <c r="A709" i="1"/>
  <c r="F708" i="1"/>
  <c r="E708" i="1"/>
  <c r="D708" i="1"/>
  <c r="C708" i="1"/>
  <c r="B708" i="1"/>
  <c r="A708" i="1"/>
  <c r="F707" i="1"/>
  <c r="E707" i="1"/>
  <c r="D707" i="1"/>
  <c r="C707" i="1"/>
  <c r="B707" i="1"/>
  <c r="A707" i="1"/>
  <c r="F706" i="1"/>
  <c r="E706" i="1"/>
  <c r="D706" i="1"/>
  <c r="C706" i="1"/>
  <c r="B706" i="1"/>
  <c r="A706" i="1"/>
  <c r="F705" i="1"/>
  <c r="E705" i="1"/>
  <c r="D705" i="1"/>
  <c r="C705" i="1"/>
  <c r="B705" i="1"/>
  <c r="A705" i="1"/>
  <c r="F704" i="1"/>
  <c r="E704" i="1"/>
  <c r="D704" i="1"/>
  <c r="C704" i="1"/>
  <c r="B704" i="1"/>
  <c r="A704" i="1"/>
  <c r="F703" i="1"/>
  <c r="E703" i="1"/>
  <c r="D703" i="1"/>
  <c r="C703" i="1"/>
  <c r="B703" i="1"/>
  <c r="A703" i="1"/>
  <c r="F702" i="1"/>
  <c r="E702" i="1"/>
  <c r="D702" i="1"/>
  <c r="C702" i="1"/>
  <c r="B702" i="1"/>
  <c r="A702" i="1"/>
  <c r="F701" i="1"/>
  <c r="E701" i="1"/>
  <c r="D701" i="1"/>
  <c r="C701" i="1"/>
  <c r="B701" i="1"/>
  <c r="A701" i="1"/>
  <c r="F700" i="1"/>
  <c r="E700" i="1"/>
  <c r="D700" i="1"/>
  <c r="C700" i="1"/>
  <c r="B700" i="1"/>
  <c r="A700" i="1"/>
  <c r="F699" i="1"/>
  <c r="E699" i="1"/>
  <c r="D699" i="1"/>
  <c r="C699" i="1"/>
  <c r="B699" i="1"/>
  <c r="A699" i="1"/>
  <c r="F698" i="1"/>
  <c r="E698" i="1"/>
  <c r="D698" i="1"/>
  <c r="C698" i="1"/>
  <c r="B698" i="1"/>
  <c r="A698" i="1"/>
  <c r="F697" i="1"/>
  <c r="E697" i="1"/>
  <c r="D697" i="1"/>
  <c r="C697" i="1"/>
  <c r="B697" i="1"/>
  <c r="A697" i="1"/>
  <c r="F696" i="1"/>
  <c r="E696" i="1"/>
  <c r="D696" i="1"/>
  <c r="C696" i="1"/>
  <c r="B696" i="1"/>
  <c r="A696" i="1"/>
  <c r="F695" i="1"/>
  <c r="E695" i="1"/>
  <c r="D695" i="1"/>
  <c r="C695" i="1"/>
  <c r="B695" i="1"/>
  <c r="A695" i="1"/>
  <c r="F694" i="1"/>
  <c r="E694" i="1"/>
  <c r="D694" i="1"/>
  <c r="C694" i="1"/>
  <c r="B694" i="1"/>
  <c r="A694" i="1"/>
  <c r="F693" i="1"/>
  <c r="E693" i="1"/>
  <c r="D693" i="1"/>
  <c r="C693" i="1"/>
  <c r="B693" i="1"/>
  <c r="A693" i="1"/>
  <c r="F692" i="1"/>
  <c r="E692" i="1"/>
  <c r="D692" i="1"/>
  <c r="C692" i="1"/>
  <c r="B692" i="1"/>
  <c r="A692" i="1"/>
  <c r="F691" i="1"/>
  <c r="E691" i="1"/>
  <c r="D691" i="1"/>
  <c r="C691" i="1"/>
  <c r="B691" i="1"/>
  <c r="A691" i="1"/>
  <c r="F690" i="1"/>
  <c r="E690" i="1"/>
  <c r="D690" i="1"/>
  <c r="C690" i="1"/>
  <c r="B690" i="1"/>
  <c r="A690" i="1"/>
  <c r="F689" i="1"/>
  <c r="E689" i="1"/>
  <c r="D689" i="1"/>
  <c r="C689" i="1"/>
  <c r="B689" i="1"/>
  <c r="A689" i="1"/>
  <c r="F688" i="1"/>
  <c r="E688" i="1"/>
  <c r="D688" i="1"/>
  <c r="C688" i="1"/>
  <c r="B688" i="1"/>
  <c r="A688" i="1"/>
  <c r="F687" i="1"/>
  <c r="E687" i="1"/>
  <c r="D687" i="1"/>
  <c r="C687" i="1"/>
  <c r="B687" i="1"/>
  <c r="A687" i="1"/>
  <c r="F686" i="1"/>
  <c r="E686" i="1"/>
  <c r="D686" i="1"/>
  <c r="C686" i="1"/>
  <c r="B686" i="1"/>
  <c r="A686" i="1"/>
  <c r="F685" i="1"/>
  <c r="E685" i="1"/>
  <c r="D685" i="1"/>
  <c r="C685" i="1"/>
  <c r="B685" i="1"/>
  <c r="A685" i="1"/>
  <c r="F684" i="1"/>
  <c r="E684" i="1"/>
  <c r="D684" i="1"/>
  <c r="C684" i="1"/>
  <c r="B684" i="1"/>
  <c r="A684" i="1"/>
  <c r="F683" i="1"/>
  <c r="E683" i="1"/>
  <c r="D683" i="1"/>
  <c r="C683" i="1"/>
  <c r="B683" i="1"/>
  <c r="A683" i="1"/>
  <c r="F682" i="1"/>
  <c r="E682" i="1"/>
  <c r="D682" i="1"/>
  <c r="C682" i="1"/>
  <c r="B682" i="1"/>
  <c r="A682" i="1"/>
  <c r="F681" i="1"/>
  <c r="E681" i="1"/>
  <c r="D681" i="1"/>
  <c r="C681" i="1"/>
  <c r="B681" i="1"/>
  <c r="A681" i="1"/>
  <c r="F680" i="1"/>
  <c r="E680" i="1"/>
  <c r="D680" i="1"/>
  <c r="C680" i="1"/>
  <c r="B680" i="1"/>
  <c r="A680" i="1"/>
  <c r="F679" i="1"/>
  <c r="E679" i="1"/>
  <c r="D679" i="1"/>
  <c r="C679" i="1"/>
  <c r="B679" i="1"/>
  <c r="A679" i="1"/>
  <c r="F678" i="1"/>
  <c r="E678" i="1"/>
  <c r="D678" i="1"/>
  <c r="C678" i="1"/>
  <c r="B678" i="1"/>
  <c r="A678" i="1"/>
  <c r="F677" i="1"/>
  <c r="E677" i="1"/>
  <c r="D677" i="1"/>
  <c r="C677" i="1"/>
  <c r="B677" i="1"/>
  <c r="A677" i="1"/>
  <c r="F676" i="1"/>
  <c r="E676" i="1"/>
  <c r="D676" i="1"/>
  <c r="C676" i="1"/>
  <c r="B676" i="1"/>
  <c r="A676" i="1"/>
  <c r="F675" i="1"/>
  <c r="E675" i="1"/>
  <c r="D675" i="1"/>
  <c r="C675" i="1"/>
  <c r="B675" i="1"/>
  <c r="A675" i="1"/>
  <c r="F674" i="1"/>
  <c r="E674" i="1"/>
  <c r="D674" i="1"/>
  <c r="C674" i="1"/>
  <c r="B674" i="1"/>
  <c r="A674" i="1"/>
  <c r="F673" i="1"/>
  <c r="E673" i="1"/>
  <c r="D673" i="1"/>
  <c r="C673" i="1"/>
  <c r="B673" i="1"/>
  <c r="A673" i="1"/>
  <c r="F672" i="1"/>
  <c r="E672" i="1"/>
  <c r="D672" i="1"/>
  <c r="C672" i="1"/>
  <c r="B672" i="1"/>
  <c r="A672" i="1"/>
  <c r="F671" i="1"/>
  <c r="E671" i="1"/>
  <c r="D671" i="1"/>
  <c r="C671" i="1"/>
  <c r="B671" i="1"/>
  <c r="A671" i="1"/>
  <c r="F670" i="1"/>
  <c r="E670" i="1"/>
  <c r="D670" i="1"/>
  <c r="C670" i="1"/>
  <c r="B670" i="1"/>
  <c r="A670" i="1"/>
  <c r="F669" i="1"/>
  <c r="E669" i="1"/>
  <c r="D669" i="1"/>
  <c r="C669" i="1"/>
  <c r="B669" i="1"/>
  <c r="A669" i="1"/>
  <c r="F668" i="1"/>
  <c r="E668" i="1"/>
  <c r="D668" i="1"/>
  <c r="C668" i="1"/>
  <c r="B668" i="1"/>
  <c r="A668" i="1"/>
  <c r="F667" i="1"/>
  <c r="E667" i="1"/>
  <c r="D667" i="1"/>
  <c r="C667" i="1"/>
  <c r="B667" i="1"/>
  <c r="A667" i="1"/>
  <c r="F666" i="1"/>
  <c r="E666" i="1"/>
  <c r="D666" i="1"/>
  <c r="C666" i="1"/>
  <c r="B666" i="1"/>
  <c r="A666" i="1"/>
  <c r="F665" i="1"/>
  <c r="E665" i="1"/>
  <c r="D665" i="1"/>
  <c r="C665" i="1"/>
  <c r="B665" i="1"/>
  <c r="A665" i="1"/>
  <c r="F664" i="1"/>
  <c r="E664" i="1"/>
  <c r="D664" i="1"/>
  <c r="C664" i="1"/>
  <c r="B664" i="1"/>
  <c r="A664" i="1"/>
  <c r="F663" i="1"/>
  <c r="E663" i="1"/>
  <c r="D663" i="1"/>
  <c r="C663" i="1"/>
  <c r="B663" i="1"/>
  <c r="A663" i="1"/>
  <c r="F662" i="1"/>
  <c r="E662" i="1"/>
  <c r="D662" i="1"/>
  <c r="C662" i="1"/>
  <c r="B662" i="1"/>
  <c r="A662" i="1"/>
  <c r="F661" i="1"/>
  <c r="E661" i="1"/>
  <c r="D661" i="1"/>
  <c r="C661" i="1"/>
  <c r="B661" i="1"/>
  <c r="A661" i="1"/>
  <c r="F660" i="1"/>
  <c r="E660" i="1"/>
  <c r="D660" i="1"/>
  <c r="C660" i="1"/>
  <c r="B660" i="1"/>
  <c r="A660" i="1"/>
  <c r="F659" i="1"/>
  <c r="E659" i="1"/>
  <c r="D659" i="1"/>
  <c r="C659" i="1"/>
  <c r="B659" i="1"/>
  <c r="A659" i="1"/>
  <c r="F658" i="1"/>
  <c r="E658" i="1"/>
  <c r="D658" i="1"/>
  <c r="C658" i="1"/>
  <c r="B658" i="1"/>
  <c r="A658" i="1"/>
  <c r="F657" i="1"/>
  <c r="E657" i="1"/>
  <c r="D657" i="1"/>
  <c r="C657" i="1"/>
  <c r="B657" i="1"/>
  <c r="A657" i="1"/>
  <c r="F656" i="1"/>
  <c r="E656" i="1"/>
  <c r="D656" i="1"/>
  <c r="C656" i="1"/>
  <c r="B656" i="1"/>
  <c r="A656" i="1"/>
  <c r="F655" i="1"/>
  <c r="E655" i="1"/>
  <c r="D655" i="1"/>
  <c r="C655" i="1"/>
  <c r="B655" i="1"/>
  <c r="A655" i="1"/>
  <c r="F654" i="1"/>
  <c r="E654" i="1"/>
  <c r="D654" i="1"/>
  <c r="C654" i="1"/>
  <c r="B654" i="1"/>
  <c r="A654" i="1"/>
  <c r="F653" i="1"/>
  <c r="E653" i="1"/>
  <c r="D653" i="1"/>
  <c r="C653" i="1"/>
  <c r="B653" i="1"/>
  <c r="A653" i="1"/>
  <c r="F652" i="1"/>
  <c r="E652" i="1"/>
  <c r="D652" i="1"/>
  <c r="C652" i="1"/>
  <c r="B652" i="1"/>
  <c r="A652" i="1"/>
  <c r="F651" i="1"/>
  <c r="E651" i="1"/>
  <c r="D651" i="1"/>
  <c r="C651" i="1"/>
  <c r="B651" i="1"/>
  <c r="A651" i="1"/>
  <c r="F650" i="1"/>
  <c r="E650" i="1"/>
  <c r="D650" i="1"/>
  <c r="C650" i="1"/>
  <c r="B650" i="1"/>
  <c r="A650" i="1"/>
  <c r="F649" i="1"/>
  <c r="E649" i="1"/>
  <c r="D649" i="1"/>
  <c r="C649" i="1"/>
  <c r="B649" i="1"/>
  <c r="A649" i="1"/>
  <c r="F648" i="1"/>
  <c r="E648" i="1"/>
  <c r="D648" i="1"/>
  <c r="C648" i="1"/>
  <c r="B648" i="1"/>
  <c r="A648" i="1"/>
  <c r="F647" i="1"/>
  <c r="E647" i="1"/>
  <c r="D647" i="1"/>
  <c r="C647" i="1"/>
  <c r="B647" i="1"/>
  <c r="A647" i="1"/>
  <c r="F646" i="1"/>
  <c r="E646" i="1"/>
  <c r="D646" i="1"/>
  <c r="C646" i="1"/>
  <c r="B646" i="1"/>
  <c r="A646" i="1"/>
  <c r="F645" i="1"/>
  <c r="E645" i="1"/>
  <c r="D645" i="1"/>
  <c r="C645" i="1"/>
  <c r="B645" i="1"/>
  <c r="A645" i="1"/>
  <c r="F644" i="1"/>
  <c r="E644" i="1"/>
  <c r="D644" i="1"/>
  <c r="C644" i="1"/>
  <c r="B644" i="1"/>
  <c r="A644" i="1"/>
  <c r="F643" i="1"/>
  <c r="E643" i="1"/>
  <c r="D643" i="1"/>
  <c r="C643" i="1"/>
  <c r="B643" i="1"/>
  <c r="A643" i="1"/>
  <c r="F642" i="1"/>
  <c r="E642" i="1"/>
  <c r="D642" i="1"/>
  <c r="C642" i="1"/>
  <c r="B642" i="1"/>
  <c r="A642" i="1"/>
  <c r="F641" i="1"/>
  <c r="E641" i="1"/>
  <c r="D641" i="1"/>
  <c r="C641" i="1"/>
  <c r="B641" i="1"/>
  <c r="A641" i="1"/>
  <c r="F640" i="1"/>
  <c r="E640" i="1"/>
  <c r="D640" i="1"/>
  <c r="C640" i="1"/>
  <c r="B640" i="1"/>
  <c r="A640" i="1"/>
  <c r="F639" i="1"/>
  <c r="E639" i="1"/>
  <c r="D639" i="1"/>
  <c r="C639" i="1"/>
  <c r="B639" i="1"/>
  <c r="A639" i="1"/>
  <c r="F638" i="1"/>
  <c r="E638" i="1"/>
  <c r="D638" i="1"/>
  <c r="C638" i="1"/>
  <c r="B638" i="1"/>
  <c r="A638" i="1"/>
  <c r="F637" i="1"/>
  <c r="E637" i="1"/>
  <c r="D637" i="1"/>
  <c r="C637" i="1"/>
  <c r="B637" i="1"/>
  <c r="A637" i="1"/>
  <c r="F636" i="1"/>
  <c r="E636" i="1"/>
  <c r="D636" i="1"/>
  <c r="C636" i="1"/>
  <c r="B636" i="1"/>
  <c r="A636" i="1"/>
  <c r="F635" i="1"/>
  <c r="E635" i="1"/>
  <c r="D635" i="1"/>
  <c r="C635" i="1"/>
  <c r="B635" i="1"/>
  <c r="A635" i="1"/>
  <c r="F634" i="1"/>
  <c r="E634" i="1"/>
  <c r="D634" i="1"/>
  <c r="C634" i="1"/>
  <c r="B634" i="1"/>
  <c r="A634" i="1"/>
  <c r="F633" i="1"/>
  <c r="E633" i="1"/>
  <c r="D633" i="1"/>
  <c r="C633" i="1"/>
  <c r="B633" i="1"/>
  <c r="A633" i="1"/>
  <c r="F632" i="1"/>
  <c r="E632" i="1"/>
  <c r="D632" i="1"/>
  <c r="C632" i="1"/>
  <c r="B632" i="1"/>
  <c r="A632" i="1"/>
  <c r="F631" i="1"/>
  <c r="E631" i="1"/>
  <c r="D631" i="1"/>
  <c r="C631" i="1"/>
  <c r="B631" i="1"/>
  <c r="A631" i="1"/>
  <c r="F630" i="1"/>
  <c r="E630" i="1"/>
  <c r="D630" i="1"/>
  <c r="C630" i="1"/>
  <c r="B630" i="1"/>
  <c r="A630" i="1"/>
  <c r="F629" i="1"/>
  <c r="E629" i="1"/>
  <c r="D629" i="1"/>
  <c r="C629" i="1"/>
  <c r="B629" i="1"/>
  <c r="A629" i="1"/>
  <c r="F628" i="1"/>
  <c r="E628" i="1"/>
  <c r="D628" i="1"/>
  <c r="C628" i="1"/>
  <c r="B628" i="1"/>
  <c r="A628" i="1"/>
  <c r="F627" i="1"/>
  <c r="E627" i="1"/>
  <c r="D627" i="1"/>
  <c r="C627" i="1"/>
  <c r="B627" i="1"/>
  <c r="A627" i="1"/>
  <c r="F626" i="1"/>
  <c r="E626" i="1"/>
  <c r="D626" i="1"/>
  <c r="C626" i="1"/>
  <c r="B626" i="1"/>
  <c r="A626" i="1"/>
  <c r="F625" i="1"/>
  <c r="E625" i="1"/>
  <c r="D625" i="1"/>
  <c r="C625" i="1"/>
  <c r="B625" i="1"/>
  <c r="A625" i="1"/>
  <c r="F624" i="1"/>
  <c r="E624" i="1"/>
  <c r="D624" i="1"/>
  <c r="C624" i="1"/>
  <c r="B624" i="1"/>
  <c r="A624" i="1"/>
  <c r="F623" i="1"/>
  <c r="E623" i="1"/>
  <c r="D623" i="1"/>
  <c r="C623" i="1"/>
  <c r="B623" i="1"/>
  <c r="A623" i="1"/>
  <c r="F622" i="1"/>
  <c r="E622" i="1"/>
  <c r="D622" i="1"/>
  <c r="C622" i="1"/>
  <c r="B622" i="1"/>
  <c r="A622" i="1"/>
  <c r="F621" i="1"/>
  <c r="E621" i="1"/>
  <c r="D621" i="1"/>
  <c r="C621" i="1"/>
  <c r="B621" i="1"/>
  <c r="A621" i="1"/>
  <c r="F620" i="1"/>
  <c r="E620" i="1"/>
  <c r="D620" i="1"/>
  <c r="C620" i="1"/>
  <c r="B620" i="1"/>
  <c r="A620" i="1"/>
  <c r="F619" i="1"/>
  <c r="E619" i="1"/>
  <c r="D619" i="1"/>
  <c r="C619" i="1"/>
  <c r="B619" i="1"/>
  <c r="A619" i="1"/>
  <c r="F618" i="1"/>
  <c r="E618" i="1"/>
  <c r="D618" i="1"/>
  <c r="C618" i="1"/>
  <c r="B618" i="1"/>
  <c r="A618" i="1"/>
  <c r="F617" i="1"/>
  <c r="E617" i="1"/>
  <c r="D617" i="1"/>
  <c r="C617" i="1"/>
  <c r="B617" i="1"/>
  <c r="A617" i="1"/>
  <c r="F616" i="1"/>
  <c r="E616" i="1"/>
  <c r="D616" i="1"/>
  <c r="C616" i="1"/>
  <c r="B616" i="1"/>
  <c r="A616" i="1"/>
  <c r="F615" i="1"/>
  <c r="E615" i="1"/>
  <c r="D615" i="1"/>
  <c r="C615" i="1"/>
  <c r="B615" i="1"/>
  <c r="A615" i="1"/>
  <c r="F614" i="1"/>
  <c r="E614" i="1"/>
  <c r="D614" i="1"/>
  <c r="C614" i="1"/>
  <c r="B614" i="1"/>
  <c r="A614" i="1"/>
  <c r="F613" i="1"/>
  <c r="E613" i="1"/>
  <c r="D613" i="1"/>
  <c r="C613" i="1"/>
  <c r="B613" i="1"/>
  <c r="A613" i="1"/>
  <c r="F612" i="1"/>
  <c r="E612" i="1"/>
  <c r="D612" i="1"/>
  <c r="C612" i="1"/>
  <c r="B612" i="1"/>
  <c r="A612" i="1"/>
  <c r="F611" i="1"/>
  <c r="E611" i="1"/>
  <c r="D611" i="1"/>
  <c r="C611" i="1"/>
  <c r="B611" i="1"/>
  <c r="A611" i="1"/>
  <c r="F610" i="1"/>
  <c r="E610" i="1"/>
  <c r="D610" i="1"/>
  <c r="C610" i="1"/>
  <c r="B610" i="1"/>
  <c r="A610" i="1"/>
  <c r="F609" i="1"/>
  <c r="E609" i="1"/>
  <c r="D609" i="1"/>
  <c r="C609" i="1"/>
  <c r="B609" i="1"/>
  <c r="A609" i="1"/>
  <c r="F608" i="1"/>
  <c r="E608" i="1"/>
  <c r="D608" i="1"/>
  <c r="C608" i="1"/>
  <c r="B608" i="1"/>
  <c r="A608" i="1"/>
  <c r="F607" i="1"/>
  <c r="E607" i="1"/>
  <c r="D607" i="1"/>
  <c r="C607" i="1"/>
  <c r="B607" i="1"/>
  <c r="A607" i="1"/>
  <c r="F606" i="1"/>
  <c r="E606" i="1"/>
  <c r="D606" i="1"/>
  <c r="C606" i="1"/>
  <c r="B606" i="1"/>
  <c r="A606" i="1"/>
  <c r="F605" i="1"/>
  <c r="E605" i="1"/>
  <c r="D605" i="1"/>
  <c r="C605" i="1"/>
  <c r="B605" i="1"/>
  <c r="A605" i="1"/>
  <c r="F604" i="1"/>
  <c r="E604" i="1"/>
  <c r="D604" i="1"/>
  <c r="C604" i="1"/>
  <c r="B604" i="1"/>
  <c r="A604" i="1"/>
  <c r="F603" i="1"/>
  <c r="E603" i="1"/>
  <c r="D603" i="1"/>
  <c r="C603" i="1"/>
  <c r="B603" i="1"/>
  <c r="A603" i="1"/>
  <c r="F602" i="1"/>
  <c r="E602" i="1"/>
  <c r="D602" i="1"/>
  <c r="C602" i="1"/>
  <c r="B602" i="1"/>
  <c r="A602" i="1"/>
  <c r="F601" i="1"/>
  <c r="E601" i="1"/>
  <c r="D601" i="1"/>
  <c r="C601" i="1"/>
  <c r="B601" i="1"/>
  <c r="A601" i="1"/>
  <c r="F600" i="1"/>
  <c r="E600" i="1"/>
  <c r="D600" i="1"/>
  <c r="C600" i="1"/>
  <c r="B600" i="1"/>
  <c r="A600" i="1"/>
  <c r="F599" i="1"/>
  <c r="E599" i="1"/>
  <c r="D599" i="1"/>
  <c r="C599" i="1"/>
  <c r="B599" i="1"/>
  <c r="A599" i="1"/>
  <c r="F598" i="1"/>
  <c r="E598" i="1"/>
  <c r="D598" i="1"/>
  <c r="C598" i="1"/>
  <c r="B598" i="1"/>
  <c r="A598" i="1"/>
  <c r="F597" i="1"/>
  <c r="E597" i="1"/>
  <c r="D597" i="1"/>
  <c r="C597" i="1"/>
  <c r="B597" i="1"/>
  <c r="A597" i="1"/>
  <c r="F596" i="1"/>
  <c r="E596" i="1"/>
  <c r="D596" i="1"/>
  <c r="C596" i="1"/>
  <c r="B596" i="1"/>
  <c r="A596" i="1"/>
  <c r="F595" i="1"/>
  <c r="E595" i="1"/>
  <c r="D595" i="1"/>
  <c r="C595" i="1"/>
  <c r="B595" i="1"/>
  <c r="A595" i="1"/>
  <c r="F594" i="1"/>
  <c r="E594" i="1"/>
  <c r="D594" i="1"/>
  <c r="C594" i="1"/>
  <c r="B594" i="1"/>
  <c r="A594" i="1"/>
  <c r="F593" i="1"/>
  <c r="E593" i="1"/>
  <c r="D593" i="1"/>
  <c r="C593" i="1"/>
  <c r="B593" i="1"/>
  <c r="A593" i="1"/>
  <c r="F592" i="1"/>
  <c r="E592" i="1"/>
  <c r="D592" i="1"/>
  <c r="C592" i="1"/>
  <c r="B592" i="1"/>
  <c r="A592" i="1"/>
  <c r="F591" i="1"/>
  <c r="E591" i="1"/>
  <c r="D591" i="1"/>
  <c r="C591" i="1"/>
  <c r="B591" i="1"/>
  <c r="A591" i="1"/>
  <c r="F590" i="1"/>
  <c r="E590" i="1"/>
  <c r="D590" i="1"/>
  <c r="C590" i="1"/>
  <c r="B590" i="1"/>
  <c r="A590" i="1"/>
  <c r="F589" i="1"/>
  <c r="E589" i="1"/>
  <c r="D589" i="1"/>
  <c r="C589" i="1"/>
  <c r="B589" i="1"/>
  <c r="A589" i="1"/>
  <c r="F588" i="1"/>
  <c r="E588" i="1"/>
  <c r="D588" i="1"/>
  <c r="C588" i="1"/>
  <c r="B588" i="1"/>
  <c r="A588" i="1"/>
  <c r="F587" i="1"/>
  <c r="E587" i="1"/>
  <c r="D587" i="1"/>
  <c r="C587" i="1"/>
  <c r="B587" i="1"/>
  <c r="A587" i="1"/>
  <c r="F586" i="1"/>
  <c r="E586" i="1"/>
  <c r="D586" i="1"/>
  <c r="C586" i="1"/>
  <c r="B586" i="1"/>
  <c r="A586" i="1"/>
  <c r="F585" i="1"/>
  <c r="E585" i="1"/>
  <c r="D585" i="1"/>
  <c r="C585" i="1"/>
  <c r="B585" i="1"/>
  <c r="A585" i="1"/>
  <c r="F584" i="1"/>
  <c r="E584" i="1"/>
  <c r="D584" i="1"/>
  <c r="C584" i="1"/>
  <c r="B584" i="1"/>
  <c r="A584" i="1"/>
  <c r="F583" i="1"/>
  <c r="E583" i="1"/>
  <c r="D583" i="1"/>
  <c r="C583" i="1"/>
  <c r="B583" i="1"/>
  <c r="A583" i="1"/>
  <c r="F582" i="1"/>
  <c r="E582" i="1"/>
  <c r="D582" i="1"/>
  <c r="C582" i="1"/>
  <c r="B582" i="1"/>
  <c r="A582" i="1"/>
  <c r="F581" i="1"/>
  <c r="E581" i="1"/>
  <c r="D581" i="1"/>
  <c r="C581" i="1"/>
  <c r="B581" i="1"/>
  <c r="A581" i="1"/>
  <c r="F580" i="1"/>
  <c r="E580" i="1"/>
  <c r="D580" i="1"/>
  <c r="C580" i="1"/>
  <c r="B580" i="1"/>
  <c r="A580" i="1"/>
  <c r="F579" i="1"/>
  <c r="E579" i="1"/>
  <c r="D579" i="1"/>
  <c r="C579" i="1"/>
  <c r="B579" i="1"/>
  <c r="A579" i="1"/>
  <c r="F578" i="1"/>
  <c r="E578" i="1"/>
  <c r="D578" i="1"/>
  <c r="C578" i="1"/>
  <c r="B578" i="1"/>
  <c r="A578" i="1"/>
  <c r="F577" i="1"/>
  <c r="E577" i="1"/>
  <c r="D577" i="1"/>
  <c r="C577" i="1"/>
  <c r="B577" i="1"/>
  <c r="A577" i="1"/>
  <c r="F576" i="1"/>
  <c r="E576" i="1"/>
  <c r="D576" i="1"/>
  <c r="C576" i="1"/>
  <c r="B576" i="1"/>
  <c r="A576" i="1"/>
  <c r="F575" i="1"/>
  <c r="E575" i="1"/>
  <c r="D575" i="1"/>
  <c r="C575" i="1"/>
  <c r="B575" i="1"/>
  <c r="A575" i="1"/>
  <c r="F574" i="1"/>
  <c r="E574" i="1"/>
  <c r="D574" i="1"/>
  <c r="C574" i="1"/>
  <c r="B574" i="1"/>
  <c r="A574" i="1"/>
  <c r="F573" i="1"/>
  <c r="E573" i="1"/>
  <c r="D573" i="1"/>
  <c r="C573" i="1"/>
  <c r="B573" i="1"/>
  <c r="A573" i="1"/>
  <c r="F572" i="1"/>
  <c r="E572" i="1"/>
  <c r="D572" i="1"/>
  <c r="C572" i="1"/>
  <c r="B572" i="1"/>
  <c r="A572" i="1"/>
  <c r="F571" i="1"/>
  <c r="E571" i="1"/>
  <c r="D571" i="1"/>
  <c r="C571" i="1"/>
  <c r="B571" i="1"/>
  <c r="A571" i="1"/>
  <c r="F570" i="1"/>
  <c r="E570" i="1"/>
  <c r="D570" i="1"/>
  <c r="C570" i="1"/>
  <c r="B570" i="1"/>
  <c r="A570" i="1"/>
  <c r="F569" i="1"/>
  <c r="E569" i="1"/>
  <c r="D569" i="1"/>
  <c r="C569" i="1"/>
  <c r="B569" i="1"/>
  <c r="A569" i="1"/>
  <c r="F568" i="1"/>
  <c r="E568" i="1"/>
  <c r="D568" i="1"/>
  <c r="C568" i="1"/>
  <c r="B568" i="1"/>
  <c r="A568" i="1"/>
  <c r="F567" i="1"/>
  <c r="E567" i="1"/>
  <c r="D567" i="1"/>
  <c r="C567" i="1"/>
  <c r="B567" i="1"/>
  <c r="A567" i="1"/>
  <c r="F566" i="1"/>
  <c r="E566" i="1"/>
  <c r="D566" i="1"/>
  <c r="C566" i="1"/>
  <c r="B566" i="1"/>
  <c r="A566" i="1"/>
  <c r="F565" i="1"/>
  <c r="E565" i="1"/>
  <c r="D565" i="1"/>
  <c r="C565" i="1"/>
  <c r="B565" i="1"/>
  <c r="A565" i="1"/>
  <c r="F564" i="1"/>
  <c r="E564" i="1"/>
  <c r="D564" i="1"/>
  <c r="C564" i="1"/>
  <c r="B564" i="1"/>
  <c r="A564" i="1"/>
  <c r="F563" i="1"/>
  <c r="E563" i="1"/>
  <c r="D563" i="1"/>
  <c r="C563" i="1"/>
  <c r="B563" i="1"/>
  <c r="A563" i="1"/>
  <c r="F562" i="1"/>
  <c r="E562" i="1"/>
  <c r="D562" i="1"/>
  <c r="C562" i="1"/>
  <c r="B562" i="1"/>
  <c r="A562" i="1"/>
  <c r="F561" i="1"/>
  <c r="E561" i="1"/>
  <c r="D561" i="1"/>
  <c r="C561" i="1"/>
  <c r="B561" i="1"/>
  <c r="A561" i="1"/>
  <c r="F560" i="1"/>
  <c r="E560" i="1"/>
  <c r="D560" i="1"/>
  <c r="C560" i="1"/>
  <c r="B560" i="1"/>
  <c r="A560" i="1"/>
  <c r="F559" i="1"/>
  <c r="E559" i="1"/>
  <c r="D559" i="1"/>
  <c r="C559" i="1"/>
  <c r="B559" i="1"/>
  <c r="A559" i="1"/>
  <c r="F558" i="1"/>
  <c r="E558" i="1"/>
  <c r="D558" i="1"/>
  <c r="C558" i="1"/>
  <c r="B558" i="1"/>
  <c r="A558" i="1"/>
  <c r="F557" i="1"/>
  <c r="E557" i="1"/>
  <c r="D557" i="1"/>
  <c r="C557" i="1"/>
  <c r="B557" i="1"/>
  <c r="A557" i="1"/>
  <c r="F556" i="1"/>
  <c r="E556" i="1"/>
  <c r="D556" i="1"/>
  <c r="C556" i="1"/>
  <c r="B556" i="1"/>
  <c r="A556" i="1"/>
  <c r="F555" i="1"/>
  <c r="E555" i="1"/>
  <c r="D555" i="1"/>
  <c r="C555" i="1"/>
  <c r="B555" i="1"/>
  <c r="A555" i="1"/>
  <c r="F554" i="1"/>
  <c r="E554" i="1"/>
  <c r="D554" i="1"/>
  <c r="C554" i="1"/>
  <c r="B554" i="1"/>
  <c r="A554" i="1"/>
  <c r="F553" i="1"/>
  <c r="E553" i="1"/>
  <c r="D553" i="1"/>
  <c r="C553" i="1"/>
  <c r="B553" i="1"/>
  <c r="A553" i="1"/>
  <c r="F552" i="1"/>
  <c r="E552" i="1"/>
  <c r="D552" i="1"/>
  <c r="C552" i="1"/>
  <c r="B552" i="1"/>
  <c r="A552" i="1"/>
  <c r="F551" i="1"/>
  <c r="E551" i="1"/>
  <c r="D551" i="1"/>
  <c r="C551" i="1"/>
  <c r="B551" i="1"/>
  <c r="A551" i="1"/>
  <c r="F550" i="1"/>
  <c r="E550" i="1"/>
  <c r="D550" i="1"/>
  <c r="C550" i="1"/>
  <c r="B550" i="1"/>
  <c r="A550" i="1"/>
  <c r="F549" i="1"/>
  <c r="E549" i="1"/>
  <c r="D549" i="1"/>
  <c r="C549" i="1"/>
  <c r="B549" i="1"/>
  <c r="A549" i="1"/>
  <c r="F548" i="1"/>
  <c r="E548" i="1"/>
  <c r="D548" i="1"/>
  <c r="C548" i="1"/>
  <c r="B548" i="1"/>
  <c r="A548" i="1"/>
  <c r="F547" i="1"/>
  <c r="E547" i="1"/>
  <c r="D547" i="1"/>
  <c r="C547" i="1"/>
  <c r="B547" i="1"/>
  <c r="A547" i="1"/>
  <c r="F546" i="1"/>
  <c r="E546" i="1"/>
  <c r="D546" i="1"/>
  <c r="C546" i="1"/>
  <c r="B546" i="1"/>
  <c r="A546" i="1"/>
  <c r="F545" i="1"/>
  <c r="E545" i="1"/>
  <c r="D545" i="1"/>
  <c r="C545" i="1"/>
  <c r="B545" i="1"/>
  <c r="A545" i="1"/>
  <c r="F544" i="1"/>
  <c r="E544" i="1"/>
  <c r="D544" i="1"/>
  <c r="C544" i="1"/>
  <c r="B544" i="1"/>
  <c r="A544" i="1"/>
  <c r="F543" i="1"/>
  <c r="E543" i="1"/>
  <c r="D543" i="1"/>
  <c r="C543" i="1"/>
  <c r="B543" i="1"/>
  <c r="A543" i="1"/>
  <c r="F542" i="1"/>
  <c r="E542" i="1"/>
  <c r="D542" i="1"/>
  <c r="C542" i="1"/>
  <c r="B542" i="1"/>
  <c r="A542" i="1"/>
  <c r="F541" i="1"/>
  <c r="E541" i="1"/>
  <c r="D541" i="1"/>
  <c r="C541" i="1"/>
  <c r="B541" i="1"/>
  <c r="A541" i="1"/>
  <c r="F540" i="1"/>
  <c r="E540" i="1"/>
  <c r="D540" i="1"/>
  <c r="C540" i="1"/>
  <c r="B540" i="1"/>
  <c r="A540" i="1"/>
  <c r="F539" i="1"/>
  <c r="E539" i="1"/>
  <c r="D539" i="1"/>
  <c r="C539" i="1"/>
  <c r="B539" i="1"/>
  <c r="A539" i="1"/>
  <c r="F538" i="1"/>
  <c r="E538" i="1"/>
  <c r="D538" i="1"/>
  <c r="C538" i="1"/>
  <c r="B538" i="1"/>
  <c r="A538" i="1"/>
  <c r="F537" i="1"/>
  <c r="E537" i="1"/>
  <c r="D537" i="1"/>
  <c r="C537" i="1"/>
  <c r="B537" i="1"/>
  <c r="A537" i="1"/>
  <c r="F536" i="1"/>
  <c r="E536" i="1"/>
  <c r="D536" i="1"/>
  <c r="C536" i="1"/>
  <c r="B536" i="1"/>
  <c r="A536" i="1"/>
  <c r="F535" i="1"/>
  <c r="E535" i="1"/>
  <c r="D535" i="1"/>
  <c r="C535" i="1"/>
  <c r="B535" i="1"/>
  <c r="A535" i="1"/>
  <c r="F534" i="1"/>
  <c r="E534" i="1"/>
  <c r="D534" i="1"/>
  <c r="C534" i="1"/>
  <c r="B534" i="1"/>
  <c r="A534" i="1"/>
  <c r="F533" i="1"/>
  <c r="E533" i="1"/>
  <c r="D533" i="1"/>
  <c r="C533" i="1"/>
  <c r="B533" i="1"/>
  <c r="A533" i="1"/>
  <c r="F532" i="1"/>
  <c r="E532" i="1"/>
  <c r="D532" i="1"/>
  <c r="C532" i="1"/>
  <c r="B532" i="1"/>
  <c r="A532" i="1"/>
  <c r="F531" i="1"/>
  <c r="E531" i="1"/>
  <c r="D531" i="1"/>
  <c r="C531" i="1"/>
  <c r="B531" i="1"/>
  <c r="A531" i="1"/>
  <c r="F530" i="1"/>
  <c r="E530" i="1"/>
  <c r="D530" i="1"/>
  <c r="C530" i="1"/>
  <c r="B530" i="1"/>
  <c r="A530" i="1"/>
  <c r="F529" i="1"/>
  <c r="E529" i="1"/>
  <c r="D529" i="1"/>
  <c r="C529" i="1"/>
  <c r="B529" i="1"/>
  <c r="A529" i="1"/>
  <c r="F528" i="1"/>
  <c r="E528" i="1"/>
  <c r="D528" i="1"/>
  <c r="C528" i="1"/>
  <c r="B528" i="1"/>
  <c r="A528" i="1"/>
  <c r="F527" i="1"/>
  <c r="E527" i="1"/>
  <c r="D527" i="1"/>
  <c r="C527" i="1"/>
  <c r="B527" i="1"/>
  <c r="A527" i="1"/>
  <c r="F526" i="1"/>
  <c r="E526" i="1"/>
  <c r="D526" i="1"/>
  <c r="C526" i="1"/>
  <c r="B526" i="1"/>
  <c r="A526" i="1"/>
  <c r="F525" i="1"/>
  <c r="E525" i="1"/>
  <c r="D525" i="1"/>
  <c r="C525" i="1"/>
  <c r="B525" i="1"/>
  <c r="A525" i="1"/>
  <c r="F524" i="1"/>
  <c r="E524" i="1"/>
  <c r="D524" i="1"/>
  <c r="C524" i="1"/>
  <c r="B524" i="1"/>
  <c r="A524" i="1"/>
  <c r="F523" i="1"/>
  <c r="E523" i="1"/>
  <c r="D523" i="1"/>
  <c r="C523" i="1"/>
  <c r="B523" i="1"/>
  <c r="A523" i="1"/>
  <c r="F522" i="1"/>
  <c r="E522" i="1"/>
  <c r="D522" i="1"/>
  <c r="C522" i="1"/>
  <c r="B522" i="1"/>
  <c r="A522" i="1"/>
  <c r="F521" i="1"/>
  <c r="E521" i="1"/>
  <c r="D521" i="1"/>
  <c r="C521" i="1"/>
  <c r="B521" i="1"/>
  <c r="A521" i="1"/>
  <c r="F520" i="1"/>
  <c r="E520" i="1"/>
  <c r="D520" i="1"/>
  <c r="C520" i="1"/>
  <c r="B520" i="1"/>
  <c r="A520" i="1"/>
  <c r="F519" i="1"/>
  <c r="E519" i="1"/>
  <c r="D519" i="1"/>
  <c r="C519" i="1"/>
  <c r="B519" i="1"/>
  <c r="A519" i="1"/>
  <c r="F518" i="1"/>
  <c r="E518" i="1"/>
  <c r="D518" i="1"/>
  <c r="C518" i="1"/>
  <c r="B518" i="1"/>
  <c r="A518" i="1"/>
  <c r="F517" i="1"/>
  <c r="E517" i="1"/>
  <c r="D517" i="1"/>
  <c r="C517" i="1"/>
  <c r="B517" i="1"/>
  <c r="A517" i="1"/>
  <c r="F516" i="1"/>
  <c r="E516" i="1"/>
  <c r="D516" i="1"/>
  <c r="C516" i="1"/>
  <c r="B516" i="1"/>
  <c r="A516" i="1"/>
  <c r="F515" i="1"/>
  <c r="E515" i="1"/>
  <c r="D515" i="1"/>
  <c r="C515" i="1"/>
  <c r="B515" i="1"/>
  <c r="A515" i="1"/>
  <c r="F514" i="1"/>
  <c r="E514" i="1"/>
  <c r="D514" i="1"/>
  <c r="C514" i="1"/>
  <c r="B514" i="1"/>
  <c r="A514" i="1"/>
  <c r="F513" i="1"/>
  <c r="E513" i="1"/>
  <c r="D513" i="1"/>
  <c r="C513" i="1"/>
  <c r="B513" i="1"/>
  <c r="A513" i="1"/>
  <c r="F512" i="1"/>
  <c r="E512" i="1"/>
  <c r="D512" i="1"/>
  <c r="C512" i="1"/>
  <c r="B512" i="1"/>
  <c r="A512" i="1"/>
  <c r="F511" i="1"/>
  <c r="E511" i="1"/>
  <c r="D511" i="1"/>
  <c r="C511" i="1"/>
  <c r="B511" i="1"/>
  <c r="A511" i="1"/>
  <c r="F510" i="1"/>
  <c r="E510" i="1"/>
  <c r="D510" i="1"/>
  <c r="C510" i="1"/>
  <c r="B510" i="1"/>
  <c r="A510" i="1"/>
  <c r="F509" i="1"/>
  <c r="E509" i="1"/>
  <c r="D509" i="1"/>
  <c r="C509" i="1"/>
  <c r="B509" i="1"/>
  <c r="A509" i="1"/>
  <c r="F508" i="1"/>
  <c r="E508" i="1"/>
  <c r="D508" i="1"/>
  <c r="C508" i="1"/>
  <c r="B508" i="1"/>
  <c r="A508" i="1"/>
  <c r="F507" i="1"/>
  <c r="E507" i="1"/>
  <c r="D507" i="1"/>
  <c r="C507" i="1"/>
  <c r="B507" i="1"/>
  <c r="A507" i="1"/>
  <c r="F506" i="1"/>
  <c r="E506" i="1"/>
  <c r="D506" i="1"/>
  <c r="C506" i="1"/>
  <c r="B506" i="1"/>
  <c r="A506" i="1"/>
  <c r="F505" i="1"/>
  <c r="E505" i="1"/>
  <c r="D505" i="1"/>
  <c r="C505" i="1"/>
  <c r="B505" i="1"/>
  <c r="A505" i="1"/>
  <c r="F504" i="1"/>
  <c r="E504" i="1"/>
  <c r="D504" i="1"/>
  <c r="C504" i="1"/>
  <c r="B504" i="1"/>
  <c r="A504" i="1"/>
  <c r="F503" i="1"/>
  <c r="E503" i="1"/>
  <c r="D503" i="1"/>
  <c r="C503" i="1"/>
  <c r="B503" i="1"/>
  <c r="A503" i="1"/>
  <c r="F502" i="1"/>
  <c r="E502" i="1"/>
  <c r="D502" i="1"/>
  <c r="C502" i="1"/>
  <c r="B502" i="1"/>
  <c r="A502" i="1"/>
  <c r="F501" i="1"/>
  <c r="E501" i="1"/>
  <c r="D501" i="1"/>
  <c r="C501" i="1"/>
  <c r="B501" i="1"/>
  <c r="A501" i="1"/>
  <c r="F500" i="1"/>
  <c r="E500" i="1"/>
  <c r="D500" i="1"/>
  <c r="C500" i="1"/>
  <c r="B500" i="1"/>
  <c r="A500" i="1"/>
  <c r="F499" i="1"/>
  <c r="E499" i="1"/>
  <c r="D499" i="1"/>
  <c r="C499" i="1"/>
  <c r="B499" i="1"/>
  <c r="A499" i="1"/>
  <c r="F498" i="1"/>
  <c r="E498" i="1"/>
  <c r="D498" i="1"/>
  <c r="C498" i="1"/>
  <c r="B498" i="1"/>
  <c r="A498" i="1"/>
  <c r="F497" i="1"/>
  <c r="E497" i="1"/>
  <c r="D497" i="1"/>
  <c r="C497" i="1"/>
  <c r="B497" i="1"/>
  <c r="A497" i="1"/>
  <c r="F496" i="1"/>
  <c r="E496" i="1"/>
  <c r="D496" i="1"/>
  <c r="C496" i="1"/>
  <c r="B496" i="1"/>
  <c r="A496" i="1"/>
  <c r="F495" i="1"/>
  <c r="E495" i="1"/>
  <c r="D495" i="1"/>
  <c r="C495" i="1"/>
  <c r="B495" i="1"/>
  <c r="A495" i="1"/>
  <c r="F494" i="1"/>
  <c r="E494" i="1"/>
  <c r="D494" i="1"/>
  <c r="C494" i="1"/>
  <c r="B494" i="1"/>
  <c r="A494" i="1"/>
  <c r="F493" i="1"/>
  <c r="E493" i="1"/>
  <c r="D493" i="1"/>
  <c r="C493" i="1"/>
  <c r="B493" i="1"/>
  <c r="A493" i="1"/>
  <c r="F492" i="1"/>
  <c r="E492" i="1"/>
  <c r="D492" i="1"/>
  <c r="C492" i="1"/>
  <c r="B492" i="1"/>
  <c r="A492" i="1"/>
  <c r="F491" i="1"/>
  <c r="E491" i="1"/>
  <c r="D491" i="1"/>
  <c r="C491" i="1"/>
  <c r="B491" i="1"/>
  <c r="A491" i="1"/>
  <c r="F490" i="1"/>
  <c r="E490" i="1"/>
  <c r="D490" i="1"/>
  <c r="C490" i="1"/>
  <c r="B490" i="1"/>
  <c r="A490" i="1"/>
  <c r="F489" i="1"/>
  <c r="E489" i="1"/>
  <c r="D489" i="1"/>
  <c r="C489" i="1"/>
  <c r="B489" i="1"/>
  <c r="A489" i="1"/>
  <c r="F488" i="1"/>
  <c r="E488" i="1"/>
  <c r="D488" i="1"/>
  <c r="C488" i="1"/>
  <c r="B488" i="1"/>
  <c r="A488" i="1"/>
  <c r="F487" i="1"/>
  <c r="E487" i="1"/>
  <c r="D487" i="1"/>
  <c r="C487" i="1"/>
  <c r="B487" i="1"/>
  <c r="A487" i="1"/>
  <c r="F486" i="1"/>
  <c r="E486" i="1"/>
  <c r="D486" i="1"/>
  <c r="C486" i="1"/>
  <c r="B486" i="1"/>
  <c r="A486" i="1"/>
  <c r="F485" i="1"/>
  <c r="E485" i="1"/>
  <c r="D485" i="1"/>
  <c r="C485" i="1"/>
  <c r="B485" i="1"/>
  <c r="A485" i="1"/>
  <c r="F484" i="1"/>
  <c r="E484" i="1"/>
  <c r="D484" i="1"/>
  <c r="C484" i="1"/>
  <c r="B484" i="1"/>
  <c r="A484" i="1"/>
  <c r="F483" i="1"/>
  <c r="E483" i="1"/>
  <c r="D483" i="1"/>
  <c r="C483" i="1"/>
  <c r="B483" i="1"/>
  <c r="A483" i="1"/>
  <c r="F482" i="1"/>
  <c r="E482" i="1"/>
  <c r="D482" i="1"/>
  <c r="C482" i="1"/>
  <c r="B482" i="1"/>
  <c r="A482" i="1"/>
  <c r="F481" i="1"/>
  <c r="E481" i="1"/>
  <c r="D481" i="1"/>
  <c r="C481" i="1"/>
  <c r="B481" i="1"/>
  <c r="A481" i="1"/>
  <c r="F480" i="1"/>
  <c r="E480" i="1"/>
  <c r="D480" i="1"/>
  <c r="C480" i="1"/>
  <c r="B480" i="1"/>
  <c r="A480" i="1"/>
  <c r="F479" i="1"/>
  <c r="E479" i="1"/>
  <c r="D479" i="1"/>
  <c r="C479" i="1"/>
  <c r="B479" i="1"/>
  <c r="A479" i="1"/>
  <c r="F478" i="1"/>
  <c r="E478" i="1"/>
  <c r="D478" i="1"/>
  <c r="C478" i="1"/>
  <c r="B478" i="1"/>
  <c r="A478" i="1"/>
  <c r="F477" i="1"/>
  <c r="E477" i="1"/>
  <c r="D477" i="1"/>
  <c r="C477" i="1"/>
  <c r="B477" i="1"/>
  <c r="A477" i="1"/>
  <c r="F476" i="1"/>
  <c r="E476" i="1"/>
  <c r="D476" i="1"/>
  <c r="C476" i="1"/>
  <c r="B476" i="1"/>
  <c r="A476" i="1"/>
  <c r="F475" i="1"/>
  <c r="E475" i="1"/>
  <c r="D475" i="1"/>
  <c r="C475" i="1"/>
  <c r="B475" i="1"/>
  <c r="A475" i="1"/>
  <c r="F474" i="1"/>
  <c r="E474" i="1"/>
  <c r="D474" i="1"/>
  <c r="C474" i="1"/>
  <c r="B474" i="1"/>
  <c r="A474" i="1"/>
  <c r="F473" i="1"/>
  <c r="E473" i="1"/>
  <c r="D473" i="1"/>
  <c r="C473" i="1"/>
  <c r="B473" i="1"/>
  <c r="A473" i="1"/>
  <c r="F472" i="1"/>
  <c r="E472" i="1"/>
  <c r="D472" i="1"/>
  <c r="C472" i="1"/>
  <c r="B472" i="1"/>
  <c r="A472" i="1"/>
  <c r="F471" i="1"/>
  <c r="E471" i="1"/>
  <c r="D471" i="1"/>
  <c r="C471" i="1"/>
  <c r="B471" i="1"/>
  <c r="A471" i="1"/>
  <c r="F470" i="1"/>
  <c r="E470" i="1"/>
  <c r="D470" i="1"/>
  <c r="C470" i="1"/>
  <c r="B470" i="1"/>
  <c r="A470" i="1"/>
  <c r="F469" i="1"/>
  <c r="E469" i="1"/>
  <c r="D469" i="1"/>
  <c r="C469" i="1"/>
  <c r="B469" i="1"/>
  <c r="A469" i="1"/>
  <c r="F468" i="1"/>
  <c r="E468" i="1"/>
  <c r="D468" i="1"/>
  <c r="C468" i="1"/>
  <c r="B468" i="1"/>
  <c r="A468" i="1"/>
  <c r="F467" i="1"/>
  <c r="E467" i="1"/>
  <c r="D467" i="1"/>
  <c r="C467" i="1"/>
  <c r="B467" i="1"/>
  <c r="A467" i="1"/>
  <c r="F466" i="1"/>
  <c r="E466" i="1"/>
  <c r="D466" i="1"/>
  <c r="C466" i="1"/>
  <c r="B466" i="1"/>
  <c r="A466" i="1"/>
  <c r="F465" i="1"/>
  <c r="E465" i="1"/>
  <c r="D465" i="1"/>
  <c r="C465" i="1"/>
  <c r="B465" i="1"/>
  <c r="A465" i="1"/>
  <c r="F464" i="1"/>
  <c r="E464" i="1"/>
  <c r="D464" i="1"/>
  <c r="C464" i="1"/>
  <c r="B464" i="1"/>
  <c r="A464" i="1"/>
  <c r="F463" i="1"/>
  <c r="E463" i="1"/>
  <c r="D463" i="1"/>
  <c r="C463" i="1"/>
  <c r="B463" i="1"/>
  <c r="A463" i="1"/>
  <c r="F462" i="1"/>
  <c r="E462" i="1"/>
  <c r="D462" i="1"/>
  <c r="C462" i="1"/>
  <c r="B462" i="1"/>
  <c r="A462" i="1"/>
  <c r="F461" i="1"/>
  <c r="E461" i="1"/>
  <c r="D461" i="1"/>
  <c r="C461" i="1"/>
  <c r="B461" i="1"/>
  <c r="A461" i="1"/>
  <c r="F460" i="1"/>
  <c r="E460" i="1"/>
  <c r="D460" i="1"/>
  <c r="C460" i="1"/>
  <c r="B460" i="1"/>
  <c r="A460" i="1"/>
  <c r="F459" i="1"/>
  <c r="E459" i="1"/>
  <c r="D459" i="1"/>
  <c r="C459" i="1"/>
  <c r="B459" i="1"/>
  <c r="A459" i="1"/>
  <c r="F458" i="1"/>
  <c r="E458" i="1"/>
  <c r="D458" i="1"/>
  <c r="C458" i="1"/>
  <c r="B458" i="1"/>
  <c r="A458" i="1"/>
  <c r="F457" i="1"/>
  <c r="E457" i="1"/>
  <c r="D457" i="1"/>
  <c r="C457" i="1"/>
  <c r="B457" i="1"/>
  <c r="A457" i="1"/>
  <c r="F456" i="1"/>
  <c r="E456" i="1"/>
  <c r="D456" i="1"/>
  <c r="C456" i="1"/>
  <c r="B456" i="1"/>
  <c r="A456" i="1"/>
  <c r="F455" i="1"/>
  <c r="E455" i="1"/>
  <c r="D455" i="1"/>
  <c r="C455" i="1"/>
  <c r="B455" i="1"/>
  <c r="A455" i="1"/>
  <c r="F454" i="1"/>
  <c r="E454" i="1"/>
  <c r="D454" i="1"/>
  <c r="C454" i="1"/>
  <c r="B454" i="1"/>
  <c r="A454" i="1"/>
  <c r="F453" i="1"/>
  <c r="E453" i="1"/>
  <c r="D453" i="1"/>
  <c r="C453" i="1"/>
  <c r="B453" i="1"/>
  <c r="A453" i="1"/>
  <c r="F452" i="1"/>
  <c r="E452" i="1"/>
  <c r="D452" i="1"/>
  <c r="C452" i="1"/>
  <c r="B452" i="1"/>
  <c r="A452" i="1"/>
  <c r="F451" i="1"/>
  <c r="E451" i="1"/>
  <c r="D451" i="1"/>
  <c r="C451" i="1"/>
  <c r="B451" i="1"/>
  <c r="A451" i="1"/>
  <c r="F450" i="1"/>
  <c r="E450" i="1"/>
  <c r="D450" i="1"/>
  <c r="C450" i="1"/>
  <c r="B450" i="1"/>
  <c r="A450" i="1"/>
  <c r="F449" i="1"/>
  <c r="E449" i="1"/>
  <c r="D449" i="1"/>
  <c r="C449" i="1"/>
  <c r="B449" i="1"/>
  <c r="A449" i="1"/>
  <c r="F448" i="1"/>
  <c r="E448" i="1"/>
  <c r="D448" i="1"/>
  <c r="C448" i="1"/>
  <c r="B448" i="1"/>
  <c r="A448" i="1"/>
  <c r="F447" i="1"/>
  <c r="E447" i="1"/>
  <c r="D447" i="1"/>
  <c r="C447" i="1"/>
  <c r="B447" i="1"/>
  <c r="A447" i="1"/>
  <c r="F446" i="1"/>
  <c r="E446" i="1"/>
  <c r="D446" i="1"/>
  <c r="C446" i="1"/>
  <c r="B446" i="1"/>
  <c r="A446" i="1"/>
  <c r="F445" i="1"/>
  <c r="E445" i="1"/>
  <c r="D445" i="1"/>
  <c r="C445" i="1"/>
  <c r="B445" i="1"/>
  <c r="A445" i="1"/>
  <c r="F444" i="1"/>
  <c r="E444" i="1"/>
  <c r="D444" i="1"/>
  <c r="C444" i="1"/>
  <c r="B444" i="1"/>
  <c r="A444" i="1"/>
  <c r="F443" i="1"/>
  <c r="E443" i="1"/>
  <c r="D443" i="1"/>
  <c r="C443" i="1"/>
  <c r="B443" i="1"/>
  <c r="A443" i="1"/>
  <c r="F442" i="1"/>
  <c r="E442" i="1"/>
  <c r="D442" i="1"/>
  <c r="C442" i="1"/>
  <c r="B442" i="1"/>
  <c r="A442" i="1"/>
  <c r="F441" i="1"/>
  <c r="E441" i="1"/>
  <c r="D441" i="1"/>
  <c r="C441" i="1"/>
  <c r="B441" i="1"/>
  <c r="A441" i="1"/>
  <c r="F440" i="1"/>
  <c r="E440" i="1"/>
  <c r="D440" i="1"/>
  <c r="C440" i="1"/>
  <c r="B440" i="1"/>
  <c r="A440" i="1"/>
  <c r="F439" i="1"/>
  <c r="E439" i="1"/>
  <c r="D439" i="1"/>
  <c r="C439" i="1"/>
  <c r="B439" i="1"/>
  <c r="A439" i="1"/>
  <c r="F438" i="1"/>
  <c r="E438" i="1"/>
  <c r="D438" i="1"/>
  <c r="C438" i="1"/>
  <c r="B438" i="1"/>
  <c r="A438" i="1"/>
  <c r="F437" i="1"/>
  <c r="E437" i="1"/>
  <c r="D437" i="1"/>
  <c r="C437" i="1"/>
  <c r="B437" i="1"/>
  <c r="A437" i="1"/>
  <c r="F436" i="1"/>
  <c r="E436" i="1"/>
  <c r="D436" i="1"/>
  <c r="C436" i="1"/>
  <c r="B436" i="1"/>
  <c r="A436" i="1"/>
  <c r="F435" i="1"/>
  <c r="E435" i="1"/>
  <c r="D435" i="1"/>
  <c r="C435" i="1"/>
  <c r="B435" i="1"/>
  <c r="A435" i="1"/>
  <c r="F434" i="1"/>
  <c r="E434" i="1"/>
  <c r="D434" i="1"/>
  <c r="C434" i="1"/>
  <c r="B434" i="1"/>
  <c r="A434" i="1"/>
  <c r="F433" i="1"/>
  <c r="E433" i="1"/>
  <c r="D433" i="1"/>
  <c r="C433" i="1"/>
  <c r="B433" i="1"/>
  <c r="A433" i="1"/>
  <c r="F432" i="1"/>
  <c r="E432" i="1"/>
  <c r="D432" i="1"/>
  <c r="C432" i="1"/>
  <c r="B432" i="1"/>
  <c r="A432" i="1"/>
  <c r="F431" i="1"/>
  <c r="E431" i="1"/>
  <c r="D431" i="1"/>
  <c r="C431" i="1"/>
  <c r="B431" i="1"/>
  <c r="A431" i="1"/>
  <c r="F430" i="1"/>
  <c r="E430" i="1"/>
  <c r="D430" i="1"/>
  <c r="C430" i="1"/>
  <c r="B430" i="1"/>
  <c r="A430" i="1"/>
  <c r="F429" i="1"/>
  <c r="E429" i="1"/>
  <c r="D429" i="1"/>
  <c r="C429" i="1"/>
  <c r="B429" i="1"/>
  <c r="A429" i="1"/>
  <c r="F428" i="1"/>
  <c r="E428" i="1"/>
  <c r="D428" i="1"/>
  <c r="C428" i="1"/>
  <c r="B428" i="1"/>
  <c r="A428" i="1"/>
  <c r="F427" i="1"/>
  <c r="E427" i="1"/>
  <c r="D427" i="1"/>
  <c r="C427" i="1"/>
  <c r="B427" i="1"/>
  <c r="A427" i="1"/>
  <c r="F426" i="1"/>
  <c r="E426" i="1"/>
  <c r="D426" i="1"/>
  <c r="C426" i="1"/>
  <c r="B426" i="1"/>
  <c r="A426" i="1"/>
  <c r="F425" i="1"/>
  <c r="E425" i="1"/>
  <c r="D425" i="1"/>
  <c r="C425" i="1"/>
  <c r="B425" i="1"/>
  <c r="A425" i="1"/>
  <c r="F424" i="1"/>
  <c r="E424" i="1"/>
  <c r="D424" i="1"/>
  <c r="C424" i="1"/>
  <c r="B424" i="1"/>
  <c r="A424" i="1"/>
  <c r="F423" i="1"/>
  <c r="E423" i="1"/>
  <c r="D423" i="1"/>
  <c r="C423" i="1"/>
  <c r="B423" i="1"/>
  <c r="A423" i="1"/>
  <c r="F422" i="1"/>
  <c r="E422" i="1"/>
  <c r="D422" i="1"/>
  <c r="C422" i="1"/>
  <c r="B422" i="1"/>
  <c r="A422" i="1"/>
  <c r="F421" i="1"/>
  <c r="E421" i="1"/>
  <c r="D421" i="1"/>
  <c r="C421" i="1"/>
  <c r="B421" i="1"/>
  <c r="A421" i="1"/>
  <c r="F420" i="1"/>
  <c r="E420" i="1"/>
  <c r="D420" i="1"/>
  <c r="C420" i="1"/>
  <c r="B420" i="1"/>
  <c r="A420" i="1"/>
  <c r="F419" i="1"/>
  <c r="E419" i="1"/>
  <c r="D419" i="1"/>
  <c r="C419" i="1"/>
  <c r="B419" i="1"/>
  <c r="A419" i="1"/>
  <c r="F418" i="1"/>
  <c r="E418" i="1"/>
  <c r="D418" i="1"/>
  <c r="C418" i="1"/>
  <c r="B418" i="1"/>
  <c r="A418" i="1"/>
  <c r="F417" i="1"/>
  <c r="E417" i="1"/>
  <c r="D417" i="1"/>
  <c r="C417" i="1"/>
  <c r="B417" i="1"/>
  <c r="A417" i="1"/>
  <c r="F416" i="1"/>
  <c r="E416" i="1"/>
  <c r="D416" i="1"/>
  <c r="C416" i="1"/>
  <c r="B416" i="1"/>
  <c r="A416" i="1"/>
  <c r="F415" i="1"/>
  <c r="E415" i="1"/>
  <c r="D415" i="1"/>
  <c r="C415" i="1"/>
  <c r="B415" i="1"/>
  <c r="A415" i="1"/>
  <c r="F414" i="1"/>
  <c r="E414" i="1"/>
  <c r="D414" i="1"/>
  <c r="C414" i="1"/>
  <c r="B414" i="1"/>
  <c r="A414" i="1"/>
  <c r="F413" i="1"/>
  <c r="E413" i="1"/>
  <c r="D413" i="1"/>
  <c r="C413" i="1"/>
  <c r="B413" i="1"/>
  <c r="A413" i="1"/>
  <c r="F412" i="1"/>
  <c r="E412" i="1"/>
  <c r="D412" i="1"/>
  <c r="C412" i="1"/>
  <c r="B412" i="1"/>
  <c r="A412" i="1"/>
  <c r="F411" i="1"/>
  <c r="E411" i="1"/>
  <c r="D411" i="1"/>
  <c r="C411" i="1"/>
  <c r="B411" i="1"/>
  <c r="A411" i="1"/>
  <c r="F410" i="1"/>
  <c r="E410" i="1"/>
  <c r="D410" i="1"/>
  <c r="C410" i="1"/>
  <c r="B410" i="1"/>
  <c r="A410" i="1"/>
  <c r="F409" i="1"/>
  <c r="E409" i="1"/>
  <c r="D409" i="1"/>
  <c r="C409" i="1"/>
  <c r="B409" i="1"/>
  <c r="A409" i="1"/>
  <c r="F408" i="1"/>
  <c r="E408" i="1"/>
  <c r="D408" i="1"/>
  <c r="C408" i="1"/>
  <c r="B408" i="1"/>
  <c r="A408" i="1"/>
  <c r="F407" i="1"/>
  <c r="E407" i="1"/>
  <c r="D407" i="1"/>
  <c r="C407" i="1"/>
  <c r="B407" i="1"/>
  <c r="A407" i="1"/>
  <c r="F406" i="1"/>
  <c r="E406" i="1"/>
  <c r="D406" i="1"/>
  <c r="C406" i="1"/>
  <c r="B406" i="1"/>
  <c r="A406" i="1"/>
  <c r="F405" i="1"/>
  <c r="E405" i="1"/>
  <c r="D405" i="1"/>
  <c r="C405" i="1"/>
  <c r="B405" i="1"/>
  <c r="A405" i="1"/>
  <c r="F404" i="1"/>
  <c r="E404" i="1"/>
  <c r="D404" i="1"/>
  <c r="C404" i="1"/>
  <c r="B404" i="1"/>
  <c r="A404" i="1"/>
  <c r="F403" i="1"/>
  <c r="E403" i="1"/>
  <c r="D403" i="1"/>
  <c r="C403" i="1"/>
  <c r="B403" i="1"/>
  <c r="A403" i="1"/>
  <c r="F402" i="1"/>
  <c r="E402" i="1"/>
  <c r="D402" i="1"/>
  <c r="C402" i="1"/>
  <c r="B402" i="1"/>
  <c r="A402" i="1"/>
  <c r="F401" i="1"/>
  <c r="E401" i="1"/>
  <c r="D401" i="1"/>
  <c r="C401" i="1"/>
  <c r="B401" i="1"/>
  <c r="A401" i="1"/>
  <c r="F400" i="1"/>
  <c r="E400" i="1"/>
  <c r="D400" i="1"/>
  <c r="C400" i="1"/>
  <c r="B400" i="1"/>
  <c r="A400" i="1"/>
  <c r="F399" i="1"/>
  <c r="E399" i="1"/>
  <c r="D399" i="1"/>
  <c r="C399" i="1"/>
  <c r="B399" i="1"/>
  <c r="A399" i="1"/>
  <c r="F398" i="1"/>
  <c r="E398" i="1"/>
  <c r="D398" i="1"/>
  <c r="C398" i="1"/>
  <c r="B398" i="1"/>
  <c r="A398" i="1"/>
  <c r="F397" i="1"/>
  <c r="E397" i="1"/>
  <c r="D397" i="1"/>
  <c r="C397" i="1"/>
  <c r="B397" i="1"/>
  <c r="A397" i="1"/>
  <c r="F396" i="1"/>
  <c r="E396" i="1"/>
  <c r="D396" i="1"/>
  <c r="C396" i="1"/>
  <c r="B396" i="1"/>
  <c r="A396" i="1"/>
  <c r="F395" i="1"/>
  <c r="E395" i="1"/>
  <c r="D395" i="1"/>
  <c r="C395" i="1"/>
  <c r="B395" i="1"/>
  <c r="A395" i="1"/>
  <c r="F394" i="1"/>
  <c r="E394" i="1"/>
  <c r="D394" i="1"/>
  <c r="C394" i="1"/>
  <c r="B394" i="1"/>
  <c r="A394" i="1"/>
  <c r="F393" i="1"/>
  <c r="E393" i="1"/>
  <c r="D393" i="1"/>
  <c r="C393" i="1"/>
  <c r="B393" i="1"/>
  <c r="A393" i="1"/>
  <c r="F392" i="1"/>
  <c r="E392" i="1"/>
  <c r="D392" i="1"/>
  <c r="C392" i="1"/>
  <c r="B392" i="1"/>
  <c r="A392" i="1"/>
  <c r="F391" i="1"/>
  <c r="E391" i="1"/>
  <c r="D391" i="1"/>
  <c r="C391" i="1"/>
  <c r="B391" i="1"/>
  <c r="A391" i="1"/>
  <c r="F390" i="1"/>
  <c r="E390" i="1"/>
  <c r="D390" i="1"/>
  <c r="C390" i="1"/>
  <c r="B390" i="1"/>
  <c r="A390" i="1"/>
  <c r="F389" i="1"/>
  <c r="E389" i="1"/>
  <c r="D389" i="1"/>
  <c r="C389" i="1"/>
  <c r="B389" i="1"/>
  <c r="A389" i="1"/>
  <c r="F388" i="1"/>
  <c r="E388" i="1"/>
  <c r="D388" i="1"/>
  <c r="C388" i="1"/>
  <c r="B388" i="1"/>
  <c r="A388" i="1"/>
  <c r="F387" i="1"/>
  <c r="E387" i="1"/>
  <c r="D387" i="1"/>
  <c r="C387" i="1"/>
  <c r="B387" i="1"/>
  <c r="A387" i="1"/>
  <c r="F386" i="1"/>
  <c r="E386" i="1"/>
  <c r="D386" i="1"/>
  <c r="C386" i="1"/>
  <c r="B386" i="1"/>
  <c r="A386" i="1"/>
  <c r="F385" i="1"/>
  <c r="E385" i="1"/>
  <c r="D385" i="1"/>
  <c r="C385" i="1"/>
  <c r="B385" i="1"/>
  <c r="A385" i="1"/>
  <c r="F384" i="1"/>
  <c r="E384" i="1"/>
  <c r="D384" i="1"/>
  <c r="C384" i="1"/>
  <c r="B384" i="1"/>
  <c r="A384" i="1"/>
  <c r="F383" i="1"/>
  <c r="E383" i="1"/>
  <c r="D383" i="1"/>
  <c r="C383" i="1"/>
  <c r="B383" i="1"/>
  <c r="A383" i="1"/>
  <c r="F382" i="1"/>
  <c r="E382" i="1"/>
  <c r="D382" i="1"/>
  <c r="C382" i="1"/>
  <c r="B382" i="1"/>
  <c r="A382" i="1"/>
  <c r="F381" i="1"/>
  <c r="E381" i="1"/>
  <c r="D381" i="1"/>
  <c r="C381" i="1"/>
  <c r="B381" i="1"/>
  <c r="A381" i="1"/>
  <c r="F380" i="1"/>
  <c r="E380" i="1"/>
  <c r="D380" i="1"/>
  <c r="C380" i="1"/>
  <c r="B380" i="1"/>
  <c r="A380" i="1"/>
  <c r="F379" i="1"/>
  <c r="E379" i="1"/>
  <c r="D379" i="1"/>
  <c r="C379" i="1"/>
  <c r="B379" i="1"/>
  <c r="A379" i="1"/>
  <c r="F378" i="1"/>
  <c r="E378" i="1"/>
  <c r="D378" i="1"/>
  <c r="C378" i="1"/>
  <c r="B378" i="1"/>
  <c r="A378" i="1"/>
  <c r="F377" i="1"/>
  <c r="E377" i="1"/>
  <c r="D377" i="1"/>
  <c r="C377" i="1"/>
  <c r="B377" i="1"/>
  <c r="A377" i="1"/>
  <c r="F376" i="1"/>
  <c r="E376" i="1"/>
  <c r="D376" i="1"/>
  <c r="C376" i="1"/>
  <c r="B376" i="1"/>
  <c r="A376" i="1"/>
  <c r="F375" i="1"/>
  <c r="E375" i="1"/>
  <c r="D375" i="1"/>
  <c r="C375" i="1"/>
  <c r="B375" i="1"/>
  <c r="A375" i="1"/>
  <c r="F374" i="1"/>
  <c r="E374" i="1"/>
  <c r="D374" i="1"/>
  <c r="C374" i="1"/>
  <c r="B374" i="1"/>
  <c r="A374" i="1"/>
  <c r="F373" i="1"/>
  <c r="E373" i="1"/>
  <c r="D373" i="1"/>
  <c r="C373" i="1"/>
  <c r="B373" i="1"/>
  <c r="A373" i="1"/>
  <c r="F372" i="1"/>
  <c r="E372" i="1"/>
  <c r="D372" i="1"/>
  <c r="C372" i="1"/>
  <c r="B372" i="1"/>
  <c r="A372" i="1"/>
  <c r="F371" i="1"/>
  <c r="E371" i="1"/>
  <c r="D371" i="1"/>
  <c r="C371" i="1"/>
  <c r="B371" i="1"/>
  <c r="A371" i="1"/>
  <c r="F370" i="1"/>
  <c r="E370" i="1"/>
  <c r="D370" i="1"/>
  <c r="C370" i="1"/>
  <c r="B370" i="1"/>
  <c r="A370" i="1"/>
  <c r="F369" i="1"/>
  <c r="E369" i="1"/>
  <c r="D369" i="1"/>
  <c r="C369" i="1"/>
  <c r="B369" i="1"/>
  <c r="A369" i="1"/>
  <c r="F368" i="1"/>
  <c r="E368" i="1"/>
  <c r="D368" i="1"/>
  <c r="C368" i="1"/>
  <c r="B368" i="1"/>
  <c r="A368" i="1"/>
  <c r="F367" i="1"/>
  <c r="E367" i="1"/>
  <c r="D367" i="1"/>
  <c r="C367" i="1"/>
  <c r="B367" i="1"/>
  <c r="A367" i="1"/>
  <c r="F366" i="1"/>
  <c r="E366" i="1"/>
  <c r="D366" i="1"/>
  <c r="C366" i="1"/>
  <c r="B366" i="1"/>
  <c r="A366" i="1"/>
  <c r="F365" i="1"/>
  <c r="E365" i="1"/>
  <c r="D365" i="1"/>
  <c r="C365" i="1"/>
  <c r="B365" i="1"/>
  <c r="A365" i="1"/>
  <c r="F364" i="1"/>
  <c r="E364" i="1"/>
  <c r="D364" i="1"/>
  <c r="C364" i="1"/>
  <c r="B364" i="1"/>
  <c r="A364" i="1"/>
  <c r="F363" i="1"/>
  <c r="E363" i="1"/>
  <c r="D363" i="1"/>
  <c r="C363" i="1"/>
  <c r="B363" i="1"/>
  <c r="A363" i="1"/>
  <c r="F362" i="1"/>
  <c r="E362" i="1"/>
  <c r="D362" i="1"/>
  <c r="C362" i="1"/>
  <c r="B362" i="1"/>
  <c r="A362" i="1"/>
  <c r="F361" i="1"/>
  <c r="E361" i="1"/>
  <c r="D361" i="1"/>
  <c r="C361" i="1"/>
  <c r="B361" i="1"/>
  <c r="A361" i="1"/>
  <c r="F360" i="1"/>
  <c r="E360" i="1"/>
  <c r="D360" i="1"/>
  <c r="C360" i="1"/>
  <c r="B360" i="1"/>
  <c r="A360" i="1"/>
  <c r="F359" i="1"/>
  <c r="E359" i="1"/>
  <c r="D359" i="1"/>
  <c r="C359" i="1"/>
  <c r="B359" i="1"/>
  <c r="A359" i="1"/>
  <c r="F358" i="1"/>
  <c r="E358" i="1"/>
  <c r="D358" i="1"/>
  <c r="C358" i="1"/>
  <c r="B358" i="1"/>
  <c r="A358" i="1"/>
  <c r="F357" i="1"/>
  <c r="E357" i="1"/>
  <c r="D357" i="1"/>
  <c r="C357" i="1"/>
  <c r="B357" i="1"/>
  <c r="A357" i="1"/>
  <c r="F356" i="1"/>
  <c r="E356" i="1"/>
  <c r="D356" i="1"/>
  <c r="C356" i="1"/>
  <c r="B356" i="1"/>
  <c r="A356" i="1"/>
  <c r="F355" i="1"/>
  <c r="E355" i="1"/>
  <c r="D355" i="1"/>
  <c r="C355" i="1"/>
  <c r="B355" i="1"/>
  <c r="A355" i="1"/>
  <c r="F354" i="1"/>
  <c r="E354" i="1"/>
  <c r="D354" i="1"/>
  <c r="C354" i="1"/>
  <c r="B354" i="1"/>
  <c r="A354" i="1"/>
  <c r="F353" i="1"/>
  <c r="E353" i="1"/>
  <c r="D353" i="1"/>
  <c r="C353" i="1"/>
  <c r="B353" i="1"/>
  <c r="A353" i="1"/>
  <c r="F352" i="1"/>
  <c r="E352" i="1"/>
  <c r="D352" i="1"/>
  <c r="C352" i="1"/>
  <c r="B352" i="1"/>
  <c r="A352" i="1"/>
  <c r="F351" i="1"/>
  <c r="E351" i="1"/>
  <c r="D351" i="1"/>
  <c r="C351" i="1"/>
  <c r="B351" i="1"/>
  <c r="A351" i="1"/>
  <c r="F350" i="1"/>
  <c r="E350" i="1"/>
  <c r="D350" i="1"/>
  <c r="C350" i="1"/>
  <c r="B350" i="1"/>
  <c r="A350" i="1"/>
  <c r="F349" i="1"/>
  <c r="E349" i="1"/>
  <c r="D349" i="1"/>
  <c r="C349" i="1"/>
  <c r="B349" i="1"/>
  <c r="A349" i="1"/>
  <c r="F348" i="1"/>
  <c r="E348" i="1"/>
  <c r="D348" i="1"/>
  <c r="C348" i="1"/>
  <c r="B348" i="1"/>
  <c r="A348" i="1"/>
  <c r="F347" i="1"/>
  <c r="E347" i="1"/>
  <c r="D347" i="1"/>
  <c r="C347" i="1"/>
  <c r="B347" i="1"/>
  <c r="A347" i="1"/>
  <c r="F346" i="1"/>
  <c r="E346" i="1"/>
  <c r="D346" i="1"/>
  <c r="C346" i="1"/>
  <c r="B346" i="1"/>
  <c r="A346" i="1"/>
  <c r="F345" i="1"/>
  <c r="E345" i="1"/>
  <c r="D345" i="1"/>
  <c r="C345" i="1"/>
  <c r="B345" i="1"/>
  <c r="A345" i="1"/>
  <c r="F344" i="1"/>
  <c r="E344" i="1"/>
  <c r="D344" i="1"/>
  <c r="C344" i="1"/>
  <c r="B344" i="1"/>
  <c r="A344" i="1"/>
  <c r="F343" i="1"/>
  <c r="E343" i="1"/>
  <c r="D343" i="1"/>
  <c r="C343" i="1"/>
  <c r="B343" i="1"/>
  <c r="A343" i="1"/>
  <c r="F342" i="1"/>
  <c r="E342" i="1"/>
  <c r="D342" i="1"/>
  <c r="C342" i="1"/>
  <c r="B342" i="1"/>
  <c r="A342" i="1"/>
  <c r="F341" i="1"/>
  <c r="E341" i="1"/>
  <c r="D341" i="1"/>
  <c r="C341" i="1"/>
  <c r="B341" i="1"/>
  <c r="A341" i="1"/>
  <c r="F340" i="1"/>
  <c r="E340" i="1"/>
  <c r="D340" i="1"/>
  <c r="C340" i="1"/>
  <c r="B340" i="1"/>
  <c r="A340" i="1"/>
  <c r="F339" i="1"/>
  <c r="E339" i="1"/>
  <c r="D339" i="1"/>
  <c r="C339" i="1"/>
  <c r="B339" i="1"/>
  <c r="A339" i="1"/>
  <c r="F338" i="1"/>
  <c r="E338" i="1"/>
  <c r="D338" i="1"/>
  <c r="C338" i="1"/>
  <c r="B338" i="1"/>
  <c r="A338" i="1"/>
  <c r="F337" i="1"/>
  <c r="E337" i="1"/>
  <c r="D337" i="1"/>
  <c r="C337" i="1"/>
  <c r="B337" i="1"/>
  <c r="A337" i="1"/>
  <c r="F336" i="1"/>
  <c r="E336" i="1"/>
  <c r="D336" i="1"/>
  <c r="C336" i="1"/>
  <c r="B336" i="1"/>
  <c r="A336" i="1"/>
  <c r="F335" i="1"/>
  <c r="E335" i="1"/>
  <c r="D335" i="1"/>
  <c r="C335" i="1"/>
  <c r="B335" i="1"/>
  <c r="A335" i="1"/>
  <c r="F334" i="1"/>
  <c r="E334" i="1"/>
  <c r="D334" i="1"/>
  <c r="C334" i="1"/>
  <c r="B334" i="1"/>
  <c r="A334" i="1"/>
  <c r="F333" i="1"/>
  <c r="E333" i="1"/>
  <c r="D333" i="1"/>
  <c r="C333" i="1"/>
  <c r="B333" i="1"/>
  <c r="A333" i="1"/>
  <c r="F332" i="1"/>
  <c r="E332" i="1"/>
  <c r="D332" i="1"/>
  <c r="C332" i="1"/>
  <c r="B332" i="1"/>
  <c r="A332" i="1"/>
  <c r="F331" i="1"/>
  <c r="E331" i="1"/>
  <c r="D331" i="1"/>
  <c r="C331" i="1"/>
  <c r="B331" i="1"/>
  <c r="A331" i="1"/>
  <c r="F330" i="1"/>
  <c r="E330" i="1"/>
  <c r="D330" i="1"/>
  <c r="C330" i="1"/>
  <c r="B330" i="1"/>
  <c r="A330" i="1"/>
  <c r="F329" i="1"/>
  <c r="E329" i="1"/>
  <c r="D329" i="1"/>
  <c r="C329" i="1"/>
  <c r="B329" i="1"/>
  <c r="A329" i="1"/>
  <c r="F328" i="1"/>
  <c r="E328" i="1"/>
  <c r="D328" i="1"/>
  <c r="C328" i="1"/>
  <c r="B328" i="1"/>
  <c r="A328" i="1"/>
  <c r="F327" i="1"/>
  <c r="E327" i="1"/>
  <c r="D327" i="1"/>
  <c r="C327" i="1"/>
  <c r="B327" i="1"/>
  <c r="A327" i="1"/>
  <c r="F326" i="1"/>
  <c r="E326" i="1"/>
  <c r="D326" i="1"/>
  <c r="C326" i="1"/>
  <c r="B326" i="1"/>
  <c r="A326" i="1"/>
  <c r="F325" i="1"/>
  <c r="E325" i="1"/>
  <c r="D325" i="1"/>
  <c r="C325" i="1"/>
  <c r="B325" i="1"/>
  <c r="A325" i="1"/>
  <c r="F324" i="1"/>
  <c r="E324" i="1"/>
  <c r="D324" i="1"/>
  <c r="C324" i="1"/>
  <c r="B324" i="1"/>
  <c r="A324" i="1"/>
  <c r="F323" i="1"/>
  <c r="E323" i="1"/>
  <c r="D323" i="1"/>
  <c r="C323" i="1"/>
  <c r="B323" i="1"/>
  <c r="A323" i="1"/>
  <c r="F322" i="1"/>
  <c r="E322" i="1"/>
  <c r="D322" i="1"/>
  <c r="C322" i="1"/>
  <c r="B322" i="1"/>
  <c r="A322" i="1"/>
  <c r="F321" i="1"/>
  <c r="E321" i="1"/>
  <c r="D321" i="1"/>
  <c r="C321" i="1"/>
  <c r="B321" i="1"/>
  <c r="A321" i="1"/>
  <c r="F320" i="1"/>
  <c r="E320" i="1"/>
  <c r="D320" i="1"/>
  <c r="C320" i="1"/>
  <c r="B320" i="1"/>
  <c r="A320" i="1"/>
  <c r="F319" i="1"/>
  <c r="E319" i="1"/>
  <c r="D319" i="1"/>
  <c r="C319" i="1"/>
  <c r="B319" i="1"/>
  <c r="A319" i="1"/>
  <c r="F318" i="1"/>
  <c r="E318" i="1"/>
  <c r="D318" i="1"/>
  <c r="C318" i="1"/>
  <c r="B318" i="1"/>
  <c r="A318" i="1"/>
  <c r="F317" i="1"/>
  <c r="E317" i="1"/>
  <c r="D317" i="1"/>
  <c r="C317" i="1"/>
  <c r="B317" i="1"/>
  <c r="A317" i="1"/>
  <c r="F316" i="1"/>
  <c r="E316" i="1"/>
  <c r="D316" i="1"/>
  <c r="C316" i="1"/>
  <c r="B316" i="1"/>
  <c r="A316" i="1"/>
  <c r="F315" i="1"/>
  <c r="E315" i="1"/>
  <c r="D315" i="1"/>
  <c r="C315" i="1"/>
  <c r="B315" i="1"/>
  <c r="A315" i="1"/>
  <c r="F314" i="1"/>
  <c r="E314" i="1"/>
  <c r="D314" i="1"/>
  <c r="C314" i="1"/>
  <c r="B314" i="1"/>
  <c r="A314" i="1"/>
  <c r="F313" i="1"/>
  <c r="E313" i="1"/>
  <c r="D313" i="1"/>
  <c r="C313" i="1"/>
  <c r="B313" i="1"/>
  <c r="A313" i="1"/>
  <c r="F312" i="1"/>
  <c r="E312" i="1"/>
  <c r="D312" i="1"/>
  <c r="C312" i="1"/>
  <c r="B312" i="1"/>
  <c r="A312" i="1"/>
  <c r="F311" i="1"/>
  <c r="E311" i="1"/>
  <c r="D311" i="1"/>
  <c r="C311" i="1"/>
  <c r="B311" i="1"/>
  <c r="A311" i="1"/>
  <c r="F310" i="1"/>
  <c r="E310" i="1"/>
  <c r="D310" i="1"/>
  <c r="C310" i="1"/>
  <c r="B310" i="1"/>
  <c r="A310" i="1"/>
  <c r="F309" i="1"/>
  <c r="E309" i="1"/>
  <c r="D309" i="1"/>
  <c r="C309" i="1"/>
  <c r="B309" i="1"/>
  <c r="A309" i="1"/>
  <c r="F308" i="1"/>
  <c r="E308" i="1"/>
  <c r="D308" i="1"/>
  <c r="C308" i="1"/>
  <c r="B308" i="1"/>
  <c r="A308" i="1"/>
  <c r="F307" i="1"/>
  <c r="E307" i="1"/>
  <c r="D307" i="1"/>
  <c r="C307" i="1"/>
  <c r="B307" i="1"/>
  <c r="A307" i="1"/>
  <c r="F306" i="1"/>
  <c r="E306" i="1"/>
  <c r="D306" i="1"/>
  <c r="C306" i="1"/>
  <c r="B306" i="1"/>
  <c r="A306" i="1"/>
  <c r="F305" i="1"/>
  <c r="E305" i="1"/>
  <c r="D305" i="1"/>
  <c r="C305" i="1"/>
  <c r="B305" i="1"/>
  <c r="A305" i="1"/>
  <c r="F304" i="1"/>
  <c r="E304" i="1"/>
  <c r="D304" i="1"/>
  <c r="C304" i="1"/>
  <c r="B304" i="1"/>
  <c r="A304" i="1"/>
  <c r="F303" i="1"/>
  <c r="E303" i="1"/>
  <c r="D303" i="1"/>
  <c r="C303" i="1"/>
  <c r="B303" i="1"/>
  <c r="A303" i="1"/>
  <c r="F302" i="1"/>
  <c r="E302" i="1"/>
  <c r="D302" i="1"/>
  <c r="C302" i="1"/>
  <c r="B302" i="1"/>
  <c r="A302" i="1"/>
  <c r="F301" i="1"/>
  <c r="E301" i="1"/>
  <c r="D301" i="1"/>
  <c r="C301" i="1"/>
  <c r="B301" i="1"/>
  <c r="A301" i="1"/>
  <c r="F300" i="1"/>
  <c r="E300" i="1"/>
  <c r="D300" i="1"/>
  <c r="C300" i="1"/>
  <c r="B300" i="1"/>
  <c r="A300" i="1"/>
  <c r="F299" i="1"/>
  <c r="E299" i="1"/>
  <c r="D299" i="1"/>
  <c r="C299" i="1"/>
  <c r="B299" i="1"/>
  <c r="A299" i="1"/>
  <c r="F298" i="1"/>
  <c r="E298" i="1"/>
  <c r="D298" i="1"/>
  <c r="C298" i="1"/>
  <c r="B298" i="1"/>
  <c r="A298" i="1"/>
  <c r="F297" i="1"/>
  <c r="E297" i="1"/>
  <c r="D297" i="1"/>
  <c r="C297" i="1"/>
  <c r="B297" i="1"/>
  <c r="A297" i="1"/>
  <c r="F296" i="1"/>
  <c r="E296" i="1"/>
  <c r="D296" i="1"/>
  <c r="C296" i="1"/>
  <c r="B296" i="1"/>
  <c r="A296" i="1"/>
  <c r="F295" i="1"/>
  <c r="E295" i="1"/>
  <c r="D295" i="1"/>
  <c r="C295" i="1"/>
  <c r="B295" i="1"/>
  <c r="A295" i="1"/>
  <c r="F294" i="1"/>
  <c r="E294" i="1"/>
  <c r="D294" i="1"/>
  <c r="C294" i="1"/>
  <c r="B294" i="1"/>
  <c r="A294" i="1"/>
  <c r="F293" i="1"/>
  <c r="E293" i="1"/>
  <c r="D293" i="1"/>
  <c r="C293" i="1"/>
  <c r="B293" i="1"/>
  <c r="A293" i="1"/>
  <c r="F292" i="1"/>
  <c r="E292" i="1"/>
  <c r="D292" i="1"/>
  <c r="C292" i="1"/>
  <c r="B292" i="1"/>
  <c r="A292" i="1"/>
  <c r="F291" i="1"/>
  <c r="E291" i="1"/>
  <c r="D291" i="1"/>
  <c r="C291" i="1"/>
  <c r="B291" i="1"/>
  <c r="A291" i="1"/>
  <c r="F290" i="1"/>
  <c r="E290" i="1"/>
  <c r="D290" i="1"/>
  <c r="C290" i="1"/>
  <c r="B290" i="1"/>
  <c r="A290" i="1"/>
  <c r="F289" i="1"/>
  <c r="E289" i="1"/>
  <c r="D289" i="1"/>
  <c r="C289" i="1"/>
  <c r="B289" i="1"/>
  <c r="A289" i="1"/>
  <c r="F288" i="1"/>
  <c r="E288" i="1"/>
  <c r="D288" i="1"/>
  <c r="C288" i="1"/>
  <c r="B288" i="1"/>
  <c r="A288" i="1"/>
  <c r="F287" i="1"/>
  <c r="E287" i="1"/>
  <c r="D287" i="1"/>
  <c r="C287" i="1"/>
  <c r="B287" i="1"/>
  <c r="A287" i="1"/>
  <c r="F286" i="1"/>
  <c r="E286" i="1"/>
  <c r="D286" i="1"/>
  <c r="C286" i="1"/>
  <c r="B286" i="1"/>
  <c r="A286" i="1"/>
  <c r="F285" i="1"/>
  <c r="E285" i="1"/>
  <c r="D285" i="1"/>
  <c r="C285" i="1"/>
  <c r="B285" i="1"/>
  <c r="A285" i="1"/>
  <c r="F284" i="1"/>
  <c r="E284" i="1"/>
  <c r="D284" i="1"/>
  <c r="C284" i="1"/>
  <c r="B284" i="1"/>
  <c r="A284" i="1"/>
  <c r="F283" i="1"/>
  <c r="E283" i="1"/>
  <c r="D283" i="1"/>
  <c r="C283" i="1"/>
  <c r="B283" i="1"/>
  <c r="A283" i="1"/>
  <c r="F282" i="1"/>
  <c r="E282" i="1"/>
  <c r="D282" i="1"/>
  <c r="C282" i="1"/>
  <c r="B282" i="1"/>
  <c r="A282" i="1"/>
  <c r="F281" i="1"/>
  <c r="E281" i="1"/>
  <c r="D281" i="1"/>
  <c r="C281" i="1"/>
  <c r="B281" i="1"/>
  <c r="A281" i="1"/>
  <c r="F280" i="1"/>
  <c r="E280" i="1"/>
  <c r="D280" i="1"/>
  <c r="C280" i="1"/>
  <c r="B280" i="1"/>
  <c r="A280" i="1"/>
  <c r="F279" i="1"/>
  <c r="E279" i="1"/>
  <c r="D279" i="1"/>
  <c r="C279" i="1"/>
  <c r="B279" i="1"/>
  <c r="A279" i="1"/>
  <c r="F278" i="1"/>
  <c r="E278" i="1"/>
  <c r="D278" i="1"/>
  <c r="C278" i="1"/>
  <c r="B278" i="1"/>
  <c r="A278" i="1"/>
  <c r="F277" i="1"/>
  <c r="E277" i="1"/>
  <c r="D277" i="1"/>
  <c r="C277" i="1"/>
  <c r="B277" i="1"/>
  <c r="A277" i="1"/>
  <c r="F276" i="1"/>
  <c r="E276" i="1"/>
  <c r="D276" i="1"/>
  <c r="C276" i="1"/>
  <c r="B276" i="1"/>
  <c r="A276" i="1"/>
  <c r="F275" i="1"/>
  <c r="E275" i="1"/>
  <c r="D275" i="1"/>
  <c r="C275" i="1"/>
  <c r="B275" i="1"/>
  <c r="A275" i="1"/>
  <c r="F274" i="1"/>
  <c r="E274" i="1"/>
  <c r="D274" i="1"/>
  <c r="C274" i="1"/>
  <c r="B274" i="1"/>
  <c r="A274" i="1"/>
  <c r="F273" i="1"/>
  <c r="E273" i="1"/>
  <c r="D273" i="1"/>
  <c r="C273" i="1"/>
  <c r="B273" i="1"/>
  <c r="A273" i="1"/>
  <c r="F272" i="1"/>
  <c r="E272" i="1"/>
  <c r="D272" i="1"/>
  <c r="C272" i="1"/>
  <c r="B272" i="1"/>
  <c r="A272" i="1"/>
  <c r="F271" i="1"/>
  <c r="E271" i="1"/>
  <c r="D271" i="1"/>
  <c r="C271" i="1"/>
  <c r="B271" i="1"/>
  <c r="A271" i="1"/>
  <c r="F270" i="1"/>
  <c r="E270" i="1"/>
  <c r="D270" i="1"/>
  <c r="C270" i="1"/>
  <c r="B270" i="1"/>
  <c r="A270" i="1"/>
  <c r="F269" i="1"/>
  <c r="E269" i="1"/>
  <c r="D269" i="1"/>
  <c r="C269" i="1"/>
  <c r="B269" i="1"/>
  <c r="A269" i="1"/>
  <c r="F268" i="1"/>
  <c r="E268" i="1"/>
  <c r="D268" i="1"/>
  <c r="C268" i="1"/>
  <c r="B268" i="1"/>
  <c r="A268" i="1"/>
  <c r="F267" i="1"/>
  <c r="E267" i="1"/>
  <c r="D267" i="1"/>
  <c r="C267" i="1"/>
  <c r="B267" i="1"/>
  <c r="A267" i="1"/>
  <c r="F266" i="1"/>
  <c r="E266" i="1"/>
  <c r="D266" i="1"/>
  <c r="C266" i="1"/>
  <c r="B266" i="1"/>
  <c r="A266" i="1"/>
  <c r="F265" i="1"/>
  <c r="E265" i="1"/>
  <c r="D265" i="1"/>
  <c r="C265" i="1"/>
  <c r="B265" i="1"/>
  <c r="A265" i="1"/>
  <c r="F264" i="1"/>
  <c r="E264" i="1"/>
  <c r="D264" i="1"/>
  <c r="C264" i="1"/>
  <c r="B264" i="1"/>
  <c r="A264" i="1"/>
  <c r="F263" i="1"/>
  <c r="E263" i="1"/>
  <c r="D263" i="1"/>
  <c r="C263" i="1"/>
  <c r="B263" i="1"/>
  <c r="A263" i="1"/>
  <c r="F262" i="1"/>
  <c r="E262" i="1"/>
  <c r="D262" i="1"/>
  <c r="C262" i="1"/>
  <c r="B262" i="1"/>
  <c r="A262" i="1"/>
  <c r="F261" i="1"/>
  <c r="E261" i="1"/>
  <c r="D261" i="1"/>
  <c r="C261" i="1"/>
  <c r="B261" i="1"/>
  <c r="A261" i="1"/>
  <c r="F260" i="1"/>
  <c r="E260" i="1"/>
  <c r="D260" i="1"/>
  <c r="C260" i="1"/>
  <c r="B260" i="1"/>
  <c r="A260" i="1"/>
  <c r="F259" i="1"/>
  <c r="E259" i="1"/>
  <c r="D259" i="1"/>
  <c r="C259" i="1"/>
  <c r="B259" i="1"/>
  <c r="A259" i="1"/>
  <c r="F258" i="1"/>
  <c r="E258" i="1"/>
  <c r="D258" i="1"/>
  <c r="C258" i="1"/>
  <c r="B258" i="1"/>
  <c r="A258" i="1"/>
  <c r="F257" i="1"/>
  <c r="E257" i="1"/>
  <c r="D257" i="1"/>
  <c r="C257" i="1"/>
  <c r="B257" i="1"/>
  <c r="A257" i="1"/>
  <c r="F256" i="1"/>
  <c r="E256" i="1"/>
  <c r="D256" i="1"/>
  <c r="C256" i="1"/>
  <c r="B256" i="1"/>
  <c r="A256" i="1"/>
  <c r="F255" i="1"/>
  <c r="E255" i="1"/>
  <c r="D255" i="1"/>
  <c r="C255" i="1"/>
  <c r="B255" i="1"/>
  <c r="A255" i="1"/>
  <c r="F254" i="1"/>
  <c r="E254" i="1"/>
  <c r="D254" i="1"/>
  <c r="C254" i="1"/>
  <c r="B254" i="1"/>
  <c r="A254" i="1"/>
  <c r="F253" i="1"/>
  <c r="E253" i="1"/>
  <c r="D253" i="1"/>
  <c r="C253" i="1"/>
  <c r="B253" i="1"/>
  <c r="A253" i="1"/>
  <c r="F252" i="1"/>
  <c r="E252" i="1"/>
  <c r="D252" i="1"/>
  <c r="C252" i="1"/>
  <c r="B252" i="1"/>
  <c r="A252" i="1"/>
  <c r="F251" i="1"/>
  <c r="E251" i="1"/>
  <c r="D251" i="1"/>
  <c r="C251" i="1"/>
  <c r="B251" i="1"/>
  <c r="A251" i="1"/>
  <c r="F250" i="1"/>
  <c r="E250" i="1"/>
  <c r="D250" i="1"/>
  <c r="C250" i="1"/>
  <c r="B250" i="1"/>
  <c r="A250" i="1"/>
  <c r="F249" i="1"/>
  <c r="E249" i="1"/>
  <c r="D249" i="1"/>
  <c r="C249" i="1"/>
  <c r="B249" i="1"/>
  <c r="A249" i="1"/>
  <c r="F248" i="1"/>
  <c r="E248" i="1"/>
  <c r="D248" i="1"/>
  <c r="C248" i="1"/>
  <c r="B248" i="1"/>
  <c r="A248" i="1"/>
  <c r="F247" i="1"/>
  <c r="E247" i="1"/>
  <c r="D247" i="1"/>
  <c r="C247" i="1"/>
  <c r="B247" i="1"/>
  <c r="A247" i="1"/>
  <c r="F246" i="1"/>
  <c r="E246" i="1"/>
  <c r="D246" i="1"/>
  <c r="C246" i="1"/>
  <c r="B246" i="1"/>
  <c r="A246" i="1"/>
  <c r="F245" i="1"/>
  <c r="E245" i="1"/>
  <c r="D245" i="1"/>
  <c r="C245" i="1"/>
  <c r="B245" i="1"/>
  <c r="A245" i="1"/>
  <c r="F244" i="1"/>
  <c r="E244" i="1"/>
  <c r="D244" i="1"/>
  <c r="C244" i="1"/>
  <c r="B244" i="1"/>
  <c r="A244" i="1"/>
  <c r="F243" i="1"/>
  <c r="E243" i="1"/>
  <c r="D243" i="1"/>
  <c r="C243" i="1"/>
  <c r="B243" i="1"/>
  <c r="A243" i="1"/>
  <c r="F242" i="1"/>
  <c r="E242" i="1"/>
  <c r="D242" i="1"/>
  <c r="C242" i="1"/>
  <c r="B242" i="1"/>
  <c r="A242" i="1"/>
  <c r="F241" i="1"/>
  <c r="E241" i="1"/>
  <c r="D241" i="1"/>
  <c r="C241" i="1"/>
  <c r="B241" i="1"/>
  <c r="A241" i="1"/>
  <c r="F240" i="1"/>
  <c r="E240" i="1"/>
  <c r="D240" i="1"/>
  <c r="C240" i="1"/>
  <c r="B240" i="1"/>
  <c r="A240" i="1"/>
  <c r="F239" i="1"/>
  <c r="E239" i="1"/>
  <c r="D239" i="1"/>
  <c r="C239" i="1"/>
  <c r="B239" i="1"/>
  <c r="A239" i="1"/>
  <c r="F238" i="1"/>
  <c r="E238" i="1"/>
  <c r="D238" i="1"/>
  <c r="C238" i="1"/>
  <c r="B238" i="1"/>
  <c r="A238" i="1"/>
  <c r="F237" i="1"/>
  <c r="E237" i="1"/>
  <c r="D237" i="1"/>
  <c r="C237" i="1"/>
  <c r="B237" i="1"/>
  <c r="A237" i="1"/>
  <c r="F236" i="1"/>
  <c r="E236" i="1"/>
  <c r="D236" i="1"/>
  <c r="C236" i="1"/>
  <c r="B236" i="1"/>
  <c r="A236" i="1"/>
  <c r="F235" i="1"/>
  <c r="E235" i="1"/>
  <c r="D235" i="1"/>
  <c r="C235" i="1"/>
  <c r="B235" i="1"/>
  <c r="A235" i="1"/>
  <c r="F234" i="1"/>
  <c r="E234" i="1"/>
  <c r="D234" i="1"/>
  <c r="C234" i="1"/>
  <c r="B234" i="1"/>
  <c r="A234" i="1"/>
  <c r="F233" i="1"/>
  <c r="E233" i="1"/>
  <c r="D233" i="1"/>
  <c r="C233" i="1"/>
  <c r="B233" i="1"/>
  <c r="A233" i="1"/>
  <c r="F232" i="1"/>
  <c r="E232" i="1"/>
  <c r="D232" i="1"/>
  <c r="C232" i="1"/>
  <c r="B232" i="1"/>
  <c r="A232" i="1"/>
  <c r="F231" i="1"/>
  <c r="E231" i="1"/>
  <c r="D231" i="1"/>
  <c r="C231" i="1"/>
  <c r="B231" i="1"/>
  <c r="A231" i="1"/>
  <c r="F230" i="1"/>
  <c r="E230" i="1"/>
  <c r="D230" i="1"/>
  <c r="C230" i="1"/>
  <c r="B230" i="1"/>
  <c r="A230" i="1"/>
  <c r="F229" i="1"/>
  <c r="E229" i="1"/>
  <c r="D229" i="1"/>
  <c r="C229" i="1"/>
  <c r="B229" i="1"/>
  <c r="A229" i="1"/>
  <c r="F228" i="1"/>
  <c r="E228" i="1"/>
  <c r="D228" i="1"/>
  <c r="C228" i="1"/>
  <c r="B228" i="1"/>
  <c r="A228" i="1"/>
  <c r="F227" i="1"/>
  <c r="E227" i="1"/>
  <c r="D227" i="1"/>
  <c r="C227" i="1"/>
  <c r="B227" i="1"/>
  <c r="A227" i="1"/>
  <c r="F226" i="1"/>
  <c r="E226" i="1"/>
  <c r="D226" i="1"/>
  <c r="C226" i="1"/>
  <c r="B226" i="1"/>
  <c r="A226" i="1"/>
  <c r="F225" i="1"/>
  <c r="E225" i="1"/>
  <c r="D225" i="1"/>
  <c r="C225" i="1"/>
  <c r="B225" i="1"/>
  <c r="A225" i="1"/>
  <c r="F224" i="1"/>
  <c r="E224" i="1"/>
  <c r="D224" i="1"/>
  <c r="C224" i="1"/>
  <c r="B224" i="1"/>
  <c r="A224" i="1"/>
  <c r="F223" i="1"/>
  <c r="E223" i="1"/>
  <c r="D223" i="1"/>
  <c r="C223" i="1"/>
  <c r="B223" i="1"/>
  <c r="A223" i="1"/>
  <c r="F222" i="1"/>
  <c r="E222" i="1"/>
  <c r="D222" i="1"/>
  <c r="C222" i="1"/>
  <c r="B222" i="1"/>
  <c r="A222" i="1"/>
  <c r="F221" i="1"/>
  <c r="E221" i="1"/>
  <c r="D221" i="1"/>
  <c r="C221" i="1"/>
  <c r="B221" i="1"/>
  <c r="A221" i="1"/>
  <c r="F220" i="1"/>
  <c r="E220" i="1"/>
  <c r="D220" i="1"/>
  <c r="C220" i="1"/>
  <c r="B220" i="1"/>
  <c r="A220" i="1"/>
  <c r="F219" i="1"/>
  <c r="E219" i="1"/>
  <c r="D219" i="1"/>
  <c r="C219" i="1"/>
  <c r="B219" i="1"/>
  <c r="A219" i="1"/>
  <c r="F218" i="1"/>
  <c r="E218" i="1"/>
  <c r="D218" i="1"/>
  <c r="C218" i="1"/>
  <c r="B218" i="1"/>
  <c r="A218" i="1"/>
  <c r="F217" i="1"/>
  <c r="E217" i="1"/>
  <c r="D217" i="1"/>
  <c r="C217" i="1"/>
  <c r="B217" i="1"/>
  <c r="A217" i="1"/>
  <c r="F216" i="1"/>
  <c r="E216" i="1"/>
  <c r="D216" i="1"/>
  <c r="C216" i="1"/>
  <c r="B216" i="1"/>
  <c r="A216" i="1"/>
  <c r="F215" i="1"/>
  <c r="E215" i="1"/>
  <c r="D215" i="1"/>
  <c r="C215" i="1"/>
  <c r="B215" i="1"/>
  <c r="A215" i="1"/>
  <c r="F214" i="1"/>
  <c r="E214" i="1"/>
  <c r="D214" i="1"/>
  <c r="C214" i="1"/>
  <c r="B214" i="1"/>
  <c r="A214" i="1"/>
  <c r="F213" i="1"/>
  <c r="E213" i="1"/>
  <c r="D213" i="1"/>
  <c r="C213" i="1"/>
  <c r="B213" i="1"/>
  <c r="A213" i="1"/>
  <c r="F212" i="1"/>
  <c r="E212" i="1"/>
  <c r="D212" i="1"/>
  <c r="C212" i="1"/>
  <c r="B212" i="1"/>
  <c r="A212" i="1"/>
  <c r="F211" i="1"/>
  <c r="E211" i="1"/>
  <c r="D211" i="1"/>
  <c r="C211" i="1"/>
  <c r="B211" i="1"/>
  <c r="A211" i="1"/>
  <c r="F210" i="1"/>
  <c r="E210" i="1"/>
  <c r="D210" i="1"/>
  <c r="C210" i="1"/>
  <c r="B210" i="1"/>
  <c r="A210" i="1"/>
  <c r="F209" i="1"/>
  <c r="E209" i="1"/>
  <c r="D209" i="1"/>
  <c r="C209" i="1"/>
  <c r="B209" i="1"/>
  <c r="A209" i="1"/>
  <c r="F208" i="1"/>
  <c r="E208" i="1"/>
  <c r="D208" i="1"/>
  <c r="C208" i="1"/>
  <c r="B208" i="1"/>
  <c r="A208" i="1"/>
  <c r="F207" i="1"/>
  <c r="E207" i="1"/>
  <c r="D207" i="1"/>
  <c r="C207" i="1"/>
  <c r="B207" i="1"/>
  <c r="A207" i="1"/>
  <c r="F206" i="1"/>
  <c r="E206" i="1"/>
  <c r="D206" i="1"/>
  <c r="C206" i="1"/>
  <c r="B206" i="1"/>
  <c r="A206" i="1"/>
  <c r="F205" i="1"/>
  <c r="E205" i="1"/>
  <c r="D205" i="1"/>
  <c r="C205" i="1"/>
  <c r="B205" i="1"/>
  <c r="A205" i="1"/>
  <c r="F204" i="1"/>
  <c r="E204" i="1"/>
  <c r="D204" i="1"/>
  <c r="C204" i="1"/>
  <c r="B204" i="1"/>
  <c r="A204" i="1"/>
  <c r="F203" i="1"/>
  <c r="E203" i="1"/>
  <c r="D203" i="1"/>
  <c r="C203" i="1"/>
  <c r="B203" i="1"/>
  <c r="A203" i="1"/>
  <c r="F202" i="1"/>
  <c r="E202" i="1"/>
  <c r="D202" i="1"/>
  <c r="C202" i="1"/>
  <c r="B202" i="1"/>
  <c r="A202" i="1"/>
  <c r="F201" i="1"/>
  <c r="E201" i="1"/>
  <c r="D201" i="1"/>
  <c r="C201" i="1"/>
  <c r="B201" i="1"/>
  <c r="A201" i="1"/>
  <c r="F200" i="1"/>
  <c r="E200" i="1"/>
  <c r="D200" i="1"/>
  <c r="C200" i="1"/>
  <c r="B200" i="1"/>
  <c r="A200" i="1"/>
  <c r="F199" i="1"/>
  <c r="E199" i="1"/>
  <c r="D199" i="1"/>
  <c r="C199" i="1"/>
  <c r="B199" i="1"/>
  <c r="A199" i="1"/>
  <c r="F198" i="1"/>
  <c r="E198" i="1"/>
  <c r="D198" i="1"/>
  <c r="C198" i="1"/>
  <c r="B198" i="1"/>
  <c r="A198" i="1"/>
  <c r="F197" i="1"/>
  <c r="E197" i="1"/>
  <c r="D197" i="1"/>
  <c r="C197" i="1"/>
  <c r="B197" i="1"/>
  <c r="A197" i="1"/>
  <c r="F196" i="1"/>
  <c r="E196" i="1"/>
  <c r="D196" i="1"/>
  <c r="C196" i="1"/>
  <c r="B196" i="1"/>
  <c r="A196" i="1"/>
  <c r="F195" i="1"/>
  <c r="E195" i="1"/>
  <c r="D195" i="1"/>
  <c r="C195" i="1"/>
  <c r="B195" i="1"/>
  <c r="A195" i="1"/>
  <c r="F194" i="1"/>
  <c r="E194" i="1"/>
  <c r="D194" i="1"/>
  <c r="C194" i="1"/>
  <c r="B194" i="1"/>
  <c r="A194" i="1"/>
  <c r="F193" i="1"/>
  <c r="E193" i="1"/>
  <c r="D193" i="1"/>
  <c r="C193" i="1"/>
  <c r="B193" i="1"/>
  <c r="A193" i="1"/>
  <c r="F192" i="1"/>
  <c r="E192" i="1"/>
  <c r="D192" i="1"/>
  <c r="C192" i="1"/>
  <c r="B192" i="1"/>
  <c r="A192" i="1"/>
  <c r="F191" i="1"/>
  <c r="E191" i="1"/>
  <c r="D191" i="1"/>
  <c r="C191" i="1"/>
  <c r="B191" i="1"/>
  <c r="A191" i="1"/>
  <c r="F190" i="1"/>
  <c r="E190" i="1"/>
  <c r="D190" i="1"/>
  <c r="C190" i="1"/>
  <c r="B190" i="1"/>
  <c r="A190" i="1"/>
  <c r="F189" i="1"/>
  <c r="E189" i="1"/>
  <c r="D189" i="1"/>
  <c r="C189" i="1"/>
  <c r="B189" i="1"/>
  <c r="A189" i="1"/>
  <c r="F188" i="1"/>
  <c r="E188" i="1"/>
  <c r="D188" i="1"/>
  <c r="C188" i="1"/>
  <c r="B188" i="1"/>
  <c r="A188" i="1"/>
  <c r="F187" i="1"/>
  <c r="E187" i="1"/>
  <c r="D187" i="1"/>
  <c r="C187" i="1"/>
  <c r="B187" i="1"/>
  <c r="A187" i="1"/>
  <c r="F186" i="1"/>
  <c r="E186" i="1"/>
  <c r="D186" i="1"/>
  <c r="C186" i="1"/>
  <c r="B186" i="1"/>
  <c r="A186" i="1"/>
  <c r="F185" i="1"/>
  <c r="E185" i="1"/>
  <c r="D185" i="1"/>
  <c r="C185" i="1"/>
  <c r="B185" i="1"/>
  <c r="A185" i="1"/>
  <c r="F184" i="1"/>
  <c r="E184" i="1"/>
  <c r="D184" i="1"/>
  <c r="C184" i="1"/>
  <c r="B184" i="1"/>
  <c r="A184" i="1"/>
  <c r="F183" i="1"/>
  <c r="E183" i="1"/>
  <c r="D183" i="1"/>
  <c r="C183" i="1"/>
  <c r="B183" i="1"/>
  <c r="A183" i="1"/>
  <c r="F182" i="1"/>
  <c r="E182" i="1"/>
  <c r="D182" i="1"/>
  <c r="C182" i="1"/>
  <c r="B182" i="1"/>
  <c r="A182" i="1"/>
  <c r="F181" i="1"/>
  <c r="E181" i="1"/>
  <c r="D181" i="1"/>
  <c r="C181" i="1"/>
  <c r="B181" i="1"/>
  <c r="A181" i="1"/>
  <c r="F180" i="1"/>
  <c r="E180" i="1"/>
  <c r="D180" i="1"/>
  <c r="C180" i="1"/>
  <c r="B180" i="1"/>
  <c r="A180" i="1"/>
  <c r="F179" i="1"/>
  <c r="E179" i="1"/>
  <c r="D179" i="1"/>
  <c r="C179" i="1"/>
  <c r="B179" i="1"/>
  <c r="A179" i="1"/>
  <c r="F178" i="1"/>
  <c r="E178" i="1"/>
  <c r="D178" i="1"/>
  <c r="C178" i="1"/>
  <c r="B178" i="1"/>
  <c r="A178" i="1"/>
  <c r="F177" i="1"/>
  <c r="E177" i="1"/>
  <c r="D177" i="1"/>
  <c r="C177" i="1"/>
  <c r="B177" i="1"/>
  <c r="A177" i="1"/>
  <c r="F176" i="1"/>
  <c r="E176" i="1"/>
  <c r="D176" i="1"/>
  <c r="C176" i="1"/>
  <c r="B176" i="1"/>
  <c r="A176" i="1"/>
  <c r="F175" i="1"/>
  <c r="E175" i="1"/>
  <c r="D175" i="1"/>
  <c r="C175" i="1"/>
  <c r="B175" i="1"/>
  <c r="A175" i="1"/>
  <c r="F174" i="1"/>
  <c r="E174" i="1"/>
  <c r="D174" i="1"/>
  <c r="C174" i="1"/>
  <c r="B174" i="1"/>
  <c r="A174" i="1"/>
  <c r="F173" i="1"/>
  <c r="E173" i="1"/>
  <c r="D173" i="1"/>
  <c r="C173" i="1"/>
  <c r="B173" i="1"/>
  <c r="A173" i="1"/>
  <c r="F172" i="1"/>
  <c r="E172" i="1"/>
  <c r="D172" i="1"/>
  <c r="C172" i="1"/>
  <c r="B172" i="1"/>
  <c r="A172" i="1"/>
  <c r="F171" i="1"/>
  <c r="E171" i="1"/>
  <c r="D171" i="1"/>
  <c r="C171" i="1"/>
  <c r="B171" i="1"/>
  <c r="A171" i="1"/>
  <c r="F170" i="1"/>
  <c r="E170" i="1"/>
  <c r="D170" i="1"/>
  <c r="C170" i="1"/>
  <c r="B170" i="1"/>
  <c r="A170" i="1"/>
  <c r="F169" i="1"/>
  <c r="E169" i="1"/>
  <c r="D169" i="1"/>
  <c r="C169" i="1"/>
  <c r="B169" i="1"/>
  <c r="A169" i="1"/>
  <c r="F168" i="1"/>
  <c r="E168" i="1"/>
  <c r="D168" i="1"/>
  <c r="C168" i="1"/>
  <c r="B168" i="1"/>
  <c r="A168" i="1"/>
  <c r="F167" i="1"/>
  <c r="E167" i="1"/>
  <c r="D167" i="1"/>
  <c r="C167" i="1"/>
  <c r="B167" i="1"/>
  <c r="A167" i="1"/>
  <c r="F166" i="1"/>
  <c r="E166" i="1"/>
  <c r="D166" i="1"/>
  <c r="C166" i="1"/>
  <c r="B166" i="1"/>
  <c r="A166" i="1"/>
  <c r="F165" i="1"/>
  <c r="E165" i="1"/>
  <c r="D165" i="1"/>
  <c r="C165" i="1"/>
  <c r="B165" i="1"/>
  <c r="A165" i="1"/>
  <c r="F164" i="1"/>
  <c r="E164" i="1"/>
  <c r="D164" i="1"/>
  <c r="C164" i="1"/>
  <c r="B164" i="1"/>
  <c r="A164" i="1"/>
  <c r="F163" i="1"/>
  <c r="E163" i="1"/>
  <c r="D163" i="1"/>
  <c r="C163" i="1"/>
  <c r="B163" i="1"/>
  <c r="A163" i="1"/>
  <c r="F162" i="1"/>
  <c r="E162" i="1"/>
  <c r="D162" i="1"/>
  <c r="C162" i="1"/>
  <c r="B162" i="1"/>
  <c r="A162" i="1"/>
  <c r="F161" i="1"/>
  <c r="E161" i="1"/>
  <c r="D161" i="1"/>
  <c r="C161" i="1"/>
  <c r="B161" i="1"/>
  <c r="A161" i="1"/>
  <c r="F160" i="1"/>
  <c r="E160" i="1"/>
  <c r="D160" i="1"/>
  <c r="C160" i="1"/>
  <c r="B160" i="1"/>
  <c r="A160" i="1"/>
  <c r="F159" i="1"/>
  <c r="E159" i="1"/>
  <c r="D159" i="1"/>
  <c r="C159" i="1"/>
  <c r="B159" i="1"/>
  <c r="A159" i="1"/>
  <c r="F158" i="1"/>
  <c r="E158" i="1"/>
  <c r="D158" i="1"/>
  <c r="C158" i="1"/>
  <c r="B158" i="1"/>
  <c r="A158" i="1"/>
  <c r="F157" i="1"/>
  <c r="E157" i="1"/>
  <c r="D157" i="1"/>
  <c r="C157" i="1"/>
  <c r="B157" i="1"/>
  <c r="A157" i="1"/>
  <c r="F156" i="1"/>
  <c r="E156" i="1"/>
  <c r="D156" i="1"/>
  <c r="C156" i="1"/>
  <c r="B156" i="1"/>
  <c r="A156" i="1"/>
  <c r="F155" i="1"/>
  <c r="E155" i="1"/>
  <c r="D155" i="1"/>
  <c r="C155" i="1"/>
  <c r="B155" i="1"/>
  <c r="A155" i="1"/>
  <c r="F154" i="1"/>
  <c r="E154" i="1"/>
  <c r="D154" i="1"/>
  <c r="C154" i="1"/>
  <c r="B154" i="1"/>
  <c r="A154" i="1"/>
  <c r="F153" i="1"/>
  <c r="E153" i="1"/>
  <c r="D153" i="1"/>
  <c r="C153" i="1"/>
  <c r="B153" i="1"/>
  <c r="A153" i="1"/>
  <c r="F152" i="1"/>
  <c r="E152" i="1"/>
  <c r="D152" i="1"/>
  <c r="C152" i="1"/>
  <c r="B152" i="1"/>
  <c r="A152" i="1"/>
  <c r="F151" i="1"/>
  <c r="E151" i="1"/>
  <c r="D151" i="1"/>
  <c r="C151" i="1"/>
  <c r="B151" i="1"/>
  <c r="A151" i="1"/>
  <c r="F150" i="1"/>
  <c r="E150" i="1"/>
  <c r="D150" i="1"/>
  <c r="C150" i="1"/>
  <c r="B150" i="1"/>
  <c r="A150" i="1"/>
  <c r="F149" i="1"/>
  <c r="E149" i="1"/>
  <c r="D149" i="1"/>
  <c r="C149" i="1"/>
  <c r="B149" i="1"/>
  <c r="A149" i="1"/>
  <c r="F148" i="1"/>
  <c r="E148" i="1"/>
  <c r="D148" i="1"/>
  <c r="C148" i="1"/>
  <c r="B148" i="1"/>
  <c r="A148" i="1"/>
  <c r="F147" i="1"/>
  <c r="E147" i="1"/>
  <c r="D147" i="1"/>
  <c r="C147" i="1"/>
  <c r="B147" i="1"/>
  <c r="A147" i="1"/>
  <c r="F146" i="1"/>
  <c r="E146" i="1"/>
  <c r="D146" i="1"/>
  <c r="C146" i="1"/>
  <c r="B146" i="1"/>
  <c r="A146" i="1"/>
  <c r="F145" i="1"/>
  <c r="E145" i="1"/>
  <c r="D145" i="1"/>
  <c r="C145" i="1"/>
  <c r="B145" i="1"/>
  <c r="A145" i="1"/>
  <c r="F144" i="1"/>
  <c r="E144" i="1"/>
  <c r="D144" i="1"/>
  <c r="C144" i="1"/>
  <c r="B144" i="1"/>
  <c r="A144" i="1"/>
  <c r="F143" i="1"/>
  <c r="E143" i="1"/>
  <c r="D143" i="1"/>
  <c r="C143" i="1"/>
  <c r="B143" i="1"/>
  <c r="A143" i="1"/>
  <c r="F142" i="1"/>
  <c r="E142" i="1"/>
  <c r="D142" i="1"/>
  <c r="C142" i="1"/>
  <c r="B142" i="1"/>
  <c r="A142" i="1"/>
  <c r="F141" i="1"/>
  <c r="E141" i="1"/>
  <c r="D141" i="1"/>
  <c r="C141" i="1"/>
  <c r="B141" i="1"/>
  <c r="A141" i="1"/>
  <c r="F140" i="1"/>
  <c r="E140" i="1"/>
  <c r="D140" i="1"/>
  <c r="C140" i="1"/>
  <c r="B140" i="1"/>
  <c r="A140" i="1"/>
  <c r="F139" i="1"/>
  <c r="E139" i="1"/>
  <c r="D139" i="1"/>
  <c r="C139" i="1"/>
  <c r="B139" i="1"/>
  <c r="A139" i="1"/>
  <c r="F138" i="1"/>
  <c r="E138" i="1"/>
  <c r="D138" i="1"/>
  <c r="C138" i="1"/>
  <c r="B138" i="1"/>
  <c r="A138" i="1"/>
  <c r="F137" i="1"/>
  <c r="E137" i="1"/>
  <c r="D137" i="1"/>
  <c r="C137" i="1"/>
  <c r="B137" i="1"/>
  <c r="A137" i="1"/>
  <c r="F136" i="1"/>
  <c r="E136" i="1"/>
  <c r="D136" i="1"/>
  <c r="C136" i="1"/>
  <c r="B136" i="1"/>
  <c r="A136" i="1"/>
  <c r="F135" i="1"/>
  <c r="E135" i="1"/>
  <c r="D135" i="1"/>
  <c r="C135" i="1"/>
  <c r="B135" i="1"/>
  <c r="A135" i="1"/>
  <c r="F134" i="1"/>
  <c r="E134" i="1"/>
  <c r="D134" i="1"/>
  <c r="C134" i="1"/>
  <c r="B134" i="1"/>
  <c r="A134" i="1"/>
  <c r="F133" i="1"/>
  <c r="E133" i="1"/>
  <c r="D133" i="1"/>
  <c r="C133" i="1"/>
  <c r="B133" i="1"/>
  <c r="A133" i="1"/>
  <c r="F132" i="1"/>
  <c r="E132" i="1"/>
  <c r="D132" i="1"/>
  <c r="C132" i="1"/>
  <c r="B132" i="1"/>
  <c r="A132" i="1"/>
  <c r="F131" i="1"/>
  <c r="E131" i="1"/>
  <c r="D131" i="1"/>
  <c r="C131" i="1"/>
  <c r="B131" i="1"/>
  <c r="A131" i="1"/>
  <c r="F130" i="1"/>
  <c r="E130" i="1"/>
  <c r="D130" i="1"/>
  <c r="C130" i="1"/>
  <c r="B130" i="1"/>
  <c r="A130" i="1"/>
  <c r="F129" i="1"/>
  <c r="E129" i="1"/>
  <c r="D129" i="1"/>
  <c r="C129" i="1"/>
  <c r="B129" i="1"/>
  <c r="A129" i="1"/>
  <c r="F128" i="1"/>
  <c r="E128" i="1"/>
  <c r="D128" i="1"/>
  <c r="C128" i="1"/>
  <c r="B128" i="1"/>
  <c r="A128" i="1"/>
  <c r="F127" i="1"/>
  <c r="E127" i="1"/>
  <c r="D127" i="1"/>
  <c r="C127" i="1"/>
  <c r="B127" i="1"/>
  <c r="A127" i="1"/>
  <c r="F126" i="1"/>
  <c r="E126" i="1"/>
  <c r="D126" i="1"/>
  <c r="C126" i="1"/>
  <c r="B126" i="1"/>
  <c r="A126" i="1"/>
  <c r="F125" i="1"/>
  <c r="E125" i="1"/>
  <c r="D125" i="1"/>
  <c r="C125" i="1"/>
  <c r="B125" i="1"/>
  <c r="A125" i="1"/>
  <c r="F124" i="1"/>
  <c r="E124" i="1"/>
  <c r="D124" i="1"/>
  <c r="C124" i="1"/>
  <c r="B124" i="1"/>
  <c r="A124" i="1"/>
  <c r="F123" i="1"/>
  <c r="E123" i="1"/>
  <c r="D123" i="1"/>
  <c r="C123" i="1"/>
  <c r="B123" i="1"/>
  <c r="A123" i="1"/>
  <c r="F122" i="1"/>
  <c r="E122" i="1"/>
  <c r="D122" i="1"/>
  <c r="C122" i="1"/>
  <c r="B122" i="1"/>
  <c r="A122" i="1"/>
  <c r="F121" i="1"/>
  <c r="E121" i="1"/>
  <c r="D121" i="1"/>
  <c r="C121" i="1"/>
  <c r="B121" i="1"/>
  <c r="A121" i="1"/>
  <c r="F120" i="1"/>
  <c r="E120" i="1"/>
  <c r="D120" i="1"/>
  <c r="C120" i="1"/>
  <c r="B120" i="1"/>
  <c r="A120" i="1"/>
  <c r="F119" i="1"/>
  <c r="E119" i="1"/>
  <c r="D119" i="1"/>
  <c r="C119" i="1"/>
  <c r="B119" i="1"/>
  <c r="A119" i="1"/>
  <c r="F118" i="1"/>
  <c r="E118" i="1"/>
  <c r="D118" i="1"/>
  <c r="C118" i="1"/>
  <c r="B118" i="1"/>
  <c r="A118" i="1"/>
  <c r="F117" i="1"/>
  <c r="E117" i="1"/>
  <c r="D117" i="1"/>
  <c r="C117" i="1"/>
  <c r="B117" i="1"/>
  <c r="A117" i="1"/>
  <c r="F116" i="1"/>
  <c r="E116" i="1"/>
  <c r="D116" i="1"/>
  <c r="C116" i="1"/>
  <c r="B116" i="1"/>
  <c r="A116" i="1"/>
  <c r="F115" i="1"/>
  <c r="E115" i="1"/>
  <c r="D115" i="1"/>
  <c r="C115" i="1"/>
  <c r="B115" i="1"/>
  <c r="A115" i="1"/>
  <c r="F114" i="1"/>
  <c r="E114" i="1"/>
  <c r="D114" i="1"/>
  <c r="C114" i="1"/>
  <c r="B114" i="1"/>
  <c r="A114" i="1"/>
  <c r="F113" i="1"/>
  <c r="E113" i="1"/>
  <c r="D113" i="1"/>
  <c r="C113" i="1"/>
  <c r="B113" i="1"/>
  <c r="A113" i="1"/>
  <c r="F112" i="1"/>
  <c r="E112" i="1"/>
  <c r="D112" i="1"/>
  <c r="C112" i="1"/>
  <c r="B112" i="1"/>
  <c r="A112" i="1"/>
  <c r="F111" i="1"/>
  <c r="E111" i="1"/>
  <c r="D111" i="1"/>
  <c r="C111" i="1"/>
  <c r="B111" i="1"/>
  <c r="A111" i="1"/>
  <c r="F110" i="1"/>
  <c r="E110" i="1"/>
  <c r="D110" i="1"/>
  <c r="C110" i="1"/>
  <c r="B110" i="1"/>
  <c r="A110" i="1"/>
  <c r="F109" i="1"/>
  <c r="E109" i="1"/>
  <c r="D109" i="1"/>
  <c r="C109" i="1"/>
  <c r="B109" i="1"/>
  <c r="A109" i="1"/>
  <c r="F108" i="1"/>
  <c r="E108" i="1"/>
  <c r="D108" i="1"/>
  <c r="C108" i="1"/>
  <c r="B108" i="1"/>
  <c r="A108" i="1"/>
  <c r="F107" i="1"/>
  <c r="E107" i="1"/>
  <c r="D107" i="1"/>
  <c r="C107" i="1"/>
  <c r="B107" i="1"/>
  <c r="A107" i="1"/>
  <c r="F106" i="1"/>
  <c r="E106" i="1"/>
  <c r="D106" i="1"/>
  <c r="C106" i="1"/>
  <c r="B106" i="1"/>
  <c r="A106" i="1"/>
  <c r="F105" i="1"/>
  <c r="E105" i="1"/>
  <c r="D105" i="1"/>
  <c r="C105" i="1"/>
  <c r="B105" i="1"/>
  <c r="A105" i="1"/>
  <c r="F104" i="1"/>
  <c r="E104" i="1"/>
  <c r="D104" i="1"/>
  <c r="C104" i="1"/>
  <c r="B104" i="1"/>
  <c r="A104" i="1"/>
  <c r="F103" i="1"/>
  <c r="E103" i="1"/>
  <c r="D103" i="1"/>
  <c r="C103" i="1"/>
  <c r="B103" i="1"/>
  <c r="A103" i="1"/>
  <c r="F102" i="1"/>
  <c r="E102" i="1"/>
  <c r="D102" i="1"/>
  <c r="C102" i="1"/>
  <c r="B102" i="1"/>
  <c r="A102" i="1"/>
  <c r="F101" i="1"/>
  <c r="E101" i="1"/>
  <c r="D101" i="1"/>
  <c r="C101" i="1"/>
  <c r="B101" i="1"/>
  <c r="A101" i="1"/>
  <c r="F100" i="1"/>
  <c r="E100" i="1"/>
  <c r="D100" i="1"/>
  <c r="C100" i="1"/>
  <c r="B100" i="1"/>
  <c r="A100" i="1"/>
  <c r="F99" i="1"/>
  <c r="E99" i="1"/>
  <c r="D99" i="1"/>
  <c r="C99" i="1"/>
  <c r="B99" i="1"/>
  <c r="A99" i="1"/>
  <c r="F98" i="1"/>
  <c r="E98" i="1"/>
  <c r="D98" i="1"/>
  <c r="C98" i="1"/>
  <c r="B98" i="1"/>
  <c r="A98" i="1"/>
  <c r="F97" i="1"/>
  <c r="E97" i="1"/>
  <c r="D97" i="1"/>
  <c r="C97" i="1"/>
  <c r="B97" i="1"/>
  <c r="A97" i="1"/>
  <c r="F96" i="1"/>
  <c r="E96" i="1"/>
  <c r="D96" i="1"/>
  <c r="C96" i="1"/>
  <c r="B96" i="1"/>
  <c r="A96" i="1"/>
  <c r="F95" i="1"/>
  <c r="E95" i="1"/>
  <c r="D95" i="1"/>
  <c r="C95" i="1"/>
  <c r="B95" i="1"/>
  <c r="A95" i="1"/>
  <c r="F94" i="1"/>
  <c r="E94" i="1"/>
  <c r="D94" i="1"/>
  <c r="C94" i="1"/>
  <c r="B94" i="1"/>
  <c r="A94" i="1"/>
  <c r="F93" i="1"/>
  <c r="E93" i="1"/>
  <c r="D93" i="1"/>
  <c r="C93" i="1"/>
  <c r="B93" i="1"/>
  <c r="A93" i="1"/>
  <c r="F92" i="1"/>
  <c r="E92" i="1"/>
  <c r="D92" i="1"/>
  <c r="C92" i="1"/>
  <c r="B92" i="1"/>
  <c r="A92" i="1"/>
  <c r="F91" i="1"/>
  <c r="E91" i="1"/>
  <c r="D91" i="1"/>
  <c r="C91" i="1"/>
  <c r="B91" i="1"/>
  <c r="A91" i="1"/>
  <c r="F90" i="1"/>
  <c r="E90" i="1"/>
  <c r="D90" i="1"/>
  <c r="C90" i="1"/>
  <c r="B90" i="1"/>
  <c r="A90" i="1"/>
  <c r="F89" i="1"/>
  <c r="E89" i="1"/>
  <c r="D89" i="1"/>
  <c r="C89" i="1"/>
  <c r="B89" i="1"/>
  <c r="A89" i="1"/>
  <c r="F88" i="1"/>
  <c r="E88" i="1"/>
  <c r="D88" i="1"/>
  <c r="C88" i="1"/>
  <c r="B88" i="1"/>
  <c r="A88" i="1"/>
  <c r="F87" i="1"/>
  <c r="E87" i="1"/>
  <c r="D87" i="1"/>
  <c r="C87" i="1"/>
  <c r="B87" i="1"/>
  <c r="A87" i="1"/>
  <c r="F86" i="1"/>
  <c r="E86" i="1"/>
  <c r="D86" i="1"/>
  <c r="C86" i="1"/>
  <c r="B86" i="1"/>
  <c r="A86" i="1"/>
  <c r="F85" i="1"/>
  <c r="E85" i="1"/>
  <c r="D85" i="1"/>
  <c r="C85" i="1"/>
  <c r="B85" i="1"/>
  <c r="A85" i="1"/>
  <c r="F84" i="1"/>
  <c r="E84" i="1"/>
  <c r="D84" i="1"/>
  <c r="C84" i="1"/>
  <c r="B84" i="1"/>
  <c r="A84" i="1"/>
  <c r="F83" i="1"/>
  <c r="E83" i="1"/>
  <c r="D83" i="1"/>
  <c r="C83" i="1"/>
  <c r="B83" i="1"/>
  <c r="A83" i="1"/>
  <c r="F82" i="1"/>
  <c r="E82" i="1"/>
  <c r="D82" i="1"/>
  <c r="C82" i="1"/>
  <c r="B82" i="1"/>
  <c r="A82" i="1"/>
  <c r="F81" i="1"/>
  <c r="E81" i="1"/>
  <c r="D81" i="1"/>
  <c r="C81" i="1"/>
  <c r="B81" i="1"/>
  <c r="A81" i="1"/>
  <c r="F80" i="1"/>
  <c r="E80" i="1"/>
  <c r="D80" i="1"/>
  <c r="C80" i="1"/>
  <c r="B80" i="1"/>
  <c r="A80" i="1"/>
  <c r="F79" i="1"/>
  <c r="E79" i="1"/>
  <c r="D79" i="1"/>
  <c r="C79" i="1"/>
  <c r="B79" i="1"/>
  <c r="A79" i="1"/>
  <c r="F78" i="1"/>
  <c r="E78" i="1"/>
  <c r="D78" i="1"/>
  <c r="C78" i="1"/>
  <c r="B78" i="1"/>
  <c r="A78" i="1"/>
  <c r="F77" i="1"/>
  <c r="E77" i="1"/>
  <c r="D77" i="1"/>
  <c r="C77" i="1"/>
  <c r="B77" i="1"/>
  <c r="A77" i="1"/>
  <c r="F76" i="1"/>
  <c r="E76" i="1"/>
  <c r="D76" i="1"/>
  <c r="C76" i="1"/>
  <c r="B76" i="1"/>
  <c r="A76" i="1"/>
  <c r="F75" i="1"/>
  <c r="E75" i="1"/>
  <c r="D75" i="1"/>
  <c r="C75" i="1"/>
  <c r="B75" i="1"/>
  <c r="A75" i="1"/>
  <c r="F74" i="1"/>
  <c r="E74" i="1"/>
  <c r="D74" i="1"/>
  <c r="C74" i="1"/>
  <c r="B74" i="1"/>
  <c r="A74" i="1"/>
  <c r="F73" i="1"/>
  <c r="E73" i="1"/>
  <c r="D73" i="1"/>
  <c r="C73" i="1"/>
  <c r="B73" i="1"/>
  <c r="A73" i="1"/>
  <c r="F72" i="1"/>
  <c r="E72" i="1"/>
  <c r="D72" i="1"/>
  <c r="C72" i="1"/>
  <c r="B72" i="1"/>
  <c r="A72" i="1"/>
  <c r="F71" i="1"/>
  <c r="E71" i="1"/>
  <c r="D71" i="1"/>
  <c r="C71" i="1"/>
  <c r="B71" i="1"/>
  <c r="A71" i="1"/>
  <c r="F70" i="1"/>
  <c r="E70" i="1"/>
  <c r="D70" i="1"/>
  <c r="C70" i="1"/>
  <c r="B70" i="1"/>
  <c r="A70" i="1"/>
  <c r="F69" i="1"/>
  <c r="E69" i="1"/>
  <c r="D69" i="1"/>
  <c r="C69" i="1"/>
  <c r="B69" i="1"/>
  <c r="A69" i="1"/>
  <c r="F68" i="1"/>
  <c r="E68" i="1"/>
  <c r="D68" i="1"/>
  <c r="C68" i="1"/>
  <c r="B68" i="1"/>
  <c r="A68" i="1"/>
  <c r="F67" i="1"/>
  <c r="E67" i="1"/>
  <c r="D67" i="1"/>
  <c r="C67" i="1"/>
  <c r="B67" i="1"/>
  <c r="A67" i="1"/>
  <c r="F66" i="1"/>
  <c r="E66" i="1"/>
  <c r="D66" i="1"/>
  <c r="C66" i="1"/>
  <c r="B66" i="1"/>
  <c r="A66" i="1"/>
  <c r="F65" i="1"/>
  <c r="E65" i="1"/>
  <c r="D65" i="1"/>
  <c r="C65" i="1"/>
  <c r="B65" i="1"/>
  <c r="A65" i="1"/>
  <c r="F64" i="1"/>
  <c r="E64" i="1"/>
  <c r="D64" i="1"/>
  <c r="C64" i="1"/>
  <c r="B64" i="1"/>
  <c r="A64" i="1"/>
  <c r="F63" i="1"/>
  <c r="E63" i="1"/>
  <c r="D63" i="1"/>
  <c r="C63" i="1"/>
  <c r="B63" i="1"/>
  <c r="A63" i="1"/>
  <c r="F62" i="1"/>
  <c r="E62" i="1"/>
  <c r="D62" i="1"/>
  <c r="C62" i="1"/>
  <c r="B62" i="1"/>
  <c r="A62" i="1"/>
  <c r="F61" i="1"/>
  <c r="E61" i="1"/>
  <c r="D61" i="1"/>
  <c r="C61" i="1"/>
  <c r="B61" i="1"/>
  <c r="A61" i="1"/>
  <c r="F60" i="1"/>
  <c r="E60" i="1"/>
  <c r="D60" i="1"/>
  <c r="C60" i="1"/>
  <c r="B60" i="1"/>
  <c r="A60" i="1"/>
  <c r="F59" i="1"/>
  <c r="E59" i="1"/>
  <c r="D59" i="1"/>
  <c r="C59" i="1"/>
  <c r="B59" i="1"/>
  <c r="A59" i="1"/>
  <c r="F58" i="1"/>
  <c r="E58" i="1"/>
  <c r="D58" i="1"/>
  <c r="C58" i="1"/>
  <c r="B58" i="1"/>
  <c r="A58" i="1"/>
  <c r="F57" i="1"/>
  <c r="E57" i="1"/>
  <c r="D57" i="1"/>
  <c r="C57" i="1"/>
  <c r="B57" i="1"/>
  <c r="A57" i="1"/>
  <c r="F56" i="1"/>
  <c r="E56" i="1"/>
  <c r="D56" i="1"/>
  <c r="C56" i="1"/>
  <c r="B56" i="1"/>
  <c r="A56" i="1"/>
  <c r="F55" i="1"/>
  <c r="E55" i="1"/>
  <c r="D55" i="1"/>
  <c r="C55" i="1"/>
  <c r="B55" i="1"/>
  <c r="A55" i="1"/>
  <c r="F54" i="1"/>
  <c r="E54" i="1"/>
  <c r="D54" i="1"/>
  <c r="C54" i="1"/>
  <c r="B54" i="1"/>
  <c r="A54" i="1"/>
  <c r="F53" i="1"/>
  <c r="E53" i="1"/>
  <c r="D53" i="1"/>
  <c r="C53" i="1"/>
  <c r="B53" i="1"/>
  <c r="A53" i="1"/>
  <c r="F52" i="1"/>
  <c r="E52" i="1"/>
  <c r="D52" i="1"/>
  <c r="C52" i="1"/>
  <c r="B52" i="1"/>
  <c r="A52" i="1"/>
  <c r="F51" i="1"/>
  <c r="E51" i="1"/>
  <c r="D51" i="1"/>
  <c r="C51" i="1"/>
  <c r="B51" i="1"/>
  <c r="A51" i="1"/>
  <c r="F50" i="1"/>
  <c r="E50" i="1"/>
  <c r="D50" i="1"/>
  <c r="C50" i="1"/>
  <c r="B50" i="1"/>
  <c r="A50" i="1"/>
  <c r="F49" i="1"/>
  <c r="E49" i="1"/>
  <c r="D49" i="1"/>
  <c r="C49" i="1"/>
  <c r="B49" i="1"/>
  <c r="A49" i="1"/>
  <c r="F48" i="1"/>
  <c r="E48" i="1"/>
  <c r="D48" i="1"/>
  <c r="C48" i="1"/>
  <c r="B48" i="1"/>
  <c r="A48" i="1"/>
  <c r="F47" i="1"/>
  <c r="E47" i="1"/>
  <c r="D47" i="1"/>
  <c r="C47" i="1"/>
  <c r="B47" i="1"/>
  <c r="A47" i="1"/>
  <c r="F46" i="1"/>
  <c r="E46" i="1"/>
  <c r="D46" i="1"/>
  <c r="C46" i="1"/>
  <c r="B46" i="1"/>
  <c r="A46" i="1"/>
  <c r="F45" i="1"/>
  <c r="E45" i="1"/>
  <c r="D45" i="1"/>
  <c r="C45" i="1"/>
  <c r="B45" i="1"/>
  <c r="A45" i="1"/>
  <c r="F44" i="1"/>
  <c r="E44" i="1"/>
  <c r="D44" i="1"/>
  <c r="C44" i="1"/>
  <c r="B44" i="1"/>
  <c r="A44" i="1"/>
  <c r="F43" i="1"/>
  <c r="E43" i="1"/>
  <c r="D43" i="1"/>
  <c r="C43" i="1"/>
  <c r="B43" i="1"/>
  <c r="A43" i="1"/>
  <c r="F42" i="1"/>
  <c r="E42" i="1"/>
  <c r="D42" i="1"/>
  <c r="C42" i="1"/>
  <c r="B42" i="1"/>
  <c r="A42" i="1"/>
  <c r="F41" i="1"/>
  <c r="E41" i="1"/>
  <c r="D41" i="1"/>
  <c r="C41" i="1"/>
  <c r="B41" i="1"/>
  <c r="A41" i="1"/>
  <c r="F40" i="1"/>
  <c r="E40" i="1"/>
  <c r="D40" i="1"/>
  <c r="C40" i="1"/>
  <c r="B40" i="1"/>
  <c r="A40" i="1"/>
  <c r="F39" i="1"/>
  <c r="E39" i="1"/>
  <c r="D39" i="1"/>
  <c r="C39" i="1"/>
  <c r="B39" i="1"/>
  <c r="A39" i="1"/>
  <c r="F38" i="1"/>
  <c r="E38" i="1"/>
  <c r="D38" i="1"/>
  <c r="C38" i="1"/>
  <c r="B38" i="1"/>
  <c r="A38" i="1"/>
  <c r="F37" i="1"/>
  <c r="E37" i="1"/>
  <c r="D37" i="1"/>
  <c r="C37" i="1"/>
  <c r="B37" i="1"/>
  <c r="A37" i="1"/>
  <c r="F36" i="1"/>
  <c r="E36" i="1"/>
  <c r="D36" i="1"/>
  <c r="C36" i="1"/>
  <c r="B36" i="1"/>
  <c r="A36" i="1"/>
  <c r="F35" i="1"/>
  <c r="E35" i="1"/>
  <c r="D35" i="1"/>
  <c r="C35" i="1"/>
  <c r="B35" i="1"/>
  <c r="A35" i="1"/>
  <c r="F34" i="1"/>
  <c r="E34" i="1"/>
  <c r="D34" i="1"/>
  <c r="C34" i="1"/>
  <c r="B34" i="1"/>
  <c r="A34" i="1"/>
  <c r="F33" i="1"/>
  <c r="E33" i="1"/>
  <c r="D33" i="1"/>
  <c r="C33" i="1"/>
  <c r="B33" i="1"/>
  <c r="A33" i="1"/>
  <c r="F32" i="1"/>
  <c r="E32" i="1"/>
  <c r="D32" i="1"/>
  <c r="C32" i="1"/>
  <c r="B32" i="1"/>
  <c r="A32" i="1"/>
  <c r="F31" i="1"/>
  <c r="E31" i="1"/>
  <c r="D31" i="1"/>
  <c r="C31" i="1"/>
  <c r="B31" i="1"/>
  <c r="A31" i="1"/>
  <c r="F30" i="1"/>
  <c r="E30" i="1"/>
  <c r="D30" i="1"/>
  <c r="C30" i="1"/>
  <c r="B30" i="1"/>
  <c r="A30" i="1"/>
  <c r="F29" i="1"/>
  <c r="E29" i="1"/>
  <c r="D29" i="1"/>
  <c r="C29" i="1"/>
  <c r="B29" i="1"/>
  <c r="A29" i="1"/>
  <c r="F28" i="1"/>
  <c r="E28" i="1"/>
  <c r="D28" i="1"/>
  <c r="C28" i="1"/>
  <c r="B28" i="1"/>
  <c r="A28" i="1"/>
  <c r="F27" i="1"/>
  <c r="E27" i="1"/>
  <c r="D27" i="1"/>
  <c r="C27" i="1"/>
  <c r="B27" i="1"/>
  <c r="A27" i="1"/>
  <c r="F26" i="1"/>
  <c r="E26" i="1"/>
  <c r="D26" i="1"/>
  <c r="C26" i="1"/>
  <c r="B26" i="1"/>
  <c r="A26" i="1"/>
  <c r="F25" i="1"/>
  <c r="E25" i="1"/>
  <c r="D25" i="1"/>
  <c r="C25" i="1"/>
  <c r="B25" i="1"/>
  <c r="A25" i="1"/>
  <c r="F24" i="1"/>
  <c r="E24" i="1"/>
  <c r="D24" i="1"/>
  <c r="C24" i="1"/>
  <c r="B24" i="1"/>
  <c r="A24" i="1"/>
  <c r="F23" i="1"/>
  <c r="E23" i="1"/>
  <c r="D23" i="1"/>
  <c r="C23" i="1"/>
  <c r="B23" i="1"/>
  <c r="A23" i="1"/>
  <c r="F22" i="1"/>
  <c r="E22" i="1"/>
  <c r="D22" i="1"/>
  <c r="C22" i="1"/>
  <c r="B22" i="1"/>
  <c r="A22" i="1"/>
  <c r="F21" i="1"/>
  <c r="E21" i="1"/>
  <c r="D21" i="1"/>
  <c r="C21" i="1"/>
  <c r="B21" i="1"/>
  <c r="A21" i="1"/>
  <c r="F20" i="1"/>
  <c r="E20" i="1"/>
  <c r="D20" i="1"/>
  <c r="C20" i="1"/>
  <c r="B20" i="1"/>
  <c r="A20" i="1"/>
  <c r="F19" i="1"/>
  <c r="E19" i="1"/>
  <c r="D19" i="1"/>
  <c r="C19" i="1"/>
  <c r="B19" i="1"/>
  <c r="A19" i="1"/>
  <c r="F18" i="1"/>
  <c r="E18" i="1"/>
  <c r="D18" i="1"/>
  <c r="C18" i="1"/>
  <c r="B18" i="1"/>
  <c r="A18" i="1"/>
  <c r="F17" i="1"/>
  <c r="E17" i="1"/>
  <c r="D17" i="1"/>
  <c r="C17" i="1"/>
  <c r="B17" i="1"/>
  <c r="A17" i="1"/>
  <c r="F16" i="1"/>
  <c r="E16" i="1"/>
  <c r="D16" i="1"/>
  <c r="C16" i="1"/>
  <c r="B16" i="1"/>
  <c r="A16" i="1"/>
  <c r="F15" i="1"/>
  <c r="E15" i="1"/>
  <c r="D15" i="1"/>
  <c r="C15" i="1"/>
  <c r="B15" i="1"/>
  <c r="A15" i="1"/>
  <c r="F14" i="1"/>
  <c r="E14" i="1"/>
  <c r="D14" i="1"/>
  <c r="C14" i="1"/>
  <c r="B14" i="1"/>
  <c r="A14" i="1"/>
  <c r="F13" i="1"/>
  <c r="E13" i="1"/>
  <c r="D13" i="1"/>
  <c r="C13" i="1"/>
  <c r="B13" i="1"/>
  <c r="A13" i="1"/>
  <c r="F12" i="1"/>
  <c r="E12" i="1"/>
  <c r="D12" i="1"/>
  <c r="C12" i="1"/>
  <c r="B12" i="1"/>
  <c r="A12" i="1"/>
  <c r="F11" i="1"/>
  <c r="E11" i="1"/>
  <c r="D11" i="1"/>
  <c r="C11" i="1"/>
  <c r="B11" i="1"/>
  <c r="A11" i="1"/>
  <c r="F10" i="1"/>
  <c r="E10" i="1"/>
  <c r="D10" i="1"/>
  <c r="C10" i="1"/>
  <c r="B10" i="1"/>
  <c r="A10" i="1"/>
  <c r="F9" i="1"/>
  <c r="E9" i="1"/>
  <c r="D9" i="1"/>
  <c r="C9" i="1"/>
  <c r="B9" i="1"/>
  <c r="A9" i="1"/>
  <c r="F8" i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F2" i="1"/>
  <c r="E2" i="1"/>
  <c r="D2" i="1"/>
  <c r="C2" i="1"/>
  <c r="B2" i="1"/>
  <c r="A2" i="1"/>
  <c r="F1" i="1"/>
  <c r="E1" i="1"/>
  <c r="D1" i="1"/>
  <c r="C1" i="1"/>
  <c r="B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6" fontId="1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742"/>
  <sheetViews>
    <sheetView tabSelected="1" workbookViewId="0"/>
  </sheetViews>
  <sheetFormatPr defaultColWidth="12.59765625" defaultRowHeight="15.75" customHeight="1" x14ac:dyDescent="0.35"/>
  <cols>
    <col min="1" max="1" width="18.33203125" bestFit="1" customWidth="1"/>
  </cols>
  <sheetData>
    <row r="1" spans="1:6" x14ac:dyDescent="0.35">
      <c r="A1" s="1" t="str">
        <f ca="1">IFERROR(__xludf.DUMMYFUNCTION("GOOGLEFINANCE(""AAPL"",""all"",DATE(2015,1,1),TODAY())"),"Date")</f>
        <v>Date</v>
      </c>
      <c r="B1" s="1" t="str">
        <f ca="1">IFERROR(__xludf.DUMMYFUNCTION("""COMPUTED_VALUE"""),"Open")</f>
        <v>Open</v>
      </c>
      <c r="C1" s="1" t="str">
        <f ca="1">IFERROR(__xludf.DUMMYFUNCTION("""COMPUTED_VALUE"""),"High")</f>
        <v>High</v>
      </c>
      <c r="D1" s="1" t="str">
        <f ca="1">IFERROR(__xludf.DUMMYFUNCTION("""COMPUTED_VALUE"""),"Low")</f>
        <v>Low</v>
      </c>
      <c r="E1" s="1" t="str">
        <f ca="1">IFERROR(__xludf.DUMMYFUNCTION("""COMPUTED_VALUE"""),"Close")</f>
        <v>Close</v>
      </c>
      <c r="F1" s="1" t="str">
        <f ca="1">IFERROR(__xludf.DUMMYFUNCTION("""COMPUTED_VALUE"""),"Volume")</f>
        <v>Volume</v>
      </c>
    </row>
    <row r="2" spans="1:6" x14ac:dyDescent="0.35">
      <c r="A2" s="2">
        <f ca="1">IFERROR(__xludf.DUMMYFUNCTION("""COMPUTED_VALUE"""),42006.6666666666)</f>
        <v>42006.666666666599</v>
      </c>
      <c r="B2" s="1">
        <f ca="1">IFERROR(__xludf.DUMMYFUNCTION("""COMPUTED_VALUE"""),27.85)</f>
        <v>27.85</v>
      </c>
      <c r="C2" s="1">
        <f ca="1">IFERROR(__xludf.DUMMYFUNCTION("""COMPUTED_VALUE"""),27.86)</f>
        <v>27.86</v>
      </c>
      <c r="D2" s="1">
        <f ca="1">IFERROR(__xludf.DUMMYFUNCTION("""COMPUTED_VALUE"""),26.84)</f>
        <v>26.84</v>
      </c>
      <c r="E2" s="1">
        <f ca="1">IFERROR(__xludf.DUMMYFUNCTION("""COMPUTED_VALUE"""),27.33)</f>
        <v>27.33</v>
      </c>
      <c r="F2" s="1">
        <f ca="1">IFERROR(__xludf.DUMMYFUNCTION("""COMPUTED_VALUE"""),53204626)</f>
        <v>53204626</v>
      </c>
    </row>
    <row r="3" spans="1:6" x14ac:dyDescent="0.35">
      <c r="A3" s="2">
        <f ca="1">IFERROR(__xludf.DUMMYFUNCTION("""COMPUTED_VALUE"""),42009.6666666666)</f>
        <v>42009.666666666599</v>
      </c>
      <c r="B3" s="1">
        <f ca="1">IFERROR(__xludf.DUMMYFUNCTION("""COMPUTED_VALUE"""),27.07)</f>
        <v>27.07</v>
      </c>
      <c r="C3" s="1">
        <f ca="1">IFERROR(__xludf.DUMMYFUNCTION("""COMPUTED_VALUE"""),27.16)</f>
        <v>27.16</v>
      </c>
      <c r="D3" s="1">
        <f ca="1">IFERROR(__xludf.DUMMYFUNCTION("""COMPUTED_VALUE"""),26.35)</f>
        <v>26.35</v>
      </c>
      <c r="E3" s="1">
        <f ca="1">IFERROR(__xludf.DUMMYFUNCTION("""COMPUTED_VALUE"""),26.56)</f>
        <v>26.56</v>
      </c>
      <c r="F3" s="1">
        <f ca="1">IFERROR(__xludf.DUMMYFUNCTION("""COMPUTED_VALUE"""),64285491)</f>
        <v>64285491</v>
      </c>
    </row>
    <row r="4" spans="1:6" x14ac:dyDescent="0.35">
      <c r="A4" s="2">
        <f ca="1">IFERROR(__xludf.DUMMYFUNCTION("""COMPUTED_VALUE"""),42010.6666666666)</f>
        <v>42010.666666666599</v>
      </c>
      <c r="B4" s="1">
        <f ca="1">IFERROR(__xludf.DUMMYFUNCTION("""COMPUTED_VALUE"""),26.64)</f>
        <v>26.64</v>
      </c>
      <c r="C4" s="1">
        <f ca="1">IFERROR(__xludf.DUMMYFUNCTION("""COMPUTED_VALUE"""),26.86)</f>
        <v>26.86</v>
      </c>
      <c r="D4" s="1">
        <f ca="1">IFERROR(__xludf.DUMMYFUNCTION("""COMPUTED_VALUE"""),26.16)</f>
        <v>26.16</v>
      </c>
      <c r="E4" s="1">
        <f ca="1">IFERROR(__xludf.DUMMYFUNCTION("""COMPUTED_VALUE"""),26.57)</f>
        <v>26.57</v>
      </c>
      <c r="F4" s="1">
        <f ca="1">IFERROR(__xludf.DUMMYFUNCTION("""COMPUTED_VALUE"""),65797116)</f>
        <v>65797116</v>
      </c>
    </row>
    <row r="5" spans="1:6" x14ac:dyDescent="0.35">
      <c r="A5" s="2">
        <f ca="1">IFERROR(__xludf.DUMMYFUNCTION("""COMPUTED_VALUE"""),42011.6666666666)</f>
        <v>42011.666666666599</v>
      </c>
      <c r="B5" s="1">
        <f ca="1">IFERROR(__xludf.DUMMYFUNCTION("""COMPUTED_VALUE"""),26.8)</f>
        <v>26.8</v>
      </c>
      <c r="C5" s="1">
        <f ca="1">IFERROR(__xludf.DUMMYFUNCTION("""COMPUTED_VALUE"""),27.05)</f>
        <v>27.05</v>
      </c>
      <c r="D5" s="1">
        <f ca="1">IFERROR(__xludf.DUMMYFUNCTION("""COMPUTED_VALUE"""),26.67)</f>
        <v>26.67</v>
      </c>
      <c r="E5" s="1">
        <f ca="1">IFERROR(__xludf.DUMMYFUNCTION("""COMPUTED_VALUE"""),26.94)</f>
        <v>26.94</v>
      </c>
      <c r="F5" s="1">
        <f ca="1">IFERROR(__xludf.DUMMYFUNCTION("""COMPUTED_VALUE"""),40105934)</f>
        <v>40105934</v>
      </c>
    </row>
    <row r="6" spans="1:6" x14ac:dyDescent="0.35">
      <c r="A6" s="2">
        <f ca="1">IFERROR(__xludf.DUMMYFUNCTION("""COMPUTED_VALUE"""),42012.6666666666)</f>
        <v>42012.666666666599</v>
      </c>
      <c r="B6" s="1">
        <f ca="1">IFERROR(__xludf.DUMMYFUNCTION("""COMPUTED_VALUE"""),27.31)</f>
        <v>27.31</v>
      </c>
      <c r="C6" s="1">
        <f ca="1">IFERROR(__xludf.DUMMYFUNCTION("""COMPUTED_VALUE"""),28.04)</f>
        <v>28.04</v>
      </c>
      <c r="D6" s="1">
        <f ca="1">IFERROR(__xludf.DUMMYFUNCTION("""COMPUTED_VALUE"""),27.18)</f>
        <v>27.18</v>
      </c>
      <c r="E6" s="1">
        <f ca="1">IFERROR(__xludf.DUMMYFUNCTION("""COMPUTED_VALUE"""),27.97)</f>
        <v>27.97</v>
      </c>
      <c r="F6" s="1">
        <f ca="1">IFERROR(__xludf.DUMMYFUNCTION("""COMPUTED_VALUE"""),59364547)</f>
        <v>59364547</v>
      </c>
    </row>
    <row r="7" spans="1:6" x14ac:dyDescent="0.35">
      <c r="A7" s="2">
        <f ca="1">IFERROR(__xludf.DUMMYFUNCTION("""COMPUTED_VALUE"""),42013.6666666666)</f>
        <v>42013.666666666599</v>
      </c>
      <c r="B7" s="1">
        <f ca="1">IFERROR(__xludf.DUMMYFUNCTION("""COMPUTED_VALUE"""),28.17)</f>
        <v>28.17</v>
      </c>
      <c r="C7" s="1">
        <f ca="1">IFERROR(__xludf.DUMMYFUNCTION("""COMPUTED_VALUE"""),28.31)</f>
        <v>28.31</v>
      </c>
      <c r="D7" s="1">
        <f ca="1">IFERROR(__xludf.DUMMYFUNCTION("""COMPUTED_VALUE"""),27.55)</f>
        <v>27.55</v>
      </c>
      <c r="E7" s="1">
        <f ca="1">IFERROR(__xludf.DUMMYFUNCTION("""COMPUTED_VALUE"""),28)</f>
        <v>28</v>
      </c>
      <c r="F7" s="1">
        <f ca="1">IFERROR(__xludf.DUMMYFUNCTION("""COMPUTED_VALUE"""),53699527)</f>
        <v>53699527</v>
      </c>
    </row>
    <row r="8" spans="1:6" x14ac:dyDescent="0.35">
      <c r="A8" s="2">
        <f ca="1">IFERROR(__xludf.DUMMYFUNCTION("""COMPUTED_VALUE"""),42016.6666666666)</f>
        <v>42016.666666666599</v>
      </c>
      <c r="B8" s="1">
        <f ca="1">IFERROR(__xludf.DUMMYFUNCTION("""COMPUTED_VALUE"""),28.15)</f>
        <v>28.15</v>
      </c>
      <c r="C8" s="1">
        <f ca="1">IFERROR(__xludf.DUMMYFUNCTION("""COMPUTED_VALUE"""),28.16)</f>
        <v>28.16</v>
      </c>
      <c r="D8" s="1">
        <f ca="1">IFERROR(__xludf.DUMMYFUNCTION("""COMPUTED_VALUE"""),27.2)</f>
        <v>27.2</v>
      </c>
      <c r="E8" s="1">
        <f ca="1">IFERROR(__xludf.DUMMYFUNCTION("""COMPUTED_VALUE"""),27.31)</f>
        <v>27.31</v>
      </c>
      <c r="F8" s="1">
        <f ca="1">IFERROR(__xludf.DUMMYFUNCTION("""COMPUTED_VALUE"""),49650790)</f>
        <v>49650790</v>
      </c>
    </row>
    <row r="9" spans="1:6" x14ac:dyDescent="0.35">
      <c r="A9" s="2">
        <f ca="1">IFERROR(__xludf.DUMMYFUNCTION("""COMPUTED_VALUE"""),42017.6666666666)</f>
        <v>42017.666666666599</v>
      </c>
      <c r="B9" s="1">
        <f ca="1">IFERROR(__xludf.DUMMYFUNCTION("""COMPUTED_VALUE"""),27.86)</f>
        <v>27.86</v>
      </c>
      <c r="C9" s="1">
        <f ca="1">IFERROR(__xludf.DUMMYFUNCTION("""COMPUTED_VALUE"""),28.2)</f>
        <v>28.2</v>
      </c>
      <c r="D9" s="1">
        <f ca="1">IFERROR(__xludf.DUMMYFUNCTION("""COMPUTED_VALUE"""),27.23)</f>
        <v>27.23</v>
      </c>
      <c r="E9" s="1">
        <f ca="1">IFERROR(__xludf.DUMMYFUNCTION("""COMPUTED_VALUE"""),27.56)</f>
        <v>27.56</v>
      </c>
      <c r="F9" s="1">
        <f ca="1">IFERROR(__xludf.DUMMYFUNCTION("""COMPUTED_VALUE"""),67091928)</f>
        <v>67091928</v>
      </c>
    </row>
    <row r="10" spans="1:6" x14ac:dyDescent="0.35">
      <c r="A10" s="2">
        <f ca="1">IFERROR(__xludf.DUMMYFUNCTION("""COMPUTED_VALUE"""),42018.6666666666)</f>
        <v>42018.666666666599</v>
      </c>
      <c r="B10" s="1">
        <f ca="1">IFERROR(__xludf.DUMMYFUNCTION("""COMPUTED_VALUE"""),27.26)</f>
        <v>27.26</v>
      </c>
      <c r="C10" s="1">
        <f ca="1">IFERROR(__xludf.DUMMYFUNCTION("""COMPUTED_VALUE"""),27.62)</f>
        <v>27.62</v>
      </c>
      <c r="D10" s="1">
        <f ca="1">IFERROR(__xludf.DUMMYFUNCTION("""COMPUTED_VALUE"""),27.13)</f>
        <v>27.13</v>
      </c>
      <c r="E10" s="1">
        <f ca="1">IFERROR(__xludf.DUMMYFUNCTION("""COMPUTED_VALUE"""),27.45)</f>
        <v>27.45</v>
      </c>
      <c r="F10" s="1">
        <f ca="1">IFERROR(__xludf.DUMMYFUNCTION("""COMPUTED_VALUE"""),48956588)</f>
        <v>48956588</v>
      </c>
    </row>
    <row r="11" spans="1:6" x14ac:dyDescent="0.35">
      <c r="A11" s="2">
        <f ca="1">IFERROR(__xludf.DUMMYFUNCTION("""COMPUTED_VALUE"""),42019.6666666666)</f>
        <v>42019.666666666599</v>
      </c>
      <c r="B11" s="1">
        <f ca="1">IFERROR(__xludf.DUMMYFUNCTION("""COMPUTED_VALUE"""),27.5)</f>
        <v>27.5</v>
      </c>
      <c r="C11" s="1">
        <f ca="1">IFERROR(__xludf.DUMMYFUNCTION("""COMPUTED_VALUE"""),27.52)</f>
        <v>27.52</v>
      </c>
      <c r="D11" s="1">
        <f ca="1">IFERROR(__xludf.DUMMYFUNCTION("""COMPUTED_VALUE"""),26.67)</f>
        <v>26.67</v>
      </c>
      <c r="E11" s="1">
        <f ca="1">IFERROR(__xludf.DUMMYFUNCTION("""COMPUTED_VALUE"""),26.71)</f>
        <v>26.71</v>
      </c>
      <c r="F11" s="1">
        <f ca="1">IFERROR(__xludf.DUMMYFUNCTION("""COMPUTED_VALUE"""),60013996)</f>
        <v>60013996</v>
      </c>
    </row>
    <row r="12" spans="1:6" x14ac:dyDescent="0.35">
      <c r="A12" s="2">
        <f ca="1">IFERROR(__xludf.DUMMYFUNCTION("""COMPUTED_VALUE"""),42020.6666666666)</f>
        <v>42020.666666666599</v>
      </c>
      <c r="B12" s="1">
        <f ca="1">IFERROR(__xludf.DUMMYFUNCTION("""COMPUTED_VALUE"""),26.76)</f>
        <v>26.76</v>
      </c>
      <c r="C12" s="1">
        <f ca="1">IFERROR(__xludf.DUMMYFUNCTION("""COMPUTED_VALUE"""),26.9)</f>
        <v>26.9</v>
      </c>
      <c r="D12" s="1">
        <f ca="1">IFERROR(__xludf.DUMMYFUNCTION("""COMPUTED_VALUE"""),26.3)</f>
        <v>26.3</v>
      </c>
      <c r="E12" s="1">
        <f ca="1">IFERROR(__xludf.DUMMYFUNCTION("""COMPUTED_VALUE"""),26.5)</f>
        <v>26.5</v>
      </c>
      <c r="F12" s="1">
        <f ca="1">IFERROR(__xludf.DUMMYFUNCTION("""COMPUTED_VALUE"""),78513345)</f>
        <v>78513345</v>
      </c>
    </row>
    <row r="13" spans="1:6" x14ac:dyDescent="0.35">
      <c r="A13" s="2">
        <f ca="1">IFERROR(__xludf.DUMMYFUNCTION("""COMPUTED_VALUE"""),42024.6666666666)</f>
        <v>42024.666666666599</v>
      </c>
      <c r="B13" s="1">
        <f ca="1">IFERROR(__xludf.DUMMYFUNCTION("""COMPUTED_VALUE"""),26.96)</f>
        <v>26.96</v>
      </c>
      <c r="C13" s="1">
        <f ca="1">IFERROR(__xludf.DUMMYFUNCTION("""COMPUTED_VALUE"""),27.24)</f>
        <v>27.24</v>
      </c>
      <c r="D13" s="1">
        <f ca="1">IFERROR(__xludf.DUMMYFUNCTION("""COMPUTED_VALUE"""),26.63)</f>
        <v>26.63</v>
      </c>
      <c r="E13" s="1">
        <f ca="1">IFERROR(__xludf.DUMMYFUNCTION("""COMPUTED_VALUE"""),27.18)</f>
        <v>27.18</v>
      </c>
      <c r="F13" s="1">
        <f ca="1">IFERROR(__xludf.DUMMYFUNCTION("""COMPUTED_VALUE"""),49899907)</f>
        <v>49899907</v>
      </c>
    </row>
    <row r="14" spans="1:6" x14ac:dyDescent="0.35">
      <c r="A14" s="2">
        <f ca="1">IFERROR(__xludf.DUMMYFUNCTION("""COMPUTED_VALUE"""),42025.6666666666)</f>
        <v>42025.666666666599</v>
      </c>
      <c r="B14" s="1">
        <f ca="1">IFERROR(__xludf.DUMMYFUNCTION("""COMPUTED_VALUE"""),27.24)</f>
        <v>27.24</v>
      </c>
      <c r="C14" s="1">
        <f ca="1">IFERROR(__xludf.DUMMYFUNCTION("""COMPUTED_VALUE"""),27.77)</f>
        <v>27.77</v>
      </c>
      <c r="D14" s="1">
        <f ca="1">IFERROR(__xludf.DUMMYFUNCTION("""COMPUTED_VALUE"""),27.07)</f>
        <v>27.07</v>
      </c>
      <c r="E14" s="1">
        <f ca="1">IFERROR(__xludf.DUMMYFUNCTION("""COMPUTED_VALUE"""),27.39)</f>
        <v>27.39</v>
      </c>
      <c r="F14" s="1">
        <f ca="1">IFERROR(__xludf.DUMMYFUNCTION("""COMPUTED_VALUE"""),48575897)</f>
        <v>48575897</v>
      </c>
    </row>
    <row r="15" spans="1:6" x14ac:dyDescent="0.35">
      <c r="A15" s="2">
        <f ca="1">IFERROR(__xludf.DUMMYFUNCTION("""COMPUTED_VALUE"""),42026.6666666666)</f>
        <v>42026.666666666599</v>
      </c>
      <c r="B15" s="1">
        <f ca="1">IFERROR(__xludf.DUMMYFUNCTION("""COMPUTED_VALUE"""),27.57)</f>
        <v>27.57</v>
      </c>
      <c r="C15" s="1">
        <f ca="1">IFERROR(__xludf.DUMMYFUNCTION("""COMPUTED_VALUE"""),28.12)</f>
        <v>28.12</v>
      </c>
      <c r="D15" s="1">
        <f ca="1">IFERROR(__xludf.DUMMYFUNCTION("""COMPUTED_VALUE"""),27.43)</f>
        <v>27.43</v>
      </c>
      <c r="E15" s="1">
        <f ca="1">IFERROR(__xludf.DUMMYFUNCTION("""COMPUTED_VALUE"""),28.1)</f>
        <v>28.1</v>
      </c>
      <c r="F15" s="1">
        <f ca="1">IFERROR(__xludf.DUMMYFUNCTION("""COMPUTED_VALUE"""),53796409)</f>
        <v>53796409</v>
      </c>
    </row>
    <row r="16" spans="1:6" x14ac:dyDescent="0.35">
      <c r="A16" s="2">
        <f ca="1">IFERROR(__xludf.DUMMYFUNCTION("""COMPUTED_VALUE"""),42027.6666666666)</f>
        <v>42027.666666666599</v>
      </c>
      <c r="B16" s="1">
        <f ca="1">IFERROR(__xludf.DUMMYFUNCTION("""COMPUTED_VALUE"""),28.08)</f>
        <v>28.08</v>
      </c>
      <c r="C16" s="1">
        <f ca="1">IFERROR(__xludf.DUMMYFUNCTION("""COMPUTED_VALUE"""),28.44)</f>
        <v>28.44</v>
      </c>
      <c r="D16" s="1">
        <f ca="1">IFERROR(__xludf.DUMMYFUNCTION("""COMPUTED_VALUE"""),27.88)</f>
        <v>27.88</v>
      </c>
      <c r="E16" s="1">
        <f ca="1">IFERROR(__xludf.DUMMYFUNCTION("""COMPUTED_VALUE"""),28.25)</f>
        <v>28.25</v>
      </c>
      <c r="F16" s="1">
        <f ca="1">IFERROR(__xludf.DUMMYFUNCTION("""COMPUTED_VALUE"""),46464828)</f>
        <v>46464828</v>
      </c>
    </row>
    <row r="17" spans="1:6" x14ac:dyDescent="0.35">
      <c r="A17" s="2">
        <f ca="1">IFERROR(__xludf.DUMMYFUNCTION("""COMPUTED_VALUE"""),42030.6666666666)</f>
        <v>42030.666666666599</v>
      </c>
      <c r="B17" s="1">
        <f ca="1">IFERROR(__xludf.DUMMYFUNCTION("""COMPUTED_VALUE"""),28.44)</f>
        <v>28.44</v>
      </c>
      <c r="C17" s="1">
        <f ca="1">IFERROR(__xludf.DUMMYFUNCTION("""COMPUTED_VALUE"""),28.59)</f>
        <v>28.59</v>
      </c>
      <c r="D17" s="1">
        <f ca="1">IFERROR(__xludf.DUMMYFUNCTION("""COMPUTED_VALUE"""),28.2)</f>
        <v>28.2</v>
      </c>
      <c r="E17" s="1">
        <f ca="1">IFERROR(__xludf.DUMMYFUNCTION("""COMPUTED_VALUE"""),28.28)</f>
        <v>28.28</v>
      </c>
      <c r="F17" s="1">
        <f ca="1">IFERROR(__xludf.DUMMYFUNCTION("""COMPUTED_VALUE"""),55614979)</f>
        <v>55614979</v>
      </c>
    </row>
    <row r="18" spans="1:6" x14ac:dyDescent="0.35">
      <c r="A18" s="2">
        <f ca="1">IFERROR(__xludf.DUMMYFUNCTION("""COMPUTED_VALUE"""),42031.6666666666)</f>
        <v>42031.666666666599</v>
      </c>
      <c r="B18" s="1">
        <f ca="1">IFERROR(__xludf.DUMMYFUNCTION("""COMPUTED_VALUE"""),28.11)</f>
        <v>28.11</v>
      </c>
      <c r="C18" s="1">
        <f ca="1">IFERROR(__xludf.DUMMYFUNCTION("""COMPUTED_VALUE"""),28.12)</f>
        <v>28.12</v>
      </c>
      <c r="D18" s="1">
        <f ca="1">IFERROR(__xludf.DUMMYFUNCTION("""COMPUTED_VALUE"""),27.26)</f>
        <v>27.26</v>
      </c>
      <c r="E18" s="1">
        <f ca="1">IFERROR(__xludf.DUMMYFUNCTION("""COMPUTED_VALUE"""),27.29)</f>
        <v>27.29</v>
      </c>
      <c r="F18" s="1">
        <f ca="1">IFERROR(__xludf.DUMMYFUNCTION("""COMPUTED_VALUE"""),95568749)</f>
        <v>95568749</v>
      </c>
    </row>
    <row r="19" spans="1:6" x14ac:dyDescent="0.35">
      <c r="A19" s="2">
        <f ca="1">IFERROR(__xludf.DUMMYFUNCTION("""COMPUTED_VALUE"""),42032.6666666666)</f>
        <v>42032.666666666599</v>
      </c>
      <c r="B19" s="1">
        <f ca="1">IFERROR(__xludf.DUMMYFUNCTION("""COMPUTED_VALUE"""),29.41)</f>
        <v>29.41</v>
      </c>
      <c r="C19" s="1">
        <f ca="1">IFERROR(__xludf.DUMMYFUNCTION("""COMPUTED_VALUE"""),29.53)</f>
        <v>29.53</v>
      </c>
      <c r="D19" s="1">
        <f ca="1">IFERROR(__xludf.DUMMYFUNCTION("""COMPUTED_VALUE"""),28.83)</f>
        <v>28.83</v>
      </c>
      <c r="E19" s="1">
        <f ca="1">IFERROR(__xludf.DUMMYFUNCTION("""COMPUTED_VALUE"""),28.83)</f>
        <v>28.83</v>
      </c>
      <c r="F19" s="1">
        <f ca="1">IFERROR(__xludf.DUMMYFUNCTION("""COMPUTED_VALUE"""),146477063)</f>
        <v>146477063</v>
      </c>
    </row>
    <row r="20" spans="1:6" x14ac:dyDescent="0.35">
      <c r="A20" s="2">
        <f ca="1">IFERROR(__xludf.DUMMYFUNCTION("""COMPUTED_VALUE"""),42033.6666666666)</f>
        <v>42033.666666666599</v>
      </c>
      <c r="B20" s="1">
        <f ca="1">IFERROR(__xludf.DUMMYFUNCTION("""COMPUTED_VALUE"""),29.08)</f>
        <v>29.08</v>
      </c>
      <c r="C20" s="1">
        <f ca="1">IFERROR(__xludf.DUMMYFUNCTION("""COMPUTED_VALUE"""),29.8)</f>
        <v>29.8</v>
      </c>
      <c r="D20" s="1">
        <f ca="1">IFERROR(__xludf.DUMMYFUNCTION("""COMPUTED_VALUE"""),28.89)</f>
        <v>28.89</v>
      </c>
      <c r="E20" s="1">
        <f ca="1">IFERROR(__xludf.DUMMYFUNCTION("""COMPUTED_VALUE"""),29.73)</f>
        <v>29.73</v>
      </c>
      <c r="F20" s="1">
        <f ca="1">IFERROR(__xludf.DUMMYFUNCTION("""COMPUTED_VALUE"""),84436432)</f>
        <v>84436432</v>
      </c>
    </row>
    <row r="21" spans="1:6" x14ac:dyDescent="0.35">
      <c r="A21" s="2">
        <f ca="1">IFERROR(__xludf.DUMMYFUNCTION("""COMPUTED_VALUE"""),42034.6666666666)</f>
        <v>42034.666666666599</v>
      </c>
      <c r="B21" s="1">
        <f ca="1">IFERROR(__xludf.DUMMYFUNCTION("""COMPUTED_VALUE"""),29.6)</f>
        <v>29.6</v>
      </c>
      <c r="C21" s="1">
        <f ca="1">IFERROR(__xludf.DUMMYFUNCTION("""COMPUTED_VALUE"""),30)</f>
        <v>30</v>
      </c>
      <c r="D21" s="1">
        <f ca="1">IFERROR(__xludf.DUMMYFUNCTION("""COMPUTED_VALUE"""),29.21)</f>
        <v>29.21</v>
      </c>
      <c r="E21" s="1">
        <f ca="1">IFERROR(__xludf.DUMMYFUNCTION("""COMPUTED_VALUE"""),29.29)</f>
        <v>29.29</v>
      </c>
      <c r="F21" s="1">
        <f ca="1">IFERROR(__xludf.DUMMYFUNCTION("""COMPUTED_VALUE"""),83745461)</f>
        <v>83745461</v>
      </c>
    </row>
    <row r="22" spans="1:6" x14ac:dyDescent="0.35">
      <c r="A22" s="2">
        <f ca="1">IFERROR(__xludf.DUMMYFUNCTION("""COMPUTED_VALUE"""),42037.6666666666)</f>
        <v>42037.666666666599</v>
      </c>
      <c r="B22" s="1">
        <f ca="1">IFERROR(__xludf.DUMMYFUNCTION("""COMPUTED_VALUE"""),29.51)</f>
        <v>29.51</v>
      </c>
      <c r="C22" s="1">
        <f ca="1">IFERROR(__xludf.DUMMYFUNCTION("""COMPUTED_VALUE"""),29.79)</f>
        <v>29.79</v>
      </c>
      <c r="D22" s="1">
        <f ca="1">IFERROR(__xludf.DUMMYFUNCTION("""COMPUTED_VALUE"""),29.02)</f>
        <v>29.02</v>
      </c>
      <c r="E22" s="1">
        <f ca="1">IFERROR(__xludf.DUMMYFUNCTION("""COMPUTED_VALUE"""),29.66)</f>
        <v>29.66</v>
      </c>
      <c r="F22" s="1">
        <f ca="1">IFERROR(__xludf.DUMMYFUNCTION("""COMPUTED_VALUE"""),62739100)</f>
        <v>62739100</v>
      </c>
    </row>
    <row r="23" spans="1:6" x14ac:dyDescent="0.35">
      <c r="A23" s="2">
        <f ca="1">IFERROR(__xludf.DUMMYFUNCTION("""COMPUTED_VALUE"""),42038.6666666666)</f>
        <v>42038.666666666599</v>
      </c>
      <c r="B23" s="1">
        <f ca="1">IFERROR(__xludf.DUMMYFUNCTION("""COMPUTED_VALUE"""),29.63)</f>
        <v>29.63</v>
      </c>
      <c r="C23" s="1">
        <f ca="1">IFERROR(__xludf.DUMMYFUNCTION("""COMPUTED_VALUE"""),29.77)</f>
        <v>29.77</v>
      </c>
      <c r="D23" s="1">
        <f ca="1">IFERROR(__xludf.DUMMYFUNCTION("""COMPUTED_VALUE"""),29.4)</f>
        <v>29.4</v>
      </c>
      <c r="E23" s="1">
        <f ca="1">IFERROR(__xludf.DUMMYFUNCTION("""COMPUTED_VALUE"""),29.66)</f>
        <v>29.66</v>
      </c>
      <c r="F23" s="1">
        <f ca="1">IFERROR(__xludf.DUMMYFUNCTION("""COMPUTED_VALUE"""),51915749)</f>
        <v>51915749</v>
      </c>
    </row>
    <row r="24" spans="1:6" x14ac:dyDescent="0.35">
      <c r="A24" s="2">
        <f ca="1">IFERROR(__xludf.DUMMYFUNCTION("""COMPUTED_VALUE"""),42039.6666666666)</f>
        <v>42039.666666666599</v>
      </c>
      <c r="B24" s="1">
        <f ca="1">IFERROR(__xludf.DUMMYFUNCTION("""COMPUTED_VALUE"""),29.63)</f>
        <v>29.63</v>
      </c>
      <c r="C24" s="1">
        <f ca="1">IFERROR(__xludf.DUMMYFUNCTION("""COMPUTED_VALUE"""),30.13)</f>
        <v>30.13</v>
      </c>
      <c r="D24" s="1">
        <f ca="1">IFERROR(__xludf.DUMMYFUNCTION("""COMPUTED_VALUE"""),29.58)</f>
        <v>29.58</v>
      </c>
      <c r="E24" s="1">
        <f ca="1">IFERROR(__xludf.DUMMYFUNCTION("""COMPUTED_VALUE"""),29.89)</f>
        <v>29.89</v>
      </c>
      <c r="F24" s="1">
        <f ca="1">IFERROR(__xludf.DUMMYFUNCTION("""COMPUTED_VALUE"""),70149743)</f>
        <v>70149743</v>
      </c>
    </row>
    <row r="25" spans="1:6" x14ac:dyDescent="0.35">
      <c r="A25" s="2">
        <f ca="1">IFERROR(__xludf.DUMMYFUNCTION("""COMPUTED_VALUE"""),42040.6666666666)</f>
        <v>42040.666666666599</v>
      </c>
      <c r="B25" s="1">
        <f ca="1">IFERROR(__xludf.DUMMYFUNCTION("""COMPUTED_VALUE"""),30.01)</f>
        <v>30.01</v>
      </c>
      <c r="C25" s="1">
        <f ca="1">IFERROR(__xludf.DUMMYFUNCTION("""COMPUTED_VALUE"""),30.06)</f>
        <v>30.06</v>
      </c>
      <c r="D25" s="1">
        <f ca="1">IFERROR(__xludf.DUMMYFUNCTION("""COMPUTED_VALUE"""),29.81)</f>
        <v>29.81</v>
      </c>
      <c r="E25" s="1">
        <f ca="1">IFERROR(__xludf.DUMMYFUNCTION("""COMPUTED_VALUE"""),29.99)</f>
        <v>29.99</v>
      </c>
      <c r="F25" s="1">
        <f ca="1">IFERROR(__xludf.DUMMYFUNCTION("""COMPUTED_VALUE"""),42246245)</f>
        <v>42246245</v>
      </c>
    </row>
    <row r="26" spans="1:6" x14ac:dyDescent="0.35">
      <c r="A26" s="2">
        <f ca="1">IFERROR(__xludf.DUMMYFUNCTION("""COMPUTED_VALUE"""),42041.6666666666)</f>
        <v>42041.666666666599</v>
      </c>
      <c r="B26" s="1">
        <f ca="1">IFERROR(__xludf.DUMMYFUNCTION("""COMPUTED_VALUE"""),30.01)</f>
        <v>30.01</v>
      </c>
      <c r="C26" s="1">
        <f ca="1">IFERROR(__xludf.DUMMYFUNCTION("""COMPUTED_VALUE"""),30.06)</f>
        <v>30.06</v>
      </c>
      <c r="D26" s="1">
        <f ca="1">IFERROR(__xludf.DUMMYFUNCTION("""COMPUTED_VALUE"""),29.61)</f>
        <v>29.61</v>
      </c>
      <c r="E26" s="1">
        <f ca="1">IFERROR(__xludf.DUMMYFUNCTION("""COMPUTED_VALUE"""),29.73)</f>
        <v>29.73</v>
      </c>
      <c r="F26" s="1">
        <f ca="1">IFERROR(__xludf.DUMMYFUNCTION("""COMPUTED_VALUE"""),43706567)</f>
        <v>43706567</v>
      </c>
    </row>
    <row r="27" spans="1:6" x14ac:dyDescent="0.35">
      <c r="A27" s="2">
        <f ca="1">IFERROR(__xludf.DUMMYFUNCTION("""COMPUTED_VALUE"""),42044.6666666666)</f>
        <v>42044.666666666599</v>
      </c>
      <c r="B27" s="1">
        <f ca="1">IFERROR(__xludf.DUMMYFUNCTION("""COMPUTED_VALUE"""),29.64)</f>
        <v>29.64</v>
      </c>
      <c r="C27" s="1">
        <f ca="1">IFERROR(__xludf.DUMMYFUNCTION("""COMPUTED_VALUE"""),29.96)</f>
        <v>29.96</v>
      </c>
      <c r="D27" s="1">
        <f ca="1">IFERROR(__xludf.DUMMYFUNCTION("""COMPUTED_VALUE"""),29.61)</f>
        <v>29.61</v>
      </c>
      <c r="E27" s="1">
        <f ca="1">IFERROR(__xludf.DUMMYFUNCTION("""COMPUTED_VALUE"""),29.93)</f>
        <v>29.93</v>
      </c>
      <c r="F27" s="1">
        <f ca="1">IFERROR(__xludf.DUMMYFUNCTION("""COMPUTED_VALUE"""),38889797)</f>
        <v>38889797</v>
      </c>
    </row>
    <row r="28" spans="1:6" x14ac:dyDescent="0.35">
      <c r="A28" s="2">
        <f ca="1">IFERROR(__xludf.DUMMYFUNCTION("""COMPUTED_VALUE"""),42045.6666666666)</f>
        <v>42045.666666666599</v>
      </c>
      <c r="B28" s="1">
        <f ca="1">IFERROR(__xludf.DUMMYFUNCTION("""COMPUTED_VALUE"""),30.04)</f>
        <v>30.04</v>
      </c>
      <c r="C28" s="1">
        <f ca="1">IFERROR(__xludf.DUMMYFUNCTION("""COMPUTED_VALUE"""),30.54)</f>
        <v>30.54</v>
      </c>
      <c r="D28" s="1">
        <f ca="1">IFERROR(__xludf.DUMMYFUNCTION("""COMPUTED_VALUE"""),30.04)</f>
        <v>30.04</v>
      </c>
      <c r="E28" s="1">
        <f ca="1">IFERROR(__xludf.DUMMYFUNCTION("""COMPUTED_VALUE"""),30.51)</f>
        <v>30.51</v>
      </c>
      <c r="F28" s="1">
        <f ca="1">IFERROR(__xludf.DUMMYFUNCTION("""COMPUTED_VALUE"""),62008506)</f>
        <v>62008506</v>
      </c>
    </row>
    <row r="29" spans="1:6" x14ac:dyDescent="0.35">
      <c r="A29" s="2">
        <f ca="1">IFERROR(__xludf.DUMMYFUNCTION("""COMPUTED_VALUE"""),42046.6666666666)</f>
        <v>42046.666666666599</v>
      </c>
      <c r="B29" s="1">
        <f ca="1">IFERROR(__xludf.DUMMYFUNCTION("""COMPUTED_VALUE"""),30.69)</f>
        <v>30.69</v>
      </c>
      <c r="C29" s="1">
        <f ca="1">IFERROR(__xludf.DUMMYFUNCTION("""COMPUTED_VALUE"""),31.23)</f>
        <v>31.23</v>
      </c>
      <c r="D29" s="1">
        <f ca="1">IFERROR(__xludf.DUMMYFUNCTION("""COMPUTED_VALUE"""),30.63)</f>
        <v>30.63</v>
      </c>
      <c r="E29" s="1">
        <f ca="1">IFERROR(__xludf.DUMMYFUNCTION("""COMPUTED_VALUE"""),31.22)</f>
        <v>31.22</v>
      </c>
      <c r="F29" s="1">
        <f ca="1">IFERROR(__xludf.DUMMYFUNCTION("""COMPUTED_VALUE"""),73561797)</f>
        <v>73561797</v>
      </c>
    </row>
    <row r="30" spans="1:6" x14ac:dyDescent="0.35">
      <c r="A30" s="2">
        <f ca="1">IFERROR(__xludf.DUMMYFUNCTION("""COMPUTED_VALUE"""),42047.6666666666)</f>
        <v>42047.666666666599</v>
      </c>
      <c r="B30" s="1">
        <f ca="1">IFERROR(__xludf.DUMMYFUNCTION("""COMPUTED_VALUE"""),31.52)</f>
        <v>31.52</v>
      </c>
      <c r="C30" s="1">
        <f ca="1">IFERROR(__xludf.DUMMYFUNCTION("""COMPUTED_VALUE"""),31.87)</f>
        <v>31.87</v>
      </c>
      <c r="D30" s="1">
        <f ca="1">IFERROR(__xludf.DUMMYFUNCTION("""COMPUTED_VALUE"""),31.39)</f>
        <v>31.39</v>
      </c>
      <c r="E30" s="1">
        <f ca="1">IFERROR(__xludf.DUMMYFUNCTION("""COMPUTED_VALUE"""),31.62)</f>
        <v>31.62</v>
      </c>
      <c r="F30" s="1">
        <f ca="1">IFERROR(__xludf.DUMMYFUNCTION("""COMPUTED_VALUE"""),74474466)</f>
        <v>74474466</v>
      </c>
    </row>
    <row r="31" spans="1:6" x14ac:dyDescent="0.35">
      <c r="A31" s="2">
        <f ca="1">IFERROR(__xludf.DUMMYFUNCTION("""COMPUTED_VALUE"""),42048.6666666666)</f>
        <v>42048.666666666599</v>
      </c>
      <c r="B31" s="1">
        <f ca="1">IFERROR(__xludf.DUMMYFUNCTION("""COMPUTED_VALUE"""),31.82)</f>
        <v>31.82</v>
      </c>
      <c r="C31" s="1">
        <f ca="1">IFERROR(__xludf.DUMMYFUNCTION("""COMPUTED_VALUE"""),31.82)</f>
        <v>31.82</v>
      </c>
      <c r="D31" s="1">
        <f ca="1">IFERROR(__xludf.DUMMYFUNCTION("""COMPUTED_VALUE"""),31.41)</f>
        <v>31.41</v>
      </c>
      <c r="E31" s="1">
        <f ca="1">IFERROR(__xludf.DUMMYFUNCTION("""COMPUTED_VALUE"""),31.77)</f>
        <v>31.77</v>
      </c>
      <c r="F31" s="1">
        <f ca="1">IFERROR(__xludf.DUMMYFUNCTION("""COMPUTED_VALUE"""),54272219)</f>
        <v>54272219</v>
      </c>
    </row>
    <row r="32" spans="1:6" x14ac:dyDescent="0.35">
      <c r="A32" s="2">
        <f ca="1">IFERROR(__xludf.DUMMYFUNCTION("""COMPUTED_VALUE"""),42052.6666666666)</f>
        <v>42052.666666666599</v>
      </c>
      <c r="B32" s="1">
        <f ca="1">IFERROR(__xludf.DUMMYFUNCTION("""COMPUTED_VALUE"""),31.85)</f>
        <v>31.85</v>
      </c>
      <c r="C32" s="1">
        <f ca="1">IFERROR(__xludf.DUMMYFUNCTION("""COMPUTED_VALUE"""),32.22)</f>
        <v>32.22</v>
      </c>
      <c r="D32" s="1">
        <f ca="1">IFERROR(__xludf.DUMMYFUNCTION("""COMPUTED_VALUE"""),31.73)</f>
        <v>31.73</v>
      </c>
      <c r="E32" s="1">
        <f ca="1">IFERROR(__xludf.DUMMYFUNCTION("""COMPUTED_VALUE"""),31.96)</f>
        <v>31.96</v>
      </c>
      <c r="F32" s="1">
        <f ca="1">IFERROR(__xludf.DUMMYFUNCTION("""COMPUTED_VALUE"""),63152405)</f>
        <v>63152405</v>
      </c>
    </row>
    <row r="33" spans="1:6" x14ac:dyDescent="0.35">
      <c r="A33" s="2">
        <f ca="1">IFERROR(__xludf.DUMMYFUNCTION("""COMPUTED_VALUE"""),42053.6666666666)</f>
        <v>42053.666666666599</v>
      </c>
      <c r="B33" s="1">
        <f ca="1">IFERROR(__xludf.DUMMYFUNCTION("""COMPUTED_VALUE"""),31.91)</f>
        <v>31.91</v>
      </c>
      <c r="C33" s="1">
        <f ca="1">IFERROR(__xludf.DUMMYFUNCTION("""COMPUTED_VALUE"""),32.2)</f>
        <v>32.200000000000003</v>
      </c>
      <c r="D33" s="1">
        <f ca="1">IFERROR(__xludf.DUMMYFUNCTION("""COMPUTED_VALUE"""),31.86)</f>
        <v>31.86</v>
      </c>
      <c r="E33" s="1">
        <f ca="1">IFERROR(__xludf.DUMMYFUNCTION("""COMPUTED_VALUE"""),32.18)</f>
        <v>32.18</v>
      </c>
      <c r="F33" s="1">
        <f ca="1">IFERROR(__xludf.DUMMYFUNCTION("""COMPUTED_VALUE"""),44891737)</f>
        <v>44891737</v>
      </c>
    </row>
    <row r="34" spans="1:6" x14ac:dyDescent="0.35">
      <c r="A34" s="2">
        <f ca="1">IFERROR(__xludf.DUMMYFUNCTION("""COMPUTED_VALUE"""),42054.6666666666)</f>
        <v>42054.666666666599</v>
      </c>
      <c r="B34" s="1">
        <f ca="1">IFERROR(__xludf.DUMMYFUNCTION("""COMPUTED_VALUE"""),32.12)</f>
        <v>32.119999999999997</v>
      </c>
      <c r="C34" s="1">
        <f ca="1">IFERROR(__xludf.DUMMYFUNCTION("""COMPUTED_VALUE"""),32.26)</f>
        <v>32.26</v>
      </c>
      <c r="D34" s="1">
        <f ca="1">IFERROR(__xludf.DUMMYFUNCTION("""COMPUTED_VALUE"""),32.08)</f>
        <v>32.08</v>
      </c>
      <c r="E34" s="1">
        <f ca="1">IFERROR(__xludf.DUMMYFUNCTION("""COMPUTED_VALUE"""),32.11)</f>
        <v>32.11</v>
      </c>
      <c r="F34" s="1">
        <f ca="1">IFERROR(__xludf.DUMMYFUNCTION("""COMPUTED_VALUE"""),37362381)</f>
        <v>37362381</v>
      </c>
    </row>
    <row r="35" spans="1:6" x14ac:dyDescent="0.35">
      <c r="A35" s="2">
        <f ca="1">IFERROR(__xludf.DUMMYFUNCTION("""COMPUTED_VALUE"""),42055.6666666666)</f>
        <v>42055.666666666599</v>
      </c>
      <c r="B35" s="1">
        <f ca="1">IFERROR(__xludf.DUMMYFUNCTION("""COMPUTED_VALUE"""),32.16)</f>
        <v>32.159999999999997</v>
      </c>
      <c r="C35" s="1">
        <f ca="1">IFERROR(__xludf.DUMMYFUNCTION("""COMPUTED_VALUE"""),32.38)</f>
        <v>32.380000000000003</v>
      </c>
      <c r="D35" s="1">
        <f ca="1">IFERROR(__xludf.DUMMYFUNCTION("""COMPUTED_VALUE"""),32.01)</f>
        <v>32.01</v>
      </c>
      <c r="E35" s="1">
        <f ca="1">IFERROR(__xludf.DUMMYFUNCTION("""COMPUTED_VALUE"""),32.37)</f>
        <v>32.369999999999997</v>
      </c>
      <c r="F35" s="1">
        <f ca="1">IFERROR(__xludf.DUMMYFUNCTION("""COMPUTED_VALUE"""),48948419)</f>
        <v>48948419</v>
      </c>
    </row>
    <row r="36" spans="1:6" x14ac:dyDescent="0.35">
      <c r="A36" s="2">
        <f ca="1">IFERROR(__xludf.DUMMYFUNCTION("""COMPUTED_VALUE"""),42058.6666666666)</f>
        <v>42058.666666666599</v>
      </c>
      <c r="B36" s="1">
        <f ca="1">IFERROR(__xludf.DUMMYFUNCTION("""COMPUTED_VALUE"""),32.51)</f>
        <v>32.51</v>
      </c>
      <c r="C36" s="1">
        <f ca="1">IFERROR(__xludf.DUMMYFUNCTION("""COMPUTED_VALUE"""),33.25)</f>
        <v>33.25</v>
      </c>
      <c r="D36" s="1">
        <f ca="1">IFERROR(__xludf.DUMMYFUNCTION("""COMPUTED_VALUE"""),32.42)</f>
        <v>32.42</v>
      </c>
      <c r="E36" s="1">
        <f ca="1">IFERROR(__xludf.DUMMYFUNCTION("""COMPUTED_VALUE"""),33.25)</f>
        <v>33.25</v>
      </c>
      <c r="F36" s="1">
        <f ca="1">IFERROR(__xludf.DUMMYFUNCTION("""COMPUTED_VALUE"""),70974110)</f>
        <v>70974110</v>
      </c>
    </row>
    <row r="37" spans="1:6" x14ac:dyDescent="0.35">
      <c r="A37" s="2">
        <f ca="1">IFERROR(__xludf.DUMMYFUNCTION("""COMPUTED_VALUE"""),42059.6666666666)</f>
        <v>42059.666666666599</v>
      </c>
      <c r="B37" s="1">
        <f ca="1">IFERROR(__xludf.DUMMYFUNCTION("""COMPUTED_VALUE"""),33.24)</f>
        <v>33.24</v>
      </c>
      <c r="C37" s="1">
        <f ca="1">IFERROR(__xludf.DUMMYFUNCTION("""COMPUTED_VALUE"""),33.4)</f>
        <v>33.4</v>
      </c>
      <c r="D37" s="1">
        <f ca="1">IFERROR(__xludf.DUMMYFUNCTION("""COMPUTED_VALUE"""),32.79)</f>
        <v>32.79</v>
      </c>
      <c r="E37" s="1">
        <f ca="1">IFERROR(__xludf.DUMMYFUNCTION("""COMPUTED_VALUE"""),33.04)</f>
        <v>33.04</v>
      </c>
      <c r="F37" s="1">
        <f ca="1">IFERROR(__xludf.DUMMYFUNCTION("""COMPUTED_VALUE"""),69228130)</f>
        <v>69228130</v>
      </c>
    </row>
    <row r="38" spans="1:6" x14ac:dyDescent="0.35">
      <c r="A38" s="2">
        <f ca="1">IFERROR(__xludf.DUMMYFUNCTION("""COMPUTED_VALUE"""),42060.6666666666)</f>
        <v>42060.666666666599</v>
      </c>
      <c r="B38" s="1">
        <f ca="1">IFERROR(__xludf.DUMMYFUNCTION("""COMPUTED_VALUE"""),32.89)</f>
        <v>32.89</v>
      </c>
      <c r="C38" s="1">
        <f ca="1">IFERROR(__xludf.DUMMYFUNCTION("""COMPUTED_VALUE"""),32.9)</f>
        <v>32.9</v>
      </c>
      <c r="D38" s="1">
        <f ca="1">IFERROR(__xludf.DUMMYFUNCTION("""COMPUTED_VALUE"""),32.04)</f>
        <v>32.04</v>
      </c>
      <c r="E38" s="1">
        <f ca="1">IFERROR(__xludf.DUMMYFUNCTION("""COMPUTED_VALUE"""),32.2)</f>
        <v>32.200000000000003</v>
      </c>
      <c r="F38" s="1">
        <f ca="1">IFERROR(__xludf.DUMMYFUNCTION("""COMPUTED_VALUE"""),74711746)</f>
        <v>74711746</v>
      </c>
    </row>
    <row r="39" spans="1:6" x14ac:dyDescent="0.35">
      <c r="A39" s="2">
        <f ca="1">IFERROR(__xludf.DUMMYFUNCTION("""COMPUTED_VALUE"""),42061.6666666666)</f>
        <v>42061.666666666599</v>
      </c>
      <c r="B39" s="1">
        <f ca="1">IFERROR(__xludf.DUMMYFUNCTION("""COMPUTED_VALUE"""),32.2)</f>
        <v>32.200000000000003</v>
      </c>
      <c r="C39" s="1">
        <f ca="1">IFERROR(__xludf.DUMMYFUNCTION("""COMPUTED_VALUE"""),32.72)</f>
        <v>32.72</v>
      </c>
      <c r="D39" s="1">
        <f ca="1">IFERROR(__xludf.DUMMYFUNCTION("""COMPUTED_VALUE"""),31.65)</f>
        <v>31.65</v>
      </c>
      <c r="E39" s="1">
        <f ca="1">IFERROR(__xludf.DUMMYFUNCTION("""COMPUTED_VALUE"""),32.6)</f>
        <v>32.6</v>
      </c>
      <c r="F39" s="1">
        <f ca="1">IFERROR(__xludf.DUMMYFUNCTION("""COMPUTED_VALUE"""),91287529)</f>
        <v>91287529</v>
      </c>
    </row>
    <row r="40" spans="1:6" x14ac:dyDescent="0.35">
      <c r="A40" s="2">
        <f ca="1">IFERROR(__xludf.DUMMYFUNCTION("""COMPUTED_VALUE"""),42062.6666666666)</f>
        <v>42062.666666666599</v>
      </c>
      <c r="B40" s="1">
        <f ca="1">IFERROR(__xludf.DUMMYFUNCTION("""COMPUTED_VALUE"""),32.5)</f>
        <v>32.5</v>
      </c>
      <c r="C40" s="1">
        <f ca="1">IFERROR(__xludf.DUMMYFUNCTION("""COMPUTED_VALUE"""),32.64)</f>
        <v>32.64</v>
      </c>
      <c r="D40" s="1">
        <f ca="1">IFERROR(__xludf.DUMMYFUNCTION("""COMPUTED_VALUE"""),32.06)</f>
        <v>32.06</v>
      </c>
      <c r="E40" s="1">
        <f ca="1">IFERROR(__xludf.DUMMYFUNCTION("""COMPUTED_VALUE"""),32.12)</f>
        <v>32.119999999999997</v>
      </c>
      <c r="F40" s="1">
        <f ca="1">IFERROR(__xludf.DUMMYFUNCTION("""COMPUTED_VALUE"""),62014847)</f>
        <v>62014847</v>
      </c>
    </row>
    <row r="41" spans="1:6" x14ac:dyDescent="0.35">
      <c r="A41" s="2">
        <f ca="1">IFERROR(__xludf.DUMMYFUNCTION("""COMPUTED_VALUE"""),42065.6666666666)</f>
        <v>42065.666666666599</v>
      </c>
      <c r="B41" s="1">
        <f ca="1">IFERROR(__xludf.DUMMYFUNCTION("""COMPUTED_VALUE"""),32.31)</f>
        <v>32.31</v>
      </c>
      <c r="C41" s="1">
        <f ca="1">IFERROR(__xludf.DUMMYFUNCTION("""COMPUTED_VALUE"""),32.57)</f>
        <v>32.57</v>
      </c>
      <c r="D41" s="1">
        <f ca="1">IFERROR(__xludf.DUMMYFUNCTION("""COMPUTED_VALUE"""),32.08)</f>
        <v>32.08</v>
      </c>
      <c r="E41" s="1">
        <f ca="1">IFERROR(__xludf.DUMMYFUNCTION("""COMPUTED_VALUE"""),32.27)</f>
        <v>32.270000000000003</v>
      </c>
      <c r="F41" s="1">
        <f ca="1">IFERROR(__xludf.DUMMYFUNCTION("""COMPUTED_VALUE"""),48096663)</f>
        <v>48096663</v>
      </c>
    </row>
    <row r="42" spans="1:6" x14ac:dyDescent="0.35">
      <c r="A42" s="2">
        <f ca="1">IFERROR(__xludf.DUMMYFUNCTION("""COMPUTED_VALUE"""),42066.6666666666)</f>
        <v>42066.666666666599</v>
      </c>
      <c r="B42" s="1">
        <f ca="1">IFERROR(__xludf.DUMMYFUNCTION("""COMPUTED_VALUE"""),32.24)</f>
        <v>32.24</v>
      </c>
      <c r="C42" s="1">
        <f ca="1">IFERROR(__xludf.DUMMYFUNCTION("""COMPUTED_VALUE"""),32.38)</f>
        <v>32.380000000000003</v>
      </c>
      <c r="D42" s="1">
        <f ca="1">IFERROR(__xludf.DUMMYFUNCTION("""COMPUTED_VALUE"""),32.02)</f>
        <v>32.020000000000003</v>
      </c>
      <c r="E42" s="1">
        <f ca="1">IFERROR(__xludf.DUMMYFUNCTION("""COMPUTED_VALUE"""),32.34)</f>
        <v>32.340000000000003</v>
      </c>
      <c r="F42" s="1">
        <f ca="1">IFERROR(__xludf.DUMMYFUNCTION("""COMPUTED_VALUE"""),37816283)</f>
        <v>37816283</v>
      </c>
    </row>
    <row r="43" spans="1:6" x14ac:dyDescent="0.35">
      <c r="A43" s="2">
        <f ca="1">IFERROR(__xludf.DUMMYFUNCTION("""COMPUTED_VALUE"""),42067.6666666666)</f>
        <v>42067.666666666599</v>
      </c>
      <c r="B43" s="1">
        <f ca="1">IFERROR(__xludf.DUMMYFUNCTION("""COMPUTED_VALUE"""),32.28)</f>
        <v>32.28</v>
      </c>
      <c r="C43" s="1">
        <f ca="1">IFERROR(__xludf.DUMMYFUNCTION("""COMPUTED_VALUE"""),32.39)</f>
        <v>32.39</v>
      </c>
      <c r="D43" s="1">
        <f ca="1">IFERROR(__xludf.DUMMYFUNCTION("""COMPUTED_VALUE"""),32.08)</f>
        <v>32.08</v>
      </c>
      <c r="E43" s="1">
        <f ca="1">IFERROR(__xludf.DUMMYFUNCTION("""COMPUTED_VALUE"""),32.14)</f>
        <v>32.14</v>
      </c>
      <c r="F43" s="1">
        <f ca="1">IFERROR(__xludf.DUMMYFUNCTION("""COMPUTED_VALUE"""),31666340)</f>
        <v>31666340</v>
      </c>
    </row>
    <row r="44" spans="1:6" x14ac:dyDescent="0.35">
      <c r="A44" s="2">
        <f ca="1">IFERROR(__xludf.DUMMYFUNCTION("""COMPUTED_VALUE"""),42068.6666666666)</f>
        <v>42068.666666666599</v>
      </c>
      <c r="B44" s="1">
        <f ca="1">IFERROR(__xludf.DUMMYFUNCTION("""COMPUTED_VALUE"""),32.15)</f>
        <v>32.15</v>
      </c>
      <c r="C44" s="1">
        <f ca="1">IFERROR(__xludf.DUMMYFUNCTION("""COMPUTED_VALUE"""),32.19)</f>
        <v>32.19</v>
      </c>
      <c r="D44" s="1">
        <f ca="1">IFERROR(__xludf.DUMMYFUNCTION("""COMPUTED_VALUE"""),31.44)</f>
        <v>31.44</v>
      </c>
      <c r="E44" s="1">
        <f ca="1">IFERROR(__xludf.DUMMYFUNCTION("""COMPUTED_VALUE"""),31.6)</f>
        <v>31.6</v>
      </c>
      <c r="F44" s="1">
        <f ca="1">IFERROR(__xludf.DUMMYFUNCTION("""COMPUTED_VALUE"""),56517146)</f>
        <v>56517146</v>
      </c>
    </row>
    <row r="45" spans="1:6" x14ac:dyDescent="0.35">
      <c r="A45" s="2">
        <f ca="1">IFERROR(__xludf.DUMMYFUNCTION("""COMPUTED_VALUE"""),42069.6666666666)</f>
        <v>42069.666666666599</v>
      </c>
      <c r="B45" s="1">
        <f ca="1">IFERROR(__xludf.DUMMYFUNCTION("""COMPUTED_VALUE"""),32.1)</f>
        <v>32.1</v>
      </c>
      <c r="C45" s="1">
        <f ca="1">IFERROR(__xludf.DUMMYFUNCTION("""COMPUTED_VALUE"""),32.34)</f>
        <v>32.340000000000003</v>
      </c>
      <c r="D45" s="1">
        <f ca="1">IFERROR(__xludf.DUMMYFUNCTION("""COMPUTED_VALUE"""),31.57)</f>
        <v>31.57</v>
      </c>
      <c r="E45" s="1">
        <f ca="1">IFERROR(__xludf.DUMMYFUNCTION("""COMPUTED_VALUE"""),31.65)</f>
        <v>31.65</v>
      </c>
      <c r="F45" s="1">
        <f ca="1">IFERROR(__xludf.DUMMYFUNCTION("""COMPUTED_VALUE"""),72842060)</f>
        <v>72842060</v>
      </c>
    </row>
    <row r="46" spans="1:6" x14ac:dyDescent="0.35">
      <c r="A46" s="2">
        <f ca="1">IFERROR(__xludf.DUMMYFUNCTION("""COMPUTED_VALUE"""),42072.6666666666)</f>
        <v>42072.666666666599</v>
      </c>
      <c r="B46" s="1">
        <f ca="1">IFERROR(__xludf.DUMMYFUNCTION("""COMPUTED_VALUE"""),31.99)</f>
        <v>31.99</v>
      </c>
      <c r="C46" s="1">
        <f ca="1">IFERROR(__xludf.DUMMYFUNCTION("""COMPUTED_VALUE"""),32.39)</f>
        <v>32.39</v>
      </c>
      <c r="D46" s="1">
        <f ca="1">IFERROR(__xludf.DUMMYFUNCTION("""COMPUTED_VALUE"""),31.27)</f>
        <v>31.27</v>
      </c>
      <c r="E46" s="1">
        <f ca="1">IFERROR(__xludf.DUMMYFUNCTION("""COMPUTED_VALUE"""),31.79)</f>
        <v>31.79</v>
      </c>
      <c r="F46" s="1">
        <f ca="1">IFERROR(__xludf.DUMMYFUNCTION("""COMPUTED_VALUE"""),88528487)</f>
        <v>88528487</v>
      </c>
    </row>
    <row r="47" spans="1:6" x14ac:dyDescent="0.35">
      <c r="A47" s="2">
        <f ca="1">IFERROR(__xludf.DUMMYFUNCTION("""COMPUTED_VALUE"""),42073.6666666666)</f>
        <v>42073.666666666599</v>
      </c>
      <c r="B47" s="1">
        <f ca="1">IFERROR(__xludf.DUMMYFUNCTION("""COMPUTED_VALUE"""),31.6)</f>
        <v>31.6</v>
      </c>
      <c r="C47" s="1">
        <f ca="1">IFERROR(__xludf.DUMMYFUNCTION("""COMPUTED_VALUE"""),31.81)</f>
        <v>31.81</v>
      </c>
      <c r="D47" s="1">
        <f ca="1">IFERROR(__xludf.DUMMYFUNCTION("""COMPUTED_VALUE"""),30.95)</f>
        <v>30.95</v>
      </c>
      <c r="E47" s="1">
        <f ca="1">IFERROR(__xludf.DUMMYFUNCTION("""COMPUTED_VALUE"""),31.13)</f>
        <v>31.13</v>
      </c>
      <c r="F47" s="1">
        <f ca="1">IFERROR(__xludf.DUMMYFUNCTION("""COMPUTED_VALUE"""),68856582)</f>
        <v>68856582</v>
      </c>
    </row>
    <row r="48" spans="1:6" x14ac:dyDescent="0.35">
      <c r="A48" s="2">
        <f ca="1">IFERROR(__xludf.DUMMYFUNCTION("""COMPUTED_VALUE"""),42074.6666666666)</f>
        <v>42074.666666666599</v>
      </c>
      <c r="B48" s="1">
        <f ca="1">IFERROR(__xludf.DUMMYFUNCTION("""COMPUTED_VALUE"""),31.19)</f>
        <v>31.19</v>
      </c>
      <c r="C48" s="1">
        <f ca="1">IFERROR(__xludf.DUMMYFUNCTION("""COMPUTED_VALUE"""),31.19)</f>
        <v>31.19</v>
      </c>
      <c r="D48" s="1">
        <f ca="1">IFERROR(__xludf.DUMMYFUNCTION("""COMPUTED_VALUE"""),30.53)</f>
        <v>30.53</v>
      </c>
      <c r="E48" s="1">
        <f ca="1">IFERROR(__xludf.DUMMYFUNCTION("""COMPUTED_VALUE"""),30.56)</f>
        <v>30.56</v>
      </c>
      <c r="F48" s="1">
        <f ca="1">IFERROR(__xludf.DUMMYFUNCTION("""COMPUTED_VALUE"""),68938974)</f>
        <v>68938974</v>
      </c>
    </row>
    <row r="49" spans="1:6" x14ac:dyDescent="0.35">
      <c r="A49" s="2">
        <f ca="1">IFERROR(__xludf.DUMMYFUNCTION("""COMPUTED_VALUE"""),42075.6666666666)</f>
        <v>42075.666666666599</v>
      </c>
      <c r="B49" s="1">
        <f ca="1">IFERROR(__xludf.DUMMYFUNCTION("""COMPUTED_VALUE"""),30.58)</f>
        <v>30.58</v>
      </c>
      <c r="C49" s="1">
        <f ca="1">IFERROR(__xludf.DUMMYFUNCTION("""COMPUTED_VALUE"""),31.23)</f>
        <v>31.23</v>
      </c>
      <c r="D49" s="1">
        <f ca="1">IFERROR(__xludf.DUMMYFUNCTION("""COMPUTED_VALUE"""),30.41)</f>
        <v>30.41</v>
      </c>
      <c r="E49" s="1">
        <f ca="1">IFERROR(__xludf.DUMMYFUNCTION("""COMPUTED_VALUE"""),31.11)</f>
        <v>31.11</v>
      </c>
      <c r="F49" s="1">
        <f ca="1">IFERROR(__xludf.DUMMYFUNCTION("""COMPUTED_VALUE"""),48362719)</f>
        <v>48362719</v>
      </c>
    </row>
    <row r="50" spans="1:6" x14ac:dyDescent="0.35">
      <c r="A50" s="2">
        <f ca="1">IFERROR(__xludf.DUMMYFUNCTION("""COMPUTED_VALUE"""),42076.6666666666)</f>
        <v>42076.666666666599</v>
      </c>
      <c r="B50" s="1">
        <f ca="1">IFERROR(__xludf.DUMMYFUNCTION("""COMPUTED_VALUE"""),31.1)</f>
        <v>31.1</v>
      </c>
      <c r="C50" s="1">
        <f ca="1">IFERROR(__xludf.DUMMYFUNCTION("""COMPUTED_VALUE"""),31.35)</f>
        <v>31.35</v>
      </c>
      <c r="D50" s="1">
        <f ca="1">IFERROR(__xludf.DUMMYFUNCTION("""COMPUTED_VALUE"""),30.65)</f>
        <v>30.65</v>
      </c>
      <c r="E50" s="1">
        <f ca="1">IFERROR(__xludf.DUMMYFUNCTION("""COMPUTED_VALUE"""),30.9)</f>
        <v>30.9</v>
      </c>
      <c r="F50" s="1">
        <f ca="1">IFERROR(__xludf.DUMMYFUNCTION("""COMPUTED_VALUE"""),51827283)</f>
        <v>51827283</v>
      </c>
    </row>
    <row r="51" spans="1:6" x14ac:dyDescent="0.35">
      <c r="A51" s="2">
        <f ca="1">IFERROR(__xludf.DUMMYFUNCTION("""COMPUTED_VALUE"""),42079.6666666666)</f>
        <v>42079.666666666599</v>
      </c>
      <c r="B51" s="1">
        <f ca="1">IFERROR(__xludf.DUMMYFUNCTION("""COMPUTED_VALUE"""),30.97)</f>
        <v>30.97</v>
      </c>
      <c r="C51" s="1">
        <f ca="1">IFERROR(__xludf.DUMMYFUNCTION("""COMPUTED_VALUE"""),31.24)</f>
        <v>31.24</v>
      </c>
      <c r="D51" s="1">
        <f ca="1">IFERROR(__xludf.DUMMYFUNCTION("""COMPUTED_VALUE"""),30.72)</f>
        <v>30.72</v>
      </c>
      <c r="E51" s="1">
        <f ca="1">IFERROR(__xludf.DUMMYFUNCTION("""COMPUTED_VALUE"""),31.24)</f>
        <v>31.24</v>
      </c>
      <c r="F51" s="1">
        <f ca="1">IFERROR(__xludf.DUMMYFUNCTION("""COMPUTED_VALUE"""),35874300)</f>
        <v>35874300</v>
      </c>
    </row>
    <row r="52" spans="1:6" x14ac:dyDescent="0.35">
      <c r="A52" s="2">
        <f ca="1">IFERROR(__xludf.DUMMYFUNCTION("""COMPUTED_VALUE"""),42080.6666666666)</f>
        <v>42080.666666666599</v>
      </c>
      <c r="B52" s="1">
        <f ca="1">IFERROR(__xludf.DUMMYFUNCTION("""COMPUTED_VALUE"""),31.48)</f>
        <v>31.48</v>
      </c>
      <c r="C52" s="1">
        <f ca="1">IFERROR(__xludf.DUMMYFUNCTION("""COMPUTED_VALUE"""),31.83)</f>
        <v>31.83</v>
      </c>
      <c r="D52" s="1">
        <f ca="1">IFERROR(__xludf.DUMMYFUNCTION("""COMPUTED_VALUE"""),31.41)</f>
        <v>31.41</v>
      </c>
      <c r="E52" s="1">
        <f ca="1">IFERROR(__xludf.DUMMYFUNCTION("""COMPUTED_VALUE"""),31.76)</f>
        <v>31.76</v>
      </c>
      <c r="F52" s="1">
        <f ca="1">IFERROR(__xludf.DUMMYFUNCTION("""COMPUTED_VALUE"""),51023104)</f>
        <v>51023104</v>
      </c>
    </row>
    <row r="53" spans="1:6" x14ac:dyDescent="0.35">
      <c r="A53" s="2">
        <f ca="1">IFERROR(__xludf.DUMMYFUNCTION("""COMPUTED_VALUE"""),42081.6666666666)</f>
        <v>42081.666666666599</v>
      </c>
      <c r="B53" s="1">
        <f ca="1">IFERROR(__xludf.DUMMYFUNCTION("""COMPUTED_VALUE"""),31.75)</f>
        <v>31.75</v>
      </c>
      <c r="C53" s="1">
        <f ca="1">IFERROR(__xludf.DUMMYFUNCTION("""COMPUTED_VALUE"""),32.29)</f>
        <v>32.29</v>
      </c>
      <c r="D53" s="1">
        <f ca="1">IFERROR(__xludf.DUMMYFUNCTION("""COMPUTED_VALUE"""),31.59)</f>
        <v>31.59</v>
      </c>
      <c r="E53" s="1">
        <f ca="1">IFERROR(__xludf.DUMMYFUNCTION("""COMPUTED_VALUE"""),32.12)</f>
        <v>32.119999999999997</v>
      </c>
      <c r="F53" s="1">
        <f ca="1">IFERROR(__xludf.DUMMYFUNCTION("""COMPUTED_VALUE"""),65270945)</f>
        <v>65270945</v>
      </c>
    </row>
    <row r="54" spans="1:6" x14ac:dyDescent="0.35">
      <c r="A54" s="2">
        <f ca="1">IFERROR(__xludf.DUMMYFUNCTION("""COMPUTED_VALUE"""),42082.6666666666)</f>
        <v>42082.666666666599</v>
      </c>
      <c r="B54" s="1">
        <f ca="1">IFERROR(__xludf.DUMMYFUNCTION("""COMPUTED_VALUE"""),32.19)</f>
        <v>32.19</v>
      </c>
      <c r="C54" s="1">
        <f ca="1">IFERROR(__xludf.DUMMYFUNCTION("""COMPUTED_VALUE"""),32.31)</f>
        <v>32.31</v>
      </c>
      <c r="D54" s="1">
        <f ca="1">IFERROR(__xludf.DUMMYFUNCTION("""COMPUTED_VALUE"""),31.85)</f>
        <v>31.85</v>
      </c>
      <c r="E54" s="1">
        <f ca="1">IFERROR(__xludf.DUMMYFUNCTION("""COMPUTED_VALUE"""),31.87)</f>
        <v>31.87</v>
      </c>
      <c r="F54" s="1">
        <f ca="1">IFERROR(__xludf.DUMMYFUNCTION("""COMPUTED_VALUE"""),45809490)</f>
        <v>45809490</v>
      </c>
    </row>
    <row r="55" spans="1:6" x14ac:dyDescent="0.35">
      <c r="A55" s="2">
        <f ca="1">IFERROR(__xludf.DUMMYFUNCTION("""COMPUTED_VALUE"""),42083.6666666666)</f>
        <v>42083.666666666599</v>
      </c>
      <c r="B55" s="1">
        <f ca="1">IFERROR(__xludf.DUMMYFUNCTION("""COMPUTED_VALUE"""),32.06)</f>
        <v>32.06</v>
      </c>
      <c r="C55" s="1">
        <f ca="1">IFERROR(__xludf.DUMMYFUNCTION("""COMPUTED_VALUE"""),32.1)</f>
        <v>32.1</v>
      </c>
      <c r="D55" s="1">
        <f ca="1">IFERROR(__xludf.DUMMYFUNCTION("""COMPUTED_VALUE"""),31.29)</f>
        <v>31.29</v>
      </c>
      <c r="E55" s="1">
        <f ca="1">IFERROR(__xludf.DUMMYFUNCTION("""COMPUTED_VALUE"""),31.48)</f>
        <v>31.48</v>
      </c>
      <c r="F55" s="1">
        <f ca="1">IFERROR(__xludf.DUMMYFUNCTION("""COMPUTED_VALUE"""),68695136)</f>
        <v>68695136</v>
      </c>
    </row>
    <row r="56" spans="1:6" x14ac:dyDescent="0.35">
      <c r="A56" s="2">
        <f ca="1">IFERROR(__xludf.DUMMYFUNCTION("""COMPUTED_VALUE"""),42086.6666666666)</f>
        <v>42086.666666666599</v>
      </c>
      <c r="B56" s="1">
        <f ca="1">IFERROR(__xludf.DUMMYFUNCTION("""COMPUTED_VALUE"""),31.78)</f>
        <v>31.78</v>
      </c>
      <c r="C56" s="1">
        <f ca="1">IFERROR(__xludf.DUMMYFUNCTION("""COMPUTED_VALUE"""),31.96)</f>
        <v>31.96</v>
      </c>
      <c r="D56" s="1">
        <f ca="1">IFERROR(__xludf.DUMMYFUNCTION("""COMPUTED_VALUE"""),31.63)</f>
        <v>31.63</v>
      </c>
      <c r="E56" s="1">
        <f ca="1">IFERROR(__xludf.DUMMYFUNCTION("""COMPUTED_VALUE"""),31.8)</f>
        <v>31.8</v>
      </c>
      <c r="F56" s="1">
        <f ca="1">IFERROR(__xludf.DUMMYFUNCTION("""COMPUTED_VALUE"""),37709674)</f>
        <v>37709674</v>
      </c>
    </row>
    <row r="57" spans="1:6" x14ac:dyDescent="0.35">
      <c r="A57" s="2">
        <f ca="1">IFERROR(__xludf.DUMMYFUNCTION("""COMPUTED_VALUE"""),42087.6666666666)</f>
        <v>42087.666666666599</v>
      </c>
      <c r="B57" s="1">
        <f ca="1">IFERROR(__xludf.DUMMYFUNCTION("""COMPUTED_VALUE"""),31.81)</f>
        <v>31.81</v>
      </c>
      <c r="C57" s="1">
        <f ca="1">IFERROR(__xludf.DUMMYFUNCTION("""COMPUTED_VALUE"""),32.01)</f>
        <v>32.01</v>
      </c>
      <c r="D57" s="1">
        <f ca="1">IFERROR(__xludf.DUMMYFUNCTION("""COMPUTED_VALUE"""),31.64)</f>
        <v>31.64</v>
      </c>
      <c r="E57" s="1">
        <f ca="1">IFERROR(__xludf.DUMMYFUNCTION("""COMPUTED_VALUE"""),31.67)</f>
        <v>31.67</v>
      </c>
      <c r="F57" s="1">
        <f ca="1">IFERROR(__xludf.DUMMYFUNCTION("""COMPUTED_VALUE"""),32842304)</f>
        <v>32842304</v>
      </c>
    </row>
    <row r="58" spans="1:6" x14ac:dyDescent="0.35">
      <c r="A58" s="2">
        <f ca="1">IFERROR(__xludf.DUMMYFUNCTION("""COMPUTED_VALUE"""),42088.6666666666)</f>
        <v>42088.666666666599</v>
      </c>
      <c r="B58" s="1">
        <f ca="1">IFERROR(__xludf.DUMMYFUNCTION("""COMPUTED_VALUE"""),31.64)</f>
        <v>31.64</v>
      </c>
      <c r="C58" s="1">
        <f ca="1">IFERROR(__xludf.DUMMYFUNCTION("""COMPUTED_VALUE"""),31.71)</f>
        <v>31.71</v>
      </c>
      <c r="D58" s="1">
        <f ca="1">IFERROR(__xludf.DUMMYFUNCTION("""COMPUTED_VALUE"""),30.85)</f>
        <v>30.85</v>
      </c>
      <c r="E58" s="1">
        <f ca="1">IFERROR(__xludf.DUMMYFUNCTION("""COMPUTED_VALUE"""),30.85)</f>
        <v>30.85</v>
      </c>
      <c r="F58" s="1">
        <f ca="1">IFERROR(__xludf.DUMMYFUNCTION("""COMPUTED_VALUE"""),51655177)</f>
        <v>51655177</v>
      </c>
    </row>
    <row r="59" spans="1:6" x14ac:dyDescent="0.35">
      <c r="A59" s="2">
        <f ca="1">IFERROR(__xludf.DUMMYFUNCTION("""COMPUTED_VALUE"""),42089.6666666666)</f>
        <v>42089.666666666599</v>
      </c>
      <c r="B59" s="1">
        <f ca="1">IFERROR(__xludf.DUMMYFUNCTION("""COMPUTED_VALUE"""),30.69)</f>
        <v>30.69</v>
      </c>
      <c r="C59" s="1">
        <f ca="1">IFERROR(__xludf.DUMMYFUNCTION("""COMPUTED_VALUE"""),31.22)</f>
        <v>31.22</v>
      </c>
      <c r="D59" s="1">
        <f ca="1">IFERROR(__xludf.DUMMYFUNCTION("""COMPUTED_VALUE"""),30.65)</f>
        <v>30.65</v>
      </c>
      <c r="E59" s="1">
        <f ca="1">IFERROR(__xludf.DUMMYFUNCTION("""COMPUTED_VALUE"""),31.06)</f>
        <v>31.06</v>
      </c>
      <c r="F59" s="1">
        <f ca="1">IFERROR(__xludf.DUMMYFUNCTION("""COMPUTED_VALUE"""),47572869)</f>
        <v>47572869</v>
      </c>
    </row>
    <row r="60" spans="1:6" x14ac:dyDescent="0.35">
      <c r="A60" s="2">
        <f ca="1">IFERROR(__xludf.DUMMYFUNCTION("""COMPUTED_VALUE"""),42090.6666666666)</f>
        <v>42090.666666666599</v>
      </c>
      <c r="B60" s="1">
        <f ca="1">IFERROR(__xludf.DUMMYFUNCTION("""COMPUTED_VALUE"""),31.14)</f>
        <v>31.14</v>
      </c>
      <c r="C60" s="1">
        <f ca="1">IFERROR(__xludf.DUMMYFUNCTION("""COMPUTED_VALUE"""),31.18)</f>
        <v>31.18</v>
      </c>
      <c r="D60" s="1">
        <f ca="1">IFERROR(__xludf.DUMMYFUNCTION("""COMPUTED_VALUE"""),30.73)</f>
        <v>30.73</v>
      </c>
      <c r="E60" s="1">
        <f ca="1">IFERROR(__xludf.DUMMYFUNCTION("""COMPUTED_VALUE"""),30.81)</f>
        <v>30.81</v>
      </c>
      <c r="F60" s="1">
        <f ca="1">IFERROR(__xludf.DUMMYFUNCTION("""COMPUTED_VALUE"""),39546151)</f>
        <v>39546151</v>
      </c>
    </row>
    <row r="61" spans="1:6" x14ac:dyDescent="0.35">
      <c r="A61" s="2">
        <f ca="1">IFERROR(__xludf.DUMMYFUNCTION("""COMPUTED_VALUE"""),42093.6666666666)</f>
        <v>42093.666666666599</v>
      </c>
      <c r="B61" s="1">
        <f ca="1">IFERROR(__xludf.DUMMYFUNCTION("""COMPUTED_VALUE"""),31.03)</f>
        <v>31.03</v>
      </c>
      <c r="C61" s="1">
        <f ca="1">IFERROR(__xludf.DUMMYFUNCTION("""COMPUTED_VALUE"""),31.6)</f>
        <v>31.6</v>
      </c>
      <c r="D61" s="1">
        <f ca="1">IFERROR(__xludf.DUMMYFUNCTION("""COMPUTED_VALUE"""),31)</f>
        <v>31</v>
      </c>
      <c r="E61" s="1">
        <f ca="1">IFERROR(__xludf.DUMMYFUNCTION("""COMPUTED_VALUE"""),31.59)</f>
        <v>31.59</v>
      </c>
      <c r="F61" s="1">
        <f ca="1">IFERROR(__xludf.DUMMYFUNCTION("""COMPUTED_VALUE"""),47099670)</f>
        <v>47099670</v>
      </c>
    </row>
    <row r="62" spans="1:6" x14ac:dyDescent="0.35">
      <c r="A62" s="2">
        <f ca="1">IFERROR(__xludf.DUMMYFUNCTION("""COMPUTED_VALUE"""),42094.6666666666)</f>
        <v>42094.666666666599</v>
      </c>
      <c r="B62" s="1">
        <f ca="1">IFERROR(__xludf.DUMMYFUNCTION("""COMPUTED_VALUE"""),31.52)</f>
        <v>31.52</v>
      </c>
      <c r="C62" s="1">
        <f ca="1">IFERROR(__xludf.DUMMYFUNCTION("""COMPUTED_VALUE"""),31.62)</f>
        <v>31.62</v>
      </c>
      <c r="D62" s="1">
        <f ca="1">IFERROR(__xludf.DUMMYFUNCTION("""COMPUTED_VALUE"""),31.09)</f>
        <v>31.09</v>
      </c>
      <c r="E62" s="1">
        <f ca="1">IFERROR(__xludf.DUMMYFUNCTION("""COMPUTED_VALUE"""),31.11)</f>
        <v>31.11</v>
      </c>
      <c r="F62" s="1">
        <f ca="1">IFERROR(__xludf.DUMMYFUNCTION("""COMPUTED_VALUE"""),42090553)</f>
        <v>42090553</v>
      </c>
    </row>
    <row r="63" spans="1:6" x14ac:dyDescent="0.35">
      <c r="A63" s="2">
        <f ca="1">IFERROR(__xludf.DUMMYFUNCTION("""COMPUTED_VALUE"""),42095.6666666666)</f>
        <v>42095.666666666599</v>
      </c>
      <c r="B63" s="1">
        <f ca="1">IFERROR(__xludf.DUMMYFUNCTION("""COMPUTED_VALUE"""),31.21)</f>
        <v>31.21</v>
      </c>
      <c r="C63" s="1">
        <f ca="1">IFERROR(__xludf.DUMMYFUNCTION("""COMPUTED_VALUE"""),31.28)</f>
        <v>31.28</v>
      </c>
      <c r="D63" s="1">
        <f ca="1">IFERROR(__xludf.DUMMYFUNCTION("""COMPUTED_VALUE"""),30.78)</f>
        <v>30.78</v>
      </c>
      <c r="E63" s="1">
        <f ca="1">IFERROR(__xludf.DUMMYFUNCTION("""COMPUTED_VALUE"""),31.06)</f>
        <v>31.06</v>
      </c>
      <c r="F63" s="1">
        <f ca="1">IFERROR(__xludf.DUMMYFUNCTION("""COMPUTED_VALUE"""),40621437)</f>
        <v>40621437</v>
      </c>
    </row>
    <row r="64" spans="1:6" x14ac:dyDescent="0.35">
      <c r="A64" s="2">
        <f ca="1">IFERROR(__xludf.DUMMYFUNCTION("""COMPUTED_VALUE"""),42096.6666666666)</f>
        <v>42096.666666666599</v>
      </c>
      <c r="B64" s="1">
        <f ca="1">IFERROR(__xludf.DUMMYFUNCTION("""COMPUTED_VALUE"""),31.26)</f>
        <v>31.26</v>
      </c>
      <c r="C64" s="1">
        <f ca="1">IFERROR(__xludf.DUMMYFUNCTION("""COMPUTED_VALUE"""),31.39)</f>
        <v>31.39</v>
      </c>
      <c r="D64" s="1">
        <f ca="1">IFERROR(__xludf.DUMMYFUNCTION("""COMPUTED_VALUE"""),31.05)</f>
        <v>31.05</v>
      </c>
      <c r="E64" s="1">
        <f ca="1">IFERROR(__xludf.DUMMYFUNCTION("""COMPUTED_VALUE"""),31.33)</f>
        <v>31.33</v>
      </c>
      <c r="F64" s="1">
        <f ca="1">IFERROR(__xludf.DUMMYFUNCTION("""COMPUTED_VALUE"""),32220131)</f>
        <v>32220131</v>
      </c>
    </row>
    <row r="65" spans="1:6" x14ac:dyDescent="0.35">
      <c r="A65" s="2">
        <f ca="1">IFERROR(__xludf.DUMMYFUNCTION("""COMPUTED_VALUE"""),42100.6666666666)</f>
        <v>42100.666666666599</v>
      </c>
      <c r="B65" s="1">
        <f ca="1">IFERROR(__xludf.DUMMYFUNCTION("""COMPUTED_VALUE"""),31.12)</f>
        <v>31.12</v>
      </c>
      <c r="C65" s="1">
        <f ca="1">IFERROR(__xludf.DUMMYFUNCTION("""COMPUTED_VALUE"""),31.88)</f>
        <v>31.88</v>
      </c>
      <c r="D65" s="1">
        <f ca="1">IFERROR(__xludf.DUMMYFUNCTION("""COMPUTED_VALUE"""),31.08)</f>
        <v>31.08</v>
      </c>
      <c r="E65" s="1">
        <f ca="1">IFERROR(__xludf.DUMMYFUNCTION("""COMPUTED_VALUE"""),31.84)</f>
        <v>31.84</v>
      </c>
      <c r="F65" s="1">
        <f ca="1">IFERROR(__xludf.DUMMYFUNCTION("""COMPUTED_VALUE"""),37193975)</f>
        <v>37193975</v>
      </c>
    </row>
    <row r="66" spans="1:6" x14ac:dyDescent="0.35">
      <c r="A66" s="2">
        <f ca="1">IFERROR(__xludf.DUMMYFUNCTION("""COMPUTED_VALUE"""),42101.6666666666)</f>
        <v>42101.666666666599</v>
      </c>
      <c r="B66" s="1">
        <f ca="1">IFERROR(__xludf.DUMMYFUNCTION("""COMPUTED_VALUE"""),31.91)</f>
        <v>31.91</v>
      </c>
      <c r="C66" s="1">
        <f ca="1">IFERROR(__xludf.DUMMYFUNCTION("""COMPUTED_VALUE"""),32.03)</f>
        <v>32.03</v>
      </c>
      <c r="D66" s="1">
        <f ca="1">IFERROR(__xludf.DUMMYFUNCTION("""COMPUTED_VALUE"""),31.5)</f>
        <v>31.5</v>
      </c>
      <c r="E66" s="1">
        <f ca="1">IFERROR(__xludf.DUMMYFUNCTION("""COMPUTED_VALUE"""),31.5)</f>
        <v>31.5</v>
      </c>
      <c r="F66" s="1">
        <f ca="1">IFERROR(__xludf.DUMMYFUNCTION("""COMPUTED_VALUE"""),35012268)</f>
        <v>35012268</v>
      </c>
    </row>
    <row r="67" spans="1:6" x14ac:dyDescent="0.35">
      <c r="A67" s="2">
        <f ca="1">IFERROR(__xludf.DUMMYFUNCTION("""COMPUTED_VALUE"""),42102.6666666666)</f>
        <v>42102.666666666599</v>
      </c>
      <c r="B67" s="1">
        <f ca="1">IFERROR(__xludf.DUMMYFUNCTION("""COMPUTED_VALUE"""),31.46)</f>
        <v>31.46</v>
      </c>
      <c r="C67" s="1">
        <f ca="1">IFERROR(__xludf.DUMMYFUNCTION("""COMPUTED_VALUE"""),31.6)</f>
        <v>31.6</v>
      </c>
      <c r="D67" s="1">
        <f ca="1">IFERROR(__xludf.DUMMYFUNCTION("""COMPUTED_VALUE"""),31.24)</f>
        <v>31.24</v>
      </c>
      <c r="E67" s="1">
        <f ca="1">IFERROR(__xludf.DUMMYFUNCTION("""COMPUTED_VALUE"""),31.4)</f>
        <v>31.4</v>
      </c>
      <c r="F67" s="1">
        <f ca="1">IFERROR(__xludf.DUMMYFUNCTION("""COMPUTED_VALUE"""),37329243)</f>
        <v>37329243</v>
      </c>
    </row>
    <row r="68" spans="1:6" x14ac:dyDescent="0.35">
      <c r="A68" s="2">
        <f ca="1">IFERROR(__xludf.DUMMYFUNCTION("""COMPUTED_VALUE"""),42103.6666666666)</f>
        <v>42103.666666666599</v>
      </c>
      <c r="B68" s="1">
        <f ca="1">IFERROR(__xludf.DUMMYFUNCTION("""COMPUTED_VALUE"""),31.46)</f>
        <v>31.46</v>
      </c>
      <c r="C68" s="1">
        <f ca="1">IFERROR(__xludf.DUMMYFUNCTION("""COMPUTED_VALUE"""),31.65)</f>
        <v>31.65</v>
      </c>
      <c r="D68" s="1">
        <f ca="1">IFERROR(__xludf.DUMMYFUNCTION("""COMPUTED_VALUE"""),31.17)</f>
        <v>31.17</v>
      </c>
      <c r="E68" s="1">
        <f ca="1">IFERROR(__xludf.DUMMYFUNCTION("""COMPUTED_VALUE"""),31.64)</f>
        <v>31.64</v>
      </c>
      <c r="F68" s="1">
        <f ca="1">IFERROR(__xludf.DUMMYFUNCTION("""COMPUTED_VALUE"""),32483974)</f>
        <v>32483974</v>
      </c>
    </row>
    <row r="69" spans="1:6" x14ac:dyDescent="0.35">
      <c r="A69" s="2">
        <f ca="1">IFERROR(__xludf.DUMMYFUNCTION("""COMPUTED_VALUE"""),42104.6666666666)</f>
        <v>42104.666666666599</v>
      </c>
      <c r="B69" s="1">
        <f ca="1">IFERROR(__xludf.DUMMYFUNCTION("""COMPUTED_VALUE"""),31.49)</f>
        <v>31.49</v>
      </c>
      <c r="C69" s="1">
        <f ca="1">IFERROR(__xludf.DUMMYFUNCTION("""COMPUTED_VALUE"""),31.8)</f>
        <v>31.8</v>
      </c>
      <c r="D69" s="1">
        <f ca="1">IFERROR(__xludf.DUMMYFUNCTION("""COMPUTED_VALUE"""),31.32)</f>
        <v>31.32</v>
      </c>
      <c r="E69" s="1">
        <f ca="1">IFERROR(__xludf.DUMMYFUNCTION("""COMPUTED_VALUE"""),31.78)</f>
        <v>31.78</v>
      </c>
      <c r="F69" s="1">
        <f ca="1">IFERROR(__xludf.DUMMYFUNCTION("""COMPUTED_VALUE"""),40187953)</f>
        <v>40187953</v>
      </c>
    </row>
    <row r="70" spans="1:6" x14ac:dyDescent="0.35">
      <c r="A70" s="2">
        <f ca="1">IFERROR(__xludf.DUMMYFUNCTION("""COMPUTED_VALUE"""),42107.6666666666)</f>
        <v>42107.666666666599</v>
      </c>
      <c r="B70" s="1">
        <f ca="1">IFERROR(__xludf.DUMMYFUNCTION("""COMPUTED_VALUE"""),32.09)</f>
        <v>32.090000000000003</v>
      </c>
      <c r="C70" s="1">
        <f ca="1">IFERROR(__xludf.DUMMYFUNCTION("""COMPUTED_VALUE"""),32.14)</f>
        <v>32.14</v>
      </c>
      <c r="D70" s="1">
        <f ca="1">IFERROR(__xludf.DUMMYFUNCTION("""COMPUTED_VALUE"""),31.65)</f>
        <v>31.65</v>
      </c>
      <c r="E70" s="1">
        <f ca="1">IFERROR(__xludf.DUMMYFUNCTION("""COMPUTED_VALUE"""),31.71)</f>
        <v>31.71</v>
      </c>
      <c r="F70" s="1">
        <f ca="1">IFERROR(__xludf.DUMMYFUNCTION("""COMPUTED_VALUE"""),36365123)</f>
        <v>36365123</v>
      </c>
    </row>
    <row r="71" spans="1:6" x14ac:dyDescent="0.35">
      <c r="A71" s="2">
        <f ca="1">IFERROR(__xludf.DUMMYFUNCTION("""COMPUTED_VALUE"""),42108.6666666666)</f>
        <v>42108.666666666599</v>
      </c>
      <c r="B71" s="1">
        <f ca="1">IFERROR(__xludf.DUMMYFUNCTION("""COMPUTED_VALUE"""),31.75)</f>
        <v>31.75</v>
      </c>
      <c r="C71" s="1">
        <f ca="1">IFERROR(__xludf.DUMMYFUNCTION("""COMPUTED_VALUE"""),31.82)</f>
        <v>31.82</v>
      </c>
      <c r="D71" s="1">
        <f ca="1">IFERROR(__xludf.DUMMYFUNCTION("""COMPUTED_VALUE"""),31.48)</f>
        <v>31.48</v>
      </c>
      <c r="E71" s="1">
        <f ca="1">IFERROR(__xludf.DUMMYFUNCTION("""COMPUTED_VALUE"""),31.58)</f>
        <v>31.58</v>
      </c>
      <c r="F71" s="1">
        <f ca="1">IFERROR(__xludf.DUMMYFUNCTION("""COMPUTED_VALUE"""),25524593)</f>
        <v>25524593</v>
      </c>
    </row>
    <row r="72" spans="1:6" x14ac:dyDescent="0.35">
      <c r="A72" s="2">
        <f ca="1">IFERROR(__xludf.DUMMYFUNCTION("""COMPUTED_VALUE"""),42109.6666666666)</f>
        <v>42109.666666666599</v>
      </c>
      <c r="B72" s="1">
        <f ca="1">IFERROR(__xludf.DUMMYFUNCTION("""COMPUTED_VALUE"""),31.6)</f>
        <v>31.6</v>
      </c>
      <c r="C72" s="1">
        <f ca="1">IFERROR(__xludf.DUMMYFUNCTION("""COMPUTED_VALUE"""),31.78)</f>
        <v>31.78</v>
      </c>
      <c r="D72" s="1">
        <f ca="1">IFERROR(__xludf.DUMMYFUNCTION("""COMPUTED_VALUE"""),31.5)</f>
        <v>31.5</v>
      </c>
      <c r="E72" s="1">
        <f ca="1">IFERROR(__xludf.DUMMYFUNCTION("""COMPUTED_VALUE"""),31.7)</f>
        <v>31.7</v>
      </c>
      <c r="F72" s="1">
        <f ca="1">IFERROR(__xludf.DUMMYFUNCTION("""COMPUTED_VALUE"""),28970419)</f>
        <v>28970419</v>
      </c>
    </row>
    <row r="73" spans="1:6" x14ac:dyDescent="0.35">
      <c r="A73" s="2">
        <f ca="1">IFERROR(__xludf.DUMMYFUNCTION("""COMPUTED_VALUE"""),42110.6666666666)</f>
        <v>42110.666666666599</v>
      </c>
      <c r="B73" s="1">
        <f ca="1">IFERROR(__xludf.DUMMYFUNCTION("""COMPUTED_VALUE"""),31.57)</f>
        <v>31.57</v>
      </c>
      <c r="C73" s="1">
        <f ca="1">IFERROR(__xludf.DUMMYFUNCTION("""COMPUTED_VALUE"""),31.78)</f>
        <v>31.78</v>
      </c>
      <c r="D73" s="1">
        <f ca="1">IFERROR(__xludf.DUMMYFUNCTION("""COMPUTED_VALUE"""),31.53)</f>
        <v>31.53</v>
      </c>
      <c r="E73" s="1">
        <f ca="1">IFERROR(__xludf.DUMMYFUNCTION("""COMPUTED_VALUE"""),31.54)</f>
        <v>31.54</v>
      </c>
      <c r="F73" s="1">
        <f ca="1">IFERROR(__xludf.DUMMYFUNCTION("""COMPUTED_VALUE"""),28368987)</f>
        <v>28368987</v>
      </c>
    </row>
    <row r="74" spans="1:6" x14ac:dyDescent="0.35">
      <c r="A74" s="2">
        <f ca="1">IFERROR(__xludf.DUMMYFUNCTION("""COMPUTED_VALUE"""),42111.6666666666)</f>
        <v>42111.666666666599</v>
      </c>
      <c r="B74" s="1">
        <f ca="1">IFERROR(__xludf.DUMMYFUNCTION("""COMPUTED_VALUE"""),31.39)</f>
        <v>31.39</v>
      </c>
      <c r="C74" s="1">
        <f ca="1">IFERROR(__xludf.DUMMYFUNCTION("""COMPUTED_VALUE"""),31.54)</f>
        <v>31.54</v>
      </c>
      <c r="D74" s="1">
        <f ca="1">IFERROR(__xludf.DUMMYFUNCTION("""COMPUTED_VALUE"""),31.12)</f>
        <v>31.12</v>
      </c>
      <c r="E74" s="1">
        <f ca="1">IFERROR(__xludf.DUMMYFUNCTION("""COMPUTED_VALUE"""),31.19)</f>
        <v>31.19</v>
      </c>
      <c r="F74" s="1">
        <f ca="1">IFERROR(__xludf.DUMMYFUNCTION("""COMPUTED_VALUE"""),51957046)</f>
        <v>51957046</v>
      </c>
    </row>
    <row r="75" spans="1:6" x14ac:dyDescent="0.35">
      <c r="A75" s="2">
        <f ca="1">IFERROR(__xludf.DUMMYFUNCTION("""COMPUTED_VALUE"""),42114.6666666666)</f>
        <v>42114.666666666599</v>
      </c>
      <c r="B75" s="1">
        <f ca="1">IFERROR(__xludf.DUMMYFUNCTION("""COMPUTED_VALUE"""),31.39)</f>
        <v>31.39</v>
      </c>
      <c r="C75" s="1">
        <f ca="1">IFERROR(__xludf.DUMMYFUNCTION("""COMPUTED_VALUE"""),32.03)</f>
        <v>32.03</v>
      </c>
      <c r="D75" s="1">
        <f ca="1">IFERROR(__xludf.DUMMYFUNCTION("""COMPUTED_VALUE"""),31.29)</f>
        <v>31.29</v>
      </c>
      <c r="E75" s="1">
        <f ca="1">IFERROR(__xludf.DUMMYFUNCTION("""COMPUTED_VALUE"""),31.9)</f>
        <v>31.9</v>
      </c>
      <c r="F75" s="1">
        <f ca="1">IFERROR(__xludf.DUMMYFUNCTION("""COMPUTED_VALUE"""),47054310)</f>
        <v>47054310</v>
      </c>
    </row>
    <row r="76" spans="1:6" x14ac:dyDescent="0.35">
      <c r="A76" s="2">
        <f ca="1">IFERROR(__xludf.DUMMYFUNCTION("""COMPUTED_VALUE"""),42115.6666666666)</f>
        <v>42115.666666666599</v>
      </c>
      <c r="B76" s="1">
        <f ca="1">IFERROR(__xludf.DUMMYFUNCTION("""COMPUTED_VALUE"""),32.03)</f>
        <v>32.03</v>
      </c>
      <c r="C76" s="1">
        <f ca="1">IFERROR(__xludf.DUMMYFUNCTION("""COMPUTED_VALUE"""),32.05)</f>
        <v>32.049999999999997</v>
      </c>
      <c r="D76" s="1">
        <f ca="1">IFERROR(__xludf.DUMMYFUNCTION("""COMPUTED_VALUE"""),31.67)</f>
        <v>31.67</v>
      </c>
      <c r="E76" s="1">
        <f ca="1">IFERROR(__xludf.DUMMYFUNCTION("""COMPUTED_VALUE"""),31.73)</f>
        <v>31.73</v>
      </c>
      <c r="F76" s="1">
        <f ca="1">IFERROR(__xludf.DUMMYFUNCTION("""COMPUTED_VALUE"""),32435057)</f>
        <v>32435057</v>
      </c>
    </row>
    <row r="77" spans="1:6" x14ac:dyDescent="0.35">
      <c r="A77" s="2">
        <f ca="1">IFERROR(__xludf.DUMMYFUNCTION("""COMPUTED_VALUE"""),42116.6666666666)</f>
        <v>42116.666666666599</v>
      </c>
      <c r="B77" s="1">
        <f ca="1">IFERROR(__xludf.DUMMYFUNCTION("""COMPUTED_VALUE"""),31.75)</f>
        <v>31.75</v>
      </c>
      <c r="C77" s="1">
        <f ca="1">IFERROR(__xludf.DUMMYFUNCTION("""COMPUTED_VALUE"""),32.22)</f>
        <v>32.22</v>
      </c>
      <c r="D77" s="1">
        <f ca="1">IFERROR(__xludf.DUMMYFUNCTION("""COMPUTED_VALUE"""),31.58)</f>
        <v>31.58</v>
      </c>
      <c r="E77" s="1">
        <f ca="1">IFERROR(__xludf.DUMMYFUNCTION("""COMPUTED_VALUE"""),32.16)</f>
        <v>32.159999999999997</v>
      </c>
      <c r="F77" s="1">
        <f ca="1">IFERROR(__xludf.DUMMYFUNCTION("""COMPUTED_VALUE"""),37654505)</f>
        <v>37654505</v>
      </c>
    </row>
    <row r="78" spans="1:6" x14ac:dyDescent="0.35">
      <c r="A78" s="2">
        <f ca="1">IFERROR(__xludf.DUMMYFUNCTION("""COMPUTED_VALUE"""),42117.6666666666)</f>
        <v>42117.666666666599</v>
      </c>
      <c r="B78" s="1">
        <f ca="1">IFERROR(__xludf.DUMMYFUNCTION("""COMPUTED_VALUE"""),32.08)</f>
        <v>32.08</v>
      </c>
      <c r="C78" s="1">
        <f ca="1">IFERROR(__xludf.DUMMYFUNCTION("""COMPUTED_VALUE"""),32.6)</f>
        <v>32.6</v>
      </c>
      <c r="D78" s="1">
        <f ca="1">IFERROR(__xludf.DUMMYFUNCTION("""COMPUTED_VALUE"""),32.03)</f>
        <v>32.03</v>
      </c>
      <c r="E78" s="1">
        <f ca="1">IFERROR(__xludf.DUMMYFUNCTION("""COMPUTED_VALUE"""),32.42)</f>
        <v>32.42</v>
      </c>
      <c r="F78" s="1">
        <f ca="1">IFERROR(__xludf.DUMMYFUNCTION("""COMPUTED_VALUE"""),45770902)</f>
        <v>45770902</v>
      </c>
    </row>
    <row r="79" spans="1:6" x14ac:dyDescent="0.35">
      <c r="A79" s="2">
        <f ca="1">IFERROR(__xludf.DUMMYFUNCTION("""COMPUTED_VALUE"""),42118.6666666666)</f>
        <v>42118.666666666599</v>
      </c>
      <c r="B79" s="1">
        <f ca="1">IFERROR(__xludf.DUMMYFUNCTION("""COMPUTED_VALUE"""),32.62)</f>
        <v>32.619999999999997</v>
      </c>
      <c r="C79" s="1">
        <f ca="1">IFERROR(__xludf.DUMMYFUNCTION("""COMPUTED_VALUE"""),32.66)</f>
        <v>32.659999999999997</v>
      </c>
      <c r="D79" s="1">
        <f ca="1">IFERROR(__xludf.DUMMYFUNCTION("""COMPUTED_VALUE"""),32.31)</f>
        <v>32.31</v>
      </c>
      <c r="E79" s="1">
        <f ca="1">IFERROR(__xludf.DUMMYFUNCTION("""COMPUTED_VALUE"""),32.57)</f>
        <v>32.57</v>
      </c>
      <c r="F79" s="1">
        <f ca="1">IFERROR(__xludf.DUMMYFUNCTION("""COMPUTED_VALUE"""),44525905)</f>
        <v>44525905</v>
      </c>
    </row>
    <row r="80" spans="1:6" x14ac:dyDescent="0.35">
      <c r="A80" s="2">
        <f ca="1">IFERROR(__xludf.DUMMYFUNCTION("""COMPUTED_VALUE"""),42121.6666666666)</f>
        <v>42121.666666666599</v>
      </c>
      <c r="B80" s="1">
        <f ca="1">IFERROR(__xludf.DUMMYFUNCTION("""COMPUTED_VALUE"""),33.08)</f>
        <v>33.08</v>
      </c>
      <c r="C80" s="1">
        <f ca="1">IFERROR(__xludf.DUMMYFUNCTION("""COMPUTED_VALUE"""),33.28)</f>
        <v>33.28</v>
      </c>
      <c r="D80" s="1">
        <f ca="1">IFERROR(__xludf.DUMMYFUNCTION("""COMPUTED_VALUE"""),32.79)</f>
        <v>32.79</v>
      </c>
      <c r="E80" s="1">
        <f ca="1">IFERROR(__xludf.DUMMYFUNCTION("""COMPUTED_VALUE"""),33.16)</f>
        <v>33.159999999999997</v>
      </c>
      <c r="F80" s="1">
        <f ca="1">IFERROR(__xludf.DUMMYFUNCTION("""COMPUTED_VALUE"""),96954207)</f>
        <v>96954207</v>
      </c>
    </row>
    <row r="81" spans="1:6" x14ac:dyDescent="0.35">
      <c r="A81" s="2">
        <f ca="1">IFERROR(__xludf.DUMMYFUNCTION("""COMPUTED_VALUE"""),42122.6666666666)</f>
        <v>42122.666666666599</v>
      </c>
      <c r="B81" s="1">
        <f ca="1">IFERROR(__xludf.DUMMYFUNCTION("""COMPUTED_VALUE"""),33.61)</f>
        <v>33.61</v>
      </c>
      <c r="C81" s="1">
        <f ca="1">IFERROR(__xludf.DUMMYFUNCTION("""COMPUTED_VALUE"""),33.64)</f>
        <v>33.64</v>
      </c>
      <c r="D81" s="1">
        <f ca="1">IFERROR(__xludf.DUMMYFUNCTION("""COMPUTED_VALUE"""),32.39)</f>
        <v>32.39</v>
      </c>
      <c r="E81" s="1">
        <f ca="1">IFERROR(__xludf.DUMMYFUNCTION("""COMPUTED_VALUE"""),32.64)</f>
        <v>32.64</v>
      </c>
      <c r="F81" s="1">
        <f ca="1">IFERROR(__xludf.DUMMYFUNCTION("""COMPUTED_VALUE"""),118923970)</f>
        <v>118923970</v>
      </c>
    </row>
    <row r="82" spans="1:6" x14ac:dyDescent="0.35">
      <c r="A82" s="2">
        <f ca="1">IFERROR(__xludf.DUMMYFUNCTION("""COMPUTED_VALUE"""),42123.6666666666)</f>
        <v>42123.666666666599</v>
      </c>
      <c r="B82" s="1">
        <f ca="1">IFERROR(__xludf.DUMMYFUNCTION("""COMPUTED_VALUE"""),32.54)</f>
        <v>32.54</v>
      </c>
      <c r="C82" s="1">
        <f ca="1">IFERROR(__xludf.DUMMYFUNCTION("""COMPUTED_VALUE"""),32.9)</f>
        <v>32.9</v>
      </c>
      <c r="D82" s="1">
        <f ca="1">IFERROR(__xludf.DUMMYFUNCTION("""COMPUTED_VALUE"""),32.08)</f>
        <v>32.08</v>
      </c>
      <c r="E82" s="1">
        <f ca="1">IFERROR(__xludf.DUMMYFUNCTION("""COMPUTED_VALUE"""),32.16)</f>
        <v>32.159999999999997</v>
      </c>
      <c r="F82" s="1">
        <f ca="1">IFERROR(__xludf.DUMMYFUNCTION("""COMPUTED_VALUE"""),63386083)</f>
        <v>63386083</v>
      </c>
    </row>
    <row r="83" spans="1:6" x14ac:dyDescent="0.35">
      <c r="A83" s="2">
        <f ca="1">IFERROR(__xludf.DUMMYFUNCTION("""COMPUTED_VALUE"""),42124.6666666666)</f>
        <v>42124.666666666599</v>
      </c>
      <c r="B83" s="1">
        <f ca="1">IFERROR(__xludf.DUMMYFUNCTION("""COMPUTED_VALUE"""),31.88)</f>
        <v>31.88</v>
      </c>
      <c r="C83" s="1">
        <f ca="1">IFERROR(__xludf.DUMMYFUNCTION("""COMPUTED_VALUE"""),31.97)</f>
        <v>31.97</v>
      </c>
      <c r="D83" s="1">
        <f ca="1">IFERROR(__xludf.DUMMYFUNCTION("""COMPUTED_VALUE"""),31.15)</f>
        <v>31.15</v>
      </c>
      <c r="E83" s="1">
        <f ca="1">IFERROR(__xludf.DUMMYFUNCTION("""COMPUTED_VALUE"""),31.29)</f>
        <v>31.29</v>
      </c>
      <c r="F83" s="1">
        <f ca="1">IFERROR(__xludf.DUMMYFUNCTION("""COMPUTED_VALUE"""),83195423)</f>
        <v>83195423</v>
      </c>
    </row>
    <row r="84" spans="1:6" x14ac:dyDescent="0.35">
      <c r="A84" s="2">
        <f ca="1">IFERROR(__xludf.DUMMYFUNCTION("""COMPUTED_VALUE"""),42125.6666666666)</f>
        <v>42125.666666666599</v>
      </c>
      <c r="B84" s="1">
        <f ca="1">IFERROR(__xludf.DUMMYFUNCTION("""COMPUTED_VALUE"""),31.53)</f>
        <v>31.53</v>
      </c>
      <c r="C84" s="1">
        <f ca="1">IFERROR(__xludf.DUMMYFUNCTION("""COMPUTED_VALUE"""),32.53)</f>
        <v>32.53</v>
      </c>
      <c r="D84" s="1">
        <f ca="1">IFERROR(__xludf.DUMMYFUNCTION("""COMPUTED_VALUE"""),31.33)</f>
        <v>31.33</v>
      </c>
      <c r="E84" s="1">
        <f ca="1">IFERROR(__xludf.DUMMYFUNCTION("""COMPUTED_VALUE"""),32.24)</f>
        <v>32.24</v>
      </c>
      <c r="F84" s="1">
        <f ca="1">IFERROR(__xludf.DUMMYFUNCTION("""COMPUTED_VALUE"""),58512638)</f>
        <v>58512638</v>
      </c>
    </row>
    <row r="85" spans="1:6" x14ac:dyDescent="0.35">
      <c r="A85" s="2">
        <f ca="1">IFERROR(__xludf.DUMMYFUNCTION("""COMPUTED_VALUE"""),42128.6666666666)</f>
        <v>42128.666666666599</v>
      </c>
      <c r="B85" s="1">
        <f ca="1">IFERROR(__xludf.DUMMYFUNCTION("""COMPUTED_VALUE"""),32.38)</f>
        <v>32.380000000000003</v>
      </c>
      <c r="C85" s="1">
        <f ca="1">IFERROR(__xludf.DUMMYFUNCTION("""COMPUTED_VALUE"""),32.64)</f>
        <v>32.64</v>
      </c>
      <c r="D85" s="1">
        <f ca="1">IFERROR(__xludf.DUMMYFUNCTION("""COMPUTED_VALUE"""),32.07)</f>
        <v>32.07</v>
      </c>
      <c r="E85" s="1">
        <f ca="1">IFERROR(__xludf.DUMMYFUNCTION("""COMPUTED_VALUE"""),32.17)</f>
        <v>32.17</v>
      </c>
      <c r="F85" s="1">
        <f ca="1">IFERROR(__xludf.DUMMYFUNCTION("""COMPUTED_VALUE"""),50988278)</f>
        <v>50988278</v>
      </c>
    </row>
    <row r="86" spans="1:6" x14ac:dyDescent="0.35">
      <c r="A86" s="2">
        <f ca="1">IFERROR(__xludf.DUMMYFUNCTION("""COMPUTED_VALUE"""),42129.6666666666)</f>
        <v>42129.666666666599</v>
      </c>
      <c r="B86" s="1">
        <f ca="1">IFERROR(__xludf.DUMMYFUNCTION("""COMPUTED_VALUE"""),32.04)</f>
        <v>32.04</v>
      </c>
      <c r="C86" s="1">
        <f ca="1">IFERROR(__xludf.DUMMYFUNCTION("""COMPUTED_VALUE"""),32.11)</f>
        <v>32.11</v>
      </c>
      <c r="D86" s="1">
        <f ca="1">IFERROR(__xludf.DUMMYFUNCTION("""COMPUTED_VALUE"""),31.45)</f>
        <v>31.45</v>
      </c>
      <c r="E86" s="1">
        <f ca="1">IFERROR(__xludf.DUMMYFUNCTION("""COMPUTED_VALUE"""),31.45)</f>
        <v>31.45</v>
      </c>
      <c r="F86" s="1">
        <f ca="1">IFERROR(__xludf.DUMMYFUNCTION("""COMPUTED_VALUE"""),49271416)</f>
        <v>49271416</v>
      </c>
    </row>
    <row r="87" spans="1:6" x14ac:dyDescent="0.35">
      <c r="A87" s="2">
        <f ca="1">IFERROR(__xludf.DUMMYFUNCTION("""COMPUTED_VALUE"""),42130.6666666666)</f>
        <v>42130.666666666599</v>
      </c>
      <c r="B87" s="1">
        <f ca="1">IFERROR(__xludf.DUMMYFUNCTION("""COMPUTED_VALUE"""),31.64)</f>
        <v>31.64</v>
      </c>
      <c r="C87" s="1">
        <f ca="1">IFERROR(__xludf.DUMMYFUNCTION("""COMPUTED_VALUE"""),31.69)</f>
        <v>31.69</v>
      </c>
      <c r="D87" s="1">
        <f ca="1">IFERROR(__xludf.DUMMYFUNCTION("""COMPUTED_VALUE"""),30.84)</f>
        <v>30.84</v>
      </c>
      <c r="E87" s="1">
        <f ca="1">IFERROR(__xludf.DUMMYFUNCTION("""COMPUTED_VALUE"""),31.25)</f>
        <v>31.25</v>
      </c>
      <c r="F87" s="1">
        <f ca="1">IFERROR(__xludf.DUMMYFUNCTION("""COMPUTED_VALUE"""),72141010)</f>
        <v>72141010</v>
      </c>
    </row>
    <row r="88" spans="1:6" x14ac:dyDescent="0.35">
      <c r="A88" s="2">
        <f ca="1">IFERROR(__xludf.DUMMYFUNCTION("""COMPUTED_VALUE"""),42131.6666666666)</f>
        <v>42131.666666666599</v>
      </c>
      <c r="B88" s="1">
        <f ca="1">IFERROR(__xludf.DUMMYFUNCTION("""COMPUTED_VALUE"""),31.19)</f>
        <v>31.19</v>
      </c>
      <c r="C88" s="1">
        <f ca="1">IFERROR(__xludf.DUMMYFUNCTION("""COMPUTED_VALUE"""),31.52)</f>
        <v>31.52</v>
      </c>
      <c r="D88" s="1">
        <f ca="1">IFERROR(__xludf.DUMMYFUNCTION("""COMPUTED_VALUE"""),31.01)</f>
        <v>31.01</v>
      </c>
      <c r="E88" s="1">
        <f ca="1">IFERROR(__xludf.DUMMYFUNCTION("""COMPUTED_VALUE"""),31.32)</f>
        <v>31.32</v>
      </c>
      <c r="F88" s="1">
        <f ca="1">IFERROR(__xludf.DUMMYFUNCTION("""COMPUTED_VALUE"""),43940895)</f>
        <v>43940895</v>
      </c>
    </row>
    <row r="89" spans="1:6" x14ac:dyDescent="0.35">
      <c r="A89" s="2">
        <f ca="1">IFERROR(__xludf.DUMMYFUNCTION("""COMPUTED_VALUE"""),42132.6666666666)</f>
        <v>42132.666666666599</v>
      </c>
      <c r="B89" s="1">
        <f ca="1">IFERROR(__xludf.DUMMYFUNCTION("""COMPUTED_VALUE"""),31.67)</f>
        <v>31.67</v>
      </c>
      <c r="C89" s="1">
        <f ca="1">IFERROR(__xludf.DUMMYFUNCTION("""COMPUTED_VALUE"""),31.91)</f>
        <v>31.91</v>
      </c>
      <c r="D89" s="1">
        <f ca="1">IFERROR(__xludf.DUMMYFUNCTION("""COMPUTED_VALUE"""),31.53)</f>
        <v>31.53</v>
      </c>
      <c r="E89" s="1">
        <f ca="1">IFERROR(__xludf.DUMMYFUNCTION("""COMPUTED_VALUE"""),31.91)</f>
        <v>31.91</v>
      </c>
      <c r="F89" s="1">
        <f ca="1">IFERROR(__xludf.DUMMYFUNCTION("""COMPUTED_VALUE"""),55550382)</f>
        <v>55550382</v>
      </c>
    </row>
    <row r="90" spans="1:6" x14ac:dyDescent="0.35">
      <c r="A90" s="2">
        <f ca="1">IFERROR(__xludf.DUMMYFUNCTION("""COMPUTED_VALUE"""),42135.6666666666)</f>
        <v>42135.666666666599</v>
      </c>
      <c r="B90" s="1">
        <f ca="1">IFERROR(__xludf.DUMMYFUNCTION("""COMPUTED_VALUE"""),31.85)</f>
        <v>31.85</v>
      </c>
      <c r="C90" s="1">
        <f ca="1">IFERROR(__xludf.DUMMYFUNCTION("""COMPUTED_VALUE"""),31.89)</f>
        <v>31.89</v>
      </c>
      <c r="D90" s="1">
        <f ca="1">IFERROR(__xludf.DUMMYFUNCTION("""COMPUTED_VALUE"""),31.41)</f>
        <v>31.41</v>
      </c>
      <c r="E90" s="1">
        <f ca="1">IFERROR(__xludf.DUMMYFUNCTION("""COMPUTED_VALUE"""),31.58)</f>
        <v>31.58</v>
      </c>
      <c r="F90" s="1">
        <f ca="1">IFERROR(__xludf.DUMMYFUNCTION("""COMPUTED_VALUE"""),42035757)</f>
        <v>42035757</v>
      </c>
    </row>
    <row r="91" spans="1:6" x14ac:dyDescent="0.35">
      <c r="A91" s="2">
        <f ca="1">IFERROR(__xludf.DUMMYFUNCTION("""COMPUTED_VALUE"""),42136.6666666666)</f>
        <v>42136.666666666599</v>
      </c>
      <c r="B91" s="1">
        <f ca="1">IFERROR(__xludf.DUMMYFUNCTION("""COMPUTED_VALUE"""),31.4)</f>
        <v>31.4</v>
      </c>
      <c r="C91" s="1">
        <f ca="1">IFERROR(__xludf.DUMMYFUNCTION("""COMPUTED_VALUE"""),31.72)</f>
        <v>31.72</v>
      </c>
      <c r="D91" s="1">
        <f ca="1">IFERROR(__xludf.DUMMYFUNCTION("""COMPUTED_VALUE"""),31.21)</f>
        <v>31.21</v>
      </c>
      <c r="E91" s="1">
        <f ca="1">IFERROR(__xludf.DUMMYFUNCTION("""COMPUTED_VALUE"""),31.47)</f>
        <v>31.47</v>
      </c>
      <c r="F91" s="1">
        <f ca="1">IFERROR(__xludf.DUMMYFUNCTION("""COMPUTED_VALUE"""),48160032)</f>
        <v>48160032</v>
      </c>
    </row>
    <row r="92" spans="1:6" x14ac:dyDescent="0.35">
      <c r="A92" s="2">
        <f ca="1">IFERROR(__xludf.DUMMYFUNCTION("""COMPUTED_VALUE"""),42137.6666666666)</f>
        <v>42137.666666666599</v>
      </c>
      <c r="B92" s="1">
        <f ca="1">IFERROR(__xludf.DUMMYFUNCTION("""COMPUTED_VALUE"""),31.54)</f>
        <v>31.54</v>
      </c>
      <c r="C92" s="1">
        <f ca="1">IFERROR(__xludf.DUMMYFUNCTION("""COMPUTED_VALUE"""),31.8)</f>
        <v>31.8</v>
      </c>
      <c r="D92" s="1">
        <f ca="1">IFERROR(__xludf.DUMMYFUNCTION("""COMPUTED_VALUE"""),31.47)</f>
        <v>31.47</v>
      </c>
      <c r="E92" s="1">
        <f ca="1">IFERROR(__xludf.DUMMYFUNCTION("""COMPUTED_VALUE"""),31.5)</f>
        <v>31.5</v>
      </c>
      <c r="F92" s="1">
        <f ca="1">IFERROR(__xludf.DUMMYFUNCTION("""COMPUTED_VALUE"""),34694235)</f>
        <v>34694235</v>
      </c>
    </row>
    <row r="93" spans="1:6" x14ac:dyDescent="0.35">
      <c r="A93" s="2">
        <f ca="1">IFERROR(__xludf.DUMMYFUNCTION("""COMPUTED_VALUE"""),42138.6666666666)</f>
        <v>42138.666666666599</v>
      </c>
      <c r="B93" s="1">
        <f ca="1">IFERROR(__xludf.DUMMYFUNCTION("""COMPUTED_VALUE"""),31.85)</f>
        <v>31.85</v>
      </c>
      <c r="C93" s="1">
        <f ca="1">IFERROR(__xludf.DUMMYFUNCTION("""COMPUTED_VALUE"""),32.24)</f>
        <v>32.24</v>
      </c>
      <c r="D93" s="1">
        <f ca="1">IFERROR(__xludf.DUMMYFUNCTION("""COMPUTED_VALUE"""),31.79)</f>
        <v>31.79</v>
      </c>
      <c r="E93" s="1">
        <f ca="1">IFERROR(__xludf.DUMMYFUNCTION("""COMPUTED_VALUE"""),32.24)</f>
        <v>32.24</v>
      </c>
      <c r="F93" s="1">
        <f ca="1">IFERROR(__xludf.DUMMYFUNCTION("""COMPUTED_VALUE"""),45203456)</f>
        <v>45203456</v>
      </c>
    </row>
    <row r="94" spans="1:6" x14ac:dyDescent="0.35">
      <c r="A94" s="2">
        <f ca="1">IFERROR(__xludf.DUMMYFUNCTION("""COMPUTED_VALUE"""),42139.6666666666)</f>
        <v>42139.666666666599</v>
      </c>
      <c r="B94" s="1">
        <f ca="1">IFERROR(__xludf.DUMMYFUNCTION("""COMPUTED_VALUE"""),32.27)</f>
        <v>32.270000000000003</v>
      </c>
      <c r="C94" s="1">
        <f ca="1">IFERROR(__xludf.DUMMYFUNCTION("""COMPUTED_VALUE"""),32.37)</f>
        <v>32.369999999999997</v>
      </c>
      <c r="D94" s="1">
        <f ca="1">IFERROR(__xludf.DUMMYFUNCTION("""COMPUTED_VALUE"""),32.05)</f>
        <v>32.049999999999997</v>
      </c>
      <c r="E94" s="1">
        <f ca="1">IFERROR(__xludf.DUMMYFUNCTION("""COMPUTED_VALUE"""),32.19)</f>
        <v>32.19</v>
      </c>
      <c r="F94" s="1">
        <f ca="1">IFERROR(__xludf.DUMMYFUNCTION("""COMPUTED_VALUE"""),38208034)</f>
        <v>38208034</v>
      </c>
    </row>
    <row r="95" spans="1:6" x14ac:dyDescent="0.35">
      <c r="A95" s="2">
        <f ca="1">IFERROR(__xludf.DUMMYFUNCTION("""COMPUTED_VALUE"""),42142.6666666666)</f>
        <v>42142.666666666599</v>
      </c>
      <c r="B95" s="1">
        <f ca="1">IFERROR(__xludf.DUMMYFUNCTION("""COMPUTED_VALUE"""),32.1)</f>
        <v>32.1</v>
      </c>
      <c r="C95" s="1">
        <f ca="1">IFERROR(__xludf.DUMMYFUNCTION("""COMPUTED_VALUE"""),32.68)</f>
        <v>32.68</v>
      </c>
      <c r="D95" s="1">
        <f ca="1">IFERROR(__xludf.DUMMYFUNCTION("""COMPUTED_VALUE"""),32.09)</f>
        <v>32.090000000000003</v>
      </c>
      <c r="E95" s="1">
        <f ca="1">IFERROR(__xludf.DUMMYFUNCTION("""COMPUTED_VALUE"""),32.55)</f>
        <v>32.549999999999997</v>
      </c>
      <c r="F95" s="1">
        <f ca="1">IFERROR(__xludf.DUMMYFUNCTION("""COMPUTED_VALUE"""),50882918)</f>
        <v>50882918</v>
      </c>
    </row>
    <row r="96" spans="1:6" x14ac:dyDescent="0.35">
      <c r="A96" s="2">
        <f ca="1">IFERROR(__xludf.DUMMYFUNCTION("""COMPUTED_VALUE"""),42143.6666666666)</f>
        <v>42143.666666666599</v>
      </c>
      <c r="B96" s="1">
        <f ca="1">IFERROR(__xludf.DUMMYFUNCTION("""COMPUTED_VALUE"""),32.67)</f>
        <v>32.67</v>
      </c>
      <c r="C96" s="1">
        <f ca="1">IFERROR(__xludf.DUMMYFUNCTION("""COMPUTED_VALUE"""),32.72)</f>
        <v>32.72</v>
      </c>
      <c r="D96" s="1">
        <f ca="1">IFERROR(__xludf.DUMMYFUNCTION("""COMPUTED_VALUE"""),32.41)</f>
        <v>32.409999999999997</v>
      </c>
      <c r="E96" s="1">
        <f ca="1">IFERROR(__xludf.DUMMYFUNCTION("""COMPUTED_VALUE"""),32.52)</f>
        <v>32.520000000000003</v>
      </c>
      <c r="F96" s="1">
        <f ca="1">IFERROR(__xludf.DUMMYFUNCTION("""COMPUTED_VALUE"""),44633240)</f>
        <v>44633240</v>
      </c>
    </row>
    <row r="97" spans="1:6" x14ac:dyDescent="0.35">
      <c r="A97" s="2">
        <f ca="1">IFERROR(__xludf.DUMMYFUNCTION("""COMPUTED_VALUE"""),42144.6666666666)</f>
        <v>42144.666666666599</v>
      </c>
      <c r="B97" s="1">
        <f ca="1">IFERROR(__xludf.DUMMYFUNCTION("""COMPUTED_VALUE"""),32.5)</f>
        <v>32.5</v>
      </c>
      <c r="C97" s="1">
        <f ca="1">IFERROR(__xludf.DUMMYFUNCTION("""COMPUTED_VALUE"""),32.74)</f>
        <v>32.74</v>
      </c>
      <c r="D97" s="1">
        <f ca="1">IFERROR(__xludf.DUMMYFUNCTION("""COMPUTED_VALUE"""),32.34)</f>
        <v>32.340000000000003</v>
      </c>
      <c r="E97" s="1">
        <f ca="1">IFERROR(__xludf.DUMMYFUNCTION("""COMPUTED_VALUE"""),32.52)</f>
        <v>32.520000000000003</v>
      </c>
      <c r="F97" s="1">
        <f ca="1">IFERROR(__xludf.DUMMYFUNCTION("""COMPUTED_VALUE"""),36454932)</f>
        <v>36454932</v>
      </c>
    </row>
    <row r="98" spans="1:6" x14ac:dyDescent="0.35">
      <c r="A98" s="2">
        <f ca="1">IFERROR(__xludf.DUMMYFUNCTION("""COMPUTED_VALUE"""),42145.6666666666)</f>
        <v>42145.666666666599</v>
      </c>
      <c r="B98" s="1">
        <f ca="1">IFERROR(__xludf.DUMMYFUNCTION("""COMPUTED_VALUE"""),32.52)</f>
        <v>32.520000000000003</v>
      </c>
      <c r="C98" s="1">
        <f ca="1">IFERROR(__xludf.DUMMYFUNCTION("""COMPUTED_VALUE"""),32.91)</f>
        <v>32.909999999999997</v>
      </c>
      <c r="D98" s="1">
        <f ca="1">IFERROR(__xludf.DUMMYFUNCTION("""COMPUTED_VALUE"""),32.46)</f>
        <v>32.46</v>
      </c>
      <c r="E98" s="1">
        <f ca="1">IFERROR(__xludf.DUMMYFUNCTION("""COMPUTED_VALUE"""),32.85)</f>
        <v>32.85</v>
      </c>
      <c r="F98" s="1">
        <f ca="1">IFERROR(__xludf.DUMMYFUNCTION("""COMPUTED_VALUE"""),39730364)</f>
        <v>39730364</v>
      </c>
    </row>
    <row r="99" spans="1:6" x14ac:dyDescent="0.35">
      <c r="A99" s="2">
        <f ca="1">IFERROR(__xludf.DUMMYFUNCTION("""COMPUTED_VALUE"""),42146.6666666666)</f>
        <v>42146.666666666599</v>
      </c>
      <c r="B99" s="1">
        <f ca="1">IFERROR(__xludf.DUMMYFUNCTION("""COMPUTED_VALUE"""),32.9)</f>
        <v>32.9</v>
      </c>
      <c r="C99" s="1">
        <f ca="1">IFERROR(__xludf.DUMMYFUNCTION("""COMPUTED_VALUE"""),33.24)</f>
        <v>33.24</v>
      </c>
      <c r="D99" s="1">
        <f ca="1">IFERROR(__xludf.DUMMYFUNCTION("""COMPUTED_VALUE"""),32.85)</f>
        <v>32.85</v>
      </c>
      <c r="E99" s="1">
        <f ca="1">IFERROR(__xludf.DUMMYFUNCTION("""COMPUTED_VALUE"""),33.14)</f>
        <v>33.14</v>
      </c>
      <c r="F99" s="1">
        <f ca="1">IFERROR(__xludf.DUMMYFUNCTION("""COMPUTED_VALUE"""),45595972)</f>
        <v>45595972</v>
      </c>
    </row>
    <row r="100" spans="1:6" x14ac:dyDescent="0.35">
      <c r="A100" s="2">
        <f ca="1">IFERROR(__xludf.DUMMYFUNCTION("""COMPUTED_VALUE"""),42150.6666666666)</f>
        <v>42150.666666666599</v>
      </c>
      <c r="B100" s="1">
        <f ca="1">IFERROR(__xludf.DUMMYFUNCTION("""COMPUTED_VALUE"""),33.15)</f>
        <v>33.15</v>
      </c>
      <c r="C100" s="1">
        <f ca="1">IFERROR(__xludf.DUMMYFUNCTION("""COMPUTED_VALUE"""),33.23)</f>
        <v>33.229999999999997</v>
      </c>
      <c r="D100" s="1">
        <f ca="1">IFERROR(__xludf.DUMMYFUNCTION("""COMPUTED_VALUE"""),32.28)</f>
        <v>32.28</v>
      </c>
      <c r="E100" s="1">
        <f ca="1">IFERROR(__xludf.DUMMYFUNCTION("""COMPUTED_VALUE"""),32.41)</f>
        <v>32.409999999999997</v>
      </c>
      <c r="F100" s="1">
        <f ca="1">IFERROR(__xludf.DUMMYFUNCTION("""COMPUTED_VALUE"""),70697560)</f>
        <v>70697560</v>
      </c>
    </row>
    <row r="101" spans="1:6" x14ac:dyDescent="0.35">
      <c r="A101" s="2">
        <f ca="1">IFERROR(__xludf.DUMMYFUNCTION("""COMPUTED_VALUE"""),42151.6666666666)</f>
        <v>42151.666666666599</v>
      </c>
      <c r="B101" s="1">
        <f ca="1">IFERROR(__xludf.DUMMYFUNCTION("""COMPUTED_VALUE"""),32.59)</f>
        <v>32.590000000000003</v>
      </c>
      <c r="C101" s="1">
        <f ca="1">IFERROR(__xludf.DUMMYFUNCTION("""COMPUTED_VALUE"""),33.07)</f>
        <v>33.07</v>
      </c>
      <c r="D101" s="1">
        <f ca="1">IFERROR(__xludf.DUMMYFUNCTION("""COMPUTED_VALUE"""),32.51)</f>
        <v>32.51</v>
      </c>
      <c r="E101" s="1">
        <f ca="1">IFERROR(__xludf.DUMMYFUNCTION("""COMPUTED_VALUE"""),33.01)</f>
        <v>33.01</v>
      </c>
      <c r="F101" s="1">
        <f ca="1">IFERROR(__xludf.DUMMYFUNCTION("""COMPUTED_VALUE"""),45833246)</f>
        <v>45833246</v>
      </c>
    </row>
    <row r="102" spans="1:6" x14ac:dyDescent="0.35">
      <c r="A102" s="2">
        <f ca="1">IFERROR(__xludf.DUMMYFUNCTION("""COMPUTED_VALUE"""),42152.6666666666)</f>
        <v>42152.666666666599</v>
      </c>
      <c r="B102" s="1">
        <f ca="1">IFERROR(__xludf.DUMMYFUNCTION("""COMPUTED_VALUE"""),32.97)</f>
        <v>32.97</v>
      </c>
      <c r="C102" s="1">
        <f ca="1">IFERROR(__xludf.DUMMYFUNCTION("""COMPUTED_VALUE"""),32.99)</f>
        <v>32.99</v>
      </c>
      <c r="D102" s="1">
        <f ca="1">IFERROR(__xludf.DUMMYFUNCTION("""COMPUTED_VALUE"""),32.78)</f>
        <v>32.78</v>
      </c>
      <c r="E102" s="1">
        <f ca="1">IFERROR(__xludf.DUMMYFUNCTION("""COMPUTED_VALUE"""),32.95)</f>
        <v>32.950000000000003</v>
      </c>
      <c r="F102" s="1">
        <f ca="1">IFERROR(__xludf.DUMMYFUNCTION("""COMPUTED_VALUE"""),30733309)</f>
        <v>30733309</v>
      </c>
    </row>
    <row r="103" spans="1:6" x14ac:dyDescent="0.35">
      <c r="A103" s="2">
        <f ca="1">IFERROR(__xludf.DUMMYFUNCTION("""COMPUTED_VALUE"""),42153.6666666666)</f>
        <v>42153.666666666599</v>
      </c>
      <c r="B103" s="1">
        <f ca="1">IFERROR(__xludf.DUMMYFUNCTION("""COMPUTED_VALUE"""),32.81)</f>
        <v>32.81</v>
      </c>
      <c r="C103" s="1">
        <f ca="1">IFERROR(__xludf.DUMMYFUNCTION("""COMPUTED_VALUE"""),32.86)</f>
        <v>32.86</v>
      </c>
      <c r="D103" s="1">
        <f ca="1">IFERROR(__xludf.DUMMYFUNCTION("""COMPUTED_VALUE"""),32.48)</f>
        <v>32.479999999999997</v>
      </c>
      <c r="E103" s="1">
        <f ca="1">IFERROR(__xludf.DUMMYFUNCTION("""COMPUTED_VALUE"""),32.57)</f>
        <v>32.57</v>
      </c>
      <c r="F103" s="1">
        <f ca="1">IFERROR(__xludf.DUMMYFUNCTION("""COMPUTED_VALUE"""),50884452)</f>
        <v>50884452</v>
      </c>
    </row>
    <row r="104" spans="1:6" x14ac:dyDescent="0.35">
      <c r="A104" s="2">
        <f ca="1">IFERROR(__xludf.DUMMYFUNCTION("""COMPUTED_VALUE"""),42156.6666666666)</f>
        <v>42156.666666666599</v>
      </c>
      <c r="B104" s="1">
        <f ca="1">IFERROR(__xludf.DUMMYFUNCTION("""COMPUTED_VALUE"""),32.8)</f>
        <v>32.799999999999997</v>
      </c>
      <c r="C104" s="1">
        <f ca="1">IFERROR(__xludf.DUMMYFUNCTION("""COMPUTED_VALUE"""),32.85)</f>
        <v>32.85</v>
      </c>
      <c r="D104" s="1">
        <f ca="1">IFERROR(__xludf.DUMMYFUNCTION("""COMPUTED_VALUE"""),32.51)</f>
        <v>32.51</v>
      </c>
      <c r="E104" s="1">
        <f ca="1">IFERROR(__xludf.DUMMYFUNCTION("""COMPUTED_VALUE"""),32.63)</f>
        <v>32.630000000000003</v>
      </c>
      <c r="F104" s="1">
        <f ca="1">IFERROR(__xludf.DUMMYFUNCTION("""COMPUTED_VALUE"""),32112797)</f>
        <v>32112797</v>
      </c>
    </row>
    <row r="105" spans="1:6" x14ac:dyDescent="0.35">
      <c r="A105" s="2">
        <f ca="1">IFERROR(__xludf.DUMMYFUNCTION("""COMPUTED_VALUE"""),42157.6666666666)</f>
        <v>42157.666666666599</v>
      </c>
      <c r="B105" s="1">
        <f ca="1">IFERROR(__xludf.DUMMYFUNCTION("""COMPUTED_VALUE"""),32.47)</f>
        <v>32.47</v>
      </c>
      <c r="C105" s="1">
        <f ca="1">IFERROR(__xludf.DUMMYFUNCTION("""COMPUTED_VALUE"""),32.66)</f>
        <v>32.659999999999997</v>
      </c>
      <c r="D105" s="1">
        <f ca="1">IFERROR(__xludf.DUMMYFUNCTION("""COMPUTED_VALUE"""),32.33)</f>
        <v>32.33</v>
      </c>
      <c r="E105" s="1">
        <f ca="1">IFERROR(__xludf.DUMMYFUNCTION("""COMPUTED_VALUE"""),32.49)</f>
        <v>32.49</v>
      </c>
      <c r="F105" s="1">
        <f ca="1">IFERROR(__xludf.DUMMYFUNCTION("""COMPUTED_VALUE"""),33667627)</f>
        <v>33667627</v>
      </c>
    </row>
    <row r="106" spans="1:6" x14ac:dyDescent="0.35">
      <c r="A106" s="2">
        <f ca="1">IFERROR(__xludf.DUMMYFUNCTION("""COMPUTED_VALUE"""),42158.6666666666)</f>
        <v>42158.666666666599</v>
      </c>
      <c r="B106" s="1">
        <f ca="1">IFERROR(__xludf.DUMMYFUNCTION("""COMPUTED_VALUE"""),32.67)</f>
        <v>32.67</v>
      </c>
      <c r="C106" s="1">
        <f ca="1">IFERROR(__xludf.DUMMYFUNCTION("""COMPUTED_VALUE"""),32.74)</f>
        <v>32.74</v>
      </c>
      <c r="D106" s="1">
        <f ca="1">IFERROR(__xludf.DUMMYFUNCTION("""COMPUTED_VALUE"""),32.48)</f>
        <v>32.479999999999997</v>
      </c>
      <c r="E106" s="1">
        <f ca="1">IFERROR(__xludf.DUMMYFUNCTION("""COMPUTED_VALUE"""),32.53)</f>
        <v>32.53</v>
      </c>
      <c r="F106" s="1">
        <f ca="1">IFERROR(__xludf.DUMMYFUNCTION("""COMPUTED_VALUE"""),30983542)</f>
        <v>30983542</v>
      </c>
    </row>
    <row r="107" spans="1:6" x14ac:dyDescent="0.35">
      <c r="A107" s="2">
        <f ca="1">IFERROR(__xludf.DUMMYFUNCTION("""COMPUTED_VALUE"""),42159.6666666666)</f>
        <v>42159.666666666599</v>
      </c>
      <c r="B107" s="1">
        <f ca="1">IFERROR(__xludf.DUMMYFUNCTION("""COMPUTED_VALUE"""),32.4)</f>
        <v>32.4</v>
      </c>
      <c r="C107" s="1">
        <f ca="1">IFERROR(__xludf.DUMMYFUNCTION("""COMPUTED_VALUE"""),32.65)</f>
        <v>32.65</v>
      </c>
      <c r="D107" s="1">
        <f ca="1">IFERROR(__xludf.DUMMYFUNCTION("""COMPUTED_VALUE"""),32.23)</f>
        <v>32.229999999999997</v>
      </c>
      <c r="E107" s="1">
        <f ca="1">IFERROR(__xludf.DUMMYFUNCTION("""COMPUTED_VALUE"""),32.34)</f>
        <v>32.340000000000003</v>
      </c>
      <c r="F107" s="1">
        <f ca="1">IFERROR(__xludf.DUMMYFUNCTION("""COMPUTED_VALUE"""),38450118)</f>
        <v>38450118</v>
      </c>
    </row>
    <row r="108" spans="1:6" x14ac:dyDescent="0.35">
      <c r="A108" s="2">
        <f ca="1">IFERROR(__xludf.DUMMYFUNCTION("""COMPUTED_VALUE"""),42160.6666666666)</f>
        <v>42160.666666666599</v>
      </c>
      <c r="B108" s="1">
        <f ca="1">IFERROR(__xludf.DUMMYFUNCTION("""COMPUTED_VALUE"""),32.38)</f>
        <v>32.380000000000003</v>
      </c>
      <c r="C108" s="1">
        <f ca="1">IFERROR(__xludf.DUMMYFUNCTION("""COMPUTED_VALUE"""),32.42)</f>
        <v>32.42</v>
      </c>
      <c r="D108" s="1">
        <f ca="1">IFERROR(__xludf.DUMMYFUNCTION("""COMPUTED_VALUE"""),32.09)</f>
        <v>32.090000000000003</v>
      </c>
      <c r="E108" s="1">
        <f ca="1">IFERROR(__xludf.DUMMYFUNCTION("""COMPUTED_VALUE"""),32.16)</f>
        <v>32.159999999999997</v>
      </c>
      <c r="F108" s="1">
        <f ca="1">IFERROR(__xludf.DUMMYFUNCTION("""COMPUTED_VALUE"""),35626800)</f>
        <v>35626800</v>
      </c>
    </row>
    <row r="109" spans="1:6" x14ac:dyDescent="0.35">
      <c r="A109" s="2">
        <f ca="1">IFERROR(__xludf.DUMMYFUNCTION("""COMPUTED_VALUE"""),42163.6666666666)</f>
        <v>42163.666666666599</v>
      </c>
      <c r="B109" s="1">
        <f ca="1">IFERROR(__xludf.DUMMYFUNCTION("""COMPUTED_VALUE"""),32.23)</f>
        <v>32.229999999999997</v>
      </c>
      <c r="C109" s="1">
        <f ca="1">IFERROR(__xludf.DUMMYFUNCTION("""COMPUTED_VALUE"""),32.3)</f>
        <v>32.299999999999997</v>
      </c>
      <c r="D109" s="1">
        <f ca="1">IFERROR(__xludf.DUMMYFUNCTION("""COMPUTED_VALUE"""),31.71)</f>
        <v>31.71</v>
      </c>
      <c r="E109" s="1">
        <f ca="1">IFERROR(__xludf.DUMMYFUNCTION("""COMPUTED_VALUE"""),31.95)</f>
        <v>31.95</v>
      </c>
      <c r="F109" s="1">
        <f ca="1">IFERROR(__xludf.DUMMYFUNCTION("""COMPUTED_VALUE"""),52674786)</f>
        <v>52674786</v>
      </c>
    </row>
    <row r="110" spans="1:6" x14ac:dyDescent="0.35">
      <c r="A110" s="2">
        <f ca="1">IFERROR(__xludf.DUMMYFUNCTION("""COMPUTED_VALUE"""),42164.6666666666)</f>
        <v>42164.666666666599</v>
      </c>
      <c r="B110" s="1">
        <f ca="1">IFERROR(__xludf.DUMMYFUNCTION("""COMPUTED_VALUE"""),31.68)</f>
        <v>31.68</v>
      </c>
      <c r="C110" s="1">
        <f ca="1">IFERROR(__xludf.DUMMYFUNCTION("""COMPUTED_VALUE"""),32.02)</f>
        <v>32.020000000000003</v>
      </c>
      <c r="D110" s="1">
        <f ca="1">IFERROR(__xludf.DUMMYFUNCTION("""COMPUTED_VALUE"""),31.41)</f>
        <v>31.41</v>
      </c>
      <c r="E110" s="1">
        <f ca="1">IFERROR(__xludf.DUMMYFUNCTION("""COMPUTED_VALUE"""),31.86)</f>
        <v>31.86</v>
      </c>
      <c r="F110" s="1">
        <f ca="1">IFERROR(__xludf.DUMMYFUNCTION("""COMPUTED_VALUE"""),56075420)</f>
        <v>56075420</v>
      </c>
    </row>
    <row r="111" spans="1:6" x14ac:dyDescent="0.35">
      <c r="A111" s="2">
        <f ca="1">IFERROR(__xludf.DUMMYFUNCTION("""COMPUTED_VALUE"""),42165.6666666666)</f>
        <v>42165.666666666599</v>
      </c>
      <c r="B111" s="1">
        <f ca="1">IFERROR(__xludf.DUMMYFUNCTION("""COMPUTED_VALUE"""),31.98)</f>
        <v>31.98</v>
      </c>
      <c r="C111" s="1">
        <f ca="1">IFERROR(__xludf.DUMMYFUNCTION("""COMPUTED_VALUE"""),32.34)</f>
        <v>32.340000000000003</v>
      </c>
      <c r="D111" s="1">
        <f ca="1">IFERROR(__xludf.DUMMYFUNCTION("""COMPUTED_VALUE"""),31.96)</f>
        <v>31.96</v>
      </c>
      <c r="E111" s="1">
        <f ca="1">IFERROR(__xludf.DUMMYFUNCTION("""COMPUTED_VALUE"""),32.22)</f>
        <v>32.22</v>
      </c>
      <c r="F111" s="1">
        <f ca="1">IFERROR(__xludf.DUMMYFUNCTION("""COMPUTED_VALUE"""),39087250)</f>
        <v>39087250</v>
      </c>
    </row>
    <row r="112" spans="1:6" x14ac:dyDescent="0.35">
      <c r="A112" s="2">
        <f ca="1">IFERROR(__xludf.DUMMYFUNCTION("""COMPUTED_VALUE"""),42166.6666666666)</f>
        <v>42166.666666666599</v>
      </c>
      <c r="B112" s="1">
        <f ca="1">IFERROR(__xludf.DUMMYFUNCTION("""COMPUTED_VALUE"""),32.3)</f>
        <v>32.299999999999997</v>
      </c>
      <c r="C112" s="1">
        <f ca="1">IFERROR(__xludf.DUMMYFUNCTION("""COMPUTED_VALUE"""),32.55)</f>
        <v>32.549999999999997</v>
      </c>
      <c r="D112" s="1">
        <f ca="1">IFERROR(__xludf.DUMMYFUNCTION("""COMPUTED_VALUE"""),32.12)</f>
        <v>32.119999999999997</v>
      </c>
      <c r="E112" s="1">
        <f ca="1">IFERROR(__xludf.DUMMYFUNCTION("""COMPUTED_VALUE"""),32.15)</f>
        <v>32.15</v>
      </c>
      <c r="F112" s="1">
        <f ca="1">IFERROR(__xludf.DUMMYFUNCTION("""COMPUTED_VALUE"""),35390887)</f>
        <v>35390887</v>
      </c>
    </row>
    <row r="113" spans="1:6" x14ac:dyDescent="0.35">
      <c r="A113" s="2">
        <f ca="1">IFERROR(__xludf.DUMMYFUNCTION("""COMPUTED_VALUE"""),42167.6666666666)</f>
        <v>42167.666666666599</v>
      </c>
      <c r="B113" s="1">
        <f ca="1">IFERROR(__xludf.DUMMYFUNCTION("""COMPUTED_VALUE"""),32.05)</f>
        <v>32.049999999999997</v>
      </c>
      <c r="C113" s="1">
        <f ca="1">IFERROR(__xludf.DUMMYFUNCTION("""COMPUTED_VALUE"""),32.08)</f>
        <v>32.08</v>
      </c>
      <c r="D113" s="1">
        <f ca="1">IFERROR(__xludf.DUMMYFUNCTION("""COMPUTED_VALUE"""),31.78)</f>
        <v>31.78</v>
      </c>
      <c r="E113" s="1">
        <f ca="1">IFERROR(__xludf.DUMMYFUNCTION("""COMPUTED_VALUE"""),31.79)</f>
        <v>31.79</v>
      </c>
      <c r="F113" s="1">
        <f ca="1">IFERROR(__xludf.DUMMYFUNCTION("""COMPUTED_VALUE"""),36886246)</f>
        <v>36886246</v>
      </c>
    </row>
    <row r="114" spans="1:6" x14ac:dyDescent="0.35">
      <c r="A114" s="2">
        <f ca="1">IFERROR(__xludf.DUMMYFUNCTION("""COMPUTED_VALUE"""),42170.6666666666)</f>
        <v>42170.666666666599</v>
      </c>
      <c r="B114" s="1">
        <f ca="1">IFERROR(__xludf.DUMMYFUNCTION("""COMPUTED_VALUE"""),31.53)</f>
        <v>31.53</v>
      </c>
      <c r="C114" s="1">
        <f ca="1">IFERROR(__xludf.DUMMYFUNCTION("""COMPUTED_VALUE"""),31.81)</f>
        <v>31.81</v>
      </c>
      <c r="D114" s="1">
        <f ca="1">IFERROR(__xludf.DUMMYFUNCTION("""COMPUTED_VALUE"""),31.43)</f>
        <v>31.43</v>
      </c>
      <c r="E114" s="1">
        <f ca="1">IFERROR(__xludf.DUMMYFUNCTION("""COMPUTED_VALUE"""),31.73)</f>
        <v>31.73</v>
      </c>
      <c r="F114" s="1">
        <f ca="1">IFERROR(__xludf.DUMMYFUNCTION("""COMPUTED_VALUE"""),43988946)</f>
        <v>43988946</v>
      </c>
    </row>
    <row r="115" spans="1:6" x14ac:dyDescent="0.35">
      <c r="A115" s="2">
        <f ca="1">IFERROR(__xludf.DUMMYFUNCTION("""COMPUTED_VALUE"""),42171.6666666666)</f>
        <v>42171.666666666599</v>
      </c>
      <c r="B115" s="1">
        <f ca="1">IFERROR(__xludf.DUMMYFUNCTION("""COMPUTED_VALUE"""),31.76)</f>
        <v>31.76</v>
      </c>
      <c r="C115" s="1">
        <f ca="1">IFERROR(__xludf.DUMMYFUNCTION("""COMPUTED_VALUE"""),31.96)</f>
        <v>31.96</v>
      </c>
      <c r="D115" s="1">
        <f ca="1">IFERROR(__xludf.DUMMYFUNCTION("""COMPUTED_VALUE"""),31.59)</f>
        <v>31.59</v>
      </c>
      <c r="E115" s="1">
        <f ca="1">IFERROR(__xludf.DUMMYFUNCTION("""COMPUTED_VALUE"""),31.9)</f>
        <v>31.9</v>
      </c>
      <c r="F115" s="1">
        <f ca="1">IFERROR(__xludf.DUMMYFUNCTION("""COMPUTED_VALUE"""),31494131)</f>
        <v>31494131</v>
      </c>
    </row>
    <row r="116" spans="1:6" x14ac:dyDescent="0.35">
      <c r="A116" s="2">
        <f ca="1">IFERROR(__xludf.DUMMYFUNCTION("""COMPUTED_VALUE"""),42172.6666666666)</f>
        <v>42172.666666666599</v>
      </c>
      <c r="B116" s="1">
        <f ca="1">IFERROR(__xludf.DUMMYFUNCTION("""COMPUTED_VALUE"""),31.93)</f>
        <v>31.93</v>
      </c>
      <c r="C116" s="1">
        <f ca="1">IFERROR(__xludf.DUMMYFUNCTION("""COMPUTED_VALUE"""),31.97)</f>
        <v>31.97</v>
      </c>
      <c r="D116" s="1">
        <f ca="1">IFERROR(__xludf.DUMMYFUNCTION("""COMPUTED_VALUE"""),31.69)</f>
        <v>31.69</v>
      </c>
      <c r="E116" s="1">
        <f ca="1">IFERROR(__xludf.DUMMYFUNCTION("""COMPUTED_VALUE"""),31.83)</f>
        <v>31.83</v>
      </c>
      <c r="F116" s="1">
        <f ca="1">IFERROR(__xludf.DUMMYFUNCTION("""COMPUTED_VALUE"""),32918071)</f>
        <v>32918071</v>
      </c>
    </row>
    <row r="117" spans="1:6" x14ac:dyDescent="0.35">
      <c r="A117" s="2">
        <f ca="1">IFERROR(__xludf.DUMMYFUNCTION("""COMPUTED_VALUE"""),42173.6666666666)</f>
        <v>42173.666666666599</v>
      </c>
      <c r="B117" s="1">
        <f ca="1">IFERROR(__xludf.DUMMYFUNCTION("""COMPUTED_VALUE"""),31.81)</f>
        <v>31.81</v>
      </c>
      <c r="C117" s="1">
        <f ca="1">IFERROR(__xludf.DUMMYFUNCTION("""COMPUTED_VALUE"""),32.08)</f>
        <v>32.08</v>
      </c>
      <c r="D117" s="1">
        <f ca="1">IFERROR(__xludf.DUMMYFUNCTION("""COMPUTED_VALUE"""),31.81)</f>
        <v>31.81</v>
      </c>
      <c r="E117" s="1">
        <f ca="1">IFERROR(__xludf.DUMMYFUNCTION("""COMPUTED_VALUE"""),31.97)</f>
        <v>31.97</v>
      </c>
      <c r="F117" s="1">
        <f ca="1">IFERROR(__xludf.DUMMYFUNCTION("""COMPUTED_VALUE"""),35407220)</f>
        <v>35407220</v>
      </c>
    </row>
    <row r="118" spans="1:6" x14ac:dyDescent="0.35">
      <c r="A118" s="2">
        <f ca="1">IFERROR(__xludf.DUMMYFUNCTION("""COMPUTED_VALUE"""),42174.6666666666)</f>
        <v>42174.666666666599</v>
      </c>
      <c r="B118" s="1">
        <f ca="1">IFERROR(__xludf.DUMMYFUNCTION("""COMPUTED_VALUE"""),31.93)</f>
        <v>31.93</v>
      </c>
      <c r="C118" s="1">
        <f ca="1">IFERROR(__xludf.DUMMYFUNCTION("""COMPUTED_VALUE"""),31.96)</f>
        <v>31.96</v>
      </c>
      <c r="D118" s="1">
        <f ca="1">IFERROR(__xludf.DUMMYFUNCTION("""COMPUTED_VALUE"""),31.6)</f>
        <v>31.6</v>
      </c>
      <c r="E118" s="1">
        <f ca="1">IFERROR(__xludf.DUMMYFUNCTION("""COMPUTED_VALUE"""),31.65)</f>
        <v>31.65</v>
      </c>
      <c r="F118" s="1">
        <f ca="1">IFERROR(__xludf.DUMMYFUNCTION("""COMPUTED_VALUE"""),54716887)</f>
        <v>54716887</v>
      </c>
    </row>
    <row r="119" spans="1:6" x14ac:dyDescent="0.35">
      <c r="A119" s="2">
        <f ca="1">IFERROR(__xludf.DUMMYFUNCTION("""COMPUTED_VALUE"""),42177.6666666666)</f>
        <v>42177.666666666599</v>
      </c>
      <c r="B119" s="1">
        <f ca="1">IFERROR(__xludf.DUMMYFUNCTION("""COMPUTED_VALUE"""),31.87)</f>
        <v>31.87</v>
      </c>
      <c r="C119" s="1">
        <f ca="1">IFERROR(__xludf.DUMMYFUNCTION("""COMPUTED_VALUE"""),32.02)</f>
        <v>32.020000000000003</v>
      </c>
      <c r="D119" s="1">
        <f ca="1">IFERROR(__xludf.DUMMYFUNCTION("""COMPUTED_VALUE"""),31.77)</f>
        <v>31.77</v>
      </c>
      <c r="E119" s="1">
        <f ca="1">IFERROR(__xludf.DUMMYFUNCTION("""COMPUTED_VALUE"""),31.9)</f>
        <v>31.9</v>
      </c>
      <c r="F119" s="1">
        <f ca="1">IFERROR(__xludf.DUMMYFUNCTION("""COMPUTED_VALUE"""),34039345)</f>
        <v>34039345</v>
      </c>
    </row>
    <row r="120" spans="1:6" x14ac:dyDescent="0.35">
      <c r="A120" s="2">
        <f ca="1">IFERROR(__xludf.DUMMYFUNCTION("""COMPUTED_VALUE"""),42178.6666666666)</f>
        <v>42178.666666666599</v>
      </c>
      <c r="B120" s="1">
        <f ca="1">IFERROR(__xludf.DUMMYFUNCTION("""COMPUTED_VALUE"""),31.87)</f>
        <v>31.87</v>
      </c>
      <c r="C120" s="1">
        <f ca="1">IFERROR(__xludf.DUMMYFUNCTION("""COMPUTED_VALUE"""),31.9)</f>
        <v>31.9</v>
      </c>
      <c r="D120" s="1">
        <f ca="1">IFERROR(__xludf.DUMMYFUNCTION("""COMPUTED_VALUE"""),31.72)</f>
        <v>31.72</v>
      </c>
      <c r="E120" s="1">
        <f ca="1">IFERROR(__xludf.DUMMYFUNCTION("""COMPUTED_VALUE"""),31.76)</f>
        <v>31.76</v>
      </c>
      <c r="F120" s="1">
        <f ca="1">IFERROR(__xludf.DUMMYFUNCTION("""COMPUTED_VALUE"""),30268863)</f>
        <v>30268863</v>
      </c>
    </row>
    <row r="121" spans="1:6" x14ac:dyDescent="0.35">
      <c r="A121" s="2">
        <f ca="1">IFERROR(__xludf.DUMMYFUNCTION("""COMPUTED_VALUE"""),42179.6666666666)</f>
        <v>42179.666666666599</v>
      </c>
      <c r="B121" s="1">
        <f ca="1">IFERROR(__xludf.DUMMYFUNCTION("""COMPUTED_VALUE"""),31.8)</f>
        <v>31.8</v>
      </c>
      <c r="C121" s="1">
        <f ca="1">IFERROR(__xludf.DUMMYFUNCTION("""COMPUTED_VALUE"""),32.45)</f>
        <v>32.450000000000003</v>
      </c>
      <c r="D121" s="1">
        <f ca="1">IFERROR(__xludf.DUMMYFUNCTION("""COMPUTED_VALUE"""),31.78)</f>
        <v>31.78</v>
      </c>
      <c r="E121" s="1">
        <f ca="1">IFERROR(__xludf.DUMMYFUNCTION("""COMPUTED_VALUE"""),32.03)</f>
        <v>32.03</v>
      </c>
      <c r="F121" s="1">
        <f ca="1">IFERROR(__xludf.DUMMYFUNCTION("""COMPUTED_VALUE"""),55280855)</f>
        <v>55280855</v>
      </c>
    </row>
    <row r="122" spans="1:6" x14ac:dyDescent="0.35">
      <c r="A122" s="2">
        <f ca="1">IFERROR(__xludf.DUMMYFUNCTION("""COMPUTED_VALUE"""),42180.6666666666)</f>
        <v>42180.666666666599</v>
      </c>
      <c r="B122" s="1">
        <f ca="1">IFERROR(__xludf.DUMMYFUNCTION("""COMPUTED_VALUE"""),32.22)</f>
        <v>32.22</v>
      </c>
      <c r="C122" s="1">
        <f ca="1">IFERROR(__xludf.DUMMYFUNCTION("""COMPUTED_VALUE"""),32.3)</f>
        <v>32.299999999999997</v>
      </c>
      <c r="D122" s="1">
        <f ca="1">IFERROR(__xludf.DUMMYFUNCTION("""COMPUTED_VALUE"""),31.88)</f>
        <v>31.88</v>
      </c>
      <c r="E122" s="1">
        <f ca="1">IFERROR(__xludf.DUMMYFUNCTION("""COMPUTED_VALUE"""),31.88)</f>
        <v>31.88</v>
      </c>
      <c r="F122" s="1">
        <f ca="1">IFERROR(__xludf.DUMMYFUNCTION("""COMPUTED_VALUE"""),31938100)</f>
        <v>31938100</v>
      </c>
    </row>
    <row r="123" spans="1:6" x14ac:dyDescent="0.35">
      <c r="A123" s="2">
        <f ca="1">IFERROR(__xludf.DUMMYFUNCTION("""COMPUTED_VALUE"""),42181.6666666666)</f>
        <v>42181.666666666599</v>
      </c>
      <c r="B123" s="1">
        <f ca="1">IFERROR(__xludf.DUMMYFUNCTION("""COMPUTED_VALUE"""),31.92)</f>
        <v>31.92</v>
      </c>
      <c r="C123" s="1">
        <f ca="1">IFERROR(__xludf.DUMMYFUNCTION("""COMPUTED_VALUE"""),32)</f>
        <v>32</v>
      </c>
      <c r="D123" s="1">
        <f ca="1">IFERROR(__xludf.DUMMYFUNCTION("""COMPUTED_VALUE"""),31.63)</f>
        <v>31.63</v>
      </c>
      <c r="E123" s="1">
        <f ca="1">IFERROR(__xludf.DUMMYFUNCTION("""COMPUTED_VALUE"""),31.69)</f>
        <v>31.69</v>
      </c>
      <c r="F123" s="1">
        <f ca="1">IFERROR(__xludf.DUMMYFUNCTION("""COMPUTED_VALUE"""),44066841)</f>
        <v>44066841</v>
      </c>
    </row>
    <row r="124" spans="1:6" x14ac:dyDescent="0.35">
      <c r="A124" s="2">
        <f ca="1">IFERROR(__xludf.DUMMYFUNCTION("""COMPUTED_VALUE"""),42184.6666666666)</f>
        <v>42184.666666666599</v>
      </c>
      <c r="B124" s="1">
        <f ca="1">IFERROR(__xludf.DUMMYFUNCTION("""COMPUTED_VALUE"""),31.37)</f>
        <v>31.37</v>
      </c>
      <c r="C124" s="1">
        <f ca="1">IFERROR(__xludf.DUMMYFUNCTION("""COMPUTED_VALUE"""),31.62)</f>
        <v>31.62</v>
      </c>
      <c r="D124" s="1">
        <f ca="1">IFERROR(__xludf.DUMMYFUNCTION("""COMPUTED_VALUE"""),31.12)</f>
        <v>31.12</v>
      </c>
      <c r="E124" s="1">
        <f ca="1">IFERROR(__xludf.DUMMYFUNCTION("""COMPUTED_VALUE"""),31.13)</f>
        <v>31.13</v>
      </c>
      <c r="F124" s="1">
        <f ca="1">IFERROR(__xludf.DUMMYFUNCTION("""COMPUTED_VALUE"""),49161427)</f>
        <v>49161427</v>
      </c>
    </row>
    <row r="125" spans="1:6" x14ac:dyDescent="0.35">
      <c r="A125" s="2">
        <f ca="1">IFERROR(__xludf.DUMMYFUNCTION("""COMPUTED_VALUE"""),42185.6666666666)</f>
        <v>42185.666666666599</v>
      </c>
      <c r="B125" s="1">
        <f ca="1">IFERROR(__xludf.DUMMYFUNCTION("""COMPUTED_VALUE"""),31.39)</f>
        <v>31.39</v>
      </c>
      <c r="C125" s="1">
        <f ca="1">IFERROR(__xludf.DUMMYFUNCTION("""COMPUTED_VALUE"""),31.53)</f>
        <v>31.53</v>
      </c>
      <c r="D125" s="1">
        <f ca="1">IFERROR(__xludf.DUMMYFUNCTION("""COMPUTED_VALUE"""),31.22)</f>
        <v>31.22</v>
      </c>
      <c r="E125" s="1">
        <f ca="1">IFERROR(__xludf.DUMMYFUNCTION("""COMPUTED_VALUE"""),31.36)</f>
        <v>31.36</v>
      </c>
      <c r="F125" s="1">
        <f ca="1">IFERROR(__xludf.DUMMYFUNCTION("""COMPUTED_VALUE"""),44370682)</f>
        <v>44370682</v>
      </c>
    </row>
    <row r="126" spans="1:6" x14ac:dyDescent="0.35">
      <c r="A126" s="2">
        <f ca="1">IFERROR(__xludf.DUMMYFUNCTION("""COMPUTED_VALUE"""),42186.6666666666)</f>
        <v>42186.666666666599</v>
      </c>
      <c r="B126" s="1">
        <f ca="1">IFERROR(__xludf.DUMMYFUNCTION("""COMPUTED_VALUE"""),31.73)</f>
        <v>31.73</v>
      </c>
      <c r="C126" s="1">
        <f ca="1">IFERROR(__xludf.DUMMYFUNCTION("""COMPUTED_VALUE"""),31.74)</f>
        <v>31.74</v>
      </c>
      <c r="D126" s="1">
        <f ca="1">IFERROR(__xludf.DUMMYFUNCTION("""COMPUTED_VALUE"""),31.5)</f>
        <v>31.5</v>
      </c>
      <c r="E126" s="1">
        <f ca="1">IFERROR(__xludf.DUMMYFUNCTION("""COMPUTED_VALUE"""),31.65)</f>
        <v>31.65</v>
      </c>
      <c r="F126" s="1">
        <f ca="1">IFERROR(__xludf.DUMMYFUNCTION("""COMPUTED_VALUE"""),30238811)</f>
        <v>30238811</v>
      </c>
    </row>
    <row r="127" spans="1:6" x14ac:dyDescent="0.35">
      <c r="A127" s="2">
        <f ca="1">IFERROR(__xludf.DUMMYFUNCTION("""COMPUTED_VALUE"""),42187.6666666666)</f>
        <v>42187.666666666599</v>
      </c>
      <c r="B127" s="1">
        <f ca="1">IFERROR(__xludf.DUMMYFUNCTION("""COMPUTED_VALUE"""),31.61)</f>
        <v>31.61</v>
      </c>
      <c r="C127" s="1">
        <f ca="1">IFERROR(__xludf.DUMMYFUNCTION("""COMPUTED_VALUE"""),31.67)</f>
        <v>31.67</v>
      </c>
      <c r="D127" s="1">
        <f ca="1">IFERROR(__xludf.DUMMYFUNCTION("""COMPUTED_VALUE"""),31.44)</f>
        <v>31.44</v>
      </c>
      <c r="E127" s="1">
        <f ca="1">IFERROR(__xludf.DUMMYFUNCTION("""COMPUTED_VALUE"""),31.61)</f>
        <v>31.61</v>
      </c>
      <c r="F127" s="1">
        <f ca="1">IFERROR(__xludf.DUMMYFUNCTION("""COMPUTED_VALUE"""),27210952)</f>
        <v>27210952</v>
      </c>
    </row>
    <row r="128" spans="1:6" x14ac:dyDescent="0.35">
      <c r="A128" s="2">
        <f ca="1">IFERROR(__xludf.DUMMYFUNCTION("""COMPUTED_VALUE"""),42191.6666666666)</f>
        <v>42191.666666666599</v>
      </c>
      <c r="B128" s="1">
        <f ca="1">IFERROR(__xludf.DUMMYFUNCTION("""COMPUTED_VALUE"""),31.24)</f>
        <v>31.24</v>
      </c>
      <c r="C128" s="1">
        <f ca="1">IFERROR(__xludf.DUMMYFUNCTION("""COMPUTED_VALUE"""),31.56)</f>
        <v>31.56</v>
      </c>
      <c r="D128" s="1">
        <f ca="1">IFERROR(__xludf.DUMMYFUNCTION("""COMPUTED_VALUE"""),31.21)</f>
        <v>31.21</v>
      </c>
      <c r="E128" s="1">
        <f ca="1">IFERROR(__xludf.DUMMYFUNCTION("""COMPUTED_VALUE"""),31.5)</f>
        <v>31.5</v>
      </c>
      <c r="F128" s="1">
        <f ca="1">IFERROR(__xludf.DUMMYFUNCTION("""COMPUTED_VALUE"""),28060431)</f>
        <v>28060431</v>
      </c>
    </row>
    <row r="129" spans="1:6" x14ac:dyDescent="0.35">
      <c r="A129" s="2">
        <f ca="1">IFERROR(__xludf.DUMMYFUNCTION("""COMPUTED_VALUE"""),42192.6666666666)</f>
        <v>42192.666666666599</v>
      </c>
      <c r="B129" s="1">
        <f ca="1">IFERROR(__xludf.DUMMYFUNCTION("""COMPUTED_VALUE"""),31.47)</f>
        <v>31.47</v>
      </c>
      <c r="C129" s="1">
        <f ca="1">IFERROR(__xludf.DUMMYFUNCTION("""COMPUTED_VALUE"""),31.54)</f>
        <v>31.54</v>
      </c>
      <c r="D129" s="1">
        <f ca="1">IFERROR(__xludf.DUMMYFUNCTION("""COMPUTED_VALUE"""),30.94)</f>
        <v>30.94</v>
      </c>
      <c r="E129" s="1">
        <f ca="1">IFERROR(__xludf.DUMMYFUNCTION("""COMPUTED_VALUE"""),31.42)</f>
        <v>31.42</v>
      </c>
      <c r="F129" s="1">
        <f ca="1">IFERROR(__xludf.DUMMYFUNCTION("""COMPUTED_VALUE"""),46946811)</f>
        <v>46946811</v>
      </c>
    </row>
    <row r="130" spans="1:6" x14ac:dyDescent="0.35">
      <c r="A130" s="2">
        <f ca="1">IFERROR(__xludf.DUMMYFUNCTION("""COMPUTED_VALUE"""),42193.6666666666)</f>
        <v>42193.666666666599</v>
      </c>
      <c r="B130" s="1">
        <f ca="1">IFERROR(__xludf.DUMMYFUNCTION("""COMPUTED_VALUE"""),31.12)</f>
        <v>31.12</v>
      </c>
      <c r="C130" s="1">
        <f ca="1">IFERROR(__xludf.DUMMYFUNCTION("""COMPUTED_VALUE"""),31.16)</f>
        <v>31.16</v>
      </c>
      <c r="D130" s="1">
        <f ca="1">IFERROR(__xludf.DUMMYFUNCTION("""COMPUTED_VALUE"""),30.64)</f>
        <v>30.64</v>
      </c>
      <c r="E130" s="1">
        <f ca="1">IFERROR(__xludf.DUMMYFUNCTION("""COMPUTED_VALUE"""),30.64)</f>
        <v>30.64</v>
      </c>
      <c r="F130" s="1">
        <f ca="1">IFERROR(__xludf.DUMMYFUNCTION("""COMPUTED_VALUE"""),60761614)</f>
        <v>60761614</v>
      </c>
    </row>
    <row r="131" spans="1:6" x14ac:dyDescent="0.35">
      <c r="A131" s="2">
        <f ca="1">IFERROR(__xludf.DUMMYFUNCTION("""COMPUTED_VALUE"""),42194.6666666666)</f>
        <v>42194.666666666599</v>
      </c>
      <c r="B131" s="1">
        <f ca="1">IFERROR(__xludf.DUMMYFUNCTION("""COMPUTED_VALUE"""),30.96)</f>
        <v>30.96</v>
      </c>
      <c r="C131" s="1">
        <f ca="1">IFERROR(__xludf.DUMMYFUNCTION("""COMPUTED_VALUE"""),31.02)</f>
        <v>31.02</v>
      </c>
      <c r="D131" s="1">
        <f ca="1">IFERROR(__xludf.DUMMYFUNCTION("""COMPUTED_VALUE"""),29.81)</f>
        <v>29.81</v>
      </c>
      <c r="E131" s="1">
        <f ca="1">IFERROR(__xludf.DUMMYFUNCTION("""COMPUTED_VALUE"""),30.02)</f>
        <v>30.02</v>
      </c>
      <c r="F131" s="1">
        <f ca="1">IFERROR(__xludf.DUMMYFUNCTION("""COMPUTED_VALUE"""),78595038)</f>
        <v>78595038</v>
      </c>
    </row>
    <row r="132" spans="1:6" x14ac:dyDescent="0.35">
      <c r="A132" s="2">
        <f ca="1">IFERROR(__xludf.DUMMYFUNCTION("""COMPUTED_VALUE"""),42195.6666666666)</f>
        <v>42195.666666666599</v>
      </c>
      <c r="B132" s="1">
        <f ca="1">IFERROR(__xludf.DUMMYFUNCTION("""COMPUTED_VALUE"""),30.49)</f>
        <v>30.49</v>
      </c>
      <c r="C132" s="1">
        <f ca="1">IFERROR(__xludf.DUMMYFUNCTION("""COMPUTED_VALUE"""),30.96)</f>
        <v>30.96</v>
      </c>
      <c r="D132" s="1">
        <f ca="1">IFERROR(__xludf.DUMMYFUNCTION("""COMPUTED_VALUE"""),30.3)</f>
        <v>30.3</v>
      </c>
      <c r="E132" s="1">
        <f ca="1">IFERROR(__xludf.DUMMYFUNCTION("""COMPUTED_VALUE"""),30.82)</f>
        <v>30.82</v>
      </c>
      <c r="F132" s="1">
        <f ca="1">IFERROR(__xludf.DUMMYFUNCTION("""COMPUTED_VALUE"""),61354474)</f>
        <v>61354474</v>
      </c>
    </row>
    <row r="133" spans="1:6" x14ac:dyDescent="0.35">
      <c r="A133" s="2">
        <f ca="1">IFERROR(__xludf.DUMMYFUNCTION("""COMPUTED_VALUE"""),42198.6666666666)</f>
        <v>42198.666666666599</v>
      </c>
      <c r="B133" s="1">
        <f ca="1">IFERROR(__xludf.DUMMYFUNCTION("""COMPUTED_VALUE"""),31.26)</f>
        <v>31.26</v>
      </c>
      <c r="C133" s="1">
        <f ca="1">IFERROR(__xludf.DUMMYFUNCTION("""COMPUTED_VALUE"""),31.44)</f>
        <v>31.44</v>
      </c>
      <c r="D133" s="1">
        <f ca="1">IFERROR(__xludf.DUMMYFUNCTION("""COMPUTED_VALUE"""),31.08)</f>
        <v>31.08</v>
      </c>
      <c r="E133" s="1">
        <f ca="1">IFERROR(__xludf.DUMMYFUNCTION("""COMPUTED_VALUE"""),31.42)</f>
        <v>31.42</v>
      </c>
      <c r="F133" s="1">
        <f ca="1">IFERROR(__xludf.DUMMYFUNCTION("""COMPUTED_VALUE"""),41440538)</f>
        <v>41440538</v>
      </c>
    </row>
    <row r="134" spans="1:6" x14ac:dyDescent="0.35">
      <c r="A134" s="2">
        <f ca="1">IFERROR(__xludf.DUMMYFUNCTION("""COMPUTED_VALUE"""),42199.6666666666)</f>
        <v>42199.666666666599</v>
      </c>
      <c r="B134" s="1">
        <f ca="1">IFERROR(__xludf.DUMMYFUNCTION("""COMPUTED_VALUE"""),31.51)</f>
        <v>31.51</v>
      </c>
      <c r="C134" s="1">
        <f ca="1">IFERROR(__xludf.DUMMYFUNCTION("""COMPUTED_VALUE"""),31.59)</f>
        <v>31.59</v>
      </c>
      <c r="D134" s="1">
        <f ca="1">IFERROR(__xludf.DUMMYFUNCTION("""COMPUTED_VALUE"""),31.26)</f>
        <v>31.26</v>
      </c>
      <c r="E134" s="1">
        <f ca="1">IFERROR(__xludf.DUMMYFUNCTION("""COMPUTED_VALUE"""),31.4)</f>
        <v>31.4</v>
      </c>
      <c r="F134" s="1">
        <f ca="1">IFERROR(__xludf.DUMMYFUNCTION("""COMPUTED_VALUE"""),31768139)</f>
        <v>31768139</v>
      </c>
    </row>
    <row r="135" spans="1:6" x14ac:dyDescent="0.35">
      <c r="A135" s="2">
        <f ca="1">IFERROR(__xludf.DUMMYFUNCTION("""COMPUTED_VALUE"""),42200.6666666666)</f>
        <v>42200.666666666599</v>
      </c>
      <c r="B135" s="1">
        <f ca="1">IFERROR(__xludf.DUMMYFUNCTION("""COMPUTED_VALUE"""),31.43)</f>
        <v>31.43</v>
      </c>
      <c r="C135" s="1">
        <f ca="1">IFERROR(__xludf.DUMMYFUNCTION("""COMPUTED_VALUE"""),31.79)</f>
        <v>31.79</v>
      </c>
      <c r="D135" s="1">
        <f ca="1">IFERROR(__xludf.DUMMYFUNCTION("""COMPUTED_VALUE"""),31.4)</f>
        <v>31.4</v>
      </c>
      <c r="E135" s="1">
        <f ca="1">IFERROR(__xludf.DUMMYFUNCTION("""COMPUTED_VALUE"""),31.71)</f>
        <v>31.71</v>
      </c>
      <c r="F135" s="1">
        <f ca="1">IFERROR(__xludf.DUMMYFUNCTION("""COMPUTED_VALUE"""),33649200)</f>
        <v>33649200</v>
      </c>
    </row>
    <row r="136" spans="1:6" x14ac:dyDescent="0.35">
      <c r="A136" s="2">
        <f ca="1">IFERROR(__xludf.DUMMYFUNCTION("""COMPUTED_VALUE"""),42201.6666666666)</f>
        <v>42201.666666666599</v>
      </c>
      <c r="B136" s="1">
        <f ca="1">IFERROR(__xludf.DUMMYFUNCTION("""COMPUTED_VALUE"""),31.94)</f>
        <v>31.94</v>
      </c>
      <c r="C136" s="1">
        <f ca="1">IFERROR(__xludf.DUMMYFUNCTION("""COMPUTED_VALUE"""),32.14)</f>
        <v>32.14</v>
      </c>
      <c r="D136" s="1">
        <f ca="1">IFERROR(__xludf.DUMMYFUNCTION("""COMPUTED_VALUE"""),31.84)</f>
        <v>31.84</v>
      </c>
      <c r="E136" s="1">
        <f ca="1">IFERROR(__xludf.DUMMYFUNCTION("""COMPUTED_VALUE"""),32.13)</f>
        <v>32.130000000000003</v>
      </c>
      <c r="F136" s="1">
        <f ca="1">IFERROR(__xludf.DUMMYFUNCTION("""COMPUTED_VALUE"""),36222447)</f>
        <v>36222447</v>
      </c>
    </row>
    <row r="137" spans="1:6" x14ac:dyDescent="0.35">
      <c r="A137" s="2">
        <f ca="1">IFERROR(__xludf.DUMMYFUNCTION("""COMPUTED_VALUE"""),42202.6666666666)</f>
        <v>42202.666666666599</v>
      </c>
      <c r="B137" s="1">
        <f ca="1">IFERROR(__xludf.DUMMYFUNCTION("""COMPUTED_VALUE"""),32.27)</f>
        <v>32.270000000000003</v>
      </c>
      <c r="C137" s="1">
        <f ca="1">IFERROR(__xludf.DUMMYFUNCTION("""COMPUTED_VALUE"""),32.41)</f>
        <v>32.409999999999997</v>
      </c>
      <c r="D137" s="1">
        <f ca="1">IFERROR(__xludf.DUMMYFUNCTION("""COMPUTED_VALUE"""),32.08)</f>
        <v>32.08</v>
      </c>
      <c r="E137" s="1">
        <f ca="1">IFERROR(__xludf.DUMMYFUNCTION("""COMPUTED_VALUE"""),32.41)</f>
        <v>32.409999999999997</v>
      </c>
      <c r="F137" s="1">
        <f ca="1">IFERROR(__xludf.DUMMYFUNCTION("""COMPUTED_VALUE"""),46164710)</f>
        <v>46164710</v>
      </c>
    </row>
    <row r="138" spans="1:6" x14ac:dyDescent="0.35">
      <c r="A138" s="2">
        <f ca="1">IFERROR(__xludf.DUMMYFUNCTION("""COMPUTED_VALUE"""),42205.6666666666)</f>
        <v>42205.666666666599</v>
      </c>
      <c r="B138" s="1">
        <f ca="1">IFERROR(__xludf.DUMMYFUNCTION("""COMPUTED_VALUE"""),32.74)</f>
        <v>32.74</v>
      </c>
      <c r="C138" s="1">
        <f ca="1">IFERROR(__xludf.DUMMYFUNCTION("""COMPUTED_VALUE"""),33.24)</f>
        <v>33.24</v>
      </c>
      <c r="D138" s="1">
        <f ca="1">IFERROR(__xludf.DUMMYFUNCTION("""COMPUTED_VALUE"""),32.67)</f>
        <v>32.67</v>
      </c>
      <c r="E138" s="1">
        <f ca="1">IFERROR(__xludf.DUMMYFUNCTION("""COMPUTED_VALUE"""),33.02)</f>
        <v>33.020000000000003</v>
      </c>
      <c r="F138" s="1">
        <f ca="1">IFERROR(__xludf.DUMMYFUNCTION("""COMPUTED_VALUE"""),58900203)</f>
        <v>58900203</v>
      </c>
    </row>
    <row r="139" spans="1:6" x14ac:dyDescent="0.35">
      <c r="A139" s="2">
        <f ca="1">IFERROR(__xludf.DUMMYFUNCTION("""COMPUTED_VALUE"""),42206.6666666666)</f>
        <v>42206.666666666599</v>
      </c>
      <c r="B139" s="1">
        <f ca="1">IFERROR(__xludf.DUMMYFUNCTION("""COMPUTED_VALUE"""),33.21)</f>
        <v>33.21</v>
      </c>
      <c r="C139" s="1">
        <f ca="1">IFERROR(__xludf.DUMMYFUNCTION("""COMPUTED_VALUE"""),33.23)</f>
        <v>33.229999999999997</v>
      </c>
      <c r="D139" s="1">
        <f ca="1">IFERROR(__xludf.DUMMYFUNCTION("""COMPUTED_VALUE"""),32.58)</f>
        <v>32.58</v>
      </c>
      <c r="E139" s="1">
        <f ca="1">IFERROR(__xludf.DUMMYFUNCTION("""COMPUTED_VALUE"""),32.69)</f>
        <v>32.69</v>
      </c>
      <c r="F139" s="1">
        <f ca="1">IFERROR(__xludf.DUMMYFUNCTION("""COMPUTED_VALUE"""),76756427)</f>
        <v>76756427</v>
      </c>
    </row>
    <row r="140" spans="1:6" x14ac:dyDescent="0.35">
      <c r="A140" s="2">
        <f ca="1">IFERROR(__xludf.DUMMYFUNCTION("""COMPUTED_VALUE"""),42207.6666666666)</f>
        <v>42207.666666666599</v>
      </c>
      <c r="B140" s="1">
        <f ca="1">IFERROR(__xludf.DUMMYFUNCTION("""COMPUTED_VALUE"""),30.5)</f>
        <v>30.5</v>
      </c>
      <c r="C140" s="1">
        <f ca="1">IFERROR(__xludf.DUMMYFUNCTION("""COMPUTED_VALUE"""),31.38)</f>
        <v>31.38</v>
      </c>
      <c r="D140" s="1">
        <f ca="1">IFERROR(__xludf.DUMMYFUNCTION("""COMPUTED_VALUE"""),30.5)</f>
        <v>30.5</v>
      </c>
      <c r="E140" s="1">
        <f ca="1">IFERROR(__xludf.DUMMYFUNCTION("""COMPUTED_VALUE"""),31.31)</f>
        <v>31.31</v>
      </c>
      <c r="F140" s="1">
        <f ca="1">IFERROR(__xludf.DUMMYFUNCTION("""COMPUTED_VALUE"""),115450607)</f>
        <v>115450607</v>
      </c>
    </row>
    <row r="141" spans="1:6" x14ac:dyDescent="0.35">
      <c r="A141" s="2">
        <f ca="1">IFERROR(__xludf.DUMMYFUNCTION("""COMPUTED_VALUE"""),42208.6666666666)</f>
        <v>42208.666666666599</v>
      </c>
      <c r="B141" s="1">
        <f ca="1">IFERROR(__xludf.DUMMYFUNCTION("""COMPUTED_VALUE"""),31.55)</f>
        <v>31.55</v>
      </c>
      <c r="C141" s="1">
        <f ca="1">IFERROR(__xludf.DUMMYFUNCTION("""COMPUTED_VALUE"""),31.77)</f>
        <v>31.77</v>
      </c>
      <c r="D141" s="1">
        <f ca="1">IFERROR(__xludf.DUMMYFUNCTION("""COMPUTED_VALUE"""),31.27)</f>
        <v>31.27</v>
      </c>
      <c r="E141" s="1">
        <f ca="1">IFERROR(__xludf.DUMMYFUNCTION("""COMPUTED_VALUE"""),31.29)</f>
        <v>31.29</v>
      </c>
      <c r="F141" s="1">
        <f ca="1">IFERROR(__xludf.DUMMYFUNCTION("""COMPUTED_VALUE"""),50999452)</f>
        <v>50999452</v>
      </c>
    </row>
    <row r="142" spans="1:6" x14ac:dyDescent="0.35">
      <c r="A142" s="2">
        <f ca="1">IFERROR(__xludf.DUMMYFUNCTION("""COMPUTED_VALUE"""),42209.6666666666)</f>
        <v>42209.666666666599</v>
      </c>
      <c r="B142" s="1">
        <f ca="1">IFERROR(__xludf.DUMMYFUNCTION("""COMPUTED_VALUE"""),31.33)</f>
        <v>31.33</v>
      </c>
      <c r="C142" s="1">
        <f ca="1">IFERROR(__xludf.DUMMYFUNCTION("""COMPUTED_VALUE"""),31.44)</f>
        <v>31.44</v>
      </c>
      <c r="D142" s="1">
        <f ca="1">IFERROR(__xludf.DUMMYFUNCTION("""COMPUTED_VALUE"""),30.98)</f>
        <v>30.98</v>
      </c>
      <c r="E142" s="1">
        <f ca="1">IFERROR(__xludf.DUMMYFUNCTION("""COMPUTED_VALUE"""),31.13)</f>
        <v>31.13</v>
      </c>
      <c r="F142" s="1">
        <f ca="1">IFERROR(__xludf.DUMMYFUNCTION("""COMPUTED_VALUE"""),42162332)</f>
        <v>42162332</v>
      </c>
    </row>
    <row r="143" spans="1:6" x14ac:dyDescent="0.35">
      <c r="A143" s="2">
        <f ca="1">IFERROR(__xludf.DUMMYFUNCTION("""COMPUTED_VALUE"""),42212.6666666666)</f>
        <v>42212.666666666599</v>
      </c>
      <c r="B143" s="1">
        <f ca="1">IFERROR(__xludf.DUMMYFUNCTION("""COMPUTED_VALUE"""),30.77)</f>
        <v>30.77</v>
      </c>
      <c r="C143" s="1">
        <f ca="1">IFERROR(__xludf.DUMMYFUNCTION("""COMPUTED_VALUE"""),30.9)</f>
        <v>30.9</v>
      </c>
      <c r="D143" s="1">
        <f ca="1">IFERROR(__xludf.DUMMYFUNCTION("""COMPUTED_VALUE"""),30.53)</f>
        <v>30.53</v>
      </c>
      <c r="E143" s="1">
        <f ca="1">IFERROR(__xludf.DUMMYFUNCTION("""COMPUTED_VALUE"""),30.69)</f>
        <v>30.69</v>
      </c>
      <c r="F143" s="1">
        <f ca="1">IFERROR(__xludf.DUMMYFUNCTION("""COMPUTED_VALUE"""),44455540)</f>
        <v>44455540</v>
      </c>
    </row>
    <row r="144" spans="1:6" x14ac:dyDescent="0.35">
      <c r="A144" s="2">
        <f ca="1">IFERROR(__xludf.DUMMYFUNCTION("""COMPUTED_VALUE"""),42213.6666666666)</f>
        <v>42213.666666666599</v>
      </c>
      <c r="B144" s="1">
        <f ca="1">IFERROR(__xludf.DUMMYFUNCTION("""COMPUTED_VALUE"""),30.85)</f>
        <v>30.85</v>
      </c>
      <c r="C144" s="1">
        <f ca="1">IFERROR(__xludf.DUMMYFUNCTION("""COMPUTED_VALUE"""),30.98)</f>
        <v>30.98</v>
      </c>
      <c r="D144" s="1">
        <f ca="1">IFERROR(__xludf.DUMMYFUNCTION("""COMPUTED_VALUE"""),30.64)</f>
        <v>30.64</v>
      </c>
      <c r="E144" s="1">
        <f ca="1">IFERROR(__xludf.DUMMYFUNCTION("""COMPUTED_VALUE"""),30.85)</f>
        <v>30.85</v>
      </c>
      <c r="F144" s="1">
        <f ca="1">IFERROR(__xludf.DUMMYFUNCTION("""COMPUTED_VALUE"""),33618097)</f>
        <v>33618097</v>
      </c>
    </row>
    <row r="145" spans="1:6" x14ac:dyDescent="0.35">
      <c r="A145" s="2">
        <f ca="1">IFERROR(__xludf.DUMMYFUNCTION("""COMPUTED_VALUE"""),42214.6666666666)</f>
        <v>42214.666666666599</v>
      </c>
      <c r="B145" s="1">
        <f ca="1">IFERROR(__xludf.DUMMYFUNCTION("""COMPUTED_VALUE"""),30.79)</f>
        <v>30.79</v>
      </c>
      <c r="C145" s="1">
        <f ca="1">IFERROR(__xludf.DUMMYFUNCTION("""COMPUTED_VALUE"""),30.88)</f>
        <v>30.88</v>
      </c>
      <c r="D145" s="1">
        <f ca="1">IFERROR(__xludf.DUMMYFUNCTION("""COMPUTED_VALUE"""),30.57)</f>
        <v>30.57</v>
      </c>
      <c r="E145" s="1">
        <f ca="1">IFERROR(__xludf.DUMMYFUNCTION("""COMPUTED_VALUE"""),30.75)</f>
        <v>30.75</v>
      </c>
      <c r="F145" s="1">
        <f ca="1">IFERROR(__xludf.DUMMYFUNCTION("""COMPUTED_VALUE"""),37011653)</f>
        <v>37011653</v>
      </c>
    </row>
    <row r="146" spans="1:6" x14ac:dyDescent="0.35">
      <c r="A146" s="2">
        <f ca="1">IFERROR(__xludf.DUMMYFUNCTION("""COMPUTED_VALUE"""),42215.6666666666)</f>
        <v>42215.666666666599</v>
      </c>
      <c r="B146" s="1">
        <f ca="1">IFERROR(__xludf.DUMMYFUNCTION("""COMPUTED_VALUE"""),30.58)</f>
        <v>30.58</v>
      </c>
      <c r="C146" s="1">
        <f ca="1">IFERROR(__xludf.DUMMYFUNCTION("""COMPUTED_VALUE"""),30.64)</f>
        <v>30.64</v>
      </c>
      <c r="D146" s="1">
        <f ca="1">IFERROR(__xludf.DUMMYFUNCTION("""COMPUTED_VALUE"""),30.43)</f>
        <v>30.43</v>
      </c>
      <c r="E146" s="1">
        <f ca="1">IFERROR(__xludf.DUMMYFUNCTION("""COMPUTED_VALUE"""),30.59)</f>
        <v>30.59</v>
      </c>
      <c r="F146" s="1">
        <f ca="1">IFERROR(__xludf.DUMMYFUNCTION("""COMPUTED_VALUE"""),33628268)</f>
        <v>33628268</v>
      </c>
    </row>
    <row r="147" spans="1:6" x14ac:dyDescent="0.35">
      <c r="A147" s="2">
        <f ca="1">IFERROR(__xludf.DUMMYFUNCTION("""COMPUTED_VALUE"""),42216.6666666666)</f>
        <v>42216.666666666599</v>
      </c>
      <c r="B147" s="1">
        <f ca="1">IFERROR(__xludf.DUMMYFUNCTION("""COMPUTED_VALUE"""),30.65)</f>
        <v>30.65</v>
      </c>
      <c r="C147" s="1">
        <f ca="1">IFERROR(__xludf.DUMMYFUNCTION("""COMPUTED_VALUE"""),30.66)</f>
        <v>30.66</v>
      </c>
      <c r="D147" s="1">
        <f ca="1">IFERROR(__xludf.DUMMYFUNCTION("""COMPUTED_VALUE"""),30.23)</f>
        <v>30.23</v>
      </c>
      <c r="E147" s="1">
        <f ca="1">IFERROR(__xludf.DUMMYFUNCTION("""COMPUTED_VALUE"""),30.33)</f>
        <v>30.33</v>
      </c>
      <c r="F147" s="1">
        <f ca="1">IFERROR(__xludf.DUMMYFUNCTION("""COMPUTED_VALUE"""),42884953)</f>
        <v>42884953</v>
      </c>
    </row>
    <row r="148" spans="1:6" x14ac:dyDescent="0.35">
      <c r="A148" s="2">
        <f ca="1">IFERROR(__xludf.DUMMYFUNCTION("""COMPUTED_VALUE"""),42219.6666666666)</f>
        <v>42219.666666666599</v>
      </c>
      <c r="B148" s="1">
        <f ca="1">IFERROR(__xludf.DUMMYFUNCTION("""COMPUTED_VALUE"""),30.38)</f>
        <v>30.38</v>
      </c>
      <c r="C148" s="1">
        <f ca="1">IFERROR(__xludf.DUMMYFUNCTION("""COMPUTED_VALUE"""),30.64)</f>
        <v>30.64</v>
      </c>
      <c r="D148" s="1">
        <f ca="1">IFERROR(__xludf.DUMMYFUNCTION("""COMPUTED_VALUE"""),29.38)</f>
        <v>29.38</v>
      </c>
      <c r="E148" s="1">
        <f ca="1">IFERROR(__xludf.DUMMYFUNCTION("""COMPUTED_VALUE"""),29.61)</f>
        <v>29.61</v>
      </c>
      <c r="F148" s="1">
        <f ca="1">IFERROR(__xludf.DUMMYFUNCTION("""COMPUTED_VALUE"""),69975968)</f>
        <v>69975968</v>
      </c>
    </row>
    <row r="149" spans="1:6" x14ac:dyDescent="0.35">
      <c r="A149" s="2">
        <f ca="1">IFERROR(__xludf.DUMMYFUNCTION("""COMPUTED_VALUE"""),42220.6666666666)</f>
        <v>42220.666666666599</v>
      </c>
      <c r="B149" s="1">
        <f ca="1">IFERROR(__xludf.DUMMYFUNCTION("""COMPUTED_VALUE"""),29.36)</f>
        <v>29.36</v>
      </c>
      <c r="C149" s="1">
        <f ca="1">IFERROR(__xludf.DUMMYFUNCTION("""COMPUTED_VALUE"""),29.43)</f>
        <v>29.43</v>
      </c>
      <c r="D149" s="1">
        <f ca="1">IFERROR(__xludf.DUMMYFUNCTION("""COMPUTED_VALUE"""),28.31)</f>
        <v>28.31</v>
      </c>
      <c r="E149" s="1">
        <f ca="1">IFERROR(__xludf.DUMMYFUNCTION("""COMPUTED_VALUE"""),28.66)</f>
        <v>28.66</v>
      </c>
      <c r="F149" s="1">
        <f ca="1">IFERROR(__xludf.DUMMYFUNCTION("""COMPUTED_VALUE"""),124138623)</f>
        <v>124138623</v>
      </c>
    </row>
    <row r="150" spans="1:6" x14ac:dyDescent="0.35">
      <c r="A150" s="2">
        <f ca="1">IFERROR(__xludf.DUMMYFUNCTION("""COMPUTED_VALUE"""),42221.6666666666)</f>
        <v>42221.666666666599</v>
      </c>
      <c r="B150" s="1">
        <f ca="1">IFERROR(__xludf.DUMMYFUNCTION("""COMPUTED_VALUE"""),28.24)</f>
        <v>28.24</v>
      </c>
      <c r="C150" s="1">
        <f ca="1">IFERROR(__xludf.DUMMYFUNCTION("""COMPUTED_VALUE"""),29.36)</f>
        <v>29.36</v>
      </c>
      <c r="D150" s="1">
        <f ca="1">IFERROR(__xludf.DUMMYFUNCTION("""COMPUTED_VALUE"""),28.03)</f>
        <v>28.03</v>
      </c>
      <c r="E150" s="1">
        <f ca="1">IFERROR(__xludf.DUMMYFUNCTION("""COMPUTED_VALUE"""),28.85)</f>
        <v>28.85</v>
      </c>
      <c r="F150" s="1">
        <f ca="1">IFERROR(__xludf.DUMMYFUNCTION("""COMPUTED_VALUE"""),99312613)</f>
        <v>99312613</v>
      </c>
    </row>
    <row r="151" spans="1:6" x14ac:dyDescent="0.35">
      <c r="A151" s="2">
        <f ca="1">IFERROR(__xludf.DUMMYFUNCTION("""COMPUTED_VALUE"""),42222.6666666666)</f>
        <v>42222.666666666599</v>
      </c>
      <c r="B151" s="1">
        <f ca="1">IFERROR(__xludf.DUMMYFUNCTION("""COMPUTED_VALUE"""),28.99)</f>
        <v>28.99</v>
      </c>
      <c r="C151" s="1">
        <f ca="1">IFERROR(__xludf.DUMMYFUNCTION("""COMPUTED_VALUE"""),29.13)</f>
        <v>29.13</v>
      </c>
      <c r="D151" s="1">
        <f ca="1">IFERROR(__xludf.DUMMYFUNCTION("""COMPUTED_VALUE"""),28.53)</f>
        <v>28.53</v>
      </c>
      <c r="E151" s="1">
        <f ca="1">IFERROR(__xludf.DUMMYFUNCTION("""COMPUTED_VALUE"""),28.78)</f>
        <v>28.78</v>
      </c>
      <c r="F151" s="1">
        <f ca="1">IFERROR(__xludf.DUMMYFUNCTION("""COMPUTED_VALUE"""),52903040)</f>
        <v>52903040</v>
      </c>
    </row>
    <row r="152" spans="1:6" x14ac:dyDescent="0.35">
      <c r="A152" s="2">
        <f ca="1">IFERROR(__xludf.DUMMYFUNCTION("""COMPUTED_VALUE"""),42223.6666666666)</f>
        <v>42223.666666666599</v>
      </c>
      <c r="B152" s="1">
        <f ca="1">IFERROR(__xludf.DUMMYFUNCTION("""COMPUTED_VALUE"""),28.65)</f>
        <v>28.65</v>
      </c>
      <c r="C152" s="1">
        <f ca="1">IFERROR(__xludf.DUMMYFUNCTION("""COMPUTED_VALUE"""),29.06)</f>
        <v>29.06</v>
      </c>
      <c r="D152" s="1">
        <f ca="1">IFERROR(__xludf.DUMMYFUNCTION("""COMPUTED_VALUE"""),28.63)</f>
        <v>28.63</v>
      </c>
      <c r="E152" s="1">
        <f ca="1">IFERROR(__xludf.DUMMYFUNCTION("""COMPUTED_VALUE"""),28.88)</f>
        <v>28.88</v>
      </c>
      <c r="F152" s="1">
        <f ca="1">IFERROR(__xludf.DUMMYFUNCTION("""COMPUTED_VALUE"""),38670405)</f>
        <v>38670405</v>
      </c>
    </row>
    <row r="153" spans="1:6" x14ac:dyDescent="0.35">
      <c r="A153" s="2">
        <f ca="1">IFERROR(__xludf.DUMMYFUNCTION("""COMPUTED_VALUE"""),42226.6666666666)</f>
        <v>42226.666666666599</v>
      </c>
      <c r="B153" s="1">
        <f ca="1">IFERROR(__xludf.DUMMYFUNCTION("""COMPUTED_VALUE"""),29.13)</f>
        <v>29.13</v>
      </c>
      <c r="C153" s="1">
        <f ca="1">IFERROR(__xludf.DUMMYFUNCTION("""COMPUTED_VALUE"""),30)</f>
        <v>30</v>
      </c>
      <c r="D153" s="1">
        <f ca="1">IFERROR(__xludf.DUMMYFUNCTION("""COMPUTED_VALUE"""),29.13)</f>
        <v>29.13</v>
      </c>
      <c r="E153" s="1">
        <f ca="1">IFERROR(__xludf.DUMMYFUNCTION("""COMPUTED_VALUE"""),29.93)</f>
        <v>29.93</v>
      </c>
      <c r="F153" s="1">
        <f ca="1">IFERROR(__xludf.DUMMYFUNCTION("""COMPUTED_VALUE"""),54951597)</f>
        <v>54951597</v>
      </c>
    </row>
    <row r="154" spans="1:6" x14ac:dyDescent="0.35">
      <c r="A154" s="2">
        <f ca="1">IFERROR(__xludf.DUMMYFUNCTION("""COMPUTED_VALUE"""),42227.6666666666)</f>
        <v>42227.666666666599</v>
      </c>
      <c r="B154" s="1">
        <f ca="1">IFERROR(__xludf.DUMMYFUNCTION("""COMPUTED_VALUE"""),29.45)</f>
        <v>29.45</v>
      </c>
      <c r="C154" s="1">
        <f ca="1">IFERROR(__xludf.DUMMYFUNCTION("""COMPUTED_VALUE"""),29.55)</f>
        <v>29.55</v>
      </c>
      <c r="D154" s="1">
        <f ca="1">IFERROR(__xludf.DUMMYFUNCTION("""COMPUTED_VALUE"""),28.33)</f>
        <v>28.33</v>
      </c>
      <c r="E154" s="1">
        <f ca="1">IFERROR(__xludf.DUMMYFUNCTION("""COMPUTED_VALUE"""),28.37)</f>
        <v>28.37</v>
      </c>
      <c r="F154" s="1">
        <f ca="1">IFERROR(__xludf.DUMMYFUNCTION("""COMPUTED_VALUE"""),97082814)</f>
        <v>97082814</v>
      </c>
    </row>
    <row r="155" spans="1:6" x14ac:dyDescent="0.35">
      <c r="A155" s="2">
        <f ca="1">IFERROR(__xludf.DUMMYFUNCTION("""COMPUTED_VALUE"""),42228.6666666666)</f>
        <v>42228.666666666599</v>
      </c>
      <c r="B155" s="1">
        <f ca="1">IFERROR(__xludf.DUMMYFUNCTION("""COMPUTED_VALUE"""),28.13)</f>
        <v>28.13</v>
      </c>
      <c r="C155" s="1">
        <f ca="1">IFERROR(__xludf.DUMMYFUNCTION("""COMPUTED_VALUE"""),28.86)</f>
        <v>28.86</v>
      </c>
      <c r="D155" s="1">
        <f ca="1">IFERROR(__xludf.DUMMYFUNCTION("""COMPUTED_VALUE"""),27.41)</f>
        <v>27.41</v>
      </c>
      <c r="E155" s="1">
        <f ca="1">IFERROR(__xludf.DUMMYFUNCTION("""COMPUTED_VALUE"""),28.81)</f>
        <v>28.81</v>
      </c>
      <c r="F155" s="1">
        <f ca="1">IFERROR(__xludf.DUMMYFUNCTION("""COMPUTED_VALUE"""),101685610)</f>
        <v>101685610</v>
      </c>
    </row>
    <row r="156" spans="1:6" x14ac:dyDescent="0.35">
      <c r="A156" s="2">
        <f ca="1">IFERROR(__xludf.DUMMYFUNCTION("""COMPUTED_VALUE"""),42229.6666666666)</f>
        <v>42229.666666666599</v>
      </c>
      <c r="B156" s="1">
        <f ca="1">IFERROR(__xludf.DUMMYFUNCTION("""COMPUTED_VALUE"""),29.01)</f>
        <v>29.01</v>
      </c>
      <c r="C156" s="1">
        <f ca="1">IFERROR(__xludf.DUMMYFUNCTION("""COMPUTED_VALUE"""),29.1)</f>
        <v>29.1</v>
      </c>
      <c r="D156" s="1">
        <f ca="1">IFERROR(__xludf.DUMMYFUNCTION("""COMPUTED_VALUE"""),28.64)</f>
        <v>28.64</v>
      </c>
      <c r="E156" s="1">
        <f ca="1">IFERROR(__xludf.DUMMYFUNCTION("""COMPUTED_VALUE"""),28.79)</f>
        <v>28.79</v>
      </c>
      <c r="F156" s="1">
        <f ca="1">IFERROR(__xludf.DUMMYFUNCTION("""COMPUTED_VALUE"""),48535789)</f>
        <v>48535789</v>
      </c>
    </row>
    <row r="157" spans="1:6" x14ac:dyDescent="0.35">
      <c r="A157" s="2">
        <f ca="1">IFERROR(__xludf.DUMMYFUNCTION("""COMPUTED_VALUE"""),42230.6666666666)</f>
        <v>42230.666666666599</v>
      </c>
      <c r="B157" s="1">
        <f ca="1">IFERROR(__xludf.DUMMYFUNCTION("""COMPUTED_VALUE"""),28.58)</f>
        <v>28.58</v>
      </c>
      <c r="C157" s="1">
        <f ca="1">IFERROR(__xludf.DUMMYFUNCTION("""COMPUTED_VALUE"""),29.08)</f>
        <v>29.08</v>
      </c>
      <c r="D157" s="1">
        <f ca="1">IFERROR(__xludf.DUMMYFUNCTION("""COMPUTED_VALUE"""),28.5)</f>
        <v>28.5</v>
      </c>
      <c r="E157" s="1">
        <f ca="1">IFERROR(__xludf.DUMMYFUNCTION("""COMPUTED_VALUE"""),28.99)</f>
        <v>28.99</v>
      </c>
      <c r="F157" s="1">
        <f ca="1">IFERROR(__xludf.DUMMYFUNCTION("""COMPUTED_VALUE"""),42929516)</f>
        <v>42929516</v>
      </c>
    </row>
    <row r="158" spans="1:6" x14ac:dyDescent="0.35">
      <c r="A158" s="2">
        <f ca="1">IFERROR(__xludf.DUMMYFUNCTION("""COMPUTED_VALUE"""),42233.6666666666)</f>
        <v>42233.666666666599</v>
      </c>
      <c r="B158" s="1">
        <f ca="1">IFERROR(__xludf.DUMMYFUNCTION("""COMPUTED_VALUE"""),29.01)</f>
        <v>29.01</v>
      </c>
      <c r="C158" s="1">
        <f ca="1">IFERROR(__xludf.DUMMYFUNCTION("""COMPUTED_VALUE"""),29.41)</f>
        <v>29.41</v>
      </c>
      <c r="D158" s="1">
        <f ca="1">IFERROR(__xludf.DUMMYFUNCTION("""COMPUTED_VALUE"""),28.88)</f>
        <v>28.88</v>
      </c>
      <c r="E158" s="1">
        <f ca="1">IFERROR(__xludf.DUMMYFUNCTION("""COMPUTED_VALUE"""),29.29)</f>
        <v>29.29</v>
      </c>
      <c r="F158" s="1">
        <f ca="1">IFERROR(__xludf.DUMMYFUNCTION("""COMPUTED_VALUE"""),40884745)</f>
        <v>40884745</v>
      </c>
    </row>
    <row r="159" spans="1:6" x14ac:dyDescent="0.35">
      <c r="A159" s="2">
        <f ca="1">IFERROR(__xludf.DUMMYFUNCTION("""COMPUTED_VALUE"""),42234.6666666666)</f>
        <v>42234.666666666599</v>
      </c>
      <c r="B159" s="1">
        <f ca="1">IFERROR(__xludf.DUMMYFUNCTION("""COMPUTED_VALUE"""),29.11)</f>
        <v>29.11</v>
      </c>
      <c r="C159" s="1">
        <f ca="1">IFERROR(__xludf.DUMMYFUNCTION("""COMPUTED_VALUE"""),29.36)</f>
        <v>29.36</v>
      </c>
      <c r="D159" s="1">
        <f ca="1">IFERROR(__xludf.DUMMYFUNCTION("""COMPUTED_VALUE"""),29)</f>
        <v>29</v>
      </c>
      <c r="E159" s="1">
        <f ca="1">IFERROR(__xludf.DUMMYFUNCTION("""COMPUTED_VALUE"""),29.13)</f>
        <v>29.13</v>
      </c>
      <c r="F159" s="1">
        <f ca="1">IFERROR(__xludf.DUMMYFUNCTION("""COMPUTED_VALUE"""),34560708)</f>
        <v>34560708</v>
      </c>
    </row>
    <row r="160" spans="1:6" x14ac:dyDescent="0.35">
      <c r="A160" s="2">
        <f ca="1">IFERROR(__xludf.DUMMYFUNCTION("""COMPUTED_VALUE"""),42235.6666666666)</f>
        <v>42235.666666666599</v>
      </c>
      <c r="B160" s="1">
        <f ca="1">IFERROR(__xludf.DUMMYFUNCTION("""COMPUTED_VALUE"""),29.03)</f>
        <v>29.03</v>
      </c>
      <c r="C160" s="1">
        <f ca="1">IFERROR(__xludf.DUMMYFUNCTION("""COMPUTED_VALUE"""),29.13)</f>
        <v>29.13</v>
      </c>
      <c r="D160" s="1">
        <f ca="1">IFERROR(__xludf.DUMMYFUNCTION("""COMPUTED_VALUE"""),28.67)</f>
        <v>28.67</v>
      </c>
      <c r="E160" s="1">
        <f ca="1">IFERROR(__xludf.DUMMYFUNCTION("""COMPUTED_VALUE"""),28.75)</f>
        <v>28.75</v>
      </c>
      <c r="F160" s="1">
        <f ca="1">IFERROR(__xludf.DUMMYFUNCTION("""COMPUTED_VALUE"""),48286510)</f>
        <v>48286510</v>
      </c>
    </row>
    <row r="161" spans="1:6" x14ac:dyDescent="0.35">
      <c r="A161" s="2">
        <f ca="1">IFERROR(__xludf.DUMMYFUNCTION("""COMPUTED_VALUE"""),42236.6666666666)</f>
        <v>42236.666666666599</v>
      </c>
      <c r="B161" s="1">
        <f ca="1">IFERROR(__xludf.DUMMYFUNCTION("""COMPUTED_VALUE"""),28.52)</f>
        <v>28.52</v>
      </c>
      <c r="C161" s="1">
        <f ca="1">IFERROR(__xludf.DUMMYFUNCTION("""COMPUTED_VALUE"""),28.59)</f>
        <v>28.59</v>
      </c>
      <c r="D161" s="1">
        <f ca="1">IFERROR(__xludf.DUMMYFUNCTION("""COMPUTED_VALUE"""),27.91)</f>
        <v>27.91</v>
      </c>
      <c r="E161" s="1">
        <f ca="1">IFERROR(__xludf.DUMMYFUNCTION("""COMPUTED_VALUE"""),28.16)</f>
        <v>28.16</v>
      </c>
      <c r="F161" s="1">
        <f ca="1">IFERROR(__xludf.DUMMYFUNCTION("""COMPUTED_VALUE"""),68501622)</f>
        <v>68501622</v>
      </c>
    </row>
    <row r="162" spans="1:6" x14ac:dyDescent="0.35">
      <c r="A162" s="2">
        <f ca="1">IFERROR(__xludf.DUMMYFUNCTION("""COMPUTED_VALUE"""),42237.6666666666)</f>
        <v>42237.666666666599</v>
      </c>
      <c r="B162" s="1">
        <f ca="1">IFERROR(__xludf.DUMMYFUNCTION("""COMPUTED_VALUE"""),27.61)</f>
        <v>27.61</v>
      </c>
      <c r="C162" s="1">
        <f ca="1">IFERROR(__xludf.DUMMYFUNCTION("""COMPUTED_VALUE"""),27.98)</f>
        <v>27.98</v>
      </c>
      <c r="D162" s="1">
        <f ca="1">IFERROR(__xludf.DUMMYFUNCTION("""COMPUTED_VALUE"""),26.41)</f>
        <v>26.41</v>
      </c>
      <c r="E162" s="1">
        <f ca="1">IFERROR(__xludf.DUMMYFUNCTION("""COMPUTED_VALUE"""),26.44)</f>
        <v>26.44</v>
      </c>
      <c r="F162" s="1">
        <f ca="1">IFERROR(__xludf.DUMMYFUNCTION("""COMPUTED_VALUE"""),128275471)</f>
        <v>128275471</v>
      </c>
    </row>
    <row r="163" spans="1:6" x14ac:dyDescent="0.35">
      <c r="A163" s="2">
        <f ca="1">IFERROR(__xludf.DUMMYFUNCTION("""COMPUTED_VALUE"""),42240.6666666666)</f>
        <v>42240.666666666599</v>
      </c>
      <c r="B163" s="1">
        <f ca="1">IFERROR(__xludf.DUMMYFUNCTION("""COMPUTED_VALUE"""),23.72)</f>
        <v>23.72</v>
      </c>
      <c r="C163" s="1">
        <f ca="1">IFERROR(__xludf.DUMMYFUNCTION("""COMPUTED_VALUE"""),27.2)</f>
        <v>27.2</v>
      </c>
      <c r="D163" s="1">
        <f ca="1">IFERROR(__xludf.DUMMYFUNCTION("""COMPUTED_VALUE"""),23)</f>
        <v>23</v>
      </c>
      <c r="E163" s="1">
        <f ca="1">IFERROR(__xludf.DUMMYFUNCTION("""COMPUTED_VALUE"""),25.78)</f>
        <v>25.78</v>
      </c>
      <c r="F163" s="1">
        <f ca="1">IFERROR(__xludf.DUMMYFUNCTION("""COMPUTED_VALUE"""),162206292)</f>
        <v>162206292</v>
      </c>
    </row>
    <row r="164" spans="1:6" x14ac:dyDescent="0.35">
      <c r="A164" s="2">
        <f ca="1">IFERROR(__xludf.DUMMYFUNCTION("""COMPUTED_VALUE"""),42241.6666666666)</f>
        <v>42241.666666666599</v>
      </c>
      <c r="B164" s="1">
        <f ca="1">IFERROR(__xludf.DUMMYFUNCTION("""COMPUTED_VALUE"""),27.78)</f>
        <v>27.78</v>
      </c>
      <c r="C164" s="1">
        <f ca="1">IFERROR(__xludf.DUMMYFUNCTION("""COMPUTED_VALUE"""),27.78)</f>
        <v>27.78</v>
      </c>
      <c r="D164" s="1">
        <f ca="1">IFERROR(__xludf.DUMMYFUNCTION("""COMPUTED_VALUE"""),25.88)</f>
        <v>25.88</v>
      </c>
      <c r="E164" s="1">
        <f ca="1">IFERROR(__xludf.DUMMYFUNCTION("""COMPUTED_VALUE"""),25.94)</f>
        <v>25.94</v>
      </c>
      <c r="F164" s="1">
        <f ca="1">IFERROR(__xludf.DUMMYFUNCTION("""COMPUTED_VALUE"""),103601599)</f>
        <v>103601599</v>
      </c>
    </row>
    <row r="165" spans="1:6" x14ac:dyDescent="0.35">
      <c r="A165" s="2">
        <f ca="1">IFERROR(__xludf.DUMMYFUNCTION("""COMPUTED_VALUE"""),42242.6666666666)</f>
        <v>42242.666666666599</v>
      </c>
      <c r="B165" s="1">
        <f ca="1">IFERROR(__xludf.DUMMYFUNCTION("""COMPUTED_VALUE"""),26.77)</f>
        <v>26.77</v>
      </c>
      <c r="C165" s="1">
        <f ca="1">IFERROR(__xludf.DUMMYFUNCTION("""COMPUTED_VALUE"""),27.47)</f>
        <v>27.47</v>
      </c>
      <c r="D165" s="1">
        <f ca="1">IFERROR(__xludf.DUMMYFUNCTION("""COMPUTED_VALUE"""),26.26)</f>
        <v>26.26</v>
      </c>
      <c r="E165" s="1">
        <f ca="1">IFERROR(__xludf.DUMMYFUNCTION("""COMPUTED_VALUE"""),27.42)</f>
        <v>27.42</v>
      </c>
      <c r="F165" s="1">
        <f ca="1">IFERROR(__xludf.DUMMYFUNCTION("""COMPUTED_VALUE"""),96774611)</f>
        <v>96774611</v>
      </c>
    </row>
    <row r="166" spans="1:6" x14ac:dyDescent="0.35">
      <c r="A166" s="2">
        <f ca="1">IFERROR(__xludf.DUMMYFUNCTION("""COMPUTED_VALUE"""),42243.6666666666)</f>
        <v>42243.666666666599</v>
      </c>
      <c r="B166" s="1">
        <f ca="1">IFERROR(__xludf.DUMMYFUNCTION("""COMPUTED_VALUE"""),28.06)</f>
        <v>28.06</v>
      </c>
      <c r="C166" s="1">
        <f ca="1">IFERROR(__xludf.DUMMYFUNCTION("""COMPUTED_VALUE"""),28.31)</f>
        <v>28.31</v>
      </c>
      <c r="D166" s="1">
        <f ca="1">IFERROR(__xludf.DUMMYFUNCTION("""COMPUTED_VALUE"""),27.51)</f>
        <v>27.51</v>
      </c>
      <c r="E166" s="1">
        <f ca="1">IFERROR(__xludf.DUMMYFUNCTION("""COMPUTED_VALUE"""),28.23)</f>
        <v>28.23</v>
      </c>
      <c r="F166" s="1">
        <f ca="1">IFERROR(__xludf.DUMMYFUNCTION("""COMPUTED_VALUE"""),84616056)</f>
        <v>84616056</v>
      </c>
    </row>
    <row r="167" spans="1:6" x14ac:dyDescent="0.35">
      <c r="A167" s="2">
        <f ca="1">IFERROR(__xludf.DUMMYFUNCTION("""COMPUTED_VALUE"""),42244.6666666666)</f>
        <v>42244.666666666599</v>
      </c>
      <c r="B167" s="1">
        <f ca="1">IFERROR(__xludf.DUMMYFUNCTION("""COMPUTED_VALUE"""),28.04)</f>
        <v>28.04</v>
      </c>
      <c r="C167" s="1">
        <f ca="1">IFERROR(__xludf.DUMMYFUNCTION("""COMPUTED_VALUE"""),28.33)</f>
        <v>28.33</v>
      </c>
      <c r="D167" s="1">
        <f ca="1">IFERROR(__xludf.DUMMYFUNCTION("""COMPUTED_VALUE"""),27.89)</f>
        <v>27.89</v>
      </c>
      <c r="E167" s="1">
        <f ca="1">IFERROR(__xludf.DUMMYFUNCTION("""COMPUTED_VALUE"""),28.32)</f>
        <v>28.32</v>
      </c>
      <c r="F167" s="1">
        <f ca="1">IFERROR(__xludf.DUMMYFUNCTION("""COMPUTED_VALUE"""),53164407)</f>
        <v>53164407</v>
      </c>
    </row>
    <row r="168" spans="1:6" x14ac:dyDescent="0.35">
      <c r="A168" s="2">
        <f ca="1">IFERROR(__xludf.DUMMYFUNCTION("""COMPUTED_VALUE"""),42247.6666666666)</f>
        <v>42247.666666666599</v>
      </c>
      <c r="B168" s="1">
        <f ca="1">IFERROR(__xludf.DUMMYFUNCTION("""COMPUTED_VALUE"""),28.01)</f>
        <v>28.01</v>
      </c>
      <c r="C168" s="1">
        <f ca="1">IFERROR(__xludf.DUMMYFUNCTION("""COMPUTED_VALUE"""),28.63)</f>
        <v>28.63</v>
      </c>
      <c r="D168" s="1">
        <f ca="1">IFERROR(__xludf.DUMMYFUNCTION("""COMPUTED_VALUE"""),28)</f>
        <v>28</v>
      </c>
      <c r="E168" s="1">
        <f ca="1">IFERROR(__xludf.DUMMYFUNCTION("""COMPUTED_VALUE"""),28.19)</f>
        <v>28.19</v>
      </c>
      <c r="F168" s="1">
        <f ca="1">IFERROR(__xludf.DUMMYFUNCTION("""COMPUTED_VALUE"""),56229271)</f>
        <v>56229271</v>
      </c>
    </row>
    <row r="169" spans="1:6" x14ac:dyDescent="0.35">
      <c r="A169" s="2">
        <f ca="1">IFERROR(__xludf.DUMMYFUNCTION("""COMPUTED_VALUE"""),42248.6666666666)</f>
        <v>42248.666666666599</v>
      </c>
      <c r="B169" s="1">
        <f ca="1">IFERROR(__xludf.DUMMYFUNCTION("""COMPUTED_VALUE"""),27.54)</f>
        <v>27.54</v>
      </c>
      <c r="C169" s="1">
        <f ca="1">IFERROR(__xludf.DUMMYFUNCTION("""COMPUTED_VALUE"""),27.97)</f>
        <v>27.97</v>
      </c>
      <c r="D169" s="1">
        <f ca="1">IFERROR(__xludf.DUMMYFUNCTION("""COMPUTED_VALUE"""),26.84)</f>
        <v>26.84</v>
      </c>
      <c r="E169" s="1">
        <f ca="1">IFERROR(__xludf.DUMMYFUNCTION("""COMPUTED_VALUE"""),26.93)</f>
        <v>26.93</v>
      </c>
      <c r="F169" s="1">
        <f ca="1">IFERROR(__xludf.DUMMYFUNCTION("""COMPUTED_VALUE"""),76845860)</f>
        <v>76845860</v>
      </c>
    </row>
    <row r="170" spans="1:6" x14ac:dyDescent="0.35">
      <c r="A170" s="2">
        <f ca="1">IFERROR(__xludf.DUMMYFUNCTION("""COMPUTED_VALUE"""),42249.6666666666)</f>
        <v>42249.666666666599</v>
      </c>
      <c r="B170" s="1">
        <f ca="1">IFERROR(__xludf.DUMMYFUNCTION("""COMPUTED_VALUE"""),27.56)</f>
        <v>27.56</v>
      </c>
      <c r="C170" s="1">
        <f ca="1">IFERROR(__xludf.DUMMYFUNCTION("""COMPUTED_VALUE"""),28.09)</f>
        <v>28.09</v>
      </c>
      <c r="D170" s="1">
        <f ca="1">IFERROR(__xludf.DUMMYFUNCTION("""COMPUTED_VALUE"""),27.28)</f>
        <v>27.28</v>
      </c>
      <c r="E170" s="1">
        <f ca="1">IFERROR(__xludf.DUMMYFUNCTION("""COMPUTED_VALUE"""),28.09)</f>
        <v>28.09</v>
      </c>
      <c r="F170" s="1">
        <f ca="1">IFERROR(__xludf.DUMMYFUNCTION("""COMPUTED_VALUE"""),61888812)</f>
        <v>61888812</v>
      </c>
    </row>
    <row r="171" spans="1:6" x14ac:dyDescent="0.35">
      <c r="A171" s="2">
        <f ca="1">IFERROR(__xludf.DUMMYFUNCTION("""COMPUTED_VALUE"""),42250.6666666666)</f>
        <v>42250.666666666599</v>
      </c>
      <c r="B171" s="1">
        <f ca="1">IFERROR(__xludf.DUMMYFUNCTION("""COMPUTED_VALUE"""),28.12)</f>
        <v>28.12</v>
      </c>
      <c r="C171" s="1">
        <f ca="1">IFERROR(__xludf.DUMMYFUNCTION("""COMPUTED_VALUE"""),28.2)</f>
        <v>28.2</v>
      </c>
      <c r="D171" s="1">
        <f ca="1">IFERROR(__xludf.DUMMYFUNCTION("""COMPUTED_VALUE"""),27.51)</f>
        <v>27.51</v>
      </c>
      <c r="E171" s="1">
        <f ca="1">IFERROR(__xludf.DUMMYFUNCTION("""COMPUTED_VALUE"""),27.59)</f>
        <v>27.59</v>
      </c>
      <c r="F171" s="1">
        <f ca="1">IFERROR(__xludf.DUMMYFUNCTION("""COMPUTED_VALUE"""),53233940)</f>
        <v>53233940</v>
      </c>
    </row>
    <row r="172" spans="1:6" x14ac:dyDescent="0.35">
      <c r="A172" s="2">
        <f ca="1">IFERROR(__xludf.DUMMYFUNCTION("""COMPUTED_VALUE"""),42251.6666666666)</f>
        <v>42251.666666666599</v>
      </c>
      <c r="B172" s="1">
        <f ca="1">IFERROR(__xludf.DUMMYFUNCTION("""COMPUTED_VALUE"""),27.24)</f>
        <v>27.24</v>
      </c>
      <c r="C172" s="1">
        <f ca="1">IFERROR(__xludf.DUMMYFUNCTION("""COMPUTED_VALUE"""),27.61)</f>
        <v>27.61</v>
      </c>
      <c r="D172" s="1">
        <f ca="1">IFERROR(__xludf.DUMMYFUNCTION("""COMPUTED_VALUE"""),27.13)</f>
        <v>27.13</v>
      </c>
      <c r="E172" s="1">
        <f ca="1">IFERROR(__xludf.DUMMYFUNCTION("""COMPUTED_VALUE"""),27.32)</f>
        <v>27.32</v>
      </c>
      <c r="F172" s="1">
        <f ca="1">IFERROR(__xludf.DUMMYFUNCTION("""COMPUTED_VALUE"""),49996311)</f>
        <v>49996311</v>
      </c>
    </row>
    <row r="173" spans="1:6" x14ac:dyDescent="0.35">
      <c r="A173" s="2">
        <f ca="1">IFERROR(__xludf.DUMMYFUNCTION("""COMPUTED_VALUE"""),42255.6666666666)</f>
        <v>42255.666666666599</v>
      </c>
      <c r="B173" s="1">
        <f ca="1">IFERROR(__xludf.DUMMYFUNCTION("""COMPUTED_VALUE"""),27.91)</f>
        <v>27.91</v>
      </c>
      <c r="C173" s="1">
        <f ca="1">IFERROR(__xludf.DUMMYFUNCTION("""COMPUTED_VALUE"""),28.14)</f>
        <v>28.14</v>
      </c>
      <c r="D173" s="1">
        <f ca="1">IFERROR(__xludf.DUMMYFUNCTION("""COMPUTED_VALUE"""),27.58)</f>
        <v>27.58</v>
      </c>
      <c r="E173" s="1">
        <f ca="1">IFERROR(__xludf.DUMMYFUNCTION("""COMPUTED_VALUE"""),28.08)</f>
        <v>28.08</v>
      </c>
      <c r="F173" s="1">
        <f ca="1">IFERROR(__xludf.DUMMYFUNCTION("""COMPUTED_VALUE"""),54843626)</f>
        <v>54843626</v>
      </c>
    </row>
    <row r="174" spans="1:6" x14ac:dyDescent="0.35">
      <c r="A174" s="2">
        <f ca="1">IFERROR(__xludf.DUMMYFUNCTION("""COMPUTED_VALUE"""),42256.6666666666)</f>
        <v>42256.666666666599</v>
      </c>
      <c r="B174" s="1">
        <f ca="1">IFERROR(__xludf.DUMMYFUNCTION("""COMPUTED_VALUE"""),28.44)</f>
        <v>28.44</v>
      </c>
      <c r="C174" s="1">
        <f ca="1">IFERROR(__xludf.DUMMYFUNCTION("""COMPUTED_VALUE"""),28.51)</f>
        <v>28.51</v>
      </c>
      <c r="D174" s="1">
        <f ca="1">IFERROR(__xludf.DUMMYFUNCTION("""COMPUTED_VALUE"""),27.44)</f>
        <v>27.44</v>
      </c>
      <c r="E174" s="1">
        <f ca="1">IFERROR(__xludf.DUMMYFUNCTION("""COMPUTED_VALUE"""),27.54)</f>
        <v>27.54</v>
      </c>
      <c r="F174" s="1">
        <f ca="1">IFERROR(__xludf.DUMMYFUNCTION("""COMPUTED_VALUE"""),85010804)</f>
        <v>85010804</v>
      </c>
    </row>
    <row r="175" spans="1:6" x14ac:dyDescent="0.35">
      <c r="A175" s="2">
        <f ca="1">IFERROR(__xludf.DUMMYFUNCTION("""COMPUTED_VALUE"""),42257.6666666666)</f>
        <v>42257.666666666599</v>
      </c>
      <c r="B175" s="1">
        <f ca="1">IFERROR(__xludf.DUMMYFUNCTION("""COMPUTED_VALUE"""),27.57)</f>
        <v>27.57</v>
      </c>
      <c r="C175" s="1">
        <f ca="1">IFERROR(__xludf.DUMMYFUNCTION("""COMPUTED_VALUE"""),28.32)</f>
        <v>28.32</v>
      </c>
      <c r="D175" s="1">
        <f ca="1">IFERROR(__xludf.DUMMYFUNCTION("""COMPUTED_VALUE"""),27.48)</f>
        <v>27.48</v>
      </c>
      <c r="E175" s="1">
        <f ca="1">IFERROR(__xludf.DUMMYFUNCTION("""COMPUTED_VALUE"""),28.14)</f>
        <v>28.14</v>
      </c>
      <c r="F175" s="1">
        <f ca="1">IFERROR(__xludf.DUMMYFUNCTION("""COMPUTED_VALUE"""),62892831)</f>
        <v>62892831</v>
      </c>
    </row>
    <row r="176" spans="1:6" x14ac:dyDescent="0.35">
      <c r="A176" s="2">
        <f ca="1">IFERROR(__xludf.DUMMYFUNCTION("""COMPUTED_VALUE"""),42258.6666666666)</f>
        <v>42258.666666666599</v>
      </c>
      <c r="B176" s="1">
        <f ca="1">IFERROR(__xludf.DUMMYFUNCTION("""COMPUTED_VALUE"""),27.95)</f>
        <v>27.95</v>
      </c>
      <c r="C176" s="1">
        <f ca="1">IFERROR(__xludf.DUMMYFUNCTION("""COMPUTED_VALUE"""),28.55)</f>
        <v>28.55</v>
      </c>
      <c r="D176" s="1">
        <f ca="1">IFERROR(__xludf.DUMMYFUNCTION("""COMPUTED_VALUE"""),27.94)</f>
        <v>27.94</v>
      </c>
      <c r="E176" s="1">
        <f ca="1">IFERROR(__xludf.DUMMYFUNCTION("""COMPUTED_VALUE"""),28.55)</f>
        <v>28.55</v>
      </c>
      <c r="F176" s="1">
        <f ca="1">IFERROR(__xludf.DUMMYFUNCTION("""COMPUTED_VALUE"""),49915473)</f>
        <v>49915473</v>
      </c>
    </row>
    <row r="177" spans="1:6" x14ac:dyDescent="0.35">
      <c r="A177" s="2">
        <f ca="1">IFERROR(__xludf.DUMMYFUNCTION("""COMPUTED_VALUE"""),42261.6666666666)</f>
        <v>42261.666666666599</v>
      </c>
      <c r="B177" s="1">
        <f ca="1">IFERROR(__xludf.DUMMYFUNCTION("""COMPUTED_VALUE"""),29.15)</f>
        <v>29.15</v>
      </c>
      <c r="C177" s="1">
        <f ca="1">IFERROR(__xludf.DUMMYFUNCTION("""COMPUTED_VALUE"""),29.22)</f>
        <v>29.22</v>
      </c>
      <c r="D177" s="1">
        <f ca="1">IFERROR(__xludf.DUMMYFUNCTION("""COMPUTED_VALUE"""),28.72)</f>
        <v>28.72</v>
      </c>
      <c r="E177" s="1">
        <f ca="1">IFERROR(__xludf.DUMMYFUNCTION("""COMPUTED_VALUE"""),28.83)</f>
        <v>28.83</v>
      </c>
      <c r="F177" s="1">
        <f ca="1">IFERROR(__xludf.DUMMYFUNCTION("""COMPUTED_VALUE"""),58363431)</f>
        <v>58363431</v>
      </c>
    </row>
    <row r="178" spans="1:6" x14ac:dyDescent="0.35">
      <c r="A178" s="2">
        <f ca="1">IFERROR(__xludf.DUMMYFUNCTION("""COMPUTED_VALUE"""),42262.6666666666)</f>
        <v>42262.666666666599</v>
      </c>
      <c r="B178" s="1">
        <f ca="1">IFERROR(__xludf.DUMMYFUNCTION("""COMPUTED_VALUE"""),28.98)</f>
        <v>28.98</v>
      </c>
      <c r="C178" s="1">
        <f ca="1">IFERROR(__xludf.DUMMYFUNCTION("""COMPUTED_VALUE"""),29.13)</f>
        <v>29.13</v>
      </c>
      <c r="D178" s="1">
        <f ca="1">IFERROR(__xludf.DUMMYFUNCTION("""COMPUTED_VALUE"""),28.61)</f>
        <v>28.61</v>
      </c>
      <c r="E178" s="1">
        <f ca="1">IFERROR(__xludf.DUMMYFUNCTION("""COMPUTED_VALUE"""),29.07)</f>
        <v>29.07</v>
      </c>
      <c r="F178" s="1">
        <f ca="1">IFERROR(__xludf.DUMMYFUNCTION("""COMPUTED_VALUE"""),43341155)</f>
        <v>43341155</v>
      </c>
    </row>
    <row r="179" spans="1:6" x14ac:dyDescent="0.35">
      <c r="A179" s="2">
        <f ca="1">IFERROR(__xludf.DUMMYFUNCTION("""COMPUTED_VALUE"""),42263.6666666666)</f>
        <v>42263.666666666599</v>
      </c>
      <c r="B179" s="1">
        <f ca="1">IFERROR(__xludf.DUMMYFUNCTION("""COMPUTED_VALUE"""),29.06)</f>
        <v>29.06</v>
      </c>
      <c r="C179" s="1">
        <f ca="1">IFERROR(__xludf.DUMMYFUNCTION("""COMPUTED_VALUE"""),29.14)</f>
        <v>29.14</v>
      </c>
      <c r="D179" s="1">
        <f ca="1">IFERROR(__xludf.DUMMYFUNCTION("""COMPUTED_VALUE"""),28.86)</f>
        <v>28.86</v>
      </c>
      <c r="E179" s="1">
        <f ca="1">IFERROR(__xludf.DUMMYFUNCTION("""COMPUTED_VALUE"""),29.1)</f>
        <v>29.1</v>
      </c>
      <c r="F179" s="1">
        <f ca="1">IFERROR(__xludf.DUMMYFUNCTION("""COMPUTED_VALUE"""),37173489)</f>
        <v>37173489</v>
      </c>
    </row>
    <row r="180" spans="1:6" x14ac:dyDescent="0.35">
      <c r="A180" s="2">
        <f ca="1">IFERROR(__xludf.DUMMYFUNCTION("""COMPUTED_VALUE"""),42264.6666666666)</f>
        <v>42264.666666666599</v>
      </c>
      <c r="B180" s="1">
        <f ca="1">IFERROR(__xludf.DUMMYFUNCTION("""COMPUTED_VALUE"""),28.92)</f>
        <v>28.92</v>
      </c>
      <c r="C180" s="1">
        <f ca="1">IFERROR(__xludf.DUMMYFUNCTION("""COMPUTED_VALUE"""),29.12)</f>
        <v>29.12</v>
      </c>
      <c r="D180" s="1">
        <f ca="1">IFERROR(__xludf.DUMMYFUNCTION("""COMPUTED_VALUE"""),28.43)</f>
        <v>28.43</v>
      </c>
      <c r="E180" s="1">
        <f ca="1">IFERROR(__xludf.DUMMYFUNCTION("""COMPUTED_VALUE"""),28.48)</f>
        <v>28.48</v>
      </c>
      <c r="F180" s="1">
        <f ca="1">IFERROR(__xludf.DUMMYFUNCTION("""COMPUTED_VALUE"""),64112641)</f>
        <v>64112641</v>
      </c>
    </row>
    <row r="181" spans="1:6" x14ac:dyDescent="0.35">
      <c r="A181" s="2">
        <f ca="1">IFERROR(__xludf.DUMMYFUNCTION("""COMPUTED_VALUE"""),42265.6666666666)</f>
        <v>42265.666666666599</v>
      </c>
      <c r="B181" s="1">
        <f ca="1">IFERROR(__xludf.DUMMYFUNCTION("""COMPUTED_VALUE"""),28.05)</f>
        <v>28.05</v>
      </c>
      <c r="C181" s="1">
        <f ca="1">IFERROR(__xludf.DUMMYFUNCTION("""COMPUTED_VALUE"""),28.58)</f>
        <v>28.58</v>
      </c>
      <c r="D181" s="1">
        <f ca="1">IFERROR(__xludf.DUMMYFUNCTION("""COMPUTED_VALUE"""),27.97)</f>
        <v>27.97</v>
      </c>
      <c r="E181" s="1">
        <f ca="1">IFERROR(__xludf.DUMMYFUNCTION("""COMPUTED_VALUE"""),28.36)</f>
        <v>28.36</v>
      </c>
      <c r="F181" s="1">
        <f ca="1">IFERROR(__xludf.DUMMYFUNCTION("""COMPUTED_VALUE"""),74285291)</f>
        <v>74285291</v>
      </c>
    </row>
    <row r="182" spans="1:6" x14ac:dyDescent="0.35">
      <c r="A182" s="2">
        <f ca="1">IFERROR(__xludf.DUMMYFUNCTION("""COMPUTED_VALUE"""),42268.6666666666)</f>
        <v>42268.666666666599</v>
      </c>
      <c r="B182" s="1">
        <f ca="1">IFERROR(__xludf.DUMMYFUNCTION("""COMPUTED_VALUE"""),28.42)</f>
        <v>28.42</v>
      </c>
      <c r="C182" s="1">
        <f ca="1">IFERROR(__xludf.DUMMYFUNCTION("""COMPUTED_VALUE"""),28.84)</f>
        <v>28.84</v>
      </c>
      <c r="D182" s="1">
        <f ca="1">IFERROR(__xludf.DUMMYFUNCTION("""COMPUTED_VALUE"""),28.42)</f>
        <v>28.42</v>
      </c>
      <c r="E182" s="1">
        <f ca="1">IFERROR(__xludf.DUMMYFUNCTION("""COMPUTED_VALUE"""),28.8)</f>
        <v>28.8</v>
      </c>
      <c r="F182" s="1">
        <f ca="1">IFERROR(__xludf.DUMMYFUNCTION("""COMPUTED_VALUE"""),50221965)</f>
        <v>50221965</v>
      </c>
    </row>
    <row r="183" spans="1:6" x14ac:dyDescent="0.35">
      <c r="A183" s="2">
        <f ca="1">IFERROR(__xludf.DUMMYFUNCTION("""COMPUTED_VALUE"""),42269.6666666666)</f>
        <v>42269.666666666599</v>
      </c>
      <c r="B183" s="1">
        <f ca="1">IFERROR(__xludf.DUMMYFUNCTION("""COMPUTED_VALUE"""),28.35)</f>
        <v>28.35</v>
      </c>
      <c r="C183" s="1">
        <f ca="1">IFERROR(__xludf.DUMMYFUNCTION("""COMPUTED_VALUE"""),28.55)</f>
        <v>28.55</v>
      </c>
      <c r="D183" s="1">
        <f ca="1">IFERROR(__xludf.DUMMYFUNCTION("""COMPUTED_VALUE"""),28.13)</f>
        <v>28.13</v>
      </c>
      <c r="E183" s="1">
        <f ca="1">IFERROR(__xludf.DUMMYFUNCTION("""COMPUTED_VALUE"""),28.35)</f>
        <v>28.35</v>
      </c>
      <c r="F183" s="1">
        <f ca="1">IFERROR(__xludf.DUMMYFUNCTION("""COMPUTED_VALUE"""),50346159)</f>
        <v>50346159</v>
      </c>
    </row>
    <row r="184" spans="1:6" x14ac:dyDescent="0.35">
      <c r="A184" s="2">
        <f ca="1">IFERROR(__xludf.DUMMYFUNCTION("""COMPUTED_VALUE"""),42270.6666666666)</f>
        <v>42270.666666666599</v>
      </c>
      <c r="B184" s="1">
        <f ca="1">IFERROR(__xludf.DUMMYFUNCTION("""COMPUTED_VALUE"""),28.41)</f>
        <v>28.41</v>
      </c>
      <c r="C184" s="1">
        <f ca="1">IFERROR(__xludf.DUMMYFUNCTION("""COMPUTED_VALUE"""),28.68)</f>
        <v>28.68</v>
      </c>
      <c r="D184" s="1">
        <f ca="1">IFERROR(__xludf.DUMMYFUNCTION("""COMPUTED_VALUE"""),28.33)</f>
        <v>28.33</v>
      </c>
      <c r="E184" s="1">
        <f ca="1">IFERROR(__xludf.DUMMYFUNCTION("""COMPUTED_VALUE"""),28.58)</f>
        <v>28.58</v>
      </c>
      <c r="F184" s="1">
        <f ca="1">IFERROR(__xludf.DUMMYFUNCTION("""COMPUTED_VALUE"""),35756716)</f>
        <v>35756716</v>
      </c>
    </row>
    <row r="185" spans="1:6" x14ac:dyDescent="0.35">
      <c r="A185" s="2">
        <f ca="1">IFERROR(__xludf.DUMMYFUNCTION("""COMPUTED_VALUE"""),42271.6666666666)</f>
        <v>42271.666666666599</v>
      </c>
      <c r="B185" s="1">
        <f ca="1">IFERROR(__xludf.DUMMYFUNCTION("""COMPUTED_VALUE"""),28.31)</f>
        <v>28.31</v>
      </c>
      <c r="C185" s="1">
        <f ca="1">IFERROR(__xludf.DUMMYFUNCTION("""COMPUTED_VALUE"""),28.88)</f>
        <v>28.88</v>
      </c>
      <c r="D185" s="1">
        <f ca="1">IFERROR(__xludf.DUMMYFUNCTION("""COMPUTED_VALUE"""),28.09)</f>
        <v>28.09</v>
      </c>
      <c r="E185" s="1">
        <f ca="1">IFERROR(__xludf.DUMMYFUNCTION("""COMPUTED_VALUE"""),28.75)</f>
        <v>28.75</v>
      </c>
      <c r="F185" s="1">
        <f ca="1">IFERROR(__xludf.DUMMYFUNCTION("""COMPUTED_VALUE"""),50219475)</f>
        <v>50219475</v>
      </c>
    </row>
    <row r="186" spans="1:6" x14ac:dyDescent="0.35">
      <c r="A186" s="2">
        <f ca="1">IFERROR(__xludf.DUMMYFUNCTION("""COMPUTED_VALUE"""),42272.6666666666)</f>
        <v>42272.666666666599</v>
      </c>
      <c r="B186" s="1">
        <f ca="1">IFERROR(__xludf.DUMMYFUNCTION("""COMPUTED_VALUE"""),29.11)</f>
        <v>29.11</v>
      </c>
      <c r="C186" s="1">
        <f ca="1">IFERROR(__xludf.DUMMYFUNCTION("""COMPUTED_VALUE"""),29.17)</f>
        <v>29.17</v>
      </c>
      <c r="D186" s="1">
        <f ca="1">IFERROR(__xludf.DUMMYFUNCTION("""COMPUTED_VALUE"""),28.51)</f>
        <v>28.51</v>
      </c>
      <c r="E186" s="1">
        <f ca="1">IFERROR(__xludf.DUMMYFUNCTION("""COMPUTED_VALUE"""),28.68)</f>
        <v>28.68</v>
      </c>
      <c r="F186" s="1">
        <f ca="1">IFERROR(__xludf.DUMMYFUNCTION("""COMPUTED_VALUE"""),56151926)</f>
        <v>56151926</v>
      </c>
    </row>
    <row r="187" spans="1:6" x14ac:dyDescent="0.35">
      <c r="A187" s="2">
        <f ca="1">IFERROR(__xludf.DUMMYFUNCTION("""COMPUTED_VALUE"""),42275.6666666666)</f>
        <v>42275.666666666599</v>
      </c>
      <c r="B187" s="1">
        <f ca="1">IFERROR(__xludf.DUMMYFUNCTION("""COMPUTED_VALUE"""),28.46)</f>
        <v>28.46</v>
      </c>
      <c r="C187" s="1">
        <f ca="1">IFERROR(__xludf.DUMMYFUNCTION("""COMPUTED_VALUE"""),28.64)</f>
        <v>28.64</v>
      </c>
      <c r="D187" s="1">
        <f ca="1">IFERROR(__xludf.DUMMYFUNCTION("""COMPUTED_VALUE"""),28.11)</f>
        <v>28.11</v>
      </c>
      <c r="E187" s="1">
        <f ca="1">IFERROR(__xludf.DUMMYFUNCTION("""COMPUTED_VALUE"""),28.11)</f>
        <v>28.11</v>
      </c>
      <c r="F187" s="1">
        <f ca="1">IFERROR(__xludf.DUMMYFUNCTION("""COMPUTED_VALUE"""),52109011)</f>
        <v>52109011</v>
      </c>
    </row>
    <row r="188" spans="1:6" x14ac:dyDescent="0.35">
      <c r="A188" s="2">
        <f ca="1">IFERROR(__xludf.DUMMYFUNCTION("""COMPUTED_VALUE"""),42276.6666666666)</f>
        <v>42276.666666666599</v>
      </c>
      <c r="B188" s="1">
        <f ca="1">IFERROR(__xludf.DUMMYFUNCTION("""COMPUTED_VALUE"""),28.21)</f>
        <v>28.21</v>
      </c>
      <c r="C188" s="1">
        <f ca="1">IFERROR(__xludf.DUMMYFUNCTION("""COMPUTED_VALUE"""),28.38)</f>
        <v>28.38</v>
      </c>
      <c r="D188" s="1">
        <f ca="1">IFERROR(__xludf.DUMMYFUNCTION("""COMPUTED_VALUE"""),26.97)</f>
        <v>26.97</v>
      </c>
      <c r="E188" s="1">
        <f ca="1">IFERROR(__xludf.DUMMYFUNCTION("""COMPUTED_VALUE"""),27.27)</f>
        <v>27.27</v>
      </c>
      <c r="F188" s="1">
        <f ca="1">IFERROR(__xludf.DUMMYFUNCTION("""COMPUTED_VALUE"""),73365384)</f>
        <v>73365384</v>
      </c>
    </row>
    <row r="189" spans="1:6" x14ac:dyDescent="0.35">
      <c r="A189" s="2">
        <f ca="1">IFERROR(__xludf.DUMMYFUNCTION("""COMPUTED_VALUE"""),42277.6666666666)</f>
        <v>42277.666666666599</v>
      </c>
      <c r="B189" s="1">
        <f ca="1">IFERROR(__xludf.DUMMYFUNCTION("""COMPUTED_VALUE"""),27.54)</f>
        <v>27.54</v>
      </c>
      <c r="C189" s="1">
        <f ca="1">IFERROR(__xludf.DUMMYFUNCTION("""COMPUTED_VALUE"""),27.89)</f>
        <v>27.89</v>
      </c>
      <c r="D189" s="1">
        <f ca="1">IFERROR(__xludf.DUMMYFUNCTION("""COMPUTED_VALUE"""),27.18)</f>
        <v>27.18</v>
      </c>
      <c r="E189" s="1">
        <f ca="1">IFERROR(__xludf.DUMMYFUNCTION("""COMPUTED_VALUE"""),27.58)</f>
        <v>27.58</v>
      </c>
      <c r="F189" s="1">
        <f ca="1">IFERROR(__xludf.DUMMYFUNCTION("""COMPUTED_VALUE"""),66473033)</f>
        <v>66473033</v>
      </c>
    </row>
    <row r="190" spans="1:6" x14ac:dyDescent="0.35">
      <c r="A190" s="2">
        <f ca="1">IFERROR(__xludf.DUMMYFUNCTION("""COMPUTED_VALUE"""),42278.6666666666)</f>
        <v>42278.666666666599</v>
      </c>
      <c r="B190" s="1">
        <f ca="1">IFERROR(__xludf.DUMMYFUNCTION("""COMPUTED_VALUE"""),27.27)</f>
        <v>27.27</v>
      </c>
      <c r="C190" s="1">
        <f ca="1">IFERROR(__xludf.DUMMYFUNCTION("""COMPUTED_VALUE"""),27.41)</f>
        <v>27.41</v>
      </c>
      <c r="D190" s="1">
        <f ca="1">IFERROR(__xludf.DUMMYFUNCTION("""COMPUTED_VALUE"""),26.83)</f>
        <v>26.83</v>
      </c>
      <c r="E190" s="1">
        <f ca="1">IFERROR(__xludf.DUMMYFUNCTION("""COMPUTED_VALUE"""),27.4)</f>
        <v>27.4</v>
      </c>
      <c r="F190" s="1">
        <f ca="1">IFERROR(__xludf.DUMMYFUNCTION("""COMPUTED_VALUE"""),63929100)</f>
        <v>63929100</v>
      </c>
    </row>
    <row r="191" spans="1:6" x14ac:dyDescent="0.35">
      <c r="A191" s="2">
        <f ca="1">IFERROR(__xludf.DUMMYFUNCTION("""COMPUTED_VALUE"""),42279.6666666666)</f>
        <v>42279.666666666599</v>
      </c>
      <c r="B191" s="1">
        <f ca="1">IFERROR(__xludf.DUMMYFUNCTION("""COMPUTED_VALUE"""),27)</f>
        <v>27</v>
      </c>
      <c r="C191" s="1">
        <f ca="1">IFERROR(__xludf.DUMMYFUNCTION("""COMPUTED_VALUE"""),27.75)</f>
        <v>27.75</v>
      </c>
      <c r="D191" s="1">
        <f ca="1">IFERROR(__xludf.DUMMYFUNCTION("""COMPUTED_VALUE"""),26.89)</f>
        <v>26.89</v>
      </c>
      <c r="E191" s="1">
        <f ca="1">IFERROR(__xludf.DUMMYFUNCTION("""COMPUTED_VALUE"""),27.6)</f>
        <v>27.6</v>
      </c>
      <c r="F191" s="1">
        <f ca="1">IFERROR(__xludf.DUMMYFUNCTION("""COMPUTED_VALUE"""),58019758)</f>
        <v>58019758</v>
      </c>
    </row>
    <row r="192" spans="1:6" x14ac:dyDescent="0.35">
      <c r="A192" s="2">
        <f ca="1">IFERROR(__xludf.DUMMYFUNCTION("""COMPUTED_VALUE"""),42282.6666666666)</f>
        <v>42282.666666666599</v>
      </c>
      <c r="B192" s="1">
        <f ca="1">IFERROR(__xludf.DUMMYFUNCTION("""COMPUTED_VALUE"""),27.47)</f>
        <v>27.47</v>
      </c>
      <c r="C192" s="1">
        <f ca="1">IFERROR(__xludf.DUMMYFUNCTION("""COMPUTED_VALUE"""),27.84)</f>
        <v>27.84</v>
      </c>
      <c r="D192" s="1">
        <f ca="1">IFERROR(__xludf.DUMMYFUNCTION("""COMPUTED_VALUE"""),27.27)</f>
        <v>27.27</v>
      </c>
      <c r="E192" s="1">
        <f ca="1">IFERROR(__xludf.DUMMYFUNCTION("""COMPUTED_VALUE"""),27.7)</f>
        <v>27.7</v>
      </c>
      <c r="F192" s="1">
        <f ca="1">IFERROR(__xludf.DUMMYFUNCTION("""COMPUTED_VALUE"""),52064743)</f>
        <v>52064743</v>
      </c>
    </row>
    <row r="193" spans="1:6" x14ac:dyDescent="0.35">
      <c r="A193" s="2">
        <f ca="1">IFERROR(__xludf.DUMMYFUNCTION("""COMPUTED_VALUE"""),42283.6666666666)</f>
        <v>42283.666666666599</v>
      </c>
      <c r="B193" s="1">
        <f ca="1">IFERROR(__xludf.DUMMYFUNCTION("""COMPUTED_VALUE"""),27.66)</f>
        <v>27.66</v>
      </c>
      <c r="C193" s="1">
        <f ca="1">IFERROR(__xludf.DUMMYFUNCTION("""COMPUTED_VALUE"""),27.94)</f>
        <v>27.94</v>
      </c>
      <c r="D193" s="1">
        <f ca="1">IFERROR(__xludf.DUMMYFUNCTION("""COMPUTED_VALUE"""),27.44)</f>
        <v>27.44</v>
      </c>
      <c r="E193" s="1">
        <f ca="1">IFERROR(__xludf.DUMMYFUNCTION("""COMPUTED_VALUE"""),27.83)</f>
        <v>27.83</v>
      </c>
      <c r="F193" s="1">
        <f ca="1">IFERROR(__xludf.DUMMYFUNCTION("""COMPUTED_VALUE"""),48856977)</f>
        <v>48856977</v>
      </c>
    </row>
    <row r="194" spans="1:6" x14ac:dyDescent="0.35">
      <c r="A194" s="2">
        <f ca="1">IFERROR(__xludf.DUMMYFUNCTION("""COMPUTED_VALUE"""),42284.6666666666)</f>
        <v>42284.666666666599</v>
      </c>
      <c r="B194" s="1">
        <f ca="1">IFERROR(__xludf.DUMMYFUNCTION("""COMPUTED_VALUE"""),27.94)</f>
        <v>27.94</v>
      </c>
      <c r="C194" s="1">
        <f ca="1">IFERROR(__xludf.DUMMYFUNCTION("""COMPUTED_VALUE"""),27.94)</f>
        <v>27.94</v>
      </c>
      <c r="D194" s="1">
        <f ca="1">IFERROR(__xludf.DUMMYFUNCTION("""COMPUTED_VALUE"""),27.35)</f>
        <v>27.35</v>
      </c>
      <c r="E194" s="1">
        <f ca="1">IFERROR(__xludf.DUMMYFUNCTION("""COMPUTED_VALUE"""),27.7)</f>
        <v>27.7</v>
      </c>
      <c r="F194" s="1">
        <f ca="1">IFERROR(__xludf.DUMMYFUNCTION("""COMPUTED_VALUE"""),46765550)</f>
        <v>46765550</v>
      </c>
    </row>
    <row r="195" spans="1:6" x14ac:dyDescent="0.35">
      <c r="A195" s="2">
        <f ca="1">IFERROR(__xludf.DUMMYFUNCTION("""COMPUTED_VALUE"""),42285.6666666666)</f>
        <v>42285.666666666599</v>
      </c>
      <c r="B195" s="1">
        <f ca="1">IFERROR(__xludf.DUMMYFUNCTION("""COMPUTED_VALUE"""),27.55)</f>
        <v>27.55</v>
      </c>
      <c r="C195" s="1">
        <f ca="1">IFERROR(__xludf.DUMMYFUNCTION("""COMPUTED_VALUE"""),27.55)</f>
        <v>27.55</v>
      </c>
      <c r="D195" s="1">
        <f ca="1">IFERROR(__xludf.DUMMYFUNCTION("""COMPUTED_VALUE"""),27.05)</f>
        <v>27.05</v>
      </c>
      <c r="E195" s="1">
        <f ca="1">IFERROR(__xludf.DUMMYFUNCTION("""COMPUTED_VALUE"""),27.38)</f>
        <v>27.38</v>
      </c>
      <c r="F195" s="1">
        <f ca="1">IFERROR(__xludf.DUMMYFUNCTION("""COMPUTED_VALUE"""),61979577)</f>
        <v>61979577</v>
      </c>
    </row>
    <row r="196" spans="1:6" x14ac:dyDescent="0.35">
      <c r="A196" s="2">
        <f ca="1">IFERROR(__xludf.DUMMYFUNCTION("""COMPUTED_VALUE"""),42286.6666666666)</f>
        <v>42286.666666666599</v>
      </c>
      <c r="B196" s="1">
        <f ca="1">IFERROR(__xludf.DUMMYFUNCTION("""COMPUTED_VALUE"""),27.5)</f>
        <v>27.5</v>
      </c>
      <c r="C196" s="1">
        <f ca="1">IFERROR(__xludf.DUMMYFUNCTION("""COMPUTED_VALUE"""),28.07)</f>
        <v>28.07</v>
      </c>
      <c r="D196" s="1">
        <f ca="1">IFERROR(__xludf.DUMMYFUNCTION("""COMPUTED_VALUE"""),27.37)</f>
        <v>27.37</v>
      </c>
      <c r="E196" s="1">
        <f ca="1">IFERROR(__xludf.DUMMYFUNCTION("""COMPUTED_VALUE"""),28.03)</f>
        <v>28.03</v>
      </c>
      <c r="F196" s="1">
        <f ca="1">IFERROR(__xludf.DUMMYFUNCTION("""COMPUTED_VALUE"""),52766140)</f>
        <v>52766140</v>
      </c>
    </row>
    <row r="197" spans="1:6" x14ac:dyDescent="0.35">
      <c r="A197" s="2">
        <f ca="1">IFERROR(__xludf.DUMMYFUNCTION("""COMPUTED_VALUE"""),42289.6666666666)</f>
        <v>42289.666666666599</v>
      </c>
      <c r="B197" s="1">
        <f ca="1">IFERROR(__xludf.DUMMYFUNCTION("""COMPUTED_VALUE"""),28.18)</f>
        <v>28.18</v>
      </c>
      <c r="C197" s="1">
        <f ca="1">IFERROR(__xludf.DUMMYFUNCTION("""COMPUTED_VALUE"""),28.19)</f>
        <v>28.19</v>
      </c>
      <c r="D197" s="1">
        <f ca="1">IFERROR(__xludf.DUMMYFUNCTION("""COMPUTED_VALUE"""),27.86)</f>
        <v>27.86</v>
      </c>
      <c r="E197" s="1">
        <f ca="1">IFERROR(__xludf.DUMMYFUNCTION("""COMPUTED_VALUE"""),27.9)</f>
        <v>27.9</v>
      </c>
      <c r="F197" s="1">
        <f ca="1">IFERROR(__xludf.DUMMYFUNCTION("""COMPUTED_VALUE"""),30467204)</f>
        <v>30467204</v>
      </c>
    </row>
    <row r="198" spans="1:6" x14ac:dyDescent="0.35">
      <c r="A198" s="2">
        <f ca="1">IFERROR(__xludf.DUMMYFUNCTION("""COMPUTED_VALUE"""),42290.6666666666)</f>
        <v>42290.666666666599</v>
      </c>
      <c r="B198" s="1">
        <f ca="1">IFERROR(__xludf.DUMMYFUNCTION("""COMPUTED_VALUE"""),27.71)</f>
        <v>27.71</v>
      </c>
      <c r="C198" s="1">
        <f ca="1">IFERROR(__xludf.DUMMYFUNCTION("""COMPUTED_VALUE"""),28.11)</f>
        <v>28.11</v>
      </c>
      <c r="D198" s="1">
        <f ca="1">IFERROR(__xludf.DUMMYFUNCTION("""COMPUTED_VALUE"""),27.67)</f>
        <v>27.67</v>
      </c>
      <c r="E198" s="1">
        <f ca="1">IFERROR(__xludf.DUMMYFUNCTION("""COMPUTED_VALUE"""),27.95)</f>
        <v>27.95</v>
      </c>
      <c r="F198" s="1">
        <f ca="1">IFERROR(__xludf.DUMMYFUNCTION("""COMPUTED_VALUE"""),33049256)</f>
        <v>33049256</v>
      </c>
    </row>
    <row r="199" spans="1:6" x14ac:dyDescent="0.35">
      <c r="A199" s="2">
        <f ca="1">IFERROR(__xludf.DUMMYFUNCTION("""COMPUTED_VALUE"""),42291.6666666666)</f>
        <v>42291.666666666599</v>
      </c>
      <c r="B199" s="1">
        <f ca="1">IFERROR(__xludf.DUMMYFUNCTION("""COMPUTED_VALUE"""),27.82)</f>
        <v>27.82</v>
      </c>
      <c r="C199" s="1">
        <f ca="1">IFERROR(__xludf.DUMMYFUNCTION("""COMPUTED_VALUE"""),27.88)</f>
        <v>27.88</v>
      </c>
      <c r="D199" s="1">
        <f ca="1">IFERROR(__xludf.DUMMYFUNCTION("""COMPUTED_VALUE"""),27.39)</f>
        <v>27.39</v>
      </c>
      <c r="E199" s="1">
        <f ca="1">IFERROR(__xludf.DUMMYFUNCTION("""COMPUTED_VALUE"""),27.55)</f>
        <v>27.55</v>
      </c>
      <c r="F199" s="1">
        <f ca="1">IFERROR(__xludf.DUMMYFUNCTION("""COMPUTED_VALUE"""),44462449)</f>
        <v>44462449</v>
      </c>
    </row>
    <row r="200" spans="1:6" x14ac:dyDescent="0.35">
      <c r="A200" s="2">
        <f ca="1">IFERROR(__xludf.DUMMYFUNCTION("""COMPUTED_VALUE"""),42292.6666666666)</f>
        <v>42292.666666666599</v>
      </c>
      <c r="B200" s="1">
        <f ca="1">IFERROR(__xludf.DUMMYFUNCTION("""COMPUTED_VALUE"""),27.73)</f>
        <v>27.73</v>
      </c>
      <c r="C200" s="1">
        <f ca="1">IFERROR(__xludf.DUMMYFUNCTION("""COMPUTED_VALUE"""),28.03)</f>
        <v>28.03</v>
      </c>
      <c r="D200" s="1">
        <f ca="1">IFERROR(__xludf.DUMMYFUNCTION("""COMPUTED_VALUE"""),27.62)</f>
        <v>27.62</v>
      </c>
      <c r="E200" s="1">
        <f ca="1">IFERROR(__xludf.DUMMYFUNCTION("""COMPUTED_VALUE"""),27.97)</f>
        <v>27.97</v>
      </c>
      <c r="F200" s="1">
        <f ca="1">IFERROR(__xludf.DUMMYFUNCTION("""COMPUTED_VALUE"""),37673452)</f>
        <v>37673452</v>
      </c>
    </row>
    <row r="201" spans="1:6" x14ac:dyDescent="0.35">
      <c r="A201" s="2">
        <f ca="1">IFERROR(__xludf.DUMMYFUNCTION("""COMPUTED_VALUE"""),42293.6666666666)</f>
        <v>42293.666666666599</v>
      </c>
      <c r="B201" s="1">
        <f ca="1">IFERROR(__xludf.DUMMYFUNCTION("""COMPUTED_VALUE"""),27.95)</f>
        <v>27.95</v>
      </c>
      <c r="C201" s="1">
        <f ca="1">IFERROR(__xludf.DUMMYFUNCTION("""COMPUTED_VALUE"""),28)</f>
        <v>28</v>
      </c>
      <c r="D201" s="1">
        <f ca="1">IFERROR(__xludf.DUMMYFUNCTION("""COMPUTED_VALUE"""),27.63)</f>
        <v>27.63</v>
      </c>
      <c r="E201" s="1">
        <f ca="1">IFERROR(__xludf.DUMMYFUNCTION("""COMPUTED_VALUE"""),27.76)</f>
        <v>27.76</v>
      </c>
      <c r="F201" s="1">
        <f ca="1">IFERROR(__xludf.DUMMYFUNCTION("""COMPUTED_VALUE"""),39232609)</f>
        <v>39232609</v>
      </c>
    </row>
    <row r="202" spans="1:6" x14ac:dyDescent="0.35">
      <c r="A202" s="2">
        <f ca="1">IFERROR(__xludf.DUMMYFUNCTION("""COMPUTED_VALUE"""),42296.6666666666)</f>
        <v>42296.666666666599</v>
      </c>
      <c r="B202" s="1">
        <f ca="1">IFERROR(__xludf.DUMMYFUNCTION("""COMPUTED_VALUE"""),27.7)</f>
        <v>27.7</v>
      </c>
      <c r="C202" s="1">
        <f ca="1">IFERROR(__xludf.DUMMYFUNCTION("""COMPUTED_VALUE"""),27.94)</f>
        <v>27.94</v>
      </c>
      <c r="D202" s="1">
        <f ca="1">IFERROR(__xludf.DUMMYFUNCTION("""COMPUTED_VALUE"""),27.53)</f>
        <v>27.53</v>
      </c>
      <c r="E202" s="1">
        <f ca="1">IFERROR(__xludf.DUMMYFUNCTION("""COMPUTED_VALUE"""),27.93)</f>
        <v>27.93</v>
      </c>
      <c r="F202" s="1">
        <f ca="1">IFERROR(__xludf.DUMMYFUNCTION("""COMPUTED_VALUE"""),29759153)</f>
        <v>29759153</v>
      </c>
    </row>
    <row r="203" spans="1:6" x14ac:dyDescent="0.35">
      <c r="A203" s="2">
        <f ca="1">IFERROR(__xludf.DUMMYFUNCTION("""COMPUTED_VALUE"""),42297.6666666666)</f>
        <v>42297.666666666599</v>
      </c>
      <c r="B203" s="1">
        <f ca="1">IFERROR(__xludf.DUMMYFUNCTION("""COMPUTED_VALUE"""),27.84)</f>
        <v>27.84</v>
      </c>
      <c r="C203" s="1">
        <f ca="1">IFERROR(__xludf.DUMMYFUNCTION("""COMPUTED_VALUE"""),28.54)</f>
        <v>28.54</v>
      </c>
      <c r="D203" s="1">
        <f ca="1">IFERROR(__xludf.DUMMYFUNCTION("""COMPUTED_VALUE"""),27.71)</f>
        <v>27.71</v>
      </c>
      <c r="E203" s="1">
        <f ca="1">IFERROR(__xludf.DUMMYFUNCTION("""COMPUTED_VALUE"""),28.44)</f>
        <v>28.44</v>
      </c>
      <c r="F203" s="1">
        <f ca="1">IFERROR(__xludf.DUMMYFUNCTION("""COMPUTED_VALUE"""),48967763)</f>
        <v>48967763</v>
      </c>
    </row>
    <row r="204" spans="1:6" x14ac:dyDescent="0.35">
      <c r="A204" s="2">
        <f ca="1">IFERROR(__xludf.DUMMYFUNCTION("""COMPUTED_VALUE"""),42298.6666666666)</f>
        <v>42298.666666666599</v>
      </c>
      <c r="B204" s="1">
        <f ca="1">IFERROR(__xludf.DUMMYFUNCTION("""COMPUTED_VALUE"""),28.5)</f>
        <v>28.5</v>
      </c>
      <c r="C204" s="1">
        <f ca="1">IFERROR(__xludf.DUMMYFUNCTION("""COMPUTED_VALUE"""),28.9)</f>
        <v>28.9</v>
      </c>
      <c r="D204" s="1">
        <f ca="1">IFERROR(__xludf.DUMMYFUNCTION("""COMPUTED_VALUE"""),28.43)</f>
        <v>28.43</v>
      </c>
      <c r="E204" s="1">
        <f ca="1">IFERROR(__xludf.DUMMYFUNCTION("""COMPUTED_VALUE"""),28.44)</f>
        <v>28.44</v>
      </c>
      <c r="F204" s="1">
        <f ca="1">IFERROR(__xludf.DUMMYFUNCTION("""COMPUTED_VALUE"""),42326974)</f>
        <v>42326974</v>
      </c>
    </row>
    <row r="205" spans="1:6" x14ac:dyDescent="0.35">
      <c r="A205" s="2">
        <f ca="1">IFERROR(__xludf.DUMMYFUNCTION("""COMPUTED_VALUE"""),42299.6666666666)</f>
        <v>42299.666666666599</v>
      </c>
      <c r="B205" s="1">
        <f ca="1">IFERROR(__xludf.DUMMYFUNCTION("""COMPUTED_VALUE"""),28.58)</f>
        <v>28.58</v>
      </c>
      <c r="C205" s="1">
        <f ca="1">IFERROR(__xludf.DUMMYFUNCTION("""COMPUTED_VALUE"""),28.88)</f>
        <v>28.88</v>
      </c>
      <c r="D205" s="1">
        <f ca="1">IFERROR(__xludf.DUMMYFUNCTION("""COMPUTED_VALUE"""),28.53)</f>
        <v>28.53</v>
      </c>
      <c r="E205" s="1">
        <f ca="1">IFERROR(__xludf.DUMMYFUNCTION("""COMPUTED_VALUE"""),28.88)</f>
        <v>28.88</v>
      </c>
      <c r="F205" s="1">
        <f ca="1">IFERROR(__xludf.DUMMYFUNCTION("""COMPUTED_VALUE"""),41654089)</f>
        <v>41654089</v>
      </c>
    </row>
    <row r="206" spans="1:6" x14ac:dyDescent="0.35">
      <c r="A206" s="2">
        <f ca="1">IFERROR(__xludf.DUMMYFUNCTION("""COMPUTED_VALUE"""),42300.6666666666)</f>
        <v>42300.666666666599</v>
      </c>
      <c r="B206" s="1">
        <f ca="1">IFERROR(__xludf.DUMMYFUNCTION("""COMPUTED_VALUE"""),29.18)</f>
        <v>29.18</v>
      </c>
      <c r="C206" s="1">
        <f ca="1">IFERROR(__xludf.DUMMYFUNCTION("""COMPUTED_VALUE"""),29.81)</f>
        <v>29.81</v>
      </c>
      <c r="D206" s="1">
        <f ca="1">IFERROR(__xludf.DUMMYFUNCTION("""COMPUTED_VALUE"""),29.08)</f>
        <v>29.08</v>
      </c>
      <c r="E206" s="1">
        <f ca="1">IFERROR(__xludf.DUMMYFUNCTION("""COMPUTED_VALUE"""),29.77)</f>
        <v>29.77</v>
      </c>
      <c r="F206" s="1">
        <f ca="1">IFERROR(__xludf.DUMMYFUNCTION("""COMPUTED_VALUE"""),59366914)</f>
        <v>59366914</v>
      </c>
    </row>
    <row r="207" spans="1:6" x14ac:dyDescent="0.35">
      <c r="A207" s="2">
        <f ca="1">IFERROR(__xludf.DUMMYFUNCTION("""COMPUTED_VALUE"""),42303.6666666666)</f>
        <v>42303.666666666599</v>
      </c>
      <c r="B207" s="1">
        <f ca="1">IFERROR(__xludf.DUMMYFUNCTION("""COMPUTED_VALUE"""),29.52)</f>
        <v>29.52</v>
      </c>
      <c r="C207" s="1">
        <f ca="1">IFERROR(__xludf.DUMMYFUNCTION("""COMPUTED_VALUE"""),29.53)</f>
        <v>29.53</v>
      </c>
      <c r="D207" s="1">
        <f ca="1">IFERROR(__xludf.DUMMYFUNCTION("""COMPUTED_VALUE"""),28.73)</f>
        <v>28.73</v>
      </c>
      <c r="E207" s="1">
        <f ca="1">IFERROR(__xludf.DUMMYFUNCTION("""COMPUTED_VALUE"""),28.82)</f>
        <v>28.82</v>
      </c>
      <c r="F207" s="1">
        <f ca="1">IFERROR(__xludf.DUMMYFUNCTION("""COMPUTED_VALUE"""),66333781)</f>
        <v>66333781</v>
      </c>
    </row>
    <row r="208" spans="1:6" x14ac:dyDescent="0.35">
      <c r="A208" s="2">
        <f ca="1">IFERROR(__xludf.DUMMYFUNCTION("""COMPUTED_VALUE"""),42304.6666666666)</f>
        <v>42304.666666666599</v>
      </c>
      <c r="B208" s="1">
        <f ca="1">IFERROR(__xludf.DUMMYFUNCTION("""COMPUTED_VALUE"""),28.85)</f>
        <v>28.85</v>
      </c>
      <c r="C208" s="1">
        <f ca="1">IFERROR(__xludf.DUMMYFUNCTION("""COMPUTED_VALUE"""),29.14)</f>
        <v>29.14</v>
      </c>
      <c r="D208" s="1">
        <f ca="1">IFERROR(__xludf.DUMMYFUNCTION("""COMPUTED_VALUE"""),28.5)</f>
        <v>28.5</v>
      </c>
      <c r="E208" s="1">
        <f ca="1">IFERROR(__xludf.DUMMYFUNCTION("""COMPUTED_VALUE"""),28.64)</f>
        <v>28.64</v>
      </c>
      <c r="F208" s="1">
        <f ca="1">IFERROR(__xludf.DUMMYFUNCTION("""COMPUTED_VALUE"""),69884400)</f>
        <v>69884400</v>
      </c>
    </row>
    <row r="209" spans="1:6" x14ac:dyDescent="0.35">
      <c r="A209" s="2">
        <f ca="1">IFERROR(__xludf.DUMMYFUNCTION("""COMPUTED_VALUE"""),42305.6666666666)</f>
        <v>42305.666666666599</v>
      </c>
      <c r="B209" s="1">
        <f ca="1">IFERROR(__xludf.DUMMYFUNCTION("""COMPUTED_VALUE"""),29.23)</f>
        <v>29.23</v>
      </c>
      <c r="C209" s="1">
        <f ca="1">IFERROR(__xludf.DUMMYFUNCTION("""COMPUTED_VALUE"""),29.83)</f>
        <v>29.83</v>
      </c>
      <c r="D209" s="1">
        <f ca="1">IFERROR(__xludf.DUMMYFUNCTION("""COMPUTED_VALUE"""),29.02)</f>
        <v>29.02</v>
      </c>
      <c r="E209" s="1">
        <f ca="1">IFERROR(__xludf.DUMMYFUNCTION("""COMPUTED_VALUE"""),29.82)</f>
        <v>29.82</v>
      </c>
      <c r="F209" s="1">
        <f ca="1">IFERROR(__xludf.DUMMYFUNCTION("""COMPUTED_VALUE"""),85551352)</f>
        <v>85551352</v>
      </c>
    </row>
    <row r="210" spans="1:6" x14ac:dyDescent="0.35">
      <c r="A210" s="2">
        <f ca="1">IFERROR(__xludf.DUMMYFUNCTION("""COMPUTED_VALUE"""),42306.6666666666)</f>
        <v>42306.666666666599</v>
      </c>
      <c r="B210" s="1">
        <f ca="1">IFERROR(__xludf.DUMMYFUNCTION("""COMPUTED_VALUE"""),29.68)</f>
        <v>29.68</v>
      </c>
      <c r="C210" s="1">
        <f ca="1">IFERROR(__xludf.DUMMYFUNCTION("""COMPUTED_VALUE"""),30.17)</f>
        <v>30.17</v>
      </c>
      <c r="D210" s="1">
        <f ca="1">IFERROR(__xludf.DUMMYFUNCTION("""COMPUTED_VALUE"""),29.57)</f>
        <v>29.57</v>
      </c>
      <c r="E210" s="1">
        <f ca="1">IFERROR(__xludf.DUMMYFUNCTION("""COMPUTED_VALUE"""),30.13)</f>
        <v>30.13</v>
      </c>
      <c r="F210" s="1">
        <f ca="1">IFERROR(__xludf.DUMMYFUNCTION("""COMPUTED_VALUE"""),51227334)</f>
        <v>51227334</v>
      </c>
    </row>
    <row r="211" spans="1:6" x14ac:dyDescent="0.35">
      <c r="A211" s="2">
        <f ca="1">IFERROR(__xludf.DUMMYFUNCTION("""COMPUTED_VALUE"""),42307.6666666666)</f>
        <v>42307.666666666599</v>
      </c>
      <c r="B211" s="1">
        <f ca="1">IFERROR(__xludf.DUMMYFUNCTION("""COMPUTED_VALUE"""),30.25)</f>
        <v>30.25</v>
      </c>
      <c r="C211" s="1">
        <f ca="1">IFERROR(__xludf.DUMMYFUNCTION("""COMPUTED_VALUE"""),30.31)</f>
        <v>30.31</v>
      </c>
      <c r="D211" s="1">
        <f ca="1">IFERROR(__xludf.DUMMYFUNCTION("""COMPUTED_VALUE"""),29.86)</f>
        <v>29.86</v>
      </c>
      <c r="E211" s="1">
        <f ca="1">IFERROR(__xludf.DUMMYFUNCTION("""COMPUTED_VALUE"""),29.88)</f>
        <v>29.88</v>
      </c>
      <c r="F211" s="1">
        <f ca="1">IFERROR(__xludf.DUMMYFUNCTION("""COMPUTED_VALUE"""),49365254)</f>
        <v>49365254</v>
      </c>
    </row>
    <row r="212" spans="1:6" x14ac:dyDescent="0.35">
      <c r="A212" s="2">
        <f ca="1">IFERROR(__xludf.DUMMYFUNCTION("""COMPUTED_VALUE"""),42310.6666666666)</f>
        <v>42310.666666666599</v>
      </c>
      <c r="B212" s="1">
        <f ca="1">IFERROR(__xludf.DUMMYFUNCTION("""COMPUTED_VALUE"""),29.97)</f>
        <v>29.97</v>
      </c>
      <c r="C212" s="1">
        <f ca="1">IFERROR(__xludf.DUMMYFUNCTION("""COMPUTED_VALUE"""),30.34)</f>
        <v>30.34</v>
      </c>
      <c r="D212" s="1">
        <f ca="1">IFERROR(__xludf.DUMMYFUNCTION("""COMPUTED_VALUE"""),29.9)</f>
        <v>29.9</v>
      </c>
      <c r="E212" s="1">
        <f ca="1">IFERROR(__xludf.DUMMYFUNCTION("""COMPUTED_VALUE"""),30.3)</f>
        <v>30.3</v>
      </c>
      <c r="F212" s="1">
        <f ca="1">IFERROR(__xludf.DUMMYFUNCTION("""COMPUTED_VALUE"""),32203267)</f>
        <v>32203267</v>
      </c>
    </row>
    <row r="213" spans="1:6" x14ac:dyDescent="0.35">
      <c r="A213" s="2">
        <f ca="1">IFERROR(__xludf.DUMMYFUNCTION("""COMPUTED_VALUE"""),42311.6666666666)</f>
        <v>42311.666666666599</v>
      </c>
      <c r="B213" s="1">
        <f ca="1">IFERROR(__xludf.DUMMYFUNCTION("""COMPUTED_VALUE"""),30.2)</f>
        <v>30.2</v>
      </c>
      <c r="C213" s="1">
        <f ca="1">IFERROR(__xludf.DUMMYFUNCTION("""COMPUTED_VALUE"""),30.87)</f>
        <v>30.87</v>
      </c>
      <c r="D213" s="1">
        <f ca="1">IFERROR(__xludf.DUMMYFUNCTION("""COMPUTED_VALUE"""),30.18)</f>
        <v>30.18</v>
      </c>
      <c r="E213" s="1">
        <f ca="1">IFERROR(__xludf.DUMMYFUNCTION("""COMPUTED_VALUE"""),30.64)</f>
        <v>30.64</v>
      </c>
      <c r="F213" s="1">
        <f ca="1">IFERROR(__xludf.DUMMYFUNCTION("""COMPUTED_VALUE"""),45518976)</f>
        <v>45518976</v>
      </c>
    </row>
    <row r="214" spans="1:6" x14ac:dyDescent="0.35">
      <c r="A214" s="2">
        <f ca="1">IFERROR(__xludf.DUMMYFUNCTION("""COMPUTED_VALUE"""),42312.6666666666)</f>
        <v>42312.666666666599</v>
      </c>
      <c r="B214" s="1">
        <f ca="1">IFERROR(__xludf.DUMMYFUNCTION("""COMPUTED_VALUE"""),30.78)</f>
        <v>30.78</v>
      </c>
      <c r="C214" s="1">
        <f ca="1">IFERROR(__xludf.DUMMYFUNCTION("""COMPUTED_VALUE"""),30.96)</f>
        <v>30.96</v>
      </c>
      <c r="D214" s="1">
        <f ca="1">IFERROR(__xludf.DUMMYFUNCTION("""COMPUTED_VALUE"""),30.41)</f>
        <v>30.41</v>
      </c>
      <c r="E214" s="1">
        <f ca="1">IFERROR(__xludf.DUMMYFUNCTION("""COMPUTED_VALUE"""),30.5)</f>
        <v>30.5</v>
      </c>
      <c r="F214" s="1">
        <f ca="1">IFERROR(__xludf.DUMMYFUNCTION("""COMPUTED_VALUE"""),44886050)</f>
        <v>44886050</v>
      </c>
    </row>
    <row r="215" spans="1:6" x14ac:dyDescent="0.35">
      <c r="A215" s="2">
        <f ca="1">IFERROR(__xludf.DUMMYFUNCTION("""COMPUTED_VALUE"""),42313.6666666666)</f>
        <v>42313.666666666599</v>
      </c>
      <c r="B215" s="1">
        <f ca="1">IFERROR(__xludf.DUMMYFUNCTION("""COMPUTED_VALUE"""),30.46)</f>
        <v>30.46</v>
      </c>
      <c r="C215" s="1">
        <f ca="1">IFERROR(__xludf.DUMMYFUNCTION("""COMPUTED_VALUE"""),30.67)</f>
        <v>30.67</v>
      </c>
      <c r="D215" s="1">
        <f ca="1">IFERROR(__xludf.DUMMYFUNCTION("""COMPUTED_VALUE"""),30.05)</f>
        <v>30.05</v>
      </c>
      <c r="E215" s="1">
        <f ca="1">IFERROR(__xludf.DUMMYFUNCTION("""COMPUTED_VALUE"""),30.23)</f>
        <v>30.23</v>
      </c>
      <c r="F215" s="1">
        <f ca="1">IFERROR(__xludf.DUMMYFUNCTION("""COMPUTED_VALUE"""),39552680)</f>
        <v>39552680</v>
      </c>
    </row>
    <row r="216" spans="1:6" x14ac:dyDescent="0.35">
      <c r="A216" s="2">
        <f ca="1">IFERROR(__xludf.DUMMYFUNCTION("""COMPUTED_VALUE"""),42314.6666666666)</f>
        <v>42314.666666666599</v>
      </c>
      <c r="B216" s="1">
        <f ca="1">IFERROR(__xludf.DUMMYFUNCTION("""COMPUTED_VALUE"""),30.28)</f>
        <v>30.28</v>
      </c>
      <c r="C216" s="1">
        <f ca="1">IFERROR(__xludf.DUMMYFUNCTION("""COMPUTED_VALUE"""),30.45)</f>
        <v>30.45</v>
      </c>
      <c r="D216" s="1">
        <f ca="1">IFERROR(__xludf.DUMMYFUNCTION("""COMPUTED_VALUE"""),30.16)</f>
        <v>30.16</v>
      </c>
      <c r="E216" s="1">
        <f ca="1">IFERROR(__xludf.DUMMYFUNCTION("""COMPUTED_VALUE"""),30.27)</f>
        <v>30.27</v>
      </c>
      <c r="F216" s="1">
        <f ca="1">IFERROR(__xludf.DUMMYFUNCTION("""COMPUTED_VALUE"""),33042283)</f>
        <v>33042283</v>
      </c>
    </row>
    <row r="217" spans="1:6" x14ac:dyDescent="0.35">
      <c r="A217" s="2">
        <f ca="1">IFERROR(__xludf.DUMMYFUNCTION("""COMPUTED_VALUE"""),42317.6666666666)</f>
        <v>42317.666666666599</v>
      </c>
      <c r="B217" s="1">
        <f ca="1">IFERROR(__xludf.DUMMYFUNCTION("""COMPUTED_VALUE"""),30.24)</f>
        <v>30.24</v>
      </c>
      <c r="C217" s="1">
        <f ca="1">IFERROR(__xludf.DUMMYFUNCTION("""COMPUTED_VALUE"""),30.45)</f>
        <v>30.45</v>
      </c>
      <c r="D217" s="1">
        <f ca="1">IFERROR(__xludf.DUMMYFUNCTION("""COMPUTED_VALUE"""),30.01)</f>
        <v>30.01</v>
      </c>
      <c r="E217" s="1">
        <f ca="1">IFERROR(__xludf.DUMMYFUNCTION("""COMPUTED_VALUE"""),30.14)</f>
        <v>30.14</v>
      </c>
      <c r="F217" s="1">
        <f ca="1">IFERROR(__xludf.DUMMYFUNCTION("""COMPUTED_VALUE"""),33871405)</f>
        <v>33871405</v>
      </c>
    </row>
    <row r="218" spans="1:6" x14ac:dyDescent="0.35">
      <c r="A218" s="2">
        <f ca="1">IFERROR(__xludf.DUMMYFUNCTION("""COMPUTED_VALUE"""),42318.6666666666)</f>
        <v>42318.666666666599</v>
      </c>
      <c r="B218" s="1">
        <f ca="1">IFERROR(__xludf.DUMMYFUNCTION("""COMPUTED_VALUE"""),29.23)</f>
        <v>29.23</v>
      </c>
      <c r="C218" s="1">
        <f ca="1">IFERROR(__xludf.DUMMYFUNCTION("""COMPUTED_VALUE"""),29.52)</f>
        <v>29.52</v>
      </c>
      <c r="D218" s="1">
        <f ca="1">IFERROR(__xludf.DUMMYFUNCTION("""COMPUTED_VALUE"""),29.02)</f>
        <v>29.02</v>
      </c>
      <c r="E218" s="1">
        <f ca="1">IFERROR(__xludf.DUMMYFUNCTION("""COMPUTED_VALUE"""),29.19)</f>
        <v>29.19</v>
      </c>
      <c r="F218" s="1">
        <f ca="1">IFERROR(__xludf.DUMMYFUNCTION("""COMPUTED_VALUE"""),59127931)</f>
        <v>59127931</v>
      </c>
    </row>
    <row r="219" spans="1:6" x14ac:dyDescent="0.35">
      <c r="A219" s="2">
        <f ca="1">IFERROR(__xludf.DUMMYFUNCTION("""COMPUTED_VALUE"""),42319.6666666666)</f>
        <v>42319.666666666599</v>
      </c>
      <c r="B219" s="1">
        <f ca="1">IFERROR(__xludf.DUMMYFUNCTION("""COMPUTED_VALUE"""),29.09)</f>
        <v>29.09</v>
      </c>
      <c r="C219" s="1">
        <f ca="1">IFERROR(__xludf.DUMMYFUNCTION("""COMPUTED_VALUE"""),29.36)</f>
        <v>29.36</v>
      </c>
      <c r="D219" s="1">
        <f ca="1">IFERROR(__xludf.DUMMYFUNCTION("""COMPUTED_VALUE"""),28.8)</f>
        <v>28.8</v>
      </c>
      <c r="E219" s="1">
        <f ca="1">IFERROR(__xludf.DUMMYFUNCTION("""COMPUTED_VALUE"""),29.03)</f>
        <v>29.03</v>
      </c>
      <c r="F219" s="1">
        <f ca="1">IFERROR(__xludf.DUMMYFUNCTION("""COMPUTED_VALUE"""),45217971)</f>
        <v>45217971</v>
      </c>
    </row>
    <row r="220" spans="1:6" x14ac:dyDescent="0.35">
      <c r="A220" s="2">
        <f ca="1">IFERROR(__xludf.DUMMYFUNCTION("""COMPUTED_VALUE"""),42320.6666666666)</f>
        <v>42320.666666666599</v>
      </c>
      <c r="B220" s="1">
        <f ca="1">IFERROR(__xludf.DUMMYFUNCTION("""COMPUTED_VALUE"""),29.07)</f>
        <v>29.07</v>
      </c>
      <c r="C220" s="1">
        <f ca="1">IFERROR(__xludf.DUMMYFUNCTION("""COMPUTED_VALUE"""),29.21)</f>
        <v>29.21</v>
      </c>
      <c r="D220" s="1">
        <f ca="1">IFERROR(__xludf.DUMMYFUNCTION("""COMPUTED_VALUE"""),28.91)</f>
        <v>28.91</v>
      </c>
      <c r="E220" s="1">
        <f ca="1">IFERROR(__xludf.DUMMYFUNCTION("""COMPUTED_VALUE"""),28.93)</f>
        <v>28.93</v>
      </c>
      <c r="F220" s="1">
        <f ca="1">IFERROR(__xludf.DUMMYFUNCTION("""COMPUTED_VALUE"""),32525579)</f>
        <v>32525579</v>
      </c>
    </row>
    <row r="221" spans="1:6" x14ac:dyDescent="0.35">
      <c r="A221" s="2">
        <f ca="1">IFERROR(__xludf.DUMMYFUNCTION("""COMPUTED_VALUE"""),42321.6666666666)</f>
        <v>42321.666666666599</v>
      </c>
      <c r="B221" s="1">
        <f ca="1">IFERROR(__xludf.DUMMYFUNCTION("""COMPUTED_VALUE"""),28.8)</f>
        <v>28.8</v>
      </c>
      <c r="C221" s="1">
        <f ca="1">IFERROR(__xludf.DUMMYFUNCTION("""COMPUTED_VALUE"""),28.89)</f>
        <v>28.89</v>
      </c>
      <c r="D221" s="1">
        <f ca="1">IFERROR(__xludf.DUMMYFUNCTION("""COMPUTED_VALUE"""),28.07)</f>
        <v>28.07</v>
      </c>
      <c r="E221" s="1">
        <f ca="1">IFERROR(__xludf.DUMMYFUNCTION("""COMPUTED_VALUE"""),28.09)</f>
        <v>28.09</v>
      </c>
      <c r="F221" s="1">
        <f ca="1">IFERROR(__xludf.DUMMYFUNCTION("""COMPUTED_VALUE"""),45812403)</f>
        <v>45812403</v>
      </c>
    </row>
    <row r="222" spans="1:6" x14ac:dyDescent="0.35">
      <c r="A222" s="2">
        <f ca="1">IFERROR(__xludf.DUMMYFUNCTION("""COMPUTED_VALUE"""),42324.6666666666)</f>
        <v>42324.666666666599</v>
      </c>
      <c r="B222" s="1">
        <f ca="1">IFERROR(__xludf.DUMMYFUNCTION("""COMPUTED_VALUE"""),27.85)</f>
        <v>27.85</v>
      </c>
      <c r="C222" s="1">
        <f ca="1">IFERROR(__xludf.DUMMYFUNCTION("""COMPUTED_VALUE"""),28.56)</f>
        <v>28.56</v>
      </c>
      <c r="D222" s="1">
        <f ca="1">IFERROR(__xludf.DUMMYFUNCTION("""COMPUTED_VALUE"""),27.75)</f>
        <v>27.75</v>
      </c>
      <c r="E222" s="1">
        <f ca="1">IFERROR(__xludf.DUMMYFUNCTION("""COMPUTED_VALUE"""),28.54)</f>
        <v>28.54</v>
      </c>
      <c r="F222" s="1">
        <f ca="1">IFERROR(__xludf.DUMMYFUNCTION("""COMPUTED_VALUE"""),38106701)</f>
        <v>38106701</v>
      </c>
    </row>
    <row r="223" spans="1:6" x14ac:dyDescent="0.35">
      <c r="A223" s="2">
        <f ca="1">IFERROR(__xludf.DUMMYFUNCTION("""COMPUTED_VALUE"""),42325.6666666666)</f>
        <v>42325.666666666599</v>
      </c>
      <c r="B223" s="1">
        <f ca="1">IFERROR(__xludf.DUMMYFUNCTION("""COMPUTED_VALUE"""),28.73)</f>
        <v>28.73</v>
      </c>
      <c r="C223" s="1">
        <f ca="1">IFERROR(__xludf.DUMMYFUNCTION("""COMPUTED_VALUE"""),28.76)</f>
        <v>28.76</v>
      </c>
      <c r="D223" s="1">
        <f ca="1">IFERROR(__xludf.DUMMYFUNCTION("""COMPUTED_VALUE"""),28.33)</f>
        <v>28.33</v>
      </c>
      <c r="E223" s="1">
        <f ca="1">IFERROR(__xludf.DUMMYFUNCTION("""COMPUTED_VALUE"""),28.42)</f>
        <v>28.42</v>
      </c>
      <c r="F223" s="1">
        <f ca="1">IFERROR(__xludf.DUMMYFUNCTION("""COMPUTED_VALUE"""),27616939)</f>
        <v>27616939</v>
      </c>
    </row>
    <row r="224" spans="1:6" x14ac:dyDescent="0.35">
      <c r="A224" s="2">
        <f ca="1">IFERROR(__xludf.DUMMYFUNCTION("""COMPUTED_VALUE"""),42326.6666666666)</f>
        <v>42326.666666666599</v>
      </c>
      <c r="B224" s="1">
        <f ca="1">IFERROR(__xludf.DUMMYFUNCTION("""COMPUTED_VALUE"""),28.94)</f>
        <v>28.94</v>
      </c>
      <c r="C224" s="1">
        <f ca="1">IFERROR(__xludf.DUMMYFUNCTION("""COMPUTED_VALUE"""),29.37)</f>
        <v>29.37</v>
      </c>
      <c r="D224" s="1">
        <f ca="1">IFERROR(__xludf.DUMMYFUNCTION("""COMPUTED_VALUE"""),28.88)</f>
        <v>28.88</v>
      </c>
      <c r="E224" s="1">
        <f ca="1">IFERROR(__xludf.DUMMYFUNCTION("""COMPUTED_VALUE"""),29.32)</f>
        <v>29.32</v>
      </c>
      <c r="F224" s="1">
        <f ca="1">IFERROR(__xludf.DUMMYFUNCTION("""COMPUTED_VALUE"""),46674697)</f>
        <v>46674697</v>
      </c>
    </row>
    <row r="225" spans="1:6" x14ac:dyDescent="0.35">
      <c r="A225" s="2">
        <f ca="1">IFERROR(__xludf.DUMMYFUNCTION("""COMPUTED_VALUE"""),42327.6666666666)</f>
        <v>42327.666666666599</v>
      </c>
      <c r="B225" s="1">
        <f ca="1">IFERROR(__xludf.DUMMYFUNCTION("""COMPUTED_VALUE"""),29.41)</f>
        <v>29.41</v>
      </c>
      <c r="C225" s="1">
        <f ca="1">IFERROR(__xludf.DUMMYFUNCTION("""COMPUTED_VALUE"""),29.94)</f>
        <v>29.94</v>
      </c>
      <c r="D225" s="1">
        <f ca="1">IFERROR(__xludf.DUMMYFUNCTION("""COMPUTED_VALUE"""),29.19)</f>
        <v>29.19</v>
      </c>
      <c r="E225" s="1">
        <f ca="1">IFERROR(__xludf.DUMMYFUNCTION("""COMPUTED_VALUE"""),29.7)</f>
        <v>29.7</v>
      </c>
      <c r="F225" s="1">
        <f ca="1">IFERROR(__xludf.DUMMYFUNCTION("""COMPUTED_VALUE"""),43295820)</f>
        <v>43295820</v>
      </c>
    </row>
    <row r="226" spans="1:6" x14ac:dyDescent="0.35">
      <c r="A226" s="2">
        <f ca="1">IFERROR(__xludf.DUMMYFUNCTION("""COMPUTED_VALUE"""),42328.6666666666)</f>
        <v>42328.666666666599</v>
      </c>
      <c r="B226" s="1">
        <f ca="1">IFERROR(__xludf.DUMMYFUNCTION("""COMPUTED_VALUE"""),29.8)</f>
        <v>29.8</v>
      </c>
      <c r="C226" s="1">
        <f ca="1">IFERROR(__xludf.DUMMYFUNCTION("""COMPUTED_VALUE"""),29.98)</f>
        <v>29.98</v>
      </c>
      <c r="D226" s="1">
        <f ca="1">IFERROR(__xludf.DUMMYFUNCTION("""COMPUTED_VALUE"""),29.71)</f>
        <v>29.71</v>
      </c>
      <c r="E226" s="1">
        <f ca="1">IFERROR(__xludf.DUMMYFUNCTION("""COMPUTED_VALUE"""),29.83)</f>
        <v>29.83</v>
      </c>
      <c r="F226" s="1">
        <f ca="1">IFERROR(__xludf.DUMMYFUNCTION("""COMPUTED_VALUE"""),34287096)</f>
        <v>34287096</v>
      </c>
    </row>
    <row r="227" spans="1:6" x14ac:dyDescent="0.35">
      <c r="A227" s="2">
        <f ca="1">IFERROR(__xludf.DUMMYFUNCTION("""COMPUTED_VALUE"""),42331.6666666666)</f>
        <v>42331.666666666599</v>
      </c>
      <c r="B227" s="1">
        <f ca="1">IFERROR(__xludf.DUMMYFUNCTION("""COMPUTED_VALUE"""),29.82)</f>
        <v>29.82</v>
      </c>
      <c r="C227" s="1">
        <f ca="1">IFERROR(__xludf.DUMMYFUNCTION("""COMPUTED_VALUE"""),29.93)</f>
        <v>29.93</v>
      </c>
      <c r="D227" s="1">
        <f ca="1">IFERROR(__xludf.DUMMYFUNCTION("""COMPUTED_VALUE"""),29.34)</f>
        <v>29.34</v>
      </c>
      <c r="E227" s="1">
        <f ca="1">IFERROR(__xludf.DUMMYFUNCTION("""COMPUTED_VALUE"""),29.44)</f>
        <v>29.44</v>
      </c>
      <c r="F227" s="1">
        <f ca="1">IFERROR(__xludf.DUMMYFUNCTION("""COMPUTED_VALUE"""),32482528)</f>
        <v>32482528</v>
      </c>
    </row>
    <row r="228" spans="1:6" x14ac:dyDescent="0.35">
      <c r="A228" s="2">
        <f ca="1">IFERROR(__xludf.DUMMYFUNCTION("""COMPUTED_VALUE"""),42332.6666666666)</f>
        <v>42332.666666666599</v>
      </c>
      <c r="B228" s="1">
        <f ca="1">IFERROR(__xludf.DUMMYFUNCTION("""COMPUTED_VALUE"""),29.33)</f>
        <v>29.33</v>
      </c>
      <c r="C228" s="1">
        <f ca="1">IFERROR(__xludf.DUMMYFUNCTION("""COMPUTED_VALUE"""),29.84)</f>
        <v>29.84</v>
      </c>
      <c r="D228" s="1">
        <f ca="1">IFERROR(__xludf.DUMMYFUNCTION("""COMPUTED_VALUE"""),29.28)</f>
        <v>29.28</v>
      </c>
      <c r="E228" s="1">
        <f ca="1">IFERROR(__xludf.DUMMYFUNCTION("""COMPUTED_VALUE"""),29.72)</f>
        <v>29.72</v>
      </c>
      <c r="F228" s="1">
        <f ca="1">IFERROR(__xludf.DUMMYFUNCTION("""COMPUTED_VALUE"""),42803172)</f>
        <v>42803172</v>
      </c>
    </row>
    <row r="229" spans="1:6" x14ac:dyDescent="0.35">
      <c r="A229" s="2">
        <f ca="1">IFERROR(__xludf.DUMMYFUNCTION("""COMPUTED_VALUE"""),42333.6666666666)</f>
        <v>42333.666666666599</v>
      </c>
      <c r="B229" s="1">
        <f ca="1">IFERROR(__xludf.DUMMYFUNCTION("""COMPUTED_VALUE"""),29.8)</f>
        <v>29.8</v>
      </c>
      <c r="C229" s="1">
        <f ca="1">IFERROR(__xludf.DUMMYFUNCTION("""COMPUTED_VALUE"""),29.81)</f>
        <v>29.81</v>
      </c>
      <c r="D229" s="1">
        <f ca="1">IFERROR(__xludf.DUMMYFUNCTION("""COMPUTED_VALUE"""),29.48)</f>
        <v>29.48</v>
      </c>
      <c r="E229" s="1">
        <f ca="1">IFERROR(__xludf.DUMMYFUNCTION("""COMPUTED_VALUE"""),29.51)</f>
        <v>29.51</v>
      </c>
      <c r="F229" s="1">
        <f ca="1">IFERROR(__xludf.DUMMYFUNCTION("""COMPUTED_VALUE"""),21388308)</f>
        <v>21388308</v>
      </c>
    </row>
    <row r="230" spans="1:6" x14ac:dyDescent="0.35">
      <c r="A230" s="2">
        <f ca="1">IFERROR(__xludf.DUMMYFUNCTION("""COMPUTED_VALUE"""),42335.6666666666)</f>
        <v>42335.666666666599</v>
      </c>
      <c r="B230" s="1">
        <f ca="1">IFERROR(__xludf.DUMMYFUNCTION("""COMPUTED_VALUE"""),29.57)</f>
        <v>29.57</v>
      </c>
      <c r="C230" s="1">
        <f ca="1">IFERROR(__xludf.DUMMYFUNCTION("""COMPUTED_VALUE"""),29.6)</f>
        <v>29.6</v>
      </c>
      <c r="D230" s="1">
        <f ca="1">IFERROR(__xludf.DUMMYFUNCTION("""COMPUTED_VALUE"""),29.4)</f>
        <v>29.4</v>
      </c>
      <c r="E230" s="1">
        <f ca="1">IFERROR(__xludf.DUMMYFUNCTION("""COMPUTED_VALUE"""),29.45)</f>
        <v>29.45</v>
      </c>
      <c r="F230" s="1">
        <f ca="1">IFERROR(__xludf.DUMMYFUNCTION("""COMPUTED_VALUE"""),13046445)</f>
        <v>13046445</v>
      </c>
    </row>
    <row r="231" spans="1:6" x14ac:dyDescent="0.35">
      <c r="A231" s="2">
        <f ca="1">IFERROR(__xludf.DUMMYFUNCTION("""COMPUTED_VALUE"""),42338.6666666666)</f>
        <v>42338.666666666599</v>
      </c>
      <c r="B231" s="1">
        <f ca="1">IFERROR(__xludf.DUMMYFUNCTION("""COMPUTED_VALUE"""),29.5)</f>
        <v>29.5</v>
      </c>
      <c r="C231" s="1">
        <f ca="1">IFERROR(__xludf.DUMMYFUNCTION("""COMPUTED_VALUE"""),29.85)</f>
        <v>29.85</v>
      </c>
      <c r="D231" s="1">
        <f ca="1">IFERROR(__xludf.DUMMYFUNCTION("""COMPUTED_VALUE"""),29.44)</f>
        <v>29.44</v>
      </c>
      <c r="E231" s="1">
        <f ca="1">IFERROR(__xludf.DUMMYFUNCTION("""COMPUTED_VALUE"""),29.58)</f>
        <v>29.58</v>
      </c>
      <c r="F231" s="1">
        <f ca="1">IFERROR(__xludf.DUMMYFUNCTION("""COMPUTED_VALUE"""),39180322)</f>
        <v>39180322</v>
      </c>
    </row>
    <row r="232" spans="1:6" x14ac:dyDescent="0.35">
      <c r="A232" s="2">
        <f ca="1">IFERROR(__xludf.DUMMYFUNCTION("""COMPUTED_VALUE"""),42339.6666666666)</f>
        <v>42339.666666666599</v>
      </c>
      <c r="B232" s="1">
        <f ca="1">IFERROR(__xludf.DUMMYFUNCTION("""COMPUTED_VALUE"""),29.69)</f>
        <v>29.69</v>
      </c>
      <c r="C232" s="1">
        <f ca="1">IFERROR(__xludf.DUMMYFUNCTION("""COMPUTED_VALUE"""),29.7)</f>
        <v>29.7</v>
      </c>
      <c r="D232" s="1">
        <f ca="1">IFERROR(__xludf.DUMMYFUNCTION("""COMPUTED_VALUE"""),29.22)</f>
        <v>29.22</v>
      </c>
      <c r="E232" s="1">
        <f ca="1">IFERROR(__xludf.DUMMYFUNCTION("""COMPUTED_VALUE"""),29.34)</f>
        <v>29.34</v>
      </c>
      <c r="F232" s="1">
        <f ca="1">IFERROR(__xludf.DUMMYFUNCTION("""COMPUTED_VALUE"""),34852374)</f>
        <v>34852374</v>
      </c>
    </row>
    <row r="233" spans="1:6" x14ac:dyDescent="0.35">
      <c r="A233" s="2">
        <f ca="1">IFERROR(__xludf.DUMMYFUNCTION("""COMPUTED_VALUE"""),42340.6666666666)</f>
        <v>42340.666666666599</v>
      </c>
      <c r="B233" s="1">
        <f ca="1">IFERROR(__xludf.DUMMYFUNCTION("""COMPUTED_VALUE"""),29.26)</f>
        <v>29.26</v>
      </c>
      <c r="C233" s="1">
        <f ca="1">IFERROR(__xludf.DUMMYFUNCTION("""COMPUTED_VALUE"""),29.53)</f>
        <v>29.53</v>
      </c>
      <c r="D233" s="1">
        <f ca="1">IFERROR(__xludf.DUMMYFUNCTION("""COMPUTED_VALUE"""),29.02)</f>
        <v>29.02</v>
      </c>
      <c r="E233" s="1">
        <f ca="1">IFERROR(__xludf.DUMMYFUNCTION("""COMPUTED_VALUE"""),29.07)</f>
        <v>29.07</v>
      </c>
      <c r="F233" s="1">
        <f ca="1">IFERROR(__xludf.DUMMYFUNCTION("""COMPUTED_VALUE"""),33386563)</f>
        <v>33386563</v>
      </c>
    </row>
    <row r="234" spans="1:6" x14ac:dyDescent="0.35">
      <c r="A234" s="2">
        <f ca="1">IFERROR(__xludf.DUMMYFUNCTION("""COMPUTED_VALUE"""),42341.6666666666)</f>
        <v>42341.666666666599</v>
      </c>
      <c r="B234" s="1">
        <f ca="1">IFERROR(__xludf.DUMMYFUNCTION("""COMPUTED_VALUE"""),29.14)</f>
        <v>29.14</v>
      </c>
      <c r="C234" s="1">
        <f ca="1">IFERROR(__xludf.DUMMYFUNCTION("""COMPUTED_VALUE"""),29.2)</f>
        <v>29.2</v>
      </c>
      <c r="D234" s="1">
        <f ca="1">IFERROR(__xludf.DUMMYFUNCTION("""COMPUTED_VALUE"""),28.56)</f>
        <v>28.56</v>
      </c>
      <c r="E234" s="1">
        <f ca="1">IFERROR(__xludf.DUMMYFUNCTION("""COMPUTED_VALUE"""),28.8)</f>
        <v>28.8</v>
      </c>
      <c r="F234" s="1">
        <f ca="1">IFERROR(__xludf.DUMMYFUNCTION("""COMPUTED_VALUE"""),41569509)</f>
        <v>41569509</v>
      </c>
    </row>
    <row r="235" spans="1:6" x14ac:dyDescent="0.35">
      <c r="A235" s="2">
        <f ca="1">IFERROR(__xludf.DUMMYFUNCTION("""COMPUTED_VALUE"""),42342.6666666666)</f>
        <v>42342.666666666599</v>
      </c>
      <c r="B235" s="1">
        <f ca="1">IFERROR(__xludf.DUMMYFUNCTION("""COMPUTED_VALUE"""),28.82)</f>
        <v>28.82</v>
      </c>
      <c r="C235" s="1">
        <f ca="1">IFERROR(__xludf.DUMMYFUNCTION("""COMPUTED_VALUE"""),29.81)</f>
        <v>29.81</v>
      </c>
      <c r="D235" s="1">
        <f ca="1">IFERROR(__xludf.DUMMYFUNCTION("""COMPUTED_VALUE"""),28.78)</f>
        <v>28.78</v>
      </c>
      <c r="E235" s="1">
        <f ca="1">IFERROR(__xludf.DUMMYFUNCTION("""COMPUTED_VALUE"""),29.76)</f>
        <v>29.76</v>
      </c>
      <c r="F235" s="1">
        <f ca="1">IFERROR(__xludf.DUMMYFUNCTION("""COMPUTED_VALUE"""),57776977)</f>
        <v>57776977</v>
      </c>
    </row>
    <row r="236" spans="1:6" x14ac:dyDescent="0.35">
      <c r="A236" s="2">
        <f ca="1">IFERROR(__xludf.DUMMYFUNCTION("""COMPUTED_VALUE"""),42345.6666666666)</f>
        <v>42345.666666666599</v>
      </c>
      <c r="B236" s="1">
        <f ca="1">IFERROR(__xludf.DUMMYFUNCTION("""COMPUTED_VALUE"""),29.75)</f>
        <v>29.75</v>
      </c>
      <c r="C236" s="1">
        <f ca="1">IFERROR(__xludf.DUMMYFUNCTION("""COMPUTED_VALUE"""),29.97)</f>
        <v>29.97</v>
      </c>
      <c r="D236" s="1">
        <f ca="1">IFERROR(__xludf.DUMMYFUNCTION("""COMPUTED_VALUE"""),29.45)</f>
        <v>29.45</v>
      </c>
      <c r="E236" s="1">
        <f ca="1">IFERROR(__xludf.DUMMYFUNCTION("""COMPUTED_VALUE"""),29.57)</f>
        <v>29.57</v>
      </c>
      <c r="F236" s="1">
        <f ca="1">IFERROR(__xludf.DUMMYFUNCTION("""COMPUTED_VALUE"""),32084249)</f>
        <v>32084249</v>
      </c>
    </row>
    <row r="237" spans="1:6" x14ac:dyDescent="0.35">
      <c r="A237" s="2">
        <f ca="1">IFERROR(__xludf.DUMMYFUNCTION("""COMPUTED_VALUE"""),42346.6666666666)</f>
        <v>42346.666666666599</v>
      </c>
      <c r="B237" s="1">
        <f ca="1">IFERROR(__xludf.DUMMYFUNCTION("""COMPUTED_VALUE"""),29.38)</f>
        <v>29.38</v>
      </c>
      <c r="C237" s="1">
        <f ca="1">IFERROR(__xludf.DUMMYFUNCTION("""COMPUTED_VALUE"""),29.65)</f>
        <v>29.65</v>
      </c>
      <c r="D237" s="1">
        <f ca="1">IFERROR(__xludf.DUMMYFUNCTION("""COMPUTED_VALUE"""),29.22)</f>
        <v>29.22</v>
      </c>
      <c r="E237" s="1">
        <f ca="1">IFERROR(__xludf.DUMMYFUNCTION("""COMPUTED_VALUE"""),29.56)</f>
        <v>29.56</v>
      </c>
      <c r="F237" s="1">
        <f ca="1">IFERROR(__xludf.DUMMYFUNCTION("""COMPUTED_VALUE"""),34309450)</f>
        <v>34309450</v>
      </c>
    </row>
    <row r="238" spans="1:6" x14ac:dyDescent="0.35">
      <c r="A238" s="2">
        <f ca="1">IFERROR(__xludf.DUMMYFUNCTION("""COMPUTED_VALUE"""),42347.6666666666)</f>
        <v>42347.666666666599</v>
      </c>
      <c r="B238" s="1">
        <f ca="1">IFERROR(__xludf.DUMMYFUNCTION("""COMPUTED_VALUE"""),29.41)</f>
        <v>29.41</v>
      </c>
      <c r="C238" s="1">
        <f ca="1">IFERROR(__xludf.DUMMYFUNCTION("""COMPUTED_VALUE"""),29.42)</f>
        <v>29.42</v>
      </c>
      <c r="D238" s="1">
        <f ca="1">IFERROR(__xludf.DUMMYFUNCTION("""COMPUTED_VALUE"""),28.77)</f>
        <v>28.77</v>
      </c>
      <c r="E238" s="1">
        <f ca="1">IFERROR(__xludf.DUMMYFUNCTION("""COMPUTED_VALUE"""),28.91)</f>
        <v>28.91</v>
      </c>
      <c r="F238" s="1">
        <f ca="1">IFERROR(__xludf.DUMMYFUNCTION("""COMPUTED_VALUE"""),46361357)</f>
        <v>46361357</v>
      </c>
    </row>
    <row r="239" spans="1:6" x14ac:dyDescent="0.35">
      <c r="A239" s="2">
        <f ca="1">IFERROR(__xludf.DUMMYFUNCTION("""COMPUTED_VALUE"""),42348.6666666666)</f>
        <v>42348.666666666599</v>
      </c>
      <c r="B239" s="1">
        <f ca="1">IFERROR(__xludf.DUMMYFUNCTION("""COMPUTED_VALUE"""),29.01)</f>
        <v>29.01</v>
      </c>
      <c r="C239" s="1">
        <f ca="1">IFERROR(__xludf.DUMMYFUNCTION("""COMPUTED_VALUE"""),29.24)</f>
        <v>29.24</v>
      </c>
      <c r="D239" s="1">
        <f ca="1">IFERROR(__xludf.DUMMYFUNCTION("""COMPUTED_VALUE"""),28.88)</f>
        <v>28.88</v>
      </c>
      <c r="E239" s="1">
        <f ca="1">IFERROR(__xludf.DUMMYFUNCTION("""COMPUTED_VALUE"""),29.04)</f>
        <v>29.04</v>
      </c>
      <c r="F239" s="1">
        <f ca="1">IFERROR(__xludf.DUMMYFUNCTION("""COMPUTED_VALUE"""),29212727)</f>
        <v>29212727</v>
      </c>
    </row>
    <row r="240" spans="1:6" x14ac:dyDescent="0.35">
      <c r="A240" s="2">
        <f ca="1">IFERROR(__xludf.DUMMYFUNCTION("""COMPUTED_VALUE"""),42349.6666666666)</f>
        <v>42349.666666666599</v>
      </c>
      <c r="B240" s="1">
        <f ca="1">IFERROR(__xludf.DUMMYFUNCTION("""COMPUTED_VALUE"""),28.8)</f>
        <v>28.8</v>
      </c>
      <c r="C240" s="1">
        <f ca="1">IFERROR(__xludf.DUMMYFUNCTION("""COMPUTED_VALUE"""),28.85)</f>
        <v>28.85</v>
      </c>
      <c r="D240" s="1">
        <f ca="1">IFERROR(__xludf.DUMMYFUNCTION("""COMPUTED_VALUE"""),28.21)</f>
        <v>28.21</v>
      </c>
      <c r="E240" s="1">
        <f ca="1">IFERROR(__xludf.DUMMYFUNCTION("""COMPUTED_VALUE"""),28.3)</f>
        <v>28.3</v>
      </c>
      <c r="F240" s="1">
        <f ca="1">IFERROR(__xludf.DUMMYFUNCTION("""COMPUTED_VALUE"""),46886161)</f>
        <v>46886161</v>
      </c>
    </row>
    <row r="241" spans="1:6" x14ac:dyDescent="0.35">
      <c r="A241" s="2">
        <f ca="1">IFERROR(__xludf.DUMMYFUNCTION("""COMPUTED_VALUE"""),42352.6666666666)</f>
        <v>42352.666666666599</v>
      </c>
      <c r="B241" s="1">
        <f ca="1">IFERROR(__xludf.DUMMYFUNCTION("""COMPUTED_VALUE"""),28.05)</f>
        <v>28.05</v>
      </c>
      <c r="C241" s="1">
        <f ca="1">IFERROR(__xludf.DUMMYFUNCTION("""COMPUTED_VALUE"""),28.17)</f>
        <v>28.17</v>
      </c>
      <c r="D241" s="1">
        <f ca="1">IFERROR(__xludf.DUMMYFUNCTION("""COMPUTED_VALUE"""),27.45)</f>
        <v>27.45</v>
      </c>
      <c r="E241" s="1">
        <f ca="1">IFERROR(__xludf.DUMMYFUNCTION("""COMPUTED_VALUE"""),28.12)</f>
        <v>28.12</v>
      </c>
      <c r="F241" s="1">
        <f ca="1">IFERROR(__xludf.DUMMYFUNCTION("""COMPUTED_VALUE"""),65003609)</f>
        <v>65003609</v>
      </c>
    </row>
    <row r="242" spans="1:6" x14ac:dyDescent="0.35">
      <c r="A242" s="2">
        <f ca="1">IFERROR(__xludf.DUMMYFUNCTION("""COMPUTED_VALUE"""),42353.6666666666)</f>
        <v>42353.666666666599</v>
      </c>
      <c r="B242" s="1">
        <f ca="1">IFERROR(__xludf.DUMMYFUNCTION("""COMPUTED_VALUE"""),27.99)</f>
        <v>27.99</v>
      </c>
      <c r="C242" s="1">
        <f ca="1">IFERROR(__xludf.DUMMYFUNCTION("""COMPUTED_VALUE"""),28.2)</f>
        <v>28.2</v>
      </c>
      <c r="D242" s="1">
        <f ca="1">IFERROR(__xludf.DUMMYFUNCTION("""COMPUTED_VALUE"""),27.59)</f>
        <v>27.59</v>
      </c>
      <c r="E242" s="1">
        <f ca="1">IFERROR(__xludf.DUMMYFUNCTION("""COMPUTED_VALUE"""),27.62)</f>
        <v>27.62</v>
      </c>
      <c r="F242" s="1">
        <f ca="1">IFERROR(__xludf.DUMMYFUNCTION("""COMPUTED_VALUE"""),53323105)</f>
        <v>53323105</v>
      </c>
    </row>
    <row r="243" spans="1:6" x14ac:dyDescent="0.35">
      <c r="A243" s="2">
        <f ca="1">IFERROR(__xludf.DUMMYFUNCTION("""COMPUTED_VALUE"""),42354.6666666666)</f>
        <v>42354.666666666599</v>
      </c>
      <c r="B243" s="1">
        <f ca="1">IFERROR(__xludf.DUMMYFUNCTION("""COMPUTED_VALUE"""),27.77)</f>
        <v>27.77</v>
      </c>
      <c r="C243" s="1">
        <f ca="1">IFERROR(__xludf.DUMMYFUNCTION("""COMPUTED_VALUE"""),28)</f>
        <v>28</v>
      </c>
      <c r="D243" s="1">
        <f ca="1">IFERROR(__xludf.DUMMYFUNCTION("""COMPUTED_VALUE"""),27.2)</f>
        <v>27.2</v>
      </c>
      <c r="E243" s="1">
        <f ca="1">IFERROR(__xludf.DUMMYFUNCTION("""COMPUTED_VALUE"""),27.84)</f>
        <v>27.84</v>
      </c>
      <c r="F243" s="1">
        <f ca="1">IFERROR(__xludf.DUMMYFUNCTION("""COMPUTED_VALUE"""),56238467)</f>
        <v>56238467</v>
      </c>
    </row>
    <row r="244" spans="1:6" x14ac:dyDescent="0.35">
      <c r="A244" s="2">
        <f ca="1">IFERROR(__xludf.DUMMYFUNCTION("""COMPUTED_VALUE"""),42355.6666666666)</f>
        <v>42355.666666666599</v>
      </c>
      <c r="B244" s="1">
        <f ca="1">IFERROR(__xludf.DUMMYFUNCTION("""COMPUTED_VALUE"""),28.01)</f>
        <v>28.01</v>
      </c>
      <c r="C244" s="1">
        <f ca="1">IFERROR(__xludf.DUMMYFUNCTION("""COMPUTED_VALUE"""),28.06)</f>
        <v>28.06</v>
      </c>
      <c r="D244" s="1">
        <f ca="1">IFERROR(__xludf.DUMMYFUNCTION("""COMPUTED_VALUE"""),27.25)</f>
        <v>27.25</v>
      </c>
      <c r="E244" s="1">
        <f ca="1">IFERROR(__xludf.DUMMYFUNCTION("""COMPUTED_VALUE"""),27.25)</f>
        <v>27.25</v>
      </c>
      <c r="F244" s="1">
        <f ca="1">IFERROR(__xludf.DUMMYFUNCTION("""COMPUTED_VALUE"""),44772827)</f>
        <v>44772827</v>
      </c>
    </row>
    <row r="245" spans="1:6" x14ac:dyDescent="0.35">
      <c r="A245" s="2">
        <f ca="1">IFERROR(__xludf.DUMMYFUNCTION("""COMPUTED_VALUE"""),42356.6666666666)</f>
        <v>42356.666666666599</v>
      </c>
      <c r="B245" s="1">
        <f ca="1">IFERROR(__xludf.DUMMYFUNCTION("""COMPUTED_VALUE"""),27.23)</f>
        <v>27.23</v>
      </c>
      <c r="C245" s="1">
        <f ca="1">IFERROR(__xludf.DUMMYFUNCTION("""COMPUTED_VALUE"""),27.38)</f>
        <v>27.38</v>
      </c>
      <c r="D245" s="1">
        <f ca="1">IFERROR(__xludf.DUMMYFUNCTION("""COMPUTED_VALUE"""),26.45)</f>
        <v>26.45</v>
      </c>
      <c r="E245" s="1">
        <f ca="1">IFERROR(__xludf.DUMMYFUNCTION("""COMPUTED_VALUE"""),26.51)</f>
        <v>26.51</v>
      </c>
      <c r="F245" s="1">
        <f ca="1">IFERROR(__xludf.DUMMYFUNCTION("""COMPUTED_VALUE"""),96453327)</f>
        <v>96453327</v>
      </c>
    </row>
    <row r="246" spans="1:6" x14ac:dyDescent="0.35">
      <c r="A246" s="2">
        <f ca="1">IFERROR(__xludf.DUMMYFUNCTION("""COMPUTED_VALUE"""),42359.6666666666)</f>
        <v>42359.666666666599</v>
      </c>
      <c r="B246" s="1">
        <f ca="1">IFERROR(__xludf.DUMMYFUNCTION("""COMPUTED_VALUE"""),26.82)</f>
        <v>26.82</v>
      </c>
      <c r="C246" s="1">
        <f ca="1">IFERROR(__xludf.DUMMYFUNCTION("""COMPUTED_VALUE"""),26.84)</f>
        <v>26.84</v>
      </c>
      <c r="D246" s="1">
        <f ca="1">IFERROR(__xludf.DUMMYFUNCTION("""COMPUTED_VALUE"""),26.39)</f>
        <v>26.39</v>
      </c>
      <c r="E246" s="1">
        <f ca="1">IFERROR(__xludf.DUMMYFUNCTION("""COMPUTED_VALUE"""),26.83)</f>
        <v>26.83</v>
      </c>
      <c r="F246" s="1">
        <f ca="1">IFERROR(__xludf.DUMMYFUNCTION("""COMPUTED_VALUE"""),47590610)</f>
        <v>47590610</v>
      </c>
    </row>
    <row r="247" spans="1:6" x14ac:dyDescent="0.35">
      <c r="A247" s="2">
        <f ca="1">IFERROR(__xludf.DUMMYFUNCTION("""COMPUTED_VALUE"""),42360.6666666666)</f>
        <v>42360.666666666599</v>
      </c>
      <c r="B247" s="1">
        <f ca="1">IFERROR(__xludf.DUMMYFUNCTION("""COMPUTED_VALUE"""),26.85)</f>
        <v>26.85</v>
      </c>
      <c r="C247" s="1">
        <f ca="1">IFERROR(__xludf.DUMMYFUNCTION("""COMPUTED_VALUE"""),26.93)</f>
        <v>26.93</v>
      </c>
      <c r="D247" s="1">
        <f ca="1">IFERROR(__xludf.DUMMYFUNCTION("""COMPUTED_VALUE"""),26.61)</f>
        <v>26.61</v>
      </c>
      <c r="E247" s="1">
        <f ca="1">IFERROR(__xludf.DUMMYFUNCTION("""COMPUTED_VALUE"""),26.81)</f>
        <v>26.81</v>
      </c>
      <c r="F247" s="1">
        <f ca="1">IFERROR(__xludf.DUMMYFUNCTION("""COMPUTED_VALUE"""),32789367)</f>
        <v>32789367</v>
      </c>
    </row>
    <row r="248" spans="1:6" x14ac:dyDescent="0.35">
      <c r="A248" s="2">
        <f ca="1">IFERROR(__xludf.DUMMYFUNCTION("""COMPUTED_VALUE"""),42361.6666666666)</f>
        <v>42361.666666666599</v>
      </c>
      <c r="B248" s="1">
        <f ca="1">IFERROR(__xludf.DUMMYFUNCTION("""COMPUTED_VALUE"""),26.82)</f>
        <v>26.82</v>
      </c>
      <c r="C248" s="1">
        <f ca="1">IFERROR(__xludf.DUMMYFUNCTION("""COMPUTED_VALUE"""),27.21)</f>
        <v>27.21</v>
      </c>
      <c r="D248" s="1">
        <f ca="1">IFERROR(__xludf.DUMMYFUNCTION("""COMPUTED_VALUE"""),26.8)</f>
        <v>26.8</v>
      </c>
      <c r="E248" s="1">
        <f ca="1">IFERROR(__xludf.DUMMYFUNCTION("""COMPUTED_VALUE"""),27.15)</f>
        <v>27.15</v>
      </c>
      <c r="F248" s="1">
        <f ca="1">IFERROR(__xludf.DUMMYFUNCTION("""COMPUTED_VALUE"""),32657354)</f>
        <v>32657354</v>
      </c>
    </row>
    <row r="249" spans="1:6" x14ac:dyDescent="0.35">
      <c r="A249" s="2">
        <f ca="1">IFERROR(__xludf.DUMMYFUNCTION("""COMPUTED_VALUE"""),42362.6666666666)</f>
        <v>42362.666666666599</v>
      </c>
      <c r="B249" s="1">
        <f ca="1">IFERROR(__xludf.DUMMYFUNCTION("""COMPUTED_VALUE"""),27.25)</f>
        <v>27.25</v>
      </c>
      <c r="C249" s="1">
        <f ca="1">IFERROR(__xludf.DUMMYFUNCTION("""COMPUTED_VALUE"""),27.25)</f>
        <v>27.25</v>
      </c>
      <c r="D249" s="1">
        <f ca="1">IFERROR(__xludf.DUMMYFUNCTION("""COMPUTED_VALUE"""),26.99)</f>
        <v>26.99</v>
      </c>
      <c r="E249" s="1">
        <f ca="1">IFERROR(__xludf.DUMMYFUNCTION("""COMPUTED_VALUE"""),27.01)</f>
        <v>27.01</v>
      </c>
      <c r="F249" s="1">
        <f ca="1">IFERROR(__xludf.DUMMYFUNCTION("""COMPUTED_VALUE"""),13596680)</f>
        <v>13596680</v>
      </c>
    </row>
    <row r="250" spans="1:6" x14ac:dyDescent="0.35">
      <c r="A250" s="2">
        <f ca="1">IFERROR(__xludf.DUMMYFUNCTION("""COMPUTED_VALUE"""),42366.6666666666)</f>
        <v>42366.666666666599</v>
      </c>
      <c r="B250" s="1">
        <f ca="1">IFERROR(__xludf.DUMMYFUNCTION("""COMPUTED_VALUE"""),26.9)</f>
        <v>26.9</v>
      </c>
      <c r="C250" s="1">
        <f ca="1">IFERROR(__xludf.DUMMYFUNCTION("""COMPUTED_VALUE"""),26.92)</f>
        <v>26.92</v>
      </c>
      <c r="D250" s="1">
        <f ca="1">IFERROR(__xludf.DUMMYFUNCTION("""COMPUTED_VALUE"""),26.55)</f>
        <v>26.55</v>
      </c>
      <c r="E250" s="1">
        <f ca="1">IFERROR(__xludf.DUMMYFUNCTION("""COMPUTED_VALUE"""),26.71)</f>
        <v>26.71</v>
      </c>
      <c r="F250" s="1">
        <f ca="1">IFERROR(__xludf.DUMMYFUNCTION("""COMPUTED_VALUE"""),26704210)</f>
        <v>26704210</v>
      </c>
    </row>
    <row r="251" spans="1:6" x14ac:dyDescent="0.35">
      <c r="A251" s="2">
        <f ca="1">IFERROR(__xludf.DUMMYFUNCTION("""COMPUTED_VALUE"""),42367.6666666666)</f>
        <v>42367.666666666599</v>
      </c>
      <c r="B251" s="1">
        <f ca="1">IFERROR(__xludf.DUMMYFUNCTION("""COMPUTED_VALUE"""),26.74)</f>
        <v>26.74</v>
      </c>
      <c r="C251" s="1">
        <f ca="1">IFERROR(__xludf.DUMMYFUNCTION("""COMPUTED_VALUE"""),27.36)</f>
        <v>27.36</v>
      </c>
      <c r="D251" s="1">
        <f ca="1">IFERROR(__xludf.DUMMYFUNCTION("""COMPUTED_VALUE"""),26.72)</f>
        <v>26.72</v>
      </c>
      <c r="E251" s="1">
        <f ca="1">IFERROR(__xludf.DUMMYFUNCTION("""COMPUTED_VALUE"""),27.19)</f>
        <v>27.19</v>
      </c>
      <c r="F251" s="1">
        <f ca="1">IFERROR(__xludf.DUMMYFUNCTION("""COMPUTED_VALUE"""),30931243)</f>
        <v>30931243</v>
      </c>
    </row>
    <row r="252" spans="1:6" x14ac:dyDescent="0.35">
      <c r="A252" s="2">
        <f ca="1">IFERROR(__xludf.DUMMYFUNCTION("""COMPUTED_VALUE"""),42368.6666666666)</f>
        <v>42368.666666666599</v>
      </c>
      <c r="B252" s="1">
        <f ca="1">IFERROR(__xludf.DUMMYFUNCTION("""COMPUTED_VALUE"""),27.15)</f>
        <v>27.15</v>
      </c>
      <c r="C252" s="1">
        <f ca="1">IFERROR(__xludf.DUMMYFUNCTION("""COMPUTED_VALUE"""),27.18)</f>
        <v>27.18</v>
      </c>
      <c r="D252" s="1">
        <f ca="1">IFERROR(__xludf.DUMMYFUNCTION("""COMPUTED_VALUE"""),26.8)</f>
        <v>26.8</v>
      </c>
      <c r="E252" s="1">
        <f ca="1">IFERROR(__xludf.DUMMYFUNCTION("""COMPUTED_VALUE"""),26.83)</f>
        <v>26.83</v>
      </c>
      <c r="F252" s="1">
        <f ca="1">IFERROR(__xludf.DUMMYFUNCTION("""COMPUTED_VALUE"""),25213777)</f>
        <v>25213777</v>
      </c>
    </row>
    <row r="253" spans="1:6" x14ac:dyDescent="0.35">
      <c r="A253" s="2">
        <f ca="1">IFERROR(__xludf.DUMMYFUNCTION("""COMPUTED_VALUE"""),42369.6666666666)</f>
        <v>42369.666666666599</v>
      </c>
      <c r="B253" s="1">
        <f ca="1">IFERROR(__xludf.DUMMYFUNCTION("""COMPUTED_VALUE"""),26.75)</f>
        <v>26.75</v>
      </c>
      <c r="C253" s="1">
        <f ca="1">IFERROR(__xludf.DUMMYFUNCTION("""COMPUTED_VALUE"""),26.76)</f>
        <v>26.76</v>
      </c>
      <c r="D253" s="1">
        <f ca="1">IFERROR(__xludf.DUMMYFUNCTION("""COMPUTED_VALUE"""),26.21)</f>
        <v>26.21</v>
      </c>
      <c r="E253" s="1">
        <f ca="1">IFERROR(__xludf.DUMMYFUNCTION("""COMPUTED_VALUE"""),26.32)</f>
        <v>26.32</v>
      </c>
      <c r="F253" s="1">
        <f ca="1">IFERROR(__xludf.DUMMYFUNCTION("""COMPUTED_VALUE"""),40912316)</f>
        <v>40912316</v>
      </c>
    </row>
    <row r="254" spans="1:6" x14ac:dyDescent="0.35">
      <c r="A254" s="2">
        <f ca="1">IFERROR(__xludf.DUMMYFUNCTION("""COMPUTED_VALUE"""),42373.6666666666)</f>
        <v>42373.666666666599</v>
      </c>
      <c r="B254" s="1">
        <f ca="1">IFERROR(__xludf.DUMMYFUNCTION("""COMPUTED_VALUE"""),25.65)</f>
        <v>25.65</v>
      </c>
      <c r="C254" s="1">
        <f ca="1">IFERROR(__xludf.DUMMYFUNCTION("""COMPUTED_VALUE"""),26.34)</f>
        <v>26.34</v>
      </c>
      <c r="D254" s="1">
        <f ca="1">IFERROR(__xludf.DUMMYFUNCTION("""COMPUTED_VALUE"""),25.5)</f>
        <v>25.5</v>
      </c>
      <c r="E254" s="1">
        <f ca="1">IFERROR(__xludf.DUMMYFUNCTION("""COMPUTED_VALUE"""),26.34)</f>
        <v>26.34</v>
      </c>
      <c r="F254" s="1">
        <f ca="1">IFERROR(__xludf.DUMMYFUNCTION("""COMPUTED_VALUE"""),67649387)</f>
        <v>67649387</v>
      </c>
    </row>
    <row r="255" spans="1:6" x14ac:dyDescent="0.35">
      <c r="A255" s="2">
        <f ca="1">IFERROR(__xludf.DUMMYFUNCTION("""COMPUTED_VALUE"""),42374.6666666666)</f>
        <v>42374.666666666599</v>
      </c>
      <c r="B255" s="1">
        <f ca="1">IFERROR(__xludf.DUMMYFUNCTION("""COMPUTED_VALUE"""),26.44)</f>
        <v>26.44</v>
      </c>
      <c r="C255" s="1">
        <f ca="1">IFERROR(__xludf.DUMMYFUNCTION("""COMPUTED_VALUE"""),26.46)</f>
        <v>26.46</v>
      </c>
      <c r="D255" s="1">
        <f ca="1">IFERROR(__xludf.DUMMYFUNCTION("""COMPUTED_VALUE"""),25.6)</f>
        <v>25.6</v>
      </c>
      <c r="E255" s="1">
        <f ca="1">IFERROR(__xludf.DUMMYFUNCTION("""COMPUTED_VALUE"""),25.68)</f>
        <v>25.68</v>
      </c>
      <c r="F255" s="1">
        <f ca="1">IFERROR(__xludf.DUMMYFUNCTION("""COMPUTED_VALUE"""),55790992)</f>
        <v>55790992</v>
      </c>
    </row>
    <row r="256" spans="1:6" x14ac:dyDescent="0.35">
      <c r="A256" s="2">
        <f ca="1">IFERROR(__xludf.DUMMYFUNCTION("""COMPUTED_VALUE"""),42375.6666666666)</f>
        <v>42375.666666666599</v>
      </c>
      <c r="B256" s="1">
        <f ca="1">IFERROR(__xludf.DUMMYFUNCTION("""COMPUTED_VALUE"""),25.14)</f>
        <v>25.14</v>
      </c>
      <c r="C256" s="1">
        <f ca="1">IFERROR(__xludf.DUMMYFUNCTION("""COMPUTED_VALUE"""),25.59)</f>
        <v>25.59</v>
      </c>
      <c r="D256" s="1">
        <f ca="1">IFERROR(__xludf.DUMMYFUNCTION("""COMPUTED_VALUE"""),24.97)</f>
        <v>24.97</v>
      </c>
      <c r="E256" s="1">
        <f ca="1">IFERROR(__xludf.DUMMYFUNCTION("""COMPUTED_VALUE"""),25.18)</f>
        <v>25.18</v>
      </c>
      <c r="F256" s="1">
        <f ca="1">IFERROR(__xludf.DUMMYFUNCTION("""COMPUTED_VALUE"""),68457388)</f>
        <v>68457388</v>
      </c>
    </row>
    <row r="257" spans="1:6" x14ac:dyDescent="0.35">
      <c r="A257" s="2">
        <f ca="1">IFERROR(__xludf.DUMMYFUNCTION("""COMPUTED_VALUE"""),42376.6666666666)</f>
        <v>42376.666666666599</v>
      </c>
      <c r="B257" s="1">
        <f ca="1">IFERROR(__xludf.DUMMYFUNCTION("""COMPUTED_VALUE"""),24.67)</f>
        <v>24.67</v>
      </c>
      <c r="C257" s="1">
        <f ca="1">IFERROR(__xludf.DUMMYFUNCTION("""COMPUTED_VALUE"""),25.03)</f>
        <v>25.03</v>
      </c>
      <c r="D257" s="1">
        <f ca="1">IFERROR(__xludf.DUMMYFUNCTION("""COMPUTED_VALUE"""),24.11)</f>
        <v>24.11</v>
      </c>
      <c r="E257" s="1">
        <f ca="1">IFERROR(__xludf.DUMMYFUNCTION("""COMPUTED_VALUE"""),24.11)</f>
        <v>24.11</v>
      </c>
      <c r="F257" s="1">
        <f ca="1">IFERROR(__xludf.DUMMYFUNCTION("""COMPUTED_VALUE"""),81094428)</f>
        <v>81094428</v>
      </c>
    </row>
    <row r="258" spans="1:6" x14ac:dyDescent="0.35">
      <c r="A258" s="2">
        <f ca="1">IFERROR(__xludf.DUMMYFUNCTION("""COMPUTED_VALUE"""),42377.6666666666)</f>
        <v>42377.666666666599</v>
      </c>
      <c r="B258" s="1">
        <f ca="1">IFERROR(__xludf.DUMMYFUNCTION("""COMPUTED_VALUE"""),24.64)</f>
        <v>24.64</v>
      </c>
      <c r="C258" s="1">
        <f ca="1">IFERROR(__xludf.DUMMYFUNCTION("""COMPUTED_VALUE"""),24.78)</f>
        <v>24.78</v>
      </c>
      <c r="D258" s="1">
        <f ca="1">IFERROR(__xludf.DUMMYFUNCTION("""COMPUTED_VALUE"""),24.19)</f>
        <v>24.19</v>
      </c>
      <c r="E258" s="1">
        <f ca="1">IFERROR(__xludf.DUMMYFUNCTION("""COMPUTED_VALUE"""),24.24)</f>
        <v>24.24</v>
      </c>
      <c r="F258" s="1">
        <f ca="1">IFERROR(__xludf.DUMMYFUNCTION("""COMPUTED_VALUE"""),70798016)</f>
        <v>70798016</v>
      </c>
    </row>
    <row r="259" spans="1:6" x14ac:dyDescent="0.35">
      <c r="A259" s="2">
        <f ca="1">IFERROR(__xludf.DUMMYFUNCTION("""COMPUTED_VALUE"""),42380.6666666666)</f>
        <v>42380.666666666599</v>
      </c>
      <c r="B259" s="1">
        <f ca="1">IFERROR(__xludf.DUMMYFUNCTION("""COMPUTED_VALUE"""),24.74)</f>
        <v>24.74</v>
      </c>
      <c r="C259" s="1">
        <f ca="1">IFERROR(__xludf.DUMMYFUNCTION("""COMPUTED_VALUE"""),24.77)</f>
        <v>24.77</v>
      </c>
      <c r="D259" s="1">
        <f ca="1">IFERROR(__xludf.DUMMYFUNCTION("""COMPUTED_VALUE"""),24.34)</f>
        <v>24.34</v>
      </c>
      <c r="E259" s="1">
        <f ca="1">IFERROR(__xludf.DUMMYFUNCTION("""COMPUTED_VALUE"""),24.63)</f>
        <v>24.63</v>
      </c>
      <c r="F259" s="1">
        <f ca="1">IFERROR(__xludf.DUMMYFUNCTION("""COMPUTED_VALUE"""),49739377)</f>
        <v>49739377</v>
      </c>
    </row>
    <row r="260" spans="1:6" x14ac:dyDescent="0.35">
      <c r="A260" s="2">
        <f ca="1">IFERROR(__xludf.DUMMYFUNCTION("""COMPUTED_VALUE"""),42381.6666666666)</f>
        <v>42381.666666666599</v>
      </c>
      <c r="B260" s="1">
        <f ca="1">IFERROR(__xludf.DUMMYFUNCTION("""COMPUTED_VALUE"""),25.14)</f>
        <v>25.14</v>
      </c>
      <c r="C260" s="1">
        <f ca="1">IFERROR(__xludf.DUMMYFUNCTION("""COMPUTED_VALUE"""),25.17)</f>
        <v>25.17</v>
      </c>
      <c r="D260" s="1">
        <f ca="1">IFERROR(__xludf.DUMMYFUNCTION("""COMPUTED_VALUE"""),24.71)</f>
        <v>24.71</v>
      </c>
      <c r="E260" s="1">
        <f ca="1">IFERROR(__xludf.DUMMYFUNCTION("""COMPUTED_VALUE"""),24.99)</f>
        <v>24.99</v>
      </c>
      <c r="F260" s="1">
        <f ca="1">IFERROR(__xludf.DUMMYFUNCTION("""COMPUTED_VALUE"""),49154227)</f>
        <v>49154227</v>
      </c>
    </row>
    <row r="261" spans="1:6" x14ac:dyDescent="0.35">
      <c r="A261" s="2">
        <f ca="1">IFERROR(__xludf.DUMMYFUNCTION("""COMPUTED_VALUE"""),42382.6666666666)</f>
        <v>42382.666666666599</v>
      </c>
      <c r="B261" s="1">
        <f ca="1">IFERROR(__xludf.DUMMYFUNCTION("""COMPUTED_VALUE"""),25.08)</f>
        <v>25.08</v>
      </c>
      <c r="C261" s="1">
        <f ca="1">IFERROR(__xludf.DUMMYFUNCTION("""COMPUTED_VALUE"""),25.3)</f>
        <v>25.3</v>
      </c>
      <c r="D261" s="1">
        <f ca="1">IFERROR(__xludf.DUMMYFUNCTION("""COMPUTED_VALUE"""),24.33)</f>
        <v>24.33</v>
      </c>
      <c r="E261" s="1">
        <f ca="1">IFERROR(__xludf.DUMMYFUNCTION("""COMPUTED_VALUE"""),24.35)</f>
        <v>24.35</v>
      </c>
      <c r="F261" s="1">
        <f ca="1">IFERROR(__xludf.DUMMYFUNCTION("""COMPUTED_VALUE"""),62439631)</f>
        <v>62439631</v>
      </c>
    </row>
    <row r="262" spans="1:6" x14ac:dyDescent="0.35">
      <c r="A262" s="2">
        <f ca="1">IFERROR(__xludf.DUMMYFUNCTION("""COMPUTED_VALUE"""),42383.6666666666)</f>
        <v>42383.666666666599</v>
      </c>
      <c r="B262" s="1">
        <f ca="1">IFERROR(__xludf.DUMMYFUNCTION("""COMPUTED_VALUE"""),24.49)</f>
        <v>24.49</v>
      </c>
      <c r="C262" s="1">
        <f ca="1">IFERROR(__xludf.DUMMYFUNCTION("""COMPUTED_VALUE"""),25.12)</f>
        <v>25.12</v>
      </c>
      <c r="D262" s="1">
        <f ca="1">IFERROR(__xludf.DUMMYFUNCTION("""COMPUTED_VALUE"""),23.94)</f>
        <v>23.94</v>
      </c>
      <c r="E262" s="1">
        <f ca="1">IFERROR(__xludf.DUMMYFUNCTION("""COMPUTED_VALUE"""),24.88)</f>
        <v>24.88</v>
      </c>
      <c r="F262" s="1">
        <f ca="1">IFERROR(__xludf.DUMMYFUNCTION("""COMPUTED_VALUE"""),63170127)</f>
        <v>63170127</v>
      </c>
    </row>
    <row r="263" spans="1:6" x14ac:dyDescent="0.35">
      <c r="A263" s="2">
        <f ca="1">IFERROR(__xludf.DUMMYFUNCTION("""COMPUTED_VALUE"""),42384.6666666666)</f>
        <v>42384.666666666599</v>
      </c>
      <c r="B263" s="1">
        <f ca="1">IFERROR(__xludf.DUMMYFUNCTION("""COMPUTED_VALUE"""),24.05)</f>
        <v>24.05</v>
      </c>
      <c r="C263" s="1">
        <f ca="1">IFERROR(__xludf.DUMMYFUNCTION("""COMPUTED_VALUE"""),24.43)</f>
        <v>24.43</v>
      </c>
      <c r="D263" s="1">
        <f ca="1">IFERROR(__xludf.DUMMYFUNCTION("""COMPUTED_VALUE"""),23.84)</f>
        <v>23.84</v>
      </c>
      <c r="E263" s="1">
        <f ca="1">IFERROR(__xludf.DUMMYFUNCTION("""COMPUTED_VALUE"""),24.28)</f>
        <v>24.28</v>
      </c>
      <c r="F263" s="1">
        <f ca="1">IFERROR(__xludf.DUMMYFUNCTION("""COMPUTED_VALUE"""),79833891)</f>
        <v>79833891</v>
      </c>
    </row>
    <row r="264" spans="1:6" x14ac:dyDescent="0.35">
      <c r="A264" s="2">
        <f ca="1">IFERROR(__xludf.DUMMYFUNCTION("""COMPUTED_VALUE"""),42388.6666666666)</f>
        <v>42388.666666666599</v>
      </c>
      <c r="B264" s="1">
        <f ca="1">IFERROR(__xludf.DUMMYFUNCTION("""COMPUTED_VALUE"""),24.6)</f>
        <v>24.6</v>
      </c>
      <c r="C264" s="1">
        <f ca="1">IFERROR(__xludf.DUMMYFUNCTION("""COMPUTED_VALUE"""),24.66)</f>
        <v>24.66</v>
      </c>
      <c r="D264" s="1">
        <f ca="1">IFERROR(__xludf.DUMMYFUNCTION("""COMPUTED_VALUE"""),23.88)</f>
        <v>23.88</v>
      </c>
      <c r="E264" s="1">
        <f ca="1">IFERROR(__xludf.DUMMYFUNCTION("""COMPUTED_VALUE"""),24.17)</f>
        <v>24.17</v>
      </c>
      <c r="F264" s="1">
        <f ca="1">IFERROR(__xludf.DUMMYFUNCTION("""COMPUTED_VALUE"""),53087747)</f>
        <v>53087747</v>
      </c>
    </row>
    <row r="265" spans="1:6" x14ac:dyDescent="0.35">
      <c r="A265" s="2">
        <f ca="1">IFERROR(__xludf.DUMMYFUNCTION("""COMPUTED_VALUE"""),42389.6666666666)</f>
        <v>42389.666666666599</v>
      </c>
      <c r="B265" s="1">
        <f ca="1">IFERROR(__xludf.DUMMYFUNCTION("""COMPUTED_VALUE"""),23.78)</f>
        <v>23.78</v>
      </c>
      <c r="C265" s="1">
        <f ca="1">IFERROR(__xludf.DUMMYFUNCTION("""COMPUTED_VALUE"""),24.55)</f>
        <v>24.55</v>
      </c>
      <c r="D265" s="1">
        <f ca="1">IFERROR(__xludf.DUMMYFUNCTION("""COMPUTED_VALUE"""),23.36)</f>
        <v>23.36</v>
      </c>
      <c r="E265" s="1">
        <f ca="1">IFERROR(__xludf.DUMMYFUNCTION("""COMPUTED_VALUE"""),24.2)</f>
        <v>24.2</v>
      </c>
      <c r="F265" s="1">
        <f ca="1">IFERROR(__xludf.DUMMYFUNCTION("""COMPUTED_VALUE"""),72334416)</f>
        <v>72334416</v>
      </c>
    </row>
    <row r="266" spans="1:6" x14ac:dyDescent="0.35">
      <c r="A266" s="2">
        <f ca="1">IFERROR(__xludf.DUMMYFUNCTION("""COMPUTED_VALUE"""),42390.6666666666)</f>
        <v>42390.666666666599</v>
      </c>
      <c r="B266" s="1">
        <f ca="1">IFERROR(__xludf.DUMMYFUNCTION("""COMPUTED_VALUE"""),24.27)</f>
        <v>24.27</v>
      </c>
      <c r="C266" s="1">
        <f ca="1">IFERROR(__xludf.DUMMYFUNCTION("""COMPUTED_VALUE"""),24.47)</f>
        <v>24.47</v>
      </c>
      <c r="D266" s="1">
        <f ca="1">IFERROR(__xludf.DUMMYFUNCTION("""COMPUTED_VALUE"""),23.74)</f>
        <v>23.74</v>
      </c>
      <c r="E266" s="1">
        <f ca="1">IFERROR(__xludf.DUMMYFUNCTION("""COMPUTED_VALUE"""),24.08)</f>
        <v>24.08</v>
      </c>
      <c r="F266" s="1">
        <f ca="1">IFERROR(__xludf.DUMMYFUNCTION("""COMPUTED_VALUE"""),52161463)</f>
        <v>52161463</v>
      </c>
    </row>
    <row r="267" spans="1:6" x14ac:dyDescent="0.35">
      <c r="A267" s="2">
        <f ca="1">IFERROR(__xludf.DUMMYFUNCTION("""COMPUTED_VALUE"""),42391.6666666666)</f>
        <v>42391.666666666599</v>
      </c>
      <c r="B267" s="1">
        <f ca="1">IFERROR(__xludf.DUMMYFUNCTION("""COMPUTED_VALUE"""),24.66)</f>
        <v>24.66</v>
      </c>
      <c r="C267" s="1">
        <f ca="1">IFERROR(__xludf.DUMMYFUNCTION("""COMPUTED_VALUE"""),25.37)</f>
        <v>25.37</v>
      </c>
      <c r="D267" s="1">
        <f ca="1">IFERROR(__xludf.DUMMYFUNCTION("""COMPUTED_VALUE"""),24.59)</f>
        <v>24.59</v>
      </c>
      <c r="E267" s="1">
        <f ca="1">IFERROR(__xludf.DUMMYFUNCTION("""COMPUTED_VALUE"""),25.36)</f>
        <v>25.36</v>
      </c>
      <c r="F267" s="1">
        <f ca="1">IFERROR(__xludf.DUMMYFUNCTION("""COMPUTED_VALUE"""),65800467)</f>
        <v>65800467</v>
      </c>
    </row>
    <row r="268" spans="1:6" x14ac:dyDescent="0.35">
      <c r="A268" s="2">
        <f ca="1">IFERROR(__xludf.DUMMYFUNCTION("""COMPUTED_VALUE"""),42394.6666666666)</f>
        <v>42394.666666666599</v>
      </c>
      <c r="B268" s="1">
        <f ca="1">IFERROR(__xludf.DUMMYFUNCTION("""COMPUTED_VALUE"""),25.38)</f>
        <v>25.38</v>
      </c>
      <c r="C268" s="1">
        <f ca="1">IFERROR(__xludf.DUMMYFUNCTION("""COMPUTED_VALUE"""),25.38)</f>
        <v>25.38</v>
      </c>
      <c r="D268" s="1">
        <f ca="1">IFERROR(__xludf.DUMMYFUNCTION("""COMPUTED_VALUE"""),24.8)</f>
        <v>24.8</v>
      </c>
      <c r="E268" s="1">
        <f ca="1">IFERROR(__xludf.DUMMYFUNCTION("""COMPUTED_VALUE"""),24.86)</f>
        <v>24.86</v>
      </c>
      <c r="F268" s="1">
        <f ca="1">IFERROR(__xludf.DUMMYFUNCTION("""COMPUTED_VALUE"""),51794525)</f>
        <v>51794525</v>
      </c>
    </row>
    <row r="269" spans="1:6" x14ac:dyDescent="0.35">
      <c r="A269" s="2">
        <f ca="1">IFERROR(__xludf.DUMMYFUNCTION("""COMPUTED_VALUE"""),42395.6666666666)</f>
        <v>42395.666666666599</v>
      </c>
      <c r="B269" s="1">
        <f ca="1">IFERROR(__xludf.DUMMYFUNCTION("""COMPUTED_VALUE"""),24.98)</f>
        <v>24.98</v>
      </c>
      <c r="C269" s="1">
        <f ca="1">IFERROR(__xludf.DUMMYFUNCTION("""COMPUTED_VALUE"""),25.22)</f>
        <v>25.22</v>
      </c>
      <c r="D269" s="1">
        <f ca="1">IFERROR(__xludf.DUMMYFUNCTION("""COMPUTED_VALUE"""),24.52)</f>
        <v>24.52</v>
      </c>
      <c r="E269" s="1">
        <f ca="1">IFERROR(__xludf.DUMMYFUNCTION("""COMPUTED_VALUE"""),25)</f>
        <v>25</v>
      </c>
      <c r="F269" s="1">
        <f ca="1">IFERROR(__xludf.DUMMYFUNCTION("""COMPUTED_VALUE"""),75077002)</f>
        <v>75077002</v>
      </c>
    </row>
    <row r="270" spans="1:6" x14ac:dyDescent="0.35">
      <c r="A270" s="2">
        <f ca="1">IFERROR(__xludf.DUMMYFUNCTION("""COMPUTED_VALUE"""),42396.6666666666)</f>
        <v>42396.666666666599</v>
      </c>
      <c r="B270" s="1">
        <f ca="1">IFERROR(__xludf.DUMMYFUNCTION("""COMPUTED_VALUE"""),24.01)</f>
        <v>24.01</v>
      </c>
      <c r="C270" s="1">
        <f ca="1">IFERROR(__xludf.DUMMYFUNCTION("""COMPUTED_VALUE"""),24.16)</f>
        <v>24.16</v>
      </c>
      <c r="D270" s="1">
        <f ca="1">IFERROR(__xludf.DUMMYFUNCTION("""COMPUTED_VALUE"""),23.34)</f>
        <v>23.34</v>
      </c>
      <c r="E270" s="1">
        <f ca="1">IFERROR(__xludf.DUMMYFUNCTION("""COMPUTED_VALUE"""),23.36)</f>
        <v>23.36</v>
      </c>
      <c r="F270" s="1">
        <f ca="1">IFERROR(__xludf.DUMMYFUNCTION("""COMPUTED_VALUE"""),133369674)</f>
        <v>133369674</v>
      </c>
    </row>
    <row r="271" spans="1:6" x14ac:dyDescent="0.35">
      <c r="A271" s="2">
        <f ca="1">IFERROR(__xludf.DUMMYFUNCTION("""COMPUTED_VALUE"""),42397.6666666666)</f>
        <v>42397.666666666599</v>
      </c>
      <c r="B271" s="1">
        <f ca="1">IFERROR(__xludf.DUMMYFUNCTION("""COMPUTED_VALUE"""),23.45)</f>
        <v>23.45</v>
      </c>
      <c r="C271" s="1">
        <f ca="1">IFERROR(__xludf.DUMMYFUNCTION("""COMPUTED_VALUE"""),23.63)</f>
        <v>23.63</v>
      </c>
      <c r="D271" s="1">
        <f ca="1">IFERROR(__xludf.DUMMYFUNCTION("""COMPUTED_VALUE"""),23.1)</f>
        <v>23.1</v>
      </c>
      <c r="E271" s="1">
        <f ca="1">IFERROR(__xludf.DUMMYFUNCTION("""COMPUTED_VALUE"""),23.52)</f>
        <v>23.52</v>
      </c>
      <c r="F271" s="1">
        <f ca="1">IFERROR(__xludf.DUMMYFUNCTION("""COMPUTED_VALUE"""),55678825)</f>
        <v>55678825</v>
      </c>
    </row>
    <row r="272" spans="1:6" x14ac:dyDescent="0.35">
      <c r="A272" s="2">
        <f ca="1">IFERROR(__xludf.DUMMYFUNCTION("""COMPUTED_VALUE"""),42398.6666666666)</f>
        <v>42398.666666666599</v>
      </c>
      <c r="B272" s="1">
        <f ca="1">IFERROR(__xludf.DUMMYFUNCTION("""COMPUTED_VALUE"""),23.7)</f>
        <v>23.7</v>
      </c>
      <c r="C272" s="1">
        <f ca="1">IFERROR(__xludf.DUMMYFUNCTION("""COMPUTED_VALUE"""),24.34)</f>
        <v>24.34</v>
      </c>
      <c r="D272" s="1">
        <f ca="1">IFERROR(__xludf.DUMMYFUNCTION("""COMPUTED_VALUE"""),23.59)</f>
        <v>23.59</v>
      </c>
      <c r="E272" s="1">
        <f ca="1">IFERROR(__xludf.DUMMYFUNCTION("""COMPUTED_VALUE"""),24.34)</f>
        <v>24.34</v>
      </c>
      <c r="F272" s="1">
        <f ca="1">IFERROR(__xludf.DUMMYFUNCTION("""COMPUTED_VALUE"""),64416504)</f>
        <v>64416504</v>
      </c>
    </row>
    <row r="273" spans="1:6" x14ac:dyDescent="0.35">
      <c r="A273" s="2">
        <f ca="1">IFERROR(__xludf.DUMMYFUNCTION("""COMPUTED_VALUE"""),42401.6666666666)</f>
        <v>42401.666666666599</v>
      </c>
      <c r="B273" s="1">
        <f ca="1">IFERROR(__xludf.DUMMYFUNCTION("""COMPUTED_VALUE"""),24.12)</f>
        <v>24.12</v>
      </c>
      <c r="C273" s="1">
        <f ca="1">IFERROR(__xludf.DUMMYFUNCTION("""COMPUTED_VALUE"""),24.18)</f>
        <v>24.18</v>
      </c>
      <c r="D273" s="1">
        <f ca="1">IFERROR(__xludf.DUMMYFUNCTION("""COMPUTED_VALUE"""),23.85)</f>
        <v>23.85</v>
      </c>
      <c r="E273" s="1">
        <f ca="1">IFERROR(__xludf.DUMMYFUNCTION("""COMPUTED_VALUE"""),24.11)</f>
        <v>24.11</v>
      </c>
      <c r="F273" s="1">
        <f ca="1">IFERROR(__xludf.DUMMYFUNCTION("""COMPUTED_VALUE"""),40943541)</f>
        <v>40943541</v>
      </c>
    </row>
    <row r="274" spans="1:6" x14ac:dyDescent="0.35">
      <c r="A274" s="2">
        <f ca="1">IFERROR(__xludf.DUMMYFUNCTION("""COMPUTED_VALUE"""),42402.6666666666)</f>
        <v>42402.666666666599</v>
      </c>
      <c r="B274" s="1">
        <f ca="1">IFERROR(__xludf.DUMMYFUNCTION("""COMPUTED_VALUE"""),23.86)</f>
        <v>23.86</v>
      </c>
      <c r="C274" s="1">
        <f ca="1">IFERROR(__xludf.DUMMYFUNCTION("""COMPUTED_VALUE"""),24.01)</f>
        <v>24.01</v>
      </c>
      <c r="D274" s="1">
        <f ca="1">IFERROR(__xludf.DUMMYFUNCTION("""COMPUTED_VALUE"""),23.57)</f>
        <v>23.57</v>
      </c>
      <c r="E274" s="1">
        <f ca="1">IFERROR(__xludf.DUMMYFUNCTION("""COMPUTED_VALUE"""),23.62)</f>
        <v>23.62</v>
      </c>
      <c r="F274" s="1">
        <f ca="1">IFERROR(__xludf.DUMMYFUNCTION("""COMPUTED_VALUE"""),37357215)</f>
        <v>37357215</v>
      </c>
    </row>
    <row r="275" spans="1:6" x14ac:dyDescent="0.35">
      <c r="A275" s="2">
        <f ca="1">IFERROR(__xludf.DUMMYFUNCTION("""COMPUTED_VALUE"""),42403.6666666666)</f>
        <v>42403.666666666599</v>
      </c>
      <c r="B275" s="1">
        <f ca="1">IFERROR(__xludf.DUMMYFUNCTION("""COMPUTED_VALUE"""),23.75)</f>
        <v>23.75</v>
      </c>
      <c r="C275" s="1">
        <f ca="1">IFERROR(__xludf.DUMMYFUNCTION("""COMPUTED_VALUE"""),24.21)</f>
        <v>24.21</v>
      </c>
      <c r="D275" s="1">
        <f ca="1">IFERROR(__xludf.DUMMYFUNCTION("""COMPUTED_VALUE"""),23.52)</f>
        <v>23.52</v>
      </c>
      <c r="E275" s="1">
        <f ca="1">IFERROR(__xludf.DUMMYFUNCTION("""COMPUTED_VALUE"""),24.09)</f>
        <v>24.09</v>
      </c>
      <c r="F275" s="1">
        <f ca="1">IFERROR(__xludf.DUMMYFUNCTION("""COMPUTED_VALUE"""),45964294)</f>
        <v>45964294</v>
      </c>
    </row>
    <row r="276" spans="1:6" x14ac:dyDescent="0.35">
      <c r="A276" s="2">
        <f ca="1">IFERROR(__xludf.DUMMYFUNCTION("""COMPUTED_VALUE"""),42404.6666666666)</f>
        <v>42404.666666666599</v>
      </c>
      <c r="B276" s="1">
        <f ca="1">IFERROR(__xludf.DUMMYFUNCTION("""COMPUTED_VALUE"""),23.97)</f>
        <v>23.97</v>
      </c>
      <c r="C276" s="1">
        <f ca="1">IFERROR(__xludf.DUMMYFUNCTION("""COMPUTED_VALUE"""),24.33)</f>
        <v>24.33</v>
      </c>
      <c r="D276" s="1">
        <f ca="1">IFERROR(__xludf.DUMMYFUNCTION("""COMPUTED_VALUE"""),23.8)</f>
        <v>23.8</v>
      </c>
      <c r="E276" s="1">
        <f ca="1">IFERROR(__xludf.DUMMYFUNCTION("""COMPUTED_VALUE"""),24.15)</f>
        <v>24.15</v>
      </c>
      <c r="F276" s="1">
        <f ca="1">IFERROR(__xludf.DUMMYFUNCTION("""COMPUTED_VALUE"""),46471652)</f>
        <v>46471652</v>
      </c>
    </row>
    <row r="277" spans="1:6" x14ac:dyDescent="0.35">
      <c r="A277" s="2">
        <f ca="1">IFERROR(__xludf.DUMMYFUNCTION("""COMPUTED_VALUE"""),42405.6666666666)</f>
        <v>42405.666666666599</v>
      </c>
      <c r="B277" s="1">
        <f ca="1">IFERROR(__xludf.DUMMYFUNCTION("""COMPUTED_VALUE"""),24.13)</f>
        <v>24.13</v>
      </c>
      <c r="C277" s="1">
        <f ca="1">IFERROR(__xludf.DUMMYFUNCTION("""COMPUTED_VALUE"""),24.23)</f>
        <v>24.23</v>
      </c>
      <c r="D277" s="1">
        <f ca="1">IFERROR(__xludf.DUMMYFUNCTION("""COMPUTED_VALUE"""),23.42)</f>
        <v>23.42</v>
      </c>
      <c r="E277" s="1">
        <f ca="1">IFERROR(__xludf.DUMMYFUNCTION("""COMPUTED_VALUE"""),23.51)</f>
        <v>23.51</v>
      </c>
      <c r="F277" s="1">
        <f ca="1">IFERROR(__xludf.DUMMYFUNCTION("""COMPUTED_VALUE"""),46418064)</f>
        <v>46418064</v>
      </c>
    </row>
    <row r="278" spans="1:6" x14ac:dyDescent="0.35">
      <c r="A278" s="2">
        <f ca="1">IFERROR(__xludf.DUMMYFUNCTION("""COMPUTED_VALUE"""),42408.6666666666)</f>
        <v>42408.666666666599</v>
      </c>
      <c r="B278" s="1">
        <f ca="1">IFERROR(__xludf.DUMMYFUNCTION("""COMPUTED_VALUE"""),23.28)</f>
        <v>23.28</v>
      </c>
      <c r="C278" s="1">
        <f ca="1">IFERROR(__xludf.DUMMYFUNCTION("""COMPUTED_VALUE"""),23.93)</f>
        <v>23.93</v>
      </c>
      <c r="D278" s="1">
        <f ca="1">IFERROR(__xludf.DUMMYFUNCTION("""COMPUTED_VALUE"""),23.26)</f>
        <v>23.26</v>
      </c>
      <c r="E278" s="1">
        <f ca="1">IFERROR(__xludf.DUMMYFUNCTION("""COMPUTED_VALUE"""),23.75)</f>
        <v>23.75</v>
      </c>
      <c r="F278" s="1">
        <f ca="1">IFERROR(__xludf.DUMMYFUNCTION("""COMPUTED_VALUE"""),54021375)</f>
        <v>54021375</v>
      </c>
    </row>
    <row r="279" spans="1:6" x14ac:dyDescent="0.35">
      <c r="A279" s="2">
        <f ca="1">IFERROR(__xludf.DUMMYFUNCTION("""COMPUTED_VALUE"""),42409.6666666666)</f>
        <v>42409.666666666599</v>
      </c>
      <c r="B279" s="1">
        <f ca="1">IFERROR(__xludf.DUMMYFUNCTION("""COMPUTED_VALUE"""),23.57)</f>
        <v>23.57</v>
      </c>
      <c r="C279" s="1">
        <f ca="1">IFERROR(__xludf.DUMMYFUNCTION("""COMPUTED_VALUE"""),23.99)</f>
        <v>23.99</v>
      </c>
      <c r="D279" s="1">
        <f ca="1">IFERROR(__xludf.DUMMYFUNCTION("""COMPUTED_VALUE"""),23.48)</f>
        <v>23.48</v>
      </c>
      <c r="E279" s="1">
        <f ca="1">IFERROR(__xludf.DUMMYFUNCTION("""COMPUTED_VALUE"""),23.75)</f>
        <v>23.75</v>
      </c>
      <c r="F279" s="1">
        <f ca="1">IFERROR(__xludf.DUMMYFUNCTION("""COMPUTED_VALUE"""),44331195)</f>
        <v>44331195</v>
      </c>
    </row>
    <row r="280" spans="1:6" x14ac:dyDescent="0.35">
      <c r="A280" s="2">
        <f ca="1">IFERROR(__xludf.DUMMYFUNCTION("""COMPUTED_VALUE"""),42410.6666666666)</f>
        <v>42410.666666666599</v>
      </c>
      <c r="B280" s="1">
        <f ca="1">IFERROR(__xludf.DUMMYFUNCTION("""COMPUTED_VALUE"""),23.98)</f>
        <v>23.98</v>
      </c>
      <c r="C280" s="1">
        <f ca="1">IFERROR(__xludf.DUMMYFUNCTION("""COMPUTED_VALUE"""),24.09)</f>
        <v>24.09</v>
      </c>
      <c r="D280" s="1">
        <f ca="1">IFERROR(__xludf.DUMMYFUNCTION("""COMPUTED_VALUE"""),23.53)</f>
        <v>23.53</v>
      </c>
      <c r="E280" s="1">
        <f ca="1">IFERROR(__xludf.DUMMYFUNCTION("""COMPUTED_VALUE"""),23.57)</f>
        <v>23.57</v>
      </c>
      <c r="F280" s="1">
        <f ca="1">IFERROR(__xludf.DUMMYFUNCTION("""COMPUTED_VALUE"""),42343601)</f>
        <v>42343601</v>
      </c>
    </row>
    <row r="281" spans="1:6" x14ac:dyDescent="0.35">
      <c r="A281" s="2">
        <f ca="1">IFERROR(__xludf.DUMMYFUNCTION("""COMPUTED_VALUE"""),42411.6666666666)</f>
        <v>42411.666666666599</v>
      </c>
      <c r="B281" s="1">
        <f ca="1">IFERROR(__xludf.DUMMYFUNCTION("""COMPUTED_VALUE"""),23.45)</f>
        <v>23.45</v>
      </c>
      <c r="C281" s="1">
        <f ca="1">IFERROR(__xludf.DUMMYFUNCTION("""COMPUTED_VALUE"""),23.68)</f>
        <v>23.68</v>
      </c>
      <c r="D281" s="1">
        <f ca="1">IFERROR(__xludf.DUMMYFUNCTION("""COMPUTED_VALUE"""),23.15)</f>
        <v>23.15</v>
      </c>
      <c r="E281" s="1">
        <f ca="1">IFERROR(__xludf.DUMMYFUNCTION("""COMPUTED_VALUE"""),23.43)</f>
        <v>23.43</v>
      </c>
      <c r="F281" s="1">
        <f ca="1">IFERROR(__xludf.DUMMYFUNCTION("""COMPUTED_VALUE"""),50074711)</f>
        <v>50074711</v>
      </c>
    </row>
    <row r="282" spans="1:6" x14ac:dyDescent="0.35">
      <c r="A282" s="2">
        <f ca="1">IFERROR(__xludf.DUMMYFUNCTION("""COMPUTED_VALUE"""),42412.6666666666)</f>
        <v>42412.666666666599</v>
      </c>
      <c r="B282" s="1">
        <f ca="1">IFERROR(__xludf.DUMMYFUNCTION("""COMPUTED_VALUE"""),23.55)</f>
        <v>23.55</v>
      </c>
      <c r="C282" s="1">
        <f ca="1">IFERROR(__xludf.DUMMYFUNCTION("""COMPUTED_VALUE"""),23.63)</f>
        <v>23.63</v>
      </c>
      <c r="D282" s="1">
        <f ca="1">IFERROR(__xludf.DUMMYFUNCTION("""COMPUTED_VALUE"""),23.25)</f>
        <v>23.25</v>
      </c>
      <c r="E282" s="1">
        <f ca="1">IFERROR(__xludf.DUMMYFUNCTION("""COMPUTED_VALUE"""),23.5)</f>
        <v>23.5</v>
      </c>
      <c r="F282" s="1">
        <f ca="1">IFERROR(__xludf.DUMMYFUNCTION("""COMPUTED_VALUE"""),40351381)</f>
        <v>40351381</v>
      </c>
    </row>
    <row r="283" spans="1:6" x14ac:dyDescent="0.35">
      <c r="A283" s="2">
        <f ca="1">IFERROR(__xludf.DUMMYFUNCTION("""COMPUTED_VALUE"""),42416.6666666666)</f>
        <v>42416.666666666599</v>
      </c>
      <c r="B283" s="1">
        <f ca="1">IFERROR(__xludf.DUMMYFUNCTION("""COMPUTED_VALUE"""),23.76)</f>
        <v>23.76</v>
      </c>
      <c r="C283" s="1">
        <f ca="1">IFERROR(__xludf.DUMMYFUNCTION("""COMPUTED_VALUE"""),24.21)</f>
        <v>24.21</v>
      </c>
      <c r="D283" s="1">
        <f ca="1">IFERROR(__xludf.DUMMYFUNCTION("""COMPUTED_VALUE"""),23.65)</f>
        <v>23.65</v>
      </c>
      <c r="E283" s="1">
        <f ca="1">IFERROR(__xludf.DUMMYFUNCTION("""COMPUTED_VALUE"""),24.16)</f>
        <v>24.16</v>
      </c>
      <c r="F283" s="1">
        <f ca="1">IFERROR(__xludf.DUMMYFUNCTION("""COMPUTED_VALUE"""),49057916)</f>
        <v>49057916</v>
      </c>
    </row>
    <row r="284" spans="1:6" x14ac:dyDescent="0.35">
      <c r="A284" s="2">
        <f ca="1">IFERROR(__xludf.DUMMYFUNCTION("""COMPUTED_VALUE"""),42417.6666666666)</f>
        <v>42417.666666666599</v>
      </c>
      <c r="B284" s="1">
        <f ca="1">IFERROR(__xludf.DUMMYFUNCTION("""COMPUTED_VALUE"""),24.17)</f>
        <v>24.17</v>
      </c>
      <c r="C284" s="1">
        <f ca="1">IFERROR(__xludf.DUMMYFUNCTION("""COMPUTED_VALUE"""),24.55)</f>
        <v>24.55</v>
      </c>
      <c r="D284" s="1">
        <f ca="1">IFERROR(__xludf.DUMMYFUNCTION("""COMPUTED_VALUE"""),24.04)</f>
        <v>24.04</v>
      </c>
      <c r="E284" s="1">
        <f ca="1">IFERROR(__xludf.DUMMYFUNCTION("""COMPUTED_VALUE"""),24.53)</f>
        <v>24.53</v>
      </c>
      <c r="F284" s="1">
        <f ca="1">IFERROR(__xludf.DUMMYFUNCTION("""COMPUTED_VALUE"""),44863243)</f>
        <v>44863243</v>
      </c>
    </row>
    <row r="285" spans="1:6" x14ac:dyDescent="0.35">
      <c r="A285" s="2">
        <f ca="1">IFERROR(__xludf.DUMMYFUNCTION("""COMPUTED_VALUE"""),42418.6666666666)</f>
        <v>42418.666666666599</v>
      </c>
      <c r="B285" s="1">
        <f ca="1">IFERROR(__xludf.DUMMYFUNCTION("""COMPUTED_VALUE"""),24.71)</f>
        <v>24.71</v>
      </c>
      <c r="C285" s="1">
        <f ca="1">IFERROR(__xludf.DUMMYFUNCTION("""COMPUTED_VALUE"""),24.72)</f>
        <v>24.72</v>
      </c>
      <c r="D285" s="1">
        <f ca="1">IFERROR(__xludf.DUMMYFUNCTION("""COMPUTED_VALUE"""),24.02)</f>
        <v>24.02</v>
      </c>
      <c r="E285" s="1">
        <f ca="1">IFERROR(__xludf.DUMMYFUNCTION("""COMPUTED_VALUE"""),24.07)</f>
        <v>24.07</v>
      </c>
      <c r="F285" s="1">
        <f ca="1">IFERROR(__xludf.DUMMYFUNCTION("""COMPUTED_VALUE"""),39020983)</f>
        <v>39020983</v>
      </c>
    </row>
    <row r="286" spans="1:6" x14ac:dyDescent="0.35">
      <c r="A286" s="2">
        <f ca="1">IFERROR(__xludf.DUMMYFUNCTION("""COMPUTED_VALUE"""),42419.6666666666)</f>
        <v>42419.666666666599</v>
      </c>
      <c r="B286" s="1">
        <f ca="1">IFERROR(__xludf.DUMMYFUNCTION("""COMPUTED_VALUE"""),24)</f>
        <v>24</v>
      </c>
      <c r="C286" s="1">
        <f ca="1">IFERROR(__xludf.DUMMYFUNCTION("""COMPUTED_VALUE"""),24.19)</f>
        <v>24.19</v>
      </c>
      <c r="D286" s="1">
        <f ca="1">IFERROR(__xludf.DUMMYFUNCTION("""COMPUTED_VALUE"""),23.95)</f>
        <v>23.95</v>
      </c>
      <c r="E286" s="1">
        <f ca="1">IFERROR(__xludf.DUMMYFUNCTION("""COMPUTED_VALUE"""),24.01)</f>
        <v>24.01</v>
      </c>
      <c r="F286" s="1">
        <f ca="1">IFERROR(__xludf.DUMMYFUNCTION("""COMPUTED_VALUE"""),35374173)</f>
        <v>35374173</v>
      </c>
    </row>
    <row r="287" spans="1:6" x14ac:dyDescent="0.35">
      <c r="A287" s="2">
        <f ca="1">IFERROR(__xludf.DUMMYFUNCTION("""COMPUTED_VALUE"""),42422.6666666666)</f>
        <v>42422.666666666599</v>
      </c>
      <c r="B287" s="1">
        <f ca="1">IFERROR(__xludf.DUMMYFUNCTION("""COMPUTED_VALUE"""),24.08)</f>
        <v>24.08</v>
      </c>
      <c r="C287" s="1">
        <f ca="1">IFERROR(__xludf.DUMMYFUNCTION("""COMPUTED_VALUE"""),24.23)</f>
        <v>24.23</v>
      </c>
      <c r="D287" s="1">
        <f ca="1">IFERROR(__xludf.DUMMYFUNCTION("""COMPUTED_VALUE"""),23.98)</f>
        <v>23.98</v>
      </c>
      <c r="E287" s="1">
        <f ca="1">IFERROR(__xludf.DUMMYFUNCTION("""COMPUTED_VALUE"""),24.22)</f>
        <v>24.22</v>
      </c>
      <c r="F287" s="1">
        <f ca="1">IFERROR(__xludf.DUMMYFUNCTION("""COMPUTED_VALUE"""),34280758)</f>
        <v>34280758</v>
      </c>
    </row>
    <row r="288" spans="1:6" x14ac:dyDescent="0.35">
      <c r="A288" s="2">
        <f ca="1">IFERROR(__xludf.DUMMYFUNCTION("""COMPUTED_VALUE"""),42423.6666666666)</f>
        <v>42423.666666666599</v>
      </c>
      <c r="B288" s="1">
        <f ca="1">IFERROR(__xludf.DUMMYFUNCTION("""COMPUTED_VALUE"""),24.1)</f>
        <v>24.1</v>
      </c>
      <c r="C288" s="1">
        <f ca="1">IFERROR(__xludf.DUMMYFUNCTION("""COMPUTED_VALUE"""),24.13)</f>
        <v>24.13</v>
      </c>
      <c r="D288" s="1">
        <f ca="1">IFERROR(__xludf.DUMMYFUNCTION("""COMPUTED_VALUE"""),23.64)</f>
        <v>23.64</v>
      </c>
      <c r="E288" s="1">
        <f ca="1">IFERROR(__xludf.DUMMYFUNCTION("""COMPUTED_VALUE"""),23.67)</f>
        <v>23.67</v>
      </c>
      <c r="F288" s="1">
        <f ca="1">IFERROR(__xludf.DUMMYFUNCTION("""COMPUTED_VALUE"""),31942633)</f>
        <v>31942633</v>
      </c>
    </row>
    <row r="289" spans="1:6" x14ac:dyDescent="0.35">
      <c r="A289" s="2">
        <f ca="1">IFERROR(__xludf.DUMMYFUNCTION("""COMPUTED_VALUE"""),42424.6666666666)</f>
        <v>42424.666666666599</v>
      </c>
      <c r="B289" s="1">
        <f ca="1">IFERROR(__xludf.DUMMYFUNCTION("""COMPUTED_VALUE"""),23.5)</f>
        <v>23.5</v>
      </c>
      <c r="C289" s="1">
        <f ca="1">IFERROR(__xludf.DUMMYFUNCTION("""COMPUTED_VALUE"""),24.1)</f>
        <v>24.1</v>
      </c>
      <c r="D289" s="1">
        <f ca="1">IFERROR(__xludf.DUMMYFUNCTION("""COMPUTED_VALUE"""),23.33)</f>
        <v>23.33</v>
      </c>
      <c r="E289" s="1">
        <f ca="1">IFERROR(__xludf.DUMMYFUNCTION("""COMPUTED_VALUE"""),24.03)</f>
        <v>24.03</v>
      </c>
      <c r="F289" s="1">
        <f ca="1">IFERROR(__xludf.DUMMYFUNCTION("""COMPUTED_VALUE"""),36255745)</f>
        <v>36255745</v>
      </c>
    </row>
    <row r="290" spans="1:6" x14ac:dyDescent="0.35">
      <c r="A290" s="2">
        <f ca="1">IFERROR(__xludf.DUMMYFUNCTION("""COMPUTED_VALUE"""),42425.6666666666)</f>
        <v>42425.666666666599</v>
      </c>
      <c r="B290" s="1">
        <f ca="1">IFERROR(__xludf.DUMMYFUNCTION("""COMPUTED_VALUE"""),24.01)</f>
        <v>24.01</v>
      </c>
      <c r="C290" s="1">
        <f ca="1">IFERROR(__xludf.DUMMYFUNCTION("""COMPUTED_VALUE"""),24.19)</f>
        <v>24.19</v>
      </c>
      <c r="D290" s="1">
        <f ca="1">IFERROR(__xludf.DUMMYFUNCTION("""COMPUTED_VALUE"""),23.81)</f>
        <v>23.81</v>
      </c>
      <c r="E290" s="1">
        <f ca="1">IFERROR(__xludf.DUMMYFUNCTION("""COMPUTED_VALUE"""),24.19)</f>
        <v>24.19</v>
      </c>
      <c r="F290" s="1">
        <f ca="1">IFERROR(__xludf.DUMMYFUNCTION("""COMPUTED_VALUE"""),27582659)</f>
        <v>27582659</v>
      </c>
    </row>
    <row r="291" spans="1:6" x14ac:dyDescent="0.35">
      <c r="A291" s="2">
        <f ca="1">IFERROR(__xludf.DUMMYFUNCTION("""COMPUTED_VALUE"""),42426.6666666666)</f>
        <v>42426.666666666599</v>
      </c>
      <c r="B291" s="1">
        <f ca="1">IFERROR(__xludf.DUMMYFUNCTION("""COMPUTED_VALUE"""),24.3)</f>
        <v>24.3</v>
      </c>
      <c r="C291" s="1">
        <f ca="1">IFERROR(__xludf.DUMMYFUNCTION("""COMPUTED_VALUE"""),24.51)</f>
        <v>24.51</v>
      </c>
      <c r="D291" s="1">
        <f ca="1">IFERROR(__xludf.DUMMYFUNCTION("""COMPUTED_VALUE"""),24.15)</f>
        <v>24.15</v>
      </c>
      <c r="E291" s="1">
        <f ca="1">IFERROR(__xludf.DUMMYFUNCTION("""COMPUTED_VALUE"""),24.23)</f>
        <v>24.23</v>
      </c>
      <c r="F291" s="1">
        <f ca="1">IFERROR(__xludf.DUMMYFUNCTION("""COMPUTED_VALUE"""),28991131)</f>
        <v>28991131</v>
      </c>
    </row>
    <row r="292" spans="1:6" x14ac:dyDescent="0.35">
      <c r="A292" s="2">
        <f ca="1">IFERROR(__xludf.DUMMYFUNCTION("""COMPUTED_VALUE"""),42429.6666666666)</f>
        <v>42429.666666666599</v>
      </c>
      <c r="B292" s="1">
        <f ca="1">IFERROR(__xludf.DUMMYFUNCTION("""COMPUTED_VALUE"""),24.22)</f>
        <v>24.22</v>
      </c>
      <c r="C292" s="1">
        <f ca="1">IFERROR(__xludf.DUMMYFUNCTION("""COMPUTED_VALUE"""),24.56)</f>
        <v>24.56</v>
      </c>
      <c r="D292" s="1">
        <f ca="1">IFERROR(__xludf.DUMMYFUNCTION("""COMPUTED_VALUE"""),24.16)</f>
        <v>24.16</v>
      </c>
      <c r="E292" s="1">
        <f ca="1">IFERROR(__xludf.DUMMYFUNCTION("""COMPUTED_VALUE"""),24.17)</f>
        <v>24.17</v>
      </c>
      <c r="F292" s="1">
        <f ca="1">IFERROR(__xludf.DUMMYFUNCTION("""COMPUTED_VALUE"""),35216277)</f>
        <v>35216277</v>
      </c>
    </row>
    <row r="293" spans="1:6" x14ac:dyDescent="0.35">
      <c r="A293" s="2">
        <f ca="1">IFERROR(__xludf.DUMMYFUNCTION("""COMPUTED_VALUE"""),42430.6666666666)</f>
        <v>42430.666666666599</v>
      </c>
      <c r="B293" s="1">
        <f ca="1">IFERROR(__xludf.DUMMYFUNCTION("""COMPUTED_VALUE"""),24.41)</f>
        <v>24.41</v>
      </c>
      <c r="C293" s="1">
        <f ca="1">IFERROR(__xludf.DUMMYFUNCTION("""COMPUTED_VALUE"""),25.19)</f>
        <v>25.19</v>
      </c>
      <c r="D293" s="1">
        <f ca="1">IFERROR(__xludf.DUMMYFUNCTION("""COMPUTED_VALUE"""),24.36)</f>
        <v>24.36</v>
      </c>
      <c r="E293" s="1">
        <f ca="1">IFERROR(__xludf.DUMMYFUNCTION("""COMPUTED_VALUE"""),25.13)</f>
        <v>25.13</v>
      </c>
      <c r="F293" s="1">
        <f ca="1">IFERROR(__xludf.DUMMYFUNCTION("""COMPUTED_VALUE"""),50407147)</f>
        <v>50407147</v>
      </c>
    </row>
    <row r="294" spans="1:6" x14ac:dyDescent="0.35">
      <c r="A294" s="2">
        <f ca="1">IFERROR(__xludf.DUMMYFUNCTION("""COMPUTED_VALUE"""),42431.6666666666)</f>
        <v>42431.666666666599</v>
      </c>
      <c r="B294" s="1">
        <f ca="1">IFERROR(__xludf.DUMMYFUNCTION("""COMPUTED_VALUE"""),25.13)</f>
        <v>25.13</v>
      </c>
      <c r="C294" s="1">
        <f ca="1">IFERROR(__xludf.DUMMYFUNCTION("""COMPUTED_VALUE"""),25.22)</f>
        <v>25.22</v>
      </c>
      <c r="D294" s="1">
        <f ca="1">IFERROR(__xludf.DUMMYFUNCTION("""COMPUTED_VALUE"""),24.91)</f>
        <v>24.91</v>
      </c>
      <c r="E294" s="1">
        <f ca="1">IFERROR(__xludf.DUMMYFUNCTION("""COMPUTED_VALUE"""),25.19)</f>
        <v>25.19</v>
      </c>
      <c r="F294" s="1">
        <f ca="1">IFERROR(__xludf.DUMMYFUNCTION("""COMPUTED_VALUE"""),33169560)</f>
        <v>33169560</v>
      </c>
    </row>
    <row r="295" spans="1:6" x14ac:dyDescent="0.35">
      <c r="A295" s="2">
        <f ca="1">IFERROR(__xludf.DUMMYFUNCTION("""COMPUTED_VALUE"""),42432.6666666666)</f>
        <v>42432.666666666599</v>
      </c>
      <c r="B295" s="1">
        <f ca="1">IFERROR(__xludf.DUMMYFUNCTION("""COMPUTED_VALUE"""),25.15)</f>
        <v>25.15</v>
      </c>
      <c r="C295" s="1">
        <f ca="1">IFERROR(__xludf.DUMMYFUNCTION("""COMPUTED_VALUE"""),25.43)</f>
        <v>25.43</v>
      </c>
      <c r="D295" s="1">
        <f ca="1">IFERROR(__xludf.DUMMYFUNCTION("""COMPUTED_VALUE"""),25.11)</f>
        <v>25.11</v>
      </c>
      <c r="E295" s="1">
        <f ca="1">IFERROR(__xludf.DUMMYFUNCTION("""COMPUTED_VALUE"""),25.38)</f>
        <v>25.38</v>
      </c>
      <c r="F295" s="1">
        <f ca="1">IFERROR(__xludf.DUMMYFUNCTION("""COMPUTED_VALUE"""),36955742)</f>
        <v>36955742</v>
      </c>
    </row>
    <row r="296" spans="1:6" x14ac:dyDescent="0.35">
      <c r="A296" s="2">
        <f ca="1">IFERROR(__xludf.DUMMYFUNCTION("""COMPUTED_VALUE"""),42433.6666666666)</f>
        <v>42433.666666666599</v>
      </c>
      <c r="B296" s="1">
        <f ca="1">IFERROR(__xludf.DUMMYFUNCTION("""COMPUTED_VALUE"""),25.59)</f>
        <v>25.59</v>
      </c>
      <c r="C296" s="1">
        <f ca="1">IFERROR(__xludf.DUMMYFUNCTION("""COMPUTED_VALUE"""),25.94)</f>
        <v>25.94</v>
      </c>
      <c r="D296" s="1">
        <f ca="1">IFERROR(__xludf.DUMMYFUNCTION("""COMPUTED_VALUE"""),25.34)</f>
        <v>25.34</v>
      </c>
      <c r="E296" s="1">
        <f ca="1">IFERROR(__xludf.DUMMYFUNCTION("""COMPUTED_VALUE"""),25.75)</f>
        <v>25.75</v>
      </c>
      <c r="F296" s="1">
        <f ca="1">IFERROR(__xludf.DUMMYFUNCTION("""COMPUTED_VALUE"""),46055100)</f>
        <v>46055100</v>
      </c>
    </row>
    <row r="297" spans="1:6" x14ac:dyDescent="0.35">
      <c r="A297" s="2">
        <f ca="1">IFERROR(__xludf.DUMMYFUNCTION("""COMPUTED_VALUE"""),42436.6666666666)</f>
        <v>42436.666666666599</v>
      </c>
      <c r="B297" s="1">
        <f ca="1">IFERROR(__xludf.DUMMYFUNCTION("""COMPUTED_VALUE"""),25.6)</f>
        <v>25.6</v>
      </c>
      <c r="C297" s="1">
        <f ca="1">IFERROR(__xludf.DUMMYFUNCTION("""COMPUTED_VALUE"""),25.71)</f>
        <v>25.71</v>
      </c>
      <c r="D297" s="1">
        <f ca="1">IFERROR(__xludf.DUMMYFUNCTION("""COMPUTED_VALUE"""),25.24)</f>
        <v>25.24</v>
      </c>
      <c r="E297" s="1">
        <f ca="1">IFERROR(__xludf.DUMMYFUNCTION("""COMPUTED_VALUE"""),25.47)</f>
        <v>25.47</v>
      </c>
      <c r="F297" s="1">
        <f ca="1">IFERROR(__xludf.DUMMYFUNCTION("""COMPUTED_VALUE"""),35915810)</f>
        <v>35915810</v>
      </c>
    </row>
    <row r="298" spans="1:6" x14ac:dyDescent="0.35">
      <c r="A298" s="2">
        <f ca="1">IFERROR(__xludf.DUMMYFUNCTION("""COMPUTED_VALUE"""),42437.6666666666)</f>
        <v>42437.666666666599</v>
      </c>
      <c r="B298" s="1">
        <f ca="1">IFERROR(__xludf.DUMMYFUNCTION("""COMPUTED_VALUE"""),25.2)</f>
        <v>25.2</v>
      </c>
      <c r="C298" s="1">
        <f ca="1">IFERROR(__xludf.DUMMYFUNCTION("""COMPUTED_VALUE"""),25.44)</f>
        <v>25.44</v>
      </c>
      <c r="D298" s="1">
        <f ca="1">IFERROR(__xludf.DUMMYFUNCTION("""COMPUTED_VALUE"""),25.1)</f>
        <v>25.1</v>
      </c>
      <c r="E298" s="1">
        <f ca="1">IFERROR(__xludf.DUMMYFUNCTION("""COMPUTED_VALUE"""),25.26)</f>
        <v>25.26</v>
      </c>
      <c r="F298" s="1">
        <f ca="1">IFERROR(__xludf.DUMMYFUNCTION("""COMPUTED_VALUE"""),31561889)</f>
        <v>31561889</v>
      </c>
    </row>
    <row r="299" spans="1:6" x14ac:dyDescent="0.35">
      <c r="A299" s="2">
        <f ca="1">IFERROR(__xludf.DUMMYFUNCTION("""COMPUTED_VALUE"""),42438.6666666666)</f>
        <v>42438.666666666599</v>
      </c>
      <c r="B299" s="1">
        <f ca="1">IFERROR(__xludf.DUMMYFUNCTION("""COMPUTED_VALUE"""),25.33)</f>
        <v>25.33</v>
      </c>
      <c r="C299" s="1">
        <f ca="1">IFERROR(__xludf.DUMMYFUNCTION("""COMPUTED_VALUE"""),25.4)</f>
        <v>25.4</v>
      </c>
      <c r="D299" s="1">
        <f ca="1">IFERROR(__xludf.DUMMYFUNCTION("""COMPUTED_VALUE"""),25.07)</f>
        <v>25.07</v>
      </c>
      <c r="E299" s="1">
        <f ca="1">IFERROR(__xludf.DUMMYFUNCTION("""COMPUTED_VALUE"""),25.28)</f>
        <v>25.28</v>
      </c>
      <c r="F299" s="1">
        <f ca="1">IFERROR(__xludf.DUMMYFUNCTION("""COMPUTED_VALUE"""),27201683)</f>
        <v>27201683</v>
      </c>
    </row>
    <row r="300" spans="1:6" x14ac:dyDescent="0.35">
      <c r="A300" s="2">
        <f ca="1">IFERROR(__xludf.DUMMYFUNCTION("""COMPUTED_VALUE"""),42439.6666666666)</f>
        <v>42439.666666666599</v>
      </c>
      <c r="B300" s="1">
        <f ca="1">IFERROR(__xludf.DUMMYFUNCTION("""COMPUTED_VALUE"""),25.35)</f>
        <v>25.35</v>
      </c>
      <c r="C300" s="1">
        <f ca="1">IFERROR(__xludf.DUMMYFUNCTION("""COMPUTED_VALUE"""),25.56)</f>
        <v>25.56</v>
      </c>
      <c r="D300" s="1">
        <f ca="1">IFERROR(__xludf.DUMMYFUNCTION("""COMPUTED_VALUE"""),25.04)</f>
        <v>25.04</v>
      </c>
      <c r="E300" s="1">
        <f ca="1">IFERROR(__xludf.DUMMYFUNCTION("""COMPUTED_VALUE"""),25.29)</f>
        <v>25.29</v>
      </c>
      <c r="F300" s="1">
        <f ca="1">IFERROR(__xludf.DUMMYFUNCTION("""COMPUTED_VALUE"""),33513577)</f>
        <v>33513577</v>
      </c>
    </row>
    <row r="301" spans="1:6" x14ac:dyDescent="0.35">
      <c r="A301" s="2">
        <f ca="1">IFERROR(__xludf.DUMMYFUNCTION("""COMPUTED_VALUE"""),42440.6666666666)</f>
        <v>42440.666666666599</v>
      </c>
      <c r="B301" s="1">
        <f ca="1">IFERROR(__xludf.DUMMYFUNCTION("""COMPUTED_VALUE"""),25.56)</f>
        <v>25.56</v>
      </c>
      <c r="C301" s="1">
        <f ca="1">IFERROR(__xludf.DUMMYFUNCTION("""COMPUTED_VALUE"""),25.57)</f>
        <v>25.57</v>
      </c>
      <c r="D301" s="1">
        <f ca="1">IFERROR(__xludf.DUMMYFUNCTION("""COMPUTED_VALUE"""),25.38)</f>
        <v>25.38</v>
      </c>
      <c r="E301" s="1">
        <f ca="1">IFERROR(__xludf.DUMMYFUNCTION("""COMPUTED_VALUE"""),25.57)</f>
        <v>25.57</v>
      </c>
      <c r="F301" s="1">
        <f ca="1">IFERROR(__xludf.DUMMYFUNCTION("""COMPUTED_VALUE"""),27408237)</f>
        <v>27408237</v>
      </c>
    </row>
    <row r="302" spans="1:6" x14ac:dyDescent="0.35">
      <c r="A302" s="2">
        <f ca="1">IFERROR(__xludf.DUMMYFUNCTION("""COMPUTED_VALUE"""),42443.6666666666)</f>
        <v>42443.666666666599</v>
      </c>
      <c r="B302" s="1">
        <f ca="1">IFERROR(__xludf.DUMMYFUNCTION("""COMPUTED_VALUE"""),25.48)</f>
        <v>25.48</v>
      </c>
      <c r="C302" s="1">
        <f ca="1">IFERROR(__xludf.DUMMYFUNCTION("""COMPUTED_VALUE"""),25.73)</f>
        <v>25.73</v>
      </c>
      <c r="D302" s="1">
        <f ca="1">IFERROR(__xludf.DUMMYFUNCTION("""COMPUTED_VALUE"""),25.45)</f>
        <v>25.45</v>
      </c>
      <c r="E302" s="1">
        <f ca="1">IFERROR(__xludf.DUMMYFUNCTION("""COMPUTED_VALUE"""),25.63)</f>
        <v>25.63</v>
      </c>
      <c r="F302" s="1">
        <f ca="1">IFERROR(__xludf.DUMMYFUNCTION("""COMPUTED_VALUE"""),25076062)</f>
        <v>25076062</v>
      </c>
    </row>
    <row r="303" spans="1:6" x14ac:dyDescent="0.35">
      <c r="A303" s="2">
        <f ca="1">IFERROR(__xludf.DUMMYFUNCTION("""COMPUTED_VALUE"""),42444.6666666666)</f>
        <v>42444.666666666599</v>
      </c>
      <c r="B303" s="1">
        <f ca="1">IFERROR(__xludf.DUMMYFUNCTION("""COMPUTED_VALUE"""),25.99)</f>
        <v>25.99</v>
      </c>
      <c r="C303" s="1">
        <f ca="1">IFERROR(__xludf.DUMMYFUNCTION("""COMPUTED_VALUE"""),26.3)</f>
        <v>26.3</v>
      </c>
      <c r="D303" s="1">
        <f ca="1">IFERROR(__xludf.DUMMYFUNCTION("""COMPUTED_VALUE"""),25.96)</f>
        <v>25.96</v>
      </c>
      <c r="E303" s="1">
        <f ca="1">IFERROR(__xludf.DUMMYFUNCTION("""COMPUTED_VALUE"""),26.15)</f>
        <v>26.15</v>
      </c>
      <c r="F303" s="1">
        <f ca="1">IFERROR(__xludf.DUMMYFUNCTION("""COMPUTED_VALUE"""),40067734)</f>
        <v>40067734</v>
      </c>
    </row>
    <row r="304" spans="1:6" x14ac:dyDescent="0.35">
      <c r="A304" s="2">
        <f ca="1">IFERROR(__xludf.DUMMYFUNCTION("""COMPUTED_VALUE"""),42445.6666666666)</f>
        <v>42445.666666666599</v>
      </c>
      <c r="B304" s="1">
        <f ca="1">IFERROR(__xludf.DUMMYFUNCTION("""COMPUTED_VALUE"""),26.15)</f>
        <v>26.15</v>
      </c>
      <c r="C304" s="1">
        <f ca="1">IFERROR(__xludf.DUMMYFUNCTION("""COMPUTED_VALUE"""),26.58)</f>
        <v>26.58</v>
      </c>
      <c r="D304" s="1">
        <f ca="1">IFERROR(__xludf.DUMMYFUNCTION("""COMPUTED_VALUE"""),26.15)</f>
        <v>26.15</v>
      </c>
      <c r="E304" s="1">
        <f ca="1">IFERROR(__xludf.DUMMYFUNCTION("""COMPUTED_VALUE"""),26.49)</f>
        <v>26.49</v>
      </c>
      <c r="F304" s="1">
        <f ca="1">IFERROR(__xludf.DUMMYFUNCTION("""COMPUTED_VALUE"""),38303493)</f>
        <v>38303493</v>
      </c>
    </row>
    <row r="305" spans="1:6" x14ac:dyDescent="0.35">
      <c r="A305" s="2">
        <f ca="1">IFERROR(__xludf.DUMMYFUNCTION("""COMPUTED_VALUE"""),42446.6666666666)</f>
        <v>42446.666666666599</v>
      </c>
      <c r="B305" s="1">
        <f ca="1">IFERROR(__xludf.DUMMYFUNCTION("""COMPUTED_VALUE"""),26.38)</f>
        <v>26.38</v>
      </c>
      <c r="C305" s="1">
        <f ca="1">IFERROR(__xludf.DUMMYFUNCTION("""COMPUTED_VALUE"""),26.62)</f>
        <v>26.62</v>
      </c>
      <c r="D305" s="1">
        <f ca="1">IFERROR(__xludf.DUMMYFUNCTION("""COMPUTED_VALUE"""),26.24)</f>
        <v>26.24</v>
      </c>
      <c r="E305" s="1">
        <f ca="1">IFERROR(__xludf.DUMMYFUNCTION("""COMPUTED_VALUE"""),26.45)</f>
        <v>26.45</v>
      </c>
      <c r="F305" s="1">
        <f ca="1">IFERROR(__xludf.DUMMYFUNCTION("""COMPUTED_VALUE"""),14894744)</f>
        <v>14894744</v>
      </c>
    </row>
    <row r="306" spans="1:6" x14ac:dyDescent="0.35">
      <c r="A306" s="2">
        <f ca="1">IFERROR(__xludf.DUMMYFUNCTION("""COMPUTED_VALUE"""),42447.6666666666)</f>
        <v>42447.666666666599</v>
      </c>
      <c r="B306" s="1">
        <f ca="1">IFERROR(__xludf.DUMMYFUNCTION("""COMPUTED_VALUE"""),26.59)</f>
        <v>26.59</v>
      </c>
      <c r="C306" s="1">
        <f ca="1">IFERROR(__xludf.DUMMYFUNCTION("""COMPUTED_VALUE"""),26.63)</f>
        <v>26.63</v>
      </c>
      <c r="D306" s="1">
        <f ca="1">IFERROR(__xludf.DUMMYFUNCTION("""COMPUTED_VALUE"""),26.3)</f>
        <v>26.3</v>
      </c>
      <c r="E306" s="1">
        <f ca="1">IFERROR(__xludf.DUMMYFUNCTION("""COMPUTED_VALUE"""),26.48)</f>
        <v>26.48</v>
      </c>
      <c r="F306" s="1">
        <f ca="1">IFERROR(__xludf.DUMMYFUNCTION("""COMPUTED_VALUE"""),44205171)</f>
        <v>44205171</v>
      </c>
    </row>
    <row r="307" spans="1:6" x14ac:dyDescent="0.35">
      <c r="A307" s="2">
        <f ca="1">IFERROR(__xludf.DUMMYFUNCTION("""COMPUTED_VALUE"""),42450.6666666666)</f>
        <v>42450.666666666599</v>
      </c>
      <c r="B307" s="1">
        <f ca="1">IFERROR(__xludf.DUMMYFUNCTION("""COMPUTED_VALUE"""),26.48)</f>
        <v>26.48</v>
      </c>
      <c r="C307" s="1">
        <f ca="1">IFERROR(__xludf.DUMMYFUNCTION("""COMPUTED_VALUE"""),26.91)</f>
        <v>26.91</v>
      </c>
      <c r="D307" s="1">
        <f ca="1">IFERROR(__xludf.DUMMYFUNCTION("""COMPUTED_VALUE"""),26.29)</f>
        <v>26.29</v>
      </c>
      <c r="E307" s="1">
        <f ca="1">IFERROR(__xludf.DUMMYFUNCTION("""COMPUTED_VALUE"""),26.48)</f>
        <v>26.48</v>
      </c>
      <c r="F307" s="1">
        <f ca="1">IFERROR(__xludf.DUMMYFUNCTION("""COMPUTED_VALUE"""),35502678)</f>
        <v>35502678</v>
      </c>
    </row>
    <row r="308" spans="1:6" x14ac:dyDescent="0.35">
      <c r="A308" s="2">
        <f ca="1">IFERROR(__xludf.DUMMYFUNCTION("""COMPUTED_VALUE"""),42451.6666666666)</f>
        <v>42451.666666666599</v>
      </c>
      <c r="B308" s="1">
        <f ca="1">IFERROR(__xludf.DUMMYFUNCTION("""COMPUTED_VALUE"""),26.31)</f>
        <v>26.31</v>
      </c>
      <c r="C308" s="1">
        <f ca="1">IFERROR(__xludf.DUMMYFUNCTION("""COMPUTED_VALUE"""),26.82)</f>
        <v>26.82</v>
      </c>
      <c r="D308" s="1">
        <f ca="1">IFERROR(__xludf.DUMMYFUNCTION("""COMPUTED_VALUE"""),26.3)</f>
        <v>26.3</v>
      </c>
      <c r="E308" s="1">
        <f ca="1">IFERROR(__xludf.DUMMYFUNCTION("""COMPUTED_VALUE"""),26.68)</f>
        <v>26.68</v>
      </c>
      <c r="F308" s="1">
        <f ca="1">IFERROR(__xludf.DUMMYFUNCTION("""COMPUTED_VALUE"""),32444375)</f>
        <v>32444375</v>
      </c>
    </row>
    <row r="309" spans="1:6" x14ac:dyDescent="0.35">
      <c r="A309" s="2">
        <f ca="1">IFERROR(__xludf.DUMMYFUNCTION("""COMPUTED_VALUE"""),42452.6666666666)</f>
        <v>42452.666666666599</v>
      </c>
      <c r="B309" s="1">
        <f ca="1">IFERROR(__xludf.DUMMYFUNCTION("""COMPUTED_VALUE"""),26.62)</f>
        <v>26.62</v>
      </c>
      <c r="C309" s="1">
        <f ca="1">IFERROR(__xludf.DUMMYFUNCTION("""COMPUTED_VALUE"""),26.77)</f>
        <v>26.77</v>
      </c>
      <c r="D309" s="1">
        <f ca="1">IFERROR(__xludf.DUMMYFUNCTION("""COMPUTED_VALUE"""),26.48)</f>
        <v>26.48</v>
      </c>
      <c r="E309" s="1">
        <f ca="1">IFERROR(__xludf.DUMMYFUNCTION("""COMPUTED_VALUE"""),26.53)</f>
        <v>26.53</v>
      </c>
      <c r="F309" s="1">
        <f ca="1">IFERROR(__xludf.DUMMYFUNCTION("""COMPUTED_VALUE"""),25703495)</f>
        <v>25703495</v>
      </c>
    </row>
    <row r="310" spans="1:6" x14ac:dyDescent="0.35">
      <c r="A310" s="2">
        <f ca="1">IFERROR(__xludf.DUMMYFUNCTION("""COMPUTED_VALUE"""),42453.6666666666)</f>
        <v>42453.666666666599</v>
      </c>
      <c r="B310" s="1">
        <f ca="1">IFERROR(__xludf.DUMMYFUNCTION("""COMPUTED_VALUE"""),26.37)</f>
        <v>26.37</v>
      </c>
      <c r="C310" s="1">
        <f ca="1">IFERROR(__xludf.DUMMYFUNCTION("""COMPUTED_VALUE"""),26.56)</f>
        <v>26.56</v>
      </c>
      <c r="D310" s="1">
        <f ca="1">IFERROR(__xludf.DUMMYFUNCTION("""COMPUTED_VALUE"""),26.22)</f>
        <v>26.22</v>
      </c>
      <c r="E310" s="1">
        <f ca="1">IFERROR(__xludf.DUMMYFUNCTION("""COMPUTED_VALUE"""),26.42)</f>
        <v>26.42</v>
      </c>
      <c r="F310" s="1">
        <f ca="1">IFERROR(__xludf.DUMMYFUNCTION("""COMPUTED_VALUE"""),26132955)</f>
        <v>26132955</v>
      </c>
    </row>
    <row r="311" spans="1:6" x14ac:dyDescent="0.35">
      <c r="A311" s="2">
        <f ca="1">IFERROR(__xludf.DUMMYFUNCTION("""COMPUTED_VALUE"""),42457.6666666666)</f>
        <v>42457.666666666599</v>
      </c>
      <c r="B311" s="1">
        <f ca="1">IFERROR(__xludf.DUMMYFUNCTION("""COMPUTED_VALUE"""),26.5)</f>
        <v>26.5</v>
      </c>
      <c r="C311" s="1">
        <f ca="1">IFERROR(__xludf.DUMMYFUNCTION("""COMPUTED_VALUE"""),26.55)</f>
        <v>26.55</v>
      </c>
      <c r="D311" s="1">
        <f ca="1">IFERROR(__xludf.DUMMYFUNCTION("""COMPUTED_VALUE"""),26.27)</f>
        <v>26.27</v>
      </c>
      <c r="E311" s="1">
        <f ca="1">IFERROR(__xludf.DUMMYFUNCTION("""COMPUTED_VALUE"""),26.3)</f>
        <v>26.3</v>
      </c>
      <c r="F311" s="1">
        <f ca="1">IFERROR(__xludf.DUMMYFUNCTION("""COMPUTED_VALUE"""),19411372)</f>
        <v>19411372</v>
      </c>
    </row>
    <row r="312" spans="1:6" x14ac:dyDescent="0.35">
      <c r="A312" s="2">
        <f ca="1">IFERROR(__xludf.DUMMYFUNCTION("""COMPUTED_VALUE"""),42458.6666666666)</f>
        <v>42458.666666666599</v>
      </c>
      <c r="B312" s="1">
        <f ca="1">IFERROR(__xludf.DUMMYFUNCTION("""COMPUTED_VALUE"""),26.22)</f>
        <v>26.22</v>
      </c>
      <c r="C312" s="1">
        <f ca="1">IFERROR(__xludf.DUMMYFUNCTION("""COMPUTED_VALUE"""),26.95)</f>
        <v>26.95</v>
      </c>
      <c r="D312" s="1">
        <f ca="1">IFERROR(__xludf.DUMMYFUNCTION("""COMPUTED_VALUE"""),26.22)</f>
        <v>26.22</v>
      </c>
      <c r="E312" s="1">
        <f ca="1">IFERROR(__xludf.DUMMYFUNCTION("""COMPUTED_VALUE"""),26.92)</f>
        <v>26.92</v>
      </c>
      <c r="F312" s="1">
        <f ca="1">IFERROR(__xludf.DUMMYFUNCTION("""COMPUTED_VALUE"""),31190083)</f>
        <v>31190083</v>
      </c>
    </row>
    <row r="313" spans="1:6" x14ac:dyDescent="0.35">
      <c r="A313" s="2">
        <f ca="1">IFERROR(__xludf.DUMMYFUNCTION("""COMPUTED_VALUE"""),42459.6666666666)</f>
        <v>42459.666666666599</v>
      </c>
      <c r="B313" s="1">
        <f ca="1">IFERROR(__xludf.DUMMYFUNCTION("""COMPUTED_VALUE"""),27.16)</f>
        <v>27.16</v>
      </c>
      <c r="C313" s="1">
        <f ca="1">IFERROR(__xludf.DUMMYFUNCTION("""COMPUTED_VALUE"""),27.61)</f>
        <v>27.61</v>
      </c>
      <c r="D313" s="1">
        <f ca="1">IFERROR(__xludf.DUMMYFUNCTION("""COMPUTED_VALUE"""),27.15)</f>
        <v>27.15</v>
      </c>
      <c r="E313" s="1">
        <f ca="1">IFERROR(__xludf.DUMMYFUNCTION("""COMPUTED_VALUE"""),27.39)</f>
        <v>27.39</v>
      </c>
      <c r="F313" s="1">
        <f ca="1">IFERROR(__xludf.DUMMYFUNCTION("""COMPUTED_VALUE"""),45601149)</f>
        <v>45601149</v>
      </c>
    </row>
    <row r="314" spans="1:6" x14ac:dyDescent="0.35">
      <c r="A314" s="2">
        <f ca="1">IFERROR(__xludf.DUMMYFUNCTION("""COMPUTED_VALUE"""),42460.6666666666)</f>
        <v>42460.666666666599</v>
      </c>
      <c r="B314" s="1">
        <f ca="1">IFERROR(__xludf.DUMMYFUNCTION("""COMPUTED_VALUE"""),27.43)</f>
        <v>27.43</v>
      </c>
      <c r="C314" s="1">
        <f ca="1">IFERROR(__xludf.DUMMYFUNCTION("""COMPUTED_VALUE"""),27.48)</f>
        <v>27.48</v>
      </c>
      <c r="D314" s="1">
        <f ca="1">IFERROR(__xludf.DUMMYFUNCTION("""COMPUTED_VALUE"""),27.22)</f>
        <v>27.22</v>
      </c>
      <c r="E314" s="1">
        <f ca="1">IFERROR(__xludf.DUMMYFUNCTION("""COMPUTED_VALUE"""),27.25)</f>
        <v>27.25</v>
      </c>
      <c r="F314" s="1">
        <f ca="1">IFERROR(__xludf.DUMMYFUNCTION("""COMPUTED_VALUE"""),25888449)</f>
        <v>25888449</v>
      </c>
    </row>
    <row r="315" spans="1:6" x14ac:dyDescent="0.35">
      <c r="A315" s="2">
        <f ca="1">IFERROR(__xludf.DUMMYFUNCTION("""COMPUTED_VALUE"""),42461.6666666666)</f>
        <v>42461.666666666599</v>
      </c>
      <c r="B315" s="1">
        <f ca="1">IFERROR(__xludf.DUMMYFUNCTION("""COMPUTED_VALUE"""),27.2)</f>
        <v>27.2</v>
      </c>
      <c r="C315" s="1">
        <f ca="1">IFERROR(__xludf.DUMMYFUNCTION("""COMPUTED_VALUE"""),27.5)</f>
        <v>27.5</v>
      </c>
      <c r="D315" s="1">
        <f ca="1">IFERROR(__xludf.DUMMYFUNCTION("""COMPUTED_VALUE"""),27.05)</f>
        <v>27.05</v>
      </c>
      <c r="E315" s="1">
        <f ca="1">IFERROR(__xludf.DUMMYFUNCTION("""COMPUTED_VALUE"""),27.5)</f>
        <v>27.5</v>
      </c>
      <c r="F315" s="1">
        <f ca="1">IFERROR(__xludf.DUMMYFUNCTION("""COMPUTED_VALUE"""),25873950)</f>
        <v>25873950</v>
      </c>
    </row>
    <row r="316" spans="1:6" x14ac:dyDescent="0.35">
      <c r="A316" s="2">
        <f ca="1">IFERROR(__xludf.DUMMYFUNCTION("""COMPUTED_VALUE"""),42464.6666666666)</f>
        <v>42464.666666666599</v>
      </c>
      <c r="B316" s="1">
        <f ca="1">IFERROR(__xludf.DUMMYFUNCTION("""COMPUTED_VALUE"""),27.61)</f>
        <v>27.61</v>
      </c>
      <c r="C316" s="1">
        <f ca="1">IFERROR(__xludf.DUMMYFUNCTION("""COMPUTED_VALUE"""),28.05)</f>
        <v>28.05</v>
      </c>
      <c r="D316" s="1">
        <f ca="1">IFERROR(__xludf.DUMMYFUNCTION("""COMPUTED_VALUE"""),27.57)</f>
        <v>27.57</v>
      </c>
      <c r="E316" s="1">
        <f ca="1">IFERROR(__xludf.DUMMYFUNCTION("""COMPUTED_VALUE"""),27.78)</f>
        <v>27.78</v>
      </c>
      <c r="F316" s="1">
        <f ca="1">IFERROR(__xludf.DUMMYFUNCTION("""COMPUTED_VALUE"""),37356204)</f>
        <v>37356204</v>
      </c>
    </row>
    <row r="317" spans="1:6" x14ac:dyDescent="0.35">
      <c r="A317" s="2">
        <f ca="1">IFERROR(__xludf.DUMMYFUNCTION("""COMPUTED_VALUE"""),42465.6666666666)</f>
        <v>42465.666666666599</v>
      </c>
      <c r="B317" s="1">
        <f ca="1">IFERROR(__xludf.DUMMYFUNCTION("""COMPUTED_VALUE"""),27.38)</f>
        <v>27.38</v>
      </c>
      <c r="C317" s="1">
        <f ca="1">IFERROR(__xludf.DUMMYFUNCTION("""COMPUTED_VALUE"""),27.68)</f>
        <v>27.68</v>
      </c>
      <c r="D317" s="1">
        <f ca="1">IFERROR(__xludf.DUMMYFUNCTION("""COMPUTED_VALUE"""),27.36)</f>
        <v>27.36</v>
      </c>
      <c r="E317" s="1">
        <f ca="1">IFERROR(__xludf.DUMMYFUNCTION("""COMPUTED_VALUE"""),27.45)</f>
        <v>27.45</v>
      </c>
      <c r="F317" s="1">
        <f ca="1">IFERROR(__xludf.DUMMYFUNCTION("""COMPUTED_VALUE"""),26578652)</f>
        <v>26578652</v>
      </c>
    </row>
    <row r="318" spans="1:6" x14ac:dyDescent="0.35">
      <c r="A318" s="2">
        <f ca="1">IFERROR(__xludf.DUMMYFUNCTION("""COMPUTED_VALUE"""),42466.6666666666)</f>
        <v>42466.666666666599</v>
      </c>
      <c r="B318" s="1">
        <f ca="1">IFERROR(__xludf.DUMMYFUNCTION("""COMPUTED_VALUE"""),27.56)</f>
        <v>27.56</v>
      </c>
      <c r="C318" s="1">
        <f ca="1">IFERROR(__xludf.DUMMYFUNCTION("""COMPUTED_VALUE"""),27.75)</f>
        <v>27.75</v>
      </c>
      <c r="D318" s="1">
        <f ca="1">IFERROR(__xludf.DUMMYFUNCTION("""COMPUTED_VALUE"""),27.3)</f>
        <v>27.3</v>
      </c>
      <c r="E318" s="1">
        <f ca="1">IFERROR(__xludf.DUMMYFUNCTION("""COMPUTED_VALUE"""),27.74)</f>
        <v>27.74</v>
      </c>
      <c r="F318" s="1">
        <f ca="1">IFERROR(__xludf.DUMMYFUNCTION("""COMPUTED_VALUE"""),26404077)</f>
        <v>26404077</v>
      </c>
    </row>
    <row r="319" spans="1:6" x14ac:dyDescent="0.35">
      <c r="A319" s="2">
        <f ca="1">IFERROR(__xludf.DUMMYFUNCTION("""COMPUTED_VALUE"""),42467.6666666666)</f>
        <v>42467.666666666599</v>
      </c>
      <c r="B319" s="1">
        <f ca="1">IFERROR(__xludf.DUMMYFUNCTION("""COMPUTED_VALUE"""),27.49)</f>
        <v>27.49</v>
      </c>
      <c r="C319" s="1">
        <f ca="1">IFERROR(__xludf.DUMMYFUNCTION("""COMPUTED_VALUE"""),27.61)</f>
        <v>27.61</v>
      </c>
      <c r="D319" s="1">
        <f ca="1">IFERROR(__xludf.DUMMYFUNCTION("""COMPUTED_VALUE"""),27.03)</f>
        <v>27.03</v>
      </c>
      <c r="E319" s="1">
        <f ca="1">IFERROR(__xludf.DUMMYFUNCTION("""COMPUTED_VALUE"""),27.14)</f>
        <v>27.14</v>
      </c>
      <c r="F319" s="1">
        <f ca="1">IFERROR(__xludf.DUMMYFUNCTION("""COMPUTED_VALUE"""),31801870)</f>
        <v>31801870</v>
      </c>
    </row>
    <row r="320" spans="1:6" x14ac:dyDescent="0.35">
      <c r="A320" s="2">
        <f ca="1">IFERROR(__xludf.DUMMYFUNCTION("""COMPUTED_VALUE"""),42468.6666666666)</f>
        <v>42468.666666666599</v>
      </c>
      <c r="B320" s="1">
        <f ca="1">IFERROR(__xludf.DUMMYFUNCTION("""COMPUTED_VALUE"""),27.23)</f>
        <v>27.23</v>
      </c>
      <c r="C320" s="1">
        <f ca="1">IFERROR(__xludf.DUMMYFUNCTION("""COMPUTED_VALUE"""),27.44)</f>
        <v>27.44</v>
      </c>
      <c r="D320" s="1">
        <f ca="1">IFERROR(__xludf.DUMMYFUNCTION("""COMPUTED_VALUE"""),27.04)</f>
        <v>27.04</v>
      </c>
      <c r="E320" s="1">
        <f ca="1">IFERROR(__xludf.DUMMYFUNCTION("""COMPUTED_VALUE"""),27.17)</f>
        <v>27.17</v>
      </c>
      <c r="F320" s="1">
        <f ca="1">IFERROR(__xludf.DUMMYFUNCTION("""COMPUTED_VALUE"""),23581740)</f>
        <v>23581740</v>
      </c>
    </row>
    <row r="321" spans="1:6" x14ac:dyDescent="0.35">
      <c r="A321" s="2">
        <f ca="1">IFERROR(__xludf.DUMMYFUNCTION("""COMPUTED_VALUE"""),42471.6666666666)</f>
        <v>42471.666666666599</v>
      </c>
      <c r="B321" s="1">
        <f ca="1">IFERROR(__xludf.DUMMYFUNCTION("""COMPUTED_VALUE"""),27.24)</f>
        <v>27.24</v>
      </c>
      <c r="C321" s="1">
        <f ca="1">IFERROR(__xludf.DUMMYFUNCTION("""COMPUTED_VALUE"""),27.65)</f>
        <v>27.65</v>
      </c>
      <c r="D321" s="1">
        <f ca="1">IFERROR(__xludf.DUMMYFUNCTION("""COMPUTED_VALUE"""),27.21)</f>
        <v>27.21</v>
      </c>
      <c r="E321" s="1">
        <f ca="1">IFERROR(__xludf.DUMMYFUNCTION("""COMPUTED_VALUE"""),27.26)</f>
        <v>27.26</v>
      </c>
      <c r="F321" s="1">
        <f ca="1">IFERROR(__xludf.DUMMYFUNCTION("""COMPUTED_VALUE"""),29407518)</f>
        <v>29407518</v>
      </c>
    </row>
    <row r="322" spans="1:6" x14ac:dyDescent="0.35">
      <c r="A322" s="2">
        <f ca="1">IFERROR(__xludf.DUMMYFUNCTION("""COMPUTED_VALUE"""),42472.6666666666)</f>
        <v>42472.666666666599</v>
      </c>
      <c r="B322" s="1">
        <f ca="1">IFERROR(__xludf.DUMMYFUNCTION("""COMPUTED_VALUE"""),27.34)</f>
        <v>27.34</v>
      </c>
      <c r="C322" s="1">
        <f ca="1">IFERROR(__xludf.DUMMYFUNCTION("""COMPUTED_VALUE"""),27.63)</f>
        <v>27.63</v>
      </c>
      <c r="D322" s="1">
        <f ca="1">IFERROR(__xludf.DUMMYFUNCTION("""COMPUTED_VALUE"""),27.17)</f>
        <v>27.17</v>
      </c>
      <c r="E322" s="1">
        <f ca="1">IFERROR(__xludf.DUMMYFUNCTION("""COMPUTED_VALUE"""),27.61)</f>
        <v>27.61</v>
      </c>
      <c r="F322" s="1">
        <f ca="1">IFERROR(__xludf.DUMMYFUNCTION("""COMPUTED_VALUE"""),27232325)</f>
        <v>27232325</v>
      </c>
    </row>
    <row r="323" spans="1:6" x14ac:dyDescent="0.35">
      <c r="A323" s="2">
        <f ca="1">IFERROR(__xludf.DUMMYFUNCTION("""COMPUTED_VALUE"""),42473.6666666666)</f>
        <v>42473.666666666599</v>
      </c>
      <c r="B323" s="1">
        <f ca="1">IFERROR(__xludf.DUMMYFUNCTION("""COMPUTED_VALUE"""),27.7)</f>
        <v>27.7</v>
      </c>
      <c r="C323" s="1">
        <f ca="1">IFERROR(__xludf.DUMMYFUNCTION("""COMPUTED_VALUE"""),28.09)</f>
        <v>28.09</v>
      </c>
      <c r="D323" s="1">
        <f ca="1">IFERROR(__xludf.DUMMYFUNCTION("""COMPUTED_VALUE"""),27.7)</f>
        <v>27.7</v>
      </c>
      <c r="E323" s="1">
        <f ca="1">IFERROR(__xludf.DUMMYFUNCTION("""COMPUTED_VALUE"""),28.01)</f>
        <v>28.01</v>
      </c>
      <c r="F323" s="1">
        <f ca="1">IFERROR(__xludf.DUMMYFUNCTION("""COMPUTED_VALUE"""),33257316)</f>
        <v>33257316</v>
      </c>
    </row>
    <row r="324" spans="1:6" x14ac:dyDescent="0.35">
      <c r="A324" s="2">
        <f ca="1">IFERROR(__xludf.DUMMYFUNCTION("""COMPUTED_VALUE"""),42474.6666666666)</f>
        <v>42474.666666666599</v>
      </c>
      <c r="B324" s="1">
        <f ca="1">IFERROR(__xludf.DUMMYFUNCTION("""COMPUTED_VALUE"""),27.91)</f>
        <v>27.91</v>
      </c>
      <c r="C324" s="1">
        <f ca="1">IFERROR(__xludf.DUMMYFUNCTION("""COMPUTED_VALUE"""),28.1)</f>
        <v>28.1</v>
      </c>
      <c r="D324" s="1">
        <f ca="1">IFERROR(__xludf.DUMMYFUNCTION("""COMPUTED_VALUE"""),27.83)</f>
        <v>27.83</v>
      </c>
      <c r="E324" s="1">
        <f ca="1">IFERROR(__xludf.DUMMYFUNCTION("""COMPUTED_VALUE"""),28.03)</f>
        <v>28.03</v>
      </c>
      <c r="F324" s="1">
        <f ca="1">IFERROR(__xludf.DUMMYFUNCTION("""COMPUTED_VALUE"""),25473923)</f>
        <v>25473923</v>
      </c>
    </row>
    <row r="325" spans="1:6" x14ac:dyDescent="0.35">
      <c r="A325" s="2">
        <f ca="1">IFERROR(__xludf.DUMMYFUNCTION("""COMPUTED_VALUE"""),42475.6666666666)</f>
        <v>42475.666666666599</v>
      </c>
      <c r="B325" s="1">
        <f ca="1">IFERROR(__xludf.DUMMYFUNCTION("""COMPUTED_VALUE"""),28.03)</f>
        <v>28.03</v>
      </c>
      <c r="C325" s="1">
        <f ca="1">IFERROR(__xludf.DUMMYFUNCTION("""COMPUTED_VALUE"""),28.08)</f>
        <v>28.08</v>
      </c>
      <c r="D325" s="1">
        <f ca="1">IFERROR(__xludf.DUMMYFUNCTION("""COMPUTED_VALUE"""),27.43)</f>
        <v>27.43</v>
      </c>
      <c r="E325" s="1">
        <f ca="1">IFERROR(__xludf.DUMMYFUNCTION("""COMPUTED_VALUE"""),27.46)</f>
        <v>27.46</v>
      </c>
      <c r="F325" s="1">
        <f ca="1">IFERROR(__xludf.DUMMYFUNCTION("""COMPUTED_VALUE"""),46938969)</f>
        <v>46938969</v>
      </c>
    </row>
    <row r="326" spans="1:6" x14ac:dyDescent="0.35">
      <c r="A326" s="2">
        <f ca="1">IFERROR(__xludf.DUMMYFUNCTION("""COMPUTED_VALUE"""),42478.6666666666)</f>
        <v>42478.666666666599</v>
      </c>
      <c r="B326" s="1">
        <f ca="1">IFERROR(__xludf.DUMMYFUNCTION("""COMPUTED_VALUE"""),27.22)</f>
        <v>27.22</v>
      </c>
      <c r="C326" s="1">
        <f ca="1">IFERROR(__xludf.DUMMYFUNCTION("""COMPUTED_VALUE"""),27.24)</f>
        <v>27.24</v>
      </c>
      <c r="D326" s="1">
        <f ca="1">IFERROR(__xludf.DUMMYFUNCTION("""COMPUTED_VALUE"""),26.74)</f>
        <v>26.74</v>
      </c>
      <c r="E326" s="1">
        <f ca="1">IFERROR(__xludf.DUMMYFUNCTION("""COMPUTED_VALUE"""),26.87)</f>
        <v>26.87</v>
      </c>
      <c r="F326" s="1">
        <f ca="1">IFERROR(__xludf.DUMMYFUNCTION("""COMPUTED_VALUE"""),60821461)</f>
        <v>60821461</v>
      </c>
    </row>
    <row r="327" spans="1:6" x14ac:dyDescent="0.35">
      <c r="A327" s="2">
        <f ca="1">IFERROR(__xludf.DUMMYFUNCTION("""COMPUTED_VALUE"""),42479.6666666666)</f>
        <v>42479.666666666599</v>
      </c>
      <c r="B327" s="1">
        <f ca="1">IFERROR(__xludf.DUMMYFUNCTION("""COMPUTED_VALUE"""),26.97)</f>
        <v>26.97</v>
      </c>
      <c r="C327" s="1">
        <f ca="1">IFERROR(__xludf.DUMMYFUNCTION("""COMPUTED_VALUE"""),27)</f>
        <v>27</v>
      </c>
      <c r="D327" s="1">
        <f ca="1">IFERROR(__xludf.DUMMYFUNCTION("""COMPUTED_VALUE"""),26.56)</f>
        <v>26.56</v>
      </c>
      <c r="E327" s="1">
        <f ca="1">IFERROR(__xludf.DUMMYFUNCTION("""COMPUTED_VALUE"""),26.73)</f>
        <v>26.73</v>
      </c>
      <c r="F327" s="1">
        <f ca="1">IFERROR(__xludf.DUMMYFUNCTION("""COMPUTED_VALUE"""),32384879)</f>
        <v>32384879</v>
      </c>
    </row>
    <row r="328" spans="1:6" x14ac:dyDescent="0.35">
      <c r="A328" s="2">
        <f ca="1">IFERROR(__xludf.DUMMYFUNCTION("""COMPUTED_VALUE"""),42480.6666666666)</f>
        <v>42480.666666666599</v>
      </c>
      <c r="B328" s="1">
        <f ca="1">IFERROR(__xludf.DUMMYFUNCTION("""COMPUTED_VALUE"""),26.66)</f>
        <v>26.66</v>
      </c>
      <c r="C328" s="1">
        <f ca="1">IFERROR(__xludf.DUMMYFUNCTION("""COMPUTED_VALUE"""),27.02)</f>
        <v>27.02</v>
      </c>
      <c r="D328" s="1">
        <f ca="1">IFERROR(__xludf.DUMMYFUNCTION("""COMPUTED_VALUE"""),26.52)</f>
        <v>26.52</v>
      </c>
      <c r="E328" s="1">
        <f ca="1">IFERROR(__xludf.DUMMYFUNCTION("""COMPUTED_VALUE"""),26.78)</f>
        <v>26.78</v>
      </c>
      <c r="F328" s="1">
        <f ca="1">IFERROR(__xludf.DUMMYFUNCTION("""COMPUTED_VALUE"""),30611030)</f>
        <v>30611030</v>
      </c>
    </row>
    <row r="329" spans="1:6" x14ac:dyDescent="0.35">
      <c r="A329" s="2">
        <f ca="1">IFERROR(__xludf.DUMMYFUNCTION("""COMPUTED_VALUE"""),42481.6666666666)</f>
        <v>42481.666666666599</v>
      </c>
      <c r="B329" s="1">
        <f ca="1">IFERROR(__xludf.DUMMYFUNCTION("""COMPUTED_VALUE"""),26.73)</f>
        <v>26.73</v>
      </c>
      <c r="C329" s="1">
        <f ca="1">IFERROR(__xludf.DUMMYFUNCTION("""COMPUTED_VALUE"""),26.73)</f>
        <v>26.73</v>
      </c>
      <c r="D329" s="1">
        <f ca="1">IFERROR(__xludf.DUMMYFUNCTION("""COMPUTED_VALUE"""),26.38)</f>
        <v>26.38</v>
      </c>
      <c r="E329" s="1">
        <f ca="1">IFERROR(__xludf.DUMMYFUNCTION("""COMPUTED_VALUE"""),26.49)</f>
        <v>26.49</v>
      </c>
      <c r="F329" s="1">
        <f ca="1">IFERROR(__xludf.DUMMYFUNCTION("""COMPUTED_VALUE"""),31552525)</f>
        <v>31552525</v>
      </c>
    </row>
    <row r="330" spans="1:6" x14ac:dyDescent="0.35">
      <c r="A330" s="2">
        <f ca="1">IFERROR(__xludf.DUMMYFUNCTION("""COMPUTED_VALUE"""),42482.6666666666)</f>
        <v>42482.666666666599</v>
      </c>
      <c r="B330" s="1">
        <f ca="1">IFERROR(__xludf.DUMMYFUNCTION("""COMPUTED_VALUE"""),26.25)</f>
        <v>26.25</v>
      </c>
      <c r="C330" s="1">
        <f ca="1">IFERROR(__xludf.DUMMYFUNCTION("""COMPUTED_VALUE"""),26.62)</f>
        <v>26.62</v>
      </c>
      <c r="D330" s="1">
        <f ca="1">IFERROR(__xludf.DUMMYFUNCTION("""COMPUTED_VALUE"""),26.16)</f>
        <v>26.16</v>
      </c>
      <c r="E330" s="1">
        <f ca="1">IFERROR(__xludf.DUMMYFUNCTION("""COMPUTED_VALUE"""),26.42)</f>
        <v>26.42</v>
      </c>
      <c r="F330" s="1">
        <f ca="1">IFERROR(__xludf.DUMMYFUNCTION("""COMPUTED_VALUE"""),33683121)</f>
        <v>33683121</v>
      </c>
    </row>
    <row r="331" spans="1:6" x14ac:dyDescent="0.35">
      <c r="A331" s="2">
        <f ca="1">IFERROR(__xludf.DUMMYFUNCTION("""COMPUTED_VALUE"""),42485.6666666666)</f>
        <v>42485.666666666599</v>
      </c>
      <c r="B331" s="1">
        <f ca="1">IFERROR(__xludf.DUMMYFUNCTION("""COMPUTED_VALUE"""),26.25)</f>
        <v>26.25</v>
      </c>
      <c r="C331" s="1">
        <f ca="1">IFERROR(__xludf.DUMMYFUNCTION("""COMPUTED_VALUE"""),26.41)</f>
        <v>26.41</v>
      </c>
      <c r="D331" s="1">
        <f ca="1">IFERROR(__xludf.DUMMYFUNCTION("""COMPUTED_VALUE"""),26.13)</f>
        <v>26.13</v>
      </c>
      <c r="E331" s="1">
        <f ca="1">IFERROR(__xludf.DUMMYFUNCTION("""COMPUTED_VALUE"""),26.27)</f>
        <v>26.27</v>
      </c>
      <c r="F331" s="1">
        <f ca="1">IFERROR(__xludf.DUMMYFUNCTION("""COMPUTED_VALUE"""),28031588)</f>
        <v>28031588</v>
      </c>
    </row>
    <row r="332" spans="1:6" x14ac:dyDescent="0.35">
      <c r="A332" s="2">
        <f ca="1">IFERROR(__xludf.DUMMYFUNCTION("""COMPUTED_VALUE"""),42486.6666666666)</f>
        <v>42486.666666666599</v>
      </c>
      <c r="B332" s="1">
        <f ca="1">IFERROR(__xludf.DUMMYFUNCTION("""COMPUTED_VALUE"""),25.98)</f>
        <v>25.98</v>
      </c>
      <c r="C332" s="1">
        <f ca="1">IFERROR(__xludf.DUMMYFUNCTION("""COMPUTED_VALUE"""),26.33)</f>
        <v>26.33</v>
      </c>
      <c r="D332" s="1">
        <f ca="1">IFERROR(__xludf.DUMMYFUNCTION("""COMPUTED_VALUE"""),25.98)</f>
        <v>25.98</v>
      </c>
      <c r="E332" s="1">
        <f ca="1">IFERROR(__xludf.DUMMYFUNCTION("""COMPUTED_VALUE"""),26.09)</f>
        <v>26.09</v>
      </c>
      <c r="F332" s="1">
        <f ca="1">IFERROR(__xludf.DUMMYFUNCTION("""COMPUTED_VALUE"""),56016165)</f>
        <v>56016165</v>
      </c>
    </row>
    <row r="333" spans="1:6" x14ac:dyDescent="0.35">
      <c r="A333" s="2">
        <f ca="1">IFERROR(__xludf.DUMMYFUNCTION("""COMPUTED_VALUE"""),42487.6666666666)</f>
        <v>42487.666666666599</v>
      </c>
      <c r="B333" s="1">
        <f ca="1">IFERROR(__xludf.DUMMYFUNCTION("""COMPUTED_VALUE"""),24)</f>
        <v>24</v>
      </c>
      <c r="C333" s="1">
        <f ca="1">IFERROR(__xludf.DUMMYFUNCTION("""COMPUTED_VALUE"""),24.68)</f>
        <v>24.68</v>
      </c>
      <c r="D333" s="1">
        <f ca="1">IFERROR(__xludf.DUMMYFUNCTION("""COMPUTED_VALUE"""),23.92)</f>
        <v>23.92</v>
      </c>
      <c r="E333" s="1">
        <f ca="1">IFERROR(__xludf.DUMMYFUNCTION("""COMPUTED_VALUE"""),24.46)</f>
        <v>24.46</v>
      </c>
      <c r="F333" s="1">
        <f ca="1">IFERROR(__xludf.DUMMYFUNCTION("""COMPUTED_VALUE"""),114602142)</f>
        <v>114602142</v>
      </c>
    </row>
    <row r="334" spans="1:6" x14ac:dyDescent="0.35">
      <c r="A334" s="2">
        <f ca="1">IFERROR(__xludf.DUMMYFUNCTION("""COMPUTED_VALUE"""),42488.6666666666)</f>
        <v>42488.666666666599</v>
      </c>
      <c r="B334" s="1">
        <f ca="1">IFERROR(__xludf.DUMMYFUNCTION("""COMPUTED_VALUE"""),24.4)</f>
        <v>24.4</v>
      </c>
      <c r="C334" s="1">
        <f ca="1">IFERROR(__xludf.DUMMYFUNCTION("""COMPUTED_VALUE"""),24.47)</f>
        <v>24.47</v>
      </c>
      <c r="D334" s="1">
        <f ca="1">IFERROR(__xludf.DUMMYFUNCTION("""COMPUTED_VALUE"""),23.56)</f>
        <v>23.56</v>
      </c>
      <c r="E334" s="1">
        <f ca="1">IFERROR(__xludf.DUMMYFUNCTION("""COMPUTED_VALUE"""),23.71)</f>
        <v>23.71</v>
      </c>
      <c r="F334" s="1">
        <f ca="1">IFERROR(__xludf.DUMMYFUNCTION("""COMPUTED_VALUE"""),82242690)</f>
        <v>82242690</v>
      </c>
    </row>
    <row r="335" spans="1:6" x14ac:dyDescent="0.35">
      <c r="A335" s="2">
        <f ca="1">IFERROR(__xludf.DUMMYFUNCTION("""COMPUTED_VALUE"""),42489.6666666666)</f>
        <v>42489.666666666599</v>
      </c>
      <c r="B335" s="1">
        <f ca="1">IFERROR(__xludf.DUMMYFUNCTION("""COMPUTED_VALUE"""),23.5)</f>
        <v>23.5</v>
      </c>
      <c r="C335" s="1">
        <f ca="1">IFERROR(__xludf.DUMMYFUNCTION("""COMPUTED_VALUE"""),23.68)</f>
        <v>23.68</v>
      </c>
      <c r="D335" s="1">
        <f ca="1">IFERROR(__xludf.DUMMYFUNCTION("""COMPUTED_VALUE"""),23.13)</f>
        <v>23.13</v>
      </c>
      <c r="E335" s="1">
        <f ca="1">IFERROR(__xludf.DUMMYFUNCTION("""COMPUTED_VALUE"""),23.44)</f>
        <v>23.44</v>
      </c>
      <c r="F335" s="1">
        <f ca="1">IFERROR(__xludf.DUMMYFUNCTION("""COMPUTED_VALUE"""),68531478)</f>
        <v>68531478</v>
      </c>
    </row>
    <row r="336" spans="1:6" x14ac:dyDescent="0.35">
      <c r="A336" s="2">
        <f ca="1">IFERROR(__xludf.DUMMYFUNCTION("""COMPUTED_VALUE"""),42492.6666666666)</f>
        <v>42492.666666666599</v>
      </c>
      <c r="B336" s="1">
        <f ca="1">IFERROR(__xludf.DUMMYFUNCTION("""COMPUTED_VALUE"""),23.49)</f>
        <v>23.49</v>
      </c>
      <c r="C336" s="1">
        <f ca="1">IFERROR(__xludf.DUMMYFUNCTION("""COMPUTED_VALUE"""),23.52)</f>
        <v>23.52</v>
      </c>
      <c r="D336" s="1">
        <f ca="1">IFERROR(__xludf.DUMMYFUNCTION("""COMPUTED_VALUE"""),23.1)</f>
        <v>23.1</v>
      </c>
      <c r="E336" s="1">
        <f ca="1">IFERROR(__xludf.DUMMYFUNCTION("""COMPUTED_VALUE"""),23.41)</f>
        <v>23.41</v>
      </c>
      <c r="F336" s="1">
        <f ca="1">IFERROR(__xludf.DUMMYFUNCTION("""COMPUTED_VALUE"""),48160104)</f>
        <v>48160104</v>
      </c>
    </row>
    <row r="337" spans="1:6" x14ac:dyDescent="0.35">
      <c r="A337" s="2">
        <f ca="1">IFERROR(__xludf.DUMMYFUNCTION("""COMPUTED_VALUE"""),42493.6666666666)</f>
        <v>42493.666666666599</v>
      </c>
      <c r="B337" s="1">
        <f ca="1">IFERROR(__xludf.DUMMYFUNCTION("""COMPUTED_VALUE"""),23.55)</f>
        <v>23.55</v>
      </c>
      <c r="C337" s="1">
        <f ca="1">IFERROR(__xludf.DUMMYFUNCTION("""COMPUTED_VALUE"""),23.94)</f>
        <v>23.94</v>
      </c>
      <c r="D337" s="1">
        <f ca="1">IFERROR(__xludf.DUMMYFUNCTION("""COMPUTED_VALUE"""),23.42)</f>
        <v>23.42</v>
      </c>
      <c r="E337" s="1">
        <f ca="1">IFERROR(__xludf.DUMMYFUNCTION("""COMPUTED_VALUE"""),23.8)</f>
        <v>23.8</v>
      </c>
      <c r="F337" s="1">
        <f ca="1">IFERROR(__xludf.DUMMYFUNCTION("""COMPUTED_VALUE"""),56831277)</f>
        <v>56831277</v>
      </c>
    </row>
    <row r="338" spans="1:6" x14ac:dyDescent="0.35">
      <c r="A338" s="2">
        <f ca="1">IFERROR(__xludf.DUMMYFUNCTION("""COMPUTED_VALUE"""),42494.6666666666)</f>
        <v>42494.666666666599</v>
      </c>
      <c r="B338" s="1">
        <f ca="1">IFERROR(__xludf.DUMMYFUNCTION("""COMPUTED_VALUE"""),23.8)</f>
        <v>23.8</v>
      </c>
      <c r="C338" s="1">
        <f ca="1">IFERROR(__xludf.DUMMYFUNCTION("""COMPUTED_VALUE"""),23.98)</f>
        <v>23.98</v>
      </c>
      <c r="D338" s="1">
        <f ca="1">IFERROR(__xludf.DUMMYFUNCTION("""COMPUTED_VALUE"""),23.46)</f>
        <v>23.46</v>
      </c>
      <c r="E338" s="1">
        <f ca="1">IFERROR(__xludf.DUMMYFUNCTION("""COMPUTED_VALUE"""),23.55)</f>
        <v>23.55</v>
      </c>
      <c r="F338" s="1">
        <f ca="1">IFERROR(__xludf.DUMMYFUNCTION("""COMPUTED_VALUE"""),41025475)</f>
        <v>41025475</v>
      </c>
    </row>
    <row r="339" spans="1:6" x14ac:dyDescent="0.35">
      <c r="A339" s="2">
        <f ca="1">IFERROR(__xludf.DUMMYFUNCTION("""COMPUTED_VALUE"""),42495.6666666666)</f>
        <v>42495.666666666599</v>
      </c>
      <c r="B339" s="1">
        <f ca="1">IFERROR(__xludf.DUMMYFUNCTION("""COMPUTED_VALUE"""),23.5)</f>
        <v>23.5</v>
      </c>
      <c r="C339" s="1">
        <f ca="1">IFERROR(__xludf.DUMMYFUNCTION("""COMPUTED_VALUE"""),23.52)</f>
        <v>23.52</v>
      </c>
      <c r="D339" s="1">
        <f ca="1">IFERROR(__xludf.DUMMYFUNCTION("""COMPUTED_VALUE"""),23.17)</f>
        <v>23.17</v>
      </c>
      <c r="E339" s="1">
        <f ca="1">IFERROR(__xludf.DUMMYFUNCTION("""COMPUTED_VALUE"""),23.31)</f>
        <v>23.31</v>
      </c>
      <c r="F339" s="1">
        <f ca="1">IFERROR(__xludf.DUMMYFUNCTION("""COMPUTED_VALUE"""),35890500)</f>
        <v>35890500</v>
      </c>
    </row>
    <row r="340" spans="1:6" x14ac:dyDescent="0.35">
      <c r="A340" s="2">
        <f ca="1">IFERROR(__xludf.DUMMYFUNCTION("""COMPUTED_VALUE"""),42496.6666666666)</f>
        <v>42496.666666666599</v>
      </c>
      <c r="B340" s="1">
        <f ca="1">IFERROR(__xludf.DUMMYFUNCTION("""COMPUTED_VALUE"""),23.34)</f>
        <v>23.34</v>
      </c>
      <c r="C340" s="1">
        <f ca="1">IFERROR(__xludf.DUMMYFUNCTION("""COMPUTED_VALUE"""),23.36)</f>
        <v>23.36</v>
      </c>
      <c r="D340" s="1">
        <f ca="1">IFERROR(__xludf.DUMMYFUNCTION("""COMPUTED_VALUE"""),22.96)</f>
        <v>22.96</v>
      </c>
      <c r="E340" s="1">
        <f ca="1">IFERROR(__xludf.DUMMYFUNCTION("""COMPUTED_VALUE"""),23.18)</f>
        <v>23.18</v>
      </c>
      <c r="F340" s="1">
        <f ca="1">IFERROR(__xludf.DUMMYFUNCTION("""COMPUTED_VALUE"""),43699886)</f>
        <v>43699886</v>
      </c>
    </row>
    <row r="341" spans="1:6" x14ac:dyDescent="0.35">
      <c r="A341" s="2">
        <f ca="1">IFERROR(__xludf.DUMMYFUNCTION("""COMPUTED_VALUE"""),42499.6666666666)</f>
        <v>42499.666666666599</v>
      </c>
      <c r="B341" s="1">
        <f ca="1">IFERROR(__xludf.DUMMYFUNCTION("""COMPUTED_VALUE"""),23.25)</f>
        <v>23.25</v>
      </c>
      <c r="C341" s="1">
        <f ca="1">IFERROR(__xludf.DUMMYFUNCTION("""COMPUTED_VALUE"""),23.44)</f>
        <v>23.44</v>
      </c>
      <c r="D341" s="1">
        <f ca="1">IFERROR(__xludf.DUMMYFUNCTION("""COMPUTED_VALUE"""),23.15)</f>
        <v>23.15</v>
      </c>
      <c r="E341" s="1">
        <f ca="1">IFERROR(__xludf.DUMMYFUNCTION("""COMPUTED_VALUE"""),23.2)</f>
        <v>23.2</v>
      </c>
      <c r="F341" s="1">
        <f ca="1">IFERROR(__xludf.DUMMYFUNCTION("""COMPUTED_VALUE"""),32936436)</f>
        <v>32936436</v>
      </c>
    </row>
    <row r="342" spans="1:6" x14ac:dyDescent="0.35">
      <c r="A342" s="2">
        <f ca="1">IFERROR(__xludf.DUMMYFUNCTION("""COMPUTED_VALUE"""),42500.6666666666)</f>
        <v>42500.666666666599</v>
      </c>
      <c r="B342" s="1">
        <f ca="1">IFERROR(__xludf.DUMMYFUNCTION("""COMPUTED_VALUE"""),23.33)</f>
        <v>23.33</v>
      </c>
      <c r="C342" s="1">
        <f ca="1">IFERROR(__xludf.DUMMYFUNCTION("""COMPUTED_VALUE"""),23.39)</f>
        <v>23.39</v>
      </c>
      <c r="D342" s="1">
        <f ca="1">IFERROR(__xludf.DUMMYFUNCTION("""COMPUTED_VALUE"""),23.03)</f>
        <v>23.03</v>
      </c>
      <c r="E342" s="1">
        <f ca="1">IFERROR(__xludf.DUMMYFUNCTION("""COMPUTED_VALUE"""),23.36)</f>
        <v>23.36</v>
      </c>
      <c r="F342" s="1">
        <f ca="1">IFERROR(__xludf.DUMMYFUNCTION("""COMPUTED_VALUE"""),33686836)</f>
        <v>33686836</v>
      </c>
    </row>
    <row r="343" spans="1:6" x14ac:dyDescent="0.35">
      <c r="A343" s="2">
        <f ca="1">IFERROR(__xludf.DUMMYFUNCTION("""COMPUTED_VALUE"""),42501.6666666666)</f>
        <v>42501.666666666599</v>
      </c>
      <c r="B343" s="1">
        <f ca="1">IFERROR(__xludf.DUMMYFUNCTION("""COMPUTED_VALUE"""),23.37)</f>
        <v>23.37</v>
      </c>
      <c r="C343" s="1">
        <f ca="1">IFERROR(__xludf.DUMMYFUNCTION("""COMPUTED_VALUE"""),23.39)</f>
        <v>23.39</v>
      </c>
      <c r="D343" s="1">
        <f ca="1">IFERROR(__xludf.DUMMYFUNCTION("""COMPUTED_VALUE"""),23.12)</f>
        <v>23.12</v>
      </c>
      <c r="E343" s="1">
        <f ca="1">IFERROR(__xludf.DUMMYFUNCTION("""COMPUTED_VALUE"""),23.13)</f>
        <v>23.13</v>
      </c>
      <c r="F343" s="1">
        <f ca="1">IFERROR(__xludf.DUMMYFUNCTION("""COMPUTED_VALUE"""),28719109)</f>
        <v>28719109</v>
      </c>
    </row>
    <row r="344" spans="1:6" x14ac:dyDescent="0.35">
      <c r="A344" s="2">
        <f ca="1">IFERROR(__xludf.DUMMYFUNCTION("""COMPUTED_VALUE"""),42502.6666666666)</f>
        <v>42502.666666666599</v>
      </c>
      <c r="B344" s="1">
        <f ca="1">IFERROR(__xludf.DUMMYFUNCTION("""COMPUTED_VALUE"""),23.18)</f>
        <v>23.18</v>
      </c>
      <c r="C344" s="1">
        <f ca="1">IFERROR(__xludf.DUMMYFUNCTION("""COMPUTED_VALUE"""),23.2)</f>
        <v>23.2</v>
      </c>
      <c r="D344" s="1">
        <f ca="1">IFERROR(__xludf.DUMMYFUNCTION("""COMPUTED_VALUE"""),22.37)</f>
        <v>22.37</v>
      </c>
      <c r="E344" s="1">
        <f ca="1">IFERROR(__xludf.DUMMYFUNCTION("""COMPUTED_VALUE"""),22.59)</f>
        <v>22.59</v>
      </c>
      <c r="F344" s="1">
        <f ca="1">IFERROR(__xludf.DUMMYFUNCTION("""COMPUTED_VALUE"""),76314690)</f>
        <v>76314690</v>
      </c>
    </row>
    <row r="345" spans="1:6" x14ac:dyDescent="0.35">
      <c r="A345" s="2">
        <f ca="1">IFERROR(__xludf.DUMMYFUNCTION("""COMPUTED_VALUE"""),42503.6666666666)</f>
        <v>42503.666666666599</v>
      </c>
      <c r="B345" s="1">
        <f ca="1">IFERROR(__xludf.DUMMYFUNCTION("""COMPUTED_VALUE"""),22.5)</f>
        <v>22.5</v>
      </c>
      <c r="C345" s="1">
        <f ca="1">IFERROR(__xludf.DUMMYFUNCTION("""COMPUTED_VALUE"""),22.92)</f>
        <v>22.92</v>
      </c>
      <c r="D345" s="1">
        <f ca="1">IFERROR(__xludf.DUMMYFUNCTION("""COMPUTED_VALUE"""),22.5)</f>
        <v>22.5</v>
      </c>
      <c r="E345" s="1">
        <f ca="1">IFERROR(__xludf.DUMMYFUNCTION("""COMPUTED_VALUE"""),22.63)</f>
        <v>22.63</v>
      </c>
      <c r="F345" s="1">
        <f ca="1">IFERROR(__xludf.DUMMYFUNCTION("""COMPUTED_VALUE"""),44392765)</f>
        <v>44392765</v>
      </c>
    </row>
    <row r="346" spans="1:6" x14ac:dyDescent="0.35">
      <c r="A346" s="2">
        <f ca="1">IFERROR(__xludf.DUMMYFUNCTION("""COMPUTED_VALUE"""),42506.6666666666)</f>
        <v>42506.666666666599</v>
      </c>
      <c r="B346" s="1">
        <f ca="1">IFERROR(__xludf.DUMMYFUNCTION("""COMPUTED_VALUE"""),23.1)</f>
        <v>23.1</v>
      </c>
      <c r="C346" s="1">
        <f ca="1">IFERROR(__xludf.DUMMYFUNCTION("""COMPUTED_VALUE"""),23.6)</f>
        <v>23.6</v>
      </c>
      <c r="D346" s="1">
        <f ca="1">IFERROR(__xludf.DUMMYFUNCTION("""COMPUTED_VALUE"""),22.91)</f>
        <v>22.91</v>
      </c>
      <c r="E346" s="1">
        <f ca="1">IFERROR(__xludf.DUMMYFUNCTION("""COMPUTED_VALUE"""),23.47)</f>
        <v>23.47</v>
      </c>
      <c r="F346" s="1">
        <f ca="1">IFERROR(__xludf.DUMMYFUNCTION("""COMPUTED_VALUE"""),61259756)</f>
        <v>61259756</v>
      </c>
    </row>
    <row r="347" spans="1:6" x14ac:dyDescent="0.35">
      <c r="A347" s="2">
        <f ca="1">IFERROR(__xludf.DUMMYFUNCTION("""COMPUTED_VALUE"""),42507.6666666666)</f>
        <v>42507.666666666599</v>
      </c>
      <c r="B347" s="1">
        <f ca="1">IFERROR(__xludf.DUMMYFUNCTION("""COMPUTED_VALUE"""),23.64)</f>
        <v>23.64</v>
      </c>
      <c r="C347" s="1">
        <f ca="1">IFERROR(__xludf.DUMMYFUNCTION("""COMPUTED_VALUE"""),23.68)</f>
        <v>23.68</v>
      </c>
      <c r="D347" s="1">
        <f ca="1">IFERROR(__xludf.DUMMYFUNCTION("""COMPUTED_VALUE"""),23.25)</f>
        <v>23.25</v>
      </c>
      <c r="E347" s="1">
        <f ca="1">IFERROR(__xludf.DUMMYFUNCTION("""COMPUTED_VALUE"""),23.37)</f>
        <v>23.37</v>
      </c>
      <c r="F347" s="1">
        <f ca="1">IFERROR(__xludf.DUMMYFUNCTION("""COMPUTED_VALUE"""),46916939)</f>
        <v>46916939</v>
      </c>
    </row>
    <row r="348" spans="1:6" x14ac:dyDescent="0.35">
      <c r="A348" s="2">
        <f ca="1">IFERROR(__xludf.DUMMYFUNCTION("""COMPUTED_VALUE"""),42508.6666666666)</f>
        <v>42508.666666666599</v>
      </c>
      <c r="B348" s="1">
        <f ca="1">IFERROR(__xludf.DUMMYFUNCTION("""COMPUTED_VALUE"""),23.54)</f>
        <v>23.54</v>
      </c>
      <c r="C348" s="1">
        <f ca="1">IFERROR(__xludf.DUMMYFUNCTION("""COMPUTED_VALUE"""),23.8)</f>
        <v>23.8</v>
      </c>
      <c r="D348" s="1">
        <f ca="1">IFERROR(__xludf.DUMMYFUNCTION("""COMPUTED_VALUE"""),23.47)</f>
        <v>23.47</v>
      </c>
      <c r="E348" s="1">
        <f ca="1">IFERROR(__xludf.DUMMYFUNCTION("""COMPUTED_VALUE"""),23.64)</f>
        <v>23.64</v>
      </c>
      <c r="F348" s="1">
        <f ca="1">IFERROR(__xludf.DUMMYFUNCTION("""COMPUTED_VALUE"""),42062391)</f>
        <v>42062391</v>
      </c>
    </row>
    <row r="349" spans="1:6" x14ac:dyDescent="0.35">
      <c r="A349" s="2">
        <f ca="1">IFERROR(__xludf.DUMMYFUNCTION("""COMPUTED_VALUE"""),42509.6666666666)</f>
        <v>42509.666666666599</v>
      </c>
      <c r="B349" s="1">
        <f ca="1">IFERROR(__xludf.DUMMYFUNCTION("""COMPUTED_VALUE"""),23.66)</f>
        <v>23.66</v>
      </c>
      <c r="C349" s="1">
        <f ca="1">IFERROR(__xludf.DUMMYFUNCTION("""COMPUTED_VALUE"""),23.66)</f>
        <v>23.66</v>
      </c>
      <c r="D349" s="1">
        <f ca="1">IFERROR(__xludf.DUMMYFUNCTION("""COMPUTED_VALUE"""),23.39)</f>
        <v>23.39</v>
      </c>
      <c r="E349" s="1">
        <f ca="1">IFERROR(__xludf.DUMMYFUNCTION("""COMPUTED_VALUE"""),23.55)</f>
        <v>23.55</v>
      </c>
      <c r="F349" s="1">
        <f ca="1">IFERROR(__xludf.DUMMYFUNCTION("""COMPUTED_VALUE"""),30442100)</f>
        <v>30442100</v>
      </c>
    </row>
    <row r="350" spans="1:6" x14ac:dyDescent="0.35">
      <c r="A350" s="2">
        <f ca="1">IFERROR(__xludf.DUMMYFUNCTION("""COMPUTED_VALUE"""),42510.6666666666)</f>
        <v>42510.666666666599</v>
      </c>
      <c r="B350" s="1">
        <f ca="1">IFERROR(__xludf.DUMMYFUNCTION("""COMPUTED_VALUE"""),23.66)</f>
        <v>23.66</v>
      </c>
      <c r="C350" s="1">
        <f ca="1">IFERROR(__xludf.DUMMYFUNCTION("""COMPUTED_VALUE"""),23.86)</f>
        <v>23.86</v>
      </c>
      <c r="D350" s="1">
        <f ca="1">IFERROR(__xludf.DUMMYFUNCTION("""COMPUTED_VALUE"""),23.63)</f>
        <v>23.63</v>
      </c>
      <c r="E350" s="1">
        <f ca="1">IFERROR(__xludf.DUMMYFUNCTION("""COMPUTED_VALUE"""),23.81)</f>
        <v>23.81</v>
      </c>
      <c r="F350" s="1">
        <f ca="1">IFERROR(__xludf.DUMMYFUNCTION("""COMPUTED_VALUE"""),32025968)</f>
        <v>32025968</v>
      </c>
    </row>
    <row r="351" spans="1:6" x14ac:dyDescent="0.35">
      <c r="A351" s="2">
        <f ca="1">IFERROR(__xludf.DUMMYFUNCTION("""COMPUTED_VALUE"""),42513.6666666666)</f>
        <v>42513.666666666599</v>
      </c>
      <c r="B351" s="1">
        <f ca="1">IFERROR(__xludf.DUMMYFUNCTION("""COMPUTED_VALUE"""),23.97)</f>
        <v>23.97</v>
      </c>
      <c r="C351" s="1">
        <f ca="1">IFERROR(__xludf.DUMMYFUNCTION("""COMPUTED_VALUE"""),24.3)</f>
        <v>24.3</v>
      </c>
      <c r="D351" s="1">
        <f ca="1">IFERROR(__xludf.DUMMYFUNCTION("""COMPUTED_VALUE"""),23.92)</f>
        <v>23.92</v>
      </c>
      <c r="E351" s="1">
        <f ca="1">IFERROR(__xludf.DUMMYFUNCTION("""COMPUTED_VALUE"""),24.11)</f>
        <v>24.11</v>
      </c>
      <c r="F351" s="1">
        <f ca="1">IFERROR(__xludf.DUMMYFUNCTION("""COMPUTED_VALUE"""),38018643)</f>
        <v>38018643</v>
      </c>
    </row>
    <row r="352" spans="1:6" x14ac:dyDescent="0.35">
      <c r="A352" s="2">
        <f ca="1">IFERROR(__xludf.DUMMYFUNCTION("""COMPUTED_VALUE"""),42514.6666666666)</f>
        <v>42514.666666666599</v>
      </c>
      <c r="B352" s="1">
        <f ca="1">IFERROR(__xludf.DUMMYFUNCTION("""COMPUTED_VALUE"""),24.31)</f>
        <v>24.31</v>
      </c>
      <c r="C352" s="1">
        <f ca="1">IFERROR(__xludf.DUMMYFUNCTION("""COMPUTED_VALUE"""),24.52)</f>
        <v>24.52</v>
      </c>
      <c r="D352" s="1">
        <f ca="1">IFERROR(__xludf.DUMMYFUNCTION("""COMPUTED_VALUE"""),24.21)</f>
        <v>24.21</v>
      </c>
      <c r="E352" s="1">
        <f ca="1">IFERROR(__xludf.DUMMYFUNCTION("""COMPUTED_VALUE"""),24.48)</f>
        <v>24.48</v>
      </c>
      <c r="F352" s="1">
        <f ca="1">IFERROR(__xludf.DUMMYFUNCTION("""COMPUTED_VALUE"""),35140174)</f>
        <v>35140174</v>
      </c>
    </row>
    <row r="353" spans="1:6" x14ac:dyDescent="0.35">
      <c r="A353" s="2">
        <f ca="1">IFERROR(__xludf.DUMMYFUNCTION("""COMPUTED_VALUE"""),42515.6666666666)</f>
        <v>42515.666666666599</v>
      </c>
      <c r="B353" s="1">
        <f ca="1">IFERROR(__xludf.DUMMYFUNCTION("""COMPUTED_VALUE"""),24.67)</f>
        <v>24.67</v>
      </c>
      <c r="C353" s="1">
        <f ca="1">IFERROR(__xludf.DUMMYFUNCTION("""COMPUTED_VALUE"""),24.94)</f>
        <v>24.94</v>
      </c>
      <c r="D353" s="1">
        <f ca="1">IFERROR(__xludf.DUMMYFUNCTION("""COMPUTED_VALUE"""),24.53)</f>
        <v>24.53</v>
      </c>
      <c r="E353" s="1">
        <f ca="1">IFERROR(__xludf.DUMMYFUNCTION("""COMPUTED_VALUE"""),24.91)</f>
        <v>24.91</v>
      </c>
      <c r="F353" s="1">
        <f ca="1">IFERROR(__xludf.DUMMYFUNCTION("""COMPUTED_VALUE"""),38642108)</f>
        <v>38642108</v>
      </c>
    </row>
    <row r="354" spans="1:6" x14ac:dyDescent="0.35">
      <c r="A354" s="2">
        <f ca="1">IFERROR(__xludf.DUMMYFUNCTION("""COMPUTED_VALUE"""),42516.6666666666)</f>
        <v>42516.666666666599</v>
      </c>
      <c r="B354" s="1">
        <f ca="1">IFERROR(__xludf.DUMMYFUNCTION("""COMPUTED_VALUE"""),24.92)</f>
        <v>24.92</v>
      </c>
      <c r="C354" s="1">
        <f ca="1">IFERROR(__xludf.DUMMYFUNCTION("""COMPUTED_VALUE"""),25.18)</f>
        <v>25.18</v>
      </c>
      <c r="D354" s="1">
        <f ca="1">IFERROR(__xludf.DUMMYFUNCTION("""COMPUTED_VALUE"""),24.66)</f>
        <v>24.66</v>
      </c>
      <c r="E354" s="1">
        <f ca="1">IFERROR(__xludf.DUMMYFUNCTION("""COMPUTED_VALUE"""),25.1)</f>
        <v>25.1</v>
      </c>
      <c r="F354" s="1">
        <f ca="1">IFERROR(__xludf.DUMMYFUNCTION("""COMPUTED_VALUE"""),56331159)</f>
        <v>56331159</v>
      </c>
    </row>
    <row r="355" spans="1:6" x14ac:dyDescent="0.35">
      <c r="A355" s="2">
        <f ca="1">IFERROR(__xludf.DUMMYFUNCTION("""COMPUTED_VALUE"""),42517.6666666666)</f>
        <v>42517.666666666599</v>
      </c>
      <c r="B355" s="1">
        <f ca="1">IFERROR(__xludf.DUMMYFUNCTION("""COMPUTED_VALUE"""),24.86)</f>
        <v>24.86</v>
      </c>
      <c r="C355" s="1">
        <f ca="1">IFERROR(__xludf.DUMMYFUNCTION("""COMPUTED_VALUE"""),25.12)</f>
        <v>25.12</v>
      </c>
      <c r="D355" s="1">
        <f ca="1">IFERROR(__xludf.DUMMYFUNCTION("""COMPUTED_VALUE"""),24.81)</f>
        <v>24.81</v>
      </c>
      <c r="E355" s="1">
        <f ca="1">IFERROR(__xludf.DUMMYFUNCTION("""COMPUTED_VALUE"""),25.09)</f>
        <v>25.09</v>
      </c>
      <c r="F355" s="1">
        <f ca="1">IFERROR(__xludf.DUMMYFUNCTION("""COMPUTED_VALUE"""),36341240)</f>
        <v>36341240</v>
      </c>
    </row>
    <row r="356" spans="1:6" x14ac:dyDescent="0.35">
      <c r="A356" s="2">
        <f ca="1">IFERROR(__xludf.DUMMYFUNCTION("""COMPUTED_VALUE"""),42521.6666666666)</f>
        <v>42521.666666666599</v>
      </c>
      <c r="B356" s="1">
        <f ca="1">IFERROR(__xludf.DUMMYFUNCTION("""COMPUTED_VALUE"""),24.9)</f>
        <v>24.9</v>
      </c>
      <c r="C356" s="1">
        <f ca="1">IFERROR(__xludf.DUMMYFUNCTION("""COMPUTED_VALUE"""),25.1)</f>
        <v>25.1</v>
      </c>
      <c r="D356" s="1">
        <f ca="1">IFERROR(__xludf.DUMMYFUNCTION("""COMPUTED_VALUE"""),24.71)</f>
        <v>24.71</v>
      </c>
      <c r="E356" s="1">
        <f ca="1">IFERROR(__xludf.DUMMYFUNCTION("""COMPUTED_VALUE"""),24.97)</f>
        <v>24.97</v>
      </c>
      <c r="F356" s="1">
        <f ca="1">IFERROR(__xludf.DUMMYFUNCTION("""COMPUTED_VALUE"""),42307212)</f>
        <v>42307212</v>
      </c>
    </row>
    <row r="357" spans="1:6" x14ac:dyDescent="0.35">
      <c r="A357" s="2">
        <f ca="1">IFERROR(__xludf.DUMMYFUNCTION("""COMPUTED_VALUE"""),42522.6666666666)</f>
        <v>42522.666666666599</v>
      </c>
      <c r="B357" s="1">
        <f ca="1">IFERROR(__xludf.DUMMYFUNCTION("""COMPUTED_VALUE"""),24.76)</f>
        <v>24.76</v>
      </c>
      <c r="C357" s="1">
        <f ca="1">IFERROR(__xludf.DUMMYFUNCTION("""COMPUTED_VALUE"""),24.89)</f>
        <v>24.89</v>
      </c>
      <c r="D357" s="1">
        <f ca="1">IFERROR(__xludf.DUMMYFUNCTION("""COMPUTED_VALUE"""),24.58)</f>
        <v>24.58</v>
      </c>
      <c r="E357" s="1">
        <f ca="1">IFERROR(__xludf.DUMMYFUNCTION("""COMPUTED_VALUE"""),24.62)</f>
        <v>24.62</v>
      </c>
      <c r="F357" s="1">
        <f ca="1">IFERROR(__xludf.DUMMYFUNCTION("""COMPUTED_VALUE"""),29173285)</f>
        <v>29173285</v>
      </c>
    </row>
    <row r="358" spans="1:6" x14ac:dyDescent="0.35">
      <c r="A358" s="2">
        <f ca="1">IFERROR(__xludf.DUMMYFUNCTION("""COMPUTED_VALUE"""),42523.6666666666)</f>
        <v>42523.666666666599</v>
      </c>
      <c r="B358" s="1">
        <f ca="1">IFERROR(__xludf.DUMMYFUNCTION("""COMPUTED_VALUE"""),24.4)</f>
        <v>24.4</v>
      </c>
      <c r="C358" s="1">
        <f ca="1">IFERROR(__xludf.DUMMYFUNCTION("""COMPUTED_VALUE"""),24.46)</f>
        <v>24.46</v>
      </c>
      <c r="D358" s="1">
        <f ca="1">IFERROR(__xludf.DUMMYFUNCTION("""COMPUTED_VALUE"""),24.16)</f>
        <v>24.16</v>
      </c>
      <c r="E358" s="1">
        <f ca="1">IFERROR(__xludf.DUMMYFUNCTION("""COMPUTED_VALUE"""),24.43)</f>
        <v>24.43</v>
      </c>
      <c r="F358" s="1">
        <f ca="1">IFERROR(__xludf.DUMMYFUNCTION("""COMPUTED_VALUE"""),40191600)</f>
        <v>40191600</v>
      </c>
    </row>
    <row r="359" spans="1:6" x14ac:dyDescent="0.35">
      <c r="A359" s="2">
        <f ca="1">IFERROR(__xludf.DUMMYFUNCTION("""COMPUTED_VALUE"""),42524.6666666666)</f>
        <v>42524.666666666599</v>
      </c>
      <c r="B359" s="1">
        <f ca="1">IFERROR(__xludf.DUMMYFUNCTION("""COMPUTED_VALUE"""),24.45)</f>
        <v>24.45</v>
      </c>
      <c r="C359" s="1">
        <f ca="1">IFERROR(__xludf.DUMMYFUNCTION("""COMPUTED_VALUE"""),24.57)</f>
        <v>24.57</v>
      </c>
      <c r="D359" s="1">
        <f ca="1">IFERROR(__xludf.DUMMYFUNCTION("""COMPUTED_VALUE"""),24.36)</f>
        <v>24.36</v>
      </c>
      <c r="E359" s="1">
        <f ca="1">IFERROR(__xludf.DUMMYFUNCTION("""COMPUTED_VALUE"""),24.48)</f>
        <v>24.48</v>
      </c>
      <c r="F359" s="1">
        <f ca="1">IFERROR(__xludf.DUMMYFUNCTION("""COMPUTED_VALUE"""),28504888)</f>
        <v>28504888</v>
      </c>
    </row>
    <row r="360" spans="1:6" x14ac:dyDescent="0.35">
      <c r="A360" s="2">
        <f ca="1">IFERROR(__xludf.DUMMYFUNCTION("""COMPUTED_VALUE"""),42527.6666666666)</f>
        <v>42527.666666666599</v>
      </c>
      <c r="B360" s="1">
        <f ca="1">IFERROR(__xludf.DUMMYFUNCTION("""COMPUTED_VALUE"""),24.5)</f>
        <v>24.5</v>
      </c>
      <c r="C360" s="1">
        <f ca="1">IFERROR(__xludf.DUMMYFUNCTION("""COMPUTED_VALUE"""),25.47)</f>
        <v>25.47</v>
      </c>
      <c r="D360" s="1">
        <f ca="1">IFERROR(__xludf.DUMMYFUNCTION("""COMPUTED_VALUE"""),24.39)</f>
        <v>24.39</v>
      </c>
      <c r="E360" s="1">
        <f ca="1">IFERROR(__xludf.DUMMYFUNCTION("""COMPUTED_VALUE"""),24.66)</f>
        <v>24.66</v>
      </c>
      <c r="F360" s="1">
        <f ca="1">IFERROR(__xludf.DUMMYFUNCTION("""COMPUTED_VALUE"""),23292504)</f>
        <v>23292504</v>
      </c>
    </row>
    <row r="361" spans="1:6" x14ac:dyDescent="0.35">
      <c r="A361" s="2">
        <f ca="1">IFERROR(__xludf.DUMMYFUNCTION("""COMPUTED_VALUE"""),42528.6666666666)</f>
        <v>42528.666666666599</v>
      </c>
      <c r="B361" s="1">
        <f ca="1">IFERROR(__xludf.DUMMYFUNCTION("""COMPUTED_VALUE"""),24.81)</f>
        <v>24.81</v>
      </c>
      <c r="C361" s="1">
        <f ca="1">IFERROR(__xludf.DUMMYFUNCTION("""COMPUTED_VALUE"""),24.97)</f>
        <v>24.97</v>
      </c>
      <c r="D361" s="1">
        <f ca="1">IFERROR(__xludf.DUMMYFUNCTION("""COMPUTED_VALUE"""),24.74)</f>
        <v>24.74</v>
      </c>
      <c r="E361" s="1">
        <f ca="1">IFERROR(__xludf.DUMMYFUNCTION("""COMPUTED_VALUE"""),24.76)</f>
        <v>24.76</v>
      </c>
      <c r="F361" s="1">
        <f ca="1">IFERROR(__xludf.DUMMYFUNCTION("""COMPUTED_VALUE"""),22409450)</f>
        <v>22409450</v>
      </c>
    </row>
    <row r="362" spans="1:6" x14ac:dyDescent="0.35">
      <c r="A362" s="2">
        <f ca="1">IFERROR(__xludf.DUMMYFUNCTION("""COMPUTED_VALUE"""),42529.6666666666)</f>
        <v>42529.666666666599</v>
      </c>
      <c r="B362" s="1">
        <f ca="1">IFERROR(__xludf.DUMMYFUNCTION("""COMPUTED_VALUE"""),24.76)</f>
        <v>24.76</v>
      </c>
      <c r="C362" s="1">
        <f ca="1">IFERROR(__xludf.DUMMYFUNCTION("""COMPUTED_VALUE"""),24.89)</f>
        <v>24.89</v>
      </c>
      <c r="D362" s="1">
        <f ca="1">IFERROR(__xludf.DUMMYFUNCTION("""COMPUTED_VALUE"""),24.67)</f>
        <v>24.67</v>
      </c>
      <c r="E362" s="1">
        <f ca="1">IFERROR(__xludf.DUMMYFUNCTION("""COMPUTED_VALUE"""),24.74)</f>
        <v>24.74</v>
      </c>
      <c r="F362" s="1">
        <f ca="1">IFERROR(__xludf.DUMMYFUNCTION("""COMPUTED_VALUE"""),20848131)</f>
        <v>20848131</v>
      </c>
    </row>
    <row r="363" spans="1:6" x14ac:dyDescent="0.35">
      <c r="A363" s="2">
        <f ca="1">IFERROR(__xludf.DUMMYFUNCTION("""COMPUTED_VALUE"""),42530.6666666666)</f>
        <v>42530.666666666599</v>
      </c>
      <c r="B363" s="1">
        <f ca="1">IFERROR(__xludf.DUMMYFUNCTION("""COMPUTED_VALUE"""),24.63)</f>
        <v>24.63</v>
      </c>
      <c r="C363" s="1">
        <f ca="1">IFERROR(__xludf.DUMMYFUNCTION("""COMPUTED_VALUE"""),25)</f>
        <v>25</v>
      </c>
      <c r="D363" s="1">
        <f ca="1">IFERROR(__xludf.DUMMYFUNCTION("""COMPUTED_VALUE"""),24.62)</f>
        <v>24.62</v>
      </c>
      <c r="E363" s="1">
        <f ca="1">IFERROR(__xludf.DUMMYFUNCTION("""COMPUTED_VALUE"""),24.91)</f>
        <v>24.91</v>
      </c>
      <c r="F363" s="1">
        <f ca="1">IFERROR(__xludf.DUMMYFUNCTION("""COMPUTED_VALUE"""),26601354)</f>
        <v>26601354</v>
      </c>
    </row>
    <row r="364" spans="1:6" x14ac:dyDescent="0.35">
      <c r="A364" s="2">
        <f ca="1">IFERROR(__xludf.DUMMYFUNCTION("""COMPUTED_VALUE"""),42531.6666666666)</f>
        <v>42531.666666666599</v>
      </c>
      <c r="B364" s="1">
        <f ca="1">IFERROR(__xludf.DUMMYFUNCTION("""COMPUTED_VALUE"""),24.63)</f>
        <v>24.63</v>
      </c>
      <c r="C364" s="1">
        <f ca="1">IFERROR(__xludf.DUMMYFUNCTION("""COMPUTED_VALUE"""),24.84)</f>
        <v>24.84</v>
      </c>
      <c r="D364" s="1">
        <f ca="1">IFERROR(__xludf.DUMMYFUNCTION("""COMPUTED_VALUE"""),24.62)</f>
        <v>24.62</v>
      </c>
      <c r="E364" s="1">
        <f ca="1">IFERROR(__xludf.DUMMYFUNCTION("""COMPUTED_VALUE"""),24.71)</f>
        <v>24.71</v>
      </c>
      <c r="F364" s="1">
        <f ca="1">IFERROR(__xludf.DUMMYFUNCTION("""COMPUTED_VALUE"""),31712936)</f>
        <v>31712936</v>
      </c>
    </row>
    <row r="365" spans="1:6" x14ac:dyDescent="0.35">
      <c r="A365" s="2">
        <f ca="1">IFERROR(__xludf.DUMMYFUNCTION("""COMPUTED_VALUE"""),42534.6666666666)</f>
        <v>42534.666666666599</v>
      </c>
      <c r="B365" s="1">
        <f ca="1">IFERROR(__xludf.DUMMYFUNCTION("""COMPUTED_VALUE"""),24.67)</f>
        <v>24.67</v>
      </c>
      <c r="C365" s="1">
        <f ca="1">IFERROR(__xludf.DUMMYFUNCTION("""COMPUTED_VALUE"""),24.78)</f>
        <v>24.78</v>
      </c>
      <c r="D365" s="1">
        <f ca="1">IFERROR(__xludf.DUMMYFUNCTION("""COMPUTED_VALUE"""),24.28)</f>
        <v>24.28</v>
      </c>
      <c r="E365" s="1">
        <f ca="1">IFERROR(__xludf.DUMMYFUNCTION("""COMPUTED_VALUE"""),24.34)</f>
        <v>24.34</v>
      </c>
      <c r="F365" s="1">
        <f ca="1">IFERROR(__xludf.DUMMYFUNCTION("""COMPUTED_VALUE"""),38020494)</f>
        <v>38020494</v>
      </c>
    </row>
    <row r="366" spans="1:6" x14ac:dyDescent="0.35">
      <c r="A366" s="2">
        <f ca="1">IFERROR(__xludf.DUMMYFUNCTION("""COMPUTED_VALUE"""),42535.6666666666)</f>
        <v>42535.666666666599</v>
      </c>
      <c r="B366" s="1">
        <f ca="1">IFERROR(__xludf.DUMMYFUNCTION("""COMPUTED_VALUE"""),24.33)</f>
        <v>24.33</v>
      </c>
      <c r="C366" s="1">
        <f ca="1">IFERROR(__xludf.DUMMYFUNCTION("""COMPUTED_VALUE"""),24.62)</f>
        <v>24.62</v>
      </c>
      <c r="D366" s="1">
        <f ca="1">IFERROR(__xludf.DUMMYFUNCTION("""COMPUTED_VALUE"""),24.19)</f>
        <v>24.19</v>
      </c>
      <c r="E366" s="1">
        <f ca="1">IFERROR(__xludf.DUMMYFUNCTION("""COMPUTED_VALUE"""),24.37)</f>
        <v>24.37</v>
      </c>
      <c r="F366" s="1">
        <f ca="1">IFERROR(__xludf.DUMMYFUNCTION("""COMPUTED_VALUE"""),31931944)</f>
        <v>31931944</v>
      </c>
    </row>
    <row r="367" spans="1:6" x14ac:dyDescent="0.35">
      <c r="A367" s="2">
        <f ca="1">IFERROR(__xludf.DUMMYFUNCTION("""COMPUTED_VALUE"""),42536.6666666666)</f>
        <v>42536.666666666599</v>
      </c>
      <c r="B367" s="1">
        <f ca="1">IFERROR(__xludf.DUMMYFUNCTION("""COMPUTED_VALUE"""),24.46)</f>
        <v>24.46</v>
      </c>
      <c r="C367" s="1">
        <f ca="1">IFERROR(__xludf.DUMMYFUNCTION("""COMPUTED_VALUE"""),24.6)</f>
        <v>24.6</v>
      </c>
      <c r="D367" s="1">
        <f ca="1">IFERROR(__xludf.DUMMYFUNCTION("""COMPUTED_VALUE"""),24.26)</f>
        <v>24.26</v>
      </c>
      <c r="E367" s="1">
        <f ca="1">IFERROR(__xludf.DUMMYFUNCTION("""COMPUTED_VALUE"""),24.29)</f>
        <v>24.29</v>
      </c>
      <c r="F367" s="1">
        <f ca="1">IFERROR(__xludf.DUMMYFUNCTION("""COMPUTED_VALUE"""),29445227)</f>
        <v>29445227</v>
      </c>
    </row>
    <row r="368" spans="1:6" x14ac:dyDescent="0.35">
      <c r="A368" s="2">
        <f ca="1">IFERROR(__xludf.DUMMYFUNCTION("""COMPUTED_VALUE"""),42537.6666666666)</f>
        <v>42537.666666666599</v>
      </c>
      <c r="B368" s="1">
        <f ca="1">IFERROR(__xludf.DUMMYFUNCTION("""COMPUTED_VALUE"""),24.11)</f>
        <v>24.11</v>
      </c>
      <c r="C368" s="1">
        <f ca="1">IFERROR(__xludf.DUMMYFUNCTION("""COMPUTED_VALUE"""),24.44)</f>
        <v>24.44</v>
      </c>
      <c r="D368" s="1">
        <f ca="1">IFERROR(__xludf.DUMMYFUNCTION("""COMPUTED_VALUE"""),24.02)</f>
        <v>24.02</v>
      </c>
      <c r="E368" s="1">
        <f ca="1">IFERROR(__xludf.DUMMYFUNCTION("""COMPUTED_VALUE"""),24.39)</f>
        <v>24.39</v>
      </c>
      <c r="F368" s="1">
        <f ca="1">IFERROR(__xludf.DUMMYFUNCTION("""COMPUTED_VALUE"""),31326815)</f>
        <v>31326815</v>
      </c>
    </row>
    <row r="369" spans="1:6" x14ac:dyDescent="0.35">
      <c r="A369" s="2">
        <f ca="1">IFERROR(__xludf.DUMMYFUNCTION("""COMPUTED_VALUE"""),42538.6666666666)</f>
        <v>42538.666666666599</v>
      </c>
      <c r="B369" s="1">
        <f ca="1">IFERROR(__xludf.DUMMYFUNCTION("""COMPUTED_VALUE"""),24.16)</f>
        <v>24.16</v>
      </c>
      <c r="C369" s="1">
        <f ca="1">IFERROR(__xludf.DUMMYFUNCTION("""COMPUTED_VALUE"""),24.16)</f>
        <v>24.16</v>
      </c>
      <c r="D369" s="1">
        <f ca="1">IFERROR(__xludf.DUMMYFUNCTION("""COMPUTED_VALUE"""),23.83)</f>
        <v>23.83</v>
      </c>
      <c r="E369" s="1">
        <f ca="1">IFERROR(__xludf.DUMMYFUNCTION("""COMPUTED_VALUE"""),23.83)</f>
        <v>23.83</v>
      </c>
      <c r="F369" s="1">
        <f ca="1">IFERROR(__xludf.DUMMYFUNCTION("""COMPUTED_VALUE"""),61008219)</f>
        <v>61008219</v>
      </c>
    </row>
    <row r="370" spans="1:6" x14ac:dyDescent="0.35">
      <c r="A370" s="2">
        <f ca="1">IFERROR(__xludf.DUMMYFUNCTION("""COMPUTED_VALUE"""),42541.6666666666)</f>
        <v>42541.666666666599</v>
      </c>
      <c r="B370" s="1">
        <f ca="1">IFERROR(__xludf.DUMMYFUNCTION("""COMPUTED_VALUE"""),24)</f>
        <v>24</v>
      </c>
      <c r="C370" s="1">
        <f ca="1">IFERROR(__xludf.DUMMYFUNCTION("""COMPUTED_VALUE"""),24.14)</f>
        <v>24.14</v>
      </c>
      <c r="D370" s="1">
        <f ca="1">IFERROR(__xludf.DUMMYFUNCTION("""COMPUTED_VALUE"""),23.76)</f>
        <v>23.76</v>
      </c>
      <c r="E370" s="1">
        <f ca="1">IFERROR(__xludf.DUMMYFUNCTION("""COMPUTED_VALUE"""),23.78)</f>
        <v>23.78</v>
      </c>
      <c r="F370" s="1">
        <f ca="1">IFERROR(__xludf.DUMMYFUNCTION("""COMPUTED_VALUE"""),34411901)</f>
        <v>34411901</v>
      </c>
    </row>
    <row r="371" spans="1:6" x14ac:dyDescent="0.35">
      <c r="A371" s="2">
        <f ca="1">IFERROR(__xludf.DUMMYFUNCTION("""COMPUTED_VALUE"""),42542.6666666666)</f>
        <v>42542.666666666599</v>
      </c>
      <c r="B371" s="1">
        <f ca="1">IFERROR(__xludf.DUMMYFUNCTION("""COMPUTED_VALUE"""),23.74)</f>
        <v>23.74</v>
      </c>
      <c r="C371" s="1">
        <f ca="1">IFERROR(__xludf.DUMMYFUNCTION("""COMPUTED_VALUE"""),24.09)</f>
        <v>24.09</v>
      </c>
      <c r="D371" s="1">
        <f ca="1">IFERROR(__xludf.DUMMYFUNCTION("""COMPUTED_VALUE"""),23.67)</f>
        <v>23.67</v>
      </c>
      <c r="E371" s="1">
        <f ca="1">IFERROR(__xludf.DUMMYFUNCTION("""COMPUTED_VALUE"""),23.98)</f>
        <v>23.98</v>
      </c>
      <c r="F371" s="1">
        <f ca="1">IFERROR(__xludf.DUMMYFUNCTION("""COMPUTED_VALUE"""),35546358)</f>
        <v>35546358</v>
      </c>
    </row>
    <row r="372" spans="1:6" x14ac:dyDescent="0.35">
      <c r="A372" s="2">
        <f ca="1">IFERROR(__xludf.DUMMYFUNCTION("""COMPUTED_VALUE"""),42543.6666666666)</f>
        <v>42543.666666666599</v>
      </c>
      <c r="B372" s="1">
        <f ca="1">IFERROR(__xludf.DUMMYFUNCTION("""COMPUTED_VALUE"""),24.06)</f>
        <v>24.06</v>
      </c>
      <c r="C372" s="1">
        <f ca="1">IFERROR(__xludf.DUMMYFUNCTION("""COMPUTED_VALUE"""),24.22)</f>
        <v>24.22</v>
      </c>
      <c r="D372" s="1">
        <f ca="1">IFERROR(__xludf.DUMMYFUNCTION("""COMPUTED_VALUE"""),23.84)</f>
        <v>23.84</v>
      </c>
      <c r="E372" s="1">
        <f ca="1">IFERROR(__xludf.DUMMYFUNCTION("""COMPUTED_VALUE"""),23.89)</f>
        <v>23.89</v>
      </c>
      <c r="F372" s="1">
        <f ca="1">IFERROR(__xludf.DUMMYFUNCTION("""COMPUTED_VALUE"""),29219122)</f>
        <v>29219122</v>
      </c>
    </row>
    <row r="373" spans="1:6" x14ac:dyDescent="0.35">
      <c r="A373" s="2">
        <f ca="1">IFERROR(__xludf.DUMMYFUNCTION("""COMPUTED_VALUE"""),42544.6666666666)</f>
        <v>42544.666666666599</v>
      </c>
      <c r="B373" s="1">
        <f ca="1">IFERROR(__xludf.DUMMYFUNCTION("""COMPUTED_VALUE"""),23.99)</f>
        <v>23.99</v>
      </c>
      <c r="C373" s="1">
        <f ca="1">IFERROR(__xludf.DUMMYFUNCTION("""COMPUTED_VALUE"""),24.07)</f>
        <v>24.07</v>
      </c>
      <c r="D373" s="1">
        <f ca="1">IFERROR(__xludf.DUMMYFUNCTION("""COMPUTED_VALUE"""),23.81)</f>
        <v>23.81</v>
      </c>
      <c r="E373" s="1">
        <f ca="1">IFERROR(__xludf.DUMMYFUNCTION("""COMPUTED_VALUE"""),24.03)</f>
        <v>24.03</v>
      </c>
      <c r="F373" s="1">
        <f ca="1">IFERROR(__xludf.DUMMYFUNCTION("""COMPUTED_VALUE"""),32240187)</f>
        <v>32240187</v>
      </c>
    </row>
    <row r="374" spans="1:6" x14ac:dyDescent="0.35">
      <c r="A374" s="2">
        <f ca="1">IFERROR(__xludf.DUMMYFUNCTION("""COMPUTED_VALUE"""),42545.6666666666)</f>
        <v>42545.666666666599</v>
      </c>
      <c r="B374" s="1">
        <f ca="1">IFERROR(__xludf.DUMMYFUNCTION("""COMPUTED_VALUE"""),23.23)</f>
        <v>23.23</v>
      </c>
      <c r="C374" s="1">
        <f ca="1">IFERROR(__xludf.DUMMYFUNCTION("""COMPUTED_VALUE"""),23.66)</f>
        <v>23.66</v>
      </c>
      <c r="D374" s="1">
        <f ca="1">IFERROR(__xludf.DUMMYFUNCTION("""COMPUTED_VALUE"""),23.16)</f>
        <v>23.16</v>
      </c>
      <c r="E374" s="1">
        <f ca="1">IFERROR(__xludf.DUMMYFUNCTION("""COMPUTED_VALUE"""),23.35)</f>
        <v>23.35</v>
      </c>
      <c r="F374" s="1">
        <f ca="1">IFERROR(__xludf.DUMMYFUNCTION("""COMPUTED_VALUE"""),75311356)</f>
        <v>75311356</v>
      </c>
    </row>
    <row r="375" spans="1:6" x14ac:dyDescent="0.35">
      <c r="A375" s="2">
        <f ca="1">IFERROR(__xludf.DUMMYFUNCTION("""COMPUTED_VALUE"""),42548.6666666666)</f>
        <v>42548.666666666599</v>
      </c>
      <c r="B375" s="1">
        <f ca="1">IFERROR(__xludf.DUMMYFUNCTION("""COMPUTED_VALUE"""),23.25)</f>
        <v>23.25</v>
      </c>
      <c r="C375" s="1">
        <f ca="1">IFERROR(__xludf.DUMMYFUNCTION("""COMPUTED_VALUE"""),23.26)</f>
        <v>23.26</v>
      </c>
      <c r="D375" s="1">
        <f ca="1">IFERROR(__xludf.DUMMYFUNCTION("""COMPUTED_VALUE"""),22.88)</f>
        <v>22.88</v>
      </c>
      <c r="E375" s="1">
        <f ca="1">IFERROR(__xludf.DUMMYFUNCTION("""COMPUTED_VALUE"""),23.01)</f>
        <v>23.01</v>
      </c>
      <c r="F375" s="1">
        <f ca="1">IFERROR(__xludf.DUMMYFUNCTION("""COMPUTED_VALUE"""),46622188)</f>
        <v>46622188</v>
      </c>
    </row>
    <row r="376" spans="1:6" x14ac:dyDescent="0.35">
      <c r="A376" s="2">
        <f ca="1">IFERROR(__xludf.DUMMYFUNCTION("""COMPUTED_VALUE"""),42549.6666666666)</f>
        <v>42549.666666666599</v>
      </c>
      <c r="B376" s="1">
        <f ca="1">IFERROR(__xludf.DUMMYFUNCTION("""COMPUTED_VALUE"""),23.23)</f>
        <v>23.23</v>
      </c>
      <c r="C376" s="1">
        <f ca="1">IFERROR(__xludf.DUMMYFUNCTION("""COMPUTED_VALUE"""),23.42)</f>
        <v>23.42</v>
      </c>
      <c r="D376" s="1">
        <f ca="1">IFERROR(__xludf.DUMMYFUNCTION("""COMPUTED_VALUE"""),23.04)</f>
        <v>23.04</v>
      </c>
      <c r="E376" s="1">
        <f ca="1">IFERROR(__xludf.DUMMYFUNCTION("""COMPUTED_VALUE"""),23.4)</f>
        <v>23.4</v>
      </c>
      <c r="F376" s="1">
        <f ca="1">IFERROR(__xludf.DUMMYFUNCTION("""COMPUTED_VALUE"""),40444914)</f>
        <v>40444914</v>
      </c>
    </row>
    <row r="377" spans="1:6" x14ac:dyDescent="0.35">
      <c r="A377" s="2">
        <f ca="1">IFERROR(__xludf.DUMMYFUNCTION("""COMPUTED_VALUE"""),42550.6666666666)</f>
        <v>42550.666666666599</v>
      </c>
      <c r="B377" s="1">
        <f ca="1">IFERROR(__xludf.DUMMYFUNCTION("""COMPUTED_VALUE"""),23.49)</f>
        <v>23.49</v>
      </c>
      <c r="C377" s="1">
        <f ca="1">IFERROR(__xludf.DUMMYFUNCTION("""COMPUTED_VALUE"""),23.64)</f>
        <v>23.64</v>
      </c>
      <c r="D377" s="1">
        <f ca="1">IFERROR(__xludf.DUMMYFUNCTION("""COMPUTED_VALUE"""),23.41)</f>
        <v>23.41</v>
      </c>
      <c r="E377" s="1">
        <f ca="1">IFERROR(__xludf.DUMMYFUNCTION("""COMPUTED_VALUE"""),23.6)</f>
        <v>23.6</v>
      </c>
      <c r="F377" s="1">
        <f ca="1">IFERROR(__xludf.DUMMYFUNCTION("""COMPUTED_VALUE"""),36531006)</f>
        <v>36531006</v>
      </c>
    </row>
    <row r="378" spans="1:6" x14ac:dyDescent="0.35">
      <c r="A378" s="2">
        <f ca="1">IFERROR(__xludf.DUMMYFUNCTION("""COMPUTED_VALUE"""),42551.6666666666)</f>
        <v>42551.666666666599</v>
      </c>
      <c r="B378" s="1">
        <f ca="1">IFERROR(__xludf.DUMMYFUNCTION("""COMPUTED_VALUE"""),23.61)</f>
        <v>23.61</v>
      </c>
      <c r="C378" s="1">
        <f ca="1">IFERROR(__xludf.DUMMYFUNCTION("""COMPUTED_VALUE"""),23.94)</f>
        <v>23.94</v>
      </c>
      <c r="D378" s="1">
        <f ca="1">IFERROR(__xludf.DUMMYFUNCTION("""COMPUTED_VALUE"""),23.58)</f>
        <v>23.58</v>
      </c>
      <c r="E378" s="1">
        <f ca="1">IFERROR(__xludf.DUMMYFUNCTION("""COMPUTED_VALUE"""),23.9)</f>
        <v>23.9</v>
      </c>
      <c r="F378" s="1">
        <f ca="1">IFERROR(__xludf.DUMMYFUNCTION("""COMPUTED_VALUE"""),35836356)</f>
        <v>35836356</v>
      </c>
    </row>
    <row r="379" spans="1:6" x14ac:dyDescent="0.35">
      <c r="A379" s="2">
        <f ca="1">IFERROR(__xludf.DUMMYFUNCTION("""COMPUTED_VALUE"""),42552.6666666666)</f>
        <v>42552.666666666599</v>
      </c>
      <c r="B379" s="1">
        <f ca="1">IFERROR(__xludf.DUMMYFUNCTION("""COMPUTED_VALUE"""),23.87)</f>
        <v>23.87</v>
      </c>
      <c r="C379" s="1">
        <f ca="1">IFERROR(__xludf.DUMMYFUNCTION("""COMPUTED_VALUE"""),24.12)</f>
        <v>24.12</v>
      </c>
      <c r="D379" s="1">
        <f ca="1">IFERROR(__xludf.DUMMYFUNCTION("""COMPUTED_VALUE"""),23.83)</f>
        <v>23.83</v>
      </c>
      <c r="E379" s="1">
        <f ca="1">IFERROR(__xludf.DUMMYFUNCTION("""COMPUTED_VALUE"""),23.97)</f>
        <v>23.97</v>
      </c>
      <c r="F379" s="1">
        <f ca="1">IFERROR(__xludf.DUMMYFUNCTION("""COMPUTED_VALUE"""),26026540)</f>
        <v>26026540</v>
      </c>
    </row>
    <row r="380" spans="1:6" x14ac:dyDescent="0.35">
      <c r="A380" s="2">
        <f ca="1">IFERROR(__xludf.DUMMYFUNCTION("""COMPUTED_VALUE"""),42556.6666666666)</f>
        <v>42556.666666666599</v>
      </c>
      <c r="B380" s="1">
        <f ca="1">IFERROR(__xludf.DUMMYFUNCTION("""COMPUTED_VALUE"""),23.85)</f>
        <v>23.85</v>
      </c>
      <c r="C380" s="1">
        <f ca="1">IFERROR(__xludf.DUMMYFUNCTION("""COMPUTED_VALUE"""),23.85)</f>
        <v>23.85</v>
      </c>
      <c r="D380" s="1">
        <f ca="1">IFERROR(__xludf.DUMMYFUNCTION("""COMPUTED_VALUE"""),23.62)</f>
        <v>23.62</v>
      </c>
      <c r="E380" s="1">
        <f ca="1">IFERROR(__xludf.DUMMYFUNCTION("""COMPUTED_VALUE"""),23.75)</f>
        <v>23.75</v>
      </c>
      <c r="F380" s="1">
        <f ca="1">IFERROR(__xludf.DUMMYFUNCTION("""COMPUTED_VALUE"""),27705210)</f>
        <v>27705210</v>
      </c>
    </row>
    <row r="381" spans="1:6" x14ac:dyDescent="0.35">
      <c r="A381" s="2">
        <f ca="1">IFERROR(__xludf.DUMMYFUNCTION("""COMPUTED_VALUE"""),42557.6666666666)</f>
        <v>42557.666666666599</v>
      </c>
      <c r="B381" s="1">
        <f ca="1">IFERROR(__xludf.DUMMYFUNCTION("""COMPUTED_VALUE"""),23.65)</f>
        <v>23.65</v>
      </c>
      <c r="C381" s="1">
        <f ca="1">IFERROR(__xludf.DUMMYFUNCTION("""COMPUTED_VALUE"""),23.92)</f>
        <v>23.92</v>
      </c>
      <c r="D381" s="1">
        <f ca="1">IFERROR(__xludf.DUMMYFUNCTION("""COMPUTED_VALUE"""),23.59)</f>
        <v>23.59</v>
      </c>
      <c r="E381" s="1">
        <f ca="1">IFERROR(__xludf.DUMMYFUNCTION("""COMPUTED_VALUE"""),23.88)</f>
        <v>23.88</v>
      </c>
      <c r="F381" s="1">
        <f ca="1">IFERROR(__xludf.DUMMYFUNCTION("""COMPUTED_VALUE"""),30949090)</f>
        <v>30949090</v>
      </c>
    </row>
    <row r="382" spans="1:6" x14ac:dyDescent="0.35">
      <c r="A382" s="2">
        <f ca="1">IFERROR(__xludf.DUMMYFUNCTION("""COMPUTED_VALUE"""),42558.6666666666)</f>
        <v>42558.666666666599</v>
      </c>
      <c r="B382" s="1">
        <f ca="1">IFERROR(__xludf.DUMMYFUNCTION("""COMPUTED_VALUE"""),23.93)</f>
        <v>23.93</v>
      </c>
      <c r="C382" s="1">
        <f ca="1">IFERROR(__xludf.DUMMYFUNCTION("""COMPUTED_VALUE"""),24.13)</f>
        <v>24.13</v>
      </c>
      <c r="D382" s="1">
        <f ca="1">IFERROR(__xludf.DUMMYFUNCTION("""COMPUTED_VALUE"""),23.91)</f>
        <v>23.91</v>
      </c>
      <c r="E382" s="1">
        <f ca="1">IFERROR(__xludf.DUMMYFUNCTION("""COMPUTED_VALUE"""),23.99)</f>
        <v>23.99</v>
      </c>
      <c r="F382" s="1">
        <f ca="1">IFERROR(__xludf.DUMMYFUNCTION("""COMPUTED_VALUE"""),25139558)</f>
        <v>25139558</v>
      </c>
    </row>
    <row r="383" spans="1:6" x14ac:dyDescent="0.35">
      <c r="A383" s="2">
        <f ca="1">IFERROR(__xludf.DUMMYFUNCTION("""COMPUTED_VALUE"""),42559.6666666666)</f>
        <v>42559.666666666599</v>
      </c>
      <c r="B383" s="1">
        <f ca="1">IFERROR(__xludf.DUMMYFUNCTION("""COMPUTED_VALUE"""),24.12)</f>
        <v>24.12</v>
      </c>
      <c r="C383" s="1">
        <f ca="1">IFERROR(__xludf.DUMMYFUNCTION("""COMPUTED_VALUE"""),24.22)</f>
        <v>24.22</v>
      </c>
      <c r="D383" s="1">
        <f ca="1">IFERROR(__xludf.DUMMYFUNCTION("""COMPUTED_VALUE"""),24.01)</f>
        <v>24.01</v>
      </c>
      <c r="E383" s="1">
        <f ca="1">IFERROR(__xludf.DUMMYFUNCTION("""COMPUTED_VALUE"""),24.17)</f>
        <v>24.17</v>
      </c>
      <c r="F383" s="1">
        <f ca="1">IFERROR(__xludf.DUMMYFUNCTION("""COMPUTED_VALUE"""),28912103)</f>
        <v>28912103</v>
      </c>
    </row>
    <row r="384" spans="1:6" x14ac:dyDescent="0.35">
      <c r="A384" s="2">
        <f ca="1">IFERROR(__xludf.DUMMYFUNCTION("""COMPUTED_VALUE"""),42562.6666666666)</f>
        <v>42562.666666666599</v>
      </c>
      <c r="B384" s="1">
        <f ca="1">IFERROR(__xludf.DUMMYFUNCTION("""COMPUTED_VALUE"""),24.19)</f>
        <v>24.19</v>
      </c>
      <c r="C384" s="1">
        <f ca="1">IFERROR(__xludf.DUMMYFUNCTION("""COMPUTED_VALUE"""),24.41)</f>
        <v>24.41</v>
      </c>
      <c r="D384" s="1">
        <f ca="1">IFERROR(__xludf.DUMMYFUNCTION("""COMPUTED_VALUE"""),24.18)</f>
        <v>24.18</v>
      </c>
      <c r="E384" s="1">
        <f ca="1">IFERROR(__xludf.DUMMYFUNCTION("""COMPUTED_VALUE"""),24.25)</f>
        <v>24.25</v>
      </c>
      <c r="F384" s="1">
        <f ca="1">IFERROR(__xludf.DUMMYFUNCTION("""COMPUTED_VALUE"""),23794945)</f>
        <v>23794945</v>
      </c>
    </row>
    <row r="385" spans="1:6" x14ac:dyDescent="0.35">
      <c r="A385" s="2">
        <f ca="1">IFERROR(__xludf.DUMMYFUNCTION("""COMPUTED_VALUE"""),42563.6666666666)</f>
        <v>42563.666666666599</v>
      </c>
      <c r="B385" s="1">
        <f ca="1">IFERROR(__xludf.DUMMYFUNCTION("""COMPUTED_VALUE"""),24.29)</f>
        <v>24.29</v>
      </c>
      <c r="C385" s="1">
        <f ca="1">IFERROR(__xludf.DUMMYFUNCTION("""COMPUTED_VALUE"""),24.43)</f>
        <v>24.43</v>
      </c>
      <c r="D385" s="1">
        <f ca="1">IFERROR(__xludf.DUMMYFUNCTION("""COMPUTED_VALUE"""),24.28)</f>
        <v>24.28</v>
      </c>
      <c r="E385" s="1">
        <f ca="1">IFERROR(__xludf.DUMMYFUNCTION("""COMPUTED_VALUE"""),24.36)</f>
        <v>24.36</v>
      </c>
      <c r="F385" s="1">
        <f ca="1">IFERROR(__xludf.DUMMYFUNCTION("""COMPUTED_VALUE"""),24167463)</f>
        <v>24167463</v>
      </c>
    </row>
    <row r="386" spans="1:6" x14ac:dyDescent="0.35">
      <c r="A386" s="2">
        <f ca="1">IFERROR(__xludf.DUMMYFUNCTION("""COMPUTED_VALUE"""),42564.6666666666)</f>
        <v>42564.666666666599</v>
      </c>
      <c r="B386" s="1">
        <f ca="1">IFERROR(__xludf.DUMMYFUNCTION("""COMPUTED_VALUE"""),24.35)</f>
        <v>24.35</v>
      </c>
      <c r="C386" s="1">
        <f ca="1">IFERROR(__xludf.DUMMYFUNCTION("""COMPUTED_VALUE"""),24.42)</f>
        <v>24.42</v>
      </c>
      <c r="D386" s="1">
        <f ca="1">IFERROR(__xludf.DUMMYFUNCTION("""COMPUTED_VALUE"""),24.21)</f>
        <v>24.21</v>
      </c>
      <c r="E386" s="1">
        <f ca="1">IFERROR(__xludf.DUMMYFUNCTION("""COMPUTED_VALUE"""),24.22)</f>
        <v>24.22</v>
      </c>
      <c r="F386" s="1">
        <f ca="1">IFERROR(__xludf.DUMMYFUNCTION("""COMPUTED_VALUE"""),25892171)</f>
        <v>25892171</v>
      </c>
    </row>
    <row r="387" spans="1:6" x14ac:dyDescent="0.35">
      <c r="A387" s="2">
        <f ca="1">IFERROR(__xludf.DUMMYFUNCTION("""COMPUTED_VALUE"""),42565.6666666666)</f>
        <v>42565.666666666599</v>
      </c>
      <c r="B387" s="1">
        <f ca="1">IFERROR(__xludf.DUMMYFUNCTION("""COMPUTED_VALUE"""),24.35)</f>
        <v>24.35</v>
      </c>
      <c r="C387" s="1">
        <f ca="1">IFERROR(__xludf.DUMMYFUNCTION("""COMPUTED_VALUE"""),24.75)</f>
        <v>24.75</v>
      </c>
      <c r="D387" s="1">
        <f ca="1">IFERROR(__xludf.DUMMYFUNCTION("""COMPUTED_VALUE"""),24.33)</f>
        <v>24.33</v>
      </c>
      <c r="E387" s="1">
        <f ca="1">IFERROR(__xludf.DUMMYFUNCTION("""COMPUTED_VALUE"""),24.7)</f>
        <v>24.7</v>
      </c>
      <c r="F387" s="1">
        <f ca="1">IFERROR(__xludf.DUMMYFUNCTION("""COMPUTED_VALUE"""),38918997)</f>
        <v>38918997</v>
      </c>
    </row>
    <row r="388" spans="1:6" x14ac:dyDescent="0.35">
      <c r="A388" s="2">
        <f ca="1">IFERROR(__xludf.DUMMYFUNCTION("""COMPUTED_VALUE"""),42566.6666666666)</f>
        <v>42566.666666666599</v>
      </c>
      <c r="B388" s="1">
        <f ca="1">IFERROR(__xludf.DUMMYFUNCTION("""COMPUTED_VALUE"""),24.73)</f>
        <v>24.73</v>
      </c>
      <c r="C388" s="1">
        <f ca="1">IFERROR(__xludf.DUMMYFUNCTION("""COMPUTED_VALUE"""),24.83)</f>
        <v>24.83</v>
      </c>
      <c r="D388" s="1">
        <f ca="1">IFERROR(__xludf.DUMMYFUNCTION("""COMPUTED_VALUE"""),24.63)</f>
        <v>24.63</v>
      </c>
      <c r="E388" s="1">
        <f ca="1">IFERROR(__xludf.DUMMYFUNCTION("""COMPUTED_VALUE"""),24.7)</f>
        <v>24.7</v>
      </c>
      <c r="F388" s="1">
        <f ca="1">IFERROR(__xludf.DUMMYFUNCTION("""COMPUTED_VALUE"""),30136990)</f>
        <v>30136990</v>
      </c>
    </row>
    <row r="389" spans="1:6" x14ac:dyDescent="0.35">
      <c r="A389" s="2">
        <f ca="1">IFERROR(__xludf.DUMMYFUNCTION("""COMPUTED_VALUE"""),42569.6666666666)</f>
        <v>42569.666666666599</v>
      </c>
      <c r="B389" s="1">
        <f ca="1">IFERROR(__xludf.DUMMYFUNCTION("""COMPUTED_VALUE"""),24.68)</f>
        <v>24.68</v>
      </c>
      <c r="C389" s="1">
        <f ca="1">IFERROR(__xludf.DUMMYFUNCTION("""COMPUTED_VALUE"""),25.03)</f>
        <v>25.03</v>
      </c>
      <c r="D389" s="1">
        <f ca="1">IFERROR(__xludf.DUMMYFUNCTION("""COMPUTED_VALUE"""),24.65)</f>
        <v>24.65</v>
      </c>
      <c r="E389" s="1">
        <f ca="1">IFERROR(__xludf.DUMMYFUNCTION("""COMPUTED_VALUE"""),24.96)</f>
        <v>24.96</v>
      </c>
      <c r="F389" s="1">
        <f ca="1">IFERROR(__xludf.DUMMYFUNCTION("""COMPUTED_VALUE"""),36493867)</f>
        <v>36493867</v>
      </c>
    </row>
    <row r="390" spans="1:6" x14ac:dyDescent="0.35">
      <c r="A390" s="2">
        <f ca="1">IFERROR(__xludf.DUMMYFUNCTION("""COMPUTED_VALUE"""),42570.6666666666)</f>
        <v>42570.666666666599</v>
      </c>
      <c r="B390" s="1">
        <f ca="1">IFERROR(__xludf.DUMMYFUNCTION("""COMPUTED_VALUE"""),24.89)</f>
        <v>24.89</v>
      </c>
      <c r="C390" s="1">
        <f ca="1">IFERROR(__xludf.DUMMYFUNCTION("""COMPUTED_VALUE"""),25)</f>
        <v>25</v>
      </c>
      <c r="D390" s="1">
        <f ca="1">IFERROR(__xludf.DUMMYFUNCTION("""COMPUTED_VALUE"""),24.84)</f>
        <v>24.84</v>
      </c>
      <c r="E390" s="1">
        <f ca="1">IFERROR(__xludf.DUMMYFUNCTION("""COMPUTED_VALUE"""),24.97)</f>
        <v>24.97</v>
      </c>
      <c r="F390" s="1">
        <f ca="1">IFERROR(__xludf.DUMMYFUNCTION("""COMPUTED_VALUE"""),23779924)</f>
        <v>23779924</v>
      </c>
    </row>
    <row r="391" spans="1:6" x14ac:dyDescent="0.35">
      <c r="A391" s="2">
        <f ca="1">IFERROR(__xludf.DUMMYFUNCTION("""COMPUTED_VALUE"""),42571.6666666666)</f>
        <v>42571.666666666599</v>
      </c>
      <c r="B391" s="1">
        <f ca="1">IFERROR(__xludf.DUMMYFUNCTION("""COMPUTED_VALUE"""),25)</f>
        <v>25</v>
      </c>
      <c r="C391" s="1">
        <f ca="1">IFERROR(__xludf.DUMMYFUNCTION("""COMPUTED_VALUE"""),25.12)</f>
        <v>25.12</v>
      </c>
      <c r="D391" s="1">
        <f ca="1">IFERROR(__xludf.DUMMYFUNCTION("""COMPUTED_VALUE"""),24.93)</f>
        <v>24.93</v>
      </c>
      <c r="E391" s="1">
        <f ca="1">IFERROR(__xludf.DUMMYFUNCTION("""COMPUTED_VALUE"""),24.99)</f>
        <v>24.99</v>
      </c>
      <c r="F391" s="1">
        <f ca="1">IFERROR(__xludf.DUMMYFUNCTION("""COMPUTED_VALUE"""),26275968)</f>
        <v>26275968</v>
      </c>
    </row>
    <row r="392" spans="1:6" x14ac:dyDescent="0.35">
      <c r="A392" s="2">
        <f ca="1">IFERROR(__xludf.DUMMYFUNCTION("""COMPUTED_VALUE"""),42572.6666666666)</f>
        <v>42572.666666666599</v>
      </c>
      <c r="B392" s="1">
        <f ca="1">IFERROR(__xludf.DUMMYFUNCTION("""COMPUTED_VALUE"""),24.96)</f>
        <v>24.96</v>
      </c>
      <c r="C392" s="1">
        <f ca="1">IFERROR(__xludf.DUMMYFUNCTION("""COMPUTED_VALUE"""),25.25)</f>
        <v>25.25</v>
      </c>
      <c r="D392" s="1">
        <f ca="1">IFERROR(__xludf.DUMMYFUNCTION("""COMPUTED_VALUE"""),24.78)</f>
        <v>24.78</v>
      </c>
      <c r="E392" s="1">
        <f ca="1">IFERROR(__xludf.DUMMYFUNCTION("""COMPUTED_VALUE"""),24.86)</f>
        <v>24.86</v>
      </c>
      <c r="F392" s="1">
        <f ca="1">IFERROR(__xludf.DUMMYFUNCTION("""COMPUTED_VALUE"""),32702028)</f>
        <v>32702028</v>
      </c>
    </row>
    <row r="393" spans="1:6" x14ac:dyDescent="0.35">
      <c r="A393" s="2">
        <f ca="1">IFERROR(__xludf.DUMMYFUNCTION("""COMPUTED_VALUE"""),42573.6666666666)</f>
        <v>42573.666666666599</v>
      </c>
      <c r="B393" s="1">
        <f ca="1">IFERROR(__xludf.DUMMYFUNCTION("""COMPUTED_VALUE"""),24.82)</f>
        <v>24.82</v>
      </c>
      <c r="C393" s="1">
        <f ca="1">IFERROR(__xludf.DUMMYFUNCTION("""COMPUTED_VALUE"""),24.83)</f>
        <v>24.83</v>
      </c>
      <c r="D393" s="1">
        <f ca="1">IFERROR(__xludf.DUMMYFUNCTION("""COMPUTED_VALUE"""),24.58)</f>
        <v>24.58</v>
      </c>
      <c r="E393" s="1">
        <f ca="1">IFERROR(__xludf.DUMMYFUNCTION("""COMPUTED_VALUE"""),24.67)</f>
        <v>24.67</v>
      </c>
      <c r="F393" s="1">
        <f ca="1">IFERROR(__xludf.DUMMYFUNCTION("""COMPUTED_VALUE"""),28313669)</f>
        <v>28313669</v>
      </c>
    </row>
    <row r="394" spans="1:6" x14ac:dyDescent="0.35">
      <c r="A394" s="2">
        <f ca="1">IFERROR(__xludf.DUMMYFUNCTION("""COMPUTED_VALUE"""),42576.6666666666)</f>
        <v>42576.666666666599</v>
      </c>
      <c r="B394" s="1">
        <f ca="1">IFERROR(__xludf.DUMMYFUNCTION("""COMPUTED_VALUE"""),24.56)</f>
        <v>24.56</v>
      </c>
      <c r="C394" s="1">
        <f ca="1">IFERROR(__xludf.DUMMYFUNCTION("""COMPUTED_VALUE"""),24.71)</f>
        <v>24.71</v>
      </c>
      <c r="D394" s="1">
        <f ca="1">IFERROR(__xludf.DUMMYFUNCTION("""COMPUTED_VALUE"""),24.23)</f>
        <v>24.23</v>
      </c>
      <c r="E394" s="1">
        <f ca="1">IFERROR(__xludf.DUMMYFUNCTION("""COMPUTED_VALUE"""),24.34)</f>
        <v>24.34</v>
      </c>
      <c r="F394" s="1">
        <f ca="1">IFERROR(__xludf.DUMMYFUNCTION("""COMPUTED_VALUE"""),40382921)</f>
        <v>40382921</v>
      </c>
    </row>
    <row r="395" spans="1:6" x14ac:dyDescent="0.35">
      <c r="A395" s="2">
        <f ca="1">IFERROR(__xludf.DUMMYFUNCTION("""COMPUTED_VALUE"""),42577.6666666666)</f>
        <v>42577.666666666599</v>
      </c>
      <c r="B395" s="1">
        <f ca="1">IFERROR(__xludf.DUMMYFUNCTION("""COMPUTED_VALUE"""),24.21)</f>
        <v>24.21</v>
      </c>
      <c r="C395" s="1">
        <f ca="1">IFERROR(__xludf.DUMMYFUNCTION("""COMPUTED_VALUE"""),24.49)</f>
        <v>24.49</v>
      </c>
      <c r="D395" s="1">
        <f ca="1">IFERROR(__xludf.DUMMYFUNCTION("""COMPUTED_VALUE"""),24.11)</f>
        <v>24.11</v>
      </c>
      <c r="E395" s="1">
        <f ca="1">IFERROR(__xludf.DUMMYFUNCTION("""COMPUTED_VALUE"""),24.17)</f>
        <v>24.17</v>
      </c>
      <c r="F395" s="1">
        <f ca="1">IFERROR(__xludf.DUMMYFUNCTION("""COMPUTED_VALUE"""),56239822)</f>
        <v>56239822</v>
      </c>
    </row>
    <row r="396" spans="1:6" x14ac:dyDescent="0.35">
      <c r="A396" s="2">
        <f ca="1">IFERROR(__xludf.DUMMYFUNCTION("""COMPUTED_VALUE"""),42578.6666666666)</f>
        <v>42578.666666666599</v>
      </c>
      <c r="B396" s="1">
        <f ca="1">IFERROR(__xludf.DUMMYFUNCTION("""COMPUTED_VALUE"""),26.07)</f>
        <v>26.07</v>
      </c>
      <c r="C396" s="1">
        <f ca="1">IFERROR(__xludf.DUMMYFUNCTION("""COMPUTED_VALUE"""),26.09)</f>
        <v>26.09</v>
      </c>
      <c r="D396" s="1">
        <f ca="1">IFERROR(__xludf.DUMMYFUNCTION("""COMPUTED_VALUE"""),25.69)</f>
        <v>25.69</v>
      </c>
      <c r="E396" s="1">
        <f ca="1">IFERROR(__xludf.DUMMYFUNCTION("""COMPUTED_VALUE"""),25.74)</f>
        <v>25.74</v>
      </c>
      <c r="F396" s="1">
        <f ca="1">IFERROR(__xludf.DUMMYFUNCTION("""COMPUTED_VALUE"""),92344820)</f>
        <v>92344820</v>
      </c>
    </row>
    <row r="397" spans="1:6" x14ac:dyDescent="0.35">
      <c r="A397" s="2">
        <f ca="1">IFERROR(__xludf.DUMMYFUNCTION("""COMPUTED_VALUE"""),42579.6666666666)</f>
        <v>42579.666666666599</v>
      </c>
      <c r="B397" s="1">
        <f ca="1">IFERROR(__xludf.DUMMYFUNCTION("""COMPUTED_VALUE"""),25.71)</f>
        <v>25.71</v>
      </c>
      <c r="C397" s="1">
        <f ca="1">IFERROR(__xludf.DUMMYFUNCTION("""COMPUTED_VALUE"""),26.11)</f>
        <v>26.11</v>
      </c>
      <c r="D397" s="1">
        <f ca="1">IFERROR(__xludf.DUMMYFUNCTION("""COMPUTED_VALUE"""),25.71)</f>
        <v>25.71</v>
      </c>
      <c r="E397" s="1">
        <f ca="1">IFERROR(__xludf.DUMMYFUNCTION("""COMPUTED_VALUE"""),26.09)</f>
        <v>26.09</v>
      </c>
      <c r="F397" s="1">
        <f ca="1">IFERROR(__xludf.DUMMYFUNCTION("""COMPUTED_VALUE"""),39869839)</f>
        <v>39869839</v>
      </c>
    </row>
    <row r="398" spans="1:6" x14ac:dyDescent="0.35">
      <c r="A398" s="2">
        <f ca="1">IFERROR(__xludf.DUMMYFUNCTION("""COMPUTED_VALUE"""),42580.6666666666)</f>
        <v>42580.666666666599</v>
      </c>
      <c r="B398" s="1">
        <f ca="1">IFERROR(__xludf.DUMMYFUNCTION("""COMPUTED_VALUE"""),26.05)</f>
        <v>26.05</v>
      </c>
      <c r="C398" s="1">
        <f ca="1">IFERROR(__xludf.DUMMYFUNCTION("""COMPUTED_VALUE"""),26.14)</f>
        <v>26.14</v>
      </c>
      <c r="D398" s="1">
        <f ca="1">IFERROR(__xludf.DUMMYFUNCTION("""COMPUTED_VALUE"""),25.92)</f>
        <v>25.92</v>
      </c>
      <c r="E398" s="1">
        <f ca="1">IFERROR(__xludf.DUMMYFUNCTION("""COMPUTED_VALUE"""),26.05)</f>
        <v>26.05</v>
      </c>
      <c r="F398" s="1">
        <f ca="1">IFERROR(__xludf.DUMMYFUNCTION("""COMPUTED_VALUE"""),27733688)</f>
        <v>27733688</v>
      </c>
    </row>
    <row r="399" spans="1:6" x14ac:dyDescent="0.35">
      <c r="A399" s="2">
        <f ca="1">IFERROR(__xludf.DUMMYFUNCTION("""COMPUTED_VALUE"""),42583.6666666666)</f>
        <v>42583.666666666599</v>
      </c>
      <c r="B399" s="1">
        <f ca="1">IFERROR(__xludf.DUMMYFUNCTION("""COMPUTED_VALUE"""),26.1)</f>
        <v>26.1</v>
      </c>
      <c r="C399" s="1">
        <f ca="1">IFERROR(__xludf.DUMMYFUNCTION("""COMPUTED_VALUE"""),26.54)</f>
        <v>26.54</v>
      </c>
      <c r="D399" s="1">
        <f ca="1">IFERROR(__xludf.DUMMYFUNCTION("""COMPUTED_VALUE"""),26.1)</f>
        <v>26.1</v>
      </c>
      <c r="E399" s="1">
        <f ca="1">IFERROR(__xludf.DUMMYFUNCTION("""COMPUTED_VALUE"""),26.51)</f>
        <v>26.51</v>
      </c>
      <c r="F399" s="1">
        <f ca="1">IFERROR(__xludf.DUMMYFUNCTION("""COMPUTED_VALUE"""),38167871)</f>
        <v>38167871</v>
      </c>
    </row>
    <row r="400" spans="1:6" x14ac:dyDescent="0.35">
      <c r="A400" s="2">
        <f ca="1">IFERROR(__xludf.DUMMYFUNCTION("""COMPUTED_VALUE"""),42584.6666666666)</f>
        <v>42584.666666666599</v>
      </c>
      <c r="B400" s="1">
        <f ca="1">IFERROR(__xludf.DUMMYFUNCTION("""COMPUTED_VALUE"""),26.51)</f>
        <v>26.51</v>
      </c>
      <c r="C400" s="1">
        <f ca="1">IFERROR(__xludf.DUMMYFUNCTION("""COMPUTED_VALUE"""),26.52)</f>
        <v>26.52</v>
      </c>
      <c r="D400" s="1">
        <f ca="1">IFERROR(__xludf.DUMMYFUNCTION("""COMPUTED_VALUE"""),26)</f>
        <v>26</v>
      </c>
      <c r="E400" s="1">
        <f ca="1">IFERROR(__xludf.DUMMYFUNCTION("""COMPUTED_VALUE"""),26.12)</f>
        <v>26.12</v>
      </c>
      <c r="F400" s="1">
        <f ca="1">IFERROR(__xludf.DUMMYFUNCTION("""COMPUTED_VALUE"""),33816556)</f>
        <v>33816556</v>
      </c>
    </row>
    <row r="401" spans="1:6" x14ac:dyDescent="0.35">
      <c r="A401" s="2">
        <f ca="1">IFERROR(__xludf.DUMMYFUNCTION("""COMPUTED_VALUE"""),42585.6666666666)</f>
        <v>42585.666666666599</v>
      </c>
      <c r="B401" s="1">
        <f ca="1">IFERROR(__xludf.DUMMYFUNCTION("""COMPUTED_VALUE"""),26.2)</f>
        <v>26.2</v>
      </c>
      <c r="C401" s="1">
        <f ca="1">IFERROR(__xludf.DUMMYFUNCTION("""COMPUTED_VALUE"""),26.46)</f>
        <v>26.46</v>
      </c>
      <c r="D401" s="1">
        <f ca="1">IFERROR(__xludf.DUMMYFUNCTION("""COMPUTED_VALUE"""),26.19)</f>
        <v>26.19</v>
      </c>
      <c r="E401" s="1">
        <f ca="1">IFERROR(__xludf.DUMMYFUNCTION("""COMPUTED_VALUE"""),26.45)</f>
        <v>26.45</v>
      </c>
      <c r="F401" s="1">
        <f ca="1">IFERROR(__xludf.DUMMYFUNCTION("""COMPUTED_VALUE"""),30202641)</f>
        <v>30202641</v>
      </c>
    </row>
    <row r="402" spans="1:6" x14ac:dyDescent="0.35">
      <c r="A402" s="2">
        <f ca="1">IFERROR(__xludf.DUMMYFUNCTION("""COMPUTED_VALUE"""),42586.6666666666)</f>
        <v>42586.666666666599</v>
      </c>
      <c r="B402" s="1">
        <f ca="1">IFERROR(__xludf.DUMMYFUNCTION("""COMPUTED_VALUE"""),26.4)</f>
        <v>26.4</v>
      </c>
      <c r="C402" s="1">
        <f ca="1">IFERROR(__xludf.DUMMYFUNCTION("""COMPUTED_VALUE"""),26.5)</f>
        <v>26.5</v>
      </c>
      <c r="D402" s="1">
        <f ca="1">IFERROR(__xludf.DUMMYFUNCTION("""COMPUTED_VALUE"""),26.32)</f>
        <v>26.32</v>
      </c>
      <c r="E402" s="1">
        <f ca="1">IFERROR(__xludf.DUMMYFUNCTION("""COMPUTED_VALUE"""),26.47)</f>
        <v>26.47</v>
      </c>
      <c r="F402" s="1">
        <f ca="1">IFERROR(__xludf.DUMMYFUNCTION("""COMPUTED_VALUE"""),27408650)</f>
        <v>27408650</v>
      </c>
    </row>
    <row r="403" spans="1:6" x14ac:dyDescent="0.35">
      <c r="A403" s="2">
        <f ca="1">IFERROR(__xludf.DUMMYFUNCTION("""COMPUTED_VALUE"""),42587.6666666666)</f>
        <v>42587.666666666599</v>
      </c>
      <c r="B403" s="1">
        <f ca="1">IFERROR(__xludf.DUMMYFUNCTION("""COMPUTED_VALUE"""),26.57)</f>
        <v>26.57</v>
      </c>
      <c r="C403" s="1">
        <f ca="1">IFERROR(__xludf.DUMMYFUNCTION("""COMPUTED_VALUE"""),26.91)</f>
        <v>26.91</v>
      </c>
      <c r="D403" s="1">
        <f ca="1">IFERROR(__xludf.DUMMYFUNCTION("""COMPUTED_VALUE"""),26.55)</f>
        <v>26.55</v>
      </c>
      <c r="E403" s="1">
        <f ca="1">IFERROR(__xludf.DUMMYFUNCTION("""COMPUTED_VALUE"""),26.87)</f>
        <v>26.87</v>
      </c>
      <c r="F403" s="1">
        <f ca="1">IFERROR(__xludf.DUMMYFUNCTION("""COMPUTED_VALUE"""),40553402)</f>
        <v>40553402</v>
      </c>
    </row>
    <row r="404" spans="1:6" x14ac:dyDescent="0.35">
      <c r="A404" s="2">
        <f ca="1">IFERROR(__xludf.DUMMYFUNCTION("""COMPUTED_VALUE"""),42590.6666666666)</f>
        <v>42590.666666666599</v>
      </c>
      <c r="B404" s="1">
        <f ca="1">IFERROR(__xludf.DUMMYFUNCTION("""COMPUTED_VALUE"""),26.88)</f>
        <v>26.88</v>
      </c>
      <c r="C404" s="1">
        <f ca="1">IFERROR(__xludf.DUMMYFUNCTION("""COMPUTED_VALUE"""),27.09)</f>
        <v>27.09</v>
      </c>
      <c r="D404" s="1">
        <f ca="1">IFERROR(__xludf.DUMMYFUNCTION("""COMPUTED_VALUE"""),26.79)</f>
        <v>26.79</v>
      </c>
      <c r="E404" s="1">
        <f ca="1">IFERROR(__xludf.DUMMYFUNCTION("""COMPUTED_VALUE"""),27.09)</f>
        <v>27.09</v>
      </c>
      <c r="F404" s="1">
        <f ca="1">IFERROR(__xludf.DUMMYFUNCTION("""COMPUTED_VALUE"""),28037220)</f>
        <v>28037220</v>
      </c>
    </row>
    <row r="405" spans="1:6" x14ac:dyDescent="0.35">
      <c r="A405" s="2">
        <f ca="1">IFERROR(__xludf.DUMMYFUNCTION("""COMPUTED_VALUE"""),42591.6666666666)</f>
        <v>42591.666666666599</v>
      </c>
      <c r="B405" s="1">
        <f ca="1">IFERROR(__xludf.DUMMYFUNCTION("""COMPUTED_VALUE"""),27.06)</f>
        <v>27.06</v>
      </c>
      <c r="C405" s="1">
        <f ca="1">IFERROR(__xludf.DUMMYFUNCTION("""COMPUTED_VALUE"""),27.24)</f>
        <v>27.24</v>
      </c>
      <c r="D405" s="1">
        <f ca="1">IFERROR(__xludf.DUMMYFUNCTION("""COMPUTED_VALUE"""),27)</f>
        <v>27</v>
      </c>
      <c r="E405" s="1">
        <f ca="1">IFERROR(__xludf.DUMMYFUNCTION("""COMPUTED_VALUE"""),27.2)</f>
        <v>27.2</v>
      </c>
      <c r="F405" s="1">
        <f ca="1">IFERROR(__xludf.DUMMYFUNCTION("""COMPUTED_VALUE"""),26315204)</f>
        <v>26315204</v>
      </c>
    </row>
    <row r="406" spans="1:6" x14ac:dyDescent="0.35">
      <c r="A406" s="2">
        <f ca="1">IFERROR(__xludf.DUMMYFUNCTION("""COMPUTED_VALUE"""),42592.6666666666)</f>
        <v>42592.666666666599</v>
      </c>
      <c r="B406" s="1">
        <f ca="1">IFERROR(__xludf.DUMMYFUNCTION("""COMPUTED_VALUE"""),27.18)</f>
        <v>27.18</v>
      </c>
      <c r="C406" s="1">
        <f ca="1">IFERROR(__xludf.DUMMYFUNCTION("""COMPUTED_VALUE"""),27.23)</f>
        <v>27.23</v>
      </c>
      <c r="D406" s="1">
        <f ca="1">IFERROR(__xludf.DUMMYFUNCTION("""COMPUTED_VALUE"""),26.94)</f>
        <v>26.94</v>
      </c>
      <c r="E406" s="1">
        <f ca="1">IFERROR(__xludf.DUMMYFUNCTION("""COMPUTED_VALUE"""),27)</f>
        <v>27</v>
      </c>
      <c r="F406" s="1">
        <f ca="1">IFERROR(__xludf.DUMMYFUNCTION("""COMPUTED_VALUE"""),24008505)</f>
        <v>24008505</v>
      </c>
    </row>
    <row r="407" spans="1:6" x14ac:dyDescent="0.35">
      <c r="A407" s="2">
        <f ca="1">IFERROR(__xludf.DUMMYFUNCTION("""COMPUTED_VALUE"""),42593.6666666666)</f>
        <v>42593.666666666599</v>
      </c>
      <c r="B407" s="1">
        <f ca="1">IFERROR(__xludf.DUMMYFUNCTION("""COMPUTED_VALUE"""),27.13)</f>
        <v>27.13</v>
      </c>
      <c r="C407" s="1">
        <f ca="1">IFERROR(__xludf.DUMMYFUNCTION("""COMPUTED_VALUE"""),27.23)</f>
        <v>27.23</v>
      </c>
      <c r="D407" s="1">
        <f ca="1">IFERROR(__xludf.DUMMYFUNCTION("""COMPUTED_VALUE"""),26.96)</f>
        <v>26.96</v>
      </c>
      <c r="E407" s="1">
        <f ca="1">IFERROR(__xludf.DUMMYFUNCTION("""COMPUTED_VALUE"""),26.98)</f>
        <v>26.98</v>
      </c>
      <c r="F407" s="1">
        <f ca="1">IFERROR(__xludf.DUMMYFUNCTION("""COMPUTED_VALUE"""),27484506)</f>
        <v>27484506</v>
      </c>
    </row>
    <row r="408" spans="1:6" x14ac:dyDescent="0.35">
      <c r="A408" s="2">
        <f ca="1">IFERROR(__xludf.DUMMYFUNCTION("""COMPUTED_VALUE"""),42594.6666666666)</f>
        <v>42594.666666666599</v>
      </c>
      <c r="B408" s="1">
        <f ca="1">IFERROR(__xludf.DUMMYFUNCTION("""COMPUTED_VALUE"""),26.95)</f>
        <v>26.95</v>
      </c>
      <c r="C408" s="1">
        <f ca="1">IFERROR(__xludf.DUMMYFUNCTION("""COMPUTED_VALUE"""),27.11)</f>
        <v>27.11</v>
      </c>
      <c r="D408" s="1">
        <f ca="1">IFERROR(__xludf.DUMMYFUNCTION("""COMPUTED_VALUE"""),26.95)</f>
        <v>26.95</v>
      </c>
      <c r="E408" s="1">
        <f ca="1">IFERROR(__xludf.DUMMYFUNCTION("""COMPUTED_VALUE"""),27.05)</f>
        <v>27.05</v>
      </c>
      <c r="F408" s="1">
        <f ca="1">IFERROR(__xludf.DUMMYFUNCTION("""COMPUTED_VALUE"""),18660434)</f>
        <v>18660434</v>
      </c>
    </row>
    <row r="409" spans="1:6" x14ac:dyDescent="0.35">
      <c r="A409" s="2">
        <f ca="1">IFERROR(__xludf.DUMMYFUNCTION("""COMPUTED_VALUE"""),42597.6666666666)</f>
        <v>42597.666666666599</v>
      </c>
      <c r="B409" s="1">
        <f ca="1">IFERROR(__xludf.DUMMYFUNCTION("""COMPUTED_VALUE"""),27.04)</f>
        <v>27.04</v>
      </c>
      <c r="C409" s="1">
        <f ca="1">IFERROR(__xludf.DUMMYFUNCTION("""COMPUTED_VALUE"""),27.39)</f>
        <v>27.39</v>
      </c>
      <c r="D409" s="1">
        <f ca="1">IFERROR(__xludf.DUMMYFUNCTION("""COMPUTED_VALUE"""),27.02)</f>
        <v>27.02</v>
      </c>
      <c r="E409" s="1">
        <f ca="1">IFERROR(__xludf.DUMMYFUNCTION("""COMPUTED_VALUE"""),27.37)</f>
        <v>27.37</v>
      </c>
      <c r="F409" s="1">
        <f ca="1">IFERROR(__xludf.DUMMYFUNCTION("""COMPUTED_VALUE"""),25868209)</f>
        <v>25868209</v>
      </c>
    </row>
    <row r="410" spans="1:6" x14ac:dyDescent="0.35">
      <c r="A410" s="2">
        <f ca="1">IFERROR(__xludf.DUMMYFUNCTION("""COMPUTED_VALUE"""),42598.6666666666)</f>
        <v>42598.666666666599</v>
      </c>
      <c r="B410" s="1">
        <f ca="1">IFERROR(__xludf.DUMMYFUNCTION("""COMPUTED_VALUE"""),27.41)</f>
        <v>27.41</v>
      </c>
      <c r="C410" s="1">
        <f ca="1">IFERROR(__xludf.DUMMYFUNCTION("""COMPUTED_VALUE"""),27.56)</f>
        <v>27.56</v>
      </c>
      <c r="D410" s="1">
        <f ca="1">IFERROR(__xludf.DUMMYFUNCTION("""COMPUTED_VALUE"""),27.3)</f>
        <v>27.3</v>
      </c>
      <c r="E410" s="1">
        <f ca="1">IFERROR(__xludf.DUMMYFUNCTION("""COMPUTED_VALUE"""),27.35)</f>
        <v>27.35</v>
      </c>
      <c r="F410" s="1">
        <f ca="1">IFERROR(__xludf.DUMMYFUNCTION("""COMPUTED_VALUE"""),33794448)</f>
        <v>33794448</v>
      </c>
    </row>
    <row r="411" spans="1:6" x14ac:dyDescent="0.35">
      <c r="A411" s="2">
        <f ca="1">IFERROR(__xludf.DUMMYFUNCTION("""COMPUTED_VALUE"""),42599.6666666666)</f>
        <v>42599.666666666599</v>
      </c>
      <c r="B411" s="1">
        <f ca="1">IFERROR(__xludf.DUMMYFUNCTION("""COMPUTED_VALUE"""),27.28)</f>
        <v>27.28</v>
      </c>
      <c r="C411" s="1">
        <f ca="1">IFERROR(__xludf.DUMMYFUNCTION("""COMPUTED_VALUE"""),27.34)</f>
        <v>27.34</v>
      </c>
      <c r="D411" s="1">
        <f ca="1">IFERROR(__xludf.DUMMYFUNCTION("""COMPUTED_VALUE"""),27.09)</f>
        <v>27.09</v>
      </c>
      <c r="E411" s="1">
        <f ca="1">IFERROR(__xludf.DUMMYFUNCTION("""COMPUTED_VALUE"""),27.31)</f>
        <v>27.31</v>
      </c>
      <c r="F411" s="1">
        <f ca="1">IFERROR(__xludf.DUMMYFUNCTION("""COMPUTED_VALUE"""),25355976)</f>
        <v>25355976</v>
      </c>
    </row>
    <row r="412" spans="1:6" x14ac:dyDescent="0.35">
      <c r="A412" s="2">
        <f ca="1">IFERROR(__xludf.DUMMYFUNCTION("""COMPUTED_VALUE"""),42600.6666666666)</f>
        <v>42600.666666666599</v>
      </c>
      <c r="B412" s="1">
        <f ca="1">IFERROR(__xludf.DUMMYFUNCTION("""COMPUTED_VALUE"""),27.31)</f>
        <v>27.31</v>
      </c>
      <c r="C412" s="1">
        <f ca="1">IFERROR(__xludf.DUMMYFUNCTION("""COMPUTED_VALUE"""),27.4)</f>
        <v>27.4</v>
      </c>
      <c r="D412" s="1">
        <f ca="1">IFERROR(__xludf.DUMMYFUNCTION("""COMPUTED_VALUE"""),27.26)</f>
        <v>27.26</v>
      </c>
      <c r="E412" s="1">
        <f ca="1">IFERROR(__xludf.DUMMYFUNCTION("""COMPUTED_VALUE"""),27.27)</f>
        <v>27.27</v>
      </c>
      <c r="F412" s="1">
        <f ca="1">IFERROR(__xludf.DUMMYFUNCTION("""COMPUTED_VALUE"""),21984703)</f>
        <v>21984703</v>
      </c>
    </row>
    <row r="413" spans="1:6" x14ac:dyDescent="0.35">
      <c r="A413" s="2">
        <f ca="1">IFERROR(__xludf.DUMMYFUNCTION("""COMPUTED_VALUE"""),42601.6666666666)</f>
        <v>42601.666666666599</v>
      </c>
      <c r="B413" s="1">
        <f ca="1">IFERROR(__xludf.DUMMYFUNCTION("""COMPUTED_VALUE"""),27.19)</f>
        <v>27.19</v>
      </c>
      <c r="C413" s="1">
        <f ca="1">IFERROR(__xludf.DUMMYFUNCTION("""COMPUTED_VALUE"""),27.42)</f>
        <v>27.42</v>
      </c>
      <c r="D413" s="1">
        <f ca="1">IFERROR(__xludf.DUMMYFUNCTION("""COMPUTED_VALUE"""),27.09)</f>
        <v>27.09</v>
      </c>
      <c r="E413" s="1">
        <f ca="1">IFERROR(__xludf.DUMMYFUNCTION("""COMPUTED_VALUE"""),27.34)</f>
        <v>27.34</v>
      </c>
      <c r="F413" s="1">
        <f ca="1">IFERROR(__xludf.DUMMYFUNCTION("""COMPUTED_VALUE"""),25368072)</f>
        <v>25368072</v>
      </c>
    </row>
    <row r="414" spans="1:6" x14ac:dyDescent="0.35">
      <c r="A414" s="2">
        <f ca="1">IFERROR(__xludf.DUMMYFUNCTION("""COMPUTED_VALUE"""),42604.6666666666)</f>
        <v>42604.666666666599</v>
      </c>
      <c r="B414" s="1">
        <f ca="1">IFERROR(__xludf.DUMMYFUNCTION("""COMPUTED_VALUE"""),27.22)</f>
        <v>27.22</v>
      </c>
      <c r="C414" s="1">
        <f ca="1">IFERROR(__xludf.DUMMYFUNCTION("""COMPUTED_VALUE"""),27.28)</f>
        <v>27.28</v>
      </c>
      <c r="D414" s="1">
        <f ca="1">IFERROR(__xludf.DUMMYFUNCTION("""COMPUTED_VALUE"""),26.96)</f>
        <v>26.96</v>
      </c>
      <c r="E414" s="1">
        <f ca="1">IFERROR(__xludf.DUMMYFUNCTION("""COMPUTED_VALUE"""),27.13)</f>
        <v>27.13</v>
      </c>
      <c r="F414" s="1">
        <f ca="1">IFERROR(__xludf.DUMMYFUNCTION("""COMPUTED_VALUE"""),25820230)</f>
        <v>25820230</v>
      </c>
    </row>
    <row r="415" spans="1:6" x14ac:dyDescent="0.35">
      <c r="A415" s="2">
        <f ca="1">IFERROR(__xludf.DUMMYFUNCTION("""COMPUTED_VALUE"""),42605.6666666666)</f>
        <v>42605.666666666599</v>
      </c>
      <c r="B415" s="1">
        <f ca="1">IFERROR(__xludf.DUMMYFUNCTION("""COMPUTED_VALUE"""),27.15)</f>
        <v>27.15</v>
      </c>
      <c r="C415" s="1">
        <f ca="1">IFERROR(__xludf.DUMMYFUNCTION("""COMPUTED_VALUE"""),27.33)</f>
        <v>27.33</v>
      </c>
      <c r="D415" s="1">
        <f ca="1">IFERROR(__xludf.DUMMYFUNCTION("""COMPUTED_VALUE"""),27.13)</f>
        <v>27.13</v>
      </c>
      <c r="E415" s="1">
        <f ca="1">IFERROR(__xludf.DUMMYFUNCTION("""COMPUTED_VALUE"""),27.21)</f>
        <v>27.21</v>
      </c>
      <c r="F415" s="1">
        <f ca="1">IFERROR(__xludf.DUMMYFUNCTION("""COMPUTED_VALUE"""),21257669)</f>
        <v>21257669</v>
      </c>
    </row>
    <row r="416" spans="1:6" x14ac:dyDescent="0.35">
      <c r="A416" s="2">
        <f ca="1">IFERROR(__xludf.DUMMYFUNCTION("""COMPUTED_VALUE"""),42606.6666666666)</f>
        <v>42606.666666666599</v>
      </c>
      <c r="B416" s="1">
        <f ca="1">IFERROR(__xludf.DUMMYFUNCTION("""COMPUTED_VALUE"""),27.14)</f>
        <v>27.14</v>
      </c>
      <c r="C416" s="1">
        <f ca="1">IFERROR(__xludf.DUMMYFUNCTION("""COMPUTED_VALUE"""),27.19)</f>
        <v>27.19</v>
      </c>
      <c r="D416" s="1">
        <f ca="1">IFERROR(__xludf.DUMMYFUNCTION("""COMPUTED_VALUE"""),26.92)</f>
        <v>26.92</v>
      </c>
      <c r="E416" s="1">
        <f ca="1">IFERROR(__xludf.DUMMYFUNCTION("""COMPUTED_VALUE"""),27.01)</f>
        <v>27.01</v>
      </c>
      <c r="F416" s="1">
        <f ca="1">IFERROR(__xludf.DUMMYFUNCTION("""COMPUTED_VALUE"""),23675081)</f>
        <v>23675081</v>
      </c>
    </row>
    <row r="417" spans="1:6" x14ac:dyDescent="0.35">
      <c r="A417" s="2">
        <f ca="1">IFERROR(__xludf.DUMMYFUNCTION("""COMPUTED_VALUE"""),42607.6666666666)</f>
        <v>42607.666666666599</v>
      </c>
      <c r="B417" s="1">
        <f ca="1">IFERROR(__xludf.DUMMYFUNCTION("""COMPUTED_VALUE"""),26.85)</f>
        <v>26.85</v>
      </c>
      <c r="C417" s="1">
        <f ca="1">IFERROR(__xludf.DUMMYFUNCTION("""COMPUTED_VALUE"""),26.97)</f>
        <v>26.97</v>
      </c>
      <c r="D417" s="1">
        <f ca="1">IFERROR(__xludf.DUMMYFUNCTION("""COMPUTED_VALUE"""),26.67)</f>
        <v>26.67</v>
      </c>
      <c r="E417" s="1">
        <f ca="1">IFERROR(__xludf.DUMMYFUNCTION("""COMPUTED_VALUE"""),26.89)</f>
        <v>26.89</v>
      </c>
      <c r="F417" s="1">
        <f ca="1">IFERROR(__xludf.DUMMYFUNCTION("""COMPUTED_VALUE"""),25086248)</f>
        <v>25086248</v>
      </c>
    </row>
    <row r="418" spans="1:6" x14ac:dyDescent="0.35">
      <c r="A418" s="2">
        <f ca="1">IFERROR(__xludf.DUMMYFUNCTION("""COMPUTED_VALUE"""),42608.6666666666)</f>
        <v>42608.666666666599</v>
      </c>
      <c r="B418" s="1">
        <f ca="1">IFERROR(__xludf.DUMMYFUNCTION("""COMPUTED_VALUE"""),26.85)</f>
        <v>26.85</v>
      </c>
      <c r="C418" s="1">
        <f ca="1">IFERROR(__xludf.DUMMYFUNCTION("""COMPUTED_VALUE"""),26.99)</f>
        <v>26.99</v>
      </c>
      <c r="D418" s="1">
        <f ca="1">IFERROR(__xludf.DUMMYFUNCTION("""COMPUTED_VALUE"""),26.58)</f>
        <v>26.58</v>
      </c>
      <c r="E418" s="1">
        <f ca="1">IFERROR(__xludf.DUMMYFUNCTION("""COMPUTED_VALUE"""),26.74)</f>
        <v>26.74</v>
      </c>
      <c r="F418" s="1">
        <f ca="1">IFERROR(__xludf.DUMMYFUNCTION("""COMPUTED_VALUE"""),27766291)</f>
        <v>27766291</v>
      </c>
    </row>
    <row r="419" spans="1:6" x14ac:dyDescent="0.35">
      <c r="A419" s="2">
        <f ca="1">IFERROR(__xludf.DUMMYFUNCTION("""COMPUTED_VALUE"""),42611.6666666666)</f>
        <v>42611.666666666599</v>
      </c>
      <c r="B419" s="1">
        <f ca="1">IFERROR(__xludf.DUMMYFUNCTION("""COMPUTED_VALUE"""),26.66)</f>
        <v>26.66</v>
      </c>
      <c r="C419" s="1">
        <f ca="1">IFERROR(__xludf.DUMMYFUNCTION("""COMPUTED_VALUE"""),26.86)</f>
        <v>26.86</v>
      </c>
      <c r="D419" s="1">
        <f ca="1">IFERROR(__xludf.DUMMYFUNCTION("""COMPUTED_VALUE"""),26.57)</f>
        <v>26.57</v>
      </c>
      <c r="E419" s="1">
        <f ca="1">IFERROR(__xludf.DUMMYFUNCTION("""COMPUTED_VALUE"""),26.71)</f>
        <v>26.71</v>
      </c>
      <c r="F419" s="1">
        <f ca="1">IFERROR(__xludf.DUMMYFUNCTION("""COMPUTED_VALUE"""),24970300)</f>
        <v>24970300</v>
      </c>
    </row>
    <row r="420" spans="1:6" x14ac:dyDescent="0.35">
      <c r="A420" s="2">
        <f ca="1">IFERROR(__xludf.DUMMYFUNCTION("""COMPUTED_VALUE"""),42612.6666666666)</f>
        <v>42612.666666666599</v>
      </c>
      <c r="B420" s="1">
        <f ca="1">IFERROR(__xludf.DUMMYFUNCTION("""COMPUTED_VALUE"""),26.45)</f>
        <v>26.45</v>
      </c>
      <c r="C420" s="1">
        <f ca="1">IFERROR(__xludf.DUMMYFUNCTION("""COMPUTED_VALUE"""),26.63)</f>
        <v>26.63</v>
      </c>
      <c r="D420" s="1">
        <f ca="1">IFERROR(__xludf.DUMMYFUNCTION("""COMPUTED_VALUE"""),26.38)</f>
        <v>26.38</v>
      </c>
      <c r="E420" s="1">
        <f ca="1">IFERROR(__xludf.DUMMYFUNCTION("""COMPUTED_VALUE"""),26.5)</f>
        <v>26.5</v>
      </c>
      <c r="F420" s="1">
        <f ca="1">IFERROR(__xludf.DUMMYFUNCTION("""COMPUTED_VALUE"""),24863945)</f>
        <v>24863945</v>
      </c>
    </row>
    <row r="421" spans="1:6" x14ac:dyDescent="0.35">
      <c r="A421" s="2">
        <f ca="1">IFERROR(__xludf.DUMMYFUNCTION("""COMPUTED_VALUE"""),42613.6666666666)</f>
        <v>42613.666666666599</v>
      </c>
      <c r="B421" s="1">
        <f ca="1">IFERROR(__xludf.DUMMYFUNCTION("""COMPUTED_VALUE"""),26.42)</f>
        <v>26.42</v>
      </c>
      <c r="C421" s="1">
        <f ca="1">IFERROR(__xludf.DUMMYFUNCTION("""COMPUTED_VALUE"""),26.64)</f>
        <v>26.64</v>
      </c>
      <c r="D421" s="1">
        <f ca="1">IFERROR(__xludf.DUMMYFUNCTION("""COMPUTED_VALUE"""),26.41)</f>
        <v>26.41</v>
      </c>
      <c r="E421" s="1">
        <f ca="1">IFERROR(__xludf.DUMMYFUNCTION("""COMPUTED_VALUE"""),26.53)</f>
        <v>26.53</v>
      </c>
      <c r="F421" s="1">
        <f ca="1">IFERROR(__xludf.DUMMYFUNCTION("""COMPUTED_VALUE"""),29662406)</f>
        <v>29662406</v>
      </c>
    </row>
    <row r="422" spans="1:6" x14ac:dyDescent="0.35">
      <c r="A422" s="2">
        <f ca="1">IFERROR(__xludf.DUMMYFUNCTION("""COMPUTED_VALUE"""),42614.6666666666)</f>
        <v>42614.666666666599</v>
      </c>
      <c r="B422" s="1">
        <f ca="1">IFERROR(__xludf.DUMMYFUNCTION("""COMPUTED_VALUE"""),26.54)</f>
        <v>26.54</v>
      </c>
      <c r="C422" s="1">
        <f ca="1">IFERROR(__xludf.DUMMYFUNCTION("""COMPUTED_VALUE"""),26.7)</f>
        <v>26.7</v>
      </c>
      <c r="D422" s="1">
        <f ca="1">IFERROR(__xludf.DUMMYFUNCTION("""COMPUTED_VALUE"""),26.41)</f>
        <v>26.41</v>
      </c>
      <c r="E422" s="1">
        <f ca="1">IFERROR(__xludf.DUMMYFUNCTION("""COMPUTED_VALUE"""),26.68)</f>
        <v>26.68</v>
      </c>
      <c r="F422" s="1">
        <f ca="1">IFERROR(__xludf.DUMMYFUNCTION("""COMPUTED_VALUE"""),26701523)</f>
        <v>26701523</v>
      </c>
    </row>
    <row r="423" spans="1:6" x14ac:dyDescent="0.35">
      <c r="A423" s="2">
        <f ca="1">IFERROR(__xludf.DUMMYFUNCTION("""COMPUTED_VALUE"""),42615.6666666666)</f>
        <v>42615.666666666599</v>
      </c>
      <c r="B423" s="1">
        <f ca="1">IFERROR(__xludf.DUMMYFUNCTION("""COMPUTED_VALUE"""),26.93)</f>
        <v>26.93</v>
      </c>
      <c r="C423" s="1">
        <f ca="1">IFERROR(__xludf.DUMMYFUNCTION("""COMPUTED_VALUE"""),27)</f>
        <v>27</v>
      </c>
      <c r="D423" s="1">
        <f ca="1">IFERROR(__xludf.DUMMYFUNCTION("""COMPUTED_VALUE"""),26.71)</f>
        <v>26.71</v>
      </c>
      <c r="E423" s="1">
        <f ca="1">IFERROR(__xludf.DUMMYFUNCTION("""COMPUTED_VALUE"""),26.93)</f>
        <v>26.93</v>
      </c>
      <c r="F423" s="1">
        <f ca="1">IFERROR(__xludf.DUMMYFUNCTION("""COMPUTED_VALUE"""),26802450)</f>
        <v>26802450</v>
      </c>
    </row>
    <row r="424" spans="1:6" x14ac:dyDescent="0.35">
      <c r="A424" s="2">
        <f ca="1">IFERROR(__xludf.DUMMYFUNCTION("""COMPUTED_VALUE"""),42619.6666666666)</f>
        <v>42619.666666666599</v>
      </c>
      <c r="B424" s="1">
        <f ca="1">IFERROR(__xludf.DUMMYFUNCTION("""COMPUTED_VALUE"""),26.98)</f>
        <v>26.98</v>
      </c>
      <c r="C424" s="1">
        <f ca="1">IFERROR(__xludf.DUMMYFUNCTION("""COMPUTED_VALUE"""),27.08)</f>
        <v>27.08</v>
      </c>
      <c r="D424" s="1">
        <f ca="1">IFERROR(__xludf.DUMMYFUNCTION("""COMPUTED_VALUE"""),26.88)</f>
        <v>26.88</v>
      </c>
      <c r="E424" s="1">
        <f ca="1">IFERROR(__xludf.DUMMYFUNCTION("""COMPUTED_VALUE"""),26.93)</f>
        <v>26.93</v>
      </c>
      <c r="F424" s="1">
        <f ca="1">IFERROR(__xludf.DUMMYFUNCTION("""COMPUTED_VALUE"""),26880391)</f>
        <v>26880391</v>
      </c>
    </row>
    <row r="425" spans="1:6" x14ac:dyDescent="0.35">
      <c r="A425" s="2">
        <f ca="1">IFERROR(__xludf.DUMMYFUNCTION("""COMPUTED_VALUE"""),42620.6666666666)</f>
        <v>42620.666666666599</v>
      </c>
      <c r="B425" s="1">
        <f ca="1">IFERROR(__xludf.DUMMYFUNCTION("""COMPUTED_VALUE"""),26.96)</f>
        <v>26.96</v>
      </c>
      <c r="C425" s="1">
        <f ca="1">IFERROR(__xludf.DUMMYFUNCTION("""COMPUTED_VALUE"""),27.19)</f>
        <v>27.19</v>
      </c>
      <c r="D425" s="1">
        <f ca="1">IFERROR(__xludf.DUMMYFUNCTION("""COMPUTED_VALUE"""),26.77)</f>
        <v>26.77</v>
      </c>
      <c r="E425" s="1">
        <f ca="1">IFERROR(__xludf.DUMMYFUNCTION("""COMPUTED_VALUE"""),27.09)</f>
        <v>27.09</v>
      </c>
      <c r="F425" s="1">
        <f ca="1">IFERROR(__xludf.DUMMYFUNCTION("""COMPUTED_VALUE"""),42364328)</f>
        <v>42364328</v>
      </c>
    </row>
    <row r="426" spans="1:6" x14ac:dyDescent="0.35">
      <c r="A426" s="2">
        <f ca="1">IFERROR(__xludf.DUMMYFUNCTION("""COMPUTED_VALUE"""),42621.6666666666)</f>
        <v>42621.666666666599</v>
      </c>
      <c r="B426" s="1">
        <f ca="1">IFERROR(__xludf.DUMMYFUNCTION("""COMPUTED_VALUE"""),26.81)</f>
        <v>26.81</v>
      </c>
      <c r="C426" s="1">
        <f ca="1">IFERROR(__xludf.DUMMYFUNCTION("""COMPUTED_VALUE"""),26.82)</f>
        <v>26.82</v>
      </c>
      <c r="D426" s="1">
        <f ca="1">IFERROR(__xludf.DUMMYFUNCTION("""COMPUTED_VALUE"""),26.31)</f>
        <v>26.31</v>
      </c>
      <c r="E426" s="1">
        <f ca="1">IFERROR(__xludf.DUMMYFUNCTION("""COMPUTED_VALUE"""),26.38)</f>
        <v>26.38</v>
      </c>
      <c r="F426" s="1">
        <f ca="1">IFERROR(__xludf.DUMMYFUNCTION("""COMPUTED_VALUE"""),53002026)</f>
        <v>53002026</v>
      </c>
    </row>
    <row r="427" spans="1:6" x14ac:dyDescent="0.35">
      <c r="A427" s="2">
        <f ca="1">IFERROR(__xludf.DUMMYFUNCTION("""COMPUTED_VALUE"""),42622.6666666666)</f>
        <v>42622.666666666599</v>
      </c>
      <c r="B427" s="1">
        <f ca="1">IFERROR(__xludf.DUMMYFUNCTION("""COMPUTED_VALUE"""),26.16)</f>
        <v>26.16</v>
      </c>
      <c r="C427" s="1">
        <f ca="1">IFERROR(__xludf.DUMMYFUNCTION("""COMPUTED_VALUE"""),26.43)</f>
        <v>26.43</v>
      </c>
      <c r="D427" s="1">
        <f ca="1">IFERROR(__xludf.DUMMYFUNCTION("""COMPUTED_VALUE"""),25.78)</f>
        <v>25.78</v>
      </c>
      <c r="E427" s="1">
        <f ca="1">IFERROR(__xludf.DUMMYFUNCTION("""COMPUTED_VALUE"""),25.78)</f>
        <v>25.78</v>
      </c>
      <c r="F427" s="1">
        <f ca="1">IFERROR(__xludf.DUMMYFUNCTION("""COMPUTED_VALUE"""),46556984)</f>
        <v>46556984</v>
      </c>
    </row>
    <row r="428" spans="1:6" x14ac:dyDescent="0.35">
      <c r="A428" s="2">
        <f ca="1">IFERROR(__xludf.DUMMYFUNCTION("""COMPUTED_VALUE"""),42625.6666666666)</f>
        <v>42625.666666666599</v>
      </c>
      <c r="B428" s="1">
        <f ca="1">IFERROR(__xludf.DUMMYFUNCTION("""COMPUTED_VALUE"""),25.66)</f>
        <v>25.66</v>
      </c>
      <c r="C428" s="1">
        <f ca="1">IFERROR(__xludf.DUMMYFUNCTION("""COMPUTED_VALUE"""),26.43)</f>
        <v>26.43</v>
      </c>
      <c r="D428" s="1">
        <f ca="1">IFERROR(__xludf.DUMMYFUNCTION("""COMPUTED_VALUE"""),25.63)</f>
        <v>25.63</v>
      </c>
      <c r="E428" s="1">
        <f ca="1">IFERROR(__xludf.DUMMYFUNCTION("""COMPUTED_VALUE"""),26.36)</f>
        <v>26.36</v>
      </c>
      <c r="F428" s="1">
        <f ca="1">IFERROR(__xludf.DUMMYFUNCTION("""COMPUTED_VALUE"""),45292770)</f>
        <v>45292770</v>
      </c>
    </row>
    <row r="429" spans="1:6" x14ac:dyDescent="0.35">
      <c r="A429" s="2">
        <f ca="1">IFERROR(__xludf.DUMMYFUNCTION("""COMPUTED_VALUE"""),42626.6666666666)</f>
        <v>42626.666666666599</v>
      </c>
      <c r="B429" s="1">
        <f ca="1">IFERROR(__xludf.DUMMYFUNCTION("""COMPUTED_VALUE"""),26.88)</f>
        <v>26.88</v>
      </c>
      <c r="C429" s="1">
        <f ca="1">IFERROR(__xludf.DUMMYFUNCTION("""COMPUTED_VALUE"""),27.2)</f>
        <v>27.2</v>
      </c>
      <c r="D429" s="1">
        <f ca="1">IFERROR(__xludf.DUMMYFUNCTION("""COMPUTED_VALUE"""),26.81)</f>
        <v>26.81</v>
      </c>
      <c r="E429" s="1">
        <f ca="1">IFERROR(__xludf.DUMMYFUNCTION("""COMPUTED_VALUE"""),26.99)</f>
        <v>26.99</v>
      </c>
      <c r="F429" s="1">
        <f ca="1">IFERROR(__xludf.DUMMYFUNCTION("""COMPUTED_VALUE"""),62176190)</f>
        <v>62176190</v>
      </c>
    </row>
    <row r="430" spans="1:6" x14ac:dyDescent="0.35">
      <c r="A430" s="2">
        <f ca="1">IFERROR(__xludf.DUMMYFUNCTION("""COMPUTED_VALUE"""),42627.6666666666)</f>
        <v>42627.666666666599</v>
      </c>
      <c r="B430" s="1">
        <f ca="1">IFERROR(__xludf.DUMMYFUNCTION("""COMPUTED_VALUE"""),27.18)</f>
        <v>27.18</v>
      </c>
      <c r="C430" s="1">
        <f ca="1">IFERROR(__xludf.DUMMYFUNCTION("""COMPUTED_VALUE"""),28.26)</f>
        <v>28.26</v>
      </c>
      <c r="D430" s="1">
        <f ca="1">IFERROR(__xludf.DUMMYFUNCTION("""COMPUTED_VALUE"""),27.15)</f>
        <v>27.15</v>
      </c>
      <c r="E430" s="1">
        <f ca="1">IFERROR(__xludf.DUMMYFUNCTION("""COMPUTED_VALUE"""),27.94)</f>
        <v>27.94</v>
      </c>
      <c r="F430" s="1">
        <f ca="1">IFERROR(__xludf.DUMMYFUNCTION("""COMPUTED_VALUE"""),112340318)</f>
        <v>112340318</v>
      </c>
    </row>
    <row r="431" spans="1:6" x14ac:dyDescent="0.35">
      <c r="A431" s="2">
        <f ca="1">IFERROR(__xludf.DUMMYFUNCTION("""COMPUTED_VALUE"""),42628.6666666666)</f>
        <v>42628.666666666599</v>
      </c>
      <c r="B431" s="1">
        <f ca="1">IFERROR(__xludf.DUMMYFUNCTION("""COMPUTED_VALUE"""),28.47)</f>
        <v>28.47</v>
      </c>
      <c r="C431" s="1">
        <f ca="1">IFERROR(__xludf.DUMMYFUNCTION("""COMPUTED_VALUE"""),28.93)</f>
        <v>28.93</v>
      </c>
      <c r="D431" s="1">
        <f ca="1">IFERROR(__xludf.DUMMYFUNCTION("""COMPUTED_VALUE"""),28.37)</f>
        <v>28.37</v>
      </c>
      <c r="E431" s="1">
        <f ca="1">IFERROR(__xludf.DUMMYFUNCTION("""COMPUTED_VALUE"""),28.89)</f>
        <v>28.89</v>
      </c>
      <c r="F431" s="1">
        <f ca="1">IFERROR(__xludf.DUMMYFUNCTION("""COMPUTED_VALUE"""),90613177)</f>
        <v>90613177</v>
      </c>
    </row>
    <row r="432" spans="1:6" x14ac:dyDescent="0.35">
      <c r="A432" s="2">
        <f ca="1">IFERROR(__xludf.DUMMYFUNCTION("""COMPUTED_VALUE"""),42629.6666666666)</f>
        <v>42629.666666666599</v>
      </c>
      <c r="B432" s="1">
        <f ca="1">IFERROR(__xludf.DUMMYFUNCTION("""COMPUTED_VALUE"""),28.78)</f>
        <v>28.78</v>
      </c>
      <c r="C432" s="1">
        <f ca="1">IFERROR(__xludf.DUMMYFUNCTION("""COMPUTED_VALUE"""),29.03)</f>
        <v>29.03</v>
      </c>
      <c r="D432" s="1">
        <f ca="1">IFERROR(__xludf.DUMMYFUNCTION("""COMPUTED_VALUE"""),28.51)</f>
        <v>28.51</v>
      </c>
      <c r="E432" s="1">
        <f ca="1">IFERROR(__xludf.DUMMYFUNCTION("""COMPUTED_VALUE"""),28.73)</f>
        <v>28.73</v>
      </c>
      <c r="F432" s="1">
        <f ca="1">IFERROR(__xludf.DUMMYFUNCTION("""COMPUTED_VALUE"""),79886911)</f>
        <v>79886911</v>
      </c>
    </row>
    <row r="433" spans="1:6" x14ac:dyDescent="0.35">
      <c r="A433" s="2">
        <f ca="1">IFERROR(__xludf.DUMMYFUNCTION("""COMPUTED_VALUE"""),42632.6666666666)</f>
        <v>42632.666666666599</v>
      </c>
      <c r="B433" s="1">
        <f ca="1">IFERROR(__xludf.DUMMYFUNCTION("""COMPUTED_VALUE"""),28.8)</f>
        <v>28.8</v>
      </c>
      <c r="C433" s="1">
        <f ca="1">IFERROR(__xludf.DUMMYFUNCTION("""COMPUTED_VALUE"""),29.05)</f>
        <v>29.05</v>
      </c>
      <c r="D433" s="1">
        <f ca="1">IFERROR(__xludf.DUMMYFUNCTION("""COMPUTED_VALUE"""),28.31)</f>
        <v>28.31</v>
      </c>
      <c r="E433" s="1">
        <f ca="1">IFERROR(__xludf.DUMMYFUNCTION("""COMPUTED_VALUE"""),28.4)</f>
        <v>28.4</v>
      </c>
      <c r="F433" s="1">
        <f ca="1">IFERROR(__xludf.DUMMYFUNCTION("""COMPUTED_VALUE"""),47023046)</f>
        <v>47023046</v>
      </c>
    </row>
    <row r="434" spans="1:6" x14ac:dyDescent="0.35">
      <c r="A434" s="2">
        <f ca="1">IFERROR(__xludf.DUMMYFUNCTION("""COMPUTED_VALUE"""),42633.6666666666)</f>
        <v>42633.666666666599</v>
      </c>
      <c r="B434" s="1">
        <f ca="1">IFERROR(__xludf.DUMMYFUNCTION("""COMPUTED_VALUE"""),28.26)</f>
        <v>28.26</v>
      </c>
      <c r="C434" s="1">
        <f ca="1">IFERROR(__xludf.DUMMYFUNCTION("""COMPUTED_VALUE"""),28.53)</f>
        <v>28.53</v>
      </c>
      <c r="D434" s="1">
        <f ca="1">IFERROR(__xludf.DUMMYFUNCTION("""COMPUTED_VALUE"""),28.13)</f>
        <v>28.13</v>
      </c>
      <c r="E434" s="1">
        <f ca="1">IFERROR(__xludf.DUMMYFUNCTION("""COMPUTED_VALUE"""),28.39)</f>
        <v>28.39</v>
      </c>
      <c r="F434" s="1">
        <f ca="1">IFERROR(__xludf.DUMMYFUNCTION("""COMPUTED_VALUE"""),34514269)</f>
        <v>34514269</v>
      </c>
    </row>
    <row r="435" spans="1:6" x14ac:dyDescent="0.35">
      <c r="A435" s="2">
        <f ca="1">IFERROR(__xludf.DUMMYFUNCTION("""COMPUTED_VALUE"""),42634.6666666666)</f>
        <v>42634.666666666599</v>
      </c>
      <c r="B435" s="1">
        <f ca="1">IFERROR(__xludf.DUMMYFUNCTION("""COMPUTED_VALUE"""),28.46)</f>
        <v>28.46</v>
      </c>
      <c r="C435" s="1">
        <f ca="1">IFERROR(__xludf.DUMMYFUNCTION("""COMPUTED_VALUE"""),28.5)</f>
        <v>28.5</v>
      </c>
      <c r="D435" s="1">
        <f ca="1">IFERROR(__xludf.DUMMYFUNCTION("""COMPUTED_VALUE"""),28.11)</f>
        <v>28.11</v>
      </c>
      <c r="E435" s="1">
        <f ca="1">IFERROR(__xludf.DUMMYFUNCTION("""COMPUTED_VALUE"""),28.39)</f>
        <v>28.39</v>
      </c>
      <c r="F435" s="1">
        <f ca="1">IFERROR(__xludf.DUMMYFUNCTION("""COMPUTED_VALUE"""),36003185)</f>
        <v>36003185</v>
      </c>
    </row>
    <row r="436" spans="1:6" x14ac:dyDescent="0.35">
      <c r="A436" s="2">
        <f ca="1">IFERROR(__xludf.DUMMYFUNCTION("""COMPUTED_VALUE"""),42635.6666666666)</f>
        <v>42635.666666666599</v>
      </c>
      <c r="B436" s="1">
        <f ca="1">IFERROR(__xludf.DUMMYFUNCTION("""COMPUTED_VALUE"""),28.59)</f>
        <v>28.59</v>
      </c>
      <c r="C436" s="1">
        <f ca="1">IFERROR(__xludf.DUMMYFUNCTION("""COMPUTED_VALUE"""),28.74)</f>
        <v>28.74</v>
      </c>
      <c r="D436" s="1">
        <f ca="1">IFERROR(__xludf.DUMMYFUNCTION("""COMPUTED_VALUE"""),28.5)</f>
        <v>28.5</v>
      </c>
      <c r="E436" s="1">
        <f ca="1">IFERROR(__xludf.DUMMYFUNCTION("""COMPUTED_VALUE"""),28.66)</f>
        <v>28.66</v>
      </c>
      <c r="F436" s="1">
        <f ca="1">IFERROR(__xludf.DUMMYFUNCTION("""COMPUTED_VALUE"""),31073984)</f>
        <v>31073984</v>
      </c>
    </row>
    <row r="437" spans="1:6" x14ac:dyDescent="0.35">
      <c r="A437" s="2">
        <f ca="1">IFERROR(__xludf.DUMMYFUNCTION("""COMPUTED_VALUE"""),42636.6666666666)</f>
        <v>42636.666666666599</v>
      </c>
      <c r="B437" s="1">
        <f ca="1">IFERROR(__xludf.DUMMYFUNCTION("""COMPUTED_VALUE"""),28.61)</f>
        <v>28.61</v>
      </c>
      <c r="C437" s="1">
        <f ca="1">IFERROR(__xludf.DUMMYFUNCTION("""COMPUTED_VALUE"""),28.7)</f>
        <v>28.7</v>
      </c>
      <c r="D437" s="1">
        <f ca="1">IFERROR(__xludf.DUMMYFUNCTION("""COMPUTED_VALUE"""),27.89)</f>
        <v>27.89</v>
      </c>
      <c r="E437" s="1">
        <f ca="1">IFERROR(__xludf.DUMMYFUNCTION("""COMPUTED_VALUE"""),28.18)</f>
        <v>28.18</v>
      </c>
      <c r="F437" s="1">
        <f ca="1">IFERROR(__xludf.DUMMYFUNCTION("""COMPUTED_VALUE"""),52481151)</f>
        <v>52481151</v>
      </c>
    </row>
    <row r="438" spans="1:6" x14ac:dyDescent="0.35">
      <c r="A438" s="2">
        <f ca="1">IFERROR(__xludf.DUMMYFUNCTION("""COMPUTED_VALUE"""),42639.6666666666)</f>
        <v>42639.666666666599</v>
      </c>
      <c r="B438" s="1">
        <f ca="1">IFERROR(__xludf.DUMMYFUNCTION("""COMPUTED_VALUE"""),27.91)</f>
        <v>27.91</v>
      </c>
      <c r="C438" s="1">
        <f ca="1">IFERROR(__xludf.DUMMYFUNCTION("""COMPUTED_VALUE"""),28.35)</f>
        <v>28.35</v>
      </c>
      <c r="D438" s="1">
        <f ca="1">IFERROR(__xludf.DUMMYFUNCTION("""COMPUTED_VALUE"""),27.89)</f>
        <v>27.89</v>
      </c>
      <c r="E438" s="1">
        <f ca="1">IFERROR(__xludf.DUMMYFUNCTION("""COMPUTED_VALUE"""),28.22)</f>
        <v>28.22</v>
      </c>
      <c r="F438" s="1">
        <f ca="1">IFERROR(__xludf.DUMMYFUNCTION("""COMPUTED_VALUE"""),29869442)</f>
        <v>29869442</v>
      </c>
    </row>
    <row r="439" spans="1:6" x14ac:dyDescent="0.35">
      <c r="A439" s="2">
        <f ca="1">IFERROR(__xludf.DUMMYFUNCTION("""COMPUTED_VALUE"""),42640.6666666666)</f>
        <v>42640.666666666599</v>
      </c>
      <c r="B439" s="1">
        <f ca="1">IFERROR(__xludf.DUMMYFUNCTION("""COMPUTED_VALUE"""),28.25)</f>
        <v>28.25</v>
      </c>
      <c r="C439" s="1">
        <f ca="1">IFERROR(__xludf.DUMMYFUNCTION("""COMPUTED_VALUE"""),28.3)</f>
        <v>28.3</v>
      </c>
      <c r="D439" s="1">
        <f ca="1">IFERROR(__xludf.DUMMYFUNCTION("""COMPUTED_VALUE"""),28.09)</f>
        <v>28.09</v>
      </c>
      <c r="E439" s="1">
        <f ca="1">IFERROR(__xludf.DUMMYFUNCTION("""COMPUTED_VALUE"""),28.27)</f>
        <v>28.27</v>
      </c>
      <c r="F439" s="1">
        <f ca="1">IFERROR(__xludf.DUMMYFUNCTION("""COMPUTED_VALUE"""),24607412)</f>
        <v>24607412</v>
      </c>
    </row>
    <row r="440" spans="1:6" x14ac:dyDescent="0.35">
      <c r="A440" s="2">
        <f ca="1">IFERROR(__xludf.DUMMYFUNCTION("""COMPUTED_VALUE"""),42641.6666666666)</f>
        <v>42641.666666666599</v>
      </c>
      <c r="B440" s="1">
        <f ca="1">IFERROR(__xludf.DUMMYFUNCTION("""COMPUTED_VALUE"""),28.42)</f>
        <v>28.42</v>
      </c>
      <c r="C440" s="1">
        <f ca="1">IFERROR(__xludf.DUMMYFUNCTION("""COMPUTED_VALUE"""),28.66)</f>
        <v>28.66</v>
      </c>
      <c r="D440" s="1">
        <f ca="1">IFERROR(__xludf.DUMMYFUNCTION("""COMPUTED_VALUE"""),28.36)</f>
        <v>28.36</v>
      </c>
      <c r="E440" s="1">
        <f ca="1">IFERROR(__xludf.DUMMYFUNCTION("""COMPUTED_VALUE"""),28.49)</f>
        <v>28.49</v>
      </c>
      <c r="F440" s="1">
        <f ca="1">IFERROR(__xludf.DUMMYFUNCTION("""COMPUTED_VALUE"""),29641085)</f>
        <v>29641085</v>
      </c>
    </row>
    <row r="441" spans="1:6" x14ac:dyDescent="0.35">
      <c r="A441" s="2">
        <f ca="1">IFERROR(__xludf.DUMMYFUNCTION("""COMPUTED_VALUE"""),42642.6666666666)</f>
        <v>42642.666666666599</v>
      </c>
      <c r="B441" s="1">
        <f ca="1">IFERROR(__xludf.DUMMYFUNCTION("""COMPUTED_VALUE"""),28.29)</f>
        <v>28.29</v>
      </c>
      <c r="C441" s="1">
        <f ca="1">IFERROR(__xludf.DUMMYFUNCTION("""COMPUTED_VALUE"""),28.45)</f>
        <v>28.45</v>
      </c>
      <c r="D441" s="1">
        <f ca="1">IFERROR(__xludf.DUMMYFUNCTION("""COMPUTED_VALUE"""),27.95)</f>
        <v>27.95</v>
      </c>
      <c r="E441" s="1">
        <f ca="1">IFERROR(__xludf.DUMMYFUNCTION("""COMPUTED_VALUE"""),28.05)</f>
        <v>28.05</v>
      </c>
      <c r="F441" s="1">
        <f ca="1">IFERROR(__xludf.DUMMYFUNCTION("""COMPUTED_VALUE"""),35886990)</f>
        <v>35886990</v>
      </c>
    </row>
    <row r="442" spans="1:6" x14ac:dyDescent="0.35">
      <c r="A442" s="2">
        <f ca="1">IFERROR(__xludf.DUMMYFUNCTION("""COMPUTED_VALUE"""),42643.6666666666)</f>
        <v>42643.666666666599</v>
      </c>
      <c r="B442" s="1">
        <f ca="1">IFERROR(__xludf.DUMMYFUNCTION("""COMPUTED_VALUE"""),28.12)</f>
        <v>28.12</v>
      </c>
      <c r="C442" s="1">
        <f ca="1">IFERROR(__xludf.DUMMYFUNCTION("""COMPUTED_VALUE"""),28.34)</f>
        <v>28.34</v>
      </c>
      <c r="D442" s="1">
        <f ca="1">IFERROR(__xludf.DUMMYFUNCTION("""COMPUTED_VALUE"""),27.95)</f>
        <v>27.95</v>
      </c>
      <c r="E442" s="1">
        <f ca="1">IFERROR(__xludf.DUMMYFUNCTION("""COMPUTED_VALUE"""),28.26)</f>
        <v>28.26</v>
      </c>
      <c r="F442" s="1">
        <f ca="1">IFERROR(__xludf.DUMMYFUNCTION("""COMPUTED_VALUE"""),36379106)</f>
        <v>36379106</v>
      </c>
    </row>
    <row r="443" spans="1:6" x14ac:dyDescent="0.35">
      <c r="A443" s="2">
        <f ca="1">IFERROR(__xludf.DUMMYFUNCTION("""COMPUTED_VALUE"""),42646.6666666666)</f>
        <v>42646.666666666599</v>
      </c>
      <c r="B443" s="1">
        <f ca="1">IFERROR(__xludf.DUMMYFUNCTION("""COMPUTED_VALUE"""),28.18)</f>
        <v>28.18</v>
      </c>
      <c r="C443" s="1">
        <f ca="1">IFERROR(__xludf.DUMMYFUNCTION("""COMPUTED_VALUE"""),28.26)</f>
        <v>28.26</v>
      </c>
      <c r="D443" s="1">
        <f ca="1">IFERROR(__xludf.DUMMYFUNCTION("""COMPUTED_VALUE"""),28.07)</f>
        <v>28.07</v>
      </c>
      <c r="E443" s="1">
        <f ca="1">IFERROR(__xludf.DUMMYFUNCTION("""COMPUTED_VALUE"""),28.13)</f>
        <v>28.13</v>
      </c>
      <c r="F443" s="1">
        <f ca="1">IFERROR(__xludf.DUMMYFUNCTION("""COMPUTED_VALUE"""),21701760)</f>
        <v>21701760</v>
      </c>
    </row>
    <row r="444" spans="1:6" x14ac:dyDescent="0.35">
      <c r="A444" s="2">
        <f ca="1">IFERROR(__xludf.DUMMYFUNCTION("""COMPUTED_VALUE"""),42647.6666666666)</f>
        <v>42647.666666666599</v>
      </c>
      <c r="B444" s="1">
        <f ca="1">IFERROR(__xludf.DUMMYFUNCTION("""COMPUTED_VALUE"""),28.27)</f>
        <v>28.27</v>
      </c>
      <c r="C444" s="1">
        <f ca="1">IFERROR(__xludf.DUMMYFUNCTION("""COMPUTED_VALUE"""),28.58)</f>
        <v>28.58</v>
      </c>
      <c r="D444" s="1">
        <f ca="1">IFERROR(__xludf.DUMMYFUNCTION("""COMPUTED_VALUE"""),28.16)</f>
        <v>28.16</v>
      </c>
      <c r="E444" s="1">
        <f ca="1">IFERROR(__xludf.DUMMYFUNCTION("""COMPUTED_VALUE"""),28.25)</f>
        <v>28.25</v>
      </c>
      <c r="F444" s="1">
        <f ca="1">IFERROR(__xludf.DUMMYFUNCTION("""COMPUTED_VALUE"""),29736835)</f>
        <v>29736835</v>
      </c>
    </row>
    <row r="445" spans="1:6" x14ac:dyDescent="0.35">
      <c r="A445" s="2">
        <f ca="1">IFERROR(__xludf.DUMMYFUNCTION("""COMPUTED_VALUE"""),42648.6666666666)</f>
        <v>42648.666666666599</v>
      </c>
      <c r="B445" s="1">
        <f ca="1">IFERROR(__xludf.DUMMYFUNCTION("""COMPUTED_VALUE"""),28.35)</f>
        <v>28.35</v>
      </c>
      <c r="C445" s="1">
        <f ca="1">IFERROR(__xludf.DUMMYFUNCTION("""COMPUTED_VALUE"""),28.42)</f>
        <v>28.42</v>
      </c>
      <c r="D445" s="1">
        <f ca="1">IFERROR(__xludf.DUMMYFUNCTION("""COMPUTED_VALUE"""),28.17)</f>
        <v>28.17</v>
      </c>
      <c r="E445" s="1">
        <f ca="1">IFERROR(__xludf.DUMMYFUNCTION("""COMPUTED_VALUE"""),28.26)</f>
        <v>28.26</v>
      </c>
      <c r="F445" s="1">
        <f ca="1">IFERROR(__xludf.DUMMYFUNCTION("""COMPUTED_VALUE"""),21453089)</f>
        <v>21453089</v>
      </c>
    </row>
    <row r="446" spans="1:6" x14ac:dyDescent="0.35">
      <c r="A446" s="2">
        <f ca="1">IFERROR(__xludf.DUMMYFUNCTION("""COMPUTED_VALUE"""),42649.6666666666)</f>
        <v>42649.666666666599</v>
      </c>
      <c r="B446" s="1">
        <f ca="1">IFERROR(__xludf.DUMMYFUNCTION("""COMPUTED_VALUE"""),28.43)</f>
        <v>28.43</v>
      </c>
      <c r="C446" s="1">
        <f ca="1">IFERROR(__xludf.DUMMYFUNCTION("""COMPUTED_VALUE"""),28.59)</f>
        <v>28.59</v>
      </c>
      <c r="D446" s="1">
        <f ca="1">IFERROR(__xludf.DUMMYFUNCTION("""COMPUTED_VALUE"""),28.28)</f>
        <v>28.28</v>
      </c>
      <c r="E446" s="1">
        <f ca="1">IFERROR(__xludf.DUMMYFUNCTION("""COMPUTED_VALUE"""),28.47)</f>
        <v>28.47</v>
      </c>
      <c r="F446" s="1">
        <f ca="1">IFERROR(__xludf.DUMMYFUNCTION("""COMPUTED_VALUE"""),28779313)</f>
        <v>28779313</v>
      </c>
    </row>
    <row r="447" spans="1:6" x14ac:dyDescent="0.35">
      <c r="A447" s="2">
        <f ca="1">IFERROR(__xludf.DUMMYFUNCTION("""COMPUTED_VALUE"""),42650.6666666666)</f>
        <v>42650.666666666599</v>
      </c>
      <c r="B447" s="1">
        <f ca="1">IFERROR(__xludf.DUMMYFUNCTION("""COMPUTED_VALUE"""),28.58)</f>
        <v>28.58</v>
      </c>
      <c r="C447" s="1">
        <f ca="1">IFERROR(__xludf.DUMMYFUNCTION("""COMPUTED_VALUE"""),28.64)</f>
        <v>28.64</v>
      </c>
      <c r="D447" s="1">
        <f ca="1">IFERROR(__xludf.DUMMYFUNCTION("""COMPUTED_VALUE"""),28.38)</f>
        <v>28.38</v>
      </c>
      <c r="E447" s="1">
        <f ca="1">IFERROR(__xludf.DUMMYFUNCTION("""COMPUTED_VALUE"""),28.52)</f>
        <v>28.52</v>
      </c>
      <c r="F447" s="1">
        <f ca="1">IFERROR(__xludf.DUMMYFUNCTION("""COMPUTED_VALUE"""),24358443)</f>
        <v>24358443</v>
      </c>
    </row>
    <row r="448" spans="1:6" x14ac:dyDescent="0.35">
      <c r="A448" s="2">
        <f ca="1">IFERROR(__xludf.DUMMYFUNCTION("""COMPUTED_VALUE"""),42653.6666666666)</f>
        <v>42653.666666666599</v>
      </c>
      <c r="B448" s="1">
        <f ca="1">IFERROR(__xludf.DUMMYFUNCTION("""COMPUTED_VALUE"""),28.76)</f>
        <v>28.76</v>
      </c>
      <c r="C448" s="1">
        <f ca="1">IFERROR(__xludf.DUMMYFUNCTION("""COMPUTED_VALUE"""),29.19)</f>
        <v>29.19</v>
      </c>
      <c r="D448" s="1">
        <f ca="1">IFERROR(__xludf.DUMMYFUNCTION("""COMPUTED_VALUE"""),28.68)</f>
        <v>28.68</v>
      </c>
      <c r="E448" s="1">
        <f ca="1">IFERROR(__xludf.DUMMYFUNCTION("""COMPUTED_VALUE"""),29.01)</f>
        <v>29.01</v>
      </c>
      <c r="F448" s="1">
        <f ca="1">IFERROR(__xludf.DUMMYFUNCTION("""COMPUTED_VALUE"""),36235956)</f>
        <v>36235956</v>
      </c>
    </row>
    <row r="449" spans="1:6" x14ac:dyDescent="0.35">
      <c r="A449" s="2">
        <f ca="1">IFERROR(__xludf.DUMMYFUNCTION("""COMPUTED_VALUE"""),42654.6666666666)</f>
        <v>42654.666666666599</v>
      </c>
      <c r="B449" s="1">
        <f ca="1">IFERROR(__xludf.DUMMYFUNCTION("""COMPUTED_VALUE"""),29.43)</f>
        <v>29.43</v>
      </c>
      <c r="C449" s="1">
        <f ca="1">IFERROR(__xludf.DUMMYFUNCTION("""COMPUTED_VALUE"""),29.67)</f>
        <v>29.67</v>
      </c>
      <c r="D449" s="1">
        <f ca="1">IFERROR(__xludf.DUMMYFUNCTION("""COMPUTED_VALUE"""),29.05)</f>
        <v>29.05</v>
      </c>
      <c r="E449" s="1">
        <f ca="1">IFERROR(__xludf.DUMMYFUNCTION("""COMPUTED_VALUE"""),29.08)</f>
        <v>29.08</v>
      </c>
      <c r="F449" s="1">
        <f ca="1">IFERROR(__xludf.DUMMYFUNCTION("""COMPUTED_VALUE"""),64041043)</f>
        <v>64041043</v>
      </c>
    </row>
    <row r="450" spans="1:6" x14ac:dyDescent="0.35">
      <c r="A450" s="2">
        <f ca="1">IFERROR(__xludf.DUMMYFUNCTION("""COMPUTED_VALUE"""),42655.6666666666)</f>
        <v>42655.666666666599</v>
      </c>
      <c r="B450" s="1">
        <f ca="1">IFERROR(__xludf.DUMMYFUNCTION("""COMPUTED_VALUE"""),29.34)</f>
        <v>29.34</v>
      </c>
      <c r="C450" s="1">
        <f ca="1">IFERROR(__xludf.DUMMYFUNCTION("""COMPUTED_VALUE"""),29.5)</f>
        <v>29.5</v>
      </c>
      <c r="D450" s="1">
        <f ca="1">IFERROR(__xludf.DUMMYFUNCTION("""COMPUTED_VALUE"""),29.19)</f>
        <v>29.19</v>
      </c>
      <c r="E450" s="1">
        <f ca="1">IFERROR(__xludf.DUMMYFUNCTION("""COMPUTED_VALUE"""),29.34)</f>
        <v>29.34</v>
      </c>
      <c r="F450" s="1">
        <f ca="1">IFERROR(__xludf.DUMMYFUNCTION("""COMPUTED_VALUE"""),37586787)</f>
        <v>37586787</v>
      </c>
    </row>
    <row r="451" spans="1:6" x14ac:dyDescent="0.35">
      <c r="A451" s="2">
        <f ca="1">IFERROR(__xludf.DUMMYFUNCTION("""COMPUTED_VALUE"""),42656.6666666666)</f>
        <v>42656.666666666599</v>
      </c>
      <c r="B451" s="1">
        <f ca="1">IFERROR(__xludf.DUMMYFUNCTION("""COMPUTED_VALUE"""),29.2)</f>
        <v>29.2</v>
      </c>
      <c r="C451" s="1">
        <f ca="1">IFERROR(__xludf.DUMMYFUNCTION("""COMPUTED_VALUE"""),29.36)</f>
        <v>29.36</v>
      </c>
      <c r="D451" s="1">
        <f ca="1">IFERROR(__xludf.DUMMYFUNCTION("""COMPUTED_VALUE"""),28.93)</f>
        <v>28.93</v>
      </c>
      <c r="E451" s="1">
        <f ca="1">IFERROR(__xludf.DUMMYFUNCTION("""COMPUTED_VALUE"""),29.25)</f>
        <v>29.25</v>
      </c>
      <c r="F451" s="1">
        <f ca="1">IFERROR(__xludf.DUMMYFUNCTION("""COMPUTED_VALUE"""),35192406)</f>
        <v>35192406</v>
      </c>
    </row>
    <row r="452" spans="1:6" x14ac:dyDescent="0.35">
      <c r="A452" s="2">
        <f ca="1">IFERROR(__xludf.DUMMYFUNCTION("""COMPUTED_VALUE"""),42657.6666666666)</f>
        <v>42657.666666666599</v>
      </c>
      <c r="B452" s="1">
        <f ca="1">IFERROR(__xludf.DUMMYFUNCTION("""COMPUTED_VALUE"""),29.47)</f>
        <v>29.47</v>
      </c>
      <c r="C452" s="1">
        <f ca="1">IFERROR(__xludf.DUMMYFUNCTION("""COMPUTED_VALUE"""),29.54)</f>
        <v>29.54</v>
      </c>
      <c r="D452" s="1">
        <f ca="1">IFERROR(__xludf.DUMMYFUNCTION("""COMPUTED_VALUE"""),29.28)</f>
        <v>29.28</v>
      </c>
      <c r="E452" s="1">
        <f ca="1">IFERROR(__xludf.DUMMYFUNCTION("""COMPUTED_VALUE"""),29.41)</f>
        <v>29.41</v>
      </c>
      <c r="F452" s="1">
        <f ca="1">IFERROR(__xludf.DUMMYFUNCTION("""COMPUTED_VALUE"""),35652191)</f>
        <v>35652191</v>
      </c>
    </row>
    <row r="453" spans="1:6" x14ac:dyDescent="0.35">
      <c r="A453" s="2">
        <f ca="1">IFERROR(__xludf.DUMMYFUNCTION("""COMPUTED_VALUE"""),42660.6666666666)</f>
        <v>42660.666666666599</v>
      </c>
      <c r="B453" s="1">
        <f ca="1">IFERROR(__xludf.DUMMYFUNCTION("""COMPUTED_VALUE"""),29.33)</f>
        <v>29.33</v>
      </c>
      <c r="C453" s="1">
        <f ca="1">IFERROR(__xludf.DUMMYFUNCTION("""COMPUTED_VALUE"""),29.46)</f>
        <v>29.46</v>
      </c>
      <c r="D453" s="1">
        <f ca="1">IFERROR(__xludf.DUMMYFUNCTION("""COMPUTED_VALUE"""),29.2)</f>
        <v>29.2</v>
      </c>
      <c r="E453" s="1">
        <f ca="1">IFERROR(__xludf.DUMMYFUNCTION("""COMPUTED_VALUE"""),29.39)</f>
        <v>29.39</v>
      </c>
      <c r="F453" s="1">
        <f ca="1">IFERROR(__xludf.DUMMYFUNCTION("""COMPUTED_VALUE"""),23624896)</f>
        <v>23624896</v>
      </c>
    </row>
    <row r="454" spans="1:6" x14ac:dyDescent="0.35">
      <c r="A454" s="2">
        <f ca="1">IFERROR(__xludf.DUMMYFUNCTION("""COMPUTED_VALUE"""),42661.6666666666)</f>
        <v>42661.666666666599</v>
      </c>
      <c r="B454" s="1">
        <f ca="1">IFERROR(__xludf.DUMMYFUNCTION("""COMPUTED_VALUE"""),29.55)</f>
        <v>29.55</v>
      </c>
      <c r="C454" s="1">
        <f ca="1">IFERROR(__xludf.DUMMYFUNCTION("""COMPUTED_VALUE"""),29.55)</f>
        <v>29.55</v>
      </c>
      <c r="D454" s="1">
        <f ca="1">IFERROR(__xludf.DUMMYFUNCTION("""COMPUTED_VALUE"""),29.36)</f>
        <v>29.36</v>
      </c>
      <c r="E454" s="1">
        <f ca="1">IFERROR(__xludf.DUMMYFUNCTION("""COMPUTED_VALUE"""),29.37)</f>
        <v>29.37</v>
      </c>
      <c r="F454" s="1">
        <f ca="1">IFERROR(__xludf.DUMMYFUNCTION("""COMPUTED_VALUE"""),24553478)</f>
        <v>24553478</v>
      </c>
    </row>
    <row r="455" spans="1:6" x14ac:dyDescent="0.35">
      <c r="A455" s="2">
        <f ca="1">IFERROR(__xludf.DUMMYFUNCTION("""COMPUTED_VALUE"""),42662.6666666666)</f>
        <v>42662.666666666599</v>
      </c>
      <c r="B455" s="1">
        <f ca="1">IFERROR(__xludf.DUMMYFUNCTION("""COMPUTED_VALUE"""),29.31)</f>
        <v>29.31</v>
      </c>
      <c r="C455" s="1">
        <f ca="1">IFERROR(__xludf.DUMMYFUNCTION("""COMPUTED_VALUE"""),29.44)</f>
        <v>29.44</v>
      </c>
      <c r="D455" s="1">
        <f ca="1">IFERROR(__xludf.DUMMYFUNCTION("""COMPUTED_VALUE"""),28.45)</f>
        <v>28.45</v>
      </c>
      <c r="E455" s="1">
        <f ca="1">IFERROR(__xludf.DUMMYFUNCTION("""COMPUTED_VALUE"""),29.28)</f>
        <v>29.28</v>
      </c>
      <c r="F455" s="1">
        <f ca="1">IFERROR(__xludf.DUMMYFUNCTION("""COMPUTED_VALUE"""),20034594)</f>
        <v>20034594</v>
      </c>
    </row>
    <row r="456" spans="1:6" x14ac:dyDescent="0.35">
      <c r="A456" s="2">
        <f ca="1">IFERROR(__xludf.DUMMYFUNCTION("""COMPUTED_VALUE"""),42663.6666666666)</f>
        <v>42663.666666666599</v>
      </c>
      <c r="B456" s="1">
        <f ca="1">IFERROR(__xludf.DUMMYFUNCTION("""COMPUTED_VALUE"""),29.22)</f>
        <v>29.22</v>
      </c>
      <c r="C456" s="1">
        <f ca="1">IFERROR(__xludf.DUMMYFUNCTION("""COMPUTED_VALUE"""),29.35)</f>
        <v>29.35</v>
      </c>
      <c r="D456" s="1">
        <f ca="1">IFERROR(__xludf.DUMMYFUNCTION("""COMPUTED_VALUE"""),29.08)</f>
        <v>29.08</v>
      </c>
      <c r="E456" s="1">
        <f ca="1">IFERROR(__xludf.DUMMYFUNCTION("""COMPUTED_VALUE"""),29.27)</f>
        <v>29.27</v>
      </c>
      <c r="F456" s="1">
        <f ca="1">IFERROR(__xludf.DUMMYFUNCTION("""COMPUTED_VALUE"""),24125801)</f>
        <v>24125801</v>
      </c>
    </row>
    <row r="457" spans="1:6" x14ac:dyDescent="0.35">
      <c r="A457" s="2">
        <f ca="1">IFERROR(__xludf.DUMMYFUNCTION("""COMPUTED_VALUE"""),42664.6666666666)</f>
        <v>42664.666666666599</v>
      </c>
      <c r="B457" s="1">
        <f ca="1">IFERROR(__xludf.DUMMYFUNCTION("""COMPUTED_VALUE"""),29.2)</f>
        <v>29.2</v>
      </c>
      <c r="C457" s="1">
        <f ca="1">IFERROR(__xludf.DUMMYFUNCTION("""COMPUTED_VALUE"""),29.23)</f>
        <v>29.23</v>
      </c>
      <c r="D457" s="1">
        <f ca="1">IFERROR(__xludf.DUMMYFUNCTION("""COMPUTED_VALUE"""),29.07)</f>
        <v>29.07</v>
      </c>
      <c r="E457" s="1">
        <f ca="1">IFERROR(__xludf.DUMMYFUNCTION("""COMPUTED_VALUE"""),29.15)</f>
        <v>29.15</v>
      </c>
      <c r="F457" s="1">
        <f ca="1">IFERROR(__xludf.DUMMYFUNCTION("""COMPUTED_VALUE"""),23192665)</f>
        <v>23192665</v>
      </c>
    </row>
    <row r="458" spans="1:6" x14ac:dyDescent="0.35">
      <c r="A458" s="2">
        <f ca="1">IFERROR(__xludf.DUMMYFUNCTION("""COMPUTED_VALUE"""),42667.6666666666)</f>
        <v>42667.666666666599</v>
      </c>
      <c r="B458" s="1">
        <f ca="1">IFERROR(__xludf.DUMMYFUNCTION("""COMPUTED_VALUE"""),29.28)</f>
        <v>29.28</v>
      </c>
      <c r="C458" s="1">
        <f ca="1">IFERROR(__xludf.DUMMYFUNCTION("""COMPUTED_VALUE"""),29.44)</f>
        <v>29.44</v>
      </c>
      <c r="D458" s="1">
        <f ca="1">IFERROR(__xludf.DUMMYFUNCTION("""COMPUTED_VALUE"""),29.25)</f>
        <v>29.25</v>
      </c>
      <c r="E458" s="1">
        <f ca="1">IFERROR(__xludf.DUMMYFUNCTION("""COMPUTED_VALUE"""),29.41)</f>
        <v>29.41</v>
      </c>
      <c r="F458" s="1">
        <f ca="1">IFERROR(__xludf.DUMMYFUNCTION("""COMPUTED_VALUE"""),23538673)</f>
        <v>23538673</v>
      </c>
    </row>
    <row r="459" spans="1:6" x14ac:dyDescent="0.35">
      <c r="A459" s="2">
        <f ca="1">IFERROR(__xludf.DUMMYFUNCTION("""COMPUTED_VALUE"""),42668.6666666666)</f>
        <v>42668.666666666599</v>
      </c>
      <c r="B459" s="1">
        <f ca="1">IFERROR(__xludf.DUMMYFUNCTION("""COMPUTED_VALUE"""),29.49)</f>
        <v>29.49</v>
      </c>
      <c r="C459" s="1">
        <f ca="1">IFERROR(__xludf.DUMMYFUNCTION("""COMPUTED_VALUE"""),29.59)</f>
        <v>29.59</v>
      </c>
      <c r="D459" s="1">
        <f ca="1">IFERROR(__xludf.DUMMYFUNCTION("""COMPUTED_VALUE"""),29.33)</f>
        <v>29.33</v>
      </c>
      <c r="E459" s="1">
        <f ca="1">IFERROR(__xludf.DUMMYFUNCTION("""COMPUTED_VALUE"""),29.56)</f>
        <v>29.56</v>
      </c>
      <c r="F459" s="1">
        <f ca="1">IFERROR(__xludf.DUMMYFUNCTION("""COMPUTED_VALUE"""),48128970)</f>
        <v>48128970</v>
      </c>
    </row>
    <row r="460" spans="1:6" x14ac:dyDescent="0.35">
      <c r="A460" s="2">
        <f ca="1">IFERROR(__xludf.DUMMYFUNCTION("""COMPUTED_VALUE"""),42669.6666666666)</f>
        <v>42669.666666666599</v>
      </c>
      <c r="B460" s="1">
        <f ca="1">IFERROR(__xludf.DUMMYFUNCTION("""COMPUTED_VALUE"""),28.58)</f>
        <v>28.58</v>
      </c>
      <c r="C460" s="1">
        <f ca="1">IFERROR(__xludf.DUMMYFUNCTION("""COMPUTED_VALUE"""),28.93)</f>
        <v>28.93</v>
      </c>
      <c r="D460" s="1">
        <f ca="1">IFERROR(__xludf.DUMMYFUNCTION("""COMPUTED_VALUE"""),28.33)</f>
        <v>28.33</v>
      </c>
      <c r="E460" s="1">
        <f ca="1">IFERROR(__xludf.DUMMYFUNCTION("""COMPUTED_VALUE"""),28.9)</f>
        <v>28.9</v>
      </c>
      <c r="F460" s="1">
        <f ca="1">IFERROR(__xludf.DUMMYFUNCTION("""COMPUTED_VALUE"""),66134219)</f>
        <v>66134219</v>
      </c>
    </row>
    <row r="461" spans="1:6" x14ac:dyDescent="0.35">
      <c r="A461" s="2">
        <f ca="1">IFERROR(__xludf.DUMMYFUNCTION("""COMPUTED_VALUE"""),42670.6666666666)</f>
        <v>42670.666666666599</v>
      </c>
      <c r="B461" s="1">
        <f ca="1">IFERROR(__xludf.DUMMYFUNCTION("""COMPUTED_VALUE"""),28.85)</f>
        <v>28.85</v>
      </c>
      <c r="C461" s="1">
        <f ca="1">IFERROR(__xludf.DUMMYFUNCTION("""COMPUTED_VALUE"""),28.97)</f>
        <v>28.97</v>
      </c>
      <c r="D461" s="1">
        <f ca="1">IFERROR(__xludf.DUMMYFUNCTION("""COMPUTED_VALUE"""),28.53)</f>
        <v>28.53</v>
      </c>
      <c r="E461" s="1">
        <f ca="1">IFERROR(__xludf.DUMMYFUNCTION("""COMPUTED_VALUE"""),28.62)</f>
        <v>28.62</v>
      </c>
      <c r="F461" s="1">
        <f ca="1">IFERROR(__xludf.DUMMYFUNCTION("""COMPUTED_VALUE"""),34562045)</f>
        <v>34562045</v>
      </c>
    </row>
    <row r="462" spans="1:6" x14ac:dyDescent="0.35">
      <c r="A462" s="2">
        <f ca="1">IFERROR(__xludf.DUMMYFUNCTION("""COMPUTED_VALUE"""),42671.6666666666)</f>
        <v>42671.666666666599</v>
      </c>
      <c r="B462" s="1">
        <f ca="1">IFERROR(__xludf.DUMMYFUNCTION("""COMPUTED_VALUE"""),28.47)</f>
        <v>28.47</v>
      </c>
      <c r="C462" s="1">
        <f ca="1">IFERROR(__xludf.DUMMYFUNCTION("""COMPUTED_VALUE"""),28.8)</f>
        <v>28.8</v>
      </c>
      <c r="D462" s="1">
        <f ca="1">IFERROR(__xludf.DUMMYFUNCTION("""COMPUTED_VALUE"""),28.36)</f>
        <v>28.36</v>
      </c>
      <c r="E462" s="1">
        <f ca="1">IFERROR(__xludf.DUMMYFUNCTION("""COMPUTED_VALUE"""),28.43)</f>
        <v>28.43</v>
      </c>
      <c r="F462" s="1">
        <f ca="1">IFERROR(__xludf.DUMMYFUNCTION("""COMPUTED_VALUE"""),37861662)</f>
        <v>37861662</v>
      </c>
    </row>
    <row r="463" spans="1:6" x14ac:dyDescent="0.35">
      <c r="A463" s="2">
        <f ca="1">IFERROR(__xludf.DUMMYFUNCTION("""COMPUTED_VALUE"""),42674.6666666666)</f>
        <v>42674.666666666599</v>
      </c>
      <c r="B463" s="1">
        <f ca="1">IFERROR(__xludf.DUMMYFUNCTION("""COMPUTED_VALUE"""),28.41)</f>
        <v>28.41</v>
      </c>
      <c r="C463" s="1">
        <f ca="1">IFERROR(__xludf.DUMMYFUNCTION("""COMPUTED_VALUE"""),28.56)</f>
        <v>28.56</v>
      </c>
      <c r="D463" s="1">
        <f ca="1">IFERROR(__xludf.DUMMYFUNCTION("""COMPUTED_VALUE"""),28.3)</f>
        <v>28.3</v>
      </c>
      <c r="E463" s="1">
        <f ca="1">IFERROR(__xludf.DUMMYFUNCTION("""COMPUTED_VALUE"""),28.39)</f>
        <v>28.39</v>
      </c>
      <c r="F463" s="1">
        <f ca="1">IFERROR(__xludf.DUMMYFUNCTION("""COMPUTED_VALUE"""),26419398)</f>
        <v>26419398</v>
      </c>
    </row>
    <row r="464" spans="1:6" x14ac:dyDescent="0.35">
      <c r="A464" s="2">
        <f ca="1">IFERROR(__xludf.DUMMYFUNCTION("""COMPUTED_VALUE"""),42675.6666666666)</f>
        <v>42675.666666666599</v>
      </c>
      <c r="B464" s="1">
        <f ca="1">IFERROR(__xludf.DUMMYFUNCTION("""COMPUTED_VALUE"""),28.37)</f>
        <v>28.37</v>
      </c>
      <c r="C464" s="1">
        <f ca="1">IFERROR(__xludf.DUMMYFUNCTION("""COMPUTED_VALUE"""),28.44)</f>
        <v>28.44</v>
      </c>
      <c r="D464" s="1">
        <f ca="1">IFERROR(__xludf.DUMMYFUNCTION("""COMPUTED_VALUE"""),27.63)</f>
        <v>27.63</v>
      </c>
      <c r="E464" s="1">
        <f ca="1">IFERROR(__xludf.DUMMYFUNCTION("""COMPUTED_VALUE"""),27.87)</f>
        <v>27.87</v>
      </c>
      <c r="F464" s="1">
        <f ca="1">IFERROR(__xludf.DUMMYFUNCTION("""COMPUTED_VALUE"""),43825812)</f>
        <v>43825812</v>
      </c>
    </row>
    <row r="465" spans="1:6" x14ac:dyDescent="0.35">
      <c r="A465" s="2">
        <f ca="1">IFERROR(__xludf.DUMMYFUNCTION("""COMPUTED_VALUE"""),42676.6666666666)</f>
        <v>42676.666666666599</v>
      </c>
      <c r="B465" s="1">
        <f ca="1">IFERROR(__xludf.DUMMYFUNCTION("""COMPUTED_VALUE"""),27.85)</f>
        <v>27.85</v>
      </c>
      <c r="C465" s="1">
        <f ca="1">IFERROR(__xludf.DUMMYFUNCTION("""COMPUTED_VALUE"""),28.09)</f>
        <v>28.09</v>
      </c>
      <c r="D465" s="1">
        <f ca="1">IFERROR(__xludf.DUMMYFUNCTION("""COMPUTED_VALUE"""),27.81)</f>
        <v>27.81</v>
      </c>
      <c r="E465" s="1">
        <f ca="1">IFERROR(__xludf.DUMMYFUNCTION("""COMPUTED_VALUE"""),27.9)</f>
        <v>27.9</v>
      </c>
      <c r="F465" s="1">
        <f ca="1">IFERROR(__xludf.DUMMYFUNCTION("""COMPUTED_VALUE"""),28331709)</f>
        <v>28331709</v>
      </c>
    </row>
    <row r="466" spans="1:6" x14ac:dyDescent="0.35">
      <c r="A466" s="2">
        <f ca="1">IFERROR(__xludf.DUMMYFUNCTION("""COMPUTED_VALUE"""),42677.6666666666)</f>
        <v>42677.666666666599</v>
      </c>
      <c r="B466" s="1">
        <f ca="1">IFERROR(__xludf.DUMMYFUNCTION("""COMPUTED_VALUE"""),27.75)</f>
        <v>27.75</v>
      </c>
      <c r="C466" s="1">
        <f ca="1">IFERROR(__xludf.DUMMYFUNCTION("""COMPUTED_VALUE"""),27.87)</f>
        <v>27.87</v>
      </c>
      <c r="D466" s="1">
        <f ca="1">IFERROR(__xludf.DUMMYFUNCTION("""COMPUTED_VALUE"""),27.39)</f>
        <v>27.39</v>
      </c>
      <c r="E466" s="1">
        <f ca="1">IFERROR(__xludf.DUMMYFUNCTION("""COMPUTED_VALUE"""),27.46)</f>
        <v>27.46</v>
      </c>
      <c r="F466" s="1">
        <f ca="1">IFERROR(__xludf.DUMMYFUNCTION("""COMPUTED_VALUE"""),26932602)</f>
        <v>26932602</v>
      </c>
    </row>
    <row r="467" spans="1:6" x14ac:dyDescent="0.35">
      <c r="A467" s="2">
        <f ca="1">IFERROR(__xludf.DUMMYFUNCTION("""COMPUTED_VALUE"""),42678.6666666666)</f>
        <v>42678.666666666599</v>
      </c>
      <c r="B467" s="1">
        <f ca="1">IFERROR(__xludf.DUMMYFUNCTION("""COMPUTED_VALUE"""),27.13)</f>
        <v>27.13</v>
      </c>
      <c r="C467" s="1">
        <f ca="1">IFERROR(__xludf.DUMMYFUNCTION("""COMPUTED_VALUE"""),27.56)</f>
        <v>27.56</v>
      </c>
      <c r="D467" s="1">
        <f ca="1">IFERROR(__xludf.DUMMYFUNCTION("""COMPUTED_VALUE"""),27.03)</f>
        <v>27.03</v>
      </c>
      <c r="E467" s="1">
        <f ca="1">IFERROR(__xludf.DUMMYFUNCTION("""COMPUTED_VALUE"""),27.21)</f>
        <v>27.21</v>
      </c>
      <c r="F467" s="1">
        <f ca="1">IFERROR(__xludf.DUMMYFUNCTION("""COMPUTED_VALUE"""),30836997)</f>
        <v>30836997</v>
      </c>
    </row>
    <row r="468" spans="1:6" x14ac:dyDescent="0.35">
      <c r="A468" s="2">
        <f ca="1">IFERROR(__xludf.DUMMYFUNCTION("""COMPUTED_VALUE"""),42681.6666666666)</f>
        <v>42681.666666666599</v>
      </c>
      <c r="B468" s="1">
        <f ca="1">IFERROR(__xludf.DUMMYFUNCTION("""COMPUTED_VALUE"""),27.52)</f>
        <v>27.52</v>
      </c>
      <c r="C468" s="1">
        <f ca="1">IFERROR(__xludf.DUMMYFUNCTION("""COMPUTED_VALUE"""),27.63)</f>
        <v>27.63</v>
      </c>
      <c r="D468" s="1">
        <f ca="1">IFERROR(__xludf.DUMMYFUNCTION("""COMPUTED_VALUE"""),27.37)</f>
        <v>27.37</v>
      </c>
      <c r="E468" s="1">
        <f ca="1">IFERROR(__xludf.DUMMYFUNCTION("""COMPUTED_VALUE"""),27.6)</f>
        <v>27.6</v>
      </c>
      <c r="F468" s="1">
        <f ca="1">IFERROR(__xludf.DUMMYFUNCTION("""COMPUTED_VALUE"""),32560000)</f>
        <v>32560000</v>
      </c>
    </row>
    <row r="469" spans="1:6" x14ac:dyDescent="0.35">
      <c r="A469" s="2">
        <f ca="1">IFERROR(__xludf.DUMMYFUNCTION("""COMPUTED_VALUE"""),42682.6666666666)</f>
        <v>42682.666666666599</v>
      </c>
      <c r="B469" s="1">
        <f ca="1">IFERROR(__xludf.DUMMYFUNCTION("""COMPUTED_VALUE"""),27.58)</f>
        <v>27.58</v>
      </c>
      <c r="C469" s="1">
        <f ca="1">IFERROR(__xludf.DUMMYFUNCTION("""COMPUTED_VALUE"""),27.93)</f>
        <v>27.93</v>
      </c>
      <c r="D469" s="1">
        <f ca="1">IFERROR(__xludf.DUMMYFUNCTION("""COMPUTED_VALUE"""),27.43)</f>
        <v>27.43</v>
      </c>
      <c r="E469" s="1">
        <f ca="1">IFERROR(__xludf.DUMMYFUNCTION("""COMPUTED_VALUE"""),27.77)</f>
        <v>27.77</v>
      </c>
      <c r="F469" s="1">
        <f ca="1">IFERROR(__xludf.DUMMYFUNCTION("""COMPUTED_VALUE"""),24254179)</f>
        <v>24254179</v>
      </c>
    </row>
    <row r="470" spans="1:6" x14ac:dyDescent="0.35">
      <c r="A470" s="2">
        <f ca="1">IFERROR(__xludf.DUMMYFUNCTION("""COMPUTED_VALUE"""),42683.6666666666)</f>
        <v>42683.666666666599</v>
      </c>
      <c r="B470" s="1">
        <f ca="1">IFERROR(__xludf.DUMMYFUNCTION("""COMPUTED_VALUE"""),27.47)</f>
        <v>27.47</v>
      </c>
      <c r="C470" s="1">
        <f ca="1">IFERROR(__xludf.DUMMYFUNCTION("""COMPUTED_VALUE"""),27.83)</f>
        <v>27.83</v>
      </c>
      <c r="D470" s="1">
        <f ca="1">IFERROR(__xludf.DUMMYFUNCTION("""COMPUTED_VALUE"""),27.01)</f>
        <v>27.01</v>
      </c>
      <c r="E470" s="1">
        <f ca="1">IFERROR(__xludf.DUMMYFUNCTION("""COMPUTED_VALUE"""),27.72)</f>
        <v>27.72</v>
      </c>
      <c r="F470" s="1">
        <f ca="1">IFERROR(__xludf.DUMMYFUNCTION("""COMPUTED_VALUE"""),59176361)</f>
        <v>59176361</v>
      </c>
    </row>
    <row r="471" spans="1:6" x14ac:dyDescent="0.35">
      <c r="A471" s="2">
        <f ca="1">IFERROR(__xludf.DUMMYFUNCTION("""COMPUTED_VALUE"""),42684.6666666666)</f>
        <v>42684.666666666599</v>
      </c>
      <c r="B471" s="1">
        <f ca="1">IFERROR(__xludf.DUMMYFUNCTION("""COMPUTED_VALUE"""),27.77)</f>
        <v>27.77</v>
      </c>
      <c r="C471" s="1">
        <f ca="1">IFERROR(__xludf.DUMMYFUNCTION("""COMPUTED_VALUE"""),27.77)</f>
        <v>27.77</v>
      </c>
      <c r="D471" s="1">
        <f ca="1">IFERROR(__xludf.DUMMYFUNCTION("""COMPUTED_VALUE"""),26.46)</f>
        <v>26.46</v>
      </c>
      <c r="E471" s="1">
        <f ca="1">IFERROR(__xludf.DUMMYFUNCTION("""COMPUTED_VALUE"""),26.95)</f>
        <v>26.95</v>
      </c>
      <c r="F471" s="1">
        <f ca="1">IFERROR(__xludf.DUMMYFUNCTION("""COMPUTED_VALUE"""),57134541)</f>
        <v>57134541</v>
      </c>
    </row>
    <row r="472" spans="1:6" x14ac:dyDescent="0.35">
      <c r="A472" s="2">
        <f ca="1">IFERROR(__xludf.DUMMYFUNCTION("""COMPUTED_VALUE"""),42685.6666666666)</f>
        <v>42685.666666666599</v>
      </c>
      <c r="B472" s="1">
        <f ca="1">IFERROR(__xludf.DUMMYFUNCTION("""COMPUTED_VALUE"""),26.78)</f>
        <v>26.78</v>
      </c>
      <c r="C472" s="1">
        <f ca="1">IFERROR(__xludf.DUMMYFUNCTION("""COMPUTED_VALUE"""),27.22)</f>
        <v>27.22</v>
      </c>
      <c r="D472" s="1">
        <f ca="1">IFERROR(__xludf.DUMMYFUNCTION("""COMPUTED_VALUE"""),26.64)</f>
        <v>26.64</v>
      </c>
      <c r="E472" s="1">
        <f ca="1">IFERROR(__xludf.DUMMYFUNCTION("""COMPUTED_VALUE"""),27.11)</f>
        <v>27.11</v>
      </c>
      <c r="F472" s="1">
        <f ca="1">IFERROR(__xludf.DUMMYFUNCTION("""COMPUTED_VALUE"""),34143898)</f>
        <v>34143898</v>
      </c>
    </row>
    <row r="473" spans="1:6" x14ac:dyDescent="0.35">
      <c r="A473" s="2">
        <f ca="1">IFERROR(__xludf.DUMMYFUNCTION("""COMPUTED_VALUE"""),42688.6666666666)</f>
        <v>42688.666666666599</v>
      </c>
      <c r="B473" s="1">
        <f ca="1">IFERROR(__xludf.DUMMYFUNCTION("""COMPUTED_VALUE"""),26.93)</f>
        <v>26.93</v>
      </c>
      <c r="C473" s="1">
        <f ca="1">IFERROR(__xludf.DUMMYFUNCTION("""COMPUTED_VALUE"""),26.95)</f>
        <v>26.95</v>
      </c>
      <c r="D473" s="1">
        <f ca="1">IFERROR(__xludf.DUMMYFUNCTION("""COMPUTED_VALUE"""),26.02)</f>
        <v>26.02</v>
      </c>
      <c r="E473" s="1">
        <f ca="1">IFERROR(__xludf.DUMMYFUNCTION("""COMPUTED_VALUE"""),26.43)</f>
        <v>26.43</v>
      </c>
      <c r="F473" s="1">
        <f ca="1">IFERROR(__xludf.DUMMYFUNCTION("""COMPUTED_VALUE"""),51175504)</f>
        <v>51175504</v>
      </c>
    </row>
    <row r="474" spans="1:6" x14ac:dyDescent="0.35">
      <c r="A474" s="2">
        <f ca="1">IFERROR(__xludf.DUMMYFUNCTION("""COMPUTED_VALUE"""),42689.6666666666)</f>
        <v>42689.666666666599</v>
      </c>
      <c r="B474" s="1">
        <f ca="1">IFERROR(__xludf.DUMMYFUNCTION("""COMPUTED_VALUE"""),26.64)</f>
        <v>26.64</v>
      </c>
      <c r="C474" s="1">
        <f ca="1">IFERROR(__xludf.DUMMYFUNCTION("""COMPUTED_VALUE"""),26.92)</f>
        <v>26.92</v>
      </c>
      <c r="D474" s="1">
        <f ca="1">IFERROR(__xludf.DUMMYFUNCTION("""COMPUTED_VALUE"""),26.54)</f>
        <v>26.54</v>
      </c>
      <c r="E474" s="1">
        <f ca="1">IFERROR(__xludf.DUMMYFUNCTION("""COMPUTED_VALUE"""),26.78)</f>
        <v>26.78</v>
      </c>
      <c r="F474" s="1">
        <f ca="1">IFERROR(__xludf.DUMMYFUNCTION("""COMPUTED_VALUE"""),32264510)</f>
        <v>32264510</v>
      </c>
    </row>
    <row r="475" spans="1:6" x14ac:dyDescent="0.35">
      <c r="A475" s="2">
        <f ca="1">IFERROR(__xludf.DUMMYFUNCTION("""COMPUTED_VALUE"""),42690.6666666666)</f>
        <v>42690.666666666599</v>
      </c>
      <c r="B475" s="1">
        <f ca="1">IFERROR(__xludf.DUMMYFUNCTION("""COMPUTED_VALUE"""),26.68)</f>
        <v>26.68</v>
      </c>
      <c r="C475" s="1">
        <f ca="1">IFERROR(__xludf.DUMMYFUNCTION("""COMPUTED_VALUE"""),27.56)</f>
        <v>27.56</v>
      </c>
      <c r="D475" s="1">
        <f ca="1">IFERROR(__xludf.DUMMYFUNCTION("""COMPUTED_VALUE"""),26.65)</f>
        <v>26.65</v>
      </c>
      <c r="E475" s="1">
        <f ca="1">IFERROR(__xludf.DUMMYFUNCTION("""COMPUTED_VALUE"""),27.5)</f>
        <v>27.5</v>
      </c>
      <c r="F475" s="1">
        <f ca="1">IFERROR(__xludf.DUMMYFUNCTION("""COMPUTED_VALUE"""),58840522)</f>
        <v>58840522</v>
      </c>
    </row>
    <row r="476" spans="1:6" x14ac:dyDescent="0.35">
      <c r="A476" s="2">
        <f ca="1">IFERROR(__xludf.DUMMYFUNCTION("""COMPUTED_VALUE"""),42691.6666666666)</f>
        <v>42691.666666666599</v>
      </c>
      <c r="B476" s="1">
        <f ca="1">IFERROR(__xludf.DUMMYFUNCTION("""COMPUTED_VALUE"""),27.45)</f>
        <v>27.45</v>
      </c>
      <c r="C476" s="1">
        <f ca="1">IFERROR(__xludf.DUMMYFUNCTION("""COMPUTED_VALUE"""),27.59)</f>
        <v>27.59</v>
      </c>
      <c r="D476" s="1">
        <f ca="1">IFERROR(__xludf.DUMMYFUNCTION("""COMPUTED_VALUE"""),27.21)</f>
        <v>27.21</v>
      </c>
      <c r="E476" s="1">
        <f ca="1">IFERROR(__xludf.DUMMYFUNCTION("""COMPUTED_VALUE"""),27.49)</f>
        <v>27.49</v>
      </c>
      <c r="F476" s="1">
        <f ca="1">IFERROR(__xludf.DUMMYFUNCTION("""COMPUTED_VALUE"""),27632003)</f>
        <v>27632003</v>
      </c>
    </row>
    <row r="477" spans="1:6" x14ac:dyDescent="0.35">
      <c r="A477" s="2">
        <f ca="1">IFERROR(__xludf.DUMMYFUNCTION("""COMPUTED_VALUE"""),42692.6666666666)</f>
        <v>42692.666666666599</v>
      </c>
      <c r="B477" s="1">
        <f ca="1">IFERROR(__xludf.DUMMYFUNCTION("""COMPUTED_VALUE"""),27.43)</f>
        <v>27.43</v>
      </c>
      <c r="C477" s="1">
        <f ca="1">IFERROR(__xludf.DUMMYFUNCTION("""COMPUTED_VALUE"""),27.64)</f>
        <v>27.64</v>
      </c>
      <c r="D477" s="1">
        <f ca="1">IFERROR(__xludf.DUMMYFUNCTION("""COMPUTED_VALUE"""),27.42)</f>
        <v>27.42</v>
      </c>
      <c r="E477" s="1">
        <f ca="1">IFERROR(__xludf.DUMMYFUNCTION("""COMPUTED_VALUE"""),27.52)</f>
        <v>27.52</v>
      </c>
      <c r="F477" s="1">
        <f ca="1">IFERROR(__xludf.DUMMYFUNCTION("""COMPUTED_VALUE"""),28428917)</f>
        <v>28428917</v>
      </c>
    </row>
    <row r="478" spans="1:6" x14ac:dyDescent="0.35">
      <c r="A478" s="2">
        <f ca="1">IFERROR(__xludf.DUMMYFUNCTION("""COMPUTED_VALUE"""),42695.6666666666)</f>
        <v>42695.666666666599</v>
      </c>
      <c r="B478" s="1">
        <f ca="1">IFERROR(__xludf.DUMMYFUNCTION("""COMPUTED_VALUE"""),27.53)</f>
        <v>27.53</v>
      </c>
      <c r="C478" s="1">
        <f ca="1">IFERROR(__xludf.DUMMYFUNCTION("""COMPUTED_VALUE"""),28)</f>
        <v>28</v>
      </c>
      <c r="D478" s="1">
        <f ca="1">IFERROR(__xludf.DUMMYFUNCTION("""COMPUTED_VALUE"""),27.5)</f>
        <v>27.5</v>
      </c>
      <c r="E478" s="1">
        <f ca="1">IFERROR(__xludf.DUMMYFUNCTION("""COMPUTED_VALUE"""),27.93)</f>
        <v>27.93</v>
      </c>
      <c r="F478" s="1">
        <f ca="1">IFERROR(__xludf.DUMMYFUNCTION("""COMPUTED_VALUE"""),29264571)</f>
        <v>29264571</v>
      </c>
    </row>
    <row r="479" spans="1:6" x14ac:dyDescent="0.35">
      <c r="A479" s="2">
        <f ca="1">IFERROR(__xludf.DUMMYFUNCTION("""COMPUTED_VALUE"""),42696.6666666666)</f>
        <v>42696.666666666599</v>
      </c>
      <c r="B479" s="1">
        <f ca="1">IFERROR(__xludf.DUMMYFUNCTION("""COMPUTED_VALUE"""),27.99)</f>
        <v>27.99</v>
      </c>
      <c r="C479" s="1">
        <f ca="1">IFERROR(__xludf.DUMMYFUNCTION("""COMPUTED_VALUE"""),28.11)</f>
        <v>28.11</v>
      </c>
      <c r="D479" s="1">
        <f ca="1">IFERROR(__xludf.DUMMYFUNCTION("""COMPUTED_VALUE"""),27.85)</f>
        <v>27.85</v>
      </c>
      <c r="E479" s="1">
        <f ca="1">IFERROR(__xludf.DUMMYFUNCTION("""COMPUTED_VALUE"""),27.95)</f>
        <v>27.95</v>
      </c>
      <c r="F479" s="1">
        <f ca="1">IFERROR(__xludf.DUMMYFUNCTION("""COMPUTED_VALUE"""),25965534)</f>
        <v>25965534</v>
      </c>
    </row>
    <row r="480" spans="1:6" x14ac:dyDescent="0.35">
      <c r="A480" s="2">
        <f ca="1">IFERROR(__xludf.DUMMYFUNCTION("""COMPUTED_VALUE"""),42697.6666666666)</f>
        <v>42697.666666666599</v>
      </c>
      <c r="B480" s="1">
        <f ca="1">IFERROR(__xludf.DUMMYFUNCTION("""COMPUTED_VALUE"""),27.84)</f>
        <v>27.84</v>
      </c>
      <c r="C480" s="1">
        <f ca="1">IFERROR(__xludf.DUMMYFUNCTION("""COMPUTED_VALUE"""),27.88)</f>
        <v>27.88</v>
      </c>
      <c r="D480" s="1">
        <f ca="1">IFERROR(__xludf.DUMMYFUNCTION("""COMPUTED_VALUE"""),27.58)</f>
        <v>27.58</v>
      </c>
      <c r="E480" s="1">
        <f ca="1">IFERROR(__xludf.DUMMYFUNCTION("""COMPUTED_VALUE"""),27.81)</f>
        <v>27.81</v>
      </c>
      <c r="F480" s="1">
        <f ca="1">IFERROR(__xludf.DUMMYFUNCTION("""COMPUTED_VALUE"""),27426394)</f>
        <v>27426394</v>
      </c>
    </row>
    <row r="481" spans="1:6" x14ac:dyDescent="0.35">
      <c r="A481" s="2">
        <f ca="1">IFERROR(__xludf.DUMMYFUNCTION("""COMPUTED_VALUE"""),42699.6666666666)</f>
        <v>42699.666666666599</v>
      </c>
      <c r="B481" s="1">
        <f ca="1">IFERROR(__xludf.DUMMYFUNCTION("""COMPUTED_VALUE"""),27.78)</f>
        <v>27.78</v>
      </c>
      <c r="C481" s="1">
        <f ca="1">IFERROR(__xludf.DUMMYFUNCTION("""COMPUTED_VALUE"""),27.97)</f>
        <v>27.97</v>
      </c>
      <c r="D481" s="1">
        <f ca="1">IFERROR(__xludf.DUMMYFUNCTION("""COMPUTED_VALUE"""),27.74)</f>
        <v>27.74</v>
      </c>
      <c r="E481" s="1">
        <f ca="1">IFERROR(__xludf.DUMMYFUNCTION("""COMPUTED_VALUE"""),27.95)</f>
        <v>27.95</v>
      </c>
      <c r="F481" s="1">
        <f ca="1">IFERROR(__xludf.DUMMYFUNCTION("""COMPUTED_VALUE"""),11475922)</f>
        <v>11475922</v>
      </c>
    </row>
    <row r="482" spans="1:6" x14ac:dyDescent="0.35">
      <c r="A482" s="2">
        <f ca="1">IFERROR(__xludf.DUMMYFUNCTION("""COMPUTED_VALUE"""),42702.6666666666)</f>
        <v>42702.666666666599</v>
      </c>
      <c r="B482" s="1">
        <f ca="1">IFERROR(__xludf.DUMMYFUNCTION("""COMPUTED_VALUE"""),27.86)</f>
        <v>27.86</v>
      </c>
      <c r="C482" s="1">
        <f ca="1">IFERROR(__xludf.DUMMYFUNCTION("""COMPUTED_VALUE"""),28.12)</f>
        <v>28.12</v>
      </c>
      <c r="D482" s="1">
        <f ca="1">IFERROR(__xludf.DUMMYFUNCTION("""COMPUTED_VALUE"""),27.85)</f>
        <v>27.85</v>
      </c>
      <c r="E482" s="1">
        <f ca="1">IFERROR(__xludf.DUMMYFUNCTION("""COMPUTED_VALUE"""),27.89)</f>
        <v>27.89</v>
      </c>
      <c r="F482" s="1">
        <f ca="1">IFERROR(__xludf.DUMMYFUNCTION("""COMPUTED_VALUE"""),27193983)</f>
        <v>27193983</v>
      </c>
    </row>
    <row r="483" spans="1:6" x14ac:dyDescent="0.35">
      <c r="A483" s="2">
        <f ca="1">IFERROR(__xludf.DUMMYFUNCTION("""COMPUTED_VALUE"""),42703.6666666666)</f>
        <v>42703.666666666599</v>
      </c>
      <c r="B483" s="1">
        <f ca="1">IFERROR(__xludf.DUMMYFUNCTION("""COMPUTED_VALUE"""),27.7)</f>
        <v>27.7</v>
      </c>
      <c r="C483" s="1">
        <f ca="1">IFERROR(__xludf.DUMMYFUNCTION("""COMPUTED_VALUE"""),28.01)</f>
        <v>28.01</v>
      </c>
      <c r="D483" s="1">
        <f ca="1">IFERROR(__xludf.DUMMYFUNCTION("""COMPUTED_VALUE"""),27.52)</f>
        <v>27.52</v>
      </c>
      <c r="E483" s="1">
        <f ca="1">IFERROR(__xludf.DUMMYFUNCTION("""COMPUTED_VALUE"""),27.87)</f>
        <v>27.87</v>
      </c>
      <c r="F483" s="1">
        <f ca="1">IFERROR(__xludf.DUMMYFUNCTION("""COMPUTED_VALUE"""),28528750)</f>
        <v>28528750</v>
      </c>
    </row>
    <row r="484" spans="1:6" x14ac:dyDescent="0.35">
      <c r="A484" s="2">
        <f ca="1">IFERROR(__xludf.DUMMYFUNCTION("""COMPUTED_VALUE"""),42704.6666666666)</f>
        <v>42704.666666666599</v>
      </c>
      <c r="B484" s="1">
        <f ca="1">IFERROR(__xludf.DUMMYFUNCTION("""COMPUTED_VALUE"""),27.9)</f>
        <v>27.9</v>
      </c>
      <c r="C484" s="1">
        <f ca="1">IFERROR(__xludf.DUMMYFUNCTION("""COMPUTED_VALUE"""),28.05)</f>
        <v>28.05</v>
      </c>
      <c r="D484" s="1">
        <f ca="1">IFERROR(__xludf.DUMMYFUNCTION("""COMPUTED_VALUE"""),27.57)</f>
        <v>27.57</v>
      </c>
      <c r="E484" s="1">
        <f ca="1">IFERROR(__xludf.DUMMYFUNCTION("""COMPUTED_VALUE"""),27.63)</f>
        <v>27.63</v>
      </c>
      <c r="F484" s="1">
        <f ca="1">IFERROR(__xludf.DUMMYFUNCTION("""COMPUTED_VALUE"""),36162258)</f>
        <v>36162258</v>
      </c>
    </row>
    <row r="485" spans="1:6" x14ac:dyDescent="0.35">
      <c r="A485" s="2">
        <f ca="1">IFERROR(__xludf.DUMMYFUNCTION("""COMPUTED_VALUE"""),42705.6666666666)</f>
        <v>42705.666666666599</v>
      </c>
      <c r="B485" s="1">
        <f ca="1">IFERROR(__xludf.DUMMYFUNCTION("""COMPUTED_VALUE"""),27.59)</f>
        <v>27.59</v>
      </c>
      <c r="C485" s="1">
        <f ca="1">IFERROR(__xludf.DUMMYFUNCTION("""COMPUTED_VALUE"""),27.74)</f>
        <v>27.74</v>
      </c>
      <c r="D485" s="1">
        <f ca="1">IFERROR(__xludf.DUMMYFUNCTION("""COMPUTED_VALUE"""),27.26)</f>
        <v>27.26</v>
      </c>
      <c r="E485" s="1">
        <f ca="1">IFERROR(__xludf.DUMMYFUNCTION("""COMPUTED_VALUE"""),27.37)</f>
        <v>27.37</v>
      </c>
      <c r="F485" s="1">
        <f ca="1">IFERROR(__xludf.DUMMYFUNCTION("""COMPUTED_VALUE"""),37086862)</f>
        <v>37086862</v>
      </c>
    </row>
    <row r="486" spans="1:6" x14ac:dyDescent="0.35">
      <c r="A486" s="2">
        <f ca="1">IFERROR(__xludf.DUMMYFUNCTION("""COMPUTED_VALUE"""),42706.6666666666)</f>
        <v>42706.666666666599</v>
      </c>
      <c r="B486" s="1">
        <f ca="1">IFERROR(__xludf.DUMMYFUNCTION("""COMPUTED_VALUE"""),27.29)</f>
        <v>27.29</v>
      </c>
      <c r="C486" s="1">
        <f ca="1">IFERROR(__xludf.DUMMYFUNCTION("""COMPUTED_VALUE"""),27.52)</f>
        <v>27.52</v>
      </c>
      <c r="D486" s="1">
        <f ca="1">IFERROR(__xludf.DUMMYFUNCTION("""COMPUTED_VALUE"""),27.21)</f>
        <v>27.21</v>
      </c>
      <c r="E486" s="1">
        <f ca="1">IFERROR(__xludf.DUMMYFUNCTION("""COMPUTED_VALUE"""),27.48)</f>
        <v>27.48</v>
      </c>
      <c r="F486" s="1">
        <f ca="1">IFERROR(__xludf.DUMMYFUNCTION("""COMPUTED_VALUE"""),26527997)</f>
        <v>26527997</v>
      </c>
    </row>
    <row r="487" spans="1:6" x14ac:dyDescent="0.35">
      <c r="A487" s="2">
        <f ca="1">IFERROR(__xludf.DUMMYFUNCTION("""COMPUTED_VALUE"""),42709.6666666666)</f>
        <v>42709.666666666599</v>
      </c>
      <c r="B487" s="1">
        <f ca="1">IFERROR(__xludf.DUMMYFUNCTION("""COMPUTED_VALUE"""),27.5)</f>
        <v>27.5</v>
      </c>
      <c r="C487" s="1">
        <f ca="1">IFERROR(__xludf.DUMMYFUNCTION("""COMPUTED_VALUE"""),27.51)</f>
        <v>27.51</v>
      </c>
      <c r="D487" s="1">
        <f ca="1">IFERROR(__xludf.DUMMYFUNCTION("""COMPUTED_VALUE"""),27.06)</f>
        <v>27.06</v>
      </c>
      <c r="E487" s="1">
        <f ca="1">IFERROR(__xludf.DUMMYFUNCTION("""COMPUTED_VALUE"""),27.28)</f>
        <v>27.28</v>
      </c>
      <c r="F487" s="1">
        <f ca="1">IFERROR(__xludf.DUMMYFUNCTION("""COMPUTED_VALUE"""),34324540)</f>
        <v>34324540</v>
      </c>
    </row>
    <row r="488" spans="1:6" x14ac:dyDescent="0.35">
      <c r="A488" s="2">
        <f ca="1">IFERROR(__xludf.DUMMYFUNCTION("""COMPUTED_VALUE"""),42710.6666666666)</f>
        <v>42710.666666666599</v>
      </c>
      <c r="B488" s="1">
        <f ca="1">IFERROR(__xludf.DUMMYFUNCTION("""COMPUTED_VALUE"""),27.38)</f>
        <v>27.38</v>
      </c>
      <c r="C488" s="1">
        <f ca="1">IFERROR(__xludf.DUMMYFUNCTION("""COMPUTED_VALUE"""),27.59)</f>
        <v>27.59</v>
      </c>
      <c r="D488" s="1">
        <f ca="1">IFERROR(__xludf.DUMMYFUNCTION("""COMPUTED_VALUE"""),27.3)</f>
        <v>27.3</v>
      </c>
      <c r="E488" s="1">
        <f ca="1">IFERROR(__xludf.DUMMYFUNCTION("""COMPUTED_VALUE"""),27.49)</f>
        <v>27.49</v>
      </c>
      <c r="F488" s="1">
        <f ca="1">IFERROR(__xludf.DUMMYFUNCTION("""COMPUTED_VALUE"""),26195462)</f>
        <v>26195462</v>
      </c>
    </row>
    <row r="489" spans="1:6" x14ac:dyDescent="0.35">
      <c r="A489" s="2">
        <f ca="1">IFERROR(__xludf.DUMMYFUNCTION("""COMPUTED_VALUE"""),42711.6666666666)</f>
        <v>42711.666666666599</v>
      </c>
      <c r="B489" s="1">
        <f ca="1">IFERROR(__xludf.DUMMYFUNCTION("""COMPUTED_VALUE"""),27.32)</f>
        <v>27.32</v>
      </c>
      <c r="C489" s="1">
        <f ca="1">IFERROR(__xludf.DUMMYFUNCTION("""COMPUTED_VALUE"""),27.8)</f>
        <v>27.8</v>
      </c>
      <c r="D489" s="1">
        <f ca="1">IFERROR(__xludf.DUMMYFUNCTION("""COMPUTED_VALUE"""),27.29)</f>
        <v>27.29</v>
      </c>
      <c r="E489" s="1">
        <f ca="1">IFERROR(__xludf.DUMMYFUNCTION("""COMPUTED_VALUE"""),27.76)</f>
        <v>27.76</v>
      </c>
      <c r="F489" s="1">
        <f ca="1">IFERROR(__xludf.DUMMYFUNCTION("""COMPUTED_VALUE"""),29998719)</f>
        <v>29998719</v>
      </c>
    </row>
    <row r="490" spans="1:6" x14ac:dyDescent="0.35">
      <c r="A490" s="2">
        <f ca="1">IFERROR(__xludf.DUMMYFUNCTION("""COMPUTED_VALUE"""),42712.6666666666)</f>
        <v>42712.666666666599</v>
      </c>
      <c r="B490" s="1">
        <f ca="1">IFERROR(__xludf.DUMMYFUNCTION("""COMPUTED_VALUE"""),27.72)</f>
        <v>27.72</v>
      </c>
      <c r="C490" s="1">
        <f ca="1">IFERROR(__xludf.DUMMYFUNCTION("""COMPUTED_VALUE"""),28.11)</f>
        <v>28.11</v>
      </c>
      <c r="D490" s="1">
        <f ca="1">IFERROR(__xludf.DUMMYFUNCTION("""COMPUTED_VALUE"""),27.65)</f>
        <v>27.65</v>
      </c>
      <c r="E490" s="1">
        <f ca="1">IFERROR(__xludf.DUMMYFUNCTION("""COMPUTED_VALUE"""),28.03)</f>
        <v>28.03</v>
      </c>
      <c r="F490" s="1">
        <f ca="1">IFERROR(__xludf.DUMMYFUNCTION("""COMPUTED_VALUE"""),27068316)</f>
        <v>27068316</v>
      </c>
    </row>
    <row r="491" spans="1:6" x14ac:dyDescent="0.35">
      <c r="A491" s="2">
        <f ca="1">IFERROR(__xludf.DUMMYFUNCTION("""COMPUTED_VALUE"""),42713.6666666666)</f>
        <v>42713.666666666599</v>
      </c>
      <c r="B491" s="1">
        <f ca="1">IFERROR(__xludf.DUMMYFUNCTION("""COMPUTED_VALUE"""),28.08)</f>
        <v>28.08</v>
      </c>
      <c r="C491" s="1">
        <f ca="1">IFERROR(__xludf.DUMMYFUNCTION("""COMPUTED_VALUE"""),28.68)</f>
        <v>28.68</v>
      </c>
      <c r="D491" s="1">
        <f ca="1">IFERROR(__xludf.DUMMYFUNCTION("""COMPUTED_VALUE"""),28.08)</f>
        <v>28.08</v>
      </c>
      <c r="E491" s="1">
        <f ca="1">IFERROR(__xludf.DUMMYFUNCTION("""COMPUTED_VALUE"""),28.49)</f>
        <v>28.49</v>
      </c>
      <c r="F491" s="1">
        <f ca="1">IFERROR(__xludf.DUMMYFUNCTION("""COMPUTED_VALUE"""),34402627)</f>
        <v>34402627</v>
      </c>
    </row>
    <row r="492" spans="1:6" x14ac:dyDescent="0.35">
      <c r="A492" s="2">
        <f ca="1">IFERROR(__xludf.DUMMYFUNCTION("""COMPUTED_VALUE"""),42716.6666666666)</f>
        <v>42716.666666666599</v>
      </c>
      <c r="B492" s="1">
        <f ca="1">IFERROR(__xludf.DUMMYFUNCTION("""COMPUTED_VALUE"""),28.32)</f>
        <v>28.32</v>
      </c>
      <c r="C492" s="1">
        <f ca="1">IFERROR(__xludf.DUMMYFUNCTION("""COMPUTED_VALUE"""),28.75)</f>
        <v>28.75</v>
      </c>
      <c r="D492" s="1">
        <f ca="1">IFERROR(__xludf.DUMMYFUNCTION("""COMPUTED_VALUE"""),28.12)</f>
        <v>28.12</v>
      </c>
      <c r="E492" s="1">
        <f ca="1">IFERROR(__xludf.DUMMYFUNCTION("""COMPUTED_VALUE"""),28.33)</f>
        <v>28.33</v>
      </c>
      <c r="F492" s="1">
        <f ca="1">IFERROR(__xludf.DUMMYFUNCTION("""COMPUTED_VALUE"""),26374377)</f>
        <v>26374377</v>
      </c>
    </row>
    <row r="493" spans="1:6" x14ac:dyDescent="0.35">
      <c r="A493" s="2">
        <f ca="1">IFERROR(__xludf.DUMMYFUNCTION("""COMPUTED_VALUE"""),42717.6666666666)</f>
        <v>42717.666666666599</v>
      </c>
      <c r="B493" s="1">
        <f ca="1">IFERROR(__xludf.DUMMYFUNCTION("""COMPUTED_VALUE"""),28.46)</f>
        <v>28.46</v>
      </c>
      <c r="C493" s="1">
        <f ca="1">IFERROR(__xludf.DUMMYFUNCTION("""COMPUTED_VALUE"""),28.98)</f>
        <v>28.98</v>
      </c>
      <c r="D493" s="1">
        <f ca="1">IFERROR(__xludf.DUMMYFUNCTION("""COMPUTED_VALUE"""),28.44)</f>
        <v>28.44</v>
      </c>
      <c r="E493" s="1">
        <f ca="1">IFERROR(__xludf.DUMMYFUNCTION("""COMPUTED_VALUE"""),28.8)</f>
        <v>28.8</v>
      </c>
      <c r="F493" s="1">
        <f ca="1">IFERROR(__xludf.DUMMYFUNCTION("""COMPUTED_VALUE"""),43733811)</f>
        <v>43733811</v>
      </c>
    </row>
    <row r="494" spans="1:6" x14ac:dyDescent="0.35">
      <c r="A494" s="2">
        <f ca="1">IFERROR(__xludf.DUMMYFUNCTION("""COMPUTED_VALUE"""),42718.6666666666)</f>
        <v>42718.666666666599</v>
      </c>
      <c r="B494" s="1">
        <f ca="1">IFERROR(__xludf.DUMMYFUNCTION("""COMPUTED_VALUE"""),28.76)</f>
        <v>28.76</v>
      </c>
      <c r="C494" s="1">
        <f ca="1">IFERROR(__xludf.DUMMYFUNCTION("""COMPUTED_VALUE"""),29.05)</f>
        <v>29.05</v>
      </c>
      <c r="D494" s="1">
        <f ca="1">IFERROR(__xludf.DUMMYFUNCTION("""COMPUTED_VALUE"""),28.75)</f>
        <v>28.75</v>
      </c>
      <c r="E494" s="1">
        <f ca="1">IFERROR(__xludf.DUMMYFUNCTION("""COMPUTED_VALUE"""),28.8)</f>
        <v>28.8</v>
      </c>
      <c r="F494" s="1">
        <f ca="1">IFERROR(__xludf.DUMMYFUNCTION("""COMPUTED_VALUE"""),34031834)</f>
        <v>34031834</v>
      </c>
    </row>
    <row r="495" spans="1:6" x14ac:dyDescent="0.35">
      <c r="A495" s="2">
        <f ca="1">IFERROR(__xludf.DUMMYFUNCTION("""COMPUTED_VALUE"""),42719.6666666666)</f>
        <v>42719.666666666599</v>
      </c>
      <c r="B495" s="1">
        <f ca="1">IFERROR(__xludf.DUMMYFUNCTION("""COMPUTED_VALUE"""),28.85)</f>
        <v>28.85</v>
      </c>
      <c r="C495" s="1">
        <f ca="1">IFERROR(__xludf.DUMMYFUNCTION("""COMPUTED_VALUE"""),29.18)</f>
        <v>29.18</v>
      </c>
      <c r="D495" s="1">
        <f ca="1">IFERROR(__xludf.DUMMYFUNCTION("""COMPUTED_VALUE"""),28.81)</f>
        <v>28.81</v>
      </c>
      <c r="E495" s="1">
        <f ca="1">IFERROR(__xludf.DUMMYFUNCTION("""COMPUTED_VALUE"""),28.96)</f>
        <v>28.96</v>
      </c>
      <c r="F495" s="1">
        <f ca="1">IFERROR(__xludf.DUMMYFUNCTION("""COMPUTED_VALUE"""),46524544)</f>
        <v>46524544</v>
      </c>
    </row>
    <row r="496" spans="1:6" x14ac:dyDescent="0.35">
      <c r="A496" s="2">
        <f ca="1">IFERROR(__xludf.DUMMYFUNCTION("""COMPUTED_VALUE"""),42720.6666666666)</f>
        <v>42720.666666666599</v>
      </c>
      <c r="B496" s="1">
        <f ca="1">IFERROR(__xludf.DUMMYFUNCTION("""COMPUTED_VALUE"""),29.12)</f>
        <v>29.12</v>
      </c>
      <c r="C496" s="1">
        <f ca="1">IFERROR(__xludf.DUMMYFUNCTION("""COMPUTED_VALUE"""),29.13)</f>
        <v>29.13</v>
      </c>
      <c r="D496" s="1">
        <f ca="1">IFERROR(__xludf.DUMMYFUNCTION("""COMPUTED_VALUE"""),28.91)</f>
        <v>28.91</v>
      </c>
      <c r="E496" s="1">
        <f ca="1">IFERROR(__xludf.DUMMYFUNCTION("""COMPUTED_VALUE"""),28.99)</f>
        <v>28.99</v>
      </c>
      <c r="F496" s="1">
        <f ca="1">IFERROR(__xludf.DUMMYFUNCTION("""COMPUTED_VALUE"""),44351134)</f>
        <v>44351134</v>
      </c>
    </row>
    <row r="497" spans="1:6" x14ac:dyDescent="0.35">
      <c r="A497" s="2">
        <f ca="1">IFERROR(__xludf.DUMMYFUNCTION("""COMPUTED_VALUE"""),42723.6666666666)</f>
        <v>42723.666666666599</v>
      </c>
      <c r="B497" s="1">
        <f ca="1">IFERROR(__xludf.DUMMYFUNCTION("""COMPUTED_VALUE"""),28.95)</f>
        <v>28.95</v>
      </c>
      <c r="C497" s="1">
        <f ca="1">IFERROR(__xludf.DUMMYFUNCTION("""COMPUTED_VALUE"""),29.35)</f>
        <v>29.35</v>
      </c>
      <c r="D497" s="1">
        <f ca="1">IFERROR(__xludf.DUMMYFUNCTION("""COMPUTED_VALUE"""),28.94)</f>
        <v>28.94</v>
      </c>
      <c r="E497" s="1">
        <f ca="1">IFERROR(__xludf.DUMMYFUNCTION("""COMPUTED_VALUE"""),29.16)</f>
        <v>29.16</v>
      </c>
      <c r="F497" s="1">
        <f ca="1">IFERROR(__xludf.DUMMYFUNCTION("""COMPUTED_VALUE"""),27779423)</f>
        <v>27779423</v>
      </c>
    </row>
    <row r="498" spans="1:6" x14ac:dyDescent="0.35">
      <c r="A498" s="2">
        <f ca="1">IFERROR(__xludf.DUMMYFUNCTION("""COMPUTED_VALUE"""),42724.6666666666)</f>
        <v>42724.666666666599</v>
      </c>
      <c r="B498" s="1">
        <f ca="1">IFERROR(__xludf.DUMMYFUNCTION("""COMPUTED_VALUE"""),29.19)</f>
        <v>29.19</v>
      </c>
      <c r="C498" s="1">
        <f ca="1">IFERROR(__xludf.DUMMYFUNCTION("""COMPUTED_VALUE"""),29.38)</f>
        <v>29.38</v>
      </c>
      <c r="D498" s="1">
        <f ca="1">IFERROR(__xludf.DUMMYFUNCTION("""COMPUTED_VALUE"""),29.17)</f>
        <v>29.17</v>
      </c>
      <c r="E498" s="1">
        <f ca="1">IFERROR(__xludf.DUMMYFUNCTION("""COMPUTED_VALUE"""),29.24)</f>
        <v>29.24</v>
      </c>
      <c r="F498" s="1">
        <f ca="1">IFERROR(__xludf.DUMMYFUNCTION("""COMPUTED_VALUE"""),21424965)</f>
        <v>21424965</v>
      </c>
    </row>
    <row r="499" spans="1:6" x14ac:dyDescent="0.35">
      <c r="A499" s="2">
        <f ca="1">IFERROR(__xludf.DUMMYFUNCTION("""COMPUTED_VALUE"""),42725.6666666666)</f>
        <v>42725.666666666599</v>
      </c>
      <c r="B499" s="1">
        <f ca="1">IFERROR(__xludf.DUMMYFUNCTION("""COMPUTED_VALUE"""),29.2)</f>
        <v>29.2</v>
      </c>
      <c r="C499" s="1">
        <f ca="1">IFERROR(__xludf.DUMMYFUNCTION("""COMPUTED_VALUE"""),29.35)</f>
        <v>29.35</v>
      </c>
      <c r="D499" s="1">
        <f ca="1">IFERROR(__xludf.DUMMYFUNCTION("""COMPUTED_VALUE"""),29.2)</f>
        <v>29.2</v>
      </c>
      <c r="E499" s="1">
        <f ca="1">IFERROR(__xludf.DUMMYFUNCTION("""COMPUTED_VALUE"""),29.27)</f>
        <v>29.27</v>
      </c>
      <c r="F499" s="1">
        <f ca="1">IFERROR(__xludf.DUMMYFUNCTION("""COMPUTED_VALUE"""),23783165)</f>
        <v>23783165</v>
      </c>
    </row>
    <row r="500" spans="1:6" x14ac:dyDescent="0.35">
      <c r="A500" s="2">
        <f ca="1">IFERROR(__xludf.DUMMYFUNCTION("""COMPUTED_VALUE"""),42726.6666666666)</f>
        <v>42726.666666666599</v>
      </c>
      <c r="B500" s="1">
        <f ca="1">IFERROR(__xludf.DUMMYFUNCTION("""COMPUTED_VALUE"""),29.09)</f>
        <v>29.09</v>
      </c>
      <c r="C500" s="1">
        <f ca="1">IFERROR(__xludf.DUMMYFUNCTION("""COMPUTED_VALUE"""),29.13)</f>
        <v>29.13</v>
      </c>
      <c r="D500" s="1">
        <f ca="1">IFERROR(__xludf.DUMMYFUNCTION("""COMPUTED_VALUE"""),28.91)</f>
        <v>28.91</v>
      </c>
      <c r="E500" s="1">
        <f ca="1">IFERROR(__xludf.DUMMYFUNCTION("""COMPUTED_VALUE"""),29.07)</f>
        <v>29.07</v>
      </c>
      <c r="F500" s="1">
        <f ca="1">IFERROR(__xludf.DUMMYFUNCTION("""COMPUTED_VALUE"""),26085854)</f>
        <v>26085854</v>
      </c>
    </row>
    <row r="501" spans="1:6" x14ac:dyDescent="0.35">
      <c r="A501" s="2">
        <f ca="1">IFERROR(__xludf.DUMMYFUNCTION("""COMPUTED_VALUE"""),42727.6666666666)</f>
        <v>42727.666666666599</v>
      </c>
      <c r="B501" s="1">
        <f ca="1">IFERROR(__xludf.DUMMYFUNCTION("""COMPUTED_VALUE"""),28.9)</f>
        <v>28.9</v>
      </c>
      <c r="C501" s="1">
        <f ca="1">IFERROR(__xludf.DUMMYFUNCTION("""COMPUTED_VALUE"""),29.13)</f>
        <v>29.13</v>
      </c>
      <c r="D501" s="1">
        <f ca="1">IFERROR(__xludf.DUMMYFUNCTION("""COMPUTED_VALUE"""),28.9)</f>
        <v>28.9</v>
      </c>
      <c r="E501" s="1">
        <f ca="1">IFERROR(__xludf.DUMMYFUNCTION("""COMPUTED_VALUE"""),29.13)</f>
        <v>29.13</v>
      </c>
      <c r="F501" s="1">
        <f ca="1">IFERROR(__xludf.DUMMYFUNCTION("""COMPUTED_VALUE"""),14249484)</f>
        <v>14249484</v>
      </c>
    </row>
    <row r="502" spans="1:6" x14ac:dyDescent="0.35">
      <c r="A502" s="2">
        <f ca="1">IFERROR(__xludf.DUMMYFUNCTION("""COMPUTED_VALUE"""),42731.6666666666)</f>
        <v>42731.666666666599</v>
      </c>
      <c r="B502" s="1">
        <f ca="1">IFERROR(__xludf.DUMMYFUNCTION("""COMPUTED_VALUE"""),29.13)</f>
        <v>29.13</v>
      </c>
      <c r="C502" s="1">
        <f ca="1">IFERROR(__xludf.DUMMYFUNCTION("""COMPUTED_VALUE"""),29.45)</f>
        <v>29.45</v>
      </c>
      <c r="D502" s="1">
        <f ca="1">IFERROR(__xludf.DUMMYFUNCTION("""COMPUTED_VALUE"""),29.12)</f>
        <v>29.12</v>
      </c>
      <c r="E502" s="1">
        <f ca="1">IFERROR(__xludf.DUMMYFUNCTION("""COMPUTED_VALUE"""),29.32)</f>
        <v>29.32</v>
      </c>
      <c r="F502" s="1">
        <f ca="1">IFERROR(__xludf.DUMMYFUNCTION("""COMPUTED_VALUE"""),18296855)</f>
        <v>18296855</v>
      </c>
    </row>
    <row r="503" spans="1:6" x14ac:dyDescent="0.35">
      <c r="A503" s="2">
        <f ca="1">IFERROR(__xludf.DUMMYFUNCTION("""COMPUTED_VALUE"""),42732.6666666666)</f>
        <v>42732.666666666599</v>
      </c>
      <c r="B503" s="1">
        <f ca="1">IFERROR(__xludf.DUMMYFUNCTION("""COMPUTED_VALUE"""),29.38)</f>
        <v>29.38</v>
      </c>
      <c r="C503" s="1">
        <f ca="1">IFERROR(__xludf.DUMMYFUNCTION("""COMPUTED_VALUE"""),29.5)</f>
        <v>29.5</v>
      </c>
      <c r="D503" s="1">
        <f ca="1">IFERROR(__xludf.DUMMYFUNCTION("""COMPUTED_VALUE"""),29.05)</f>
        <v>29.05</v>
      </c>
      <c r="E503" s="1">
        <f ca="1">IFERROR(__xludf.DUMMYFUNCTION("""COMPUTED_VALUE"""),29.19)</f>
        <v>29.19</v>
      </c>
      <c r="F503" s="1">
        <f ca="1">IFERROR(__xludf.DUMMYFUNCTION("""COMPUTED_VALUE"""),20905892)</f>
        <v>20905892</v>
      </c>
    </row>
    <row r="504" spans="1:6" x14ac:dyDescent="0.35">
      <c r="A504" s="2">
        <f ca="1">IFERROR(__xludf.DUMMYFUNCTION("""COMPUTED_VALUE"""),42733.6666666666)</f>
        <v>42733.666666666599</v>
      </c>
      <c r="B504" s="1">
        <f ca="1">IFERROR(__xludf.DUMMYFUNCTION("""COMPUTED_VALUE"""),29.11)</f>
        <v>29.11</v>
      </c>
      <c r="C504" s="1">
        <f ca="1">IFERROR(__xludf.DUMMYFUNCTION("""COMPUTED_VALUE"""),29.28)</f>
        <v>29.28</v>
      </c>
      <c r="D504" s="1">
        <f ca="1">IFERROR(__xludf.DUMMYFUNCTION("""COMPUTED_VALUE"""),29.1)</f>
        <v>29.1</v>
      </c>
      <c r="E504" s="1">
        <f ca="1">IFERROR(__xludf.DUMMYFUNCTION("""COMPUTED_VALUE"""),29.18)</f>
        <v>29.18</v>
      </c>
      <c r="F504" s="1">
        <f ca="1">IFERROR(__xludf.DUMMYFUNCTION("""COMPUTED_VALUE"""),15039519)</f>
        <v>15039519</v>
      </c>
    </row>
    <row r="505" spans="1:6" x14ac:dyDescent="0.35">
      <c r="A505" s="2">
        <f ca="1">IFERROR(__xludf.DUMMYFUNCTION("""COMPUTED_VALUE"""),42734.6666666666)</f>
        <v>42734.666666666599</v>
      </c>
      <c r="B505" s="1">
        <f ca="1">IFERROR(__xludf.DUMMYFUNCTION("""COMPUTED_VALUE"""),29.16)</f>
        <v>29.16</v>
      </c>
      <c r="C505" s="1">
        <f ca="1">IFERROR(__xludf.DUMMYFUNCTION("""COMPUTED_VALUE"""),29.3)</f>
        <v>29.3</v>
      </c>
      <c r="D505" s="1">
        <f ca="1">IFERROR(__xludf.DUMMYFUNCTION("""COMPUTED_VALUE"""),28.86)</f>
        <v>28.86</v>
      </c>
      <c r="E505" s="1">
        <f ca="1">IFERROR(__xludf.DUMMYFUNCTION("""COMPUTED_VALUE"""),28.96)</f>
        <v>28.96</v>
      </c>
      <c r="F505" s="1">
        <f ca="1">IFERROR(__xludf.DUMMYFUNCTION("""COMPUTED_VALUE"""),30586265)</f>
        <v>30586265</v>
      </c>
    </row>
    <row r="506" spans="1:6" x14ac:dyDescent="0.35">
      <c r="A506" s="2">
        <f ca="1">IFERROR(__xludf.DUMMYFUNCTION("""COMPUTED_VALUE"""),42738.6666666666)</f>
        <v>42738.666666666599</v>
      </c>
      <c r="B506" s="1">
        <f ca="1">IFERROR(__xludf.DUMMYFUNCTION("""COMPUTED_VALUE"""),28.95)</f>
        <v>28.95</v>
      </c>
      <c r="C506" s="1">
        <f ca="1">IFERROR(__xludf.DUMMYFUNCTION("""COMPUTED_VALUE"""),29.08)</f>
        <v>29.08</v>
      </c>
      <c r="D506" s="1">
        <f ca="1">IFERROR(__xludf.DUMMYFUNCTION("""COMPUTED_VALUE"""),28.69)</f>
        <v>28.69</v>
      </c>
      <c r="E506" s="1">
        <f ca="1">IFERROR(__xludf.DUMMYFUNCTION("""COMPUTED_VALUE"""),29.04)</f>
        <v>29.04</v>
      </c>
      <c r="F506" s="1">
        <f ca="1">IFERROR(__xludf.DUMMYFUNCTION("""COMPUTED_VALUE"""),28781865)</f>
        <v>28781865</v>
      </c>
    </row>
    <row r="507" spans="1:6" x14ac:dyDescent="0.35">
      <c r="A507" s="2">
        <f ca="1">IFERROR(__xludf.DUMMYFUNCTION("""COMPUTED_VALUE"""),42739.6666666666)</f>
        <v>42739.666666666599</v>
      </c>
      <c r="B507" s="1">
        <f ca="1">IFERROR(__xludf.DUMMYFUNCTION("""COMPUTED_VALUE"""),28.96)</f>
        <v>28.96</v>
      </c>
      <c r="C507" s="1">
        <f ca="1">IFERROR(__xludf.DUMMYFUNCTION("""COMPUTED_VALUE"""),29.13)</f>
        <v>29.13</v>
      </c>
      <c r="D507" s="1">
        <f ca="1">IFERROR(__xludf.DUMMYFUNCTION("""COMPUTED_VALUE"""),28.94)</f>
        <v>28.94</v>
      </c>
      <c r="E507" s="1">
        <f ca="1">IFERROR(__xludf.DUMMYFUNCTION("""COMPUTED_VALUE"""),29.01)</f>
        <v>29.01</v>
      </c>
      <c r="F507" s="1">
        <f ca="1">IFERROR(__xludf.DUMMYFUNCTION("""COMPUTED_VALUE"""),21118116)</f>
        <v>21118116</v>
      </c>
    </row>
    <row r="508" spans="1:6" x14ac:dyDescent="0.35">
      <c r="A508" s="2">
        <f ca="1">IFERROR(__xludf.DUMMYFUNCTION("""COMPUTED_VALUE"""),42740.6666666666)</f>
        <v>42740.666666666599</v>
      </c>
      <c r="B508" s="1">
        <f ca="1">IFERROR(__xludf.DUMMYFUNCTION("""COMPUTED_VALUE"""),28.98)</f>
        <v>28.98</v>
      </c>
      <c r="C508" s="1">
        <f ca="1">IFERROR(__xludf.DUMMYFUNCTION("""COMPUTED_VALUE"""),29.22)</f>
        <v>29.22</v>
      </c>
      <c r="D508" s="1">
        <f ca="1">IFERROR(__xludf.DUMMYFUNCTION("""COMPUTED_VALUE"""),28.95)</f>
        <v>28.95</v>
      </c>
      <c r="E508" s="1">
        <f ca="1">IFERROR(__xludf.DUMMYFUNCTION("""COMPUTED_VALUE"""),29.15)</f>
        <v>29.15</v>
      </c>
      <c r="F508" s="1">
        <f ca="1">IFERROR(__xludf.DUMMYFUNCTION("""COMPUTED_VALUE"""),22193587)</f>
        <v>22193587</v>
      </c>
    </row>
    <row r="509" spans="1:6" x14ac:dyDescent="0.35">
      <c r="A509" s="2">
        <f ca="1">IFERROR(__xludf.DUMMYFUNCTION("""COMPUTED_VALUE"""),42741.6666666666)</f>
        <v>42741.666666666599</v>
      </c>
      <c r="B509" s="1">
        <f ca="1">IFERROR(__xludf.DUMMYFUNCTION("""COMPUTED_VALUE"""),29.2)</f>
        <v>29.2</v>
      </c>
      <c r="C509" s="1">
        <f ca="1">IFERROR(__xludf.DUMMYFUNCTION("""COMPUTED_VALUE"""),29.54)</f>
        <v>29.54</v>
      </c>
      <c r="D509" s="1">
        <f ca="1">IFERROR(__xludf.DUMMYFUNCTION("""COMPUTED_VALUE"""),29.12)</f>
        <v>29.12</v>
      </c>
      <c r="E509" s="1">
        <f ca="1">IFERROR(__xludf.DUMMYFUNCTION("""COMPUTED_VALUE"""),29.48)</f>
        <v>29.48</v>
      </c>
      <c r="F509" s="1">
        <f ca="1">IFERROR(__xludf.DUMMYFUNCTION("""COMPUTED_VALUE"""),31751900)</f>
        <v>31751900</v>
      </c>
    </row>
    <row r="510" spans="1:6" x14ac:dyDescent="0.35">
      <c r="A510" s="2">
        <f ca="1">IFERROR(__xludf.DUMMYFUNCTION("""COMPUTED_VALUE"""),42744.6666666666)</f>
        <v>42744.666666666599</v>
      </c>
      <c r="B510" s="1">
        <f ca="1">IFERROR(__xludf.DUMMYFUNCTION("""COMPUTED_VALUE"""),29.49)</f>
        <v>29.49</v>
      </c>
      <c r="C510" s="1">
        <f ca="1">IFERROR(__xludf.DUMMYFUNCTION("""COMPUTED_VALUE"""),29.86)</f>
        <v>29.86</v>
      </c>
      <c r="D510" s="1">
        <f ca="1">IFERROR(__xludf.DUMMYFUNCTION("""COMPUTED_VALUE"""),29.49)</f>
        <v>29.49</v>
      </c>
      <c r="E510" s="1">
        <f ca="1">IFERROR(__xludf.DUMMYFUNCTION("""COMPUTED_VALUE"""),29.75)</f>
        <v>29.75</v>
      </c>
      <c r="F510" s="1">
        <f ca="1">IFERROR(__xludf.DUMMYFUNCTION("""COMPUTED_VALUE"""),33561948)</f>
        <v>33561948</v>
      </c>
    </row>
    <row r="511" spans="1:6" x14ac:dyDescent="0.35">
      <c r="A511" s="2">
        <f ca="1">IFERROR(__xludf.DUMMYFUNCTION("""COMPUTED_VALUE"""),42745.6666666666)</f>
        <v>42745.666666666599</v>
      </c>
      <c r="B511" s="1">
        <f ca="1">IFERROR(__xludf.DUMMYFUNCTION("""COMPUTED_VALUE"""),29.69)</f>
        <v>29.69</v>
      </c>
      <c r="C511" s="1">
        <f ca="1">IFERROR(__xludf.DUMMYFUNCTION("""COMPUTED_VALUE"""),29.85)</f>
        <v>29.85</v>
      </c>
      <c r="D511" s="1">
        <f ca="1">IFERROR(__xludf.DUMMYFUNCTION("""COMPUTED_VALUE"""),29.58)</f>
        <v>29.58</v>
      </c>
      <c r="E511" s="1">
        <f ca="1">IFERROR(__xludf.DUMMYFUNCTION("""COMPUTED_VALUE"""),29.78)</f>
        <v>29.78</v>
      </c>
      <c r="F511" s="1">
        <f ca="1">IFERROR(__xludf.DUMMYFUNCTION("""COMPUTED_VALUE"""),24462051)</f>
        <v>24462051</v>
      </c>
    </row>
    <row r="512" spans="1:6" x14ac:dyDescent="0.35">
      <c r="A512" s="2">
        <f ca="1">IFERROR(__xludf.DUMMYFUNCTION("""COMPUTED_VALUE"""),42746.6666666666)</f>
        <v>42746.666666666599</v>
      </c>
      <c r="B512" s="1">
        <f ca="1">IFERROR(__xludf.DUMMYFUNCTION("""COMPUTED_VALUE"""),29.69)</f>
        <v>29.69</v>
      </c>
      <c r="C512" s="1">
        <f ca="1">IFERROR(__xludf.DUMMYFUNCTION("""COMPUTED_VALUE"""),29.98)</f>
        <v>29.98</v>
      </c>
      <c r="D512" s="1">
        <f ca="1">IFERROR(__xludf.DUMMYFUNCTION("""COMPUTED_VALUE"""),29.65)</f>
        <v>29.65</v>
      </c>
      <c r="E512" s="1">
        <f ca="1">IFERROR(__xludf.DUMMYFUNCTION("""COMPUTED_VALUE"""),29.94)</f>
        <v>29.94</v>
      </c>
      <c r="F512" s="1">
        <f ca="1">IFERROR(__xludf.DUMMYFUNCTION("""COMPUTED_VALUE"""),27588593)</f>
        <v>27588593</v>
      </c>
    </row>
    <row r="513" spans="1:6" x14ac:dyDescent="0.35">
      <c r="A513" s="2">
        <f ca="1">IFERROR(__xludf.DUMMYFUNCTION("""COMPUTED_VALUE"""),42747.6666666666)</f>
        <v>42747.666666666599</v>
      </c>
      <c r="B513" s="1">
        <f ca="1">IFERROR(__xludf.DUMMYFUNCTION("""COMPUTED_VALUE"""),29.72)</f>
        <v>29.72</v>
      </c>
      <c r="C513" s="1">
        <f ca="1">IFERROR(__xludf.DUMMYFUNCTION("""COMPUTED_VALUE"""),29.83)</f>
        <v>29.83</v>
      </c>
      <c r="D513" s="1">
        <f ca="1">IFERROR(__xludf.DUMMYFUNCTION("""COMPUTED_VALUE"""),29.55)</f>
        <v>29.55</v>
      </c>
      <c r="E513" s="1">
        <f ca="1">IFERROR(__xludf.DUMMYFUNCTION("""COMPUTED_VALUE"""),29.81)</f>
        <v>29.81</v>
      </c>
      <c r="F513" s="1">
        <f ca="1">IFERROR(__xludf.DUMMYFUNCTION("""COMPUTED_VALUE"""),27086220)</f>
        <v>27086220</v>
      </c>
    </row>
    <row r="514" spans="1:6" x14ac:dyDescent="0.35">
      <c r="A514" s="2">
        <f ca="1">IFERROR(__xludf.DUMMYFUNCTION("""COMPUTED_VALUE"""),42748.6666666666)</f>
        <v>42748.666666666599</v>
      </c>
      <c r="B514" s="1">
        <f ca="1">IFERROR(__xludf.DUMMYFUNCTION("""COMPUTED_VALUE"""),29.78)</f>
        <v>29.78</v>
      </c>
      <c r="C514" s="1">
        <f ca="1">IFERROR(__xludf.DUMMYFUNCTION("""COMPUTED_VALUE"""),29.91)</f>
        <v>29.91</v>
      </c>
      <c r="D514" s="1">
        <f ca="1">IFERROR(__xludf.DUMMYFUNCTION("""COMPUTED_VALUE"""),29.7)</f>
        <v>29.7</v>
      </c>
      <c r="E514" s="1">
        <f ca="1">IFERROR(__xludf.DUMMYFUNCTION("""COMPUTED_VALUE"""),29.76)</f>
        <v>29.76</v>
      </c>
      <c r="F514" s="1">
        <f ca="1">IFERROR(__xludf.DUMMYFUNCTION("""COMPUTED_VALUE"""),26111948)</f>
        <v>26111948</v>
      </c>
    </row>
    <row r="515" spans="1:6" x14ac:dyDescent="0.35">
      <c r="A515" s="2">
        <f ca="1">IFERROR(__xludf.DUMMYFUNCTION("""COMPUTED_VALUE"""),42752.6666666666)</f>
        <v>42752.666666666599</v>
      </c>
      <c r="B515" s="1">
        <f ca="1">IFERROR(__xludf.DUMMYFUNCTION("""COMPUTED_VALUE"""),29.59)</f>
        <v>29.59</v>
      </c>
      <c r="C515" s="1">
        <f ca="1">IFERROR(__xludf.DUMMYFUNCTION("""COMPUTED_VALUE"""),30.06)</f>
        <v>30.06</v>
      </c>
      <c r="D515" s="1">
        <f ca="1">IFERROR(__xludf.DUMMYFUNCTION("""COMPUTED_VALUE"""),29.56)</f>
        <v>29.56</v>
      </c>
      <c r="E515" s="1">
        <f ca="1">IFERROR(__xludf.DUMMYFUNCTION("""COMPUTED_VALUE"""),30)</f>
        <v>30</v>
      </c>
      <c r="F515" s="1">
        <f ca="1">IFERROR(__xludf.DUMMYFUNCTION("""COMPUTED_VALUE"""),34439843)</f>
        <v>34439843</v>
      </c>
    </row>
    <row r="516" spans="1:6" x14ac:dyDescent="0.35">
      <c r="A516" s="2">
        <f ca="1">IFERROR(__xludf.DUMMYFUNCTION("""COMPUTED_VALUE"""),42753.6666666666)</f>
        <v>42753.666666666599</v>
      </c>
      <c r="B516" s="1">
        <f ca="1">IFERROR(__xludf.DUMMYFUNCTION("""COMPUTED_VALUE"""),30)</f>
        <v>30</v>
      </c>
      <c r="C516" s="1">
        <f ca="1">IFERROR(__xludf.DUMMYFUNCTION("""COMPUTED_VALUE"""),30.13)</f>
        <v>30.13</v>
      </c>
      <c r="D516" s="1">
        <f ca="1">IFERROR(__xludf.DUMMYFUNCTION("""COMPUTED_VALUE"""),29.93)</f>
        <v>29.93</v>
      </c>
      <c r="E516" s="1">
        <f ca="1">IFERROR(__xludf.DUMMYFUNCTION("""COMPUTED_VALUE"""),30)</f>
        <v>30</v>
      </c>
      <c r="F516" s="1">
        <f ca="1">IFERROR(__xludf.DUMMYFUNCTION("""COMPUTED_VALUE"""),23712961)</f>
        <v>23712961</v>
      </c>
    </row>
    <row r="517" spans="1:6" x14ac:dyDescent="0.35">
      <c r="A517" s="2">
        <f ca="1">IFERROR(__xludf.DUMMYFUNCTION("""COMPUTED_VALUE"""),42754.6666666666)</f>
        <v>42754.666666666599</v>
      </c>
      <c r="B517" s="1">
        <f ca="1">IFERROR(__xludf.DUMMYFUNCTION("""COMPUTED_VALUE"""),29.85)</f>
        <v>29.85</v>
      </c>
      <c r="C517" s="1">
        <f ca="1">IFERROR(__xludf.DUMMYFUNCTION("""COMPUTED_VALUE"""),30.02)</f>
        <v>30.02</v>
      </c>
      <c r="D517" s="1">
        <f ca="1">IFERROR(__xludf.DUMMYFUNCTION("""COMPUTED_VALUE"""),29.84)</f>
        <v>29.84</v>
      </c>
      <c r="E517" s="1">
        <f ca="1">IFERROR(__xludf.DUMMYFUNCTION("""COMPUTED_VALUE"""),29.95)</f>
        <v>29.95</v>
      </c>
      <c r="F517" s="1">
        <f ca="1">IFERROR(__xludf.DUMMYFUNCTION("""COMPUTED_VALUE"""),25597291)</f>
        <v>25597291</v>
      </c>
    </row>
    <row r="518" spans="1:6" x14ac:dyDescent="0.35">
      <c r="A518" s="2">
        <f ca="1">IFERROR(__xludf.DUMMYFUNCTION("""COMPUTED_VALUE"""),42755.6666666666)</f>
        <v>42755.666666666599</v>
      </c>
      <c r="B518" s="1">
        <f ca="1">IFERROR(__xludf.DUMMYFUNCTION("""COMPUTED_VALUE"""),30.11)</f>
        <v>30.11</v>
      </c>
      <c r="C518" s="1">
        <f ca="1">IFERROR(__xludf.DUMMYFUNCTION("""COMPUTED_VALUE"""),30.11)</f>
        <v>30.11</v>
      </c>
      <c r="D518" s="1">
        <f ca="1">IFERROR(__xludf.DUMMYFUNCTION("""COMPUTED_VALUE"""),29.93)</f>
        <v>29.93</v>
      </c>
      <c r="E518" s="1">
        <f ca="1">IFERROR(__xludf.DUMMYFUNCTION("""COMPUTED_VALUE"""),30)</f>
        <v>30</v>
      </c>
      <c r="F518" s="1">
        <f ca="1">IFERROR(__xludf.DUMMYFUNCTION("""COMPUTED_VALUE"""),32597892)</f>
        <v>32597892</v>
      </c>
    </row>
    <row r="519" spans="1:6" x14ac:dyDescent="0.35">
      <c r="A519" s="2">
        <f ca="1">IFERROR(__xludf.DUMMYFUNCTION("""COMPUTED_VALUE"""),42758.6666666666)</f>
        <v>42758.666666666599</v>
      </c>
      <c r="B519" s="1">
        <f ca="1">IFERROR(__xludf.DUMMYFUNCTION("""COMPUTED_VALUE"""),30)</f>
        <v>30</v>
      </c>
      <c r="C519" s="1">
        <f ca="1">IFERROR(__xludf.DUMMYFUNCTION("""COMPUTED_VALUE"""),30.2)</f>
        <v>30.2</v>
      </c>
      <c r="D519" s="1">
        <f ca="1">IFERROR(__xludf.DUMMYFUNCTION("""COMPUTED_VALUE"""),29.94)</f>
        <v>29.94</v>
      </c>
      <c r="E519" s="1">
        <f ca="1">IFERROR(__xludf.DUMMYFUNCTION("""COMPUTED_VALUE"""),30.02)</f>
        <v>30.02</v>
      </c>
      <c r="F519" s="1">
        <f ca="1">IFERROR(__xludf.DUMMYFUNCTION("""COMPUTED_VALUE"""),22050218)</f>
        <v>22050218</v>
      </c>
    </row>
    <row r="520" spans="1:6" x14ac:dyDescent="0.35">
      <c r="A520" s="2">
        <f ca="1">IFERROR(__xludf.DUMMYFUNCTION("""COMPUTED_VALUE"""),42759.6666666666)</f>
        <v>42759.666666666599</v>
      </c>
      <c r="B520" s="1">
        <f ca="1">IFERROR(__xludf.DUMMYFUNCTION("""COMPUTED_VALUE"""),29.89)</f>
        <v>29.89</v>
      </c>
      <c r="C520" s="1">
        <f ca="1">IFERROR(__xludf.DUMMYFUNCTION("""COMPUTED_VALUE"""),30.03)</f>
        <v>30.03</v>
      </c>
      <c r="D520" s="1">
        <f ca="1">IFERROR(__xludf.DUMMYFUNCTION("""COMPUTED_VALUE"""),29.88)</f>
        <v>29.88</v>
      </c>
      <c r="E520" s="1">
        <f ca="1">IFERROR(__xludf.DUMMYFUNCTION("""COMPUTED_VALUE"""),29.99)</f>
        <v>29.99</v>
      </c>
      <c r="F520" s="1">
        <f ca="1">IFERROR(__xludf.DUMMYFUNCTION("""COMPUTED_VALUE"""),23211038)</f>
        <v>23211038</v>
      </c>
    </row>
    <row r="521" spans="1:6" x14ac:dyDescent="0.35">
      <c r="A521" s="2">
        <f ca="1">IFERROR(__xludf.DUMMYFUNCTION("""COMPUTED_VALUE"""),42760.6666666666)</f>
        <v>42760.666666666599</v>
      </c>
      <c r="B521" s="1">
        <f ca="1">IFERROR(__xludf.DUMMYFUNCTION("""COMPUTED_VALUE"""),30.11)</f>
        <v>30.11</v>
      </c>
      <c r="C521" s="1">
        <f ca="1">IFERROR(__xludf.DUMMYFUNCTION("""COMPUTED_VALUE"""),30.53)</f>
        <v>30.53</v>
      </c>
      <c r="D521" s="1">
        <f ca="1">IFERROR(__xludf.DUMMYFUNCTION("""COMPUTED_VALUE"""),30.07)</f>
        <v>30.07</v>
      </c>
      <c r="E521" s="1">
        <f ca="1">IFERROR(__xludf.DUMMYFUNCTION("""COMPUTED_VALUE"""),30.47)</f>
        <v>30.47</v>
      </c>
      <c r="F521" s="1">
        <f ca="1">IFERROR(__xludf.DUMMYFUNCTION("""COMPUTED_VALUE"""),32586673)</f>
        <v>32586673</v>
      </c>
    </row>
    <row r="522" spans="1:6" x14ac:dyDescent="0.35">
      <c r="A522" s="2">
        <f ca="1">IFERROR(__xludf.DUMMYFUNCTION("""COMPUTED_VALUE"""),42761.6666666666)</f>
        <v>42761.666666666599</v>
      </c>
      <c r="B522" s="1">
        <f ca="1">IFERROR(__xludf.DUMMYFUNCTION("""COMPUTED_VALUE"""),30.42)</f>
        <v>30.42</v>
      </c>
      <c r="C522" s="1">
        <f ca="1">IFERROR(__xludf.DUMMYFUNCTION("""COMPUTED_VALUE"""),30.61)</f>
        <v>30.61</v>
      </c>
      <c r="D522" s="1">
        <f ca="1">IFERROR(__xludf.DUMMYFUNCTION("""COMPUTED_VALUE"""),30.4)</f>
        <v>30.4</v>
      </c>
      <c r="E522" s="1">
        <f ca="1">IFERROR(__xludf.DUMMYFUNCTION("""COMPUTED_VALUE"""),30.49)</f>
        <v>30.49</v>
      </c>
      <c r="F522" s="1">
        <f ca="1">IFERROR(__xludf.DUMMYFUNCTION("""COMPUTED_VALUE"""),26337576)</f>
        <v>26337576</v>
      </c>
    </row>
    <row r="523" spans="1:6" x14ac:dyDescent="0.35">
      <c r="A523" s="2">
        <f ca="1">IFERROR(__xludf.DUMMYFUNCTION("""COMPUTED_VALUE"""),42762.6666666666)</f>
        <v>42762.666666666599</v>
      </c>
      <c r="B523" s="1">
        <f ca="1">IFERROR(__xludf.DUMMYFUNCTION("""COMPUTED_VALUE"""),30.54)</f>
        <v>30.54</v>
      </c>
      <c r="C523" s="1">
        <f ca="1">IFERROR(__xludf.DUMMYFUNCTION("""COMPUTED_VALUE"""),30.59)</f>
        <v>30.59</v>
      </c>
      <c r="D523" s="1">
        <f ca="1">IFERROR(__xludf.DUMMYFUNCTION("""COMPUTED_VALUE"""),30.4)</f>
        <v>30.4</v>
      </c>
      <c r="E523" s="1">
        <f ca="1">IFERROR(__xludf.DUMMYFUNCTION("""COMPUTED_VALUE"""),30.49)</f>
        <v>30.49</v>
      </c>
      <c r="F523" s="1">
        <f ca="1">IFERROR(__xludf.DUMMYFUNCTION("""COMPUTED_VALUE"""),20562944)</f>
        <v>20562944</v>
      </c>
    </row>
    <row r="524" spans="1:6" x14ac:dyDescent="0.35">
      <c r="A524" s="2">
        <f ca="1">IFERROR(__xludf.DUMMYFUNCTION("""COMPUTED_VALUE"""),42765.6666666666)</f>
        <v>42765.666666666599</v>
      </c>
      <c r="B524" s="1">
        <f ca="1">IFERROR(__xludf.DUMMYFUNCTION("""COMPUTED_VALUE"""),30.23)</f>
        <v>30.23</v>
      </c>
      <c r="C524" s="1">
        <f ca="1">IFERROR(__xludf.DUMMYFUNCTION("""COMPUTED_VALUE"""),30.41)</f>
        <v>30.41</v>
      </c>
      <c r="D524" s="1">
        <f ca="1">IFERROR(__xludf.DUMMYFUNCTION("""COMPUTED_VALUE"""),30.17)</f>
        <v>30.17</v>
      </c>
      <c r="E524" s="1">
        <f ca="1">IFERROR(__xludf.DUMMYFUNCTION("""COMPUTED_VALUE"""),30.41)</f>
        <v>30.41</v>
      </c>
      <c r="F524" s="1">
        <f ca="1">IFERROR(__xludf.DUMMYFUNCTION("""COMPUTED_VALUE"""),30377503)</f>
        <v>30377503</v>
      </c>
    </row>
    <row r="525" spans="1:6" x14ac:dyDescent="0.35">
      <c r="A525" s="2">
        <f ca="1">IFERROR(__xludf.DUMMYFUNCTION("""COMPUTED_VALUE"""),42766.6666666666)</f>
        <v>42766.666666666599</v>
      </c>
      <c r="B525" s="1">
        <f ca="1">IFERROR(__xludf.DUMMYFUNCTION("""COMPUTED_VALUE"""),30.29)</f>
        <v>30.29</v>
      </c>
      <c r="C525" s="1">
        <f ca="1">IFERROR(__xludf.DUMMYFUNCTION("""COMPUTED_VALUE"""),30.35)</f>
        <v>30.35</v>
      </c>
      <c r="D525" s="1">
        <f ca="1">IFERROR(__xludf.DUMMYFUNCTION("""COMPUTED_VALUE"""),30.16)</f>
        <v>30.16</v>
      </c>
      <c r="E525" s="1">
        <f ca="1">IFERROR(__xludf.DUMMYFUNCTION("""COMPUTED_VALUE"""),30.34)</f>
        <v>30.34</v>
      </c>
      <c r="F525" s="1">
        <f ca="1">IFERROR(__xludf.DUMMYFUNCTION("""COMPUTED_VALUE"""),49200993)</f>
        <v>49200993</v>
      </c>
    </row>
    <row r="526" spans="1:6" x14ac:dyDescent="0.35">
      <c r="A526" s="2">
        <f ca="1">IFERROR(__xludf.DUMMYFUNCTION("""COMPUTED_VALUE"""),42767.6666666666)</f>
        <v>42767.666666666599</v>
      </c>
      <c r="B526" s="1">
        <f ca="1">IFERROR(__xludf.DUMMYFUNCTION("""COMPUTED_VALUE"""),31.76)</f>
        <v>31.76</v>
      </c>
      <c r="C526" s="1">
        <f ca="1">IFERROR(__xludf.DUMMYFUNCTION("""COMPUTED_VALUE"""),32.62)</f>
        <v>32.619999999999997</v>
      </c>
      <c r="D526" s="1">
        <f ca="1">IFERROR(__xludf.DUMMYFUNCTION("""COMPUTED_VALUE"""),31.75)</f>
        <v>31.75</v>
      </c>
      <c r="E526" s="1">
        <f ca="1">IFERROR(__xludf.DUMMYFUNCTION("""COMPUTED_VALUE"""),32.19)</f>
        <v>32.19</v>
      </c>
      <c r="F526" s="1">
        <f ca="1">IFERROR(__xludf.DUMMYFUNCTION("""COMPUTED_VALUE"""),111985040)</f>
        <v>111985040</v>
      </c>
    </row>
    <row r="527" spans="1:6" x14ac:dyDescent="0.35">
      <c r="A527" s="2">
        <f ca="1">IFERROR(__xludf.DUMMYFUNCTION("""COMPUTED_VALUE"""),42768.6666666666)</f>
        <v>42768.666666666599</v>
      </c>
      <c r="B527" s="1">
        <f ca="1">IFERROR(__xludf.DUMMYFUNCTION("""COMPUTED_VALUE"""),31.99)</f>
        <v>31.99</v>
      </c>
      <c r="C527" s="1">
        <f ca="1">IFERROR(__xludf.DUMMYFUNCTION("""COMPUTED_VALUE"""),32.35)</f>
        <v>32.35</v>
      </c>
      <c r="D527" s="1">
        <f ca="1">IFERROR(__xludf.DUMMYFUNCTION("""COMPUTED_VALUE"""),31.95)</f>
        <v>31.95</v>
      </c>
      <c r="E527" s="1">
        <f ca="1">IFERROR(__xludf.DUMMYFUNCTION("""COMPUTED_VALUE"""),32.13)</f>
        <v>32.130000000000003</v>
      </c>
      <c r="F527" s="1">
        <f ca="1">IFERROR(__xludf.DUMMYFUNCTION("""COMPUTED_VALUE"""),33710411)</f>
        <v>33710411</v>
      </c>
    </row>
    <row r="528" spans="1:6" x14ac:dyDescent="0.35">
      <c r="A528" s="2">
        <f ca="1">IFERROR(__xludf.DUMMYFUNCTION("""COMPUTED_VALUE"""),42769.6666666666)</f>
        <v>42769.666666666599</v>
      </c>
      <c r="B528" s="1">
        <f ca="1">IFERROR(__xludf.DUMMYFUNCTION("""COMPUTED_VALUE"""),32.08)</f>
        <v>32.08</v>
      </c>
      <c r="C528" s="1">
        <f ca="1">IFERROR(__xludf.DUMMYFUNCTION("""COMPUTED_VALUE"""),32.3)</f>
        <v>32.299999999999997</v>
      </c>
      <c r="D528" s="1">
        <f ca="1">IFERROR(__xludf.DUMMYFUNCTION("""COMPUTED_VALUE"""),32.04)</f>
        <v>32.04</v>
      </c>
      <c r="E528" s="1">
        <f ca="1">IFERROR(__xludf.DUMMYFUNCTION("""COMPUTED_VALUE"""),32.27)</f>
        <v>32.270000000000003</v>
      </c>
      <c r="F528" s="1">
        <f ca="1">IFERROR(__xludf.DUMMYFUNCTION("""COMPUTED_VALUE"""),24507301)</f>
        <v>24507301</v>
      </c>
    </row>
    <row r="529" spans="1:6" x14ac:dyDescent="0.35">
      <c r="A529" s="2">
        <f ca="1">IFERROR(__xludf.DUMMYFUNCTION("""COMPUTED_VALUE"""),42772.6666666666)</f>
        <v>42772.666666666599</v>
      </c>
      <c r="B529" s="1">
        <f ca="1">IFERROR(__xludf.DUMMYFUNCTION("""COMPUTED_VALUE"""),32.28)</f>
        <v>32.28</v>
      </c>
      <c r="C529" s="1">
        <f ca="1">IFERROR(__xludf.DUMMYFUNCTION("""COMPUTED_VALUE"""),32.63)</f>
        <v>32.630000000000003</v>
      </c>
      <c r="D529" s="1">
        <f ca="1">IFERROR(__xludf.DUMMYFUNCTION("""COMPUTED_VALUE"""),32.23)</f>
        <v>32.229999999999997</v>
      </c>
      <c r="E529" s="1">
        <f ca="1">IFERROR(__xludf.DUMMYFUNCTION("""COMPUTED_VALUE"""),32.57)</f>
        <v>32.57</v>
      </c>
      <c r="F529" s="1">
        <f ca="1">IFERROR(__xludf.DUMMYFUNCTION("""COMPUTED_VALUE"""),26845924)</f>
        <v>26845924</v>
      </c>
    </row>
    <row r="530" spans="1:6" x14ac:dyDescent="0.35">
      <c r="A530" s="2">
        <f ca="1">IFERROR(__xludf.DUMMYFUNCTION("""COMPUTED_VALUE"""),42773.6666666666)</f>
        <v>42773.666666666599</v>
      </c>
      <c r="B530" s="1">
        <f ca="1">IFERROR(__xludf.DUMMYFUNCTION("""COMPUTED_VALUE"""),32.64)</f>
        <v>32.64</v>
      </c>
      <c r="C530" s="1">
        <f ca="1">IFERROR(__xludf.DUMMYFUNCTION("""COMPUTED_VALUE"""),33.02)</f>
        <v>33.020000000000003</v>
      </c>
      <c r="D530" s="1">
        <f ca="1">IFERROR(__xludf.DUMMYFUNCTION("""COMPUTED_VALUE"""),32.61)</f>
        <v>32.61</v>
      </c>
      <c r="E530" s="1">
        <f ca="1">IFERROR(__xludf.DUMMYFUNCTION("""COMPUTED_VALUE"""),32.88)</f>
        <v>32.880000000000003</v>
      </c>
      <c r="F530" s="1">
        <f ca="1">IFERROR(__xludf.DUMMYFUNCTION("""COMPUTED_VALUE"""),38183841)</f>
        <v>38183841</v>
      </c>
    </row>
    <row r="531" spans="1:6" x14ac:dyDescent="0.35">
      <c r="A531" s="2">
        <f ca="1">IFERROR(__xludf.DUMMYFUNCTION("""COMPUTED_VALUE"""),42774.6666666666)</f>
        <v>42774.666666666599</v>
      </c>
      <c r="B531" s="1">
        <f ca="1">IFERROR(__xludf.DUMMYFUNCTION("""COMPUTED_VALUE"""),32.84)</f>
        <v>32.840000000000003</v>
      </c>
      <c r="C531" s="1">
        <f ca="1">IFERROR(__xludf.DUMMYFUNCTION("""COMPUTED_VALUE"""),33.06)</f>
        <v>33.06</v>
      </c>
      <c r="D531" s="1">
        <f ca="1">IFERROR(__xludf.DUMMYFUNCTION("""COMPUTED_VALUE"""),32.81)</f>
        <v>32.81</v>
      </c>
      <c r="E531" s="1">
        <f ca="1">IFERROR(__xludf.DUMMYFUNCTION("""COMPUTED_VALUE"""),33.01)</f>
        <v>33.01</v>
      </c>
      <c r="F531" s="1">
        <f ca="1">IFERROR(__xludf.DUMMYFUNCTION("""COMPUTED_VALUE"""),23004072)</f>
        <v>23004072</v>
      </c>
    </row>
    <row r="532" spans="1:6" x14ac:dyDescent="0.35">
      <c r="A532" s="2">
        <f ca="1">IFERROR(__xludf.DUMMYFUNCTION("""COMPUTED_VALUE"""),42775.6666666666)</f>
        <v>42775.666666666599</v>
      </c>
      <c r="B532" s="1">
        <f ca="1">IFERROR(__xludf.DUMMYFUNCTION("""COMPUTED_VALUE"""),32.91)</f>
        <v>32.909999999999997</v>
      </c>
      <c r="C532" s="1">
        <f ca="1">IFERROR(__xludf.DUMMYFUNCTION("""COMPUTED_VALUE"""),33.11)</f>
        <v>33.11</v>
      </c>
      <c r="D532" s="1">
        <f ca="1">IFERROR(__xludf.DUMMYFUNCTION("""COMPUTED_VALUE"""),32.78)</f>
        <v>32.78</v>
      </c>
      <c r="E532" s="1">
        <f ca="1">IFERROR(__xludf.DUMMYFUNCTION("""COMPUTED_VALUE"""),33.1)</f>
        <v>33.1</v>
      </c>
      <c r="F532" s="1">
        <f ca="1">IFERROR(__xludf.DUMMYFUNCTION("""COMPUTED_VALUE"""),28349859)</f>
        <v>28349859</v>
      </c>
    </row>
    <row r="533" spans="1:6" x14ac:dyDescent="0.35">
      <c r="A533" s="2">
        <f ca="1">IFERROR(__xludf.DUMMYFUNCTION("""COMPUTED_VALUE"""),42776.6666666666)</f>
        <v>42776.666666666599</v>
      </c>
      <c r="B533" s="1">
        <f ca="1">IFERROR(__xludf.DUMMYFUNCTION("""COMPUTED_VALUE"""),33.12)</f>
        <v>33.119999999999997</v>
      </c>
      <c r="C533" s="1">
        <f ca="1">IFERROR(__xludf.DUMMYFUNCTION("""COMPUTED_VALUE"""),33.24)</f>
        <v>33.24</v>
      </c>
      <c r="D533" s="1">
        <f ca="1">IFERROR(__xludf.DUMMYFUNCTION("""COMPUTED_VALUE"""),33.01)</f>
        <v>33.01</v>
      </c>
      <c r="E533" s="1">
        <f ca="1">IFERROR(__xludf.DUMMYFUNCTION("""COMPUTED_VALUE"""),33.03)</f>
        <v>33.03</v>
      </c>
      <c r="F533" s="1">
        <f ca="1">IFERROR(__xludf.DUMMYFUNCTION("""COMPUTED_VALUE"""),20065458)</f>
        <v>20065458</v>
      </c>
    </row>
    <row r="534" spans="1:6" x14ac:dyDescent="0.35">
      <c r="A534" s="2">
        <f ca="1">IFERROR(__xludf.DUMMYFUNCTION("""COMPUTED_VALUE"""),42779.6666666666)</f>
        <v>42779.666666666599</v>
      </c>
      <c r="B534" s="1">
        <f ca="1">IFERROR(__xludf.DUMMYFUNCTION("""COMPUTED_VALUE"""),33.27)</f>
        <v>33.270000000000003</v>
      </c>
      <c r="C534" s="1">
        <f ca="1">IFERROR(__xludf.DUMMYFUNCTION("""COMPUTED_VALUE"""),33.46)</f>
        <v>33.46</v>
      </c>
      <c r="D534" s="1">
        <f ca="1">IFERROR(__xludf.DUMMYFUNCTION("""COMPUTED_VALUE"""),33.19)</f>
        <v>33.19</v>
      </c>
      <c r="E534" s="1">
        <f ca="1">IFERROR(__xludf.DUMMYFUNCTION("""COMPUTED_VALUE"""),33.32)</f>
        <v>33.32</v>
      </c>
      <c r="F534" s="1">
        <f ca="1">IFERROR(__xludf.DUMMYFUNCTION("""COMPUTED_VALUE"""),23035421)</f>
        <v>23035421</v>
      </c>
    </row>
    <row r="535" spans="1:6" x14ac:dyDescent="0.35">
      <c r="A535" s="2">
        <f ca="1">IFERROR(__xludf.DUMMYFUNCTION("""COMPUTED_VALUE"""),42780.6666666666)</f>
        <v>42780.666666666599</v>
      </c>
      <c r="B535" s="1">
        <f ca="1">IFERROR(__xludf.DUMMYFUNCTION("""COMPUTED_VALUE"""),33.37)</f>
        <v>33.369999999999997</v>
      </c>
      <c r="C535" s="1">
        <f ca="1">IFERROR(__xludf.DUMMYFUNCTION("""COMPUTED_VALUE"""),33.77)</f>
        <v>33.770000000000003</v>
      </c>
      <c r="D535" s="1">
        <f ca="1">IFERROR(__xludf.DUMMYFUNCTION("""COMPUTED_VALUE"""),33.31)</f>
        <v>33.31</v>
      </c>
      <c r="E535" s="1">
        <f ca="1">IFERROR(__xludf.DUMMYFUNCTION("""COMPUTED_VALUE"""),33.76)</f>
        <v>33.76</v>
      </c>
      <c r="F535" s="1">
        <f ca="1">IFERROR(__xludf.DUMMYFUNCTION("""COMPUTED_VALUE"""),33226223)</f>
        <v>33226223</v>
      </c>
    </row>
    <row r="536" spans="1:6" x14ac:dyDescent="0.35">
      <c r="A536" s="2">
        <f ca="1">IFERROR(__xludf.DUMMYFUNCTION("""COMPUTED_VALUE"""),42781.6666666666)</f>
        <v>42781.666666666599</v>
      </c>
      <c r="B536" s="1">
        <f ca="1">IFERROR(__xludf.DUMMYFUNCTION("""COMPUTED_VALUE"""),33.88)</f>
        <v>33.880000000000003</v>
      </c>
      <c r="C536" s="1">
        <f ca="1">IFERROR(__xludf.DUMMYFUNCTION("""COMPUTED_VALUE"""),34.07)</f>
        <v>34.07</v>
      </c>
      <c r="D536" s="1">
        <f ca="1">IFERROR(__xludf.DUMMYFUNCTION("""COMPUTED_VALUE"""),33.66)</f>
        <v>33.659999999999997</v>
      </c>
      <c r="E536" s="1">
        <f ca="1">IFERROR(__xludf.DUMMYFUNCTION("""COMPUTED_VALUE"""),33.88)</f>
        <v>33.880000000000003</v>
      </c>
      <c r="F536" s="1">
        <f ca="1">IFERROR(__xludf.DUMMYFUNCTION("""COMPUTED_VALUE"""),35623100)</f>
        <v>35623100</v>
      </c>
    </row>
    <row r="537" spans="1:6" x14ac:dyDescent="0.35">
      <c r="A537" s="2">
        <f ca="1">IFERROR(__xludf.DUMMYFUNCTION("""COMPUTED_VALUE"""),42782.6666666666)</f>
        <v>42782.666666666599</v>
      </c>
      <c r="B537" s="1">
        <f ca="1">IFERROR(__xludf.DUMMYFUNCTION("""COMPUTED_VALUE"""),33.92)</f>
        <v>33.92</v>
      </c>
      <c r="C537" s="1">
        <f ca="1">IFERROR(__xludf.DUMMYFUNCTION("""COMPUTED_VALUE"""),33.98)</f>
        <v>33.979999999999997</v>
      </c>
      <c r="D537" s="1">
        <f ca="1">IFERROR(__xludf.DUMMYFUNCTION("""COMPUTED_VALUE"""),33.71)</f>
        <v>33.71</v>
      </c>
      <c r="E537" s="1">
        <f ca="1">IFERROR(__xludf.DUMMYFUNCTION("""COMPUTED_VALUE"""),33.84)</f>
        <v>33.840000000000003</v>
      </c>
      <c r="F537" s="1">
        <f ca="1">IFERROR(__xludf.DUMMYFUNCTION("""COMPUTED_VALUE"""),22584555)</f>
        <v>22584555</v>
      </c>
    </row>
    <row r="538" spans="1:6" x14ac:dyDescent="0.35">
      <c r="A538" s="2">
        <f ca="1">IFERROR(__xludf.DUMMYFUNCTION("""COMPUTED_VALUE"""),42783.6666666666)</f>
        <v>42783.666666666599</v>
      </c>
      <c r="B538" s="1">
        <f ca="1">IFERROR(__xludf.DUMMYFUNCTION("""COMPUTED_VALUE"""),33.78)</f>
        <v>33.78</v>
      </c>
      <c r="C538" s="1">
        <f ca="1">IFERROR(__xludf.DUMMYFUNCTION("""COMPUTED_VALUE"""),33.96)</f>
        <v>33.96</v>
      </c>
      <c r="D538" s="1">
        <f ca="1">IFERROR(__xludf.DUMMYFUNCTION("""COMPUTED_VALUE"""),33.78)</f>
        <v>33.78</v>
      </c>
      <c r="E538" s="1">
        <f ca="1">IFERROR(__xludf.DUMMYFUNCTION("""COMPUTED_VALUE"""),33.93)</f>
        <v>33.93</v>
      </c>
      <c r="F538" s="1">
        <f ca="1">IFERROR(__xludf.DUMMYFUNCTION("""COMPUTED_VALUE"""),22198197)</f>
        <v>22198197</v>
      </c>
    </row>
    <row r="539" spans="1:6" x14ac:dyDescent="0.35">
      <c r="A539" s="2">
        <f ca="1">IFERROR(__xludf.DUMMYFUNCTION("""COMPUTED_VALUE"""),42787.6666666666)</f>
        <v>42787.666666666599</v>
      </c>
      <c r="B539" s="1">
        <f ca="1">IFERROR(__xludf.DUMMYFUNCTION("""COMPUTED_VALUE"""),34.06)</f>
        <v>34.06</v>
      </c>
      <c r="C539" s="1">
        <f ca="1">IFERROR(__xludf.DUMMYFUNCTION("""COMPUTED_VALUE"""),34.19)</f>
        <v>34.19</v>
      </c>
      <c r="D539" s="1">
        <f ca="1">IFERROR(__xludf.DUMMYFUNCTION("""COMPUTED_VALUE"""),33.99)</f>
        <v>33.99</v>
      </c>
      <c r="E539" s="1">
        <f ca="1">IFERROR(__xludf.DUMMYFUNCTION("""COMPUTED_VALUE"""),34.17)</f>
        <v>34.17</v>
      </c>
      <c r="F539" s="1">
        <f ca="1">IFERROR(__xludf.DUMMYFUNCTION("""COMPUTED_VALUE"""),24507156)</f>
        <v>24507156</v>
      </c>
    </row>
    <row r="540" spans="1:6" x14ac:dyDescent="0.35">
      <c r="A540" s="2">
        <f ca="1">IFERROR(__xludf.DUMMYFUNCTION("""COMPUTED_VALUE"""),42788.6666666666)</f>
        <v>42788.666666666599</v>
      </c>
      <c r="B540" s="1">
        <f ca="1">IFERROR(__xludf.DUMMYFUNCTION("""COMPUTED_VALUE"""),34.11)</f>
        <v>34.11</v>
      </c>
      <c r="C540" s="1">
        <f ca="1">IFERROR(__xludf.DUMMYFUNCTION("""COMPUTED_VALUE"""),34.28)</f>
        <v>34.28</v>
      </c>
      <c r="D540" s="1">
        <f ca="1">IFERROR(__xludf.DUMMYFUNCTION("""COMPUTED_VALUE"""),34.03)</f>
        <v>34.03</v>
      </c>
      <c r="E540" s="1">
        <f ca="1">IFERROR(__xludf.DUMMYFUNCTION("""COMPUTED_VALUE"""),34.28)</f>
        <v>34.28</v>
      </c>
      <c r="F540" s="1">
        <f ca="1">IFERROR(__xludf.DUMMYFUNCTION("""COMPUTED_VALUE"""),20836932)</f>
        <v>20836932</v>
      </c>
    </row>
    <row r="541" spans="1:6" x14ac:dyDescent="0.35">
      <c r="A541" s="2">
        <f ca="1">IFERROR(__xludf.DUMMYFUNCTION("""COMPUTED_VALUE"""),42789.6666666666)</f>
        <v>42789.666666666599</v>
      </c>
      <c r="B541" s="1">
        <f ca="1">IFERROR(__xludf.DUMMYFUNCTION("""COMPUTED_VALUE"""),34.35)</f>
        <v>34.35</v>
      </c>
      <c r="C541" s="1">
        <f ca="1">IFERROR(__xludf.DUMMYFUNCTION("""COMPUTED_VALUE"""),34.37)</f>
        <v>34.369999999999997</v>
      </c>
      <c r="D541" s="1">
        <f ca="1">IFERROR(__xludf.DUMMYFUNCTION("""COMPUTED_VALUE"""),34.08)</f>
        <v>34.08</v>
      </c>
      <c r="E541" s="1">
        <f ca="1">IFERROR(__xludf.DUMMYFUNCTION("""COMPUTED_VALUE"""),34.13)</f>
        <v>34.130000000000003</v>
      </c>
      <c r="F541" s="1">
        <f ca="1">IFERROR(__xludf.DUMMYFUNCTION("""COMPUTED_VALUE"""),20788186)</f>
        <v>20788186</v>
      </c>
    </row>
    <row r="542" spans="1:6" x14ac:dyDescent="0.35">
      <c r="A542" s="2">
        <f ca="1">IFERROR(__xludf.DUMMYFUNCTION("""COMPUTED_VALUE"""),42790.6666666666)</f>
        <v>42790.666666666599</v>
      </c>
      <c r="B542" s="1">
        <f ca="1">IFERROR(__xludf.DUMMYFUNCTION("""COMPUTED_VALUE"""),33.98)</f>
        <v>33.979999999999997</v>
      </c>
      <c r="C542" s="1">
        <f ca="1">IFERROR(__xludf.DUMMYFUNCTION("""COMPUTED_VALUE"""),34.17)</f>
        <v>34.17</v>
      </c>
      <c r="D542" s="1">
        <f ca="1">IFERROR(__xludf.DUMMYFUNCTION("""COMPUTED_VALUE"""),33.82)</f>
        <v>33.82</v>
      </c>
      <c r="E542" s="1">
        <f ca="1">IFERROR(__xludf.DUMMYFUNCTION("""COMPUTED_VALUE"""),34.17)</f>
        <v>34.17</v>
      </c>
      <c r="F542" s="1">
        <f ca="1">IFERROR(__xludf.DUMMYFUNCTION("""COMPUTED_VALUE"""),21776585)</f>
        <v>21776585</v>
      </c>
    </row>
    <row r="543" spans="1:6" x14ac:dyDescent="0.35">
      <c r="A543" s="2">
        <f ca="1">IFERROR(__xludf.DUMMYFUNCTION("""COMPUTED_VALUE"""),42793.6666666666)</f>
        <v>42793.666666666599</v>
      </c>
      <c r="B543" s="1">
        <f ca="1">IFERROR(__xludf.DUMMYFUNCTION("""COMPUTED_VALUE"""),34.28)</f>
        <v>34.28</v>
      </c>
      <c r="C543" s="1">
        <f ca="1">IFERROR(__xludf.DUMMYFUNCTION("""COMPUTED_VALUE"""),34.36)</f>
        <v>34.36</v>
      </c>
      <c r="D543" s="1">
        <f ca="1">IFERROR(__xludf.DUMMYFUNCTION("""COMPUTED_VALUE"""),34.07)</f>
        <v>34.07</v>
      </c>
      <c r="E543" s="1">
        <f ca="1">IFERROR(__xludf.DUMMYFUNCTION("""COMPUTED_VALUE"""),34.23)</f>
        <v>34.229999999999997</v>
      </c>
      <c r="F543" s="1">
        <f ca="1">IFERROR(__xludf.DUMMYFUNCTION("""COMPUTED_VALUE"""),20257426)</f>
        <v>20257426</v>
      </c>
    </row>
    <row r="544" spans="1:6" x14ac:dyDescent="0.35">
      <c r="A544" s="2">
        <f ca="1">IFERROR(__xludf.DUMMYFUNCTION("""COMPUTED_VALUE"""),42794.6666666666)</f>
        <v>42794.666666666599</v>
      </c>
      <c r="B544" s="1">
        <f ca="1">IFERROR(__xludf.DUMMYFUNCTION("""COMPUTED_VALUE"""),34.27)</f>
        <v>34.270000000000003</v>
      </c>
      <c r="C544" s="1">
        <f ca="1">IFERROR(__xludf.DUMMYFUNCTION("""COMPUTED_VALUE"""),34.36)</f>
        <v>34.36</v>
      </c>
      <c r="D544" s="1">
        <f ca="1">IFERROR(__xludf.DUMMYFUNCTION("""COMPUTED_VALUE"""),34.17)</f>
        <v>34.17</v>
      </c>
      <c r="E544" s="1">
        <f ca="1">IFERROR(__xludf.DUMMYFUNCTION("""COMPUTED_VALUE"""),34.25)</f>
        <v>34.25</v>
      </c>
      <c r="F544" s="1">
        <f ca="1">IFERROR(__xludf.DUMMYFUNCTION("""COMPUTED_VALUE"""),23482860)</f>
        <v>23482860</v>
      </c>
    </row>
    <row r="545" spans="1:6" x14ac:dyDescent="0.35">
      <c r="A545" s="2">
        <f ca="1">IFERROR(__xludf.DUMMYFUNCTION("""COMPUTED_VALUE"""),42795.6666666666)</f>
        <v>42795.666666666599</v>
      </c>
      <c r="B545" s="1">
        <f ca="1">IFERROR(__xludf.DUMMYFUNCTION("""COMPUTED_VALUE"""),34.47)</f>
        <v>34.47</v>
      </c>
      <c r="C545" s="1">
        <f ca="1">IFERROR(__xludf.DUMMYFUNCTION("""COMPUTED_VALUE"""),35.04)</f>
        <v>35.04</v>
      </c>
      <c r="D545" s="1">
        <f ca="1">IFERROR(__xludf.DUMMYFUNCTION("""COMPUTED_VALUE"""),34.4)</f>
        <v>34.4</v>
      </c>
      <c r="E545" s="1">
        <f ca="1">IFERROR(__xludf.DUMMYFUNCTION("""COMPUTED_VALUE"""),34.95)</f>
        <v>34.950000000000003</v>
      </c>
      <c r="F545" s="1">
        <f ca="1">IFERROR(__xludf.DUMMYFUNCTION("""COMPUTED_VALUE"""),36414585)</f>
        <v>36414585</v>
      </c>
    </row>
    <row r="546" spans="1:6" x14ac:dyDescent="0.35">
      <c r="A546" s="2">
        <f ca="1">IFERROR(__xludf.DUMMYFUNCTION("""COMPUTED_VALUE"""),42796.6666666666)</f>
        <v>42796.666666666599</v>
      </c>
      <c r="B546" s="1">
        <f ca="1">IFERROR(__xludf.DUMMYFUNCTION("""COMPUTED_VALUE"""),35)</f>
        <v>35</v>
      </c>
      <c r="C546" s="1">
        <f ca="1">IFERROR(__xludf.DUMMYFUNCTION("""COMPUTED_VALUE"""),35.07)</f>
        <v>35.07</v>
      </c>
      <c r="D546" s="1">
        <f ca="1">IFERROR(__xludf.DUMMYFUNCTION("""COMPUTED_VALUE"""),34.69)</f>
        <v>34.69</v>
      </c>
      <c r="E546" s="1">
        <f ca="1">IFERROR(__xludf.DUMMYFUNCTION("""COMPUTED_VALUE"""),34.74)</f>
        <v>34.74</v>
      </c>
      <c r="F546" s="1">
        <f ca="1">IFERROR(__xludf.DUMMYFUNCTION("""COMPUTED_VALUE"""),26210984)</f>
        <v>26210984</v>
      </c>
    </row>
    <row r="547" spans="1:6" x14ac:dyDescent="0.35">
      <c r="A547" s="2">
        <f ca="1">IFERROR(__xludf.DUMMYFUNCTION("""COMPUTED_VALUE"""),42797.6666666666)</f>
        <v>42797.666666666599</v>
      </c>
      <c r="B547" s="1">
        <f ca="1">IFERROR(__xludf.DUMMYFUNCTION("""COMPUTED_VALUE"""),34.7)</f>
        <v>34.700000000000003</v>
      </c>
      <c r="C547" s="1">
        <f ca="1">IFERROR(__xludf.DUMMYFUNCTION("""COMPUTED_VALUE"""),34.96)</f>
        <v>34.96</v>
      </c>
      <c r="D547" s="1">
        <f ca="1">IFERROR(__xludf.DUMMYFUNCTION("""COMPUTED_VALUE"""),34.65)</f>
        <v>34.65</v>
      </c>
      <c r="E547" s="1">
        <f ca="1">IFERROR(__xludf.DUMMYFUNCTION("""COMPUTED_VALUE"""),34.95)</f>
        <v>34.950000000000003</v>
      </c>
      <c r="F547" s="1">
        <f ca="1">IFERROR(__xludf.DUMMYFUNCTION("""COMPUTED_VALUE"""),21571121)</f>
        <v>21571121</v>
      </c>
    </row>
    <row r="548" spans="1:6" x14ac:dyDescent="0.35">
      <c r="A548" s="2">
        <f ca="1">IFERROR(__xludf.DUMMYFUNCTION("""COMPUTED_VALUE"""),42800.6666666666)</f>
        <v>42800.666666666599</v>
      </c>
      <c r="B548" s="1">
        <f ca="1">IFERROR(__xludf.DUMMYFUNCTION("""COMPUTED_VALUE"""),34.84)</f>
        <v>34.840000000000003</v>
      </c>
      <c r="C548" s="1">
        <f ca="1">IFERROR(__xludf.DUMMYFUNCTION("""COMPUTED_VALUE"""),34.94)</f>
        <v>34.94</v>
      </c>
      <c r="D548" s="1">
        <f ca="1">IFERROR(__xludf.DUMMYFUNCTION("""COMPUTED_VALUE"""),34.65)</f>
        <v>34.65</v>
      </c>
      <c r="E548" s="1">
        <f ca="1">IFERROR(__xludf.DUMMYFUNCTION("""COMPUTED_VALUE"""),34.84)</f>
        <v>34.840000000000003</v>
      </c>
      <c r="F548" s="1">
        <f ca="1">IFERROR(__xludf.DUMMYFUNCTION("""COMPUTED_VALUE"""),21750044)</f>
        <v>21750044</v>
      </c>
    </row>
    <row r="549" spans="1:6" x14ac:dyDescent="0.35">
      <c r="A549" s="2">
        <f ca="1">IFERROR(__xludf.DUMMYFUNCTION("""COMPUTED_VALUE"""),42801.6666666666)</f>
        <v>42801.666666666599</v>
      </c>
      <c r="B549" s="1">
        <f ca="1">IFERROR(__xludf.DUMMYFUNCTION("""COMPUTED_VALUE"""),34.77)</f>
        <v>34.770000000000003</v>
      </c>
      <c r="C549" s="1">
        <f ca="1">IFERROR(__xludf.DUMMYFUNCTION("""COMPUTED_VALUE"""),34.99)</f>
        <v>34.99</v>
      </c>
      <c r="D549" s="1">
        <f ca="1">IFERROR(__xludf.DUMMYFUNCTION("""COMPUTED_VALUE"""),34.7)</f>
        <v>34.700000000000003</v>
      </c>
      <c r="E549" s="1">
        <f ca="1">IFERROR(__xludf.DUMMYFUNCTION("""COMPUTED_VALUE"""),34.88)</f>
        <v>34.880000000000003</v>
      </c>
      <c r="F549" s="1">
        <f ca="1">IFERROR(__xludf.DUMMYFUNCTION("""COMPUTED_VALUE"""),17446297)</f>
        <v>17446297</v>
      </c>
    </row>
    <row r="550" spans="1:6" x14ac:dyDescent="0.35">
      <c r="A550" s="2">
        <f ca="1">IFERROR(__xludf.DUMMYFUNCTION("""COMPUTED_VALUE"""),42802.6666666666)</f>
        <v>42802.666666666599</v>
      </c>
      <c r="B550" s="1">
        <f ca="1">IFERROR(__xludf.DUMMYFUNCTION("""COMPUTED_VALUE"""),34.74)</f>
        <v>34.74</v>
      </c>
      <c r="C550" s="1">
        <f ca="1">IFERROR(__xludf.DUMMYFUNCTION("""COMPUTED_VALUE"""),34.95)</f>
        <v>34.950000000000003</v>
      </c>
      <c r="D550" s="1">
        <f ca="1">IFERROR(__xludf.DUMMYFUNCTION("""COMPUTED_VALUE"""),34.71)</f>
        <v>34.71</v>
      </c>
      <c r="E550" s="1">
        <f ca="1">IFERROR(__xludf.DUMMYFUNCTION("""COMPUTED_VALUE"""),34.75)</f>
        <v>34.75</v>
      </c>
      <c r="F550" s="1">
        <f ca="1">IFERROR(__xludf.DUMMYFUNCTION("""COMPUTED_VALUE"""),18707236)</f>
        <v>18707236</v>
      </c>
    </row>
    <row r="551" spans="1:6" x14ac:dyDescent="0.35">
      <c r="A551" s="2">
        <f ca="1">IFERROR(__xludf.DUMMYFUNCTION("""COMPUTED_VALUE"""),42803.6666666666)</f>
        <v>42803.666666666599</v>
      </c>
      <c r="B551" s="1">
        <f ca="1">IFERROR(__xludf.DUMMYFUNCTION("""COMPUTED_VALUE"""),34.69)</f>
        <v>34.69</v>
      </c>
      <c r="C551" s="1">
        <f ca="1">IFERROR(__xludf.DUMMYFUNCTION("""COMPUTED_VALUE"""),34.7)</f>
        <v>34.700000000000003</v>
      </c>
      <c r="D551" s="1">
        <f ca="1">IFERROR(__xludf.DUMMYFUNCTION("""COMPUTED_VALUE"""),34.26)</f>
        <v>34.26</v>
      </c>
      <c r="E551" s="1">
        <f ca="1">IFERROR(__xludf.DUMMYFUNCTION("""COMPUTED_VALUE"""),34.67)</f>
        <v>34.67</v>
      </c>
      <c r="F551" s="1">
        <f ca="1">IFERROR(__xludf.DUMMYFUNCTION("""COMPUTED_VALUE"""),22155904)</f>
        <v>22155904</v>
      </c>
    </row>
    <row r="552" spans="1:6" x14ac:dyDescent="0.35">
      <c r="A552" s="2">
        <f ca="1">IFERROR(__xludf.DUMMYFUNCTION("""COMPUTED_VALUE"""),42804.6666666666)</f>
        <v>42804.666666666599</v>
      </c>
      <c r="B552" s="1">
        <f ca="1">IFERROR(__xludf.DUMMYFUNCTION("""COMPUTED_VALUE"""),34.81)</f>
        <v>34.81</v>
      </c>
      <c r="C552" s="1">
        <f ca="1">IFERROR(__xludf.DUMMYFUNCTION("""COMPUTED_VALUE"""),34.84)</f>
        <v>34.840000000000003</v>
      </c>
      <c r="D552" s="1">
        <f ca="1">IFERROR(__xludf.DUMMYFUNCTION("""COMPUTED_VALUE"""),34.66)</f>
        <v>34.659999999999997</v>
      </c>
      <c r="E552" s="1">
        <f ca="1">IFERROR(__xludf.DUMMYFUNCTION("""COMPUTED_VALUE"""),34.78)</f>
        <v>34.78</v>
      </c>
      <c r="F552" s="1">
        <f ca="1">IFERROR(__xludf.DUMMYFUNCTION("""COMPUTED_VALUE"""),19612801)</f>
        <v>19612801</v>
      </c>
    </row>
    <row r="553" spans="1:6" x14ac:dyDescent="0.35">
      <c r="A553" s="2">
        <f ca="1">IFERROR(__xludf.DUMMYFUNCTION("""COMPUTED_VALUE"""),42807.6666666666)</f>
        <v>42807.666666666599</v>
      </c>
      <c r="B553" s="1">
        <f ca="1">IFERROR(__xludf.DUMMYFUNCTION("""COMPUTED_VALUE"""),34.79)</f>
        <v>34.79</v>
      </c>
      <c r="C553" s="1">
        <f ca="1">IFERROR(__xludf.DUMMYFUNCTION("""COMPUTED_VALUE"""),34.86)</f>
        <v>34.86</v>
      </c>
      <c r="D553" s="1">
        <f ca="1">IFERROR(__xludf.DUMMYFUNCTION("""COMPUTED_VALUE"""),34.71)</f>
        <v>34.71</v>
      </c>
      <c r="E553" s="1">
        <f ca="1">IFERROR(__xludf.DUMMYFUNCTION("""COMPUTED_VALUE"""),34.8)</f>
        <v>34.799999999999997</v>
      </c>
      <c r="F553" s="1">
        <f ca="1">IFERROR(__xludf.DUMMYFUNCTION("""COMPUTED_VALUE"""),17421717)</f>
        <v>17421717</v>
      </c>
    </row>
    <row r="554" spans="1:6" x14ac:dyDescent="0.35">
      <c r="A554" s="2">
        <f ca="1">IFERROR(__xludf.DUMMYFUNCTION("""COMPUTED_VALUE"""),42808.6666666666)</f>
        <v>42808.666666666599</v>
      </c>
      <c r="B554" s="1">
        <f ca="1">IFERROR(__xludf.DUMMYFUNCTION("""COMPUTED_VALUE"""),34.83)</f>
        <v>34.83</v>
      </c>
      <c r="C554" s="1">
        <f ca="1">IFERROR(__xludf.DUMMYFUNCTION("""COMPUTED_VALUE"""),34.91)</f>
        <v>34.909999999999997</v>
      </c>
      <c r="D554" s="1">
        <f ca="1">IFERROR(__xludf.DUMMYFUNCTION("""COMPUTED_VALUE"""),34.71)</f>
        <v>34.71</v>
      </c>
      <c r="E554" s="1">
        <f ca="1">IFERROR(__xludf.DUMMYFUNCTION("""COMPUTED_VALUE"""),34.75)</f>
        <v>34.75</v>
      </c>
      <c r="F554" s="1">
        <f ca="1">IFERROR(__xludf.DUMMYFUNCTION("""COMPUTED_VALUE"""),15309065)</f>
        <v>15309065</v>
      </c>
    </row>
    <row r="555" spans="1:6" x14ac:dyDescent="0.35">
      <c r="A555" s="2">
        <f ca="1">IFERROR(__xludf.DUMMYFUNCTION("""COMPUTED_VALUE"""),42809.6666666666)</f>
        <v>42809.666666666599</v>
      </c>
      <c r="B555" s="1">
        <f ca="1">IFERROR(__xludf.DUMMYFUNCTION("""COMPUTED_VALUE"""),34.85)</f>
        <v>34.85</v>
      </c>
      <c r="C555" s="1">
        <f ca="1">IFERROR(__xludf.DUMMYFUNCTION("""COMPUTED_VALUE"""),35.19)</f>
        <v>35.19</v>
      </c>
      <c r="D555" s="1">
        <f ca="1">IFERROR(__xludf.DUMMYFUNCTION("""COMPUTED_VALUE"""),34.76)</f>
        <v>34.76</v>
      </c>
      <c r="E555" s="1">
        <f ca="1">IFERROR(__xludf.DUMMYFUNCTION("""COMPUTED_VALUE"""),35.12)</f>
        <v>35.119999999999997</v>
      </c>
      <c r="F555" s="1">
        <f ca="1">IFERROR(__xludf.DUMMYFUNCTION("""COMPUTED_VALUE"""),25691774)</f>
        <v>25691774</v>
      </c>
    </row>
    <row r="556" spans="1:6" x14ac:dyDescent="0.35">
      <c r="A556" s="2">
        <f ca="1">IFERROR(__xludf.DUMMYFUNCTION("""COMPUTED_VALUE"""),42810.6666666666)</f>
        <v>42810.666666666599</v>
      </c>
      <c r="B556" s="1">
        <f ca="1">IFERROR(__xludf.DUMMYFUNCTION("""COMPUTED_VALUE"""),35.18)</f>
        <v>35.18</v>
      </c>
      <c r="C556" s="1">
        <f ca="1">IFERROR(__xludf.DUMMYFUNCTION("""COMPUTED_VALUE"""),35.26)</f>
        <v>35.26</v>
      </c>
      <c r="D556" s="1">
        <f ca="1">IFERROR(__xludf.DUMMYFUNCTION("""COMPUTED_VALUE"""),35.07)</f>
        <v>35.07</v>
      </c>
      <c r="E556" s="1">
        <f ca="1">IFERROR(__xludf.DUMMYFUNCTION("""COMPUTED_VALUE"""),35.17)</f>
        <v>35.17</v>
      </c>
      <c r="F556" s="1">
        <f ca="1">IFERROR(__xludf.DUMMYFUNCTION("""COMPUTED_VALUE"""),19231998)</f>
        <v>19231998</v>
      </c>
    </row>
    <row r="557" spans="1:6" x14ac:dyDescent="0.35">
      <c r="A557" s="2">
        <f ca="1">IFERROR(__xludf.DUMMYFUNCTION("""COMPUTED_VALUE"""),42811.6666666666)</f>
        <v>42811.666666666599</v>
      </c>
      <c r="B557" s="1">
        <f ca="1">IFERROR(__xludf.DUMMYFUNCTION("""COMPUTED_VALUE"""),35.25)</f>
        <v>35.25</v>
      </c>
      <c r="C557" s="1">
        <f ca="1">IFERROR(__xludf.DUMMYFUNCTION("""COMPUTED_VALUE"""),35.25)</f>
        <v>35.25</v>
      </c>
      <c r="D557" s="1">
        <f ca="1">IFERROR(__xludf.DUMMYFUNCTION("""COMPUTED_VALUE"""),34.97)</f>
        <v>34.97</v>
      </c>
      <c r="E557" s="1">
        <f ca="1">IFERROR(__xludf.DUMMYFUNCTION("""COMPUTED_VALUE"""),35)</f>
        <v>35</v>
      </c>
      <c r="F557" s="1">
        <f ca="1">IFERROR(__xludf.DUMMYFUNCTION("""COMPUTED_VALUE"""),43884952)</f>
        <v>43884952</v>
      </c>
    </row>
    <row r="558" spans="1:6" x14ac:dyDescent="0.35">
      <c r="A558" s="2">
        <f ca="1">IFERROR(__xludf.DUMMYFUNCTION("""COMPUTED_VALUE"""),42814.6666666666)</f>
        <v>42814.666666666599</v>
      </c>
      <c r="B558" s="1">
        <f ca="1">IFERROR(__xludf.DUMMYFUNCTION("""COMPUTED_VALUE"""),35.1)</f>
        <v>35.1</v>
      </c>
      <c r="C558" s="1">
        <f ca="1">IFERROR(__xludf.DUMMYFUNCTION("""COMPUTED_VALUE"""),35.38)</f>
        <v>35.380000000000003</v>
      </c>
      <c r="D558" s="1">
        <f ca="1">IFERROR(__xludf.DUMMYFUNCTION("""COMPUTED_VALUE"""),35.06)</f>
        <v>35.06</v>
      </c>
      <c r="E558" s="1">
        <f ca="1">IFERROR(__xludf.DUMMYFUNCTION("""COMPUTED_VALUE"""),35.37)</f>
        <v>35.369999999999997</v>
      </c>
      <c r="F558" s="1">
        <f ca="1">IFERROR(__xludf.DUMMYFUNCTION("""COMPUTED_VALUE"""),21542038)</f>
        <v>21542038</v>
      </c>
    </row>
    <row r="559" spans="1:6" x14ac:dyDescent="0.35">
      <c r="A559" s="2">
        <f ca="1">IFERROR(__xludf.DUMMYFUNCTION("""COMPUTED_VALUE"""),42815.6666666666)</f>
        <v>42815.666666666599</v>
      </c>
      <c r="B559" s="1">
        <f ca="1">IFERROR(__xludf.DUMMYFUNCTION("""COMPUTED_VALUE"""),35.53)</f>
        <v>35.53</v>
      </c>
      <c r="C559" s="1">
        <f ca="1">IFERROR(__xludf.DUMMYFUNCTION("""COMPUTED_VALUE"""),35.7)</f>
        <v>35.700000000000003</v>
      </c>
      <c r="D559" s="1">
        <f ca="1">IFERROR(__xludf.DUMMYFUNCTION("""COMPUTED_VALUE"""),34.93)</f>
        <v>34.93</v>
      </c>
      <c r="E559" s="1">
        <f ca="1">IFERROR(__xludf.DUMMYFUNCTION("""COMPUTED_VALUE"""),34.96)</f>
        <v>34.96</v>
      </c>
      <c r="F559" s="1">
        <f ca="1">IFERROR(__xludf.DUMMYFUNCTION("""COMPUTED_VALUE"""),39529912)</f>
        <v>39529912</v>
      </c>
    </row>
    <row r="560" spans="1:6" x14ac:dyDescent="0.35">
      <c r="A560" s="2">
        <f ca="1">IFERROR(__xludf.DUMMYFUNCTION("""COMPUTED_VALUE"""),42816.6666666666)</f>
        <v>42816.666666666599</v>
      </c>
      <c r="B560" s="1">
        <f ca="1">IFERROR(__xludf.DUMMYFUNCTION("""COMPUTED_VALUE"""),34.96)</f>
        <v>34.96</v>
      </c>
      <c r="C560" s="1">
        <f ca="1">IFERROR(__xludf.DUMMYFUNCTION("""COMPUTED_VALUE"""),35.4)</f>
        <v>35.4</v>
      </c>
      <c r="D560" s="1">
        <f ca="1">IFERROR(__xludf.DUMMYFUNCTION("""COMPUTED_VALUE"""),34.94)</f>
        <v>34.94</v>
      </c>
      <c r="E560" s="1">
        <f ca="1">IFERROR(__xludf.DUMMYFUNCTION("""COMPUTED_VALUE"""),35.35)</f>
        <v>35.35</v>
      </c>
      <c r="F560" s="1">
        <f ca="1">IFERROR(__xludf.DUMMYFUNCTION("""COMPUTED_VALUE"""),25860165)</f>
        <v>25860165</v>
      </c>
    </row>
    <row r="561" spans="1:6" x14ac:dyDescent="0.35">
      <c r="A561" s="2">
        <f ca="1">IFERROR(__xludf.DUMMYFUNCTION("""COMPUTED_VALUE"""),42817.6666666666)</f>
        <v>42817.666666666599</v>
      </c>
      <c r="B561" s="1">
        <f ca="1">IFERROR(__xludf.DUMMYFUNCTION("""COMPUTED_VALUE"""),35.32)</f>
        <v>35.32</v>
      </c>
      <c r="C561" s="1">
        <f ca="1">IFERROR(__xludf.DUMMYFUNCTION("""COMPUTED_VALUE"""),35.4)</f>
        <v>35.4</v>
      </c>
      <c r="D561" s="1">
        <f ca="1">IFERROR(__xludf.DUMMYFUNCTION("""COMPUTED_VALUE"""),35.15)</f>
        <v>35.15</v>
      </c>
      <c r="E561" s="1">
        <f ca="1">IFERROR(__xludf.DUMMYFUNCTION("""COMPUTED_VALUE"""),35.23)</f>
        <v>35.229999999999997</v>
      </c>
      <c r="F561" s="1">
        <f ca="1">IFERROR(__xludf.DUMMYFUNCTION("""COMPUTED_VALUE"""),20346301)</f>
        <v>20346301</v>
      </c>
    </row>
    <row r="562" spans="1:6" x14ac:dyDescent="0.35">
      <c r="A562" s="2">
        <f ca="1">IFERROR(__xludf.DUMMYFUNCTION("""COMPUTED_VALUE"""),42818.6666666666)</f>
        <v>42818.666666666599</v>
      </c>
      <c r="B562" s="1">
        <f ca="1">IFERROR(__xludf.DUMMYFUNCTION("""COMPUTED_VALUE"""),35.38)</f>
        <v>35.380000000000003</v>
      </c>
      <c r="C562" s="1">
        <f ca="1">IFERROR(__xludf.DUMMYFUNCTION("""COMPUTED_VALUE"""),35.44)</f>
        <v>35.44</v>
      </c>
      <c r="D562" s="1">
        <f ca="1">IFERROR(__xludf.DUMMYFUNCTION("""COMPUTED_VALUE"""),35.09)</f>
        <v>35.090000000000003</v>
      </c>
      <c r="E562" s="1">
        <f ca="1">IFERROR(__xludf.DUMMYFUNCTION("""COMPUTED_VALUE"""),35.16)</f>
        <v>35.159999999999997</v>
      </c>
      <c r="F562" s="1">
        <f ca="1">IFERROR(__xludf.DUMMYFUNCTION("""COMPUTED_VALUE"""),22395563)</f>
        <v>22395563</v>
      </c>
    </row>
    <row r="563" spans="1:6" x14ac:dyDescent="0.35">
      <c r="A563" s="2">
        <f ca="1">IFERROR(__xludf.DUMMYFUNCTION("""COMPUTED_VALUE"""),42821.6666666666)</f>
        <v>42821.666666666599</v>
      </c>
      <c r="B563" s="1">
        <f ca="1">IFERROR(__xludf.DUMMYFUNCTION("""COMPUTED_VALUE"""),34.85)</f>
        <v>34.85</v>
      </c>
      <c r="C563" s="1">
        <f ca="1">IFERROR(__xludf.DUMMYFUNCTION("""COMPUTED_VALUE"""),35.31)</f>
        <v>35.31</v>
      </c>
      <c r="D563" s="1">
        <f ca="1">IFERROR(__xludf.DUMMYFUNCTION("""COMPUTED_VALUE"""),34.66)</f>
        <v>34.659999999999997</v>
      </c>
      <c r="E563" s="1">
        <f ca="1">IFERROR(__xludf.DUMMYFUNCTION("""COMPUTED_VALUE"""),35.22)</f>
        <v>35.22</v>
      </c>
      <c r="F563" s="1">
        <f ca="1">IFERROR(__xludf.DUMMYFUNCTION("""COMPUTED_VALUE"""),23575094)</f>
        <v>23575094</v>
      </c>
    </row>
    <row r="564" spans="1:6" x14ac:dyDescent="0.35">
      <c r="A564" s="2">
        <f ca="1">IFERROR(__xludf.DUMMYFUNCTION("""COMPUTED_VALUE"""),42822.6666666666)</f>
        <v>42822.666666666599</v>
      </c>
      <c r="B564" s="1">
        <f ca="1">IFERROR(__xludf.DUMMYFUNCTION("""COMPUTED_VALUE"""),35.23)</f>
        <v>35.229999999999997</v>
      </c>
      <c r="C564" s="1">
        <f ca="1">IFERROR(__xludf.DUMMYFUNCTION("""COMPUTED_VALUE"""),36.01)</f>
        <v>36.01</v>
      </c>
      <c r="D564" s="1">
        <f ca="1">IFERROR(__xludf.DUMMYFUNCTION("""COMPUTED_VALUE"""),35.16)</f>
        <v>35.159999999999997</v>
      </c>
      <c r="E564" s="1">
        <f ca="1">IFERROR(__xludf.DUMMYFUNCTION("""COMPUTED_VALUE"""),35.95)</f>
        <v>35.950000000000003</v>
      </c>
      <c r="F564" s="1">
        <f ca="1">IFERROR(__xludf.DUMMYFUNCTION("""COMPUTED_VALUE"""),33374805)</f>
        <v>33374805</v>
      </c>
    </row>
    <row r="565" spans="1:6" x14ac:dyDescent="0.35">
      <c r="A565" s="2">
        <f ca="1">IFERROR(__xludf.DUMMYFUNCTION("""COMPUTED_VALUE"""),42823.6666666666)</f>
        <v>42823.666666666599</v>
      </c>
      <c r="B565" s="1">
        <f ca="1">IFERROR(__xludf.DUMMYFUNCTION("""COMPUTED_VALUE"""),35.92)</f>
        <v>35.92</v>
      </c>
      <c r="C565" s="1">
        <f ca="1">IFERROR(__xludf.DUMMYFUNCTION("""COMPUTED_VALUE"""),36.12)</f>
        <v>36.119999999999997</v>
      </c>
      <c r="D565" s="1">
        <f ca="1">IFERROR(__xludf.DUMMYFUNCTION("""COMPUTED_VALUE"""),35.8)</f>
        <v>35.799999999999997</v>
      </c>
      <c r="E565" s="1">
        <f ca="1">IFERROR(__xludf.DUMMYFUNCTION("""COMPUTED_VALUE"""),36.03)</f>
        <v>36.03</v>
      </c>
      <c r="F565" s="1">
        <f ca="1">IFERROR(__xludf.DUMMYFUNCTION("""COMPUTED_VALUE"""),29189955)</f>
        <v>29189955</v>
      </c>
    </row>
    <row r="566" spans="1:6" x14ac:dyDescent="0.35">
      <c r="A566" s="2">
        <f ca="1">IFERROR(__xludf.DUMMYFUNCTION("""COMPUTED_VALUE"""),42824.6666666666)</f>
        <v>42824.666666666599</v>
      </c>
      <c r="B566" s="1">
        <f ca="1">IFERROR(__xludf.DUMMYFUNCTION("""COMPUTED_VALUE"""),36.05)</f>
        <v>36.049999999999997</v>
      </c>
      <c r="C566" s="1">
        <f ca="1">IFERROR(__xludf.DUMMYFUNCTION("""COMPUTED_VALUE"""),36.13)</f>
        <v>36.130000000000003</v>
      </c>
      <c r="D566" s="1">
        <f ca="1">IFERROR(__xludf.DUMMYFUNCTION("""COMPUTED_VALUE"""),35.88)</f>
        <v>35.880000000000003</v>
      </c>
      <c r="E566" s="1">
        <f ca="1">IFERROR(__xludf.DUMMYFUNCTION("""COMPUTED_VALUE"""),35.98)</f>
        <v>35.979999999999997</v>
      </c>
      <c r="F566" s="1">
        <f ca="1">IFERROR(__xludf.DUMMYFUNCTION("""COMPUTED_VALUE"""),21207252)</f>
        <v>21207252</v>
      </c>
    </row>
    <row r="567" spans="1:6" x14ac:dyDescent="0.35">
      <c r="A567" s="2">
        <f ca="1">IFERROR(__xludf.DUMMYFUNCTION("""COMPUTED_VALUE"""),42825.6666666666)</f>
        <v>42825.666666666599</v>
      </c>
      <c r="B567" s="1">
        <f ca="1">IFERROR(__xludf.DUMMYFUNCTION("""COMPUTED_VALUE"""),35.93)</f>
        <v>35.93</v>
      </c>
      <c r="C567" s="1">
        <f ca="1">IFERROR(__xludf.DUMMYFUNCTION("""COMPUTED_VALUE"""),36.07)</f>
        <v>36.07</v>
      </c>
      <c r="D567" s="1">
        <f ca="1">IFERROR(__xludf.DUMMYFUNCTION("""COMPUTED_VALUE"""),35.75)</f>
        <v>35.75</v>
      </c>
      <c r="E567" s="1">
        <f ca="1">IFERROR(__xludf.DUMMYFUNCTION("""COMPUTED_VALUE"""),35.92)</f>
        <v>35.92</v>
      </c>
      <c r="F567" s="1">
        <f ca="1">IFERROR(__xludf.DUMMYFUNCTION("""COMPUTED_VALUE"""),19661651)</f>
        <v>19661651</v>
      </c>
    </row>
    <row r="568" spans="1:6" x14ac:dyDescent="0.35">
      <c r="A568" s="2">
        <f ca="1">IFERROR(__xludf.DUMMYFUNCTION("""COMPUTED_VALUE"""),42828.6666666666)</f>
        <v>42828.666666666599</v>
      </c>
      <c r="B568" s="1">
        <f ca="1">IFERROR(__xludf.DUMMYFUNCTION("""COMPUTED_VALUE"""),35.93)</f>
        <v>35.93</v>
      </c>
      <c r="C568" s="1">
        <f ca="1">IFERROR(__xludf.DUMMYFUNCTION("""COMPUTED_VALUE"""),36.03)</f>
        <v>36.03</v>
      </c>
      <c r="D568" s="1">
        <f ca="1">IFERROR(__xludf.DUMMYFUNCTION("""COMPUTED_VALUE"""),35.76)</f>
        <v>35.76</v>
      </c>
      <c r="E568" s="1">
        <f ca="1">IFERROR(__xludf.DUMMYFUNCTION("""COMPUTED_VALUE"""),35.92)</f>
        <v>35.92</v>
      </c>
      <c r="F568" s="1">
        <f ca="1">IFERROR(__xludf.DUMMYFUNCTION("""COMPUTED_VALUE"""),19985714)</f>
        <v>19985714</v>
      </c>
    </row>
    <row r="569" spans="1:6" x14ac:dyDescent="0.35">
      <c r="A569" s="2">
        <f ca="1">IFERROR(__xludf.DUMMYFUNCTION("""COMPUTED_VALUE"""),42829.6666666666)</f>
        <v>42829.666666666599</v>
      </c>
      <c r="B569" s="1">
        <f ca="1">IFERROR(__xludf.DUMMYFUNCTION("""COMPUTED_VALUE"""),35.81)</f>
        <v>35.81</v>
      </c>
      <c r="C569" s="1">
        <f ca="1">IFERROR(__xludf.DUMMYFUNCTION("""COMPUTED_VALUE"""),36.22)</f>
        <v>36.22</v>
      </c>
      <c r="D569" s="1">
        <f ca="1">IFERROR(__xludf.DUMMYFUNCTION("""COMPUTED_VALUE"""),35.79)</f>
        <v>35.79</v>
      </c>
      <c r="E569" s="1">
        <f ca="1">IFERROR(__xludf.DUMMYFUNCTION("""COMPUTED_VALUE"""),36.19)</f>
        <v>36.19</v>
      </c>
      <c r="F569" s="1">
        <f ca="1">IFERROR(__xludf.DUMMYFUNCTION("""COMPUTED_VALUE"""),19891354)</f>
        <v>19891354</v>
      </c>
    </row>
    <row r="570" spans="1:6" x14ac:dyDescent="0.35">
      <c r="A570" s="2">
        <f ca="1">IFERROR(__xludf.DUMMYFUNCTION("""COMPUTED_VALUE"""),42830.6666666666)</f>
        <v>42830.666666666599</v>
      </c>
      <c r="B570" s="1">
        <f ca="1">IFERROR(__xludf.DUMMYFUNCTION("""COMPUTED_VALUE"""),36.06)</f>
        <v>36.06</v>
      </c>
      <c r="C570" s="1">
        <f ca="1">IFERROR(__xludf.DUMMYFUNCTION("""COMPUTED_VALUE"""),36.37)</f>
        <v>36.369999999999997</v>
      </c>
      <c r="D570" s="1">
        <f ca="1">IFERROR(__xludf.DUMMYFUNCTION("""COMPUTED_VALUE"""),35.95)</f>
        <v>35.950000000000003</v>
      </c>
      <c r="E570" s="1">
        <f ca="1">IFERROR(__xludf.DUMMYFUNCTION("""COMPUTED_VALUE"""),36.01)</f>
        <v>36.01</v>
      </c>
      <c r="F570" s="1">
        <f ca="1">IFERROR(__xludf.DUMMYFUNCTION("""COMPUTED_VALUE"""),27717854)</f>
        <v>27717854</v>
      </c>
    </row>
    <row r="571" spans="1:6" x14ac:dyDescent="0.35">
      <c r="A571" s="2">
        <f ca="1">IFERROR(__xludf.DUMMYFUNCTION("""COMPUTED_VALUE"""),42831.6666666666)</f>
        <v>42831.666666666599</v>
      </c>
      <c r="B571" s="1">
        <f ca="1">IFERROR(__xludf.DUMMYFUNCTION("""COMPUTED_VALUE"""),36.07)</f>
        <v>36.07</v>
      </c>
      <c r="C571" s="1">
        <f ca="1">IFERROR(__xludf.DUMMYFUNCTION("""COMPUTED_VALUE"""),36.13)</f>
        <v>36.130000000000003</v>
      </c>
      <c r="D571" s="1">
        <f ca="1">IFERROR(__xludf.DUMMYFUNCTION("""COMPUTED_VALUE"""),35.86)</f>
        <v>35.86</v>
      </c>
      <c r="E571" s="1">
        <f ca="1">IFERROR(__xludf.DUMMYFUNCTION("""COMPUTED_VALUE"""),35.92)</f>
        <v>35.92</v>
      </c>
      <c r="F571" s="1">
        <f ca="1">IFERROR(__xludf.DUMMYFUNCTION("""COMPUTED_VALUE"""),21149034)</f>
        <v>21149034</v>
      </c>
    </row>
    <row r="572" spans="1:6" x14ac:dyDescent="0.35">
      <c r="A572" s="2">
        <f ca="1">IFERROR(__xludf.DUMMYFUNCTION("""COMPUTED_VALUE"""),42832.6666666666)</f>
        <v>42832.666666666599</v>
      </c>
      <c r="B572" s="1">
        <f ca="1">IFERROR(__xludf.DUMMYFUNCTION("""COMPUTED_VALUE"""),35.93)</f>
        <v>35.93</v>
      </c>
      <c r="C572" s="1">
        <f ca="1">IFERROR(__xludf.DUMMYFUNCTION("""COMPUTED_VALUE"""),36.05)</f>
        <v>36.049999999999997</v>
      </c>
      <c r="D572" s="1">
        <f ca="1">IFERROR(__xludf.DUMMYFUNCTION("""COMPUTED_VALUE"""),35.82)</f>
        <v>35.82</v>
      </c>
      <c r="E572" s="1">
        <f ca="1">IFERROR(__xludf.DUMMYFUNCTION("""COMPUTED_VALUE"""),35.84)</f>
        <v>35.840000000000003</v>
      </c>
      <c r="F572" s="1">
        <f ca="1">IFERROR(__xludf.DUMMYFUNCTION("""COMPUTED_VALUE"""),16672198)</f>
        <v>16672198</v>
      </c>
    </row>
    <row r="573" spans="1:6" x14ac:dyDescent="0.35">
      <c r="A573" s="2">
        <f ca="1">IFERROR(__xludf.DUMMYFUNCTION("""COMPUTED_VALUE"""),42835.6666666666)</f>
        <v>42835.666666666599</v>
      </c>
      <c r="B573" s="1">
        <f ca="1">IFERROR(__xludf.DUMMYFUNCTION("""COMPUTED_VALUE"""),35.9)</f>
        <v>35.9</v>
      </c>
      <c r="C573" s="1">
        <f ca="1">IFERROR(__xludf.DUMMYFUNCTION("""COMPUTED_VALUE"""),35.97)</f>
        <v>35.97</v>
      </c>
      <c r="D573" s="1">
        <f ca="1">IFERROR(__xludf.DUMMYFUNCTION("""COMPUTED_VALUE"""),35.73)</f>
        <v>35.729999999999997</v>
      </c>
      <c r="E573" s="1">
        <f ca="1">IFERROR(__xludf.DUMMYFUNCTION("""COMPUTED_VALUE"""),35.79)</f>
        <v>35.79</v>
      </c>
      <c r="F573" s="1">
        <f ca="1">IFERROR(__xludf.DUMMYFUNCTION("""COMPUTED_VALUE"""),18933397)</f>
        <v>18933397</v>
      </c>
    </row>
    <row r="574" spans="1:6" x14ac:dyDescent="0.35">
      <c r="A574" s="2">
        <f ca="1">IFERROR(__xludf.DUMMYFUNCTION("""COMPUTED_VALUE"""),42836.6666666666)</f>
        <v>42836.666666666599</v>
      </c>
      <c r="B574" s="1">
        <f ca="1">IFERROR(__xludf.DUMMYFUNCTION("""COMPUTED_VALUE"""),35.74)</f>
        <v>35.74</v>
      </c>
      <c r="C574" s="1">
        <f ca="1">IFERROR(__xludf.DUMMYFUNCTION("""COMPUTED_VALUE"""),35.84)</f>
        <v>35.840000000000003</v>
      </c>
      <c r="D574" s="1">
        <f ca="1">IFERROR(__xludf.DUMMYFUNCTION("""COMPUTED_VALUE"""),35.02)</f>
        <v>35.020000000000003</v>
      </c>
      <c r="E574" s="1">
        <f ca="1">IFERROR(__xludf.DUMMYFUNCTION("""COMPUTED_VALUE"""),35.41)</f>
        <v>35.409999999999997</v>
      </c>
      <c r="F574" s="1">
        <f ca="1">IFERROR(__xludf.DUMMYFUNCTION("""COMPUTED_VALUE"""),30379376)</f>
        <v>30379376</v>
      </c>
    </row>
    <row r="575" spans="1:6" x14ac:dyDescent="0.35">
      <c r="A575" s="2">
        <f ca="1">IFERROR(__xludf.DUMMYFUNCTION("""COMPUTED_VALUE"""),42837.6666666666)</f>
        <v>42837.666666666599</v>
      </c>
      <c r="B575" s="1">
        <f ca="1">IFERROR(__xludf.DUMMYFUNCTION("""COMPUTED_VALUE"""),35.4)</f>
        <v>35.4</v>
      </c>
      <c r="C575" s="1">
        <f ca="1">IFERROR(__xludf.DUMMYFUNCTION("""COMPUTED_VALUE"""),35.54)</f>
        <v>35.54</v>
      </c>
      <c r="D575" s="1">
        <f ca="1">IFERROR(__xludf.DUMMYFUNCTION("""COMPUTED_VALUE"""),35.25)</f>
        <v>35.25</v>
      </c>
      <c r="E575" s="1">
        <f ca="1">IFERROR(__xludf.DUMMYFUNCTION("""COMPUTED_VALUE"""),35.45)</f>
        <v>35.450000000000003</v>
      </c>
      <c r="F575" s="1">
        <f ca="1">IFERROR(__xludf.DUMMYFUNCTION("""COMPUTED_VALUE"""),20350000)</f>
        <v>20350000</v>
      </c>
    </row>
    <row r="576" spans="1:6" x14ac:dyDescent="0.35">
      <c r="A576" s="2">
        <f ca="1">IFERROR(__xludf.DUMMYFUNCTION("""COMPUTED_VALUE"""),42838.6666666666)</f>
        <v>42838.666666666599</v>
      </c>
      <c r="B576" s="1">
        <f ca="1">IFERROR(__xludf.DUMMYFUNCTION("""COMPUTED_VALUE"""),35.48)</f>
        <v>35.479999999999997</v>
      </c>
      <c r="C576" s="1">
        <f ca="1">IFERROR(__xludf.DUMMYFUNCTION("""COMPUTED_VALUE"""),35.6)</f>
        <v>35.6</v>
      </c>
      <c r="D576" s="1">
        <f ca="1">IFERROR(__xludf.DUMMYFUNCTION("""COMPUTED_VALUE"""),35.26)</f>
        <v>35.26</v>
      </c>
      <c r="E576" s="1">
        <f ca="1">IFERROR(__xludf.DUMMYFUNCTION("""COMPUTED_VALUE"""),35.26)</f>
        <v>35.26</v>
      </c>
      <c r="F576" s="1">
        <f ca="1">IFERROR(__xludf.DUMMYFUNCTION("""COMPUTED_VALUE"""),17822880)</f>
        <v>17822880</v>
      </c>
    </row>
    <row r="577" spans="1:6" x14ac:dyDescent="0.35">
      <c r="A577" s="2">
        <f ca="1">IFERROR(__xludf.DUMMYFUNCTION("""COMPUTED_VALUE"""),42842.6666666666)</f>
        <v>42842.666666666599</v>
      </c>
      <c r="B577" s="1">
        <f ca="1">IFERROR(__xludf.DUMMYFUNCTION("""COMPUTED_VALUE"""),35.37)</f>
        <v>35.369999999999997</v>
      </c>
      <c r="C577" s="1">
        <f ca="1">IFERROR(__xludf.DUMMYFUNCTION("""COMPUTED_VALUE"""),35.47)</f>
        <v>35.47</v>
      </c>
      <c r="D577" s="1">
        <f ca="1">IFERROR(__xludf.DUMMYFUNCTION("""COMPUTED_VALUE"""),35.22)</f>
        <v>35.22</v>
      </c>
      <c r="E577" s="1">
        <f ca="1">IFERROR(__xludf.DUMMYFUNCTION("""COMPUTED_VALUE"""),35.46)</f>
        <v>35.46</v>
      </c>
      <c r="F577" s="1">
        <f ca="1">IFERROR(__xludf.DUMMYFUNCTION("""COMPUTED_VALUE"""),16582094)</f>
        <v>16582094</v>
      </c>
    </row>
    <row r="578" spans="1:6" x14ac:dyDescent="0.35">
      <c r="A578" s="2">
        <f ca="1">IFERROR(__xludf.DUMMYFUNCTION("""COMPUTED_VALUE"""),42843.6666666666)</f>
        <v>42843.666666666599</v>
      </c>
      <c r="B578" s="1">
        <f ca="1">IFERROR(__xludf.DUMMYFUNCTION("""COMPUTED_VALUE"""),35.35)</f>
        <v>35.35</v>
      </c>
      <c r="C578" s="1">
        <f ca="1">IFERROR(__xludf.DUMMYFUNCTION("""COMPUTED_VALUE"""),35.51)</f>
        <v>35.51</v>
      </c>
      <c r="D578" s="1">
        <f ca="1">IFERROR(__xludf.DUMMYFUNCTION("""COMPUTED_VALUE"""),35.28)</f>
        <v>35.28</v>
      </c>
      <c r="E578" s="1">
        <f ca="1">IFERROR(__xludf.DUMMYFUNCTION("""COMPUTED_VALUE"""),35.3)</f>
        <v>35.299999999999997</v>
      </c>
      <c r="F578" s="1">
        <f ca="1">IFERROR(__xludf.DUMMYFUNCTION("""COMPUTED_VALUE"""),14697544)</f>
        <v>14697544</v>
      </c>
    </row>
    <row r="579" spans="1:6" x14ac:dyDescent="0.35">
      <c r="A579" s="2">
        <f ca="1">IFERROR(__xludf.DUMMYFUNCTION("""COMPUTED_VALUE"""),42844.6666666666)</f>
        <v>42844.666666666599</v>
      </c>
      <c r="B579" s="1">
        <f ca="1">IFERROR(__xludf.DUMMYFUNCTION("""COMPUTED_VALUE"""),35.47)</f>
        <v>35.47</v>
      </c>
      <c r="C579" s="1">
        <f ca="1">IFERROR(__xludf.DUMMYFUNCTION("""COMPUTED_VALUE"""),35.5)</f>
        <v>35.5</v>
      </c>
      <c r="D579" s="1">
        <f ca="1">IFERROR(__xludf.DUMMYFUNCTION("""COMPUTED_VALUE"""),35.11)</f>
        <v>35.11</v>
      </c>
      <c r="E579" s="1">
        <f ca="1">IFERROR(__xludf.DUMMYFUNCTION("""COMPUTED_VALUE"""),35.17)</f>
        <v>35.17</v>
      </c>
      <c r="F579" s="1">
        <f ca="1">IFERROR(__xludf.DUMMYFUNCTION("""COMPUTED_VALUE"""),17328375)</f>
        <v>17328375</v>
      </c>
    </row>
    <row r="580" spans="1:6" x14ac:dyDescent="0.35">
      <c r="A580" s="2">
        <f ca="1">IFERROR(__xludf.DUMMYFUNCTION("""COMPUTED_VALUE"""),42845.6666666666)</f>
        <v>42845.666666666599</v>
      </c>
      <c r="B580" s="1">
        <f ca="1">IFERROR(__xludf.DUMMYFUNCTION("""COMPUTED_VALUE"""),35.31)</f>
        <v>35.31</v>
      </c>
      <c r="C580" s="1">
        <f ca="1">IFERROR(__xludf.DUMMYFUNCTION("""COMPUTED_VALUE"""),35.73)</f>
        <v>35.729999999999997</v>
      </c>
      <c r="D580" s="1">
        <f ca="1">IFERROR(__xludf.DUMMYFUNCTION("""COMPUTED_VALUE"""),35.29)</f>
        <v>35.29</v>
      </c>
      <c r="E580" s="1">
        <f ca="1">IFERROR(__xludf.DUMMYFUNCTION("""COMPUTED_VALUE"""),35.61)</f>
        <v>35.61</v>
      </c>
      <c r="F580" s="1">
        <f ca="1">IFERROR(__xludf.DUMMYFUNCTION("""COMPUTED_VALUE"""),23319562)</f>
        <v>23319562</v>
      </c>
    </row>
    <row r="581" spans="1:6" x14ac:dyDescent="0.35">
      <c r="A581" s="2">
        <f ca="1">IFERROR(__xludf.DUMMYFUNCTION("""COMPUTED_VALUE"""),42846.6666666666)</f>
        <v>42846.666666666599</v>
      </c>
      <c r="B581" s="1">
        <f ca="1">IFERROR(__xludf.DUMMYFUNCTION("""COMPUTED_VALUE"""),35.61)</f>
        <v>35.61</v>
      </c>
      <c r="C581" s="1">
        <f ca="1">IFERROR(__xludf.DUMMYFUNCTION("""COMPUTED_VALUE"""),35.67)</f>
        <v>35.67</v>
      </c>
      <c r="D581" s="1">
        <f ca="1">IFERROR(__xludf.DUMMYFUNCTION("""COMPUTED_VALUE"""),35.46)</f>
        <v>35.46</v>
      </c>
      <c r="E581" s="1">
        <f ca="1">IFERROR(__xludf.DUMMYFUNCTION("""COMPUTED_VALUE"""),35.57)</f>
        <v>35.57</v>
      </c>
      <c r="F581" s="1">
        <f ca="1">IFERROR(__xludf.DUMMYFUNCTION("""COMPUTED_VALUE"""),17320928)</f>
        <v>17320928</v>
      </c>
    </row>
    <row r="582" spans="1:6" x14ac:dyDescent="0.35">
      <c r="A582" s="2">
        <f ca="1">IFERROR(__xludf.DUMMYFUNCTION("""COMPUTED_VALUE"""),42849.6666666666)</f>
        <v>42849.666666666599</v>
      </c>
      <c r="B582" s="1">
        <f ca="1">IFERROR(__xludf.DUMMYFUNCTION("""COMPUTED_VALUE"""),35.88)</f>
        <v>35.880000000000003</v>
      </c>
      <c r="C582" s="1">
        <f ca="1">IFERROR(__xludf.DUMMYFUNCTION("""COMPUTED_VALUE"""),35.99)</f>
        <v>35.99</v>
      </c>
      <c r="D582" s="1">
        <f ca="1">IFERROR(__xludf.DUMMYFUNCTION("""COMPUTED_VALUE"""),35.8)</f>
        <v>35.799999999999997</v>
      </c>
      <c r="E582" s="1">
        <f ca="1">IFERROR(__xludf.DUMMYFUNCTION("""COMPUTED_VALUE"""),35.91)</f>
        <v>35.909999999999997</v>
      </c>
      <c r="F582" s="1">
        <f ca="1">IFERROR(__xludf.DUMMYFUNCTION("""COMPUTED_VALUE"""),17134333)</f>
        <v>17134333</v>
      </c>
    </row>
    <row r="583" spans="1:6" x14ac:dyDescent="0.35">
      <c r="A583" s="2">
        <f ca="1">IFERROR(__xludf.DUMMYFUNCTION("""COMPUTED_VALUE"""),42850.6666666666)</f>
        <v>42850.666666666599</v>
      </c>
      <c r="B583" s="1">
        <f ca="1">IFERROR(__xludf.DUMMYFUNCTION("""COMPUTED_VALUE"""),35.98)</f>
        <v>35.979999999999997</v>
      </c>
      <c r="C583" s="1">
        <f ca="1">IFERROR(__xludf.DUMMYFUNCTION("""COMPUTED_VALUE"""),36.23)</f>
        <v>36.229999999999997</v>
      </c>
      <c r="D583" s="1">
        <f ca="1">IFERROR(__xludf.DUMMYFUNCTION("""COMPUTED_VALUE"""),35.97)</f>
        <v>35.97</v>
      </c>
      <c r="E583" s="1">
        <f ca="1">IFERROR(__xludf.DUMMYFUNCTION("""COMPUTED_VALUE"""),36.13)</f>
        <v>36.130000000000003</v>
      </c>
      <c r="F583" s="1">
        <f ca="1">IFERROR(__xludf.DUMMYFUNCTION("""COMPUTED_VALUE"""),18871501)</f>
        <v>18871501</v>
      </c>
    </row>
    <row r="584" spans="1:6" x14ac:dyDescent="0.35">
      <c r="A584" s="2">
        <f ca="1">IFERROR(__xludf.DUMMYFUNCTION("""COMPUTED_VALUE"""),42851.6666666666)</f>
        <v>42851.666666666599</v>
      </c>
      <c r="B584" s="1">
        <f ca="1">IFERROR(__xludf.DUMMYFUNCTION("""COMPUTED_VALUE"""),36.12)</f>
        <v>36.119999999999997</v>
      </c>
      <c r="C584" s="1">
        <f ca="1">IFERROR(__xludf.DUMMYFUNCTION("""COMPUTED_VALUE"""),36.15)</f>
        <v>36.15</v>
      </c>
      <c r="D584" s="1">
        <f ca="1">IFERROR(__xludf.DUMMYFUNCTION("""COMPUTED_VALUE"""),35.84)</f>
        <v>35.840000000000003</v>
      </c>
      <c r="E584" s="1">
        <f ca="1">IFERROR(__xludf.DUMMYFUNCTION("""COMPUTED_VALUE"""),35.92)</f>
        <v>35.92</v>
      </c>
      <c r="F584" s="1">
        <f ca="1">IFERROR(__xludf.DUMMYFUNCTION("""COMPUTED_VALUE"""),20041241)</f>
        <v>20041241</v>
      </c>
    </row>
    <row r="585" spans="1:6" x14ac:dyDescent="0.35">
      <c r="A585" s="2">
        <f ca="1">IFERROR(__xludf.DUMMYFUNCTION("""COMPUTED_VALUE"""),42852.6666666666)</f>
        <v>42852.666666666599</v>
      </c>
      <c r="B585" s="1">
        <f ca="1">IFERROR(__xludf.DUMMYFUNCTION("""COMPUTED_VALUE"""),35.98)</f>
        <v>35.979999999999997</v>
      </c>
      <c r="C585" s="1">
        <f ca="1">IFERROR(__xludf.DUMMYFUNCTION("""COMPUTED_VALUE"""),36.04)</f>
        <v>36.04</v>
      </c>
      <c r="D585" s="1">
        <f ca="1">IFERROR(__xludf.DUMMYFUNCTION("""COMPUTED_VALUE"""),35.83)</f>
        <v>35.83</v>
      </c>
      <c r="E585" s="1">
        <f ca="1">IFERROR(__xludf.DUMMYFUNCTION("""COMPUTED_VALUE"""),35.95)</f>
        <v>35.950000000000003</v>
      </c>
      <c r="F585" s="1">
        <f ca="1">IFERROR(__xludf.DUMMYFUNCTION("""COMPUTED_VALUE"""),14246347)</f>
        <v>14246347</v>
      </c>
    </row>
    <row r="586" spans="1:6" x14ac:dyDescent="0.35">
      <c r="A586" s="2">
        <f ca="1">IFERROR(__xludf.DUMMYFUNCTION("""COMPUTED_VALUE"""),42853.6666666666)</f>
        <v>42853.666666666599</v>
      </c>
      <c r="B586" s="1">
        <f ca="1">IFERROR(__xludf.DUMMYFUNCTION("""COMPUTED_VALUE"""),36.02)</f>
        <v>36.020000000000003</v>
      </c>
      <c r="C586" s="1">
        <f ca="1">IFERROR(__xludf.DUMMYFUNCTION("""COMPUTED_VALUE"""),36.08)</f>
        <v>36.08</v>
      </c>
      <c r="D586" s="1">
        <f ca="1">IFERROR(__xludf.DUMMYFUNCTION("""COMPUTED_VALUE"""),35.82)</f>
        <v>35.82</v>
      </c>
      <c r="E586" s="1">
        <f ca="1">IFERROR(__xludf.DUMMYFUNCTION("""COMPUTED_VALUE"""),35.91)</f>
        <v>35.909999999999997</v>
      </c>
      <c r="F586" s="1">
        <f ca="1">IFERROR(__xludf.DUMMYFUNCTION("""COMPUTED_VALUE"""),20860358)</f>
        <v>20860358</v>
      </c>
    </row>
    <row r="587" spans="1:6" x14ac:dyDescent="0.35">
      <c r="A587" s="2">
        <f ca="1">IFERROR(__xludf.DUMMYFUNCTION("""COMPUTED_VALUE"""),42856.6666666666)</f>
        <v>42856.666666666599</v>
      </c>
      <c r="B587" s="1">
        <f ca="1">IFERROR(__xludf.DUMMYFUNCTION("""COMPUTED_VALUE"""),36.28)</f>
        <v>36.28</v>
      </c>
      <c r="C587" s="1">
        <f ca="1">IFERROR(__xludf.DUMMYFUNCTION("""COMPUTED_VALUE"""),36.8)</f>
        <v>36.799999999999997</v>
      </c>
      <c r="D587" s="1">
        <f ca="1">IFERROR(__xludf.DUMMYFUNCTION("""COMPUTED_VALUE"""),36.24)</f>
        <v>36.24</v>
      </c>
      <c r="E587" s="1">
        <f ca="1">IFERROR(__xludf.DUMMYFUNCTION("""COMPUTED_VALUE"""),36.65)</f>
        <v>36.65</v>
      </c>
      <c r="F587" s="1">
        <f ca="1">IFERROR(__xludf.DUMMYFUNCTION("""COMPUTED_VALUE"""),33602943)</f>
        <v>33602943</v>
      </c>
    </row>
    <row r="588" spans="1:6" x14ac:dyDescent="0.35">
      <c r="A588" s="2">
        <f ca="1">IFERROR(__xludf.DUMMYFUNCTION("""COMPUTED_VALUE"""),42857.6666666666)</f>
        <v>42857.666666666599</v>
      </c>
      <c r="B588" s="1">
        <f ca="1">IFERROR(__xludf.DUMMYFUNCTION("""COMPUTED_VALUE"""),36.89)</f>
        <v>36.89</v>
      </c>
      <c r="C588" s="1">
        <f ca="1">IFERROR(__xludf.DUMMYFUNCTION("""COMPUTED_VALUE"""),37.02)</f>
        <v>37.020000000000003</v>
      </c>
      <c r="D588" s="1">
        <f ca="1">IFERROR(__xludf.DUMMYFUNCTION("""COMPUTED_VALUE"""),36.71)</f>
        <v>36.71</v>
      </c>
      <c r="E588" s="1">
        <f ca="1">IFERROR(__xludf.DUMMYFUNCTION("""COMPUTED_VALUE"""),36.88)</f>
        <v>36.880000000000003</v>
      </c>
      <c r="F588" s="1">
        <f ca="1">IFERROR(__xludf.DUMMYFUNCTION("""COMPUTED_VALUE"""),45352194)</f>
        <v>45352194</v>
      </c>
    </row>
    <row r="589" spans="1:6" x14ac:dyDescent="0.35">
      <c r="A589" s="2">
        <f ca="1">IFERROR(__xludf.DUMMYFUNCTION("""COMPUTED_VALUE"""),42858.6666666666)</f>
        <v>42858.666666666599</v>
      </c>
      <c r="B589" s="1">
        <f ca="1">IFERROR(__xludf.DUMMYFUNCTION("""COMPUTED_VALUE"""),36.4)</f>
        <v>36.4</v>
      </c>
      <c r="C589" s="1">
        <f ca="1">IFERROR(__xludf.DUMMYFUNCTION("""COMPUTED_VALUE"""),36.87)</f>
        <v>36.869999999999997</v>
      </c>
      <c r="D589" s="1">
        <f ca="1">IFERROR(__xludf.DUMMYFUNCTION("""COMPUTED_VALUE"""),36.07)</f>
        <v>36.07</v>
      </c>
      <c r="E589" s="1">
        <f ca="1">IFERROR(__xludf.DUMMYFUNCTION("""COMPUTED_VALUE"""),36.77)</f>
        <v>36.770000000000003</v>
      </c>
      <c r="F589" s="1">
        <f ca="1">IFERROR(__xludf.DUMMYFUNCTION("""COMPUTED_VALUE"""),45697034)</f>
        <v>45697034</v>
      </c>
    </row>
    <row r="590" spans="1:6" x14ac:dyDescent="0.35">
      <c r="A590" s="2">
        <f ca="1">IFERROR(__xludf.DUMMYFUNCTION("""COMPUTED_VALUE"""),42859.6666666666)</f>
        <v>42859.666666666599</v>
      </c>
      <c r="B590" s="1">
        <f ca="1">IFERROR(__xludf.DUMMYFUNCTION("""COMPUTED_VALUE"""),36.63)</f>
        <v>36.630000000000003</v>
      </c>
      <c r="C590" s="1">
        <f ca="1">IFERROR(__xludf.DUMMYFUNCTION("""COMPUTED_VALUE"""),36.78)</f>
        <v>36.78</v>
      </c>
      <c r="D590" s="1">
        <f ca="1">IFERROR(__xludf.DUMMYFUNCTION("""COMPUTED_VALUE"""),36.45)</f>
        <v>36.450000000000003</v>
      </c>
      <c r="E590" s="1">
        <f ca="1">IFERROR(__xludf.DUMMYFUNCTION("""COMPUTED_VALUE"""),36.63)</f>
        <v>36.630000000000003</v>
      </c>
      <c r="F590" s="1">
        <f ca="1">IFERROR(__xludf.DUMMYFUNCTION("""COMPUTED_VALUE"""),23371872)</f>
        <v>23371872</v>
      </c>
    </row>
    <row r="591" spans="1:6" x14ac:dyDescent="0.35">
      <c r="A591" s="2">
        <f ca="1">IFERROR(__xludf.DUMMYFUNCTION("""COMPUTED_VALUE"""),42860.6666666666)</f>
        <v>42860.666666666599</v>
      </c>
      <c r="B591" s="1">
        <f ca="1">IFERROR(__xludf.DUMMYFUNCTION("""COMPUTED_VALUE"""),36.69)</f>
        <v>36.69</v>
      </c>
      <c r="C591" s="1">
        <f ca="1">IFERROR(__xludf.DUMMYFUNCTION("""COMPUTED_VALUE"""),37.24)</f>
        <v>37.24</v>
      </c>
      <c r="D591" s="1">
        <f ca="1">IFERROR(__xludf.DUMMYFUNCTION("""COMPUTED_VALUE"""),36.69)</f>
        <v>36.69</v>
      </c>
      <c r="E591" s="1">
        <f ca="1">IFERROR(__xludf.DUMMYFUNCTION("""COMPUTED_VALUE"""),37.24)</f>
        <v>37.24</v>
      </c>
      <c r="F591" s="1">
        <f ca="1">IFERROR(__xludf.DUMMYFUNCTION("""COMPUTED_VALUE"""),27327725)</f>
        <v>27327725</v>
      </c>
    </row>
    <row r="592" spans="1:6" x14ac:dyDescent="0.35">
      <c r="A592" s="2">
        <f ca="1">IFERROR(__xludf.DUMMYFUNCTION("""COMPUTED_VALUE"""),42863.6666666666)</f>
        <v>42863.666666666599</v>
      </c>
      <c r="B592" s="1">
        <f ca="1">IFERROR(__xludf.DUMMYFUNCTION("""COMPUTED_VALUE"""),37.26)</f>
        <v>37.26</v>
      </c>
      <c r="C592" s="1">
        <f ca="1">IFERROR(__xludf.DUMMYFUNCTION("""COMPUTED_VALUE"""),38.42)</f>
        <v>38.42</v>
      </c>
      <c r="D592" s="1">
        <f ca="1">IFERROR(__xludf.DUMMYFUNCTION("""COMPUTED_VALUE"""),37.26)</f>
        <v>37.26</v>
      </c>
      <c r="E592" s="1">
        <f ca="1">IFERROR(__xludf.DUMMYFUNCTION("""COMPUTED_VALUE"""),38.25)</f>
        <v>38.25</v>
      </c>
      <c r="F592" s="1">
        <f ca="1">IFERROR(__xludf.DUMMYFUNCTION("""COMPUTED_VALUE"""),48752413)</f>
        <v>48752413</v>
      </c>
    </row>
    <row r="593" spans="1:6" x14ac:dyDescent="0.35">
      <c r="A593" s="2">
        <f ca="1">IFERROR(__xludf.DUMMYFUNCTION("""COMPUTED_VALUE"""),42864.6666666666)</f>
        <v>42864.666666666599</v>
      </c>
      <c r="B593" s="1">
        <f ca="1">IFERROR(__xludf.DUMMYFUNCTION("""COMPUTED_VALUE"""),38.47)</f>
        <v>38.47</v>
      </c>
      <c r="C593" s="1">
        <f ca="1">IFERROR(__xludf.DUMMYFUNCTION("""COMPUTED_VALUE"""),38.72)</f>
        <v>38.72</v>
      </c>
      <c r="D593" s="1">
        <f ca="1">IFERROR(__xludf.DUMMYFUNCTION("""COMPUTED_VALUE"""),38.36)</f>
        <v>38.36</v>
      </c>
      <c r="E593" s="1">
        <f ca="1">IFERROR(__xludf.DUMMYFUNCTION("""COMPUTED_VALUE"""),38.5)</f>
        <v>38.5</v>
      </c>
      <c r="F593" s="1">
        <f ca="1">IFERROR(__xludf.DUMMYFUNCTION("""COMPUTED_VALUE"""),39130363)</f>
        <v>39130363</v>
      </c>
    </row>
    <row r="594" spans="1:6" x14ac:dyDescent="0.35">
      <c r="A594" s="2">
        <f ca="1">IFERROR(__xludf.DUMMYFUNCTION("""COMPUTED_VALUE"""),42865.6666666666)</f>
        <v>42865.666666666599</v>
      </c>
      <c r="B594" s="1">
        <f ca="1">IFERROR(__xludf.DUMMYFUNCTION("""COMPUTED_VALUE"""),38.41)</f>
        <v>38.409999999999997</v>
      </c>
      <c r="C594" s="1">
        <f ca="1">IFERROR(__xludf.DUMMYFUNCTION("""COMPUTED_VALUE"""),38.49)</f>
        <v>38.49</v>
      </c>
      <c r="D594" s="1">
        <f ca="1">IFERROR(__xludf.DUMMYFUNCTION("""COMPUTED_VALUE"""),38.03)</f>
        <v>38.03</v>
      </c>
      <c r="E594" s="1">
        <f ca="1">IFERROR(__xludf.DUMMYFUNCTION("""COMPUTED_VALUE"""),38.32)</f>
        <v>38.32</v>
      </c>
      <c r="F594" s="1">
        <f ca="1">IFERROR(__xludf.DUMMYFUNCTION("""COMPUTED_VALUE"""),25805692)</f>
        <v>25805692</v>
      </c>
    </row>
    <row r="595" spans="1:6" x14ac:dyDescent="0.35">
      <c r="A595" s="2">
        <f ca="1">IFERROR(__xludf.DUMMYFUNCTION("""COMPUTED_VALUE"""),42866.6666666666)</f>
        <v>42866.666666666599</v>
      </c>
      <c r="B595" s="1">
        <f ca="1">IFERROR(__xludf.DUMMYFUNCTION("""COMPUTED_VALUE"""),38.11)</f>
        <v>38.11</v>
      </c>
      <c r="C595" s="1">
        <f ca="1">IFERROR(__xludf.DUMMYFUNCTION("""COMPUTED_VALUE"""),38.52)</f>
        <v>38.520000000000003</v>
      </c>
      <c r="D595" s="1">
        <f ca="1">IFERROR(__xludf.DUMMYFUNCTION("""COMPUTED_VALUE"""),38.08)</f>
        <v>38.08</v>
      </c>
      <c r="E595" s="1">
        <f ca="1">IFERROR(__xludf.DUMMYFUNCTION("""COMPUTED_VALUE"""),38.49)</f>
        <v>38.49</v>
      </c>
      <c r="F595" s="1">
        <f ca="1">IFERROR(__xludf.DUMMYFUNCTION("""COMPUTED_VALUE"""),27255058)</f>
        <v>27255058</v>
      </c>
    </row>
    <row r="596" spans="1:6" x14ac:dyDescent="0.35">
      <c r="A596" s="2">
        <f ca="1">IFERROR(__xludf.DUMMYFUNCTION("""COMPUTED_VALUE"""),42867.6666666666)</f>
        <v>42867.666666666599</v>
      </c>
      <c r="B596" s="1">
        <f ca="1">IFERROR(__xludf.DUMMYFUNCTION("""COMPUTED_VALUE"""),38.67)</f>
        <v>38.67</v>
      </c>
      <c r="C596" s="1">
        <f ca="1">IFERROR(__xludf.DUMMYFUNCTION("""COMPUTED_VALUE"""),39.1)</f>
        <v>39.1</v>
      </c>
      <c r="D596" s="1">
        <f ca="1">IFERROR(__xludf.DUMMYFUNCTION("""COMPUTED_VALUE"""),38.67)</f>
        <v>38.67</v>
      </c>
      <c r="E596" s="1">
        <f ca="1">IFERROR(__xludf.DUMMYFUNCTION("""COMPUTED_VALUE"""),39.03)</f>
        <v>39.03</v>
      </c>
      <c r="F596" s="1">
        <f ca="1">IFERROR(__xludf.DUMMYFUNCTION("""COMPUTED_VALUE"""),32527017)</f>
        <v>32527017</v>
      </c>
    </row>
    <row r="597" spans="1:6" x14ac:dyDescent="0.35">
      <c r="A597" s="2">
        <f ca="1">IFERROR(__xludf.DUMMYFUNCTION("""COMPUTED_VALUE"""),42870.6666666666)</f>
        <v>42870.666666666599</v>
      </c>
      <c r="B597" s="1">
        <f ca="1">IFERROR(__xludf.DUMMYFUNCTION("""COMPUTED_VALUE"""),39)</f>
        <v>39</v>
      </c>
      <c r="C597" s="1">
        <f ca="1">IFERROR(__xludf.DUMMYFUNCTION("""COMPUTED_VALUE"""),39.16)</f>
        <v>39.159999999999997</v>
      </c>
      <c r="D597" s="1">
        <f ca="1">IFERROR(__xludf.DUMMYFUNCTION("""COMPUTED_VALUE"""),38.76)</f>
        <v>38.76</v>
      </c>
      <c r="E597" s="1">
        <f ca="1">IFERROR(__xludf.DUMMYFUNCTION("""COMPUTED_VALUE"""),38.92)</f>
        <v>38.92</v>
      </c>
      <c r="F597" s="1">
        <f ca="1">IFERROR(__xludf.DUMMYFUNCTION("""COMPUTED_VALUE"""),26009719)</f>
        <v>26009719</v>
      </c>
    </row>
    <row r="598" spans="1:6" x14ac:dyDescent="0.35">
      <c r="A598" s="2">
        <f ca="1">IFERROR(__xludf.DUMMYFUNCTION("""COMPUTED_VALUE"""),42871.6666666666)</f>
        <v>42871.666666666599</v>
      </c>
      <c r="B598" s="1">
        <f ca="1">IFERROR(__xludf.DUMMYFUNCTION("""COMPUTED_VALUE"""),38.99)</f>
        <v>38.99</v>
      </c>
      <c r="C598" s="1">
        <f ca="1">IFERROR(__xludf.DUMMYFUNCTION("""COMPUTED_VALUE"""),39.02)</f>
        <v>39.020000000000003</v>
      </c>
      <c r="D598" s="1">
        <f ca="1">IFERROR(__xludf.DUMMYFUNCTION("""COMPUTED_VALUE"""),38.68)</f>
        <v>38.68</v>
      </c>
      <c r="E598" s="1">
        <f ca="1">IFERROR(__xludf.DUMMYFUNCTION("""COMPUTED_VALUE"""),38.87)</f>
        <v>38.869999999999997</v>
      </c>
      <c r="F598" s="1">
        <f ca="1">IFERROR(__xludf.DUMMYFUNCTION("""COMPUTED_VALUE"""),20048478)</f>
        <v>20048478</v>
      </c>
    </row>
    <row r="599" spans="1:6" x14ac:dyDescent="0.35">
      <c r="A599" s="2">
        <f ca="1">IFERROR(__xludf.DUMMYFUNCTION("""COMPUTED_VALUE"""),42872.6666666666)</f>
        <v>42872.666666666599</v>
      </c>
      <c r="B599" s="1">
        <f ca="1">IFERROR(__xludf.DUMMYFUNCTION("""COMPUTED_VALUE"""),38.4)</f>
        <v>38.4</v>
      </c>
      <c r="C599" s="1">
        <f ca="1">IFERROR(__xludf.DUMMYFUNCTION("""COMPUTED_VALUE"""),38.64)</f>
        <v>38.64</v>
      </c>
      <c r="D599" s="1">
        <f ca="1">IFERROR(__xludf.DUMMYFUNCTION("""COMPUTED_VALUE"""),37.43)</f>
        <v>37.43</v>
      </c>
      <c r="E599" s="1">
        <f ca="1">IFERROR(__xludf.DUMMYFUNCTION("""COMPUTED_VALUE"""),37.56)</f>
        <v>37.56</v>
      </c>
      <c r="F599" s="1">
        <f ca="1">IFERROR(__xludf.DUMMYFUNCTION("""COMPUTED_VALUE"""),50767678)</f>
        <v>50767678</v>
      </c>
    </row>
    <row r="600" spans="1:6" x14ac:dyDescent="0.35">
      <c r="A600" s="2">
        <f ca="1">IFERROR(__xludf.DUMMYFUNCTION("""COMPUTED_VALUE"""),42873.6666666666)</f>
        <v>42873.666666666599</v>
      </c>
      <c r="B600" s="1">
        <f ca="1">IFERROR(__xludf.DUMMYFUNCTION("""COMPUTED_VALUE"""),37.82)</f>
        <v>37.82</v>
      </c>
      <c r="C600" s="1">
        <f ca="1">IFERROR(__xludf.DUMMYFUNCTION("""COMPUTED_VALUE"""),38.34)</f>
        <v>38.340000000000003</v>
      </c>
      <c r="D600" s="1">
        <f ca="1">IFERROR(__xludf.DUMMYFUNCTION("""COMPUTED_VALUE"""),37.78)</f>
        <v>37.78</v>
      </c>
      <c r="E600" s="1">
        <f ca="1">IFERROR(__xludf.DUMMYFUNCTION("""COMPUTED_VALUE"""),38.14)</f>
        <v>38.14</v>
      </c>
      <c r="F600" s="1">
        <f ca="1">IFERROR(__xludf.DUMMYFUNCTION("""COMPUTED_VALUE"""),33568215)</f>
        <v>33568215</v>
      </c>
    </row>
    <row r="601" spans="1:6" x14ac:dyDescent="0.35">
      <c r="A601" s="2">
        <f ca="1">IFERROR(__xludf.DUMMYFUNCTION("""COMPUTED_VALUE"""),42874.6666666666)</f>
        <v>42874.666666666599</v>
      </c>
      <c r="B601" s="1">
        <f ca="1">IFERROR(__xludf.DUMMYFUNCTION("""COMPUTED_VALUE"""),38.35)</f>
        <v>38.35</v>
      </c>
      <c r="C601" s="1">
        <f ca="1">IFERROR(__xludf.DUMMYFUNCTION("""COMPUTED_VALUE"""),38.49)</f>
        <v>38.49</v>
      </c>
      <c r="D601" s="1">
        <f ca="1">IFERROR(__xludf.DUMMYFUNCTION("""COMPUTED_VALUE"""),38.16)</f>
        <v>38.159999999999997</v>
      </c>
      <c r="E601" s="1">
        <f ca="1">IFERROR(__xludf.DUMMYFUNCTION("""COMPUTED_VALUE"""),38.27)</f>
        <v>38.270000000000003</v>
      </c>
      <c r="F601" s="1">
        <f ca="1">IFERROR(__xludf.DUMMYFUNCTION("""COMPUTED_VALUE"""),26960788)</f>
        <v>26960788</v>
      </c>
    </row>
    <row r="602" spans="1:6" x14ac:dyDescent="0.35">
      <c r="A602" s="2">
        <f ca="1">IFERROR(__xludf.DUMMYFUNCTION("""COMPUTED_VALUE"""),42877.6666666666)</f>
        <v>42877.666666666599</v>
      </c>
      <c r="B602" s="1">
        <f ca="1">IFERROR(__xludf.DUMMYFUNCTION("""COMPUTED_VALUE"""),38.5)</f>
        <v>38.5</v>
      </c>
      <c r="C602" s="1">
        <f ca="1">IFERROR(__xludf.DUMMYFUNCTION("""COMPUTED_VALUE"""),38.65)</f>
        <v>38.65</v>
      </c>
      <c r="D602" s="1">
        <f ca="1">IFERROR(__xludf.DUMMYFUNCTION("""COMPUTED_VALUE"""),38.23)</f>
        <v>38.229999999999997</v>
      </c>
      <c r="E602" s="1">
        <f ca="1">IFERROR(__xludf.DUMMYFUNCTION("""COMPUTED_VALUE"""),38.5)</f>
        <v>38.5</v>
      </c>
      <c r="F602" s="1">
        <f ca="1">IFERROR(__xludf.DUMMYFUNCTION("""COMPUTED_VALUE"""),22966437)</f>
        <v>22966437</v>
      </c>
    </row>
    <row r="603" spans="1:6" x14ac:dyDescent="0.35">
      <c r="A603" s="2">
        <f ca="1">IFERROR(__xludf.DUMMYFUNCTION("""COMPUTED_VALUE"""),42878.6666666666)</f>
        <v>42878.666666666599</v>
      </c>
      <c r="B603" s="1">
        <f ca="1">IFERROR(__xludf.DUMMYFUNCTION("""COMPUTED_VALUE"""),38.73)</f>
        <v>38.729999999999997</v>
      </c>
      <c r="C603" s="1">
        <f ca="1">IFERROR(__xludf.DUMMYFUNCTION("""COMPUTED_VALUE"""),38.73)</f>
        <v>38.729999999999997</v>
      </c>
      <c r="D603" s="1">
        <f ca="1">IFERROR(__xludf.DUMMYFUNCTION("""COMPUTED_VALUE"""),38.33)</f>
        <v>38.33</v>
      </c>
      <c r="E603" s="1">
        <f ca="1">IFERROR(__xludf.DUMMYFUNCTION("""COMPUTED_VALUE"""),38.45)</f>
        <v>38.450000000000003</v>
      </c>
      <c r="F603" s="1">
        <f ca="1">IFERROR(__xludf.DUMMYFUNCTION("""COMPUTED_VALUE"""),19918871)</f>
        <v>19918871</v>
      </c>
    </row>
    <row r="604" spans="1:6" x14ac:dyDescent="0.35">
      <c r="A604" s="2">
        <f ca="1">IFERROR(__xludf.DUMMYFUNCTION("""COMPUTED_VALUE"""),42879.6666666666)</f>
        <v>42879.666666666599</v>
      </c>
      <c r="B604" s="1">
        <f ca="1">IFERROR(__xludf.DUMMYFUNCTION("""COMPUTED_VALUE"""),38.46)</f>
        <v>38.46</v>
      </c>
      <c r="C604" s="1">
        <f ca="1">IFERROR(__xludf.DUMMYFUNCTION("""COMPUTED_VALUE"""),38.54)</f>
        <v>38.54</v>
      </c>
      <c r="D604" s="1">
        <f ca="1">IFERROR(__xludf.DUMMYFUNCTION("""COMPUTED_VALUE"""),38.17)</f>
        <v>38.17</v>
      </c>
      <c r="E604" s="1">
        <f ca="1">IFERROR(__xludf.DUMMYFUNCTION("""COMPUTED_VALUE"""),38.34)</f>
        <v>38.340000000000003</v>
      </c>
      <c r="F604" s="1">
        <f ca="1">IFERROR(__xludf.DUMMYFUNCTION("""COMPUTED_VALUE"""),19219154)</f>
        <v>19219154</v>
      </c>
    </row>
    <row r="605" spans="1:6" x14ac:dyDescent="0.35">
      <c r="A605" s="2">
        <f ca="1">IFERROR(__xludf.DUMMYFUNCTION("""COMPUTED_VALUE"""),42880.6666666666)</f>
        <v>42880.666666666599</v>
      </c>
      <c r="B605" s="1">
        <f ca="1">IFERROR(__xludf.DUMMYFUNCTION("""COMPUTED_VALUE"""),38.43)</f>
        <v>38.43</v>
      </c>
      <c r="C605" s="1">
        <f ca="1">IFERROR(__xludf.DUMMYFUNCTION("""COMPUTED_VALUE"""),38.59)</f>
        <v>38.590000000000003</v>
      </c>
      <c r="D605" s="1">
        <f ca="1">IFERROR(__xludf.DUMMYFUNCTION("""COMPUTED_VALUE"""),38.26)</f>
        <v>38.26</v>
      </c>
      <c r="E605" s="1">
        <f ca="1">IFERROR(__xludf.DUMMYFUNCTION("""COMPUTED_VALUE"""),38.47)</f>
        <v>38.47</v>
      </c>
      <c r="F605" s="1">
        <f ca="1">IFERROR(__xludf.DUMMYFUNCTION("""COMPUTED_VALUE"""),19235598)</f>
        <v>19235598</v>
      </c>
    </row>
    <row r="606" spans="1:6" x14ac:dyDescent="0.35">
      <c r="A606" s="2">
        <f ca="1">IFERROR(__xludf.DUMMYFUNCTION("""COMPUTED_VALUE"""),42881.6666666666)</f>
        <v>42881.666666666599</v>
      </c>
      <c r="B606" s="1">
        <f ca="1">IFERROR(__xludf.DUMMYFUNCTION("""COMPUTED_VALUE"""),38.5)</f>
        <v>38.5</v>
      </c>
      <c r="C606" s="1">
        <f ca="1">IFERROR(__xludf.DUMMYFUNCTION("""COMPUTED_VALUE"""),38.56)</f>
        <v>38.56</v>
      </c>
      <c r="D606" s="1">
        <f ca="1">IFERROR(__xludf.DUMMYFUNCTION("""COMPUTED_VALUE"""),38.33)</f>
        <v>38.33</v>
      </c>
      <c r="E606" s="1">
        <f ca="1">IFERROR(__xludf.DUMMYFUNCTION("""COMPUTED_VALUE"""),38.4)</f>
        <v>38.4</v>
      </c>
      <c r="F606" s="1">
        <f ca="1">IFERROR(__xludf.DUMMYFUNCTION("""COMPUTED_VALUE"""),21927637)</f>
        <v>21927637</v>
      </c>
    </row>
    <row r="607" spans="1:6" x14ac:dyDescent="0.35">
      <c r="A607" s="2">
        <f ca="1">IFERROR(__xludf.DUMMYFUNCTION("""COMPUTED_VALUE"""),42885.6666666666)</f>
        <v>42885.666666666599</v>
      </c>
      <c r="B607" s="1">
        <f ca="1">IFERROR(__xludf.DUMMYFUNCTION("""COMPUTED_VALUE"""),38.35)</f>
        <v>38.35</v>
      </c>
      <c r="C607" s="1">
        <f ca="1">IFERROR(__xludf.DUMMYFUNCTION("""COMPUTED_VALUE"""),38.61)</f>
        <v>38.61</v>
      </c>
      <c r="D607" s="1">
        <f ca="1">IFERROR(__xludf.DUMMYFUNCTION("""COMPUTED_VALUE"""),38.33)</f>
        <v>38.33</v>
      </c>
      <c r="E607" s="1">
        <f ca="1">IFERROR(__xludf.DUMMYFUNCTION("""COMPUTED_VALUE"""),38.42)</f>
        <v>38.42</v>
      </c>
      <c r="F607" s="1">
        <f ca="1">IFERROR(__xludf.DUMMYFUNCTION("""COMPUTED_VALUE"""),20126851)</f>
        <v>20126851</v>
      </c>
    </row>
    <row r="608" spans="1:6" x14ac:dyDescent="0.35">
      <c r="A608" s="2">
        <f ca="1">IFERROR(__xludf.DUMMYFUNCTION("""COMPUTED_VALUE"""),42886.6666666666)</f>
        <v>42886.666666666599</v>
      </c>
      <c r="B608" s="1">
        <f ca="1">IFERROR(__xludf.DUMMYFUNCTION("""COMPUTED_VALUE"""),38.49)</f>
        <v>38.49</v>
      </c>
      <c r="C608" s="1">
        <f ca="1">IFERROR(__xludf.DUMMYFUNCTION("""COMPUTED_VALUE"""),38.54)</f>
        <v>38.54</v>
      </c>
      <c r="D608" s="1">
        <f ca="1">IFERROR(__xludf.DUMMYFUNCTION("""COMPUTED_VALUE"""),38.1)</f>
        <v>38.1</v>
      </c>
      <c r="E608" s="1">
        <f ca="1">IFERROR(__xludf.DUMMYFUNCTION("""COMPUTED_VALUE"""),38.19)</f>
        <v>38.19</v>
      </c>
      <c r="F608" s="1">
        <f ca="1">IFERROR(__xludf.DUMMYFUNCTION("""COMPUTED_VALUE"""),24451164)</f>
        <v>24451164</v>
      </c>
    </row>
    <row r="609" spans="1:6" x14ac:dyDescent="0.35">
      <c r="A609" s="2">
        <f ca="1">IFERROR(__xludf.DUMMYFUNCTION("""COMPUTED_VALUE"""),42887.6666666666)</f>
        <v>42887.666666666599</v>
      </c>
      <c r="B609" s="1">
        <f ca="1">IFERROR(__xludf.DUMMYFUNCTION("""COMPUTED_VALUE"""),38.29)</f>
        <v>38.29</v>
      </c>
      <c r="C609" s="1">
        <f ca="1">IFERROR(__xludf.DUMMYFUNCTION("""COMPUTED_VALUE"""),38.33)</f>
        <v>38.33</v>
      </c>
      <c r="D609" s="1">
        <f ca="1">IFERROR(__xludf.DUMMYFUNCTION("""COMPUTED_VALUE"""),38.06)</f>
        <v>38.06</v>
      </c>
      <c r="E609" s="1">
        <f ca="1">IFERROR(__xludf.DUMMYFUNCTION("""COMPUTED_VALUE"""),38.3)</f>
        <v>38.299999999999997</v>
      </c>
      <c r="F609" s="1">
        <f ca="1">IFERROR(__xludf.DUMMYFUNCTION("""COMPUTED_VALUE"""),16404088)</f>
        <v>16404088</v>
      </c>
    </row>
    <row r="610" spans="1:6" x14ac:dyDescent="0.35">
      <c r="A610" s="2">
        <f ca="1">IFERROR(__xludf.DUMMYFUNCTION("""COMPUTED_VALUE"""),42888.6666666666)</f>
        <v>42888.666666666599</v>
      </c>
      <c r="B610" s="1">
        <f ca="1">IFERROR(__xludf.DUMMYFUNCTION("""COMPUTED_VALUE"""),38.4)</f>
        <v>38.4</v>
      </c>
      <c r="C610" s="1">
        <f ca="1">IFERROR(__xludf.DUMMYFUNCTION("""COMPUTED_VALUE"""),38.86)</f>
        <v>38.86</v>
      </c>
      <c r="D610" s="1">
        <f ca="1">IFERROR(__xludf.DUMMYFUNCTION("""COMPUTED_VALUE"""),38.22)</f>
        <v>38.22</v>
      </c>
      <c r="E610" s="1">
        <f ca="1">IFERROR(__xludf.DUMMYFUNCTION("""COMPUTED_VALUE"""),38.86)</f>
        <v>38.86</v>
      </c>
      <c r="F610" s="1">
        <f ca="1">IFERROR(__xludf.DUMMYFUNCTION("""COMPUTED_VALUE"""),27770715)</f>
        <v>27770715</v>
      </c>
    </row>
    <row r="611" spans="1:6" x14ac:dyDescent="0.35">
      <c r="A611" s="2">
        <f ca="1">IFERROR(__xludf.DUMMYFUNCTION("""COMPUTED_VALUE"""),42891.6666666666)</f>
        <v>42891.666666666599</v>
      </c>
      <c r="B611" s="1">
        <f ca="1">IFERROR(__xludf.DUMMYFUNCTION("""COMPUTED_VALUE"""),38.59)</f>
        <v>38.590000000000003</v>
      </c>
      <c r="C611" s="1">
        <f ca="1">IFERROR(__xludf.DUMMYFUNCTION("""COMPUTED_VALUE"""),38.61)</f>
        <v>38.61</v>
      </c>
      <c r="D611" s="1">
        <f ca="1">IFERROR(__xludf.DUMMYFUNCTION("""COMPUTED_VALUE"""),38.37)</f>
        <v>38.369999999999997</v>
      </c>
      <c r="E611" s="1">
        <f ca="1">IFERROR(__xludf.DUMMYFUNCTION("""COMPUTED_VALUE"""),38.48)</f>
        <v>38.479999999999997</v>
      </c>
      <c r="F611" s="1">
        <f ca="1">IFERROR(__xludf.DUMMYFUNCTION("""COMPUTED_VALUE"""),25331662)</f>
        <v>25331662</v>
      </c>
    </row>
    <row r="612" spans="1:6" x14ac:dyDescent="0.35">
      <c r="A612" s="2">
        <f ca="1">IFERROR(__xludf.DUMMYFUNCTION("""COMPUTED_VALUE"""),42892.6666666666)</f>
        <v>42892.666666666599</v>
      </c>
      <c r="B612" s="1">
        <f ca="1">IFERROR(__xludf.DUMMYFUNCTION("""COMPUTED_VALUE"""),38.48)</f>
        <v>38.479999999999997</v>
      </c>
      <c r="C612" s="1">
        <f ca="1">IFERROR(__xludf.DUMMYFUNCTION("""COMPUTED_VALUE"""),38.95)</f>
        <v>38.950000000000003</v>
      </c>
      <c r="D612" s="1">
        <f ca="1">IFERROR(__xludf.DUMMYFUNCTION("""COMPUTED_VALUE"""),38.45)</f>
        <v>38.450000000000003</v>
      </c>
      <c r="E612" s="1">
        <f ca="1">IFERROR(__xludf.DUMMYFUNCTION("""COMPUTED_VALUE"""),38.61)</f>
        <v>38.61</v>
      </c>
      <c r="F612" s="1">
        <f ca="1">IFERROR(__xludf.DUMMYFUNCTION("""COMPUTED_VALUE"""),26624926)</f>
        <v>26624926</v>
      </c>
    </row>
    <row r="613" spans="1:6" x14ac:dyDescent="0.35">
      <c r="A613" s="2">
        <f ca="1">IFERROR(__xludf.DUMMYFUNCTION("""COMPUTED_VALUE"""),42893.6666666666)</f>
        <v>42893.666666666599</v>
      </c>
      <c r="B613" s="1">
        <f ca="1">IFERROR(__xludf.DUMMYFUNCTION("""COMPUTED_VALUE"""),38.76)</f>
        <v>38.76</v>
      </c>
      <c r="C613" s="1">
        <f ca="1">IFERROR(__xludf.DUMMYFUNCTION("""COMPUTED_VALUE"""),38.99)</f>
        <v>38.99</v>
      </c>
      <c r="D613" s="1">
        <f ca="1">IFERROR(__xludf.DUMMYFUNCTION("""COMPUTED_VALUE"""),38.62)</f>
        <v>38.619999999999997</v>
      </c>
      <c r="E613" s="1">
        <f ca="1">IFERROR(__xludf.DUMMYFUNCTION("""COMPUTED_VALUE"""),38.84)</f>
        <v>38.840000000000003</v>
      </c>
      <c r="F613" s="1">
        <f ca="1">IFERROR(__xludf.DUMMYFUNCTION("""COMPUTED_VALUE"""),21069647)</f>
        <v>21069647</v>
      </c>
    </row>
    <row r="614" spans="1:6" x14ac:dyDescent="0.35">
      <c r="A614" s="2">
        <f ca="1">IFERROR(__xludf.DUMMYFUNCTION("""COMPUTED_VALUE"""),42894.6666666666)</f>
        <v>42894.666666666599</v>
      </c>
      <c r="B614" s="1">
        <f ca="1">IFERROR(__xludf.DUMMYFUNCTION("""COMPUTED_VALUE"""),38.81)</f>
        <v>38.81</v>
      </c>
      <c r="C614" s="1">
        <f ca="1">IFERROR(__xludf.DUMMYFUNCTION("""COMPUTED_VALUE"""),38.89)</f>
        <v>38.89</v>
      </c>
      <c r="D614" s="1">
        <f ca="1">IFERROR(__xludf.DUMMYFUNCTION("""COMPUTED_VALUE"""),38.6)</f>
        <v>38.6</v>
      </c>
      <c r="E614" s="1">
        <f ca="1">IFERROR(__xludf.DUMMYFUNCTION("""COMPUTED_VALUE"""),38.75)</f>
        <v>38.75</v>
      </c>
      <c r="F614" s="1">
        <f ca="1">IFERROR(__xludf.DUMMYFUNCTION("""COMPUTED_VALUE"""),21250798)</f>
        <v>21250798</v>
      </c>
    </row>
    <row r="615" spans="1:6" x14ac:dyDescent="0.35">
      <c r="A615" s="2">
        <f ca="1">IFERROR(__xludf.DUMMYFUNCTION("""COMPUTED_VALUE"""),42895.6666666666)</f>
        <v>42895.666666666599</v>
      </c>
      <c r="B615" s="1">
        <f ca="1">IFERROR(__xludf.DUMMYFUNCTION("""COMPUTED_VALUE"""),38.8)</f>
        <v>38.799999999999997</v>
      </c>
      <c r="C615" s="1">
        <f ca="1">IFERROR(__xludf.DUMMYFUNCTION("""COMPUTED_VALUE"""),38.8)</f>
        <v>38.799999999999997</v>
      </c>
      <c r="D615" s="1">
        <f ca="1">IFERROR(__xludf.DUMMYFUNCTION("""COMPUTED_VALUE"""),36.51)</f>
        <v>36.51</v>
      </c>
      <c r="E615" s="1">
        <f ca="1">IFERROR(__xludf.DUMMYFUNCTION("""COMPUTED_VALUE"""),37.24)</f>
        <v>37.24</v>
      </c>
      <c r="F615" s="1">
        <f ca="1">IFERROR(__xludf.DUMMYFUNCTION("""COMPUTED_VALUE"""),64882657)</f>
        <v>64882657</v>
      </c>
    </row>
    <row r="616" spans="1:6" x14ac:dyDescent="0.35">
      <c r="A616" s="2">
        <f ca="1">IFERROR(__xludf.DUMMYFUNCTION("""COMPUTED_VALUE"""),42898.6666666666)</f>
        <v>42898.666666666599</v>
      </c>
      <c r="B616" s="1">
        <f ca="1">IFERROR(__xludf.DUMMYFUNCTION("""COMPUTED_VALUE"""),36.44)</f>
        <v>36.44</v>
      </c>
      <c r="C616" s="1">
        <f ca="1">IFERROR(__xludf.DUMMYFUNCTION("""COMPUTED_VALUE"""),36.52)</f>
        <v>36.520000000000003</v>
      </c>
      <c r="D616" s="1">
        <f ca="1">IFERROR(__xludf.DUMMYFUNCTION("""COMPUTED_VALUE"""),35.63)</f>
        <v>35.630000000000003</v>
      </c>
      <c r="E616" s="1">
        <f ca="1">IFERROR(__xludf.DUMMYFUNCTION("""COMPUTED_VALUE"""),36.35)</f>
        <v>36.35</v>
      </c>
      <c r="F616" s="1">
        <f ca="1">IFERROR(__xludf.DUMMYFUNCTION("""COMPUTED_VALUE"""),72307330)</f>
        <v>72307330</v>
      </c>
    </row>
    <row r="617" spans="1:6" x14ac:dyDescent="0.35">
      <c r="A617" s="2">
        <f ca="1">IFERROR(__xludf.DUMMYFUNCTION("""COMPUTED_VALUE"""),42899.6666666666)</f>
        <v>42899.666666666599</v>
      </c>
      <c r="B617" s="1">
        <f ca="1">IFERROR(__xludf.DUMMYFUNCTION("""COMPUTED_VALUE"""),36.79)</f>
        <v>36.79</v>
      </c>
      <c r="C617" s="1">
        <f ca="1">IFERROR(__xludf.DUMMYFUNCTION("""COMPUTED_VALUE"""),36.86)</f>
        <v>36.86</v>
      </c>
      <c r="D617" s="1">
        <f ca="1">IFERROR(__xludf.DUMMYFUNCTION("""COMPUTED_VALUE"""),36.29)</f>
        <v>36.29</v>
      </c>
      <c r="E617" s="1">
        <f ca="1">IFERROR(__xludf.DUMMYFUNCTION("""COMPUTED_VALUE"""),36.65)</f>
        <v>36.65</v>
      </c>
      <c r="F617" s="1">
        <f ca="1">IFERROR(__xludf.DUMMYFUNCTION("""COMPUTED_VALUE"""),34165445)</f>
        <v>34165445</v>
      </c>
    </row>
    <row r="618" spans="1:6" x14ac:dyDescent="0.35">
      <c r="A618" s="2">
        <f ca="1">IFERROR(__xludf.DUMMYFUNCTION("""COMPUTED_VALUE"""),42900.6666666666)</f>
        <v>42900.666666666599</v>
      </c>
      <c r="B618" s="1">
        <f ca="1">IFERROR(__xludf.DUMMYFUNCTION("""COMPUTED_VALUE"""),36.88)</f>
        <v>36.880000000000003</v>
      </c>
      <c r="C618" s="1">
        <f ca="1">IFERROR(__xludf.DUMMYFUNCTION("""COMPUTED_VALUE"""),36.88)</f>
        <v>36.880000000000003</v>
      </c>
      <c r="D618" s="1">
        <f ca="1">IFERROR(__xludf.DUMMYFUNCTION("""COMPUTED_VALUE"""),35.96)</f>
        <v>35.96</v>
      </c>
      <c r="E618" s="1">
        <f ca="1">IFERROR(__xludf.DUMMYFUNCTION("""COMPUTED_VALUE"""),36.29)</f>
        <v>36.29</v>
      </c>
      <c r="F618" s="1">
        <f ca="1">IFERROR(__xludf.DUMMYFUNCTION("""COMPUTED_VALUE"""),31531232)</f>
        <v>31531232</v>
      </c>
    </row>
    <row r="619" spans="1:6" x14ac:dyDescent="0.35">
      <c r="A619" s="2">
        <f ca="1">IFERROR(__xludf.DUMMYFUNCTION("""COMPUTED_VALUE"""),42901.6666666666)</f>
        <v>42901.666666666599</v>
      </c>
      <c r="B619" s="1">
        <f ca="1">IFERROR(__xludf.DUMMYFUNCTION("""COMPUTED_VALUE"""),35.83)</f>
        <v>35.83</v>
      </c>
      <c r="C619" s="1">
        <f ca="1">IFERROR(__xludf.DUMMYFUNCTION("""COMPUTED_VALUE"""),36.12)</f>
        <v>36.119999999999997</v>
      </c>
      <c r="D619" s="1">
        <f ca="1">IFERROR(__xludf.DUMMYFUNCTION("""COMPUTED_VALUE"""),35.55)</f>
        <v>35.549999999999997</v>
      </c>
      <c r="E619" s="1">
        <f ca="1">IFERROR(__xludf.DUMMYFUNCTION("""COMPUTED_VALUE"""),36.07)</f>
        <v>36.07</v>
      </c>
      <c r="F619" s="1">
        <f ca="1">IFERROR(__xludf.DUMMYFUNCTION("""COMPUTED_VALUE"""),32165373)</f>
        <v>32165373</v>
      </c>
    </row>
    <row r="620" spans="1:6" x14ac:dyDescent="0.35">
      <c r="A620" s="2">
        <f ca="1">IFERROR(__xludf.DUMMYFUNCTION("""COMPUTED_VALUE"""),42902.6666666666)</f>
        <v>42902.666666666599</v>
      </c>
      <c r="B620" s="1">
        <f ca="1">IFERROR(__xludf.DUMMYFUNCTION("""COMPUTED_VALUE"""),35.95)</f>
        <v>35.950000000000003</v>
      </c>
      <c r="C620" s="1">
        <f ca="1">IFERROR(__xludf.DUMMYFUNCTION("""COMPUTED_VALUE"""),36.13)</f>
        <v>36.130000000000003</v>
      </c>
      <c r="D620" s="1">
        <f ca="1">IFERROR(__xludf.DUMMYFUNCTION("""COMPUTED_VALUE"""),35.55)</f>
        <v>35.549999999999997</v>
      </c>
      <c r="E620" s="1">
        <f ca="1">IFERROR(__xludf.DUMMYFUNCTION("""COMPUTED_VALUE"""),35.57)</f>
        <v>35.57</v>
      </c>
      <c r="F620" s="1">
        <f ca="1">IFERROR(__xludf.DUMMYFUNCTION("""COMPUTED_VALUE"""),50361093)</f>
        <v>50361093</v>
      </c>
    </row>
    <row r="621" spans="1:6" x14ac:dyDescent="0.35">
      <c r="A621" s="2">
        <f ca="1">IFERROR(__xludf.DUMMYFUNCTION("""COMPUTED_VALUE"""),42905.6666666666)</f>
        <v>42905.666666666599</v>
      </c>
      <c r="B621" s="1">
        <f ca="1">IFERROR(__xludf.DUMMYFUNCTION("""COMPUTED_VALUE"""),35.92)</f>
        <v>35.92</v>
      </c>
      <c r="C621" s="1">
        <f ca="1">IFERROR(__xludf.DUMMYFUNCTION("""COMPUTED_VALUE"""),36.69)</f>
        <v>36.69</v>
      </c>
      <c r="D621" s="1">
        <f ca="1">IFERROR(__xludf.DUMMYFUNCTION("""COMPUTED_VALUE"""),35.92)</f>
        <v>35.92</v>
      </c>
      <c r="E621" s="1">
        <f ca="1">IFERROR(__xludf.DUMMYFUNCTION("""COMPUTED_VALUE"""),36.59)</f>
        <v>36.590000000000003</v>
      </c>
      <c r="F621" s="1">
        <f ca="1">IFERROR(__xludf.DUMMYFUNCTION("""COMPUTED_VALUE"""),32541404)</f>
        <v>32541404</v>
      </c>
    </row>
    <row r="622" spans="1:6" x14ac:dyDescent="0.35">
      <c r="A622" s="2">
        <f ca="1">IFERROR(__xludf.DUMMYFUNCTION("""COMPUTED_VALUE"""),42906.6666666666)</f>
        <v>42906.666666666599</v>
      </c>
      <c r="B622" s="1">
        <f ca="1">IFERROR(__xludf.DUMMYFUNCTION("""COMPUTED_VALUE"""),36.72)</f>
        <v>36.72</v>
      </c>
      <c r="C622" s="1">
        <f ca="1">IFERROR(__xludf.DUMMYFUNCTION("""COMPUTED_VALUE"""),36.72)</f>
        <v>36.72</v>
      </c>
      <c r="D622" s="1">
        <f ca="1">IFERROR(__xludf.DUMMYFUNCTION("""COMPUTED_VALUE"""),36.24)</f>
        <v>36.24</v>
      </c>
      <c r="E622" s="1">
        <f ca="1">IFERROR(__xludf.DUMMYFUNCTION("""COMPUTED_VALUE"""),36.25)</f>
        <v>36.25</v>
      </c>
      <c r="F622" s="1">
        <f ca="1">IFERROR(__xludf.DUMMYFUNCTION("""COMPUTED_VALUE"""),24900073)</f>
        <v>24900073</v>
      </c>
    </row>
    <row r="623" spans="1:6" x14ac:dyDescent="0.35">
      <c r="A623" s="2">
        <f ca="1">IFERROR(__xludf.DUMMYFUNCTION("""COMPUTED_VALUE"""),42907.6666666666)</f>
        <v>42907.666666666599</v>
      </c>
      <c r="B623" s="1">
        <f ca="1">IFERROR(__xludf.DUMMYFUNCTION("""COMPUTED_VALUE"""),36.38)</f>
        <v>36.380000000000003</v>
      </c>
      <c r="C623" s="1">
        <f ca="1">IFERROR(__xludf.DUMMYFUNCTION("""COMPUTED_VALUE"""),36.52)</f>
        <v>36.520000000000003</v>
      </c>
      <c r="D623" s="1">
        <f ca="1">IFERROR(__xludf.DUMMYFUNCTION("""COMPUTED_VALUE"""),36.15)</f>
        <v>36.15</v>
      </c>
      <c r="E623" s="1">
        <f ca="1">IFERROR(__xludf.DUMMYFUNCTION("""COMPUTED_VALUE"""),36.47)</f>
        <v>36.47</v>
      </c>
      <c r="F623" s="1">
        <f ca="1">IFERROR(__xludf.DUMMYFUNCTION("""COMPUTED_VALUE"""),21265751)</f>
        <v>21265751</v>
      </c>
    </row>
    <row r="624" spans="1:6" x14ac:dyDescent="0.35">
      <c r="A624" s="2">
        <f ca="1">IFERROR(__xludf.DUMMYFUNCTION("""COMPUTED_VALUE"""),42908.6666666666)</f>
        <v>42908.666666666599</v>
      </c>
      <c r="B624" s="1">
        <f ca="1">IFERROR(__xludf.DUMMYFUNCTION("""COMPUTED_VALUE"""),36.44)</f>
        <v>36.44</v>
      </c>
      <c r="C624" s="1">
        <f ca="1">IFERROR(__xludf.DUMMYFUNCTION("""COMPUTED_VALUE"""),36.67)</f>
        <v>36.67</v>
      </c>
      <c r="D624" s="1">
        <f ca="1">IFERROR(__xludf.DUMMYFUNCTION("""COMPUTED_VALUE"""),36.28)</f>
        <v>36.28</v>
      </c>
      <c r="E624" s="1">
        <f ca="1">IFERROR(__xludf.DUMMYFUNCTION("""COMPUTED_VALUE"""),36.41)</f>
        <v>36.409999999999997</v>
      </c>
      <c r="F624" s="1">
        <f ca="1">IFERROR(__xludf.DUMMYFUNCTION("""COMPUTED_VALUE"""),19106294)</f>
        <v>19106294</v>
      </c>
    </row>
    <row r="625" spans="1:6" x14ac:dyDescent="0.35">
      <c r="A625" s="2">
        <f ca="1">IFERROR(__xludf.DUMMYFUNCTION("""COMPUTED_VALUE"""),42909.6666666666)</f>
        <v>42909.666666666599</v>
      </c>
      <c r="B625" s="1">
        <f ca="1">IFERROR(__xludf.DUMMYFUNCTION("""COMPUTED_VALUE"""),36.28)</f>
        <v>36.28</v>
      </c>
      <c r="C625" s="1">
        <f ca="1">IFERROR(__xludf.DUMMYFUNCTION("""COMPUTED_VALUE"""),36.79)</f>
        <v>36.79</v>
      </c>
      <c r="D625" s="1">
        <f ca="1">IFERROR(__xludf.DUMMYFUNCTION("""COMPUTED_VALUE"""),36.28)</f>
        <v>36.28</v>
      </c>
      <c r="E625" s="1">
        <f ca="1">IFERROR(__xludf.DUMMYFUNCTION("""COMPUTED_VALUE"""),36.57)</f>
        <v>36.57</v>
      </c>
      <c r="F625" s="1">
        <f ca="1">IFERROR(__xludf.DUMMYFUNCTION("""COMPUTED_VALUE"""),35439389)</f>
        <v>35439389</v>
      </c>
    </row>
    <row r="626" spans="1:6" x14ac:dyDescent="0.35">
      <c r="A626" s="2">
        <f ca="1">IFERROR(__xludf.DUMMYFUNCTION("""COMPUTED_VALUE"""),42912.6666666666)</f>
        <v>42912.666666666599</v>
      </c>
      <c r="B626" s="1">
        <f ca="1">IFERROR(__xludf.DUMMYFUNCTION("""COMPUTED_VALUE"""),36.79)</f>
        <v>36.79</v>
      </c>
      <c r="C626" s="1">
        <f ca="1">IFERROR(__xludf.DUMMYFUNCTION("""COMPUTED_VALUE"""),37.07)</f>
        <v>37.07</v>
      </c>
      <c r="D626" s="1">
        <f ca="1">IFERROR(__xludf.DUMMYFUNCTION("""COMPUTED_VALUE"""),36.35)</f>
        <v>36.35</v>
      </c>
      <c r="E626" s="1">
        <f ca="1">IFERROR(__xludf.DUMMYFUNCTION("""COMPUTED_VALUE"""),36.46)</f>
        <v>36.46</v>
      </c>
      <c r="F626" s="1">
        <f ca="1">IFERROR(__xludf.DUMMYFUNCTION("""COMPUTED_VALUE"""),25692361)</f>
        <v>25692361</v>
      </c>
    </row>
    <row r="627" spans="1:6" x14ac:dyDescent="0.35">
      <c r="A627" s="2">
        <f ca="1">IFERROR(__xludf.DUMMYFUNCTION("""COMPUTED_VALUE"""),42913.6666666666)</f>
        <v>42913.666666666599</v>
      </c>
      <c r="B627" s="1">
        <f ca="1">IFERROR(__xludf.DUMMYFUNCTION("""COMPUTED_VALUE"""),36.25)</f>
        <v>36.25</v>
      </c>
      <c r="C627" s="1">
        <f ca="1">IFERROR(__xludf.DUMMYFUNCTION("""COMPUTED_VALUE"""),36.54)</f>
        <v>36.54</v>
      </c>
      <c r="D627" s="1">
        <f ca="1">IFERROR(__xludf.DUMMYFUNCTION("""COMPUTED_VALUE"""),35.91)</f>
        <v>35.909999999999997</v>
      </c>
      <c r="E627" s="1">
        <f ca="1">IFERROR(__xludf.DUMMYFUNCTION("""COMPUTED_VALUE"""),35.93)</f>
        <v>35.93</v>
      </c>
      <c r="F627" s="1">
        <f ca="1">IFERROR(__xludf.DUMMYFUNCTION("""COMPUTED_VALUE"""),24761891)</f>
        <v>24761891</v>
      </c>
    </row>
    <row r="628" spans="1:6" x14ac:dyDescent="0.35">
      <c r="A628" s="2">
        <f ca="1">IFERROR(__xludf.DUMMYFUNCTION("""COMPUTED_VALUE"""),42914.6666666666)</f>
        <v>42914.666666666599</v>
      </c>
      <c r="B628" s="1">
        <f ca="1">IFERROR(__xludf.DUMMYFUNCTION("""COMPUTED_VALUE"""),36.12)</f>
        <v>36.119999999999997</v>
      </c>
      <c r="C628" s="1">
        <f ca="1">IFERROR(__xludf.DUMMYFUNCTION("""COMPUTED_VALUE"""),36.53)</f>
        <v>36.53</v>
      </c>
      <c r="D628" s="1">
        <f ca="1">IFERROR(__xludf.DUMMYFUNCTION("""COMPUTED_VALUE"""),35.79)</f>
        <v>35.79</v>
      </c>
      <c r="E628" s="1">
        <f ca="1">IFERROR(__xludf.DUMMYFUNCTION("""COMPUTED_VALUE"""),36.46)</f>
        <v>36.46</v>
      </c>
      <c r="F628" s="1">
        <f ca="1">IFERROR(__xludf.DUMMYFUNCTION("""COMPUTED_VALUE"""),22082432)</f>
        <v>22082432</v>
      </c>
    </row>
    <row r="629" spans="1:6" x14ac:dyDescent="0.35">
      <c r="A629" s="2">
        <f ca="1">IFERROR(__xludf.DUMMYFUNCTION("""COMPUTED_VALUE"""),42915.6666666666)</f>
        <v>42915.666666666599</v>
      </c>
      <c r="B629" s="1">
        <f ca="1">IFERROR(__xludf.DUMMYFUNCTION("""COMPUTED_VALUE"""),36.18)</f>
        <v>36.18</v>
      </c>
      <c r="C629" s="1">
        <f ca="1">IFERROR(__xludf.DUMMYFUNCTION("""COMPUTED_VALUE"""),36.28)</f>
        <v>36.28</v>
      </c>
      <c r="D629" s="1">
        <f ca="1">IFERROR(__xludf.DUMMYFUNCTION("""COMPUTED_VALUE"""),35.57)</f>
        <v>35.57</v>
      </c>
      <c r="E629" s="1">
        <f ca="1">IFERROR(__xludf.DUMMYFUNCTION("""COMPUTED_VALUE"""),35.92)</f>
        <v>35.92</v>
      </c>
      <c r="F629" s="1">
        <f ca="1">IFERROR(__xludf.DUMMYFUNCTION("""COMPUTED_VALUE"""),31499368)</f>
        <v>31499368</v>
      </c>
    </row>
    <row r="630" spans="1:6" x14ac:dyDescent="0.35">
      <c r="A630" s="2">
        <f ca="1">IFERROR(__xludf.DUMMYFUNCTION("""COMPUTED_VALUE"""),42916.6666666666)</f>
        <v>42916.666666666599</v>
      </c>
      <c r="B630" s="1">
        <f ca="1">IFERROR(__xludf.DUMMYFUNCTION("""COMPUTED_VALUE"""),36.11)</f>
        <v>36.11</v>
      </c>
      <c r="C630" s="1">
        <f ca="1">IFERROR(__xludf.DUMMYFUNCTION("""COMPUTED_VALUE"""),36.24)</f>
        <v>36.24</v>
      </c>
      <c r="D630" s="1">
        <f ca="1">IFERROR(__xludf.DUMMYFUNCTION("""COMPUTED_VALUE"""),35.95)</f>
        <v>35.950000000000003</v>
      </c>
      <c r="E630" s="1">
        <f ca="1">IFERROR(__xludf.DUMMYFUNCTION("""COMPUTED_VALUE"""),36.01)</f>
        <v>36.01</v>
      </c>
      <c r="F630" s="1">
        <f ca="1">IFERROR(__xludf.DUMMYFUNCTION("""COMPUTED_VALUE"""),23024107)</f>
        <v>23024107</v>
      </c>
    </row>
    <row r="631" spans="1:6" x14ac:dyDescent="0.35">
      <c r="A631" s="2">
        <f ca="1">IFERROR(__xludf.DUMMYFUNCTION("""COMPUTED_VALUE"""),42919.6666666666)</f>
        <v>42919.666666666599</v>
      </c>
      <c r="B631" s="1">
        <f ca="1">IFERROR(__xludf.DUMMYFUNCTION("""COMPUTED_VALUE"""),36.22)</f>
        <v>36.22</v>
      </c>
      <c r="C631" s="1">
        <f ca="1">IFERROR(__xludf.DUMMYFUNCTION("""COMPUTED_VALUE"""),36.33)</f>
        <v>36.33</v>
      </c>
      <c r="D631" s="1">
        <f ca="1">IFERROR(__xludf.DUMMYFUNCTION("""COMPUTED_VALUE"""),35.78)</f>
        <v>35.78</v>
      </c>
      <c r="E631" s="1">
        <f ca="1">IFERROR(__xludf.DUMMYFUNCTION("""COMPUTED_VALUE"""),35.88)</f>
        <v>35.880000000000003</v>
      </c>
      <c r="F631" s="1">
        <f ca="1">IFERROR(__xludf.DUMMYFUNCTION("""COMPUTED_VALUE"""),14277848)</f>
        <v>14277848</v>
      </c>
    </row>
    <row r="632" spans="1:6" x14ac:dyDescent="0.35">
      <c r="A632" s="2">
        <f ca="1">IFERROR(__xludf.DUMMYFUNCTION("""COMPUTED_VALUE"""),42921.6666666666)</f>
        <v>42921.666666666599</v>
      </c>
      <c r="B632" s="1">
        <f ca="1">IFERROR(__xludf.DUMMYFUNCTION("""COMPUTED_VALUE"""),35.92)</f>
        <v>35.92</v>
      </c>
      <c r="C632" s="1">
        <f ca="1">IFERROR(__xludf.DUMMYFUNCTION("""COMPUTED_VALUE"""),36.2)</f>
        <v>36.200000000000003</v>
      </c>
      <c r="D632" s="1">
        <f ca="1">IFERROR(__xludf.DUMMYFUNCTION("""COMPUTED_VALUE"""),35.68)</f>
        <v>35.68</v>
      </c>
      <c r="E632" s="1">
        <f ca="1">IFERROR(__xludf.DUMMYFUNCTION("""COMPUTED_VALUE"""),36.02)</f>
        <v>36.020000000000003</v>
      </c>
      <c r="F632" s="1">
        <f ca="1">IFERROR(__xludf.DUMMYFUNCTION("""COMPUTED_VALUE"""),21569557)</f>
        <v>21569557</v>
      </c>
    </row>
    <row r="633" spans="1:6" x14ac:dyDescent="0.35">
      <c r="A633" s="2">
        <f ca="1">IFERROR(__xludf.DUMMYFUNCTION("""COMPUTED_VALUE"""),42922.6666666666)</f>
        <v>42922.666666666599</v>
      </c>
      <c r="B633" s="1">
        <f ca="1">IFERROR(__xludf.DUMMYFUNCTION("""COMPUTED_VALUE"""),35.76)</f>
        <v>35.76</v>
      </c>
      <c r="C633" s="1">
        <f ca="1">IFERROR(__xludf.DUMMYFUNCTION("""COMPUTED_VALUE"""),35.88)</f>
        <v>35.880000000000003</v>
      </c>
      <c r="D633" s="1">
        <f ca="1">IFERROR(__xludf.DUMMYFUNCTION("""COMPUTED_VALUE"""),35.6)</f>
        <v>35.6</v>
      </c>
      <c r="E633" s="1">
        <f ca="1">IFERROR(__xludf.DUMMYFUNCTION("""COMPUTED_VALUE"""),35.68)</f>
        <v>35.68</v>
      </c>
      <c r="F633" s="1">
        <f ca="1">IFERROR(__xludf.DUMMYFUNCTION("""COMPUTED_VALUE"""),24128782)</f>
        <v>24128782</v>
      </c>
    </row>
    <row r="634" spans="1:6" x14ac:dyDescent="0.35">
      <c r="A634" s="2">
        <f ca="1">IFERROR(__xludf.DUMMYFUNCTION("""COMPUTED_VALUE"""),42923.6666666666)</f>
        <v>42923.666666666599</v>
      </c>
      <c r="B634" s="1">
        <f ca="1">IFERROR(__xludf.DUMMYFUNCTION("""COMPUTED_VALUE"""),35.73)</f>
        <v>35.729999999999997</v>
      </c>
      <c r="C634" s="1">
        <f ca="1">IFERROR(__xludf.DUMMYFUNCTION("""COMPUTED_VALUE"""),36.19)</f>
        <v>36.19</v>
      </c>
      <c r="D634" s="1">
        <f ca="1">IFERROR(__xludf.DUMMYFUNCTION("""COMPUTED_VALUE"""),35.73)</f>
        <v>35.729999999999997</v>
      </c>
      <c r="E634" s="1">
        <f ca="1">IFERROR(__xludf.DUMMYFUNCTION("""COMPUTED_VALUE"""),36.05)</f>
        <v>36.049999999999997</v>
      </c>
      <c r="F634" s="1">
        <f ca="1">IFERROR(__xludf.DUMMYFUNCTION("""COMPUTED_VALUE"""),19201712)</f>
        <v>19201712</v>
      </c>
    </row>
    <row r="635" spans="1:6" x14ac:dyDescent="0.35">
      <c r="A635" s="2">
        <f ca="1">IFERROR(__xludf.DUMMYFUNCTION("""COMPUTED_VALUE"""),42926.6666666666)</f>
        <v>42926.666666666599</v>
      </c>
      <c r="B635" s="1">
        <f ca="1">IFERROR(__xludf.DUMMYFUNCTION("""COMPUTED_VALUE"""),36.03)</f>
        <v>36.03</v>
      </c>
      <c r="C635" s="1">
        <f ca="1">IFERROR(__xludf.DUMMYFUNCTION("""COMPUTED_VALUE"""),36.49)</f>
        <v>36.49</v>
      </c>
      <c r="D635" s="1">
        <f ca="1">IFERROR(__xludf.DUMMYFUNCTION("""COMPUTED_VALUE"""),35.84)</f>
        <v>35.840000000000003</v>
      </c>
      <c r="E635" s="1">
        <f ca="1">IFERROR(__xludf.DUMMYFUNCTION("""COMPUTED_VALUE"""),36.27)</f>
        <v>36.270000000000003</v>
      </c>
      <c r="F635" s="1">
        <f ca="1">IFERROR(__xludf.DUMMYFUNCTION("""COMPUTED_VALUE"""),21090636)</f>
        <v>21090636</v>
      </c>
    </row>
    <row r="636" spans="1:6" x14ac:dyDescent="0.35">
      <c r="A636" s="2">
        <f ca="1">IFERROR(__xludf.DUMMYFUNCTION("""COMPUTED_VALUE"""),42927.6666666666)</f>
        <v>42927.666666666599</v>
      </c>
      <c r="B636" s="1">
        <f ca="1">IFERROR(__xludf.DUMMYFUNCTION("""COMPUTED_VALUE"""),36.18)</f>
        <v>36.18</v>
      </c>
      <c r="C636" s="1">
        <f ca="1">IFERROR(__xludf.DUMMYFUNCTION("""COMPUTED_VALUE"""),36.46)</f>
        <v>36.46</v>
      </c>
      <c r="D636" s="1">
        <f ca="1">IFERROR(__xludf.DUMMYFUNCTION("""COMPUTED_VALUE"""),36.1)</f>
        <v>36.1</v>
      </c>
      <c r="E636" s="1">
        <f ca="1">IFERROR(__xludf.DUMMYFUNCTION("""COMPUTED_VALUE"""),36.38)</f>
        <v>36.380000000000003</v>
      </c>
      <c r="F636" s="1">
        <f ca="1">IFERROR(__xludf.DUMMYFUNCTION("""COMPUTED_VALUE"""),19781836)</f>
        <v>19781836</v>
      </c>
    </row>
    <row r="637" spans="1:6" x14ac:dyDescent="0.35">
      <c r="A637" s="2">
        <f ca="1">IFERROR(__xludf.DUMMYFUNCTION("""COMPUTED_VALUE"""),42928.6666666666)</f>
        <v>42928.666666666599</v>
      </c>
      <c r="B637" s="1">
        <f ca="1">IFERROR(__xludf.DUMMYFUNCTION("""COMPUTED_VALUE"""),36.47)</f>
        <v>36.47</v>
      </c>
      <c r="C637" s="1">
        <f ca="1">IFERROR(__xludf.DUMMYFUNCTION("""COMPUTED_VALUE"""),36.55)</f>
        <v>36.549999999999997</v>
      </c>
      <c r="D637" s="1">
        <f ca="1">IFERROR(__xludf.DUMMYFUNCTION("""COMPUTED_VALUE"""),36.21)</f>
        <v>36.21</v>
      </c>
      <c r="E637" s="1">
        <f ca="1">IFERROR(__xludf.DUMMYFUNCTION("""COMPUTED_VALUE"""),36.44)</f>
        <v>36.44</v>
      </c>
      <c r="F637" s="1">
        <f ca="1">IFERROR(__xludf.DUMMYFUNCTION("""COMPUTED_VALUE"""),24884478)</f>
        <v>24884478</v>
      </c>
    </row>
    <row r="638" spans="1:6" x14ac:dyDescent="0.35">
      <c r="A638" s="2">
        <f ca="1">IFERROR(__xludf.DUMMYFUNCTION("""COMPUTED_VALUE"""),42929.6666666666)</f>
        <v>42929.666666666599</v>
      </c>
      <c r="B638" s="1">
        <f ca="1">IFERROR(__xludf.DUMMYFUNCTION("""COMPUTED_VALUE"""),36.38)</f>
        <v>36.380000000000003</v>
      </c>
      <c r="C638" s="1">
        <f ca="1">IFERROR(__xludf.DUMMYFUNCTION("""COMPUTED_VALUE"""),37.12)</f>
        <v>37.119999999999997</v>
      </c>
      <c r="D638" s="1">
        <f ca="1">IFERROR(__xludf.DUMMYFUNCTION("""COMPUTED_VALUE"""),36.36)</f>
        <v>36.36</v>
      </c>
      <c r="E638" s="1">
        <f ca="1">IFERROR(__xludf.DUMMYFUNCTION("""COMPUTED_VALUE"""),36.94)</f>
        <v>36.94</v>
      </c>
      <c r="F638" s="1">
        <f ca="1">IFERROR(__xludf.DUMMYFUNCTION("""COMPUTED_VALUE"""),25199373)</f>
        <v>25199373</v>
      </c>
    </row>
    <row r="639" spans="1:6" x14ac:dyDescent="0.35">
      <c r="A639" s="2">
        <f ca="1">IFERROR(__xludf.DUMMYFUNCTION("""COMPUTED_VALUE"""),42930.6666666666)</f>
        <v>42930.666666666599</v>
      </c>
      <c r="B639" s="1">
        <f ca="1">IFERROR(__xludf.DUMMYFUNCTION("""COMPUTED_VALUE"""),36.99)</f>
        <v>36.99</v>
      </c>
      <c r="C639" s="1">
        <f ca="1">IFERROR(__xludf.DUMMYFUNCTION("""COMPUTED_VALUE"""),37.33)</f>
        <v>37.33</v>
      </c>
      <c r="D639" s="1">
        <f ca="1">IFERROR(__xludf.DUMMYFUNCTION("""COMPUTED_VALUE"""),36.83)</f>
        <v>36.83</v>
      </c>
      <c r="E639" s="1">
        <f ca="1">IFERROR(__xludf.DUMMYFUNCTION("""COMPUTED_VALUE"""),37.26)</f>
        <v>37.26</v>
      </c>
      <c r="F639" s="1">
        <f ca="1">IFERROR(__xludf.DUMMYFUNCTION("""COMPUTED_VALUE"""),20132061)</f>
        <v>20132061</v>
      </c>
    </row>
    <row r="640" spans="1:6" x14ac:dyDescent="0.35">
      <c r="A640" s="2">
        <f ca="1">IFERROR(__xludf.DUMMYFUNCTION("""COMPUTED_VALUE"""),42933.6666666666)</f>
        <v>42933.666666666599</v>
      </c>
      <c r="B640" s="1">
        <f ca="1">IFERROR(__xludf.DUMMYFUNCTION("""COMPUTED_VALUE"""),37.21)</f>
        <v>37.21</v>
      </c>
      <c r="C640" s="1">
        <f ca="1">IFERROR(__xludf.DUMMYFUNCTION("""COMPUTED_VALUE"""),37.73)</f>
        <v>37.729999999999997</v>
      </c>
      <c r="D640" s="1">
        <f ca="1">IFERROR(__xludf.DUMMYFUNCTION("""COMPUTED_VALUE"""),37.14)</f>
        <v>37.14</v>
      </c>
      <c r="E640" s="1">
        <f ca="1">IFERROR(__xludf.DUMMYFUNCTION("""COMPUTED_VALUE"""),37.39)</f>
        <v>37.39</v>
      </c>
      <c r="F640" s="1">
        <f ca="1">IFERROR(__xludf.DUMMYFUNCTION("""COMPUTED_VALUE"""),23793456)</f>
        <v>23793456</v>
      </c>
    </row>
    <row r="641" spans="1:6" x14ac:dyDescent="0.35">
      <c r="A641" s="2">
        <f ca="1">IFERROR(__xludf.DUMMYFUNCTION("""COMPUTED_VALUE"""),42934.6666666666)</f>
        <v>42934.666666666599</v>
      </c>
      <c r="B641" s="1">
        <f ca="1">IFERROR(__xludf.DUMMYFUNCTION("""COMPUTED_VALUE"""),37.3)</f>
        <v>37.299999999999997</v>
      </c>
      <c r="C641" s="1">
        <f ca="1">IFERROR(__xludf.DUMMYFUNCTION("""COMPUTED_VALUE"""),37.53)</f>
        <v>37.53</v>
      </c>
      <c r="D641" s="1">
        <f ca="1">IFERROR(__xludf.DUMMYFUNCTION("""COMPUTED_VALUE"""),37.17)</f>
        <v>37.17</v>
      </c>
      <c r="E641" s="1">
        <f ca="1">IFERROR(__xludf.DUMMYFUNCTION("""COMPUTED_VALUE"""),37.52)</f>
        <v>37.520000000000003</v>
      </c>
      <c r="F641" s="1">
        <f ca="1">IFERROR(__xludf.DUMMYFUNCTION("""COMPUTED_VALUE"""),17868792)</f>
        <v>17868792</v>
      </c>
    </row>
    <row r="642" spans="1:6" x14ac:dyDescent="0.35">
      <c r="A642" s="2">
        <f ca="1">IFERROR(__xludf.DUMMYFUNCTION("""COMPUTED_VALUE"""),42935.6666666666)</f>
        <v>42935.666666666599</v>
      </c>
      <c r="B642" s="1">
        <f ca="1">IFERROR(__xludf.DUMMYFUNCTION("""COMPUTED_VALUE"""),37.62)</f>
        <v>37.619999999999997</v>
      </c>
      <c r="C642" s="1">
        <f ca="1">IFERROR(__xludf.DUMMYFUNCTION("""COMPUTED_VALUE"""),37.85)</f>
        <v>37.85</v>
      </c>
      <c r="D642" s="1">
        <f ca="1">IFERROR(__xludf.DUMMYFUNCTION("""COMPUTED_VALUE"""),37.49)</f>
        <v>37.49</v>
      </c>
      <c r="E642" s="1">
        <f ca="1">IFERROR(__xludf.DUMMYFUNCTION("""COMPUTED_VALUE"""),37.76)</f>
        <v>37.76</v>
      </c>
      <c r="F642" s="1">
        <f ca="1">IFERROR(__xludf.DUMMYFUNCTION("""COMPUTED_VALUE"""),20922969)</f>
        <v>20922969</v>
      </c>
    </row>
    <row r="643" spans="1:6" x14ac:dyDescent="0.35">
      <c r="A643" s="2">
        <f ca="1">IFERROR(__xludf.DUMMYFUNCTION("""COMPUTED_VALUE"""),42936.6666666666)</f>
        <v>42936.666666666599</v>
      </c>
      <c r="B643" s="1">
        <f ca="1">IFERROR(__xludf.DUMMYFUNCTION("""COMPUTED_VALUE"""),37.88)</f>
        <v>37.880000000000003</v>
      </c>
      <c r="C643" s="1">
        <f ca="1">IFERROR(__xludf.DUMMYFUNCTION("""COMPUTED_VALUE"""),37.94)</f>
        <v>37.94</v>
      </c>
      <c r="D643" s="1">
        <f ca="1">IFERROR(__xludf.DUMMYFUNCTION("""COMPUTED_VALUE"""),37.55)</f>
        <v>37.549999999999997</v>
      </c>
      <c r="E643" s="1">
        <f ca="1">IFERROR(__xludf.DUMMYFUNCTION("""COMPUTED_VALUE"""),37.59)</f>
        <v>37.590000000000003</v>
      </c>
      <c r="F643" s="1">
        <f ca="1">IFERROR(__xludf.DUMMYFUNCTION("""COMPUTED_VALUE"""),17243748)</f>
        <v>17243748</v>
      </c>
    </row>
    <row r="644" spans="1:6" x14ac:dyDescent="0.35">
      <c r="A644" s="2">
        <f ca="1">IFERROR(__xludf.DUMMYFUNCTION("""COMPUTED_VALUE"""),42937.6666666666)</f>
        <v>42937.666666666599</v>
      </c>
      <c r="B644" s="1">
        <f ca="1">IFERROR(__xludf.DUMMYFUNCTION("""COMPUTED_VALUE"""),37.5)</f>
        <v>37.5</v>
      </c>
      <c r="C644" s="1">
        <f ca="1">IFERROR(__xludf.DUMMYFUNCTION("""COMPUTED_VALUE"""),37.61)</f>
        <v>37.61</v>
      </c>
      <c r="D644" s="1">
        <f ca="1">IFERROR(__xludf.DUMMYFUNCTION("""COMPUTED_VALUE"""),37.22)</f>
        <v>37.22</v>
      </c>
      <c r="E644" s="1">
        <f ca="1">IFERROR(__xludf.DUMMYFUNCTION("""COMPUTED_VALUE"""),37.57)</f>
        <v>37.57</v>
      </c>
      <c r="F644" s="1">
        <f ca="1">IFERROR(__xludf.DUMMYFUNCTION("""COMPUTED_VALUE"""),26252630)</f>
        <v>26252630</v>
      </c>
    </row>
    <row r="645" spans="1:6" x14ac:dyDescent="0.35">
      <c r="A645" s="2">
        <f ca="1">IFERROR(__xludf.DUMMYFUNCTION("""COMPUTED_VALUE"""),42940.6666666666)</f>
        <v>42940.666666666599</v>
      </c>
      <c r="B645" s="1">
        <f ca="1">IFERROR(__xludf.DUMMYFUNCTION("""COMPUTED_VALUE"""),37.65)</f>
        <v>37.65</v>
      </c>
      <c r="C645" s="1">
        <f ca="1">IFERROR(__xludf.DUMMYFUNCTION("""COMPUTED_VALUE"""),38.11)</f>
        <v>38.11</v>
      </c>
      <c r="D645" s="1">
        <f ca="1">IFERROR(__xludf.DUMMYFUNCTION("""COMPUTED_VALUE"""),37.48)</f>
        <v>37.479999999999997</v>
      </c>
      <c r="E645" s="1">
        <f ca="1">IFERROR(__xludf.DUMMYFUNCTION("""COMPUTED_VALUE"""),38.02)</f>
        <v>38.020000000000003</v>
      </c>
      <c r="F645" s="1">
        <f ca="1">IFERROR(__xludf.DUMMYFUNCTION("""COMPUTED_VALUE"""),21493160)</f>
        <v>21493160</v>
      </c>
    </row>
    <row r="646" spans="1:6" x14ac:dyDescent="0.35">
      <c r="A646" s="2">
        <f ca="1">IFERROR(__xludf.DUMMYFUNCTION("""COMPUTED_VALUE"""),42941.6666666666)</f>
        <v>42941.666666666599</v>
      </c>
      <c r="B646" s="1">
        <f ca="1">IFERROR(__xludf.DUMMYFUNCTION("""COMPUTED_VALUE"""),37.95)</f>
        <v>37.950000000000003</v>
      </c>
      <c r="C646" s="1">
        <f ca="1">IFERROR(__xludf.DUMMYFUNCTION("""COMPUTED_VALUE"""),38.46)</f>
        <v>38.46</v>
      </c>
      <c r="D646" s="1">
        <f ca="1">IFERROR(__xludf.DUMMYFUNCTION("""COMPUTED_VALUE"""),37.95)</f>
        <v>37.950000000000003</v>
      </c>
      <c r="E646" s="1">
        <f ca="1">IFERROR(__xludf.DUMMYFUNCTION("""COMPUTED_VALUE"""),38.19)</f>
        <v>38.19</v>
      </c>
      <c r="F646" s="1">
        <f ca="1">IFERROR(__xludf.DUMMYFUNCTION("""COMPUTED_VALUE"""),18853932)</f>
        <v>18853932</v>
      </c>
    </row>
    <row r="647" spans="1:6" x14ac:dyDescent="0.35">
      <c r="A647" s="2">
        <f ca="1">IFERROR(__xludf.DUMMYFUNCTION("""COMPUTED_VALUE"""),42942.6666666666)</f>
        <v>42942.666666666599</v>
      </c>
      <c r="B647" s="1">
        <f ca="1">IFERROR(__xludf.DUMMYFUNCTION("""COMPUTED_VALUE"""),38.34)</f>
        <v>38.340000000000003</v>
      </c>
      <c r="C647" s="1">
        <f ca="1">IFERROR(__xludf.DUMMYFUNCTION("""COMPUTED_VALUE"""),38.48)</f>
        <v>38.479999999999997</v>
      </c>
      <c r="D647" s="1">
        <f ca="1">IFERROR(__xludf.DUMMYFUNCTION("""COMPUTED_VALUE"""),38.27)</f>
        <v>38.270000000000003</v>
      </c>
      <c r="E647" s="1">
        <f ca="1">IFERROR(__xludf.DUMMYFUNCTION("""COMPUTED_VALUE"""),38.37)</f>
        <v>38.369999999999997</v>
      </c>
      <c r="F647" s="1">
        <f ca="1">IFERROR(__xludf.DUMMYFUNCTION("""COMPUTED_VALUE"""),15780951)</f>
        <v>15780951</v>
      </c>
    </row>
    <row r="648" spans="1:6" x14ac:dyDescent="0.35">
      <c r="A648" s="2">
        <f ca="1">IFERROR(__xludf.DUMMYFUNCTION("""COMPUTED_VALUE"""),42943.6666666666)</f>
        <v>42943.666666666599</v>
      </c>
      <c r="B648" s="1">
        <f ca="1">IFERROR(__xludf.DUMMYFUNCTION("""COMPUTED_VALUE"""),38.44)</f>
        <v>38.44</v>
      </c>
      <c r="C648" s="1">
        <f ca="1">IFERROR(__xludf.DUMMYFUNCTION("""COMPUTED_VALUE"""),38.5)</f>
        <v>38.5</v>
      </c>
      <c r="D648" s="1">
        <f ca="1">IFERROR(__xludf.DUMMYFUNCTION("""COMPUTED_VALUE"""),36.83)</f>
        <v>36.83</v>
      </c>
      <c r="E648" s="1">
        <f ca="1">IFERROR(__xludf.DUMMYFUNCTION("""COMPUTED_VALUE"""),37.64)</f>
        <v>37.64</v>
      </c>
      <c r="F648" s="1">
        <f ca="1">IFERROR(__xludf.DUMMYFUNCTION("""COMPUTED_VALUE"""),32476337)</f>
        <v>32476337</v>
      </c>
    </row>
    <row r="649" spans="1:6" x14ac:dyDescent="0.35">
      <c r="A649" s="2">
        <f ca="1">IFERROR(__xludf.DUMMYFUNCTION("""COMPUTED_VALUE"""),42944.6666666666)</f>
        <v>42944.666666666599</v>
      </c>
      <c r="B649" s="1">
        <f ca="1">IFERROR(__xludf.DUMMYFUNCTION("""COMPUTED_VALUE"""),37.47)</f>
        <v>37.47</v>
      </c>
      <c r="C649" s="1">
        <f ca="1">IFERROR(__xludf.DUMMYFUNCTION("""COMPUTED_VALUE"""),37.56)</f>
        <v>37.56</v>
      </c>
      <c r="D649" s="1">
        <f ca="1">IFERROR(__xludf.DUMMYFUNCTION("""COMPUTED_VALUE"""),37.3)</f>
        <v>37.299999999999997</v>
      </c>
      <c r="E649" s="1">
        <f ca="1">IFERROR(__xludf.DUMMYFUNCTION("""COMPUTED_VALUE"""),37.38)</f>
        <v>37.380000000000003</v>
      </c>
      <c r="F649" s="1">
        <f ca="1">IFERROR(__xludf.DUMMYFUNCTION("""COMPUTED_VALUE"""),17213653)</f>
        <v>17213653</v>
      </c>
    </row>
    <row r="650" spans="1:6" x14ac:dyDescent="0.35">
      <c r="A650" s="2">
        <f ca="1">IFERROR(__xludf.DUMMYFUNCTION("""COMPUTED_VALUE"""),42947.6666666666)</f>
        <v>42947.666666666599</v>
      </c>
      <c r="B650" s="1">
        <f ca="1">IFERROR(__xludf.DUMMYFUNCTION("""COMPUTED_VALUE"""),37.48)</f>
        <v>37.479999999999997</v>
      </c>
      <c r="C650" s="1">
        <f ca="1">IFERROR(__xludf.DUMMYFUNCTION("""COMPUTED_VALUE"""),37.58)</f>
        <v>37.58</v>
      </c>
      <c r="D650" s="1">
        <f ca="1">IFERROR(__xludf.DUMMYFUNCTION("""COMPUTED_VALUE"""),37.03)</f>
        <v>37.03</v>
      </c>
      <c r="E650" s="1">
        <f ca="1">IFERROR(__xludf.DUMMYFUNCTION("""COMPUTED_VALUE"""),37.18)</f>
        <v>37.18</v>
      </c>
      <c r="F650" s="1">
        <f ca="1">IFERROR(__xludf.DUMMYFUNCTION("""COMPUTED_VALUE"""),19845920)</f>
        <v>19845920</v>
      </c>
    </row>
    <row r="651" spans="1:6" x14ac:dyDescent="0.35">
      <c r="A651" s="2">
        <f ca="1">IFERROR(__xludf.DUMMYFUNCTION("""COMPUTED_VALUE"""),42948.6666666666)</f>
        <v>42948.666666666599</v>
      </c>
      <c r="B651" s="1">
        <f ca="1">IFERROR(__xludf.DUMMYFUNCTION("""COMPUTED_VALUE"""),37.28)</f>
        <v>37.28</v>
      </c>
      <c r="C651" s="1">
        <f ca="1">IFERROR(__xludf.DUMMYFUNCTION("""COMPUTED_VALUE"""),37.56)</f>
        <v>37.56</v>
      </c>
      <c r="D651" s="1">
        <f ca="1">IFERROR(__xludf.DUMMYFUNCTION("""COMPUTED_VALUE"""),37.1)</f>
        <v>37.1</v>
      </c>
      <c r="E651" s="1">
        <f ca="1">IFERROR(__xludf.DUMMYFUNCTION("""COMPUTED_VALUE"""),37.51)</f>
        <v>37.51</v>
      </c>
      <c r="F651" s="1">
        <f ca="1">IFERROR(__xludf.DUMMYFUNCTION("""COMPUTED_VALUE"""),35368645)</f>
        <v>35368645</v>
      </c>
    </row>
    <row r="652" spans="1:6" x14ac:dyDescent="0.35">
      <c r="A652" s="2">
        <f ca="1">IFERROR(__xludf.DUMMYFUNCTION("""COMPUTED_VALUE"""),42949.6666666666)</f>
        <v>42949.666666666599</v>
      </c>
      <c r="B652" s="1">
        <f ca="1">IFERROR(__xludf.DUMMYFUNCTION("""COMPUTED_VALUE"""),39.82)</f>
        <v>39.82</v>
      </c>
      <c r="C652" s="1">
        <f ca="1">IFERROR(__xludf.DUMMYFUNCTION("""COMPUTED_VALUE"""),39.94)</f>
        <v>39.94</v>
      </c>
      <c r="D652" s="1">
        <f ca="1">IFERROR(__xludf.DUMMYFUNCTION("""COMPUTED_VALUE"""),39.04)</f>
        <v>39.04</v>
      </c>
      <c r="E652" s="1">
        <f ca="1">IFERROR(__xludf.DUMMYFUNCTION("""COMPUTED_VALUE"""),39.28)</f>
        <v>39.28</v>
      </c>
      <c r="F652" s="1">
        <f ca="1">IFERROR(__xludf.DUMMYFUNCTION("""COMPUTED_VALUE"""),69936800)</f>
        <v>69936800</v>
      </c>
    </row>
    <row r="653" spans="1:6" x14ac:dyDescent="0.35">
      <c r="A653" s="2">
        <f ca="1">IFERROR(__xludf.DUMMYFUNCTION("""COMPUTED_VALUE"""),42950.6666666666)</f>
        <v>42950.666666666599</v>
      </c>
      <c r="B653" s="1">
        <f ca="1">IFERROR(__xludf.DUMMYFUNCTION("""COMPUTED_VALUE"""),39.26)</f>
        <v>39.26</v>
      </c>
      <c r="C653" s="1">
        <f ca="1">IFERROR(__xludf.DUMMYFUNCTION("""COMPUTED_VALUE"""),39.3)</f>
        <v>39.299999999999997</v>
      </c>
      <c r="D653" s="1">
        <f ca="1">IFERROR(__xludf.DUMMYFUNCTION("""COMPUTED_VALUE"""),38.76)</f>
        <v>38.76</v>
      </c>
      <c r="E653" s="1">
        <f ca="1">IFERROR(__xludf.DUMMYFUNCTION("""COMPUTED_VALUE"""),38.89)</f>
        <v>38.89</v>
      </c>
      <c r="F653" s="1">
        <f ca="1">IFERROR(__xludf.DUMMYFUNCTION("""COMPUTED_VALUE"""),27097296)</f>
        <v>27097296</v>
      </c>
    </row>
    <row r="654" spans="1:6" x14ac:dyDescent="0.35">
      <c r="A654" s="2">
        <f ca="1">IFERROR(__xludf.DUMMYFUNCTION("""COMPUTED_VALUE"""),42951.6666666666)</f>
        <v>42951.666666666599</v>
      </c>
      <c r="B654" s="1">
        <f ca="1">IFERROR(__xludf.DUMMYFUNCTION("""COMPUTED_VALUE"""),39.02)</f>
        <v>39.020000000000003</v>
      </c>
      <c r="C654" s="1">
        <f ca="1">IFERROR(__xludf.DUMMYFUNCTION("""COMPUTED_VALUE"""),39.35)</f>
        <v>39.35</v>
      </c>
      <c r="D654" s="1">
        <f ca="1">IFERROR(__xludf.DUMMYFUNCTION("""COMPUTED_VALUE"""),38.92)</f>
        <v>38.92</v>
      </c>
      <c r="E654" s="1">
        <f ca="1">IFERROR(__xludf.DUMMYFUNCTION("""COMPUTED_VALUE"""),39.1)</f>
        <v>39.1</v>
      </c>
      <c r="F654" s="1">
        <f ca="1">IFERROR(__xludf.DUMMYFUNCTION("""COMPUTED_VALUE"""),20559852)</f>
        <v>20559852</v>
      </c>
    </row>
    <row r="655" spans="1:6" x14ac:dyDescent="0.35">
      <c r="A655" s="2">
        <f ca="1">IFERROR(__xludf.DUMMYFUNCTION("""COMPUTED_VALUE"""),42954.6666666666)</f>
        <v>42954.666666666599</v>
      </c>
      <c r="B655" s="1">
        <f ca="1">IFERROR(__xludf.DUMMYFUNCTION("""COMPUTED_VALUE"""),39.27)</f>
        <v>39.270000000000003</v>
      </c>
      <c r="C655" s="1">
        <f ca="1">IFERROR(__xludf.DUMMYFUNCTION("""COMPUTED_VALUE"""),39.73)</f>
        <v>39.729999999999997</v>
      </c>
      <c r="D655" s="1">
        <f ca="1">IFERROR(__xludf.DUMMYFUNCTION("""COMPUTED_VALUE"""),39.17)</f>
        <v>39.17</v>
      </c>
      <c r="E655" s="1">
        <f ca="1">IFERROR(__xludf.DUMMYFUNCTION("""COMPUTED_VALUE"""),39.7)</f>
        <v>39.700000000000003</v>
      </c>
      <c r="F655" s="1">
        <f ca="1">IFERROR(__xludf.DUMMYFUNCTION("""COMPUTED_VALUE"""),21870321)</f>
        <v>21870321</v>
      </c>
    </row>
    <row r="656" spans="1:6" x14ac:dyDescent="0.35">
      <c r="A656" s="2">
        <f ca="1">IFERROR(__xludf.DUMMYFUNCTION("""COMPUTED_VALUE"""),42955.6666666666)</f>
        <v>42955.666666666599</v>
      </c>
      <c r="B656" s="1">
        <f ca="1">IFERROR(__xludf.DUMMYFUNCTION("""COMPUTED_VALUE"""),39.65)</f>
        <v>39.65</v>
      </c>
      <c r="C656" s="1">
        <f ca="1">IFERROR(__xludf.DUMMYFUNCTION("""COMPUTED_VALUE"""),40.46)</f>
        <v>40.46</v>
      </c>
      <c r="D656" s="1">
        <f ca="1">IFERROR(__xludf.DUMMYFUNCTION("""COMPUTED_VALUE"""),39.57)</f>
        <v>39.57</v>
      </c>
      <c r="E656" s="1">
        <f ca="1">IFERROR(__xludf.DUMMYFUNCTION("""COMPUTED_VALUE"""),40.02)</f>
        <v>40.020000000000003</v>
      </c>
      <c r="F656" s="1">
        <f ca="1">IFERROR(__xludf.DUMMYFUNCTION("""COMPUTED_VALUE"""),36205896)</f>
        <v>36205896</v>
      </c>
    </row>
    <row r="657" spans="1:6" x14ac:dyDescent="0.35">
      <c r="A657" s="2">
        <f ca="1">IFERROR(__xludf.DUMMYFUNCTION("""COMPUTED_VALUE"""),42956.6666666666)</f>
        <v>42956.666666666599</v>
      </c>
      <c r="B657" s="1">
        <f ca="1">IFERROR(__xludf.DUMMYFUNCTION("""COMPUTED_VALUE"""),39.82)</f>
        <v>39.82</v>
      </c>
      <c r="C657" s="1">
        <f ca="1">IFERROR(__xludf.DUMMYFUNCTION("""COMPUTED_VALUE"""),40.32)</f>
        <v>40.32</v>
      </c>
      <c r="D657" s="1">
        <f ca="1">IFERROR(__xludf.DUMMYFUNCTION("""COMPUTED_VALUE"""),39.78)</f>
        <v>39.78</v>
      </c>
      <c r="E657" s="1">
        <f ca="1">IFERROR(__xludf.DUMMYFUNCTION("""COMPUTED_VALUE"""),40.27)</f>
        <v>40.270000000000003</v>
      </c>
      <c r="F657" s="1">
        <f ca="1">IFERROR(__xludf.DUMMYFUNCTION("""COMPUTED_VALUE"""),26131530)</f>
        <v>26131530</v>
      </c>
    </row>
    <row r="658" spans="1:6" x14ac:dyDescent="0.35">
      <c r="A658" s="2">
        <f ca="1">IFERROR(__xludf.DUMMYFUNCTION("""COMPUTED_VALUE"""),42957.6666666666)</f>
        <v>42957.666666666599</v>
      </c>
      <c r="B658" s="1">
        <f ca="1">IFERROR(__xludf.DUMMYFUNCTION("""COMPUTED_VALUE"""),39.98)</f>
        <v>39.979999999999997</v>
      </c>
      <c r="C658" s="1">
        <f ca="1">IFERROR(__xludf.DUMMYFUNCTION("""COMPUTED_VALUE"""),40)</f>
        <v>40</v>
      </c>
      <c r="D658" s="1">
        <f ca="1">IFERROR(__xludf.DUMMYFUNCTION("""COMPUTED_VALUE"""),38.66)</f>
        <v>38.659999999999997</v>
      </c>
      <c r="E658" s="1">
        <f ca="1">IFERROR(__xludf.DUMMYFUNCTION("""COMPUTED_VALUE"""),38.83)</f>
        <v>38.83</v>
      </c>
      <c r="F658" s="1">
        <f ca="1">IFERROR(__xludf.DUMMYFUNCTION("""COMPUTED_VALUE"""),40804273)</f>
        <v>40804273</v>
      </c>
    </row>
    <row r="659" spans="1:6" x14ac:dyDescent="0.35">
      <c r="A659" s="2">
        <f ca="1">IFERROR(__xludf.DUMMYFUNCTION("""COMPUTED_VALUE"""),42958.6666666666)</f>
        <v>42958.666666666599</v>
      </c>
      <c r="B659" s="1">
        <f ca="1">IFERROR(__xludf.DUMMYFUNCTION("""COMPUTED_VALUE"""),39.15)</f>
        <v>39.15</v>
      </c>
      <c r="C659" s="1">
        <f ca="1">IFERROR(__xludf.DUMMYFUNCTION("""COMPUTED_VALUE"""),39.64)</f>
        <v>39.64</v>
      </c>
      <c r="D659" s="1">
        <f ca="1">IFERROR(__xludf.DUMMYFUNCTION("""COMPUTED_VALUE"""),39.02)</f>
        <v>39.020000000000003</v>
      </c>
      <c r="E659" s="1">
        <f ca="1">IFERROR(__xludf.DUMMYFUNCTION("""COMPUTED_VALUE"""),39.37)</f>
        <v>39.369999999999997</v>
      </c>
      <c r="F659" s="1">
        <f ca="1">IFERROR(__xludf.DUMMYFUNCTION("""COMPUTED_VALUE"""),26257096)</f>
        <v>26257096</v>
      </c>
    </row>
    <row r="660" spans="1:6" x14ac:dyDescent="0.35">
      <c r="A660" s="2">
        <f ca="1">IFERROR(__xludf.DUMMYFUNCTION("""COMPUTED_VALUE"""),42961.6666666666)</f>
        <v>42961.666666666599</v>
      </c>
      <c r="B660" s="1">
        <f ca="1">IFERROR(__xludf.DUMMYFUNCTION("""COMPUTED_VALUE"""),39.83)</f>
        <v>39.83</v>
      </c>
      <c r="C660" s="1">
        <f ca="1">IFERROR(__xludf.DUMMYFUNCTION("""COMPUTED_VALUE"""),40.05)</f>
        <v>40.049999999999997</v>
      </c>
      <c r="D660" s="1">
        <f ca="1">IFERROR(__xludf.DUMMYFUNCTION("""COMPUTED_VALUE"""),39.69)</f>
        <v>39.69</v>
      </c>
      <c r="E660" s="1">
        <f ca="1">IFERROR(__xludf.DUMMYFUNCTION("""COMPUTED_VALUE"""),39.96)</f>
        <v>39.96</v>
      </c>
      <c r="F660" s="1">
        <f ca="1">IFERROR(__xludf.DUMMYFUNCTION("""COMPUTED_VALUE"""),22122734)</f>
        <v>22122734</v>
      </c>
    </row>
    <row r="661" spans="1:6" x14ac:dyDescent="0.35">
      <c r="A661" s="2">
        <f ca="1">IFERROR(__xludf.DUMMYFUNCTION("""COMPUTED_VALUE"""),42962.6666666666)</f>
        <v>42962.666666666599</v>
      </c>
      <c r="B661" s="1">
        <f ca="1">IFERROR(__xludf.DUMMYFUNCTION("""COMPUTED_VALUE"""),40.17)</f>
        <v>40.17</v>
      </c>
      <c r="C661" s="1">
        <f ca="1">IFERROR(__xludf.DUMMYFUNCTION("""COMPUTED_VALUE"""),40.55)</f>
        <v>40.549999999999997</v>
      </c>
      <c r="D661" s="1">
        <f ca="1">IFERROR(__xludf.DUMMYFUNCTION("""COMPUTED_VALUE"""),40.03)</f>
        <v>40.03</v>
      </c>
      <c r="E661" s="1">
        <f ca="1">IFERROR(__xludf.DUMMYFUNCTION("""COMPUTED_VALUE"""),40.4)</f>
        <v>40.4</v>
      </c>
      <c r="F661" s="1">
        <f ca="1">IFERROR(__xludf.DUMMYFUNCTION("""COMPUTED_VALUE"""),29465487)</f>
        <v>29465487</v>
      </c>
    </row>
    <row r="662" spans="1:6" x14ac:dyDescent="0.35">
      <c r="A662" s="2">
        <f ca="1">IFERROR(__xludf.DUMMYFUNCTION("""COMPUTED_VALUE"""),42963.6666666666)</f>
        <v>42963.666666666599</v>
      </c>
      <c r="B662" s="1">
        <f ca="1">IFERROR(__xludf.DUMMYFUNCTION("""COMPUTED_VALUE"""),40.49)</f>
        <v>40.49</v>
      </c>
      <c r="C662" s="1">
        <f ca="1">IFERROR(__xludf.DUMMYFUNCTION("""COMPUTED_VALUE"""),40.63)</f>
        <v>40.630000000000003</v>
      </c>
      <c r="D662" s="1">
        <f ca="1">IFERROR(__xludf.DUMMYFUNCTION("""COMPUTED_VALUE"""),40.04)</f>
        <v>40.04</v>
      </c>
      <c r="E662" s="1">
        <f ca="1">IFERROR(__xludf.DUMMYFUNCTION("""COMPUTED_VALUE"""),40.24)</f>
        <v>40.24</v>
      </c>
      <c r="F662" s="1">
        <f ca="1">IFERROR(__xludf.DUMMYFUNCTION("""COMPUTED_VALUE"""),27671612)</f>
        <v>27671612</v>
      </c>
    </row>
    <row r="663" spans="1:6" x14ac:dyDescent="0.35">
      <c r="A663" s="2">
        <f ca="1">IFERROR(__xludf.DUMMYFUNCTION("""COMPUTED_VALUE"""),42964.6666666666)</f>
        <v>42964.666666666599</v>
      </c>
      <c r="B663" s="1">
        <f ca="1">IFERROR(__xludf.DUMMYFUNCTION("""COMPUTED_VALUE"""),40.13)</f>
        <v>40.130000000000003</v>
      </c>
      <c r="C663" s="1">
        <f ca="1">IFERROR(__xludf.DUMMYFUNCTION("""COMPUTED_VALUE"""),40.18)</f>
        <v>40.18</v>
      </c>
      <c r="D663" s="1">
        <f ca="1">IFERROR(__xludf.DUMMYFUNCTION("""COMPUTED_VALUE"""),39.46)</f>
        <v>39.46</v>
      </c>
      <c r="E663" s="1">
        <f ca="1">IFERROR(__xludf.DUMMYFUNCTION("""COMPUTED_VALUE"""),39.47)</f>
        <v>39.47</v>
      </c>
      <c r="F663" s="1">
        <f ca="1">IFERROR(__xludf.DUMMYFUNCTION("""COMPUTED_VALUE"""),27940565)</f>
        <v>27940565</v>
      </c>
    </row>
    <row r="664" spans="1:6" x14ac:dyDescent="0.35">
      <c r="A664" s="2">
        <f ca="1">IFERROR(__xludf.DUMMYFUNCTION("""COMPUTED_VALUE"""),42965.6666666666)</f>
        <v>42965.666666666599</v>
      </c>
      <c r="B664" s="1">
        <f ca="1">IFERROR(__xludf.DUMMYFUNCTION("""COMPUTED_VALUE"""),39.47)</f>
        <v>39.47</v>
      </c>
      <c r="C664" s="1">
        <f ca="1">IFERROR(__xludf.DUMMYFUNCTION("""COMPUTED_VALUE"""),39.88)</f>
        <v>39.880000000000003</v>
      </c>
      <c r="D664" s="1">
        <f ca="1">IFERROR(__xludf.DUMMYFUNCTION("""COMPUTED_VALUE"""),39.18)</f>
        <v>39.18</v>
      </c>
      <c r="E664" s="1">
        <f ca="1">IFERROR(__xludf.DUMMYFUNCTION("""COMPUTED_VALUE"""),39.38)</f>
        <v>39.380000000000003</v>
      </c>
      <c r="F664" s="1">
        <f ca="1">IFERROR(__xludf.DUMMYFUNCTION("""COMPUTED_VALUE"""),27428069)</f>
        <v>27428069</v>
      </c>
    </row>
    <row r="665" spans="1:6" x14ac:dyDescent="0.35">
      <c r="A665" s="2">
        <f ca="1">IFERROR(__xludf.DUMMYFUNCTION("""COMPUTED_VALUE"""),42968.6666666666)</f>
        <v>42968.666666666599</v>
      </c>
      <c r="B665" s="1">
        <f ca="1">IFERROR(__xludf.DUMMYFUNCTION("""COMPUTED_VALUE"""),39.38)</f>
        <v>39.380000000000003</v>
      </c>
      <c r="C665" s="1">
        <f ca="1">IFERROR(__xludf.DUMMYFUNCTION("""COMPUTED_VALUE"""),39.47)</f>
        <v>39.47</v>
      </c>
      <c r="D665" s="1">
        <f ca="1">IFERROR(__xludf.DUMMYFUNCTION("""COMPUTED_VALUE"""),38.78)</f>
        <v>38.78</v>
      </c>
      <c r="E665" s="1">
        <f ca="1">IFERROR(__xludf.DUMMYFUNCTION("""COMPUTED_VALUE"""),39.3)</f>
        <v>39.299999999999997</v>
      </c>
      <c r="F665" s="1">
        <f ca="1">IFERROR(__xludf.DUMMYFUNCTION("""COMPUTED_VALUE"""),26368528)</f>
        <v>26368528</v>
      </c>
    </row>
    <row r="666" spans="1:6" x14ac:dyDescent="0.35">
      <c r="A666" s="2">
        <f ca="1">IFERROR(__xludf.DUMMYFUNCTION("""COMPUTED_VALUE"""),42969.6666666666)</f>
        <v>42969.666666666599</v>
      </c>
      <c r="B666" s="1">
        <f ca="1">IFERROR(__xludf.DUMMYFUNCTION("""COMPUTED_VALUE"""),39.56)</f>
        <v>39.56</v>
      </c>
      <c r="C666" s="1">
        <f ca="1">IFERROR(__xludf.DUMMYFUNCTION("""COMPUTED_VALUE"""),40)</f>
        <v>40</v>
      </c>
      <c r="D666" s="1">
        <f ca="1">IFERROR(__xludf.DUMMYFUNCTION("""COMPUTED_VALUE"""),39.51)</f>
        <v>39.51</v>
      </c>
      <c r="E666" s="1">
        <f ca="1">IFERROR(__xludf.DUMMYFUNCTION("""COMPUTED_VALUE"""),39.95)</f>
        <v>39.950000000000003</v>
      </c>
      <c r="F666" s="1">
        <f ca="1">IFERROR(__xludf.DUMMYFUNCTION("""COMPUTED_VALUE"""),21604585)</f>
        <v>21604585</v>
      </c>
    </row>
    <row r="667" spans="1:6" x14ac:dyDescent="0.35">
      <c r="A667" s="2">
        <f ca="1">IFERROR(__xludf.DUMMYFUNCTION("""COMPUTED_VALUE"""),42970.6666666666)</f>
        <v>42970.666666666599</v>
      </c>
      <c r="B667" s="1">
        <f ca="1">IFERROR(__xludf.DUMMYFUNCTION("""COMPUTED_VALUE"""),39.77)</f>
        <v>39.770000000000003</v>
      </c>
      <c r="C667" s="1">
        <f ca="1">IFERROR(__xludf.DUMMYFUNCTION("""COMPUTED_VALUE"""),40.12)</f>
        <v>40.119999999999997</v>
      </c>
      <c r="D667" s="1">
        <f ca="1">IFERROR(__xludf.DUMMYFUNCTION("""COMPUTED_VALUE"""),39.72)</f>
        <v>39.72</v>
      </c>
      <c r="E667" s="1">
        <f ca="1">IFERROR(__xludf.DUMMYFUNCTION("""COMPUTED_VALUE"""),39.99)</f>
        <v>39.99</v>
      </c>
      <c r="F667" s="1">
        <f ca="1">IFERROR(__xludf.DUMMYFUNCTION("""COMPUTED_VALUE"""),19399081)</f>
        <v>19399081</v>
      </c>
    </row>
    <row r="668" spans="1:6" x14ac:dyDescent="0.35">
      <c r="A668" s="2">
        <f ca="1">IFERROR(__xludf.DUMMYFUNCTION("""COMPUTED_VALUE"""),42971.6666666666)</f>
        <v>42971.666666666599</v>
      </c>
      <c r="B668" s="1">
        <f ca="1">IFERROR(__xludf.DUMMYFUNCTION("""COMPUTED_VALUE"""),40.11)</f>
        <v>40.11</v>
      </c>
      <c r="C668" s="1">
        <f ca="1">IFERROR(__xludf.DUMMYFUNCTION("""COMPUTED_VALUE"""),40.19)</f>
        <v>40.19</v>
      </c>
      <c r="D668" s="1">
        <f ca="1">IFERROR(__xludf.DUMMYFUNCTION("""COMPUTED_VALUE"""),39.64)</f>
        <v>39.64</v>
      </c>
      <c r="E668" s="1">
        <f ca="1">IFERROR(__xludf.DUMMYFUNCTION("""COMPUTED_VALUE"""),39.82)</f>
        <v>39.82</v>
      </c>
      <c r="F668" s="1">
        <f ca="1">IFERROR(__xludf.DUMMYFUNCTION("""COMPUTED_VALUE"""),19818918)</f>
        <v>19818918</v>
      </c>
    </row>
    <row r="669" spans="1:6" x14ac:dyDescent="0.35">
      <c r="A669" s="2">
        <f ca="1">IFERROR(__xludf.DUMMYFUNCTION("""COMPUTED_VALUE"""),42972.6666666666)</f>
        <v>42972.666666666599</v>
      </c>
      <c r="B669" s="1">
        <f ca="1">IFERROR(__xludf.DUMMYFUNCTION("""COMPUTED_VALUE"""),39.91)</f>
        <v>39.909999999999997</v>
      </c>
      <c r="C669" s="1">
        <f ca="1">IFERROR(__xludf.DUMMYFUNCTION("""COMPUTED_VALUE"""),40.14)</f>
        <v>40.14</v>
      </c>
      <c r="D669" s="1">
        <f ca="1">IFERROR(__xludf.DUMMYFUNCTION("""COMPUTED_VALUE"""),39.82)</f>
        <v>39.82</v>
      </c>
      <c r="E669" s="1">
        <f ca="1">IFERROR(__xludf.DUMMYFUNCTION("""COMPUTED_VALUE"""),39.97)</f>
        <v>39.97</v>
      </c>
      <c r="F669" s="1">
        <f ca="1">IFERROR(__xludf.DUMMYFUNCTION("""COMPUTED_VALUE"""),25480063)</f>
        <v>25480063</v>
      </c>
    </row>
    <row r="670" spans="1:6" x14ac:dyDescent="0.35">
      <c r="A670" s="2">
        <f ca="1">IFERROR(__xludf.DUMMYFUNCTION("""COMPUTED_VALUE"""),42975.6666666666)</f>
        <v>42975.666666666599</v>
      </c>
      <c r="B670" s="1">
        <f ca="1">IFERROR(__xludf.DUMMYFUNCTION("""COMPUTED_VALUE"""),40.03)</f>
        <v>40.03</v>
      </c>
      <c r="C670" s="1">
        <f ca="1">IFERROR(__xludf.DUMMYFUNCTION("""COMPUTED_VALUE"""),40.5)</f>
        <v>40.5</v>
      </c>
      <c r="D670" s="1">
        <f ca="1">IFERROR(__xludf.DUMMYFUNCTION("""COMPUTED_VALUE"""),39.98)</f>
        <v>39.979999999999997</v>
      </c>
      <c r="E670" s="1">
        <f ca="1">IFERROR(__xludf.DUMMYFUNCTION("""COMPUTED_VALUE"""),40.37)</f>
        <v>40.369999999999997</v>
      </c>
      <c r="F670" s="1">
        <f ca="1">IFERROR(__xludf.DUMMYFUNCTION("""COMPUTED_VALUE"""),25965972)</f>
        <v>25965972</v>
      </c>
    </row>
    <row r="671" spans="1:6" x14ac:dyDescent="0.35">
      <c r="A671" s="2">
        <f ca="1">IFERROR(__xludf.DUMMYFUNCTION("""COMPUTED_VALUE"""),42976.6666666666)</f>
        <v>42976.666666666599</v>
      </c>
      <c r="B671" s="1">
        <f ca="1">IFERROR(__xludf.DUMMYFUNCTION("""COMPUTED_VALUE"""),40.03)</f>
        <v>40.03</v>
      </c>
      <c r="C671" s="1">
        <f ca="1">IFERROR(__xludf.DUMMYFUNCTION("""COMPUTED_VALUE"""),40.78)</f>
        <v>40.78</v>
      </c>
      <c r="D671" s="1">
        <f ca="1">IFERROR(__xludf.DUMMYFUNCTION("""COMPUTED_VALUE"""),40)</f>
        <v>40</v>
      </c>
      <c r="E671" s="1">
        <f ca="1">IFERROR(__xludf.DUMMYFUNCTION("""COMPUTED_VALUE"""),40.73)</f>
        <v>40.729999999999997</v>
      </c>
      <c r="F671" s="1">
        <f ca="1">IFERROR(__xludf.DUMMYFUNCTION("""COMPUTED_VALUE"""),29516910)</f>
        <v>29516910</v>
      </c>
    </row>
    <row r="672" spans="1:6" x14ac:dyDescent="0.35">
      <c r="A672" s="2">
        <f ca="1">IFERROR(__xludf.DUMMYFUNCTION("""COMPUTED_VALUE"""),42977.6666666666)</f>
        <v>42977.666666666599</v>
      </c>
      <c r="B672" s="1">
        <f ca="1">IFERROR(__xludf.DUMMYFUNCTION("""COMPUTED_VALUE"""),40.95)</f>
        <v>40.950000000000003</v>
      </c>
      <c r="C672" s="1">
        <f ca="1">IFERROR(__xludf.DUMMYFUNCTION("""COMPUTED_VALUE"""),40.97)</f>
        <v>40.97</v>
      </c>
      <c r="D672" s="1">
        <f ca="1">IFERROR(__xludf.DUMMYFUNCTION("""COMPUTED_VALUE"""),40.65)</f>
        <v>40.65</v>
      </c>
      <c r="E672" s="1">
        <f ca="1">IFERROR(__xludf.DUMMYFUNCTION("""COMPUTED_VALUE"""),40.84)</f>
        <v>40.840000000000003</v>
      </c>
      <c r="F672" s="1">
        <f ca="1">IFERROR(__xludf.DUMMYFUNCTION("""COMPUTED_VALUE"""),27269584)</f>
        <v>27269584</v>
      </c>
    </row>
    <row r="673" spans="1:6" x14ac:dyDescent="0.35">
      <c r="A673" s="2">
        <f ca="1">IFERROR(__xludf.DUMMYFUNCTION("""COMPUTED_VALUE"""),42978.6666666666)</f>
        <v>42978.666666666599</v>
      </c>
      <c r="B673" s="1">
        <f ca="1">IFERROR(__xludf.DUMMYFUNCTION("""COMPUTED_VALUE"""),40.91)</f>
        <v>40.909999999999997</v>
      </c>
      <c r="C673" s="1">
        <f ca="1">IFERROR(__xludf.DUMMYFUNCTION("""COMPUTED_VALUE"""),41.13)</f>
        <v>41.13</v>
      </c>
      <c r="D673" s="1">
        <f ca="1">IFERROR(__xludf.DUMMYFUNCTION("""COMPUTED_VALUE"""),40.87)</f>
        <v>40.869999999999997</v>
      </c>
      <c r="E673" s="1">
        <f ca="1">IFERROR(__xludf.DUMMYFUNCTION("""COMPUTED_VALUE"""),41)</f>
        <v>41</v>
      </c>
      <c r="F673" s="1">
        <f ca="1">IFERROR(__xludf.DUMMYFUNCTION("""COMPUTED_VALUE"""),26785096)</f>
        <v>26785096</v>
      </c>
    </row>
    <row r="674" spans="1:6" x14ac:dyDescent="0.35">
      <c r="A674" s="2">
        <f ca="1">IFERROR(__xludf.DUMMYFUNCTION("""COMPUTED_VALUE"""),42979.6666666666)</f>
        <v>42979.666666666599</v>
      </c>
      <c r="B674" s="1">
        <f ca="1">IFERROR(__xludf.DUMMYFUNCTION("""COMPUTED_VALUE"""),41.2)</f>
        <v>41.2</v>
      </c>
      <c r="C674" s="1">
        <f ca="1">IFERROR(__xludf.DUMMYFUNCTION("""COMPUTED_VALUE"""),41.24)</f>
        <v>41.24</v>
      </c>
      <c r="D674" s="1">
        <f ca="1">IFERROR(__xludf.DUMMYFUNCTION("""COMPUTED_VALUE"""),40.91)</f>
        <v>40.909999999999997</v>
      </c>
      <c r="E674" s="1">
        <f ca="1">IFERROR(__xludf.DUMMYFUNCTION("""COMPUTED_VALUE"""),41.01)</f>
        <v>41.01</v>
      </c>
      <c r="F674" s="1">
        <f ca="1">IFERROR(__xludf.DUMMYFUNCTION("""COMPUTED_VALUE"""),16591051)</f>
        <v>16591051</v>
      </c>
    </row>
    <row r="675" spans="1:6" x14ac:dyDescent="0.35">
      <c r="A675" s="2">
        <f ca="1">IFERROR(__xludf.DUMMYFUNCTION("""COMPUTED_VALUE"""),42983.6666666666)</f>
        <v>42983.666666666599</v>
      </c>
      <c r="B675" s="1">
        <f ca="1">IFERROR(__xludf.DUMMYFUNCTION("""COMPUTED_VALUE"""),40.94)</f>
        <v>40.94</v>
      </c>
      <c r="C675" s="1">
        <f ca="1">IFERROR(__xludf.DUMMYFUNCTION("""COMPUTED_VALUE"""),41.06)</f>
        <v>41.06</v>
      </c>
      <c r="D675" s="1">
        <f ca="1">IFERROR(__xludf.DUMMYFUNCTION("""COMPUTED_VALUE"""),40.14)</f>
        <v>40.14</v>
      </c>
      <c r="E675" s="1">
        <f ca="1">IFERROR(__xludf.DUMMYFUNCTION("""COMPUTED_VALUE"""),40.52)</f>
        <v>40.520000000000003</v>
      </c>
      <c r="F675" s="1">
        <f ca="1">IFERROR(__xludf.DUMMYFUNCTION("""COMPUTED_VALUE"""),29536314)</f>
        <v>29536314</v>
      </c>
    </row>
    <row r="676" spans="1:6" x14ac:dyDescent="0.35">
      <c r="A676" s="2">
        <f ca="1">IFERROR(__xludf.DUMMYFUNCTION("""COMPUTED_VALUE"""),42984.6666666666)</f>
        <v>42984.666666666599</v>
      </c>
      <c r="B676" s="1">
        <f ca="1">IFERROR(__xludf.DUMMYFUNCTION("""COMPUTED_VALUE"""),40.68)</f>
        <v>40.68</v>
      </c>
      <c r="C676" s="1">
        <f ca="1">IFERROR(__xludf.DUMMYFUNCTION("""COMPUTED_VALUE"""),40.75)</f>
        <v>40.75</v>
      </c>
      <c r="D676" s="1">
        <f ca="1">IFERROR(__xludf.DUMMYFUNCTION("""COMPUTED_VALUE"""),40.13)</f>
        <v>40.130000000000003</v>
      </c>
      <c r="E676" s="1">
        <f ca="1">IFERROR(__xludf.DUMMYFUNCTION("""COMPUTED_VALUE"""),40.48)</f>
        <v>40.479999999999997</v>
      </c>
      <c r="F676" s="1">
        <f ca="1">IFERROR(__xludf.DUMMYFUNCTION("""COMPUTED_VALUE"""),21651726)</f>
        <v>21651726</v>
      </c>
    </row>
    <row r="677" spans="1:6" x14ac:dyDescent="0.35">
      <c r="A677" s="2">
        <f ca="1">IFERROR(__xludf.DUMMYFUNCTION("""COMPUTED_VALUE"""),42985.6666666666)</f>
        <v>42985.666666666599</v>
      </c>
      <c r="B677" s="1">
        <f ca="1">IFERROR(__xludf.DUMMYFUNCTION("""COMPUTED_VALUE"""),40.52)</f>
        <v>40.520000000000003</v>
      </c>
      <c r="C677" s="1">
        <f ca="1">IFERROR(__xludf.DUMMYFUNCTION("""COMPUTED_VALUE"""),40.56)</f>
        <v>40.56</v>
      </c>
      <c r="D677" s="1">
        <f ca="1">IFERROR(__xludf.DUMMYFUNCTION("""COMPUTED_VALUE"""),40.09)</f>
        <v>40.090000000000003</v>
      </c>
      <c r="E677" s="1">
        <f ca="1">IFERROR(__xludf.DUMMYFUNCTION("""COMPUTED_VALUE"""),40.32)</f>
        <v>40.32</v>
      </c>
      <c r="F677" s="1">
        <f ca="1">IFERROR(__xludf.DUMMYFUNCTION("""COMPUTED_VALUE"""),21928502)</f>
        <v>21928502</v>
      </c>
    </row>
    <row r="678" spans="1:6" x14ac:dyDescent="0.35">
      <c r="A678" s="2">
        <f ca="1">IFERROR(__xludf.DUMMYFUNCTION("""COMPUTED_VALUE"""),42986.6666666666)</f>
        <v>42986.666666666599</v>
      </c>
      <c r="B678" s="1">
        <f ca="1">IFERROR(__xludf.DUMMYFUNCTION("""COMPUTED_VALUE"""),40.22)</f>
        <v>40.22</v>
      </c>
      <c r="C678" s="1">
        <f ca="1">IFERROR(__xludf.DUMMYFUNCTION("""COMPUTED_VALUE"""),40.29)</f>
        <v>40.29</v>
      </c>
      <c r="D678" s="1">
        <f ca="1">IFERROR(__xludf.DUMMYFUNCTION("""COMPUTED_VALUE"""),39.63)</f>
        <v>39.630000000000003</v>
      </c>
      <c r="E678" s="1">
        <f ca="1">IFERROR(__xludf.DUMMYFUNCTION("""COMPUTED_VALUE"""),39.66)</f>
        <v>39.659999999999997</v>
      </c>
      <c r="F678" s="1">
        <f ca="1">IFERROR(__xludf.DUMMYFUNCTION("""COMPUTED_VALUE"""),28611535)</f>
        <v>28611535</v>
      </c>
    </row>
    <row r="679" spans="1:6" x14ac:dyDescent="0.35">
      <c r="A679" s="2">
        <f ca="1">IFERROR(__xludf.DUMMYFUNCTION("""COMPUTED_VALUE"""),42989.6666666666)</f>
        <v>42989.666666666599</v>
      </c>
      <c r="B679" s="1">
        <f ca="1">IFERROR(__xludf.DUMMYFUNCTION("""COMPUTED_VALUE"""),40.13)</f>
        <v>40.130000000000003</v>
      </c>
      <c r="C679" s="1">
        <f ca="1">IFERROR(__xludf.DUMMYFUNCTION("""COMPUTED_VALUE"""),40.51)</f>
        <v>40.51</v>
      </c>
      <c r="D679" s="1">
        <f ca="1">IFERROR(__xludf.DUMMYFUNCTION("""COMPUTED_VALUE"""),39.97)</f>
        <v>39.97</v>
      </c>
      <c r="E679" s="1">
        <f ca="1">IFERROR(__xludf.DUMMYFUNCTION("""COMPUTED_VALUE"""),40.38)</f>
        <v>40.380000000000003</v>
      </c>
      <c r="F679" s="1">
        <f ca="1">IFERROR(__xludf.DUMMYFUNCTION("""COMPUTED_VALUE"""),31580798)</f>
        <v>31580798</v>
      </c>
    </row>
    <row r="680" spans="1:6" x14ac:dyDescent="0.35">
      <c r="A680" s="2">
        <f ca="1">IFERROR(__xludf.DUMMYFUNCTION("""COMPUTED_VALUE"""),42990.6666666666)</f>
        <v>42990.666666666599</v>
      </c>
      <c r="B680" s="1">
        <f ca="1">IFERROR(__xludf.DUMMYFUNCTION("""COMPUTED_VALUE"""),40.65)</f>
        <v>40.65</v>
      </c>
      <c r="C680" s="1">
        <f ca="1">IFERROR(__xludf.DUMMYFUNCTION("""COMPUTED_VALUE"""),40.99)</f>
        <v>40.99</v>
      </c>
      <c r="D680" s="1">
        <f ca="1">IFERROR(__xludf.DUMMYFUNCTION("""COMPUTED_VALUE"""),39.69)</f>
        <v>39.69</v>
      </c>
      <c r="E680" s="1">
        <f ca="1">IFERROR(__xludf.DUMMYFUNCTION("""COMPUTED_VALUE"""),40.22)</f>
        <v>40.22</v>
      </c>
      <c r="F680" s="1">
        <f ca="1">IFERROR(__xludf.DUMMYFUNCTION("""COMPUTED_VALUE"""),71714046)</f>
        <v>71714046</v>
      </c>
    </row>
    <row r="681" spans="1:6" x14ac:dyDescent="0.35">
      <c r="A681" s="2">
        <f ca="1">IFERROR(__xludf.DUMMYFUNCTION("""COMPUTED_VALUE"""),42991.6666666666)</f>
        <v>42991.666666666599</v>
      </c>
      <c r="B681" s="1">
        <f ca="1">IFERROR(__xludf.DUMMYFUNCTION("""COMPUTED_VALUE"""),39.97)</f>
        <v>39.97</v>
      </c>
      <c r="C681" s="1">
        <f ca="1">IFERROR(__xludf.DUMMYFUNCTION("""COMPUTED_VALUE"""),39.99)</f>
        <v>39.99</v>
      </c>
      <c r="D681" s="1">
        <f ca="1">IFERROR(__xludf.DUMMYFUNCTION("""COMPUTED_VALUE"""),39.48)</f>
        <v>39.479999999999997</v>
      </c>
      <c r="E681" s="1">
        <f ca="1">IFERROR(__xludf.DUMMYFUNCTION("""COMPUTED_VALUE"""),39.91)</f>
        <v>39.909999999999997</v>
      </c>
      <c r="F681" s="1">
        <f ca="1">IFERROR(__xludf.DUMMYFUNCTION("""COMPUTED_VALUE"""),44907361)</f>
        <v>44907361</v>
      </c>
    </row>
    <row r="682" spans="1:6" x14ac:dyDescent="0.35">
      <c r="A682" s="2">
        <f ca="1">IFERROR(__xludf.DUMMYFUNCTION("""COMPUTED_VALUE"""),42992.6666666666)</f>
        <v>42992.666666666599</v>
      </c>
      <c r="B682" s="1">
        <f ca="1">IFERROR(__xludf.DUMMYFUNCTION("""COMPUTED_VALUE"""),39.75)</f>
        <v>39.75</v>
      </c>
      <c r="C682" s="1">
        <f ca="1">IFERROR(__xludf.DUMMYFUNCTION("""COMPUTED_VALUE"""),39.85)</f>
        <v>39.85</v>
      </c>
      <c r="D682" s="1">
        <f ca="1">IFERROR(__xludf.DUMMYFUNCTION("""COMPUTED_VALUE"""),39.52)</f>
        <v>39.520000000000003</v>
      </c>
      <c r="E682" s="1">
        <f ca="1">IFERROR(__xludf.DUMMYFUNCTION("""COMPUTED_VALUE"""),39.57)</f>
        <v>39.57</v>
      </c>
      <c r="F682" s="1">
        <f ca="1">IFERROR(__xludf.DUMMYFUNCTION("""COMPUTED_VALUE"""),23760749)</f>
        <v>23760749</v>
      </c>
    </row>
    <row r="683" spans="1:6" x14ac:dyDescent="0.35">
      <c r="A683" s="2">
        <f ca="1">IFERROR(__xludf.DUMMYFUNCTION("""COMPUTED_VALUE"""),42993.6666666666)</f>
        <v>42993.666666666599</v>
      </c>
      <c r="B683" s="1">
        <f ca="1">IFERROR(__xludf.DUMMYFUNCTION("""COMPUTED_VALUE"""),39.62)</f>
        <v>39.619999999999997</v>
      </c>
      <c r="C683" s="1">
        <f ca="1">IFERROR(__xludf.DUMMYFUNCTION("""COMPUTED_VALUE"""),40.24)</f>
        <v>40.24</v>
      </c>
      <c r="D683" s="1">
        <f ca="1">IFERROR(__xludf.DUMMYFUNCTION("""COMPUTED_VALUE"""),39.5)</f>
        <v>39.5</v>
      </c>
      <c r="E683" s="1">
        <f ca="1">IFERROR(__xludf.DUMMYFUNCTION("""COMPUTED_VALUE"""),39.97)</f>
        <v>39.97</v>
      </c>
      <c r="F683" s="1">
        <f ca="1">IFERROR(__xludf.DUMMYFUNCTION("""COMPUTED_VALUE"""),49114602)</f>
        <v>49114602</v>
      </c>
    </row>
    <row r="684" spans="1:6" x14ac:dyDescent="0.35">
      <c r="A684" s="2">
        <f ca="1">IFERROR(__xludf.DUMMYFUNCTION("""COMPUTED_VALUE"""),42996.6666666666)</f>
        <v>42996.666666666599</v>
      </c>
      <c r="B684" s="1">
        <f ca="1">IFERROR(__xludf.DUMMYFUNCTION("""COMPUTED_VALUE"""),40.03)</f>
        <v>40.03</v>
      </c>
      <c r="C684" s="1">
        <f ca="1">IFERROR(__xludf.DUMMYFUNCTION("""COMPUTED_VALUE"""),40.13)</f>
        <v>40.130000000000003</v>
      </c>
      <c r="D684" s="1">
        <f ca="1">IFERROR(__xludf.DUMMYFUNCTION("""COMPUTED_VALUE"""),39.5)</f>
        <v>39.5</v>
      </c>
      <c r="E684" s="1">
        <f ca="1">IFERROR(__xludf.DUMMYFUNCTION("""COMPUTED_VALUE"""),39.67)</f>
        <v>39.67</v>
      </c>
      <c r="F684" s="1">
        <f ca="1">IFERROR(__xludf.DUMMYFUNCTION("""COMPUTED_VALUE"""),28269435)</f>
        <v>28269435</v>
      </c>
    </row>
    <row r="685" spans="1:6" x14ac:dyDescent="0.35">
      <c r="A685" s="2">
        <f ca="1">IFERROR(__xludf.DUMMYFUNCTION("""COMPUTED_VALUE"""),42997.6666666666)</f>
        <v>42997.666666666599</v>
      </c>
      <c r="B685" s="1">
        <f ca="1">IFERROR(__xludf.DUMMYFUNCTION("""COMPUTED_VALUE"""),39.88)</f>
        <v>39.880000000000003</v>
      </c>
      <c r="C685" s="1">
        <f ca="1">IFERROR(__xludf.DUMMYFUNCTION("""COMPUTED_VALUE"""),39.94)</f>
        <v>39.94</v>
      </c>
      <c r="D685" s="1">
        <f ca="1">IFERROR(__xludf.DUMMYFUNCTION("""COMPUTED_VALUE"""),39.61)</f>
        <v>39.61</v>
      </c>
      <c r="E685" s="1">
        <f ca="1">IFERROR(__xludf.DUMMYFUNCTION("""COMPUTED_VALUE"""),39.68)</f>
        <v>39.68</v>
      </c>
      <c r="F685" s="1">
        <f ca="1">IFERROR(__xludf.DUMMYFUNCTION("""COMPUTED_VALUE"""),20810632)</f>
        <v>20810632</v>
      </c>
    </row>
    <row r="686" spans="1:6" x14ac:dyDescent="0.35">
      <c r="A686" s="2">
        <f ca="1">IFERROR(__xludf.DUMMYFUNCTION("""COMPUTED_VALUE"""),42998.6666666666)</f>
        <v>42998.666666666599</v>
      </c>
      <c r="B686" s="1">
        <f ca="1">IFERROR(__xludf.DUMMYFUNCTION("""COMPUTED_VALUE"""),39.48)</f>
        <v>39.479999999999997</v>
      </c>
      <c r="C686" s="1">
        <f ca="1">IFERROR(__xludf.DUMMYFUNCTION("""COMPUTED_VALUE"""),39.57)</f>
        <v>39.57</v>
      </c>
      <c r="D686" s="1">
        <f ca="1">IFERROR(__xludf.DUMMYFUNCTION("""COMPUTED_VALUE"""),38.46)</f>
        <v>38.46</v>
      </c>
      <c r="E686" s="1">
        <f ca="1">IFERROR(__xludf.DUMMYFUNCTION("""COMPUTED_VALUE"""),39.02)</f>
        <v>39.020000000000003</v>
      </c>
      <c r="F686" s="1">
        <f ca="1">IFERROR(__xludf.DUMMYFUNCTION("""COMPUTED_VALUE"""),52951364)</f>
        <v>52951364</v>
      </c>
    </row>
    <row r="687" spans="1:6" x14ac:dyDescent="0.35">
      <c r="A687" s="2">
        <f ca="1">IFERROR(__xludf.DUMMYFUNCTION("""COMPUTED_VALUE"""),42999.6666666666)</f>
        <v>42999.666666666599</v>
      </c>
      <c r="B687" s="1">
        <f ca="1">IFERROR(__xludf.DUMMYFUNCTION("""COMPUTED_VALUE"""),38.95)</f>
        <v>38.950000000000003</v>
      </c>
      <c r="C687" s="1">
        <f ca="1">IFERROR(__xludf.DUMMYFUNCTION("""COMPUTED_VALUE"""),38.95)</f>
        <v>38.950000000000003</v>
      </c>
      <c r="D687" s="1">
        <f ca="1">IFERROR(__xludf.DUMMYFUNCTION("""COMPUTED_VALUE"""),38.19)</f>
        <v>38.19</v>
      </c>
      <c r="E687" s="1">
        <f ca="1">IFERROR(__xludf.DUMMYFUNCTION("""COMPUTED_VALUE"""),38.35)</f>
        <v>38.35</v>
      </c>
      <c r="F687" s="1">
        <f ca="1">IFERROR(__xludf.DUMMYFUNCTION("""COMPUTED_VALUE"""),37511661)</f>
        <v>37511661</v>
      </c>
    </row>
    <row r="688" spans="1:6" x14ac:dyDescent="0.35">
      <c r="A688" s="2">
        <f ca="1">IFERROR(__xludf.DUMMYFUNCTION("""COMPUTED_VALUE"""),43000.6666666666)</f>
        <v>43000.666666666599</v>
      </c>
      <c r="B688" s="1">
        <f ca="1">IFERROR(__xludf.DUMMYFUNCTION("""COMPUTED_VALUE"""),38.01)</f>
        <v>38.01</v>
      </c>
      <c r="C688" s="1">
        <f ca="1">IFERROR(__xludf.DUMMYFUNCTION("""COMPUTED_VALUE"""),38.07)</f>
        <v>38.07</v>
      </c>
      <c r="D688" s="1">
        <f ca="1">IFERROR(__xludf.DUMMYFUNCTION("""COMPUTED_VALUE"""),37.64)</f>
        <v>37.64</v>
      </c>
      <c r="E688" s="1">
        <f ca="1">IFERROR(__xludf.DUMMYFUNCTION("""COMPUTED_VALUE"""),37.97)</f>
        <v>37.97</v>
      </c>
      <c r="F688" s="1">
        <f ca="1">IFERROR(__xludf.DUMMYFUNCTION("""COMPUTED_VALUE"""),46645443)</f>
        <v>46645443</v>
      </c>
    </row>
    <row r="689" spans="1:6" x14ac:dyDescent="0.35">
      <c r="A689" s="2">
        <f ca="1">IFERROR(__xludf.DUMMYFUNCTION("""COMPUTED_VALUE"""),43003.6666666666)</f>
        <v>43003.666666666599</v>
      </c>
      <c r="B689" s="1">
        <f ca="1">IFERROR(__xludf.DUMMYFUNCTION("""COMPUTED_VALUE"""),37.5)</f>
        <v>37.5</v>
      </c>
      <c r="C689" s="1">
        <f ca="1">IFERROR(__xludf.DUMMYFUNCTION("""COMPUTED_VALUE"""),37.96)</f>
        <v>37.96</v>
      </c>
      <c r="D689" s="1">
        <f ca="1">IFERROR(__xludf.DUMMYFUNCTION("""COMPUTED_VALUE"""),37.29)</f>
        <v>37.29</v>
      </c>
      <c r="E689" s="1">
        <f ca="1">IFERROR(__xludf.DUMMYFUNCTION("""COMPUTED_VALUE"""),37.64)</f>
        <v>37.64</v>
      </c>
      <c r="F689" s="1">
        <f ca="1">IFERROR(__xludf.DUMMYFUNCTION("""COMPUTED_VALUE"""),44387336)</f>
        <v>44387336</v>
      </c>
    </row>
    <row r="690" spans="1:6" x14ac:dyDescent="0.35">
      <c r="A690" s="2">
        <f ca="1">IFERROR(__xludf.DUMMYFUNCTION("""COMPUTED_VALUE"""),43004.6666666666)</f>
        <v>43004.666666666599</v>
      </c>
      <c r="B690" s="1">
        <f ca="1">IFERROR(__xludf.DUMMYFUNCTION("""COMPUTED_VALUE"""),37.95)</f>
        <v>37.950000000000003</v>
      </c>
      <c r="C690" s="1">
        <f ca="1">IFERROR(__xludf.DUMMYFUNCTION("""COMPUTED_VALUE"""),38.48)</f>
        <v>38.479999999999997</v>
      </c>
      <c r="D690" s="1">
        <f ca="1">IFERROR(__xludf.DUMMYFUNCTION("""COMPUTED_VALUE"""),37.92)</f>
        <v>37.92</v>
      </c>
      <c r="E690" s="1">
        <f ca="1">IFERROR(__xludf.DUMMYFUNCTION("""COMPUTED_VALUE"""),38.28)</f>
        <v>38.28</v>
      </c>
      <c r="F690" s="1">
        <f ca="1">IFERROR(__xludf.DUMMYFUNCTION("""COMPUTED_VALUE"""),36660045)</f>
        <v>36660045</v>
      </c>
    </row>
    <row r="691" spans="1:6" x14ac:dyDescent="0.35">
      <c r="A691" s="2">
        <f ca="1">IFERROR(__xludf.DUMMYFUNCTION("""COMPUTED_VALUE"""),43005.6666666666)</f>
        <v>43005.666666666599</v>
      </c>
      <c r="B691" s="1">
        <f ca="1">IFERROR(__xludf.DUMMYFUNCTION("""COMPUTED_VALUE"""),38.45)</f>
        <v>38.450000000000003</v>
      </c>
      <c r="C691" s="1">
        <f ca="1">IFERROR(__xludf.DUMMYFUNCTION("""COMPUTED_VALUE"""),38.68)</f>
        <v>38.68</v>
      </c>
      <c r="D691" s="1">
        <f ca="1">IFERROR(__xludf.DUMMYFUNCTION("""COMPUTED_VALUE"""),38.39)</f>
        <v>38.39</v>
      </c>
      <c r="E691" s="1">
        <f ca="1">IFERROR(__xludf.DUMMYFUNCTION("""COMPUTED_VALUE"""),38.56)</f>
        <v>38.56</v>
      </c>
      <c r="F691" s="1">
        <f ca="1">IFERROR(__xludf.DUMMYFUNCTION("""COMPUTED_VALUE"""),25504227)</f>
        <v>25504227</v>
      </c>
    </row>
    <row r="692" spans="1:6" x14ac:dyDescent="0.35">
      <c r="A692" s="2">
        <f ca="1">IFERROR(__xludf.DUMMYFUNCTION("""COMPUTED_VALUE"""),43006.6666666666)</f>
        <v>43006.666666666599</v>
      </c>
      <c r="B692" s="1">
        <f ca="1">IFERROR(__xludf.DUMMYFUNCTION("""COMPUTED_VALUE"""),38.47)</f>
        <v>38.47</v>
      </c>
      <c r="C692" s="1">
        <f ca="1">IFERROR(__xludf.DUMMYFUNCTION("""COMPUTED_VALUE"""),38.57)</f>
        <v>38.57</v>
      </c>
      <c r="D692" s="1">
        <f ca="1">IFERROR(__xludf.DUMMYFUNCTION("""COMPUTED_VALUE"""),38.17)</f>
        <v>38.17</v>
      </c>
      <c r="E692" s="1">
        <f ca="1">IFERROR(__xludf.DUMMYFUNCTION("""COMPUTED_VALUE"""),38.32)</f>
        <v>38.32</v>
      </c>
      <c r="F692" s="1">
        <f ca="1">IFERROR(__xludf.DUMMYFUNCTION("""COMPUTED_VALUE"""),22005455)</f>
        <v>22005455</v>
      </c>
    </row>
    <row r="693" spans="1:6" x14ac:dyDescent="0.35">
      <c r="A693" s="2">
        <f ca="1">IFERROR(__xludf.DUMMYFUNCTION("""COMPUTED_VALUE"""),43007.6666666666)</f>
        <v>43007.666666666599</v>
      </c>
      <c r="B693" s="1">
        <f ca="1">IFERROR(__xludf.DUMMYFUNCTION("""COMPUTED_VALUE"""),38.3)</f>
        <v>38.299999999999997</v>
      </c>
      <c r="C693" s="1">
        <f ca="1">IFERROR(__xludf.DUMMYFUNCTION("""COMPUTED_VALUE"""),38.53)</f>
        <v>38.53</v>
      </c>
      <c r="D693" s="1">
        <f ca="1">IFERROR(__xludf.DUMMYFUNCTION("""COMPUTED_VALUE"""),38)</f>
        <v>38</v>
      </c>
      <c r="E693" s="1">
        <f ca="1">IFERROR(__xludf.DUMMYFUNCTION("""COMPUTED_VALUE"""),38.53)</f>
        <v>38.53</v>
      </c>
      <c r="F693" s="1">
        <f ca="1">IFERROR(__xludf.DUMMYFUNCTION("""COMPUTED_VALUE"""),26299810)</f>
        <v>26299810</v>
      </c>
    </row>
    <row r="694" spans="1:6" x14ac:dyDescent="0.35">
      <c r="A694" s="2">
        <f ca="1">IFERROR(__xludf.DUMMYFUNCTION("""COMPUTED_VALUE"""),43010.6666666666)</f>
        <v>43010.666666666599</v>
      </c>
      <c r="B694" s="1">
        <f ca="1">IFERROR(__xludf.DUMMYFUNCTION("""COMPUTED_VALUE"""),38.57)</f>
        <v>38.57</v>
      </c>
      <c r="C694" s="1">
        <f ca="1">IFERROR(__xludf.DUMMYFUNCTION("""COMPUTED_VALUE"""),38.61)</f>
        <v>38.61</v>
      </c>
      <c r="D694" s="1">
        <f ca="1">IFERROR(__xludf.DUMMYFUNCTION("""COMPUTED_VALUE"""),38.18)</f>
        <v>38.18</v>
      </c>
      <c r="E694" s="1">
        <f ca="1">IFERROR(__xludf.DUMMYFUNCTION("""COMPUTED_VALUE"""),38.45)</f>
        <v>38.450000000000003</v>
      </c>
      <c r="F694" s="1">
        <f ca="1">IFERROR(__xludf.DUMMYFUNCTION("""COMPUTED_VALUE"""),18698842)</f>
        <v>18698842</v>
      </c>
    </row>
    <row r="695" spans="1:6" x14ac:dyDescent="0.35">
      <c r="A695" s="2">
        <f ca="1">IFERROR(__xludf.DUMMYFUNCTION("""COMPUTED_VALUE"""),43011.6666666666)</f>
        <v>43011.666666666599</v>
      </c>
      <c r="B695" s="1">
        <f ca="1">IFERROR(__xludf.DUMMYFUNCTION("""COMPUTED_VALUE"""),38.5)</f>
        <v>38.5</v>
      </c>
      <c r="C695" s="1">
        <f ca="1">IFERROR(__xludf.DUMMYFUNCTION("""COMPUTED_VALUE"""),38.77)</f>
        <v>38.770000000000003</v>
      </c>
      <c r="D695" s="1">
        <f ca="1">IFERROR(__xludf.DUMMYFUNCTION("""COMPUTED_VALUE"""),38.48)</f>
        <v>38.479999999999997</v>
      </c>
      <c r="E695" s="1">
        <f ca="1">IFERROR(__xludf.DUMMYFUNCTION("""COMPUTED_VALUE"""),38.62)</f>
        <v>38.619999999999997</v>
      </c>
      <c r="F695" s="1">
        <f ca="1">IFERROR(__xludf.DUMMYFUNCTION("""COMPUTED_VALUE"""),16230293)</f>
        <v>16230293</v>
      </c>
    </row>
    <row r="696" spans="1:6" x14ac:dyDescent="0.35">
      <c r="A696" s="2">
        <f ca="1">IFERROR(__xludf.DUMMYFUNCTION("""COMPUTED_VALUE"""),43012.6666666666)</f>
        <v>43012.666666666599</v>
      </c>
      <c r="B696" s="1">
        <f ca="1">IFERROR(__xludf.DUMMYFUNCTION("""COMPUTED_VALUE"""),38.41)</f>
        <v>38.409999999999997</v>
      </c>
      <c r="C696" s="1">
        <f ca="1">IFERROR(__xludf.DUMMYFUNCTION("""COMPUTED_VALUE"""),38.47)</f>
        <v>38.47</v>
      </c>
      <c r="D696" s="1">
        <f ca="1">IFERROR(__xludf.DUMMYFUNCTION("""COMPUTED_VALUE"""),38.12)</f>
        <v>38.119999999999997</v>
      </c>
      <c r="E696" s="1">
        <f ca="1">IFERROR(__xludf.DUMMYFUNCTION("""COMPUTED_VALUE"""),38.37)</f>
        <v>38.369999999999997</v>
      </c>
      <c r="F696" s="1">
        <f ca="1">IFERROR(__xludf.DUMMYFUNCTION("""COMPUTED_VALUE"""),20163750)</f>
        <v>20163750</v>
      </c>
    </row>
    <row r="697" spans="1:6" x14ac:dyDescent="0.35">
      <c r="A697" s="2">
        <f ca="1">IFERROR(__xludf.DUMMYFUNCTION("""COMPUTED_VALUE"""),43013.6666666666)</f>
        <v>43013.666666666599</v>
      </c>
      <c r="B697" s="1">
        <f ca="1">IFERROR(__xludf.DUMMYFUNCTION("""COMPUTED_VALUE"""),38.55)</f>
        <v>38.549999999999997</v>
      </c>
      <c r="C697" s="1">
        <f ca="1">IFERROR(__xludf.DUMMYFUNCTION("""COMPUTED_VALUE"""),38.86)</f>
        <v>38.86</v>
      </c>
      <c r="D697" s="1">
        <f ca="1">IFERROR(__xludf.DUMMYFUNCTION("""COMPUTED_VALUE"""),38.51)</f>
        <v>38.51</v>
      </c>
      <c r="E697" s="1">
        <f ca="1">IFERROR(__xludf.DUMMYFUNCTION("""COMPUTED_VALUE"""),38.85)</f>
        <v>38.85</v>
      </c>
      <c r="F697" s="1">
        <f ca="1">IFERROR(__xludf.DUMMYFUNCTION("""COMPUTED_VALUE"""),21283769)</f>
        <v>21283769</v>
      </c>
    </row>
    <row r="698" spans="1:6" x14ac:dyDescent="0.35">
      <c r="A698" s="2">
        <f ca="1">IFERROR(__xludf.DUMMYFUNCTION("""COMPUTED_VALUE"""),43014.6666666666)</f>
        <v>43014.666666666599</v>
      </c>
      <c r="B698" s="1">
        <f ca="1">IFERROR(__xludf.DUMMYFUNCTION("""COMPUTED_VALUE"""),38.74)</f>
        <v>38.74</v>
      </c>
      <c r="C698" s="1">
        <f ca="1">IFERROR(__xludf.DUMMYFUNCTION("""COMPUTED_VALUE"""),38.87)</f>
        <v>38.869999999999997</v>
      </c>
      <c r="D698" s="1">
        <f ca="1">IFERROR(__xludf.DUMMYFUNCTION("""COMPUTED_VALUE"""),38.64)</f>
        <v>38.64</v>
      </c>
      <c r="E698" s="1">
        <f ca="1">IFERROR(__xludf.DUMMYFUNCTION("""COMPUTED_VALUE"""),38.83)</f>
        <v>38.83</v>
      </c>
      <c r="F698" s="1">
        <f ca="1">IFERROR(__xludf.DUMMYFUNCTION("""COMPUTED_VALUE"""),17407558)</f>
        <v>17407558</v>
      </c>
    </row>
    <row r="699" spans="1:6" x14ac:dyDescent="0.35">
      <c r="A699" s="2">
        <f ca="1">IFERROR(__xludf.DUMMYFUNCTION("""COMPUTED_VALUE"""),43017.6666666666)</f>
        <v>43017.666666666599</v>
      </c>
      <c r="B699" s="1">
        <f ca="1">IFERROR(__xludf.DUMMYFUNCTION("""COMPUTED_VALUE"""),38.95)</f>
        <v>38.950000000000003</v>
      </c>
      <c r="C699" s="1">
        <f ca="1">IFERROR(__xludf.DUMMYFUNCTION("""COMPUTED_VALUE"""),39.18)</f>
        <v>39.18</v>
      </c>
      <c r="D699" s="1">
        <f ca="1">IFERROR(__xludf.DUMMYFUNCTION("""COMPUTED_VALUE"""),38.87)</f>
        <v>38.869999999999997</v>
      </c>
      <c r="E699" s="1">
        <f ca="1">IFERROR(__xludf.DUMMYFUNCTION("""COMPUTED_VALUE"""),38.96)</f>
        <v>38.96</v>
      </c>
      <c r="F699" s="1">
        <f ca="1">IFERROR(__xludf.DUMMYFUNCTION("""COMPUTED_VALUE"""),16262923)</f>
        <v>16262923</v>
      </c>
    </row>
    <row r="700" spans="1:6" x14ac:dyDescent="0.35">
      <c r="A700" s="2">
        <f ca="1">IFERROR(__xludf.DUMMYFUNCTION("""COMPUTED_VALUE"""),43018.6666666666)</f>
        <v>43018.666666666599</v>
      </c>
      <c r="B700" s="1">
        <f ca="1">IFERROR(__xludf.DUMMYFUNCTION("""COMPUTED_VALUE"""),39.01)</f>
        <v>39.01</v>
      </c>
      <c r="C700" s="1">
        <f ca="1">IFERROR(__xludf.DUMMYFUNCTION("""COMPUTED_VALUE"""),39.5)</f>
        <v>39.5</v>
      </c>
      <c r="D700" s="1">
        <f ca="1">IFERROR(__xludf.DUMMYFUNCTION("""COMPUTED_VALUE"""),38.78)</f>
        <v>38.78</v>
      </c>
      <c r="E700" s="1">
        <f ca="1">IFERROR(__xludf.DUMMYFUNCTION("""COMPUTED_VALUE"""),38.98)</f>
        <v>38.979999999999997</v>
      </c>
      <c r="F700" s="1">
        <f ca="1">IFERROR(__xludf.DUMMYFUNCTION("""COMPUTED_VALUE"""),15617014)</f>
        <v>15617014</v>
      </c>
    </row>
    <row r="701" spans="1:6" x14ac:dyDescent="0.35">
      <c r="A701" s="2">
        <f ca="1">IFERROR(__xludf.DUMMYFUNCTION("""COMPUTED_VALUE"""),43019.6666666666)</f>
        <v>43019.666666666599</v>
      </c>
      <c r="B701" s="1">
        <f ca="1">IFERROR(__xludf.DUMMYFUNCTION("""COMPUTED_VALUE"""),38.99)</f>
        <v>38.99</v>
      </c>
      <c r="C701" s="1">
        <f ca="1">IFERROR(__xludf.DUMMYFUNCTION("""COMPUTED_VALUE"""),39.24)</f>
        <v>39.24</v>
      </c>
      <c r="D701" s="1">
        <f ca="1">IFERROR(__xludf.DUMMYFUNCTION("""COMPUTED_VALUE"""),38.94)</f>
        <v>38.94</v>
      </c>
      <c r="E701" s="1">
        <f ca="1">IFERROR(__xludf.DUMMYFUNCTION("""COMPUTED_VALUE"""),39.14)</f>
        <v>39.14</v>
      </c>
      <c r="F701" s="1">
        <f ca="1">IFERROR(__xludf.DUMMYFUNCTION("""COMPUTED_VALUE"""),16905640)</f>
        <v>16905640</v>
      </c>
    </row>
    <row r="702" spans="1:6" x14ac:dyDescent="0.35">
      <c r="A702" s="2">
        <f ca="1">IFERROR(__xludf.DUMMYFUNCTION("""COMPUTED_VALUE"""),43020.6666666666)</f>
        <v>43020.666666666599</v>
      </c>
      <c r="B702" s="1">
        <f ca="1">IFERROR(__xludf.DUMMYFUNCTION("""COMPUTED_VALUE"""),39.09)</f>
        <v>39.090000000000003</v>
      </c>
      <c r="C702" s="1">
        <f ca="1">IFERROR(__xludf.DUMMYFUNCTION("""COMPUTED_VALUE"""),39.34)</f>
        <v>39.340000000000003</v>
      </c>
      <c r="D702" s="1">
        <f ca="1">IFERROR(__xludf.DUMMYFUNCTION("""COMPUTED_VALUE"""),38.93)</f>
        <v>38.93</v>
      </c>
      <c r="E702" s="1">
        <f ca="1">IFERROR(__xludf.DUMMYFUNCTION("""COMPUTED_VALUE"""),39)</f>
        <v>39</v>
      </c>
      <c r="F702" s="1">
        <f ca="1">IFERROR(__xludf.DUMMYFUNCTION("""COMPUTED_VALUE"""),16125054)</f>
        <v>16125054</v>
      </c>
    </row>
    <row r="703" spans="1:6" x14ac:dyDescent="0.35">
      <c r="A703" s="2">
        <f ca="1">IFERROR(__xludf.DUMMYFUNCTION("""COMPUTED_VALUE"""),43021.6666666666)</f>
        <v>43021.666666666599</v>
      </c>
      <c r="B703" s="1">
        <f ca="1">IFERROR(__xludf.DUMMYFUNCTION("""COMPUTED_VALUE"""),39.18)</f>
        <v>39.18</v>
      </c>
      <c r="C703" s="1">
        <f ca="1">IFERROR(__xludf.DUMMYFUNCTION("""COMPUTED_VALUE"""),39.32)</f>
        <v>39.32</v>
      </c>
      <c r="D703" s="1">
        <f ca="1">IFERROR(__xludf.DUMMYFUNCTION("""COMPUTED_VALUE"""),39.1)</f>
        <v>39.1</v>
      </c>
      <c r="E703" s="1">
        <f ca="1">IFERROR(__xludf.DUMMYFUNCTION("""COMPUTED_VALUE"""),39.25)</f>
        <v>39.25</v>
      </c>
      <c r="F703" s="1">
        <f ca="1">IFERROR(__xludf.DUMMYFUNCTION("""COMPUTED_VALUE"""),16394188)</f>
        <v>16394188</v>
      </c>
    </row>
    <row r="704" spans="1:6" x14ac:dyDescent="0.35">
      <c r="A704" s="2">
        <f ca="1">IFERROR(__xludf.DUMMYFUNCTION("""COMPUTED_VALUE"""),43024.6666666666)</f>
        <v>43024.666666666599</v>
      </c>
      <c r="B704" s="1">
        <f ca="1">IFERROR(__xludf.DUMMYFUNCTION("""COMPUTED_VALUE"""),39.48)</f>
        <v>39.479999999999997</v>
      </c>
      <c r="C704" s="1">
        <f ca="1">IFERROR(__xludf.DUMMYFUNCTION("""COMPUTED_VALUE"""),40)</f>
        <v>40</v>
      </c>
      <c r="D704" s="1">
        <f ca="1">IFERROR(__xludf.DUMMYFUNCTION("""COMPUTED_VALUE"""),39.41)</f>
        <v>39.409999999999997</v>
      </c>
      <c r="E704" s="1">
        <f ca="1">IFERROR(__xludf.DUMMYFUNCTION("""COMPUTED_VALUE"""),39.97)</f>
        <v>39.97</v>
      </c>
      <c r="F704" s="1">
        <f ca="1">IFERROR(__xludf.DUMMYFUNCTION("""COMPUTED_VALUE"""),24121452)</f>
        <v>24121452</v>
      </c>
    </row>
    <row r="705" spans="1:6" x14ac:dyDescent="0.35">
      <c r="A705" s="2">
        <f ca="1">IFERROR(__xludf.DUMMYFUNCTION("""COMPUTED_VALUE"""),43025.6666666666)</f>
        <v>43025.666666666599</v>
      </c>
      <c r="B705" s="1">
        <f ca="1">IFERROR(__xludf.DUMMYFUNCTION("""COMPUTED_VALUE"""),39.95)</f>
        <v>39.950000000000003</v>
      </c>
      <c r="C705" s="1">
        <f ca="1">IFERROR(__xludf.DUMMYFUNCTION("""COMPUTED_VALUE"""),40.22)</f>
        <v>40.22</v>
      </c>
      <c r="D705" s="1">
        <f ca="1">IFERROR(__xludf.DUMMYFUNCTION("""COMPUTED_VALUE"""),39.81)</f>
        <v>39.81</v>
      </c>
      <c r="E705" s="1">
        <f ca="1">IFERROR(__xludf.DUMMYFUNCTION("""COMPUTED_VALUE"""),40.12)</f>
        <v>40.119999999999997</v>
      </c>
      <c r="F705" s="1">
        <f ca="1">IFERROR(__xludf.DUMMYFUNCTION("""COMPUTED_VALUE"""),18997275)</f>
        <v>18997275</v>
      </c>
    </row>
    <row r="706" spans="1:6" x14ac:dyDescent="0.35">
      <c r="A706" s="2">
        <f ca="1">IFERROR(__xludf.DUMMYFUNCTION("""COMPUTED_VALUE"""),43026.6666666666)</f>
        <v>43026.666666666599</v>
      </c>
      <c r="B706" s="1">
        <f ca="1">IFERROR(__xludf.DUMMYFUNCTION("""COMPUTED_VALUE"""),40.1)</f>
        <v>40.1</v>
      </c>
      <c r="C706" s="1">
        <f ca="1">IFERROR(__xludf.DUMMYFUNCTION("""COMPUTED_VALUE"""),40.18)</f>
        <v>40.18</v>
      </c>
      <c r="D706" s="1">
        <f ca="1">IFERROR(__xludf.DUMMYFUNCTION("""COMPUTED_VALUE"""),39.9)</f>
        <v>39.9</v>
      </c>
      <c r="E706" s="1">
        <f ca="1">IFERROR(__xludf.DUMMYFUNCTION("""COMPUTED_VALUE"""),39.94)</f>
        <v>39.94</v>
      </c>
      <c r="F706" s="1">
        <f ca="1">IFERROR(__xludf.DUMMYFUNCTION("""COMPUTED_VALUE"""),16374164)</f>
        <v>16374164</v>
      </c>
    </row>
    <row r="707" spans="1:6" x14ac:dyDescent="0.35">
      <c r="A707" s="2">
        <f ca="1">IFERROR(__xludf.DUMMYFUNCTION("""COMPUTED_VALUE"""),43027.6666666666)</f>
        <v>43027.666666666599</v>
      </c>
      <c r="B707" s="1">
        <f ca="1">IFERROR(__xludf.DUMMYFUNCTION("""COMPUTED_VALUE"""),39.19)</f>
        <v>39.19</v>
      </c>
      <c r="C707" s="1">
        <f ca="1">IFERROR(__xludf.DUMMYFUNCTION("""COMPUTED_VALUE"""),39.27)</f>
        <v>39.270000000000003</v>
      </c>
      <c r="D707" s="1">
        <f ca="1">IFERROR(__xludf.DUMMYFUNCTION("""COMPUTED_VALUE"""),38.76)</f>
        <v>38.76</v>
      </c>
      <c r="E707" s="1">
        <f ca="1">IFERROR(__xludf.DUMMYFUNCTION("""COMPUTED_VALUE"""),38.99)</f>
        <v>38.99</v>
      </c>
      <c r="F707" s="1">
        <f ca="1">IFERROR(__xludf.DUMMYFUNCTION("""COMPUTED_VALUE"""),42584166)</f>
        <v>42584166</v>
      </c>
    </row>
    <row r="708" spans="1:6" x14ac:dyDescent="0.35">
      <c r="A708" s="2">
        <f ca="1">IFERROR(__xludf.DUMMYFUNCTION("""COMPUTED_VALUE"""),43028.6666666666)</f>
        <v>43028.666666666599</v>
      </c>
      <c r="B708" s="1">
        <f ca="1">IFERROR(__xludf.DUMMYFUNCTION("""COMPUTED_VALUE"""),39.15)</f>
        <v>39.15</v>
      </c>
      <c r="C708" s="1">
        <f ca="1">IFERROR(__xludf.DUMMYFUNCTION("""COMPUTED_VALUE"""),39.44)</f>
        <v>39.44</v>
      </c>
      <c r="D708" s="1">
        <f ca="1">IFERROR(__xludf.DUMMYFUNCTION("""COMPUTED_VALUE"""),38.99)</f>
        <v>38.99</v>
      </c>
      <c r="E708" s="1">
        <f ca="1">IFERROR(__xludf.DUMMYFUNCTION("""COMPUTED_VALUE"""),39.06)</f>
        <v>39.06</v>
      </c>
      <c r="F708" s="1">
        <f ca="1">IFERROR(__xludf.DUMMYFUNCTION("""COMPUTED_VALUE"""),23974146)</f>
        <v>23974146</v>
      </c>
    </row>
    <row r="709" spans="1:6" x14ac:dyDescent="0.35">
      <c r="A709" s="2">
        <f ca="1">IFERROR(__xludf.DUMMYFUNCTION("""COMPUTED_VALUE"""),43031.6666666666)</f>
        <v>43031.666666666599</v>
      </c>
      <c r="B709" s="1">
        <f ca="1">IFERROR(__xludf.DUMMYFUNCTION("""COMPUTED_VALUE"""),39.22)</f>
        <v>39.22</v>
      </c>
      <c r="C709" s="1">
        <f ca="1">IFERROR(__xludf.DUMMYFUNCTION("""COMPUTED_VALUE"""),39.42)</f>
        <v>39.42</v>
      </c>
      <c r="D709" s="1">
        <f ca="1">IFERROR(__xludf.DUMMYFUNCTION("""COMPUTED_VALUE"""),38.88)</f>
        <v>38.880000000000003</v>
      </c>
      <c r="E709" s="1">
        <f ca="1">IFERROR(__xludf.DUMMYFUNCTION("""COMPUTED_VALUE"""),39.04)</f>
        <v>39.04</v>
      </c>
      <c r="F709" s="1">
        <f ca="1">IFERROR(__xludf.DUMMYFUNCTION("""COMPUTED_VALUE"""),21984327)</f>
        <v>21984327</v>
      </c>
    </row>
    <row r="710" spans="1:6" x14ac:dyDescent="0.35">
      <c r="A710" s="2">
        <f ca="1">IFERROR(__xludf.DUMMYFUNCTION("""COMPUTED_VALUE"""),43032.6666666666)</f>
        <v>43032.666666666599</v>
      </c>
      <c r="B710" s="1">
        <f ca="1">IFERROR(__xludf.DUMMYFUNCTION("""COMPUTED_VALUE"""),39.07)</f>
        <v>39.07</v>
      </c>
      <c r="C710" s="1">
        <f ca="1">IFERROR(__xludf.DUMMYFUNCTION("""COMPUTED_VALUE"""),39.35)</f>
        <v>39.35</v>
      </c>
      <c r="D710" s="1">
        <f ca="1">IFERROR(__xludf.DUMMYFUNCTION("""COMPUTED_VALUE"""),39.05)</f>
        <v>39.049999999999997</v>
      </c>
      <c r="E710" s="1">
        <f ca="1">IFERROR(__xludf.DUMMYFUNCTION("""COMPUTED_VALUE"""),39.28)</f>
        <v>39.28</v>
      </c>
      <c r="F710" s="1">
        <f ca="1">IFERROR(__xludf.DUMMYFUNCTION("""COMPUTED_VALUE"""),17757230)</f>
        <v>17757230</v>
      </c>
    </row>
    <row r="711" spans="1:6" x14ac:dyDescent="0.35">
      <c r="A711" s="2">
        <f ca="1">IFERROR(__xludf.DUMMYFUNCTION("""COMPUTED_VALUE"""),43033.6666666666)</f>
        <v>43033.666666666599</v>
      </c>
      <c r="B711" s="1">
        <f ca="1">IFERROR(__xludf.DUMMYFUNCTION("""COMPUTED_VALUE"""),39.23)</f>
        <v>39.229999999999997</v>
      </c>
      <c r="C711" s="1">
        <f ca="1">IFERROR(__xludf.DUMMYFUNCTION("""COMPUTED_VALUE"""),39.39)</f>
        <v>39.39</v>
      </c>
      <c r="D711" s="1">
        <f ca="1">IFERROR(__xludf.DUMMYFUNCTION("""COMPUTED_VALUE"""),38.82)</f>
        <v>38.82</v>
      </c>
      <c r="E711" s="1">
        <f ca="1">IFERROR(__xludf.DUMMYFUNCTION("""COMPUTED_VALUE"""),39.1)</f>
        <v>39.1</v>
      </c>
      <c r="F711" s="1">
        <f ca="1">IFERROR(__xludf.DUMMYFUNCTION("""COMPUTED_VALUE"""),21207098)</f>
        <v>21207098</v>
      </c>
    </row>
    <row r="712" spans="1:6" x14ac:dyDescent="0.35">
      <c r="A712" s="2">
        <f ca="1">IFERROR(__xludf.DUMMYFUNCTION("""COMPUTED_VALUE"""),43034.6666666666)</f>
        <v>43034.666666666599</v>
      </c>
      <c r="B712" s="1">
        <f ca="1">IFERROR(__xludf.DUMMYFUNCTION("""COMPUTED_VALUE"""),39.31)</f>
        <v>39.31</v>
      </c>
      <c r="C712" s="1">
        <f ca="1">IFERROR(__xludf.DUMMYFUNCTION("""COMPUTED_VALUE"""),39.46)</f>
        <v>39.46</v>
      </c>
      <c r="D712" s="1">
        <f ca="1">IFERROR(__xludf.DUMMYFUNCTION("""COMPUTED_VALUE"""),39.2)</f>
        <v>39.200000000000003</v>
      </c>
      <c r="E712" s="1">
        <f ca="1">IFERROR(__xludf.DUMMYFUNCTION("""COMPUTED_VALUE"""),39.35)</f>
        <v>39.35</v>
      </c>
      <c r="F712" s="1">
        <f ca="1">IFERROR(__xludf.DUMMYFUNCTION("""COMPUTED_VALUE"""),17000469)</f>
        <v>17000469</v>
      </c>
    </row>
    <row r="713" spans="1:6" x14ac:dyDescent="0.35">
      <c r="A713" s="2">
        <f ca="1">IFERROR(__xludf.DUMMYFUNCTION("""COMPUTED_VALUE"""),43035.6666666666)</f>
        <v>43035.666666666599</v>
      </c>
      <c r="B713" s="1">
        <f ca="1">IFERROR(__xludf.DUMMYFUNCTION("""COMPUTED_VALUE"""),39.82)</f>
        <v>39.82</v>
      </c>
      <c r="C713" s="1">
        <f ca="1">IFERROR(__xludf.DUMMYFUNCTION("""COMPUTED_VALUE"""),40.9)</f>
        <v>40.9</v>
      </c>
      <c r="D713" s="1">
        <f ca="1">IFERROR(__xludf.DUMMYFUNCTION("""COMPUTED_VALUE"""),39.67)</f>
        <v>39.67</v>
      </c>
      <c r="E713" s="1">
        <f ca="1">IFERROR(__xludf.DUMMYFUNCTION("""COMPUTED_VALUE"""),40.76)</f>
        <v>40.76</v>
      </c>
      <c r="F713" s="1">
        <f ca="1">IFERROR(__xludf.DUMMYFUNCTION("""COMPUTED_VALUE"""),44454160)</f>
        <v>44454160</v>
      </c>
    </row>
    <row r="714" spans="1:6" x14ac:dyDescent="0.35">
      <c r="A714" s="2">
        <f ca="1">IFERROR(__xludf.DUMMYFUNCTION("""COMPUTED_VALUE"""),43038.6666666666)</f>
        <v>43038.666666666599</v>
      </c>
      <c r="B714" s="1">
        <f ca="1">IFERROR(__xludf.DUMMYFUNCTION("""COMPUTED_VALUE"""),40.97)</f>
        <v>40.97</v>
      </c>
      <c r="C714" s="1">
        <f ca="1">IFERROR(__xludf.DUMMYFUNCTION("""COMPUTED_VALUE"""),42.02)</f>
        <v>42.02</v>
      </c>
      <c r="D714" s="1">
        <f ca="1">IFERROR(__xludf.DUMMYFUNCTION("""COMPUTED_VALUE"""),40.93)</f>
        <v>40.93</v>
      </c>
      <c r="E714" s="1">
        <f ca="1">IFERROR(__xludf.DUMMYFUNCTION("""COMPUTED_VALUE"""),41.68)</f>
        <v>41.68</v>
      </c>
      <c r="F714" s="1">
        <f ca="1">IFERROR(__xludf.DUMMYFUNCTION("""COMPUTED_VALUE"""),44700772)</f>
        <v>44700772</v>
      </c>
    </row>
    <row r="715" spans="1:6" x14ac:dyDescent="0.35">
      <c r="A715" s="2">
        <f ca="1">IFERROR(__xludf.DUMMYFUNCTION("""COMPUTED_VALUE"""),43039.6666666666)</f>
        <v>43039.666666666599</v>
      </c>
      <c r="B715" s="1">
        <f ca="1">IFERROR(__xludf.DUMMYFUNCTION("""COMPUTED_VALUE"""),41.98)</f>
        <v>41.98</v>
      </c>
      <c r="C715" s="1">
        <f ca="1">IFERROR(__xludf.DUMMYFUNCTION("""COMPUTED_VALUE"""),42.41)</f>
        <v>42.41</v>
      </c>
      <c r="D715" s="1">
        <f ca="1">IFERROR(__xludf.DUMMYFUNCTION("""COMPUTED_VALUE"""),41.74)</f>
        <v>41.74</v>
      </c>
      <c r="E715" s="1">
        <f ca="1">IFERROR(__xludf.DUMMYFUNCTION("""COMPUTED_VALUE"""),42.26)</f>
        <v>42.26</v>
      </c>
      <c r="F715" s="1">
        <f ca="1">IFERROR(__xludf.DUMMYFUNCTION("""COMPUTED_VALUE"""),36046828)</f>
        <v>36046828</v>
      </c>
    </row>
    <row r="716" spans="1:6" x14ac:dyDescent="0.35">
      <c r="A716" s="2">
        <f ca="1">IFERROR(__xludf.DUMMYFUNCTION("""COMPUTED_VALUE"""),43040.6666666666)</f>
        <v>43040.666666666599</v>
      </c>
      <c r="B716" s="1">
        <f ca="1">IFERROR(__xludf.DUMMYFUNCTION("""COMPUTED_VALUE"""),42.47)</f>
        <v>42.47</v>
      </c>
      <c r="C716" s="1">
        <f ca="1">IFERROR(__xludf.DUMMYFUNCTION("""COMPUTED_VALUE"""),42.49)</f>
        <v>42.49</v>
      </c>
      <c r="D716" s="1">
        <f ca="1">IFERROR(__xludf.DUMMYFUNCTION("""COMPUTED_VALUE"""),41.4)</f>
        <v>41.4</v>
      </c>
      <c r="E716" s="1">
        <f ca="1">IFERROR(__xludf.DUMMYFUNCTION("""COMPUTED_VALUE"""),41.72)</f>
        <v>41.72</v>
      </c>
      <c r="F716" s="1">
        <f ca="1">IFERROR(__xludf.DUMMYFUNCTION("""COMPUTED_VALUE"""),33637762)</f>
        <v>33637762</v>
      </c>
    </row>
    <row r="717" spans="1:6" x14ac:dyDescent="0.35">
      <c r="A717" s="2">
        <f ca="1">IFERROR(__xludf.DUMMYFUNCTION("""COMPUTED_VALUE"""),43041.6666666666)</f>
        <v>43041.666666666599</v>
      </c>
      <c r="B717" s="1">
        <f ca="1">IFERROR(__xludf.DUMMYFUNCTION("""COMPUTED_VALUE"""),41.91)</f>
        <v>41.91</v>
      </c>
      <c r="C717" s="1">
        <f ca="1">IFERROR(__xludf.DUMMYFUNCTION("""COMPUTED_VALUE"""),42.13)</f>
        <v>42.13</v>
      </c>
      <c r="D717" s="1">
        <f ca="1">IFERROR(__xludf.DUMMYFUNCTION("""COMPUTED_VALUE"""),41.32)</f>
        <v>41.32</v>
      </c>
      <c r="E717" s="1">
        <f ca="1">IFERROR(__xludf.DUMMYFUNCTION("""COMPUTED_VALUE"""),42.03)</f>
        <v>42.03</v>
      </c>
      <c r="F717" s="1">
        <f ca="1">IFERROR(__xludf.DUMMYFUNCTION("""COMPUTED_VALUE"""),41393373)</f>
        <v>41393373</v>
      </c>
    </row>
    <row r="718" spans="1:6" x14ac:dyDescent="0.35">
      <c r="A718" s="2">
        <f ca="1">IFERROR(__xludf.DUMMYFUNCTION("""COMPUTED_VALUE"""),43042.6666666666)</f>
        <v>43042.666666666599</v>
      </c>
      <c r="B718" s="1">
        <f ca="1">IFERROR(__xludf.DUMMYFUNCTION("""COMPUTED_VALUE"""),43.5)</f>
        <v>43.5</v>
      </c>
      <c r="C718" s="1">
        <f ca="1">IFERROR(__xludf.DUMMYFUNCTION("""COMPUTED_VALUE"""),43.57)</f>
        <v>43.57</v>
      </c>
      <c r="D718" s="1">
        <f ca="1">IFERROR(__xludf.DUMMYFUNCTION("""COMPUTED_VALUE"""),42.78)</f>
        <v>42.78</v>
      </c>
      <c r="E718" s="1">
        <f ca="1">IFERROR(__xludf.DUMMYFUNCTION("""COMPUTED_VALUE"""),43.13)</f>
        <v>43.13</v>
      </c>
      <c r="F718" s="1">
        <f ca="1">IFERROR(__xludf.DUMMYFUNCTION("""COMPUTED_VALUE"""),59398631)</f>
        <v>59398631</v>
      </c>
    </row>
    <row r="719" spans="1:6" x14ac:dyDescent="0.35">
      <c r="A719" s="2">
        <f ca="1">IFERROR(__xludf.DUMMYFUNCTION("""COMPUTED_VALUE"""),43045.6666666666)</f>
        <v>43045.666666666599</v>
      </c>
      <c r="B719" s="1">
        <f ca="1">IFERROR(__xludf.DUMMYFUNCTION("""COMPUTED_VALUE"""),43.09)</f>
        <v>43.09</v>
      </c>
      <c r="C719" s="1">
        <f ca="1">IFERROR(__xludf.DUMMYFUNCTION("""COMPUTED_VALUE"""),43.75)</f>
        <v>43.75</v>
      </c>
      <c r="D719" s="1">
        <f ca="1">IFERROR(__xludf.DUMMYFUNCTION("""COMPUTED_VALUE"""),42.93)</f>
        <v>42.93</v>
      </c>
      <c r="E719" s="1">
        <f ca="1">IFERROR(__xludf.DUMMYFUNCTION("""COMPUTED_VALUE"""),43.56)</f>
        <v>43.56</v>
      </c>
      <c r="F719" s="1">
        <f ca="1">IFERROR(__xludf.DUMMYFUNCTION("""COMPUTED_VALUE"""),35026306)</f>
        <v>35026306</v>
      </c>
    </row>
    <row r="720" spans="1:6" x14ac:dyDescent="0.35">
      <c r="A720" s="2">
        <f ca="1">IFERROR(__xludf.DUMMYFUNCTION("""COMPUTED_VALUE"""),43046.6666666666)</f>
        <v>43046.666666666599</v>
      </c>
      <c r="B720" s="1">
        <f ca="1">IFERROR(__xludf.DUMMYFUNCTION("""COMPUTED_VALUE"""),43.48)</f>
        <v>43.48</v>
      </c>
      <c r="C720" s="1">
        <f ca="1">IFERROR(__xludf.DUMMYFUNCTION("""COMPUTED_VALUE"""),43.81)</f>
        <v>43.81</v>
      </c>
      <c r="D720" s="1">
        <f ca="1">IFERROR(__xludf.DUMMYFUNCTION("""COMPUTED_VALUE"""),43.4)</f>
        <v>43.4</v>
      </c>
      <c r="E720" s="1">
        <f ca="1">IFERROR(__xludf.DUMMYFUNCTION("""COMPUTED_VALUE"""),43.7)</f>
        <v>43.7</v>
      </c>
      <c r="F720" s="1">
        <f ca="1">IFERROR(__xludf.DUMMYFUNCTION("""COMPUTED_VALUE"""),24361485)</f>
        <v>24361485</v>
      </c>
    </row>
    <row r="721" spans="1:6" x14ac:dyDescent="0.35">
      <c r="A721" s="2">
        <f ca="1">IFERROR(__xludf.DUMMYFUNCTION("""COMPUTED_VALUE"""),43047.6666666666)</f>
        <v>43047.666666666599</v>
      </c>
      <c r="B721" s="1">
        <f ca="1">IFERROR(__xludf.DUMMYFUNCTION("""COMPUTED_VALUE"""),43.67)</f>
        <v>43.67</v>
      </c>
      <c r="C721" s="1">
        <f ca="1">IFERROR(__xludf.DUMMYFUNCTION("""COMPUTED_VALUE"""),44.06)</f>
        <v>44.06</v>
      </c>
      <c r="D721" s="1">
        <f ca="1">IFERROR(__xludf.DUMMYFUNCTION("""COMPUTED_VALUE"""),43.58)</f>
        <v>43.58</v>
      </c>
      <c r="E721" s="1">
        <f ca="1">IFERROR(__xludf.DUMMYFUNCTION("""COMPUTED_VALUE"""),44.06)</f>
        <v>44.06</v>
      </c>
      <c r="F721" s="1">
        <f ca="1">IFERROR(__xludf.DUMMYFUNCTION("""COMPUTED_VALUE"""),24409527)</f>
        <v>24409527</v>
      </c>
    </row>
    <row r="722" spans="1:6" x14ac:dyDescent="0.35">
      <c r="A722" s="2">
        <f ca="1">IFERROR(__xludf.DUMMYFUNCTION("""COMPUTED_VALUE"""),43048.6666666666)</f>
        <v>43048.666666666599</v>
      </c>
      <c r="B722" s="1">
        <f ca="1">IFERROR(__xludf.DUMMYFUNCTION("""COMPUTED_VALUE"""),43.78)</f>
        <v>43.78</v>
      </c>
      <c r="C722" s="1">
        <f ca="1">IFERROR(__xludf.DUMMYFUNCTION("""COMPUTED_VALUE"""),44.02)</f>
        <v>44.02</v>
      </c>
      <c r="D722" s="1">
        <f ca="1">IFERROR(__xludf.DUMMYFUNCTION("""COMPUTED_VALUE"""),43.29)</f>
        <v>43.29</v>
      </c>
      <c r="E722" s="1">
        <f ca="1">IFERROR(__xludf.DUMMYFUNCTION("""COMPUTED_VALUE"""),43.97)</f>
        <v>43.97</v>
      </c>
      <c r="F722" s="1">
        <f ca="1">IFERROR(__xludf.DUMMYFUNCTION("""COMPUTED_VALUE"""),29482596)</f>
        <v>29482596</v>
      </c>
    </row>
    <row r="723" spans="1:6" x14ac:dyDescent="0.35">
      <c r="A723" s="2">
        <f ca="1">IFERROR(__xludf.DUMMYFUNCTION("""COMPUTED_VALUE"""),43049.6666666666)</f>
        <v>43049.666666666599</v>
      </c>
      <c r="B723" s="1">
        <f ca="1">IFERROR(__xludf.DUMMYFUNCTION("""COMPUTED_VALUE"""),43.78)</f>
        <v>43.78</v>
      </c>
      <c r="C723" s="1">
        <f ca="1">IFERROR(__xludf.DUMMYFUNCTION("""COMPUTED_VALUE"""),43.85)</f>
        <v>43.85</v>
      </c>
      <c r="D723" s="1">
        <f ca="1">IFERROR(__xludf.DUMMYFUNCTION("""COMPUTED_VALUE"""),43.57)</f>
        <v>43.57</v>
      </c>
      <c r="E723" s="1">
        <f ca="1">IFERROR(__xludf.DUMMYFUNCTION("""COMPUTED_VALUE"""),43.67)</f>
        <v>43.67</v>
      </c>
      <c r="F723" s="1">
        <f ca="1">IFERROR(__xludf.DUMMYFUNCTION("""COMPUTED_VALUE"""),25145500)</f>
        <v>25145500</v>
      </c>
    </row>
    <row r="724" spans="1:6" x14ac:dyDescent="0.35">
      <c r="A724" s="2">
        <f ca="1">IFERROR(__xludf.DUMMYFUNCTION("""COMPUTED_VALUE"""),43052.6666666666)</f>
        <v>43052.666666666599</v>
      </c>
      <c r="B724" s="1">
        <f ca="1">IFERROR(__xludf.DUMMYFUNCTION("""COMPUTED_VALUE"""),43.38)</f>
        <v>43.38</v>
      </c>
      <c r="C724" s="1">
        <f ca="1">IFERROR(__xludf.DUMMYFUNCTION("""COMPUTED_VALUE"""),43.63)</f>
        <v>43.63</v>
      </c>
      <c r="D724" s="1">
        <f ca="1">IFERROR(__xludf.DUMMYFUNCTION("""COMPUTED_VALUE"""),43.35)</f>
        <v>43.35</v>
      </c>
      <c r="E724" s="1">
        <f ca="1">IFERROR(__xludf.DUMMYFUNCTION("""COMPUTED_VALUE"""),43.49)</f>
        <v>43.49</v>
      </c>
      <c r="F724" s="1">
        <f ca="1">IFERROR(__xludf.DUMMYFUNCTION("""COMPUTED_VALUE"""),16982080)</f>
        <v>16982080</v>
      </c>
    </row>
    <row r="725" spans="1:6" x14ac:dyDescent="0.35">
      <c r="A725" s="2">
        <f ca="1">IFERROR(__xludf.DUMMYFUNCTION("""COMPUTED_VALUE"""),43053.6666666666)</f>
        <v>43053.666666666599</v>
      </c>
      <c r="B725" s="1">
        <f ca="1">IFERROR(__xludf.DUMMYFUNCTION("""COMPUTED_VALUE"""),43.26)</f>
        <v>43.26</v>
      </c>
      <c r="C725" s="1">
        <f ca="1">IFERROR(__xludf.DUMMYFUNCTION("""COMPUTED_VALUE"""),43.37)</f>
        <v>43.37</v>
      </c>
      <c r="D725" s="1">
        <f ca="1">IFERROR(__xludf.DUMMYFUNCTION("""COMPUTED_VALUE"""),42.8)</f>
        <v>42.8</v>
      </c>
      <c r="E725" s="1">
        <f ca="1">IFERROR(__xludf.DUMMYFUNCTION("""COMPUTED_VALUE"""),42.84)</f>
        <v>42.84</v>
      </c>
      <c r="F725" s="1">
        <f ca="1">IFERROR(__xludf.DUMMYFUNCTION("""COMPUTED_VALUE"""),24782487)</f>
        <v>24782487</v>
      </c>
    </row>
    <row r="726" spans="1:6" x14ac:dyDescent="0.35">
      <c r="A726" s="2">
        <f ca="1">IFERROR(__xludf.DUMMYFUNCTION("""COMPUTED_VALUE"""),43054.6666666666)</f>
        <v>43054.666666666599</v>
      </c>
      <c r="B726" s="1">
        <f ca="1">IFERROR(__xludf.DUMMYFUNCTION("""COMPUTED_VALUE"""),42.49)</f>
        <v>42.49</v>
      </c>
      <c r="C726" s="1">
        <f ca="1">IFERROR(__xludf.DUMMYFUNCTION("""COMPUTED_VALUE"""),42.58)</f>
        <v>42.58</v>
      </c>
      <c r="D726" s="1">
        <f ca="1">IFERROR(__xludf.DUMMYFUNCTION("""COMPUTED_VALUE"""),42.1)</f>
        <v>42.1</v>
      </c>
      <c r="E726" s="1">
        <f ca="1">IFERROR(__xludf.DUMMYFUNCTION("""COMPUTED_VALUE"""),42.27)</f>
        <v>42.27</v>
      </c>
      <c r="F726" s="1">
        <f ca="1">IFERROR(__xludf.DUMMYFUNCTION("""COMPUTED_VALUE"""),29158070)</f>
        <v>29158070</v>
      </c>
    </row>
    <row r="727" spans="1:6" x14ac:dyDescent="0.35">
      <c r="A727" s="2">
        <f ca="1">IFERROR(__xludf.DUMMYFUNCTION("""COMPUTED_VALUE"""),43055.6666666666)</f>
        <v>43055.666666666599</v>
      </c>
      <c r="B727" s="1">
        <f ca="1">IFERROR(__xludf.DUMMYFUNCTION("""COMPUTED_VALUE"""),42.8)</f>
        <v>42.8</v>
      </c>
      <c r="C727" s="1">
        <f ca="1">IFERROR(__xludf.DUMMYFUNCTION("""COMPUTED_VALUE"""),42.97)</f>
        <v>42.97</v>
      </c>
      <c r="D727" s="1">
        <f ca="1">IFERROR(__xludf.DUMMYFUNCTION("""COMPUTED_VALUE"""),42.58)</f>
        <v>42.58</v>
      </c>
      <c r="E727" s="1">
        <f ca="1">IFERROR(__xludf.DUMMYFUNCTION("""COMPUTED_VALUE"""),42.78)</f>
        <v>42.78</v>
      </c>
      <c r="F727" s="1">
        <f ca="1">IFERROR(__xludf.DUMMYFUNCTION("""COMPUTED_VALUE"""),23637484)</f>
        <v>23637484</v>
      </c>
    </row>
    <row r="728" spans="1:6" x14ac:dyDescent="0.35">
      <c r="A728" s="2">
        <f ca="1">IFERROR(__xludf.DUMMYFUNCTION("""COMPUTED_VALUE"""),43056.6666666666)</f>
        <v>43056.666666666599</v>
      </c>
      <c r="B728" s="1">
        <f ca="1">IFERROR(__xludf.DUMMYFUNCTION("""COMPUTED_VALUE"""),42.76)</f>
        <v>42.76</v>
      </c>
      <c r="C728" s="1">
        <f ca="1">IFERROR(__xludf.DUMMYFUNCTION("""COMPUTED_VALUE"""),42.85)</f>
        <v>42.85</v>
      </c>
      <c r="D728" s="1">
        <f ca="1">IFERROR(__xludf.DUMMYFUNCTION("""COMPUTED_VALUE"""),42.41)</f>
        <v>42.41</v>
      </c>
      <c r="E728" s="1">
        <f ca="1">IFERROR(__xludf.DUMMYFUNCTION("""COMPUTED_VALUE"""),42.54)</f>
        <v>42.54</v>
      </c>
      <c r="F728" s="1">
        <f ca="1">IFERROR(__xludf.DUMMYFUNCTION("""COMPUTED_VALUE"""),21899544)</f>
        <v>21899544</v>
      </c>
    </row>
    <row r="729" spans="1:6" x14ac:dyDescent="0.35">
      <c r="A729" s="2">
        <f ca="1">IFERROR(__xludf.DUMMYFUNCTION("""COMPUTED_VALUE"""),43059.6666666666)</f>
        <v>43059.666666666599</v>
      </c>
      <c r="B729" s="1">
        <f ca="1">IFERROR(__xludf.DUMMYFUNCTION("""COMPUTED_VALUE"""),42.57)</f>
        <v>42.57</v>
      </c>
      <c r="C729" s="1">
        <f ca="1">IFERROR(__xludf.DUMMYFUNCTION("""COMPUTED_VALUE"""),42.64)</f>
        <v>42.64</v>
      </c>
      <c r="D729" s="1">
        <f ca="1">IFERROR(__xludf.DUMMYFUNCTION("""COMPUTED_VALUE"""),42.39)</f>
        <v>42.39</v>
      </c>
      <c r="E729" s="1">
        <f ca="1">IFERROR(__xludf.DUMMYFUNCTION("""COMPUTED_VALUE"""),42.5)</f>
        <v>42.5</v>
      </c>
      <c r="F729" s="1">
        <f ca="1">IFERROR(__xludf.DUMMYFUNCTION("""COMPUTED_VALUE"""),16262447)</f>
        <v>16262447</v>
      </c>
    </row>
    <row r="730" spans="1:6" x14ac:dyDescent="0.35">
      <c r="A730" s="2">
        <f ca="1">IFERROR(__xludf.DUMMYFUNCTION("""COMPUTED_VALUE"""),43060.6666666666)</f>
        <v>43060.666666666599</v>
      </c>
      <c r="B730" s="1">
        <f ca="1">IFERROR(__xludf.DUMMYFUNCTION("""COMPUTED_VALUE"""),42.7)</f>
        <v>42.7</v>
      </c>
      <c r="C730" s="1">
        <f ca="1">IFERROR(__xludf.DUMMYFUNCTION("""COMPUTED_VALUE"""),43.43)</f>
        <v>43.43</v>
      </c>
      <c r="D730" s="1">
        <f ca="1">IFERROR(__xludf.DUMMYFUNCTION("""COMPUTED_VALUE"""),42.7)</f>
        <v>42.7</v>
      </c>
      <c r="E730" s="1">
        <f ca="1">IFERROR(__xludf.DUMMYFUNCTION("""COMPUTED_VALUE"""),43.29)</f>
        <v>43.29</v>
      </c>
      <c r="F730" s="1">
        <f ca="1">IFERROR(__xludf.DUMMYFUNCTION("""COMPUTED_VALUE"""),25131295)</f>
        <v>25131295</v>
      </c>
    </row>
    <row r="731" spans="1:6" x14ac:dyDescent="0.35">
      <c r="A731" s="2">
        <f ca="1">IFERROR(__xludf.DUMMYFUNCTION("""COMPUTED_VALUE"""),43061.6666666666)</f>
        <v>43061.666666666599</v>
      </c>
      <c r="B731" s="1">
        <f ca="1">IFERROR(__xludf.DUMMYFUNCTION("""COMPUTED_VALUE"""),43.34)</f>
        <v>43.34</v>
      </c>
      <c r="C731" s="1">
        <f ca="1">IFERROR(__xludf.DUMMYFUNCTION("""COMPUTED_VALUE"""),43.75)</f>
        <v>43.75</v>
      </c>
      <c r="D731" s="1">
        <f ca="1">IFERROR(__xludf.DUMMYFUNCTION("""COMPUTED_VALUE"""),43.26)</f>
        <v>43.26</v>
      </c>
      <c r="E731" s="1">
        <f ca="1">IFERROR(__xludf.DUMMYFUNCTION("""COMPUTED_VALUE"""),43.74)</f>
        <v>43.74</v>
      </c>
      <c r="F731" s="1">
        <f ca="1">IFERROR(__xludf.DUMMYFUNCTION("""COMPUTED_VALUE"""),25588925)</f>
        <v>25588925</v>
      </c>
    </row>
    <row r="732" spans="1:6" x14ac:dyDescent="0.35">
      <c r="A732" s="2">
        <f ca="1">IFERROR(__xludf.DUMMYFUNCTION("""COMPUTED_VALUE"""),43063.5416666666)</f>
        <v>43063.541666666599</v>
      </c>
      <c r="B732" s="1">
        <f ca="1">IFERROR(__xludf.DUMMYFUNCTION("""COMPUTED_VALUE"""),43.78)</f>
        <v>43.78</v>
      </c>
      <c r="C732" s="1">
        <f ca="1">IFERROR(__xludf.DUMMYFUNCTION("""COMPUTED_VALUE"""),43.88)</f>
        <v>43.88</v>
      </c>
      <c r="D732" s="1">
        <f ca="1">IFERROR(__xludf.DUMMYFUNCTION("""COMPUTED_VALUE"""),43.66)</f>
        <v>43.66</v>
      </c>
      <c r="E732" s="1">
        <f ca="1">IFERROR(__xludf.DUMMYFUNCTION("""COMPUTED_VALUE"""),43.74)</f>
        <v>43.74</v>
      </c>
      <c r="F732" s="1">
        <f ca="1">IFERROR(__xludf.DUMMYFUNCTION("""COMPUTED_VALUE"""),14026673)</f>
        <v>14026673</v>
      </c>
    </row>
    <row r="733" spans="1:6" x14ac:dyDescent="0.35">
      <c r="A733" s="2">
        <f ca="1">IFERROR(__xludf.DUMMYFUNCTION("""COMPUTED_VALUE"""),43066.6666666666)</f>
        <v>43066.666666666599</v>
      </c>
      <c r="B733" s="1">
        <f ca="1">IFERROR(__xludf.DUMMYFUNCTION("""COMPUTED_VALUE"""),43.76)</f>
        <v>43.76</v>
      </c>
      <c r="C733" s="1">
        <f ca="1">IFERROR(__xludf.DUMMYFUNCTION("""COMPUTED_VALUE"""),43.77)</f>
        <v>43.77</v>
      </c>
      <c r="D733" s="1">
        <f ca="1">IFERROR(__xludf.DUMMYFUNCTION("""COMPUTED_VALUE"""),43.34)</f>
        <v>43.34</v>
      </c>
      <c r="E733" s="1">
        <f ca="1">IFERROR(__xludf.DUMMYFUNCTION("""COMPUTED_VALUE"""),43.52)</f>
        <v>43.52</v>
      </c>
      <c r="F733" s="1">
        <f ca="1">IFERROR(__xludf.DUMMYFUNCTION("""COMPUTED_VALUE"""),20716802)</f>
        <v>20716802</v>
      </c>
    </row>
    <row r="734" spans="1:6" x14ac:dyDescent="0.35">
      <c r="A734" s="2">
        <f ca="1">IFERROR(__xludf.DUMMYFUNCTION("""COMPUTED_VALUE"""),43067.6666666666)</f>
        <v>43067.666666666599</v>
      </c>
      <c r="B734" s="1">
        <f ca="1">IFERROR(__xludf.DUMMYFUNCTION("""COMPUTED_VALUE"""),43.58)</f>
        <v>43.58</v>
      </c>
      <c r="C734" s="1">
        <f ca="1">IFERROR(__xludf.DUMMYFUNCTION("""COMPUTED_VALUE"""),43.72)</f>
        <v>43.72</v>
      </c>
      <c r="D734" s="1">
        <f ca="1">IFERROR(__xludf.DUMMYFUNCTION("""COMPUTED_VALUE"""),42.97)</f>
        <v>42.97</v>
      </c>
      <c r="E734" s="1">
        <f ca="1">IFERROR(__xludf.DUMMYFUNCTION("""COMPUTED_VALUE"""),43.27)</f>
        <v>43.27</v>
      </c>
      <c r="F734" s="1">
        <f ca="1">IFERROR(__xludf.DUMMYFUNCTION("""COMPUTED_VALUE"""),26428802)</f>
        <v>26428802</v>
      </c>
    </row>
    <row r="735" spans="1:6" x14ac:dyDescent="0.35">
      <c r="A735" s="2">
        <f ca="1">IFERROR(__xludf.DUMMYFUNCTION("""COMPUTED_VALUE"""),43068.6666666666)</f>
        <v>43068.666666666599</v>
      </c>
      <c r="B735" s="1">
        <f ca="1">IFERROR(__xludf.DUMMYFUNCTION("""COMPUTED_VALUE"""),43.16)</f>
        <v>43.16</v>
      </c>
      <c r="C735" s="1">
        <f ca="1">IFERROR(__xludf.DUMMYFUNCTION("""COMPUTED_VALUE"""),43.23)</f>
        <v>43.23</v>
      </c>
      <c r="D735" s="1">
        <f ca="1">IFERROR(__xludf.DUMMYFUNCTION("""COMPUTED_VALUE"""),41.79)</f>
        <v>41.79</v>
      </c>
      <c r="E735" s="1">
        <f ca="1">IFERROR(__xludf.DUMMYFUNCTION("""COMPUTED_VALUE"""),42.37)</f>
        <v>42.37</v>
      </c>
      <c r="F735" s="1">
        <f ca="1">IFERROR(__xludf.DUMMYFUNCTION("""COMPUTED_VALUE"""),41666364)</f>
        <v>41666364</v>
      </c>
    </row>
    <row r="736" spans="1:6" x14ac:dyDescent="0.35">
      <c r="A736" s="2">
        <f ca="1">IFERROR(__xludf.DUMMYFUNCTION("""COMPUTED_VALUE"""),43069.6666666666)</f>
        <v>43069.666666666599</v>
      </c>
      <c r="B736" s="1">
        <f ca="1">IFERROR(__xludf.DUMMYFUNCTION("""COMPUTED_VALUE"""),42.61)</f>
        <v>42.61</v>
      </c>
      <c r="C736" s="1">
        <f ca="1">IFERROR(__xludf.DUMMYFUNCTION("""COMPUTED_VALUE"""),43.04)</f>
        <v>43.04</v>
      </c>
      <c r="D736" s="1">
        <f ca="1">IFERROR(__xludf.DUMMYFUNCTION("""COMPUTED_VALUE"""),42.11)</f>
        <v>42.11</v>
      </c>
      <c r="E736" s="1">
        <f ca="1">IFERROR(__xludf.DUMMYFUNCTION("""COMPUTED_VALUE"""),42.96)</f>
        <v>42.96</v>
      </c>
      <c r="F736" s="1">
        <f ca="1">IFERROR(__xludf.DUMMYFUNCTION("""COMPUTED_VALUE"""),41527218)</f>
        <v>41527218</v>
      </c>
    </row>
    <row r="737" spans="1:6" x14ac:dyDescent="0.35">
      <c r="A737" s="2">
        <f ca="1">IFERROR(__xludf.DUMMYFUNCTION("""COMPUTED_VALUE"""),43070.6666666666)</f>
        <v>43070.666666666599</v>
      </c>
      <c r="B737" s="1">
        <f ca="1">IFERROR(__xludf.DUMMYFUNCTION("""COMPUTED_VALUE"""),42.49)</f>
        <v>42.49</v>
      </c>
      <c r="C737" s="1">
        <f ca="1">IFERROR(__xludf.DUMMYFUNCTION("""COMPUTED_VALUE"""),42.92)</f>
        <v>42.92</v>
      </c>
      <c r="D737" s="1">
        <f ca="1">IFERROR(__xludf.DUMMYFUNCTION("""COMPUTED_VALUE"""),42.13)</f>
        <v>42.13</v>
      </c>
      <c r="E737" s="1">
        <f ca="1">IFERROR(__xludf.DUMMYFUNCTION("""COMPUTED_VALUE"""),42.76)</f>
        <v>42.76</v>
      </c>
      <c r="F737" s="1">
        <f ca="1">IFERROR(__xludf.DUMMYFUNCTION("""COMPUTED_VALUE"""),39759288)</f>
        <v>39759288</v>
      </c>
    </row>
    <row r="738" spans="1:6" x14ac:dyDescent="0.35">
      <c r="A738" s="2">
        <f ca="1">IFERROR(__xludf.DUMMYFUNCTION("""COMPUTED_VALUE"""),43073.6666666666)</f>
        <v>43073.666666666599</v>
      </c>
      <c r="B738" s="1">
        <f ca="1">IFERROR(__xludf.DUMMYFUNCTION("""COMPUTED_VALUE"""),43.12)</f>
        <v>43.12</v>
      </c>
      <c r="C738" s="1">
        <f ca="1">IFERROR(__xludf.DUMMYFUNCTION("""COMPUTED_VALUE"""),43.16)</f>
        <v>43.16</v>
      </c>
      <c r="D738" s="1">
        <f ca="1">IFERROR(__xludf.DUMMYFUNCTION("""COMPUTED_VALUE"""),42.41)</f>
        <v>42.41</v>
      </c>
      <c r="E738" s="1">
        <f ca="1">IFERROR(__xludf.DUMMYFUNCTION("""COMPUTED_VALUE"""),42.45)</f>
        <v>42.45</v>
      </c>
      <c r="F738" s="1">
        <f ca="1">IFERROR(__xludf.DUMMYFUNCTION("""COMPUTED_VALUE"""),32542385)</f>
        <v>32542385</v>
      </c>
    </row>
    <row r="739" spans="1:6" x14ac:dyDescent="0.35">
      <c r="A739" s="2">
        <f ca="1">IFERROR(__xludf.DUMMYFUNCTION("""COMPUTED_VALUE"""),43074.6666666666)</f>
        <v>43074.666666666599</v>
      </c>
      <c r="B739" s="1">
        <f ca="1">IFERROR(__xludf.DUMMYFUNCTION("""COMPUTED_VALUE"""),42.27)</f>
        <v>42.27</v>
      </c>
      <c r="C739" s="1">
        <f ca="1">IFERROR(__xludf.DUMMYFUNCTION("""COMPUTED_VALUE"""),42.88)</f>
        <v>42.88</v>
      </c>
      <c r="D739" s="1">
        <f ca="1">IFERROR(__xludf.DUMMYFUNCTION("""COMPUTED_VALUE"""),42.1)</f>
        <v>42.1</v>
      </c>
      <c r="E739" s="1">
        <f ca="1">IFERROR(__xludf.DUMMYFUNCTION("""COMPUTED_VALUE"""),42.41)</f>
        <v>42.41</v>
      </c>
      <c r="F739" s="1">
        <f ca="1">IFERROR(__xludf.DUMMYFUNCTION("""COMPUTED_VALUE"""),27350154)</f>
        <v>27350154</v>
      </c>
    </row>
    <row r="740" spans="1:6" x14ac:dyDescent="0.35">
      <c r="A740" s="2">
        <f ca="1">IFERROR(__xludf.DUMMYFUNCTION("""COMPUTED_VALUE"""),43075.6666666666)</f>
        <v>43075.666666666599</v>
      </c>
      <c r="B740" s="1">
        <f ca="1">IFERROR(__xludf.DUMMYFUNCTION("""COMPUTED_VALUE"""),41.88)</f>
        <v>41.88</v>
      </c>
      <c r="C740" s="1">
        <f ca="1">IFERROR(__xludf.DUMMYFUNCTION("""COMPUTED_VALUE"""),42.55)</f>
        <v>42.55</v>
      </c>
      <c r="D740" s="1">
        <f ca="1">IFERROR(__xludf.DUMMYFUNCTION("""COMPUTED_VALUE"""),41.62)</f>
        <v>41.62</v>
      </c>
      <c r="E740" s="1">
        <f ca="1">IFERROR(__xludf.DUMMYFUNCTION("""COMPUTED_VALUE"""),42.25)</f>
        <v>42.25</v>
      </c>
      <c r="F740" s="1">
        <f ca="1">IFERROR(__xludf.DUMMYFUNCTION("""COMPUTED_VALUE"""),28560000)</f>
        <v>28560000</v>
      </c>
    </row>
    <row r="741" spans="1:6" x14ac:dyDescent="0.35">
      <c r="A741" s="2">
        <f ca="1">IFERROR(__xludf.DUMMYFUNCTION("""COMPUTED_VALUE"""),43076.6666666666)</f>
        <v>43076.666666666599</v>
      </c>
      <c r="B741" s="1">
        <f ca="1">IFERROR(__xludf.DUMMYFUNCTION("""COMPUTED_VALUE"""),42.26)</f>
        <v>42.26</v>
      </c>
      <c r="C741" s="1">
        <f ca="1">IFERROR(__xludf.DUMMYFUNCTION("""COMPUTED_VALUE"""),42.61)</f>
        <v>42.61</v>
      </c>
      <c r="D741" s="1">
        <f ca="1">IFERROR(__xludf.DUMMYFUNCTION("""COMPUTED_VALUE"""),42.23)</f>
        <v>42.23</v>
      </c>
      <c r="E741" s="1">
        <f ca="1">IFERROR(__xludf.DUMMYFUNCTION("""COMPUTED_VALUE"""),42.33)</f>
        <v>42.33</v>
      </c>
      <c r="F741" s="1">
        <f ca="1">IFERROR(__xludf.DUMMYFUNCTION("""COMPUTED_VALUE"""),25673308)</f>
        <v>25673308</v>
      </c>
    </row>
    <row r="742" spans="1:6" x14ac:dyDescent="0.35">
      <c r="A742" s="2">
        <f ca="1">IFERROR(__xludf.DUMMYFUNCTION("""COMPUTED_VALUE"""),43077.6666666666)</f>
        <v>43077.666666666599</v>
      </c>
      <c r="B742" s="1">
        <f ca="1">IFERROR(__xludf.DUMMYFUNCTION("""COMPUTED_VALUE"""),42.62)</f>
        <v>42.62</v>
      </c>
      <c r="C742" s="1">
        <f ca="1">IFERROR(__xludf.DUMMYFUNCTION("""COMPUTED_VALUE"""),42.75)</f>
        <v>42.75</v>
      </c>
      <c r="D742" s="1">
        <f ca="1">IFERROR(__xludf.DUMMYFUNCTION("""COMPUTED_VALUE"""),42.21)</f>
        <v>42.21</v>
      </c>
      <c r="E742" s="1">
        <f ca="1">IFERROR(__xludf.DUMMYFUNCTION("""COMPUTED_VALUE"""),42.34)</f>
        <v>42.34</v>
      </c>
      <c r="F742" s="1">
        <f ca="1">IFERROR(__xludf.DUMMYFUNCTION("""COMPUTED_VALUE"""),23355231)</f>
        <v>23355231</v>
      </c>
    </row>
    <row r="743" spans="1:6" x14ac:dyDescent="0.35">
      <c r="A743" s="2">
        <f ca="1">IFERROR(__xludf.DUMMYFUNCTION("""COMPUTED_VALUE"""),43080.6666666666)</f>
        <v>43080.666666666599</v>
      </c>
      <c r="B743" s="1">
        <f ca="1">IFERROR(__xludf.DUMMYFUNCTION("""COMPUTED_VALUE"""),42.3)</f>
        <v>42.3</v>
      </c>
      <c r="C743" s="1">
        <f ca="1">IFERROR(__xludf.DUMMYFUNCTION("""COMPUTED_VALUE"""),43.22)</f>
        <v>43.22</v>
      </c>
      <c r="D743" s="1">
        <f ca="1">IFERROR(__xludf.DUMMYFUNCTION("""COMPUTED_VALUE"""),42.2)</f>
        <v>42.2</v>
      </c>
      <c r="E743" s="1">
        <f ca="1">IFERROR(__xludf.DUMMYFUNCTION("""COMPUTED_VALUE"""),43.17)</f>
        <v>43.17</v>
      </c>
      <c r="F743" s="1">
        <f ca="1">IFERROR(__xludf.DUMMYFUNCTION("""COMPUTED_VALUE"""),35273759)</f>
        <v>35273759</v>
      </c>
    </row>
    <row r="744" spans="1:6" x14ac:dyDescent="0.35">
      <c r="A744" s="2">
        <f ca="1">IFERROR(__xludf.DUMMYFUNCTION("""COMPUTED_VALUE"""),43081.6666666666)</f>
        <v>43081.666666666599</v>
      </c>
      <c r="B744" s="1">
        <f ca="1">IFERROR(__xludf.DUMMYFUNCTION("""COMPUTED_VALUE"""),43.04)</f>
        <v>43.04</v>
      </c>
      <c r="C744" s="1">
        <f ca="1">IFERROR(__xludf.DUMMYFUNCTION("""COMPUTED_VALUE"""),43.1)</f>
        <v>43.1</v>
      </c>
      <c r="D744" s="1">
        <f ca="1">IFERROR(__xludf.DUMMYFUNCTION("""COMPUTED_VALUE"""),42.87)</f>
        <v>42.87</v>
      </c>
      <c r="E744" s="1">
        <f ca="1">IFERROR(__xludf.DUMMYFUNCTION("""COMPUTED_VALUE"""),42.93)</f>
        <v>42.93</v>
      </c>
      <c r="F744" s="1">
        <f ca="1">IFERROR(__xludf.DUMMYFUNCTION("""COMPUTED_VALUE"""),19409230)</f>
        <v>19409230</v>
      </c>
    </row>
    <row r="745" spans="1:6" x14ac:dyDescent="0.35">
      <c r="A745" s="2">
        <f ca="1">IFERROR(__xludf.DUMMYFUNCTION("""COMPUTED_VALUE"""),43082.6666666666)</f>
        <v>43082.666666666599</v>
      </c>
      <c r="B745" s="1">
        <f ca="1">IFERROR(__xludf.DUMMYFUNCTION("""COMPUTED_VALUE"""),43.13)</f>
        <v>43.13</v>
      </c>
      <c r="C745" s="1">
        <f ca="1">IFERROR(__xludf.DUMMYFUNCTION("""COMPUTED_VALUE"""),43.39)</f>
        <v>43.39</v>
      </c>
      <c r="D745" s="1">
        <f ca="1">IFERROR(__xludf.DUMMYFUNCTION("""COMPUTED_VALUE"""),43)</f>
        <v>43</v>
      </c>
      <c r="E745" s="1">
        <f ca="1">IFERROR(__xludf.DUMMYFUNCTION("""COMPUTED_VALUE"""),43.07)</f>
        <v>43.07</v>
      </c>
      <c r="F745" s="1">
        <f ca="1">IFERROR(__xludf.DUMMYFUNCTION("""COMPUTED_VALUE"""),23818447)</f>
        <v>23818447</v>
      </c>
    </row>
    <row r="746" spans="1:6" x14ac:dyDescent="0.35">
      <c r="A746" s="2">
        <f ca="1">IFERROR(__xludf.DUMMYFUNCTION("""COMPUTED_VALUE"""),43083.6666666666)</f>
        <v>43083.666666666599</v>
      </c>
      <c r="B746" s="1">
        <f ca="1">IFERROR(__xludf.DUMMYFUNCTION("""COMPUTED_VALUE"""),43.1)</f>
        <v>43.1</v>
      </c>
      <c r="C746" s="1">
        <f ca="1">IFERROR(__xludf.DUMMYFUNCTION("""COMPUTED_VALUE"""),43.28)</f>
        <v>43.28</v>
      </c>
      <c r="D746" s="1">
        <f ca="1">IFERROR(__xludf.DUMMYFUNCTION("""COMPUTED_VALUE"""),42.91)</f>
        <v>42.91</v>
      </c>
      <c r="E746" s="1">
        <f ca="1">IFERROR(__xludf.DUMMYFUNCTION("""COMPUTED_VALUE"""),43.06)</f>
        <v>43.06</v>
      </c>
      <c r="F746" s="1">
        <f ca="1">IFERROR(__xludf.DUMMYFUNCTION("""COMPUTED_VALUE"""),20476541)</f>
        <v>20476541</v>
      </c>
    </row>
    <row r="747" spans="1:6" x14ac:dyDescent="0.35">
      <c r="A747" s="2">
        <f ca="1">IFERROR(__xludf.DUMMYFUNCTION("""COMPUTED_VALUE"""),43084.6666666666)</f>
        <v>43084.666666666599</v>
      </c>
      <c r="B747" s="1">
        <f ca="1">IFERROR(__xludf.DUMMYFUNCTION("""COMPUTED_VALUE"""),43.41)</f>
        <v>43.41</v>
      </c>
      <c r="C747" s="1">
        <f ca="1">IFERROR(__xludf.DUMMYFUNCTION("""COMPUTED_VALUE"""),43.54)</f>
        <v>43.54</v>
      </c>
      <c r="D747" s="1">
        <f ca="1">IFERROR(__xludf.DUMMYFUNCTION("""COMPUTED_VALUE"""),43.12)</f>
        <v>43.12</v>
      </c>
      <c r="E747" s="1">
        <f ca="1">IFERROR(__xludf.DUMMYFUNCTION("""COMPUTED_VALUE"""),43.49)</f>
        <v>43.49</v>
      </c>
      <c r="F747" s="1">
        <f ca="1">IFERROR(__xludf.DUMMYFUNCTION("""COMPUTED_VALUE"""),40169307)</f>
        <v>40169307</v>
      </c>
    </row>
    <row r="748" spans="1:6" x14ac:dyDescent="0.35">
      <c r="A748" s="2">
        <f ca="1">IFERROR(__xludf.DUMMYFUNCTION("""COMPUTED_VALUE"""),43087.6666666666)</f>
        <v>43087.666666666599</v>
      </c>
      <c r="B748" s="1">
        <f ca="1">IFERROR(__xludf.DUMMYFUNCTION("""COMPUTED_VALUE"""),43.72)</f>
        <v>43.72</v>
      </c>
      <c r="C748" s="1">
        <f ca="1">IFERROR(__xludf.DUMMYFUNCTION("""COMPUTED_VALUE"""),44.3)</f>
        <v>44.3</v>
      </c>
      <c r="D748" s="1">
        <f ca="1">IFERROR(__xludf.DUMMYFUNCTION("""COMPUTED_VALUE"""),43.72)</f>
        <v>43.72</v>
      </c>
      <c r="E748" s="1">
        <f ca="1">IFERROR(__xludf.DUMMYFUNCTION("""COMPUTED_VALUE"""),44.11)</f>
        <v>44.11</v>
      </c>
      <c r="F748" s="1">
        <f ca="1">IFERROR(__xludf.DUMMYFUNCTION("""COMPUTED_VALUE"""),29421114)</f>
        <v>29421114</v>
      </c>
    </row>
    <row r="749" spans="1:6" x14ac:dyDescent="0.35">
      <c r="A749" s="2">
        <f ca="1">IFERROR(__xludf.DUMMYFUNCTION("""COMPUTED_VALUE"""),43088.6666666666)</f>
        <v>43088.666666666599</v>
      </c>
      <c r="B749" s="1">
        <f ca="1">IFERROR(__xludf.DUMMYFUNCTION("""COMPUTED_VALUE"""),43.76)</f>
        <v>43.76</v>
      </c>
      <c r="C749" s="1">
        <f ca="1">IFERROR(__xludf.DUMMYFUNCTION("""COMPUTED_VALUE"""),43.85)</f>
        <v>43.85</v>
      </c>
      <c r="D749" s="1">
        <f ca="1">IFERROR(__xludf.DUMMYFUNCTION("""COMPUTED_VALUE"""),43.52)</f>
        <v>43.52</v>
      </c>
      <c r="E749" s="1">
        <f ca="1">IFERROR(__xludf.DUMMYFUNCTION("""COMPUTED_VALUE"""),43.64)</f>
        <v>43.64</v>
      </c>
      <c r="F749" s="1">
        <f ca="1">IFERROR(__xludf.DUMMYFUNCTION("""COMPUTED_VALUE"""),27436447)</f>
        <v>27436447</v>
      </c>
    </row>
    <row r="750" spans="1:6" x14ac:dyDescent="0.35">
      <c r="A750" s="2">
        <f ca="1">IFERROR(__xludf.DUMMYFUNCTION("""COMPUTED_VALUE"""),43089.6666666666)</f>
        <v>43089.666666666599</v>
      </c>
      <c r="B750" s="1">
        <f ca="1">IFERROR(__xludf.DUMMYFUNCTION("""COMPUTED_VALUE"""),43.72)</f>
        <v>43.72</v>
      </c>
      <c r="C750" s="1">
        <f ca="1">IFERROR(__xludf.DUMMYFUNCTION("""COMPUTED_VALUE"""),43.86)</f>
        <v>43.86</v>
      </c>
      <c r="D750" s="1">
        <f ca="1">IFERROR(__xludf.DUMMYFUNCTION("""COMPUTED_VALUE"""),43.31)</f>
        <v>43.31</v>
      </c>
      <c r="E750" s="1">
        <f ca="1">IFERROR(__xludf.DUMMYFUNCTION("""COMPUTED_VALUE"""),43.59)</f>
        <v>43.59</v>
      </c>
      <c r="F750" s="1">
        <f ca="1">IFERROR(__xludf.DUMMYFUNCTION("""COMPUTED_VALUE"""),23475649)</f>
        <v>23475649</v>
      </c>
    </row>
    <row r="751" spans="1:6" x14ac:dyDescent="0.35">
      <c r="A751" s="2">
        <f ca="1">IFERROR(__xludf.DUMMYFUNCTION("""COMPUTED_VALUE"""),43090.6666666666)</f>
        <v>43090.666666666599</v>
      </c>
      <c r="B751" s="1">
        <f ca="1">IFERROR(__xludf.DUMMYFUNCTION("""COMPUTED_VALUE"""),43.54)</f>
        <v>43.54</v>
      </c>
      <c r="C751" s="1">
        <f ca="1">IFERROR(__xludf.DUMMYFUNCTION("""COMPUTED_VALUE"""),44.01)</f>
        <v>44.01</v>
      </c>
      <c r="D751" s="1">
        <f ca="1">IFERROR(__xludf.DUMMYFUNCTION("""COMPUTED_VALUE"""),43.53)</f>
        <v>43.53</v>
      </c>
      <c r="E751" s="1">
        <f ca="1">IFERROR(__xludf.DUMMYFUNCTION("""COMPUTED_VALUE"""),43.75)</f>
        <v>43.75</v>
      </c>
      <c r="F751" s="1">
        <f ca="1">IFERROR(__xludf.DUMMYFUNCTION("""COMPUTED_VALUE"""),20949896)</f>
        <v>20949896</v>
      </c>
    </row>
    <row r="752" spans="1:6" x14ac:dyDescent="0.35">
      <c r="A752" s="2">
        <f ca="1">IFERROR(__xludf.DUMMYFUNCTION("""COMPUTED_VALUE"""),43091.6666666666)</f>
        <v>43091.666666666599</v>
      </c>
      <c r="B752" s="1">
        <f ca="1">IFERROR(__xludf.DUMMYFUNCTION("""COMPUTED_VALUE"""),43.67)</f>
        <v>43.67</v>
      </c>
      <c r="C752" s="1">
        <f ca="1">IFERROR(__xludf.DUMMYFUNCTION("""COMPUTED_VALUE"""),43.86)</f>
        <v>43.86</v>
      </c>
      <c r="D752" s="1">
        <f ca="1">IFERROR(__xludf.DUMMYFUNCTION("""COMPUTED_VALUE"""),43.63)</f>
        <v>43.63</v>
      </c>
      <c r="E752" s="1">
        <f ca="1">IFERROR(__xludf.DUMMYFUNCTION("""COMPUTED_VALUE"""),43.75)</f>
        <v>43.75</v>
      </c>
      <c r="F752" s="1">
        <f ca="1">IFERROR(__xludf.DUMMYFUNCTION("""COMPUTED_VALUE"""),16349444)</f>
        <v>16349444</v>
      </c>
    </row>
    <row r="753" spans="1:6" x14ac:dyDescent="0.35">
      <c r="A753" s="2">
        <f ca="1">IFERROR(__xludf.DUMMYFUNCTION("""COMPUTED_VALUE"""),43095.6666666666)</f>
        <v>43095.666666666599</v>
      </c>
      <c r="B753" s="1">
        <f ca="1">IFERROR(__xludf.DUMMYFUNCTION("""COMPUTED_VALUE"""),42.7)</f>
        <v>42.7</v>
      </c>
      <c r="C753" s="1">
        <f ca="1">IFERROR(__xludf.DUMMYFUNCTION("""COMPUTED_VALUE"""),42.87)</f>
        <v>42.87</v>
      </c>
      <c r="D753" s="1">
        <f ca="1">IFERROR(__xludf.DUMMYFUNCTION("""COMPUTED_VALUE"""),42.42)</f>
        <v>42.42</v>
      </c>
      <c r="E753" s="1">
        <f ca="1">IFERROR(__xludf.DUMMYFUNCTION("""COMPUTED_VALUE"""),42.64)</f>
        <v>42.64</v>
      </c>
      <c r="F753" s="1">
        <f ca="1">IFERROR(__xludf.DUMMYFUNCTION("""COMPUTED_VALUE"""),33185536)</f>
        <v>33185536</v>
      </c>
    </row>
    <row r="754" spans="1:6" x14ac:dyDescent="0.35">
      <c r="A754" s="2">
        <f ca="1">IFERROR(__xludf.DUMMYFUNCTION("""COMPUTED_VALUE"""),43096.6666666666)</f>
        <v>43096.666666666599</v>
      </c>
      <c r="B754" s="1">
        <f ca="1">IFERROR(__xludf.DUMMYFUNCTION("""COMPUTED_VALUE"""),42.53)</f>
        <v>42.53</v>
      </c>
      <c r="C754" s="1">
        <f ca="1">IFERROR(__xludf.DUMMYFUNCTION("""COMPUTED_VALUE"""),42.7)</f>
        <v>42.7</v>
      </c>
      <c r="D754" s="1">
        <f ca="1">IFERROR(__xludf.DUMMYFUNCTION("""COMPUTED_VALUE"""),42.43)</f>
        <v>42.43</v>
      </c>
      <c r="E754" s="1">
        <f ca="1">IFERROR(__xludf.DUMMYFUNCTION("""COMPUTED_VALUE"""),42.65)</f>
        <v>42.65</v>
      </c>
      <c r="F754" s="1">
        <f ca="1">IFERROR(__xludf.DUMMYFUNCTION("""COMPUTED_VALUE"""),21498213)</f>
        <v>21498213</v>
      </c>
    </row>
    <row r="755" spans="1:6" x14ac:dyDescent="0.35">
      <c r="A755" s="2">
        <f ca="1">IFERROR(__xludf.DUMMYFUNCTION("""COMPUTED_VALUE"""),43097.6666666666)</f>
        <v>43097.666666666599</v>
      </c>
      <c r="B755" s="1">
        <f ca="1">IFERROR(__xludf.DUMMYFUNCTION("""COMPUTED_VALUE"""),42.75)</f>
        <v>42.75</v>
      </c>
      <c r="C755" s="1">
        <f ca="1">IFERROR(__xludf.DUMMYFUNCTION("""COMPUTED_VALUE"""),42.96)</f>
        <v>42.96</v>
      </c>
      <c r="D755" s="1">
        <f ca="1">IFERROR(__xludf.DUMMYFUNCTION("""COMPUTED_VALUE"""),42.62)</f>
        <v>42.62</v>
      </c>
      <c r="E755" s="1">
        <f ca="1">IFERROR(__xludf.DUMMYFUNCTION("""COMPUTED_VALUE"""),42.77)</f>
        <v>42.77</v>
      </c>
      <c r="F755" s="1">
        <f ca="1">IFERROR(__xludf.DUMMYFUNCTION("""COMPUTED_VALUE"""),16480187)</f>
        <v>16480187</v>
      </c>
    </row>
    <row r="756" spans="1:6" x14ac:dyDescent="0.35">
      <c r="A756" s="2">
        <f ca="1">IFERROR(__xludf.DUMMYFUNCTION("""COMPUTED_VALUE"""),43098.6666666666)</f>
        <v>43098.666666666599</v>
      </c>
      <c r="B756" s="1">
        <f ca="1">IFERROR(__xludf.DUMMYFUNCTION("""COMPUTED_VALUE"""),42.63)</f>
        <v>42.63</v>
      </c>
      <c r="C756" s="1">
        <f ca="1">IFERROR(__xludf.DUMMYFUNCTION("""COMPUTED_VALUE"""),42.65)</f>
        <v>42.65</v>
      </c>
      <c r="D756" s="1">
        <f ca="1">IFERROR(__xludf.DUMMYFUNCTION("""COMPUTED_VALUE"""),42.31)</f>
        <v>42.31</v>
      </c>
      <c r="E756" s="1">
        <f ca="1">IFERROR(__xludf.DUMMYFUNCTION("""COMPUTED_VALUE"""),42.31)</f>
        <v>42.31</v>
      </c>
      <c r="F756" s="1">
        <f ca="1">IFERROR(__xludf.DUMMYFUNCTION("""COMPUTED_VALUE"""),25999922)</f>
        <v>25999922</v>
      </c>
    </row>
    <row r="757" spans="1:6" x14ac:dyDescent="0.35">
      <c r="A757" s="2">
        <f ca="1">IFERROR(__xludf.DUMMYFUNCTION("""COMPUTED_VALUE"""),43102.6666666666)</f>
        <v>43102.666666666599</v>
      </c>
      <c r="B757" s="1">
        <f ca="1">IFERROR(__xludf.DUMMYFUNCTION("""COMPUTED_VALUE"""),42.54)</f>
        <v>42.54</v>
      </c>
      <c r="C757" s="1">
        <f ca="1">IFERROR(__xludf.DUMMYFUNCTION("""COMPUTED_VALUE"""),43.08)</f>
        <v>43.08</v>
      </c>
      <c r="D757" s="1">
        <f ca="1">IFERROR(__xludf.DUMMYFUNCTION("""COMPUTED_VALUE"""),42.32)</f>
        <v>42.32</v>
      </c>
      <c r="E757" s="1">
        <f ca="1">IFERROR(__xludf.DUMMYFUNCTION("""COMPUTED_VALUE"""),43.07)</f>
        <v>43.07</v>
      </c>
      <c r="F757" s="1">
        <f ca="1">IFERROR(__xludf.DUMMYFUNCTION("""COMPUTED_VALUE"""),25555934)</f>
        <v>25555934</v>
      </c>
    </row>
    <row r="758" spans="1:6" x14ac:dyDescent="0.35">
      <c r="A758" s="2">
        <f ca="1">IFERROR(__xludf.DUMMYFUNCTION("""COMPUTED_VALUE"""),43103.6666666666)</f>
        <v>43103.666666666599</v>
      </c>
      <c r="B758" s="1">
        <f ca="1">IFERROR(__xludf.DUMMYFUNCTION("""COMPUTED_VALUE"""),43.13)</f>
        <v>43.13</v>
      </c>
      <c r="C758" s="1">
        <f ca="1">IFERROR(__xludf.DUMMYFUNCTION("""COMPUTED_VALUE"""),43.64)</f>
        <v>43.64</v>
      </c>
      <c r="D758" s="1">
        <f ca="1">IFERROR(__xludf.DUMMYFUNCTION("""COMPUTED_VALUE"""),42.99)</f>
        <v>42.99</v>
      </c>
      <c r="E758" s="1">
        <f ca="1">IFERROR(__xludf.DUMMYFUNCTION("""COMPUTED_VALUE"""),43.06)</f>
        <v>43.06</v>
      </c>
      <c r="F758" s="1">
        <f ca="1">IFERROR(__xludf.DUMMYFUNCTION("""COMPUTED_VALUE"""),29517899)</f>
        <v>29517899</v>
      </c>
    </row>
    <row r="759" spans="1:6" x14ac:dyDescent="0.35">
      <c r="A759" s="2">
        <f ca="1">IFERROR(__xludf.DUMMYFUNCTION("""COMPUTED_VALUE"""),43104.6666666666)</f>
        <v>43104.666666666599</v>
      </c>
      <c r="B759" s="1">
        <f ca="1">IFERROR(__xludf.DUMMYFUNCTION("""COMPUTED_VALUE"""),43.14)</f>
        <v>43.14</v>
      </c>
      <c r="C759" s="1">
        <f ca="1">IFERROR(__xludf.DUMMYFUNCTION("""COMPUTED_VALUE"""),43.37)</f>
        <v>43.37</v>
      </c>
      <c r="D759" s="1">
        <f ca="1">IFERROR(__xludf.DUMMYFUNCTION("""COMPUTED_VALUE"""),43.02)</f>
        <v>43.02</v>
      </c>
      <c r="E759" s="1">
        <f ca="1">IFERROR(__xludf.DUMMYFUNCTION("""COMPUTED_VALUE"""),43.26)</f>
        <v>43.26</v>
      </c>
      <c r="F759" s="1">
        <f ca="1">IFERROR(__xludf.DUMMYFUNCTION("""COMPUTED_VALUE"""),22434597)</f>
        <v>22434597</v>
      </c>
    </row>
    <row r="760" spans="1:6" x14ac:dyDescent="0.35">
      <c r="A760" s="2">
        <f ca="1">IFERROR(__xludf.DUMMYFUNCTION("""COMPUTED_VALUE"""),43105.6666666666)</f>
        <v>43105.666666666599</v>
      </c>
      <c r="B760" s="1">
        <f ca="1">IFERROR(__xludf.DUMMYFUNCTION("""COMPUTED_VALUE"""),43.36)</f>
        <v>43.36</v>
      </c>
      <c r="C760" s="1">
        <f ca="1">IFERROR(__xludf.DUMMYFUNCTION("""COMPUTED_VALUE"""),43.84)</f>
        <v>43.84</v>
      </c>
      <c r="D760" s="1">
        <f ca="1">IFERROR(__xludf.DUMMYFUNCTION("""COMPUTED_VALUE"""),43.26)</f>
        <v>43.26</v>
      </c>
      <c r="E760" s="1">
        <f ca="1">IFERROR(__xludf.DUMMYFUNCTION("""COMPUTED_VALUE"""),43.75)</f>
        <v>43.75</v>
      </c>
      <c r="F760" s="1">
        <f ca="1">IFERROR(__xludf.DUMMYFUNCTION("""COMPUTED_VALUE"""),23660018)</f>
        <v>23660018</v>
      </c>
    </row>
    <row r="761" spans="1:6" x14ac:dyDescent="0.35">
      <c r="A761" s="2">
        <f ca="1">IFERROR(__xludf.DUMMYFUNCTION("""COMPUTED_VALUE"""),43108.6666666666)</f>
        <v>43108.666666666599</v>
      </c>
      <c r="B761" s="1">
        <f ca="1">IFERROR(__xludf.DUMMYFUNCTION("""COMPUTED_VALUE"""),43.59)</f>
        <v>43.59</v>
      </c>
      <c r="C761" s="1">
        <f ca="1">IFERROR(__xludf.DUMMYFUNCTION("""COMPUTED_VALUE"""),43.9)</f>
        <v>43.9</v>
      </c>
      <c r="D761" s="1">
        <f ca="1">IFERROR(__xludf.DUMMYFUNCTION("""COMPUTED_VALUE"""),43.48)</f>
        <v>43.48</v>
      </c>
      <c r="E761" s="1">
        <f ca="1">IFERROR(__xludf.DUMMYFUNCTION("""COMPUTED_VALUE"""),43.59)</f>
        <v>43.59</v>
      </c>
      <c r="F761" s="1">
        <f ca="1">IFERROR(__xludf.DUMMYFUNCTION("""COMPUTED_VALUE"""),20567766)</f>
        <v>20567766</v>
      </c>
    </row>
    <row r="762" spans="1:6" x14ac:dyDescent="0.35">
      <c r="A762" s="2">
        <f ca="1">IFERROR(__xludf.DUMMYFUNCTION("""COMPUTED_VALUE"""),43109.6666666666)</f>
        <v>43109.666666666599</v>
      </c>
      <c r="B762" s="1">
        <f ca="1">IFERROR(__xludf.DUMMYFUNCTION("""COMPUTED_VALUE"""),43.64)</f>
        <v>43.64</v>
      </c>
      <c r="C762" s="1">
        <f ca="1">IFERROR(__xludf.DUMMYFUNCTION("""COMPUTED_VALUE"""),43.77)</f>
        <v>43.77</v>
      </c>
      <c r="D762" s="1">
        <f ca="1">IFERROR(__xludf.DUMMYFUNCTION("""COMPUTED_VALUE"""),43.35)</f>
        <v>43.35</v>
      </c>
      <c r="E762" s="1">
        <f ca="1">IFERROR(__xludf.DUMMYFUNCTION("""COMPUTED_VALUE"""),43.58)</f>
        <v>43.58</v>
      </c>
      <c r="F762" s="1">
        <f ca="1">IFERROR(__xludf.DUMMYFUNCTION("""COMPUTED_VALUE"""),21583997)</f>
        <v>21583997</v>
      </c>
    </row>
    <row r="763" spans="1:6" x14ac:dyDescent="0.35">
      <c r="A763" s="2">
        <f ca="1">IFERROR(__xludf.DUMMYFUNCTION("""COMPUTED_VALUE"""),43110.6666666666)</f>
        <v>43110.666666666599</v>
      </c>
      <c r="B763" s="1">
        <f ca="1">IFERROR(__xludf.DUMMYFUNCTION("""COMPUTED_VALUE"""),43.29)</f>
        <v>43.29</v>
      </c>
      <c r="C763" s="1">
        <f ca="1">IFERROR(__xludf.DUMMYFUNCTION("""COMPUTED_VALUE"""),43.58)</f>
        <v>43.58</v>
      </c>
      <c r="D763" s="1">
        <f ca="1">IFERROR(__xludf.DUMMYFUNCTION("""COMPUTED_VALUE"""),43.25)</f>
        <v>43.25</v>
      </c>
      <c r="E763" s="1">
        <f ca="1">IFERROR(__xludf.DUMMYFUNCTION("""COMPUTED_VALUE"""),43.57)</f>
        <v>43.57</v>
      </c>
      <c r="F763" s="1">
        <f ca="1">IFERROR(__xludf.DUMMYFUNCTION("""COMPUTED_VALUE"""),23959895)</f>
        <v>23959895</v>
      </c>
    </row>
    <row r="764" spans="1:6" x14ac:dyDescent="0.35">
      <c r="A764" s="2">
        <f ca="1">IFERROR(__xludf.DUMMYFUNCTION("""COMPUTED_VALUE"""),43111.6666666666)</f>
        <v>43111.666666666599</v>
      </c>
      <c r="B764" s="1">
        <f ca="1">IFERROR(__xludf.DUMMYFUNCTION("""COMPUTED_VALUE"""),43.65)</f>
        <v>43.65</v>
      </c>
      <c r="C764" s="1">
        <f ca="1">IFERROR(__xludf.DUMMYFUNCTION("""COMPUTED_VALUE"""),43.87)</f>
        <v>43.87</v>
      </c>
      <c r="D764" s="1">
        <f ca="1">IFERROR(__xludf.DUMMYFUNCTION("""COMPUTED_VALUE"""),43.62)</f>
        <v>43.62</v>
      </c>
      <c r="E764" s="1">
        <f ca="1">IFERROR(__xludf.DUMMYFUNCTION("""COMPUTED_VALUE"""),43.82)</f>
        <v>43.82</v>
      </c>
      <c r="F764" s="1">
        <f ca="1">IFERROR(__xludf.DUMMYFUNCTION("""COMPUTED_VALUE"""),18667729)</f>
        <v>18667729</v>
      </c>
    </row>
    <row r="765" spans="1:6" x14ac:dyDescent="0.35">
      <c r="A765" s="2">
        <f ca="1">IFERROR(__xludf.DUMMYFUNCTION("""COMPUTED_VALUE"""),43112.6666666666)</f>
        <v>43112.666666666599</v>
      </c>
      <c r="B765" s="1">
        <f ca="1">IFERROR(__xludf.DUMMYFUNCTION("""COMPUTED_VALUE"""),44.05)</f>
        <v>44.05</v>
      </c>
      <c r="C765" s="1">
        <f ca="1">IFERROR(__xludf.DUMMYFUNCTION("""COMPUTED_VALUE"""),44.34)</f>
        <v>44.34</v>
      </c>
      <c r="D765" s="1">
        <f ca="1">IFERROR(__xludf.DUMMYFUNCTION("""COMPUTED_VALUE"""),43.91)</f>
        <v>43.91</v>
      </c>
      <c r="E765" s="1">
        <f ca="1">IFERROR(__xludf.DUMMYFUNCTION("""COMPUTED_VALUE"""),44.27)</f>
        <v>44.27</v>
      </c>
      <c r="F765" s="1">
        <f ca="1">IFERROR(__xludf.DUMMYFUNCTION("""COMPUTED_VALUE"""),25418080)</f>
        <v>25418080</v>
      </c>
    </row>
    <row r="766" spans="1:6" x14ac:dyDescent="0.35">
      <c r="A766" s="2">
        <f ca="1">IFERROR(__xludf.DUMMYFUNCTION("""COMPUTED_VALUE"""),43116.6666666666)</f>
        <v>43116.666666666599</v>
      </c>
      <c r="B766" s="1">
        <f ca="1">IFERROR(__xludf.DUMMYFUNCTION("""COMPUTED_VALUE"""),44.48)</f>
        <v>44.48</v>
      </c>
      <c r="C766" s="1">
        <f ca="1">IFERROR(__xludf.DUMMYFUNCTION("""COMPUTED_VALUE"""),44.85)</f>
        <v>44.85</v>
      </c>
      <c r="D766" s="1">
        <f ca="1">IFERROR(__xludf.DUMMYFUNCTION("""COMPUTED_VALUE"""),44.04)</f>
        <v>44.04</v>
      </c>
      <c r="E766" s="1">
        <f ca="1">IFERROR(__xludf.DUMMYFUNCTION("""COMPUTED_VALUE"""),44.05)</f>
        <v>44.05</v>
      </c>
      <c r="F766" s="1">
        <f ca="1">IFERROR(__xludf.DUMMYFUNCTION("""COMPUTED_VALUE"""),29565947)</f>
        <v>29565947</v>
      </c>
    </row>
    <row r="767" spans="1:6" x14ac:dyDescent="0.35">
      <c r="A767" s="2">
        <f ca="1">IFERROR(__xludf.DUMMYFUNCTION("""COMPUTED_VALUE"""),43117.6666666666)</f>
        <v>43117.666666666599</v>
      </c>
      <c r="B767" s="1">
        <f ca="1">IFERROR(__xludf.DUMMYFUNCTION("""COMPUTED_VALUE"""),44.04)</f>
        <v>44.04</v>
      </c>
      <c r="C767" s="1">
        <f ca="1">IFERROR(__xludf.DUMMYFUNCTION("""COMPUTED_VALUE"""),44.81)</f>
        <v>44.81</v>
      </c>
      <c r="D767" s="1">
        <f ca="1">IFERROR(__xludf.DUMMYFUNCTION("""COMPUTED_VALUE"""),43.77)</f>
        <v>43.77</v>
      </c>
      <c r="E767" s="1">
        <f ca="1">IFERROR(__xludf.DUMMYFUNCTION("""COMPUTED_VALUE"""),44.78)</f>
        <v>44.78</v>
      </c>
      <c r="F767" s="1">
        <f ca="1">IFERROR(__xludf.DUMMYFUNCTION("""COMPUTED_VALUE"""),34386836)</f>
        <v>34386836</v>
      </c>
    </row>
    <row r="768" spans="1:6" x14ac:dyDescent="0.35">
      <c r="A768" s="2">
        <f ca="1">IFERROR(__xludf.DUMMYFUNCTION("""COMPUTED_VALUE"""),43118.6666666666)</f>
        <v>43118.666666666599</v>
      </c>
      <c r="B768" s="1">
        <f ca="1">IFERROR(__xludf.DUMMYFUNCTION("""COMPUTED_VALUE"""),44.84)</f>
        <v>44.84</v>
      </c>
      <c r="C768" s="1">
        <f ca="1">IFERROR(__xludf.DUMMYFUNCTION("""COMPUTED_VALUE"""),45.03)</f>
        <v>45.03</v>
      </c>
      <c r="D768" s="1">
        <f ca="1">IFERROR(__xludf.DUMMYFUNCTION("""COMPUTED_VALUE"""),44.56)</f>
        <v>44.56</v>
      </c>
      <c r="E768" s="1">
        <f ca="1">IFERROR(__xludf.DUMMYFUNCTION("""COMPUTED_VALUE"""),44.82)</f>
        <v>44.82</v>
      </c>
      <c r="F768" s="1">
        <f ca="1">IFERROR(__xludf.DUMMYFUNCTION("""COMPUTED_VALUE"""),31193352)</f>
        <v>31193352</v>
      </c>
    </row>
    <row r="769" spans="1:6" x14ac:dyDescent="0.35">
      <c r="A769" s="2">
        <f ca="1">IFERROR(__xludf.DUMMYFUNCTION("""COMPUTED_VALUE"""),43119.6666666666)</f>
        <v>43119.666666666599</v>
      </c>
      <c r="B769" s="1">
        <f ca="1">IFERROR(__xludf.DUMMYFUNCTION("""COMPUTED_VALUE"""),44.65)</f>
        <v>44.65</v>
      </c>
      <c r="C769" s="1">
        <f ca="1">IFERROR(__xludf.DUMMYFUNCTION("""COMPUTED_VALUE"""),44.9)</f>
        <v>44.9</v>
      </c>
      <c r="D769" s="1">
        <f ca="1">IFERROR(__xludf.DUMMYFUNCTION("""COMPUTED_VALUE"""),44.35)</f>
        <v>44.35</v>
      </c>
      <c r="E769" s="1">
        <f ca="1">IFERROR(__xludf.DUMMYFUNCTION("""COMPUTED_VALUE"""),44.62)</f>
        <v>44.62</v>
      </c>
      <c r="F769" s="1">
        <f ca="1">IFERROR(__xludf.DUMMYFUNCTION("""COMPUTED_VALUE"""),32425067)</f>
        <v>32425067</v>
      </c>
    </row>
    <row r="770" spans="1:6" x14ac:dyDescent="0.35">
      <c r="A770" s="2">
        <f ca="1">IFERROR(__xludf.DUMMYFUNCTION("""COMPUTED_VALUE"""),43122.6666666666)</f>
        <v>43122.666666666599</v>
      </c>
      <c r="B770" s="1">
        <f ca="1">IFERROR(__xludf.DUMMYFUNCTION("""COMPUTED_VALUE"""),44.33)</f>
        <v>44.33</v>
      </c>
      <c r="C770" s="1">
        <f ca="1">IFERROR(__xludf.DUMMYFUNCTION("""COMPUTED_VALUE"""),44.45)</f>
        <v>44.45</v>
      </c>
      <c r="D770" s="1">
        <f ca="1">IFERROR(__xludf.DUMMYFUNCTION("""COMPUTED_VALUE"""),44.15)</f>
        <v>44.15</v>
      </c>
      <c r="E770" s="1">
        <f ca="1">IFERROR(__xludf.DUMMYFUNCTION("""COMPUTED_VALUE"""),44.25)</f>
        <v>44.25</v>
      </c>
      <c r="F770" s="1">
        <f ca="1">IFERROR(__xludf.DUMMYFUNCTION("""COMPUTED_VALUE"""),27108551)</f>
        <v>27108551</v>
      </c>
    </row>
    <row r="771" spans="1:6" x14ac:dyDescent="0.35">
      <c r="A771" s="2">
        <f ca="1">IFERROR(__xludf.DUMMYFUNCTION("""COMPUTED_VALUE"""),43123.6666666666)</f>
        <v>43123.666666666599</v>
      </c>
      <c r="B771" s="1">
        <f ca="1">IFERROR(__xludf.DUMMYFUNCTION("""COMPUTED_VALUE"""),44.33)</f>
        <v>44.33</v>
      </c>
      <c r="C771" s="1">
        <f ca="1">IFERROR(__xludf.DUMMYFUNCTION("""COMPUTED_VALUE"""),44.86)</f>
        <v>44.86</v>
      </c>
      <c r="D771" s="1">
        <f ca="1">IFERROR(__xludf.DUMMYFUNCTION("""COMPUTED_VALUE"""),44.21)</f>
        <v>44.21</v>
      </c>
      <c r="E771" s="1">
        <f ca="1">IFERROR(__xludf.DUMMYFUNCTION("""COMPUTED_VALUE"""),44.26)</f>
        <v>44.26</v>
      </c>
      <c r="F771" s="1">
        <f ca="1">IFERROR(__xludf.DUMMYFUNCTION("""COMPUTED_VALUE"""),32689146)</f>
        <v>32689146</v>
      </c>
    </row>
    <row r="772" spans="1:6" x14ac:dyDescent="0.35">
      <c r="A772" s="2">
        <f ca="1">IFERROR(__xludf.DUMMYFUNCTION("""COMPUTED_VALUE"""),43124.6666666666)</f>
        <v>43124.666666666599</v>
      </c>
      <c r="B772" s="1">
        <f ca="1">IFERROR(__xludf.DUMMYFUNCTION("""COMPUTED_VALUE"""),44.31)</f>
        <v>44.31</v>
      </c>
      <c r="C772" s="1">
        <f ca="1">IFERROR(__xludf.DUMMYFUNCTION("""COMPUTED_VALUE"""),44.33)</f>
        <v>44.33</v>
      </c>
      <c r="D772" s="1">
        <f ca="1">IFERROR(__xludf.DUMMYFUNCTION("""COMPUTED_VALUE"""),43.3)</f>
        <v>43.3</v>
      </c>
      <c r="E772" s="1">
        <f ca="1">IFERROR(__xludf.DUMMYFUNCTION("""COMPUTED_VALUE"""),43.56)</f>
        <v>43.56</v>
      </c>
      <c r="F772" s="1">
        <f ca="1">IFERROR(__xludf.DUMMYFUNCTION("""COMPUTED_VALUE"""),51105090)</f>
        <v>51105090</v>
      </c>
    </row>
    <row r="773" spans="1:6" x14ac:dyDescent="0.35">
      <c r="A773" s="2">
        <f ca="1">IFERROR(__xludf.DUMMYFUNCTION("""COMPUTED_VALUE"""),43125.6666666666)</f>
        <v>43125.666666666599</v>
      </c>
      <c r="B773" s="1">
        <f ca="1">IFERROR(__xludf.DUMMYFUNCTION("""COMPUTED_VALUE"""),43.63)</f>
        <v>43.63</v>
      </c>
      <c r="C773" s="1">
        <f ca="1">IFERROR(__xludf.DUMMYFUNCTION("""COMPUTED_VALUE"""),43.74)</f>
        <v>43.74</v>
      </c>
      <c r="D773" s="1">
        <f ca="1">IFERROR(__xludf.DUMMYFUNCTION("""COMPUTED_VALUE"""),42.63)</f>
        <v>42.63</v>
      </c>
      <c r="E773" s="1">
        <f ca="1">IFERROR(__xludf.DUMMYFUNCTION("""COMPUTED_VALUE"""),42.78)</f>
        <v>42.78</v>
      </c>
      <c r="F773" s="1">
        <f ca="1">IFERROR(__xludf.DUMMYFUNCTION("""COMPUTED_VALUE"""),41529004)</f>
        <v>41529004</v>
      </c>
    </row>
    <row r="774" spans="1:6" x14ac:dyDescent="0.35">
      <c r="A774" s="2">
        <f ca="1">IFERROR(__xludf.DUMMYFUNCTION("""COMPUTED_VALUE"""),43126.6666666666)</f>
        <v>43126.666666666599</v>
      </c>
      <c r="B774" s="1">
        <f ca="1">IFERROR(__xludf.DUMMYFUNCTION("""COMPUTED_VALUE"""),43)</f>
        <v>43</v>
      </c>
      <c r="C774" s="1">
        <f ca="1">IFERROR(__xludf.DUMMYFUNCTION("""COMPUTED_VALUE"""),43)</f>
        <v>43</v>
      </c>
      <c r="D774" s="1">
        <f ca="1">IFERROR(__xludf.DUMMYFUNCTION("""COMPUTED_VALUE"""),42.52)</f>
        <v>42.52</v>
      </c>
      <c r="E774" s="1">
        <f ca="1">IFERROR(__xludf.DUMMYFUNCTION("""COMPUTED_VALUE"""),42.88)</f>
        <v>42.88</v>
      </c>
      <c r="F774" s="1">
        <f ca="1">IFERROR(__xludf.DUMMYFUNCTION("""COMPUTED_VALUE"""),39143011)</f>
        <v>39143011</v>
      </c>
    </row>
    <row r="775" spans="1:6" x14ac:dyDescent="0.35">
      <c r="A775" s="2">
        <f ca="1">IFERROR(__xludf.DUMMYFUNCTION("""COMPUTED_VALUE"""),43129.6666666666)</f>
        <v>43129.666666666599</v>
      </c>
      <c r="B775" s="1">
        <f ca="1">IFERROR(__xludf.DUMMYFUNCTION("""COMPUTED_VALUE"""),42.54)</f>
        <v>42.54</v>
      </c>
      <c r="C775" s="1">
        <f ca="1">IFERROR(__xludf.DUMMYFUNCTION("""COMPUTED_VALUE"""),42.54)</f>
        <v>42.54</v>
      </c>
      <c r="D775" s="1">
        <f ca="1">IFERROR(__xludf.DUMMYFUNCTION("""COMPUTED_VALUE"""),41.77)</f>
        <v>41.77</v>
      </c>
      <c r="E775" s="1">
        <f ca="1">IFERROR(__xludf.DUMMYFUNCTION("""COMPUTED_VALUE"""),41.99)</f>
        <v>41.99</v>
      </c>
      <c r="F775" s="1">
        <f ca="1">IFERROR(__xludf.DUMMYFUNCTION("""COMPUTED_VALUE"""),50640406)</f>
        <v>50640406</v>
      </c>
    </row>
    <row r="776" spans="1:6" x14ac:dyDescent="0.35">
      <c r="A776" s="2">
        <f ca="1">IFERROR(__xludf.DUMMYFUNCTION("""COMPUTED_VALUE"""),43130.6666666666)</f>
        <v>43130.666666666599</v>
      </c>
      <c r="B776" s="1">
        <f ca="1">IFERROR(__xludf.DUMMYFUNCTION("""COMPUTED_VALUE"""),41.38)</f>
        <v>41.38</v>
      </c>
      <c r="C776" s="1">
        <f ca="1">IFERROR(__xludf.DUMMYFUNCTION("""COMPUTED_VALUE"""),41.84)</f>
        <v>41.84</v>
      </c>
      <c r="D776" s="1">
        <f ca="1">IFERROR(__xludf.DUMMYFUNCTION("""COMPUTED_VALUE"""),41.18)</f>
        <v>41.18</v>
      </c>
      <c r="E776" s="1">
        <f ca="1">IFERROR(__xludf.DUMMYFUNCTION("""COMPUTED_VALUE"""),41.74)</f>
        <v>41.74</v>
      </c>
      <c r="F776" s="1">
        <f ca="1">IFERROR(__xludf.DUMMYFUNCTION("""COMPUTED_VALUE"""),46048185)</f>
        <v>46048185</v>
      </c>
    </row>
    <row r="777" spans="1:6" x14ac:dyDescent="0.35">
      <c r="A777" s="2">
        <f ca="1">IFERROR(__xludf.DUMMYFUNCTION("""COMPUTED_VALUE"""),43131.6666666666)</f>
        <v>43131.666666666599</v>
      </c>
      <c r="B777" s="1">
        <f ca="1">IFERROR(__xludf.DUMMYFUNCTION("""COMPUTED_VALUE"""),41.72)</f>
        <v>41.72</v>
      </c>
      <c r="C777" s="1">
        <f ca="1">IFERROR(__xludf.DUMMYFUNCTION("""COMPUTED_VALUE"""),42.11)</f>
        <v>42.11</v>
      </c>
      <c r="D777" s="1">
        <f ca="1">IFERROR(__xludf.DUMMYFUNCTION("""COMPUTED_VALUE"""),41.63)</f>
        <v>41.63</v>
      </c>
      <c r="E777" s="1">
        <f ca="1">IFERROR(__xludf.DUMMYFUNCTION("""COMPUTED_VALUE"""),41.86)</f>
        <v>41.86</v>
      </c>
      <c r="F777" s="1">
        <f ca="1">IFERROR(__xludf.DUMMYFUNCTION("""COMPUTED_VALUE"""),32478930)</f>
        <v>32478930</v>
      </c>
    </row>
    <row r="778" spans="1:6" x14ac:dyDescent="0.35">
      <c r="A778" s="2">
        <f ca="1">IFERROR(__xludf.DUMMYFUNCTION("""COMPUTED_VALUE"""),43132.6666666666)</f>
        <v>43132.666666666599</v>
      </c>
      <c r="B778" s="1">
        <f ca="1">IFERROR(__xludf.DUMMYFUNCTION("""COMPUTED_VALUE"""),41.79)</f>
        <v>41.79</v>
      </c>
      <c r="C778" s="1">
        <f ca="1">IFERROR(__xludf.DUMMYFUNCTION("""COMPUTED_VALUE"""),42.16)</f>
        <v>42.16</v>
      </c>
      <c r="D778" s="1">
        <f ca="1">IFERROR(__xludf.DUMMYFUNCTION("""COMPUTED_VALUE"""),41.69)</f>
        <v>41.69</v>
      </c>
      <c r="E778" s="1">
        <f ca="1">IFERROR(__xludf.DUMMYFUNCTION("""COMPUTED_VALUE"""),41.95)</f>
        <v>41.95</v>
      </c>
      <c r="F778" s="1">
        <f ca="1">IFERROR(__xludf.DUMMYFUNCTION("""COMPUTED_VALUE"""),47230787)</f>
        <v>47230787</v>
      </c>
    </row>
    <row r="779" spans="1:6" x14ac:dyDescent="0.35">
      <c r="A779" s="2">
        <f ca="1">IFERROR(__xludf.DUMMYFUNCTION("""COMPUTED_VALUE"""),43133.6666666666)</f>
        <v>43133.666666666599</v>
      </c>
      <c r="B779" s="1">
        <f ca="1">IFERROR(__xludf.DUMMYFUNCTION("""COMPUTED_VALUE"""),41.5)</f>
        <v>41.5</v>
      </c>
      <c r="C779" s="1">
        <f ca="1">IFERROR(__xludf.DUMMYFUNCTION("""COMPUTED_VALUE"""),41.7)</f>
        <v>41.7</v>
      </c>
      <c r="D779" s="1">
        <f ca="1">IFERROR(__xludf.DUMMYFUNCTION("""COMPUTED_VALUE"""),40.03)</f>
        <v>40.03</v>
      </c>
      <c r="E779" s="1">
        <f ca="1">IFERROR(__xludf.DUMMYFUNCTION("""COMPUTED_VALUE"""),40.13)</f>
        <v>40.130000000000003</v>
      </c>
      <c r="F779" s="1">
        <f ca="1">IFERROR(__xludf.DUMMYFUNCTION("""COMPUTED_VALUE"""),86593825)</f>
        <v>86593825</v>
      </c>
    </row>
    <row r="780" spans="1:6" x14ac:dyDescent="0.35">
      <c r="A780" s="2">
        <f ca="1">IFERROR(__xludf.DUMMYFUNCTION("""COMPUTED_VALUE"""),43136.6666666666)</f>
        <v>43136.666666666599</v>
      </c>
      <c r="B780" s="1">
        <f ca="1">IFERROR(__xludf.DUMMYFUNCTION("""COMPUTED_VALUE"""),39.78)</f>
        <v>39.78</v>
      </c>
      <c r="C780" s="1">
        <f ca="1">IFERROR(__xludf.DUMMYFUNCTION("""COMPUTED_VALUE"""),40.97)</f>
        <v>40.97</v>
      </c>
      <c r="D780" s="1">
        <f ca="1">IFERROR(__xludf.DUMMYFUNCTION("""COMPUTED_VALUE"""),39)</f>
        <v>39</v>
      </c>
      <c r="E780" s="1">
        <f ca="1">IFERROR(__xludf.DUMMYFUNCTION("""COMPUTED_VALUE"""),39.12)</f>
        <v>39.119999999999997</v>
      </c>
      <c r="F780" s="1">
        <f ca="1">IFERROR(__xludf.DUMMYFUNCTION("""COMPUTED_VALUE"""),72738522)</f>
        <v>72738522</v>
      </c>
    </row>
    <row r="781" spans="1:6" x14ac:dyDescent="0.35">
      <c r="A781" s="2">
        <f ca="1">IFERROR(__xludf.DUMMYFUNCTION("""COMPUTED_VALUE"""),43137.6666666666)</f>
        <v>43137.666666666599</v>
      </c>
      <c r="B781" s="1">
        <f ca="1">IFERROR(__xludf.DUMMYFUNCTION("""COMPUTED_VALUE"""),38.71)</f>
        <v>38.71</v>
      </c>
      <c r="C781" s="1">
        <f ca="1">IFERROR(__xludf.DUMMYFUNCTION("""COMPUTED_VALUE"""),40.93)</f>
        <v>40.93</v>
      </c>
      <c r="D781" s="1">
        <f ca="1">IFERROR(__xludf.DUMMYFUNCTION("""COMPUTED_VALUE"""),38.5)</f>
        <v>38.5</v>
      </c>
      <c r="E781" s="1">
        <f ca="1">IFERROR(__xludf.DUMMYFUNCTION("""COMPUTED_VALUE"""),40.76)</f>
        <v>40.76</v>
      </c>
      <c r="F781" s="1">
        <f ca="1">IFERROR(__xludf.DUMMYFUNCTION("""COMPUTED_VALUE"""),68243838)</f>
        <v>68243838</v>
      </c>
    </row>
    <row r="782" spans="1:6" x14ac:dyDescent="0.35">
      <c r="A782" s="2">
        <f ca="1">IFERROR(__xludf.DUMMYFUNCTION("""COMPUTED_VALUE"""),43138.6666666666)</f>
        <v>43138.666666666599</v>
      </c>
      <c r="B782" s="1">
        <f ca="1">IFERROR(__xludf.DUMMYFUNCTION("""COMPUTED_VALUE"""),40.77)</f>
        <v>40.770000000000003</v>
      </c>
      <c r="C782" s="1">
        <f ca="1">IFERROR(__xludf.DUMMYFUNCTION("""COMPUTED_VALUE"""),40.85)</f>
        <v>40.85</v>
      </c>
      <c r="D782" s="1">
        <f ca="1">IFERROR(__xludf.DUMMYFUNCTION("""COMPUTED_VALUE"""),39.77)</f>
        <v>39.770000000000003</v>
      </c>
      <c r="E782" s="1">
        <f ca="1">IFERROR(__xludf.DUMMYFUNCTION("""COMPUTED_VALUE"""),39.89)</f>
        <v>39.89</v>
      </c>
      <c r="F782" s="1">
        <f ca="1">IFERROR(__xludf.DUMMYFUNCTION("""COMPUTED_VALUE"""),51608580)</f>
        <v>51608580</v>
      </c>
    </row>
    <row r="783" spans="1:6" x14ac:dyDescent="0.35">
      <c r="A783" s="2">
        <f ca="1">IFERROR(__xludf.DUMMYFUNCTION("""COMPUTED_VALUE"""),43139.6666666666)</f>
        <v>43139.666666666599</v>
      </c>
      <c r="B783" s="1">
        <f ca="1">IFERROR(__xludf.DUMMYFUNCTION("""COMPUTED_VALUE"""),40.07)</f>
        <v>40.07</v>
      </c>
      <c r="C783" s="1">
        <f ca="1">IFERROR(__xludf.DUMMYFUNCTION("""COMPUTED_VALUE"""),40.25)</f>
        <v>40.25</v>
      </c>
      <c r="D783" s="1">
        <f ca="1">IFERROR(__xludf.DUMMYFUNCTION("""COMPUTED_VALUE"""),38.76)</f>
        <v>38.76</v>
      </c>
      <c r="E783" s="1">
        <f ca="1">IFERROR(__xludf.DUMMYFUNCTION("""COMPUTED_VALUE"""),38.79)</f>
        <v>38.79</v>
      </c>
      <c r="F783" s="1">
        <f ca="1">IFERROR(__xludf.DUMMYFUNCTION("""COMPUTED_VALUE"""),54390516)</f>
        <v>54390516</v>
      </c>
    </row>
    <row r="784" spans="1:6" x14ac:dyDescent="0.35">
      <c r="A784" s="2">
        <f ca="1">IFERROR(__xludf.DUMMYFUNCTION("""COMPUTED_VALUE"""),43140.6666666666)</f>
        <v>43140.666666666599</v>
      </c>
      <c r="B784" s="1">
        <f ca="1">IFERROR(__xludf.DUMMYFUNCTION("""COMPUTED_VALUE"""),39.27)</f>
        <v>39.270000000000003</v>
      </c>
      <c r="C784" s="1">
        <f ca="1">IFERROR(__xludf.DUMMYFUNCTION("""COMPUTED_VALUE"""),39.47)</f>
        <v>39.47</v>
      </c>
      <c r="D784" s="1">
        <f ca="1">IFERROR(__xludf.DUMMYFUNCTION("""COMPUTED_VALUE"""),37.56)</f>
        <v>37.56</v>
      </c>
      <c r="E784" s="1">
        <f ca="1">IFERROR(__xludf.DUMMYFUNCTION("""COMPUTED_VALUE"""),39.1)</f>
        <v>39.1</v>
      </c>
      <c r="F784" s="1">
        <f ca="1">IFERROR(__xludf.DUMMYFUNCTION("""COMPUTED_VALUE"""),70672608)</f>
        <v>70672608</v>
      </c>
    </row>
    <row r="785" spans="1:6" x14ac:dyDescent="0.35">
      <c r="A785" s="2">
        <f ca="1">IFERROR(__xludf.DUMMYFUNCTION("""COMPUTED_VALUE"""),43143.6666666666)</f>
        <v>43143.666666666599</v>
      </c>
      <c r="B785" s="1">
        <f ca="1">IFERROR(__xludf.DUMMYFUNCTION("""COMPUTED_VALUE"""),39.63)</f>
        <v>39.630000000000003</v>
      </c>
      <c r="C785" s="1">
        <f ca="1">IFERROR(__xludf.DUMMYFUNCTION("""COMPUTED_VALUE"""),40.97)</f>
        <v>40.97</v>
      </c>
      <c r="D785" s="1">
        <f ca="1">IFERROR(__xludf.DUMMYFUNCTION("""COMPUTED_VALUE"""),39.38)</f>
        <v>39.380000000000003</v>
      </c>
      <c r="E785" s="1">
        <f ca="1">IFERROR(__xludf.DUMMYFUNCTION("""COMPUTED_VALUE"""),40.68)</f>
        <v>40.68</v>
      </c>
      <c r="F785" s="1">
        <f ca="1">IFERROR(__xludf.DUMMYFUNCTION("""COMPUTED_VALUE"""),60819539)</f>
        <v>60819539</v>
      </c>
    </row>
    <row r="786" spans="1:6" x14ac:dyDescent="0.35">
      <c r="A786" s="2">
        <f ca="1">IFERROR(__xludf.DUMMYFUNCTION("""COMPUTED_VALUE"""),43144.6666666666)</f>
        <v>43144.666666666599</v>
      </c>
      <c r="B786" s="1">
        <f ca="1">IFERROR(__xludf.DUMMYFUNCTION("""COMPUTED_VALUE"""),40.49)</f>
        <v>40.49</v>
      </c>
      <c r="C786" s="1">
        <f ca="1">IFERROR(__xludf.DUMMYFUNCTION("""COMPUTED_VALUE"""),41.19)</f>
        <v>41.19</v>
      </c>
      <c r="D786" s="1">
        <f ca="1">IFERROR(__xludf.DUMMYFUNCTION("""COMPUTED_VALUE"""),40.41)</f>
        <v>40.409999999999997</v>
      </c>
      <c r="E786" s="1">
        <f ca="1">IFERROR(__xludf.DUMMYFUNCTION("""COMPUTED_VALUE"""),41.09)</f>
        <v>41.09</v>
      </c>
      <c r="F786" s="1">
        <f ca="1">IFERROR(__xludf.DUMMYFUNCTION("""COMPUTED_VALUE"""),32549163)</f>
        <v>32549163</v>
      </c>
    </row>
    <row r="787" spans="1:6" x14ac:dyDescent="0.35">
      <c r="A787" s="2">
        <f ca="1">IFERROR(__xludf.DUMMYFUNCTION("""COMPUTED_VALUE"""),43145.6666666666)</f>
        <v>43145.666666666599</v>
      </c>
      <c r="B787" s="1">
        <f ca="1">IFERROR(__xludf.DUMMYFUNCTION("""COMPUTED_VALUE"""),40.76)</f>
        <v>40.76</v>
      </c>
      <c r="C787" s="1">
        <f ca="1">IFERROR(__xludf.DUMMYFUNCTION("""COMPUTED_VALUE"""),41.89)</f>
        <v>41.89</v>
      </c>
      <c r="D787" s="1">
        <f ca="1">IFERROR(__xludf.DUMMYFUNCTION("""COMPUTED_VALUE"""),40.72)</f>
        <v>40.72</v>
      </c>
      <c r="E787" s="1">
        <f ca="1">IFERROR(__xludf.DUMMYFUNCTION("""COMPUTED_VALUE"""),41.84)</f>
        <v>41.84</v>
      </c>
      <c r="F787" s="1">
        <f ca="1">IFERROR(__xludf.DUMMYFUNCTION("""COMPUTED_VALUE"""),40644933)</f>
        <v>40644933</v>
      </c>
    </row>
    <row r="788" spans="1:6" x14ac:dyDescent="0.35">
      <c r="A788" s="2">
        <f ca="1">IFERROR(__xludf.DUMMYFUNCTION("""COMPUTED_VALUE"""),43146.6666666666)</f>
        <v>43146.666666666599</v>
      </c>
      <c r="B788" s="1">
        <f ca="1">IFERROR(__xludf.DUMMYFUNCTION("""COMPUTED_VALUE"""),42.45)</f>
        <v>42.45</v>
      </c>
      <c r="C788" s="1">
        <f ca="1">IFERROR(__xludf.DUMMYFUNCTION("""COMPUTED_VALUE"""),43.27)</f>
        <v>43.27</v>
      </c>
      <c r="D788" s="1">
        <f ca="1">IFERROR(__xludf.DUMMYFUNCTION("""COMPUTED_VALUE"""),42.25)</f>
        <v>42.25</v>
      </c>
      <c r="E788" s="1">
        <f ca="1">IFERROR(__xludf.DUMMYFUNCTION("""COMPUTED_VALUE"""),43.25)</f>
        <v>43.25</v>
      </c>
      <c r="F788" s="1">
        <f ca="1">IFERROR(__xludf.DUMMYFUNCTION("""COMPUTED_VALUE"""),51147171)</f>
        <v>51147171</v>
      </c>
    </row>
    <row r="789" spans="1:6" x14ac:dyDescent="0.35">
      <c r="A789" s="2">
        <f ca="1">IFERROR(__xludf.DUMMYFUNCTION("""COMPUTED_VALUE"""),43147.6666666666)</f>
        <v>43147.666666666599</v>
      </c>
      <c r="B789" s="1">
        <f ca="1">IFERROR(__xludf.DUMMYFUNCTION("""COMPUTED_VALUE"""),43.09)</f>
        <v>43.09</v>
      </c>
      <c r="C789" s="1">
        <f ca="1">IFERROR(__xludf.DUMMYFUNCTION("""COMPUTED_VALUE"""),43.71)</f>
        <v>43.71</v>
      </c>
      <c r="D789" s="1">
        <f ca="1">IFERROR(__xludf.DUMMYFUNCTION("""COMPUTED_VALUE"""),42.94)</f>
        <v>42.94</v>
      </c>
      <c r="E789" s="1">
        <f ca="1">IFERROR(__xludf.DUMMYFUNCTION("""COMPUTED_VALUE"""),43.11)</f>
        <v>43.11</v>
      </c>
      <c r="F789" s="1">
        <f ca="1">IFERROR(__xludf.DUMMYFUNCTION("""COMPUTED_VALUE"""),40176091)</f>
        <v>40176091</v>
      </c>
    </row>
    <row r="790" spans="1:6" x14ac:dyDescent="0.35">
      <c r="A790" s="2">
        <f ca="1">IFERROR(__xludf.DUMMYFUNCTION("""COMPUTED_VALUE"""),43151.6666666666)</f>
        <v>43151.666666666599</v>
      </c>
      <c r="B790" s="1">
        <f ca="1">IFERROR(__xludf.DUMMYFUNCTION("""COMPUTED_VALUE"""),43.01)</f>
        <v>43.01</v>
      </c>
      <c r="C790" s="1">
        <f ca="1">IFERROR(__xludf.DUMMYFUNCTION("""COMPUTED_VALUE"""),43.57)</f>
        <v>43.57</v>
      </c>
      <c r="D790" s="1">
        <f ca="1">IFERROR(__xludf.DUMMYFUNCTION("""COMPUTED_VALUE"""),42.86)</f>
        <v>42.86</v>
      </c>
      <c r="E790" s="1">
        <f ca="1">IFERROR(__xludf.DUMMYFUNCTION("""COMPUTED_VALUE"""),42.96)</f>
        <v>42.96</v>
      </c>
      <c r="F790" s="1">
        <f ca="1">IFERROR(__xludf.DUMMYFUNCTION("""COMPUTED_VALUE"""),33930540)</f>
        <v>33930540</v>
      </c>
    </row>
    <row r="791" spans="1:6" x14ac:dyDescent="0.35">
      <c r="A791" s="2">
        <f ca="1">IFERROR(__xludf.DUMMYFUNCTION("""COMPUTED_VALUE"""),43152.6666666666)</f>
        <v>43152.666666666599</v>
      </c>
      <c r="B791" s="1">
        <f ca="1">IFERROR(__xludf.DUMMYFUNCTION("""COMPUTED_VALUE"""),43.21)</f>
        <v>43.21</v>
      </c>
      <c r="C791" s="1">
        <f ca="1">IFERROR(__xludf.DUMMYFUNCTION("""COMPUTED_VALUE"""),43.53)</f>
        <v>43.53</v>
      </c>
      <c r="D791" s="1">
        <f ca="1">IFERROR(__xludf.DUMMYFUNCTION("""COMPUTED_VALUE"""),42.75)</f>
        <v>42.75</v>
      </c>
      <c r="E791" s="1">
        <f ca="1">IFERROR(__xludf.DUMMYFUNCTION("""COMPUTED_VALUE"""),42.77)</f>
        <v>42.77</v>
      </c>
      <c r="F791" s="1">
        <f ca="1">IFERROR(__xludf.DUMMYFUNCTION("""COMPUTED_VALUE"""),37471623)</f>
        <v>37471623</v>
      </c>
    </row>
    <row r="792" spans="1:6" x14ac:dyDescent="0.35">
      <c r="A792" s="2">
        <f ca="1">IFERROR(__xludf.DUMMYFUNCTION("""COMPUTED_VALUE"""),43153.6666666666)</f>
        <v>43153.666666666599</v>
      </c>
      <c r="B792" s="1">
        <f ca="1">IFERROR(__xludf.DUMMYFUNCTION("""COMPUTED_VALUE"""),42.95)</f>
        <v>42.95</v>
      </c>
      <c r="C792" s="1">
        <f ca="1">IFERROR(__xludf.DUMMYFUNCTION("""COMPUTED_VALUE"""),43.49)</f>
        <v>43.49</v>
      </c>
      <c r="D792" s="1">
        <f ca="1">IFERROR(__xludf.DUMMYFUNCTION("""COMPUTED_VALUE"""),42.93)</f>
        <v>42.93</v>
      </c>
      <c r="E792" s="1">
        <f ca="1">IFERROR(__xludf.DUMMYFUNCTION("""COMPUTED_VALUE"""),43.13)</f>
        <v>43.13</v>
      </c>
      <c r="F792" s="1">
        <f ca="1">IFERROR(__xludf.DUMMYFUNCTION("""COMPUTED_VALUE"""),30991940)</f>
        <v>30991940</v>
      </c>
    </row>
    <row r="793" spans="1:6" x14ac:dyDescent="0.35">
      <c r="A793" s="2">
        <f ca="1">IFERROR(__xludf.DUMMYFUNCTION("""COMPUTED_VALUE"""),43154.6666666666)</f>
        <v>43154.666666666599</v>
      </c>
      <c r="B793" s="1">
        <f ca="1">IFERROR(__xludf.DUMMYFUNCTION("""COMPUTED_VALUE"""),43.42)</f>
        <v>43.42</v>
      </c>
      <c r="C793" s="1">
        <f ca="1">IFERROR(__xludf.DUMMYFUNCTION("""COMPUTED_VALUE"""),43.91)</f>
        <v>43.91</v>
      </c>
      <c r="D793" s="1">
        <f ca="1">IFERROR(__xludf.DUMMYFUNCTION("""COMPUTED_VALUE"""),43.39)</f>
        <v>43.39</v>
      </c>
      <c r="E793" s="1">
        <f ca="1">IFERROR(__xludf.DUMMYFUNCTION("""COMPUTED_VALUE"""),43.88)</f>
        <v>43.88</v>
      </c>
      <c r="F793" s="1">
        <f ca="1">IFERROR(__xludf.DUMMYFUNCTION("""COMPUTED_VALUE"""),33812360)</f>
        <v>33812360</v>
      </c>
    </row>
    <row r="794" spans="1:6" x14ac:dyDescent="0.35">
      <c r="A794" s="2">
        <f ca="1">IFERROR(__xludf.DUMMYFUNCTION("""COMPUTED_VALUE"""),43157.6666666666)</f>
        <v>43157.666666666599</v>
      </c>
      <c r="B794" s="1">
        <f ca="1">IFERROR(__xludf.DUMMYFUNCTION("""COMPUTED_VALUE"""),44.09)</f>
        <v>44.09</v>
      </c>
      <c r="C794" s="1">
        <f ca="1">IFERROR(__xludf.DUMMYFUNCTION("""COMPUTED_VALUE"""),44.85)</f>
        <v>44.85</v>
      </c>
      <c r="D794" s="1">
        <f ca="1">IFERROR(__xludf.DUMMYFUNCTION("""COMPUTED_VALUE"""),44.05)</f>
        <v>44.05</v>
      </c>
      <c r="E794" s="1">
        <f ca="1">IFERROR(__xludf.DUMMYFUNCTION("""COMPUTED_VALUE"""),44.74)</f>
        <v>44.74</v>
      </c>
      <c r="F794" s="1">
        <f ca="1">IFERROR(__xludf.DUMMYFUNCTION("""COMPUTED_VALUE"""),38162174)</f>
        <v>38162174</v>
      </c>
    </row>
    <row r="795" spans="1:6" x14ac:dyDescent="0.35">
      <c r="A795" s="2">
        <f ca="1">IFERROR(__xludf.DUMMYFUNCTION("""COMPUTED_VALUE"""),43158.6666666666)</f>
        <v>43158.666666666599</v>
      </c>
      <c r="B795" s="1">
        <f ca="1">IFERROR(__xludf.DUMMYFUNCTION("""COMPUTED_VALUE"""),44.78)</f>
        <v>44.78</v>
      </c>
      <c r="C795" s="1">
        <f ca="1">IFERROR(__xludf.DUMMYFUNCTION("""COMPUTED_VALUE"""),45.12)</f>
        <v>45.12</v>
      </c>
      <c r="D795" s="1">
        <f ca="1">IFERROR(__xludf.DUMMYFUNCTION("""COMPUTED_VALUE"""),44.54)</f>
        <v>44.54</v>
      </c>
      <c r="E795" s="1">
        <f ca="1">IFERROR(__xludf.DUMMYFUNCTION("""COMPUTED_VALUE"""),44.6)</f>
        <v>44.6</v>
      </c>
      <c r="F795" s="1">
        <f ca="1">IFERROR(__xludf.DUMMYFUNCTION("""COMPUTED_VALUE"""),38928125)</f>
        <v>38928125</v>
      </c>
    </row>
    <row r="796" spans="1:6" x14ac:dyDescent="0.35">
      <c r="A796" s="2">
        <f ca="1">IFERROR(__xludf.DUMMYFUNCTION("""COMPUTED_VALUE"""),43159.6666666666)</f>
        <v>43159.666666666599</v>
      </c>
      <c r="B796" s="1">
        <f ca="1">IFERROR(__xludf.DUMMYFUNCTION("""COMPUTED_VALUE"""),44.82)</f>
        <v>44.82</v>
      </c>
      <c r="C796" s="1">
        <f ca="1">IFERROR(__xludf.DUMMYFUNCTION("""COMPUTED_VALUE"""),45.15)</f>
        <v>45.15</v>
      </c>
      <c r="D796" s="1">
        <f ca="1">IFERROR(__xludf.DUMMYFUNCTION("""COMPUTED_VALUE"""),44.51)</f>
        <v>44.51</v>
      </c>
      <c r="E796" s="1">
        <f ca="1">IFERROR(__xludf.DUMMYFUNCTION("""COMPUTED_VALUE"""),44.53)</f>
        <v>44.53</v>
      </c>
      <c r="F796" s="1">
        <f ca="1">IFERROR(__xludf.DUMMYFUNCTION("""COMPUTED_VALUE"""),37782138)</f>
        <v>37782138</v>
      </c>
    </row>
    <row r="797" spans="1:6" x14ac:dyDescent="0.35">
      <c r="A797" s="2">
        <f ca="1">IFERROR(__xludf.DUMMYFUNCTION("""COMPUTED_VALUE"""),43160.6666666666)</f>
        <v>43160.666666666599</v>
      </c>
      <c r="B797" s="1">
        <f ca="1">IFERROR(__xludf.DUMMYFUNCTION("""COMPUTED_VALUE"""),44.64)</f>
        <v>44.64</v>
      </c>
      <c r="C797" s="1">
        <f ca="1">IFERROR(__xludf.DUMMYFUNCTION("""COMPUTED_VALUE"""),44.94)</f>
        <v>44.94</v>
      </c>
      <c r="D797" s="1">
        <f ca="1">IFERROR(__xludf.DUMMYFUNCTION("""COMPUTED_VALUE"""),43.17)</f>
        <v>43.17</v>
      </c>
      <c r="E797" s="1">
        <f ca="1">IFERROR(__xludf.DUMMYFUNCTION("""COMPUTED_VALUE"""),43.75)</f>
        <v>43.75</v>
      </c>
      <c r="F797" s="1">
        <f ca="1">IFERROR(__xludf.DUMMYFUNCTION("""COMPUTED_VALUE"""),48801970)</f>
        <v>48801970</v>
      </c>
    </row>
    <row r="798" spans="1:6" x14ac:dyDescent="0.35">
      <c r="A798" s="2">
        <f ca="1">IFERROR(__xludf.DUMMYFUNCTION("""COMPUTED_VALUE"""),43161.6666666666)</f>
        <v>43161.666666666599</v>
      </c>
      <c r="B798" s="1">
        <f ca="1">IFERROR(__xludf.DUMMYFUNCTION("""COMPUTED_VALUE"""),43.2)</f>
        <v>43.2</v>
      </c>
      <c r="C798" s="1">
        <f ca="1">IFERROR(__xludf.DUMMYFUNCTION("""COMPUTED_VALUE"""),44.08)</f>
        <v>44.08</v>
      </c>
      <c r="D798" s="1">
        <f ca="1">IFERROR(__xludf.DUMMYFUNCTION("""COMPUTED_VALUE"""),43.11)</f>
        <v>43.11</v>
      </c>
      <c r="E798" s="1">
        <f ca="1">IFERROR(__xludf.DUMMYFUNCTION("""COMPUTED_VALUE"""),44.05)</f>
        <v>44.05</v>
      </c>
      <c r="F798" s="1">
        <f ca="1">IFERROR(__xludf.DUMMYFUNCTION("""COMPUTED_VALUE"""),38453950)</f>
        <v>38453950</v>
      </c>
    </row>
    <row r="799" spans="1:6" x14ac:dyDescent="0.35">
      <c r="A799" s="2">
        <f ca="1">IFERROR(__xludf.DUMMYFUNCTION("""COMPUTED_VALUE"""),43164.6666666666)</f>
        <v>43164.666666666599</v>
      </c>
      <c r="B799" s="1">
        <f ca="1">IFERROR(__xludf.DUMMYFUNCTION("""COMPUTED_VALUE"""),43.8)</f>
        <v>43.8</v>
      </c>
      <c r="C799" s="1">
        <f ca="1">IFERROR(__xludf.DUMMYFUNCTION("""COMPUTED_VALUE"""),44.44)</f>
        <v>44.44</v>
      </c>
      <c r="D799" s="1">
        <f ca="1">IFERROR(__xludf.DUMMYFUNCTION("""COMPUTED_VALUE"""),43.63)</f>
        <v>43.63</v>
      </c>
      <c r="E799" s="1">
        <f ca="1">IFERROR(__xludf.DUMMYFUNCTION("""COMPUTED_VALUE"""),44.21)</f>
        <v>44.21</v>
      </c>
      <c r="F799" s="1">
        <f ca="1">IFERROR(__xludf.DUMMYFUNCTION("""COMPUTED_VALUE"""),28401366)</f>
        <v>28401366</v>
      </c>
    </row>
    <row r="800" spans="1:6" x14ac:dyDescent="0.35">
      <c r="A800" s="2">
        <f ca="1">IFERROR(__xludf.DUMMYFUNCTION("""COMPUTED_VALUE"""),43165.6666666666)</f>
        <v>43165.666666666599</v>
      </c>
      <c r="B800" s="1">
        <f ca="1">IFERROR(__xludf.DUMMYFUNCTION("""COMPUTED_VALUE"""),44.48)</f>
        <v>44.48</v>
      </c>
      <c r="C800" s="1">
        <f ca="1">IFERROR(__xludf.DUMMYFUNCTION("""COMPUTED_VALUE"""),44.56)</f>
        <v>44.56</v>
      </c>
      <c r="D800" s="1">
        <f ca="1">IFERROR(__xludf.DUMMYFUNCTION("""COMPUTED_VALUE"""),44.03)</f>
        <v>44.03</v>
      </c>
      <c r="E800" s="1">
        <f ca="1">IFERROR(__xludf.DUMMYFUNCTION("""COMPUTED_VALUE"""),44.17)</f>
        <v>44.17</v>
      </c>
      <c r="F800" s="1">
        <f ca="1">IFERROR(__xludf.DUMMYFUNCTION("""COMPUTED_VALUE"""),23788506)</f>
        <v>23788506</v>
      </c>
    </row>
    <row r="801" spans="1:6" x14ac:dyDescent="0.35">
      <c r="A801" s="2">
        <f ca="1">IFERROR(__xludf.DUMMYFUNCTION("""COMPUTED_VALUE"""),43166.6666666666)</f>
        <v>43166.666666666599</v>
      </c>
      <c r="B801" s="1">
        <f ca="1">IFERROR(__xludf.DUMMYFUNCTION("""COMPUTED_VALUE"""),43.74)</f>
        <v>43.74</v>
      </c>
      <c r="C801" s="1">
        <f ca="1">IFERROR(__xludf.DUMMYFUNCTION("""COMPUTED_VALUE"""),43.96)</f>
        <v>43.96</v>
      </c>
      <c r="D801" s="1">
        <f ca="1">IFERROR(__xludf.DUMMYFUNCTION("""COMPUTED_VALUE"""),43.57)</f>
        <v>43.57</v>
      </c>
      <c r="E801" s="1">
        <f ca="1">IFERROR(__xludf.DUMMYFUNCTION("""COMPUTED_VALUE"""),43.76)</f>
        <v>43.76</v>
      </c>
      <c r="F801" s="1">
        <f ca="1">IFERROR(__xludf.DUMMYFUNCTION("""COMPUTED_VALUE"""),31703462)</f>
        <v>31703462</v>
      </c>
    </row>
    <row r="802" spans="1:6" x14ac:dyDescent="0.35">
      <c r="A802" s="2">
        <f ca="1">IFERROR(__xludf.DUMMYFUNCTION("""COMPUTED_VALUE"""),43167.6666666666)</f>
        <v>43167.666666666599</v>
      </c>
      <c r="B802" s="1">
        <f ca="1">IFERROR(__xludf.DUMMYFUNCTION("""COMPUTED_VALUE"""),43.87)</f>
        <v>43.87</v>
      </c>
      <c r="C802" s="1">
        <f ca="1">IFERROR(__xludf.DUMMYFUNCTION("""COMPUTED_VALUE"""),44.28)</f>
        <v>44.28</v>
      </c>
      <c r="D802" s="1">
        <f ca="1">IFERROR(__xludf.DUMMYFUNCTION("""COMPUTED_VALUE"""),43.77)</f>
        <v>43.77</v>
      </c>
      <c r="E802" s="1">
        <f ca="1">IFERROR(__xludf.DUMMYFUNCTION("""COMPUTED_VALUE"""),44.24)</f>
        <v>44.24</v>
      </c>
      <c r="F802" s="1">
        <f ca="1">IFERROR(__xludf.DUMMYFUNCTION("""COMPUTED_VALUE"""),23774107)</f>
        <v>23774107</v>
      </c>
    </row>
    <row r="803" spans="1:6" x14ac:dyDescent="0.35">
      <c r="A803" s="2">
        <f ca="1">IFERROR(__xludf.DUMMYFUNCTION("""COMPUTED_VALUE"""),43168.6666666666)</f>
        <v>43168.666666666599</v>
      </c>
      <c r="B803" s="1">
        <f ca="1">IFERROR(__xludf.DUMMYFUNCTION("""COMPUTED_VALUE"""),44.49)</f>
        <v>44.49</v>
      </c>
      <c r="C803" s="1">
        <f ca="1">IFERROR(__xludf.DUMMYFUNCTION("""COMPUTED_VALUE"""),45)</f>
        <v>45</v>
      </c>
      <c r="D803" s="1">
        <f ca="1">IFERROR(__xludf.DUMMYFUNCTION("""COMPUTED_VALUE"""),44.35)</f>
        <v>44.35</v>
      </c>
      <c r="E803" s="1">
        <f ca="1">IFERROR(__xludf.DUMMYFUNCTION("""COMPUTED_VALUE"""),45)</f>
        <v>45</v>
      </c>
      <c r="F803" s="1">
        <f ca="1">IFERROR(__xludf.DUMMYFUNCTION("""COMPUTED_VALUE"""),32185162)</f>
        <v>32185162</v>
      </c>
    </row>
    <row r="804" spans="1:6" x14ac:dyDescent="0.35">
      <c r="A804" s="2">
        <f ca="1">IFERROR(__xludf.DUMMYFUNCTION("""COMPUTED_VALUE"""),43171.6666666666)</f>
        <v>43171.666666666599</v>
      </c>
      <c r="B804" s="1">
        <f ca="1">IFERROR(__xludf.DUMMYFUNCTION("""COMPUTED_VALUE"""),45.07)</f>
        <v>45.07</v>
      </c>
      <c r="C804" s="1">
        <f ca="1">IFERROR(__xludf.DUMMYFUNCTION("""COMPUTED_VALUE"""),45.6)</f>
        <v>45.6</v>
      </c>
      <c r="D804" s="1">
        <f ca="1">IFERROR(__xludf.DUMMYFUNCTION("""COMPUTED_VALUE"""),45.05)</f>
        <v>45.05</v>
      </c>
      <c r="E804" s="1">
        <f ca="1">IFERROR(__xludf.DUMMYFUNCTION("""COMPUTED_VALUE"""),45.43)</f>
        <v>45.43</v>
      </c>
      <c r="F804" s="1">
        <f ca="1">IFERROR(__xludf.DUMMYFUNCTION("""COMPUTED_VALUE"""),32207081)</f>
        <v>32207081</v>
      </c>
    </row>
    <row r="805" spans="1:6" x14ac:dyDescent="0.35">
      <c r="A805" s="2">
        <f ca="1">IFERROR(__xludf.DUMMYFUNCTION("""COMPUTED_VALUE"""),43172.6666666666)</f>
        <v>43172.666666666599</v>
      </c>
      <c r="B805" s="1">
        <f ca="1">IFERROR(__xludf.DUMMYFUNCTION("""COMPUTED_VALUE"""),45.65)</f>
        <v>45.65</v>
      </c>
      <c r="C805" s="1">
        <f ca="1">IFERROR(__xludf.DUMMYFUNCTION("""COMPUTED_VALUE"""),45.88)</f>
        <v>45.88</v>
      </c>
      <c r="D805" s="1">
        <f ca="1">IFERROR(__xludf.DUMMYFUNCTION("""COMPUTED_VALUE"""),44.81)</f>
        <v>44.81</v>
      </c>
      <c r="E805" s="1">
        <f ca="1">IFERROR(__xludf.DUMMYFUNCTION("""COMPUTED_VALUE"""),44.99)</f>
        <v>44.99</v>
      </c>
      <c r="F805" s="1">
        <f ca="1">IFERROR(__xludf.DUMMYFUNCTION("""COMPUTED_VALUE"""),31693529)</f>
        <v>31693529</v>
      </c>
    </row>
    <row r="806" spans="1:6" x14ac:dyDescent="0.35">
      <c r="A806" s="2">
        <f ca="1">IFERROR(__xludf.DUMMYFUNCTION("""COMPUTED_VALUE"""),43173.6666666666)</f>
        <v>43173.666666666599</v>
      </c>
      <c r="B806" s="1">
        <f ca="1">IFERROR(__xludf.DUMMYFUNCTION("""COMPUTED_VALUE"""),45.08)</f>
        <v>45.08</v>
      </c>
      <c r="C806" s="1">
        <f ca="1">IFERROR(__xludf.DUMMYFUNCTION("""COMPUTED_VALUE"""),45.13)</f>
        <v>45.13</v>
      </c>
      <c r="D806" s="1">
        <f ca="1">IFERROR(__xludf.DUMMYFUNCTION("""COMPUTED_VALUE"""),44.45)</f>
        <v>44.45</v>
      </c>
      <c r="E806" s="1">
        <f ca="1">IFERROR(__xludf.DUMMYFUNCTION("""COMPUTED_VALUE"""),44.61)</f>
        <v>44.61</v>
      </c>
      <c r="F806" s="1">
        <f ca="1">IFERROR(__xludf.DUMMYFUNCTION("""COMPUTED_VALUE"""),29368356)</f>
        <v>29368356</v>
      </c>
    </row>
    <row r="807" spans="1:6" x14ac:dyDescent="0.35">
      <c r="A807" s="2">
        <f ca="1">IFERROR(__xludf.DUMMYFUNCTION("""COMPUTED_VALUE"""),43174.6666666666)</f>
        <v>43174.666666666599</v>
      </c>
      <c r="B807" s="1">
        <f ca="1">IFERROR(__xludf.DUMMYFUNCTION("""COMPUTED_VALUE"""),44.63)</f>
        <v>44.63</v>
      </c>
      <c r="C807" s="1">
        <f ca="1">IFERROR(__xludf.DUMMYFUNCTION("""COMPUTED_VALUE"""),45.06)</f>
        <v>45.06</v>
      </c>
      <c r="D807" s="1">
        <f ca="1">IFERROR(__xludf.DUMMYFUNCTION("""COMPUTED_VALUE"""),44.52)</f>
        <v>44.52</v>
      </c>
      <c r="E807" s="1">
        <f ca="1">IFERROR(__xludf.DUMMYFUNCTION("""COMPUTED_VALUE"""),44.66)</f>
        <v>44.66</v>
      </c>
      <c r="F807" s="1">
        <f ca="1">IFERROR(__xludf.DUMMYFUNCTION("""COMPUTED_VALUE"""),22743798)</f>
        <v>22743798</v>
      </c>
    </row>
    <row r="808" spans="1:6" x14ac:dyDescent="0.35">
      <c r="A808" s="2">
        <f ca="1">IFERROR(__xludf.DUMMYFUNCTION("""COMPUTED_VALUE"""),43175.6666666666)</f>
        <v>43175.666666666599</v>
      </c>
      <c r="B808" s="1">
        <f ca="1">IFERROR(__xludf.DUMMYFUNCTION("""COMPUTED_VALUE"""),44.66)</f>
        <v>44.66</v>
      </c>
      <c r="C808" s="1">
        <f ca="1">IFERROR(__xludf.DUMMYFUNCTION("""COMPUTED_VALUE"""),44.78)</f>
        <v>44.78</v>
      </c>
      <c r="D808" s="1">
        <f ca="1">IFERROR(__xludf.DUMMYFUNCTION("""COMPUTED_VALUE"""),44.41)</f>
        <v>44.41</v>
      </c>
      <c r="E808" s="1">
        <f ca="1">IFERROR(__xludf.DUMMYFUNCTION("""COMPUTED_VALUE"""),44.51)</f>
        <v>44.51</v>
      </c>
      <c r="F808" s="1">
        <f ca="1">IFERROR(__xludf.DUMMYFUNCTION("""COMPUTED_VALUE"""),39404688)</f>
        <v>39404688</v>
      </c>
    </row>
    <row r="809" spans="1:6" x14ac:dyDescent="0.35">
      <c r="A809" s="2">
        <f ca="1">IFERROR(__xludf.DUMMYFUNCTION("""COMPUTED_VALUE"""),43178.6666666666)</f>
        <v>43178.666666666599</v>
      </c>
      <c r="B809" s="1">
        <f ca="1">IFERROR(__xludf.DUMMYFUNCTION("""COMPUTED_VALUE"""),44.33)</f>
        <v>44.33</v>
      </c>
      <c r="C809" s="1">
        <f ca="1">IFERROR(__xludf.DUMMYFUNCTION("""COMPUTED_VALUE"""),44.37)</f>
        <v>44.37</v>
      </c>
      <c r="D809" s="1">
        <f ca="1">IFERROR(__xludf.DUMMYFUNCTION("""COMPUTED_VALUE"""),43.42)</f>
        <v>43.42</v>
      </c>
      <c r="E809" s="1">
        <f ca="1">IFERROR(__xludf.DUMMYFUNCTION("""COMPUTED_VALUE"""),43.83)</f>
        <v>43.83</v>
      </c>
      <c r="F809" s="1">
        <f ca="1">IFERROR(__xludf.DUMMYFUNCTION("""COMPUTED_VALUE"""),33446771)</f>
        <v>33446771</v>
      </c>
    </row>
    <row r="810" spans="1:6" x14ac:dyDescent="0.35">
      <c r="A810" s="2">
        <f ca="1">IFERROR(__xludf.DUMMYFUNCTION("""COMPUTED_VALUE"""),43179.6666666666)</f>
        <v>43179.666666666599</v>
      </c>
      <c r="B810" s="1">
        <f ca="1">IFERROR(__xludf.DUMMYFUNCTION("""COMPUTED_VALUE"""),43.81)</f>
        <v>43.81</v>
      </c>
      <c r="C810" s="1">
        <f ca="1">IFERROR(__xludf.DUMMYFUNCTION("""COMPUTED_VALUE"""),44.2)</f>
        <v>44.2</v>
      </c>
      <c r="D810" s="1">
        <f ca="1">IFERROR(__xludf.DUMMYFUNCTION("""COMPUTED_VALUE"""),43.74)</f>
        <v>43.74</v>
      </c>
      <c r="E810" s="1">
        <f ca="1">IFERROR(__xludf.DUMMYFUNCTION("""COMPUTED_VALUE"""),43.81)</f>
        <v>43.81</v>
      </c>
      <c r="F810" s="1">
        <f ca="1">IFERROR(__xludf.DUMMYFUNCTION("""COMPUTED_VALUE"""),19649350)</f>
        <v>19649350</v>
      </c>
    </row>
    <row r="811" spans="1:6" x14ac:dyDescent="0.35">
      <c r="A811" s="2">
        <f ca="1">IFERROR(__xludf.DUMMYFUNCTION("""COMPUTED_VALUE"""),43180.6666666666)</f>
        <v>43180.666666666599</v>
      </c>
      <c r="B811" s="1">
        <f ca="1">IFERROR(__xludf.DUMMYFUNCTION("""COMPUTED_VALUE"""),43.76)</f>
        <v>43.76</v>
      </c>
      <c r="C811" s="1">
        <f ca="1">IFERROR(__xludf.DUMMYFUNCTION("""COMPUTED_VALUE"""),43.77)</f>
        <v>43.77</v>
      </c>
      <c r="D811" s="1">
        <f ca="1">IFERROR(__xludf.DUMMYFUNCTION("""COMPUTED_VALUE"""),42.82)</f>
        <v>42.82</v>
      </c>
      <c r="E811" s="1">
        <f ca="1">IFERROR(__xludf.DUMMYFUNCTION("""COMPUTED_VALUE"""),42.82)</f>
        <v>42.82</v>
      </c>
      <c r="F811" s="1">
        <f ca="1">IFERROR(__xludf.DUMMYFUNCTION("""COMPUTED_VALUE"""),37054935)</f>
        <v>37054935</v>
      </c>
    </row>
    <row r="812" spans="1:6" x14ac:dyDescent="0.35">
      <c r="A812" s="2">
        <f ca="1">IFERROR(__xludf.DUMMYFUNCTION("""COMPUTED_VALUE"""),43181.6666666666)</f>
        <v>43181.666666666599</v>
      </c>
      <c r="B812" s="1">
        <f ca="1">IFERROR(__xludf.DUMMYFUNCTION("""COMPUTED_VALUE"""),42.5)</f>
        <v>42.5</v>
      </c>
      <c r="C812" s="1">
        <f ca="1">IFERROR(__xludf.DUMMYFUNCTION("""COMPUTED_VALUE"""),43.17)</f>
        <v>43.17</v>
      </c>
      <c r="D812" s="1">
        <f ca="1">IFERROR(__xludf.DUMMYFUNCTION("""COMPUTED_VALUE"""),42.15)</f>
        <v>42.15</v>
      </c>
      <c r="E812" s="1">
        <f ca="1">IFERROR(__xludf.DUMMYFUNCTION("""COMPUTED_VALUE"""),42.21)</f>
        <v>42.21</v>
      </c>
      <c r="F812" s="1">
        <f ca="1">IFERROR(__xludf.DUMMYFUNCTION("""COMPUTED_VALUE"""),41490767)</f>
        <v>41490767</v>
      </c>
    </row>
    <row r="813" spans="1:6" x14ac:dyDescent="0.35">
      <c r="A813" s="2">
        <f ca="1">IFERROR(__xludf.DUMMYFUNCTION("""COMPUTED_VALUE"""),43182.6666666666)</f>
        <v>43182.666666666599</v>
      </c>
      <c r="B813" s="1">
        <f ca="1">IFERROR(__xludf.DUMMYFUNCTION("""COMPUTED_VALUE"""),42.1)</f>
        <v>42.1</v>
      </c>
      <c r="C813" s="1">
        <f ca="1">IFERROR(__xludf.DUMMYFUNCTION("""COMPUTED_VALUE"""),42.48)</f>
        <v>42.48</v>
      </c>
      <c r="D813" s="1">
        <f ca="1">IFERROR(__xludf.DUMMYFUNCTION("""COMPUTED_VALUE"""),41.24)</f>
        <v>41.24</v>
      </c>
      <c r="E813" s="1">
        <f ca="1">IFERROR(__xludf.DUMMYFUNCTION("""COMPUTED_VALUE"""),41.24)</f>
        <v>41.24</v>
      </c>
      <c r="F813" s="1">
        <f ca="1">IFERROR(__xludf.DUMMYFUNCTION("""COMPUTED_VALUE"""),41028784)</f>
        <v>41028784</v>
      </c>
    </row>
    <row r="814" spans="1:6" x14ac:dyDescent="0.35">
      <c r="A814" s="2">
        <f ca="1">IFERROR(__xludf.DUMMYFUNCTION("""COMPUTED_VALUE"""),43185.6666666666)</f>
        <v>43185.666666666599</v>
      </c>
      <c r="B814" s="1">
        <f ca="1">IFERROR(__xludf.DUMMYFUNCTION("""COMPUTED_VALUE"""),42.02)</f>
        <v>42.02</v>
      </c>
      <c r="C814" s="1">
        <f ca="1">IFERROR(__xludf.DUMMYFUNCTION("""COMPUTED_VALUE"""),43.28)</f>
        <v>43.28</v>
      </c>
      <c r="D814" s="1">
        <f ca="1">IFERROR(__xludf.DUMMYFUNCTION("""COMPUTED_VALUE"""),41.61)</f>
        <v>41.61</v>
      </c>
      <c r="E814" s="1">
        <f ca="1">IFERROR(__xludf.DUMMYFUNCTION("""COMPUTED_VALUE"""),43.19)</f>
        <v>43.19</v>
      </c>
      <c r="F814" s="1">
        <f ca="1">IFERROR(__xludf.DUMMYFUNCTION("""COMPUTED_VALUE"""),37541236)</f>
        <v>37541236</v>
      </c>
    </row>
    <row r="815" spans="1:6" x14ac:dyDescent="0.35">
      <c r="A815" s="2">
        <f ca="1">IFERROR(__xludf.DUMMYFUNCTION("""COMPUTED_VALUE"""),43186.6666666666)</f>
        <v>43186.666666666599</v>
      </c>
      <c r="B815" s="1">
        <f ca="1">IFERROR(__xludf.DUMMYFUNCTION("""COMPUTED_VALUE"""),43.42)</f>
        <v>43.42</v>
      </c>
      <c r="C815" s="1">
        <f ca="1">IFERROR(__xludf.DUMMYFUNCTION("""COMPUTED_VALUE"""),43.79)</f>
        <v>43.79</v>
      </c>
      <c r="D815" s="1">
        <f ca="1">IFERROR(__xludf.DUMMYFUNCTION("""COMPUTED_VALUE"""),41.73)</f>
        <v>41.73</v>
      </c>
      <c r="E815" s="1">
        <f ca="1">IFERROR(__xludf.DUMMYFUNCTION("""COMPUTED_VALUE"""),42.09)</f>
        <v>42.09</v>
      </c>
      <c r="F815" s="1">
        <f ca="1">IFERROR(__xludf.DUMMYFUNCTION("""COMPUTED_VALUE"""),40922579)</f>
        <v>40922579</v>
      </c>
    </row>
    <row r="816" spans="1:6" x14ac:dyDescent="0.35">
      <c r="A816" s="2">
        <f ca="1">IFERROR(__xludf.DUMMYFUNCTION("""COMPUTED_VALUE"""),43187.6666666666)</f>
        <v>43187.666666666599</v>
      </c>
      <c r="B816" s="1">
        <f ca="1">IFERROR(__xludf.DUMMYFUNCTION("""COMPUTED_VALUE"""),41.81)</f>
        <v>41.81</v>
      </c>
      <c r="C816" s="1">
        <f ca="1">IFERROR(__xludf.DUMMYFUNCTION("""COMPUTED_VALUE"""),42.51)</f>
        <v>42.51</v>
      </c>
      <c r="D816" s="1">
        <f ca="1">IFERROR(__xludf.DUMMYFUNCTION("""COMPUTED_VALUE"""),41.3)</f>
        <v>41.3</v>
      </c>
      <c r="E816" s="1">
        <f ca="1">IFERROR(__xludf.DUMMYFUNCTION("""COMPUTED_VALUE"""),41.62)</f>
        <v>41.62</v>
      </c>
      <c r="F816" s="1">
        <f ca="1">IFERROR(__xludf.DUMMYFUNCTION("""COMPUTED_VALUE"""),41668545)</f>
        <v>41668545</v>
      </c>
    </row>
    <row r="817" spans="1:6" x14ac:dyDescent="0.35">
      <c r="A817" s="2">
        <f ca="1">IFERROR(__xludf.DUMMYFUNCTION("""COMPUTED_VALUE"""),43188.6666666666)</f>
        <v>43188.666666666599</v>
      </c>
      <c r="B817" s="1">
        <f ca="1">IFERROR(__xludf.DUMMYFUNCTION("""COMPUTED_VALUE"""),41.95)</f>
        <v>41.95</v>
      </c>
      <c r="C817" s="1">
        <f ca="1">IFERROR(__xludf.DUMMYFUNCTION("""COMPUTED_VALUE"""),42.94)</f>
        <v>42.94</v>
      </c>
      <c r="D817" s="1">
        <f ca="1">IFERROR(__xludf.DUMMYFUNCTION("""COMPUTED_VALUE"""),41.73)</f>
        <v>41.73</v>
      </c>
      <c r="E817" s="1">
        <f ca="1">IFERROR(__xludf.DUMMYFUNCTION("""COMPUTED_VALUE"""),41.95)</f>
        <v>41.95</v>
      </c>
      <c r="F817" s="1">
        <f ca="1">IFERROR(__xludf.DUMMYFUNCTION("""COMPUTED_VALUE"""),38398505)</f>
        <v>38398505</v>
      </c>
    </row>
    <row r="818" spans="1:6" x14ac:dyDescent="0.35">
      <c r="A818" s="2">
        <f ca="1">IFERROR(__xludf.DUMMYFUNCTION("""COMPUTED_VALUE"""),43192.6666666666)</f>
        <v>43192.666666666599</v>
      </c>
      <c r="B818" s="1">
        <f ca="1">IFERROR(__xludf.DUMMYFUNCTION("""COMPUTED_VALUE"""),41.97)</f>
        <v>41.97</v>
      </c>
      <c r="C818" s="1">
        <f ca="1">IFERROR(__xludf.DUMMYFUNCTION("""COMPUTED_VALUE"""),42.24)</f>
        <v>42.24</v>
      </c>
      <c r="D818" s="1">
        <f ca="1">IFERROR(__xludf.DUMMYFUNCTION("""COMPUTED_VALUE"""),41.12)</f>
        <v>41.12</v>
      </c>
      <c r="E818" s="1">
        <f ca="1">IFERROR(__xludf.DUMMYFUNCTION("""COMPUTED_VALUE"""),41.67)</f>
        <v>41.67</v>
      </c>
      <c r="F818" s="1">
        <f ca="1">IFERROR(__xludf.DUMMYFUNCTION("""COMPUTED_VALUE"""),37586791)</f>
        <v>37586791</v>
      </c>
    </row>
    <row r="819" spans="1:6" x14ac:dyDescent="0.35">
      <c r="A819" s="2">
        <f ca="1">IFERROR(__xludf.DUMMYFUNCTION("""COMPUTED_VALUE"""),43193.6666666666)</f>
        <v>43193.666666666599</v>
      </c>
      <c r="B819" s="1">
        <f ca="1">IFERROR(__xludf.DUMMYFUNCTION("""COMPUTED_VALUE"""),41.91)</f>
        <v>41.91</v>
      </c>
      <c r="C819" s="1">
        <f ca="1">IFERROR(__xludf.DUMMYFUNCTION("""COMPUTED_VALUE"""),42.19)</f>
        <v>42.19</v>
      </c>
      <c r="D819" s="1">
        <f ca="1">IFERROR(__xludf.DUMMYFUNCTION("""COMPUTED_VALUE"""),41.22)</f>
        <v>41.22</v>
      </c>
      <c r="E819" s="1">
        <f ca="1">IFERROR(__xludf.DUMMYFUNCTION("""COMPUTED_VALUE"""),42.1)</f>
        <v>42.1</v>
      </c>
      <c r="F819" s="1">
        <f ca="1">IFERROR(__xludf.DUMMYFUNCTION("""COMPUTED_VALUE"""),30278046)</f>
        <v>30278046</v>
      </c>
    </row>
    <row r="820" spans="1:6" x14ac:dyDescent="0.35">
      <c r="A820" s="2">
        <f ca="1">IFERROR(__xludf.DUMMYFUNCTION("""COMPUTED_VALUE"""),43194.6666666666)</f>
        <v>43194.666666666599</v>
      </c>
      <c r="B820" s="1">
        <f ca="1">IFERROR(__xludf.DUMMYFUNCTION("""COMPUTED_VALUE"""),41.22)</f>
        <v>41.22</v>
      </c>
      <c r="C820" s="1">
        <f ca="1">IFERROR(__xludf.DUMMYFUNCTION("""COMPUTED_VALUE"""),43)</f>
        <v>43</v>
      </c>
      <c r="D820" s="1">
        <f ca="1">IFERROR(__xludf.DUMMYFUNCTION("""COMPUTED_VALUE"""),41.19)</f>
        <v>41.19</v>
      </c>
      <c r="E820" s="1">
        <f ca="1">IFERROR(__xludf.DUMMYFUNCTION("""COMPUTED_VALUE"""),42.9)</f>
        <v>42.9</v>
      </c>
      <c r="F820" s="1">
        <f ca="1">IFERROR(__xludf.DUMMYFUNCTION("""COMPUTED_VALUE"""),34605489)</f>
        <v>34605489</v>
      </c>
    </row>
    <row r="821" spans="1:6" x14ac:dyDescent="0.35">
      <c r="A821" s="2">
        <f ca="1">IFERROR(__xludf.DUMMYFUNCTION("""COMPUTED_VALUE"""),43195.6666666666)</f>
        <v>43195.666666666599</v>
      </c>
      <c r="B821" s="1">
        <f ca="1">IFERROR(__xludf.DUMMYFUNCTION("""COMPUTED_VALUE"""),43.15)</f>
        <v>43.15</v>
      </c>
      <c r="C821" s="1">
        <f ca="1">IFERROR(__xludf.DUMMYFUNCTION("""COMPUTED_VALUE"""),43.56)</f>
        <v>43.56</v>
      </c>
      <c r="D821" s="1">
        <f ca="1">IFERROR(__xludf.DUMMYFUNCTION("""COMPUTED_VALUE"""),43.02)</f>
        <v>43.02</v>
      </c>
      <c r="E821" s="1">
        <f ca="1">IFERROR(__xludf.DUMMYFUNCTION("""COMPUTED_VALUE"""),43.2)</f>
        <v>43.2</v>
      </c>
      <c r="F821" s="1">
        <f ca="1">IFERROR(__xludf.DUMMYFUNCTION("""COMPUTED_VALUE"""),26933197)</f>
        <v>26933197</v>
      </c>
    </row>
    <row r="822" spans="1:6" x14ac:dyDescent="0.35">
      <c r="A822" s="2">
        <f ca="1">IFERROR(__xludf.DUMMYFUNCTION("""COMPUTED_VALUE"""),43196.6666666666)</f>
        <v>43196.666666666599</v>
      </c>
      <c r="B822" s="1">
        <f ca="1">IFERROR(__xludf.DUMMYFUNCTION("""COMPUTED_VALUE"""),42.74)</f>
        <v>42.74</v>
      </c>
      <c r="C822" s="1">
        <f ca="1">IFERROR(__xludf.DUMMYFUNCTION("""COMPUTED_VALUE"""),43.12)</f>
        <v>43.12</v>
      </c>
      <c r="D822" s="1">
        <f ca="1">IFERROR(__xludf.DUMMYFUNCTION("""COMPUTED_VALUE"""),42.05)</f>
        <v>42.05</v>
      </c>
      <c r="E822" s="1">
        <f ca="1">IFERROR(__xludf.DUMMYFUNCTION("""COMPUTED_VALUE"""),42.1)</f>
        <v>42.1</v>
      </c>
      <c r="F822" s="1">
        <f ca="1">IFERROR(__xludf.DUMMYFUNCTION("""COMPUTED_VALUE"""),35005290)</f>
        <v>35005290</v>
      </c>
    </row>
    <row r="823" spans="1:6" x14ac:dyDescent="0.35">
      <c r="A823" s="2">
        <f ca="1">IFERROR(__xludf.DUMMYFUNCTION("""COMPUTED_VALUE"""),43199.6666666666)</f>
        <v>43199.666666666599</v>
      </c>
      <c r="B823" s="1">
        <f ca="1">IFERROR(__xludf.DUMMYFUNCTION("""COMPUTED_VALUE"""),42.47)</f>
        <v>42.47</v>
      </c>
      <c r="C823" s="1">
        <f ca="1">IFERROR(__xludf.DUMMYFUNCTION("""COMPUTED_VALUE"""),43.27)</f>
        <v>43.27</v>
      </c>
      <c r="D823" s="1">
        <f ca="1">IFERROR(__xludf.DUMMYFUNCTION("""COMPUTED_VALUE"""),42.46)</f>
        <v>42.46</v>
      </c>
      <c r="E823" s="1">
        <f ca="1">IFERROR(__xludf.DUMMYFUNCTION("""COMPUTED_VALUE"""),42.51)</f>
        <v>42.51</v>
      </c>
      <c r="F823" s="1">
        <f ca="1">IFERROR(__xludf.DUMMYFUNCTION("""COMPUTED_VALUE"""),29017718)</f>
        <v>29017718</v>
      </c>
    </row>
    <row r="824" spans="1:6" x14ac:dyDescent="0.35">
      <c r="A824" s="2">
        <f ca="1">IFERROR(__xludf.DUMMYFUNCTION("""COMPUTED_VALUE"""),43200.6666666666)</f>
        <v>43200.666666666599</v>
      </c>
      <c r="B824" s="1">
        <f ca="1">IFERROR(__xludf.DUMMYFUNCTION("""COMPUTED_VALUE"""),43.25)</f>
        <v>43.25</v>
      </c>
      <c r="C824" s="1">
        <f ca="1">IFERROR(__xludf.DUMMYFUNCTION("""COMPUTED_VALUE"""),43.5)</f>
        <v>43.5</v>
      </c>
      <c r="D824" s="1">
        <f ca="1">IFERROR(__xludf.DUMMYFUNCTION("""COMPUTED_VALUE"""),42.88)</f>
        <v>42.88</v>
      </c>
      <c r="E824" s="1">
        <f ca="1">IFERROR(__xludf.DUMMYFUNCTION("""COMPUTED_VALUE"""),43.31)</f>
        <v>43.31</v>
      </c>
      <c r="F824" s="1">
        <f ca="1">IFERROR(__xludf.DUMMYFUNCTION("""COMPUTED_VALUE"""),28614241)</f>
        <v>28614241</v>
      </c>
    </row>
    <row r="825" spans="1:6" x14ac:dyDescent="0.35">
      <c r="A825" s="2">
        <f ca="1">IFERROR(__xludf.DUMMYFUNCTION("""COMPUTED_VALUE"""),43201.6666666666)</f>
        <v>43201.666666666599</v>
      </c>
      <c r="B825" s="1">
        <f ca="1">IFERROR(__xludf.DUMMYFUNCTION("""COMPUTED_VALUE"""),43.06)</f>
        <v>43.06</v>
      </c>
      <c r="C825" s="1">
        <f ca="1">IFERROR(__xludf.DUMMYFUNCTION("""COMPUTED_VALUE"""),43.48)</f>
        <v>43.48</v>
      </c>
      <c r="D825" s="1">
        <f ca="1">IFERROR(__xludf.DUMMYFUNCTION("""COMPUTED_VALUE"""),42.93)</f>
        <v>42.93</v>
      </c>
      <c r="E825" s="1">
        <f ca="1">IFERROR(__xludf.DUMMYFUNCTION("""COMPUTED_VALUE"""),43.11)</f>
        <v>43.11</v>
      </c>
      <c r="F825" s="1">
        <f ca="1">IFERROR(__xludf.DUMMYFUNCTION("""COMPUTED_VALUE"""),22431640)</f>
        <v>22431640</v>
      </c>
    </row>
    <row r="826" spans="1:6" x14ac:dyDescent="0.35">
      <c r="A826" s="2">
        <f ca="1">IFERROR(__xludf.DUMMYFUNCTION("""COMPUTED_VALUE"""),43202.6666666666)</f>
        <v>43202.666666666599</v>
      </c>
      <c r="B826" s="1">
        <f ca="1">IFERROR(__xludf.DUMMYFUNCTION("""COMPUTED_VALUE"""),43.35)</f>
        <v>43.35</v>
      </c>
      <c r="C826" s="1">
        <f ca="1">IFERROR(__xludf.DUMMYFUNCTION("""COMPUTED_VALUE"""),43.75)</f>
        <v>43.75</v>
      </c>
      <c r="D826" s="1">
        <f ca="1">IFERROR(__xludf.DUMMYFUNCTION("""COMPUTED_VALUE"""),43.26)</f>
        <v>43.26</v>
      </c>
      <c r="E826" s="1">
        <f ca="1">IFERROR(__xludf.DUMMYFUNCTION("""COMPUTED_VALUE"""),43.54)</f>
        <v>43.54</v>
      </c>
      <c r="F826" s="1">
        <f ca="1">IFERROR(__xludf.DUMMYFUNCTION("""COMPUTED_VALUE"""),22889285)</f>
        <v>22889285</v>
      </c>
    </row>
    <row r="827" spans="1:6" x14ac:dyDescent="0.35">
      <c r="A827" s="2">
        <f ca="1">IFERROR(__xludf.DUMMYFUNCTION("""COMPUTED_VALUE"""),43203.6666666666)</f>
        <v>43203.666666666599</v>
      </c>
      <c r="B827" s="1">
        <f ca="1">IFERROR(__xludf.DUMMYFUNCTION("""COMPUTED_VALUE"""),43.7)</f>
        <v>43.7</v>
      </c>
      <c r="C827" s="1">
        <f ca="1">IFERROR(__xludf.DUMMYFUNCTION("""COMPUTED_VALUE"""),43.96)</f>
        <v>43.96</v>
      </c>
      <c r="D827" s="1">
        <f ca="1">IFERROR(__xludf.DUMMYFUNCTION("""COMPUTED_VALUE"""),43.46)</f>
        <v>43.46</v>
      </c>
      <c r="E827" s="1">
        <f ca="1">IFERROR(__xludf.DUMMYFUNCTION("""COMPUTED_VALUE"""),43.68)</f>
        <v>43.68</v>
      </c>
      <c r="F827" s="1">
        <f ca="1">IFERROR(__xludf.DUMMYFUNCTION("""COMPUTED_VALUE"""),25124255)</f>
        <v>25124255</v>
      </c>
    </row>
    <row r="828" spans="1:6" x14ac:dyDescent="0.35">
      <c r="A828" s="2">
        <f ca="1">IFERROR(__xludf.DUMMYFUNCTION("""COMPUTED_VALUE"""),43206.6666666666)</f>
        <v>43206.666666666599</v>
      </c>
      <c r="B828" s="1">
        <f ca="1">IFERROR(__xludf.DUMMYFUNCTION("""COMPUTED_VALUE"""),43.76)</f>
        <v>43.76</v>
      </c>
      <c r="C828" s="1">
        <f ca="1">IFERROR(__xludf.DUMMYFUNCTION("""COMPUTED_VALUE"""),44.05)</f>
        <v>44.05</v>
      </c>
      <c r="D828" s="1">
        <f ca="1">IFERROR(__xludf.DUMMYFUNCTION("""COMPUTED_VALUE"""),43.71)</f>
        <v>43.71</v>
      </c>
      <c r="E828" s="1">
        <f ca="1">IFERROR(__xludf.DUMMYFUNCTION("""COMPUTED_VALUE"""),43.96)</f>
        <v>43.96</v>
      </c>
      <c r="F828" s="1">
        <f ca="1">IFERROR(__xludf.DUMMYFUNCTION("""COMPUTED_VALUE"""),21578420)</f>
        <v>21578420</v>
      </c>
    </row>
    <row r="829" spans="1:6" x14ac:dyDescent="0.35">
      <c r="A829" s="2">
        <f ca="1">IFERROR(__xludf.DUMMYFUNCTION("""COMPUTED_VALUE"""),43207.6666666666)</f>
        <v>43207.666666666599</v>
      </c>
      <c r="B829" s="1">
        <f ca="1">IFERROR(__xludf.DUMMYFUNCTION("""COMPUTED_VALUE"""),44.12)</f>
        <v>44.12</v>
      </c>
      <c r="C829" s="1">
        <f ca="1">IFERROR(__xludf.DUMMYFUNCTION("""COMPUTED_VALUE"""),44.73)</f>
        <v>44.73</v>
      </c>
      <c r="D829" s="1">
        <f ca="1">IFERROR(__xludf.DUMMYFUNCTION("""COMPUTED_VALUE"""),44.1)</f>
        <v>44.1</v>
      </c>
      <c r="E829" s="1">
        <f ca="1">IFERROR(__xludf.DUMMYFUNCTION("""COMPUTED_VALUE"""),44.56)</f>
        <v>44.56</v>
      </c>
      <c r="F829" s="1">
        <f ca="1">IFERROR(__xludf.DUMMYFUNCTION("""COMPUTED_VALUE"""),26605442)</f>
        <v>26605442</v>
      </c>
    </row>
    <row r="830" spans="1:6" x14ac:dyDescent="0.35">
      <c r="A830" s="2">
        <f ca="1">IFERROR(__xludf.DUMMYFUNCTION("""COMPUTED_VALUE"""),43208.6666666666)</f>
        <v>43208.666666666599</v>
      </c>
      <c r="B830" s="1">
        <f ca="1">IFERROR(__xludf.DUMMYFUNCTION("""COMPUTED_VALUE"""),44.45)</f>
        <v>44.45</v>
      </c>
      <c r="C830" s="1">
        <f ca="1">IFERROR(__xludf.DUMMYFUNCTION("""COMPUTED_VALUE"""),44.71)</f>
        <v>44.71</v>
      </c>
      <c r="D830" s="1">
        <f ca="1">IFERROR(__xludf.DUMMYFUNCTION("""COMPUTED_VALUE"""),44.22)</f>
        <v>44.22</v>
      </c>
      <c r="E830" s="1">
        <f ca="1">IFERROR(__xludf.DUMMYFUNCTION("""COMPUTED_VALUE"""),44.46)</f>
        <v>44.46</v>
      </c>
      <c r="F830" s="1">
        <f ca="1">IFERROR(__xludf.DUMMYFUNCTION("""COMPUTED_VALUE"""),20754538)</f>
        <v>20754538</v>
      </c>
    </row>
    <row r="831" spans="1:6" x14ac:dyDescent="0.35">
      <c r="A831" s="2">
        <f ca="1">IFERROR(__xludf.DUMMYFUNCTION("""COMPUTED_VALUE"""),43209.6666666666)</f>
        <v>43209.666666666599</v>
      </c>
      <c r="B831" s="1">
        <f ca="1">IFERROR(__xludf.DUMMYFUNCTION("""COMPUTED_VALUE"""),43.74)</f>
        <v>43.74</v>
      </c>
      <c r="C831" s="1">
        <f ca="1">IFERROR(__xludf.DUMMYFUNCTION("""COMPUTED_VALUE"""),43.85)</f>
        <v>43.85</v>
      </c>
      <c r="D831" s="1">
        <f ca="1">IFERROR(__xludf.DUMMYFUNCTION("""COMPUTED_VALUE"""),43.17)</f>
        <v>43.17</v>
      </c>
      <c r="E831" s="1">
        <f ca="1">IFERROR(__xludf.DUMMYFUNCTION("""COMPUTED_VALUE"""),43.2)</f>
        <v>43.2</v>
      </c>
      <c r="F831" s="1">
        <f ca="1">IFERROR(__xludf.DUMMYFUNCTION("""COMPUTED_VALUE"""),34808800)</f>
        <v>34808800</v>
      </c>
    </row>
    <row r="832" spans="1:6" x14ac:dyDescent="0.35">
      <c r="A832" s="2">
        <f ca="1">IFERROR(__xludf.DUMMYFUNCTION("""COMPUTED_VALUE"""),43210.6666666666)</f>
        <v>43210.666666666599</v>
      </c>
      <c r="B832" s="1">
        <f ca="1">IFERROR(__xludf.DUMMYFUNCTION("""COMPUTED_VALUE"""),42.65)</f>
        <v>42.65</v>
      </c>
      <c r="C832" s="1">
        <f ca="1">IFERROR(__xludf.DUMMYFUNCTION("""COMPUTED_VALUE"""),42.8)</f>
        <v>42.8</v>
      </c>
      <c r="D832" s="1">
        <f ca="1">IFERROR(__xludf.DUMMYFUNCTION("""COMPUTED_VALUE"""),41.36)</f>
        <v>41.36</v>
      </c>
      <c r="E832" s="1">
        <f ca="1">IFERROR(__xludf.DUMMYFUNCTION("""COMPUTED_VALUE"""),41.43)</f>
        <v>41.43</v>
      </c>
      <c r="F832" s="1">
        <f ca="1">IFERROR(__xludf.DUMMYFUNCTION("""COMPUTED_VALUE"""),65491140)</f>
        <v>65491140</v>
      </c>
    </row>
    <row r="833" spans="1:6" x14ac:dyDescent="0.35">
      <c r="A833" s="2">
        <f ca="1">IFERROR(__xludf.DUMMYFUNCTION("""COMPUTED_VALUE"""),43213.6666666666)</f>
        <v>43213.666666666599</v>
      </c>
      <c r="B833" s="1">
        <f ca="1">IFERROR(__xludf.DUMMYFUNCTION("""COMPUTED_VALUE"""),41.71)</f>
        <v>41.71</v>
      </c>
      <c r="C833" s="1">
        <f ca="1">IFERROR(__xludf.DUMMYFUNCTION("""COMPUTED_VALUE"""),41.73)</f>
        <v>41.73</v>
      </c>
      <c r="D833" s="1">
        <f ca="1">IFERROR(__xludf.DUMMYFUNCTION("""COMPUTED_VALUE"""),41.02)</f>
        <v>41.02</v>
      </c>
      <c r="E833" s="1">
        <f ca="1">IFERROR(__xludf.DUMMYFUNCTION("""COMPUTED_VALUE"""),41.31)</f>
        <v>41.31</v>
      </c>
      <c r="F833" s="1">
        <f ca="1">IFERROR(__xludf.DUMMYFUNCTION("""COMPUTED_VALUE"""),36515477)</f>
        <v>36515477</v>
      </c>
    </row>
    <row r="834" spans="1:6" x14ac:dyDescent="0.35">
      <c r="A834" s="2">
        <f ca="1">IFERROR(__xludf.DUMMYFUNCTION("""COMPUTED_VALUE"""),43214.6666666666)</f>
        <v>43214.666666666599</v>
      </c>
      <c r="B834" s="1">
        <f ca="1">IFERROR(__xludf.DUMMYFUNCTION("""COMPUTED_VALUE"""),41.42)</f>
        <v>41.42</v>
      </c>
      <c r="C834" s="1">
        <f ca="1">IFERROR(__xludf.DUMMYFUNCTION("""COMPUTED_VALUE"""),41.58)</f>
        <v>41.58</v>
      </c>
      <c r="D834" s="1">
        <f ca="1">IFERROR(__xludf.DUMMYFUNCTION("""COMPUTED_VALUE"""),40.31)</f>
        <v>40.31</v>
      </c>
      <c r="E834" s="1">
        <f ca="1">IFERROR(__xludf.DUMMYFUNCTION("""COMPUTED_VALUE"""),40.74)</f>
        <v>40.74</v>
      </c>
      <c r="F834" s="1">
        <f ca="1">IFERROR(__xludf.DUMMYFUNCTION("""COMPUTED_VALUE"""),33692017)</f>
        <v>33692017</v>
      </c>
    </row>
    <row r="835" spans="1:6" x14ac:dyDescent="0.35">
      <c r="A835" s="2">
        <f ca="1">IFERROR(__xludf.DUMMYFUNCTION("""COMPUTED_VALUE"""),43215.6666666666)</f>
        <v>43215.666666666599</v>
      </c>
      <c r="B835" s="1">
        <f ca="1">IFERROR(__xludf.DUMMYFUNCTION("""COMPUTED_VALUE"""),40.66)</f>
        <v>40.659999999999997</v>
      </c>
      <c r="C835" s="1">
        <f ca="1">IFERROR(__xludf.DUMMYFUNCTION("""COMPUTED_VALUE"""),41.36)</f>
        <v>41.36</v>
      </c>
      <c r="D835" s="1">
        <f ca="1">IFERROR(__xludf.DUMMYFUNCTION("""COMPUTED_VALUE"""),40.6)</f>
        <v>40.6</v>
      </c>
      <c r="E835" s="1">
        <f ca="1">IFERROR(__xludf.DUMMYFUNCTION("""COMPUTED_VALUE"""),40.91)</f>
        <v>40.909999999999997</v>
      </c>
      <c r="F835" s="1">
        <f ca="1">IFERROR(__xludf.DUMMYFUNCTION("""COMPUTED_VALUE"""),28382084)</f>
        <v>28382084</v>
      </c>
    </row>
    <row r="836" spans="1:6" x14ac:dyDescent="0.35">
      <c r="A836" s="2">
        <f ca="1">IFERROR(__xludf.DUMMYFUNCTION("""COMPUTED_VALUE"""),43216.6666666666)</f>
        <v>43216.666666666599</v>
      </c>
      <c r="B836" s="1">
        <f ca="1">IFERROR(__xludf.DUMMYFUNCTION("""COMPUTED_VALUE"""),41.03)</f>
        <v>41.03</v>
      </c>
      <c r="C836" s="1">
        <f ca="1">IFERROR(__xludf.DUMMYFUNCTION("""COMPUTED_VALUE"""),41.43)</f>
        <v>41.43</v>
      </c>
      <c r="D836" s="1">
        <f ca="1">IFERROR(__xludf.DUMMYFUNCTION("""COMPUTED_VALUE"""),40.84)</f>
        <v>40.840000000000003</v>
      </c>
      <c r="E836" s="1">
        <f ca="1">IFERROR(__xludf.DUMMYFUNCTION("""COMPUTED_VALUE"""),41.06)</f>
        <v>41.06</v>
      </c>
      <c r="F836" s="1">
        <f ca="1">IFERROR(__xludf.DUMMYFUNCTION("""COMPUTED_VALUE"""),27963014)</f>
        <v>27963014</v>
      </c>
    </row>
    <row r="837" spans="1:6" x14ac:dyDescent="0.35">
      <c r="A837" s="2">
        <f ca="1">IFERROR(__xludf.DUMMYFUNCTION("""COMPUTED_VALUE"""),43217.6666666666)</f>
        <v>43217.666666666599</v>
      </c>
      <c r="B837" s="1">
        <f ca="1">IFERROR(__xludf.DUMMYFUNCTION("""COMPUTED_VALUE"""),41)</f>
        <v>41</v>
      </c>
      <c r="C837" s="1">
        <f ca="1">IFERROR(__xludf.DUMMYFUNCTION("""COMPUTED_VALUE"""),41.08)</f>
        <v>41.08</v>
      </c>
      <c r="D837" s="1">
        <f ca="1">IFERROR(__xludf.DUMMYFUNCTION("""COMPUTED_VALUE"""),40.16)</f>
        <v>40.159999999999997</v>
      </c>
      <c r="E837" s="1">
        <f ca="1">IFERROR(__xludf.DUMMYFUNCTION("""COMPUTED_VALUE"""),40.58)</f>
        <v>40.58</v>
      </c>
      <c r="F837" s="1">
        <f ca="1">IFERROR(__xludf.DUMMYFUNCTION("""COMPUTED_VALUE"""),35655839)</f>
        <v>35655839</v>
      </c>
    </row>
    <row r="838" spans="1:6" x14ac:dyDescent="0.35">
      <c r="A838" s="2">
        <f ca="1">IFERROR(__xludf.DUMMYFUNCTION("""COMPUTED_VALUE"""),43220.6666666666)</f>
        <v>43220.666666666599</v>
      </c>
      <c r="B838" s="1">
        <f ca="1">IFERROR(__xludf.DUMMYFUNCTION("""COMPUTED_VALUE"""),40.53)</f>
        <v>40.53</v>
      </c>
      <c r="C838" s="1">
        <f ca="1">IFERROR(__xludf.DUMMYFUNCTION("""COMPUTED_VALUE"""),41.82)</f>
        <v>41.82</v>
      </c>
      <c r="D838" s="1">
        <f ca="1">IFERROR(__xludf.DUMMYFUNCTION("""COMPUTED_VALUE"""),40.46)</f>
        <v>40.46</v>
      </c>
      <c r="E838" s="1">
        <f ca="1">IFERROR(__xludf.DUMMYFUNCTION("""COMPUTED_VALUE"""),41.32)</f>
        <v>41.32</v>
      </c>
      <c r="F838" s="1">
        <f ca="1">IFERROR(__xludf.DUMMYFUNCTION("""COMPUTED_VALUE"""),42427424)</f>
        <v>42427424</v>
      </c>
    </row>
    <row r="839" spans="1:6" x14ac:dyDescent="0.35">
      <c r="A839" s="2">
        <f ca="1">IFERROR(__xludf.DUMMYFUNCTION("""COMPUTED_VALUE"""),43221.6666666666)</f>
        <v>43221.666666666599</v>
      </c>
      <c r="B839" s="1">
        <f ca="1">IFERROR(__xludf.DUMMYFUNCTION("""COMPUTED_VALUE"""),41.6)</f>
        <v>41.6</v>
      </c>
      <c r="C839" s="1">
        <f ca="1">IFERROR(__xludf.DUMMYFUNCTION("""COMPUTED_VALUE"""),42.3)</f>
        <v>42.3</v>
      </c>
      <c r="D839" s="1">
        <f ca="1">IFERROR(__xludf.DUMMYFUNCTION("""COMPUTED_VALUE"""),41.32)</f>
        <v>41.32</v>
      </c>
      <c r="E839" s="1">
        <f ca="1">IFERROR(__xludf.DUMMYFUNCTION("""COMPUTED_VALUE"""),42.28)</f>
        <v>42.28</v>
      </c>
      <c r="F839" s="1">
        <f ca="1">IFERROR(__xludf.DUMMYFUNCTION("""COMPUTED_VALUE"""),53569376)</f>
        <v>53569376</v>
      </c>
    </row>
    <row r="840" spans="1:6" x14ac:dyDescent="0.35">
      <c r="A840" s="2">
        <f ca="1">IFERROR(__xludf.DUMMYFUNCTION("""COMPUTED_VALUE"""),43222.6666666666)</f>
        <v>43222.666666666599</v>
      </c>
      <c r="B840" s="1">
        <f ca="1">IFERROR(__xludf.DUMMYFUNCTION("""COMPUTED_VALUE"""),43.81)</f>
        <v>43.81</v>
      </c>
      <c r="C840" s="1">
        <f ca="1">IFERROR(__xludf.DUMMYFUNCTION("""COMPUTED_VALUE"""),44.44)</f>
        <v>44.44</v>
      </c>
      <c r="D840" s="1">
        <f ca="1">IFERROR(__xludf.DUMMYFUNCTION("""COMPUTED_VALUE"""),43.45)</f>
        <v>43.45</v>
      </c>
      <c r="E840" s="1">
        <f ca="1">IFERROR(__xludf.DUMMYFUNCTION("""COMPUTED_VALUE"""),44.14)</f>
        <v>44.14</v>
      </c>
      <c r="F840" s="1">
        <f ca="1">IFERROR(__xludf.DUMMYFUNCTION("""COMPUTED_VALUE"""),66539371)</f>
        <v>66539371</v>
      </c>
    </row>
    <row r="841" spans="1:6" x14ac:dyDescent="0.35">
      <c r="A841" s="2">
        <f ca="1">IFERROR(__xludf.DUMMYFUNCTION("""COMPUTED_VALUE"""),43223.6666666666)</f>
        <v>43223.666666666599</v>
      </c>
      <c r="B841" s="1">
        <f ca="1">IFERROR(__xludf.DUMMYFUNCTION("""COMPUTED_VALUE"""),43.97)</f>
        <v>43.97</v>
      </c>
      <c r="C841" s="1">
        <f ca="1">IFERROR(__xludf.DUMMYFUNCTION("""COMPUTED_VALUE"""),44.38)</f>
        <v>44.38</v>
      </c>
      <c r="D841" s="1">
        <f ca="1">IFERROR(__xludf.DUMMYFUNCTION("""COMPUTED_VALUE"""),43.61)</f>
        <v>43.61</v>
      </c>
      <c r="E841" s="1">
        <f ca="1">IFERROR(__xludf.DUMMYFUNCTION("""COMPUTED_VALUE"""),44.22)</f>
        <v>44.22</v>
      </c>
      <c r="F841" s="1">
        <f ca="1">IFERROR(__xludf.DUMMYFUNCTION("""COMPUTED_VALUE"""),34068180)</f>
        <v>34068180</v>
      </c>
    </row>
    <row r="842" spans="1:6" x14ac:dyDescent="0.35">
      <c r="A842" s="2">
        <f ca="1">IFERROR(__xludf.DUMMYFUNCTION("""COMPUTED_VALUE"""),43224.6666666666)</f>
        <v>43224.666666666599</v>
      </c>
      <c r="B842" s="1">
        <f ca="1">IFERROR(__xludf.DUMMYFUNCTION("""COMPUTED_VALUE"""),44.56)</f>
        <v>44.56</v>
      </c>
      <c r="C842" s="1">
        <f ca="1">IFERROR(__xludf.DUMMYFUNCTION("""COMPUTED_VALUE"""),46.06)</f>
        <v>46.06</v>
      </c>
      <c r="D842" s="1">
        <f ca="1">IFERROR(__xludf.DUMMYFUNCTION("""COMPUTED_VALUE"""),44.54)</f>
        <v>44.54</v>
      </c>
      <c r="E842" s="1">
        <f ca="1">IFERROR(__xludf.DUMMYFUNCTION("""COMPUTED_VALUE"""),45.96)</f>
        <v>45.96</v>
      </c>
      <c r="F842" s="1">
        <f ca="1">IFERROR(__xludf.DUMMYFUNCTION("""COMPUTED_VALUE"""),56201317)</f>
        <v>56201317</v>
      </c>
    </row>
    <row r="843" spans="1:6" x14ac:dyDescent="0.35">
      <c r="A843" s="2">
        <f ca="1">IFERROR(__xludf.DUMMYFUNCTION("""COMPUTED_VALUE"""),43227.6666666666)</f>
        <v>43227.666666666599</v>
      </c>
      <c r="B843" s="1">
        <f ca="1">IFERROR(__xludf.DUMMYFUNCTION("""COMPUTED_VALUE"""),46.3)</f>
        <v>46.3</v>
      </c>
      <c r="C843" s="1">
        <f ca="1">IFERROR(__xludf.DUMMYFUNCTION("""COMPUTED_VALUE"""),46.92)</f>
        <v>46.92</v>
      </c>
      <c r="D843" s="1">
        <f ca="1">IFERROR(__xludf.DUMMYFUNCTION("""COMPUTED_VALUE"""),46.19)</f>
        <v>46.19</v>
      </c>
      <c r="E843" s="1">
        <f ca="1">IFERROR(__xludf.DUMMYFUNCTION("""COMPUTED_VALUE"""),46.29)</f>
        <v>46.29</v>
      </c>
      <c r="F843" s="1">
        <f ca="1">IFERROR(__xludf.DUMMYFUNCTION("""COMPUTED_VALUE"""),42451423)</f>
        <v>42451423</v>
      </c>
    </row>
    <row r="844" spans="1:6" x14ac:dyDescent="0.35">
      <c r="A844" s="2">
        <f ca="1">IFERROR(__xludf.DUMMYFUNCTION("""COMPUTED_VALUE"""),43228.6666666666)</f>
        <v>43228.666666666599</v>
      </c>
      <c r="B844" s="1">
        <f ca="1">IFERROR(__xludf.DUMMYFUNCTION("""COMPUTED_VALUE"""),46.25)</f>
        <v>46.25</v>
      </c>
      <c r="C844" s="1">
        <f ca="1">IFERROR(__xludf.DUMMYFUNCTION("""COMPUTED_VALUE"""),46.56)</f>
        <v>46.56</v>
      </c>
      <c r="D844" s="1">
        <f ca="1">IFERROR(__xludf.DUMMYFUNCTION("""COMPUTED_VALUE"""),45.92)</f>
        <v>45.92</v>
      </c>
      <c r="E844" s="1">
        <f ca="1">IFERROR(__xludf.DUMMYFUNCTION("""COMPUTED_VALUE"""),46.51)</f>
        <v>46.51</v>
      </c>
      <c r="F844" s="1">
        <f ca="1">IFERROR(__xludf.DUMMYFUNCTION("""COMPUTED_VALUE"""),28402777)</f>
        <v>28402777</v>
      </c>
    </row>
    <row r="845" spans="1:6" x14ac:dyDescent="0.35">
      <c r="A845" s="2">
        <f ca="1">IFERROR(__xludf.DUMMYFUNCTION("""COMPUTED_VALUE"""),43229.6666666666)</f>
        <v>43229.666666666599</v>
      </c>
      <c r="B845" s="1">
        <f ca="1">IFERROR(__xludf.DUMMYFUNCTION("""COMPUTED_VALUE"""),46.64)</f>
        <v>46.64</v>
      </c>
      <c r="C845" s="1">
        <f ca="1">IFERROR(__xludf.DUMMYFUNCTION("""COMPUTED_VALUE"""),46.85)</f>
        <v>46.85</v>
      </c>
      <c r="D845" s="1">
        <f ca="1">IFERROR(__xludf.DUMMYFUNCTION("""COMPUTED_VALUE"""),46.31)</f>
        <v>46.31</v>
      </c>
      <c r="E845" s="1">
        <f ca="1">IFERROR(__xludf.DUMMYFUNCTION("""COMPUTED_VALUE"""),46.84)</f>
        <v>46.84</v>
      </c>
      <c r="F845" s="1">
        <f ca="1">IFERROR(__xludf.DUMMYFUNCTION("""COMPUTED_VALUE"""),23211241)</f>
        <v>23211241</v>
      </c>
    </row>
    <row r="846" spans="1:6" x14ac:dyDescent="0.35">
      <c r="A846" s="2">
        <f ca="1">IFERROR(__xludf.DUMMYFUNCTION("""COMPUTED_VALUE"""),43230.6666666666)</f>
        <v>43230.666666666599</v>
      </c>
      <c r="B846" s="1">
        <f ca="1">IFERROR(__xludf.DUMMYFUNCTION("""COMPUTED_VALUE"""),46.94)</f>
        <v>46.94</v>
      </c>
      <c r="C846" s="1">
        <f ca="1">IFERROR(__xludf.DUMMYFUNCTION("""COMPUTED_VALUE"""),47.59)</f>
        <v>47.59</v>
      </c>
      <c r="D846" s="1">
        <f ca="1">IFERROR(__xludf.DUMMYFUNCTION("""COMPUTED_VALUE"""),46.91)</f>
        <v>46.91</v>
      </c>
      <c r="E846" s="1">
        <f ca="1">IFERROR(__xludf.DUMMYFUNCTION("""COMPUTED_VALUE"""),47.51)</f>
        <v>47.51</v>
      </c>
      <c r="F846" s="1">
        <f ca="1">IFERROR(__xludf.DUMMYFUNCTION("""COMPUTED_VALUE"""),27989289)</f>
        <v>27989289</v>
      </c>
    </row>
    <row r="847" spans="1:6" x14ac:dyDescent="0.35">
      <c r="A847" s="2">
        <f ca="1">IFERROR(__xludf.DUMMYFUNCTION("""COMPUTED_VALUE"""),43231.6666666666)</f>
        <v>43231.666666666599</v>
      </c>
      <c r="B847" s="1">
        <f ca="1">IFERROR(__xludf.DUMMYFUNCTION("""COMPUTED_VALUE"""),47.37)</f>
        <v>47.37</v>
      </c>
      <c r="C847" s="1">
        <f ca="1">IFERROR(__xludf.DUMMYFUNCTION("""COMPUTED_VALUE"""),47.52)</f>
        <v>47.52</v>
      </c>
      <c r="D847" s="1">
        <f ca="1">IFERROR(__xludf.DUMMYFUNCTION("""COMPUTED_VALUE"""),46.86)</f>
        <v>46.86</v>
      </c>
      <c r="E847" s="1">
        <f ca="1">IFERROR(__xludf.DUMMYFUNCTION("""COMPUTED_VALUE"""),47.15)</f>
        <v>47.15</v>
      </c>
      <c r="F847" s="1">
        <f ca="1">IFERROR(__xludf.DUMMYFUNCTION("""COMPUTED_VALUE"""),26212221)</f>
        <v>26212221</v>
      </c>
    </row>
    <row r="848" spans="1:6" x14ac:dyDescent="0.35">
      <c r="A848" s="2">
        <f ca="1">IFERROR(__xludf.DUMMYFUNCTION("""COMPUTED_VALUE"""),43234.6666666666)</f>
        <v>43234.666666666599</v>
      </c>
      <c r="B848" s="1">
        <f ca="1">IFERROR(__xludf.DUMMYFUNCTION("""COMPUTED_VALUE"""),47.25)</f>
        <v>47.25</v>
      </c>
      <c r="C848" s="1">
        <f ca="1">IFERROR(__xludf.DUMMYFUNCTION("""COMPUTED_VALUE"""),47.38)</f>
        <v>47.38</v>
      </c>
      <c r="D848" s="1">
        <f ca="1">IFERROR(__xludf.DUMMYFUNCTION("""COMPUTED_VALUE"""),46.97)</f>
        <v>46.97</v>
      </c>
      <c r="E848" s="1">
        <f ca="1">IFERROR(__xludf.DUMMYFUNCTION("""COMPUTED_VALUE"""),47.04)</f>
        <v>47.04</v>
      </c>
      <c r="F848" s="1">
        <f ca="1">IFERROR(__xludf.DUMMYFUNCTION("""COMPUTED_VALUE"""),20778772)</f>
        <v>20778772</v>
      </c>
    </row>
    <row r="849" spans="1:6" x14ac:dyDescent="0.35">
      <c r="A849" s="2">
        <f ca="1">IFERROR(__xludf.DUMMYFUNCTION("""COMPUTED_VALUE"""),43235.6666666666)</f>
        <v>43235.666666666599</v>
      </c>
      <c r="B849" s="1">
        <f ca="1">IFERROR(__xludf.DUMMYFUNCTION("""COMPUTED_VALUE"""),46.7)</f>
        <v>46.7</v>
      </c>
      <c r="C849" s="1">
        <f ca="1">IFERROR(__xludf.DUMMYFUNCTION("""COMPUTED_VALUE"""),46.77)</f>
        <v>46.77</v>
      </c>
      <c r="D849" s="1">
        <f ca="1">IFERROR(__xludf.DUMMYFUNCTION("""COMPUTED_VALUE"""),46.28)</f>
        <v>46.28</v>
      </c>
      <c r="E849" s="1">
        <f ca="1">IFERROR(__xludf.DUMMYFUNCTION("""COMPUTED_VALUE"""),46.61)</f>
        <v>46.61</v>
      </c>
      <c r="F849" s="1">
        <f ca="1">IFERROR(__xludf.DUMMYFUNCTION("""COMPUTED_VALUE"""),23695159)</f>
        <v>23695159</v>
      </c>
    </row>
    <row r="850" spans="1:6" x14ac:dyDescent="0.35">
      <c r="A850" s="2">
        <f ca="1">IFERROR(__xludf.DUMMYFUNCTION("""COMPUTED_VALUE"""),43236.6666666666)</f>
        <v>43236.666666666599</v>
      </c>
      <c r="B850" s="1">
        <f ca="1">IFERROR(__xludf.DUMMYFUNCTION("""COMPUTED_VALUE"""),46.52)</f>
        <v>46.52</v>
      </c>
      <c r="C850" s="1">
        <f ca="1">IFERROR(__xludf.DUMMYFUNCTION("""COMPUTED_VALUE"""),47.12)</f>
        <v>47.12</v>
      </c>
      <c r="D850" s="1">
        <f ca="1">IFERROR(__xludf.DUMMYFUNCTION("""COMPUTED_VALUE"""),46.5)</f>
        <v>46.5</v>
      </c>
      <c r="E850" s="1">
        <f ca="1">IFERROR(__xludf.DUMMYFUNCTION("""COMPUTED_VALUE"""),47.05)</f>
        <v>47.05</v>
      </c>
      <c r="F850" s="1">
        <f ca="1">IFERROR(__xludf.DUMMYFUNCTION("""COMPUTED_VALUE"""),19183064)</f>
        <v>19183064</v>
      </c>
    </row>
    <row r="851" spans="1:6" x14ac:dyDescent="0.35">
      <c r="A851" s="2">
        <f ca="1">IFERROR(__xludf.DUMMYFUNCTION("""COMPUTED_VALUE"""),43237.6666666666)</f>
        <v>43237.666666666599</v>
      </c>
      <c r="B851" s="1">
        <f ca="1">IFERROR(__xludf.DUMMYFUNCTION("""COMPUTED_VALUE"""),47)</f>
        <v>47</v>
      </c>
      <c r="C851" s="1">
        <f ca="1">IFERROR(__xludf.DUMMYFUNCTION("""COMPUTED_VALUE"""),47.23)</f>
        <v>47.23</v>
      </c>
      <c r="D851" s="1">
        <f ca="1">IFERROR(__xludf.DUMMYFUNCTION("""COMPUTED_VALUE"""),46.59)</f>
        <v>46.59</v>
      </c>
      <c r="E851" s="1">
        <f ca="1">IFERROR(__xludf.DUMMYFUNCTION("""COMPUTED_VALUE"""),46.75)</f>
        <v>46.75</v>
      </c>
      <c r="F851" s="1">
        <f ca="1">IFERROR(__xludf.DUMMYFUNCTION("""COMPUTED_VALUE"""),17294029)</f>
        <v>17294029</v>
      </c>
    </row>
    <row r="852" spans="1:6" x14ac:dyDescent="0.35">
      <c r="A852" s="2">
        <f ca="1">IFERROR(__xludf.DUMMYFUNCTION("""COMPUTED_VALUE"""),43238.6666666666)</f>
        <v>43238.666666666599</v>
      </c>
      <c r="B852" s="1">
        <f ca="1">IFERROR(__xludf.DUMMYFUNCTION("""COMPUTED_VALUE"""),46.8)</f>
        <v>46.8</v>
      </c>
      <c r="C852" s="1">
        <f ca="1">IFERROR(__xludf.DUMMYFUNCTION("""COMPUTED_VALUE"""),46.95)</f>
        <v>46.95</v>
      </c>
      <c r="D852" s="1">
        <f ca="1">IFERROR(__xludf.DUMMYFUNCTION("""COMPUTED_VALUE"""),46.53)</f>
        <v>46.53</v>
      </c>
      <c r="E852" s="1">
        <f ca="1">IFERROR(__xludf.DUMMYFUNCTION("""COMPUTED_VALUE"""),46.58)</f>
        <v>46.58</v>
      </c>
      <c r="F852" s="1">
        <f ca="1">IFERROR(__xludf.DUMMYFUNCTION("""COMPUTED_VALUE"""),18297728)</f>
        <v>18297728</v>
      </c>
    </row>
    <row r="853" spans="1:6" x14ac:dyDescent="0.35">
      <c r="A853" s="2">
        <f ca="1">IFERROR(__xludf.DUMMYFUNCTION("""COMPUTED_VALUE"""),43241.6666666666)</f>
        <v>43241.666666666599</v>
      </c>
      <c r="B853" s="1">
        <f ca="1">IFERROR(__xludf.DUMMYFUNCTION("""COMPUTED_VALUE"""),47)</f>
        <v>47</v>
      </c>
      <c r="C853" s="1">
        <f ca="1">IFERROR(__xludf.DUMMYFUNCTION("""COMPUTED_VALUE"""),47.32)</f>
        <v>47.32</v>
      </c>
      <c r="D853" s="1">
        <f ca="1">IFERROR(__xludf.DUMMYFUNCTION("""COMPUTED_VALUE"""),46.73)</f>
        <v>46.73</v>
      </c>
      <c r="E853" s="1">
        <f ca="1">IFERROR(__xludf.DUMMYFUNCTION("""COMPUTED_VALUE"""),46.91)</f>
        <v>46.91</v>
      </c>
      <c r="F853" s="1">
        <f ca="1">IFERROR(__xludf.DUMMYFUNCTION("""COMPUTED_VALUE"""),18400787)</f>
        <v>18400787</v>
      </c>
    </row>
    <row r="854" spans="1:6" x14ac:dyDescent="0.35">
      <c r="A854" s="2">
        <f ca="1">IFERROR(__xludf.DUMMYFUNCTION("""COMPUTED_VALUE"""),43242.6666666666)</f>
        <v>43242.666666666599</v>
      </c>
      <c r="B854" s="1">
        <f ca="1">IFERROR(__xludf.DUMMYFUNCTION("""COMPUTED_VALUE"""),47.09)</f>
        <v>47.09</v>
      </c>
      <c r="C854" s="1">
        <f ca="1">IFERROR(__xludf.DUMMYFUNCTION("""COMPUTED_VALUE"""),47.22)</f>
        <v>47.22</v>
      </c>
      <c r="D854" s="1">
        <f ca="1">IFERROR(__xludf.DUMMYFUNCTION("""COMPUTED_VALUE"""),46.7)</f>
        <v>46.7</v>
      </c>
      <c r="E854" s="1">
        <f ca="1">IFERROR(__xludf.DUMMYFUNCTION("""COMPUTED_VALUE"""),46.79)</f>
        <v>46.79</v>
      </c>
      <c r="F854" s="1">
        <f ca="1">IFERROR(__xludf.DUMMYFUNCTION("""COMPUTED_VALUE"""),15240704)</f>
        <v>15240704</v>
      </c>
    </row>
    <row r="855" spans="1:6" x14ac:dyDescent="0.35">
      <c r="A855" s="2">
        <f ca="1">IFERROR(__xludf.DUMMYFUNCTION("""COMPUTED_VALUE"""),43243.6666666666)</f>
        <v>43243.666666666599</v>
      </c>
      <c r="B855" s="1">
        <f ca="1">IFERROR(__xludf.DUMMYFUNCTION("""COMPUTED_VALUE"""),46.59)</f>
        <v>46.59</v>
      </c>
      <c r="C855" s="1">
        <f ca="1">IFERROR(__xludf.DUMMYFUNCTION("""COMPUTED_VALUE"""),47.13)</f>
        <v>47.13</v>
      </c>
      <c r="D855" s="1">
        <f ca="1">IFERROR(__xludf.DUMMYFUNCTION("""COMPUTED_VALUE"""),46.44)</f>
        <v>46.44</v>
      </c>
      <c r="E855" s="1">
        <f ca="1">IFERROR(__xludf.DUMMYFUNCTION("""COMPUTED_VALUE"""),47.09)</f>
        <v>47.09</v>
      </c>
      <c r="F855" s="1">
        <f ca="1">IFERROR(__xludf.DUMMYFUNCTION("""COMPUTED_VALUE"""),20058415)</f>
        <v>20058415</v>
      </c>
    </row>
    <row r="856" spans="1:6" x14ac:dyDescent="0.35">
      <c r="A856" s="2">
        <f ca="1">IFERROR(__xludf.DUMMYFUNCTION("""COMPUTED_VALUE"""),43244.6666666666)</f>
        <v>43244.666666666599</v>
      </c>
      <c r="B856" s="1">
        <f ca="1">IFERROR(__xludf.DUMMYFUNCTION("""COMPUTED_VALUE"""),47.19)</f>
        <v>47.19</v>
      </c>
      <c r="C856" s="1">
        <f ca="1">IFERROR(__xludf.DUMMYFUNCTION("""COMPUTED_VALUE"""),47.21)</f>
        <v>47.21</v>
      </c>
      <c r="D856" s="1">
        <f ca="1">IFERROR(__xludf.DUMMYFUNCTION("""COMPUTED_VALUE"""),46.55)</f>
        <v>46.55</v>
      </c>
      <c r="E856" s="1">
        <f ca="1">IFERROR(__xludf.DUMMYFUNCTION("""COMPUTED_VALUE"""),47.04)</f>
        <v>47.04</v>
      </c>
      <c r="F856" s="1">
        <f ca="1">IFERROR(__xludf.DUMMYFUNCTION("""COMPUTED_VALUE"""),23233975)</f>
        <v>23233975</v>
      </c>
    </row>
    <row r="857" spans="1:6" x14ac:dyDescent="0.35">
      <c r="A857" s="2">
        <f ca="1">IFERROR(__xludf.DUMMYFUNCTION("""COMPUTED_VALUE"""),43245.6666666666)</f>
        <v>43245.666666666599</v>
      </c>
      <c r="B857" s="1">
        <f ca="1">IFERROR(__xludf.DUMMYFUNCTION("""COMPUTED_VALUE"""),47.06)</f>
        <v>47.06</v>
      </c>
      <c r="C857" s="1">
        <f ca="1">IFERROR(__xludf.DUMMYFUNCTION("""COMPUTED_VALUE"""),47.41)</f>
        <v>47.41</v>
      </c>
      <c r="D857" s="1">
        <f ca="1">IFERROR(__xludf.DUMMYFUNCTION("""COMPUTED_VALUE"""),46.91)</f>
        <v>46.91</v>
      </c>
      <c r="E857" s="1">
        <f ca="1">IFERROR(__xludf.DUMMYFUNCTION("""COMPUTED_VALUE"""),47.15)</f>
        <v>47.15</v>
      </c>
      <c r="F857" s="1">
        <f ca="1">IFERROR(__xludf.DUMMYFUNCTION("""COMPUTED_VALUE"""),17460963)</f>
        <v>17460963</v>
      </c>
    </row>
    <row r="858" spans="1:6" x14ac:dyDescent="0.35">
      <c r="A858" s="2">
        <f ca="1">IFERROR(__xludf.DUMMYFUNCTION("""COMPUTED_VALUE"""),43249.6666666666)</f>
        <v>43249.666666666599</v>
      </c>
      <c r="B858" s="1">
        <f ca="1">IFERROR(__xludf.DUMMYFUNCTION("""COMPUTED_VALUE"""),46.9)</f>
        <v>46.9</v>
      </c>
      <c r="C858" s="1">
        <f ca="1">IFERROR(__xludf.DUMMYFUNCTION("""COMPUTED_VALUE"""),47.19)</f>
        <v>47.19</v>
      </c>
      <c r="D858" s="1">
        <f ca="1">IFERROR(__xludf.DUMMYFUNCTION("""COMPUTED_VALUE"""),46.72)</f>
        <v>46.72</v>
      </c>
      <c r="E858" s="1">
        <f ca="1">IFERROR(__xludf.DUMMYFUNCTION("""COMPUTED_VALUE"""),46.98)</f>
        <v>46.98</v>
      </c>
      <c r="F858" s="1">
        <f ca="1">IFERROR(__xludf.DUMMYFUNCTION("""COMPUTED_VALUE"""),22514075)</f>
        <v>22514075</v>
      </c>
    </row>
    <row r="859" spans="1:6" x14ac:dyDescent="0.35">
      <c r="A859" s="2">
        <f ca="1">IFERROR(__xludf.DUMMYFUNCTION("""COMPUTED_VALUE"""),43250.6666666666)</f>
        <v>43250.666666666599</v>
      </c>
      <c r="B859" s="1">
        <f ca="1">IFERROR(__xludf.DUMMYFUNCTION("""COMPUTED_VALUE"""),46.93)</f>
        <v>46.93</v>
      </c>
      <c r="C859" s="1">
        <f ca="1">IFERROR(__xludf.DUMMYFUNCTION("""COMPUTED_VALUE"""),47)</f>
        <v>47</v>
      </c>
      <c r="D859" s="1">
        <f ca="1">IFERROR(__xludf.DUMMYFUNCTION("""COMPUTED_VALUE"""),46.7)</f>
        <v>46.7</v>
      </c>
      <c r="E859" s="1">
        <f ca="1">IFERROR(__xludf.DUMMYFUNCTION("""COMPUTED_VALUE"""),46.88)</f>
        <v>46.88</v>
      </c>
      <c r="F859" s="1">
        <f ca="1">IFERROR(__xludf.DUMMYFUNCTION("""COMPUTED_VALUE"""),18690547)</f>
        <v>18690547</v>
      </c>
    </row>
    <row r="860" spans="1:6" x14ac:dyDescent="0.35">
      <c r="A860" s="2">
        <f ca="1">IFERROR(__xludf.DUMMYFUNCTION("""COMPUTED_VALUE"""),43251.6666666666)</f>
        <v>43251.666666666599</v>
      </c>
      <c r="B860" s="1">
        <f ca="1">IFERROR(__xludf.DUMMYFUNCTION("""COMPUTED_VALUE"""),46.81)</f>
        <v>46.81</v>
      </c>
      <c r="C860" s="1">
        <f ca="1">IFERROR(__xludf.DUMMYFUNCTION("""COMPUTED_VALUE"""),47.06)</f>
        <v>47.06</v>
      </c>
      <c r="D860" s="1">
        <f ca="1">IFERROR(__xludf.DUMMYFUNCTION("""COMPUTED_VALUE"""),46.54)</f>
        <v>46.54</v>
      </c>
      <c r="E860" s="1">
        <f ca="1">IFERROR(__xludf.DUMMYFUNCTION("""COMPUTED_VALUE"""),46.72)</f>
        <v>46.72</v>
      </c>
      <c r="F860" s="1">
        <f ca="1">IFERROR(__xludf.DUMMYFUNCTION("""COMPUTED_VALUE"""),27482793)</f>
        <v>27482793</v>
      </c>
    </row>
    <row r="861" spans="1:6" x14ac:dyDescent="0.35">
      <c r="A861" s="2">
        <f ca="1">IFERROR(__xludf.DUMMYFUNCTION("""COMPUTED_VALUE"""),43252.6666666666)</f>
        <v>43252.666666666599</v>
      </c>
      <c r="B861" s="1">
        <f ca="1">IFERROR(__xludf.DUMMYFUNCTION("""COMPUTED_VALUE"""),47)</f>
        <v>47</v>
      </c>
      <c r="C861" s="1">
        <f ca="1">IFERROR(__xludf.DUMMYFUNCTION("""COMPUTED_VALUE"""),47.57)</f>
        <v>47.57</v>
      </c>
      <c r="D861" s="1">
        <f ca="1">IFERROR(__xludf.DUMMYFUNCTION("""COMPUTED_VALUE"""),46.94)</f>
        <v>46.94</v>
      </c>
      <c r="E861" s="1">
        <f ca="1">IFERROR(__xludf.DUMMYFUNCTION("""COMPUTED_VALUE"""),47.56)</f>
        <v>47.56</v>
      </c>
      <c r="F861" s="1">
        <f ca="1">IFERROR(__xludf.DUMMYFUNCTION("""COMPUTED_VALUE"""),23442510)</f>
        <v>23442510</v>
      </c>
    </row>
    <row r="862" spans="1:6" x14ac:dyDescent="0.35">
      <c r="A862" s="2">
        <f ca="1">IFERROR(__xludf.DUMMYFUNCTION("""COMPUTED_VALUE"""),43255.6666666666)</f>
        <v>43255.666666666599</v>
      </c>
      <c r="B862" s="1">
        <f ca="1">IFERROR(__xludf.DUMMYFUNCTION("""COMPUTED_VALUE"""),47.91)</f>
        <v>47.91</v>
      </c>
      <c r="C862" s="1">
        <f ca="1">IFERROR(__xludf.DUMMYFUNCTION("""COMPUTED_VALUE"""),48.36)</f>
        <v>48.36</v>
      </c>
      <c r="D862" s="1">
        <f ca="1">IFERROR(__xludf.DUMMYFUNCTION("""COMPUTED_VALUE"""),47.84)</f>
        <v>47.84</v>
      </c>
      <c r="E862" s="1">
        <f ca="1">IFERROR(__xludf.DUMMYFUNCTION("""COMPUTED_VALUE"""),47.96)</f>
        <v>47.96</v>
      </c>
      <c r="F862" s="1">
        <f ca="1">IFERROR(__xludf.DUMMYFUNCTION("""COMPUTED_VALUE"""),26266174)</f>
        <v>26266174</v>
      </c>
    </row>
    <row r="863" spans="1:6" x14ac:dyDescent="0.35">
      <c r="A863" s="2">
        <f ca="1">IFERROR(__xludf.DUMMYFUNCTION("""COMPUTED_VALUE"""),43256.6666666666)</f>
        <v>43256.666666666599</v>
      </c>
      <c r="B863" s="1">
        <f ca="1">IFERROR(__xludf.DUMMYFUNCTION("""COMPUTED_VALUE"""),48.27)</f>
        <v>48.27</v>
      </c>
      <c r="C863" s="1">
        <f ca="1">IFERROR(__xludf.DUMMYFUNCTION("""COMPUTED_VALUE"""),48.49)</f>
        <v>48.49</v>
      </c>
      <c r="D863" s="1">
        <f ca="1">IFERROR(__xludf.DUMMYFUNCTION("""COMPUTED_VALUE"""),48.09)</f>
        <v>48.09</v>
      </c>
      <c r="E863" s="1">
        <f ca="1">IFERROR(__xludf.DUMMYFUNCTION("""COMPUTED_VALUE"""),48.33)</f>
        <v>48.33</v>
      </c>
      <c r="F863" s="1">
        <f ca="1">IFERROR(__xludf.DUMMYFUNCTION("""COMPUTED_VALUE"""),21565963)</f>
        <v>21565963</v>
      </c>
    </row>
    <row r="864" spans="1:6" x14ac:dyDescent="0.35">
      <c r="A864" s="2">
        <f ca="1">IFERROR(__xludf.DUMMYFUNCTION("""COMPUTED_VALUE"""),43257.6666666666)</f>
        <v>43257.666666666599</v>
      </c>
      <c r="B864" s="1">
        <f ca="1">IFERROR(__xludf.DUMMYFUNCTION("""COMPUTED_VALUE"""),48.41)</f>
        <v>48.41</v>
      </c>
      <c r="C864" s="1">
        <f ca="1">IFERROR(__xludf.DUMMYFUNCTION("""COMPUTED_VALUE"""),48.52)</f>
        <v>48.52</v>
      </c>
      <c r="D864" s="1">
        <f ca="1">IFERROR(__xludf.DUMMYFUNCTION("""COMPUTED_VALUE"""),47.98)</f>
        <v>47.98</v>
      </c>
      <c r="E864" s="1">
        <f ca="1">IFERROR(__xludf.DUMMYFUNCTION("""COMPUTED_VALUE"""),48.5)</f>
        <v>48.5</v>
      </c>
      <c r="F864" s="1">
        <f ca="1">IFERROR(__xludf.DUMMYFUNCTION("""COMPUTED_VALUE"""),20933619)</f>
        <v>20933619</v>
      </c>
    </row>
    <row r="865" spans="1:6" x14ac:dyDescent="0.35">
      <c r="A865" s="2">
        <f ca="1">IFERROR(__xludf.DUMMYFUNCTION("""COMPUTED_VALUE"""),43258.6666666666)</f>
        <v>43258.666666666599</v>
      </c>
      <c r="B865" s="1">
        <f ca="1">IFERROR(__xludf.DUMMYFUNCTION("""COMPUTED_VALUE"""),48.54)</f>
        <v>48.54</v>
      </c>
      <c r="C865" s="1">
        <f ca="1">IFERROR(__xludf.DUMMYFUNCTION("""COMPUTED_VALUE"""),48.55)</f>
        <v>48.55</v>
      </c>
      <c r="D865" s="1">
        <f ca="1">IFERROR(__xludf.DUMMYFUNCTION("""COMPUTED_VALUE"""),48.08)</f>
        <v>48.08</v>
      </c>
      <c r="E865" s="1">
        <f ca="1">IFERROR(__xludf.DUMMYFUNCTION("""COMPUTED_VALUE"""),48.37)</f>
        <v>48.37</v>
      </c>
      <c r="F865" s="1">
        <f ca="1">IFERROR(__xludf.DUMMYFUNCTION("""COMPUTED_VALUE"""),21347180)</f>
        <v>21347180</v>
      </c>
    </row>
    <row r="866" spans="1:6" x14ac:dyDescent="0.35">
      <c r="A866" s="2">
        <f ca="1">IFERROR(__xludf.DUMMYFUNCTION("""COMPUTED_VALUE"""),43259.6666666666)</f>
        <v>43259.666666666599</v>
      </c>
      <c r="B866" s="1">
        <f ca="1">IFERROR(__xludf.DUMMYFUNCTION("""COMPUTED_VALUE"""),47.79)</f>
        <v>47.79</v>
      </c>
      <c r="C866" s="1">
        <f ca="1">IFERROR(__xludf.DUMMYFUNCTION("""COMPUTED_VALUE"""),48)</f>
        <v>48</v>
      </c>
      <c r="D866" s="1">
        <f ca="1">IFERROR(__xludf.DUMMYFUNCTION("""COMPUTED_VALUE"""),47.44)</f>
        <v>47.44</v>
      </c>
      <c r="E866" s="1">
        <f ca="1">IFERROR(__xludf.DUMMYFUNCTION("""COMPUTED_VALUE"""),47.93)</f>
        <v>47.93</v>
      </c>
      <c r="F866" s="1">
        <f ca="1">IFERROR(__xludf.DUMMYFUNCTION("""COMPUTED_VALUE"""),26656799)</f>
        <v>26656799</v>
      </c>
    </row>
    <row r="867" spans="1:6" x14ac:dyDescent="0.35">
      <c r="A867" s="2">
        <f ca="1">IFERROR(__xludf.DUMMYFUNCTION("""COMPUTED_VALUE"""),43262.6666666666)</f>
        <v>43262.666666666599</v>
      </c>
      <c r="B867" s="1">
        <f ca="1">IFERROR(__xludf.DUMMYFUNCTION("""COMPUTED_VALUE"""),47.84)</f>
        <v>47.84</v>
      </c>
      <c r="C867" s="1">
        <f ca="1">IFERROR(__xludf.DUMMYFUNCTION("""COMPUTED_VALUE"""),47.99)</f>
        <v>47.99</v>
      </c>
      <c r="D867" s="1">
        <f ca="1">IFERROR(__xludf.DUMMYFUNCTION("""COMPUTED_VALUE"""),47.55)</f>
        <v>47.55</v>
      </c>
      <c r="E867" s="1">
        <f ca="1">IFERROR(__xludf.DUMMYFUNCTION("""COMPUTED_VALUE"""),47.81)</f>
        <v>47.81</v>
      </c>
      <c r="F867" s="1">
        <f ca="1">IFERROR(__xludf.DUMMYFUNCTION("""COMPUTED_VALUE"""),18308460)</f>
        <v>18308460</v>
      </c>
    </row>
    <row r="868" spans="1:6" x14ac:dyDescent="0.35">
      <c r="A868" s="2">
        <f ca="1">IFERROR(__xludf.DUMMYFUNCTION("""COMPUTED_VALUE"""),43263.6666666666)</f>
        <v>43263.666666666599</v>
      </c>
      <c r="B868" s="1">
        <f ca="1">IFERROR(__xludf.DUMMYFUNCTION("""COMPUTED_VALUE"""),47.85)</f>
        <v>47.85</v>
      </c>
      <c r="C868" s="1">
        <f ca="1">IFERROR(__xludf.DUMMYFUNCTION("""COMPUTED_VALUE"""),48.15)</f>
        <v>48.15</v>
      </c>
      <c r="D868" s="1">
        <f ca="1">IFERROR(__xludf.DUMMYFUNCTION("""COMPUTED_VALUE"""),47.79)</f>
        <v>47.79</v>
      </c>
      <c r="E868" s="1">
        <f ca="1">IFERROR(__xludf.DUMMYFUNCTION("""COMPUTED_VALUE"""),48.07)</f>
        <v>48.07</v>
      </c>
      <c r="F868" s="1">
        <f ca="1">IFERROR(__xludf.DUMMYFUNCTION("""COMPUTED_VALUE"""),16911141)</f>
        <v>16911141</v>
      </c>
    </row>
    <row r="869" spans="1:6" x14ac:dyDescent="0.35">
      <c r="A869" s="2">
        <f ca="1">IFERROR(__xludf.DUMMYFUNCTION("""COMPUTED_VALUE"""),43264.6666666666)</f>
        <v>43264.666666666599</v>
      </c>
      <c r="B869" s="1">
        <f ca="1">IFERROR(__xludf.DUMMYFUNCTION("""COMPUTED_VALUE"""),48.11)</f>
        <v>48.11</v>
      </c>
      <c r="C869" s="1">
        <f ca="1">IFERROR(__xludf.DUMMYFUNCTION("""COMPUTED_VALUE"""),48.22)</f>
        <v>48.22</v>
      </c>
      <c r="D869" s="1">
        <f ca="1">IFERROR(__xludf.DUMMYFUNCTION("""COMPUTED_VALUE"""),47.61)</f>
        <v>47.61</v>
      </c>
      <c r="E869" s="1">
        <f ca="1">IFERROR(__xludf.DUMMYFUNCTION("""COMPUTED_VALUE"""),47.68)</f>
        <v>47.68</v>
      </c>
      <c r="F869" s="1">
        <f ca="1">IFERROR(__xludf.DUMMYFUNCTION("""COMPUTED_VALUE"""),21638393)</f>
        <v>21638393</v>
      </c>
    </row>
    <row r="870" spans="1:6" x14ac:dyDescent="0.35">
      <c r="A870" s="2">
        <f ca="1">IFERROR(__xludf.DUMMYFUNCTION("""COMPUTED_VALUE"""),43265.6666666666)</f>
        <v>43265.666666666599</v>
      </c>
      <c r="B870" s="1">
        <f ca="1">IFERROR(__xludf.DUMMYFUNCTION("""COMPUTED_VALUE"""),47.89)</f>
        <v>47.89</v>
      </c>
      <c r="C870" s="1">
        <f ca="1">IFERROR(__xludf.DUMMYFUNCTION("""COMPUTED_VALUE"""),47.89)</f>
        <v>47.89</v>
      </c>
      <c r="D870" s="1">
        <f ca="1">IFERROR(__xludf.DUMMYFUNCTION("""COMPUTED_VALUE"""),47.56)</f>
        <v>47.56</v>
      </c>
      <c r="E870" s="1">
        <f ca="1">IFERROR(__xludf.DUMMYFUNCTION("""COMPUTED_VALUE"""),47.7)</f>
        <v>47.7</v>
      </c>
      <c r="F870" s="1">
        <f ca="1">IFERROR(__xludf.DUMMYFUNCTION("""COMPUTED_VALUE"""),21610074)</f>
        <v>21610074</v>
      </c>
    </row>
    <row r="871" spans="1:6" x14ac:dyDescent="0.35">
      <c r="A871" s="2">
        <f ca="1">IFERROR(__xludf.DUMMYFUNCTION("""COMPUTED_VALUE"""),43266.6666666666)</f>
        <v>43266.666666666599</v>
      </c>
      <c r="B871" s="1">
        <f ca="1">IFERROR(__xludf.DUMMYFUNCTION("""COMPUTED_VALUE"""),47.51)</f>
        <v>47.51</v>
      </c>
      <c r="C871" s="1">
        <f ca="1">IFERROR(__xludf.DUMMYFUNCTION("""COMPUTED_VALUE"""),47.54)</f>
        <v>47.54</v>
      </c>
      <c r="D871" s="1">
        <f ca="1">IFERROR(__xludf.DUMMYFUNCTION("""COMPUTED_VALUE"""),47.07)</f>
        <v>47.07</v>
      </c>
      <c r="E871" s="1">
        <f ca="1">IFERROR(__xludf.DUMMYFUNCTION("""COMPUTED_VALUE"""),47.21)</f>
        <v>47.21</v>
      </c>
      <c r="F871" s="1">
        <f ca="1">IFERROR(__xludf.DUMMYFUNCTION("""COMPUTED_VALUE"""),61719160)</f>
        <v>61719160</v>
      </c>
    </row>
    <row r="872" spans="1:6" x14ac:dyDescent="0.35">
      <c r="A872" s="2">
        <f ca="1">IFERROR(__xludf.DUMMYFUNCTION("""COMPUTED_VALUE"""),43269.6666666666)</f>
        <v>43269.666666666599</v>
      </c>
      <c r="B872" s="1">
        <f ca="1">IFERROR(__xludf.DUMMYFUNCTION("""COMPUTED_VALUE"""),46.97)</f>
        <v>46.97</v>
      </c>
      <c r="C872" s="1">
        <f ca="1">IFERROR(__xludf.DUMMYFUNCTION("""COMPUTED_VALUE"""),47.31)</f>
        <v>47.31</v>
      </c>
      <c r="D872" s="1">
        <f ca="1">IFERROR(__xludf.DUMMYFUNCTION("""COMPUTED_VALUE"""),46.8)</f>
        <v>46.8</v>
      </c>
      <c r="E872" s="1">
        <f ca="1">IFERROR(__xludf.DUMMYFUNCTION("""COMPUTED_VALUE"""),47.19)</f>
        <v>47.19</v>
      </c>
      <c r="F872" s="1">
        <f ca="1">IFERROR(__xludf.DUMMYFUNCTION("""COMPUTED_VALUE"""),18484865)</f>
        <v>18484865</v>
      </c>
    </row>
    <row r="873" spans="1:6" x14ac:dyDescent="0.35">
      <c r="A873" s="2">
        <f ca="1">IFERROR(__xludf.DUMMYFUNCTION("""COMPUTED_VALUE"""),43270.6666666666)</f>
        <v>43270.666666666599</v>
      </c>
      <c r="B873" s="1">
        <f ca="1">IFERROR(__xludf.DUMMYFUNCTION("""COMPUTED_VALUE"""),46.29)</f>
        <v>46.29</v>
      </c>
      <c r="C873" s="1">
        <f ca="1">IFERROR(__xludf.DUMMYFUNCTION("""COMPUTED_VALUE"""),46.58)</f>
        <v>46.58</v>
      </c>
      <c r="D873" s="1">
        <f ca="1">IFERROR(__xludf.DUMMYFUNCTION("""COMPUTED_VALUE"""),45.86)</f>
        <v>45.86</v>
      </c>
      <c r="E873" s="1">
        <f ca="1">IFERROR(__xludf.DUMMYFUNCTION("""COMPUTED_VALUE"""),46.42)</f>
        <v>46.42</v>
      </c>
      <c r="F873" s="1">
        <f ca="1">IFERROR(__xludf.DUMMYFUNCTION("""COMPUTED_VALUE"""),33578455)</f>
        <v>33578455</v>
      </c>
    </row>
    <row r="874" spans="1:6" x14ac:dyDescent="0.35">
      <c r="A874" s="2">
        <f ca="1">IFERROR(__xludf.DUMMYFUNCTION("""COMPUTED_VALUE"""),43271.6666666666)</f>
        <v>43271.666666666599</v>
      </c>
      <c r="B874" s="1">
        <f ca="1">IFERROR(__xludf.DUMMYFUNCTION("""COMPUTED_VALUE"""),46.59)</f>
        <v>46.59</v>
      </c>
      <c r="C874" s="1">
        <f ca="1">IFERROR(__xludf.DUMMYFUNCTION("""COMPUTED_VALUE"""),46.8)</f>
        <v>46.8</v>
      </c>
      <c r="D874" s="1">
        <f ca="1">IFERROR(__xludf.DUMMYFUNCTION("""COMPUTED_VALUE"""),46.43)</f>
        <v>46.43</v>
      </c>
      <c r="E874" s="1">
        <f ca="1">IFERROR(__xludf.DUMMYFUNCTION("""COMPUTED_VALUE"""),46.63)</f>
        <v>46.63</v>
      </c>
      <c r="F874" s="1">
        <f ca="1">IFERROR(__xludf.DUMMYFUNCTION("""COMPUTED_VALUE"""),20628701)</f>
        <v>20628701</v>
      </c>
    </row>
    <row r="875" spans="1:6" x14ac:dyDescent="0.35">
      <c r="A875" s="2">
        <f ca="1">IFERROR(__xludf.DUMMYFUNCTION("""COMPUTED_VALUE"""),43272.6666666666)</f>
        <v>43272.666666666599</v>
      </c>
      <c r="B875" s="1">
        <f ca="1">IFERROR(__xludf.DUMMYFUNCTION("""COMPUTED_VALUE"""),46.81)</f>
        <v>46.81</v>
      </c>
      <c r="C875" s="1">
        <f ca="1">IFERROR(__xludf.DUMMYFUNCTION("""COMPUTED_VALUE"""),47.09)</f>
        <v>47.09</v>
      </c>
      <c r="D875" s="1">
        <f ca="1">IFERROR(__xludf.DUMMYFUNCTION("""COMPUTED_VALUE"""),46.24)</f>
        <v>46.24</v>
      </c>
      <c r="E875" s="1">
        <f ca="1">IFERROR(__xludf.DUMMYFUNCTION("""COMPUTED_VALUE"""),46.37)</f>
        <v>46.37</v>
      </c>
      <c r="F875" s="1">
        <f ca="1">IFERROR(__xludf.DUMMYFUNCTION("""COMPUTED_VALUE"""),25711898)</f>
        <v>25711898</v>
      </c>
    </row>
    <row r="876" spans="1:6" x14ac:dyDescent="0.35">
      <c r="A876" s="2">
        <f ca="1">IFERROR(__xludf.DUMMYFUNCTION("""COMPUTED_VALUE"""),43273.6666666666)</f>
        <v>43273.666666666599</v>
      </c>
      <c r="B876" s="1">
        <f ca="1">IFERROR(__xludf.DUMMYFUNCTION("""COMPUTED_VALUE"""),46.53)</f>
        <v>46.53</v>
      </c>
      <c r="C876" s="1">
        <f ca="1">IFERROR(__xludf.DUMMYFUNCTION("""COMPUTED_VALUE"""),46.54)</f>
        <v>46.54</v>
      </c>
      <c r="D876" s="1">
        <f ca="1">IFERROR(__xludf.DUMMYFUNCTION("""COMPUTED_VALUE"""),46.18)</f>
        <v>46.18</v>
      </c>
      <c r="E876" s="1">
        <f ca="1">IFERROR(__xludf.DUMMYFUNCTION("""COMPUTED_VALUE"""),46.23)</f>
        <v>46.23</v>
      </c>
      <c r="F876" s="1">
        <f ca="1">IFERROR(__xludf.DUMMYFUNCTION("""COMPUTED_VALUE"""),27200447)</f>
        <v>27200447</v>
      </c>
    </row>
    <row r="877" spans="1:6" x14ac:dyDescent="0.35">
      <c r="A877" s="2">
        <f ca="1">IFERROR(__xludf.DUMMYFUNCTION("""COMPUTED_VALUE"""),43276.6666666666)</f>
        <v>43276.666666666599</v>
      </c>
      <c r="B877" s="1">
        <f ca="1">IFERROR(__xludf.DUMMYFUNCTION("""COMPUTED_VALUE"""),45.85)</f>
        <v>45.85</v>
      </c>
      <c r="C877" s="1">
        <f ca="1">IFERROR(__xludf.DUMMYFUNCTION("""COMPUTED_VALUE"""),46.23)</f>
        <v>46.23</v>
      </c>
      <c r="D877" s="1">
        <f ca="1">IFERROR(__xludf.DUMMYFUNCTION("""COMPUTED_VALUE"""),45.18)</f>
        <v>45.18</v>
      </c>
      <c r="E877" s="1">
        <f ca="1">IFERROR(__xludf.DUMMYFUNCTION("""COMPUTED_VALUE"""),45.54)</f>
        <v>45.54</v>
      </c>
      <c r="F877" s="1">
        <f ca="1">IFERROR(__xludf.DUMMYFUNCTION("""COMPUTED_VALUE"""),31663096)</f>
        <v>31663096</v>
      </c>
    </row>
    <row r="878" spans="1:6" x14ac:dyDescent="0.35">
      <c r="A878" s="2">
        <f ca="1">IFERROR(__xludf.DUMMYFUNCTION("""COMPUTED_VALUE"""),43277.6666666666)</f>
        <v>43277.666666666599</v>
      </c>
      <c r="B878" s="1">
        <f ca="1">IFERROR(__xludf.DUMMYFUNCTION("""COMPUTED_VALUE"""),45.75)</f>
        <v>45.75</v>
      </c>
      <c r="C878" s="1">
        <f ca="1">IFERROR(__xludf.DUMMYFUNCTION("""COMPUTED_VALUE"""),46.63)</f>
        <v>46.63</v>
      </c>
      <c r="D878" s="1">
        <f ca="1">IFERROR(__xludf.DUMMYFUNCTION("""COMPUTED_VALUE"""),45.64)</f>
        <v>45.64</v>
      </c>
      <c r="E878" s="1">
        <f ca="1">IFERROR(__xludf.DUMMYFUNCTION("""COMPUTED_VALUE"""),46.11)</f>
        <v>46.11</v>
      </c>
      <c r="F878" s="1">
        <f ca="1">IFERROR(__xludf.DUMMYFUNCTION("""COMPUTED_VALUE"""),24569201)</f>
        <v>24569201</v>
      </c>
    </row>
    <row r="879" spans="1:6" x14ac:dyDescent="0.35">
      <c r="A879" s="2">
        <f ca="1">IFERROR(__xludf.DUMMYFUNCTION("""COMPUTED_VALUE"""),43278.6666666666)</f>
        <v>43278.666666666599</v>
      </c>
      <c r="B879" s="1">
        <f ca="1">IFERROR(__xludf.DUMMYFUNCTION("""COMPUTED_VALUE"""),46.31)</f>
        <v>46.31</v>
      </c>
      <c r="C879" s="1">
        <f ca="1">IFERROR(__xludf.DUMMYFUNCTION("""COMPUTED_VALUE"""),46.82)</f>
        <v>46.82</v>
      </c>
      <c r="D879" s="1">
        <f ca="1">IFERROR(__xludf.DUMMYFUNCTION("""COMPUTED_VALUE"""),46.01)</f>
        <v>46.01</v>
      </c>
      <c r="E879" s="1">
        <f ca="1">IFERROR(__xludf.DUMMYFUNCTION("""COMPUTED_VALUE"""),46.04)</f>
        <v>46.04</v>
      </c>
      <c r="F879" s="1">
        <f ca="1">IFERROR(__xludf.DUMMYFUNCTION("""COMPUTED_VALUE"""),25285328)</f>
        <v>25285328</v>
      </c>
    </row>
    <row r="880" spans="1:6" x14ac:dyDescent="0.35">
      <c r="A880" s="2">
        <f ca="1">IFERROR(__xludf.DUMMYFUNCTION("""COMPUTED_VALUE"""),43279.6666666666)</f>
        <v>43279.666666666599</v>
      </c>
      <c r="B880" s="1">
        <f ca="1">IFERROR(__xludf.DUMMYFUNCTION("""COMPUTED_VALUE"""),46.03)</f>
        <v>46.03</v>
      </c>
      <c r="C880" s="1">
        <f ca="1">IFERROR(__xludf.DUMMYFUNCTION("""COMPUTED_VALUE"""),46.55)</f>
        <v>46.55</v>
      </c>
      <c r="D880" s="1">
        <f ca="1">IFERROR(__xludf.DUMMYFUNCTION("""COMPUTED_VALUE"""),45.95)</f>
        <v>45.95</v>
      </c>
      <c r="E880" s="1">
        <f ca="1">IFERROR(__xludf.DUMMYFUNCTION("""COMPUTED_VALUE"""),46.38)</f>
        <v>46.38</v>
      </c>
      <c r="F880" s="1">
        <f ca="1">IFERROR(__xludf.DUMMYFUNCTION("""COMPUTED_VALUE"""),17365235)</f>
        <v>17365235</v>
      </c>
    </row>
    <row r="881" spans="1:6" x14ac:dyDescent="0.35">
      <c r="A881" s="2">
        <f ca="1">IFERROR(__xludf.DUMMYFUNCTION("""COMPUTED_VALUE"""),43280.6666666666)</f>
        <v>43280.666666666599</v>
      </c>
      <c r="B881" s="1">
        <f ca="1">IFERROR(__xludf.DUMMYFUNCTION("""COMPUTED_VALUE"""),46.57)</f>
        <v>46.57</v>
      </c>
      <c r="C881" s="1">
        <f ca="1">IFERROR(__xludf.DUMMYFUNCTION("""COMPUTED_VALUE"""),46.8)</f>
        <v>46.8</v>
      </c>
      <c r="D881" s="1">
        <f ca="1">IFERROR(__xludf.DUMMYFUNCTION("""COMPUTED_VALUE"""),45.73)</f>
        <v>45.73</v>
      </c>
      <c r="E881" s="1">
        <f ca="1">IFERROR(__xludf.DUMMYFUNCTION("""COMPUTED_VALUE"""),46.28)</f>
        <v>46.28</v>
      </c>
      <c r="F881" s="1">
        <f ca="1">IFERROR(__xludf.DUMMYFUNCTION("""COMPUTED_VALUE"""),22737666)</f>
        <v>22737666</v>
      </c>
    </row>
    <row r="882" spans="1:6" x14ac:dyDescent="0.35">
      <c r="A882" s="2">
        <f ca="1">IFERROR(__xludf.DUMMYFUNCTION("""COMPUTED_VALUE"""),43283.6666666666)</f>
        <v>43283.666666666599</v>
      </c>
      <c r="B882" s="1">
        <f ca="1">IFERROR(__xludf.DUMMYFUNCTION("""COMPUTED_VALUE"""),45.96)</f>
        <v>45.96</v>
      </c>
      <c r="C882" s="1">
        <f ca="1">IFERROR(__xludf.DUMMYFUNCTION("""COMPUTED_VALUE"""),46.83)</f>
        <v>46.83</v>
      </c>
      <c r="D882" s="1">
        <f ca="1">IFERROR(__xludf.DUMMYFUNCTION("""COMPUTED_VALUE"""),45.86)</f>
        <v>45.86</v>
      </c>
      <c r="E882" s="1">
        <f ca="1">IFERROR(__xludf.DUMMYFUNCTION("""COMPUTED_VALUE"""),46.8)</f>
        <v>46.8</v>
      </c>
      <c r="F882" s="1">
        <f ca="1">IFERROR(__xludf.DUMMYFUNCTION("""COMPUTED_VALUE"""),17731343)</f>
        <v>17731343</v>
      </c>
    </row>
    <row r="883" spans="1:6" x14ac:dyDescent="0.35">
      <c r="A883" s="2">
        <f ca="1">IFERROR(__xludf.DUMMYFUNCTION("""COMPUTED_VALUE"""),43284.5416666666)</f>
        <v>43284.541666666599</v>
      </c>
      <c r="B883" s="1">
        <f ca="1">IFERROR(__xludf.DUMMYFUNCTION("""COMPUTED_VALUE"""),46.95)</f>
        <v>46.95</v>
      </c>
      <c r="C883" s="1">
        <f ca="1">IFERROR(__xludf.DUMMYFUNCTION("""COMPUTED_VALUE"""),46.99)</f>
        <v>46.99</v>
      </c>
      <c r="D883" s="1">
        <f ca="1">IFERROR(__xludf.DUMMYFUNCTION("""COMPUTED_VALUE"""),45.89)</f>
        <v>45.89</v>
      </c>
      <c r="E883" s="1">
        <f ca="1">IFERROR(__xludf.DUMMYFUNCTION("""COMPUTED_VALUE"""),45.98)</f>
        <v>45.98</v>
      </c>
      <c r="F883" s="1">
        <f ca="1">IFERROR(__xludf.DUMMYFUNCTION("""COMPUTED_VALUE"""),13954806)</f>
        <v>13954806</v>
      </c>
    </row>
    <row r="884" spans="1:6" x14ac:dyDescent="0.35">
      <c r="A884" s="2">
        <f ca="1">IFERROR(__xludf.DUMMYFUNCTION("""COMPUTED_VALUE"""),43286.6666666666)</f>
        <v>43286.666666666599</v>
      </c>
      <c r="B884" s="1">
        <f ca="1">IFERROR(__xludf.DUMMYFUNCTION("""COMPUTED_VALUE"""),46.32)</f>
        <v>46.32</v>
      </c>
      <c r="C884" s="1">
        <f ca="1">IFERROR(__xludf.DUMMYFUNCTION("""COMPUTED_VALUE"""),46.6)</f>
        <v>46.6</v>
      </c>
      <c r="D884" s="1">
        <f ca="1">IFERROR(__xludf.DUMMYFUNCTION("""COMPUTED_VALUE"""),46.07)</f>
        <v>46.07</v>
      </c>
      <c r="E884" s="1">
        <f ca="1">IFERROR(__xludf.DUMMYFUNCTION("""COMPUTED_VALUE"""),46.35)</f>
        <v>46.35</v>
      </c>
      <c r="F884" s="1">
        <f ca="1">IFERROR(__xludf.DUMMYFUNCTION("""COMPUTED_VALUE"""),16604248)</f>
        <v>16604248</v>
      </c>
    </row>
    <row r="885" spans="1:6" x14ac:dyDescent="0.35">
      <c r="A885" s="2">
        <f ca="1">IFERROR(__xludf.DUMMYFUNCTION("""COMPUTED_VALUE"""),43287.6666666666)</f>
        <v>43287.666666666599</v>
      </c>
      <c r="B885" s="1">
        <f ca="1">IFERROR(__xludf.DUMMYFUNCTION("""COMPUTED_VALUE"""),46.36)</f>
        <v>46.36</v>
      </c>
      <c r="C885" s="1">
        <f ca="1">IFERROR(__xludf.DUMMYFUNCTION("""COMPUTED_VALUE"""),47.11)</f>
        <v>47.11</v>
      </c>
      <c r="D885" s="1">
        <f ca="1">IFERROR(__xludf.DUMMYFUNCTION("""COMPUTED_VALUE"""),46.3)</f>
        <v>46.3</v>
      </c>
      <c r="E885" s="1">
        <f ca="1">IFERROR(__xludf.DUMMYFUNCTION("""COMPUTED_VALUE"""),46.99)</f>
        <v>46.99</v>
      </c>
      <c r="F885" s="1">
        <f ca="1">IFERROR(__xludf.DUMMYFUNCTION("""COMPUTED_VALUE"""),17485245)</f>
        <v>17485245</v>
      </c>
    </row>
    <row r="886" spans="1:6" x14ac:dyDescent="0.35">
      <c r="A886" s="2">
        <f ca="1">IFERROR(__xludf.DUMMYFUNCTION("""COMPUTED_VALUE"""),43290.6666666666)</f>
        <v>43290.666666666599</v>
      </c>
      <c r="B886" s="1">
        <f ca="1">IFERROR(__xludf.DUMMYFUNCTION("""COMPUTED_VALUE"""),47.38)</f>
        <v>47.38</v>
      </c>
      <c r="C886" s="1">
        <f ca="1">IFERROR(__xludf.DUMMYFUNCTION("""COMPUTED_VALUE"""),47.67)</f>
        <v>47.67</v>
      </c>
      <c r="D886" s="1">
        <f ca="1">IFERROR(__xludf.DUMMYFUNCTION("""COMPUTED_VALUE"""),47.33)</f>
        <v>47.33</v>
      </c>
      <c r="E886" s="1">
        <f ca="1">IFERROR(__xludf.DUMMYFUNCTION("""COMPUTED_VALUE"""),47.65)</f>
        <v>47.65</v>
      </c>
      <c r="F886" s="1">
        <f ca="1">IFERROR(__xludf.DUMMYFUNCTION("""COMPUTED_VALUE"""),19756634)</f>
        <v>19756634</v>
      </c>
    </row>
    <row r="887" spans="1:6" x14ac:dyDescent="0.35">
      <c r="A887" s="2">
        <f ca="1">IFERROR(__xludf.DUMMYFUNCTION("""COMPUTED_VALUE"""),43291.6666666666)</f>
        <v>43291.666666666599</v>
      </c>
      <c r="B887" s="1">
        <f ca="1">IFERROR(__xludf.DUMMYFUNCTION("""COMPUTED_VALUE"""),47.68)</f>
        <v>47.68</v>
      </c>
      <c r="C887" s="1">
        <f ca="1">IFERROR(__xludf.DUMMYFUNCTION("""COMPUTED_VALUE"""),47.82)</f>
        <v>47.82</v>
      </c>
      <c r="D887" s="1">
        <f ca="1">IFERROR(__xludf.DUMMYFUNCTION("""COMPUTED_VALUE"""),47.55)</f>
        <v>47.55</v>
      </c>
      <c r="E887" s="1">
        <f ca="1">IFERROR(__xludf.DUMMYFUNCTION("""COMPUTED_VALUE"""),47.59)</f>
        <v>47.59</v>
      </c>
      <c r="F887" s="1">
        <f ca="1">IFERROR(__xludf.DUMMYFUNCTION("""COMPUTED_VALUE"""),15939149)</f>
        <v>15939149</v>
      </c>
    </row>
    <row r="888" spans="1:6" x14ac:dyDescent="0.35">
      <c r="A888" s="2">
        <f ca="1">IFERROR(__xludf.DUMMYFUNCTION("""COMPUTED_VALUE"""),43292.6666666666)</f>
        <v>43292.666666666599</v>
      </c>
      <c r="B888" s="1">
        <f ca="1">IFERROR(__xludf.DUMMYFUNCTION("""COMPUTED_VALUE"""),47.13)</f>
        <v>47.13</v>
      </c>
      <c r="C888" s="1">
        <f ca="1">IFERROR(__xludf.DUMMYFUNCTION("""COMPUTED_VALUE"""),47.44)</f>
        <v>47.44</v>
      </c>
      <c r="D888" s="1">
        <f ca="1">IFERROR(__xludf.DUMMYFUNCTION("""COMPUTED_VALUE"""),46.9)</f>
        <v>46.9</v>
      </c>
      <c r="E888" s="1">
        <f ca="1">IFERROR(__xludf.DUMMYFUNCTION("""COMPUTED_VALUE"""),46.97)</f>
        <v>46.97</v>
      </c>
      <c r="F888" s="1">
        <f ca="1">IFERROR(__xludf.DUMMYFUNCTION("""COMPUTED_VALUE"""),18831470)</f>
        <v>18831470</v>
      </c>
    </row>
    <row r="889" spans="1:6" x14ac:dyDescent="0.35">
      <c r="A889" s="2">
        <f ca="1">IFERROR(__xludf.DUMMYFUNCTION("""COMPUTED_VALUE"""),43293.6666666666)</f>
        <v>43293.666666666599</v>
      </c>
      <c r="B889" s="1">
        <f ca="1">IFERROR(__xludf.DUMMYFUNCTION("""COMPUTED_VALUE"""),47.38)</f>
        <v>47.38</v>
      </c>
      <c r="C889" s="1">
        <f ca="1">IFERROR(__xludf.DUMMYFUNCTION("""COMPUTED_VALUE"""),47.85)</f>
        <v>47.85</v>
      </c>
      <c r="D889" s="1">
        <f ca="1">IFERROR(__xludf.DUMMYFUNCTION("""COMPUTED_VALUE"""),47.33)</f>
        <v>47.33</v>
      </c>
      <c r="E889" s="1">
        <f ca="1">IFERROR(__xludf.DUMMYFUNCTION("""COMPUTED_VALUE"""),47.76)</f>
        <v>47.76</v>
      </c>
      <c r="F889" s="1">
        <f ca="1">IFERROR(__xludf.DUMMYFUNCTION("""COMPUTED_VALUE"""),18041131)</f>
        <v>18041131</v>
      </c>
    </row>
    <row r="890" spans="1:6" x14ac:dyDescent="0.35">
      <c r="A890" s="2">
        <f ca="1">IFERROR(__xludf.DUMMYFUNCTION("""COMPUTED_VALUE"""),43294.6666666666)</f>
        <v>43294.666666666599</v>
      </c>
      <c r="B890" s="1">
        <f ca="1">IFERROR(__xludf.DUMMYFUNCTION("""COMPUTED_VALUE"""),47.77)</f>
        <v>47.77</v>
      </c>
      <c r="C890" s="1">
        <f ca="1">IFERROR(__xludf.DUMMYFUNCTION("""COMPUTED_VALUE"""),47.96)</f>
        <v>47.96</v>
      </c>
      <c r="D890" s="1">
        <f ca="1">IFERROR(__xludf.DUMMYFUNCTION("""COMPUTED_VALUE"""),47.73)</f>
        <v>47.73</v>
      </c>
      <c r="E890" s="1">
        <f ca="1">IFERROR(__xludf.DUMMYFUNCTION("""COMPUTED_VALUE"""),47.83)</f>
        <v>47.83</v>
      </c>
      <c r="F890" s="1">
        <f ca="1">IFERROR(__xludf.DUMMYFUNCTION("""COMPUTED_VALUE"""),12519792)</f>
        <v>12519792</v>
      </c>
    </row>
    <row r="891" spans="1:6" x14ac:dyDescent="0.35">
      <c r="A891" s="2">
        <f ca="1">IFERROR(__xludf.DUMMYFUNCTION("""COMPUTED_VALUE"""),43297.6666666666)</f>
        <v>43297.666666666599</v>
      </c>
      <c r="B891" s="1">
        <f ca="1">IFERROR(__xludf.DUMMYFUNCTION("""COMPUTED_VALUE"""),47.88)</f>
        <v>47.88</v>
      </c>
      <c r="C891" s="1">
        <f ca="1">IFERROR(__xludf.DUMMYFUNCTION("""COMPUTED_VALUE"""),48.16)</f>
        <v>48.16</v>
      </c>
      <c r="D891" s="1">
        <f ca="1">IFERROR(__xludf.DUMMYFUNCTION("""COMPUTED_VALUE"""),47.6)</f>
        <v>47.6</v>
      </c>
      <c r="E891" s="1">
        <f ca="1">IFERROR(__xludf.DUMMYFUNCTION("""COMPUTED_VALUE"""),47.73)</f>
        <v>47.73</v>
      </c>
      <c r="F891" s="1">
        <f ca="1">IFERROR(__xludf.DUMMYFUNCTION("""COMPUTED_VALUE"""),15043110)</f>
        <v>15043110</v>
      </c>
    </row>
    <row r="892" spans="1:6" x14ac:dyDescent="0.35">
      <c r="A892" s="2">
        <f ca="1">IFERROR(__xludf.DUMMYFUNCTION("""COMPUTED_VALUE"""),43298.6666666666)</f>
        <v>43298.666666666599</v>
      </c>
      <c r="B892" s="1">
        <f ca="1">IFERROR(__xludf.DUMMYFUNCTION("""COMPUTED_VALUE"""),47.44)</f>
        <v>47.44</v>
      </c>
      <c r="C892" s="1">
        <f ca="1">IFERROR(__xludf.DUMMYFUNCTION("""COMPUTED_VALUE"""),47.97)</f>
        <v>47.97</v>
      </c>
      <c r="D892" s="1">
        <f ca="1">IFERROR(__xludf.DUMMYFUNCTION("""COMPUTED_VALUE"""),47.3)</f>
        <v>47.3</v>
      </c>
      <c r="E892" s="1">
        <f ca="1">IFERROR(__xludf.DUMMYFUNCTION("""COMPUTED_VALUE"""),47.86)</f>
        <v>47.86</v>
      </c>
      <c r="F892" s="1">
        <f ca="1">IFERROR(__xludf.DUMMYFUNCTION("""COMPUTED_VALUE"""),15534523)</f>
        <v>15534523</v>
      </c>
    </row>
    <row r="893" spans="1:6" x14ac:dyDescent="0.35">
      <c r="A893" s="2">
        <f ca="1">IFERROR(__xludf.DUMMYFUNCTION("""COMPUTED_VALUE"""),43299.6666666666)</f>
        <v>43299.666666666599</v>
      </c>
      <c r="B893" s="1">
        <f ca="1">IFERROR(__xludf.DUMMYFUNCTION("""COMPUTED_VALUE"""),47.95)</f>
        <v>47.95</v>
      </c>
      <c r="C893" s="1">
        <f ca="1">IFERROR(__xludf.DUMMYFUNCTION("""COMPUTED_VALUE"""),47.95)</f>
        <v>47.95</v>
      </c>
      <c r="D893" s="1">
        <f ca="1">IFERROR(__xludf.DUMMYFUNCTION("""COMPUTED_VALUE"""),47.48)</f>
        <v>47.48</v>
      </c>
      <c r="E893" s="1">
        <f ca="1">IFERROR(__xludf.DUMMYFUNCTION("""COMPUTED_VALUE"""),47.6)</f>
        <v>47.6</v>
      </c>
      <c r="F893" s="1">
        <f ca="1">IFERROR(__xludf.DUMMYFUNCTION("""COMPUTED_VALUE"""),16393381)</f>
        <v>16393381</v>
      </c>
    </row>
    <row r="894" spans="1:6" x14ac:dyDescent="0.35">
      <c r="A894" s="2">
        <f ca="1">IFERROR(__xludf.DUMMYFUNCTION("""COMPUTED_VALUE"""),43300.6666666666)</f>
        <v>43300.666666666599</v>
      </c>
      <c r="B894" s="1">
        <f ca="1">IFERROR(__xludf.DUMMYFUNCTION("""COMPUTED_VALUE"""),47.42)</f>
        <v>47.42</v>
      </c>
      <c r="C894" s="1">
        <f ca="1">IFERROR(__xludf.DUMMYFUNCTION("""COMPUTED_VALUE"""),48.14)</f>
        <v>48.14</v>
      </c>
      <c r="D894" s="1">
        <f ca="1">IFERROR(__xludf.DUMMYFUNCTION("""COMPUTED_VALUE"""),47.42)</f>
        <v>47.42</v>
      </c>
      <c r="E894" s="1">
        <f ca="1">IFERROR(__xludf.DUMMYFUNCTION("""COMPUTED_VALUE"""),47.97)</f>
        <v>47.97</v>
      </c>
      <c r="F894" s="1">
        <f ca="1">IFERROR(__xludf.DUMMYFUNCTION("""COMPUTED_VALUE"""),20286752)</f>
        <v>20286752</v>
      </c>
    </row>
    <row r="895" spans="1:6" x14ac:dyDescent="0.35">
      <c r="A895" s="2">
        <f ca="1">IFERROR(__xludf.DUMMYFUNCTION("""COMPUTED_VALUE"""),43301.6666666666)</f>
        <v>43301.666666666599</v>
      </c>
      <c r="B895" s="1">
        <f ca="1">IFERROR(__xludf.DUMMYFUNCTION("""COMPUTED_VALUE"""),47.95)</f>
        <v>47.95</v>
      </c>
      <c r="C895" s="1">
        <f ca="1">IFERROR(__xludf.DUMMYFUNCTION("""COMPUTED_VALUE"""),48.11)</f>
        <v>48.11</v>
      </c>
      <c r="D895" s="1">
        <f ca="1">IFERROR(__xludf.DUMMYFUNCTION("""COMPUTED_VALUE"""),47.54)</f>
        <v>47.54</v>
      </c>
      <c r="E895" s="1">
        <f ca="1">IFERROR(__xludf.DUMMYFUNCTION("""COMPUTED_VALUE"""),47.86)</f>
        <v>47.86</v>
      </c>
      <c r="F895" s="1">
        <f ca="1">IFERROR(__xludf.DUMMYFUNCTION("""COMPUTED_VALUE"""),20706042)</f>
        <v>20706042</v>
      </c>
    </row>
    <row r="896" spans="1:6" x14ac:dyDescent="0.35">
      <c r="A896" s="2">
        <f ca="1">IFERROR(__xludf.DUMMYFUNCTION("""COMPUTED_VALUE"""),43304.6666666666)</f>
        <v>43304.666666666599</v>
      </c>
      <c r="B896" s="1">
        <f ca="1">IFERROR(__xludf.DUMMYFUNCTION("""COMPUTED_VALUE"""),47.95)</f>
        <v>47.95</v>
      </c>
      <c r="C896" s="1">
        <f ca="1">IFERROR(__xludf.DUMMYFUNCTION("""COMPUTED_VALUE"""),48.11)</f>
        <v>48.11</v>
      </c>
      <c r="D896" s="1">
        <f ca="1">IFERROR(__xludf.DUMMYFUNCTION("""COMPUTED_VALUE"""),47.54)</f>
        <v>47.54</v>
      </c>
      <c r="E896" s="1">
        <f ca="1">IFERROR(__xludf.DUMMYFUNCTION("""COMPUTED_VALUE"""),47.86)</f>
        <v>47.86</v>
      </c>
      <c r="F896" s="1">
        <f ca="1">IFERROR(__xludf.DUMMYFUNCTION("""COMPUTED_VALUE"""),164346)</f>
        <v>164346</v>
      </c>
    </row>
    <row r="897" spans="1:6" x14ac:dyDescent="0.35">
      <c r="A897" s="2">
        <f ca="1">IFERROR(__xludf.DUMMYFUNCTION("""COMPUTED_VALUE"""),43305.6666666666)</f>
        <v>43305.666666666599</v>
      </c>
      <c r="B897" s="1">
        <f ca="1">IFERROR(__xludf.DUMMYFUNCTION("""COMPUTED_VALUE"""),48.11)</f>
        <v>48.11</v>
      </c>
      <c r="C897" s="1">
        <f ca="1">IFERROR(__xludf.DUMMYFUNCTION("""COMPUTED_VALUE"""),48.42)</f>
        <v>48.42</v>
      </c>
      <c r="D897" s="1">
        <f ca="1">IFERROR(__xludf.DUMMYFUNCTION("""COMPUTED_VALUE"""),48.01)</f>
        <v>48.01</v>
      </c>
      <c r="E897" s="1">
        <f ca="1">IFERROR(__xludf.DUMMYFUNCTION("""COMPUTED_VALUE"""),48.25)</f>
        <v>48.25</v>
      </c>
      <c r="F897" s="1">
        <f ca="1">IFERROR(__xludf.DUMMYFUNCTION("""COMPUTED_VALUE"""),18697898)</f>
        <v>18697898</v>
      </c>
    </row>
    <row r="898" spans="1:6" x14ac:dyDescent="0.35">
      <c r="A898" s="2">
        <f ca="1">IFERROR(__xludf.DUMMYFUNCTION("""COMPUTED_VALUE"""),43306.6666666666)</f>
        <v>43306.666666666599</v>
      </c>
      <c r="B898" s="1">
        <f ca="1">IFERROR(__xludf.DUMMYFUNCTION("""COMPUTED_VALUE"""),48.27)</f>
        <v>48.27</v>
      </c>
      <c r="C898" s="1">
        <f ca="1">IFERROR(__xludf.DUMMYFUNCTION("""COMPUTED_VALUE"""),48.71)</f>
        <v>48.71</v>
      </c>
      <c r="D898" s="1">
        <f ca="1">IFERROR(__xludf.DUMMYFUNCTION("""COMPUTED_VALUE"""),48.11)</f>
        <v>48.11</v>
      </c>
      <c r="E898" s="1">
        <f ca="1">IFERROR(__xludf.DUMMYFUNCTION("""COMPUTED_VALUE"""),48.71)</f>
        <v>48.71</v>
      </c>
      <c r="F898" s="1">
        <f ca="1">IFERROR(__xludf.DUMMYFUNCTION("""COMPUTED_VALUE"""),16826483)</f>
        <v>16826483</v>
      </c>
    </row>
    <row r="899" spans="1:6" x14ac:dyDescent="0.35">
      <c r="A899" s="2">
        <f ca="1">IFERROR(__xludf.DUMMYFUNCTION("""COMPUTED_VALUE"""),43307.6666666666)</f>
        <v>43307.666666666599</v>
      </c>
      <c r="B899" s="1">
        <f ca="1">IFERROR(__xludf.DUMMYFUNCTION("""COMPUTED_VALUE"""),48.65)</f>
        <v>48.65</v>
      </c>
      <c r="C899" s="1">
        <f ca="1">IFERROR(__xludf.DUMMYFUNCTION("""COMPUTED_VALUE"""),48.99)</f>
        <v>48.99</v>
      </c>
      <c r="D899" s="1">
        <f ca="1">IFERROR(__xludf.DUMMYFUNCTION("""COMPUTED_VALUE"""),48.4)</f>
        <v>48.4</v>
      </c>
      <c r="E899" s="1">
        <f ca="1">IFERROR(__xludf.DUMMYFUNCTION("""COMPUTED_VALUE"""),48.55)</f>
        <v>48.55</v>
      </c>
      <c r="F899" s="1">
        <f ca="1">IFERROR(__xludf.DUMMYFUNCTION("""COMPUTED_VALUE"""),19075964)</f>
        <v>19075964</v>
      </c>
    </row>
    <row r="900" spans="1:6" x14ac:dyDescent="0.35">
      <c r="A900" s="2">
        <f ca="1">IFERROR(__xludf.DUMMYFUNCTION("""COMPUTED_VALUE"""),43308.6666666666)</f>
        <v>43308.666666666599</v>
      </c>
      <c r="B900" s="1">
        <f ca="1">IFERROR(__xludf.DUMMYFUNCTION("""COMPUTED_VALUE"""),48.75)</f>
        <v>48.75</v>
      </c>
      <c r="C900" s="1">
        <f ca="1">IFERROR(__xludf.DUMMYFUNCTION("""COMPUTED_VALUE"""),48.8)</f>
        <v>48.8</v>
      </c>
      <c r="D900" s="1">
        <f ca="1">IFERROR(__xludf.DUMMYFUNCTION("""COMPUTED_VALUE"""),47.53)</f>
        <v>47.53</v>
      </c>
      <c r="E900" s="1">
        <f ca="1">IFERROR(__xludf.DUMMYFUNCTION("""COMPUTED_VALUE"""),47.75)</f>
        <v>47.75</v>
      </c>
      <c r="F900" s="1">
        <f ca="1">IFERROR(__xludf.DUMMYFUNCTION("""COMPUTED_VALUE"""),24023972)</f>
        <v>24023972</v>
      </c>
    </row>
    <row r="901" spans="1:6" x14ac:dyDescent="0.35">
      <c r="A901" s="2">
        <f ca="1">IFERROR(__xludf.DUMMYFUNCTION("""COMPUTED_VALUE"""),43311.6666666666)</f>
        <v>43311.666666666599</v>
      </c>
      <c r="B901" s="1">
        <f ca="1">IFERROR(__xludf.DUMMYFUNCTION("""COMPUTED_VALUE"""),47.98)</f>
        <v>47.98</v>
      </c>
      <c r="C901" s="1">
        <f ca="1">IFERROR(__xludf.DUMMYFUNCTION("""COMPUTED_VALUE"""),48.05)</f>
        <v>48.05</v>
      </c>
      <c r="D901" s="1">
        <f ca="1">IFERROR(__xludf.DUMMYFUNCTION("""COMPUTED_VALUE"""),47.27)</f>
        <v>47.27</v>
      </c>
      <c r="E901" s="1">
        <f ca="1">IFERROR(__xludf.DUMMYFUNCTION("""COMPUTED_VALUE"""),47.48)</f>
        <v>47.48</v>
      </c>
      <c r="F901" s="1">
        <f ca="1">IFERROR(__xludf.DUMMYFUNCTION("""COMPUTED_VALUE"""),21029535)</f>
        <v>21029535</v>
      </c>
    </row>
    <row r="902" spans="1:6" x14ac:dyDescent="0.35">
      <c r="A902" s="2">
        <f ca="1">IFERROR(__xludf.DUMMYFUNCTION("""COMPUTED_VALUE"""),43312.6666666666)</f>
        <v>43312.666666666599</v>
      </c>
      <c r="B902" s="1">
        <f ca="1">IFERROR(__xludf.DUMMYFUNCTION("""COMPUTED_VALUE"""),47.58)</f>
        <v>47.58</v>
      </c>
      <c r="C902" s="1">
        <f ca="1">IFERROR(__xludf.DUMMYFUNCTION("""COMPUTED_VALUE"""),48.04)</f>
        <v>48.04</v>
      </c>
      <c r="D902" s="1">
        <f ca="1">IFERROR(__xludf.DUMMYFUNCTION("""COMPUTED_VALUE"""),47.34)</f>
        <v>47.34</v>
      </c>
      <c r="E902" s="1">
        <f ca="1">IFERROR(__xludf.DUMMYFUNCTION("""COMPUTED_VALUE"""),47.57)</f>
        <v>47.57</v>
      </c>
      <c r="F902" s="1">
        <f ca="1">IFERROR(__xludf.DUMMYFUNCTION("""COMPUTED_VALUE"""),39373038)</f>
        <v>39373038</v>
      </c>
    </row>
    <row r="903" spans="1:6" x14ac:dyDescent="0.35">
      <c r="A903" s="2">
        <f ca="1">IFERROR(__xludf.DUMMYFUNCTION("""COMPUTED_VALUE"""),43313.6666666666)</f>
        <v>43313.666666666599</v>
      </c>
      <c r="B903" s="1">
        <f ca="1">IFERROR(__xludf.DUMMYFUNCTION("""COMPUTED_VALUE"""),49.78)</f>
        <v>49.78</v>
      </c>
      <c r="C903" s="1">
        <f ca="1">IFERROR(__xludf.DUMMYFUNCTION("""COMPUTED_VALUE"""),50.44)</f>
        <v>50.44</v>
      </c>
      <c r="D903" s="1">
        <f ca="1">IFERROR(__xludf.DUMMYFUNCTION("""COMPUTED_VALUE"""),49.33)</f>
        <v>49.33</v>
      </c>
      <c r="E903" s="1">
        <f ca="1">IFERROR(__xludf.DUMMYFUNCTION("""COMPUTED_VALUE"""),50.38)</f>
        <v>50.38</v>
      </c>
      <c r="F903" s="1">
        <f ca="1">IFERROR(__xludf.DUMMYFUNCTION("""COMPUTED_VALUE"""),67935716)</f>
        <v>67935716</v>
      </c>
    </row>
    <row r="904" spans="1:6" x14ac:dyDescent="0.35">
      <c r="A904" s="2">
        <f ca="1">IFERROR(__xludf.DUMMYFUNCTION("""COMPUTED_VALUE"""),43314.6666666666)</f>
        <v>43314.666666666599</v>
      </c>
      <c r="B904" s="1">
        <f ca="1">IFERROR(__xludf.DUMMYFUNCTION("""COMPUTED_VALUE"""),50.15)</f>
        <v>50.15</v>
      </c>
      <c r="C904" s="1">
        <f ca="1">IFERROR(__xludf.DUMMYFUNCTION("""COMPUTED_VALUE"""),52.1)</f>
        <v>52.1</v>
      </c>
      <c r="D904" s="1">
        <f ca="1">IFERROR(__xludf.DUMMYFUNCTION("""COMPUTED_VALUE"""),50.09)</f>
        <v>50.09</v>
      </c>
      <c r="E904" s="1">
        <f ca="1">IFERROR(__xludf.DUMMYFUNCTION("""COMPUTED_VALUE"""),51.85)</f>
        <v>51.85</v>
      </c>
      <c r="F904" s="1">
        <f ca="1">IFERROR(__xludf.DUMMYFUNCTION("""COMPUTED_VALUE"""),62404012)</f>
        <v>62404012</v>
      </c>
    </row>
    <row r="905" spans="1:6" x14ac:dyDescent="0.35">
      <c r="A905" s="2">
        <f ca="1">IFERROR(__xludf.DUMMYFUNCTION("""COMPUTED_VALUE"""),43315.6666666666)</f>
        <v>43315.666666666599</v>
      </c>
      <c r="B905" s="1">
        <f ca="1">IFERROR(__xludf.DUMMYFUNCTION("""COMPUTED_VALUE"""),51.76)</f>
        <v>51.76</v>
      </c>
      <c r="C905" s="1">
        <f ca="1">IFERROR(__xludf.DUMMYFUNCTION("""COMPUTED_VALUE"""),52.19)</f>
        <v>52.19</v>
      </c>
      <c r="D905" s="1">
        <f ca="1">IFERROR(__xludf.DUMMYFUNCTION("""COMPUTED_VALUE"""),51.37)</f>
        <v>51.37</v>
      </c>
      <c r="E905" s="1">
        <f ca="1">IFERROR(__xludf.DUMMYFUNCTION("""COMPUTED_VALUE"""),52)</f>
        <v>52</v>
      </c>
      <c r="F905" s="1">
        <f ca="1">IFERROR(__xludf.DUMMYFUNCTION("""COMPUTED_VALUE"""),33447396)</f>
        <v>33447396</v>
      </c>
    </row>
    <row r="906" spans="1:6" x14ac:dyDescent="0.35">
      <c r="A906" s="2">
        <f ca="1">IFERROR(__xludf.DUMMYFUNCTION("""COMPUTED_VALUE"""),43318.6666666666)</f>
        <v>43318.666666666599</v>
      </c>
      <c r="B906" s="1">
        <f ca="1">IFERROR(__xludf.DUMMYFUNCTION("""COMPUTED_VALUE"""),52)</f>
        <v>52</v>
      </c>
      <c r="C906" s="1">
        <f ca="1">IFERROR(__xludf.DUMMYFUNCTION("""COMPUTED_VALUE"""),52.31)</f>
        <v>52.31</v>
      </c>
      <c r="D906" s="1">
        <f ca="1">IFERROR(__xludf.DUMMYFUNCTION("""COMPUTED_VALUE"""),51.77)</f>
        <v>51.77</v>
      </c>
      <c r="E906" s="1">
        <f ca="1">IFERROR(__xludf.DUMMYFUNCTION("""COMPUTED_VALUE"""),52.27)</f>
        <v>52.27</v>
      </c>
      <c r="F906" s="1">
        <f ca="1">IFERROR(__xludf.DUMMYFUNCTION("""COMPUTED_VALUE"""),25425387)</f>
        <v>25425387</v>
      </c>
    </row>
    <row r="907" spans="1:6" x14ac:dyDescent="0.35">
      <c r="A907" s="2">
        <f ca="1">IFERROR(__xludf.DUMMYFUNCTION("""COMPUTED_VALUE"""),43319.6666666666)</f>
        <v>43319.666666666599</v>
      </c>
      <c r="B907" s="1">
        <f ca="1">IFERROR(__xludf.DUMMYFUNCTION("""COMPUTED_VALUE"""),52.33)</f>
        <v>52.33</v>
      </c>
      <c r="C907" s="1">
        <f ca="1">IFERROR(__xludf.DUMMYFUNCTION("""COMPUTED_VALUE"""),52.38)</f>
        <v>52.38</v>
      </c>
      <c r="D907" s="1">
        <f ca="1">IFERROR(__xludf.DUMMYFUNCTION("""COMPUTED_VALUE"""),51.69)</f>
        <v>51.69</v>
      </c>
      <c r="E907" s="1">
        <f ca="1">IFERROR(__xludf.DUMMYFUNCTION("""COMPUTED_VALUE"""),51.78)</f>
        <v>51.78</v>
      </c>
      <c r="F907" s="1">
        <f ca="1">IFERROR(__xludf.DUMMYFUNCTION("""COMPUTED_VALUE"""),25587387)</f>
        <v>25587387</v>
      </c>
    </row>
    <row r="908" spans="1:6" x14ac:dyDescent="0.35">
      <c r="A908" s="2">
        <f ca="1">IFERROR(__xludf.DUMMYFUNCTION("""COMPUTED_VALUE"""),43320.6666666666)</f>
        <v>43320.666666666599</v>
      </c>
      <c r="B908" s="1">
        <f ca="1">IFERROR(__xludf.DUMMYFUNCTION("""COMPUTED_VALUE"""),51.51)</f>
        <v>51.51</v>
      </c>
      <c r="C908" s="1">
        <f ca="1">IFERROR(__xludf.DUMMYFUNCTION("""COMPUTED_VALUE"""),51.95)</f>
        <v>51.95</v>
      </c>
      <c r="D908" s="1">
        <f ca="1">IFERROR(__xludf.DUMMYFUNCTION("""COMPUTED_VALUE"""),51.13)</f>
        <v>51.13</v>
      </c>
      <c r="E908" s="1">
        <f ca="1">IFERROR(__xludf.DUMMYFUNCTION("""COMPUTED_VALUE"""),51.81)</f>
        <v>51.81</v>
      </c>
      <c r="F908" s="1">
        <f ca="1">IFERROR(__xludf.DUMMYFUNCTION("""COMPUTED_VALUE"""),22525487)</f>
        <v>22525487</v>
      </c>
    </row>
    <row r="909" spans="1:6" x14ac:dyDescent="0.35">
      <c r="A909" s="2">
        <f ca="1">IFERROR(__xludf.DUMMYFUNCTION("""COMPUTED_VALUE"""),43321.6666666666)</f>
        <v>43321.666666666599</v>
      </c>
      <c r="B909" s="1">
        <f ca="1">IFERROR(__xludf.DUMMYFUNCTION("""COMPUTED_VALUE"""),51.82)</f>
        <v>51.82</v>
      </c>
      <c r="C909" s="1">
        <f ca="1">IFERROR(__xludf.DUMMYFUNCTION("""COMPUTED_VALUE"""),52.45)</f>
        <v>52.45</v>
      </c>
      <c r="D909" s="1">
        <f ca="1">IFERROR(__xludf.DUMMYFUNCTION("""COMPUTED_VALUE"""),51.8)</f>
        <v>51.8</v>
      </c>
      <c r="E909" s="1">
        <f ca="1">IFERROR(__xludf.DUMMYFUNCTION("""COMPUTED_VALUE"""),52.22)</f>
        <v>52.22</v>
      </c>
      <c r="F909" s="1">
        <f ca="1">IFERROR(__xludf.DUMMYFUNCTION("""COMPUTED_VALUE"""),23492626)</f>
        <v>23492626</v>
      </c>
    </row>
    <row r="910" spans="1:6" x14ac:dyDescent="0.35">
      <c r="A910" s="2">
        <f ca="1">IFERROR(__xludf.DUMMYFUNCTION("""COMPUTED_VALUE"""),43322.6666666666)</f>
        <v>43322.666666666599</v>
      </c>
      <c r="B910" s="1">
        <f ca="1">IFERROR(__xludf.DUMMYFUNCTION("""COMPUTED_VALUE"""),51.84)</f>
        <v>51.84</v>
      </c>
      <c r="C910" s="1">
        <f ca="1">IFERROR(__xludf.DUMMYFUNCTION("""COMPUTED_VALUE"""),52.28)</f>
        <v>52.28</v>
      </c>
      <c r="D910" s="1">
        <f ca="1">IFERROR(__xludf.DUMMYFUNCTION("""COMPUTED_VALUE"""),51.67)</f>
        <v>51.67</v>
      </c>
      <c r="E910" s="1">
        <f ca="1">IFERROR(__xludf.DUMMYFUNCTION("""COMPUTED_VALUE"""),51.88)</f>
        <v>51.88</v>
      </c>
      <c r="F910" s="1">
        <f ca="1">IFERROR(__xludf.DUMMYFUNCTION("""COMPUTED_VALUE"""),24611202)</f>
        <v>24611202</v>
      </c>
    </row>
    <row r="911" spans="1:6" x14ac:dyDescent="0.35">
      <c r="A911" s="2">
        <f ca="1">IFERROR(__xludf.DUMMYFUNCTION("""COMPUTED_VALUE"""),43325.6666666666)</f>
        <v>43325.666666666599</v>
      </c>
      <c r="B911" s="1">
        <f ca="1">IFERROR(__xludf.DUMMYFUNCTION("""COMPUTED_VALUE"""),51.93)</f>
        <v>51.93</v>
      </c>
      <c r="C911" s="1">
        <f ca="1">IFERROR(__xludf.DUMMYFUNCTION("""COMPUTED_VALUE"""),52.74)</f>
        <v>52.74</v>
      </c>
      <c r="D911" s="1">
        <f ca="1">IFERROR(__xludf.DUMMYFUNCTION("""COMPUTED_VALUE"""),51.93)</f>
        <v>51.93</v>
      </c>
      <c r="E911" s="1">
        <f ca="1">IFERROR(__xludf.DUMMYFUNCTION("""COMPUTED_VALUE"""),52.22)</f>
        <v>52.22</v>
      </c>
      <c r="F911" s="1">
        <f ca="1">IFERROR(__xludf.DUMMYFUNCTION("""COMPUTED_VALUE"""),25890880)</f>
        <v>25890880</v>
      </c>
    </row>
    <row r="912" spans="1:6" x14ac:dyDescent="0.35">
      <c r="A912" s="2">
        <f ca="1">IFERROR(__xludf.DUMMYFUNCTION("""COMPUTED_VALUE"""),43326.6666666666)</f>
        <v>43326.666666666599</v>
      </c>
      <c r="B912" s="1">
        <f ca="1">IFERROR(__xludf.DUMMYFUNCTION("""COMPUTED_VALUE"""),52.54)</f>
        <v>52.54</v>
      </c>
      <c r="C912" s="1">
        <f ca="1">IFERROR(__xludf.DUMMYFUNCTION("""COMPUTED_VALUE"""),52.64)</f>
        <v>52.64</v>
      </c>
      <c r="D912" s="1">
        <f ca="1">IFERROR(__xludf.DUMMYFUNCTION("""COMPUTED_VALUE"""),52.07)</f>
        <v>52.07</v>
      </c>
      <c r="E912" s="1">
        <f ca="1">IFERROR(__xludf.DUMMYFUNCTION("""COMPUTED_VALUE"""),52.44)</f>
        <v>52.44</v>
      </c>
      <c r="F912" s="1">
        <f ca="1">IFERROR(__xludf.DUMMYFUNCTION("""COMPUTED_VALUE"""),20748010)</f>
        <v>20748010</v>
      </c>
    </row>
    <row r="913" spans="1:6" x14ac:dyDescent="0.35">
      <c r="A913" s="2">
        <f ca="1">IFERROR(__xludf.DUMMYFUNCTION("""COMPUTED_VALUE"""),43327.6666666666)</f>
        <v>43327.666666666599</v>
      </c>
      <c r="B913" s="1">
        <f ca="1">IFERROR(__xludf.DUMMYFUNCTION("""COMPUTED_VALUE"""),52.31)</f>
        <v>52.31</v>
      </c>
      <c r="C913" s="1">
        <f ca="1">IFERROR(__xludf.DUMMYFUNCTION("""COMPUTED_VALUE"""),52.69)</f>
        <v>52.69</v>
      </c>
      <c r="D913" s="1">
        <f ca="1">IFERROR(__xludf.DUMMYFUNCTION("""COMPUTED_VALUE"""),52.08)</f>
        <v>52.08</v>
      </c>
      <c r="E913" s="1">
        <f ca="1">IFERROR(__xludf.DUMMYFUNCTION("""COMPUTED_VALUE"""),52.56)</f>
        <v>52.56</v>
      </c>
      <c r="F913" s="1">
        <f ca="1">IFERROR(__xludf.DUMMYFUNCTION("""COMPUTED_VALUE"""),28807564)</f>
        <v>28807564</v>
      </c>
    </row>
    <row r="914" spans="1:6" x14ac:dyDescent="0.35">
      <c r="A914" s="2">
        <f ca="1">IFERROR(__xludf.DUMMYFUNCTION("""COMPUTED_VALUE"""),43328.6666666666)</f>
        <v>43328.666666666599</v>
      </c>
      <c r="B914" s="1">
        <f ca="1">IFERROR(__xludf.DUMMYFUNCTION("""COMPUTED_VALUE"""),52.94)</f>
        <v>52.94</v>
      </c>
      <c r="C914" s="1">
        <f ca="1">IFERROR(__xludf.DUMMYFUNCTION("""COMPUTED_VALUE"""),53.45)</f>
        <v>53.45</v>
      </c>
      <c r="D914" s="1">
        <f ca="1">IFERROR(__xludf.DUMMYFUNCTION("""COMPUTED_VALUE"""),52.87)</f>
        <v>52.87</v>
      </c>
      <c r="E914" s="1">
        <f ca="1">IFERROR(__xludf.DUMMYFUNCTION("""COMPUTED_VALUE"""),53.33)</f>
        <v>53.33</v>
      </c>
      <c r="F914" s="1">
        <f ca="1">IFERROR(__xludf.DUMMYFUNCTION("""COMPUTED_VALUE"""),28500367)</f>
        <v>28500367</v>
      </c>
    </row>
    <row r="915" spans="1:6" x14ac:dyDescent="0.35">
      <c r="A915" s="2">
        <f ca="1">IFERROR(__xludf.DUMMYFUNCTION("""COMPUTED_VALUE"""),43329.6666666666)</f>
        <v>43329.666666666599</v>
      </c>
      <c r="B915" s="1">
        <f ca="1">IFERROR(__xludf.DUMMYFUNCTION("""COMPUTED_VALUE"""),53.36)</f>
        <v>53.36</v>
      </c>
      <c r="C915" s="1">
        <f ca="1">IFERROR(__xludf.DUMMYFUNCTION("""COMPUTED_VALUE"""),54.49)</f>
        <v>54.49</v>
      </c>
      <c r="D915" s="1">
        <f ca="1">IFERROR(__xludf.DUMMYFUNCTION("""COMPUTED_VALUE"""),53.29)</f>
        <v>53.29</v>
      </c>
      <c r="E915" s="1">
        <f ca="1">IFERROR(__xludf.DUMMYFUNCTION("""COMPUTED_VALUE"""),54.4)</f>
        <v>54.4</v>
      </c>
      <c r="F915" s="1">
        <f ca="1">IFERROR(__xludf.DUMMYFUNCTION("""COMPUTED_VALUE"""),35426997)</f>
        <v>35426997</v>
      </c>
    </row>
    <row r="916" spans="1:6" x14ac:dyDescent="0.35">
      <c r="A916" s="2">
        <f ca="1">IFERROR(__xludf.DUMMYFUNCTION("""COMPUTED_VALUE"""),43332.6666666666)</f>
        <v>43332.666666666599</v>
      </c>
      <c r="B916" s="1">
        <f ca="1">IFERROR(__xludf.DUMMYFUNCTION("""COMPUTED_VALUE"""),54.53)</f>
        <v>54.53</v>
      </c>
      <c r="C916" s="1">
        <f ca="1">IFERROR(__xludf.DUMMYFUNCTION("""COMPUTED_VALUE"""),54.8)</f>
        <v>54.8</v>
      </c>
      <c r="D916" s="1">
        <f ca="1">IFERROR(__xludf.DUMMYFUNCTION("""COMPUTED_VALUE"""),53.78)</f>
        <v>53.78</v>
      </c>
      <c r="E916" s="1">
        <f ca="1">IFERROR(__xludf.DUMMYFUNCTION("""COMPUTED_VALUE"""),53.87)</f>
        <v>53.87</v>
      </c>
      <c r="F916" s="1">
        <f ca="1">IFERROR(__xludf.DUMMYFUNCTION("""COMPUTED_VALUE"""),30287695)</f>
        <v>30287695</v>
      </c>
    </row>
    <row r="917" spans="1:6" x14ac:dyDescent="0.35">
      <c r="A917" s="2">
        <f ca="1">IFERROR(__xludf.DUMMYFUNCTION("""COMPUTED_VALUE"""),43333.6666666666)</f>
        <v>43333.666666666599</v>
      </c>
      <c r="B917" s="1">
        <f ca="1">IFERROR(__xludf.DUMMYFUNCTION("""COMPUTED_VALUE"""),54.2)</f>
        <v>54.2</v>
      </c>
      <c r="C917" s="1">
        <f ca="1">IFERROR(__xludf.DUMMYFUNCTION("""COMPUTED_VALUE"""),54.3)</f>
        <v>54.3</v>
      </c>
      <c r="D917" s="1">
        <f ca="1">IFERROR(__xludf.DUMMYFUNCTION("""COMPUTED_VALUE"""),53.51)</f>
        <v>53.51</v>
      </c>
      <c r="E917" s="1">
        <f ca="1">IFERROR(__xludf.DUMMYFUNCTION("""COMPUTED_VALUE"""),53.76)</f>
        <v>53.76</v>
      </c>
      <c r="F917" s="1">
        <f ca="1">IFERROR(__xludf.DUMMYFUNCTION("""COMPUTED_VALUE"""),26159755)</f>
        <v>26159755</v>
      </c>
    </row>
    <row r="918" spans="1:6" x14ac:dyDescent="0.35">
      <c r="A918" s="2">
        <f ca="1">IFERROR(__xludf.DUMMYFUNCTION("""COMPUTED_VALUE"""),43334.6666666666)</f>
        <v>43334.666666666599</v>
      </c>
      <c r="B918" s="1">
        <f ca="1">IFERROR(__xludf.DUMMYFUNCTION("""COMPUTED_VALUE"""),53.53)</f>
        <v>53.53</v>
      </c>
      <c r="C918" s="1">
        <f ca="1">IFERROR(__xludf.DUMMYFUNCTION("""COMPUTED_VALUE"""),54.09)</f>
        <v>54.09</v>
      </c>
      <c r="D918" s="1">
        <f ca="1">IFERROR(__xludf.DUMMYFUNCTION("""COMPUTED_VALUE"""),53.46)</f>
        <v>53.46</v>
      </c>
      <c r="E918" s="1">
        <f ca="1">IFERROR(__xludf.DUMMYFUNCTION("""COMPUTED_VALUE"""),53.76)</f>
        <v>53.76</v>
      </c>
      <c r="F918" s="1">
        <f ca="1">IFERROR(__xludf.DUMMYFUNCTION("""COMPUTED_VALUE"""),19018131)</f>
        <v>19018131</v>
      </c>
    </row>
    <row r="919" spans="1:6" x14ac:dyDescent="0.35">
      <c r="A919" s="2">
        <f ca="1">IFERROR(__xludf.DUMMYFUNCTION("""COMPUTED_VALUE"""),43335.6666666666)</f>
        <v>43335.666666666599</v>
      </c>
      <c r="B919" s="1">
        <f ca="1">IFERROR(__xludf.DUMMYFUNCTION("""COMPUTED_VALUE"""),53.66)</f>
        <v>53.66</v>
      </c>
      <c r="C919" s="1">
        <f ca="1">IFERROR(__xludf.DUMMYFUNCTION("""COMPUTED_VALUE"""),54.26)</f>
        <v>54.26</v>
      </c>
      <c r="D919" s="1">
        <f ca="1">IFERROR(__xludf.DUMMYFUNCTION("""COMPUTED_VALUE"""),53.65)</f>
        <v>53.65</v>
      </c>
      <c r="E919" s="1">
        <f ca="1">IFERROR(__xludf.DUMMYFUNCTION("""COMPUTED_VALUE"""),53.87)</f>
        <v>53.87</v>
      </c>
      <c r="F919" s="1">
        <f ca="1">IFERROR(__xludf.DUMMYFUNCTION("""COMPUTED_VALUE"""),18883224)</f>
        <v>18883224</v>
      </c>
    </row>
    <row r="920" spans="1:6" x14ac:dyDescent="0.35">
      <c r="A920" s="2">
        <f ca="1">IFERROR(__xludf.DUMMYFUNCTION("""COMPUTED_VALUE"""),43336.6666666666)</f>
        <v>43336.666666666599</v>
      </c>
      <c r="B920" s="1">
        <f ca="1">IFERROR(__xludf.DUMMYFUNCTION("""COMPUTED_VALUE"""),54.15)</f>
        <v>54.15</v>
      </c>
      <c r="C920" s="1">
        <f ca="1">IFERROR(__xludf.DUMMYFUNCTION("""COMPUTED_VALUE"""),54.23)</f>
        <v>54.23</v>
      </c>
      <c r="D920" s="1">
        <f ca="1">IFERROR(__xludf.DUMMYFUNCTION("""COMPUTED_VALUE"""),53.78)</f>
        <v>53.78</v>
      </c>
      <c r="E920" s="1">
        <f ca="1">IFERROR(__xludf.DUMMYFUNCTION("""COMPUTED_VALUE"""),54.04)</f>
        <v>54.04</v>
      </c>
      <c r="F920" s="1">
        <f ca="1">IFERROR(__xludf.DUMMYFUNCTION("""COMPUTED_VALUE"""),18476356)</f>
        <v>18476356</v>
      </c>
    </row>
    <row r="921" spans="1:6" x14ac:dyDescent="0.35">
      <c r="A921" s="2">
        <f ca="1">IFERROR(__xludf.DUMMYFUNCTION("""COMPUTED_VALUE"""),43339.6666666666)</f>
        <v>43339.666666666599</v>
      </c>
      <c r="B921" s="1">
        <f ca="1">IFERROR(__xludf.DUMMYFUNCTION("""COMPUTED_VALUE"""),54.29)</f>
        <v>54.29</v>
      </c>
      <c r="C921" s="1">
        <f ca="1">IFERROR(__xludf.DUMMYFUNCTION("""COMPUTED_VALUE"""),54.69)</f>
        <v>54.69</v>
      </c>
      <c r="D921" s="1">
        <f ca="1">IFERROR(__xludf.DUMMYFUNCTION("""COMPUTED_VALUE"""),54.08)</f>
        <v>54.08</v>
      </c>
      <c r="E921" s="1">
        <f ca="1">IFERROR(__xludf.DUMMYFUNCTION("""COMPUTED_VALUE"""),54.49)</f>
        <v>54.49</v>
      </c>
      <c r="F921" s="1">
        <f ca="1">IFERROR(__xludf.DUMMYFUNCTION("""COMPUTED_VALUE"""),20525117)</f>
        <v>20525117</v>
      </c>
    </row>
    <row r="922" spans="1:6" x14ac:dyDescent="0.35">
      <c r="A922" s="2">
        <f ca="1">IFERROR(__xludf.DUMMYFUNCTION("""COMPUTED_VALUE"""),43340.6666666666)</f>
        <v>43340.666666666599</v>
      </c>
      <c r="B922" s="1">
        <f ca="1">IFERROR(__xludf.DUMMYFUNCTION("""COMPUTED_VALUE"""),54.75)</f>
        <v>54.75</v>
      </c>
      <c r="C922" s="1">
        <f ca="1">IFERROR(__xludf.DUMMYFUNCTION("""COMPUTED_VALUE"""),55.14)</f>
        <v>55.14</v>
      </c>
      <c r="D922" s="1">
        <f ca="1">IFERROR(__xludf.DUMMYFUNCTION("""COMPUTED_VALUE"""),54.73)</f>
        <v>54.73</v>
      </c>
      <c r="E922" s="1">
        <f ca="1">IFERROR(__xludf.DUMMYFUNCTION("""COMPUTED_VALUE"""),54.93)</f>
        <v>54.93</v>
      </c>
      <c r="F922" s="1">
        <f ca="1">IFERROR(__xludf.DUMMYFUNCTION("""COMPUTED_VALUE"""),22776766)</f>
        <v>22776766</v>
      </c>
    </row>
    <row r="923" spans="1:6" x14ac:dyDescent="0.35">
      <c r="A923" s="2">
        <f ca="1">IFERROR(__xludf.DUMMYFUNCTION("""COMPUTED_VALUE"""),43341.6666666666)</f>
        <v>43341.666666666599</v>
      </c>
      <c r="B923" s="1">
        <f ca="1">IFERROR(__xludf.DUMMYFUNCTION("""COMPUTED_VALUE"""),55.04)</f>
        <v>55.04</v>
      </c>
      <c r="C923" s="1">
        <f ca="1">IFERROR(__xludf.DUMMYFUNCTION("""COMPUTED_VALUE"""),55.87)</f>
        <v>55.87</v>
      </c>
      <c r="D923" s="1">
        <f ca="1">IFERROR(__xludf.DUMMYFUNCTION("""COMPUTED_VALUE"""),54.85)</f>
        <v>54.85</v>
      </c>
      <c r="E923" s="1">
        <f ca="1">IFERROR(__xludf.DUMMYFUNCTION("""COMPUTED_VALUE"""),55.75)</f>
        <v>55.75</v>
      </c>
      <c r="F923" s="1">
        <f ca="1">IFERROR(__xludf.DUMMYFUNCTION("""COMPUTED_VALUE"""),27254804)</f>
        <v>27254804</v>
      </c>
    </row>
    <row r="924" spans="1:6" x14ac:dyDescent="0.35">
      <c r="A924" s="2">
        <f ca="1">IFERROR(__xludf.DUMMYFUNCTION("""COMPUTED_VALUE"""),43342.6666666666)</f>
        <v>43342.666666666599</v>
      </c>
      <c r="B924" s="1">
        <f ca="1">IFERROR(__xludf.DUMMYFUNCTION("""COMPUTED_VALUE"""),55.81)</f>
        <v>55.81</v>
      </c>
      <c r="C924" s="1">
        <f ca="1">IFERROR(__xludf.DUMMYFUNCTION("""COMPUTED_VALUE"""),57.07)</f>
        <v>57.07</v>
      </c>
      <c r="D924" s="1">
        <f ca="1">IFERROR(__xludf.DUMMYFUNCTION("""COMPUTED_VALUE"""),55.6)</f>
        <v>55.6</v>
      </c>
      <c r="E924" s="1">
        <f ca="1">IFERROR(__xludf.DUMMYFUNCTION("""COMPUTED_VALUE"""),56.26)</f>
        <v>56.26</v>
      </c>
      <c r="F924" s="1">
        <f ca="1">IFERROR(__xludf.DUMMYFUNCTION("""COMPUTED_VALUE"""),48793824)</f>
        <v>48793824</v>
      </c>
    </row>
    <row r="925" spans="1:6" x14ac:dyDescent="0.35">
      <c r="A925" s="2">
        <f ca="1">IFERROR(__xludf.DUMMYFUNCTION("""COMPUTED_VALUE"""),43343.6666666666)</f>
        <v>43343.666666666599</v>
      </c>
      <c r="B925" s="1">
        <f ca="1">IFERROR(__xludf.DUMMYFUNCTION("""COMPUTED_VALUE"""),56.63)</f>
        <v>56.63</v>
      </c>
      <c r="C925" s="1">
        <f ca="1">IFERROR(__xludf.DUMMYFUNCTION("""COMPUTED_VALUE"""),57.22)</f>
        <v>57.22</v>
      </c>
      <c r="D925" s="1">
        <f ca="1">IFERROR(__xludf.DUMMYFUNCTION("""COMPUTED_VALUE"""),56.5)</f>
        <v>56.5</v>
      </c>
      <c r="E925" s="1">
        <f ca="1">IFERROR(__xludf.DUMMYFUNCTION("""COMPUTED_VALUE"""),56.91)</f>
        <v>56.91</v>
      </c>
      <c r="F925" s="1">
        <f ca="1">IFERROR(__xludf.DUMMYFUNCTION("""COMPUTED_VALUE"""),43340134)</f>
        <v>43340134</v>
      </c>
    </row>
    <row r="926" spans="1:6" x14ac:dyDescent="0.35">
      <c r="A926" s="2">
        <f ca="1">IFERROR(__xludf.DUMMYFUNCTION("""COMPUTED_VALUE"""),43347.6666666666)</f>
        <v>43347.666666666599</v>
      </c>
      <c r="B926" s="1">
        <f ca="1">IFERROR(__xludf.DUMMYFUNCTION("""COMPUTED_VALUE"""),57.1)</f>
        <v>57.1</v>
      </c>
      <c r="C926" s="1">
        <f ca="1">IFERROR(__xludf.DUMMYFUNCTION("""COMPUTED_VALUE"""),57.3)</f>
        <v>57.3</v>
      </c>
      <c r="D926" s="1">
        <f ca="1">IFERROR(__xludf.DUMMYFUNCTION("""COMPUTED_VALUE"""),56.66)</f>
        <v>56.66</v>
      </c>
      <c r="E926" s="1">
        <f ca="1">IFERROR(__xludf.DUMMYFUNCTION("""COMPUTED_VALUE"""),57.09)</f>
        <v>57.09</v>
      </c>
      <c r="F926" s="1">
        <f ca="1">IFERROR(__xludf.DUMMYFUNCTION("""COMPUTED_VALUE"""),27390132)</f>
        <v>27390132</v>
      </c>
    </row>
    <row r="927" spans="1:6" x14ac:dyDescent="0.35">
      <c r="A927" s="2">
        <f ca="1">IFERROR(__xludf.DUMMYFUNCTION("""COMPUTED_VALUE"""),43348.6666666666)</f>
        <v>43348.666666666599</v>
      </c>
      <c r="B927" s="1">
        <f ca="1">IFERROR(__xludf.DUMMYFUNCTION("""COMPUTED_VALUE"""),57.25)</f>
        <v>57.25</v>
      </c>
      <c r="C927" s="1">
        <f ca="1">IFERROR(__xludf.DUMMYFUNCTION("""COMPUTED_VALUE"""),57.42)</f>
        <v>57.42</v>
      </c>
      <c r="D927" s="1">
        <f ca="1">IFERROR(__xludf.DUMMYFUNCTION("""COMPUTED_VALUE"""),56.28)</f>
        <v>56.28</v>
      </c>
      <c r="E927" s="1">
        <f ca="1">IFERROR(__xludf.DUMMYFUNCTION("""COMPUTED_VALUE"""),56.72)</f>
        <v>56.72</v>
      </c>
      <c r="F927" s="1">
        <f ca="1">IFERROR(__xludf.DUMMYFUNCTION("""COMPUTED_VALUE"""),33332960)</f>
        <v>33332960</v>
      </c>
    </row>
    <row r="928" spans="1:6" x14ac:dyDescent="0.35">
      <c r="A928" s="2">
        <f ca="1">IFERROR(__xludf.DUMMYFUNCTION("""COMPUTED_VALUE"""),43349.6666666666)</f>
        <v>43349.666666666599</v>
      </c>
      <c r="B928" s="1">
        <f ca="1">IFERROR(__xludf.DUMMYFUNCTION("""COMPUTED_VALUE"""),56.56)</f>
        <v>56.56</v>
      </c>
      <c r="C928" s="1">
        <f ca="1">IFERROR(__xludf.DUMMYFUNCTION("""COMPUTED_VALUE"""),56.84)</f>
        <v>56.84</v>
      </c>
      <c r="D928" s="1">
        <f ca="1">IFERROR(__xludf.DUMMYFUNCTION("""COMPUTED_VALUE"""),55.33)</f>
        <v>55.33</v>
      </c>
      <c r="E928" s="1">
        <f ca="1">IFERROR(__xludf.DUMMYFUNCTION("""COMPUTED_VALUE"""),55.78)</f>
        <v>55.78</v>
      </c>
      <c r="F928" s="1">
        <f ca="1">IFERROR(__xludf.DUMMYFUNCTION("""COMPUTED_VALUE"""),34289976)</f>
        <v>34289976</v>
      </c>
    </row>
    <row r="929" spans="1:6" x14ac:dyDescent="0.35">
      <c r="A929" s="2">
        <f ca="1">IFERROR(__xludf.DUMMYFUNCTION("""COMPUTED_VALUE"""),43350.6666666666)</f>
        <v>43350.666666666599</v>
      </c>
      <c r="B929" s="1">
        <f ca="1">IFERROR(__xludf.DUMMYFUNCTION("""COMPUTED_VALUE"""),55.46)</f>
        <v>55.46</v>
      </c>
      <c r="C929" s="1">
        <f ca="1">IFERROR(__xludf.DUMMYFUNCTION("""COMPUTED_VALUE"""),56.34)</f>
        <v>56.34</v>
      </c>
      <c r="D929" s="1">
        <f ca="1">IFERROR(__xludf.DUMMYFUNCTION("""COMPUTED_VALUE"""),55.18)</f>
        <v>55.18</v>
      </c>
      <c r="E929" s="1">
        <f ca="1">IFERROR(__xludf.DUMMYFUNCTION("""COMPUTED_VALUE"""),55.33)</f>
        <v>55.33</v>
      </c>
      <c r="F929" s="1">
        <f ca="1">IFERROR(__xludf.DUMMYFUNCTION("""COMPUTED_VALUE"""),37619810)</f>
        <v>37619810</v>
      </c>
    </row>
    <row r="930" spans="1:6" x14ac:dyDescent="0.35">
      <c r="A930" s="2">
        <f ca="1">IFERROR(__xludf.DUMMYFUNCTION("""COMPUTED_VALUE"""),43353.6666666666)</f>
        <v>43353.666666666599</v>
      </c>
      <c r="B930" s="1">
        <f ca="1">IFERROR(__xludf.DUMMYFUNCTION("""COMPUTED_VALUE"""),55.24)</f>
        <v>55.24</v>
      </c>
      <c r="C930" s="1">
        <f ca="1">IFERROR(__xludf.DUMMYFUNCTION("""COMPUTED_VALUE"""),55.46)</f>
        <v>55.46</v>
      </c>
      <c r="D930" s="1">
        <f ca="1">IFERROR(__xludf.DUMMYFUNCTION("""COMPUTED_VALUE"""),54.12)</f>
        <v>54.12</v>
      </c>
      <c r="E930" s="1">
        <f ca="1">IFERROR(__xludf.DUMMYFUNCTION("""COMPUTED_VALUE"""),54.58)</f>
        <v>54.58</v>
      </c>
      <c r="F930" s="1">
        <f ca="1">IFERROR(__xludf.DUMMYFUNCTION("""COMPUTED_VALUE"""),39516453)</f>
        <v>39516453</v>
      </c>
    </row>
    <row r="931" spans="1:6" x14ac:dyDescent="0.35">
      <c r="A931" s="2">
        <f ca="1">IFERROR(__xludf.DUMMYFUNCTION("""COMPUTED_VALUE"""),43354.6666666666)</f>
        <v>43354.666666666599</v>
      </c>
      <c r="B931" s="1">
        <f ca="1">IFERROR(__xludf.DUMMYFUNCTION("""COMPUTED_VALUE"""),54.5)</f>
        <v>54.5</v>
      </c>
      <c r="C931" s="1">
        <f ca="1">IFERROR(__xludf.DUMMYFUNCTION("""COMPUTED_VALUE"""),56.07)</f>
        <v>56.07</v>
      </c>
      <c r="D931" s="1">
        <f ca="1">IFERROR(__xludf.DUMMYFUNCTION("""COMPUTED_VALUE"""),54.14)</f>
        <v>54.14</v>
      </c>
      <c r="E931" s="1">
        <f ca="1">IFERROR(__xludf.DUMMYFUNCTION("""COMPUTED_VALUE"""),55.96)</f>
        <v>55.96</v>
      </c>
      <c r="F931" s="1">
        <f ca="1">IFERROR(__xludf.DUMMYFUNCTION("""COMPUTED_VALUE"""),35749049)</f>
        <v>35749049</v>
      </c>
    </row>
    <row r="932" spans="1:6" x14ac:dyDescent="0.35">
      <c r="A932" s="2">
        <f ca="1">IFERROR(__xludf.DUMMYFUNCTION("""COMPUTED_VALUE"""),43355.6666666666)</f>
        <v>43355.666666666599</v>
      </c>
      <c r="B932" s="1">
        <f ca="1">IFERROR(__xludf.DUMMYFUNCTION("""COMPUTED_VALUE"""),56.24)</f>
        <v>56.24</v>
      </c>
      <c r="C932" s="1">
        <f ca="1">IFERROR(__xludf.DUMMYFUNCTION("""COMPUTED_VALUE"""),56.25)</f>
        <v>56.25</v>
      </c>
      <c r="D932" s="1">
        <f ca="1">IFERROR(__xludf.DUMMYFUNCTION("""COMPUTED_VALUE"""),54.96)</f>
        <v>54.96</v>
      </c>
      <c r="E932" s="1">
        <f ca="1">IFERROR(__xludf.DUMMYFUNCTION("""COMPUTED_VALUE"""),55.27)</f>
        <v>55.27</v>
      </c>
      <c r="F932" s="1">
        <f ca="1">IFERROR(__xludf.DUMMYFUNCTION("""COMPUTED_VALUE"""),49278740)</f>
        <v>49278740</v>
      </c>
    </row>
    <row r="933" spans="1:6" x14ac:dyDescent="0.35">
      <c r="A933" s="2">
        <f ca="1">IFERROR(__xludf.DUMMYFUNCTION("""COMPUTED_VALUE"""),43356.6666666666)</f>
        <v>43356.666666666599</v>
      </c>
      <c r="B933" s="1">
        <f ca="1">IFERROR(__xludf.DUMMYFUNCTION("""COMPUTED_VALUE"""),55.88)</f>
        <v>55.88</v>
      </c>
      <c r="C933" s="1">
        <f ca="1">IFERROR(__xludf.DUMMYFUNCTION("""COMPUTED_VALUE"""),57.09)</f>
        <v>57.09</v>
      </c>
      <c r="D933" s="1">
        <f ca="1">IFERROR(__xludf.DUMMYFUNCTION("""COMPUTED_VALUE"""),55.64)</f>
        <v>55.64</v>
      </c>
      <c r="E933" s="1">
        <f ca="1">IFERROR(__xludf.DUMMYFUNCTION("""COMPUTED_VALUE"""),56.6)</f>
        <v>56.6</v>
      </c>
      <c r="F933" s="1">
        <f ca="1">IFERROR(__xludf.DUMMYFUNCTION("""COMPUTED_VALUE"""),41706377)</f>
        <v>41706377</v>
      </c>
    </row>
    <row r="934" spans="1:6" x14ac:dyDescent="0.35">
      <c r="A934" s="2">
        <f ca="1">IFERROR(__xludf.DUMMYFUNCTION("""COMPUTED_VALUE"""),43357.6666666666)</f>
        <v>43357.666666666599</v>
      </c>
      <c r="B934" s="1">
        <f ca="1">IFERROR(__xludf.DUMMYFUNCTION("""COMPUTED_VALUE"""),56.44)</f>
        <v>56.44</v>
      </c>
      <c r="C934" s="1">
        <f ca="1">IFERROR(__xludf.DUMMYFUNCTION("""COMPUTED_VALUE"""),56.71)</f>
        <v>56.71</v>
      </c>
      <c r="D934" s="1">
        <f ca="1">IFERROR(__xludf.DUMMYFUNCTION("""COMPUTED_VALUE"""),55.63)</f>
        <v>55.63</v>
      </c>
      <c r="E934" s="1">
        <f ca="1">IFERROR(__xludf.DUMMYFUNCTION("""COMPUTED_VALUE"""),55.96)</f>
        <v>55.96</v>
      </c>
      <c r="F934" s="1">
        <f ca="1">IFERROR(__xludf.DUMMYFUNCTION("""COMPUTED_VALUE"""),31999289)</f>
        <v>31999289</v>
      </c>
    </row>
    <row r="935" spans="1:6" x14ac:dyDescent="0.35">
      <c r="A935" s="2">
        <f ca="1">IFERROR(__xludf.DUMMYFUNCTION("""COMPUTED_VALUE"""),43360.6666666666)</f>
        <v>43360.666666666599</v>
      </c>
      <c r="B935" s="1">
        <f ca="1">IFERROR(__xludf.DUMMYFUNCTION("""COMPUTED_VALUE"""),55.54)</f>
        <v>55.54</v>
      </c>
      <c r="C935" s="1">
        <f ca="1">IFERROR(__xludf.DUMMYFUNCTION("""COMPUTED_VALUE"""),55.74)</f>
        <v>55.74</v>
      </c>
      <c r="D935" s="1">
        <f ca="1">IFERROR(__xludf.DUMMYFUNCTION("""COMPUTED_VALUE"""),54.32)</f>
        <v>54.32</v>
      </c>
      <c r="E935" s="1">
        <f ca="1">IFERROR(__xludf.DUMMYFUNCTION("""COMPUTED_VALUE"""),54.47)</f>
        <v>54.47</v>
      </c>
      <c r="F935" s="1">
        <f ca="1">IFERROR(__xludf.DUMMYFUNCTION("""COMPUTED_VALUE"""),37195133)</f>
        <v>37195133</v>
      </c>
    </row>
    <row r="936" spans="1:6" x14ac:dyDescent="0.35">
      <c r="A936" s="2">
        <f ca="1">IFERROR(__xludf.DUMMYFUNCTION("""COMPUTED_VALUE"""),43361.6666666666)</f>
        <v>43361.666666666599</v>
      </c>
      <c r="B936" s="1">
        <f ca="1">IFERROR(__xludf.DUMMYFUNCTION("""COMPUTED_VALUE"""),54.45)</f>
        <v>54.45</v>
      </c>
      <c r="C936" s="1">
        <f ca="1">IFERROR(__xludf.DUMMYFUNCTION("""COMPUTED_VALUE"""),55.46)</f>
        <v>55.46</v>
      </c>
      <c r="D936" s="1">
        <f ca="1">IFERROR(__xludf.DUMMYFUNCTION("""COMPUTED_VALUE"""),54.28)</f>
        <v>54.28</v>
      </c>
      <c r="E936" s="1">
        <f ca="1">IFERROR(__xludf.DUMMYFUNCTION("""COMPUTED_VALUE"""),54.56)</f>
        <v>54.56</v>
      </c>
      <c r="F936" s="1">
        <f ca="1">IFERROR(__xludf.DUMMYFUNCTION("""COMPUTED_VALUE"""),31571712)</f>
        <v>31571712</v>
      </c>
    </row>
    <row r="937" spans="1:6" x14ac:dyDescent="0.35">
      <c r="A937" s="2">
        <f ca="1">IFERROR(__xludf.DUMMYFUNCTION("""COMPUTED_VALUE"""),43362.6666666666)</f>
        <v>43362.666666666599</v>
      </c>
      <c r="B937" s="1">
        <f ca="1">IFERROR(__xludf.DUMMYFUNCTION("""COMPUTED_VALUE"""),54.63)</f>
        <v>54.63</v>
      </c>
      <c r="C937" s="1">
        <f ca="1">IFERROR(__xludf.DUMMYFUNCTION("""COMPUTED_VALUE"""),54.91)</f>
        <v>54.91</v>
      </c>
      <c r="D937" s="1">
        <f ca="1">IFERROR(__xludf.DUMMYFUNCTION("""COMPUTED_VALUE"""),53.83)</f>
        <v>53.83</v>
      </c>
      <c r="E937" s="1">
        <f ca="1">IFERROR(__xludf.DUMMYFUNCTION("""COMPUTED_VALUE"""),54.59)</f>
        <v>54.59</v>
      </c>
      <c r="F937" s="1">
        <f ca="1">IFERROR(__xludf.DUMMYFUNCTION("""COMPUTED_VALUE"""),27123833)</f>
        <v>27123833</v>
      </c>
    </row>
    <row r="938" spans="1:6" x14ac:dyDescent="0.35">
      <c r="A938" s="2">
        <f ca="1">IFERROR(__xludf.DUMMYFUNCTION("""COMPUTED_VALUE"""),43363.6666666666)</f>
        <v>43363.666666666599</v>
      </c>
      <c r="B938" s="1">
        <f ca="1">IFERROR(__xludf.DUMMYFUNCTION("""COMPUTED_VALUE"""),55.06)</f>
        <v>55.06</v>
      </c>
      <c r="C938" s="1">
        <f ca="1">IFERROR(__xludf.DUMMYFUNCTION("""COMPUTED_VALUE"""),55.57)</f>
        <v>55.57</v>
      </c>
      <c r="D938" s="1">
        <f ca="1">IFERROR(__xludf.DUMMYFUNCTION("""COMPUTED_VALUE"""),54.79)</f>
        <v>54.79</v>
      </c>
      <c r="E938" s="1">
        <f ca="1">IFERROR(__xludf.DUMMYFUNCTION("""COMPUTED_VALUE"""),55.01)</f>
        <v>55.01</v>
      </c>
      <c r="F938" s="1">
        <f ca="1">IFERROR(__xludf.DUMMYFUNCTION("""COMPUTED_VALUE"""),26608794)</f>
        <v>26608794</v>
      </c>
    </row>
    <row r="939" spans="1:6" x14ac:dyDescent="0.35">
      <c r="A939" s="2">
        <f ca="1">IFERROR(__xludf.DUMMYFUNCTION("""COMPUTED_VALUE"""),43364.6666666666)</f>
        <v>43364.666666666599</v>
      </c>
      <c r="B939" s="1">
        <f ca="1">IFERROR(__xludf.DUMMYFUNCTION("""COMPUTED_VALUE"""),55.2)</f>
        <v>55.2</v>
      </c>
      <c r="C939" s="1">
        <f ca="1">IFERROR(__xludf.DUMMYFUNCTION("""COMPUTED_VALUE"""),55.34)</f>
        <v>55.34</v>
      </c>
      <c r="D939" s="1">
        <f ca="1">IFERROR(__xludf.DUMMYFUNCTION("""COMPUTED_VALUE"""),54.32)</f>
        <v>54.32</v>
      </c>
      <c r="E939" s="1">
        <f ca="1">IFERROR(__xludf.DUMMYFUNCTION("""COMPUTED_VALUE"""),54.42)</f>
        <v>54.42</v>
      </c>
      <c r="F939" s="1">
        <f ca="1">IFERROR(__xludf.DUMMYFUNCTION("""COMPUTED_VALUE"""),96246748)</f>
        <v>96246748</v>
      </c>
    </row>
    <row r="940" spans="1:6" x14ac:dyDescent="0.35">
      <c r="A940" s="2">
        <f ca="1">IFERROR(__xludf.DUMMYFUNCTION("""COMPUTED_VALUE"""),43367.6666666666)</f>
        <v>43367.666666666599</v>
      </c>
      <c r="B940" s="1">
        <f ca="1">IFERROR(__xludf.DUMMYFUNCTION("""COMPUTED_VALUE"""),54.21)</f>
        <v>54.21</v>
      </c>
      <c r="C940" s="1">
        <f ca="1">IFERROR(__xludf.DUMMYFUNCTION("""COMPUTED_VALUE"""),55.32)</f>
        <v>55.32</v>
      </c>
      <c r="D940" s="1">
        <f ca="1">IFERROR(__xludf.DUMMYFUNCTION("""COMPUTED_VALUE"""),54.16)</f>
        <v>54.16</v>
      </c>
      <c r="E940" s="1">
        <f ca="1">IFERROR(__xludf.DUMMYFUNCTION("""COMPUTED_VALUE"""),55.2)</f>
        <v>55.2</v>
      </c>
      <c r="F940" s="1">
        <f ca="1">IFERROR(__xludf.DUMMYFUNCTION("""COMPUTED_VALUE"""),27693358)</f>
        <v>27693358</v>
      </c>
    </row>
    <row r="941" spans="1:6" x14ac:dyDescent="0.35">
      <c r="A941" s="2">
        <f ca="1">IFERROR(__xludf.DUMMYFUNCTION("""COMPUTED_VALUE"""),43368.6666666666)</f>
        <v>43368.666666666599</v>
      </c>
      <c r="B941" s="1">
        <f ca="1">IFERROR(__xludf.DUMMYFUNCTION("""COMPUTED_VALUE"""),54.94)</f>
        <v>54.94</v>
      </c>
      <c r="C941" s="1">
        <f ca="1">IFERROR(__xludf.DUMMYFUNCTION("""COMPUTED_VALUE"""),55.71)</f>
        <v>55.71</v>
      </c>
      <c r="D941" s="1">
        <f ca="1">IFERROR(__xludf.DUMMYFUNCTION("""COMPUTED_VALUE"""),54.93)</f>
        <v>54.93</v>
      </c>
      <c r="E941" s="1">
        <f ca="1">IFERROR(__xludf.DUMMYFUNCTION("""COMPUTED_VALUE"""),55.55)</f>
        <v>55.55</v>
      </c>
      <c r="F941" s="1">
        <f ca="1">IFERROR(__xludf.DUMMYFUNCTION("""COMPUTED_VALUE"""),24554379)</f>
        <v>24554379</v>
      </c>
    </row>
    <row r="942" spans="1:6" x14ac:dyDescent="0.35">
      <c r="A942" s="2">
        <f ca="1">IFERROR(__xludf.DUMMYFUNCTION("""COMPUTED_VALUE"""),43369.6666666666)</f>
        <v>43369.666666666599</v>
      </c>
      <c r="B942" s="1">
        <f ca="1">IFERROR(__xludf.DUMMYFUNCTION("""COMPUTED_VALUE"""),55.25)</f>
        <v>55.25</v>
      </c>
      <c r="C942" s="1">
        <f ca="1">IFERROR(__xludf.DUMMYFUNCTION("""COMPUTED_VALUE"""),55.94)</f>
        <v>55.94</v>
      </c>
      <c r="D942" s="1">
        <f ca="1">IFERROR(__xludf.DUMMYFUNCTION("""COMPUTED_VALUE"""),54.94)</f>
        <v>54.94</v>
      </c>
      <c r="E942" s="1">
        <f ca="1">IFERROR(__xludf.DUMMYFUNCTION("""COMPUTED_VALUE"""),55.11)</f>
        <v>55.11</v>
      </c>
      <c r="F942" s="1">
        <f ca="1">IFERROR(__xludf.DUMMYFUNCTION("""COMPUTED_VALUE"""),23984706)</f>
        <v>23984706</v>
      </c>
    </row>
    <row r="943" spans="1:6" x14ac:dyDescent="0.35">
      <c r="A943" s="2">
        <f ca="1">IFERROR(__xludf.DUMMYFUNCTION("""COMPUTED_VALUE"""),43370.6666666666)</f>
        <v>43370.666666666599</v>
      </c>
      <c r="B943" s="1">
        <f ca="1">IFERROR(__xludf.DUMMYFUNCTION("""COMPUTED_VALUE"""),55.96)</f>
        <v>55.96</v>
      </c>
      <c r="C943" s="1">
        <f ca="1">IFERROR(__xludf.DUMMYFUNCTION("""COMPUTED_VALUE"""),56.61)</f>
        <v>56.61</v>
      </c>
      <c r="D943" s="1">
        <f ca="1">IFERROR(__xludf.DUMMYFUNCTION("""COMPUTED_VALUE"""),55.89)</f>
        <v>55.89</v>
      </c>
      <c r="E943" s="1">
        <f ca="1">IFERROR(__xludf.DUMMYFUNCTION("""COMPUTED_VALUE"""),56.24)</f>
        <v>56.24</v>
      </c>
      <c r="F943" s="1">
        <f ca="1">IFERROR(__xludf.DUMMYFUNCTION("""COMPUTED_VALUE"""),30181227)</f>
        <v>30181227</v>
      </c>
    </row>
    <row r="944" spans="1:6" x14ac:dyDescent="0.35">
      <c r="A944" s="2">
        <f ca="1">IFERROR(__xludf.DUMMYFUNCTION("""COMPUTED_VALUE"""),43371.6666666666)</f>
        <v>43371.666666666599</v>
      </c>
      <c r="B944" s="1">
        <f ca="1">IFERROR(__xludf.DUMMYFUNCTION("""COMPUTED_VALUE"""),56.2)</f>
        <v>56.2</v>
      </c>
      <c r="C944" s="1">
        <f ca="1">IFERROR(__xludf.DUMMYFUNCTION("""COMPUTED_VALUE"""),56.46)</f>
        <v>56.46</v>
      </c>
      <c r="D944" s="1">
        <f ca="1">IFERROR(__xludf.DUMMYFUNCTION("""COMPUTED_VALUE"""),56.01)</f>
        <v>56.01</v>
      </c>
      <c r="E944" s="1">
        <f ca="1">IFERROR(__xludf.DUMMYFUNCTION("""COMPUTED_VALUE"""),56.44)</f>
        <v>56.44</v>
      </c>
      <c r="F944" s="1">
        <f ca="1">IFERROR(__xludf.DUMMYFUNCTION("""COMPUTED_VALUE"""),22929364)</f>
        <v>22929364</v>
      </c>
    </row>
    <row r="945" spans="1:6" x14ac:dyDescent="0.35">
      <c r="A945" s="2">
        <f ca="1">IFERROR(__xludf.DUMMYFUNCTION("""COMPUTED_VALUE"""),43374.6666666666)</f>
        <v>43374.666666666599</v>
      </c>
      <c r="B945" s="1">
        <f ca="1">IFERROR(__xludf.DUMMYFUNCTION("""COMPUTED_VALUE"""),56.99)</f>
        <v>56.99</v>
      </c>
      <c r="C945" s="1">
        <f ca="1">IFERROR(__xludf.DUMMYFUNCTION("""COMPUTED_VALUE"""),57.36)</f>
        <v>57.36</v>
      </c>
      <c r="D945" s="1">
        <f ca="1">IFERROR(__xludf.DUMMYFUNCTION("""COMPUTED_VALUE"""),56.59)</f>
        <v>56.59</v>
      </c>
      <c r="E945" s="1">
        <f ca="1">IFERROR(__xludf.DUMMYFUNCTION("""COMPUTED_VALUE"""),56.82)</f>
        <v>56.82</v>
      </c>
      <c r="F945" s="1">
        <f ca="1">IFERROR(__xludf.DUMMYFUNCTION("""COMPUTED_VALUE"""),23600802)</f>
        <v>23600802</v>
      </c>
    </row>
    <row r="946" spans="1:6" x14ac:dyDescent="0.35">
      <c r="A946" s="2">
        <f ca="1">IFERROR(__xludf.DUMMYFUNCTION("""COMPUTED_VALUE"""),43375.6666666666)</f>
        <v>43375.666666666599</v>
      </c>
      <c r="B946" s="1">
        <f ca="1">IFERROR(__xludf.DUMMYFUNCTION("""COMPUTED_VALUE"""),56.81)</f>
        <v>56.81</v>
      </c>
      <c r="C946" s="1">
        <f ca="1">IFERROR(__xludf.DUMMYFUNCTION("""COMPUTED_VALUE"""),57.5)</f>
        <v>57.5</v>
      </c>
      <c r="D946" s="1">
        <f ca="1">IFERROR(__xludf.DUMMYFUNCTION("""COMPUTED_VALUE"""),56.66)</f>
        <v>56.66</v>
      </c>
      <c r="E946" s="1">
        <f ca="1">IFERROR(__xludf.DUMMYFUNCTION("""COMPUTED_VALUE"""),57.32)</f>
        <v>57.32</v>
      </c>
      <c r="F946" s="1">
        <f ca="1">IFERROR(__xludf.DUMMYFUNCTION("""COMPUTED_VALUE"""),24788170)</f>
        <v>24788170</v>
      </c>
    </row>
    <row r="947" spans="1:6" x14ac:dyDescent="0.35">
      <c r="A947" s="2">
        <f ca="1">IFERROR(__xludf.DUMMYFUNCTION("""COMPUTED_VALUE"""),43376.6666666666)</f>
        <v>43376.666666666599</v>
      </c>
      <c r="B947" s="1">
        <f ca="1">IFERROR(__xludf.DUMMYFUNCTION("""COMPUTED_VALUE"""),57.51)</f>
        <v>57.51</v>
      </c>
      <c r="C947" s="1">
        <f ca="1">IFERROR(__xludf.DUMMYFUNCTION("""COMPUTED_VALUE"""),58.37)</f>
        <v>58.37</v>
      </c>
      <c r="D947" s="1">
        <f ca="1">IFERROR(__xludf.DUMMYFUNCTION("""COMPUTED_VALUE"""),57.45)</f>
        <v>57.45</v>
      </c>
      <c r="E947" s="1">
        <f ca="1">IFERROR(__xludf.DUMMYFUNCTION("""COMPUTED_VALUE"""),58.02)</f>
        <v>58.02</v>
      </c>
      <c r="F947" s="1">
        <f ca="1">IFERROR(__xludf.DUMMYFUNCTION("""COMPUTED_VALUE"""),28654799)</f>
        <v>28654799</v>
      </c>
    </row>
    <row r="948" spans="1:6" x14ac:dyDescent="0.35">
      <c r="A948" s="2">
        <f ca="1">IFERROR(__xludf.DUMMYFUNCTION("""COMPUTED_VALUE"""),43377.6666666666)</f>
        <v>43377.666666666599</v>
      </c>
      <c r="B948" s="1">
        <f ca="1">IFERROR(__xludf.DUMMYFUNCTION("""COMPUTED_VALUE"""),57.7)</f>
        <v>57.7</v>
      </c>
      <c r="C948" s="1">
        <f ca="1">IFERROR(__xludf.DUMMYFUNCTION("""COMPUTED_VALUE"""),58.09)</f>
        <v>58.09</v>
      </c>
      <c r="D948" s="1">
        <f ca="1">IFERROR(__xludf.DUMMYFUNCTION("""COMPUTED_VALUE"""),56.68)</f>
        <v>56.68</v>
      </c>
      <c r="E948" s="1">
        <f ca="1">IFERROR(__xludf.DUMMYFUNCTION("""COMPUTED_VALUE"""),57)</f>
        <v>57</v>
      </c>
      <c r="F948" s="1">
        <f ca="1">IFERROR(__xludf.DUMMYFUNCTION("""COMPUTED_VALUE"""),32042000)</f>
        <v>32042000</v>
      </c>
    </row>
    <row r="949" spans="1:6" x14ac:dyDescent="0.35">
      <c r="A949" s="2">
        <f ca="1">IFERROR(__xludf.DUMMYFUNCTION("""COMPUTED_VALUE"""),43378.6666666666)</f>
        <v>43378.666666666599</v>
      </c>
      <c r="B949" s="1">
        <f ca="1">IFERROR(__xludf.DUMMYFUNCTION("""COMPUTED_VALUE"""),56.99)</f>
        <v>56.99</v>
      </c>
      <c r="C949" s="1">
        <f ca="1">IFERROR(__xludf.DUMMYFUNCTION("""COMPUTED_VALUE"""),57.1)</f>
        <v>57.1</v>
      </c>
      <c r="D949" s="1">
        <f ca="1">IFERROR(__xludf.DUMMYFUNCTION("""COMPUTED_VALUE"""),55.15)</f>
        <v>55.15</v>
      </c>
      <c r="E949" s="1">
        <f ca="1">IFERROR(__xludf.DUMMYFUNCTION("""COMPUTED_VALUE"""),56.07)</f>
        <v>56.07</v>
      </c>
      <c r="F949" s="1">
        <f ca="1">IFERROR(__xludf.DUMMYFUNCTION("""COMPUTED_VALUE"""),33580463)</f>
        <v>33580463</v>
      </c>
    </row>
    <row r="950" spans="1:6" x14ac:dyDescent="0.35">
      <c r="A950" s="2">
        <f ca="1">IFERROR(__xludf.DUMMYFUNCTION("""COMPUTED_VALUE"""),43381.6666666666)</f>
        <v>43381.666666666599</v>
      </c>
      <c r="B950" s="1">
        <f ca="1">IFERROR(__xludf.DUMMYFUNCTION("""COMPUTED_VALUE"""),55.55)</f>
        <v>55.55</v>
      </c>
      <c r="C950" s="1">
        <f ca="1">IFERROR(__xludf.DUMMYFUNCTION("""COMPUTED_VALUE"""),56.2)</f>
        <v>56.2</v>
      </c>
      <c r="D950" s="1">
        <f ca="1">IFERROR(__xludf.DUMMYFUNCTION("""COMPUTED_VALUE"""),55.05)</f>
        <v>55.05</v>
      </c>
      <c r="E950" s="1">
        <f ca="1">IFERROR(__xludf.DUMMYFUNCTION("""COMPUTED_VALUE"""),55.94)</f>
        <v>55.94</v>
      </c>
      <c r="F950" s="1">
        <f ca="1">IFERROR(__xludf.DUMMYFUNCTION("""COMPUTED_VALUE"""),29663923)</f>
        <v>29663923</v>
      </c>
    </row>
    <row r="951" spans="1:6" x14ac:dyDescent="0.35">
      <c r="A951" s="2">
        <f ca="1">IFERROR(__xludf.DUMMYFUNCTION("""COMPUTED_VALUE"""),43382.6666666666)</f>
        <v>43382.666666666599</v>
      </c>
      <c r="B951" s="1">
        <f ca="1">IFERROR(__xludf.DUMMYFUNCTION("""COMPUTED_VALUE"""),55.91)</f>
        <v>55.91</v>
      </c>
      <c r="C951" s="1">
        <f ca="1">IFERROR(__xludf.DUMMYFUNCTION("""COMPUTED_VALUE"""),56.82)</f>
        <v>56.82</v>
      </c>
      <c r="D951" s="1">
        <f ca="1">IFERROR(__xludf.DUMMYFUNCTION("""COMPUTED_VALUE"""),55.56)</f>
        <v>55.56</v>
      </c>
      <c r="E951" s="1">
        <f ca="1">IFERROR(__xludf.DUMMYFUNCTION("""COMPUTED_VALUE"""),56.72)</f>
        <v>56.72</v>
      </c>
      <c r="F951" s="1">
        <f ca="1">IFERROR(__xludf.DUMMYFUNCTION("""COMPUTED_VALUE"""),26891029)</f>
        <v>26891029</v>
      </c>
    </row>
    <row r="952" spans="1:6" x14ac:dyDescent="0.35">
      <c r="A952" s="2">
        <f ca="1">IFERROR(__xludf.DUMMYFUNCTION("""COMPUTED_VALUE"""),43383.6666666666)</f>
        <v>43383.666666666599</v>
      </c>
      <c r="B952" s="1">
        <f ca="1">IFERROR(__xludf.DUMMYFUNCTION("""COMPUTED_VALUE"""),56.37)</f>
        <v>56.37</v>
      </c>
      <c r="C952" s="1">
        <f ca="1">IFERROR(__xludf.DUMMYFUNCTION("""COMPUTED_VALUE"""),56.59)</f>
        <v>56.59</v>
      </c>
      <c r="D952" s="1">
        <f ca="1">IFERROR(__xludf.DUMMYFUNCTION("""COMPUTED_VALUE"""),54.01)</f>
        <v>54.01</v>
      </c>
      <c r="E952" s="1">
        <f ca="1">IFERROR(__xludf.DUMMYFUNCTION("""COMPUTED_VALUE"""),54.09)</f>
        <v>54.09</v>
      </c>
      <c r="F952" s="1">
        <f ca="1">IFERROR(__xludf.DUMMYFUNCTION("""COMPUTED_VALUE"""),41990554)</f>
        <v>41990554</v>
      </c>
    </row>
    <row r="953" spans="1:6" x14ac:dyDescent="0.35">
      <c r="A953" s="2">
        <f ca="1">IFERROR(__xludf.DUMMYFUNCTION("""COMPUTED_VALUE"""),43384.6666666666)</f>
        <v>43384.666666666599</v>
      </c>
      <c r="B953" s="1">
        <f ca="1">IFERROR(__xludf.DUMMYFUNCTION("""COMPUTED_VALUE"""),53.63)</f>
        <v>53.63</v>
      </c>
      <c r="C953" s="1">
        <f ca="1">IFERROR(__xludf.DUMMYFUNCTION("""COMPUTED_VALUE"""),54.88)</f>
        <v>54.88</v>
      </c>
      <c r="D953" s="1">
        <f ca="1">IFERROR(__xludf.DUMMYFUNCTION("""COMPUTED_VALUE"""),53.08)</f>
        <v>53.08</v>
      </c>
      <c r="E953" s="1">
        <f ca="1">IFERROR(__xludf.DUMMYFUNCTION("""COMPUTED_VALUE"""),53.61)</f>
        <v>53.61</v>
      </c>
      <c r="F953" s="1">
        <f ca="1">IFERROR(__xludf.DUMMYFUNCTION("""COMPUTED_VALUE"""),53124392)</f>
        <v>53124392</v>
      </c>
    </row>
    <row r="954" spans="1:6" x14ac:dyDescent="0.35">
      <c r="A954" s="2">
        <f ca="1">IFERROR(__xludf.DUMMYFUNCTION("""COMPUTED_VALUE"""),43385.6666666666)</f>
        <v>43385.666666666599</v>
      </c>
      <c r="B954" s="1">
        <f ca="1">IFERROR(__xludf.DUMMYFUNCTION("""COMPUTED_VALUE"""),55.11)</f>
        <v>55.11</v>
      </c>
      <c r="C954" s="1">
        <f ca="1">IFERROR(__xludf.DUMMYFUNCTION("""COMPUTED_VALUE"""),55.72)</f>
        <v>55.72</v>
      </c>
      <c r="D954" s="1">
        <f ca="1">IFERROR(__xludf.DUMMYFUNCTION("""COMPUTED_VALUE"""),54.21)</f>
        <v>54.21</v>
      </c>
      <c r="E954" s="1">
        <f ca="1">IFERROR(__xludf.DUMMYFUNCTION("""COMPUTED_VALUE"""),55.53)</f>
        <v>55.53</v>
      </c>
      <c r="F954" s="1">
        <f ca="1">IFERROR(__xludf.DUMMYFUNCTION("""COMPUTED_VALUE"""),40337851)</f>
        <v>40337851</v>
      </c>
    </row>
    <row r="955" spans="1:6" x14ac:dyDescent="0.35">
      <c r="A955" s="2">
        <f ca="1">IFERROR(__xludf.DUMMYFUNCTION("""COMPUTED_VALUE"""),43388.6666666666)</f>
        <v>43388.666666666599</v>
      </c>
      <c r="B955" s="1">
        <f ca="1">IFERROR(__xludf.DUMMYFUNCTION("""COMPUTED_VALUE"""),55.29)</f>
        <v>55.29</v>
      </c>
      <c r="C955" s="1">
        <f ca="1">IFERROR(__xludf.DUMMYFUNCTION("""COMPUTED_VALUE"""),55.46)</f>
        <v>55.46</v>
      </c>
      <c r="D955" s="1">
        <f ca="1">IFERROR(__xludf.DUMMYFUNCTION("""COMPUTED_VALUE"""),54.32)</f>
        <v>54.32</v>
      </c>
      <c r="E955" s="1">
        <f ca="1">IFERROR(__xludf.DUMMYFUNCTION("""COMPUTED_VALUE"""),54.34)</f>
        <v>54.34</v>
      </c>
      <c r="F955" s="1">
        <f ca="1">IFERROR(__xludf.DUMMYFUNCTION("""COMPUTED_VALUE"""),30791007)</f>
        <v>30791007</v>
      </c>
    </row>
    <row r="956" spans="1:6" x14ac:dyDescent="0.35">
      <c r="A956" s="2">
        <f ca="1">IFERROR(__xludf.DUMMYFUNCTION("""COMPUTED_VALUE"""),43389.6666666666)</f>
        <v>43389.666666666599</v>
      </c>
      <c r="B956" s="1">
        <f ca="1">IFERROR(__xludf.DUMMYFUNCTION("""COMPUTED_VALUE"""),54.73)</f>
        <v>54.73</v>
      </c>
      <c r="C956" s="1">
        <f ca="1">IFERROR(__xludf.DUMMYFUNCTION("""COMPUTED_VALUE"""),55.75)</f>
        <v>55.75</v>
      </c>
      <c r="D956" s="1">
        <f ca="1">IFERROR(__xludf.DUMMYFUNCTION("""COMPUTED_VALUE"""),54.19)</f>
        <v>54.19</v>
      </c>
      <c r="E956" s="1">
        <f ca="1">IFERROR(__xludf.DUMMYFUNCTION("""COMPUTED_VALUE"""),55.54)</f>
        <v>55.54</v>
      </c>
      <c r="F956" s="1">
        <f ca="1">IFERROR(__xludf.DUMMYFUNCTION("""COMPUTED_VALUE"""),29183963)</f>
        <v>29183963</v>
      </c>
    </row>
    <row r="957" spans="1:6" x14ac:dyDescent="0.35">
      <c r="A957" s="2">
        <f ca="1">IFERROR(__xludf.DUMMYFUNCTION("""COMPUTED_VALUE"""),43390.6666666666)</f>
        <v>43390.666666666599</v>
      </c>
      <c r="B957" s="1">
        <f ca="1">IFERROR(__xludf.DUMMYFUNCTION("""COMPUTED_VALUE"""),55.58)</f>
        <v>55.58</v>
      </c>
      <c r="C957" s="1">
        <f ca="1">IFERROR(__xludf.DUMMYFUNCTION("""COMPUTED_VALUE"""),55.66)</f>
        <v>55.66</v>
      </c>
      <c r="D957" s="1">
        <f ca="1">IFERROR(__xludf.DUMMYFUNCTION("""COMPUTED_VALUE"""),54.84)</f>
        <v>54.84</v>
      </c>
      <c r="E957" s="1">
        <f ca="1">IFERROR(__xludf.DUMMYFUNCTION("""COMPUTED_VALUE"""),55.3)</f>
        <v>55.3</v>
      </c>
      <c r="F957" s="1">
        <f ca="1">IFERROR(__xludf.DUMMYFUNCTION("""COMPUTED_VALUE"""),22885397)</f>
        <v>22885397</v>
      </c>
    </row>
    <row r="958" spans="1:6" x14ac:dyDescent="0.35">
      <c r="A958" s="2">
        <f ca="1">IFERROR(__xludf.DUMMYFUNCTION("""COMPUTED_VALUE"""),43391.6666666666)</f>
        <v>43391.666666666599</v>
      </c>
      <c r="B958" s="1">
        <f ca="1">IFERROR(__xludf.DUMMYFUNCTION("""COMPUTED_VALUE"""),54.47)</f>
        <v>54.47</v>
      </c>
      <c r="C958" s="1">
        <f ca="1">IFERROR(__xludf.DUMMYFUNCTION("""COMPUTED_VALUE"""),54.94)</f>
        <v>54.94</v>
      </c>
      <c r="D958" s="1">
        <f ca="1">IFERROR(__xludf.DUMMYFUNCTION("""COMPUTED_VALUE"""),53.25)</f>
        <v>53.25</v>
      </c>
      <c r="E958" s="1">
        <f ca="1">IFERROR(__xludf.DUMMYFUNCTION("""COMPUTED_VALUE"""),54.01)</f>
        <v>54.01</v>
      </c>
      <c r="F958" s="1">
        <f ca="1">IFERROR(__xludf.DUMMYFUNCTION("""COMPUTED_VALUE"""),32581315)</f>
        <v>32581315</v>
      </c>
    </row>
    <row r="959" spans="1:6" x14ac:dyDescent="0.35">
      <c r="A959" s="2">
        <f ca="1">IFERROR(__xludf.DUMMYFUNCTION("""COMPUTED_VALUE"""),43392.6666666666)</f>
        <v>43392.666666666599</v>
      </c>
      <c r="B959" s="1">
        <f ca="1">IFERROR(__xludf.DUMMYFUNCTION("""COMPUTED_VALUE"""),54.52)</f>
        <v>54.52</v>
      </c>
      <c r="C959" s="1">
        <f ca="1">IFERROR(__xludf.DUMMYFUNCTION("""COMPUTED_VALUE"""),55.32)</f>
        <v>55.32</v>
      </c>
      <c r="D959" s="1">
        <f ca="1">IFERROR(__xludf.DUMMYFUNCTION("""COMPUTED_VALUE"""),54.36)</f>
        <v>54.36</v>
      </c>
      <c r="E959" s="1">
        <f ca="1">IFERROR(__xludf.DUMMYFUNCTION("""COMPUTED_VALUE"""),54.83)</f>
        <v>54.83</v>
      </c>
      <c r="F959" s="1">
        <f ca="1">IFERROR(__xludf.DUMMYFUNCTION("""COMPUTED_VALUE"""),33078726)</f>
        <v>33078726</v>
      </c>
    </row>
    <row r="960" spans="1:6" x14ac:dyDescent="0.35">
      <c r="A960" s="2">
        <f ca="1">IFERROR(__xludf.DUMMYFUNCTION("""COMPUTED_VALUE"""),43395.6666666666)</f>
        <v>43395.666666666599</v>
      </c>
      <c r="B960" s="1">
        <f ca="1">IFERROR(__xludf.DUMMYFUNCTION("""COMPUTED_VALUE"""),54.95)</f>
        <v>54.95</v>
      </c>
      <c r="C960" s="1">
        <f ca="1">IFERROR(__xludf.DUMMYFUNCTION("""COMPUTED_VALUE"""),55.84)</f>
        <v>55.84</v>
      </c>
      <c r="D960" s="1">
        <f ca="1">IFERROR(__xludf.DUMMYFUNCTION("""COMPUTED_VALUE"""),54.74)</f>
        <v>54.74</v>
      </c>
      <c r="E960" s="1">
        <f ca="1">IFERROR(__xludf.DUMMYFUNCTION("""COMPUTED_VALUE"""),55.16)</f>
        <v>55.16</v>
      </c>
      <c r="F960" s="1">
        <f ca="1">IFERROR(__xludf.DUMMYFUNCTION("""COMPUTED_VALUE"""),28792082)</f>
        <v>28792082</v>
      </c>
    </row>
    <row r="961" spans="1:6" x14ac:dyDescent="0.35">
      <c r="A961" s="2">
        <f ca="1">IFERROR(__xludf.DUMMYFUNCTION("""COMPUTED_VALUE"""),43396.6666666666)</f>
        <v>43396.666666666599</v>
      </c>
      <c r="B961" s="1">
        <f ca="1">IFERROR(__xludf.DUMMYFUNCTION("""COMPUTED_VALUE"""),53.96)</f>
        <v>53.96</v>
      </c>
      <c r="C961" s="1">
        <f ca="1">IFERROR(__xludf.DUMMYFUNCTION("""COMPUTED_VALUE"""),55.81)</f>
        <v>55.81</v>
      </c>
      <c r="D961" s="1">
        <f ca="1">IFERROR(__xludf.DUMMYFUNCTION("""COMPUTED_VALUE"""),53.68)</f>
        <v>53.68</v>
      </c>
      <c r="E961" s="1">
        <f ca="1">IFERROR(__xludf.DUMMYFUNCTION("""COMPUTED_VALUE"""),55.68)</f>
        <v>55.68</v>
      </c>
      <c r="F961" s="1">
        <f ca="1">IFERROR(__xludf.DUMMYFUNCTION("""COMPUTED_VALUE"""),38767846)</f>
        <v>38767846</v>
      </c>
    </row>
    <row r="962" spans="1:6" x14ac:dyDescent="0.35">
      <c r="A962" s="2">
        <f ca="1">IFERROR(__xludf.DUMMYFUNCTION("""COMPUTED_VALUE"""),43397.6666666666)</f>
        <v>43397.666666666599</v>
      </c>
      <c r="B962" s="1">
        <f ca="1">IFERROR(__xludf.DUMMYFUNCTION("""COMPUTED_VALUE"""),55.65)</f>
        <v>55.65</v>
      </c>
      <c r="C962" s="1">
        <f ca="1">IFERROR(__xludf.DUMMYFUNCTION("""COMPUTED_VALUE"""),56.06)</f>
        <v>56.06</v>
      </c>
      <c r="D962" s="1">
        <f ca="1">IFERROR(__xludf.DUMMYFUNCTION("""COMPUTED_VALUE"""),53.64)</f>
        <v>53.64</v>
      </c>
      <c r="E962" s="1">
        <f ca="1">IFERROR(__xludf.DUMMYFUNCTION("""COMPUTED_VALUE"""),53.77)</f>
        <v>53.77</v>
      </c>
      <c r="F962" s="1">
        <f ca="1">IFERROR(__xludf.DUMMYFUNCTION("""COMPUTED_VALUE"""),40925163)</f>
        <v>40925163</v>
      </c>
    </row>
    <row r="963" spans="1:6" x14ac:dyDescent="0.35">
      <c r="A963" s="2">
        <f ca="1">IFERROR(__xludf.DUMMYFUNCTION("""COMPUTED_VALUE"""),43398.6666666666)</f>
        <v>43398.666666666599</v>
      </c>
      <c r="B963" s="1">
        <f ca="1">IFERROR(__xludf.DUMMYFUNCTION("""COMPUTED_VALUE"""),54.43)</f>
        <v>54.43</v>
      </c>
      <c r="C963" s="1">
        <f ca="1">IFERROR(__xludf.DUMMYFUNCTION("""COMPUTED_VALUE"""),55.35)</f>
        <v>55.35</v>
      </c>
      <c r="D963" s="1">
        <f ca="1">IFERROR(__xludf.DUMMYFUNCTION("""COMPUTED_VALUE"""),54.19)</f>
        <v>54.19</v>
      </c>
      <c r="E963" s="1">
        <f ca="1">IFERROR(__xludf.DUMMYFUNCTION("""COMPUTED_VALUE"""),54.95)</f>
        <v>54.95</v>
      </c>
      <c r="F963" s="1">
        <f ca="1">IFERROR(__xludf.DUMMYFUNCTION("""COMPUTED_VALUE"""),29855768)</f>
        <v>29855768</v>
      </c>
    </row>
    <row r="964" spans="1:6" x14ac:dyDescent="0.35">
      <c r="A964" s="2">
        <f ca="1">IFERROR(__xludf.DUMMYFUNCTION("""COMPUTED_VALUE"""),43399.6666666666)</f>
        <v>43399.666666666599</v>
      </c>
      <c r="B964" s="1">
        <f ca="1">IFERROR(__xludf.DUMMYFUNCTION("""COMPUTED_VALUE"""),53.98)</f>
        <v>53.98</v>
      </c>
      <c r="C964" s="1">
        <f ca="1">IFERROR(__xludf.DUMMYFUNCTION("""COMPUTED_VALUE"""),55.05)</f>
        <v>55.05</v>
      </c>
      <c r="D964" s="1">
        <f ca="1">IFERROR(__xludf.DUMMYFUNCTION("""COMPUTED_VALUE"""),53.17)</f>
        <v>53.17</v>
      </c>
      <c r="E964" s="1">
        <f ca="1">IFERROR(__xludf.DUMMYFUNCTION("""COMPUTED_VALUE"""),54.08)</f>
        <v>54.08</v>
      </c>
      <c r="F964" s="1">
        <f ca="1">IFERROR(__xludf.DUMMYFUNCTION("""COMPUTED_VALUE"""),47258375)</f>
        <v>47258375</v>
      </c>
    </row>
    <row r="965" spans="1:6" x14ac:dyDescent="0.35">
      <c r="A965" s="2">
        <f ca="1">IFERROR(__xludf.DUMMYFUNCTION("""COMPUTED_VALUE"""),43402.6666666666)</f>
        <v>43402.666666666599</v>
      </c>
      <c r="B965" s="1">
        <f ca="1">IFERROR(__xludf.DUMMYFUNCTION("""COMPUTED_VALUE"""),54.8)</f>
        <v>54.8</v>
      </c>
      <c r="C965" s="1">
        <f ca="1">IFERROR(__xludf.DUMMYFUNCTION("""COMPUTED_VALUE"""),54.92)</f>
        <v>54.92</v>
      </c>
      <c r="D965" s="1">
        <f ca="1">IFERROR(__xludf.DUMMYFUNCTION("""COMPUTED_VALUE"""),51.52)</f>
        <v>51.52</v>
      </c>
      <c r="E965" s="1">
        <f ca="1">IFERROR(__xludf.DUMMYFUNCTION("""COMPUTED_VALUE"""),53.06)</f>
        <v>53.06</v>
      </c>
      <c r="F965" s="1">
        <f ca="1">IFERROR(__xludf.DUMMYFUNCTION("""COMPUTED_VALUE"""),45935520)</f>
        <v>45935520</v>
      </c>
    </row>
    <row r="966" spans="1:6" x14ac:dyDescent="0.35">
      <c r="A966" s="2">
        <f ca="1">IFERROR(__xludf.DUMMYFUNCTION("""COMPUTED_VALUE"""),43403.6666666666)</f>
        <v>43403.666666666599</v>
      </c>
      <c r="B966" s="1">
        <f ca="1">IFERROR(__xludf.DUMMYFUNCTION("""COMPUTED_VALUE"""),52.79)</f>
        <v>52.79</v>
      </c>
      <c r="C966" s="1">
        <f ca="1">IFERROR(__xludf.DUMMYFUNCTION("""COMPUTED_VALUE"""),53.8)</f>
        <v>53.8</v>
      </c>
      <c r="D966" s="1">
        <f ca="1">IFERROR(__xludf.DUMMYFUNCTION("""COMPUTED_VALUE"""),52.32)</f>
        <v>52.32</v>
      </c>
      <c r="E966" s="1">
        <f ca="1">IFERROR(__xludf.DUMMYFUNCTION("""COMPUTED_VALUE"""),53.33)</f>
        <v>53.33</v>
      </c>
      <c r="F966" s="1">
        <f ca="1">IFERROR(__xludf.DUMMYFUNCTION("""COMPUTED_VALUE"""),36659990)</f>
        <v>36659990</v>
      </c>
    </row>
    <row r="967" spans="1:6" x14ac:dyDescent="0.35">
      <c r="A967" s="2">
        <f ca="1">IFERROR(__xludf.DUMMYFUNCTION("""COMPUTED_VALUE"""),43404.6666666666)</f>
        <v>43404.666666666599</v>
      </c>
      <c r="B967" s="1">
        <f ca="1">IFERROR(__xludf.DUMMYFUNCTION("""COMPUTED_VALUE"""),54.22)</f>
        <v>54.22</v>
      </c>
      <c r="C967" s="1">
        <f ca="1">IFERROR(__xludf.DUMMYFUNCTION("""COMPUTED_VALUE"""),55.11)</f>
        <v>55.11</v>
      </c>
      <c r="D967" s="1">
        <f ca="1">IFERROR(__xludf.DUMMYFUNCTION("""COMPUTED_VALUE"""),54.16)</f>
        <v>54.16</v>
      </c>
      <c r="E967" s="1">
        <f ca="1">IFERROR(__xludf.DUMMYFUNCTION("""COMPUTED_VALUE"""),54.72)</f>
        <v>54.72</v>
      </c>
      <c r="F967" s="1">
        <f ca="1">IFERROR(__xludf.DUMMYFUNCTION("""COMPUTED_VALUE"""),38358933)</f>
        <v>38358933</v>
      </c>
    </row>
    <row r="968" spans="1:6" x14ac:dyDescent="0.35">
      <c r="A968" s="2">
        <f ca="1">IFERROR(__xludf.DUMMYFUNCTION("""COMPUTED_VALUE"""),43405.6666666666)</f>
        <v>43405.666666666599</v>
      </c>
      <c r="B968" s="1">
        <f ca="1">IFERROR(__xludf.DUMMYFUNCTION("""COMPUTED_VALUE"""),54.76)</f>
        <v>54.76</v>
      </c>
      <c r="C968" s="1">
        <f ca="1">IFERROR(__xludf.DUMMYFUNCTION("""COMPUTED_VALUE"""),55.59)</f>
        <v>55.59</v>
      </c>
      <c r="D968" s="1">
        <f ca="1">IFERROR(__xludf.DUMMYFUNCTION("""COMPUTED_VALUE"""),54.2)</f>
        <v>54.2</v>
      </c>
      <c r="E968" s="1">
        <f ca="1">IFERROR(__xludf.DUMMYFUNCTION("""COMPUTED_VALUE"""),55.56)</f>
        <v>55.56</v>
      </c>
      <c r="F968" s="1">
        <f ca="1">IFERROR(__xludf.DUMMYFUNCTION("""COMPUTED_VALUE"""),58323180)</f>
        <v>58323180</v>
      </c>
    </row>
    <row r="969" spans="1:6" x14ac:dyDescent="0.35">
      <c r="A969" s="2">
        <f ca="1">IFERROR(__xludf.DUMMYFUNCTION("""COMPUTED_VALUE"""),43406.6666666666)</f>
        <v>43406.666666666599</v>
      </c>
      <c r="B969" s="1">
        <f ca="1">IFERROR(__xludf.DUMMYFUNCTION("""COMPUTED_VALUE"""),52.39)</f>
        <v>52.39</v>
      </c>
      <c r="C969" s="1">
        <f ca="1">IFERROR(__xludf.DUMMYFUNCTION("""COMPUTED_VALUE"""),53.41)</f>
        <v>53.41</v>
      </c>
      <c r="D969" s="1">
        <f ca="1">IFERROR(__xludf.DUMMYFUNCTION("""COMPUTED_VALUE"""),51.36)</f>
        <v>51.36</v>
      </c>
      <c r="E969" s="1">
        <f ca="1">IFERROR(__xludf.DUMMYFUNCTION("""COMPUTED_VALUE"""),51.87)</f>
        <v>51.87</v>
      </c>
      <c r="F969" s="1">
        <f ca="1">IFERROR(__xludf.DUMMYFUNCTION("""COMPUTED_VALUE"""),91328654)</f>
        <v>91328654</v>
      </c>
    </row>
    <row r="970" spans="1:6" x14ac:dyDescent="0.35">
      <c r="A970" s="2">
        <f ca="1">IFERROR(__xludf.DUMMYFUNCTION("""COMPUTED_VALUE"""),43409.6666666666)</f>
        <v>43409.666666666599</v>
      </c>
      <c r="B970" s="1">
        <f ca="1">IFERROR(__xludf.DUMMYFUNCTION("""COMPUTED_VALUE"""),51.08)</f>
        <v>51.08</v>
      </c>
      <c r="C970" s="1">
        <f ca="1">IFERROR(__xludf.DUMMYFUNCTION("""COMPUTED_VALUE"""),51.1)</f>
        <v>51.1</v>
      </c>
      <c r="D970" s="1">
        <f ca="1">IFERROR(__xludf.DUMMYFUNCTION("""COMPUTED_VALUE"""),49.54)</f>
        <v>49.54</v>
      </c>
      <c r="E970" s="1">
        <f ca="1">IFERROR(__xludf.DUMMYFUNCTION("""COMPUTED_VALUE"""),50.4)</f>
        <v>50.4</v>
      </c>
      <c r="F970" s="1">
        <f ca="1">IFERROR(__xludf.DUMMYFUNCTION("""COMPUTED_VALUE"""),66163669)</f>
        <v>66163669</v>
      </c>
    </row>
    <row r="971" spans="1:6" x14ac:dyDescent="0.35">
      <c r="A971" s="2">
        <f ca="1">IFERROR(__xludf.DUMMYFUNCTION("""COMPUTED_VALUE"""),43410.6666666666)</f>
        <v>43410.666666666599</v>
      </c>
      <c r="B971" s="1">
        <f ca="1">IFERROR(__xludf.DUMMYFUNCTION("""COMPUTED_VALUE"""),50.48)</f>
        <v>50.48</v>
      </c>
      <c r="C971" s="1">
        <f ca="1">IFERROR(__xludf.DUMMYFUNCTION("""COMPUTED_VALUE"""),51.18)</f>
        <v>51.18</v>
      </c>
      <c r="D971" s="1">
        <f ca="1">IFERROR(__xludf.DUMMYFUNCTION("""COMPUTED_VALUE"""),50.42)</f>
        <v>50.42</v>
      </c>
      <c r="E971" s="1">
        <f ca="1">IFERROR(__xludf.DUMMYFUNCTION("""COMPUTED_VALUE"""),50.94)</f>
        <v>50.94</v>
      </c>
      <c r="F971" s="1">
        <f ca="1">IFERROR(__xludf.DUMMYFUNCTION("""COMPUTED_VALUE"""),31882881)</f>
        <v>31882881</v>
      </c>
    </row>
    <row r="972" spans="1:6" x14ac:dyDescent="0.35">
      <c r="A972" s="2">
        <f ca="1">IFERROR(__xludf.DUMMYFUNCTION("""COMPUTED_VALUE"""),43411.6666666666)</f>
        <v>43411.666666666599</v>
      </c>
      <c r="B972" s="1">
        <f ca="1">IFERROR(__xludf.DUMMYFUNCTION("""COMPUTED_VALUE"""),51.49)</f>
        <v>51.49</v>
      </c>
      <c r="C972" s="1">
        <f ca="1">IFERROR(__xludf.DUMMYFUNCTION("""COMPUTED_VALUE"""),52.52)</f>
        <v>52.52</v>
      </c>
      <c r="D972" s="1">
        <f ca="1">IFERROR(__xludf.DUMMYFUNCTION("""COMPUTED_VALUE"""),51.03)</f>
        <v>51.03</v>
      </c>
      <c r="E972" s="1">
        <f ca="1">IFERROR(__xludf.DUMMYFUNCTION("""COMPUTED_VALUE"""),52.49)</f>
        <v>52.49</v>
      </c>
      <c r="F972" s="1">
        <f ca="1">IFERROR(__xludf.DUMMYFUNCTION("""COMPUTED_VALUE"""),33424434)</f>
        <v>33424434</v>
      </c>
    </row>
    <row r="973" spans="1:6" x14ac:dyDescent="0.35">
      <c r="A973" s="2">
        <f ca="1">IFERROR(__xludf.DUMMYFUNCTION("""COMPUTED_VALUE"""),43412.6666666666)</f>
        <v>43412.666666666599</v>
      </c>
      <c r="B973" s="1">
        <f ca="1">IFERROR(__xludf.DUMMYFUNCTION("""COMPUTED_VALUE"""),52.5)</f>
        <v>52.5</v>
      </c>
      <c r="C973" s="1">
        <f ca="1">IFERROR(__xludf.DUMMYFUNCTION("""COMPUTED_VALUE"""),52.53)</f>
        <v>52.53</v>
      </c>
      <c r="D973" s="1">
        <f ca="1">IFERROR(__xludf.DUMMYFUNCTION("""COMPUTED_VALUE"""),51.69)</f>
        <v>51.69</v>
      </c>
      <c r="E973" s="1">
        <f ca="1">IFERROR(__xludf.DUMMYFUNCTION("""COMPUTED_VALUE"""),52.12)</f>
        <v>52.12</v>
      </c>
      <c r="F973" s="1">
        <f ca="1">IFERROR(__xludf.DUMMYFUNCTION("""COMPUTED_VALUE"""),25362636)</f>
        <v>25362636</v>
      </c>
    </row>
    <row r="974" spans="1:6" x14ac:dyDescent="0.35">
      <c r="A974" s="2">
        <f ca="1">IFERROR(__xludf.DUMMYFUNCTION("""COMPUTED_VALUE"""),43413.6666666666)</f>
        <v>43413.666666666599</v>
      </c>
      <c r="B974" s="1">
        <f ca="1">IFERROR(__xludf.DUMMYFUNCTION("""COMPUTED_VALUE"""),51.39)</f>
        <v>51.39</v>
      </c>
      <c r="C974" s="1">
        <f ca="1">IFERROR(__xludf.DUMMYFUNCTION("""COMPUTED_VALUE"""),51.5)</f>
        <v>51.5</v>
      </c>
      <c r="D974" s="1">
        <f ca="1">IFERROR(__xludf.DUMMYFUNCTION("""COMPUTED_VALUE"""),50.56)</f>
        <v>50.56</v>
      </c>
      <c r="E974" s="1">
        <f ca="1">IFERROR(__xludf.DUMMYFUNCTION("""COMPUTED_VALUE"""),51.12)</f>
        <v>51.12</v>
      </c>
      <c r="F974" s="1">
        <f ca="1">IFERROR(__xludf.DUMMYFUNCTION("""COMPUTED_VALUE"""),34365750)</f>
        <v>34365750</v>
      </c>
    </row>
    <row r="975" spans="1:6" x14ac:dyDescent="0.35">
      <c r="A975" s="2">
        <f ca="1">IFERROR(__xludf.DUMMYFUNCTION("""COMPUTED_VALUE"""),43416.6666666666)</f>
        <v>43416.666666666599</v>
      </c>
      <c r="B975" s="1">
        <f ca="1">IFERROR(__xludf.DUMMYFUNCTION("""COMPUTED_VALUE"""),49.75)</f>
        <v>49.75</v>
      </c>
      <c r="C975" s="1">
        <f ca="1">IFERROR(__xludf.DUMMYFUNCTION("""COMPUTED_VALUE"""),49.96)</f>
        <v>49.96</v>
      </c>
      <c r="D975" s="1">
        <f ca="1">IFERROR(__xludf.DUMMYFUNCTION("""COMPUTED_VALUE"""),48.45)</f>
        <v>48.45</v>
      </c>
      <c r="E975" s="1">
        <f ca="1">IFERROR(__xludf.DUMMYFUNCTION("""COMPUTED_VALUE"""),48.54)</f>
        <v>48.54</v>
      </c>
      <c r="F975" s="1">
        <f ca="1">IFERROR(__xludf.DUMMYFUNCTION("""COMPUTED_VALUE"""),51135518)</f>
        <v>51135518</v>
      </c>
    </row>
    <row r="976" spans="1:6" x14ac:dyDescent="0.35">
      <c r="A976" s="2">
        <f ca="1">IFERROR(__xludf.DUMMYFUNCTION("""COMPUTED_VALUE"""),43417.6666666666)</f>
        <v>43417.666666666599</v>
      </c>
      <c r="B976" s="1">
        <f ca="1">IFERROR(__xludf.DUMMYFUNCTION("""COMPUTED_VALUE"""),47.91)</f>
        <v>47.91</v>
      </c>
      <c r="C976" s="1">
        <f ca="1">IFERROR(__xludf.DUMMYFUNCTION("""COMPUTED_VALUE"""),49.3)</f>
        <v>49.3</v>
      </c>
      <c r="D976" s="1">
        <f ca="1">IFERROR(__xludf.DUMMYFUNCTION("""COMPUTED_VALUE"""),47.86)</f>
        <v>47.86</v>
      </c>
      <c r="E976" s="1">
        <f ca="1">IFERROR(__xludf.DUMMYFUNCTION("""COMPUTED_VALUE"""),48.06)</f>
        <v>48.06</v>
      </c>
      <c r="F976" s="1">
        <f ca="1">IFERROR(__xludf.DUMMYFUNCTION("""COMPUTED_VALUE"""),46882936)</f>
        <v>46882936</v>
      </c>
    </row>
    <row r="977" spans="1:6" x14ac:dyDescent="0.35">
      <c r="A977" s="2">
        <f ca="1">IFERROR(__xludf.DUMMYFUNCTION("""COMPUTED_VALUE"""),43418.6666666666)</f>
        <v>43418.666666666599</v>
      </c>
      <c r="B977" s="1">
        <f ca="1">IFERROR(__xludf.DUMMYFUNCTION("""COMPUTED_VALUE"""),48.48)</f>
        <v>48.48</v>
      </c>
      <c r="C977" s="1">
        <f ca="1">IFERROR(__xludf.DUMMYFUNCTION("""COMPUTED_VALUE"""),48.62)</f>
        <v>48.62</v>
      </c>
      <c r="D977" s="1">
        <f ca="1">IFERROR(__xludf.DUMMYFUNCTION("""COMPUTED_VALUE"""),46.48)</f>
        <v>46.48</v>
      </c>
      <c r="E977" s="1">
        <f ca="1">IFERROR(__xludf.DUMMYFUNCTION("""COMPUTED_VALUE"""),46.7)</f>
        <v>46.7</v>
      </c>
      <c r="F977" s="1">
        <f ca="1">IFERROR(__xludf.DUMMYFUNCTION("""COMPUTED_VALUE"""),60800957)</f>
        <v>60800957</v>
      </c>
    </row>
    <row r="978" spans="1:6" x14ac:dyDescent="0.35">
      <c r="A978" s="2">
        <f ca="1">IFERROR(__xludf.DUMMYFUNCTION("""COMPUTED_VALUE"""),43419.6666666666)</f>
        <v>43419.666666666599</v>
      </c>
      <c r="B978" s="1">
        <f ca="1">IFERROR(__xludf.DUMMYFUNCTION("""COMPUTED_VALUE"""),47.1)</f>
        <v>47.1</v>
      </c>
      <c r="C978" s="1">
        <f ca="1">IFERROR(__xludf.DUMMYFUNCTION("""COMPUTED_VALUE"""),47.99)</f>
        <v>47.99</v>
      </c>
      <c r="D978" s="1">
        <f ca="1">IFERROR(__xludf.DUMMYFUNCTION("""COMPUTED_VALUE"""),46.73)</f>
        <v>46.73</v>
      </c>
      <c r="E978" s="1">
        <f ca="1">IFERROR(__xludf.DUMMYFUNCTION("""COMPUTED_VALUE"""),47.85)</f>
        <v>47.85</v>
      </c>
      <c r="F978" s="1">
        <f ca="1">IFERROR(__xludf.DUMMYFUNCTION("""COMPUTED_VALUE"""),46478801)</f>
        <v>46478801</v>
      </c>
    </row>
    <row r="979" spans="1:6" x14ac:dyDescent="0.35">
      <c r="A979" s="2">
        <f ca="1">IFERROR(__xludf.DUMMYFUNCTION("""COMPUTED_VALUE"""),43420.6666666666)</f>
        <v>43420.666666666599</v>
      </c>
      <c r="B979" s="1">
        <f ca="1">IFERROR(__xludf.DUMMYFUNCTION("""COMPUTED_VALUE"""),47.63)</f>
        <v>47.63</v>
      </c>
      <c r="C979" s="1">
        <f ca="1">IFERROR(__xludf.DUMMYFUNCTION("""COMPUTED_VALUE"""),48.74)</f>
        <v>48.74</v>
      </c>
      <c r="D979" s="1">
        <f ca="1">IFERROR(__xludf.DUMMYFUNCTION("""COMPUTED_VALUE"""),47.37)</f>
        <v>47.37</v>
      </c>
      <c r="E979" s="1">
        <f ca="1">IFERROR(__xludf.DUMMYFUNCTION("""COMPUTED_VALUE"""),48.38)</f>
        <v>48.38</v>
      </c>
      <c r="F979" s="1">
        <f ca="1">IFERROR(__xludf.DUMMYFUNCTION("""COMPUTED_VALUE"""),36928253)</f>
        <v>36928253</v>
      </c>
    </row>
    <row r="980" spans="1:6" x14ac:dyDescent="0.35">
      <c r="A980" s="2">
        <f ca="1">IFERROR(__xludf.DUMMYFUNCTION("""COMPUTED_VALUE"""),43423.6666666666)</f>
        <v>43423.666666666599</v>
      </c>
      <c r="B980" s="1">
        <f ca="1">IFERROR(__xludf.DUMMYFUNCTION("""COMPUTED_VALUE"""),47.5)</f>
        <v>47.5</v>
      </c>
      <c r="C980" s="1">
        <f ca="1">IFERROR(__xludf.DUMMYFUNCTION("""COMPUTED_VALUE"""),47.68)</f>
        <v>47.68</v>
      </c>
      <c r="D980" s="1">
        <f ca="1">IFERROR(__xludf.DUMMYFUNCTION("""COMPUTED_VALUE"""),46.25)</f>
        <v>46.25</v>
      </c>
      <c r="E980" s="1">
        <f ca="1">IFERROR(__xludf.DUMMYFUNCTION("""COMPUTED_VALUE"""),46.47)</f>
        <v>46.47</v>
      </c>
      <c r="F980" s="1">
        <f ca="1">IFERROR(__xludf.DUMMYFUNCTION("""COMPUTED_VALUE"""),41920872)</f>
        <v>41920872</v>
      </c>
    </row>
    <row r="981" spans="1:6" x14ac:dyDescent="0.35">
      <c r="A981" s="2">
        <f ca="1">IFERROR(__xludf.DUMMYFUNCTION("""COMPUTED_VALUE"""),43424.6666666666)</f>
        <v>43424.666666666599</v>
      </c>
      <c r="B981" s="1">
        <f ca="1">IFERROR(__xludf.DUMMYFUNCTION("""COMPUTED_VALUE"""),44.59)</f>
        <v>44.59</v>
      </c>
      <c r="C981" s="1">
        <f ca="1">IFERROR(__xludf.DUMMYFUNCTION("""COMPUTED_VALUE"""),45.37)</f>
        <v>45.37</v>
      </c>
      <c r="D981" s="1">
        <f ca="1">IFERROR(__xludf.DUMMYFUNCTION("""COMPUTED_VALUE"""),43.88)</f>
        <v>43.88</v>
      </c>
      <c r="E981" s="1">
        <f ca="1">IFERROR(__xludf.DUMMYFUNCTION("""COMPUTED_VALUE"""),44.25)</f>
        <v>44.25</v>
      </c>
      <c r="F981" s="1">
        <f ca="1">IFERROR(__xludf.DUMMYFUNCTION("""COMPUTED_VALUE"""),67825247)</f>
        <v>67825247</v>
      </c>
    </row>
    <row r="982" spans="1:6" x14ac:dyDescent="0.35">
      <c r="A982" s="2">
        <f ca="1">IFERROR(__xludf.DUMMYFUNCTION("""COMPUTED_VALUE"""),43425.6666666666)</f>
        <v>43425.666666666599</v>
      </c>
      <c r="B982" s="1">
        <f ca="1">IFERROR(__xludf.DUMMYFUNCTION("""COMPUTED_VALUE"""),44.93)</f>
        <v>44.93</v>
      </c>
      <c r="C982" s="1">
        <f ca="1">IFERROR(__xludf.DUMMYFUNCTION("""COMPUTED_VALUE"""),45.07)</f>
        <v>45.07</v>
      </c>
      <c r="D982" s="1">
        <f ca="1">IFERROR(__xludf.DUMMYFUNCTION("""COMPUTED_VALUE"""),44.14)</f>
        <v>44.14</v>
      </c>
      <c r="E982" s="1">
        <f ca="1">IFERROR(__xludf.DUMMYFUNCTION("""COMPUTED_VALUE"""),44.2)</f>
        <v>44.2</v>
      </c>
      <c r="F982" s="1">
        <f ca="1">IFERROR(__xludf.DUMMYFUNCTION("""COMPUTED_VALUE"""),31124210)</f>
        <v>31124210</v>
      </c>
    </row>
    <row r="983" spans="1:6" x14ac:dyDescent="0.35">
      <c r="A983" s="2">
        <f ca="1">IFERROR(__xludf.DUMMYFUNCTION("""COMPUTED_VALUE"""),43427.5416666666)</f>
        <v>43427.541666666599</v>
      </c>
      <c r="B983" s="1">
        <f ca="1">IFERROR(__xludf.DUMMYFUNCTION("""COMPUTED_VALUE"""),43.74)</f>
        <v>43.74</v>
      </c>
      <c r="C983" s="1">
        <f ca="1">IFERROR(__xludf.DUMMYFUNCTION("""COMPUTED_VALUE"""),44.15)</f>
        <v>44.15</v>
      </c>
      <c r="D983" s="1">
        <f ca="1">IFERROR(__xludf.DUMMYFUNCTION("""COMPUTED_VALUE"""),43.03)</f>
        <v>43.03</v>
      </c>
      <c r="E983" s="1">
        <f ca="1">IFERROR(__xludf.DUMMYFUNCTION("""COMPUTED_VALUE"""),43.07)</f>
        <v>43.07</v>
      </c>
      <c r="F983" s="1">
        <f ca="1">IFERROR(__xludf.DUMMYFUNCTION("""COMPUTED_VALUE"""),23623972)</f>
        <v>23623972</v>
      </c>
    </row>
    <row r="984" spans="1:6" x14ac:dyDescent="0.35">
      <c r="A984" s="2">
        <f ca="1">IFERROR(__xludf.DUMMYFUNCTION("""COMPUTED_VALUE"""),43430.6666666666)</f>
        <v>43430.666666666599</v>
      </c>
      <c r="B984" s="1">
        <f ca="1">IFERROR(__xludf.DUMMYFUNCTION("""COMPUTED_VALUE"""),43.56)</f>
        <v>43.56</v>
      </c>
      <c r="C984" s="1">
        <f ca="1">IFERROR(__xludf.DUMMYFUNCTION("""COMPUTED_VALUE"""),43.74)</f>
        <v>43.74</v>
      </c>
      <c r="D984" s="1">
        <f ca="1">IFERROR(__xludf.DUMMYFUNCTION("""COMPUTED_VALUE"""),42.57)</f>
        <v>42.57</v>
      </c>
      <c r="E984" s="1">
        <f ca="1">IFERROR(__xludf.DUMMYFUNCTION("""COMPUTED_VALUE"""),43.66)</f>
        <v>43.66</v>
      </c>
      <c r="F984" s="1">
        <f ca="1">IFERROR(__xludf.DUMMYFUNCTION("""COMPUTED_VALUE"""),44998520)</f>
        <v>44998520</v>
      </c>
    </row>
    <row r="985" spans="1:6" x14ac:dyDescent="0.35">
      <c r="A985" s="2">
        <f ca="1">IFERROR(__xludf.DUMMYFUNCTION("""COMPUTED_VALUE"""),43431.6666666666)</f>
        <v>43431.666666666599</v>
      </c>
      <c r="B985" s="1">
        <f ca="1">IFERROR(__xludf.DUMMYFUNCTION("""COMPUTED_VALUE"""),42.88)</f>
        <v>42.88</v>
      </c>
      <c r="C985" s="1">
        <f ca="1">IFERROR(__xludf.DUMMYFUNCTION("""COMPUTED_VALUE"""),43.69)</f>
        <v>43.69</v>
      </c>
      <c r="D985" s="1">
        <f ca="1">IFERROR(__xludf.DUMMYFUNCTION("""COMPUTED_VALUE"""),42.72)</f>
        <v>42.72</v>
      </c>
      <c r="E985" s="1">
        <f ca="1">IFERROR(__xludf.DUMMYFUNCTION("""COMPUTED_VALUE"""),43.56)</f>
        <v>43.56</v>
      </c>
      <c r="F985" s="1">
        <f ca="1">IFERROR(__xludf.DUMMYFUNCTION("""COMPUTED_VALUE"""),41387377)</f>
        <v>41387377</v>
      </c>
    </row>
    <row r="986" spans="1:6" x14ac:dyDescent="0.35">
      <c r="A986" s="2">
        <f ca="1">IFERROR(__xludf.DUMMYFUNCTION("""COMPUTED_VALUE"""),43432.6666666666)</f>
        <v>43432.666666666599</v>
      </c>
      <c r="B986" s="1">
        <f ca="1">IFERROR(__xludf.DUMMYFUNCTION("""COMPUTED_VALUE"""),44.18)</f>
        <v>44.18</v>
      </c>
      <c r="C986" s="1">
        <f ca="1">IFERROR(__xludf.DUMMYFUNCTION("""COMPUTED_VALUE"""),45.32)</f>
        <v>45.32</v>
      </c>
      <c r="D986" s="1">
        <f ca="1">IFERROR(__xludf.DUMMYFUNCTION("""COMPUTED_VALUE"""),43.73)</f>
        <v>43.73</v>
      </c>
      <c r="E986" s="1">
        <f ca="1">IFERROR(__xludf.DUMMYFUNCTION("""COMPUTED_VALUE"""),45.24)</f>
        <v>45.24</v>
      </c>
      <c r="F986" s="1">
        <f ca="1">IFERROR(__xludf.DUMMYFUNCTION("""COMPUTED_VALUE"""),46062539)</f>
        <v>46062539</v>
      </c>
    </row>
    <row r="987" spans="1:6" x14ac:dyDescent="0.35">
      <c r="A987" s="2">
        <f ca="1">IFERROR(__xludf.DUMMYFUNCTION("""COMPUTED_VALUE"""),43433.6666666666)</f>
        <v>43433.666666666599</v>
      </c>
      <c r="B987" s="1">
        <f ca="1">IFERROR(__xludf.DUMMYFUNCTION("""COMPUTED_VALUE"""),45.67)</f>
        <v>45.67</v>
      </c>
      <c r="C987" s="1">
        <f ca="1">IFERROR(__xludf.DUMMYFUNCTION("""COMPUTED_VALUE"""),45.7)</f>
        <v>45.7</v>
      </c>
      <c r="D987" s="1">
        <f ca="1">IFERROR(__xludf.DUMMYFUNCTION("""COMPUTED_VALUE"""),44.43)</f>
        <v>44.43</v>
      </c>
      <c r="E987" s="1">
        <f ca="1">IFERROR(__xludf.DUMMYFUNCTION("""COMPUTED_VALUE"""),44.89)</f>
        <v>44.89</v>
      </c>
      <c r="F987" s="1">
        <f ca="1">IFERROR(__xludf.DUMMYFUNCTION("""COMPUTED_VALUE"""),41769992)</f>
        <v>41769992</v>
      </c>
    </row>
    <row r="988" spans="1:6" x14ac:dyDescent="0.35">
      <c r="A988" s="2">
        <f ca="1">IFERROR(__xludf.DUMMYFUNCTION("""COMPUTED_VALUE"""),43434.6666666666)</f>
        <v>43434.666666666599</v>
      </c>
      <c r="B988" s="1">
        <f ca="1">IFERROR(__xludf.DUMMYFUNCTION("""COMPUTED_VALUE"""),45.07)</f>
        <v>45.07</v>
      </c>
      <c r="C988" s="1">
        <f ca="1">IFERROR(__xludf.DUMMYFUNCTION("""COMPUTED_VALUE"""),45.08)</f>
        <v>45.08</v>
      </c>
      <c r="D988" s="1">
        <f ca="1">IFERROR(__xludf.DUMMYFUNCTION("""COMPUTED_VALUE"""),44.26)</f>
        <v>44.26</v>
      </c>
      <c r="E988" s="1">
        <f ca="1">IFERROR(__xludf.DUMMYFUNCTION("""COMPUTED_VALUE"""),44.65)</f>
        <v>44.65</v>
      </c>
      <c r="F988" s="1">
        <f ca="1">IFERROR(__xludf.DUMMYFUNCTION("""COMPUTED_VALUE"""),39531549)</f>
        <v>39531549</v>
      </c>
    </row>
    <row r="989" spans="1:6" x14ac:dyDescent="0.35">
      <c r="A989" s="2">
        <f ca="1">IFERROR(__xludf.DUMMYFUNCTION("""COMPUTED_VALUE"""),43437.6666666666)</f>
        <v>43437.666666666599</v>
      </c>
      <c r="B989" s="1">
        <f ca="1">IFERROR(__xludf.DUMMYFUNCTION("""COMPUTED_VALUE"""),46.12)</f>
        <v>46.12</v>
      </c>
      <c r="C989" s="1">
        <f ca="1">IFERROR(__xludf.DUMMYFUNCTION("""COMPUTED_VALUE"""),46.24)</f>
        <v>46.24</v>
      </c>
      <c r="D989" s="1">
        <f ca="1">IFERROR(__xludf.DUMMYFUNCTION("""COMPUTED_VALUE"""),45.3)</f>
        <v>45.3</v>
      </c>
      <c r="E989" s="1">
        <f ca="1">IFERROR(__xludf.DUMMYFUNCTION("""COMPUTED_VALUE"""),46.21)</f>
        <v>46.21</v>
      </c>
      <c r="F989" s="1">
        <f ca="1">IFERROR(__xludf.DUMMYFUNCTION("""COMPUTED_VALUE"""),40798002)</f>
        <v>40798002</v>
      </c>
    </row>
    <row r="990" spans="1:6" x14ac:dyDescent="0.35">
      <c r="A990" s="2">
        <f ca="1">IFERROR(__xludf.DUMMYFUNCTION("""COMPUTED_VALUE"""),43438.6666666666)</f>
        <v>43438.666666666599</v>
      </c>
      <c r="B990" s="1">
        <f ca="1">IFERROR(__xludf.DUMMYFUNCTION("""COMPUTED_VALUE"""),45.24)</f>
        <v>45.24</v>
      </c>
      <c r="C990" s="1">
        <f ca="1">IFERROR(__xludf.DUMMYFUNCTION("""COMPUTED_VALUE"""),45.6)</f>
        <v>45.6</v>
      </c>
      <c r="D990" s="1">
        <f ca="1">IFERROR(__xludf.DUMMYFUNCTION("""COMPUTED_VALUE"""),44.07)</f>
        <v>44.07</v>
      </c>
      <c r="E990" s="1">
        <f ca="1">IFERROR(__xludf.DUMMYFUNCTION("""COMPUTED_VALUE"""),44.17)</f>
        <v>44.17</v>
      </c>
      <c r="F990" s="1">
        <f ca="1">IFERROR(__xludf.DUMMYFUNCTION("""COMPUTED_VALUE"""),41344282)</f>
        <v>41344282</v>
      </c>
    </row>
    <row r="991" spans="1:6" x14ac:dyDescent="0.35">
      <c r="A991" s="2">
        <f ca="1">IFERROR(__xludf.DUMMYFUNCTION("""COMPUTED_VALUE"""),43440.6666666666)</f>
        <v>43440.666666666599</v>
      </c>
      <c r="B991" s="1">
        <f ca="1">IFERROR(__xludf.DUMMYFUNCTION("""COMPUTED_VALUE"""),42.94)</f>
        <v>42.94</v>
      </c>
      <c r="C991" s="1">
        <f ca="1">IFERROR(__xludf.DUMMYFUNCTION("""COMPUTED_VALUE"""),43.7)</f>
        <v>43.7</v>
      </c>
      <c r="D991" s="1">
        <f ca="1">IFERROR(__xludf.DUMMYFUNCTION("""COMPUTED_VALUE"""),42.61)</f>
        <v>42.61</v>
      </c>
      <c r="E991" s="1">
        <f ca="1">IFERROR(__xludf.DUMMYFUNCTION("""COMPUTED_VALUE"""),43.68)</f>
        <v>43.68</v>
      </c>
      <c r="F991" s="1">
        <f ca="1">IFERROR(__xludf.DUMMYFUNCTION("""COMPUTED_VALUE"""),43098410)</f>
        <v>43098410</v>
      </c>
    </row>
    <row r="992" spans="1:6" x14ac:dyDescent="0.35">
      <c r="A992" s="2">
        <f ca="1">IFERROR(__xludf.DUMMYFUNCTION("""COMPUTED_VALUE"""),43441.6666666666)</f>
        <v>43441.666666666599</v>
      </c>
      <c r="B992" s="1">
        <f ca="1">IFERROR(__xludf.DUMMYFUNCTION("""COMPUTED_VALUE"""),43.37)</f>
        <v>43.37</v>
      </c>
      <c r="C992" s="1">
        <f ca="1">IFERROR(__xludf.DUMMYFUNCTION("""COMPUTED_VALUE"""),43.62)</f>
        <v>43.62</v>
      </c>
      <c r="D992" s="1">
        <f ca="1">IFERROR(__xludf.DUMMYFUNCTION("""COMPUTED_VALUE"""),42.08)</f>
        <v>42.08</v>
      </c>
      <c r="E992" s="1">
        <f ca="1">IFERROR(__xludf.DUMMYFUNCTION("""COMPUTED_VALUE"""),42.12)</f>
        <v>42.12</v>
      </c>
      <c r="F992" s="1">
        <f ca="1">IFERROR(__xludf.DUMMYFUNCTION("""COMPUTED_VALUE"""),42281631)</f>
        <v>42281631</v>
      </c>
    </row>
    <row r="993" spans="1:6" x14ac:dyDescent="0.35">
      <c r="A993" s="2">
        <f ca="1">IFERROR(__xludf.DUMMYFUNCTION("""COMPUTED_VALUE"""),43444.6666666666)</f>
        <v>43444.666666666599</v>
      </c>
      <c r="B993" s="1">
        <f ca="1">IFERROR(__xludf.DUMMYFUNCTION("""COMPUTED_VALUE"""),41.25)</f>
        <v>41.25</v>
      </c>
      <c r="C993" s="1">
        <f ca="1">IFERROR(__xludf.DUMMYFUNCTION("""COMPUTED_VALUE"""),42.52)</f>
        <v>42.52</v>
      </c>
      <c r="D993" s="1">
        <f ca="1">IFERROR(__xludf.DUMMYFUNCTION("""COMPUTED_VALUE"""),40.83)</f>
        <v>40.83</v>
      </c>
      <c r="E993" s="1">
        <f ca="1">IFERROR(__xludf.DUMMYFUNCTION("""COMPUTED_VALUE"""),42.4)</f>
        <v>42.4</v>
      </c>
      <c r="F993" s="1">
        <f ca="1">IFERROR(__xludf.DUMMYFUNCTION("""COMPUTED_VALUE"""),62025994)</f>
        <v>62025994</v>
      </c>
    </row>
    <row r="994" spans="1:6" x14ac:dyDescent="0.35">
      <c r="A994" s="2">
        <f ca="1">IFERROR(__xludf.DUMMYFUNCTION("""COMPUTED_VALUE"""),43445.6666666666)</f>
        <v>43445.666666666599</v>
      </c>
      <c r="B994" s="1">
        <f ca="1">IFERROR(__xludf.DUMMYFUNCTION("""COMPUTED_VALUE"""),42.92)</f>
        <v>42.92</v>
      </c>
      <c r="C994" s="1">
        <f ca="1">IFERROR(__xludf.DUMMYFUNCTION("""COMPUTED_VALUE"""),42.95)</f>
        <v>42.95</v>
      </c>
      <c r="D994" s="1">
        <f ca="1">IFERROR(__xludf.DUMMYFUNCTION("""COMPUTED_VALUE"""),41.75)</f>
        <v>41.75</v>
      </c>
      <c r="E994" s="1">
        <f ca="1">IFERROR(__xludf.DUMMYFUNCTION("""COMPUTED_VALUE"""),42.16)</f>
        <v>42.16</v>
      </c>
      <c r="F994" s="1">
        <f ca="1">IFERROR(__xludf.DUMMYFUNCTION("""COMPUTED_VALUE"""),47281665)</f>
        <v>47281665</v>
      </c>
    </row>
    <row r="995" spans="1:6" x14ac:dyDescent="0.35">
      <c r="A995" s="2">
        <f ca="1">IFERROR(__xludf.DUMMYFUNCTION("""COMPUTED_VALUE"""),43446.6666666666)</f>
        <v>43446.666666666599</v>
      </c>
      <c r="B995" s="1">
        <f ca="1">IFERROR(__xludf.DUMMYFUNCTION("""COMPUTED_VALUE"""),42.6)</f>
        <v>42.6</v>
      </c>
      <c r="C995" s="1">
        <f ca="1">IFERROR(__xludf.DUMMYFUNCTION("""COMPUTED_VALUE"""),42.98)</f>
        <v>42.98</v>
      </c>
      <c r="D995" s="1">
        <f ca="1">IFERROR(__xludf.DUMMYFUNCTION("""COMPUTED_VALUE"""),42.26)</f>
        <v>42.26</v>
      </c>
      <c r="E995" s="1">
        <f ca="1">IFERROR(__xludf.DUMMYFUNCTION("""COMPUTED_VALUE"""),42.28)</f>
        <v>42.28</v>
      </c>
      <c r="F995" s="1">
        <f ca="1">IFERROR(__xludf.DUMMYFUNCTION("""COMPUTED_VALUE"""),35627674)</f>
        <v>35627674</v>
      </c>
    </row>
    <row r="996" spans="1:6" x14ac:dyDescent="0.35">
      <c r="A996" s="2">
        <f ca="1">IFERROR(__xludf.DUMMYFUNCTION("""COMPUTED_VALUE"""),43447.6666666666)</f>
        <v>43447.666666666599</v>
      </c>
      <c r="B996" s="1">
        <f ca="1">IFERROR(__xludf.DUMMYFUNCTION("""COMPUTED_VALUE"""),42.62)</f>
        <v>42.62</v>
      </c>
      <c r="C996" s="1">
        <f ca="1">IFERROR(__xludf.DUMMYFUNCTION("""COMPUTED_VALUE"""),43.14)</f>
        <v>43.14</v>
      </c>
      <c r="D996" s="1">
        <f ca="1">IFERROR(__xludf.DUMMYFUNCTION("""COMPUTED_VALUE"""),42.39)</f>
        <v>42.39</v>
      </c>
      <c r="E996" s="1">
        <f ca="1">IFERROR(__xludf.DUMMYFUNCTION("""COMPUTED_VALUE"""),42.74)</f>
        <v>42.74</v>
      </c>
      <c r="F996" s="1">
        <f ca="1">IFERROR(__xludf.DUMMYFUNCTION("""COMPUTED_VALUE"""),31897827)</f>
        <v>31897827</v>
      </c>
    </row>
    <row r="997" spans="1:6" x14ac:dyDescent="0.35">
      <c r="A997" s="2">
        <f ca="1">IFERROR(__xludf.DUMMYFUNCTION("""COMPUTED_VALUE"""),43448.6666666666)</f>
        <v>43448.666666666599</v>
      </c>
      <c r="B997" s="1">
        <f ca="1">IFERROR(__xludf.DUMMYFUNCTION("""COMPUTED_VALUE"""),42.25)</f>
        <v>42.25</v>
      </c>
      <c r="C997" s="1">
        <f ca="1">IFERROR(__xludf.DUMMYFUNCTION("""COMPUTED_VALUE"""),42.27)</f>
        <v>42.27</v>
      </c>
      <c r="D997" s="1">
        <f ca="1">IFERROR(__xludf.DUMMYFUNCTION("""COMPUTED_VALUE"""),41.32)</f>
        <v>41.32</v>
      </c>
      <c r="E997" s="1">
        <f ca="1">IFERROR(__xludf.DUMMYFUNCTION("""COMPUTED_VALUE"""),41.37)</f>
        <v>41.37</v>
      </c>
      <c r="F997" s="1">
        <f ca="1">IFERROR(__xludf.DUMMYFUNCTION("""COMPUTED_VALUE"""),40703710)</f>
        <v>40703710</v>
      </c>
    </row>
    <row r="998" spans="1:6" x14ac:dyDescent="0.35">
      <c r="A998" s="2">
        <f ca="1">IFERROR(__xludf.DUMMYFUNCTION("""COMPUTED_VALUE"""),43451.6666666666)</f>
        <v>43451.666666666599</v>
      </c>
      <c r="B998" s="1">
        <f ca="1">IFERROR(__xludf.DUMMYFUNCTION("""COMPUTED_VALUE"""),41.36)</f>
        <v>41.36</v>
      </c>
      <c r="C998" s="1">
        <f ca="1">IFERROR(__xludf.DUMMYFUNCTION("""COMPUTED_VALUE"""),42.09)</f>
        <v>42.09</v>
      </c>
      <c r="D998" s="1">
        <f ca="1">IFERROR(__xludf.DUMMYFUNCTION("""COMPUTED_VALUE"""),40.68)</f>
        <v>40.68</v>
      </c>
      <c r="E998" s="1">
        <f ca="1">IFERROR(__xludf.DUMMYFUNCTION("""COMPUTED_VALUE"""),40.99)</f>
        <v>40.99</v>
      </c>
      <c r="F998" s="1">
        <f ca="1">IFERROR(__xludf.DUMMYFUNCTION("""COMPUTED_VALUE"""),44287922)</f>
        <v>44287922</v>
      </c>
    </row>
    <row r="999" spans="1:6" x14ac:dyDescent="0.35">
      <c r="A999" s="2">
        <f ca="1">IFERROR(__xludf.DUMMYFUNCTION("""COMPUTED_VALUE"""),43452.6666666666)</f>
        <v>43452.666666666599</v>
      </c>
      <c r="B999" s="1">
        <f ca="1">IFERROR(__xludf.DUMMYFUNCTION("""COMPUTED_VALUE"""),41.35)</f>
        <v>41.35</v>
      </c>
      <c r="C999" s="1">
        <f ca="1">IFERROR(__xludf.DUMMYFUNCTION("""COMPUTED_VALUE"""),41.88)</f>
        <v>41.88</v>
      </c>
      <c r="D999" s="1">
        <f ca="1">IFERROR(__xludf.DUMMYFUNCTION("""COMPUTED_VALUE"""),41.1)</f>
        <v>41.1</v>
      </c>
      <c r="E999" s="1">
        <f ca="1">IFERROR(__xludf.DUMMYFUNCTION("""COMPUTED_VALUE"""),41.52)</f>
        <v>41.52</v>
      </c>
      <c r="F999" s="1">
        <f ca="1">IFERROR(__xludf.DUMMYFUNCTION("""COMPUTED_VALUE"""),33841518)</f>
        <v>33841518</v>
      </c>
    </row>
    <row r="1000" spans="1:6" x14ac:dyDescent="0.35">
      <c r="A1000" s="2">
        <f ca="1">IFERROR(__xludf.DUMMYFUNCTION("""COMPUTED_VALUE"""),43453.6666666666)</f>
        <v>43453.666666666599</v>
      </c>
      <c r="B1000" s="1">
        <f ca="1">IFERROR(__xludf.DUMMYFUNCTION("""COMPUTED_VALUE"""),41.5)</f>
        <v>41.5</v>
      </c>
      <c r="C1000" s="1">
        <f ca="1">IFERROR(__xludf.DUMMYFUNCTION("""COMPUTED_VALUE"""),41.86)</f>
        <v>41.86</v>
      </c>
      <c r="D1000" s="1">
        <f ca="1">IFERROR(__xludf.DUMMYFUNCTION("""COMPUTED_VALUE"""),39.77)</f>
        <v>39.770000000000003</v>
      </c>
      <c r="E1000" s="1">
        <f ca="1">IFERROR(__xludf.DUMMYFUNCTION("""COMPUTED_VALUE"""),40.22)</f>
        <v>40.22</v>
      </c>
      <c r="F1000" s="1">
        <f ca="1">IFERROR(__xludf.DUMMYFUNCTION("""COMPUTED_VALUE"""),49047297)</f>
        <v>49047297</v>
      </c>
    </row>
    <row r="1001" spans="1:6" x14ac:dyDescent="0.35">
      <c r="A1001" s="2">
        <f ca="1">IFERROR(__xludf.DUMMYFUNCTION("""COMPUTED_VALUE"""),43454.6666666666)</f>
        <v>43454.666666666599</v>
      </c>
      <c r="B1001" s="1">
        <f ca="1">IFERROR(__xludf.DUMMYFUNCTION("""COMPUTED_VALUE"""),40.1)</f>
        <v>40.1</v>
      </c>
      <c r="C1001" s="1">
        <f ca="1">IFERROR(__xludf.DUMMYFUNCTION("""COMPUTED_VALUE"""),40.53)</f>
        <v>40.53</v>
      </c>
      <c r="D1001" s="1">
        <f ca="1">IFERROR(__xludf.DUMMYFUNCTION("""COMPUTED_VALUE"""),38.83)</f>
        <v>38.83</v>
      </c>
      <c r="E1001" s="1">
        <f ca="1">IFERROR(__xludf.DUMMYFUNCTION("""COMPUTED_VALUE"""),39.21)</f>
        <v>39.21</v>
      </c>
      <c r="F1001" s="1">
        <f ca="1">IFERROR(__xludf.DUMMYFUNCTION("""COMPUTED_VALUE"""),64772960)</f>
        <v>64772960</v>
      </c>
    </row>
    <row r="1002" spans="1:6" x14ac:dyDescent="0.35">
      <c r="A1002" s="2">
        <f ca="1">IFERROR(__xludf.DUMMYFUNCTION("""COMPUTED_VALUE"""),43455.6666666666)</f>
        <v>43455.666666666599</v>
      </c>
      <c r="B1002" s="1">
        <f ca="1">IFERROR(__xludf.DUMMYFUNCTION("""COMPUTED_VALUE"""),39.22)</f>
        <v>39.22</v>
      </c>
      <c r="C1002" s="1">
        <f ca="1">IFERROR(__xludf.DUMMYFUNCTION("""COMPUTED_VALUE"""),39.54)</f>
        <v>39.54</v>
      </c>
      <c r="D1002" s="1">
        <f ca="1">IFERROR(__xludf.DUMMYFUNCTION("""COMPUTED_VALUE"""),37.41)</f>
        <v>37.409999999999997</v>
      </c>
      <c r="E1002" s="1">
        <f ca="1">IFERROR(__xludf.DUMMYFUNCTION("""COMPUTED_VALUE"""),37.68)</f>
        <v>37.68</v>
      </c>
      <c r="F1002" s="1">
        <f ca="1">IFERROR(__xludf.DUMMYFUNCTION("""COMPUTED_VALUE"""),95744384)</f>
        <v>95744384</v>
      </c>
    </row>
    <row r="1003" spans="1:6" x14ac:dyDescent="0.35">
      <c r="A1003" s="2">
        <f ca="1">IFERROR(__xludf.DUMMYFUNCTION("""COMPUTED_VALUE"""),43458.5416666666)</f>
        <v>43458.541666666599</v>
      </c>
      <c r="B1003" s="1">
        <f ca="1">IFERROR(__xludf.DUMMYFUNCTION("""COMPUTED_VALUE"""),37.04)</f>
        <v>37.04</v>
      </c>
      <c r="C1003" s="1">
        <f ca="1">IFERROR(__xludf.DUMMYFUNCTION("""COMPUTED_VALUE"""),37.89)</f>
        <v>37.89</v>
      </c>
      <c r="D1003" s="1">
        <f ca="1">IFERROR(__xludf.DUMMYFUNCTION("""COMPUTED_VALUE"""),36.65)</f>
        <v>36.65</v>
      </c>
      <c r="E1003" s="1">
        <f ca="1">IFERROR(__xludf.DUMMYFUNCTION("""COMPUTED_VALUE"""),36.71)</f>
        <v>36.71</v>
      </c>
      <c r="F1003" s="1">
        <f ca="1">IFERROR(__xludf.DUMMYFUNCTION("""COMPUTED_VALUE"""),37169232)</f>
        <v>37169232</v>
      </c>
    </row>
    <row r="1004" spans="1:6" x14ac:dyDescent="0.35">
      <c r="A1004" s="2">
        <f ca="1">IFERROR(__xludf.DUMMYFUNCTION("""COMPUTED_VALUE"""),43460.6666666666)</f>
        <v>43460.666666666599</v>
      </c>
      <c r="B1004" s="1">
        <f ca="1">IFERROR(__xludf.DUMMYFUNCTION("""COMPUTED_VALUE"""),37.08)</f>
        <v>37.08</v>
      </c>
      <c r="C1004" s="1">
        <f ca="1">IFERROR(__xludf.DUMMYFUNCTION("""COMPUTED_VALUE"""),39.31)</f>
        <v>39.31</v>
      </c>
      <c r="D1004" s="1">
        <f ca="1">IFERROR(__xludf.DUMMYFUNCTION("""COMPUTED_VALUE"""),36.68)</f>
        <v>36.68</v>
      </c>
      <c r="E1004" s="1">
        <f ca="1">IFERROR(__xludf.DUMMYFUNCTION("""COMPUTED_VALUE"""),39.29)</f>
        <v>39.29</v>
      </c>
      <c r="F1004" s="1">
        <f ca="1">IFERROR(__xludf.DUMMYFUNCTION("""COMPUTED_VALUE"""),58582544)</f>
        <v>58582544</v>
      </c>
    </row>
    <row r="1005" spans="1:6" x14ac:dyDescent="0.35">
      <c r="A1005" s="2">
        <f ca="1">IFERROR(__xludf.DUMMYFUNCTION("""COMPUTED_VALUE"""),43461.6666666666)</f>
        <v>43461.666666666599</v>
      </c>
      <c r="B1005" s="1">
        <f ca="1">IFERROR(__xludf.DUMMYFUNCTION("""COMPUTED_VALUE"""),38.96)</f>
        <v>38.96</v>
      </c>
      <c r="C1005" s="1">
        <f ca="1">IFERROR(__xludf.DUMMYFUNCTION("""COMPUTED_VALUE"""),39.19)</f>
        <v>39.19</v>
      </c>
      <c r="D1005" s="1">
        <f ca="1">IFERROR(__xludf.DUMMYFUNCTION("""COMPUTED_VALUE"""),37.52)</f>
        <v>37.520000000000003</v>
      </c>
      <c r="E1005" s="1">
        <f ca="1">IFERROR(__xludf.DUMMYFUNCTION("""COMPUTED_VALUE"""),39.04)</f>
        <v>39.04</v>
      </c>
      <c r="F1005" s="1">
        <f ca="1">IFERROR(__xludf.DUMMYFUNCTION("""COMPUTED_VALUE"""),53117065)</f>
        <v>53117065</v>
      </c>
    </row>
    <row r="1006" spans="1:6" x14ac:dyDescent="0.35">
      <c r="A1006" s="2">
        <f ca="1">IFERROR(__xludf.DUMMYFUNCTION("""COMPUTED_VALUE"""),43462.6666666666)</f>
        <v>43462.666666666599</v>
      </c>
      <c r="B1006" s="1">
        <f ca="1">IFERROR(__xludf.DUMMYFUNCTION("""COMPUTED_VALUE"""),39.38)</f>
        <v>39.380000000000003</v>
      </c>
      <c r="C1006" s="1">
        <f ca="1">IFERROR(__xludf.DUMMYFUNCTION("""COMPUTED_VALUE"""),39.63)</f>
        <v>39.630000000000003</v>
      </c>
      <c r="D1006" s="1">
        <f ca="1">IFERROR(__xludf.DUMMYFUNCTION("""COMPUTED_VALUE"""),38.64)</f>
        <v>38.64</v>
      </c>
      <c r="E1006" s="1">
        <f ca="1">IFERROR(__xludf.DUMMYFUNCTION("""COMPUTED_VALUE"""),39.06)</f>
        <v>39.06</v>
      </c>
      <c r="F1006" s="1">
        <f ca="1">IFERROR(__xludf.DUMMYFUNCTION("""COMPUTED_VALUE"""),42291424)</f>
        <v>42291424</v>
      </c>
    </row>
    <row r="1007" spans="1:6" x14ac:dyDescent="0.35">
      <c r="A1007" s="2">
        <f ca="1">IFERROR(__xludf.DUMMYFUNCTION("""COMPUTED_VALUE"""),43465.6666666666)</f>
        <v>43465.666666666599</v>
      </c>
      <c r="B1007" s="1">
        <f ca="1">IFERROR(__xludf.DUMMYFUNCTION("""COMPUTED_VALUE"""),39.63)</f>
        <v>39.630000000000003</v>
      </c>
      <c r="C1007" s="1">
        <f ca="1">IFERROR(__xludf.DUMMYFUNCTION("""COMPUTED_VALUE"""),39.84)</f>
        <v>39.840000000000003</v>
      </c>
      <c r="D1007" s="1">
        <f ca="1">IFERROR(__xludf.DUMMYFUNCTION("""COMPUTED_VALUE"""),39.12)</f>
        <v>39.119999999999997</v>
      </c>
      <c r="E1007" s="1">
        <f ca="1">IFERROR(__xludf.DUMMYFUNCTION("""COMPUTED_VALUE"""),39.44)</f>
        <v>39.44</v>
      </c>
      <c r="F1007" s="1">
        <f ca="1">IFERROR(__xludf.DUMMYFUNCTION("""COMPUTED_VALUE"""),35003466)</f>
        <v>35003466</v>
      </c>
    </row>
    <row r="1008" spans="1:6" x14ac:dyDescent="0.35">
      <c r="A1008" s="2">
        <f ca="1">IFERROR(__xludf.DUMMYFUNCTION("""COMPUTED_VALUE"""),43467.6666666666)</f>
        <v>43467.666666666599</v>
      </c>
      <c r="B1008" s="1">
        <f ca="1">IFERROR(__xludf.DUMMYFUNCTION("""COMPUTED_VALUE"""),38.72)</f>
        <v>38.72</v>
      </c>
      <c r="C1008" s="1">
        <f ca="1">IFERROR(__xludf.DUMMYFUNCTION("""COMPUTED_VALUE"""),39.71)</f>
        <v>39.71</v>
      </c>
      <c r="D1008" s="1">
        <f ca="1">IFERROR(__xludf.DUMMYFUNCTION("""COMPUTED_VALUE"""),38.56)</f>
        <v>38.56</v>
      </c>
      <c r="E1008" s="1">
        <f ca="1">IFERROR(__xludf.DUMMYFUNCTION("""COMPUTED_VALUE"""),39.48)</f>
        <v>39.479999999999997</v>
      </c>
      <c r="F1008" s="1">
        <f ca="1">IFERROR(__xludf.DUMMYFUNCTION("""COMPUTED_VALUE"""),37039737)</f>
        <v>37039737</v>
      </c>
    </row>
    <row r="1009" spans="1:6" x14ac:dyDescent="0.35">
      <c r="A1009" s="2">
        <f ca="1">IFERROR(__xludf.DUMMYFUNCTION("""COMPUTED_VALUE"""),43468.6666666666)</f>
        <v>43468.666666666599</v>
      </c>
      <c r="B1009" s="1">
        <f ca="1">IFERROR(__xludf.DUMMYFUNCTION("""COMPUTED_VALUE"""),35.99)</f>
        <v>35.99</v>
      </c>
      <c r="C1009" s="1">
        <f ca="1">IFERROR(__xludf.DUMMYFUNCTION("""COMPUTED_VALUE"""),36.43)</f>
        <v>36.43</v>
      </c>
      <c r="D1009" s="1">
        <f ca="1">IFERROR(__xludf.DUMMYFUNCTION("""COMPUTED_VALUE"""),35.5)</f>
        <v>35.5</v>
      </c>
      <c r="E1009" s="1">
        <f ca="1">IFERROR(__xludf.DUMMYFUNCTION("""COMPUTED_VALUE"""),35.55)</f>
        <v>35.549999999999997</v>
      </c>
      <c r="F1009" s="1">
        <f ca="1">IFERROR(__xludf.DUMMYFUNCTION("""COMPUTED_VALUE"""),91312195)</f>
        <v>91312195</v>
      </c>
    </row>
    <row r="1010" spans="1:6" x14ac:dyDescent="0.35">
      <c r="A1010" s="2">
        <f ca="1">IFERROR(__xludf.DUMMYFUNCTION("""COMPUTED_VALUE"""),43469.6666666666)</f>
        <v>43469.666666666599</v>
      </c>
      <c r="B1010" s="1">
        <f ca="1">IFERROR(__xludf.DUMMYFUNCTION("""COMPUTED_VALUE"""),36.13)</f>
        <v>36.130000000000003</v>
      </c>
      <c r="C1010" s="1">
        <f ca="1">IFERROR(__xludf.DUMMYFUNCTION("""COMPUTED_VALUE"""),37.14)</f>
        <v>37.14</v>
      </c>
      <c r="D1010" s="1">
        <f ca="1">IFERROR(__xludf.DUMMYFUNCTION("""COMPUTED_VALUE"""),35.95)</f>
        <v>35.950000000000003</v>
      </c>
      <c r="E1010" s="1">
        <f ca="1">IFERROR(__xludf.DUMMYFUNCTION("""COMPUTED_VALUE"""),37.07)</f>
        <v>37.07</v>
      </c>
      <c r="F1010" s="1">
        <f ca="1">IFERROR(__xludf.DUMMYFUNCTION("""COMPUTED_VALUE"""),58607070)</f>
        <v>58607070</v>
      </c>
    </row>
    <row r="1011" spans="1:6" x14ac:dyDescent="0.35">
      <c r="A1011" s="2">
        <f ca="1">IFERROR(__xludf.DUMMYFUNCTION("""COMPUTED_VALUE"""),43472.6666666666)</f>
        <v>43472.666666666599</v>
      </c>
      <c r="B1011" s="1">
        <f ca="1">IFERROR(__xludf.DUMMYFUNCTION("""COMPUTED_VALUE"""),37.17)</f>
        <v>37.17</v>
      </c>
      <c r="C1011" s="1">
        <f ca="1">IFERROR(__xludf.DUMMYFUNCTION("""COMPUTED_VALUE"""),37.21)</f>
        <v>37.21</v>
      </c>
      <c r="D1011" s="1">
        <f ca="1">IFERROR(__xludf.DUMMYFUNCTION("""COMPUTED_VALUE"""),36.48)</f>
        <v>36.479999999999997</v>
      </c>
      <c r="E1011" s="1">
        <f ca="1">IFERROR(__xludf.DUMMYFUNCTION("""COMPUTED_VALUE"""),36.98)</f>
        <v>36.979999999999997</v>
      </c>
      <c r="F1011" s="1">
        <f ca="1">IFERROR(__xludf.DUMMYFUNCTION("""COMPUTED_VALUE"""),54777764)</f>
        <v>54777764</v>
      </c>
    </row>
    <row r="1012" spans="1:6" x14ac:dyDescent="0.35">
      <c r="A1012" s="2">
        <f ca="1">IFERROR(__xludf.DUMMYFUNCTION("""COMPUTED_VALUE"""),43473.6666666666)</f>
        <v>43473.666666666599</v>
      </c>
      <c r="B1012" s="1">
        <f ca="1">IFERROR(__xludf.DUMMYFUNCTION("""COMPUTED_VALUE"""),37.39)</f>
        <v>37.39</v>
      </c>
      <c r="C1012" s="1">
        <f ca="1">IFERROR(__xludf.DUMMYFUNCTION("""COMPUTED_VALUE"""),37.96)</f>
        <v>37.96</v>
      </c>
      <c r="D1012" s="1">
        <f ca="1">IFERROR(__xludf.DUMMYFUNCTION("""COMPUTED_VALUE"""),37.13)</f>
        <v>37.130000000000003</v>
      </c>
      <c r="E1012" s="1">
        <f ca="1">IFERROR(__xludf.DUMMYFUNCTION("""COMPUTED_VALUE"""),37.69)</f>
        <v>37.69</v>
      </c>
      <c r="F1012" s="1">
        <f ca="1">IFERROR(__xludf.DUMMYFUNCTION("""COMPUTED_VALUE"""),41025314)</f>
        <v>41025314</v>
      </c>
    </row>
    <row r="1013" spans="1:6" x14ac:dyDescent="0.35">
      <c r="A1013" s="2">
        <f ca="1">IFERROR(__xludf.DUMMYFUNCTION("""COMPUTED_VALUE"""),43474.6666666666)</f>
        <v>43474.666666666599</v>
      </c>
      <c r="B1013" s="1">
        <f ca="1">IFERROR(__xludf.DUMMYFUNCTION("""COMPUTED_VALUE"""),37.82)</f>
        <v>37.82</v>
      </c>
      <c r="C1013" s="1">
        <f ca="1">IFERROR(__xludf.DUMMYFUNCTION("""COMPUTED_VALUE"""),38.63)</f>
        <v>38.630000000000003</v>
      </c>
      <c r="D1013" s="1">
        <f ca="1">IFERROR(__xludf.DUMMYFUNCTION("""COMPUTED_VALUE"""),37.41)</f>
        <v>37.409999999999997</v>
      </c>
      <c r="E1013" s="1">
        <f ca="1">IFERROR(__xludf.DUMMYFUNCTION("""COMPUTED_VALUE"""),38.33)</f>
        <v>38.33</v>
      </c>
      <c r="F1013" s="1">
        <f ca="1">IFERROR(__xludf.DUMMYFUNCTION("""COMPUTED_VALUE"""),45099081)</f>
        <v>45099081</v>
      </c>
    </row>
    <row r="1014" spans="1:6" x14ac:dyDescent="0.35">
      <c r="A1014" s="2">
        <f ca="1">IFERROR(__xludf.DUMMYFUNCTION("""COMPUTED_VALUE"""),43475.6666666666)</f>
        <v>43475.666666666599</v>
      </c>
      <c r="B1014" s="1">
        <f ca="1">IFERROR(__xludf.DUMMYFUNCTION("""COMPUTED_VALUE"""),38.13)</f>
        <v>38.130000000000003</v>
      </c>
      <c r="C1014" s="1">
        <f ca="1">IFERROR(__xludf.DUMMYFUNCTION("""COMPUTED_VALUE"""),38.49)</f>
        <v>38.49</v>
      </c>
      <c r="D1014" s="1">
        <f ca="1">IFERROR(__xludf.DUMMYFUNCTION("""COMPUTED_VALUE"""),37.72)</f>
        <v>37.72</v>
      </c>
      <c r="E1014" s="1">
        <f ca="1">IFERROR(__xludf.DUMMYFUNCTION("""COMPUTED_VALUE"""),38.45)</f>
        <v>38.450000000000003</v>
      </c>
      <c r="F1014" s="1">
        <f ca="1">IFERROR(__xludf.DUMMYFUNCTION("""COMPUTED_VALUE"""),35780670)</f>
        <v>35780670</v>
      </c>
    </row>
    <row r="1015" spans="1:6" x14ac:dyDescent="0.35">
      <c r="A1015" s="2">
        <f ca="1">IFERROR(__xludf.DUMMYFUNCTION("""COMPUTED_VALUE"""),43476.6666666666)</f>
        <v>43476.666666666599</v>
      </c>
      <c r="B1015" s="1">
        <f ca="1">IFERROR(__xludf.DUMMYFUNCTION("""COMPUTED_VALUE"""),38.22)</f>
        <v>38.22</v>
      </c>
      <c r="C1015" s="1">
        <f ca="1">IFERROR(__xludf.DUMMYFUNCTION("""COMPUTED_VALUE"""),38.42)</f>
        <v>38.42</v>
      </c>
      <c r="D1015" s="1">
        <f ca="1">IFERROR(__xludf.DUMMYFUNCTION("""COMPUTED_VALUE"""),37.88)</f>
        <v>37.880000000000003</v>
      </c>
      <c r="E1015" s="1">
        <f ca="1">IFERROR(__xludf.DUMMYFUNCTION("""COMPUTED_VALUE"""),38.07)</f>
        <v>38.07</v>
      </c>
      <c r="F1015" s="1">
        <f ca="1">IFERROR(__xludf.DUMMYFUNCTION("""COMPUTED_VALUE"""),27023241)</f>
        <v>27023241</v>
      </c>
    </row>
    <row r="1016" spans="1:6" x14ac:dyDescent="0.35">
      <c r="A1016" s="2">
        <f ca="1">IFERROR(__xludf.DUMMYFUNCTION("""COMPUTED_VALUE"""),43479.6666666666)</f>
        <v>43479.666666666599</v>
      </c>
      <c r="B1016" s="1">
        <f ca="1">IFERROR(__xludf.DUMMYFUNCTION("""COMPUTED_VALUE"""),37.71)</f>
        <v>37.71</v>
      </c>
      <c r="C1016" s="1">
        <f ca="1">IFERROR(__xludf.DUMMYFUNCTION("""COMPUTED_VALUE"""),37.82)</f>
        <v>37.82</v>
      </c>
      <c r="D1016" s="1">
        <f ca="1">IFERROR(__xludf.DUMMYFUNCTION("""COMPUTED_VALUE"""),37.31)</f>
        <v>37.31</v>
      </c>
      <c r="E1016" s="1">
        <f ca="1">IFERROR(__xludf.DUMMYFUNCTION("""COMPUTED_VALUE"""),37.5)</f>
        <v>37.5</v>
      </c>
      <c r="F1016" s="1">
        <f ca="1">IFERROR(__xludf.DUMMYFUNCTION("""COMPUTED_VALUE"""),32439186)</f>
        <v>32439186</v>
      </c>
    </row>
    <row r="1017" spans="1:6" x14ac:dyDescent="0.35">
      <c r="A1017" s="2">
        <f ca="1">IFERROR(__xludf.DUMMYFUNCTION("""COMPUTED_VALUE"""),43480.6666666666)</f>
        <v>43480.666666666599</v>
      </c>
      <c r="B1017" s="1">
        <f ca="1">IFERROR(__xludf.DUMMYFUNCTION("""COMPUTED_VALUE"""),37.57)</f>
        <v>37.57</v>
      </c>
      <c r="C1017" s="1">
        <f ca="1">IFERROR(__xludf.DUMMYFUNCTION("""COMPUTED_VALUE"""),38.35)</f>
        <v>38.35</v>
      </c>
      <c r="D1017" s="1">
        <f ca="1">IFERROR(__xludf.DUMMYFUNCTION("""COMPUTED_VALUE"""),37.51)</f>
        <v>37.51</v>
      </c>
      <c r="E1017" s="1">
        <f ca="1">IFERROR(__xludf.DUMMYFUNCTION("""COMPUTED_VALUE"""),38.27)</f>
        <v>38.270000000000003</v>
      </c>
      <c r="F1017" s="1">
        <f ca="1">IFERROR(__xludf.DUMMYFUNCTION("""COMPUTED_VALUE"""),28710324)</f>
        <v>28710324</v>
      </c>
    </row>
    <row r="1018" spans="1:6" x14ac:dyDescent="0.35">
      <c r="A1018" s="2">
        <f ca="1">IFERROR(__xludf.DUMMYFUNCTION("""COMPUTED_VALUE"""),43481.6666666666)</f>
        <v>43481.666666666599</v>
      </c>
      <c r="B1018" s="1">
        <f ca="1">IFERROR(__xludf.DUMMYFUNCTION("""COMPUTED_VALUE"""),38.27)</f>
        <v>38.270000000000003</v>
      </c>
      <c r="C1018" s="1">
        <f ca="1">IFERROR(__xludf.DUMMYFUNCTION("""COMPUTED_VALUE"""),38.97)</f>
        <v>38.97</v>
      </c>
      <c r="D1018" s="1">
        <f ca="1">IFERROR(__xludf.DUMMYFUNCTION("""COMPUTED_VALUE"""),38.25)</f>
        <v>38.25</v>
      </c>
      <c r="E1018" s="1">
        <f ca="1">IFERROR(__xludf.DUMMYFUNCTION("""COMPUTED_VALUE"""),38.74)</f>
        <v>38.74</v>
      </c>
      <c r="F1018" s="1">
        <f ca="1">IFERROR(__xludf.DUMMYFUNCTION("""COMPUTED_VALUE"""),30569706)</f>
        <v>30569706</v>
      </c>
    </row>
    <row r="1019" spans="1:6" x14ac:dyDescent="0.35">
      <c r="A1019" s="2">
        <f ca="1">IFERROR(__xludf.DUMMYFUNCTION("""COMPUTED_VALUE"""),43482.6666666666)</f>
        <v>43482.666666666599</v>
      </c>
      <c r="B1019" s="1">
        <f ca="1">IFERROR(__xludf.DUMMYFUNCTION("""COMPUTED_VALUE"""),38.55)</f>
        <v>38.549999999999997</v>
      </c>
      <c r="C1019" s="1">
        <f ca="1">IFERROR(__xludf.DUMMYFUNCTION("""COMPUTED_VALUE"""),39.42)</f>
        <v>39.42</v>
      </c>
      <c r="D1019" s="1">
        <f ca="1">IFERROR(__xludf.DUMMYFUNCTION("""COMPUTED_VALUE"""),38.32)</f>
        <v>38.32</v>
      </c>
      <c r="E1019" s="1">
        <f ca="1">IFERROR(__xludf.DUMMYFUNCTION("""COMPUTED_VALUE"""),38.97)</f>
        <v>38.97</v>
      </c>
      <c r="F1019" s="1">
        <f ca="1">IFERROR(__xludf.DUMMYFUNCTION("""COMPUTED_VALUE"""),29821160)</f>
        <v>29821160</v>
      </c>
    </row>
    <row r="1020" spans="1:6" x14ac:dyDescent="0.35">
      <c r="A1020" s="2">
        <f ca="1">IFERROR(__xludf.DUMMYFUNCTION("""COMPUTED_VALUE"""),43483.6666666666)</f>
        <v>43483.666666666599</v>
      </c>
      <c r="B1020" s="1">
        <f ca="1">IFERROR(__xludf.DUMMYFUNCTION("""COMPUTED_VALUE"""),39.38)</f>
        <v>39.380000000000003</v>
      </c>
      <c r="C1020" s="1">
        <f ca="1">IFERROR(__xludf.DUMMYFUNCTION("""COMPUTED_VALUE"""),39.47)</f>
        <v>39.47</v>
      </c>
      <c r="D1020" s="1">
        <f ca="1">IFERROR(__xludf.DUMMYFUNCTION("""COMPUTED_VALUE"""),39)</f>
        <v>39</v>
      </c>
      <c r="E1020" s="1">
        <f ca="1">IFERROR(__xludf.DUMMYFUNCTION("""COMPUTED_VALUE"""),39.21)</f>
        <v>39.21</v>
      </c>
      <c r="F1020" s="1">
        <f ca="1">IFERROR(__xludf.DUMMYFUNCTION("""COMPUTED_VALUE"""),33751023)</f>
        <v>33751023</v>
      </c>
    </row>
    <row r="1021" spans="1:6" x14ac:dyDescent="0.35">
      <c r="A1021" s="2">
        <f ca="1">IFERROR(__xludf.DUMMYFUNCTION("""COMPUTED_VALUE"""),43487.6666666666)</f>
        <v>43487.666666666599</v>
      </c>
      <c r="B1021" s="1">
        <f ca="1">IFERROR(__xludf.DUMMYFUNCTION("""COMPUTED_VALUE"""),39.1)</f>
        <v>39.1</v>
      </c>
      <c r="C1021" s="1">
        <f ca="1">IFERROR(__xludf.DUMMYFUNCTION("""COMPUTED_VALUE"""),39.18)</f>
        <v>39.18</v>
      </c>
      <c r="D1021" s="1">
        <f ca="1">IFERROR(__xludf.DUMMYFUNCTION("""COMPUTED_VALUE"""),38.16)</f>
        <v>38.159999999999997</v>
      </c>
      <c r="E1021" s="1">
        <f ca="1">IFERROR(__xludf.DUMMYFUNCTION("""COMPUTED_VALUE"""),38.33)</f>
        <v>38.33</v>
      </c>
      <c r="F1021" s="1">
        <f ca="1">IFERROR(__xludf.DUMMYFUNCTION("""COMPUTED_VALUE"""),30393970)</f>
        <v>30393970</v>
      </c>
    </row>
    <row r="1022" spans="1:6" x14ac:dyDescent="0.35">
      <c r="A1022" s="2">
        <f ca="1">IFERROR(__xludf.DUMMYFUNCTION("""COMPUTED_VALUE"""),43488.6666666666)</f>
        <v>43488.666666666599</v>
      </c>
      <c r="B1022" s="1">
        <f ca="1">IFERROR(__xludf.DUMMYFUNCTION("""COMPUTED_VALUE"""),38.54)</f>
        <v>38.54</v>
      </c>
      <c r="C1022" s="1">
        <f ca="1">IFERROR(__xludf.DUMMYFUNCTION("""COMPUTED_VALUE"""),38.78)</f>
        <v>38.78</v>
      </c>
      <c r="D1022" s="1">
        <f ca="1">IFERROR(__xludf.DUMMYFUNCTION("""COMPUTED_VALUE"""),37.92)</f>
        <v>37.92</v>
      </c>
      <c r="E1022" s="1">
        <f ca="1">IFERROR(__xludf.DUMMYFUNCTION("""COMPUTED_VALUE"""),38.48)</f>
        <v>38.479999999999997</v>
      </c>
      <c r="F1022" s="1">
        <f ca="1">IFERROR(__xludf.DUMMYFUNCTION("""COMPUTED_VALUE"""),23130570)</f>
        <v>23130570</v>
      </c>
    </row>
    <row r="1023" spans="1:6" x14ac:dyDescent="0.35">
      <c r="A1023" s="2">
        <f ca="1">IFERROR(__xludf.DUMMYFUNCTION("""COMPUTED_VALUE"""),43489.6666666666)</f>
        <v>43489.666666666599</v>
      </c>
      <c r="B1023" s="1">
        <f ca="1">IFERROR(__xludf.DUMMYFUNCTION("""COMPUTED_VALUE"""),38.53)</f>
        <v>38.53</v>
      </c>
      <c r="C1023" s="1">
        <f ca="1">IFERROR(__xludf.DUMMYFUNCTION("""COMPUTED_VALUE"""),38.62)</f>
        <v>38.619999999999997</v>
      </c>
      <c r="D1023" s="1">
        <f ca="1">IFERROR(__xludf.DUMMYFUNCTION("""COMPUTED_VALUE"""),37.94)</f>
        <v>37.94</v>
      </c>
      <c r="E1023" s="1">
        <f ca="1">IFERROR(__xludf.DUMMYFUNCTION("""COMPUTED_VALUE"""),38.17)</f>
        <v>38.17</v>
      </c>
      <c r="F1023" s="1">
        <f ca="1">IFERROR(__xludf.DUMMYFUNCTION("""COMPUTED_VALUE"""),25441549)</f>
        <v>25441549</v>
      </c>
    </row>
    <row r="1024" spans="1:6" x14ac:dyDescent="0.35">
      <c r="A1024" s="2">
        <f ca="1">IFERROR(__xludf.DUMMYFUNCTION("""COMPUTED_VALUE"""),43490.6666666666)</f>
        <v>43490.666666666599</v>
      </c>
      <c r="B1024" s="1">
        <f ca="1">IFERROR(__xludf.DUMMYFUNCTION("""COMPUTED_VALUE"""),38.87)</f>
        <v>38.869999999999997</v>
      </c>
      <c r="C1024" s="1">
        <f ca="1">IFERROR(__xludf.DUMMYFUNCTION("""COMPUTED_VALUE"""),39.53)</f>
        <v>39.53</v>
      </c>
      <c r="D1024" s="1">
        <f ca="1">IFERROR(__xludf.DUMMYFUNCTION("""COMPUTED_VALUE"""),38.58)</f>
        <v>38.58</v>
      </c>
      <c r="E1024" s="1">
        <f ca="1">IFERROR(__xludf.DUMMYFUNCTION("""COMPUTED_VALUE"""),39.44)</f>
        <v>39.44</v>
      </c>
      <c r="F1024" s="1">
        <f ca="1">IFERROR(__xludf.DUMMYFUNCTION("""COMPUTED_VALUE"""),33547893)</f>
        <v>33547893</v>
      </c>
    </row>
    <row r="1025" spans="1:6" x14ac:dyDescent="0.35">
      <c r="A1025" s="2">
        <f ca="1">IFERROR(__xludf.DUMMYFUNCTION("""COMPUTED_VALUE"""),43493.6666666666)</f>
        <v>43493.666666666599</v>
      </c>
      <c r="B1025" s="1">
        <f ca="1">IFERROR(__xludf.DUMMYFUNCTION("""COMPUTED_VALUE"""),38.95)</f>
        <v>38.950000000000003</v>
      </c>
      <c r="C1025" s="1">
        <f ca="1">IFERROR(__xludf.DUMMYFUNCTION("""COMPUTED_VALUE"""),39.08)</f>
        <v>39.08</v>
      </c>
      <c r="D1025" s="1">
        <f ca="1">IFERROR(__xludf.DUMMYFUNCTION("""COMPUTED_VALUE"""),38.42)</f>
        <v>38.42</v>
      </c>
      <c r="E1025" s="1">
        <f ca="1">IFERROR(__xludf.DUMMYFUNCTION("""COMPUTED_VALUE"""),39.08)</f>
        <v>39.08</v>
      </c>
      <c r="F1025" s="1">
        <f ca="1">IFERROR(__xludf.DUMMYFUNCTION("""COMPUTED_VALUE"""),26192058)</f>
        <v>26192058</v>
      </c>
    </row>
    <row r="1026" spans="1:6" x14ac:dyDescent="0.35">
      <c r="A1026" s="2">
        <f ca="1">IFERROR(__xludf.DUMMYFUNCTION("""COMPUTED_VALUE"""),43494.6666666666)</f>
        <v>43494.666666666599</v>
      </c>
      <c r="B1026" s="1">
        <f ca="1">IFERROR(__xludf.DUMMYFUNCTION("""COMPUTED_VALUE"""),39.06)</f>
        <v>39.06</v>
      </c>
      <c r="C1026" s="1">
        <f ca="1">IFERROR(__xludf.DUMMYFUNCTION("""COMPUTED_VALUE"""),39.53)</f>
        <v>39.53</v>
      </c>
      <c r="D1026" s="1">
        <f ca="1">IFERROR(__xludf.DUMMYFUNCTION("""COMPUTED_VALUE"""),38.53)</f>
        <v>38.53</v>
      </c>
      <c r="E1026" s="1">
        <f ca="1">IFERROR(__xludf.DUMMYFUNCTION("""COMPUTED_VALUE"""),38.67)</f>
        <v>38.67</v>
      </c>
      <c r="F1026" s="1">
        <f ca="1">IFERROR(__xludf.DUMMYFUNCTION("""COMPUTED_VALUE"""),41587239)</f>
        <v>41587239</v>
      </c>
    </row>
    <row r="1027" spans="1:6" x14ac:dyDescent="0.35">
      <c r="A1027" s="2">
        <f ca="1">IFERROR(__xludf.DUMMYFUNCTION("""COMPUTED_VALUE"""),43495.6666666666)</f>
        <v>43495.666666666599</v>
      </c>
      <c r="B1027" s="1">
        <f ca="1">IFERROR(__xludf.DUMMYFUNCTION("""COMPUTED_VALUE"""),40.81)</f>
        <v>40.81</v>
      </c>
      <c r="C1027" s="1">
        <f ca="1">IFERROR(__xludf.DUMMYFUNCTION("""COMPUTED_VALUE"""),41.54)</f>
        <v>41.54</v>
      </c>
      <c r="D1027" s="1">
        <f ca="1">IFERROR(__xludf.DUMMYFUNCTION("""COMPUTED_VALUE"""),40.06)</f>
        <v>40.06</v>
      </c>
      <c r="E1027" s="1">
        <f ca="1">IFERROR(__xludf.DUMMYFUNCTION("""COMPUTED_VALUE"""),41.31)</f>
        <v>41.31</v>
      </c>
      <c r="F1027" s="1">
        <f ca="1">IFERROR(__xludf.DUMMYFUNCTION("""COMPUTED_VALUE"""),61109780)</f>
        <v>61109780</v>
      </c>
    </row>
    <row r="1028" spans="1:6" x14ac:dyDescent="0.35">
      <c r="A1028" s="2">
        <f ca="1">IFERROR(__xludf.DUMMYFUNCTION("""COMPUTED_VALUE"""),43496.6666666666)</f>
        <v>43496.666666666599</v>
      </c>
      <c r="B1028" s="1">
        <f ca="1">IFERROR(__xludf.DUMMYFUNCTION("""COMPUTED_VALUE"""),41.53)</f>
        <v>41.53</v>
      </c>
      <c r="C1028" s="1">
        <f ca="1">IFERROR(__xludf.DUMMYFUNCTION("""COMPUTED_VALUE"""),42.25)</f>
        <v>42.25</v>
      </c>
      <c r="D1028" s="1">
        <f ca="1">IFERROR(__xludf.DUMMYFUNCTION("""COMPUTED_VALUE"""),41.14)</f>
        <v>41.14</v>
      </c>
      <c r="E1028" s="1">
        <f ca="1">IFERROR(__xludf.DUMMYFUNCTION("""COMPUTED_VALUE"""),41.61)</f>
        <v>41.61</v>
      </c>
      <c r="F1028" s="1">
        <f ca="1">IFERROR(__xludf.DUMMYFUNCTION("""COMPUTED_VALUE"""),40739649)</f>
        <v>40739649</v>
      </c>
    </row>
    <row r="1029" spans="1:6" x14ac:dyDescent="0.35">
      <c r="A1029" s="2">
        <f ca="1">IFERROR(__xludf.DUMMYFUNCTION("""COMPUTED_VALUE"""),43497.6666666666)</f>
        <v>43497.666666666599</v>
      </c>
      <c r="B1029" s="1">
        <f ca="1">IFERROR(__xludf.DUMMYFUNCTION("""COMPUTED_VALUE"""),41.74)</f>
        <v>41.74</v>
      </c>
      <c r="C1029" s="1">
        <f ca="1">IFERROR(__xludf.DUMMYFUNCTION("""COMPUTED_VALUE"""),42.25)</f>
        <v>42.25</v>
      </c>
      <c r="D1029" s="1">
        <f ca="1">IFERROR(__xludf.DUMMYFUNCTION("""COMPUTED_VALUE"""),41.48)</f>
        <v>41.48</v>
      </c>
      <c r="E1029" s="1">
        <f ca="1">IFERROR(__xludf.DUMMYFUNCTION("""COMPUTED_VALUE"""),41.63)</f>
        <v>41.63</v>
      </c>
      <c r="F1029" s="1">
        <f ca="1">IFERROR(__xludf.DUMMYFUNCTION("""COMPUTED_VALUE"""),32668138)</f>
        <v>32668138</v>
      </c>
    </row>
    <row r="1030" spans="1:6" x14ac:dyDescent="0.35">
      <c r="A1030" s="2">
        <f ca="1">IFERROR(__xludf.DUMMYFUNCTION("""COMPUTED_VALUE"""),43500.6666666666)</f>
        <v>43500.666666666599</v>
      </c>
      <c r="B1030" s="1">
        <f ca="1">IFERROR(__xludf.DUMMYFUNCTION("""COMPUTED_VALUE"""),41.85)</f>
        <v>41.85</v>
      </c>
      <c r="C1030" s="1">
        <f ca="1">IFERROR(__xludf.DUMMYFUNCTION("""COMPUTED_VALUE"""),42.91)</f>
        <v>42.91</v>
      </c>
      <c r="D1030" s="1">
        <f ca="1">IFERROR(__xludf.DUMMYFUNCTION("""COMPUTED_VALUE"""),41.82)</f>
        <v>41.82</v>
      </c>
      <c r="E1030" s="1">
        <f ca="1">IFERROR(__xludf.DUMMYFUNCTION("""COMPUTED_VALUE"""),42.81)</f>
        <v>42.81</v>
      </c>
      <c r="F1030" s="1">
        <f ca="1">IFERROR(__xludf.DUMMYFUNCTION("""COMPUTED_VALUE"""),31495582)</f>
        <v>31495582</v>
      </c>
    </row>
    <row r="1031" spans="1:6" x14ac:dyDescent="0.35">
      <c r="A1031" s="2">
        <f ca="1">IFERROR(__xludf.DUMMYFUNCTION("""COMPUTED_VALUE"""),43501.6666666666)</f>
        <v>43501.666666666599</v>
      </c>
      <c r="B1031" s="1">
        <f ca="1">IFERROR(__xludf.DUMMYFUNCTION("""COMPUTED_VALUE"""),43.22)</f>
        <v>43.22</v>
      </c>
      <c r="C1031" s="1">
        <f ca="1">IFERROR(__xludf.DUMMYFUNCTION("""COMPUTED_VALUE"""),43.77)</f>
        <v>43.77</v>
      </c>
      <c r="D1031" s="1">
        <f ca="1">IFERROR(__xludf.DUMMYFUNCTION("""COMPUTED_VALUE"""),43.09)</f>
        <v>43.09</v>
      </c>
      <c r="E1031" s="1">
        <f ca="1">IFERROR(__xludf.DUMMYFUNCTION("""COMPUTED_VALUE"""),43.55)</f>
        <v>43.55</v>
      </c>
      <c r="F1031" s="1">
        <f ca="1">IFERROR(__xludf.DUMMYFUNCTION("""COMPUTED_VALUE"""),36101628)</f>
        <v>36101628</v>
      </c>
    </row>
    <row r="1032" spans="1:6" x14ac:dyDescent="0.35">
      <c r="A1032" s="2">
        <f ca="1">IFERROR(__xludf.DUMMYFUNCTION("""COMPUTED_VALUE"""),43502.6666666666)</f>
        <v>43502.666666666599</v>
      </c>
      <c r="B1032" s="1">
        <f ca="1">IFERROR(__xludf.DUMMYFUNCTION("""COMPUTED_VALUE"""),43.66)</f>
        <v>43.66</v>
      </c>
      <c r="C1032" s="1">
        <f ca="1">IFERROR(__xludf.DUMMYFUNCTION("""COMPUTED_VALUE"""),43.89)</f>
        <v>43.89</v>
      </c>
      <c r="D1032" s="1">
        <f ca="1">IFERROR(__xludf.DUMMYFUNCTION("""COMPUTED_VALUE"""),43.21)</f>
        <v>43.21</v>
      </c>
      <c r="E1032" s="1">
        <f ca="1">IFERROR(__xludf.DUMMYFUNCTION("""COMPUTED_VALUE"""),43.56)</f>
        <v>43.56</v>
      </c>
      <c r="F1032" s="1">
        <f ca="1">IFERROR(__xludf.DUMMYFUNCTION("""COMPUTED_VALUE"""),28239591)</f>
        <v>28239591</v>
      </c>
    </row>
    <row r="1033" spans="1:6" x14ac:dyDescent="0.35">
      <c r="A1033" s="2">
        <f ca="1">IFERROR(__xludf.DUMMYFUNCTION("""COMPUTED_VALUE"""),43503.6666666666)</f>
        <v>43503.666666666599</v>
      </c>
      <c r="B1033" s="1">
        <f ca="1">IFERROR(__xludf.DUMMYFUNCTION("""COMPUTED_VALUE"""),43.1)</f>
        <v>43.1</v>
      </c>
      <c r="C1033" s="1">
        <f ca="1">IFERROR(__xludf.DUMMYFUNCTION("""COMPUTED_VALUE"""),43.49)</f>
        <v>43.49</v>
      </c>
      <c r="D1033" s="1">
        <f ca="1">IFERROR(__xludf.DUMMYFUNCTION("""COMPUTED_VALUE"""),42.59)</f>
        <v>42.59</v>
      </c>
      <c r="E1033" s="1">
        <f ca="1">IFERROR(__xludf.DUMMYFUNCTION("""COMPUTED_VALUE"""),42.74)</f>
        <v>42.74</v>
      </c>
      <c r="F1033" s="1">
        <f ca="1">IFERROR(__xludf.DUMMYFUNCTION("""COMPUTED_VALUE"""),31741690)</f>
        <v>31741690</v>
      </c>
    </row>
    <row r="1034" spans="1:6" x14ac:dyDescent="0.35">
      <c r="A1034" s="2">
        <f ca="1">IFERROR(__xludf.DUMMYFUNCTION("""COMPUTED_VALUE"""),43504.6666666666)</f>
        <v>43504.666666666599</v>
      </c>
      <c r="B1034" s="1">
        <f ca="1">IFERROR(__xludf.DUMMYFUNCTION("""COMPUTED_VALUE"""),42.25)</f>
        <v>42.25</v>
      </c>
      <c r="C1034" s="1">
        <f ca="1">IFERROR(__xludf.DUMMYFUNCTION("""COMPUTED_VALUE"""),42.67)</f>
        <v>42.67</v>
      </c>
      <c r="D1034" s="1">
        <f ca="1">IFERROR(__xludf.DUMMYFUNCTION("""COMPUTED_VALUE"""),42.11)</f>
        <v>42.11</v>
      </c>
      <c r="E1034" s="1">
        <f ca="1">IFERROR(__xludf.DUMMYFUNCTION("""COMPUTED_VALUE"""),42.6)</f>
        <v>42.6</v>
      </c>
      <c r="F1034" s="1">
        <f ca="1">IFERROR(__xludf.DUMMYFUNCTION("""COMPUTED_VALUE"""),23819966)</f>
        <v>23819966</v>
      </c>
    </row>
    <row r="1035" spans="1:6" x14ac:dyDescent="0.35">
      <c r="A1035" s="2">
        <f ca="1">IFERROR(__xludf.DUMMYFUNCTION("""COMPUTED_VALUE"""),43507.6666666666)</f>
        <v>43507.666666666599</v>
      </c>
      <c r="B1035" s="1">
        <f ca="1">IFERROR(__xludf.DUMMYFUNCTION("""COMPUTED_VALUE"""),42.76)</f>
        <v>42.76</v>
      </c>
      <c r="C1035" s="1">
        <f ca="1">IFERROR(__xludf.DUMMYFUNCTION("""COMPUTED_VALUE"""),42.8)</f>
        <v>42.8</v>
      </c>
      <c r="D1035" s="1">
        <f ca="1">IFERROR(__xludf.DUMMYFUNCTION("""COMPUTED_VALUE"""),42.31)</f>
        <v>42.31</v>
      </c>
      <c r="E1035" s="1">
        <f ca="1">IFERROR(__xludf.DUMMYFUNCTION("""COMPUTED_VALUE"""),42.36)</f>
        <v>42.36</v>
      </c>
      <c r="F1035" s="1">
        <f ca="1">IFERROR(__xludf.DUMMYFUNCTION("""COMPUTED_VALUE"""),20993425)</f>
        <v>20993425</v>
      </c>
    </row>
    <row r="1036" spans="1:6" x14ac:dyDescent="0.35">
      <c r="A1036" s="2">
        <f ca="1">IFERROR(__xludf.DUMMYFUNCTION("""COMPUTED_VALUE"""),43508.6666666666)</f>
        <v>43508.666666666599</v>
      </c>
      <c r="B1036" s="1">
        <f ca="1">IFERROR(__xludf.DUMMYFUNCTION("""COMPUTED_VALUE"""),42.53)</f>
        <v>42.53</v>
      </c>
      <c r="C1036" s="1">
        <f ca="1">IFERROR(__xludf.DUMMYFUNCTION("""COMPUTED_VALUE"""),42.75)</f>
        <v>42.75</v>
      </c>
      <c r="D1036" s="1">
        <f ca="1">IFERROR(__xludf.DUMMYFUNCTION("""COMPUTED_VALUE"""),42.43)</f>
        <v>42.43</v>
      </c>
      <c r="E1036" s="1">
        <f ca="1">IFERROR(__xludf.DUMMYFUNCTION("""COMPUTED_VALUE"""),42.72)</f>
        <v>42.72</v>
      </c>
      <c r="F1036" s="1">
        <f ca="1">IFERROR(__xludf.DUMMYFUNCTION("""COMPUTED_VALUE"""),22283523)</f>
        <v>22283523</v>
      </c>
    </row>
    <row r="1037" spans="1:6" x14ac:dyDescent="0.35">
      <c r="A1037" s="2">
        <f ca="1">IFERROR(__xludf.DUMMYFUNCTION("""COMPUTED_VALUE"""),43509.6666666666)</f>
        <v>43509.666666666599</v>
      </c>
      <c r="B1037" s="1">
        <f ca="1">IFERROR(__xludf.DUMMYFUNCTION("""COMPUTED_VALUE"""),42.85)</f>
        <v>42.85</v>
      </c>
      <c r="C1037" s="1">
        <f ca="1">IFERROR(__xludf.DUMMYFUNCTION("""COMPUTED_VALUE"""),43.12)</f>
        <v>43.12</v>
      </c>
      <c r="D1037" s="1">
        <f ca="1">IFERROR(__xludf.DUMMYFUNCTION("""COMPUTED_VALUE"""),42.48)</f>
        <v>42.48</v>
      </c>
      <c r="E1037" s="1">
        <f ca="1">IFERROR(__xludf.DUMMYFUNCTION("""COMPUTED_VALUE"""),42.55)</f>
        <v>42.55</v>
      </c>
      <c r="F1037" s="1">
        <f ca="1">IFERROR(__xludf.DUMMYFUNCTION("""COMPUTED_VALUE"""),22490233)</f>
        <v>22490233</v>
      </c>
    </row>
    <row r="1038" spans="1:6" x14ac:dyDescent="0.35">
      <c r="A1038" s="2">
        <f ca="1">IFERROR(__xludf.DUMMYFUNCTION("""COMPUTED_VALUE"""),43510.6666666666)</f>
        <v>43510.666666666599</v>
      </c>
      <c r="B1038" s="1">
        <f ca="1">IFERROR(__xludf.DUMMYFUNCTION("""COMPUTED_VALUE"""),42.43)</f>
        <v>42.43</v>
      </c>
      <c r="C1038" s="1">
        <f ca="1">IFERROR(__xludf.DUMMYFUNCTION("""COMPUTED_VALUE"""),42.82)</f>
        <v>42.82</v>
      </c>
      <c r="D1038" s="1">
        <f ca="1">IFERROR(__xludf.DUMMYFUNCTION("""COMPUTED_VALUE"""),42.35)</f>
        <v>42.35</v>
      </c>
      <c r="E1038" s="1">
        <f ca="1">IFERROR(__xludf.DUMMYFUNCTION("""COMPUTED_VALUE"""),42.7)</f>
        <v>42.7</v>
      </c>
      <c r="F1038" s="1">
        <f ca="1">IFERROR(__xludf.DUMMYFUNCTION("""COMPUTED_VALUE"""),21835747)</f>
        <v>21835747</v>
      </c>
    </row>
    <row r="1039" spans="1:6" x14ac:dyDescent="0.35">
      <c r="A1039" s="2">
        <f ca="1">IFERROR(__xludf.DUMMYFUNCTION("""COMPUTED_VALUE"""),43511.6666666666)</f>
        <v>43511.666666666599</v>
      </c>
      <c r="B1039" s="1">
        <f ca="1">IFERROR(__xludf.DUMMYFUNCTION("""COMPUTED_VALUE"""),42.81)</f>
        <v>42.81</v>
      </c>
      <c r="C1039" s="1">
        <f ca="1">IFERROR(__xludf.DUMMYFUNCTION("""COMPUTED_VALUE"""),42.93)</f>
        <v>42.93</v>
      </c>
      <c r="D1039" s="1">
        <f ca="1">IFERROR(__xludf.DUMMYFUNCTION("""COMPUTED_VALUE"""),42.44)</f>
        <v>42.44</v>
      </c>
      <c r="E1039" s="1">
        <f ca="1">IFERROR(__xludf.DUMMYFUNCTION("""COMPUTED_VALUE"""),42.61)</f>
        <v>42.61</v>
      </c>
      <c r="F1039" s="1">
        <f ca="1">IFERROR(__xludf.DUMMYFUNCTION("""COMPUTED_VALUE"""),24626814)</f>
        <v>24626814</v>
      </c>
    </row>
    <row r="1040" spans="1:6" x14ac:dyDescent="0.35">
      <c r="A1040" s="2">
        <f ca="1">IFERROR(__xludf.DUMMYFUNCTION("""COMPUTED_VALUE"""),43515.6666666666)</f>
        <v>43515.666666666599</v>
      </c>
      <c r="B1040" s="1">
        <f ca="1">IFERROR(__xludf.DUMMYFUNCTION("""COMPUTED_VALUE"""),42.43)</f>
        <v>42.43</v>
      </c>
      <c r="C1040" s="1">
        <f ca="1">IFERROR(__xludf.DUMMYFUNCTION("""COMPUTED_VALUE"""),42.86)</f>
        <v>42.86</v>
      </c>
      <c r="D1040" s="1">
        <f ca="1">IFERROR(__xludf.DUMMYFUNCTION("""COMPUTED_VALUE"""),42.37)</f>
        <v>42.37</v>
      </c>
      <c r="E1040" s="1">
        <f ca="1">IFERROR(__xludf.DUMMYFUNCTION("""COMPUTED_VALUE"""),42.73)</f>
        <v>42.73</v>
      </c>
      <c r="F1040" s="1">
        <f ca="1">IFERROR(__xludf.DUMMYFUNCTION("""COMPUTED_VALUE"""),18972826)</f>
        <v>18972826</v>
      </c>
    </row>
    <row r="1041" spans="1:6" x14ac:dyDescent="0.35">
      <c r="A1041" s="2">
        <f ca="1">IFERROR(__xludf.DUMMYFUNCTION("""COMPUTED_VALUE"""),43516.6666666666)</f>
        <v>43516.666666666599</v>
      </c>
      <c r="B1041" s="1">
        <f ca="1">IFERROR(__xludf.DUMMYFUNCTION("""COMPUTED_VALUE"""),42.8)</f>
        <v>42.8</v>
      </c>
      <c r="C1041" s="1">
        <f ca="1">IFERROR(__xludf.DUMMYFUNCTION("""COMPUTED_VALUE"""),43.33)</f>
        <v>43.33</v>
      </c>
      <c r="D1041" s="1">
        <f ca="1">IFERROR(__xludf.DUMMYFUNCTION("""COMPUTED_VALUE"""),42.75)</f>
        <v>42.75</v>
      </c>
      <c r="E1041" s="1">
        <f ca="1">IFERROR(__xludf.DUMMYFUNCTION("""COMPUTED_VALUE"""),43.01)</f>
        <v>43.01</v>
      </c>
      <c r="F1041" s="1">
        <f ca="1">IFERROR(__xludf.DUMMYFUNCTION("""COMPUTED_VALUE"""),26114362)</f>
        <v>26114362</v>
      </c>
    </row>
    <row r="1042" spans="1:6" x14ac:dyDescent="0.35">
      <c r="A1042" s="2">
        <f ca="1">IFERROR(__xludf.DUMMYFUNCTION("""COMPUTED_VALUE"""),43517.6666666666)</f>
        <v>43517.666666666599</v>
      </c>
      <c r="B1042" s="1">
        <f ca="1">IFERROR(__xludf.DUMMYFUNCTION("""COMPUTED_VALUE"""),42.95)</f>
        <v>42.95</v>
      </c>
      <c r="C1042" s="1">
        <f ca="1">IFERROR(__xludf.DUMMYFUNCTION("""COMPUTED_VALUE"""),43.09)</f>
        <v>43.09</v>
      </c>
      <c r="D1042" s="1">
        <f ca="1">IFERROR(__xludf.DUMMYFUNCTION("""COMPUTED_VALUE"""),42.58)</f>
        <v>42.58</v>
      </c>
      <c r="E1042" s="1">
        <f ca="1">IFERROR(__xludf.DUMMYFUNCTION("""COMPUTED_VALUE"""),42.77)</f>
        <v>42.77</v>
      </c>
      <c r="F1042" s="1">
        <f ca="1">IFERROR(__xludf.DUMMYFUNCTION("""COMPUTED_VALUE"""),17249670)</f>
        <v>17249670</v>
      </c>
    </row>
    <row r="1043" spans="1:6" x14ac:dyDescent="0.35">
      <c r="A1043" s="2">
        <f ca="1">IFERROR(__xludf.DUMMYFUNCTION("""COMPUTED_VALUE"""),43518.6666666666)</f>
        <v>43518.666666666599</v>
      </c>
      <c r="B1043" s="1">
        <f ca="1">IFERROR(__xludf.DUMMYFUNCTION("""COMPUTED_VALUE"""),42.9)</f>
        <v>42.9</v>
      </c>
      <c r="C1043" s="1">
        <f ca="1">IFERROR(__xludf.DUMMYFUNCTION("""COMPUTED_VALUE"""),43.25)</f>
        <v>43.25</v>
      </c>
      <c r="D1043" s="1">
        <f ca="1">IFERROR(__xludf.DUMMYFUNCTION("""COMPUTED_VALUE"""),42.85)</f>
        <v>42.85</v>
      </c>
      <c r="E1043" s="1">
        <f ca="1">IFERROR(__xludf.DUMMYFUNCTION("""COMPUTED_VALUE"""),43.24)</f>
        <v>43.24</v>
      </c>
      <c r="F1043" s="1">
        <f ca="1">IFERROR(__xludf.DUMMYFUNCTION("""COMPUTED_VALUE"""),18913154)</f>
        <v>18913154</v>
      </c>
    </row>
    <row r="1044" spans="1:6" x14ac:dyDescent="0.35">
      <c r="A1044" s="2">
        <f ca="1">IFERROR(__xludf.DUMMYFUNCTION("""COMPUTED_VALUE"""),43521.6666666666)</f>
        <v>43521.666666666599</v>
      </c>
      <c r="B1044" s="1">
        <f ca="1">IFERROR(__xludf.DUMMYFUNCTION("""COMPUTED_VALUE"""),43.54)</f>
        <v>43.54</v>
      </c>
      <c r="C1044" s="1">
        <f ca="1">IFERROR(__xludf.DUMMYFUNCTION("""COMPUTED_VALUE"""),43.97)</f>
        <v>43.97</v>
      </c>
      <c r="D1044" s="1">
        <f ca="1">IFERROR(__xludf.DUMMYFUNCTION("""COMPUTED_VALUE"""),43.49)</f>
        <v>43.49</v>
      </c>
      <c r="E1044" s="1">
        <f ca="1">IFERROR(__xludf.DUMMYFUNCTION("""COMPUTED_VALUE"""),43.56)</f>
        <v>43.56</v>
      </c>
      <c r="F1044" s="1">
        <f ca="1">IFERROR(__xludf.DUMMYFUNCTION("""COMPUTED_VALUE"""),21873358)</f>
        <v>21873358</v>
      </c>
    </row>
    <row r="1045" spans="1:6" x14ac:dyDescent="0.35">
      <c r="A1045" s="2">
        <f ca="1">IFERROR(__xludf.DUMMYFUNCTION("""COMPUTED_VALUE"""),43522.6666666666)</f>
        <v>43522.666666666599</v>
      </c>
      <c r="B1045" s="1">
        <f ca="1">IFERROR(__xludf.DUMMYFUNCTION("""COMPUTED_VALUE"""),43.43)</f>
        <v>43.43</v>
      </c>
      <c r="C1045" s="1">
        <f ca="1">IFERROR(__xludf.DUMMYFUNCTION("""COMPUTED_VALUE"""),43.83)</f>
        <v>43.83</v>
      </c>
      <c r="D1045" s="1">
        <f ca="1">IFERROR(__xludf.DUMMYFUNCTION("""COMPUTED_VALUE"""),43.29)</f>
        <v>43.29</v>
      </c>
      <c r="E1045" s="1">
        <f ca="1">IFERROR(__xludf.DUMMYFUNCTION("""COMPUTED_VALUE"""),43.58)</f>
        <v>43.58</v>
      </c>
      <c r="F1045" s="1">
        <f ca="1">IFERROR(__xludf.DUMMYFUNCTION("""COMPUTED_VALUE"""),17070211)</f>
        <v>17070211</v>
      </c>
    </row>
    <row r="1046" spans="1:6" x14ac:dyDescent="0.35">
      <c r="A1046" s="2">
        <f ca="1">IFERROR(__xludf.DUMMYFUNCTION("""COMPUTED_VALUE"""),43523.6666666666)</f>
        <v>43523.666666666599</v>
      </c>
      <c r="B1046" s="1">
        <f ca="1">IFERROR(__xludf.DUMMYFUNCTION("""COMPUTED_VALUE"""),43.3)</f>
        <v>43.3</v>
      </c>
      <c r="C1046" s="1">
        <f ca="1">IFERROR(__xludf.DUMMYFUNCTION("""COMPUTED_VALUE"""),43.75)</f>
        <v>43.75</v>
      </c>
      <c r="D1046" s="1">
        <f ca="1">IFERROR(__xludf.DUMMYFUNCTION("""COMPUTED_VALUE"""),43.18)</f>
        <v>43.18</v>
      </c>
      <c r="E1046" s="1">
        <f ca="1">IFERROR(__xludf.DUMMYFUNCTION("""COMPUTED_VALUE"""),43.72)</f>
        <v>43.72</v>
      </c>
      <c r="F1046" s="1">
        <f ca="1">IFERROR(__xludf.DUMMYFUNCTION("""COMPUTED_VALUE"""),27835389)</f>
        <v>27835389</v>
      </c>
    </row>
    <row r="1047" spans="1:6" x14ac:dyDescent="0.35">
      <c r="A1047" s="2">
        <f ca="1">IFERROR(__xludf.DUMMYFUNCTION("""COMPUTED_VALUE"""),43524.6666666666)</f>
        <v>43524.666666666599</v>
      </c>
      <c r="B1047" s="1">
        <f ca="1">IFERROR(__xludf.DUMMYFUNCTION("""COMPUTED_VALUE"""),43.58)</f>
        <v>43.58</v>
      </c>
      <c r="C1047" s="1">
        <f ca="1">IFERROR(__xludf.DUMMYFUNCTION("""COMPUTED_VALUE"""),43.73)</f>
        <v>43.73</v>
      </c>
      <c r="D1047" s="1">
        <f ca="1">IFERROR(__xludf.DUMMYFUNCTION("""COMPUTED_VALUE"""),43.23)</f>
        <v>43.23</v>
      </c>
      <c r="E1047" s="1">
        <f ca="1">IFERROR(__xludf.DUMMYFUNCTION("""COMPUTED_VALUE"""),43.29)</f>
        <v>43.29</v>
      </c>
      <c r="F1047" s="1">
        <f ca="1">IFERROR(__xludf.DUMMYFUNCTION("""COMPUTED_VALUE"""),28215416)</f>
        <v>28215416</v>
      </c>
    </row>
    <row r="1048" spans="1:6" x14ac:dyDescent="0.35">
      <c r="A1048" s="2">
        <f ca="1">IFERROR(__xludf.DUMMYFUNCTION("""COMPUTED_VALUE"""),43525.6666666666)</f>
        <v>43525.666666666599</v>
      </c>
      <c r="B1048" s="1">
        <f ca="1">IFERROR(__xludf.DUMMYFUNCTION("""COMPUTED_VALUE"""),43.57)</f>
        <v>43.57</v>
      </c>
      <c r="C1048" s="1">
        <f ca="1">IFERROR(__xludf.DUMMYFUNCTION("""COMPUTED_VALUE"""),43.79)</f>
        <v>43.79</v>
      </c>
      <c r="D1048" s="1">
        <f ca="1">IFERROR(__xludf.DUMMYFUNCTION("""COMPUTED_VALUE"""),43.22)</f>
        <v>43.22</v>
      </c>
      <c r="E1048" s="1">
        <f ca="1">IFERROR(__xludf.DUMMYFUNCTION("""COMPUTED_VALUE"""),43.74)</f>
        <v>43.74</v>
      </c>
      <c r="F1048" s="1">
        <f ca="1">IFERROR(__xludf.DUMMYFUNCTION("""COMPUTED_VALUE"""),25886167)</f>
        <v>25886167</v>
      </c>
    </row>
    <row r="1049" spans="1:6" x14ac:dyDescent="0.35">
      <c r="A1049" s="2">
        <f ca="1">IFERROR(__xludf.DUMMYFUNCTION("""COMPUTED_VALUE"""),43528.6666666666)</f>
        <v>43528.666666666599</v>
      </c>
      <c r="B1049" s="1">
        <f ca="1">IFERROR(__xludf.DUMMYFUNCTION("""COMPUTED_VALUE"""),43.92)</f>
        <v>43.92</v>
      </c>
      <c r="C1049" s="1">
        <f ca="1">IFERROR(__xludf.DUMMYFUNCTION("""COMPUTED_VALUE"""),44.44)</f>
        <v>44.44</v>
      </c>
      <c r="D1049" s="1">
        <f ca="1">IFERROR(__xludf.DUMMYFUNCTION("""COMPUTED_VALUE"""),43.49)</f>
        <v>43.49</v>
      </c>
      <c r="E1049" s="1">
        <f ca="1">IFERROR(__xludf.DUMMYFUNCTION("""COMPUTED_VALUE"""),43.96)</f>
        <v>43.96</v>
      </c>
      <c r="F1049" s="1">
        <f ca="1">IFERROR(__xludf.DUMMYFUNCTION("""COMPUTED_VALUE"""),27436203)</f>
        <v>27436203</v>
      </c>
    </row>
    <row r="1050" spans="1:6" x14ac:dyDescent="0.35">
      <c r="A1050" s="2">
        <f ca="1">IFERROR(__xludf.DUMMYFUNCTION("""COMPUTED_VALUE"""),43529.6666666666)</f>
        <v>43529.666666666599</v>
      </c>
      <c r="B1050" s="1">
        <f ca="1">IFERROR(__xludf.DUMMYFUNCTION("""COMPUTED_VALUE"""),43.99)</f>
        <v>43.99</v>
      </c>
      <c r="C1050" s="1">
        <f ca="1">IFERROR(__xludf.DUMMYFUNCTION("""COMPUTED_VALUE"""),44)</f>
        <v>44</v>
      </c>
      <c r="D1050" s="1">
        <f ca="1">IFERROR(__xludf.DUMMYFUNCTION("""COMPUTED_VALUE"""),43.64)</f>
        <v>43.64</v>
      </c>
      <c r="E1050" s="1">
        <f ca="1">IFERROR(__xludf.DUMMYFUNCTION("""COMPUTED_VALUE"""),43.88)</f>
        <v>43.88</v>
      </c>
      <c r="F1050" s="1">
        <f ca="1">IFERROR(__xludf.DUMMYFUNCTION("""COMPUTED_VALUE"""),19737419)</f>
        <v>19737419</v>
      </c>
    </row>
    <row r="1051" spans="1:6" x14ac:dyDescent="0.35">
      <c r="A1051" s="2">
        <f ca="1">IFERROR(__xludf.DUMMYFUNCTION("""COMPUTED_VALUE"""),43530.6666666666)</f>
        <v>43530.666666666599</v>
      </c>
      <c r="B1051" s="1">
        <f ca="1">IFERROR(__xludf.DUMMYFUNCTION("""COMPUTED_VALUE"""),43.67)</f>
        <v>43.67</v>
      </c>
      <c r="C1051" s="1">
        <f ca="1">IFERROR(__xludf.DUMMYFUNCTION("""COMPUTED_VALUE"""),43.87)</f>
        <v>43.87</v>
      </c>
      <c r="D1051" s="1">
        <f ca="1">IFERROR(__xludf.DUMMYFUNCTION("""COMPUTED_VALUE"""),43.49)</f>
        <v>43.49</v>
      </c>
      <c r="E1051" s="1">
        <f ca="1">IFERROR(__xludf.DUMMYFUNCTION("""COMPUTED_VALUE"""),43.63)</f>
        <v>43.63</v>
      </c>
      <c r="F1051" s="1">
        <f ca="1">IFERROR(__xludf.DUMMYFUNCTION("""COMPUTED_VALUE"""),20810384)</f>
        <v>20810384</v>
      </c>
    </row>
    <row r="1052" spans="1:6" x14ac:dyDescent="0.35">
      <c r="A1052" s="2">
        <f ca="1">IFERROR(__xludf.DUMMYFUNCTION("""COMPUTED_VALUE"""),43531.6666666666)</f>
        <v>43531.666666666599</v>
      </c>
      <c r="B1052" s="1">
        <f ca="1">IFERROR(__xludf.DUMMYFUNCTION("""COMPUTED_VALUE"""),43.47)</f>
        <v>43.47</v>
      </c>
      <c r="C1052" s="1">
        <f ca="1">IFERROR(__xludf.DUMMYFUNCTION("""COMPUTED_VALUE"""),43.61)</f>
        <v>43.61</v>
      </c>
      <c r="D1052" s="1">
        <f ca="1">IFERROR(__xludf.DUMMYFUNCTION("""COMPUTED_VALUE"""),43.01)</f>
        <v>43.01</v>
      </c>
      <c r="E1052" s="1">
        <f ca="1">IFERROR(__xludf.DUMMYFUNCTION("""COMPUTED_VALUE"""),43.13)</f>
        <v>43.13</v>
      </c>
      <c r="F1052" s="1">
        <f ca="1">IFERROR(__xludf.DUMMYFUNCTION("""COMPUTED_VALUE"""),24796374)</f>
        <v>24796374</v>
      </c>
    </row>
    <row r="1053" spans="1:6" x14ac:dyDescent="0.35">
      <c r="A1053" s="2">
        <f ca="1">IFERROR(__xludf.DUMMYFUNCTION("""COMPUTED_VALUE"""),43532.6666666666)</f>
        <v>43532.666666666599</v>
      </c>
      <c r="B1053" s="1">
        <f ca="1">IFERROR(__xludf.DUMMYFUNCTION("""COMPUTED_VALUE"""),42.58)</f>
        <v>42.58</v>
      </c>
      <c r="C1053" s="1">
        <f ca="1">IFERROR(__xludf.DUMMYFUNCTION("""COMPUTED_VALUE"""),43.27)</f>
        <v>43.27</v>
      </c>
      <c r="D1053" s="1">
        <f ca="1">IFERROR(__xludf.DUMMYFUNCTION("""COMPUTED_VALUE"""),42.38)</f>
        <v>42.38</v>
      </c>
      <c r="E1053" s="1">
        <f ca="1">IFERROR(__xludf.DUMMYFUNCTION("""COMPUTED_VALUE"""),43.23)</f>
        <v>43.23</v>
      </c>
      <c r="F1053" s="1">
        <f ca="1">IFERROR(__xludf.DUMMYFUNCTION("""COMPUTED_VALUE"""),23999358)</f>
        <v>23999358</v>
      </c>
    </row>
    <row r="1054" spans="1:6" x14ac:dyDescent="0.35">
      <c r="A1054" s="2">
        <f ca="1">IFERROR(__xludf.DUMMYFUNCTION("""COMPUTED_VALUE"""),43535.6666666666)</f>
        <v>43535.666666666599</v>
      </c>
      <c r="B1054" s="1">
        <f ca="1">IFERROR(__xludf.DUMMYFUNCTION("""COMPUTED_VALUE"""),43.87)</f>
        <v>43.87</v>
      </c>
      <c r="C1054" s="1">
        <f ca="1">IFERROR(__xludf.DUMMYFUNCTION("""COMPUTED_VALUE"""),44.78)</f>
        <v>44.78</v>
      </c>
      <c r="D1054" s="1">
        <f ca="1">IFERROR(__xludf.DUMMYFUNCTION("""COMPUTED_VALUE"""),43.84)</f>
        <v>43.84</v>
      </c>
      <c r="E1054" s="1">
        <f ca="1">IFERROR(__xludf.DUMMYFUNCTION("""COMPUTED_VALUE"""),44.73)</f>
        <v>44.73</v>
      </c>
      <c r="F1054" s="1">
        <f ca="1">IFERROR(__xludf.DUMMYFUNCTION("""COMPUTED_VALUE"""),32011034)</f>
        <v>32011034</v>
      </c>
    </row>
    <row r="1055" spans="1:6" x14ac:dyDescent="0.35">
      <c r="A1055" s="2">
        <f ca="1">IFERROR(__xludf.DUMMYFUNCTION("""COMPUTED_VALUE"""),43536.6666666666)</f>
        <v>43536.666666666599</v>
      </c>
      <c r="B1055" s="1">
        <f ca="1">IFERROR(__xludf.DUMMYFUNCTION("""COMPUTED_VALUE"""),45)</f>
        <v>45</v>
      </c>
      <c r="C1055" s="1">
        <f ca="1">IFERROR(__xludf.DUMMYFUNCTION("""COMPUTED_VALUE"""),45.67)</f>
        <v>45.67</v>
      </c>
      <c r="D1055" s="1">
        <f ca="1">IFERROR(__xludf.DUMMYFUNCTION("""COMPUTED_VALUE"""),44.84)</f>
        <v>44.84</v>
      </c>
      <c r="E1055" s="1">
        <f ca="1">IFERROR(__xludf.DUMMYFUNCTION("""COMPUTED_VALUE"""),45.23)</f>
        <v>45.23</v>
      </c>
      <c r="F1055" s="1">
        <f ca="1">IFERROR(__xludf.DUMMYFUNCTION("""COMPUTED_VALUE"""),32467584)</f>
        <v>32467584</v>
      </c>
    </row>
    <row r="1056" spans="1:6" x14ac:dyDescent="0.35">
      <c r="A1056" s="2">
        <f ca="1">IFERROR(__xludf.DUMMYFUNCTION("""COMPUTED_VALUE"""),43537.6666666666)</f>
        <v>43537.666666666599</v>
      </c>
      <c r="B1056" s="1">
        <f ca="1">IFERROR(__xludf.DUMMYFUNCTION("""COMPUTED_VALUE"""),45.56)</f>
        <v>45.56</v>
      </c>
      <c r="C1056" s="1">
        <f ca="1">IFERROR(__xludf.DUMMYFUNCTION("""COMPUTED_VALUE"""),45.83)</f>
        <v>45.83</v>
      </c>
      <c r="D1056" s="1">
        <f ca="1">IFERROR(__xludf.DUMMYFUNCTION("""COMPUTED_VALUE"""),45.23)</f>
        <v>45.23</v>
      </c>
      <c r="E1056" s="1">
        <f ca="1">IFERROR(__xludf.DUMMYFUNCTION("""COMPUTED_VALUE"""),45.43)</f>
        <v>45.43</v>
      </c>
      <c r="F1056" s="1">
        <f ca="1">IFERROR(__xludf.DUMMYFUNCTION("""COMPUTED_VALUE"""),31032524)</f>
        <v>31032524</v>
      </c>
    </row>
    <row r="1057" spans="1:6" x14ac:dyDescent="0.35">
      <c r="A1057" s="2">
        <f ca="1">IFERROR(__xludf.DUMMYFUNCTION("""COMPUTED_VALUE"""),43538.6666666666)</f>
        <v>43538.666666666599</v>
      </c>
      <c r="B1057" s="1">
        <f ca="1">IFERROR(__xludf.DUMMYFUNCTION("""COMPUTED_VALUE"""),45.98)</f>
        <v>45.98</v>
      </c>
      <c r="C1057" s="1">
        <f ca="1">IFERROR(__xludf.DUMMYFUNCTION("""COMPUTED_VALUE"""),46.03)</f>
        <v>46.03</v>
      </c>
      <c r="D1057" s="1">
        <f ca="1">IFERROR(__xludf.DUMMYFUNCTION("""COMPUTED_VALUE"""),45.64)</f>
        <v>45.64</v>
      </c>
      <c r="E1057" s="1">
        <f ca="1">IFERROR(__xludf.DUMMYFUNCTION("""COMPUTED_VALUE"""),45.93)</f>
        <v>45.93</v>
      </c>
      <c r="F1057" s="1">
        <f ca="1">IFERROR(__xludf.DUMMYFUNCTION("""COMPUTED_VALUE"""),23579508)</f>
        <v>23579508</v>
      </c>
    </row>
    <row r="1058" spans="1:6" x14ac:dyDescent="0.35">
      <c r="A1058" s="2">
        <f ca="1">IFERROR(__xludf.DUMMYFUNCTION("""COMPUTED_VALUE"""),43539.6666666666)</f>
        <v>43539.666666666599</v>
      </c>
      <c r="B1058" s="1">
        <f ca="1">IFERROR(__xludf.DUMMYFUNCTION("""COMPUTED_VALUE"""),46.21)</f>
        <v>46.21</v>
      </c>
      <c r="C1058" s="1">
        <f ca="1">IFERROR(__xludf.DUMMYFUNCTION("""COMPUTED_VALUE"""),46.83)</f>
        <v>46.83</v>
      </c>
      <c r="D1058" s="1">
        <f ca="1">IFERROR(__xludf.DUMMYFUNCTION("""COMPUTED_VALUE"""),45.94)</f>
        <v>45.94</v>
      </c>
      <c r="E1058" s="1">
        <f ca="1">IFERROR(__xludf.DUMMYFUNCTION("""COMPUTED_VALUE"""),46.53)</f>
        <v>46.53</v>
      </c>
      <c r="F1058" s="1">
        <f ca="1">IFERROR(__xludf.DUMMYFUNCTION("""COMPUTED_VALUE"""),39042912)</f>
        <v>39042912</v>
      </c>
    </row>
    <row r="1059" spans="1:6" x14ac:dyDescent="0.35">
      <c r="A1059" s="2">
        <f ca="1">IFERROR(__xludf.DUMMYFUNCTION("""COMPUTED_VALUE"""),43542.6666666666)</f>
        <v>43542.666666666599</v>
      </c>
      <c r="B1059" s="1">
        <f ca="1">IFERROR(__xludf.DUMMYFUNCTION("""COMPUTED_VALUE"""),46.45)</f>
        <v>46.45</v>
      </c>
      <c r="C1059" s="1">
        <f ca="1">IFERROR(__xludf.DUMMYFUNCTION("""COMPUTED_VALUE"""),47.1)</f>
        <v>47.1</v>
      </c>
      <c r="D1059" s="1">
        <f ca="1">IFERROR(__xludf.DUMMYFUNCTION("""COMPUTED_VALUE"""),46.45)</f>
        <v>46.45</v>
      </c>
      <c r="E1059" s="1">
        <f ca="1">IFERROR(__xludf.DUMMYFUNCTION("""COMPUTED_VALUE"""),47.01)</f>
        <v>47.01</v>
      </c>
      <c r="F1059" s="1">
        <f ca="1">IFERROR(__xludf.DUMMYFUNCTION("""COMPUTED_VALUE"""),26219832)</f>
        <v>26219832</v>
      </c>
    </row>
    <row r="1060" spans="1:6" x14ac:dyDescent="0.35">
      <c r="A1060" s="2">
        <f ca="1">IFERROR(__xludf.DUMMYFUNCTION("""COMPUTED_VALUE"""),43543.6666666666)</f>
        <v>43543.666666666599</v>
      </c>
      <c r="B1060" s="1">
        <f ca="1">IFERROR(__xludf.DUMMYFUNCTION("""COMPUTED_VALUE"""),47.09)</f>
        <v>47.09</v>
      </c>
      <c r="C1060" s="1">
        <f ca="1">IFERROR(__xludf.DUMMYFUNCTION("""COMPUTED_VALUE"""),47.25)</f>
        <v>47.25</v>
      </c>
      <c r="D1060" s="1">
        <f ca="1">IFERROR(__xludf.DUMMYFUNCTION("""COMPUTED_VALUE"""),46.48)</f>
        <v>46.48</v>
      </c>
      <c r="E1060" s="1">
        <f ca="1">IFERROR(__xludf.DUMMYFUNCTION("""COMPUTED_VALUE"""),46.63)</f>
        <v>46.63</v>
      </c>
      <c r="F1060" s="1">
        <f ca="1">IFERROR(__xludf.DUMMYFUNCTION("""COMPUTED_VALUE"""),31646369)</f>
        <v>31646369</v>
      </c>
    </row>
    <row r="1061" spans="1:6" x14ac:dyDescent="0.35">
      <c r="A1061" s="2">
        <f ca="1">IFERROR(__xludf.DUMMYFUNCTION("""COMPUTED_VALUE"""),43544.6666666666)</f>
        <v>43544.666666666599</v>
      </c>
      <c r="B1061" s="1">
        <f ca="1">IFERROR(__xludf.DUMMYFUNCTION("""COMPUTED_VALUE"""),46.56)</f>
        <v>46.56</v>
      </c>
      <c r="C1061" s="1">
        <f ca="1">IFERROR(__xludf.DUMMYFUNCTION("""COMPUTED_VALUE"""),47.37)</f>
        <v>47.37</v>
      </c>
      <c r="D1061" s="1">
        <f ca="1">IFERROR(__xludf.DUMMYFUNCTION("""COMPUTED_VALUE"""),46.18)</f>
        <v>46.18</v>
      </c>
      <c r="E1061" s="1">
        <f ca="1">IFERROR(__xludf.DUMMYFUNCTION("""COMPUTED_VALUE"""),47.04)</f>
        <v>47.04</v>
      </c>
      <c r="F1061" s="1">
        <f ca="1">IFERROR(__xludf.DUMMYFUNCTION("""COMPUTED_VALUE"""),31035231)</f>
        <v>31035231</v>
      </c>
    </row>
    <row r="1062" spans="1:6" x14ac:dyDescent="0.35">
      <c r="A1062" s="2">
        <f ca="1">IFERROR(__xludf.DUMMYFUNCTION("""COMPUTED_VALUE"""),43545.6666666666)</f>
        <v>43545.666666666599</v>
      </c>
      <c r="B1062" s="1">
        <f ca="1">IFERROR(__xludf.DUMMYFUNCTION("""COMPUTED_VALUE"""),47.51)</f>
        <v>47.51</v>
      </c>
      <c r="C1062" s="1">
        <f ca="1">IFERROR(__xludf.DUMMYFUNCTION("""COMPUTED_VALUE"""),49.08)</f>
        <v>49.08</v>
      </c>
      <c r="D1062" s="1">
        <f ca="1">IFERROR(__xludf.DUMMYFUNCTION("""COMPUTED_VALUE"""),47.45)</f>
        <v>47.45</v>
      </c>
      <c r="E1062" s="1">
        <f ca="1">IFERROR(__xludf.DUMMYFUNCTION("""COMPUTED_VALUE"""),48.77)</f>
        <v>48.77</v>
      </c>
      <c r="F1062" s="1">
        <f ca="1">IFERROR(__xludf.DUMMYFUNCTION("""COMPUTED_VALUE"""),51034237)</f>
        <v>51034237</v>
      </c>
    </row>
    <row r="1063" spans="1:6" x14ac:dyDescent="0.35">
      <c r="A1063" s="2">
        <f ca="1">IFERROR(__xludf.DUMMYFUNCTION("""COMPUTED_VALUE"""),43546.6666666666)</f>
        <v>43546.666666666599</v>
      </c>
      <c r="B1063" s="1">
        <f ca="1">IFERROR(__xludf.DUMMYFUNCTION("""COMPUTED_VALUE"""),48.84)</f>
        <v>48.84</v>
      </c>
      <c r="C1063" s="1">
        <f ca="1">IFERROR(__xludf.DUMMYFUNCTION("""COMPUTED_VALUE"""),49.42)</f>
        <v>49.42</v>
      </c>
      <c r="D1063" s="1">
        <f ca="1">IFERROR(__xludf.DUMMYFUNCTION("""COMPUTED_VALUE"""),47.7)</f>
        <v>47.7</v>
      </c>
      <c r="E1063" s="1">
        <f ca="1">IFERROR(__xludf.DUMMYFUNCTION("""COMPUTED_VALUE"""),47.76)</f>
        <v>47.76</v>
      </c>
      <c r="F1063" s="1">
        <f ca="1">IFERROR(__xludf.DUMMYFUNCTION("""COMPUTED_VALUE"""),42407666)</f>
        <v>42407666</v>
      </c>
    </row>
    <row r="1064" spans="1:6" x14ac:dyDescent="0.35">
      <c r="A1064" s="2">
        <f ca="1">IFERROR(__xludf.DUMMYFUNCTION("""COMPUTED_VALUE"""),43549.6666666666)</f>
        <v>43549.666666666599</v>
      </c>
      <c r="B1064" s="1">
        <f ca="1">IFERROR(__xludf.DUMMYFUNCTION("""COMPUTED_VALUE"""),47.88)</f>
        <v>47.88</v>
      </c>
      <c r="C1064" s="1">
        <f ca="1">IFERROR(__xludf.DUMMYFUNCTION("""COMPUTED_VALUE"""),48)</f>
        <v>48</v>
      </c>
      <c r="D1064" s="1">
        <f ca="1">IFERROR(__xludf.DUMMYFUNCTION("""COMPUTED_VALUE"""),46.65)</f>
        <v>46.65</v>
      </c>
      <c r="E1064" s="1">
        <f ca="1">IFERROR(__xludf.DUMMYFUNCTION("""COMPUTED_VALUE"""),47.19)</f>
        <v>47.19</v>
      </c>
      <c r="F1064" s="1">
        <f ca="1">IFERROR(__xludf.DUMMYFUNCTION("""COMPUTED_VALUE"""),43845293)</f>
        <v>43845293</v>
      </c>
    </row>
    <row r="1065" spans="1:6" x14ac:dyDescent="0.35">
      <c r="A1065" s="2">
        <f ca="1">IFERROR(__xludf.DUMMYFUNCTION("""COMPUTED_VALUE"""),43550.6666666666)</f>
        <v>43550.666666666599</v>
      </c>
      <c r="B1065" s="1">
        <f ca="1">IFERROR(__xludf.DUMMYFUNCTION("""COMPUTED_VALUE"""),47.92)</f>
        <v>47.92</v>
      </c>
      <c r="C1065" s="1">
        <f ca="1">IFERROR(__xludf.DUMMYFUNCTION("""COMPUTED_VALUE"""),48.22)</f>
        <v>48.22</v>
      </c>
      <c r="D1065" s="1">
        <f ca="1">IFERROR(__xludf.DUMMYFUNCTION("""COMPUTED_VALUE"""),46.15)</f>
        <v>46.15</v>
      </c>
      <c r="E1065" s="1">
        <f ca="1">IFERROR(__xludf.DUMMYFUNCTION("""COMPUTED_VALUE"""),46.7)</f>
        <v>46.7</v>
      </c>
      <c r="F1065" s="1">
        <f ca="1">IFERROR(__xludf.DUMMYFUNCTION("""COMPUTED_VALUE"""),49800538)</f>
        <v>49800538</v>
      </c>
    </row>
    <row r="1066" spans="1:6" x14ac:dyDescent="0.35">
      <c r="A1066" s="2">
        <f ca="1">IFERROR(__xludf.DUMMYFUNCTION("""COMPUTED_VALUE"""),43551.6666666666)</f>
        <v>43551.666666666599</v>
      </c>
      <c r="B1066" s="1">
        <f ca="1">IFERROR(__xludf.DUMMYFUNCTION("""COMPUTED_VALUE"""),47.19)</f>
        <v>47.19</v>
      </c>
      <c r="C1066" s="1">
        <f ca="1">IFERROR(__xludf.DUMMYFUNCTION("""COMPUTED_VALUE"""),47.44)</f>
        <v>47.44</v>
      </c>
      <c r="D1066" s="1">
        <f ca="1">IFERROR(__xludf.DUMMYFUNCTION("""COMPUTED_VALUE"""),46.64)</f>
        <v>46.64</v>
      </c>
      <c r="E1066" s="1">
        <f ca="1">IFERROR(__xludf.DUMMYFUNCTION("""COMPUTED_VALUE"""),47.12)</f>
        <v>47.12</v>
      </c>
      <c r="F1066" s="1">
        <f ca="1">IFERROR(__xludf.DUMMYFUNCTION("""COMPUTED_VALUE"""),29848427)</f>
        <v>29848427</v>
      </c>
    </row>
    <row r="1067" spans="1:6" x14ac:dyDescent="0.35">
      <c r="A1067" s="2">
        <f ca="1">IFERROR(__xludf.DUMMYFUNCTION("""COMPUTED_VALUE"""),43552.6666666666)</f>
        <v>43552.666666666599</v>
      </c>
      <c r="B1067" s="1">
        <f ca="1">IFERROR(__xludf.DUMMYFUNCTION("""COMPUTED_VALUE"""),47.24)</f>
        <v>47.24</v>
      </c>
      <c r="C1067" s="1">
        <f ca="1">IFERROR(__xludf.DUMMYFUNCTION("""COMPUTED_VALUE"""),47.39)</f>
        <v>47.39</v>
      </c>
      <c r="D1067" s="1">
        <f ca="1">IFERROR(__xludf.DUMMYFUNCTION("""COMPUTED_VALUE"""),46.88)</f>
        <v>46.88</v>
      </c>
      <c r="E1067" s="1">
        <f ca="1">IFERROR(__xludf.DUMMYFUNCTION("""COMPUTED_VALUE"""),47.18)</f>
        <v>47.18</v>
      </c>
      <c r="F1067" s="1">
        <f ca="1">IFERROR(__xludf.DUMMYFUNCTION("""COMPUTED_VALUE"""),20780363)</f>
        <v>20780363</v>
      </c>
    </row>
    <row r="1068" spans="1:6" x14ac:dyDescent="0.35">
      <c r="A1068" s="2">
        <f ca="1">IFERROR(__xludf.DUMMYFUNCTION("""COMPUTED_VALUE"""),43553.6666666666)</f>
        <v>43553.666666666599</v>
      </c>
      <c r="B1068" s="1">
        <f ca="1">IFERROR(__xludf.DUMMYFUNCTION("""COMPUTED_VALUE"""),47.46)</f>
        <v>47.46</v>
      </c>
      <c r="C1068" s="1">
        <f ca="1">IFERROR(__xludf.DUMMYFUNCTION("""COMPUTED_VALUE"""),47.52)</f>
        <v>47.52</v>
      </c>
      <c r="D1068" s="1">
        <f ca="1">IFERROR(__xludf.DUMMYFUNCTION("""COMPUTED_VALUE"""),47.14)</f>
        <v>47.14</v>
      </c>
      <c r="E1068" s="1">
        <f ca="1">IFERROR(__xludf.DUMMYFUNCTION("""COMPUTED_VALUE"""),47.49)</f>
        <v>47.49</v>
      </c>
      <c r="F1068" s="1">
        <f ca="1">IFERROR(__xludf.DUMMYFUNCTION("""COMPUTED_VALUE"""),23563961)</f>
        <v>23563961</v>
      </c>
    </row>
    <row r="1069" spans="1:6" x14ac:dyDescent="0.35">
      <c r="A1069" s="2">
        <f ca="1">IFERROR(__xludf.DUMMYFUNCTION("""COMPUTED_VALUE"""),43556.6666666666)</f>
        <v>43556.666666666599</v>
      </c>
      <c r="B1069" s="1">
        <f ca="1">IFERROR(__xludf.DUMMYFUNCTION("""COMPUTED_VALUE"""),47.91)</f>
        <v>47.91</v>
      </c>
      <c r="C1069" s="1">
        <f ca="1">IFERROR(__xludf.DUMMYFUNCTION("""COMPUTED_VALUE"""),47.92)</f>
        <v>47.92</v>
      </c>
      <c r="D1069" s="1">
        <f ca="1">IFERROR(__xludf.DUMMYFUNCTION("""COMPUTED_VALUE"""),47.1)</f>
        <v>47.1</v>
      </c>
      <c r="E1069" s="1">
        <f ca="1">IFERROR(__xludf.DUMMYFUNCTION("""COMPUTED_VALUE"""),47.81)</f>
        <v>47.81</v>
      </c>
      <c r="F1069" s="1">
        <f ca="1">IFERROR(__xludf.DUMMYFUNCTION("""COMPUTED_VALUE"""),27861964)</f>
        <v>27861964</v>
      </c>
    </row>
    <row r="1070" spans="1:6" x14ac:dyDescent="0.35">
      <c r="A1070" s="2">
        <f ca="1">IFERROR(__xludf.DUMMYFUNCTION("""COMPUTED_VALUE"""),43557.6666666666)</f>
        <v>43557.666666666599</v>
      </c>
      <c r="B1070" s="1">
        <f ca="1">IFERROR(__xludf.DUMMYFUNCTION("""COMPUTED_VALUE"""),47.77)</f>
        <v>47.77</v>
      </c>
      <c r="C1070" s="1">
        <f ca="1">IFERROR(__xludf.DUMMYFUNCTION("""COMPUTED_VALUE"""),48.62)</f>
        <v>48.62</v>
      </c>
      <c r="D1070" s="1">
        <f ca="1">IFERROR(__xludf.DUMMYFUNCTION("""COMPUTED_VALUE"""),47.76)</f>
        <v>47.76</v>
      </c>
      <c r="E1070" s="1">
        <f ca="1">IFERROR(__xludf.DUMMYFUNCTION("""COMPUTED_VALUE"""),48.51)</f>
        <v>48.51</v>
      </c>
      <c r="F1070" s="1">
        <f ca="1">IFERROR(__xludf.DUMMYFUNCTION("""COMPUTED_VALUE"""),22765732)</f>
        <v>22765732</v>
      </c>
    </row>
    <row r="1071" spans="1:6" x14ac:dyDescent="0.35">
      <c r="A1071" s="2">
        <f ca="1">IFERROR(__xludf.DUMMYFUNCTION("""COMPUTED_VALUE"""),43558.6666666666)</f>
        <v>43558.666666666599</v>
      </c>
      <c r="B1071" s="1">
        <f ca="1">IFERROR(__xludf.DUMMYFUNCTION("""COMPUTED_VALUE"""),48.31)</f>
        <v>48.31</v>
      </c>
      <c r="C1071" s="1">
        <f ca="1">IFERROR(__xludf.DUMMYFUNCTION("""COMPUTED_VALUE"""),49.13)</f>
        <v>49.13</v>
      </c>
      <c r="D1071" s="1">
        <f ca="1">IFERROR(__xludf.DUMMYFUNCTION("""COMPUTED_VALUE"""),48.29)</f>
        <v>48.29</v>
      </c>
      <c r="E1071" s="1">
        <f ca="1">IFERROR(__xludf.DUMMYFUNCTION("""COMPUTED_VALUE"""),48.84)</f>
        <v>48.84</v>
      </c>
      <c r="F1071" s="1">
        <f ca="1">IFERROR(__xludf.DUMMYFUNCTION("""COMPUTED_VALUE"""),23271830)</f>
        <v>23271830</v>
      </c>
    </row>
    <row r="1072" spans="1:6" x14ac:dyDescent="0.35">
      <c r="A1072" s="2">
        <f ca="1">IFERROR(__xludf.DUMMYFUNCTION("""COMPUTED_VALUE"""),43559.6666666666)</f>
        <v>43559.666666666599</v>
      </c>
      <c r="B1072" s="1">
        <f ca="1">IFERROR(__xludf.DUMMYFUNCTION("""COMPUTED_VALUE"""),48.7)</f>
        <v>48.7</v>
      </c>
      <c r="C1072" s="1">
        <f ca="1">IFERROR(__xludf.DUMMYFUNCTION("""COMPUTED_VALUE"""),49.09)</f>
        <v>49.09</v>
      </c>
      <c r="D1072" s="1">
        <f ca="1">IFERROR(__xludf.DUMMYFUNCTION("""COMPUTED_VALUE"""),48.29)</f>
        <v>48.29</v>
      </c>
      <c r="E1072" s="1">
        <f ca="1">IFERROR(__xludf.DUMMYFUNCTION("""COMPUTED_VALUE"""),48.92)</f>
        <v>48.92</v>
      </c>
      <c r="F1072" s="1">
        <f ca="1">IFERROR(__xludf.DUMMYFUNCTION("""COMPUTED_VALUE"""),19114275)</f>
        <v>19114275</v>
      </c>
    </row>
    <row r="1073" spans="1:6" x14ac:dyDescent="0.35">
      <c r="A1073" s="2">
        <f ca="1">IFERROR(__xludf.DUMMYFUNCTION("""COMPUTED_VALUE"""),43560.6666666666)</f>
        <v>43560.666666666599</v>
      </c>
      <c r="B1073" s="1">
        <f ca="1">IFERROR(__xludf.DUMMYFUNCTION("""COMPUTED_VALUE"""),49.11)</f>
        <v>49.11</v>
      </c>
      <c r="C1073" s="1">
        <f ca="1">IFERROR(__xludf.DUMMYFUNCTION("""COMPUTED_VALUE"""),49.28)</f>
        <v>49.28</v>
      </c>
      <c r="D1073" s="1">
        <f ca="1">IFERROR(__xludf.DUMMYFUNCTION("""COMPUTED_VALUE"""),48.98)</f>
        <v>48.98</v>
      </c>
      <c r="E1073" s="1">
        <f ca="1">IFERROR(__xludf.DUMMYFUNCTION("""COMPUTED_VALUE"""),49.25)</f>
        <v>49.25</v>
      </c>
      <c r="F1073" s="1">
        <f ca="1">IFERROR(__xludf.DUMMYFUNCTION("""COMPUTED_VALUE"""),18526644)</f>
        <v>18526644</v>
      </c>
    </row>
    <row r="1074" spans="1:6" x14ac:dyDescent="0.35">
      <c r="A1074" s="2">
        <f ca="1">IFERROR(__xludf.DUMMYFUNCTION("""COMPUTED_VALUE"""),43563.6666666666)</f>
        <v>43563.666666666599</v>
      </c>
      <c r="B1074" s="1">
        <f ca="1">IFERROR(__xludf.DUMMYFUNCTION("""COMPUTED_VALUE"""),49.11)</f>
        <v>49.11</v>
      </c>
      <c r="C1074" s="1">
        <f ca="1">IFERROR(__xludf.DUMMYFUNCTION("""COMPUTED_VALUE"""),50.06)</f>
        <v>50.06</v>
      </c>
      <c r="D1074" s="1">
        <f ca="1">IFERROR(__xludf.DUMMYFUNCTION("""COMPUTED_VALUE"""),49.09)</f>
        <v>49.09</v>
      </c>
      <c r="E1074" s="1">
        <f ca="1">IFERROR(__xludf.DUMMYFUNCTION("""COMPUTED_VALUE"""),50.03)</f>
        <v>50.03</v>
      </c>
      <c r="F1074" s="1">
        <f ca="1">IFERROR(__xludf.DUMMYFUNCTION("""COMPUTED_VALUE"""),25881697)</f>
        <v>25881697</v>
      </c>
    </row>
    <row r="1075" spans="1:6" x14ac:dyDescent="0.35">
      <c r="A1075" s="2">
        <f ca="1">IFERROR(__xludf.DUMMYFUNCTION("""COMPUTED_VALUE"""),43564.6666666666)</f>
        <v>43564.666666666599</v>
      </c>
      <c r="B1075" s="1">
        <f ca="1">IFERROR(__xludf.DUMMYFUNCTION("""COMPUTED_VALUE"""),50.08)</f>
        <v>50.08</v>
      </c>
      <c r="C1075" s="1">
        <f ca="1">IFERROR(__xludf.DUMMYFUNCTION("""COMPUTED_VALUE"""),50.71)</f>
        <v>50.71</v>
      </c>
      <c r="D1075" s="1">
        <f ca="1">IFERROR(__xludf.DUMMYFUNCTION("""COMPUTED_VALUE"""),49.81)</f>
        <v>49.81</v>
      </c>
      <c r="E1075" s="1">
        <f ca="1">IFERROR(__xludf.DUMMYFUNCTION("""COMPUTED_VALUE"""),49.88)</f>
        <v>49.88</v>
      </c>
      <c r="F1075" s="1">
        <f ca="1">IFERROR(__xludf.DUMMYFUNCTION("""COMPUTED_VALUE"""),35768237)</f>
        <v>35768237</v>
      </c>
    </row>
    <row r="1076" spans="1:6" x14ac:dyDescent="0.35">
      <c r="A1076" s="2">
        <f ca="1">IFERROR(__xludf.DUMMYFUNCTION("""COMPUTED_VALUE"""),43565.6666666666)</f>
        <v>43565.666666666599</v>
      </c>
      <c r="B1076" s="1">
        <f ca="1">IFERROR(__xludf.DUMMYFUNCTION("""COMPUTED_VALUE"""),49.67)</f>
        <v>49.67</v>
      </c>
      <c r="C1076" s="1">
        <f ca="1">IFERROR(__xludf.DUMMYFUNCTION("""COMPUTED_VALUE"""),50.19)</f>
        <v>50.19</v>
      </c>
      <c r="D1076" s="1">
        <f ca="1">IFERROR(__xludf.DUMMYFUNCTION("""COMPUTED_VALUE"""),49.55)</f>
        <v>49.55</v>
      </c>
      <c r="E1076" s="1">
        <f ca="1">IFERROR(__xludf.DUMMYFUNCTION("""COMPUTED_VALUE"""),50.16)</f>
        <v>50.16</v>
      </c>
      <c r="F1076" s="1">
        <f ca="1">IFERROR(__xludf.DUMMYFUNCTION("""COMPUTED_VALUE"""),21695288)</f>
        <v>21695288</v>
      </c>
    </row>
    <row r="1077" spans="1:6" x14ac:dyDescent="0.35">
      <c r="A1077" s="2">
        <f ca="1">IFERROR(__xludf.DUMMYFUNCTION("""COMPUTED_VALUE"""),43566.6666666666)</f>
        <v>43566.666666666599</v>
      </c>
      <c r="B1077" s="1">
        <f ca="1">IFERROR(__xludf.DUMMYFUNCTION("""COMPUTED_VALUE"""),50.21)</f>
        <v>50.21</v>
      </c>
      <c r="C1077" s="1">
        <f ca="1">IFERROR(__xludf.DUMMYFUNCTION("""COMPUTED_VALUE"""),50.25)</f>
        <v>50.25</v>
      </c>
      <c r="D1077" s="1">
        <f ca="1">IFERROR(__xludf.DUMMYFUNCTION("""COMPUTED_VALUE"""),49.61)</f>
        <v>49.61</v>
      </c>
      <c r="E1077" s="1">
        <f ca="1">IFERROR(__xludf.DUMMYFUNCTION("""COMPUTED_VALUE"""),49.74)</f>
        <v>49.74</v>
      </c>
      <c r="F1077" s="1">
        <f ca="1">IFERROR(__xludf.DUMMYFUNCTION("""COMPUTED_VALUE"""),20900808)</f>
        <v>20900808</v>
      </c>
    </row>
    <row r="1078" spans="1:6" x14ac:dyDescent="0.35">
      <c r="A1078" s="2">
        <f ca="1">IFERROR(__xludf.DUMMYFUNCTION("""COMPUTED_VALUE"""),43567.6666666666)</f>
        <v>43567.666666666599</v>
      </c>
      <c r="B1078" s="1">
        <f ca="1">IFERROR(__xludf.DUMMYFUNCTION("""COMPUTED_VALUE"""),49.8)</f>
        <v>49.8</v>
      </c>
      <c r="C1078" s="1">
        <f ca="1">IFERROR(__xludf.DUMMYFUNCTION("""COMPUTED_VALUE"""),50.04)</f>
        <v>50.04</v>
      </c>
      <c r="D1078" s="1">
        <f ca="1">IFERROR(__xludf.DUMMYFUNCTION("""COMPUTED_VALUE"""),49.05)</f>
        <v>49.05</v>
      </c>
      <c r="E1078" s="1">
        <f ca="1">IFERROR(__xludf.DUMMYFUNCTION("""COMPUTED_VALUE"""),49.72)</f>
        <v>49.72</v>
      </c>
      <c r="F1078" s="1">
        <f ca="1">IFERROR(__xludf.DUMMYFUNCTION("""COMPUTED_VALUE"""),27760668)</f>
        <v>27760668</v>
      </c>
    </row>
    <row r="1079" spans="1:6" x14ac:dyDescent="0.35">
      <c r="A1079" s="2">
        <f ca="1">IFERROR(__xludf.DUMMYFUNCTION("""COMPUTED_VALUE"""),43570.6666666666)</f>
        <v>43570.666666666599</v>
      </c>
      <c r="B1079" s="1">
        <f ca="1">IFERROR(__xludf.DUMMYFUNCTION("""COMPUTED_VALUE"""),49.65)</f>
        <v>49.65</v>
      </c>
      <c r="C1079" s="1">
        <f ca="1">IFERROR(__xludf.DUMMYFUNCTION("""COMPUTED_VALUE"""),49.96)</f>
        <v>49.96</v>
      </c>
      <c r="D1079" s="1">
        <f ca="1">IFERROR(__xludf.DUMMYFUNCTION("""COMPUTED_VALUE"""),49.5)</f>
        <v>49.5</v>
      </c>
      <c r="E1079" s="1">
        <f ca="1">IFERROR(__xludf.DUMMYFUNCTION("""COMPUTED_VALUE"""),49.81)</f>
        <v>49.81</v>
      </c>
      <c r="F1079" s="1">
        <f ca="1">IFERROR(__xludf.DUMMYFUNCTION("""COMPUTED_VALUE"""),17536646)</f>
        <v>17536646</v>
      </c>
    </row>
    <row r="1080" spans="1:6" x14ac:dyDescent="0.35">
      <c r="A1080" s="2">
        <f ca="1">IFERROR(__xludf.DUMMYFUNCTION("""COMPUTED_VALUE"""),43571.6666666666)</f>
        <v>43571.666666666599</v>
      </c>
      <c r="B1080" s="1">
        <f ca="1">IFERROR(__xludf.DUMMYFUNCTION("""COMPUTED_VALUE"""),49.87)</f>
        <v>49.87</v>
      </c>
      <c r="C1080" s="1">
        <f ca="1">IFERROR(__xludf.DUMMYFUNCTION("""COMPUTED_VALUE"""),50.34)</f>
        <v>50.34</v>
      </c>
      <c r="D1080" s="1">
        <f ca="1">IFERROR(__xludf.DUMMYFUNCTION("""COMPUTED_VALUE"""),49.64)</f>
        <v>49.64</v>
      </c>
      <c r="E1080" s="1">
        <f ca="1">IFERROR(__xludf.DUMMYFUNCTION("""COMPUTED_VALUE"""),49.81)</f>
        <v>49.81</v>
      </c>
      <c r="F1080" s="1">
        <f ca="1">IFERROR(__xludf.DUMMYFUNCTION("""COMPUTED_VALUE"""),25696385)</f>
        <v>25696385</v>
      </c>
    </row>
    <row r="1081" spans="1:6" x14ac:dyDescent="0.35">
      <c r="A1081" s="2">
        <f ca="1">IFERROR(__xludf.DUMMYFUNCTION("""COMPUTED_VALUE"""),43572.6666666666)</f>
        <v>43572.666666666599</v>
      </c>
      <c r="B1081" s="1">
        <f ca="1">IFERROR(__xludf.DUMMYFUNCTION("""COMPUTED_VALUE"""),49.89)</f>
        <v>49.89</v>
      </c>
      <c r="C1081" s="1">
        <f ca="1">IFERROR(__xludf.DUMMYFUNCTION("""COMPUTED_VALUE"""),50.85)</f>
        <v>50.85</v>
      </c>
      <c r="D1081" s="1">
        <f ca="1">IFERROR(__xludf.DUMMYFUNCTION("""COMPUTED_VALUE"""),49.65)</f>
        <v>49.65</v>
      </c>
      <c r="E1081" s="1">
        <f ca="1">IFERROR(__xludf.DUMMYFUNCTION("""COMPUTED_VALUE"""),50.78)</f>
        <v>50.78</v>
      </c>
      <c r="F1081" s="1">
        <f ca="1">IFERROR(__xludf.DUMMYFUNCTION("""COMPUTED_VALUE"""),28906780)</f>
        <v>28906780</v>
      </c>
    </row>
    <row r="1082" spans="1:6" x14ac:dyDescent="0.35">
      <c r="A1082" s="2">
        <f ca="1">IFERROR(__xludf.DUMMYFUNCTION("""COMPUTED_VALUE"""),43573.6666666666)</f>
        <v>43573.666666666599</v>
      </c>
      <c r="B1082" s="1">
        <f ca="1">IFERROR(__xludf.DUMMYFUNCTION("""COMPUTED_VALUE"""),50.78)</f>
        <v>50.78</v>
      </c>
      <c r="C1082" s="1">
        <f ca="1">IFERROR(__xludf.DUMMYFUNCTION("""COMPUTED_VALUE"""),51.04)</f>
        <v>51.04</v>
      </c>
      <c r="D1082" s="1">
        <f ca="1">IFERROR(__xludf.DUMMYFUNCTION("""COMPUTED_VALUE"""),50.63)</f>
        <v>50.63</v>
      </c>
      <c r="E1082" s="1">
        <f ca="1">IFERROR(__xludf.DUMMYFUNCTION("""COMPUTED_VALUE"""),50.97)</f>
        <v>50.97</v>
      </c>
      <c r="F1082" s="1">
        <f ca="1">IFERROR(__xludf.DUMMYFUNCTION("""COMPUTED_VALUE"""),24195766)</f>
        <v>24195766</v>
      </c>
    </row>
    <row r="1083" spans="1:6" x14ac:dyDescent="0.35">
      <c r="A1083" s="2">
        <f ca="1">IFERROR(__xludf.DUMMYFUNCTION("""COMPUTED_VALUE"""),43577.6666666666)</f>
        <v>43577.666666666599</v>
      </c>
      <c r="B1083" s="1">
        <f ca="1">IFERROR(__xludf.DUMMYFUNCTION("""COMPUTED_VALUE"""),50.71)</f>
        <v>50.71</v>
      </c>
      <c r="C1083" s="1">
        <f ca="1">IFERROR(__xludf.DUMMYFUNCTION("""COMPUTED_VALUE"""),51.24)</f>
        <v>51.24</v>
      </c>
      <c r="D1083" s="1">
        <f ca="1">IFERROR(__xludf.DUMMYFUNCTION("""COMPUTED_VALUE"""),50.59)</f>
        <v>50.59</v>
      </c>
      <c r="E1083" s="1">
        <f ca="1">IFERROR(__xludf.DUMMYFUNCTION("""COMPUTED_VALUE"""),51.13)</f>
        <v>51.13</v>
      </c>
      <c r="F1083" s="1">
        <f ca="1">IFERROR(__xludf.DUMMYFUNCTION("""COMPUTED_VALUE"""),19439545)</f>
        <v>19439545</v>
      </c>
    </row>
    <row r="1084" spans="1:6" x14ac:dyDescent="0.35">
      <c r="A1084" s="2">
        <f ca="1">IFERROR(__xludf.DUMMYFUNCTION("""COMPUTED_VALUE"""),43578.6666666666)</f>
        <v>43578.666666666599</v>
      </c>
      <c r="B1084" s="1">
        <f ca="1">IFERROR(__xludf.DUMMYFUNCTION("""COMPUTED_VALUE"""),51.11)</f>
        <v>51.11</v>
      </c>
      <c r="C1084" s="1">
        <f ca="1">IFERROR(__xludf.DUMMYFUNCTION("""COMPUTED_VALUE"""),51.94)</f>
        <v>51.94</v>
      </c>
      <c r="D1084" s="1">
        <f ca="1">IFERROR(__xludf.DUMMYFUNCTION("""COMPUTED_VALUE"""),50.98)</f>
        <v>50.98</v>
      </c>
      <c r="E1084" s="1">
        <f ca="1">IFERROR(__xludf.DUMMYFUNCTION("""COMPUTED_VALUE"""),51.87)</f>
        <v>51.87</v>
      </c>
      <c r="F1084" s="1">
        <f ca="1">IFERROR(__xludf.DUMMYFUNCTION("""COMPUTED_VALUE"""),23322991)</f>
        <v>23322991</v>
      </c>
    </row>
    <row r="1085" spans="1:6" x14ac:dyDescent="0.35">
      <c r="A1085" s="2">
        <f ca="1">IFERROR(__xludf.DUMMYFUNCTION("""COMPUTED_VALUE"""),43579.6666666666)</f>
        <v>43579.666666666599</v>
      </c>
      <c r="B1085" s="1">
        <f ca="1">IFERROR(__xludf.DUMMYFUNCTION("""COMPUTED_VALUE"""),51.84)</f>
        <v>51.84</v>
      </c>
      <c r="C1085" s="1">
        <f ca="1">IFERROR(__xludf.DUMMYFUNCTION("""COMPUTED_VALUE"""),52.12)</f>
        <v>52.12</v>
      </c>
      <c r="D1085" s="1">
        <f ca="1">IFERROR(__xludf.DUMMYFUNCTION("""COMPUTED_VALUE"""),51.76)</f>
        <v>51.76</v>
      </c>
      <c r="E1085" s="1">
        <f ca="1">IFERROR(__xludf.DUMMYFUNCTION("""COMPUTED_VALUE"""),51.79)</f>
        <v>51.79</v>
      </c>
      <c r="F1085" s="1">
        <f ca="1">IFERROR(__xludf.DUMMYFUNCTION("""COMPUTED_VALUE"""),17540609)</f>
        <v>17540609</v>
      </c>
    </row>
    <row r="1086" spans="1:6" x14ac:dyDescent="0.35">
      <c r="A1086" s="2">
        <f ca="1">IFERROR(__xludf.DUMMYFUNCTION("""COMPUTED_VALUE"""),43580.6666666666)</f>
        <v>43580.666666666599</v>
      </c>
      <c r="B1086" s="1">
        <f ca="1">IFERROR(__xludf.DUMMYFUNCTION("""COMPUTED_VALUE"""),51.71)</f>
        <v>51.71</v>
      </c>
      <c r="C1086" s="1">
        <f ca="1">IFERROR(__xludf.DUMMYFUNCTION("""COMPUTED_VALUE"""),51.94)</f>
        <v>51.94</v>
      </c>
      <c r="D1086" s="1">
        <f ca="1">IFERROR(__xludf.DUMMYFUNCTION("""COMPUTED_VALUE"""),51.28)</f>
        <v>51.28</v>
      </c>
      <c r="E1086" s="1">
        <f ca="1">IFERROR(__xludf.DUMMYFUNCTION("""COMPUTED_VALUE"""),51.32)</f>
        <v>51.32</v>
      </c>
      <c r="F1086" s="1">
        <f ca="1">IFERROR(__xludf.DUMMYFUNCTION("""COMPUTED_VALUE"""),18543206)</f>
        <v>18543206</v>
      </c>
    </row>
    <row r="1087" spans="1:6" x14ac:dyDescent="0.35">
      <c r="A1087" s="2">
        <f ca="1">IFERROR(__xludf.DUMMYFUNCTION("""COMPUTED_VALUE"""),43581.6666666666)</f>
        <v>43581.666666666599</v>
      </c>
      <c r="B1087" s="1">
        <f ca="1">IFERROR(__xludf.DUMMYFUNCTION("""COMPUTED_VALUE"""),51.23)</f>
        <v>51.23</v>
      </c>
      <c r="C1087" s="1">
        <f ca="1">IFERROR(__xludf.DUMMYFUNCTION("""COMPUTED_VALUE"""),51.25)</f>
        <v>51.25</v>
      </c>
      <c r="D1087" s="1">
        <f ca="1">IFERROR(__xludf.DUMMYFUNCTION("""COMPUTED_VALUE"""),50.53)</f>
        <v>50.53</v>
      </c>
      <c r="E1087" s="1">
        <f ca="1">IFERROR(__xludf.DUMMYFUNCTION("""COMPUTED_VALUE"""),51.08)</f>
        <v>51.08</v>
      </c>
      <c r="F1087" s="1">
        <f ca="1">IFERROR(__xludf.DUMMYFUNCTION("""COMPUTED_VALUE"""),18649102)</f>
        <v>18649102</v>
      </c>
    </row>
    <row r="1088" spans="1:6" x14ac:dyDescent="0.35">
      <c r="A1088" s="2">
        <f ca="1">IFERROR(__xludf.DUMMYFUNCTION("""COMPUTED_VALUE"""),43584.6666666666)</f>
        <v>43584.666666666599</v>
      </c>
      <c r="B1088" s="1">
        <f ca="1">IFERROR(__xludf.DUMMYFUNCTION("""COMPUTED_VALUE"""),51.1)</f>
        <v>51.1</v>
      </c>
      <c r="C1088" s="1">
        <f ca="1">IFERROR(__xludf.DUMMYFUNCTION("""COMPUTED_VALUE"""),51.49)</f>
        <v>51.49</v>
      </c>
      <c r="D1088" s="1">
        <f ca="1">IFERROR(__xludf.DUMMYFUNCTION("""COMPUTED_VALUE"""),50.97)</f>
        <v>50.97</v>
      </c>
      <c r="E1088" s="1">
        <f ca="1">IFERROR(__xludf.DUMMYFUNCTION("""COMPUTED_VALUE"""),51.15)</f>
        <v>51.15</v>
      </c>
      <c r="F1088" s="1">
        <f ca="1">IFERROR(__xludf.DUMMYFUNCTION("""COMPUTED_VALUE"""),22204716)</f>
        <v>22204716</v>
      </c>
    </row>
    <row r="1089" spans="1:6" x14ac:dyDescent="0.35">
      <c r="A1089" s="2">
        <f ca="1">IFERROR(__xludf.DUMMYFUNCTION("""COMPUTED_VALUE"""),43585.6666666666)</f>
        <v>43585.666666666599</v>
      </c>
      <c r="B1089" s="1">
        <f ca="1">IFERROR(__xludf.DUMMYFUNCTION("""COMPUTED_VALUE"""),50.77)</f>
        <v>50.77</v>
      </c>
      <c r="C1089" s="1">
        <f ca="1">IFERROR(__xludf.DUMMYFUNCTION("""COMPUTED_VALUE"""),50.85)</f>
        <v>50.85</v>
      </c>
      <c r="D1089" s="1">
        <f ca="1">IFERROR(__xludf.DUMMYFUNCTION("""COMPUTED_VALUE"""),49.78)</f>
        <v>49.78</v>
      </c>
      <c r="E1089" s="1">
        <f ca="1">IFERROR(__xludf.DUMMYFUNCTION("""COMPUTED_VALUE"""),50.17)</f>
        <v>50.17</v>
      </c>
      <c r="F1089" s="1">
        <f ca="1">IFERROR(__xludf.DUMMYFUNCTION("""COMPUTED_VALUE"""),46534923)</f>
        <v>46534923</v>
      </c>
    </row>
    <row r="1090" spans="1:6" x14ac:dyDescent="0.35">
      <c r="A1090" s="2">
        <f ca="1">IFERROR(__xludf.DUMMYFUNCTION("""COMPUTED_VALUE"""),43586.6666666666)</f>
        <v>43586.666666666599</v>
      </c>
      <c r="B1090" s="1">
        <f ca="1">IFERROR(__xludf.DUMMYFUNCTION("""COMPUTED_VALUE"""),52.47)</f>
        <v>52.47</v>
      </c>
      <c r="C1090" s="1">
        <f ca="1">IFERROR(__xludf.DUMMYFUNCTION("""COMPUTED_VALUE"""),53.83)</f>
        <v>53.83</v>
      </c>
      <c r="D1090" s="1">
        <f ca="1">IFERROR(__xludf.DUMMYFUNCTION("""COMPUTED_VALUE"""),52.31)</f>
        <v>52.31</v>
      </c>
      <c r="E1090" s="1">
        <f ca="1">IFERROR(__xludf.DUMMYFUNCTION("""COMPUTED_VALUE"""),52.63)</f>
        <v>52.63</v>
      </c>
      <c r="F1090" s="1">
        <f ca="1">IFERROR(__xludf.DUMMYFUNCTION("""COMPUTED_VALUE"""),64827328)</f>
        <v>64827328</v>
      </c>
    </row>
    <row r="1091" spans="1:6" x14ac:dyDescent="0.35">
      <c r="A1091" s="2">
        <f ca="1">IFERROR(__xludf.DUMMYFUNCTION("""COMPUTED_VALUE"""),43587.6666666666)</f>
        <v>43587.666666666599</v>
      </c>
      <c r="B1091" s="1">
        <f ca="1">IFERROR(__xludf.DUMMYFUNCTION("""COMPUTED_VALUE"""),52.46)</f>
        <v>52.46</v>
      </c>
      <c r="C1091" s="1">
        <f ca="1">IFERROR(__xludf.DUMMYFUNCTION("""COMPUTED_VALUE"""),53.16)</f>
        <v>53.16</v>
      </c>
      <c r="D1091" s="1">
        <f ca="1">IFERROR(__xludf.DUMMYFUNCTION("""COMPUTED_VALUE"""),52.03)</f>
        <v>52.03</v>
      </c>
      <c r="E1091" s="1">
        <f ca="1">IFERROR(__xludf.DUMMYFUNCTION("""COMPUTED_VALUE"""),52.29)</f>
        <v>52.29</v>
      </c>
      <c r="F1091" s="1">
        <f ca="1">IFERROR(__xludf.DUMMYFUNCTION("""COMPUTED_VALUE"""),31996324)</f>
        <v>31996324</v>
      </c>
    </row>
    <row r="1092" spans="1:6" x14ac:dyDescent="0.35">
      <c r="A1092" s="2">
        <f ca="1">IFERROR(__xludf.DUMMYFUNCTION("""COMPUTED_VALUE"""),43588.6666666666)</f>
        <v>43588.666666666599</v>
      </c>
      <c r="B1092" s="1">
        <f ca="1">IFERROR(__xludf.DUMMYFUNCTION("""COMPUTED_VALUE"""),52.72)</f>
        <v>52.72</v>
      </c>
      <c r="C1092" s="1">
        <f ca="1">IFERROR(__xludf.DUMMYFUNCTION("""COMPUTED_VALUE"""),52.96)</f>
        <v>52.96</v>
      </c>
      <c r="D1092" s="1">
        <f ca="1">IFERROR(__xludf.DUMMYFUNCTION("""COMPUTED_VALUE"""),52.56)</f>
        <v>52.56</v>
      </c>
      <c r="E1092" s="1">
        <f ca="1">IFERROR(__xludf.DUMMYFUNCTION("""COMPUTED_VALUE"""),52.94)</f>
        <v>52.94</v>
      </c>
      <c r="F1092" s="1">
        <f ca="1">IFERROR(__xludf.DUMMYFUNCTION("""COMPUTED_VALUE"""),20892378)</f>
        <v>20892378</v>
      </c>
    </row>
    <row r="1093" spans="1:6" x14ac:dyDescent="0.35">
      <c r="A1093" s="2">
        <f ca="1">IFERROR(__xludf.DUMMYFUNCTION("""COMPUTED_VALUE"""),43591.6666666666)</f>
        <v>43591.666666666599</v>
      </c>
      <c r="B1093" s="1">
        <f ca="1">IFERROR(__xludf.DUMMYFUNCTION("""COMPUTED_VALUE"""),51.07)</f>
        <v>51.07</v>
      </c>
      <c r="C1093" s="1">
        <f ca="1">IFERROR(__xludf.DUMMYFUNCTION("""COMPUTED_VALUE"""),52.21)</f>
        <v>52.21</v>
      </c>
      <c r="D1093" s="1">
        <f ca="1">IFERROR(__xludf.DUMMYFUNCTION("""COMPUTED_VALUE"""),50.88)</f>
        <v>50.88</v>
      </c>
      <c r="E1093" s="1">
        <f ca="1">IFERROR(__xludf.DUMMYFUNCTION("""COMPUTED_VALUE"""),52.12)</f>
        <v>52.12</v>
      </c>
      <c r="F1093" s="1">
        <f ca="1">IFERROR(__xludf.DUMMYFUNCTION("""COMPUTED_VALUE"""),32443113)</f>
        <v>32443113</v>
      </c>
    </row>
    <row r="1094" spans="1:6" x14ac:dyDescent="0.35">
      <c r="A1094" s="2">
        <f ca="1">IFERROR(__xludf.DUMMYFUNCTION("""COMPUTED_VALUE"""),43592.6666666666)</f>
        <v>43592.666666666599</v>
      </c>
      <c r="B1094" s="1">
        <f ca="1">IFERROR(__xludf.DUMMYFUNCTION("""COMPUTED_VALUE"""),51.47)</f>
        <v>51.47</v>
      </c>
      <c r="C1094" s="1">
        <f ca="1">IFERROR(__xludf.DUMMYFUNCTION("""COMPUTED_VALUE"""),51.85)</f>
        <v>51.85</v>
      </c>
      <c r="D1094" s="1">
        <f ca="1">IFERROR(__xludf.DUMMYFUNCTION("""COMPUTED_VALUE"""),50.21)</f>
        <v>50.21</v>
      </c>
      <c r="E1094" s="1">
        <f ca="1">IFERROR(__xludf.DUMMYFUNCTION("""COMPUTED_VALUE"""),50.72)</f>
        <v>50.72</v>
      </c>
      <c r="F1094" s="1">
        <f ca="1">IFERROR(__xludf.DUMMYFUNCTION("""COMPUTED_VALUE"""),38763698)</f>
        <v>38763698</v>
      </c>
    </row>
    <row r="1095" spans="1:6" x14ac:dyDescent="0.35">
      <c r="A1095" s="2">
        <f ca="1">IFERROR(__xludf.DUMMYFUNCTION("""COMPUTED_VALUE"""),43593.6666666666)</f>
        <v>43593.666666666599</v>
      </c>
      <c r="B1095" s="1">
        <f ca="1">IFERROR(__xludf.DUMMYFUNCTION("""COMPUTED_VALUE"""),50.48)</f>
        <v>50.48</v>
      </c>
      <c r="C1095" s="1">
        <f ca="1">IFERROR(__xludf.DUMMYFUNCTION("""COMPUTED_VALUE"""),51.34)</f>
        <v>51.34</v>
      </c>
      <c r="D1095" s="1">
        <f ca="1">IFERROR(__xludf.DUMMYFUNCTION("""COMPUTED_VALUE"""),50.44)</f>
        <v>50.44</v>
      </c>
      <c r="E1095" s="1">
        <f ca="1">IFERROR(__xludf.DUMMYFUNCTION("""COMPUTED_VALUE"""),50.73)</f>
        <v>50.73</v>
      </c>
      <c r="F1095" s="1">
        <f ca="1">IFERROR(__xludf.DUMMYFUNCTION("""COMPUTED_VALUE"""),26339504)</f>
        <v>26339504</v>
      </c>
    </row>
    <row r="1096" spans="1:6" x14ac:dyDescent="0.35">
      <c r="A1096" s="2">
        <f ca="1">IFERROR(__xludf.DUMMYFUNCTION("""COMPUTED_VALUE"""),43594.6666666666)</f>
        <v>43594.666666666599</v>
      </c>
      <c r="B1096" s="1">
        <f ca="1">IFERROR(__xludf.DUMMYFUNCTION("""COMPUTED_VALUE"""),50.1)</f>
        <v>50.1</v>
      </c>
      <c r="C1096" s="1">
        <f ca="1">IFERROR(__xludf.DUMMYFUNCTION("""COMPUTED_VALUE"""),50.42)</f>
        <v>50.42</v>
      </c>
      <c r="D1096" s="1">
        <f ca="1">IFERROR(__xludf.DUMMYFUNCTION("""COMPUTED_VALUE"""),49.17)</f>
        <v>49.17</v>
      </c>
      <c r="E1096" s="1">
        <f ca="1">IFERROR(__xludf.DUMMYFUNCTION("""COMPUTED_VALUE"""),50.18)</f>
        <v>50.18</v>
      </c>
      <c r="F1096" s="1">
        <f ca="1">IFERROR(__xludf.DUMMYFUNCTION("""COMPUTED_VALUE"""),34908607)</f>
        <v>34908607</v>
      </c>
    </row>
    <row r="1097" spans="1:6" x14ac:dyDescent="0.35">
      <c r="A1097" s="2">
        <f ca="1">IFERROR(__xludf.DUMMYFUNCTION("""COMPUTED_VALUE"""),43595.6666666666)</f>
        <v>43595.666666666599</v>
      </c>
      <c r="B1097" s="1">
        <f ca="1">IFERROR(__xludf.DUMMYFUNCTION("""COMPUTED_VALUE"""),49.35)</f>
        <v>49.35</v>
      </c>
      <c r="C1097" s="1">
        <f ca="1">IFERROR(__xludf.DUMMYFUNCTION("""COMPUTED_VALUE"""),49.71)</f>
        <v>49.71</v>
      </c>
      <c r="D1097" s="1">
        <f ca="1">IFERROR(__xludf.DUMMYFUNCTION("""COMPUTED_VALUE"""),48.19)</f>
        <v>48.19</v>
      </c>
      <c r="E1097" s="1">
        <f ca="1">IFERROR(__xludf.DUMMYFUNCTION("""COMPUTED_VALUE"""),49.3)</f>
        <v>49.3</v>
      </c>
      <c r="F1097" s="1">
        <f ca="1">IFERROR(__xludf.DUMMYFUNCTION("""COMPUTED_VALUE"""),41208712)</f>
        <v>41208712</v>
      </c>
    </row>
    <row r="1098" spans="1:6" x14ac:dyDescent="0.35">
      <c r="A1098" s="2">
        <f ca="1">IFERROR(__xludf.DUMMYFUNCTION("""COMPUTED_VALUE"""),43598.6666666666)</f>
        <v>43598.666666666599</v>
      </c>
      <c r="B1098" s="1">
        <f ca="1">IFERROR(__xludf.DUMMYFUNCTION("""COMPUTED_VALUE"""),46.93)</f>
        <v>46.93</v>
      </c>
      <c r="C1098" s="1">
        <f ca="1">IFERROR(__xludf.DUMMYFUNCTION("""COMPUTED_VALUE"""),47.37)</f>
        <v>47.37</v>
      </c>
      <c r="D1098" s="1">
        <f ca="1">IFERROR(__xludf.DUMMYFUNCTION("""COMPUTED_VALUE"""),45.71)</f>
        <v>45.71</v>
      </c>
      <c r="E1098" s="1">
        <f ca="1">IFERROR(__xludf.DUMMYFUNCTION("""COMPUTED_VALUE"""),46.43)</f>
        <v>46.43</v>
      </c>
      <c r="F1098" s="1">
        <f ca="1">IFERROR(__xludf.DUMMYFUNCTION("""COMPUTED_VALUE"""),57430623)</f>
        <v>57430623</v>
      </c>
    </row>
    <row r="1099" spans="1:6" x14ac:dyDescent="0.35">
      <c r="A1099" s="2">
        <f ca="1">IFERROR(__xludf.DUMMYFUNCTION("""COMPUTED_VALUE"""),43599.6666666666)</f>
        <v>43599.666666666599</v>
      </c>
      <c r="B1099" s="1">
        <f ca="1">IFERROR(__xludf.DUMMYFUNCTION("""COMPUTED_VALUE"""),46.6)</f>
        <v>46.6</v>
      </c>
      <c r="C1099" s="1">
        <f ca="1">IFERROR(__xludf.DUMMYFUNCTION("""COMPUTED_VALUE"""),47.43)</f>
        <v>47.43</v>
      </c>
      <c r="D1099" s="1">
        <f ca="1">IFERROR(__xludf.DUMMYFUNCTION("""COMPUTED_VALUE"""),46.35)</f>
        <v>46.35</v>
      </c>
      <c r="E1099" s="1">
        <f ca="1">IFERROR(__xludf.DUMMYFUNCTION("""COMPUTED_VALUE"""),47.17)</f>
        <v>47.17</v>
      </c>
      <c r="F1099" s="1">
        <f ca="1">IFERROR(__xludf.DUMMYFUNCTION("""COMPUTED_VALUE"""),36529677)</f>
        <v>36529677</v>
      </c>
    </row>
    <row r="1100" spans="1:6" x14ac:dyDescent="0.35">
      <c r="A1100" s="2">
        <f ca="1">IFERROR(__xludf.DUMMYFUNCTION("""COMPUTED_VALUE"""),43600.6666666666)</f>
        <v>43600.666666666599</v>
      </c>
      <c r="B1100" s="1">
        <f ca="1">IFERROR(__xludf.DUMMYFUNCTION("""COMPUTED_VALUE"""),46.57)</f>
        <v>46.57</v>
      </c>
      <c r="C1100" s="1">
        <f ca="1">IFERROR(__xludf.DUMMYFUNCTION("""COMPUTED_VALUE"""),47.94)</f>
        <v>47.94</v>
      </c>
      <c r="D1100" s="1">
        <f ca="1">IFERROR(__xludf.DUMMYFUNCTION("""COMPUTED_VALUE"""),46.51)</f>
        <v>46.51</v>
      </c>
      <c r="E1100" s="1">
        <f ca="1">IFERROR(__xludf.DUMMYFUNCTION("""COMPUTED_VALUE"""),47.73)</f>
        <v>47.73</v>
      </c>
      <c r="F1100" s="1">
        <f ca="1">IFERROR(__xludf.DUMMYFUNCTION("""COMPUTED_VALUE"""),26544718)</f>
        <v>26544718</v>
      </c>
    </row>
    <row r="1101" spans="1:6" x14ac:dyDescent="0.35">
      <c r="A1101" s="2">
        <f ca="1">IFERROR(__xludf.DUMMYFUNCTION("""COMPUTED_VALUE"""),43601.6666666666)</f>
        <v>43601.666666666599</v>
      </c>
      <c r="B1101" s="1">
        <f ca="1">IFERROR(__xludf.DUMMYFUNCTION("""COMPUTED_VALUE"""),47.48)</f>
        <v>47.48</v>
      </c>
      <c r="C1101" s="1">
        <f ca="1">IFERROR(__xludf.DUMMYFUNCTION("""COMPUTED_VALUE"""),48.12)</f>
        <v>48.12</v>
      </c>
      <c r="D1101" s="1">
        <f ca="1">IFERROR(__xludf.DUMMYFUNCTION("""COMPUTED_VALUE"""),47.21)</f>
        <v>47.21</v>
      </c>
      <c r="E1101" s="1">
        <f ca="1">IFERROR(__xludf.DUMMYFUNCTION("""COMPUTED_VALUE"""),47.52)</f>
        <v>47.52</v>
      </c>
      <c r="F1101" s="1">
        <f ca="1">IFERROR(__xludf.DUMMYFUNCTION("""COMPUTED_VALUE"""),33031364)</f>
        <v>33031364</v>
      </c>
    </row>
    <row r="1102" spans="1:6" x14ac:dyDescent="0.35">
      <c r="A1102" s="2">
        <f ca="1">IFERROR(__xludf.DUMMYFUNCTION("""COMPUTED_VALUE"""),43602.6666666666)</f>
        <v>43602.666666666599</v>
      </c>
      <c r="B1102" s="1">
        <f ca="1">IFERROR(__xludf.DUMMYFUNCTION("""COMPUTED_VALUE"""),46.73)</f>
        <v>46.73</v>
      </c>
      <c r="C1102" s="1">
        <f ca="1">IFERROR(__xludf.DUMMYFUNCTION("""COMPUTED_VALUE"""),47.73)</f>
        <v>47.73</v>
      </c>
      <c r="D1102" s="1">
        <f ca="1">IFERROR(__xludf.DUMMYFUNCTION("""COMPUTED_VALUE"""),46.69)</f>
        <v>46.69</v>
      </c>
      <c r="E1102" s="1">
        <f ca="1">IFERROR(__xludf.DUMMYFUNCTION("""COMPUTED_VALUE"""),47.25)</f>
        <v>47.25</v>
      </c>
      <c r="F1102" s="1">
        <f ca="1">IFERROR(__xludf.DUMMYFUNCTION("""COMPUTED_VALUE"""),32879090)</f>
        <v>32879090</v>
      </c>
    </row>
    <row r="1103" spans="1:6" x14ac:dyDescent="0.35">
      <c r="A1103" s="2">
        <f ca="1">IFERROR(__xludf.DUMMYFUNCTION("""COMPUTED_VALUE"""),43605.6666666666)</f>
        <v>43605.666666666599</v>
      </c>
      <c r="B1103" s="1">
        <f ca="1">IFERROR(__xludf.DUMMYFUNCTION("""COMPUTED_VALUE"""),45.88)</f>
        <v>45.88</v>
      </c>
      <c r="C1103" s="1">
        <f ca="1">IFERROR(__xludf.DUMMYFUNCTION("""COMPUTED_VALUE"""),46.09)</f>
        <v>46.09</v>
      </c>
      <c r="D1103" s="1">
        <f ca="1">IFERROR(__xludf.DUMMYFUNCTION("""COMPUTED_VALUE"""),45.07)</f>
        <v>45.07</v>
      </c>
      <c r="E1103" s="1">
        <f ca="1">IFERROR(__xludf.DUMMYFUNCTION("""COMPUTED_VALUE"""),45.77)</f>
        <v>45.77</v>
      </c>
      <c r="F1103" s="1">
        <f ca="1">IFERROR(__xludf.DUMMYFUNCTION("""COMPUTED_VALUE"""),38612290)</f>
        <v>38612290</v>
      </c>
    </row>
    <row r="1104" spans="1:6" x14ac:dyDescent="0.35">
      <c r="A1104" s="2">
        <f ca="1">IFERROR(__xludf.DUMMYFUNCTION("""COMPUTED_VALUE"""),43606.6666666666)</f>
        <v>43606.666666666599</v>
      </c>
      <c r="B1104" s="1">
        <f ca="1">IFERROR(__xludf.DUMMYFUNCTION("""COMPUTED_VALUE"""),46.31)</f>
        <v>46.31</v>
      </c>
      <c r="C1104" s="1">
        <f ca="1">IFERROR(__xludf.DUMMYFUNCTION("""COMPUTED_VALUE"""),47)</f>
        <v>47</v>
      </c>
      <c r="D1104" s="1">
        <f ca="1">IFERROR(__xludf.DUMMYFUNCTION("""COMPUTED_VALUE"""),46.18)</f>
        <v>46.18</v>
      </c>
      <c r="E1104" s="1">
        <f ca="1">IFERROR(__xludf.DUMMYFUNCTION("""COMPUTED_VALUE"""),46.65)</f>
        <v>46.65</v>
      </c>
      <c r="F1104" s="1">
        <f ca="1">IFERROR(__xludf.DUMMYFUNCTION("""COMPUTED_VALUE"""),28364848)</f>
        <v>28364848</v>
      </c>
    </row>
    <row r="1105" spans="1:6" x14ac:dyDescent="0.35">
      <c r="A1105" s="2">
        <f ca="1">IFERROR(__xludf.DUMMYFUNCTION("""COMPUTED_VALUE"""),43607.6666666666)</f>
        <v>43607.666666666599</v>
      </c>
      <c r="B1105" s="1">
        <f ca="1">IFERROR(__xludf.DUMMYFUNCTION("""COMPUTED_VALUE"""),46.17)</f>
        <v>46.17</v>
      </c>
      <c r="C1105" s="1">
        <f ca="1">IFERROR(__xludf.DUMMYFUNCTION("""COMPUTED_VALUE"""),46.43)</f>
        <v>46.43</v>
      </c>
      <c r="D1105" s="1">
        <f ca="1">IFERROR(__xludf.DUMMYFUNCTION("""COMPUTED_VALUE"""),45.64)</f>
        <v>45.64</v>
      </c>
      <c r="E1105" s="1">
        <f ca="1">IFERROR(__xludf.DUMMYFUNCTION("""COMPUTED_VALUE"""),45.7)</f>
        <v>45.7</v>
      </c>
      <c r="F1105" s="1">
        <f ca="1">IFERROR(__xludf.DUMMYFUNCTION("""COMPUTED_VALUE"""),29748556)</f>
        <v>29748556</v>
      </c>
    </row>
    <row r="1106" spans="1:6" x14ac:dyDescent="0.35">
      <c r="A1106" s="2">
        <f ca="1">IFERROR(__xludf.DUMMYFUNCTION("""COMPUTED_VALUE"""),43608.6666666666)</f>
        <v>43608.666666666599</v>
      </c>
      <c r="B1106" s="1">
        <f ca="1">IFERROR(__xludf.DUMMYFUNCTION("""COMPUTED_VALUE"""),44.95)</f>
        <v>44.95</v>
      </c>
      <c r="C1106" s="1">
        <f ca="1">IFERROR(__xludf.DUMMYFUNCTION("""COMPUTED_VALUE"""),45.14)</f>
        <v>45.14</v>
      </c>
      <c r="D1106" s="1">
        <f ca="1">IFERROR(__xludf.DUMMYFUNCTION("""COMPUTED_VALUE"""),44.45)</f>
        <v>44.45</v>
      </c>
      <c r="E1106" s="1">
        <f ca="1">IFERROR(__xludf.DUMMYFUNCTION("""COMPUTED_VALUE"""),44.92)</f>
        <v>44.92</v>
      </c>
      <c r="F1106" s="1">
        <f ca="1">IFERROR(__xludf.DUMMYFUNCTION("""COMPUTED_VALUE"""),36529736)</f>
        <v>36529736</v>
      </c>
    </row>
    <row r="1107" spans="1:6" x14ac:dyDescent="0.35">
      <c r="A1107" s="2">
        <f ca="1">IFERROR(__xludf.DUMMYFUNCTION("""COMPUTED_VALUE"""),43609.6666666666)</f>
        <v>43609.666666666599</v>
      </c>
      <c r="B1107" s="1">
        <f ca="1">IFERROR(__xludf.DUMMYFUNCTION("""COMPUTED_VALUE"""),45.05)</f>
        <v>45.05</v>
      </c>
      <c r="C1107" s="1">
        <f ca="1">IFERROR(__xludf.DUMMYFUNCTION("""COMPUTED_VALUE"""),45.54)</f>
        <v>45.54</v>
      </c>
      <c r="D1107" s="1">
        <f ca="1">IFERROR(__xludf.DUMMYFUNCTION("""COMPUTED_VALUE"""),44.66)</f>
        <v>44.66</v>
      </c>
      <c r="E1107" s="1">
        <f ca="1">IFERROR(__xludf.DUMMYFUNCTION("""COMPUTED_VALUE"""),44.74)</f>
        <v>44.74</v>
      </c>
      <c r="F1107" s="1">
        <f ca="1">IFERROR(__xludf.DUMMYFUNCTION("""COMPUTED_VALUE"""),23714686)</f>
        <v>23714686</v>
      </c>
    </row>
    <row r="1108" spans="1:6" x14ac:dyDescent="0.35">
      <c r="A1108" s="2">
        <f ca="1">IFERROR(__xludf.DUMMYFUNCTION("""COMPUTED_VALUE"""),43613.6666666666)</f>
        <v>43613.666666666599</v>
      </c>
      <c r="B1108" s="1">
        <f ca="1">IFERROR(__xludf.DUMMYFUNCTION("""COMPUTED_VALUE"""),44.73)</f>
        <v>44.73</v>
      </c>
      <c r="C1108" s="1">
        <f ca="1">IFERROR(__xludf.DUMMYFUNCTION("""COMPUTED_VALUE"""),45.15)</f>
        <v>45.15</v>
      </c>
      <c r="D1108" s="1">
        <f ca="1">IFERROR(__xludf.DUMMYFUNCTION("""COMPUTED_VALUE"""),44.48)</f>
        <v>44.48</v>
      </c>
      <c r="E1108" s="1">
        <f ca="1">IFERROR(__xludf.DUMMYFUNCTION("""COMPUTED_VALUE"""),44.56)</f>
        <v>44.56</v>
      </c>
      <c r="F1108" s="1">
        <f ca="1">IFERROR(__xludf.DUMMYFUNCTION("""COMPUTED_VALUE"""),27948160)</f>
        <v>27948160</v>
      </c>
    </row>
    <row r="1109" spans="1:6" x14ac:dyDescent="0.35">
      <c r="A1109" s="2">
        <f ca="1">IFERROR(__xludf.DUMMYFUNCTION("""COMPUTED_VALUE"""),43614.6666666666)</f>
        <v>43614.666666666599</v>
      </c>
      <c r="B1109" s="1">
        <f ca="1">IFERROR(__xludf.DUMMYFUNCTION("""COMPUTED_VALUE"""),44.11)</f>
        <v>44.11</v>
      </c>
      <c r="C1109" s="1">
        <f ca="1">IFERROR(__xludf.DUMMYFUNCTION("""COMPUTED_VALUE"""),44.84)</f>
        <v>44.84</v>
      </c>
      <c r="D1109" s="1">
        <f ca="1">IFERROR(__xludf.DUMMYFUNCTION("""COMPUTED_VALUE"""),44)</f>
        <v>44</v>
      </c>
      <c r="E1109" s="1">
        <f ca="1">IFERROR(__xludf.DUMMYFUNCTION("""COMPUTED_VALUE"""),44.35)</f>
        <v>44.35</v>
      </c>
      <c r="F1109" s="1">
        <f ca="1">IFERROR(__xludf.DUMMYFUNCTION("""COMPUTED_VALUE"""),28481165)</f>
        <v>28481165</v>
      </c>
    </row>
    <row r="1110" spans="1:6" x14ac:dyDescent="0.35">
      <c r="A1110" s="2">
        <f ca="1">IFERROR(__xludf.DUMMYFUNCTION("""COMPUTED_VALUE"""),43615.6666666666)</f>
        <v>43615.666666666599</v>
      </c>
      <c r="B1110" s="1">
        <f ca="1">IFERROR(__xludf.DUMMYFUNCTION("""COMPUTED_VALUE"""),44.49)</f>
        <v>44.49</v>
      </c>
      <c r="C1110" s="1">
        <f ca="1">IFERROR(__xludf.DUMMYFUNCTION("""COMPUTED_VALUE"""),44.81)</f>
        <v>44.81</v>
      </c>
      <c r="D1110" s="1">
        <f ca="1">IFERROR(__xludf.DUMMYFUNCTION("""COMPUTED_VALUE"""),44.17)</f>
        <v>44.17</v>
      </c>
      <c r="E1110" s="1">
        <f ca="1">IFERROR(__xludf.DUMMYFUNCTION("""COMPUTED_VALUE"""),44.58)</f>
        <v>44.58</v>
      </c>
      <c r="F1110" s="1">
        <f ca="1">IFERROR(__xludf.DUMMYFUNCTION("""COMPUTED_VALUE"""),21218412)</f>
        <v>21218412</v>
      </c>
    </row>
    <row r="1111" spans="1:6" x14ac:dyDescent="0.35">
      <c r="A1111" s="2">
        <f ca="1">IFERROR(__xludf.DUMMYFUNCTION("""COMPUTED_VALUE"""),43616.6666666666)</f>
        <v>43616.666666666599</v>
      </c>
      <c r="B1111" s="1">
        <f ca="1">IFERROR(__xludf.DUMMYFUNCTION("""COMPUTED_VALUE"""),44.06)</f>
        <v>44.06</v>
      </c>
      <c r="C1111" s="1">
        <f ca="1">IFERROR(__xludf.DUMMYFUNCTION("""COMPUTED_VALUE"""),44.5)</f>
        <v>44.5</v>
      </c>
      <c r="D1111" s="1">
        <f ca="1">IFERROR(__xludf.DUMMYFUNCTION("""COMPUTED_VALUE"""),43.75)</f>
        <v>43.75</v>
      </c>
      <c r="E1111" s="1">
        <f ca="1">IFERROR(__xludf.DUMMYFUNCTION("""COMPUTED_VALUE"""),43.77)</f>
        <v>43.77</v>
      </c>
      <c r="F1111" s="1">
        <f ca="1">IFERROR(__xludf.DUMMYFUNCTION("""COMPUTED_VALUE"""),27043584)</f>
        <v>27043584</v>
      </c>
    </row>
    <row r="1112" spans="1:6" x14ac:dyDescent="0.35">
      <c r="A1112" s="2">
        <f ca="1">IFERROR(__xludf.DUMMYFUNCTION("""COMPUTED_VALUE"""),43619.6666666666)</f>
        <v>43619.666666666599</v>
      </c>
      <c r="B1112" s="1">
        <f ca="1">IFERROR(__xludf.DUMMYFUNCTION("""COMPUTED_VALUE"""),43.9)</f>
        <v>43.9</v>
      </c>
      <c r="C1112" s="1">
        <f ca="1">IFERROR(__xludf.DUMMYFUNCTION("""COMPUTED_VALUE"""),44.48)</f>
        <v>44.48</v>
      </c>
      <c r="D1112" s="1">
        <f ca="1">IFERROR(__xludf.DUMMYFUNCTION("""COMPUTED_VALUE"""),42.57)</f>
        <v>42.57</v>
      </c>
      <c r="E1112" s="1">
        <f ca="1">IFERROR(__xludf.DUMMYFUNCTION("""COMPUTED_VALUE"""),43.33)</f>
        <v>43.33</v>
      </c>
      <c r="F1112" s="1">
        <f ca="1">IFERROR(__xludf.DUMMYFUNCTION("""COMPUTED_VALUE"""),40396069)</f>
        <v>40396069</v>
      </c>
    </row>
    <row r="1113" spans="1:6" x14ac:dyDescent="0.35">
      <c r="A1113" s="2">
        <f ca="1">IFERROR(__xludf.DUMMYFUNCTION("""COMPUTED_VALUE"""),43620.6666666666)</f>
        <v>43620.666666666599</v>
      </c>
      <c r="B1113" s="1">
        <f ca="1">IFERROR(__xludf.DUMMYFUNCTION("""COMPUTED_VALUE"""),43.86)</f>
        <v>43.86</v>
      </c>
      <c r="C1113" s="1">
        <f ca="1">IFERROR(__xludf.DUMMYFUNCTION("""COMPUTED_VALUE"""),44.96)</f>
        <v>44.96</v>
      </c>
      <c r="D1113" s="1">
        <f ca="1">IFERROR(__xludf.DUMMYFUNCTION("""COMPUTED_VALUE"""),43.63)</f>
        <v>43.63</v>
      </c>
      <c r="E1113" s="1">
        <f ca="1">IFERROR(__xludf.DUMMYFUNCTION("""COMPUTED_VALUE"""),44.91)</f>
        <v>44.91</v>
      </c>
      <c r="F1113" s="1">
        <f ca="1">IFERROR(__xludf.DUMMYFUNCTION("""COMPUTED_VALUE"""),30967961)</f>
        <v>30967961</v>
      </c>
    </row>
    <row r="1114" spans="1:6" x14ac:dyDescent="0.35">
      <c r="A1114" s="2">
        <f ca="1">IFERROR(__xludf.DUMMYFUNCTION("""COMPUTED_VALUE"""),43621.6666666666)</f>
        <v>43621.666666666599</v>
      </c>
      <c r="B1114" s="1">
        <f ca="1">IFERROR(__xludf.DUMMYFUNCTION("""COMPUTED_VALUE"""),46.07)</f>
        <v>46.07</v>
      </c>
      <c r="C1114" s="1">
        <f ca="1">IFERROR(__xludf.DUMMYFUNCTION("""COMPUTED_VALUE"""),46.25)</f>
        <v>46.25</v>
      </c>
      <c r="D1114" s="1">
        <f ca="1">IFERROR(__xludf.DUMMYFUNCTION("""COMPUTED_VALUE"""),45.29)</f>
        <v>45.29</v>
      </c>
      <c r="E1114" s="1">
        <f ca="1">IFERROR(__xludf.DUMMYFUNCTION("""COMPUTED_VALUE"""),45.64)</f>
        <v>45.64</v>
      </c>
      <c r="F1114" s="1">
        <f ca="1">IFERROR(__xludf.DUMMYFUNCTION("""COMPUTED_VALUE"""),29773427)</f>
        <v>29773427</v>
      </c>
    </row>
    <row r="1115" spans="1:6" x14ac:dyDescent="0.35">
      <c r="A1115" s="2">
        <f ca="1">IFERROR(__xludf.DUMMYFUNCTION("""COMPUTED_VALUE"""),43622.6666666666)</f>
        <v>43622.666666666599</v>
      </c>
      <c r="B1115" s="1">
        <f ca="1">IFERROR(__xludf.DUMMYFUNCTION("""COMPUTED_VALUE"""),45.77)</f>
        <v>45.77</v>
      </c>
      <c r="C1115" s="1">
        <f ca="1">IFERROR(__xludf.DUMMYFUNCTION("""COMPUTED_VALUE"""),46.37)</f>
        <v>46.37</v>
      </c>
      <c r="D1115" s="1">
        <f ca="1">IFERROR(__xludf.DUMMYFUNCTION("""COMPUTED_VALUE"""),45.54)</f>
        <v>45.54</v>
      </c>
      <c r="E1115" s="1">
        <f ca="1">IFERROR(__xludf.DUMMYFUNCTION("""COMPUTED_VALUE"""),46.31)</f>
        <v>46.31</v>
      </c>
      <c r="F1115" s="1">
        <f ca="1">IFERROR(__xludf.DUMMYFUNCTION("""COMPUTED_VALUE"""),22526311)</f>
        <v>22526311</v>
      </c>
    </row>
    <row r="1116" spans="1:6" x14ac:dyDescent="0.35">
      <c r="A1116" s="2">
        <f ca="1">IFERROR(__xludf.DUMMYFUNCTION("""COMPUTED_VALUE"""),43623.6666666666)</f>
        <v>43623.666666666599</v>
      </c>
      <c r="B1116" s="1">
        <f ca="1">IFERROR(__xludf.DUMMYFUNCTION("""COMPUTED_VALUE"""),46.63)</f>
        <v>46.63</v>
      </c>
      <c r="C1116" s="1">
        <f ca="1">IFERROR(__xludf.DUMMYFUNCTION("""COMPUTED_VALUE"""),47.98)</f>
        <v>47.98</v>
      </c>
      <c r="D1116" s="1">
        <f ca="1">IFERROR(__xludf.DUMMYFUNCTION("""COMPUTED_VALUE"""),46.44)</f>
        <v>46.44</v>
      </c>
      <c r="E1116" s="1">
        <f ca="1">IFERROR(__xludf.DUMMYFUNCTION("""COMPUTED_VALUE"""),47.54)</f>
        <v>47.54</v>
      </c>
      <c r="F1116" s="1">
        <f ca="1">IFERROR(__xludf.DUMMYFUNCTION("""COMPUTED_VALUE"""),30684393)</f>
        <v>30684393</v>
      </c>
    </row>
    <row r="1117" spans="1:6" x14ac:dyDescent="0.35">
      <c r="A1117" s="2">
        <f ca="1">IFERROR(__xludf.DUMMYFUNCTION("""COMPUTED_VALUE"""),43626.6666666666)</f>
        <v>43626.666666666599</v>
      </c>
      <c r="B1117" s="1">
        <f ca="1">IFERROR(__xludf.DUMMYFUNCTION("""COMPUTED_VALUE"""),47.95)</f>
        <v>47.95</v>
      </c>
      <c r="C1117" s="1">
        <f ca="1">IFERROR(__xludf.DUMMYFUNCTION("""COMPUTED_VALUE"""),48.84)</f>
        <v>48.84</v>
      </c>
      <c r="D1117" s="1">
        <f ca="1">IFERROR(__xludf.DUMMYFUNCTION("""COMPUTED_VALUE"""),47.91)</f>
        <v>47.91</v>
      </c>
      <c r="E1117" s="1">
        <f ca="1">IFERROR(__xludf.DUMMYFUNCTION("""COMPUTED_VALUE"""),48.15)</f>
        <v>48.15</v>
      </c>
      <c r="F1117" s="1">
        <f ca="1">IFERROR(__xludf.DUMMYFUNCTION("""COMPUTED_VALUE"""),26220851)</f>
        <v>26220851</v>
      </c>
    </row>
    <row r="1118" spans="1:6" x14ac:dyDescent="0.35">
      <c r="A1118" s="2">
        <f ca="1">IFERROR(__xludf.DUMMYFUNCTION("""COMPUTED_VALUE"""),43627.6666666666)</f>
        <v>43627.666666666599</v>
      </c>
      <c r="B1118" s="1">
        <f ca="1">IFERROR(__xludf.DUMMYFUNCTION("""COMPUTED_VALUE"""),48.72)</f>
        <v>48.72</v>
      </c>
      <c r="C1118" s="1">
        <f ca="1">IFERROR(__xludf.DUMMYFUNCTION("""COMPUTED_VALUE"""),49)</f>
        <v>49</v>
      </c>
      <c r="D1118" s="1">
        <f ca="1">IFERROR(__xludf.DUMMYFUNCTION("""COMPUTED_VALUE"""),48.4)</f>
        <v>48.4</v>
      </c>
      <c r="E1118" s="1">
        <f ca="1">IFERROR(__xludf.DUMMYFUNCTION("""COMPUTED_VALUE"""),48.7)</f>
        <v>48.7</v>
      </c>
      <c r="F1118" s="1">
        <f ca="1">IFERROR(__xludf.DUMMYFUNCTION("""COMPUTED_VALUE"""),26932882)</f>
        <v>26932882</v>
      </c>
    </row>
    <row r="1119" spans="1:6" x14ac:dyDescent="0.35">
      <c r="A1119" s="2">
        <f ca="1">IFERROR(__xludf.DUMMYFUNCTION("""COMPUTED_VALUE"""),43628.6666666666)</f>
        <v>43628.666666666599</v>
      </c>
      <c r="B1119" s="1">
        <f ca="1">IFERROR(__xludf.DUMMYFUNCTION("""COMPUTED_VALUE"""),48.49)</f>
        <v>48.49</v>
      </c>
      <c r="C1119" s="1">
        <f ca="1">IFERROR(__xludf.DUMMYFUNCTION("""COMPUTED_VALUE"""),48.99)</f>
        <v>48.99</v>
      </c>
      <c r="D1119" s="1">
        <f ca="1">IFERROR(__xludf.DUMMYFUNCTION("""COMPUTED_VALUE"""),48.35)</f>
        <v>48.35</v>
      </c>
      <c r="E1119" s="1">
        <f ca="1">IFERROR(__xludf.DUMMYFUNCTION("""COMPUTED_VALUE"""),48.55)</f>
        <v>48.55</v>
      </c>
      <c r="F1119" s="1">
        <f ca="1">IFERROR(__xludf.DUMMYFUNCTION("""COMPUTED_VALUE"""),18253189)</f>
        <v>18253189</v>
      </c>
    </row>
    <row r="1120" spans="1:6" x14ac:dyDescent="0.35">
      <c r="A1120" s="2">
        <f ca="1">IFERROR(__xludf.DUMMYFUNCTION("""COMPUTED_VALUE"""),43629.6666666666)</f>
        <v>43629.666666666599</v>
      </c>
      <c r="B1120" s="1">
        <f ca="1">IFERROR(__xludf.DUMMYFUNCTION("""COMPUTED_VALUE"""),48.68)</f>
        <v>48.68</v>
      </c>
      <c r="C1120" s="1">
        <f ca="1">IFERROR(__xludf.DUMMYFUNCTION("""COMPUTED_VALUE"""),49.2)</f>
        <v>49.2</v>
      </c>
      <c r="D1120" s="1">
        <f ca="1">IFERROR(__xludf.DUMMYFUNCTION("""COMPUTED_VALUE"""),48.4)</f>
        <v>48.4</v>
      </c>
      <c r="E1120" s="1">
        <f ca="1">IFERROR(__xludf.DUMMYFUNCTION("""COMPUTED_VALUE"""),48.54)</f>
        <v>48.54</v>
      </c>
      <c r="F1120" s="1">
        <f ca="1">IFERROR(__xludf.DUMMYFUNCTION("""COMPUTED_VALUE"""),21674625)</f>
        <v>21674625</v>
      </c>
    </row>
    <row r="1121" spans="1:6" x14ac:dyDescent="0.35">
      <c r="A1121" s="2">
        <f ca="1">IFERROR(__xludf.DUMMYFUNCTION("""COMPUTED_VALUE"""),43630.6666666666)</f>
        <v>43630.666666666599</v>
      </c>
      <c r="B1121" s="1">
        <f ca="1">IFERROR(__xludf.DUMMYFUNCTION("""COMPUTED_VALUE"""),47.89)</f>
        <v>47.89</v>
      </c>
      <c r="C1121" s="1">
        <f ca="1">IFERROR(__xludf.DUMMYFUNCTION("""COMPUTED_VALUE"""),48.4)</f>
        <v>48.4</v>
      </c>
      <c r="D1121" s="1">
        <f ca="1">IFERROR(__xludf.DUMMYFUNCTION("""COMPUTED_VALUE"""),47.58)</f>
        <v>47.58</v>
      </c>
      <c r="E1121" s="1">
        <f ca="1">IFERROR(__xludf.DUMMYFUNCTION("""COMPUTED_VALUE"""),48.19)</f>
        <v>48.19</v>
      </c>
      <c r="F1121" s="1">
        <f ca="1">IFERROR(__xludf.DUMMYFUNCTION("""COMPUTED_VALUE"""),18761474)</f>
        <v>18761474</v>
      </c>
    </row>
    <row r="1122" spans="1:6" x14ac:dyDescent="0.35">
      <c r="A1122" s="2">
        <f ca="1">IFERROR(__xludf.DUMMYFUNCTION("""COMPUTED_VALUE"""),43633.6666666666)</f>
        <v>43633.666666666599</v>
      </c>
      <c r="B1122" s="1">
        <f ca="1">IFERROR(__xludf.DUMMYFUNCTION("""COMPUTED_VALUE"""),48.23)</f>
        <v>48.23</v>
      </c>
      <c r="C1122" s="1">
        <f ca="1">IFERROR(__xludf.DUMMYFUNCTION("""COMPUTED_VALUE"""),48.74)</f>
        <v>48.74</v>
      </c>
      <c r="D1122" s="1">
        <f ca="1">IFERROR(__xludf.DUMMYFUNCTION("""COMPUTED_VALUE"""),48.04)</f>
        <v>48.04</v>
      </c>
      <c r="E1122" s="1">
        <f ca="1">IFERROR(__xludf.DUMMYFUNCTION("""COMPUTED_VALUE"""),48.47)</f>
        <v>48.47</v>
      </c>
      <c r="F1122" s="1">
        <f ca="1">IFERROR(__xludf.DUMMYFUNCTION("""COMPUTED_VALUE"""),14669144)</f>
        <v>14669144</v>
      </c>
    </row>
    <row r="1123" spans="1:6" x14ac:dyDescent="0.35">
      <c r="A1123" s="2">
        <f ca="1">IFERROR(__xludf.DUMMYFUNCTION("""COMPUTED_VALUE"""),43634.6666666666)</f>
        <v>43634.666666666599</v>
      </c>
      <c r="B1123" s="1">
        <f ca="1">IFERROR(__xludf.DUMMYFUNCTION("""COMPUTED_VALUE"""),49.01)</f>
        <v>49.01</v>
      </c>
      <c r="C1123" s="1">
        <f ca="1">IFERROR(__xludf.DUMMYFUNCTION("""COMPUTED_VALUE"""),50.07)</f>
        <v>50.07</v>
      </c>
      <c r="D1123" s="1">
        <f ca="1">IFERROR(__xludf.DUMMYFUNCTION("""COMPUTED_VALUE"""),48.8)</f>
        <v>48.8</v>
      </c>
      <c r="E1123" s="1">
        <f ca="1">IFERROR(__xludf.DUMMYFUNCTION("""COMPUTED_VALUE"""),49.61)</f>
        <v>49.61</v>
      </c>
      <c r="F1123" s="1">
        <f ca="1">IFERROR(__xludf.DUMMYFUNCTION("""COMPUTED_VALUE"""),26551004)</f>
        <v>26551004</v>
      </c>
    </row>
    <row r="1124" spans="1:6" x14ac:dyDescent="0.35">
      <c r="A1124" s="2">
        <f ca="1">IFERROR(__xludf.DUMMYFUNCTION("""COMPUTED_VALUE"""),43635.6666666666)</f>
        <v>43635.666666666599</v>
      </c>
      <c r="B1124" s="1">
        <f ca="1">IFERROR(__xludf.DUMMYFUNCTION("""COMPUTED_VALUE"""),49.92)</f>
        <v>49.92</v>
      </c>
      <c r="C1124" s="1">
        <f ca="1">IFERROR(__xludf.DUMMYFUNCTION("""COMPUTED_VALUE"""),49.97)</f>
        <v>49.97</v>
      </c>
      <c r="D1124" s="1">
        <f ca="1">IFERROR(__xludf.DUMMYFUNCTION("""COMPUTED_VALUE"""),49.33)</f>
        <v>49.33</v>
      </c>
      <c r="E1124" s="1">
        <f ca="1">IFERROR(__xludf.DUMMYFUNCTION("""COMPUTED_VALUE"""),49.47)</f>
        <v>49.47</v>
      </c>
      <c r="F1124" s="1">
        <f ca="1">IFERROR(__xludf.DUMMYFUNCTION("""COMPUTED_VALUE"""),21124235)</f>
        <v>21124235</v>
      </c>
    </row>
    <row r="1125" spans="1:6" x14ac:dyDescent="0.35">
      <c r="A1125" s="2">
        <f ca="1">IFERROR(__xludf.DUMMYFUNCTION("""COMPUTED_VALUE"""),43636.6666666666)</f>
        <v>43636.666666666599</v>
      </c>
      <c r="B1125" s="1">
        <f ca="1">IFERROR(__xludf.DUMMYFUNCTION("""COMPUTED_VALUE"""),50.09)</f>
        <v>50.09</v>
      </c>
      <c r="C1125" s="1">
        <f ca="1">IFERROR(__xludf.DUMMYFUNCTION("""COMPUTED_VALUE"""),50.15)</f>
        <v>50.15</v>
      </c>
      <c r="D1125" s="1">
        <f ca="1">IFERROR(__xludf.DUMMYFUNCTION("""COMPUTED_VALUE"""),49.51)</f>
        <v>49.51</v>
      </c>
      <c r="E1125" s="1">
        <f ca="1">IFERROR(__xludf.DUMMYFUNCTION("""COMPUTED_VALUE"""),49.87)</f>
        <v>49.87</v>
      </c>
      <c r="F1125" s="1">
        <f ca="1">IFERROR(__xludf.DUMMYFUNCTION("""COMPUTED_VALUE"""),21513988)</f>
        <v>21513988</v>
      </c>
    </row>
    <row r="1126" spans="1:6" x14ac:dyDescent="0.35">
      <c r="A1126" s="2">
        <f ca="1">IFERROR(__xludf.DUMMYFUNCTION("""COMPUTED_VALUE"""),43637.6666666666)</f>
        <v>43637.666666666599</v>
      </c>
      <c r="B1126" s="1">
        <f ca="1">IFERROR(__xludf.DUMMYFUNCTION("""COMPUTED_VALUE"""),49.7)</f>
        <v>49.7</v>
      </c>
      <c r="C1126" s="1">
        <f ca="1">IFERROR(__xludf.DUMMYFUNCTION("""COMPUTED_VALUE"""),50.21)</f>
        <v>50.21</v>
      </c>
      <c r="D1126" s="1">
        <f ca="1">IFERROR(__xludf.DUMMYFUNCTION("""COMPUTED_VALUE"""),49.54)</f>
        <v>49.54</v>
      </c>
      <c r="E1126" s="1">
        <f ca="1">IFERROR(__xludf.DUMMYFUNCTION("""COMPUTED_VALUE"""),49.7)</f>
        <v>49.7</v>
      </c>
      <c r="F1126" s="1">
        <f ca="1">IFERROR(__xludf.DUMMYFUNCTION("""COMPUTED_VALUE"""),47800589)</f>
        <v>47800589</v>
      </c>
    </row>
    <row r="1127" spans="1:6" x14ac:dyDescent="0.35">
      <c r="A1127" s="2">
        <f ca="1">IFERROR(__xludf.DUMMYFUNCTION("""COMPUTED_VALUE"""),43640.6666666666)</f>
        <v>43640.666666666599</v>
      </c>
      <c r="B1127" s="1">
        <f ca="1">IFERROR(__xludf.DUMMYFUNCTION("""COMPUTED_VALUE"""),49.64)</f>
        <v>49.64</v>
      </c>
      <c r="C1127" s="1">
        <f ca="1">IFERROR(__xludf.DUMMYFUNCTION("""COMPUTED_VALUE"""),50.04)</f>
        <v>50.04</v>
      </c>
      <c r="D1127" s="1">
        <f ca="1">IFERROR(__xludf.DUMMYFUNCTION("""COMPUTED_VALUE"""),49.54)</f>
        <v>49.54</v>
      </c>
      <c r="E1127" s="1">
        <f ca="1">IFERROR(__xludf.DUMMYFUNCTION("""COMPUTED_VALUE"""),49.65)</f>
        <v>49.65</v>
      </c>
      <c r="F1127" s="1">
        <f ca="1">IFERROR(__xludf.DUMMYFUNCTION("""COMPUTED_VALUE"""),18220421)</f>
        <v>18220421</v>
      </c>
    </row>
    <row r="1128" spans="1:6" x14ac:dyDescent="0.35">
      <c r="A1128" s="2">
        <f ca="1">IFERROR(__xludf.DUMMYFUNCTION("""COMPUTED_VALUE"""),43641.6666666666)</f>
        <v>43641.666666666599</v>
      </c>
      <c r="B1128" s="1">
        <f ca="1">IFERROR(__xludf.DUMMYFUNCTION("""COMPUTED_VALUE"""),49.61)</f>
        <v>49.61</v>
      </c>
      <c r="C1128" s="1">
        <f ca="1">IFERROR(__xludf.DUMMYFUNCTION("""COMPUTED_VALUE"""),49.82)</f>
        <v>49.82</v>
      </c>
      <c r="D1128" s="1">
        <f ca="1">IFERROR(__xludf.DUMMYFUNCTION("""COMPUTED_VALUE"""),48.82)</f>
        <v>48.82</v>
      </c>
      <c r="E1128" s="1">
        <f ca="1">IFERROR(__xludf.DUMMYFUNCTION("""COMPUTED_VALUE"""),48.89)</f>
        <v>48.89</v>
      </c>
      <c r="F1128" s="1">
        <f ca="1">IFERROR(__xludf.DUMMYFUNCTION("""COMPUTED_VALUE"""),21070334)</f>
        <v>21070334</v>
      </c>
    </row>
    <row r="1129" spans="1:6" x14ac:dyDescent="0.35">
      <c r="A1129" s="2">
        <f ca="1">IFERROR(__xludf.DUMMYFUNCTION("""COMPUTED_VALUE"""),43642.6666666666)</f>
        <v>43642.666666666599</v>
      </c>
      <c r="B1129" s="1">
        <f ca="1">IFERROR(__xludf.DUMMYFUNCTION("""COMPUTED_VALUE"""),49.44)</f>
        <v>49.44</v>
      </c>
      <c r="C1129" s="1">
        <f ca="1">IFERROR(__xludf.DUMMYFUNCTION("""COMPUTED_VALUE"""),50.25)</f>
        <v>50.25</v>
      </c>
      <c r="D1129" s="1">
        <f ca="1">IFERROR(__xludf.DUMMYFUNCTION("""COMPUTED_VALUE"""),49.34)</f>
        <v>49.34</v>
      </c>
      <c r="E1129" s="1">
        <f ca="1">IFERROR(__xludf.DUMMYFUNCTION("""COMPUTED_VALUE"""),49.95)</f>
        <v>49.95</v>
      </c>
      <c r="F1129" s="1">
        <f ca="1">IFERROR(__xludf.DUMMYFUNCTION("""COMPUTED_VALUE"""),26067512)</f>
        <v>26067512</v>
      </c>
    </row>
    <row r="1130" spans="1:6" x14ac:dyDescent="0.35">
      <c r="A1130" s="2">
        <f ca="1">IFERROR(__xludf.DUMMYFUNCTION("""COMPUTED_VALUE"""),43643.6666666666)</f>
        <v>43643.666666666599</v>
      </c>
      <c r="B1130" s="1">
        <f ca="1">IFERROR(__xludf.DUMMYFUNCTION("""COMPUTED_VALUE"""),50.07)</f>
        <v>50.07</v>
      </c>
      <c r="C1130" s="1">
        <f ca="1">IFERROR(__xludf.DUMMYFUNCTION("""COMPUTED_VALUE"""),50.39)</f>
        <v>50.39</v>
      </c>
      <c r="D1130" s="1">
        <f ca="1">IFERROR(__xludf.DUMMYFUNCTION("""COMPUTED_VALUE"""),49.89)</f>
        <v>49.89</v>
      </c>
      <c r="E1130" s="1">
        <f ca="1">IFERROR(__xludf.DUMMYFUNCTION("""COMPUTED_VALUE"""),49.94)</f>
        <v>49.94</v>
      </c>
      <c r="F1130" s="1">
        <f ca="1">IFERROR(__xludf.DUMMYFUNCTION("""COMPUTED_VALUE"""),20899717)</f>
        <v>20899717</v>
      </c>
    </row>
    <row r="1131" spans="1:6" x14ac:dyDescent="0.35">
      <c r="A1131" s="2">
        <f ca="1">IFERROR(__xludf.DUMMYFUNCTION("""COMPUTED_VALUE"""),43644.6666666666)</f>
        <v>43644.666666666599</v>
      </c>
      <c r="B1131" s="1">
        <f ca="1">IFERROR(__xludf.DUMMYFUNCTION("""COMPUTED_VALUE"""),49.67)</f>
        <v>49.67</v>
      </c>
      <c r="C1131" s="1">
        <f ca="1">IFERROR(__xludf.DUMMYFUNCTION("""COMPUTED_VALUE"""),49.87)</f>
        <v>49.87</v>
      </c>
      <c r="D1131" s="1">
        <f ca="1">IFERROR(__xludf.DUMMYFUNCTION("""COMPUTED_VALUE"""),49.26)</f>
        <v>49.26</v>
      </c>
      <c r="E1131" s="1">
        <f ca="1">IFERROR(__xludf.DUMMYFUNCTION("""COMPUTED_VALUE"""),49.48)</f>
        <v>49.48</v>
      </c>
      <c r="F1131" s="1">
        <f ca="1">IFERROR(__xludf.DUMMYFUNCTION("""COMPUTED_VALUE"""),31110642)</f>
        <v>31110642</v>
      </c>
    </row>
    <row r="1132" spans="1:6" x14ac:dyDescent="0.35">
      <c r="A1132" s="2">
        <f ca="1">IFERROR(__xludf.DUMMYFUNCTION("""COMPUTED_VALUE"""),43647.6666666666)</f>
        <v>43647.666666666599</v>
      </c>
      <c r="B1132" s="1">
        <f ca="1">IFERROR(__xludf.DUMMYFUNCTION("""COMPUTED_VALUE"""),50.79)</f>
        <v>50.79</v>
      </c>
      <c r="C1132" s="1">
        <f ca="1">IFERROR(__xludf.DUMMYFUNCTION("""COMPUTED_VALUE"""),51.12)</f>
        <v>51.12</v>
      </c>
      <c r="D1132" s="1">
        <f ca="1">IFERROR(__xludf.DUMMYFUNCTION("""COMPUTED_VALUE"""),50.16)</f>
        <v>50.16</v>
      </c>
      <c r="E1132" s="1">
        <f ca="1">IFERROR(__xludf.DUMMYFUNCTION("""COMPUTED_VALUE"""),50.39)</f>
        <v>50.39</v>
      </c>
      <c r="F1132" s="1">
        <f ca="1">IFERROR(__xludf.DUMMYFUNCTION("""COMPUTED_VALUE"""),27316739)</f>
        <v>27316739</v>
      </c>
    </row>
    <row r="1133" spans="1:6" x14ac:dyDescent="0.35">
      <c r="A1133" s="2">
        <f ca="1">IFERROR(__xludf.DUMMYFUNCTION("""COMPUTED_VALUE"""),43648.6666666666)</f>
        <v>43648.666666666599</v>
      </c>
      <c r="B1133" s="1">
        <f ca="1">IFERROR(__xludf.DUMMYFUNCTION("""COMPUTED_VALUE"""),50.35)</f>
        <v>50.35</v>
      </c>
      <c r="C1133" s="1">
        <f ca="1">IFERROR(__xludf.DUMMYFUNCTION("""COMPUTED_VALUE"""),50.78)</f>
        <v>50.78</v>
      </c>
      <c r="D1133" s="1">
        <f ca="1">IFERROR(__xludf.DUMMYFUNCTION("""COMPUTED_VALUE"""),50.34)</f>
        <v>50.34</v>
      </c>
      <c r="E1133" s="1">
        <f ca="1">IFERROR(__xludf.DUMMYFUNCTION("""COMPUTED_VALUE"""),50.68)</f>
        <v>50.68</v>
      </c>
      <c r="F1133" s="1">
        <f ca="1">IFERROR(__xludf.DUMMYFUNCTION("""COMPUTED_VALUE"""),16935217)</f>
        <v>16935217</v>
      </c>
    </row>
    <row r="1134" spans="1:6" x14ac:dyDescent="0.35">
      <c r="A1134" s="2">
        <f ca="1">IFERROR(__xludf.DUMMYFUNCTION("""COMPUTED_VALUE"""),43649.5416666666)</f>
        <v>43649.541666666599</v>
      </c>
      <c r="B1134" s="1">
        <f ca="1">IFERROR(__xludf.DUMMYFUNCTION("""COMPUTED_VALUE"""),50.82)</f>
        <v>50.82</v>
      </c>
      <c r="C1134" s="1">
        <f ca="1">IFERROR(__xludf.DUMMYFUNCTION("""COMPUTED_VALUE"""),51.11)</f>
        <v>51.11</v>
      </c>
      <c r="D1134" s="1">
        <f ca="1">IFERROR(__xludf.DUMMYFUNCTION("""COMPUTED_VALUE"""),50.67)</f>
        <v>50.67</v>
      </c>
      <c r="E1134" s="1">
        <f ca="1">IFERROR(__xludf.DUMMYFUNCTION("""COMPUTED_VALUE"""),51.1)</f>
        <v>51.1</v>
      </c>
      <c r="F1134" s="1">
        <f ca="1">IFERROR(__xludf.DUMMYFUNCTION("""COMPUTED_VALUE"""),11362045)</f>
        <v>11362045</v>
      </c>
    </row>
    <row r="1135" spans="1:6" x14ac:dyDescent="0.35">
      <c r="A1135" s="2">
        <f ca="1">IFERROR(__xludf.DUMMYFUNCTION("""COMPUTED_VALUE"""),43651.6666666666)</f>
        <v>43651.666666666599</v>
      </c>
      <c r="B1135" s="1">
        <f ca="1">IFERROR(__xludf.DUMMYFUNCTION("""COMPUTED_VALUE"""),50.84)</f>
        <v>50.84</v>
      </c>
      <c r="C1135" s="1">
        <f ca="1">IFERROR(__xludf.DUMMYFUNCTION("""COMPUTED_VALUE"""),51.27)</f>
        <v>51.27</v>
      </c>
      <c r="D1135" s="1">
        <f ca="1">IFERROR(__xludf.DUMMYFUNCTION("""COMPUTED_VALUE"""),50.73)</f>
        <v>50.73</v>
      </c>
      <c r="E1135" s="1">
        <f ca="1">IFERROR(__xludf.DUMMYFUNCTION("""COMPUTED_VALUE"""),51.06)</f>
        <v>51.06</v>
      </c>
      <c r="F1135" s="1">
        <f ca="1">IFERROR(__xludf.DUMMYFUNCTION("""COMPUTED_VALUE"""),17265518)</f>
        <v>17265518</v>
      </c>
    </row>
    <row r="1136" spans="1:6" x14ac:dyDescent="0.35">
      <c r="A1136" s="2">
        <f ca="1">IFERROR(__xludf.DUMMYFUNCTION("""COMPUTED_VALUE"""),43654.6666666666)</f>
        <v>43654.666666666599</v>
      </c>
      <c r="B1136" s="1">
        <f ca="1">IFERROR(__xludf.DUMMYFUNCTION("""COMPUTED_VALUE"""),50.2)</f>
        <v>50.2</v>
      </c>
      <c r="C1136" s="1">
        <f ca="1">IFERROR(__xludf.DUMMYFUNCTION("""COMPUTED_VALUE"""),50.35)</f>
        <v>50.35</v>
      </c>
      <c r="D1136" s="1">
        <f ca="1">IFERROR(__xludf.DUMMYFUNCTION("""COMPUTED_VALUE"""),49.6)</f>
        <v>49.6</v>
      </c>
      <c r="E1136" s="1">
        <f ca="1">IFERROR(__xludf.DUMMYFUNCTION("""COMPUTED_VALUE"""),50.01)</f>
        <v>50.01</v>
      </c>
      <c r="F1136" s="1">
        <f ca="1">IFERROR(__xludf.DUMMYFUNCTION("""COMPUTED_VALUE"""),25338628)</f>
        <v>25338628</v>
      </c>
    </row>
    <row r="1137" spans="1:6" x14ac:dyDescent="0.35">
      <c r="A1137" s="2">
        <f ca="1">IFERROR(__xludf.DUMMYFUNCTION("""COMPUTED_VALUE"""),43655.6666666666)</f>
        <v>43655.666666666599</v>
      </c>
      <c r="B1137" s="1">
        <f ca="1">IFERROR(__xludf.DUMMYFUNCTION("""COMPUTED_VALUE"""),49.8)</f>
        <v>49.8</v>
      </c>
      <c r="C1137" s="1">
        <f ca="1">IFERROR(__xludf.DUMMYFUNCTION("""COMPUTED_VALUE"""),50.38)</f>
        <v>50.38</v>
      </c>
      <c r="D1137" s="1">
        <f ca="1">IFERROR(__xludf.DUMMYFUNCTION("""COMPUTED_VALUE"""),49.7)</f>
        <v>49.7</v>
      </c>
      <c r="E1137" s="1">
        <f ca="1">IFERROR(__xludf.DUMMYFUNCTION("""COMPUTED_VALUE"""),50.31)</f>
        <v>50.31</v>
      </c>
      <c r="F1137" s="1">
        <f ca="1">IFERROR(__xludf.DUMMYFUNCTION("""COMPUTED_VALUE"""),20578015)</f>
        <v>20578015</v>
      </c>
    </row>
    <row r="1138" spans="1:6" x14ac:dyDescent="0.35">
      <c r="A1138" s="2">
        <f ca="1">IFERROR(__xludf.DUMMYFUNCTION("""COMPUTED_VALUE"""),43656.6666666666)</f>
        <v>43656.666666666599</v>
      </c>
      <c r="B1138" s="1">
        <f ca="1">IFERROR(__xludf.DUMMYFUNCTION("""COMPUTED_VALUE"""),50.46)</f>
        <v>50.46</v>
      </c>
      <c r="C1138" s="1">
        <f ca="1">IFERROR(__xludf.DUMMYFUNCTION("""COMPUTED_VALUE"""),50.93)</f>
        <v>50.93</v>
      </c>
      <c r="D1138" s="1">
        <f ca="1">IFERROR(__xludf.DUMMYFUNCTION("""COMPUTED_VALUE"""),50.39)</f>
        <v>50.39</v>
      </c>
      <c r="E1138" s="1">
        <f ca="1">IFERROR(__xludf.DUMMYFUNCTION("""COMPUTED_VALUE"""),50.81)</f>
        <v>50.81</v>
      </c>
      <c r="F1138" s="1">
        <f ca="1">IFERROR(__xludf.DUMMYFUNCTION("""COMPUTED_VALUE"""),17897138)</f>
        <v>17897138</v>
      </c>
    </row>
    <row r="1139" spans="1:6" x14ac:dyDescent="0.35">
      <c r="A1139" s="2">
        <f ca="1">IFERROR(__xludf.DUMMYFUNCTION("""COMPUTED_VALUE"""),43657.6666666666)</f>
        <v>43657.666666666599</v>
      </c>
      <c r="B1139" s="1">
        <f ca="1">IFERROR(__xludf.DUMMYFUNCTION("""COMPUTED_VALUE"""),50.83)</f>
        <v>50.83</v>
      </c>
      <c r="C1139" s="1">
        <f ca="1">IFERROR(__xludf.DUMMYFUNCTION("""COMPUTED_VALUE"""),51.1)</f>
        <v>51.1</v>
      </c>
      <c r="D1139" s="1">
        <f ca="1">IFERROR(__xludf.DUMMYFUNCTION("""COMPUTED_VALUE"""),50.43)</f>
        <v>50.43</v>
      </c>
      <c r="E1139" s="1">
        <f ca="1">IFERROR(__xludf.DUMMYFUNCTION("""COMPUTED_VALUE"""),50.44)</f>
        <v>50.44</v>
      </c>
      <c r="F1139" s="1">
        <f ca="1">IFERROR(__xludf.DUMMYFUNCTION("""COMPUTED_VALUE"""),20191842)</f>
        <v>20191842</v>
      </c>
    </row>
    <row r="1140" spans="1:6" x14ac:dyDescent="0.35">
      <c r="A1140" s="2">
        <f ca="1">IFERROR(__xludf.DUMMYFUNCTION("""COMPUTED_VALUE"""),43658.6666666666)</f>
        <v>43658.666666666599</v>
      </c>
      <c r="B1140" s="1">
        <f ca="1">IFERROR(__xludf.DUMMYFUNCTION("""COMPUTED_VALUE"""),50.61)</f>
        <v>50.61</v>
      </c>
      <c r="C1140" s="1">
        <f ca="1">IFERROR(__xludf.DUMMYFUNCTION("""COMPUTED_VALUE"""),51)</f>
        <v>51</v>
      </c>
      <c r="D1140" s="1">
        <f ca="1">IFERROR(__xludf.DUMMYFUNCTION("""COMPUTED_VALUE"""),50.55)</f>
        <v>50.55</v>
      </c>
      <c r="E1140" s="1">
        <f ca="1">IFERROR(__xludf.DUMMYFUNCTION("""COMPUTED_VALUE"""),50.83)</f>
        <v>50.83</v>
      </c>
      <c r="F1140" s="1">
        <f ca="1">IFERROR(__xludf.DUMMYFUNCTION("""COMPUTED_VALUE"""),17595212)</f>
        <v>17595212</v>
      </c>
    </row>
    <row r="1141" spans="1:6" x14ac:dyDescent="0.35">
      <c r="A1141" s="2">
        <f ca="1">IFERROR(__xludf.DUMMYFUNCTION("""COMPUTED_VALUE"""),43661.6666666666)</f>
        <v>43661.666666666599</v>
      </c>
      <c r="B1141" s="1">
        <f ca="1">IFERROR(__xludf.DUMMYFUNCTION("""COMPUTED_VALUE"""),51.02)</f>
        <v>51.02</v>
      </c>
      <c r="C1141" s="1">
        <f ca="1">IFERROR(__xludf.DUMMYFUNCTION("""COMPUTED_VALUE"""),51.47)</f>
        <v>51.47</v>
      </c>
      <c r="D1141" s="1">
        <f ca="1">IFERROR(__xludf.DUMMYFUNCTION("""COMPUTED_VALUE"""),51)</f>
        <v>51</v>
      </c>
      <c r="E1141" s="1">
        <f ca="1">IFERROR(__xludf.DUMMYFUNCTION("""COMPUTED_VALUE"""),51.3)</f>
        <v>51.3</v>
      </c>
      <c r="F1141" s="1">
        <f ca="1">IFERROR(__xludf.DUMMYFUNCTION("""COMPUTED_VALUE"""),16947420)</f>
        <v>16947420</v>
      </c>
    </row>
    <row r="1142" spans="1:6" x14ac:dyDescent="0.35">
      <c r="A1142" s="2">
        <f ca="1">IFERROR(__xludf.DUMMYFUNCTION("""COMPUTED_VALUE"""),43662.6666666666)</f>
        <v>43662.666666666599</v>
      </c>
      <c r="B1142" s="1">
        <f ca="1">IFERROR(__xludf.DUMMYFUNCTION("""COMPUTED_VALUE"""),51.15)</f>
        <v>51.15</v>
      </c>
      <c r="C1142" s="1">
        <f ca="1">IFERROR(__xludf.DUMMYFUNCTION("""COMPUTED_VALUE"""),51.53)</f>
        <v>51.53</v>
      </c>
      <c r="D1142" s="1">
        <f ca="1">IFERROR(__xludf.DUMMYFUNCTION("""COMPUTED_VALUE"""),50.88)</f>
        <v>50.88</v>
      </c>
      <c r="E1142" s="1">
        <f ca="1">IFERROR(__xludf.DUMMYFUNCTION("""COMPUTED_VALUE"""),51.13)</f>
        <v>51.13</v>
      </c>
      <c r="F1142" s="1">
        <f ca="1">IFERROR(__xludf.DUMMYFUNCTION("""COMPUTED_VALUE"""),16866816)</f>
        <v>16866816</v>
      </c>
    </row>
    <row r="1143" spans="1:6" x14ac:dyDescent="0.35">
      <c r="A1143" s="2">
        <f ca="1">IFERROR(__xludf.DUMMYFUNCTION("""COMPUTED_VALUE"""),43663.6666666666)</f>
        <v>43663.666666666599</v>
      </c>
      <c r="B1143" s="1">
        <f ca="1">IFERROR(__xludf.DUMMYFUNCTION("""COMPUTED_VALUE"""),51.01)</f>
        <v>51.01</v>
      </c>
      <c r="C1143" s="1">
        <f ca="1">IFERROR(__xludf.DUMMYFUNCTION("""COMPUTED_VALUE"""),51.27)</f>
        <v>51.27</v>
      </c>
      <c r="D1143" s="1">
        <f ca="1">IFERROR(__xludf.DUMMYFUNCTION("""COMPUTED_VALUE"""),50.82)</f>
        <v>50.82</v>
      </c>
      <c r="E1143" s="1">
        <f ca="1">IFERROR(__xludf.DUMMYFUNCTION("""COMPUTED_VALUE"""),50.84)</f>
        <v>50.84</v>
      </c>
      <c r="F1143" s="1">
        <f ca="1">IFERROR(__xludf.DUMMYFUNCTION("""COMPUTED_VALUE"""),14107450)</f>
        <v>14107450</v>
      </c>
    </row>
    <row r="1144" spans="1:6" x14ac:dyDescent="0.35">
      <c r="A1144" s="2">
        <f ca="1">IFERROR(__xludf.DUMMYFUNCTION("""COMPUTED_VALUE"""),43664.6666666666)</f>
        <v>43664.666666666599</v>
      </c>
      <c r="B1144" s="1">
        <f ca="1">IFERROR(__xludf.DUMMYFUNCTION("""COMPUTED_VALUE"""),51)</f>
        <v>51</v>
      </c>
      <c r="C1144" s="1">
        <f ca="1">IFERROR(__xludf.DUMMYFUNCTION("""COMPUTED_VALUE"""),51.47)</f>
        <v>51.47</v>
      </c>
      <c r="D1144" s="1">
        <f ca="1">IFERROR(__xludf.DUMMYFUNCTION("""COMPUTED_VALUE"""),50.93)</f>
        <v>50.93</v>
      </c>
      <c r="E1144" s="1">
        <f ca="1">IFERROR(__xludf.DUMMYFUNCTION("""COMPUTED_VALUE"""),51.42)</f>
        <v>51.42</v>
      </c>
      <c r="F1144" s="1">
        <f ca="1">IFERROR(__xludf.DUMMYFUNCTION("""COMPUTED_VALUE"""),18582161)</f>
        <v>18582161</v>
      </c>
    </row>
    <row r="1145" spans="1:6" x14ac:dyDescent="0.35">
      <c r="A1145" s="2">
        <f ca="1">IFERROR(__xludf.DUMMYFUNCTION("""COMPUTED_VALUE"""),43665.6666666666)</f>
        <v>43665.666666666599</v>
      </c>
      <c r="B1145" s="1">
        <f ca="1">IFERROR(__xludf.DUMMYFUNCTION("""COMPUTED_VALUE"""),51.45)</f>
        <v>51.45</v>
      </c>
      <c r="C1145" s="1">
        <f ca="1">IFERROR(__xludf.DUMMYFUNCTION("""COMPUTED_VALUE"""),51.63)</f>
        <v>51.63</v>
      </c>
      <c r="D1145" s="1">
        <f ca="1">IFERROR(__xludf.DUMMYFUNCTION("""COMPUTED_VALUE"""),50.59)</f>
        <v>50.59</v>
      </c>
      <c r="E1145" s="1">
        <f ca="1">IFERROR(__xludf.DUMMYFUNCTION("""COMPUTED_VALUE"""),50.65)</f>
        <v>50.65</v>
      </c>
      <c r="F1145" s="1">
        <f ca="1">IFERROR(__xludf.DUMMYFUNCTION("""COMPUTED_VALUE"""),20929307)</f>
        <v>20929307</v>
      </c>
    </row>
    <row r="1146" spans="1:6" x14ac:dyDescent="0.35">
      <c r="A1146" s="2">
        <f ca="1">IFERROR(__xludf.DUMMYFUNCTION("""COMPUTED_VALUE"""),43668.6666666666)</f>
        <v>43668.666666666599</v>
      </c>
      <c r="B1146" s="1">
        <f ca="1">IFERROR(__xludf.DUMMYFUNCTION("""COMPUTED_VALUE"""),50.91)</f>
        <v>50.91</v>
      </c>
      <c r="C1146" s="1">
        <f ca="1">IFERROR(__xludf.DUMMYFUNCTION("""COMPUTED_VALUE"""),51.81)</f>
        <v>51.81</v>
      </c>
      <c r="D1146" s="1">
        <f ca="1">IFERROR(__xludf.DUMMYFUNCTION("""COMPUTED_VALUE"""),50.9)</f>
        <v>50.9</v>
      </c>
      <c r="E1146" s="1">
        <f ca="1">IFERROR(__xludf.DUMMYFUNCTION("""COMPUTED_VALUE"""),51.81)</f>
        <v>51.81</v>
      </c>
      <c r="F1146" s="1">
        <f ca="1">IFERROR(__xludf.DUMMYFUNCTION("""COMPUTED_VALUE"""),22277932)</f>
        <v>22277932</v>
      </c>
    </row>
    <row r="1147" spans="1:6" x14ac:dyDescent="0.35">
      <c r="A1147" s="2">
        <f ca="1">IFERROR(__xludf.DUMMYFUNCTION("""COMPUTED_VALUE"""),43669.6666666666)</f>
        <v>43669.666666666599</v>
      </c>
      <c r="B1147" s="1">
        <f ca="1">IFERROR(__xludf.DUMMYFUNCTION("""COMPUTED_VALUE"""),52.12)</f>
        <v>52.12</v>
      </c>
      <c r="C1147" s="1">
        <f ca="1">IFERROR(__xludf.DUMMYFUNCTION("""COMPUTED_VALUE"""),52.23)</f>
        <v>52.23</v>
      </c>
      <c r="D1147" s="1">
        <f ca="1">IFERROR(__xludf.DUMMYFUNCTION("""COMPUTED_VALUE"""),51.82)</f>
        <v>51.82</v>
      </c>
      <c r="E1147" s="1">
        <f ca="1">IFERROR(__xludf.DUMMYFUNCTION("""COMPUTED_VALUE"""),52.21)</f>
        <v>52.21</v>
      </c>
      <c r="F1147" s="1">
        <f ca="1">IFERROR(__xludf.DUMMYFUNCTION("""COMPUTED_VALUE"""),18355210)</f>
        <v>18355210</v>
      </c>
    </row>
    <row r="1148" spans="1:6" x14ac:dyDescent="0.35">
      <c r="A1148" s="2">
        <f ca="1">IFERROR(__xludf.DUMMYFUNCTION("""COMPUTED_VALUE"""),43670.6666666666)</f>
        <v>43670.666666666599</v>
      </c>
      <c r="B1148" s="1">
        <f ca="1">IFERROR(__xludf.DUMMYFUNCTION("""COMPUTED_VALUE"""),51.92)</f>
        <v>51.92</v>
      </c>
      <c r="C1148" s="1">
        <f ca="1">IFERROR(__xludf.DUMMYFUNCTION("""COMPUTED_VALUE"""),52.29)</f>
        <v>52.29</v>
      </c>
      <c r="D1148" s="1">
        <f ca="1">IFERROR(__xludf.DUMMYFUNCTION("""COMPUTED_VALUE"""),51.79)</f>
        <v>51.79</v>
      </c>
      <c r="E1148" s="1">
        <f ca="1">IFERROR(__xludf.DUMMYFUNCTION("""COMPUTED_VALUE"""),52.17)</f>
        <v>52.17</v>
      </c>
      <c r="F1148" s="1">
        <f ca="1">IFERROR(__xludf.DUMMYFUNCTION("""COMPUTED_VALUE"""),14991567)</f>
        <v>14991567</v>
      </c>
    </row>
    <row r="1149" spans="1:6" x14ac:dyDescent="0.35">
      <c r="A1149" s="2">
        <f ca="1">IFERROR(__xludf.DUMMYFUNCTION("""COMPUTED_VALUE"""),43671.6666666666)</f>
        <v>43671.666666666599</v>
      </c>
      <c r="B1149" s="1">
        <f ca="1">IFERROR(__xludf.DUMMYFUNCTION("""COMPUTED_VALUE"""),52.22)</f>
        <v>52.22</v>
      </c>
      <c r="C1149" s="1">
        <f ca="1">IFERROR(__xludf.DUMMYFUNCTION("""COMPUTED_VALUE"""),52.31)</f>
        <v>52.31</v>
      </c>
      <c r="D1149" s="1">
        <f ca="1">IFERROR(__xludf.DUMMYFUNCTION("""COMPUTED_VALUE"""),51.68)</f>
        <v>51.68</v>
      </c>
      <c r="E1149" s="1">
        <f ca="1">IFERROR(__xludf.DUMMYFUNCTION("""COMPUTED_VALUE"""),51.76)</f>
        <v>51.76</v>
      </c>
      <c r="F1149" s="1">
        <f ca="1">IFERROR(__xludf.DUMMYFUNCTION("""COMPUTED_VALUE"""),13909562)</f>
        <v>13909562</v>
      </c>
    </row>
    <row r="1150" spans="1:6" x14ac:dyDescent="0.35">
      <c r="A1150" s="2">
        <f ca="1">IFERROR(__xludf.DUMMYFUNCTION("""COMPUTED_VALUE"""),43672.6666666666)</f>
        <v>43672.666666666599</v>
      </c>
      <c r="B1150" s="1">
        <f ca="1">IFERROR(__xludf.DUMMYFUNCTION("""COMPUTED_VALUE"""),51.87)</f>
        <v>51.87</v>
      </c>
      <c r="C1150" s="1">
        <f ca="1">IFERROR(__xludf.DUMMYFUNCTION("""COMPUTED_VALUE"""),52.43)</f>
        <v>52.43</v>
      </c>
      <c r="D1150" s="1">
        <f ca="1">IFERROR(__xludf.DUMMYFUNCTION("""COMPUTED_VALUE"""),51.79)</f>
        <v>51.79</v>
      </c>
      <c r="E1150" s="1">
        <f ca="1">IFERROR(__xludf.DUMMYFUNCTION("""COMPUTED_VALUE"""),51.94)</f>
        <v>51.94</v>
      </c>
      <c r="F1150" s="1">
        <f ca="1">IFERROR(__xludf.DUMMYFUNCTION("""COMPUTED_VALUE"""),17618874)</f>
        <v>17618874</v>
      </c>
    </row>
    <row r="1151" spans="1:6" x14ac:dyDescent="0.35">
      <c r="A1151" s="2">
        <f ca="1">IFERROR(__xludf.DUMMYFUNCTION("""COMPUTED_VALUE"""),43675.6666666666)</f>
        <v>43675.666666666599</v>
      </c>
      <c r="B1151" s="1">
        <f ca="1">IFERROR(__xludf.DUMMYFUNCTION("""COMPUTED_VALUE"""),52.12)</f>
        <v>52.12</v>
      </c>
      <c r="C1151" s="1">
        <f ca="1">IFERROR(__xludf.DUMMYFUNCTION("""COMPUTED_VALUE"""),52.66)</f>
        <v>52.66</v>
      </c>
      <c r="D1151" s="1">
        <f ca="1">IFERROR(__xludf.DUMMYFUNCTION("""COMPUTED_VALUE"""),52.11)</f>
        <v>52.11</v>
      </c>
      <c r="E1151" s="1">
        <f ca="1">IFERROR(__xludf.DUMMYFUNCTION("""COMPUTED_VALUE"""),52.42)</f>
        <v>52.42</v>
      </c>
      <c r="F1151" s="1">
        <f ca="1">IFERROR(__xludf.DUMMYFUNCTION("""COMPUTED_VALUE"""),21673389)</f>
        <v>21673389</v>
      </c>
    </row>
    <row r="1152" spans="1:6" x14ac:dyDescent="0.35">
      <c r="A1152" s="2">
        <f ca="1">IFERROR(__xludf.DUMMYFUNCTION("""COMPUTED_VALUE"""),43676.6666666666)</f>
        <v>43676.666666666599</v>
      </c>
      <c r="B1152" s="1">
        <f ca="1">IFERROR(__xludf.DUMMYFUNCTION("""COMPUTED_VALUE"""),52.19)</f>
        <v>52.19</v>
      </c>
      <c r="C1152" s="1">
        <f ca="1">IFERROR(__xludf.DUMMYFUNCTION("""COMPUTED_VALUE"""),52.54)</f>
        <v>52.54</v>
      </c>
      <c r="D1152" s="1">
        <f ca="1">IFERROR(__xludf.DUMMYFUNCTION("""COMPUTED_VALUE"""),51.83)</f>
        <v>51.83</v>
      </c>
      <c r="E1152" s="1">
        <f ca="1">IFERROR(__xludf.DUMMYFUNCTION("""COMPUTED_VALUE"""),52.2)</f>
        <v>52.2</v>
      </c>
      <c r="F1152" s="1">
        <f ca="1">IFERROR(__xludf.DUMMYFUNCTION("""COMPUTED_VALUE"""),33935718)</f>
        <v>33935718</v>
      </c>
    </row>
    <row r="1153" spans="1:6" x14ac:dyDescent="0.35">
      <c r="A1153" s="2">
        <f ca="1">IFERROR(__xludf.DUMMYFUNCTION("""COMPUTED_VALUE"""),43677.6666666666)</f>
        <v>43677.666666666599</v>
      </c>
      <c r="B1153" s="1">
        <f ca="1">IFERROR(__xludf.DUMMYFUNCTION("""COMPUTED_VALUE"""),54.11)</f>
        <v>54.11</v>
      </c>
      <c r="C1153" s="1">
        <f ca="1">IFERROR(__xludf.DUMMYFUNCTION("""COMPUTED_VALUE"""),55.34)</f>
        <v>55.34</v>
      </c>
      <c r="D1153" s="1">
        <f ca="1">IFERROR(__xludf.DUMMYFUNCTION("""COMPUTED_VALUE"""),52.83)</f>
        <v>52.83</v>
      </c>
      <c r="E1153" s="1">
        <f ca="1">IFERROR(__xludf.DUMMYFUNCTION("""COMPUTED_VALUE"""),53.26)</f>
        <v>53.26</v>
      </c>
      <c r="F1153" s="1">
        <f ca="1">IFERROR(__xludf.DUMMYFUNCTION("""COMPUTED_VALUE"""),69281361)</f>
        <v>69281361</v>
      </c>
    </row>
    <row r="1154" spans="1:6" x14ac:dyDescent="0.35">
      <c r="A1154" s="2">
        <f ca="1">IFERROR(__xludf.DUMMYFUNCTION("""COMPUTED_VALUE"""),43678.6666666666)</f>
        <v>43678.666666666599</v>
      </c>
      <c r="B1154" s="1">
        <f ca="1">IFERROR(__xludf.DUMMYFUNCTION("""COMPUTED_VALUE"""),53.48)</f>
        <v>53.48</v>
      </c>
      <c r="C1154" s="1">
        <f ca="1">IFERROR(__xludf.DUMMYFUNCTION("""COMPUTED_VALUE"""),54.51)</f>
        <v>54.51</v>
      </c>
      <c r="D1154" s="1">
        <f ca="1">IFERROR(__xludf.DUMMYFUNCTION("""COMPUTED_VALUE"""),51.69)</f>
        <v>51.69</v>
      </c>
      <c r="E1154" s="1">
        <f ca="1">IFERROR(__xludf.DUMMYFUNCTION("""COMPUTED_VALUE"""),52.11)</f>
        <v>52.11</v>
      </c>
      <c r="F1154" s="1">
        <f ca="1">IFERROR(__xludf.DUMMYFUNCTION("""COMPUTED_VALUE"""),54017922)</f>
        <v>54017922</v>
      </c>
    </row>
    <row r="1155" spans="1:6" x14ac:dyDescent="0.35">
      <c r="A1155" s="2">
        <f ca="1">IFERROR(__xludf.DUMMYFUNCTION("""COMPUTED_VALUE"""),43679.6666666666)</f>
        <v>43679.666666666599</v>
      </c>
      <c r="B1155" s="1">
        <f ca="1">IFERROR(__xludf.DUMMYFUNCTION("""COMPUTED_VALUE"""),51.38)</f>
        <v>51.38</v>
      </c>
      <c r="C1155" s="1">
        <f ca="1">IFERROR(__xludf.DUMMYFUNCTION("""COMPUTED_VALUE"""),51.61)</f>
        <v>51.61</v>
      </c>
      <c r="D1155" s="1">
        <f ca="1">IFERROR(__xludf.DUMMYFUNCTION("""COMPUTED_VALUE"""),50.41)</f>
        <v>50.41</v>
      </c>
      <c r="E1155" s="1">
        <f ca="1">IFERROR(__xludf.DUMMYFUNCTION("""COMPUTED_VALUE"""),51.01)</f>
        <v>51.01</v>
      </c>
      <c r="F1155" s="1">
        <f ca="1">IFERROR(__xludf.DUMMYFUNCTION("""COMPUTED_VALUE"""),40862122)</f>
        <v>40862122</v>
      </c>
    </row>
    <row r="1156" spans="1:6" x14ac:dyDescent="0.35">
      <c r="A1156" s="2">
        <f ca="1">IFERROR(__xludf.DUMMYFUNCTION("""COMPUTED_VALUE"""),43682.6666666666)</f>
        <v>43682.666666666599</v>
      </c>
      <c r="B1156" s="1">
        <f ca="1">IFERROR(__xludf.DUMMYFUNCTION("""COMPUTED_VALUE"""),49.5)</f>
        <v>49.5</v>
      </c>
      <c r="C1156" s="1">
        <f ca="1">IFERROR(__xludf.DUMMYFUNCTION("""COMPUTED_VALUE"""),49.66)</f>
        <v>49.66</v>
      </c>
      <c r="D1156" s="1">
        <f ca="1">IFERROR(__xludf.DUMMYFUNCTION("""COMPUTED_VALUE"""),48.15)</f>
        <v>48.15</v>
      </c>
      <c r="E1156" s="1">
        <f ca="1">IFERROR(__xludf.DUMMYFUNCTION("""COMPUTED_VALUE"""),48.34)</f>
        <v>48.34</v>
      </c>
      <c r="F1156" s="1">
        <f ca="1">IFERROR(__xludf.DUMMYFUNCTION("""COMPUTED_VALUE"""),52392969)</f>
        <v>52392969</v>
      </c>
    </row>
    <row r="1157" spans="1:6" x14ac:dyDescent="0.35">
      <c r="A1157" s="2">
        <f ca="1">IFERROR(__xludf.DUMMYFUNCTION("""COMPUTED_VALUE"""),43683.6666666666)</f>
        <v>43683.666666666599</v>
      </c>
      <c r="B1157" s="1">
        <f ca="1">IFERROR(__xludf.DUMMYFUNCTION("""COMPUTED_VALUE"""),49.08)</f>
        <v>49.08</v>
      </c>
      <c r="C1157" s="1">
        <f ca="1">IFERROR(__xludf.DUMMYFUNCTION("""COMPUTED_VALUE"""),49.52)</f>
        <v>49.52</v>
      </c>
      <c r="D1157" s="1">
        <f ca="1">IFERROR(__xludf.DUMMYFUNCTION("""COMPUTED_VALUE"""),48.51)</f>
        <v>48.51</v>
      </c>
      <c r="E1157" s="1">
        <f ca="1">IFERROR(__xludf.DUMMYFUNCTION("""COMPUTED_VALUE"""),49.25)</f>
        <v>49.25</v>
      </c>
      <c r="F1157" s="1">
        <f ca="1">IFERROR(__xludf.DUMMYFUNCTION("""COMPUTED_VALUE"""),35824787)</f>
        <v>35824787</v>
      </c>
    </row>
    <row r="1158" spans="1:6" x14ac:dyDescent="0.35">
      <c r="A1158" s="2">
        <f ca="1">IFERROR(__xludf.DUMMYFUNCTION("""COMPUTED_VALUE"""),43684.6666666666)</f>
        <v>43684.666666666599</v>
      </c>
      <c r="B1158" s="1">
        <f ca="1">IFERROR(__xludf.DUMMYFUNCTION("""COMPUTED_VALUE"""),48.85)</f>
        <v>48.85</v>
      </c>
      <c r="C1158" s="1">
        <f ca="1">IFERROR(__xludf.DUMMYFUNCTION("""COMPUTED_VALUE"""),49.89)</f>
        <v>49.89</v>
      </c>
      <c r="D1158" s="1">
        <f ca="1">IFERROR(__xludf.DUMMYFUNCTION("""COMPUTED_VALUE"""),48.46)</f>
        <v>48.46</v>
      </c>
      <c r="E1158" s="1">
        <f ca="1">IFERROR(__xludf.DUMMYFUNCTION("""COMPUTED_VALUE"""),49.76)</f>
        <v>49.76</v>
      </c>
      <c r="F1158" s="1">
        <f ca="1">IFERROR(__xludf.DUMMYFUNCTION("""COMPUTED_VALUE"""),33364400)</f>
        <v>33364400</v>
      </c>
    </row>
    <row r="1159" spans="1:6" x14ac:dyDescent="0.35">
      <c r="A1159" s="2">
        <f ca="1">IFERROR(__xludf.DUMMYFUNCTION("""COMPUTED_VALUE"""),43685.6666666666)</f>
        <v>43685.666666666599</v>
      </c>
      <c r="B1159" s="1">
        <f ca="1">IFERROR(__xludf.DUMMYFUNCTION("""COMPUTED_VALUE"""),50.05)</f>
        <v>50.05</v>
      </c>
      <c r="C1159" s="1">
        <f ca="1">IFERROR(__xludf.DUMMYFUNCTION("""COMPUTED_VALUE"""),50.88)</f>
        <v>50.88</v>
      </c>
      <c r="D1159" s="1">
        <f ca="1">IFERROR(__xludf.DUMMYFUNCTION("""COMPUTED_VALUE"""),49.85)</f>
        <v>49.85</v>
      </c>
      <c r="E1159" s="1">
        <f ca="1">IFERROR(__xludf.DUMMYFUNCTION("""COMPUTED_VALUE"""),50.86)</f>
        <v>50.86</v>
      </c>
      <c r="F1159" s="1">
        <f ca="1">IFERROR(__xludf.DUMMYFUNCTION("""COMPUTED_VALUE"""),27009523)</f>
        <v>27009523</v>
      </c>
    </row>
    <row r="1160" spans="1:6" x14ac:dyDescent="0.35">
      <c r="A1160" s="2">
        <f ca="1">IFERROR(__xludf.DUMMYFUNCTION("""COMPUTED_VALUE"""),43686.6666666666)</f>
        <v>43686.666666666599</v>
      </c>
      <c r="B1160" s="1">
        <f ca="1">IFERROR(__xludf.DUMMYFUNCTION("""COMPUTED_VALUE"""),50.33)</f>
        <v>50.33</v>
      </c>
      <c r="C1160" s="1">
        <f ca="1">IFERROR(__xludf.DUMMYFUNCTION("""COMPUTED_VALUE"""),50.69)</f>
        <v>50.69</v>
      </c>
      <c r="D1160" s="1">
        <f ca="1">IFERROR(__xludf.DUMMYFUNCTION("""COMPUTED_VALUE"""),49.82)</f>
        <v>49.82</v>
      </c>
      <c r="E1160" s="1">
        <f ca="1">IFERROR(__xludf.DUMMYFUNCTION("""COMPUTED_VALUE"""),50.25)</f>
        <v>50.25</v>
      </c>
      <c r="F1160" s="1">
        <f ca="1">IFERROR(__xludf.DUMMYFUNCTION("""COMPUTED_VALUE"""),24619746)</f>
        <v>24619746</v>
      </c>
    </row>
    <row r="1161" spans="1:6" x14ac:dyDescent="0.35">
      <c r="A1161" s="2">
        <f ca="1">IFERROR(__xludf.DUMMYFUNCTION("""COMPUTED_VALUE"""),43689.6666666666)</f>
        <v>43689.666666666599</v>
      </c>
      <c r="B1161" s="1">
        <f ca="1">IFERROR(__xludf.DUMMYFUNCTION("""COMPUTED_VALUE"""),49.91)</f>
        <v>49.91</v>
      </c>
      <c r="C1161" s="1">
        <f ca="1">IFERROR(__xludf.DUMMYFUNCTION("""COMPUTED_VALUE"""),50.51)</f>
        <v>50.51</v>
      </c>
      <c r="D1161" s="1">
        <f ca="1">IFERROR(__xludf.DUMMYFUNCTION("""COMPUTED_VALUE"""),49.79)</f>
        <v>49.79</v>
      </c>
      <c r="E1161" s="1">
        <f ca="1">IFERROR(__xludf.DUMMYFUNCTION("""COMPUTED_VALUE"""),50.12)</f>
        <v>50.12</v>
      </c>
      <c r="F1161" s="1">
        <f ca="1">IFERROR(__xludf.DUMMYFUNCTION("""COMPUTED_VALUE"""),22481889)</f>
        <v>22481889</v>
      </c>
    </row>
    <row r="1162" spans="1:6" x14ac:dyDescent="0.35">
      <c r="A1162" s="2">
        <f ca="1">IFERROR(__xludf.DUMMYFUNCTION("""COMPUTED_VALUE"""),43690.6666666666)</f>
        <v>43690.666666666599</v>
      </c>
      <c r="B1162" s="1">
        <f ca="1">IFERROR(__xludf.DUMMYFUNCTION("""COMPUTED_VALUE"""),50.26)</f>
        <v>50.26</v>
      </c>
      <c r="C1162" s="1">
        <f ca="1">IFERROR(__xludf.DUMMYFUNCTION("""COMPUTED_VALUE"""),53.04)</f>
        <v>53.04</v>
      </c>
      <c r="D1162" s="1">
        <f ca="1">IFERROR(__xludf.DUMMYFUNCTION("""COMPUTED_VALUE"""),50.21)</f>
        <v>50.21</v>
      </c>
      <c r="E1162" s="1">
        <f ca="1">IFERROR(__xludf.DUMMYFUNCTION("""COMPUTED_VALUE"""),52.24)</f>
        <v>52.24</v>
      </c>
      <c r="F1162" s="1">
        <f ca="1">IFERROR(__xludf.DUMMYFUNCTION("""COMPUTED_VALUE"""),47539786)</f>
        <v>47539786</v>
      </c>
    </row>
    <row r="1163" spans="1:6" x14ac:dyDescent="0.35">
      <c r="A1163" s="2">
        <f ca="1">IFERROR(__xludf.DUMMYFUNCTION("""COMPUTED_VALUE"""),43691.6666666666)</f>
        <v>43691.666666666599</v>
      </c>
      <c r="B1163" s="1">
        <f ca="1">IFERROR(__xludf.DUMMYFUNCTION("""COMPUTED_VALUE"""),50.79)</f>
        <v>50.79</v>
      </c>
      <c r="C1163" s="1">
        <f ca="1">IFERROR(__xludf.DUMMYFUNCTION("""COMPUTED_VALUE"""),51.61)</f>
        <v>51.61</v>
      </c>
      <c r="D1163" s="1">
        <f ca="1">IFERROR(__xludf.DUMMYFUNCTION("""COMPUTED_VALUE"""),50.65)</f>
        <v>50.65</v>
      </c>
      <c r="E1163" s="1">
        <f ca="1">IFERROR(__xludf.DUMMYFUNCTION("""COMPUTED_VALUE"""),50.69)</f>
        <v>50.69</v>
      </c>
      <c r="F1163" s="1">
        <f ca="1">IFERROR(__xludf.DUMMYFUNCTION("""COMPUTED_VALUE"""),36547443)</f>
        <v>36547443</v>
      </c>
    </row>
    <row r="1164" spans="1:6" x14ac:dyDescent="0.35">
      <c r="A1164" s="2">
        <f ca="1">IFERROR(__xludf.DUMMYFUNCTION("""COMPUTED_VALUE"""),43692.6666666666)</f>
        <v>43692.666666666599</v>
      </c>
      <c r="B1164" s="1">
        <f ca="1">IFERROR(__xludf.DUMMYFUNCTION("""COMPUTED_VALUE"""),50.87)</f>
        <v>50.87</v>
      </c>
      <c r="C1164" s="1">
        <f ca="1">IFERROR(__xludf.DUMMYFUNCTION("""COMPUTED_VALUE"""),51.29)</f>
        <v>51.29</v>
      </c>
      <c r="D1164" s="1">
        <f ca="1">IFERROR(__xludf.DUMMYFUNCTION("""COMPUTED_VALUE"""),49.92)</f>
        <v>49.92</v>
      </c>
      <c r="E1164" s="1">
        <f ca="1">IFERROR(__xludf.DUMMYFUNCTION("""COMPUTED_VALUE"""),50.44)</f>
        <v>50.44</v>
      </c>
      <c r="F1164" s="1">
        <f ca="1">IFERROR(__xludf.DUMMYFUNCTION("""COMPUTED_VALUE"""),27883363)</f>
        <v>27883363</v>
      </c>
    </row>
    <row r="1165" spans="1:6" x14ac:dyDescent="0.35">
      <c r="A1165" s="2">
        <f ca="1">IFERROR(__xludf.DUMMYFUNCTION("""COMPUTED_VALUE"""),43693.6666666666)</f>
        <v>43693.666666666599</v>
      </c>
      <c r="B1165" s="1">
        <f ca="1">IFERROR(__xludf.DUMMYFUNCTION("""COMPUTED_VALUE"""),51.07)</f>
        <v>51.07</v>
      </c>
      <c r="C1165" s="1">
        <f ca="1">IFERROR(__xludf.DUMMYFUNCTION("""COMPUTED_VALUE"""),51.79)</f>
        <v>51.79</v>
      </c>
      <c r="D1165" s="1">
        <f ca="1">IFERROR(__xludf.DUMMYFUNCTION("""COMPUTED_VALUE"""),50.96)</f>
        <v>50.96</v>
      </c>
      <c r="E1165" s="1">
        <f ca="1">IFERROR(__xludf.DUMMYFUNCTION("""COMPUTED_VALUE"""),51.63)</f>
        <v>51.63</v>
      </c>
      <c r="F1165" s="1">
        <f ca="1">IFERROR(__xludf.DUMMYFUNCTION("""COMPUTED_VALUE"""),28813624)</f>
        <v>28813624</v>
      </c>
    </row>
    <row r="1166" spans="1:6" x14ac:dyDescent="0.35">
      <c r="A1166" s="2">
        <f ca="1">IFERROR(__xludf.DUMMYFUNCTION("""COMPUTED_VALUE"""),43696.6666666666)</f>
        <v>43696.666666666599</v>
      </c>
      <c r="B1166" s="1">
        <f ca="1">IFERROR(__xludf.DUMMYFUNCTION("""COMPUTED_VALUE"""),52.66)</f>
        <v>52.66</v>
      </c>
      <c r="C1166" s="1">
        <f ca="1">IFERROR(__xludf.DUMMYFUNCTION("""COMPUTED_VALUE"""),53.18)</f>
        <v>53.18</v>
      </c>
      <c r="D1166" s="1">
        <f ca="1">IFERROR(__xludf.DUMMYFUNCTION("""COMPUTED_VALUE"""),52.51)</f>
        <v>52.51</v>
      </c>
      <c r="E1166" s="1">
        <f ca="1">IFERROR(__xludf.DUMMYFUNCTION("""COMPUTED_VALUE"""),52.59)</f>
        <v>52.59</v>
      </c>
      <c r="F1166" s="1">
        <f ca="1">IFERROR(__xludf.DUMMYFUNCTION("""COMPUTED_VALUE"""),24431915)</f>
        <v>24431915</v>
      </c>
    </row>
    <row r="1167" spans="1:6" x14ac:dyDescent="0.35">
      <c r="A1167" s="2">
        <f ca="1">IFERROR(__xludf.DUMMYFUNCTION("""COMPUTED_VALUE"""),43697.6666666666)</f>
        <v>43697.666666666599</v>
      </c>
      <c r="B1167" s="1">
        <f ca="1">IFERROR(__xludf.DUMMYFUNCTION("""COMPUTED_VALUE"""),52.72)</f>
        <v>52.72</v>
      </c>
      <c r="C1167" s="1">
        <f ca="1">IFERROR(__xludf.DUMMYFUNCTION("""COMPUTED_VALUE"""),53.34)</f>
        <v>53.34</v>
      </c>
      <c r="D1167" s="1">
        <f ca="1">IFERROR(__xludf.DUMMYFUNCTION("""COMPUTED_VALUE"""),52.58)</f>
        <v>52.58</v>
      </c>
      <c r="E1167" s="1">
        <f ca="1">IFERROR(__xludf.DUMMYFUNCTION("""COMPUTED_VALUE"""),52.59)</f>
        <v>52.59</v>
      </c>
      <c r="F1167" s="1">
        <f ca="1">IFERROR(__xludf.DUMMYFUNCTION("""COMPUTED_VALUE"""),26919529)</f>
        <v>26919529</v>
      </c>
    </row>
    <row r="1168" spans="1:6" x14ac:dyDescent="0.35">
      <c r="A1168" s="2">
        <f ca="1">IFERROR(__xludf.DUMMYFUNCTION("""COMPUTED_VALUE"""),43698.6666666666)</f>
        <v>43698.666666666599</v>
      </c>
      <c r="B1168" s="1">
        <f ca="1">IFERROR(__xludf.DUMMYFUNCTION("""COMPUTED_VALUE"""),53.25)</f>
        <v>53.25</v>
      </c>
      <c r="C1168" s="1">
        <f ca="1">IFERROR(__xludf.DUMMYFUNCTION("""COMPUTED_VALUE"""),53.41)</f>
        <v>53.41</v>
      </c>
      <c r="D1168" s="1">
        <f ca="1">IFERROR(__xludf.DUMMYFUNCTION("""COMPUTED_VALUE"""),52.9)</f>
        <v>52.9</v>
      </c>
      <c r="E1168" s="1">
        <f ca="1">IFERROR(__xludf.DUMMYFUNCTION("""COMPUTED_VALUE"""),53.16)</f>
        <v>53.16</v>
      </c>
      <c r="F1168" s="1">
        <f ca="1">IFERROR(__xludf.DUMMYFUNCTION("""COMPUTED_VALUE"""),21564747)</f>
        <v>21564747</v>
      </c>
    </row>
    <row r="1169" spans="1:6" x14ac:dyDescent="0.35">
      <c r="A1169" s="2">
        <f ca="1">IFERROR(__xludf.DUMMYFUNCTION("""COMPUTED_VALUE"""),43699.6666666666)</f>
        <v>43699.666666666599</v>
      </c>
      <c r="B1169" s="1">
        <f ca="1">IFERROR(__xludf.DUMMYFUNCTION("""COMPUTED_VALUE"""),53.3)</f>
        <v>53.3</v>
      </c>
      <c r="C1169" s="1">
        <f ca="1">IFERROR(__xludf.DUMMYFUNCTION("""COMPUTED_VALUE"""),53.61)</f>
        <v>53.61</v>
      </c>
      <c r="D1169" s="1">
        <f ca="1">IFERROR(__xludf.DUMMYFUNCTION("""COMPUTED_VALUE"""),52.69)</f>
        <v>52.69</v>
      </c>
      <c r="E1169" s="1">
        <f ca="1">IFERROR(__xludf.DUMMYFUNCTION("""COMPUTED_VALUE"""),53.12)</f>
        <v>53.12</v>
      </c>
      <c r="F1169" s="1">
        <f ca="1">IFERROR(__xludf.DUMMYFUNCTION("""COMPUTED_VALUE"""),22267819)</f>
        <v>22267819</v>
      </c>
    </row>
    <row r="1170" spans="1:6" x14ac:dyDescent="0.35">
      <c r="A1170" s="2">
        <f ca="1">IFERROR(__xludf.DUMMYFUNCTION("""COMPUTED_VALUE"""),43700.6666666666)</f>
        <v>43700.666666666599</v>
      </c>
      <c r="B1170" s="1">
        <f ca="1">IFERROR(__xludf.DUMMYFUNCTION("""COMPUTED_VALUE"""),52.36)</f>
        <v>52.36</v>
      </c>
      <c r="C1170" s="1">
        <f ca="1">IFERROR(__xludf.DUMMYFUNCTION("""COMPUTED_VALUE"""),53.01)</f>
        <v>53.01</v>
      </c>
      <c r="D1170" s="1">
        <f ca="1">IFERROR(__xludf.DUMMYFUNCTION("""COMPUTED_VALUE"""),50.25)</f>
        <v>50.25</v>
      </c>
      <c r="E1170" s="1">
        <f ca="1">IFERROR(__xludf.DUMMYFUNCTION("""COMPUTED_VALUE"""),50.66)</f>
        <v>50.66</v>
      </c>
      <c r="F1170" s="1">
        <f ca="1">IFERROR(__xludf.DUMMYFUNCTION("""COMPUTED_VALUE"""),46882843)</f>
        <v>46882843</v>
      </c>
    </row>
    <row r="1171" spans="1:6" x14ac:dyDescent="0.35">
      <c r="A1171" s="2">
        <f ca="1">IFERROR(__xludf.DUMMYFUNCTION("""COMPUTED_VALUE"""),43703.6666666666)</f>
        <v>43703.666666666599</v>
      </c>
      <c r="B1171" s="1">
        <f ca="1">IFERROR(__xludf.DUMMYFUNCTION("""COMPUTED_VALUE"""),51.47)</f>
        <v>51.47</v>
      </c>
      <c r="C1171" s="1">
        <f ca="1">IFERROR(__xludf.DUMMYFUNCTION("""COMPUTED_VALUE"""),51.8)</f>
        <v>51.8</v>
      </c>
      <c r="D1171" s="1">
        <f ca="1">IFERROR(__xludf.DUMMYFUNCTION("""COMPUTED_VALUE"""),51.26)</f>
        <v>51.26</v>
      </c>
      <c r="E1171" s="1">
        <f ca="1">IFERROR(__xludf.DUMMYFUNCTION("""COMPUTED_VALUE"""),51.62)</f>
        <v>51.62</v>
      </c>
      <c r="F1171" s="1">
        <f ca="1">IFERROR(__xludf.DUMMYFUNCTION("""COMPUTED_VALUE"""),26066130)</f>
        <v>26066130</v>
      </c>
    </row>
    <row r="1172" spans="1:6" x14ac:dyDescent="0.35">
      <c r="A1172" s="2">
        <f ca="1">IFERROR(__xludf.DUMMYFUNCTION("""COMPUTED_VALUE"""),43704.6666666666)</f>
        <v>43704.666666666599</v>
      </c>
      <c r="B1172" s="1">
        <f ca="1">IFERROR(__xludf.DUMMYFUNCTION("""COMPUTED_VALUE"""),51.97)</f>
        <v>51.97</v>
      </c>
      <c r="C1172" s="1">
        <f ca="1">IFERROR(__xludf.DUMMYFUNCTION("""COMPUTED_VALUE"""),52.14)</f>
        <v>52.14</v>
      </c>
      <c r="D1172" s="1">
        <f ca="1">IFERROR(__xludf.DUMMYFUNCTION("""COMPUTED_VALUE"""),50.88)</f>
        <v>50.88</v>
      </c>
      <c r="E1172" s="1">
        <f ca="1">IFERROR(__xludf.DUMMYFUNCTION("""COMPUTED_VALUE"""),51.04)</f>
        <v>51.04</v>
      </c>
      <c r="F1172" s="1">
        <f ca="1">IFERROR(__xludf.DUMMYFUNCTION("""COMPUTED_VALUE"""),25897344)</f>
        <v>25897344</v>
      </c>
    </row>
    <row r="1173" spans="1:6" x14ac:dyDescent="0.35">
      <c r="A1173" s="2">
        <f ca="1">IFERROR(__xludf.DUMMYFUNCTION("""COMPUTED_VALUE"""),43705.6666666666)</f>
        <v>43705.666666666599</v>
      </c>
      <c r="B1173" s="1">
        <f ca="1">IFERROR(__xludf.DUMMYFUNCTION("""COMPUTED_VALUE"""),51.03)</f>
        <v>51.03</v>
      </c>
      <c r="C1173" s="1">
        <f ca="1">IFERROR(__xludf.DUMMYFUNCTION("""COMPUTED_VALUE"""),51.43)</f>
        <v>51.43</v>
      </c>
      <c r="D1173" s="1">
        <f ca="1">IFERROR(__xludf.DUMMYFUNCTION("""COMPUTED_VALUE"""),50.83)</f>
        <v>50.83</v>
      </c>
      <c r="E1173" s="1">
        <f ca="1">IFERROR(__xludf.DUMMYFUNCTION("""COMPUTED_VALUE"""),51.38)</f>
        <v>51.38</v>
      </c>
      <c r="F1173" s="1">
        <f ca="1">IFERROR(__xludf.DUMMYFUNCTION("""COMPUTED_VALUE"""),15957632)</f>
        <v>15957632</v>
      </c>
    </row>
    <row r="1174" spans="1:6" x14ac:dyDescent="0.35">
      <c r="A1174" s="2">
        <f ca="1">IFERROR(__xludf.DUMMYFUNCTION("""COMPUTED_VALUE"""),43706.6666666666)</f>
        <v>43706.666666666599</v>
      </c>
      <c r="B1174" s="1">
        <f ca="1">IFERROR(__xludf.DUMMYFUNCTION("""COMPUTED_VALUE"""),52.13)</f>
        <v>52.13</v>
      </c>
      <c r="C1174" s="1">
        <f ca="1">IFERROR(__xludf.DUMMYFUNCTION("""COMPUTED_VALUE"""),52.33)</f>
        <v>52.33</v>
      </c>
      <c r="D1174" s="1">
        <f ca="1">IFERROR(__xludf.DUMMYFUNCTION("""COMPUTED_VALUE"""),51.66)</f>
        <v>51.66</v>
      </c>
      <c r="E1174" s="1">
        <f ca="1">IFERROR(__xludf.DUMMYFUNCTION("""COMPUTED_VALUE"""),52.25)</f>
        <v>52.25</v>
      </c>
      <c r="F1174" s="1">
        <f ca="1">IFERROR(__xludf.DUMMYFUNCTION("""COMPUTED_VALUE"""),21007652)</f>
        <v>21007652</v>
      </c>
    </row>
    <row r="1175" spans="1:6" x14ac:dyDescent="0.35">
      <c r="A1175" s="2">
        <f ca="1">IFERROR(__xludf.DUMMYFUNCTION("""COMPUTED_VALUE"""),43707.6666666666)</f>
        <v>43707.666666666599</v>
      </c>
      <c r="B1175" s="1">
        <f ca="1">IFERROR(__xludf.DUMMYFUNCTION("""COMPUTED_VALUE"""),52.54)</f>
        <v>52.54</v>
      </c>
      <c r="C1175" s="1">
        <f ca="1">IFERROR(__xludf.DUMMYFUNCTION("""COMPUTED_VALUE"""),52.61)</f>
        <v>52.61</v>
      </c>
      <c r="D1175" s="1">
        <f ca="1">IFERROR(__xludf.DUMMYFUNCTION("""COMPUTED_VALUE"""),51.8)</f>
        <v>51.8</v>
      </c>
      <c r="E1175" s="1">
        <f ca="1">IFERROR(__xludf.DUMMYFUNCTION("""COMPUTED_VALUE"""),52.19)</f>
        <v>52.19</v>
      </c>
      <c r="F1175" s="1">
        <f ca="1">IFERROR(__xludf.DUMMYFUNCTION("""COMPUTED_VALUE"""),21162561)</f>
        <v>21162561</v>
      </c>
    </row>
    <row r="1176" spans="1:6" x14ac:dyDescent="0.35">
      <c r="A1176" s="2">
        <f ca="1">IFERROR(__xludf.DUMMYFUNCTION("""COMPUTED_VALUE"""),43711.6666666666)</f>
        <v>43711.666666666599</v>
      </c>
      <c r="B1176" s="1">
        <f ca="1">IFERROR(__xludf.DUMMYFUNCTION("""COMPUTED_VALUE"""),51.61)</f>
        <v>51.61</v>
      </c>
      <c r="C1176" s="1">
        <f ca="1">IFERROR(__xludf.DUMMYFUNCTION("""COMPUTED_VALUE"""),51.75)</f>
        <v>51.75</v>
      </c>
      <c r="D1176" s="1">
        <f ca="1">IFERROR(__xludf.DUMMYFUNCTION("""COMPUTED_VALUE"""),51.06)</f>
        <v>51.06</v>
      </c>
      <c r="E1176" s="1">
        <f ca="1">IFERROR(__xludf.DUMMYFUNCTION("""COMPUTED_VALUE"""),51.43)</f>
        <v>51.43</v>
      </c>
      <c r="F1176" s="1">
        <f ca="1">IFERROR(__xludf.DUMMYFUNCTION("""COMPUTED_VALUE"""),20059574)</f>
        <v>20059574</v>
      </c>
    </row>
    <row r="1177" spans="1:6" x14ac:dyDescent="0.35">
      <c r="A1177" s="2">
        <f ca="1">IFERROR(__xludf.DUMMYFUNCTION("""COMPUTED_VALUE"""),43712.6666666666)</f>
        <v>43712.666666666599</v>
      </c>
      <c r="B1177" s="1">
        <f ca="1">IFERROR(__xludf.DUMMYFUNCTION("""COMPUTED_VALUE"""),52.1)</f>
        <v>52.1</v>
      </c>
      <c r="C1177" s="1">
        <f ca="1">IFERROR(__xludf.DUMMYFUNCTION("""COMPUTED_VALUE"""),52.37)</f>
        <v>52.37</v>
      </c>
      <c r="D1177" s="1">
        <f ca="1">IFERROR(__xludf.DUMMYFUNCTION("""COMPUTED_VALUE"""),51.83)</f>
        <v>51.83</v>
      </c>
      <c r="E1177" s="1">
        <f ca="1">IFERROR(__xludf.DUMMYFUNCTION("""COMPUTED_VALUE"""),52.3)</f>
        <v>52.3</v>
      </c>
      <c r="F1177" s="1">
        <f ca="1">IFERROR(__xludf.DUMMYFUNCTION("""COMPUTED_VALUE"""),19216820)</f>
        <v>19216820</v>
      </c>
    </row>
    <row r="1178" spans="1:6" x14ac:dyDescent="0.35">
      <c r="A1178" s="2">
        <f ca="1">IFERROR(__xludf.DUMMYFUNCTION("""COMPUTED_VALUE"""),43713.6666666666)</f>
        <v>43713.666666666599</v>
      </c>
      <c r="B1178" s="1">
        <f ca="1">IFERROR(__xludf.DUMMYFUNCTION("""COMPUTED_VALUE"""),53)</f>
        <v>53</v>
      </c>
      <c r="C1178" s="1">
        <f ca="1">IFERROR(__xludf.DUMMYFUNCTION("""COMPUTED_VALUE"""),53.49)</f>
        <v>53.49</v>
      </c>
      <c r="D1178" s="1">
        <f ca="1">IFERROR(__xludf.DUMMYFUNCTION("""COMPUTED_VALUE"""),52.88)</f>
        <v>52.88</v>
      </c>
      <c r="E1178" s="1">
        <f ca="1">IFERROR(__xludf.DUMMYFUNCTION("""COMPUTED_VALUE"""),53.32)</f>
        <v>53.32</v>
      </c>
      <c r="F1178" s="1">
        <f ca="1">IFERROR(__xludf.DUMMYFUNCTION("""COMPUTED_VALUE"""),23946984)</f>
        <v>23946984</v>
      </c>
    </row>
    <row r="1179" spans="1:6" x14ac:dyDescent="0.35">
      <c r="A1179" s="2">
        <f ca="1">IFERROR(__xludf.DUMMYFUNCTION("""COMPUTED_VALUE"""),43714.6666666666)</f>
        <v>43714.666666666599</v>
      </c>
      <c r="B1179" s="1">
        <f ca="1">IFERROR(__xludf.DUMMYFUNCTION("""COMPUTED_VALUE"""),53.51)</f>
        <v>53.51</v>
      </c>
      <c r="C1179" s="1">
        <f ca="1">IFERROR(__xludf.DUMMYFUNCTION("""COMPUTED_VALUE"""),53.61)</f>
        <v>53.61</v>
      </c>
      <c r="D1179" s="1">
        <f ca="1">IFERROR(__xludf.DUMMYFUNCTION("""COMPUTED_VALUE"""),53.13)</f>
        <v>53.13</v>
      </c>
      <c r="E1179" s="1">
        <f ca="1">IFERROR(__xludf.DUMMYFUNCTION("""COMPUTED_VALUE"""),53.32)</f>
        <v>53.32</v>
      </c>
      <c r="F1179" s="1">
        <f ca="1">IFERROR(__xludf.DUMMYFUNCTION("""COMPUTED_VALUE"""),19362294)</f>
        <v>19362294</v>
      </c>
    </row>
    <row r="1180" spans="1:6" x14ac:dyDescent="0.35">
      <c r="A1180" s="2">
        <f ca="1">IFERROR(__xludf.DUMMYFUNCTION("""COMPUTED_VALUE"""),43717.6666666666)</f>
        <v>43717.666666666599</v>
      </c>
      <c r="B1180" s="1">
        <f ca="1">IFERROR(__xludf.DUMMYFUNCTION("""COMPUTED_VALUE"""),53.71)</f>
        <v>53.71</v>
      </c>
      <c r="C1180" s="1">
        <f ca="1">IFERROR(__xludf.DUMMYFUNCTION("""COMPUTED_VALUE"""),54.11)</f>
        <v>54.11</v>
      </c>
      <c r="D1180" s="1">
        <f ca="1">IFERROR(__xludf.DUMMYFUNCTION("""COMPUTED_VALUE"""),52.77)</f>
        <v>52.77</v>
      </c>
      <c r="E1180" s="1">
        <f ca="1">IFERROR(__xludf.DUMMYFUNCTION("""COMPUTED_VALUE"""),53.54)</f>
        <v>53.54</v>
      </c>
      <c r="F1180" s="1">
        <f ca="1">IFERROR(__xludf.DUMMYFUNCTION("""COMPUTED_VALUE"""),27309401)</f>
        <v>27309401</v>
      </c>
    </row>
    <row r="1181" spans="1:6" x14ac:dyDescent="0.35">
      <c r="A1181" s="2">
        <f ca="1">IFERROR(__xludf.DUMMYFUNCTION("""COMPUTED_VALUE"""),43718.6666666666)</f>
        <v>43718.666666666599</v>
      </c>
      <c r="B1181" s="1">
        <f ca="1">IFERROR(__xludf.DUMMYFUNCTION("""COMPUTED_VALUE"""),53.47)</f>
        <v>53.47</v>
      </c>
      <c r="C1181" s="1">
        <f ca="1">IFERROR(__xludf.DUMMYFUNCTION("""COMPUTED_VALUE"""),54.2)</f>
        <v>54.2</v>
      </c>
      <c r="D1181" s="1">
        <f ca="1">IFERROR(__xludf.DUMMYFUNCTION("""COMPUTED_VALUE"""),52.93)</f>
        <v>52.93</v>
      </c>
      <c r="E1181" s="1">
        <f ca="1">IFERROR(__xludf.DUMMYFUNCTION("""COMPUTED_VALUE"""),54.18)</f>
        <v>54.18</v>
      </c>
      <c r="F1181" s="1">
        <f ca="1">IFERROR(__xludf.DUMMYFUNCTION("""COMPUTED_VALUE"""),31777931)</f>
        <v>31777931</v>
      </c>
    </row>
    <row r="1182" spans="1:6" x14ac:dyDescent="0.35">
      <c r="A1182" s="2">
        <f ca="1">IFERROR(__xludf.DUMMYFUNCTION("""COMPUTED_VALUE"""),43719.6666666666)</f>
        <v>43719.666666666599</v>
      </c>
      <c r="B1182" s="1">
        <f ca="1">IFERROR(__xludf.DUMMYFUNCTION("""COMPUTED_VALUE"""),54.52)</f>
        <v>54.52</v>
      </c>
      <c r="C1182" s="1">
        <f ca="1">IFERROR(__xludf.DUMMYFUNCTION("""COMPUTED_VALUE"""),55.93)</f>
        <v>55.93</v>
      </c>
      <c r="D1182" s="1">
        <f ca="1">IFERROR(__xludf.DUMMYFUNCTION("""COMPUTED_VALUE"""),54.43)</f>
        <v>54.43</v>
      </c>
      <c r="E1182" s="1">
        <f ca="1">IFERROR(__xludf.DUMMYFUNCTION("""COMPUTED_VALUE"""),55.9)</f>
        <v>55.9</v>
      </c>
      <c r="F1182" s="1">
        <f ca="1">IFERROR(__xludf.DUMMYFUNCTION("""COMPUTED_VALUE"""),44289646)</f>
        <v>44289646</v>
      </c>
    </row>
    <row r="1183" spans="1:6" x14ac:dyDescent="0.35">
      <c r="A1183" s="2">
        <f ca="1">IFERROR(__xludf.DUMMYFUNCTION("""COMPUTED_VALUE"""),43720.6666666666)</f>
        <v>43720.666666666599</v>
      </c>
      <c r="B1183" s="1">
        <f ca="1">IFERROR(__xludf.DUMMYFUNCTION("""COMPUTED_VALUE"""),56.2)</f>
        <v>56.2</v>
      </c>
      <c r="C1183" s="1">
        <f ca="1">IFERROR(__xludf.DUMMYFUNCTION("""COMPUTED_VALUE"""),56.61)</f>
        <v>56.61</v>
      </c>
      <c r="D1183" s="1">
        <f ca="1">IFERROR(__xludf.DUMMYFUNCTION("""COMPUTED_VALUE"""),55.72)</f>
        <v>55.72</v>
      </c>
      <c r="E1183" s="1">
        <f ca="1">IFERROR(__xludf.DUMMYFUNCTION("""COMPUTED_VALUE"""),55.77)</f>
        <v>55.77</v>
      </c>
      <c r="F1183" s="1">
        <f ca="1">IFERROR(__xludf.DUMMYFUNCTION("""COMPUTED_VALUE"""),32226669)</f>
        <v>32226669</v>
      </c>
    </row>
    <row r="1184" spans="1:6" x14ac:dyDescent="0.35">
      <c r="A1184" s="2">
        <f ca="1">IFERROR(__xludf.DUMMYFUNCTION("""COMPUTED_VALUE"""),43721.6666666666)</f>
        <v>43721.666666666599</v>
      </c>
      <c r="B1184" s="1">
        <f ca="1">IFERROR(__xludf.DUMMYFUNCTION("""COMPUTED_VALUE"""),55)</f>
        <v>55</v>
      </c>
      <c r="C1184" s="1">
        <f ca="1">IFERROR(__xludf.DUMMYFUNCTION("""COMPUTED_VALUE"""),55.2)</f>
        <v>55.2</v>
      </c>
      <c r="D1184" s="1">
        <f ca="1">IFERROR(__xludf.DUMMYFUNCTION("""COMPUTED_VALUE"""),54.26)</f>
        <v>54.26</v>
      </c>
      <c r="E1184" s="1">
        <f ca="1">IFERROR(__xludf.DUMMYFUNCTION("""COMPUTED_VALUE"""),54.69)</f>
        <v>54.69</v>
      </c>
      <c r="F1184" s="1">
        <f ca="1">IFERROR(__xludf.DUMMYFUNCTION("""COMPUTED_VALUE"""),39763296)</f>
        <v>39763296</v>
      </c>
    </row>
    <row r="1185" spans="1:6" x14ac:dyDescent="0.35">
      <c r="A1185" s="2">
        <f ca="1">IFERROR(__xludf.DUMMYFUNCTION("""COMPUTED_VALUE"""),43724.6666666666)</f>
        <v>43724.666666666599</v>
      </c>
      <c r="B1185" s="1">
        <f ca="1">IFERROR(__xludf.DUMMYFUNCTION("""COMPUTED_VALUE"""),54.43)</f>
        <v>54.43</v>
      </c>
      <c r="C1185" s="1">
        <f ca="1">IFERROR(__xludf.DUMMYFUNCTION("""COMPUTED_VALUE"""),55.03)</f>
        <v>55.03</v>
      </c>
      <c r="D1185" s="1">
        <f ca="1">IFERROR(__xludf.DUMMYFUNCTION("""COMPUTED_VALUE"""),54.39)</f>
        <v>54.39</v>
      </c>
      <c r="E1185" s="1">
        <f ca="1">IFERROR(__xludf.DUMMYFUNCTION("""COMPUTED_VALUE"""),54.98)</f>
        <v>54.98</v>
      </c>
      <c r="F1185" s="1">
        <f ca="1">IFERROR(__xludf.DUMMYFUNCTION("""COMPUTED_VALUE"""),21158141)</f>
        <v>21158141</v>
      </c>
    </row>
    <row r="1186" spans="1:6" x14ac:dyDescent="0.35">
      <c r="A1186" s="2">
        <f ca="1">IFERROR(__xludf.DUMMYFUNCTION("""COMPUTED_VALUE"""),43725.6666666666)</f>
        <v>43725.666666666599</v>
      </c>
      <c r="B1186" s="1">
        <f ca="1">IFERROR(__xludf.DUMMYFUNCTION("""COMPUTED_VALUE"""),54.99)</f>
        <v>54.99</v>
      </c>
      <c r="C1186" s="1">
        <f ca="1">IFERROR(__xludf.DUMMYFUNCTION("""COMPUTED_VALUE"""),55.21)</f>
        <v>55.21</v>
      </c>
      <c r="D1186" s="1">
        <f ca="1">IFERROR(__xludf.DUMMYFUNCTION("""COMPUTED_VALUE"""),54.78)</f>
        <v>54.78</v>
      </c>
      <c r="E1186" s="1">
        <f ca="1">IFERROR(__xludf.DUMMYFUNCTION("""COMPUTED_VALUE"""),55.18)</f>
        <v>55.18</v>
      </c>
      <c r="F1186" s="1">
        <f ca="1">IFERROR(__xludf.DUMMYFUNCTION("""COMPUTED_VALUE"""),18386468)</f>
        <v>18386468</v>
      </c>
    </row>
    <row r="1187" spans="1:6" x14ac:dyDescent="0.35">
      <c r="A1187" s="2">
        <f ca="1">IFERROR(__xludf.DUMMYFUNCTION("""COMPUTED_VALUE"""),43726.6666666666)</f>
        <v>43726.666666666599</v>
      </c>
      <c r="B1187" s="1">
        <f ca="1">IFERROR(__xludf.DUMMYFUNCTION("""COMPUTED_VALUE"""),55.27)</f>
        <v>55.27</v>
      </c>
      <c r="C1187" s="1">
        <f ca="1">IFERROR(__xludf.DUMMYFUNCTION("""COMPUTED_VALUE"""),55.71)</f>
        <v>55.71</v>
      </c>
      <c r="D1187" s="1">
        <f ca="1">IFERROR(__xludf.DUMMYFUNCTION("""COMPUTED_VALUE"""),54.86)</f>
        <v>54.86</v>
      </c>
      <c r="E1187" s="1">
        <f ca="1">IFERROR(__xludf.DUMMYFUNCTION("""COMPUTED_VALUE"""),55.69)</f>
        <v>55.69</v>
      </c>
      <c r="F1187" s="1">
        <f ca="1">IFERROR(__xludf.DUMMYFUNCTION("""COMPUTED_VALUE"""),25643093)</f>
        <v>25643093</v>
      </c>
    </row>
    <row r="1188" spans="1:6" x14ac:dyDescent="0.35">
      <c r="A1188" s="2">
        <f ca="1">IFERROR(__xludf.DUMMYFUNCTION("""COMPUTED_VALUE"""),43727.6666666666)</f>
        <v>43727.666666666599</v>
      </c>
      <c r="B1188" s="1">
        <f ca="1">IFERROR(__xludf.DUMMYFUNCTION("""COMPUTED_VALUE"""),55.5)</f>
        <v>55.5</v>
      </c>
      <c r="C1188" s="1">
        <f ca="1">IFERROR(__xludf.DUMMYFUNCTION("""COMPUTED_VALUE"""),55.94)</f>
        <v>55.94</v>
      </c>
      <c r="D1188" s="1">
        <f ca="1">IFERROR(__xludf.DUMMYFUNCTION("""COMPUTED_VALUE"""),55.09)</f>
        <v>55.09</v>
      </c>
      <c r="E1188" s="1">
        <f ca="1">IFERROR(__xludf.DUMMYFUNCTION("""COMPUTED_VALUE"""),55.24)</f>
        <v>55.24</v>
      </c>
      <c r="F1188" s="1">
        <f ca="1">IFERROR(__xludf.DUMMYFUNCTION("""COMPUTED_VALUE"""),22187876)</f>
        <v>22187876</v>
      </c>
    </row>
    <row r="1189" spans="1:6" x14ac:dyDescent="0.35">
      <c r="A1189" s="2">
        <f ca="1">IFERROR(__xludf.DUMMYFUNCTION("""COMPUTED_VALUE"""),43728.6666666666)</f>
        <v>43728.666666666599</v>
      </c>
      <c r="B1189" s="1">
        <f ca="1">IFERROR(__xludf.DUMMYFUNCTION("""COMPUTED_VALUE"""),55.35)</f>
        <v>55.35</v>
      </c>
      <c r="C1189" s="1">
        <f ca="1">IFERROR(__xludf.DUMMYFUNCTION("""COMPUTED_VALUE"""),55.64)</f>
        <v>55.64</v>
      </c>
      <c r="D1189" s="1">
        <f ca="1">IFERROR(__xludf.DUMMYFUNCTION("""COMPUTED_VALUE"""),54.37)</f>
        <v>54.37</v>
      </c>
      <c r="E1189" s="1">
        <f ca="1">IFERROR(__xludf.DUMMYFUNCTION("""COMPUTED_VALUE"""),54.43)</f>
        <v>54.43</v>
      </c>
      <c r="F1189" s="1">
        <f ca="1">IFERROR(__xludf.DUMMYFUNCTION("""COMPUTED_VALUE"""),57977094)</f>
        <v>57977094</v>
      </c>
    </row>
    <row r="1190" spans="1:6" x14ac:dyDescent="0.35">
      <c r="A1190" s="2">
        <f ca="1">IFERROR(__xludf.DUMMYFUNCTION("""COMPUTED_VALUE"""),43731.6666666666)</f>
        <v>43731.666666666599</v>
      </c>
      <c r="B1190" s="1">
        <f ca="1">IFERROR(__xludf.DUMMYFUNCTION("""COMPUTED_VALUE"""),54.74)</f>
        <v>54.74</v>
      </c>
      <c r="C1190" s="1">
        <f ca="1">IFERROR(__xludf.DUMMYFUNCTION("""COMPUTED_VALUE"""),54.96)</f>
        <v>54.96</v>
      </c>
      <c r="D1190" s="1">
        <f ca="1">IFERROR(__xludf.DUMMYFUNCTION("""COMPUTED_VALUE"""),54.41)</f>
        <v>54.41</v>
      </c>
      <c r="E1190" s="1">
        <f ca="1">IFERROR(__xludf.DUMMYFUNCTION("""COMPUTED_VALUE"""),54.68)</f>
        <v>54.68</v>
      </c>
      <c r="F1190" s="1">
        <f ca="1">IFERROR(__xludf.DUMMYFUNCTION("""COMPUTED_VALUE"""),19419648)</f>
        <v>19419648</v>
      </c>
    </row>
    <row r="1191" spans="1:6" x14ac:dyDescent="0.35">
      <c r="A1191" s="2">
        <f ca="1">IFERROR(__xludf.DUMMYFUNCTION("""COMPUTED_VALUE"""),43732.6666666666)</f>
        <v>43732.666666666599</v>
      </c>
      <c r="B1191" s="1">
        <f ca="1">IFERROR(__xludf.DUMMYFUNCTION("""COMPUTED_VALUE"""),55.26)</f>
        <v>55.26</v>
      </c>
      <c r="C1191" s="1">
        <f ca="1">IFERROR(__xludf.DUMMYFUNCTION("""COMPUTED_VALUE"""),55.62)</f>
        <v>55.62</v>
      </c>
      <c r="D1191" s="1">
        <f ca="1">IFERROR(__xludf.DUMMYFUNCTION("""COMPUTED_VALUE"""),54.3)</f>
        <v>54.3</v>
      </c>
      <c r="E1191" s="1">
        <f ca="1">IFERROR(__xludf.DUMMYFUNCTION("""COMPUTED_VALUE"""),54.42)</f>
        <v>54.42</v>
      </c>
      <c r="F1191" s="1">
        <f ca="1">IFERROR(__xludf.DUMMYFUNCTION("""COMPUTED_VALUE"""),31434367)</f>
        <v>31434367</v>
      </c>
    </row>
    <row r="1192" spans="1:6" x14ac:dyDescent="0.35">
      <c r="A1192" s="2">
        <f ca="1">IFERROR(__xludf.DUMMYFUNCTION("""COMPUTED_VALUE"""),43733.6666666666)</f>
        <v>43733.666666666599</v>
      </c>
      <c r="B1192" s="1">
        <f ca="1">IFERROR(__xludf.DUMMYFUNCTION("""COMPUTED_VALUE"""),54.64)</f>
        <v>54.64</v>
      </c>
      <c r="C1192" s="1">
        <f ca="1">IFERROR(__xludf.DUMMYFUNCTION("""COMPUTED_VALUE"""),55.38)</f>
        <v>55.38</v>
      </c>
      <c r="D1192" s="1">
        <f ca="1">IFERROR(__xludf.DUMMYFUNCTION("""COMPUTED_VALUE"""),54.29)</f>
        <v>54.29</v>
      </c>
      <c r="E1192" s="1">
        <f ca="1">IFERROR(__xludf.DUMMYFUNCTION("""COMPUTED_VALUE"""),55.26)</f>
        <v>55.26</v>
      </c>
      <c r="F1192" s="1">
        <f ca="1">IFERROR(__xludf.DUMMYFUNCTION("""COMPUTED_VALUE"""),22481006)</f>
        <v>22481006</v>
      </c>
    </row>
    <row r="1193" spans="1:6" x14ac:dyDescent="0.35">
      <c r="A1193" s="2">
        <f ca="1">IFERROR(__xludf.DUMMYFUNCTION("""COMPUTED_VALUE"""),43734.6666666666)</f>
        <v>43734.666666666599</v>
      </c>
      <c r="B1193" s="1">
        <f ca="1">IFERROR(__xludf.DUMMYFUNCTION("""COMPUTED_VALUE"""),55)</f>
        <v>55</v>
      </c>
      <c r="C1193" s="1">
        <f ca="1">IFERROR(__xludf.DUMMYFUNCTION("""COMPUTED_VALUE"""),55.24)</f>
        <v>55.24</v>
      </c>
      <c r="D1193" s="1">
        <f ca="1">IFERROR(__xludf.DUMMYFUNCTION("""COMPUTED_VALUE"""),54.71)</f>
        <v>54.71</v>
      </c>
      <c r="E1193" s="1">
        <f ca="1">IFERROR(__xludf.DUMMYFUNCTION("""COMPUTED_VALUE"""),54.97)</f>
        <v>54.97</v>
      </c>
      <c r="F1193" s="1">
        <f ca="1">IFERROR(__xludf.DUMMYFUNCTION("""COMPUTED_VALUE"""),19088312)</f>
        <v>19088312</v>
      </c>
    </row>
    <row r="1194" spans="1:6" x14ac:dyDescent="0.35">
      <c r="A1194" s="2">
        <f ca="1">IFERROR(__xludf.DUMMYFUNCTION("""COMPUTED_VALUE"""),43735.6666666666)</f>
        <v>43735.666666666599</v>
      </c>
      <c r="B1194" s="1">
        <f ca="1">IFERROR(__xludf.DUMMYFUNCTION("""COMPUTED_VALUE"""),55.14)</f>
        <v>55.14</v>
      </c>
      <c r="C1194" s="1">
        <f ca="1">IFERROR(__xludf.DUMMYFUNCTION("""COMPUTED_VALUE"""),55.24)</f>
        <v>55.24</v>
      </c>
      <c r="D1194" s="1">
        <f ca="1">IFERROR(__xludf.DUMMYFUNCTION("""COMPUTED_VALUE"""),54.32)</f>
        <v>54.32</v>
      </c>
      <c r="E1194" s="1">
        <f ca="1">IFERROR(__xludf.DUMMYFUNCTION("""COMPUTED_VALUE"""),54.71)</f>
        <v>54.71</v>
      </c>
      <c r="F1194" s="1">
        <f ca="1">IFERROR(__xludf.DUMMYFUNCTION("""COMPUTED_VALUE"""),25361285)</f>
        <v>25361285</v>
      </c>
    </row>
    <row r="1195" spans="1:6" x14ac:dyDescent="0.35">
      <c r="A1195" s="2">
        <f ca="1">IFERROR(__xludf.DUMMYFUNCTION("""COMPUTED_VALUE"""),43738.6666666666)</f>
        <v>43738.666666666599</v>
      </c>
      <c r="B1195" s="1">
        <f ca="1">IFERROR(__xludf.DUMMYFUNCTION("""COMPUTED_VALUE"""),55.23)</f>
        <v>55.23</v>
      </c>
      <c r="C1195" s="1">
        <f ca="1">IFERROR(__xludf.DUMMYFUNCTION("""COMPUTED_VALUE"""),56.15)</f>
        <v>56.15</v>
      </c>
      <c r="D1195" s="1">
        <f ca="1">IFERROR(__xludf.DUMMYFUNCTION("""COMPUTED_VALUE"""),55.2)</f>
        <v>55.2</v>
      </c>
      <c r="E1195" s="1">
        <f ca="1">IFERROR(__xludf.DUMMYFUNCTION("""COMPUTED_VALUE"""),55.99)</f>
        <v>55.99</v>
      </c>
      <c r="F1195" s="1">
        <f ca="1">IFERROR(__xludf.DUMMYFUNCTION("""COMPUTED_VALUE"""),26318583)</f>
        <v>26318583</v>
      </c>
    </row>
    <row r="1196" spans="1:6" x14ac:dyDescent="0.35">
      <c r="A1196" s="2">
        <f ca="1">IFERROR(__xludf.DUMMYFUNCTION("""COMPUTED_VALUE"""),43739.6666666666)</f>
        <v>43739.666666666599</v>
      </c>
      <c r="B1196" s="1">
        <f ca="1">IFERROR(__xludf.DUMMYFUNCTION("""COMPUTED_VALUE"""),56.27)</f>
        <v>56.27</v>
      </c>
      <c r="C1196" s="1">
        <f ca="1">IFERROR(__xludf.DUMMYFUNCTION("""COMPUTED_VALUE"""),57.06)</f>
        <v>57.06</v>
      </c>
      <c r="D1196" s="1">
        <f ca="1">IFERROR(__xludf.DUMMYFUNCTION("""COMPUTED_VALUE"""),56.05)</f>
        <v>56.05</v>
      </c>
      <c r="E1196" s="1">
        <f ca="1">IFERROR(__xludf.DUMMYFUNCTION("""COMPUTED_VALUE"""),56.15)</f>
        <v>56.15</v>
      </c>
      <c r="F1196" s="1">
        <f ca="1">IFERROR(__xludf.DUMMYFUNCTION("""COMPUTED_VALUE"""),36187163)</f>
        <v>36187163</v>
      </c>
    </row>
    <row r="1197" spans="1:6" x14ac:dyDescent="0.35">
      <c r="A1197" s="2">
        <f ca="1">IFERROR(__xludf.DUMMYFUNCTION("""COMPUTED_VALUE"""),43740.6666666666)</f>
        <v>43740.666666666599</v>
      </c>
      <c r="B1197" s="1">
        <f ca="1">IFERROR(__xludf.DUMMYFUNCTION("""COMPUTED_VALUE"""),55.77)</f>
        <v>55.77</v>
      </c>
      <c r="C1197" s="1">
        <f ca="1">IFERROR(__xludf.DUMMYFUNCTION("""COMPUTED_VALUE"""),55.9)</f>
        <v>55.9</v>
      </c>
      <c r="D1197" s="1">
        <f ca="1">IFERROR(__xludf.DUMMYFUNCTION("""COMPUTED_VALUE"""),54.48)</f>
        <v>54.48</v>
      </c>
      <c r="E1197" s="1">
        <f ca="1">IFERROR(__xludf.DUMMYFUNCTION("""COMPUTED_VALUE"""),54.74)</f>
        <v>54.74</v>
      </c>
      <c r="F1197" s="1">
        <f ca="1">IFERROR(__xludf.DUMMYFUNCTION("""COMPUTED_VALUE"""),35767257)</f>
        <v>35767257</v>
      </c>
    </row>
    <row r="1198" spans="1:6" x14ac:dyDescent="0.35">
      <c r="A1198" s="2">
        <f ca="1">IFERROR(__xludf.DUMMYFUNCTION("""COMPUTED_VALUE"""),43741.6666666666)</f>
        <v>43741.666666666599</v>
      </c>
      <c r="B1198" s="1">
        <f ca="1">IFERROR(__xludf.DUMMYFUNCTION("""COMPUTED_VALUE"""),54.61)</f>
        <v>54.61</v>
      </c>
      <c r="C1198" s="1">
        <f ca="1">IFERROR(__xludf.DUMMYFUNCTION("""COMPUTED_VALUE"""),55.24)</f>
        <v>55.24</v>
      </c>
      <c r="D1198" s="1">
        <f ca="1">IFERROR(__xludf.DUMMYFUNCTION("""COMPUTED_VALUE"""),53.78)</f>
        <v>53.78</v>
      </c>
      <c r="E1198" s="1">
        <f ca="1">IFERROR(__xludf.DUMMYFUNCTION("""COMPUTED_VALUE"""),55.21)</f>
        <v>55.21</v>
      </c>
      <c r="F1198" s="1">
        <f ca="1">IFERROR(__xludf.DUMMYFUNCTION("""COMPUTED_VALUE"""),30352686)</f>
        <v>30352686</v>
      </c>
    </row>
    <row r="1199" spans="1:6" x14ac:dyDescent="0.35">
      <c r="A1199" s="2">
        <f ca="1">IFERROR(__xludf.DUMMYFUNCTION("""COMPUTED_VALUE"""),43742.6666666666)</f>
        <v>43742.666666666599</v>
      </c>
      <c r="B1199" s="1">
        <f ca="1">IFERROR(__xludf.DUMMYFUNCTION("""COMPUTED_VALUE"""),56.41)</f>
        <v>56.41</v>
      </c>
      <c r="C1199" s="1">
        <f ca="1">IFERROR(__xludf.DUMMYFUNCTION("""COMPUTED_VALUE"""),56.87)</f>
        <v>56.87</v>
      </c>
      <c r="D1199" s="1">
        <f ca="1">IFERROR(__xludf.DUMMYFUNCTION("""COMPUTED_VALUE"""),55.97)</f>
        <v>55.97</v>
      </c>
      <c r="E1199" s="1">
        <f ca="1">IFERROR(__xludf.DUMMYFUNCTION("""COMPUTED_VALUE"""),56.75)</f>
        <v>56.75</v>
      </c>
      <c r="F1199" s="1">
        <f ca="1">IFERROR(__xludf.DUMMYFUNCTION("""COMPUTED_VALUE"""),34755553)</f>
        <v>34755553</v>
      </c>
    </row>
    <row r="1200" spans="1:6" x14ac:dyDescent="0.35">
      <c r="A1200" s="2">
        <f ca="1">IFERROR(__xludf.DUMMYFUNCTION("""COMPUTED_VALUE"""),43745.6666666666)</f>
        <v>43745.666666666599</v>
      </c>
      <c r="B1200" s="1">
        <f ca="1">IFERROR(__xludf.DUMMYFUNCTION("""COMPUTED_VALUE"""),56.57)</f>
        <v>56.57</v>
      </c>
      <c r="C1200" s="1">
        <f ca="1">IFERROR(__xludf.DUMMYFUNCTION("""COMPUTED_VALUE"""),57.48)</f>
        <v>57.48</v>
      </c>
      <c r="D1200" s="1">
        <f ca="1">IFERROR(__xludf.DUMMYFUNCTION("""COMPUTED_VALUE"""),56.46)</f>
        <v>56.46</v>
      </c>
      <c r="E1200" s="1">
        <f ca="1">IFERROR(__xludf.DUMMYFUNCTION("""COMPUTED_VALUE"""),56.77)</f>
        <v>56.77</v>
      </c>
      <c r="F1200" s="1">
        <f ca="1">IFERROR(__xludf.DUMMYFUNCTION("""COMPUTED_VALUE"""),30889269)</f>
        <v>30889269</v>
      </c>
    </row>
    <row r="1201" spans="1:6" x14ac:dyDescent="0.35">
      <c r="A1201" s="2">
        <f ca="1">IFERROR(__xludf.DUMMYFUNCTION("""COMPUTED_VALUE"""),43746.6666666666)</f>
        <v>43746.666666666599</v>
      </c>
      <c r="B1201" s="1">
        <f ca="1">IFERROR(__xludf.DUMMYFUNCTION("""COMPUTED_VALUE"""),56.46)</f>
        <v>56.46</v>
      </c>
      <c r="C1201" s="1">
        <f ca="1">IFERROR(__xludf.DUMMYFUNCTION("""COMPUTED_VALUE"""),57.02)</f>
        <v>57.02</v>
      </c>
      <c r="D1201" s="1">
        <f ca="1">IFERROR(__xludf.DUMMYFUNCTION("""COMPUTED_VALUE"""),56.08)</f>
        <v>56.08</v>
      </c>
      <c r="E1201" s="1">
        <f ca="1">IFERROR(__xludf.DUMMYFUNCTION("""COMPUTED_VALUE"""),56.1)</f>
        <v>56.1</v>
      </c>
      <c r="F1201" s="1">
        <f ca="1">IFERROR(__xludf.DUMMYFUNCTION("""COMPUTED_VALUE"""),29282700)</f>
        <v>29282700</v>
      </c>
    </row>
    <row r="1202" spans="1:6" x14ac:dyDescent="0.35">
      <c r="A1202" s="2">
        <f ca="1">IFERROR(__xludf.DUMMYFUNCTION("""COMPUTED_VALUE"""),43747.6666666666)</f>
        <v>43747.666666666599</v>
      </c>
      <c r="B1202" s="1">
        <f ca="1">IFERROR(__xludf.DUMMYFUNCTION("""COMPUTED_VALUE"""),56.76)</f>
        <v>56.76</v>
      </c>
      <c r="C1202" s="1">
        <f ca="1">IFERROR(__xludf.DUMMYFUNCTION("""COMPUTED_VALUE"""),56.95)</f>
        <v>56.95</v>
      </c>
      <c r="D1202" s="1">
        <f ca="1">IFERROR(__xludf.DUMMYFUNCTION("""COMPUTED_VALUE"""),56.41)</f>
        <v>56.41</v>
      </c>
      <c r="E1202" s="1">
        <f ca="1">IFERROR(__xludf.DUMMYFUNCTION("""COMPUTED_VALUE"""),56.76)</f>
        <v>56.76</v>
      </c>
      <c r="F1202" s="1">
        <f ca="1">IFERROR(__xludf.DUMMYFUNCTION("""COMPUTED_VALUE"""),19029424)</f>
        <v>19029424</v>
      </c>
    </row>
    <row r="1203" spans="1:6" x14ac:dyDescent="0.35">
      <c r="A1203" s="2">
        <f ca="1">IFERROR(__xludf.DUMMYFUNCTION("""COMPUTED_VALUE"""),43748.6666666666)</f>
        <v>43748.666666666599</v>
      </c>
      <c r="B1203" s="1">
        <f ca="1">IFERROR(__xludf.DUMMYFUNCTION("""COMPUTED_VALUE"""),56.98)</f>
        <v>56.98</v>
      </c>
      <c r="C1203" s="1">
        <f ca="1">IFERROR(__xludf.DUMMYFUNCTION("""COMPUTED_VALUE"""),57.61)</f>
        <v>57.61</v>
      </c>
      <c r="D1203" s="1">
        <f ca="1">IFERROR(__xludf.DUMMYFUNCTION("""COMPUTED_VALUE"""),56.83)</f>
        <v>56.83</v>
      </c>
      <c r="E1203" s="1">
        <f ca="1">IFERROR(__xludf.DUMMYFUNCTION("""COMPUTED_VALUE"""),57.52)</f>
        <v>57.52</v>
      </c>
      <c r="F1203" s="1">
        <f ca="1">IFERROR(__xludf.DUMMYFUNCTION("""COMPUTED_VALUE"""),28962984)</f>
        <v>28962984</v>
      </c>
    </row>
    <row r="1204" spans="1:6" x14ac:dyDescent="0.35">
      <c r="A1204" s="2">
        <f ca="1">IFERROR(__xludf.DUMMYFUNCTION("""COMPUTED_VALUE"""),43749.6666666666)</f>
        <v>43749.666666666599</v>
      </c>
      <c r="B1204" s="1">
        <f ca="1">IFERROR(__xludf.DUMMYFUNCTION("""COMPUTED_VALUE"""),58.24)</f>
        <v>58.24</v>
      </c>
      <c r="C1204" s="1">
        <f ca="1">IFERROR(__xludf.DUMMYFUNCTION("""COMPUTED_VALUE"""),59.41)</f>
        <v>59.41</v>
      </c>
      <c r="D1204" s="1">
        <f ca="1">IFERROR(__xludf.DUMMYFUNCTION("""COMPUTED_VALUE"""),58.08)</f>
        <v>58.08</v>
      </c>
      <c r="E1204" s="1">
        <f ca="1">IFERROR(__xludf.DUMMYFUNCTION("""COMPUTED_VALUE"""),59.05)</f>
        <v>59.05</v>
      </c>
      <c r="F1204" s="1">
        <f ca="1">IFERROR(__xludf.DUMMYFUNCTION("""COMPUTED_VALUE"""),41990210)</f>
        <v>41990210</v>
      </c>
    </row>
    <row r="1205" spans="1:6" x14ac:dyDescent="0.35">
      <c r="A1205" s="2">
        <f ca="1">IFERROR(__xludf.DUMMYFUNCTION("""COMPUTED_VALUE"""),43752.6666666666)</f>
        <v>43752.666666666599</v>
      </c>
      <c r="B1205" s="1">
        <f ca="1">IFERROR(__xludf.DUMMYFUNCTION("""COMPUTED_VALUE"""),58.73)</f>
        <v>58.73</v>
      </c>
      <c r="C1205" s="1">
        <f ca="1">IFERROR(__xludf.DUMMYFUNCTION("""COMPUTED_VALUE"""),59.53)</f>
        <v>59.53</v>
      </c>
      <c r="D1205" s="1">
        <f ca="1">IFERROR(__xludf.DUMMYFUNCTION("""COMPUTED_VALUE"""),58.67)</f>
        <v>58.67</v>
      </c>
      <c r="E1205" s="1">
        <f ca="1">IFERROR(__xludf.DUMMYFUNCTION("""COMPUTED_VALUE"""),58.97)</f>
        <v>58.97</v>
      </c>
      <c r="F1205" s="1">
        <f ca="1">IFERROR(__xludf.DUMMYFUNCTION("""COMPUTED_VALUE"""),24413484)</f>
        <v>24413484</v>
      </c>
    </row>
    <row r="1206" spans="1:6" x14ac:dyDescent="0.35">
      <c r="A1206" s="2">
        <f ca="1">IFERROR(__xludf.DUMMYFUNCTION("""COMPUTED_VALUE"""),43753.6666666666)</f>
        <v>43753.666666666599</v>
      </c>
      <c r="B1206" s="1">
        <f ca="1">IFERROR(__xludf.DUMMYFUNCTION("""COMPUTED_VALUE"""),59.1)</f>
        <v>59.1</v>
      </c>
      <c r="C1206" s="1">
        <f ca="1">IFERROR(__xludf.DUMMYFUNCTION("""COMPUTED_VALUE"""),59.41)</f>
        <v>59.41</v>
      </c>
      <c r="D1206" s="1">
        <f ca="1">IFERROR(__xludf.DUMMYFUNCTION("""COMPUTED_VALUE"""),58.72)</f>
        <v>58.72</v>
      </c>
      <c r="E1206" s="1">
        <f ca="1">IFERROR(__xludf.DUMMYFUNCTION("""COMPUTED_VALUE"""),58.83)</f>
        <v>58.83</v>
      </c>
      <c r="F1206" s="1">
        <f ca="1">IFERROR(__xludf.DUMMYFUNCTION("""COMPUTED_VALUE"""),23040483)</f>
        <v>23040483</v>
      </c>
    </row>
    <row r="1207" spans="1:6" x14ac:dyDescent="0.35">
      <c r="A1207" s="2">
        <f ca="1">IFERROR(__xludf.DUMMYFUNCTION("""COMPUTED_VALUE"""),43754.6666666666)</f>
        <v>43754.666666666599</v>
      </c>
      <c r="B1207" s="1">
        <f ca="1">IFERROR(__xludf.DUMMYFUNCTION("""COMPUTED_VALUE"""),58.34)</f>
        <v>58.34</v>
      </c>
      <c r="C1207" s="1">
        <f ca="1">IFERROR(__xludf.DUMMYFUNCTION("""COMPUTED_VALUE"""),58.81)</f>
        <v>58.81</v>
      </c>
      <c r="D1207" s="1">
        <f ca="1">IFERROR(__xludf.DUMMYFUNCTION("""COMPUTED_VALUE"""),58.3)</f>
        <v>58.3</v>
      </c>
      <c r="E1207" s="1">
        <f ca="1">IFERROR(__xludf.DUMMYFUNCTION("""COMPUTED_VALUE"""),58.59)</f>
        <v>58.59</v>
      </c>
      <c r="F1207" s="1">
        <f ca="1">IFERROR(__xludf.DUMMYFUNCTION("""COMPUTED_VALUE"""),19286694)</f>
        <v>19286694</v>
      </c>
    </row>
    <row r="1208" spans="1:6" x14ac:dyDescent="0.35">
      <c r="A1208" s="2">
        <f ca="1">IFERROR(__xludf.DUMMYFUNCTION("""COMPUTED_VALUE"""),43755.6666666666)</f>
        <v>43755.666666666599</v>
      </c>
      <c r="B1208" s="1">
        <f ca="1">IFERROR(__xludf.DUMMYFUNCTION("""COMPUTED_VALUE"""),58.77)</f>
        <v>58.77</v>
      </c>
      <c r="C1208" s="1">
        <f ca="1">IFERROR(__xludf.DUMMYFUNCTION("""COMPUTED_VALUE"""),59.04)</f>
        <v>59.04</v>
      </c>
      <c r="D1208" s="1">
        <f ca="1">IFERROR(__xludf.DUMMYFUNCTION("""COMPUTED_VALUE"""),58.38)</f>
        <v>58.38</v>
      </c>
      <c r="E1208" s="1">
        <f ca="1">IFERROR(__xludf.DUMMYFUNCTION("""COMPUTED_VALUE"""),58.82)</f>
        <v>58.82</v>
      </c>
      <c r="F1208" s="1">
        <f ca="1">IFERROR(__xludf.DUMMYFUNCTION("""COMPUTED_VALUE"""),17272897)</f>
        <v>17272897</v>
      </c>
    </row>
    <row r="1209" spans="1:6" x14ac:dyDescent="0.35">
      <c r="A1209" s="2">
        <f ca="1">IFERROR(__xludf.DUMMYFUNCTION("""COMPUTED_VALUE"""),43756.6666666666)</f>
        <v>43756.666666666599</v>
      </c>
      <c r="B1209" s="1">
        <f ca="1">IFERROR(__xludf.DUMMYFUNCTION("""COMPUTED_VALUE"""),58.65)</f>
        <v>58.65</v>
      </c>
      <c r="C1209" s="1">
        <f ca="1">IFERROR(__xludf.DUMMYFUNCTION("""COMPUTED_VALUE"""),59.4)</f>
        <v>59.4</v>
      </c>
      <c r="D1209" s="1">
        <f ca="1">IFERROR(__xludf.DUMMYFUNCTION("""COMPUTED_VALUE"""),58.57)</f>
        <v>58.57</v>
      </c>
      <c r="E1209" s="1">
        <f ca="1">IFERROR(__xludf.DUMMYFUNCTION("""COMPUTED_VALUE"""),59.1)</f>
        <v>59.1</v>
      </c>
      <c r="F1209" s="1">
        <f ca="1">IFERROR(__xludf.DUMMYFUNCTION("""COMPUTED_VALUE"""),24377166)</f>
        <v>24377166</v>
      </c>
    </row>
    <row r="1210" spans="1:6" x14ac:dyDescent="0.35">
      <c r="A1210" s="2">
        <f ca="1">IFERROR(__xludf.DUMMYFUNCTION("""COMPUTED_VALUE"""),43759.6666666666)</f>
        <v>43759.666666666599</v>
      </c>
      <c r="B1210" s="1">
        <f ca="1">IFERROR(__xludf.DUMMYFUNCTION("""COMPUTED_VALUE"""),59.38)</f>
        <v>59.38</v>
      </c>
      <c r="C1210" s="1">
        <f ca="1">IFERROR(__xludf.DUMMYFUNCTION("""COMPUTED_VALUE"""),60.25)</f>
        <v>60.25</v>
      </c>
      <c r="D1210" s="1">
        <f ca="1">IFERROR(__xludf.DUMMYFUNCTION("""COMPUTED_VALUE"""),59.33)</f>
        <v>59.33</v>
      </c>
      <c r="E1210" s="1">
        <f ca="1">IFERROR(__xludf.DUMMYFUNCTION("""COMPUTED_VALUE"""),60.13)</f>
        <v>60.13</v>
      </c>
      <c r="F1210" s="1">
        <f ca="1">IFERROR(__xludf.DUMMYFUNCTION("""COMPUTED_VALUE"""),22367483)</f>
        <v>22367483</v>
      </c>
    </row>
    <row r="1211" spans="1:6" x14ac:dyDescent="0.35">
      <c r="A1211" s="2">
        <f ca="1">IFERROR(__xludf.DUMMYFUNCTION("""COMPUTED_VALUE"""),43760.6666666666)</f>
        <v>43760.666666666599</v>
      </c>
      <c r="B1211" s="1">
        <f ca="1">IFERROR(__xludf.DUMMYFUNCTION("""COMPUTED_VALUE"""),60.29)</f>
        <v>60.29</v>
      </c>
      <c r="C1211" s="1">
        <f ca="1">IFERROR(__xludf.DUMMYFUNCTION("""COMPUTED_VALUE"""),60.55)</f>
        <v>60.55</v>
      </c>
      <c r="D1211" s="1">
        <f ca="1">IFERROR(__xludf.DUMMYFUNCTION("""COMPUTED_VALUE"""),59.91)</f>
        <v>59.91</v>
      </c>
      <c r="E1211" s="1">
        <f ca="1">IFERROR(__xludf.DUMMYFUNCTION("""COMPUTED_VALUE"""),59.99)</f>
        <v>59.99</v>
      </c>
      <c r="F1211" s="1">
        <f ca="1">IFERROR(__xludf.DUMMYFUNCTION("""COMPUTED_VALUE"""),22684001)</f>
        <v>22684001</v>
      </c>
    </row>
    <row r="1212" spans="1:6" x14ac:dyDescent="0.35">
      <c r="A1212" s="2">
        <f ca="1">IFERROR(__xludf.DUMMYFUNCTION("""COMPUTED_VALUE"""),43761.6666666666)</f>
        <v>43761.666666666599</v>
      </c>
      <c r="B1212" s="1">
        <f ca="1">IFERROR(__xludf.DUMMYFUNCTION("""COMPUTED_VALUE"""),60.53)</f>
        <v>60.53</v>
      </c>
      <c r="C1212" s="1">
        <f ca="1">IFERROR(__xludf.DUMMYFUNCTION("""COMPUTED_VALUE"""),60.81)</f>
        <v>60.81</v>
      </c>
      <c r="D1212" s="1">
        <f ca="1">IFERROR(__xludf.DUMMYFUNCTION("""COMPUTED_VALUE"""),60.31)</f>
        <v>60.31</v>
      </c>
      <c r="E1212" s="1">
        <f ca="1">IFERROR(__xludf.DUMMYFUNCTION("""COMPUTED_VALUE"""),60.8)</f>
        <v>60.8</v>
      </c>
      <c r="F1212" s="1">
        <f ca="1">IFERROR(__xludf.DUMMYFUNCTION("""COMPUTED_VALUE"""),19932545)</f>
        <v>19932545</v>
      </c>
    </row>
    <row r="1213" spans="1:6" x14ac:dyDescent="0.35">
      <c r="A1213" s="2">
        <f ca="1">IFERROR(__xludf.DUMMYFUNCTION("""COMPUTED_VALUE"""),43762.6666666666)</f>
        <v>43762.666666666599</v>
      </c>
      <c r="B1213" s="1">
        <f ca="1">IFERROR(__xludf.DUMMYFUNCTION("""COMPUTED_VALUE"""),61.13)</f>
        <v>61.13</v>
      </c>
      <c r="C1213" s="1">
        <f ca="1">IFERROR(__xludf.DUMMYFUNCTION("""COMPUTED_VALUE"""),61.2)</f>
        <v>61.2</v>
      </c>
      <c r="D1213" s="1">
        <f ca="1">IFERROR(__xludf.DUMMYFUNCTION("""COMPUTED_VALUE"""),60.45)</f>
        <v>60.45</v>
      </c>
      <c r="E1213" s="1">
        <f ca="1">IFERROR(__xludf.DUMMYFUNCTION("""COMPUTED_VALUE"""),60.9)</f>
        <v>60.9</v>
      </c>
      <c r="F1213" s="1">
        <f ca="1">IFERROR(__xludf.DUMMYFUNCTION("""COMPUTED_VALUE"""),17916255)</f>
        <v>17916255</v>
      </c>
    </row>
    <row r="1214" spans="1:6" x14ac:dyDescent="0.35">
      <c r="A1214" s="2">
        <f ca="1">IFERROR(__xludf.DUMMYFUNCTION("""COMPUTED_VALUE"""),43763.6666666666)</f>
        <v>43763.666666666599</v>
      </c>
      <c r="B1214" s="1">
        <f ca="1">IFERROR(__xludf.DUMMYFUNCTION("""COMPUTED_VALUE"""),60.79)</f>
        <v>60.79</v>
      </c>
      <c r="C1214" s="1">
        <f ca="1">IFERROR(__xludf.DUMMYFUNCTION("""COMPUTED_VALUE"""),61.68)</f>
        <v>61.68</v>
      </c>
      <c r="D1214" s="1">
        <f ca="1">IFERROR(__xludf.DUMMYFUNCTION("""COMPUTED_VALUE"""),60.72)</f>
        <v>60.72</v>
      </c>
      <c r="E1214" s="1">
        <f ca="1">IFERROR(__xludf.DUMMYFUNCTION("""COMPUTED_VALUE"""),61.65)</f>
        <v>61.65</v>
      </c>
      <c r="F1214" s="1">
        <f ca="1">IFERROR(__xludf.DUMMYFUNCTION("""COMPUTED_VALUE"""),18369296)</f>
        <v>18369296</v>
      </c>
    </row>
    <row r="1215" spans="1:6" x14ac:dyDescent="0.35">
      <c r="A1215" s="2">
        <f ca="1">IFERROR(__xludf.DUMMYFUNCTION("""COMPUTED_VALUE"""),43766.6666666666)</f>
        <v>43766.666666666599</v>
      </c>
      <c r="B1215" s="1">
        <f ca="1">IFERROR(__xludf.DUMMYFUNCTION("""COMPUTED_VALUE"""),61.86)</f>
        <v>61.86</v>
      </c>
      <c r="C1215" s="1">
        <f ca="1">IFERROR(__xludf.DUMMYFUNCTION("""COMPUTED_VALUE"""),62.31)</f>
        <v>62.31</v>
      </c>
      <c r="D1215" s="1">
        <f ca="1">IFERROR(__xludf.DUMMYFUNCTION("""COMPUTED_VALUE"""),61.68)</f>
        <v>61.68</v>
      </c>
      <c r="E1215" s="1">
        <f ca="1">IFERROR(__xludf.DUMMYFUNCTION("""COMPUTED_VALUE"""),62.26)</f>
        <v>62.26</v>
      </c>
      <c r="F1215" s="1">
        <f ca="1">IFERROR(__xludf.DUMMYFUNCTION("""COMPUTED_VALUE"""),24143241)</f>
        <v>24143241</v>
      </c>
    </row>
    <row r="1216" spans="1:6" x14ac:dyDescent="0.35">
      <c r="A1216" s="2">
        <f ca="1">IFERROR(__xludf.DUMMYFUNCTION("""COMPUTED_VALUE"""),43767.6666666666)</f>
        <v>43767.666666666599</v>
      </c>
      <c r="B1216" s="1">
        <f ca="1">IFERROR(__xludf.DUMMYFUNCTION("""COMPUTED_VALUE"""),62.24)</f>
        <v>62.24</v>
      </c>
      <c r="C1216" s="1">
        <f ca="1">IFERROR(__xludf.DUMMYFUNCTION("""COMPUTED_VALUE"""),62.44)</f>
        <v>62.44</v>
      </c>
      <c r="D1216" s="1">
        <f ca="1">IFERROR(__xludf.DUMMYFUNCTION("""COMPUTED_VALUE"""),60.64)</f>
        <v>60.64</v>
      </c>
      <c r="E1216" s="1">
        <f ca="1">IFERROR(__xludf.DUMMYFUNCTION("""COMPUTED_VALUE"""),60.82)</f>
        <v>60.82</v>
      </c>
      <c r="F1216" s="1">
        <f ca="1">IFERROR(__xludf.DUMMYFUNCTION("""COMPUTED_VALUE"""),35709867)</f>
        <v>35709867</v>
      </c>
    </row>
    <row r="1217" spans="1:6" x14ac:dyDescent="0.35">
      <c r="A1217" s="2">
        <f ca="1">IFERROR(__xludf.DUMMYFUNCTION("""COMPUTED_VALUE"""),43768.6666666666)</f>
        <v>43768.666666666599</v>
      </c>
      <c r="B1217" s="1">
        <f ca="1">IFERROR(__xludf.DUMMYFUNCTION("""COMPUTED_VALUE"""),61.19)</f>
        <v>61.19</v>
      </c>
      <c r="C1217" s="1">
        <f ca="1">IFERROR(__xludf.DUMMYFUNCTION("""COMPUTED_VALUE"""),61.33)</f>
        <v>61.33</v>
      </c>
      <c r="D1217" s="1">
        <f ca="1">IFERROR(__xludf.DUMMYFUNCTION("""COMPUTED_VALUE"""),60.3)</f>
        <v>60.3</v>
      </c>
      <c r="E1217" s="1">
        <f ca="1">IFERROR(__xludf.DUMMYFUNCTION("""COMPUTED_VALUE"""),60.82)</f>
        <v>60.82</v>
      </c>
      <c r="F1217" s="1">
        <f ca="1">IFERROR(__xludf.DUMMYFUNCTION("""COMPUTED_VALUE"""),31130522)</f>
        <v>31130522</v>
      </c>
    </row>
    <row r="1218" spans="1:6" x14ac:dyDescent="0.35">
      <c r="A1218" s="2">
        <f ca="1">IFERROR(__xludf.DUMMYFUNCTION("""COMPUTED_VALUE"""),43769.6666666666)</f>
        <v>43769.666666666599</v>
      </c>
      <c r="B1218" s="1">
        <f ca="1">IFERROR(__xludf.DUMMYFUNCTION("""COMPUTED_VALUE"""),61.81)</f>
        <v>61.81</v>
      </c>
      <c r="C1218" s="1">
        <f ca="1">IFERROR(__xludf.DUMMYFUNCTION("""COMPUTED_VALUE"""),62.29)</f>
        <v>62.29</v>
      </c>
      <c r="D1218" s="1">
        <f ca="1">IFERROR(__xludf.DUMMYFUNCTION("""COMPUTED_VALUE"""),59.32)</f>
        <v>59.32</v>
      </c>
      <c r="E1218" s="1">
        <f ca="1">IFERROR(__xludf.DUMMYFUNCTION("""COMPUTED_VALUE"""),62.19)</f>
        <v>62.19</v>
      </c>
      <c r="F1218" s="1">
        <f ca="1">IFERROR(__xludf.DUMMYFUNCTION("""COMPUTED_VALUE"""),34790520)</f>
        <v>34790520</v>
      </c>
    </row>
    <row r="1219" spans="1:6" x14ac:dyDescent="0.35">
      <c r="A1219" s="2">
        <f ca="1">IFERROR(__xludf.DUMMYFUNCTION("""COMPUTED_VALUE"""),43770.6666666666)</f>
        <v>43770.666666666599</v>
      </c>
      <c r="B1219" s="1">
        <f ca="1">IFERROR(__xludf.DUMMYFUNCTION("""COMPUTED_VALUE"""),62.39)</f>
        <v>62.39</v>
      </c>
      <c r="C1219" s="1">
        <f ca="1">IFERROR(__xludf.DUMMYFUNCTION("""COMPUTED_VALUE"""),63.98)</f>
        <v>63.98</v>
      </c>
      <c r="D1219" s="1">
        <f ca="1">IFERROR(__xludf.DUMMYFUNCTION("""COMPUTED_VALUE"""),62.29)</f>
        <v>62.29</v>
      </c>
      <c r="E1219" s="1">
        <f ca="1">IFERROR(__xludf.DUMMYFUNCTION("""COMPUTED_VALUE"""),63.96)</f>
        <v>63.96</v>
      </c>
      <c r="F1219" s="1">
        <f ca="1">IFERROR(__xludf.DUMMYFUNCTION("""COMPUTED_VALUE"""),37781334)</f>
        <v>37781334</v>
      </c>
    </row>
    <row r="1220" spans="1:6" x14ac:dyDescent="0.35">
      <c r="A1220" s="2">
        <f ca="1">IFERROR(__xludf.DUMMYFUNCTION("""COMPUTED_VALUE"""),43773.6666666666)</f>
        <v>43773.666666666599</v>
      </c>
      <c r="B1220" s="1">
        <f ca="1">IFERROR(__xludf.DUMMYFUNCTION("""COMPUTED_VALUE"""),64.33)</f>
        <v>64.33</v>
      </c>
      <c r="C1220" s="1">
        <f ca="1">IFERROR(__xludf.DUMMYFUNCTION("""COMPUTED_VALUE"""),64.46)</f>
        <v>64.459999999999994</v>
      </c>
      <c r="D1220" s="1">
        <f ca="1">IFERROR(__xludf.DUMMYFUNCTION("""COMPUTED_VALUE"""),63.85)</f>
        <v>63.85</v>
      </c>
      <c r="E1220" s="1">
        <f ca="1">IFERROR(__xludf.DUMMYFUNCTION("""COMPUTED_VALUE"""),64.38)</f>
        <v>64.38</v>
      </c>
      <c r="F1220" s="1">
        <f ca="1">IFERROR(__xludf.DUMMYFUNCTION("""COMPUTED_VALUE"""),25817952)</f>
        <v>25817952</v>
      </c>
    </row>
    <row r="1221" spans="1:6" x14ac:dyDescent="0.35">
      <c r="A1221" s="2">
        <f ca="1">IFERROR(__xludf.DUMMYFUNCTION("""COMPUTED_VALUE"""),43774.6666666666)</f>
        <v>43774.666666666599</v>
      </c>
      <c r="B1221" s="1">
        <f ca="1">IFERROR(__xludf.DUMMYFUNCTION("""COMPUTED_VALUE"""),64.26)</f>
        <v>64.260000000000005</v>
      </c>
      <c r="C1221" s="1">
        <f ca="1">IFERROR(__xludf.DUMMYFUNCTION("""COMPUTED_VALUE"""),64.55)</f>
        <v>64.55</v>
      </c>
      <c r="D1221" s="1">
        <f ca="1">IFERROR(__xludf.DUMMYFUNCTION("""COMPUTED_VALUE"""),64.08)</f>
        <v>64.08</v>
      </c>
      <c r="E1221" s="1">
        <f ca="1">IFERROR(__xludf.DUMMYFUNCTION("""COMPUTED_VALUE"""),64.28)</f>
        <v>64.28</v>
      </c>
      <c r="F1221" s="1">
        <f ca="1">IFERROR(__xludf.DUMMYFUNCTION("""COMPUTED_VALUE"""),19974427)</f>
        <v>19974427</v>
      </c>
    </row>
    <row r="1222" spans="1:6" x14ac:dyDescent="0.35">
      <c r="A1222" s="2">
        <f ca="1">IFERROR(__xludf.DUMMYFUNCTION("""COMPUTED_VALUE"""),43775.6666666666)</f>
        <v>43775.666666666599</v>
      </c>
      <c r="B1222" s="1">
        <f ca="1">IFERROR(__xludf.DUMMYFUNCTION("""COMPUTED_VALUE"""),64.19)</f>
        <v>64.19</v>
      </c>
      <c r="C1222" s="1">
        <f ca="1">IFERROR(__xludf.DUMMYFUNCTION("""COMPUTED_VALUE"""),64.37)</f>
        <v>64.37</v>
      </c>
      <c r="D1222" s="1">
        <f ca="1">IFERROR(__xludf.DUMMYFUNCTION("""COMPUTED_VALUE"""),63.84)</f>
        <v>63.84</v>
      </c>
      <c r="E1222" s="1">
        <f ca="1">IFERROR(__xludf.DUMMYFUNCTION("""COMPUTED_VALUE"""),64.31)</f>
        <v>64.31</v>
      </c>
      <c r="F1222" s="1">
        <f ca="1">IFERROR(__xludf.DUMMYFUNCTION("""COMPUTED_VALUE"""),18966124)</f>
        <v>18966124</v>
      </c>
    </row>
    <row r="1223" spans="1:6" x14ac:dyDescent="0.35">
      <c r="A1223" s="2">
        <f ca="1">IFERROR(__xludf.DUMMYFUNCTION("""COMPUTED_VALUE"""),43776.6666666666)</f>
        <v>43776.666666666599</v>
      </c>
      <c r="B1223" s="1">
        <f ca="1">IFERROR(__xludf.DUMMYFUNCTION("""COMPUTED_VALUE"""),64.69)</f>
        <v>64.69</v>
      </c>
      <c r="C1223" s="1">
        <f ca="1">IFERROR(__xludf.DUMMYFUNCTION("""COMPUTED_VALUE"""),65.09)</f>
        <v>65.09</v>
      </c>
      <c r="D1223" s="1">
        <f ca="1">IFERROR(__xludf.DUMMYFUNCTION("""COMPUTED_VALUE"""),64.53)</f>
        <v>64.53</v>
      </c>
      <c r="E1223" s="1">
        <f ca="1">IFERROR(__xludf.DUMMYFUNCTION("""COMPUTED_VALUE"""),64.86)</f>
        <v>64.86</v>
      </c>
      <c r="F1223" s="1">
        <f ca="1">IFERROR(__xludf.DUMMYFUNCTION("""COMPUTED_VALUE"""),23735083)</f>
        <v>23735083</v>
      </c>
    </row>
    <row r="1224" spans="1:6" x14ac:dyDescent="0.35">
      <c r="A1224" s="2">
        <f ca="1">IFERROR(__xludf.DUMMYFUNCTION("""COMPUTED_VALUE"""),43777.6666666666)</f>
        <v>43777.666666666599</v>
      </c>
      <c r="B1224" s="1">
        <f ca="1">IFERROR(__xludf.DUMMYFUNCTION("""COMPUTED_VALUE"""),64.67)</f>
        <v>64.67</v>
      </c>
      <c r="C1224" s="1">
        <f ca="1">IFERROR(__xludf.DUMMYFUNCTION("""COMPUTED_VALUE"""),65.11)</f>
        <v>65.11</v>
      </c>
      <c r="D1224" s="1">
        <f ca="1">IFERROR(__xludf.DUMMYFUNCTION("""COMPUTED_VALUE"""),64.21)</f>
        <v>64.209999999999994</v>
      </c>
      <c r="E1224" s="1">
        <f ca="1">IFERROR(__xludf.DUMMYFUNCTION("""COMPUTED_VALUE"""),65.04)</f>
        <v>65.040000000000006</v>
      </c>
      <c r="F1224" s="1">
        <f ca="1">IFERROR(__xludf.DUMMYFUNCTION("""COMPUTED_VALUE"""),17520495)</f>
        <v>17520495</v>
      </c>
    </row>
    <row r="1225" spans="1:6" x14ac:dyDescent="0.35">
      <c r="A1225" s="2">
        <f ca="1">IFERROR(__xludf.DUMMYFUNCTION("""COMPUTED_VALUE"""),43780.6666666666)</f>
        <v>43780.666666666599</v>
      </c>
      <c r="B1225" s="1">
        <f ca="1">IFERROR(__xludf.DUMMYFUNCTION("""COMPUTED_VALUE"""),64.58)</f>
        <v>64.58</v>
      </c>
      <c r="C1225" s="1">
        <f ca="1">IFERROR(__xludf.DUMMYFUNCTION("""COMPUTED_VALUE"""),65.62)</f>
        <v>65.62</v>
      </c>
      <c r="D1225" s="1">
        <f ca="1">IFERROR(__xludf.DUMMYFUNCTION("""COMPUTED_VALUE"""),64.57)</f>
        <v>64.569999999999993</v>
      </c>
      <c r="E1225" s="1">
        <f ca="1">IFERROR(__xludf.DUMMYFUNCTION("""COMPUTED_VALUE"""),65.55)</f>
        <v>65.55</v>
      </c>
      <c r="F1225" s="1">
        <f ca="1">IFERROR(__xludf.DUMMYFUNCTION("""COMPUTED_VALUE"""),20507459)</f>
        <v>20507459</v>
      </c>
    </row>
    <row r="1226" spans="1:6" x14ac:dyDescent="0.35">
      <c r="A1226" s="2">
        <f ca="1">IFERROR(__xludf.DUMMYFUNCTION("""COMPUTED_VALUE"""),43781.6666666666)</f>
        <v>43781.666666666599</v>
      </c>
      <c r="B1226" s="1">
        <f ca="1">IFERROR(__xludf.DUMMYFUNCTION("""COMPUTED_VALUE"""),65.39)</f>
        <v>65.39</v>
      </c>
      <c r="C1226" s="1">
        <f ca="1">IFERROR(__xludf.DUMMYFUNCTION("""COMPUTED_VALUE"""),65.7)</f>
        <v>65.7</v>
      </c>
      <c r="D1226" s="1">
        <f ca="1">IFERROR(__xludf.DUMMYFUNCTION("""COMPUTED_VALUE"""),65.23)</f>
        <v>65.23</v>
      </c>
      <c r="E1226" s="1">
        <f ca="1">IFERROR(__xludf.DUMMYFUNCTION("""COMPUTED_VALUE"""),65.49)</f>
        <v>65.489999999999995</v>
      </c>
      <c r="F1226" s="1">
        <f ca="1">IFERROR(__xludf.DUMMYFUNCTION("""COMPUTED_VALUE"""),21847226)</f>
        <v>21847226</v>
      </c>
    </row>
    <row r="1227" spans="1:6" x14ac:dyDescent="0.35">
      <c r="A1227" s="2">
        <f ca="1">IFERROR(__xludf.DUMMYFUNCTION("""COMPUTED_VALUE"""),43782.6666666666)</f>
        <v>43782.666666666599</v>
      </c>
      <c r="B1227" s="1">
        <f ca="1">IFERROR(__xludf.DUMMYFUNCTION("""COMPUTED_VALUE"""),65.28)</f>
        <v>65.28</v>
      </c>
      <c r="C1227" s="1">
        <f ca="1">IFERROR(__xludf.DUMMYFUNCTION("""COMPUTED_VALUE"""),66.19)</f>
        <v>66.19</v>
      </c>
      <c r="D1227" s="1">
        <f ca="1">IFERROR(__xludf.DUMMYFUNCTION("""COMPUTED_VALUE"""),65.27)</f>
        <v>65.27</v>
      </c>
      <c r="E1227" s="1">
        <f ca="1">IFERROR(__xludf.DUMMYFUNCTION("""COMPUTED_VALUE"""),66.12)</f>
        <v>66.12</v>
      </c>
      <c r="F1227" s="1">
        <f ca="1">IFERROR(__xludf.DUMMYFUNCTION("""COMPUTED_VALUE"""),25817593)</f>
        <v>25817593</v>
      </c>
    </row>
    <row r="1228" spans="1:6" x14ac:dyDescent="0.35">
      <c r="A1228" s="2">
        <f ca="1">IFERROR(__xludf.DUMMYFUNCTION("""COMPUTED_VALUE"""),43783.6666666666)</f>
        <v>43783.666666666599</v>
      </c>
      <c r="B1228" s="1">
        <f ca="1">IFERROR(__xludf.DUMMYFUNCTION("""COMPUTED_VALUE"""),65.94)</f>
        <v>65.94</v>
      </c>
      <c r="C1228" s="1">
        <f ca="1">IFERROR(__xludf.DUMMYFUNCTION("""COMPUTED_VALUE"""),66.22)</f>
        <v>66.22</v>
      </c>
      <c r="D1228" s="1">
        <f ca="1">IFERROR(__xludf.DUMMYFUNCTION("""COMPUTED_VALUE"""),65.53)</f>
        <v>65.53</v>
      </c>
      <c r="E1228" s="1">
        <f ca="1">IFERROR(__xludf.DUMMYFUNCTION("""COMPUTED_VALUE"""),65.66)</f>
        <v>65.66</v>
      </c>
      <c r="F1228" s="1">
        <f ca="1">IFERROR(__xludf.DUMMYFUNCTION("""COMPUTED_VALUE"""),22395556)</f>
        <v>22395556</v>
      </c>
    </row>
    <row r="1229" spans="1:6" x14ac:dyDescent="0.35">
      <c r="A1229" s="2">
        <f ca="1">IFERROR(__xludf.DUMMYFUNCTION("""COMPUTED_VALUE"""),43784.6666666666)</f>
        <v>43784.666666666599</v>
      </c>
      <c r="B1229" s="1">
        <f ca="1">IFERROR(__xludf.DUMMYFUNCTION("""COMPUTED_VALUE"""),65.92)</f>
        <v>65.92</v>
      </c>
      <c r="C1229" s="1">
        <f ca="1">IFERROR(__xludf.DUMMYFUNCTION("""COMPUTED_VALUE"""),66.44)</f>
        <v>66.44</v>
      </c>
      <c r="D1229" s="1">
        <f ca="1">IFERROR(__xludf.DUMMYFUNCTION("""COMPUTED_VALUE"""),65.75)</f>
        <v>65.75</v>
      </c>
      <c r="E1229" s="1">
        <f ca="1">IFERROR(__xludf.DUMMYFUNCTION("""COMPUTED_VALUE"""),66.44)</f>
        <v>66.44</v>
      </c>
      <c r="F1229" s="1">
        <f ca="1">IFERROR(__xludf.DUMMYFUNCTION("""COMPUTED_VALUE"""),25093666)</f>
        <v>25093666</v>
      </c>
    </row>
    <row r="1230" spans="1:6" x14ac:dyDescent="0.35">
      <c r="A1230" s="2">
        <f ca="1">IFERROR(__xludf.DUMMYFUNCTION("""COMPUTED_VALUE"""),43787.6666666666)</f>
        <v>43787.666666666599</v>
      </c>
      <c r="B1230" s="1">
        <f ca="1">IFERROR(__xludf.DUMMYFUNCTION("""COMPUTED_VALUE"""),66.45)</f>
        <v>66.45</v>
      </c>
      <c r="C1230" s="1">
        <f ca="1">IFERROR(__xludf.DUMMYFUNCTION("""COMPUTED_VALUE"""),66.86)</f>
        <v>66.86</v>
      </c>
      <c r="D1230" s="1">
        <f ca="1">IFERROR(__xludf.DUMMYFUNCTION("""COMPUTED_VALUE"""),66.06)</f>
        <v>66.06</v>
      </c>
      <c r="E1230" s="1">
        <f ca="1">IFERROR(__xludf.DUMMYFUNCTION("""COMPUTED_VALUE"""),66.78)</f>
        <v>66.78</v>
      </c>
      <c r="F1230" s="1">
        <f ca="1">IFERROR(__xludf.DUMMYFUNCTION("""COMPUTED_VALUE"""),21700897)</f>
        <v>21700897</v>
      </c>
    </row>
    <row r="1231" spans="1:6" x14ac:dyDescent="0.35">
      <c r="A1231" s="2">
        <f ca="1">IFERROR(__xludf.DUMMYFUNCTION("""COMPUTED_VALUE"""),43788.6666666666)</f>
        <v>43788.666666666599</v>
      </c>
      <c r="B1231" s="1">
        <f ca="1">IFERROR(__xludf.DUMMYFUNCTION("""COMPUTED_VALUE"""),66.97)</f>
        <v>66.97</v>
      </c>
      <c r="C1231" s="1">
        <f ca="1">IFERROR(__xludf.DUMMYFUNCTION("""COMPUTED_VALUE"""),67)</f>
        <v>67</v>
      </c>
      <c r="D1231" s="1">
        <f ca="1">IFERROR(__xludf.DUMMYFUNCTION("""COMPUTED_VALUE"""),66.35)</f>
        <v>66.349999999999994</v>
      </c>
      <c r="E1231" s="1">
        <f ca="1">IFERROR(__xludf.DUMMYFUNCTION("""COMPUTED_VALUE"""),66.57)</f>
        <v>66.569999999999993</v>
      </c>
      <c r="F1231" s="1">
        <f ca="1">IFERROR(__xludf.DUMMYFUNCTION("""COMPUTED_VALUE"""),19069597)</f>
        <v>19069597</v>
      </c>
    </row>
    <row r="1232" spans="1:6" x14ac:dyDescent="0.35">
      <c r="A1232" s="2">
        <f ca="1">IFERROR(__xludf.DUMMYFUNCTION("""COMPUTED_VALUE"""),43789.6666666666)</f>
        <v>43789.666666666599</v>
      </c>
      <c r="B1232" s="1">
        <f ca="1">IFERROR(__xludf.DUMMYFUNCTION("""COMPUTED_VALUE"""),66.39)</f>
        <v>66.39</v>
      </c>
      <c r="C1232" s="1">
        <f ca="1">IFERROR(__xludf.DUMMYFUNCTION("""COMPUTED_VALUE"""),66.52)</f>
        <v>66.52</v>
      </c>
      <c r="D1232" s="1">
        <f ca="1">IFERROR(__xludf.DUMMYFUNCTION("""COMPUTED_VALUE"""),65.1)</f>
        <v>65.099999999999994</v>
      </c>
      <c r="E1232" s="1">
        <f ca="1">IFERROR(__xludf.DUMMYFUNCTION("""COMPUTED_VALUE"""),65.8)</f>
        <v>65.8</v>
      </c>
      <c r="F1232" s="1">
        <f ca="1">IFERROR(__xludf.DUMMYFUNCTION("""COMPUTED_VALUE"""),26609919)</f>
        <v>26609919</v>
      </c>
    </row>
    <row r="1233" spans="1:6" x14ac:dyDescent="0.35">
      <c r="A1233" s="2">
        <f ca="1">IFERROR(__xludf.DUMMYFUNCTION("""COMPUTED_VALUE"""),43790.6666666666)</f>
        <v>43790.666666666599</v>
      </c>
      <c r="B1233" s="1">
        <f ca="1">IFERROR(__xludf.DUMMYFUNCTION("""COMPUTED_VALUE"""),65.92)</f>
        <v>65.92</v>
      </c>
      <c r="C1233" s="1">
        <f ca="1">IFERROR(__xludf.DUMMYFUNCTION("""COMPUTED_VALUE"""),66)</f>
        <v>66</v>
      </c>
      <c r="D1233" s="1">
        <f ca="1">IFERROR(__xludf.DUMMYFUNCTION("""COMPUTED_VALUE"""),65.3)</f>
        <v>65.3</v>
      </c>
      <c r="E1233" s="1">
        <f ca="1">IFERROR(__xludf.DUMMYFUNCTION("""COMPUTED_VALUE"""),65.5)</f>
        <v>65.5</v>
      </c>
      <c r="F1233" s="1">
        <f ca="1">IFERROR(__xludf.DUMMYFUNCTION("""COMPUTED_VALUE"""),30348778)</f>
        <v>30348778</v>
      </c>
    </row>
    <row r="1234" spans="1:6" x14ac:dyDescent="0.35">
      <c r="A1234" s="2">
        <f ca="1">IFERROR(__xludf.DUMMYFUNCTION("""COMPUTED_VALUE"""),43791.6666666666)</f>
        <v>43791.666666666599</v>
      </c>
      <c r="B1234" s="1">
        <f ca="1">IFERROR(__xludf.DUMMYFUNCTION("""COMPUTED_VALUE"""),65.65)</f>
        <v>65.650000000000006</v>
      </c>
      <c r="C1234" s="1">
        <f ca="1">IFERROR(__xludf.DUMMYFUNCTION("""COMPUTED_VALUE"""),65.8)</f>
        <v>65.8</v>
      </c>
      <c r="D1234" s="1">
        <f ca="1">IFERROR(__xludf.DUMMYFUNCTION("""COMPUTED_VALUE"""),65.21)</f>
        <v>65.209999999999994</v>
      </c>
      <c r="E1234" s="1">
        <f ca="1">IFERROR(__xludf.DUMMYFUNCTION("""COMPUTED_VALUE"""),65.44)</f>
        <v>65.44</v>
      </c>
      <c r="F1234" s="1">
        <f ca="1">IFERROR(__xludf.DUMMYFUNCTION("""COMPUTED_VALUE"""),16331263)</f>
        <v>16331263</v>
      </c>
    </row>
    <row r="1235" spans="1:6" x14ac:dyDescent="0.35">
      <c r="A1235" s="2">
        <f ca="1">IFERROR(__xludf.DUMMYFUNCTION("""COMPUTED_VALUE"""),43794.6666666666)</f>
        <v>43794.666666666599</v>
      </c>
      <c r="B1235" s="1">
        <f ca="1">IFERROR(__xludf.DUMMYFUNCTION("""COMPUTED_VALUE"""),65.68)</f>
        <v>65.680000000000007</v>
      </c>
      <c r="C1235" s="1">
        <f ca="1">IFERROR(__xludf.DUMMYFUNCTION("""COMPUTED_VALUE"""),66.61)</f>
        <v>66.61</v>
      </c>
      <c r="D1235" s="1">
        <f ca="1">IFERROR(__xludf.DUMMYFUNCTION("""COMPUTED_VALUE"""),65.63)</f>
        <v>65.63</v>
      </c>
      <c r="E1235" s="1">
        <f ca="1">IFERROR(__xludf.DUMMYFUNCTION("""COMPUTED_VALUE"""),66.59)</f>
        <v>66.59</v>
      </c>
      <c r="F1235" s="1">
        <f ca="1">IFERROR(__xludf.DUMMYFUNCTION("""COMPUTED_VALUE"""),21029517)</f>
        <v>21029517</v>
      </c>
    </row>
    <row r="1236" spans="1:6" x14ac:dyDescent="0.35">
      <c r="A1236" s="2">
        <f ca="1">IFERROR(__xludf.DUMMYFUNCTION("""COMPUTED_VALUE"""),43795.6666666666)</f>
        <v>43795.666666666599</v>
      </c>
      <c r="B1236" s="1">
        <f ca="1">IFERROR(__xludf.DUMMYFUNCTION("""COMPUTED_VALUE"""),66.74)</f>
        <v>66.739999999999995</v>
      </c>
      <c r="C1236" s="1">
        <f ca="1">IFERROR(__xludf.DUMMYFUNCTION("""COMPUTED_VALUE"""),66.79)</f>
        <v>66.790000000000006</v>
      </c>
      <c r="D1236" s="1">
        <f ca="1">IFERROR(__xludf.DUMMYFUNCTION("""COMPUTED_VALUE"""),65.63)</f>
        <v>65.63</v>
      </c>
      <c r="E1236" s="1">
        <f ca="1">IFERROR(__xludf.DUMMYFUNCTION("""COMPUTED_VALUE"""),66.07)</f>
        <v>66.069999999999993</v>
      </c>
      <c r="F1236" s="1">
        <f ca="1">IFERROR(__xludf.DUMMYFUNCTION("""COMPUTED_VALUE"""),26334882)</f>
        <v>26334882</v>
      </c>
    </row>
    <row r="1237" spans="1:6" x14ac:dyDescent="0.35">
      <c r="A1237" s="2">
        <f ca="1">IFERROR(__xludf.DUMMYFUNCTION("""COMPUTED_VALUE"""),43796.6666666666)</f>
        <v>43796.666666666599</v>
      </c>
      <c r="B1237" s="1">
        <f ca="1">IFERROR(__xludf.DUMMYFUNCTION("""COMPUTED_VALUE"""),66.4)</f>
        <v>66.400000000000006</v>
      </c>
      <c r="C1237" s="1">
        <f ca="1">IFERROR(__xludf.DUMMYFUNCTION("""COMPUTED_VALUE"""),67)</f>
        <v>67</v>
      </c>
      <c r="D1237" s="1">
        <f ca="1">IFERROR(__xludf.DUMMYFUNCTION("""COMPUTED_VALUE"""),66.33)</f>
        <v>66.33</v>
      </c>
      <c r="E1237" s="1">
        <f ca="1">IFERROR(__xludf.DUMMYFUNCTION("""COMPUTED_VALUE"""),66.96)</f>
        <v>66.959999999999994</v>
      </c>
      <c r="F1237" s="1">
        <f ca="1">IFERROR(__xludf.DUMMYFUNCTION("""COMPUTED_VALUE"""),16386122)</f>
        <v>16386122</v>
      </c>
    </row>
    <row r="1238" spans="1:6" x14ac:dyDescent="0.35">
      <c r="A1238" s="2">
        <f ca="1">IFERROR(__xludf.DUMMYFUNCTION("""COMPUTED_VALUE"""),43798.5416666666)</f>
        <v>43798.541666666599</v>
      </c>
      <c r="B1238" s="1">
        <f ca="1">IFERROR(__xludf.DUMMYFUNCTION("""COMPUTED_VALUE"""),66.65)</f>
        <v>66.650000000000006</v>
      </c>
      <c r="C1238" s="1">
        <f ca="1">IFERROR(__xludf.DUMMYFUNCTION("""COMPUTED_VALUE"""),67)</f>
        <v>67</v>
      </c>
      <c r="D1238" s="1">
        <f ca="1">IFERROR(__xludf.DUMMYFUNCTION("""COMPUTED_VALUE"""),66.47)</f>
        <v>66.47</v>
      </c>
      <c r="E1238" s="1">
        <f ca="1">IFERROR(__xludf.DUMMYFUNCTION("""COMPUTED_VALUE"""),66.81)</f>
        <v>66.81</v>
      </c>
      <c r="F1238" s="1">
        <f ca="1">IFERROR(__xludf.DUMMYFUNCTION("""COMPUTED_VALUE"""),11654363)</f>
        <v>11654363</v>
      </c>
    </row>
    <row r="1239" spans="1:6" x14ac:dyDescent="0.35">
      <c r="A1239" s="2">
        <f ca="1">IFERROR(__xludf.DUMMYFUNCTION("""COMPUTED_VALUE"""),43801.6666666666)</f>
        <v>43801.666666666599</v>
      </c>
      <c r="B1239" s="1">
        <f ca="1">IFERROR(__xludf.DUMMYFUNCTION("""COMPUTED_VALUE"""),66.82)</f>
        <v>66.819999999999993</v>
      </c>
      <c r="C1239" s="1">
        <f ca="1">IFERROR(__xludf.DUMMYFUNCTION("""COMPUTED_VALUE"""),67.06)</f>
        <v>67.06</v>
      </c>
      <c r="D1239" s="1">
        <f ca="1">IFERROR(__xludf.DUMMYFUNCTION("""COMPUTED_VALUE"""),65.86)</f>
        <v>65.86</v>
      </c>
      <c r="E1239" s="1">
        <f ca="1">IFERROR(__xludf.DUMMYFUNCTION("""COMPUTED_VALUE"""),66.04)</f>
        <v>66.040000000000006</v>
      </c>
      <c r="F1239" s="1">
        <f ca="1">IFERROR(__xludf.DUMMYFUNCTION("""COMPUTED_VALUE"""),23693550)</f>
        <v>23693550</v>
      </c>
    </row>
    <row r="1240" spans="1:6" x14ac:dyDescent="0.35">
      <c r="A1240" s="2">
        <f ca="1">IFERROR(__xludf.DUMMYFUNCTION("""COMPUTED_VALUE"""),43802.6666666666)</f>
        <v>43802.666666666599</v>
      </c>
      <c r="B1240" s="1">
        <f ca="1">IFERROR(__xludf.DUMMYFUNCTION("""COMPUTED_VALUE"""),64.58)</f>
        <v>64.58</v>
      </c>
      <c r="C1240" s="1">
        <f ca="1">IFERROR(__xludf.DUMMYFUNCTION("""COMPUTED_VALUE"""),64.88)</f>
        <v>64.88</v>
      </c>
      <c r="D1240" s="1">
        <f ca="1">IFERROR(__xludf.DUMMYFUNCTION("""COMPUTED_VALUE"""),64.07)</f>
        <v>64.069999999999993</v>
      </c>
      <c r="E1240" s="1">
        <f ca="1">IFERROR(__xludf.DUMMYFUNCTION("""COMPUTED_VALUE"""),64.86)</f>
        <v>64.86</v>
      </c>
      <c r="F1240" s="1">
        <f ca="1">IFERROR(__xludf.DUMMYFUNCTION("""COMPUTED_VALUE"""),29377268)</f>
        <v>29377268</v>
      </c>
    </row>
    <row r="1241" spans="1:6" x14ac:dyDescent="0.35">
      <c r="A1241" s="2">
        <f ca="1">IFERROR(__xludf.DUMMYFUNCTION("""COMPUTED_VALUE"""),43803.6666666666)</f>
        <v>43803.666666666599</v>
      </c>
      <c r="B1241" s="1">
        <f ca="1">IFERROR(__xludf.DUMMYFUNCTION("""COMPUTED_VALUE"""),65.27)</f>
        <v>65.27</v>
      </c>
      <c r="C1241" s="1">
        <f ca="1">IFERROR(__xludf.DUMMYFUNCTION("""COMPUTED_VALUE"""),65.83)</f>
        <v>65.83</v>
      </c>
      <c r="D1241" s="1">
        <f ca="1">IFERROR(__xludf.DUMMYFUNCTION("""COMPUTED_VALUE"""),65.17)</f>
        <v>65.17</v>
      </c>
      <c r="E1241" s="1">
        <f ca="1">IFERROR(__xludf.DUMMYFUNCTION("""COMPUTED_VALUE"""),65.44)</f>
        <v>65.44</v>
      </c>
      <c r="F1241" s="1">
        <f ca="1">IFERROR(__xludf.DUMMYFUNCTION("""COMPUTED_VALUE"""),16810388)</f>
        <v>16810388</v>
      </c>
    </row>
    <row r="1242" spans="1:6" x14ac:dyDescent="0.35">
      <c r="A1242" s="2">
        <f ca="1">IFERROR(__xludf.DUMMYFUNCTION("""COMPUTED_VALUE"""),43804.6666666666)</f>
        <v>43804.666666666599</v>
      </c>
      <c r="B1242" s="1">
        <f ca="1">IFERROR(__xludf.DUMMYFUNCTION("""COMPUTED_VALUE"""),65.95)</f>
        <v>65.95</v>
      </c>
      <c r="C1242" s="1">
        <f ca="1">IFERROR(__xludf.DUMMYFUNCTION("""COMPUTED_VALUE"""),66.47)</f>
        <v>66.47</v>
      </c>
      <c r="D1242" s="1">
        <f ca="1">IFERROR(__xludf.DUMMYFUNCTION("""COMPUTED_VALUE"""),65.68)</f>
        <v>65.680000000000007</v>
      </c>
      <c r="E1242" s="1">
        <f ca="1">IFERROR(__xludf.DUMMYFUNCTION("""COMPUTED_VALUE"""),66.4)</f>
        <v>66.400000000000006</v>
      </c>
      <c r="F1242" s="1">
        <f ca="1">IFERROR(__xludf.DUMMYFUNCTION("""COMPUTED_VALUE"""),18661343)</f>
        <v>18661343</v>
      </c>
    </row>
    <row r="1243" spans="1:6" x14ac:dyDescent="0.35">
      <c r="A1243" s="2">
        <f ca="1">IFERROR(__xludf.DUMMYFUNCTION("""COMPUTED_VALUE"""),43805.6666666666)</f>
        <v>43805.666666666599</v>
      </c>
      <c r="B1243" s="1">
        <f ca="1">IFERROR(__xludf.DUMMYFUNCTION("""COMPUTED_VALUE"""),66.87)</f>
        <v>66.87</v>
      </c>
      <c r="C1243" s="1">
        <f ca="1">IFERROR(__xludf.DUMMYFUNCTION("""COMPUTED_VALUE"""),67.75)</f>
        <v>67.75</v>
      </c>
      <c r="D1243" s="1">
        <f ca="1">IFERROR(__xludf.DUMMYFUNCTION("""COMPUTED_VALUE"""),66.83)</f>
        <v>66.83</v>
      </c>
      <c r="E1243" s="1">
        <f ca="1">IFERROR(__xludf.DUMMYFUNCTION("""COMPUTED_VALUE"""),67.68)</f>
        <v>67.680000000000007</v>
      </c>
      <c r="F1243" s="1">
        <f ca="1">IFERROR(__xludf.DUMMYFUNCTION("""COMPUTED_VALUE"""),26547493)</f>
        <v>26547493</v>
      </c>
    </row>
    <row r="1244" spans="1:6" x14ac:dyDescent="0.35">
      <c r="A1244" s="2">
        <f ca="1">IFERROR(__xludf.DUMMYFUNCTION("""COMPUTED_VALUE"""),43808.6666666666)</f>
        <v>43808.666666666599</v>
      </c>
      <c r="B1244" s="1">
        <f ca="1">IFERROR(__xludf.DUMMYFUNCTION("""COMPUTED_VALUE"""),67.5)</f>
        <v>67.5</v>
      </c>
      <c r="C1244" s="1">
        <f ca="1">IFERROR(__xludf.DUMMYFUNCTION("""COMPUTED_VALUE"""),67.7)</f>
        <v>67.7</v>
      </c>
      <c r="D1244" s="1">
        <f ca="1">IFERROR(__xludf.DUMMYFUNCTION("""COMPUTED_VALUE"""),66.23)</f>
        <v>66.23</v>
      </c>
      <c r="E1244" s="1">
        <f ca="1">IFERROR(__xludf.DUMMYFUNCTION("""COMPUTED_VALUE"""),66.73)</f>
        <v>66.73</v>
      </c>
      <c r="F1244" s="1">
        <f ca="1">IFERROR(__xludf.DUMMYFUNCTION("""COMPUTED_VALUE"""),32182645)</f>
        <v>32182645</v>
      </c>
    </row>
    <row r="1245" spans="1:6" x14ac:dyDescent="0.35">
      <c r="A1245" s="2">
        <f ca="1">IFERROR(__xludf.DUMMYFUNCTION("""COMPUTED_VALUE"""),43809.6666666666)</f>
        <v>43809.666666666599</v>
      </c>
      <c r="B1245" s="1">
        <f ca="1">IFERROR(__xludf.DUMMYFUNCTION("""COMPUTED_VALUE"""),67.15)</f>
        <v>67.150000000000006</v>
      </c>
      <c r="C1245" s="1">
        <f ca="1">IFERROR(__xludf.DUMMYFUNCTION("""COMPUTED_VALUE"""),67.52)</f>
        <v>67.52</v>
      </c>
      <c r="D1245" s="1">
        <f ca="1">IFERROR(__xludf.DUMMYFUNCTION("""COMPUTED_VALUE"""),66.47)</f>
        <v>66.47</v>
      </c>
      <c r="E1245" s="1">
        <f ca="1">IFERROR(__xludf.DUMMYFUNCTION("""COMPUTED_VALUE"""),67.12)</f>
        <v>67.12</v>
      </c>
      <c r="F1245" s="1">
        <f ca="1">IFERROR(__xludf.DUMMYFUNCTION("""COMPUTED_VALUE"""),22632383)</f>
        <v>22632383</v>
      </c>
    </row>
    <row r="1246" spans="1:6" x14ac:dyDescent="0.35">
      <c r="A1246" s="2">
        <f ca="1">IFERROR(__xludf.DUMMYFUNCTION("""COMPUTED_VALUE"""),43810.6666666666)</f>
        <v>43810.666666666599</v>
      </c>
      <c r="B1246" s="1">
        <f ca="1">IFERROR(__xludf.DUMMYFUNCTION("""COMPUTED_VALUE"""),67.2)</f>
        <v>67.2</v>
      </c>
      <c r="C1246" s="1">
        <f ca="1">IFERROR(__xludf.DUMMYFUNCTION("""COMPUTED_VALUE"""),67.78)</f>
        <v>67.78</v>
      </c>
      <c r="D1246" s="1">
        <f ca="1">IFERROR(__xludf.DUMMYFUNCTION("""COMPUTED_VALUE"""),67.13)</f>
        <v>67.13</v>
      </c>
      <c r="E1246" s="1">
        <f ca="1">IFERROR(__xludf.DUMMYFUNCTION("""COMPUTED_VALUE"""),67.69)</f>
        <v>67.69</v>
      </c>
      <c r="F1246" s="1">
        <f ca="1">IFERROR(__xludf.DUMMYFUNCTION("""COMPUTED_VALUE"""),19723391)</f>
        <v>19723391</v>
      </c>
    </row>
    <row r="1247" spans="1:6" x14ac:dyDescent="0.35">
      <c r="A1247" s="2">
        <f ca="1">IFERROR(__xludf.DUMMYFUNCTION("""COMPUTED_VALUE"""),43811.6666666666)</f>
        <v>43811.666666666599</v>
      </c>
      <c r="B1247" s="1">
        <f ca="1">IFERROR(__xludf.DUMMYFUNCTION("""COMPUTED_VALUE"""),66.94)</f>
        <v>66.94</v>
      </c>
      <c r="C1247" s="1">
        <f ca="1">IFERROR(__xludf.DUMMYFUNCTION("""COMPUTED_VALUE"""),68.14)</f>
        <v>68.14</v>
      </c>
      <c r="D1247" s="1">
        <f ca="1">IFERROR(__xludf.DUMMYFUNCTION("""COMPUTED_VALUE"""),66.83)</f>
        <v>66.83</v>
      </c>
      <c r="E1247" s="1">
        <f ca="1">IFERROR(__xludf.DUMMYFUNCTION("""COMPUTED_VALUE"""),67.86)</f>
        <v>67.86</v>
      </c>
      <c r="F1247" s="1">
        <f ca="1">IFERROR(__xludf.DUMMYFUNCTION("""COMPUTED_VALUE"""),34437042)</f>
        <v>34437042</v>
      </c>
    </row>
    <row r="1248" spans="1:6" x14ac:dyDescent="0.35">
      <c r="A1248" s="2">
        <f ca="1">IFERROR(__xludf.DUMMYFUNCTION("""COMPUTED_VALUE"""),43812.6666666666)</f>
        <v>43812.666666666599</v>
      </c>
      <c r="B1248" s="1">
        <f ca="1">IFERROR(__xludf.DUMMYFUNCTION("""COMPUTED_VALUE"""),67.86)</f>
        <v>67.86</v>
      </c>
      <c r="C1248" s="1">
        <f ca="1">IFERROR(__xludf.DUMMYFUNCTION("""COMPUTED_VALUE"""),68.83)</f>
        <v>68.83</v>
      </c>
      <c r="D1248" s="1">
        <f ca="1">IFERROR(__xludf.DUMMYFUNCTION("""COMPUTED_VALUE"""),67.73)</f>
        <v>67.73</v>
      </c>
      <c r="E1248" s="1">
        <f ca="1">IFERROR(__xludf.DUMMYFUNCTION("""COMPUTED_VALUE"""),68.79)</f>
        <v>68.790000000000006</v>
      </c>
      <c r="F1248" s="1">
        <f ca="1">IFERROR(__xludf.DUMMYFUNCTION("""COMPUTED_VALUE"""),33432806)</f>
        <v>33432806</v>
      </c>
    </row>
    <row r="1249" spans="1:6" x14ac:dyDescent="0.35">
      <c r="A1249" s="2">
        <f ca="1">IFERROR(__xludf.DUMMYFUNCTION("""COMPUTED_VALUE"""),43815.6666666666)</f>
        <v>43815.666666666599</v>
      </c>
      <c r="B1249" s="1">
        <f ca="1">IFERROR(__xludf.DUMMYFUNCTION("""COMPUTED_VALUE"""),69.25)</f>
        <v>69.25</v>
      </c>
      <c r="C1249" s="1">
        <f ca="1">IFERROR(__xludf.DUMMYFUNCTION("""COMPUTED_VALUE"""),70.2)</f>
        <v>70.2</v>
      </c>
      <c r="D1249" s="1">
        <f ca="1">IFERROR(__xludf.DUMMYFUNCTION("""COMPUTED_VALUE"""),69.25)</f>
        <v>69.25</v>
      </c>
      <c r="E1249" s="1">
        <f ca="1">IFERROR(__xludf.DUMMYFUNCTION("""COMPUTED_VALUE"""),69.97)</f>
        <v>69.97</v>
      </c>
      <c r="F1249" s="1">
        <f ca="1">IFERROR(__xludf.DUMMYFUNCTION("""COMPUTED_VALUE"""),32081105)</f>
        <v>32081105</v>
      </c>
    </row>
    <row r="1250" spans="1:6" x14ac:dyDescent="0.35">
      <c r="A1250" s="2">
        <f ca="1">IFERROR(__xludf.DUMMYFUNCTION("""COMPUTED_VALUE"""),43816.6666666666)</f>
        <v>43816.666666666599</v>
      </c>
      <c r="B1250" s="1">
        <f ca="1">IFERROR(__xludf.DUMMYFUNCTION("""COMPUTED_VALUE"""),69.89)</f>
        <v>69.89</v>
      </c>
      <c r="C1250" s="1">
        <f ca="1">IFERROR(__xludf.DUMMYFUNCTION("""COMPUTED_VALUE"""),70.44)</f>
        <v>70.44</v>
      </c>
      <c r="D1250" s="1">
        <f ca="1">IFERROR(__xludf.DUMMYFUNCTION("""COMPUTED_VALUE"""),69.7)</f>
        <v>69.7</v>
      </c>
      <c r="E1250" s="1">
        <f ca="1">IFERROR(__xludf.DUMMYFUNCTION("""COMPUTED_VALUE"""),70.1)</f>
        <v>70.099999999999994</v>
      </c>
      <c r="F1250" s="1">
        <f ca="1">IFERROR(__xludf.DUMMYFUNCTION("""COMPUTED_VALUE"""),28575798)</f>
        <v>28575798</v>
      </c>
    </row>
    <row r="1251" spans="1:6" x14ac:dyDescent="0.35">
      <c r="A1251" s="2">
        <f ca="1">IFERROR(__xludf.DUMMYFUNCTION("""COMPUTED_VALUE"""),43817.6666666666)</f>
        <v>43817.666666666599</v>
      </c>
      <c r="B1251" s="1">
        <f ca="1">IFERROR(__xludf.DUMMYFUNCTION("""COMPUTED_VALUE"""),69.95)</f>
        <v>69.95</v>
      </c>
      <c r="C1251" s="1">
        <f ca="1">IFERROR(__xludf.DUMMYFUNCTION("""COMPUTED_VALUE"""),70.47)</f>
        <v>70.47</v>
      </c>
      <c r="D1251" s="1">
        <f ca="1">IFERROR(__xludf.DUMMYFUNCTION("""COMPUTED_VALUE"""),69.78)</f>
        <v>69.78</v>
      </c>
      <c r="E1251" s="1">
        <f ca="1">IFERROR(__xludf.DUMMYFUNCTION("""COMPUTED_VALUE"""),69.94)</f>
        <v>69.94</v>
      </c>
      <c r="F1251" s="1">
        <f ca="1">IFERROR(__xludf.DUMMYFUNCTION("""COMPUTED_VALUE"""),29024687)</f>
        <v>29024687</v>
      </c>
    </row>
    <row r="1252" spans="1:6" x14ac:dyDescent="0.35">
      <c r="A1252" s="2">
        <f ca="1">IFERROR(__xludf.DUMMYFUNCTION("""COMPUTED_VALUE"""),43818.6666666666)</f>
        <v>43818.666666666599</v>
      </c>
      <c r="B1252" s="1">
        <f ca="1">IFERROR(__xludf.DUMMYFUNCTION("""COMPUTED_VALUE"""),69.88)</f>
        <v>69.88</v>
      </c>
      <c r="C1252" s="1">
        <f ca="1">IFERROR(__xludf.DUMMYFUNCTION("""COMPUTED_VALUE"""),70.3)</f>
        <v>70.3</v>
      </c>
      <c r="D1252" s="1">
        <f ca="1">IFERROR(__xludf.DUMMYFUNCTION("""COMPUTED_VALUE"""),69.74)</f>
        <v>69.739999999999995</v>
      </c>
      <c r="E1252" s="1">
        <f ca="1">IFERROR(__xludf.DUMMYFUNCTION("""COMPUTED_VALUE"""),70.01)</f>
        <v>70.010000000000005</v>
      </c>
      <c r="F1252" s="1">
        <f ca="1">IFERROR(__xludf.DUMMYFUNCTION("""COMPUTED_VALUE"""),24626947)</f>
        <v>24626947</v>
      </c>
    </row>
    <row r="1253" spans="1:6" x14ac:dyDescent="0.35">
      <c r="A1253" s="2">
        <f ca="1">IFERROR(__xludf.DUMMYFUNCTION("""COMPUTED_VALUE"""),43819.6666666666)</f>
        <v>43819.666666666599</v>
      </c>
      <c r="B1253" s="1">
        <f ca="1">IFERROR(__xludf.DUMMYFUNCTION("""COMPUTED_VALUE"""),70.56)</f>
        <v>70.56</v>
      </c>
      <c r="C1253" s="1">
        <f ca="1">IFERROR(__xludf.DUMMYFUNCTION("""COMPUTED_VALUE"""),70.66)</f>
        <v>70.66</v>
      </c>
      <c r="D1253" s="1">
        <f ca="1">IFERROR(__xludf.DUMMYFUNCTION("""COMPUTED_VALUE"""),69.64)</f>
        <v>69.64</v>
      </c>
      <c r="E1253" s="1">
        <f ca="1">IFERROR(__xludf.DUMMYFUNCTION("""COMPUTED_VALUE"""),69.86)</f>
        <v>69.86</v>
      </c>
      <c r="F1253" s="1">
        <f ca="1">IFERROR(__xludf.DUMMYFUNCTION("""COMPUTED_VALUE"""),69032743)</f>
        <v>69032743</v>
      </c>
    </row>
    <row r="1254" spans="1:6" x14ac:dyDescent="0.35">
      <c r="A1254" s="2">
        <f ca="1">IFERROR(__xludf.DUMMYFUNCTION("""COMPUTED_VALUE"""),43822.6666666666)</f>
        <v>43822.666666666599</v>
      </c>
      <c r="B1254" s="1">
        <f ca="1">IFERROR(__xludf.DUMMYFUNCTION("""COMPUTED_VALUE"""),70.13)</f>
        <v>70.13</v>
      </c>
      <c r="C1254" s="1">
        <f ca="1">IFERROR(__xludf.DUMMYFUNCTION("""COMPUTED_VALUE"""),71.06)</f>
        <v>71.06</v>
      </c>
      <c r="D1254" s="1">
        <f ca="1">IFERROR(__xludf.DUMMYFUNCTION("""COMPUTED_VALUE"""),70.09)</f>
        <v>70.09</v>
      </c>
      <c r="E1254" s="1">
        <f ca="1">IFERROR(__xludf.DUMMYFUNCTION("""COMPUTED_VALUE"""),71)</f>
        <v>71</v>
      </c>
      <c r="F1254" s="1">
        <f ca="1">IFERROR(__xludf.DUMMYFUNCTION("""COMPUTED_VALUE"""),24677883)</f>
        <v>24677883</v>
      </c>
    </row>
    <row r="1255" spans="1:6" x14ac:dyDescent="0.35">
      <c r="A1255" s="2">
        <f ca="1">IFERROR(__xludf.DUMMYFUNCTION("""COMPUTED_VALUE"""),43823.5416666666)</f>
        <v>43823.541666666599</v>
      </c>
      <c r="B1255" s="1">
        <f ca="1">IFERROR(__xludf.DUMMYFUNCTION("""COMPUTED_VALUE"""),71.17)</f>
        <v>71.17</v>
      </c>
      <c r="C1255" s="1">
        <f ca="1">IFERROR(__xludf.DUMMYFUNCTION("""COMPUTED_VALUE"""),71.22)</f>
        <v>71.22</v>
      </c>
      <c r="D1255" s="1">
        <f ca="1">IFERROR(__xludf.DUMMYFUNCTION("""COMPUTED_VALUE"""),70.73)</f>
        <v>70.73</v>
      </c>
      <c r="E1255" s="1">
        <f ca="1">IFERROR(__xludf.DUMMYFUNCTION("""COMPUTED_VALUE"""),71.07)</f>
        <v>71.069999999999993</v>
      </c>
      <c r="F1255" s="1">
        <f ca="1">IFERROR(__xludf.DUMMYFUNCTION("""COMPUTED_VALUE"""),12119714)</f>
        <v>12119714</v>
      </c>
    </row>
    <row r="1256" spans="1:6" x14ac:dyDescent="0.35">
      <c r="A1256" s="2">
        <f ca="1">IFERROR(__xludf.DUMMYFUNCTION("""COMPUTED_VALUE"""),43825.6666666666)</f>
        <v>43825.666666666599</v>
      </c>
      <c r="B1256" s="1">
        <f ca="1">IFERROR(__xludf.DUMMYFUNCTION("""COMPUTED_VALUE"""),71.21)</f>
        <v>71.209999999999994</v>
      </c>
      <c r="C1256" s="1">
        <f ca="1">IFERROR(__xludf.DUMMYFUNCTION("""COMPUTED_VALUE"""),72.5)</f>
        <v>72.5</v>
      </c>
      <c r="D1256" s="1">
        <f ca="1">IFERROR(__xludf.DUMMYFUNCTION("""COMPUTED_VALUE"""),71.18)</f>
        <v>71.180000000000007</v>
      </c>
      <c r="E1256" s="1">
        <f ca="1">IFERROR(__xludf.DUMMYFUNCTION("""COMPUTED_VALUE"""),72.48)</f>
        <v>72.48</v>
      </c>
      <c r="F1256" s="1">
        <f ca="1">IFERROR(__xludf.DUMMYFUNCTION("""COMPUTED_VALUE"""),23334004)</f>
        <v>23334004</v>
      </c>
    </row>
    <row r="1257" spans="1:6" x14ac:dyDescent="0.35">
      <c r="A1257" s="2">
        <f ca="1">IFERROR(__xludf.DUMMYFUNCTION("""COMPUTED_VALUE"""),43826.6666666666)</f>
        <v>43826.666666666599</v>
      </c>
      <c r="B1257" s="1">
        <f ca="1">IFERROR(__xludf.DUMMYFUNCTION("""COMPUTED_VALUE"""),72.78)</f>
        <v>72.78</v>
      </c>
      <c r="C1257" s="1">
        <f ca="1">IFERROR(__xludf.DUMMYFUNCTION("""COMPUTED_VALUE"""),73.49)</f>
        <v>73.489999999999995</v>
      </c>
      <c r="D1257" s="1">
        <f ca="1">IFERROR(__xludf.DUMMYFUNCTION("""COMPUTED_VALUE"""),72.03)</f>
        <v>72.03</v>
      </c>
      <c r="E1257" s="1">
        <f ca="1">IFERROR(__xludf.DUMMYFUNCTION("""COMPUTED_VALUE"""),72.45)</f>
        <v>72.45</v>
      </c>
      <c r="F1257" s="1">
        <f ca="1">IFERROR(__xludf.DUMMYFUNCTION("""COMPUTED_VALUE"""),36592936)</f>
        <v>36592936</v>
      </c>
    </row>
    <row r="1258" spans="1:6" x14ac:dyDescent="0.35">
      <c r="A1258" s="2">
        <f ca="1">IFERROR(__xludf.DUMMYFUNCTION("""COMPUTED_VALUE"""),43829.6666666666)</f>
        <v>43829.666666666599</v>
      </c>
      <c r="B1258" s="1">
        <f ca="1">IFERROR(__xludf.DUMMYFUNCTION("""COMPUTED_VALUE"""),72.36)</f>
        <v>72.36</v>
      </c>
      <c r="C1258" s="1">
        <f ca="1">IFERROR(__xludf.DUMMYFUNCTION("""COMPUTED_VALUE"""),73.17)</f>
        <v>73.17</v>
      </c>
      <c r="D1258" s="1">
        <f ca="1">IFERROR(__xludf.DUMMYFUNCTION("""COMPUTED_VALUE"""),71.31)</f>
        <v>71.31</v>
      </c>
      <c r="E1258" s="1">
        <f ca="1">IFERROR(__xludf.DUMMYFUNCTION("""COMPUTED_VALUE"""),72.88)</f>
        <v>72.88</v>
      </c>
      <c r="F1258" s="1">
        <f ca="1">IFERROR(__xludf.DUMMYFUNCTION("""COMPUTED_VALUE"""),36059614)</f>
        <v>36059614</v>
      </c>
    </row>
    <row r="1259" spans="1:6" x14ac:dyDescent="0.35">
      <c r="A1259" s="2">
        <f ca="1">IFERROR(__xludf.DUMMYFUNCTION("""COMPUTED_VALUE"""),43830.6666666666)</f>
        <v>43830.666666666599</v>
      </c>
      <c r="B1259" s="1">
        <f ca="1">IFERROR(__xludf.DUMMYFUNCTION("""COMPUTED_VALUE"""),72.48)</f>
        <v>72.48</v>
      </c>
      <c r="C1259" s="1">
        <f ca="1">IFERROR(__xludf.DUMMYFUNCTION("""COMPUTED_VALUE"""),73.42)</f>
        <v>73.42</v>
      </c>
      <c r="D1259" s="1">
        <f ca="1">IFERROR(__xludf.DUMMYFUNCTION("""COMPUTED_VALUE"""),72.38)</f>
        <v>72.38</v>
      </c>
      <c r="E1259" s="1">
        <f ca="1">IFERROR(__xludf.DUMMYFUNCTION("""COMPUTED_VALUE"""),73.41)</f>
        <v>73.41</v>
      </c>
      <c r="F1259" s="1">
        <f ca="1">IFERROR(__xludf.DUMMYFUNCTION("""COMPUTED_VALUE"""),25247625)</f>
        <v>25247625</v>
      </c>
    </row>
    <row r="1260" spans="1:6" x14ac:dyDescent="0.35">
      <c r="A1260" s="2">
        <f ca="1">IFERROR(__xludf.DUMMYFUNCTION("""COMPUTED_VALUE"""),43832.6666666666)</f>
        <v>43832.666666666599</v>
      </c>
      <c r="B1260" s="1">
        <f ca="1">IFERROR(__xludf.DUMMYFUNCTION("""COMPUTED_VALUE"""),74.06)</f>
        <v>74.06</v>
      </c>
      <c r="C1260" s="1">
        <f ca="1">IFERROR(__xludf.DUMMYFUNCTION("""COMPUTED_VALUE"""),75.15)</f>
        <v>75.150000000000006</v>
      </c>
      <c r="D1260" s="1">
        <f ca="1">IFERROR(__xludf.DUMMYFUNCTION("""COMPUTED_VALUE"""),73.8)</f>
        <v>73.8</v>
      </c>
      <c r="E1260" s="1">
        <f ca="1">IFERROR(__xludf.DUMMYFUNCTION("""COMPUTED_VALUE"""),75.09)</f>
        <v>75.09</v>
      </c>
      <c r="F1260" s="1">
        <f ca="1">IFERROR(__xludf.DUMMYFUNCTION("""COMPUTED_VALUE"""),33911864)</f>
        <v>33911864</v>
      </c>
    </row>
    <row r="1261" spans="1:6" x14ac:dyDescent="0.35">
      <c r="A1261" s="2">
        <f ca="1">IFERROR(__xludf.DUMMYFUNCTION("""COMPUTED_VALUE"""),43833.6666666666)</f>
        <v>43833.666666666599</v>
      </c>
      <c r="B1261" s="1">
        <f ca="1">IFERROR(__xludf.DUMMYFUNCTION("""COMPUTED_VALUE"""),74.29)</f>
        <v>74.290000000000006</v>
      </c>
      <c r="C1261" s="1">
        <f ca="1">IFERROR(__xludf.DUMMYFUNCTION("""COMPUTED_VALUE"""),75.15)</f>
        <v>75.150000000000006</v>
      </c>
      <c r="D1261" s="1">
        <f ca="1">IFERROR(__xludf.DUMMYFUNCTION("""COMPUTED_VALUE"""),74.13)</f>
        <v>74.13</v>
      </c>
      <c r="E1261" s="1">
        <f ca="1">IFERROR(__xludf.DUMMYFUNCTION("""COMPUTED_VALUE"""),74.36)</f>
        <v>74.36</v>
      </c>
      <c r="F1261" s="1">
        <f ca="1">IFERROR(__xludf.DUMMYFUNCTION("""COMPUTED_VALUE"""),36633878)</f>
        <v>36633878</v>
      </c>
    </row>
    <row r="1262" spans="1:6" x14ac:dyDescent="0.35">
      <c r="A1262" s="2">
        <f ca="1">IFERROR(__xludf.DUMMYFUNCTION("""COMPUTED_VALUE"""),43836.6666666666)</f>
        <v>43836.666666666599</v>
      </c>
      <c r="B1262" s="1">
        <f ca="1">IFERROR(__xludf.DUMMYFUNCTION("""COMPUTED_VALUE"""),73.45)</f>
        <v>73.45</v>
      </c>
      <c r="C1262" s="1">
        <f ca="1">IFERROR(__xludf.DUMMYFUNCTION("""COMPUTED_VALUE"""),74.99)</f>
        <v>74.989999999999995</v>
      </c>
      <c r="D1262" s="1">
        <f ca="1">IFERROR(__xludf.DUMMYFUNCTION("""COMPUTED_VALUE"""),73.19)</f>
        <v>73.19</v>
      </c>
      <c r="E1262" s="1">
        <f ca="1">IFERROR(__xludf.DUMMYFUNCTION("""COMPUTED_VALUE"""),74.95)</f>
        <v>74.95</v>
      </c>
      <c r="F1262" s="1">
        <f ca="1">IFERROR(__xludf.DUMMYFUNCTION("""COMPUTED_VALUE"""),29644644)</f>
        <v>29644644</v>
      </c>
    </row>
    <row r="1263" spans="1:6" x14ac:dyDescent="0.35">
      <c r="A1263" s="2">
        <f ca="1">IFERROR(__xludf.DUMMYFUNCTION("""COMPUTED_VALUE"""),43837.6666666666)</f>
        <v>43837.666666666599</v>
      </c>
      <c r="B1263" s="1">
        <f ca="1">IFERROR(__xludf.DUMMYFUNCTION("""COMPUTED_VALUE"""),74.96)</f>
        <v>74.959999999999994</v>
      </c>
      <c r="C1263" s="1">
        <f ca="1">IFERROR(__xludf.DUMMYFUNCTION("""COMPUTED_VALUE"""),75.22)</f>
        <v>75.22</v>
      </c>
      <c r="D1263" s="1">
        <f ca="1">IFERROR(__xludf.DUMMYFUNCTION("""COMPUTED_VALUE"""),74.37)</f>
        <v>74.37</v>
      </c>
      <c r="E1263" s="1">
        <f ca="1">IFERROR(__xludf.DUMMYFUNCTION("""COMPUTED_VALUE"""),74.6)</f>
        <v>74.599999999999994</v>
      </c>
      <c r="F1263" s="1">
        <f ca="1">IFERROR(__xludf.DUMMYFUNCTION("""COMPUTED_VALUE"""),27877655)</f>
        <v>27877655</v>
      </c>
    </row>
    <row r="1264" spans="1:6" x14ac:dyDescent="0.35">
      <c r="A1264" s="2">
        <f ca="1">IFERROR(__xludf.DUMMYFUNCTION("""COMPUTED_VALUE"""),43838.6666666666)</f>
        <v>43838.666666666599</v>
      </c>
      <c r="B1264" s="1">
        <f ca="1">IFERROR(__xludf.DUMMYFUNCTION("""COMPUTED_VALUE"""),74.29)</f>
        <v>74.290000000000006</v>
      </c>
      <c r="C1264" s="1">
        <f ca="1">IFERROR(__xludf.DUMMYFUNCTION("""COMPUTED_VALUE"""),76.11)</f>
        <v>76.11</v>
      </c>
      <c r="D1264" s="1">
        <f ca="1">IFERROR(__xludf.DUMMYFUNCTION("""COMPUTED_VALUE"""),74.29)</f>
        <v>74.290000000000006</v>
      </c>
      <c r="E1264" s="1">
        <f ca="1">IFERROR(__xludf.DUMMYFUNCTION("""COMPUTED_VALUE"""),75.8)</f>
        <v>75.8</v>
      </c>
      <c r="F1264" s="1">
        <f ca="1">IFERROR(__xludf.DUMMYFUNCTION("""COMPUTED_VALUE"""),33090946)</f>
        <v>33090946</v>
      </c>
    </row>
    <row r="1265" spans="1:6" x14ac:dyDescent="0.35">
      <c r="A1265" s="2">
        <f ca="1">IFERROR(__xludf.DUMMYFUNCTION("""COMPUTED_VALUE"""),43839.6666666666)</f>
        <v>43839.666666666599</v>
      </c>
      <c r="B1265" s="1">
        <f ca="1">IFERROR(__xludf.DUMMYFUNCTION("""COMPUTED_VALUE"""),76.81)</f>
        <v>76.81</v>
      </c>
      <c r="C1265" s="1">
        <f ca="1">IFERROR(__xludf.DUMMYFUNCTION("""COMPUTED_VALUE"""),77.61)</f>
        <v>77.61</v>
      </c>
      <c r="D1265" s="1">
        <f ca="1">IFERROR(__xludf.DUMMYFUNCTION("""COMPUTED_VALUE"""),76.55)</f>
        <v>76.55</v>
      </c>
      <c r="E1265" s="1">
        <f ca="1">IFERROR(__xludf.DUMMYFUNCTION("""COMPUTED_VALUE"""),77.41)</f>
        <v>77.41</v>
      </c>
      <c r="F1265" s="1">
        <f ca="1">IFERROR(__xludf.DUMMYFUNCTION("""COMPUTED_VALUE"""),42621542)</f>
        <v>42621542</v>
      </c>
    </row>
    <row r="1266" spans="1:6" x14ac:dyDescent="0.35">
      <c r="A1266" s="2">
        <f ca="1">IFERROR(__xludf.DUMMYFUNCTION("""COMPUTED_VALUE"""),43840.6666666666)</f>
        <v>43840.666666666599</v>
      </c>
      <c r="B1266" s="1">
        <f ca="1">IFERROR(__xludf.DUMMYFUNCTION("""COMPUTED_VALUE"""),77.65)</f>
        <v>77.650000000000006</v>
      </c>
      <c r="C1266" s="1">
        <f ca="1">IFERROR(__xludf.DUMMYFUNCTION("""COMPUTED_VALUE"""),78.17)</f>
        <v>78.17</v>
      </c>
      <c r="D1266" s="1">
        <f ca="1">IFERROR(__xludf.DUMMYFUNCTION("""COMPUTED_VALUE"""),77.06)</f>
        <v>77.06</v>
      </c>
      <c r="E1266" s="1">
        <f ca="1">IFERROR(__xludf.DUMMYFUNCTION("""COMPUTED_VALUE"""),77.58)</f>
        <v>77.58</v>
      </c>
      <c r="F1266" s="1">
        <f ca="1">IFERROR(__xludf.DUMMYFUNCTION("""COMPUTED_VALUE"""),35217272)</f>
        <v>35217272</v>
      </c>
    </row>
    <row r="1267" spans="1:6" x14ac:dyDescent="0.35">
      <c r="A1267" s="2">
        <f ca="1">IFERROR(__xludf.DUMMYFUNCTION("""COMPUTED_VALUE"""),43843.6666666666)</f>
        <v>43843.666666666599</v>
      </c>
      <c r="B1267" s="1">
        <f ca="1">IFERROR(__xludf.DUMMYFUNCTION("""COMPUTED_VALUE"""),77.91)</f>
        <v>77.91</v>
      </c>
      <c r="C1267" s="1">
        <f ca="1">IFERROR(__xludf.DUMMYFUNCTION("""COMPUTED_VALUE"""),79.27)</f>
        <v>79.27</v>
      </c>
      <c r="D1267" s="1">
        <f ca="1">IFERROR(__xludf.DUMMYFUNCTION("""COMPUTED_VALUE"""),77.79)</f>
        <v>77.790000000000006</v>
      </c>
      <c r="E1267" s="1">
        <f ca="1">IFERROR(__xludf.DUMMYFUNCTION("""COMPUTED_VALUE"""),79.24)</f>
        <v>79.239999999999995</v>
      </c>
      <c r="F1267" s="1">
        <f ca="1">IFERROR(__xludf.DUMMYFUNCTION("""COMPUTED_VALUE"""),30521722)</f>
        <v>30521722</v>
      </c>
    </row>
    <row r="1268" spans="1:6" x14ac:dyDescent="0.35">
      <c r="A1268" s="2">
        <f ca="1">IFERROR(__xludf.DUMMYFUNCTION("""COMPUTED_VALUE"""),43844.6666666666)</f>
        <v>43844.666666666599</v>
      </c>
      <c r="B1268" s="1">
        <f ca="1">IFERROR(__xludf.DUMMYFUNCTION("""COMPUTED_VALUE"""),79.18)</f>
        <v>79.180000000000007</v>
      </c>
      <c r="C1268" s="1">
        <f ca="1">IFERROR(__xludf.DUMMYFUNCTION("""COMPUTED_VALUE"""),79.39)</f>
        <v>79.39</v>
      </c>
      <c r="D1268" s="1">
        <f ca="1">IFERROR(__xludf.DUMMYFUNCTION("""COMPUTED_VALUE"""),78.04)</f>
        <v>78.040000000000006</v>
      </c>
      <c r="E1268" s="1">
        <f ca="1">IFERROR(__xludf.DUMMYFUNCTION("""COMPUTED_VALUE"""),78.17)</f>
        <v>78.17</v>
      </c>
      <c r="F1268" s="1">
        <f ca="1">IFERROR(__xludf.DUMMYFUNCTION("""COMPUTED_VALUE"""),40653457)</f>
        <v>40653457</v>
      </c>
    </row>
    <row r="1269" spans="1:6" x14ac:dyDescent="0.35">
      <c r="A1269" s="2">
        <f ca="1">IFERROR(__xludf.DUMMYFUNCTION("""COMPUTED_VALUE"""),43845.6666666666)</f>
        <v>43845.666666666599</v>
      </c>
      <c r="B1269" s="1">
        <f ca="1">IFERROR(__xludf.DUMMYFUNCTION("""COMPUTED_VALUE"""),77.96)</f>
        <v>77.959999999999994</v>
      </c>
      <c r="C1269" s="1">
        <f ca="1">IFERROR(__xludf.DUMMYFUNCTION("""COMPUTED_VALUE"""),78.88)</f>
        <v>78.88</v>
      </c>
      <c r="D1269" s="1">
        <f ca="1">IFERROR(__xludf.DUMMYFUNCTION("""COMPUTED_VALUE"""),77.39)</f>
        <v>77.39</v>
      </c>
      <c r="E1269" s="1">
        <f ca="1">IFERROR(__xludf.DUMMYFUNCTION("""COMPUTED_VALUE"""),77.83)</f>
        <v>77.83</v>
      </c>
      <c r="F1269" s="1">
        <f ca="1">IFERROR(__xludf.DUMMYFUNCTION("""COMPUTED_VALUE"""),30480882)</f>
        <v>30480882</v>
      </c>
    </row>
    <row r="1270" spans="1:6" x14ac:dyDescent="0.35">
      <c r="A1270" s="2">
        <f ca="1">IFERROR(__xludf.DUMMYFUNCTION("""COMPUTED_VALUE"""),43846.6666666666)</f>
        <v>43846.666666666599</v>
      </c>
      <c r="B1270" s="1">
        <f ca="1">IFERROR(__xludf.DUMMYFUNCTION("""COMPUTED_VALUE"""),78.4)</f>
        <v>78.400000000000006</v>
      </c>
      <c r="C1270" s="1">
        <f ca="1">IFERROR(__xludf.DUMMYFUNCTION("""COMPUTED_VALUE"""),78.93)</f>
        <v>78.930000000000007</v>
      </c>
      <c r="D1270" s="1">
        <f ca="1">IFERROR(__xludf.DUMMYFUNCTION("""COMPUTED_VALUE"""),78.02)</f>
        <v>78.02</v>
      </c>
      <c r="E1270" s="1">
        <f ca="1">IFERROR(__xludf.DUMMYFUNCTION("""COMPUTED_VALUE"""),78.81)</f>
        <v>78.81</v>
      </c>
      <c r="F1270" s="1">
        <f ca="1">IFERROR(__xludf.DUMMYFUNCTION("""COMPUTED_VALUE"""),27207254)</f>
        <v>27207254</v>
      </c>
    </row>
    <row r="1271" spans="1:6" x14ac:dyDescent="0.35">
      <c r="A1271" s="2">
        <f ca="1">IFERROR(__xludf.DUMMYFUNCTION("""COMPUTED_VALUE"""),43847.6666666666)</f>
        <v>43847.666666666599</v>
      </c>
      <c r="B1271" s="1">
        <f ca="1">IFERROR(__xludf.DUMMYFUNCTION("""COMPUTED_VALUE"""),79.07)</f>
        <v>79.069999999999993</v>
      </c>
      <c r="C1271" s="1">
        <f ca="1">IFERROR(__xludf.DUMMYFUNCTION("""COMPUTED_VALUE"""),79.69)</f>
        <v>79.69</v>
      </c>
      <c r="D1271" s="1">
        <f ca="1">IFERROR(__xludf.DUMMYFUNCTION("""COMPUTED_VALUE"""),78.75)</f>
        <v>78.75</v>
      </c>
      <c r="E1271" s="1">
        <f ca="1">IFERROR(__xludf.DUMMYFUNCTION("""COMPUTED_VALUE"""),79.68)</f>
        <v>79.680000000000007</v>
      </c>
      <c r="F1271" s="1">
        <f ca="1">IFERROR(__xludf.DUMMYFUNCTION("""COMPUTED_VALUE"""),34454117)</f>
        <v>34454117</v>
      </c>
    </row>
    <row r="1272" spans="1:6" x14ac:dyDescent="0.35">
      <c r="A1272" s="2">
        <f ca="1">IFERROR(__xludf.DUMMYFUNCTION("""COMPUTED_VALUE"""),43851.6666666666)</f>
        <v>43851.666666666599</v>
      </c>
      <c r="B1272" s="1">
        <f ca="1">IFERROR(__xludf.DUMMYFUNCTION("""COMPUTED_VALUE"""),79.3)</f>
        <v>79.3</v>
      </c>
      <c r="C1272" s="1">
        <f ca="1">IFERROR(__xludf.DUMMYFUNCTION("""COMPUTED_VALUE"""),79.76)</f>
        <v>79.760000000000005</v>
      </c>
      <c r="D1272" s="1">
        <f ca="1">IFERROR(__xludf.DUMMYFUNCTION("""COMPUTED_VALUE"""),79)</f>
        <v>79</v>
      </c>
      <c r="E1272" s="1">
        <f ca="1">IFERROR(__xludf.DUMMYFUNCTION("""COMPUTED_VALUE"""),79.14)</f>
        <v>79.14</v>
      </c>
      <c r="F1272" s="1">
        <f ca="1">IFERROR(__xludf.DUMMYFUNCTION("""COMPUTED_VALUE"""),27710814)</f>
        <v>27710814</v>
      </c>
    </row>
    <row r="1273" spans="1:6" x14ac:dyDescent="0.35">
      <c r="A1273" s="2">
        <f ca="1">IFERROR(__xludf.DUMMYFUNCTION("""COMPUTED_VALUE"""),43852.6666666666)</f>
        <v>43852.666666666599</v>
      </c>
      <c r="B1273" s="1">
        <f ca="1">IFERROR(__xludf.DUMMYFUNCTION("""COMPUTED_VALUE"""),79.65)</f>
        <v>79.650000000000006</v>
      </c>
      <c r="C1273" s="1">
        <f ca="1">IFERROR(__xludf.DUMMYFUNCTION("""COMPUTED_VALUE"""),80)</f>
        <v>80</v>
      </c>
      <c r="D1273" s="1">
        <f ca="1">IFERROR(__xludf.DUMMYFUNCTION("""COMPUTED_VALUE"""),79.33)</f>
        <v>79.33</v>
      </c>
      <c r="E1273" s="1">
        <f ca="1">IFERROR(__xludf.DUMMYFUNCTION("""COMPUTED_VALUE"""),79.43)</f>
        <v>79.430000000000007</v>
      </c>
      <c r="F1273" s="1">
        <f ca="1">IFERROR(__xludf.DUMMYFUNCTION("""COMPUTED_VALUE"""),25458115)</f>
        <v>25458115</v>
      </c>
    </row>
    <row r="1274" spans="1:6" x14ac:dyDescent="0.35">
      <c r="A1274" s="2">
        <f ca="1">IFERROR(__xludf.DUMMYFUNCTION("""COMPUTED_VALUE"""),43853.6666666666)</f>
        <v>43853.666666666599</v>
      </c>
      <c r="B1274" s="1">
        <f ca="1">IFERROR(__xludf.DUMMYFUNCTION("""COMPUTED_VALUE"""),79.48)</f>
        <v>79.48</v>
      </c>
      <c r="C1274" s="1">
        <f ca="1">IFERROR(__xludf.DUMMYFUNCTION("""COMPUTED_VALUE"""),79.89)</f>
        <v>79.89</v>
      </c>
      <c r="D1274" s="1">
        <f ca="1">IFERROR(__xludf.DUMMYFUNCTION("""COMPUTED_VALUE"""),78.91)</f>
        <v>78.91</v>
      </c>
      <c r="E1274" s="1">
        <f ca="1">IFERROR(__xludf.DUMMYFUNCTION("""COMPUTED_VALUE"""),79.81)</f>
        <v>79.81</v>
      </c>
      <c r="F1274" s="1">
        <f ca="1">IFERROR(__xludf.DUMMYFUNCTION("""COMPUTED_VALUE"""),26117993)</f>
        <v>26117993</v>
      </c>
    </row>
    <row r="1275" spans="1:6" x14ac:dyDescent="0.35">
      <c r="A1275" s="2">
        <f ca="1">IFERROR(__xludf.DUMMYFUNCTION("""COMPUTED_VALUE"""),43854.6666666666)</f>
        <v>43854.666666666599</v>
      </c>
      <c r="B1275" s="1">
        <f ca="1">IFERROR(__xludf.DUMMYFUNCTION("""COMPUTED_VALUE"""),80.06)</f>
        <v>80.06</v>
      </c>
      <c r="C1275" s="1">
        <f ca="1">IFERROR(__xludf.DUMMYFUNCTION("""COMPUTED_VALUE"""),80.83)</f>
        <v>80.83</v>
      </c>
      <c r="D1275" s="1">
        <f ca="1">IFERROR(__xludf.DUMMYFUNCTION("""COMPUTED_VALUE"""),79.38)</f>
        <v>79.38</v>
      </c>
      <c r="E1275" s="1">
        <f ca="1">IFERROR(__xludf.DUMMYFUNCTION("""COMPUTED_VALUE"""),79.58)</f>
        <v>79.58</v>
      </c>
      <c r="F1275" s="1">
        <f ca="1">IFERROR(__xludf.DUMMYFUNCTION("""COMPUTED_VALUE"""),36634380)</f>
        <v>36634380</v>
      </c>
    </row>
    <row r="1276" spans="1:6" x14ac:dyDescent="0.35">
      <c r="A1276" s="2">
        <f ca="1">IFERROR(__xludf.DUMMYFUNCTION("""COMPUTED_VALUE"""),43857.6666666666)</f>
        <v>43857.666666666599</v>
      </c>
      <c r="B1276" s="1">
        <f ca="1">IFERROR(__xludf.DUMMYFUNCTION("""COMPUTED_VALUE"""),77.52)</f>
        <v>77.52</v>
      </c>
      <c r="C1276" s="1">
        <f ca="1">IFERROR(__xludf.DUMMYFUNCTION("""COMPUTED_VALUE"""),77.94)</f>
        <v>77.94</v>
      </c>
      <c r="D1276" s="1">
        <f ca="1">IFERROR(__xludf.DUMMYFUNCTION("""COMPUTED_VALUE"""),76.22)</f>
        <v>76.22</v>
      </c>
      <c r="E1276" s="1">
        <f ca="1">IFERROR(__xludf.DUMMYFUNCTION("""COMPUTED_VALUE"""),77.24)</f>
        <v>77.239999999999995</v>
      </c>
      <c r="F1276" s="1">
        <f ca="1">IFERROR(__xludf.DUMMYFUNCTION("""COMPUTED_VALUE"""),40485005)</f>
        <v>40485005</v>
      </c>
    </row>
    <row r="1277" spans="1:6" x14ac:dyDescent="0.35">
      <c r="A1277" s="2">
        <f ca="1">IFERROR(__xludf.DUMMYFUNCTION("""COMPUTED_VALUE"""),43858.6666666666)</f>
        <v>43858.666666666599</v>
      </c>
      <c r="B1277" s="1">
        <f ca="1">IFERROR(__xludf.DUMMYFUNCTION("""COMPUTED_VALUE"""),78.15)</f>
        <v>78.150000000000006</v>
      </c>
      <c r="C1277" s="1">
        <f ca="1">IFERROR(__xludf.DUMMYFUNCTION("""COMPUTED_VALUE"""),79.6)</f>
        <v>79.599999999999994</v>
      </c>
      <c r="D1277" s="1">
        <f ca="1">IFERROR(__xludf.DUMMYFUNCTION("""COMPUTED_VALUE"""),78.05)</f>
        <v>78.05</v>
      </c>
      <c r="E1277" s="1">
        <f ca="1">IFERROR(__xludf.DUMMYFUNCTION("""COMPUTED_VALUE"""),79.42)</f>
        <v>79.42</v>
      </c>
      <c r="F1277" s="1">
        <f ca="1">IFERROR(__xludf.DUMMYFUNCTION("""COMPUTED_VALUE"""),40558486)</f>
        <v>40558486</v>
      </c>
    </row>
    <row r="1278" spans="1:6" x14ac:dyDescent="0.35">
      <c r="A1278" s="2">
        <f ca="1">IFERROR(__xludf.DUMMYFUNCTION("""COMPUTED_VALUE"""),43859.6666666666)</f>
        <v>43859.666666666599</v>
      </c>
      <c r="B1278" s="1">
        <f ca="1">IFERROR(__xludf.DUMMYFUNCTION("""COMPUTED_VALUE"""),81.11)</f>
        <v>81.11</v>
      </c>
      <c r="C1278" s="1">
        <f ca="1">IFERROR(__xludf.DUMMYFUNCTION("""COMPUTED_VALUE"""),81.96)</f>
        <v>81.96</v>
      </c>
      <c r="D1278" s="1">
        <f ca="1">IFERROR(__xludf.DUMMYFUNCTION("""COMPUTED_VALUE"""),80.35)</f>
        <v>80.349999999999994</v>
      </c>
      <c r="E1278" s="1">
        <f ca="1">IFERROR(__xludf.DUMMYFUNCTION("""COMPUTED_VALUE"""),81.08)</f>
        <v>81.08</v>
      </c>
      <c r="F1278" s="1">
        <f ca="1">IFERROR(__xludf.DUMMYFUNCTION("""COMPUTED_VALUE"""),54149928)</f>
        <v>54149928</v>
      </c>
    </row>
    <row r="1279" spans="1:6" x14ac:dyDescent="0.35">
      <c r="A1279" s="2">
        <f ca="1">IFERROR(__xludf.DUMMYFUNCTION("""COMPUTED_VALUE"""),43860.6666666666)</f>
        <v>43860.666666666599</v>
      </c>
      <c r="B1279" s="1">
        <f ca="1">IFERROR(__xludf.DUMMYFUNCTION("""COMPUTED_VALUE"""),80.14)</f>
        <v>80.14</v>
      </c>
      <c r="C1279" s="1">
        <f ca="1">IFERROR(__xludf.DUMMYFUNCTION("""COMPUTED_VALUE"""),81.02)</f>
        <v>81.02</v>
      </c>
      <c r="D1279" s="1">
        <f ca="1">IFERROR(__xludf.DUMMYFUNCTION("""COMPUTED_VALUE"""),79.69)</f>
        <v>79.69</v>
      </c>
      <c r="E1279" s="1">
        <f ca="1">IFERROR(__xludf.DUMMYFUNCTION("""COMPUTED_VALUE"""),80.97)</f>
        <v>80.97</v>
      </c>
      <c r="F1279" s="1">
        <f ca="1">IFERROR(__xludf.DUMMYFUNCTION("""COMPUTED_VALUE"""),31685808)</f>
        <v>31685808</v>
      </c>
    </row>
    <row r="1280" spans="1:6" x14ac:dyDescent="0.35">
      <c r="A1280" s="2">
        <f ca="1">IFERROR(__xludf.DUMMYFUNCTION("""COMPUTED_VALUE"""),43861.6666666666)</f>
        <v>43861.666666666599</v>
      </c>
      <c r="B1280" s="1">
        <f ca="1">IFERROR(__xludf.DUMMYFUNCTION("""COMPUTED_VALUE"""),80.23)</f>
        <v>80.23</v>
      </c>
      <c r="C1280" s="1">
        <f ca="1">IFERROR(__xludf.DUMMYFUNCTION("""COMPUTED_VALUE"""),80.67)</f>
        <v>80.67</v>
      </c>
      <c r="D1280" s="1">
        <f ca="1">IFERROR(__xludf.DUMMYFUNCTION("""COMPUTED_VALUE"""),77.07)</f>
        <v>77.069999999999993</v>
      </c>
      <c r="E1280" s="1">
        <f ca="1">IFERROR(__xludf.DUMMYFUNCTION("""COMPUTED_VALUE"""),77.38)</f>
        <v>77.38</v>
      </c>
      <c r="F1280" s="1">
        <f ca="1">IFERROR(__xludf.DUMMYFUNCTION("""COMPUTED_VALUE"""),49897096)</f>
        <v>49897096</v>
      </c>
    </row>
    <row r="1281" spans="1:6" x14ac:dyDescent="0.35">
      <c r="A1281" s="2">
        <f ca="1">IFERROR(__xludf.DUMMYFUNCTION("""COMPUTED_VALUE"""),43864.6666666666)</f>
        <v>43864.666666666599</v>
      </c>
      <c r="B1281" s="1">
        <f ca="1">IFERROR(__xludf.DUMMYFUNCTION("""COMPUTED_VALUE"""),76.08)</f>
        <v>76.08</v>
      </c>
      <c r="C1281" s="1">
        <f ca="1">IFERROR(__xludf.DUMMYFUNCTION("""COMPUTED_VALUE"""),78.37)</f>
        <v>78.37</v>
      </c>
      <c r="D1281" s="1">
        <f ca="1">IFERROR(__xludf.DUMMYFUNCTION("""COMPUTED_VALUE"""),75.56)</f>
        <v>75.56</v>
      </c>
      <c r="E1281" s="1">
        <f ca="1">IFERROR(__xludf.DUMMYFUNCTION("""COMPUTED_VALUE"""),77.17)</f>
        <v>77.17</v>
      </c>
      <c r="F1281" s="1">
        <f ca="1">IFERROR(__xludf.DUMMYFUNCTION("""COMPUTED_VALUE"""),43496401)</f>
        <v>43496401</v>
      </c>
    </row>
    <row r="1282" spans="1:6" x14ac:dyDescent="0.35">
      <c r="A1282" s="2">
        <f ca="1">IFERROR(__xludf.DUMMYFUNCTION("""COMPUTED_VALUE"""),43865.6666666666)</f>
        <v>43865.666666666599</v>
      </c>
      <c r="B1282" s="1">
        <f ca="1">IFERROR(__xludf.DUMMYFUNCTION("""COMPUTED_VALUE"""),78.83)</f>
        <v>78.83</v>
      </c>
      <c r="C1282" s="1">
        <f ca="1">IFERROR(__xludf.DUMMYFUNCTION("""COMPUTED_VALUE"""),79.91)</f>
        <v>79.91</v>
      </c>
      <c r="D1282" s="1">
        <f ca="1">IFERROR(__xludf.DUMMYFUNCTION("""COMPUTED_VALUE"""),78.41)</f>
        <v>78.41</v>
      </c>
      <c r="E1282" s="1">
        <f ca="1">IFERROR(__xludf.DUMMYFUNCTION("""COMPUTED_VALUE"""),79.71)</f>
        <v>79.709999999999994</v>
      </c>
      <c r="F1282" s="1">
        <f ca="1">IFERROR(__xludf.DUMMYFUNCTION("""COMPUTED_VALUE"""),34154134)</f>
        <v>34154134</v>
      </c>
    </row>
    <row r="1283" spans="1:6" x14ac:dyDescent="0.35">
      <c r="A1283" s="2">
        <f ca="1">IFERROR(__xludf.DUMMYFUNCTION("""COMPUTED_VALUE"""),43866.6666666666)</f>
        <v>43866.666666666599</v>
      </c>
      <c r="B1283" s="1">
        <f ca="1">IFERROR(__xludf.DUMMYFUNCTION("""COMPUTED_VALUE"""),80.88)</f>
        <v>80.88</v>
      </c>
      <c r="C1283" s="1">
        <f ca="1">IFERROR(__xludf.DUMMYFUNCTION("""COMPUTED_VALUE"""),81.19)</f>
        <v>81.19</v>
      </c>
      <c r="D1283" s="1">
        <f ca="1">IFERROR(__xludf.DUMMYFUNCTION("""COMPUTED_VALUE"""),79.74)</f>
        <v>79.739999999999995</v>
      </c>
      <c r="E1283" s="1">
        <f ca="1">IFERROR(__xludf.DUMMYFUNCTION("""COMPUTED_VALUE"""),80.36)</f>
        <v>80.36</v>
      </c>
      <c r="F1283" s="1">
        <f ca="1">IFERROR(__xludf.DUMMYFUNCTION("""COMPUTED_VALUE"""),29706718)</f>
        <v>29706718</v>
      </c>
    </row>
    <row r="1284" spans="1:6" x14ac:dyDescent="0.35">
      <c r="A1284" s="2">
        <f ca="1">IFERROR(__xludf.DUMMYFUNCTION("""COMPUTED_VALUE"""),43867.6666666666)</f>
        <v>43867.666666666599</v>
      </c>
      <c r="B1284" s="1">
        <f ca="1">IFERROR(__xludf.DUMMYFUNCTION("""COMPUTED_VALUE"""),80.64)</f>
        <v>80.64</v>
      </c>
      <c r="C1284" s="1">
        <f ca="1">IFERROR(__xludf.DUMMYFUNCTION("""COMPUTED_VALUE"""),81.31)</f>
        <v>81.31</v>
      </c>
      <c r="D1284" s="1">
        <f ca="1">IFERROR(__xludf.DUMMYFUNCTION("""COMPUTED_VALUE"""),80.07)</f>
        <v>80.069999999999993</v>
      </c>
      <c r="E1284" s="1">
        <f ca="1">IFERROR(__xludf.DUMMYFUNCTION("""COMPUTED_VALUE"""),81.3)</f>
        <v>81.3</v>
      </c>
      <c r="F1284" s="1">
        <f ca="1">IFERROR(__xludf.DUMMYFUNCTION("""COMPUTED_VALUE"""),26356385)</f>
        <v>26356385</v>
      </c>
    </row>
    <row r="1285" spans="1:6" x14ac:dyDescent="0.35">
      <c r="A1285" s="2">
        <f ca="1">IFERROR(__xludf.DUMMYFUNCTION("""COMPUTED_VALUE"""),43868.6666666666)</f>
        <v>43868.666666666599</v>
      </c>
      <c r="B1285" s="1">
        <f ca="1">IFERROR(__xludf.DUMMYFUNCTION("""COMPUTED_VALUE"""),80.59)</f>
        <v>80.59</v>
      </c>
      <c r="C1285" s="1">
        <f ca="1">IFERROR(__xludf.DUMMYFUNCTION("""COMPUTED_VALUE"""),80.85)</f>
        <v>80.849999999999994</v>
      </c>
      <c r="D1285" s="1">
        <f ca="1">IFERROR(__xludf.DUMMYFUNCTION("""COMPUTED_VALUE"""),79.5)</f>
        <v>79.5</v>
      </c>
      <c r="E1285" s="1">
        <f ca="1">IFERROR(__xludf.DUMMYFUNCTION("""COMPUTED_VALUE"""),80.01)</f>
        <v>80.010000000000005</v>
      </c>
      <c r="F1285" s="1">
        <f ca="1">IFERROR(__xludf.DUMMYFUNCTION("""COMPUTED_VALUE"""),29421012)</f>
        <v>29421012</v>
      </c>
    </row>
    <row r="1286" spans="1:6" x14ac:dyDescent="0.35">
      <c r="A1286" s="2">
        <f ca="1">IFERROR(__xludf.DUMMYFUNCTION("""COMPUTED_VALUE"""),43871.6666666666)</f>
        <v>43871.666666666599</v>
      </c>
      <c r="B1286" s="1">
        <f ca="1">IFERROR(__xludf.DUMMYFUNCTION("""COMPUTED_VALUE"""),78.55)</f>
        <v>78.55</v>
      </c>
      <c r="C1286" s="1">
        <f ca="1">IFERROR(__xludf.DUMMYFUNCTION("""COMPUTED_VALUE"""),80.39)</f>
        <v>80.39</v>
      </c>
      <c r="D1286" s="1">
        <f ca="1">IFERROR(__xludf.DUMMYFUNCTION("""COMPUTED_VALUE"""),78.46)</f>
        <v>78.459999999999994</v>
      </c>
      <c r="E1286" s="1">
        <f ca="1">IFERROR(__xludf.DUMMYFUNCTION("""COMPUTED_VALUE"""),80.39)</f>
        <v>80.39</v>
      </c>
      <c r="F1286" s="1">
        <f ca="1">IFERROR(__xludf.DUMMYFUNCTION("""COMPUTED_VALUE"""),27337215)</f>
        <v>27337215</v>
      </c>
    </row>
    <row r="1287" spans="1:6" x14ac:dyDescent="0.35">
      <c r="A1287" s="2">
        <f ca="1">IFERROR(__xludf.DUMMYFUNCTION("""COMPUTED_VALUE"""),43872.6666666666)</f>
        <v>43872.666666666599</v>
      </c>
      <c r="B1287" s="1">
        <f ca="1">IFERROR(__xludf.DUMMYFUNCTION("""COMPUTED_VALUE"""),80.9)</f>
        <v>80.900000000000006</v>
      </c>
      <c r="C1287" s="1">
        <f ca="1">IFERROR(__xludf.DUMMYFUNCTION("""COMPUTED_VALUE"""),80.97)</f>
        <v>80.97</v>
      </c>
      <c r="D1287" s="1">
        <f ca="1">IFERROR(__xludf.DUMMYFUNCTION("""COMPUTED_VALUE"""),79.68)</f>
        <v>79.680000000000007</v>
      </c>
      <c r="E1287" s="1">
        <f ca="1">IFERROR(__xludf.DUMMYFUNCTION("""COMPUTED_VALUE"""),79.9)</f>
        <v>79.900000000000006</v>
      </c>
      <c r="F1287" s="1">
        <f ca="1">IFERROR(__xludf.DUMMYFUNCTION("""COMPUTED_VALUE"""),23580780)</f>
        <v>23580780</v>
      </c>
    </row>
    <row r="1288" spans="1:6" x14ac:dyDescent="0.35">
      <c r="A1288" s="2">
        <f ca="1">IFERROR(__xludf.DUMMYFUNCTION("""COMPUTED_VALUE"""),43873.6666666666)</f>
        <v>43873.666666666599</v>
      </c>
      <c r="B1288" s="1">
        <f ca="1">IFERROR(__xludf.DUMMYFUNCTION("""COMPUTED_VALUE"""),80.37)</f>
        <v>80.37</v>
      </c>
      <c r="C1288" s="1">
        <f ca="1">IFERROR(__xludf.DUMMYFUNCTION("""COMPUTED_VALUE"""),81.81)</f>
        <v>81.81</v>
      </c>
      <c r="D1288" s="1">
        <f ca="1">IFERROR(__xludf.DUMMYFUNCTION("""COMPUTED_VALUE"""),80.37)</f>
        <v>80.37</v>
      </c>
      <c r="E1288" s="1">
        <f ca="1">IFERROR(__xludf.DUMMYFUNCTION("""COMPUTED_VALUE"""),81.8)</f>
        <v>81.8</v>
      </c>
      <c r="F1288" s="1">
        <f ca="1">IFERROR(__xludf.DUMMYFUNCTION("""COMPUTED_VALUE"""),28432573)</f>
        <v>28432573</v>
      </c>
    </row>
    <row r="1289" spans="1:6" x14ac:dyDescent="0.35">
      <c r="A1289" s="2">
        <f ca="1">IFERROR(__xludf.DUMMYFUNCTION("""COMPUTED_VALUE"""),43874.6666666666)</f>
        <v>43874.666666666599</v>
      </c>
      <c r="B1289" s="1">
        <f ca="1">IFERROR(__xludf.DUMMYFUNCTION("""COMPUTED_VALUE"""),81.05)</f>
        <v>81.05</v>
      </c>
      <c r="C1289" s="1">
        <f ca="1">IFERROR(__xludf.DUMMYFUNCTION("""COMPUTED_VALUE"""),81.56)</f>
        <v>81.56</v>
      </c>
      <c r="D1289" s="1">
        <f ca="1">IFERROR(__xludf.DUMMYFUNCTION("""COMPUTED_VALUE"""),80.84)</f>
        <v>80.84</v>
      </c>
      <c r="E1289" s="1">
        <f ca="1">IFERROR(__xludf.DUMMYFUNCTION("""COMPUTED_VALUE"""),81.22)</f>
        <v>81.22</v>
      </c>
      <c r="F1289" s="1">
        <f ca="1">IFERROR(__xludf.DUMMYFUNCTION("""COMPUTED_VALUE"""),23686892)</f>
        <v>23686892</v>
      </c>
    </row>
    <row r="1290" spans="1:6" x14ac:dyDescent="0.35">
      <c r="A1290" s="2">
        <f ca="1">IFERROR(__xludf.DUMMYFUNCTION("""COMPUTED_VALUE"""),43875.6666666666)</f>
        <v>43875.666666666599</v>
      </c>
      <c r="B1290" s="1">
        <f ca="1">IFERROR(__xludf.DUMMYFUNCTION("""COMPUTED_VALUE"""),81.19)</f>
        <v>81.19</v>
      </c>
      <c r="C1290" s="1">
        <f ca="1">IFERROR(__xludf.DUMMYFUNCTION("""COMPUTED_VALUE"""),81.5)</f>
        <v>81.5</v>
      </c>
      <c r="D1290" s="1">
        <f ca="1">IFERROR(__xludf.DUMMYFUNCTION("""COMPUTED_VALUE"""),80.71)</f>
        <v>80.709999999999994</v>
      </c>
      <c r="E1290" s="1">
        <f ca="1">IFERROR(__xludf.DUMMYFUNCTION("""COMPUTED_VALUE"""),81.24)</f>
        <v>81.239999999999995</v>
      </c>
      <c r="F1290" s="1">
        <f ca="1">IFERROR(__xludf.DUMMYFUNCTION("""COMPUTED_VALUE"""),20028447)</f>
        <v>20028447</v>
      </c>
    </row>
    <row r="1291" spans="1:6" x14ac:dyDescent="0.35">
      <c r="A1291" s="2">
        <f ca="1">IFERROR(__xludf.DUMMYFUNCTION("""COMPUTED_VALUE"""),43879.6666666666)</f>
        <v>43879.666666666599</v>
      </c>
      <c r="B1291" s="1">
        <f ca="1">IFERROR(__xludf.DUMMYFUNCTION("""COMPUTED_VALUE"""),78.84)</f>
        <v>78.84</v>
      </c>
      <c r="C1291" s="1">
        <f ca="1">IFERROR(__xludf.DUMMYFUNCTION("""COMPUTED_VALUE"""),79.94)</f>
        <v>79.94</v>
      </c>
      <c r="D1291" s="1">
        <f ca="1">IFERROR(__xludf.DUMMYFUNCTION("""COMPUTED_VALUE"""),78.65)</f>
        <v>78.650000000000006</v>
      </c>
      <c r="E1291" s="1">
        <f ca="1">IFERROR(__xludf.DUMMYFUNCTION("""COMPUTED_VALUE"""),79.75)</f>
        <v>79.75</v>
      </c>
      <c r="F1291" s="1">
        <f ca="1">IFERROR(__xludf.DUMMYFUNCTION("""COMPUTED_VALUE"""),38190545)</f>
        <v>38190545</v>
      </c>
    </row>
    <row r="1292" spans="1:6" x14ac:dyDescent="0.35">
      <c r="A1292" s="2">
        <f ca="1">IFERROR(__xludf.DUMMYFUNCTION("""COMPUTED_VALUE"""),43880.6666666666)</f>
        <v>43880.666666666599</v>
      </c>
      <c r="B1292" s="1">
        <f ca="1">IFERROR(__xludf.DUMMYFUNCTION("""COMPUTED_VALUE"""),80)</f>
        <v>80</v>
      </c>
      <c r="C1292" s="1">
        <f ca="1">IFERROR(__xludf.DUMMYFUNCTION("""COMPUTED_VALUE"""),81.14)</f>
        <v>81.14</v>
      </c>
      <c r="D1292" s="1">
        <f ca="1">IFERROR(__xludf.DUMMYFUNCTION("""COMPUTED_VALUE"""),80)</f>
        <v>80</v>
      </c>
      <c r="E1292" s="1">
        <f ca="1">IFERROR(__xludf.DUMMYFUNCTION("""COMPUTED_VALUE"""),80.91)</f>
        <v>80.91</v>
      </c>
      <c r="F1292" s="1">
        <f ca="1">IFERROR(__xludf.DUMMYFUNCTION("""COMPUTED_VALUE"""),23495991)</f>
        <v>23495991</v>
      </c>
    </row>
    <row r="1293" spans="1:6" x14ac:dyDescent="0.35">
      <c r="A1293" s="2">
        <f ca="1">IFERROR(__xludf.DUMMYFUNCTION("""COMPUTED_VALUE"""),43881.6666666666)</f>
        <v>43881.666666666599</v>
      </c>
      <c r="B1293" s="1">
        <f ca="1">IFERROR(__xludf.DUMMYFUNCTION("""COMPUTED_VALUE"""),80.66)</f>
        <v>80.66</v>
      </c>
      <c r="C1293" s="1">
        <f ca="1">IFERROR(__xludf.DUMMYFUNCTION("""COMPUTED_VALUE"""),81.16)</f>
        <v>81.16</v>
      </c>
      <c r="D1293" s="1">
        <f ca="1">IFERROR(__xludf.DUMMYFUNCTION("""COMPUTED_VALUE"""),79.55)</f>
        <v>79.55</v>
      </c>
      <c r="E1293" s="1">
        <f ca="1">IFERROR(__xludf.DUMMYFUNCTION("""COMPUTED_VALUE"""),80.08)</f>
        <v>80.08</v>
      </c>
      <c r="F1293" s="1">
        <f ca="1">IFERROR(__xludf.DUMMYFUNCTION("""COMPUTED_VALUE"""),25141489)</f>
        <v>25141489</v>
      </c>
    </row>
    <row r="1294" spans="1:6" x14ac:dyDescent="0.35">
      <c r="A1294" s="2">
        <f ca="1">IFERROR(__xludf.DUMMYFUNCTION("""COMPUTED_VALUE"""),43882.6666666666)</f>
        <v>43882.666666666599</v>
      </c>
      <c r="B1294" s="1">
        <f ca="1">IFERROR(__xludf.DUMMYFUNCTION("""COMPUTED_VALUE"""),79.66)</f>
        <v>79.66</v>
      </c>
      <c r="C1294" s="1">
        <f ca="1">IFERROR(__xludf.DUMMYFUNCTION("""COMPUTED_VALUE"""),80.11)</f>
        <v>80.11</v>
      </c>
      <c r="D1294" s="1">
        <f ca="1">IFERROR(__xludf.DUMMYFUNCTION("""COMPUTED_VALUE"""),77.63)</f>
        <v>77.63</v>
      </c>
      <c r="E1294" s="1">
        <f ca="1">IFERROR(__xludf.DUMMYFUNCTION("""COMPUTED_VALUE"""),78.26)</f>
        <v>78.260000000000005</v>
      </c>
      <c r="F1294" s="1">
        <f ca="1">IFERROR(__xludf.DUMMYFUNCTION("""COMPUTED_VALUE"""),32426415)</f>
        <v>32426415</v>
      </c>
    </row>
    <row r="1295" spans="1:6" x14ac:dyDescent="0.35">
      <c r="A1295" s="2">
        <f ca="1">IFERROR(__xludf.DUMMYFUNCTION("""COMPUTED_VALUE"""),43885.6666666666)</f>
        <v>43885.666666666599</v>
      </c>
      <c r="B1295" s="1">
        <f ca="1">IFERROR(__xludf.DUMMYFUNCTION("""COMPUTED_VALUE"""),74.32)</f>
        <v>74.319999999999993</v>
      </c>
      <c r="C1295" s="1">
        <f ca="1">IFERROR(__xludf.DUMMYFUNCTION("""COMPUTED_VALUE"""),76.05)</f>
        <v>76.05</v>
      </c>
      <c r="D1295" s="1">
        <f ca="1">IFERROR(__xludf.DUMMYFUNCTION("""COMPUTED_VALUE"""),72.31)</f>
        <v>72.31</v>
      </c>
      <c r="E1295" s="1">
        <f ca="1">IFERROR(__xludf.DUMMYFUNCTION("""COMPUTED_VALUE"""),74.55)</f>
        <v>74.55</v>
      </c>
      <c r="F1295" s="1">
        <f ca="1">IFERROR(__xludf.DUMMYFUNCTION("""COMPUTED_VALUE"""),55548828)</f>
        <v>55548828</v>
      </c>
    </row>
    <row r="1296" spans="1:6" x14ac:dyDescent="0.35">
      <c r="A1296" s="2">
        <f ca="1">IFERROR(__xludf.DUMMYFUNCTION("""COMPUTED_VALUE"""),43886.6666666666)</f>
        <v>43886.666666666599</v>
      </c>
      <c r="B1296" s="1">
        <f ca="1">IFERROR(__xludf.DUMMYFUNCTION("""COMPUTED_VALUE"""),75.24)</f>
        <v>75.239999999999995</v>
      </c>
      <c r="C1296" s="1">
        <f ca="1">IFERROR(__xludf.DUMMYFUNCTION("""COMPUTED_VALUE"""),75.63)</f>
        <v>75.63</v>
      </c>
      <c r="D1296" s="1">
        <f ca="1">IFERROR(__xludf.DUMMYFUNCTION("""COMPUTED_VALUE"""),71.53)</f>
        <v>71.53</v>
      </c>
      <c r="E1296" s="1">
        <f ca="1">IFERROR(__xludf.DUMMYFUNCTION("""COMPUTED_VALUE"""),72.02)</f>
        <v>72.02</v>
      </c>
      <c r="F1296" s="1">
        <f ca="1">IFERROR(__xludf.DUMMYFUNCTION("""COMPUTED_VALUE"""),57668364)</f>
        <v>57668364</v>
      </c>
    </row>
    <row r="1297" spans="1:6" x14ac:dyDescent="0.35">
      <c r="A1297" s="2">
        <f ca="1">IFERROR(__xludf.DUMMYFUNCTION("""COMPUTED_VALUE"""),43887.6666666666)</f>
        <v>43887.666666666599</v>
      </c>
      <c r="B1297" s="1">
        <f ca="1">IFERROR(__xludf.DUMMYFUNCTION("""COMPUTED_VALUE"""),71.63)</f>
        <v>71.63</v>
      </c>
      <c r="C1297" s="1">
        <f ca="1">IFERROR(__xludf.DUMMYFUNCTION("""COMPUTED_VALUE"""),74.47)</f>
        <v>74.47</v>
      </c>
      <c r="D1297" s="1">
        <f ca="1">IFERROR(__xludf.DUMMYFUNCTION("""COMPUTED_VALUE"""),71.63)</f>
        <v>71.63</v>
      </c>
      <c r="E1297" s="1">
        <f ca="1">IFERROR(__xludf.DUMMYFUNCTION("""COMPUTED_VALUE"""),73.16)</f>
        <v>73.16</v>
      </c>
      <c r="F1297" s="1">
        <f ca="1">IFERROR(__xludf.DUMMYFUNCTION("""COMPUTED_VALUE"""),49678431)</f>
        <v>49678431</v>
      </c>
    </row>
    <row r="1298" spans="1:6" x14ac:dyDescent="0.35">
      <c r="A1298" s="2">
        <f ca="1">IFERROR(__xludf.DUMMYFUNCTION("""COMPUTED_VALUE"""),43888.6666666666)</f>
        <v>43888.666666666599</v>
      </c>
      <c r="B1298" s="1">
        <f ca="1">IFERROR(__xludf.DUMMYFUNCTION("""COMPUTED_VALUE"""),70.28)</f>
        <v>70.28</v>
      </c>
      <c r="C1298" s="1">
        <f ca="1">IFERROR(__xludf.DUMMYFUNCTION("""COMPUTED_VALUE"""),71.5)</f>
        <v>71.5</v>
      </c>
      <c r="D1298" s="1">
        <f ca="1">IFERROR(__xludf.DUMMYFUNCTION("""COMPUTED_VALUE"""),68.24)</f>
        <v>68.239999999999995</v>
      </c>
      <c r="E1298" s="1">
        <f ca="1">IFERROR(__xludf.DUMMYFUNCTION("""COMPUTED_VALUE"""),68.38)</f>
        <v>68.38</v>
      </c>
      <c r="F1298" s="1">
        <f ca="1">IFERROR(__xludf.DUMMYFUNCTION("""COMPUTED_VALUE"""),80151381)</f>
        <v>80151381</v>
      </c>
    </row>
    <row r="1299" spans="1:6" x14ac:dyDescent="0.35">
      <c r="A1299" s="2">
        <f ca="1">IFERROR(__xludf.DUMMYFUNCTION("""COMPUTED_VALUE"""),43889.6666666666)</f>
        <v>43889.666666666599</v>
      </c>
      <c r="B1299" s="1">
        <f ca="1">IFERROR(__xludf.DUMMYFUNCTION("""COMPUTED_VALUE"""),64.32)</f>
        <v>64.319999999999993</v>
      </c>
      <c r="C1299" s="1">
        <f ca="1">IFERROR(__xludf.DUMMYFUNCTION("""COMPUTED_VALUE"""),69.6)</f>
        <v>69.599999999999994</v>
      </c>
      <c r="D1299" s="1">
        <f ca="1">IFERROR(__xludf.DUMMYFUNCTION("""COMPUTED_VALUE"""),64.09)</f>
        <v>64.09</v>
      </c>
      <c r="E1299" s="1">
        <f ca="1">IFERROR(__xludf.DUMMYFUNCTION("""COMPUTED_VALUE"""),68.34)</f>
        <v>68.34</v>
      </c>
      <c r="F1299" s="1">
        <f ca="1">IFERROR(__xludf.DUMMYFUNCTION("""COMPUTED_VALUE"""),106721230)</f>
        <v>106721230</v>
      </c>
    </row>
    <row r="1300" spans="1:6" x14ac:dyDescent="0.35">
      <c r="A1300" s="2">
        <f ca="1">IFERROR(__xludf.DUMMYFUNCTION("""COMPUTED_VALUE"""),43892.6666666666)</f>
        <v>43892.666666666599</v>
      </c>
      <c r="B1300" s="1">
        <f ca="1">IFERROR(__xludf.DUMMYFUNCTION("""COMPUTED_VALUE"""),70.57)</f>
        <v>70.569999999999993</v>
      </c>
      <c r="C1300" s="1">
        <f ca="1">IFERROR(__xludf.DUMMYFUNCTION("""COMPUTED_VALUE"""),75.36)</f>
        <v>75.36</v>
      </c>
      <c r="D1300" s="1">
        <f ca="1">IFERROR(__xludf.DUMMYFUNCTION("""COMPUTED_VALUE"""),69.43)</f>
        <v>69.430000000000007</v>
      </c>
      <c r="E1300" s="1">
        <f ca="1">IFERROR(__xludf.DUMMYFUNCTION("""COMPUTED_VALUE"""),74.7)</f>
        <v>74.7</v>
      </c>
      <c r="F1300" s="1">
        <f ca="1">IFERROR(__xludf.DUMMYFUNCTION("""COMPUTED_VALUE"""),85349339)</f>
        <v>85349339</v>
      </c>
    </row>
    <row r="1301" spans="1:6" x14ac:dyDescent="0.35">
      <c r="A1301" s="2">
        <f ca="1">IFERROR(__xludf.DUMMYFUNCTION("""COMPUTED_VALUE"""),43893.6666666666)</f>
        <v>43893.666666666599</v>
      </c>
      <c r="B1301" s="1">
        <f ca="1">IFERROR(__xludf.DUMMYFUNCTION("""COMPUTED_VALUE"""),75.92)</f>
        <v>75.92</v>
      </c>
      <c r="C1301" s="1">
        <f ca="1">IFERROR(__xludf.DUMMYFUNCTION("""COMPUTED_VALUE"""),76)</f>
        <v>76</v>
      </c>
      <c r="D1301" s="1">
        <f ca="1">IFERROR(__xludf.DUMMYFUNCTION("""COMPUTED_VALUE"""),71.45)</f>
        <v>71.45</v>
      </c>
      <c r="E1301" s="1">
        <f ca="1">IFERROR(__xludf.DUMMYFUNCTION("""COMPUTED_VALUE"""),72.33)</f>
        <v>72.33</v>
      </c>
      <c r="F1301" s="1">
        <f ca="1">IFERROR(__xludf.DUMMYFUNCTION("""COMPUTED_VALUE"""),79868852)</f>
        <v>79868852</v>
      </c>
    </row>
    <row r="1302" spans="1:6" x14ac:dyDescent="0.35">
      <c r="A1302" s="2">
        <f ca="1">IFERROR(__xludf.DUMMYFUNCTION("""COMPUTED_VALUE"""),43894.6666666666)</f>
        <v>43894.666666666599</v>
      </c>
      <c r="B1302" s="1">
        <f ca="1">IFERROR(__xludf.DUMMYFUNCTION("""COMPUTED_VALUE"""),74.11)</f>
        <v>74.11</v>
      </c>
      <c r="C1302" s="1">
        <f ca="1">IFERROR(__xludf.DUMMYFUNCTION("""COMPUTED_VALUE"""),75.85)</f>
        <v>75.849999999999994</v>
      </c>
      <c r="D1302" s="1">
        <f ca="1">IFERROR(__xludf.DUMMYFUNCTION("""COMPUTED_VALUE"""),73.28)</f>
        <v>73.28</v>
      </c>
      <c r="E1302" s="1">
        <f ca="1">IFERROR(__xludf.DUMMYFUNCTION("""COMPUTED_VALUE"""),75.69)</f>
        <v>75.69</v>
      </c>
      <c r="F1302" s="1">
        <f ca="1">IFERROR(__xludf.DUMMYFUNCTION("""COMPUTED_VALUE"""),54794568)</f>
        <v>54794568</v>
      </c>
    </row>
    <row r="1303" spans="1:6" x14ac:dyDescent="0.35">
      <c r="A1303" s="2">
        <f ca="1">IFERROR(__xludf.DUMMYFUNCTION("""COMPUTED_VALUE"""),43895.6666666666)</f>
        <v>43895.666666666599</v>
      </c>
      <c r="B1303" s="1">
        <f ca="1">IFERROR(__xludf.DUMMYFUNCTION("""COMPUTED_VALUE"""),73.88)</f>
        <v>73.88</v>
      </c>
      <c r="C1303" s="1">
        <f ca="1">IFERROR(__xludf.DUMMYFUNCTION("""COMPUTED_VALUE"""),74.89)</f>
        <v>74.89</v>
      </c>
      <c r="D1303" s="1">
        <f ca="1">IFERROR(__xludf.DUMMYFUNCTION("""COMPUTED_VALUE"""),72.85)</f>
        <v>72.849999999999994</v>
      </c>
      <c r="E1303" s="1">
        <f ca="1">IFERROR(__xludf.DUMMYFUNCTION("""COMPUTED_VALUE"""),73.23)</f>
        <v>73.23</v>
      </c>
      <c r="F1303" s="1">
        <f ca="1">IFERROR(__xludf.DUMMYFUNCTION("""COMPUTED_VALUE"""),46893219)</f>
        <v>46893219</v>
      </c>
    </row>
    <row r="1304" spans="1:6" x14ac:dyDescent="0.35">
      <c r="A1304" s="2">
        <f ca="1">IFERROR(__xludf.DUMMYFUNCTION("""COMPUTED_VALUE"""),43896.6666666666)</f>
        <v>43896.666666666599</v>
      </c>
      <c r="B1304" s="1">
        <f ca="1">IFERROR(__xludf.DUMMYFUNCTION("""COMPUTED_VALUE"""),70.5)</f>
        <v>70.5</v>
      </c>
      <c r="C1304" s="1">
        <f ca="1">IFERROR(__xludf.DUMMYFUNCTION("""COMPUTED_VALUE"""),72.71)</f>
        <v>72.709999999999994</v>
      </c>
      <c r="D1304" s="1">
        <f ca="1">IFERROR(__xludf.DUMMYFUNCTION("""COMPUTED_VALUE"""),70.31)</f>
        <v>70.31</v>
      </c>
      <c r="E1304" s="1">
        <f ca="1">IFERROR(__xludf.DUMMYFUNCTION("""COMPUTED_VALUE"""),72.26)</f>
        <v>72.260000000000005</v>
      </c>
      <c r="F1304" s="1">
        <f ca="1">IFERROR(__xludf.DUMMYFUNCTION("""COMPUTED_VALUE"""),56544246)</f>
        <v>56544246</v>
      </c>
    </row>
    <row r="1305" spans="1:6" x14ac:dyDescent="0.35">
      <c r="A1305" s="2">
        <f ca="1">IFERROR(__xludf.DUMMYFUNCTION("""COMPUTED_VALUE"""),43899.6666666666)</f>
        <v>43899.666666666599</v>
      </c>
      <c r="B1305" s="1">
        <f ca="1">IFERROR(__xludf.DUMMYFUNCTION("""COMPUTED_VALUE"""),65.94)</f>
        <v>65.94</v>
      </c>
      <c r="C1305" s="1">
        <f ca="1">IFERROR(__xludf.DUMMYFUNCTION("""COMPUTED_VALUE"""),69.52)</f>
        <v>69.52</v>
      </c>
      <c r="D1305" s="1">
        <f ca="1">IFERROR(__xludf.DUMMYFUNCTION("""COMPUTED_VALUE"""),65.75)</f>
        <v>65.75</v>
      </c>
      <c r="E1305" s="1">
        <f ca="1">IFERROR(__xludf.DUMMYFUNCTION("""COMPUTED_VALUE"""),66.54)</f>
        <v>66.540000000000006</v>
      </c>
      <c r="F1305" s="1">
        <f ca="1">IFERROR(__xludf.DUMMYFUNCTION("""COMPUTED_VALUE"""),71686208)</f>
        <v>71686208</v>
      </c>
    </row>
    <row r="1306" spans="1:6" x14ac:dyDescent="0.35">
      <c r="A1306" s="2">
        <f ca="1">IFERROR(__xludf.DUMMYFUNCTION("""COMPUTED_VALUE"""),43900.6666666666)</f>
        <v>43900.666666666599</v>
      </c>
      <c r="B1306" s="1">
        <f ca="1">IFERROR(__xludf.DUMMYFUNCTION("""COMPUTED_VALUE"""),69.29)</f>
        <v>69.290000000000006</v>
      </c>
      <c r="C1306" s="1">
        <f ca="1">IFERROR(__xludf.DUMMYFUNCTION("""COMPUTED_VALUE"""),71.61)</f>
        <v>71.61</v>
      </c>
      <c r="D1306" s="1">
        <f ca="1">IFERROR(__xludf.DUMMYFUNCTION("""COMPUTED_VALUE"""),67.34)</f>
        <v>67.34</v>
      </c>
      <c r="E1306" s="1">
        <f ca="1">IFERROR(__xludf.DUMMYFUNCTION("""COMPUTED_VALUE"""),71.33)</f>
        <v>71.33</v>
      </c>
      <c r="F1306" s="1">
        <f ca="1">IFERROR(__xludf.DUMMYFUNCTION("""COMPUTED_VALUE"""),71322520)</f>
        <v>71322520</v>
      </c>
    </row>
    <row r="1307" spans="1:6" x14ac:dyDescent="0.35">
      <c r="A1307" s="2">
        <f ca="1">IFERROR(__xludf.DUMMYFUNCTION("""COMPUTED_VALUE"""),43901.6666666666)</f>
        <v>43901.666666666599</v>
      </c>
      <c r="B1307" s="1">
        <f ca="1">IFERROR(__xludf.DUMMYFUNCTION("""COMPUTED_VALUE"""),69.35)</f>
        <v>69.349999999999994</v>
      </c>
      <c r="C1307" s="1">
        <f ca="1">IFERROR(__xludf.DUMMYFUNCTION("""COMPUTED_VALUE"""),70.31)</f>
        <v>70.31</v>
      </c>
      <c r="D1307" s="1">
        <f ca="1">IFERROR(__xludf.DUMMYFUNCTION("""COMPUTED_VALUE"""),67.97)</f>
        <v>67.97</v>
      </c>
      <c r="E1307" s="1">
        <f ca="1">IFERROR(__xludf.DUMMYFUNCTION("""COMPUTED_VALUE"""),68.86)</f>
        <v>68.86</v>
      </c>
      <c r="F1307" s="1">
        <f ca="1">IFERROR(__xludf.DUMMYFUNCTION("""COMPUTED_VALUE"""),64094970)</f>
        <v>64094970</v>
      </c>
    </row>
    <row r="1308" spans="1:6" x14ac:dyDescent="0.35">
      <c r="A1308" s="2">
        <f ca="1">IFERROR(__xludf.DUMMYFUNCTION("""COMPUTED_VALUE"""),43902.6666666666)</f>
        <v>43902.666666666599</v>
      </c>
      <c r="B1308" s="1">
        <f ca="1">IFERROR(__xludf.DUMMYFUNCTION("""COMPUTED_VALUE"""),63.99)</f>
        <v>63.99</v>
      </c>
      <c r="C1308" s="1">
        <f ca="1">IFERROR(__xludf.DUMMYFUNCTION("""COMPUTED_VALUE"""),67.5)</f>
        <v>67.5</v>
      </c>
      <c r="D1308" s="1">
        <f ca="1">IFERROR(__xludf.DUMMYFUNCTION("""COMPUTED_VALUE"""),62)</f>
        <v>62</v>
      </c>
      <c r="E1308" s="1">
        <f ca="1">IFERROR(__xludf.DUMMYFUNCTION("""COMPUTED_VALUE"""),62.06)</f>
        <v>62.06</v>
      </c>
      <c r="F1308" s="1">
        <f ca="1">IFERROR(__xludf.DUMMYFUNCTION("""COMPUTED_VALUE"""),104618517)</f>
        <v>104618517</v>
      </c>
    </row>
    <row r="1309" spans="1:6" x14ac:dyDescent="0.35">
      <c r="A1309" s="2">
        <f ca="1">IFERROR(__xludf.DUMMYFUNCTION("""COMPUTED_VALUE"""),43903.6666666666)</f>
        <v>43903.666666666599</v>
      </c>
      <c r="B1309" s="1">
        <f ca="1">IFERROR(__xludf.DUMMYFUNCTION("""COMPUTED_VALUE"""),66.22)</f>
        <v>66.22</v>
      </c>
      <c r="C1309" s="1">
        <f ca="1">IFERROR(__xludf.DUMMYFUNCTION("""COMPUTED_VALUE"""),69.98)</f>
        <v>69.98</v>
      </c>
      <c r="D1309" s="1">
        <f ca="1">IFERROR(__xludf.DUMMYFUNCTION("""COMPUTED_VALUE"""),63.24)</f>
        <v>63.24</v>
      </c>
      <c r="E1309" s="1">
        <f ca="1">IFERROR(__xludf.DUMMYFUNCTION("""COMPUTED_VALUE"""),69.49)</f>
        <v>69.489999999999995</v>
      </c>
      <c r="F1309" s="1">
        <f ca="1">IFERROR(__xludf.DUMMYFUNCTION("""COMPUTED_VALUE"""),92683032)</f>
        <v>92683032</v>
      </c>
    </row>
    <row r="1310" spans="1:6" x14ac:dyDescent="0.35">
      <c r="A1310" s="2">
        <f ca="1">IFERROR(__xludf.DUMMYFUNCTION("""COMPUTED_VALUE"""),43906.6666666666)</f>
        <v>43906.666666666599</v>
      </c>
      <c r="B1310" s="1">
        <f ca="1">IFERROR(__xludf.DUMMYFUNCTION("""COMPUTED_VALUE"""),60.49)</f>
        <v>60.49</v>
      </c>
      <c r="C1310" s="1">
        <f ca="1">IFERROR(__xludf.DUMMYFUNCTION("""COMPUTED_VALUE"""),64.77)</f>
        <v>64.77</v>
      </c>
      <c r="D1310" s="1">
        <f ca="1">IFERROR(__xludf.DUMMYFUNCTION("""COMPUTED_VALUE"""),60)</f>
        <v>60</v>
      </c>
      <c r="E1310" s="1">
        <f ca="1">IFERROR(__xludf.DUMMYFUNCTION("""COMPUTED_VALUE"""),60.55)</f>
        <v>60.55</v>
      </c>
      <c r="F1310" s="1">
        <f ca="1">IFERROR(__xludf.DUMMYFUNCTION("""COMPUTED_VALUE"""),80605865)</f>
        <v>80605865</v>
      </c>
    </row>
    <row r="1311" spans="1:6" x14ac:dyDescent="0.35">
      <c r="A1311" s="2">
        <f ca="1">IFERROR(__xludf.DUMMYFUNCTION("""COMPUTED_VALUE"""),43907.6666666666)</f>
        <v>43907.666666666599</v>
      </c>
      <c r="B1311" s="1">
        <f ca="1">IFERROR(__xludf.DUMMYFUNCTION("""COMPUTED_VALUE"""),61.88)</f>
        <v>61.88</v>
      </c>
      <c r="C1311" s="1">
        <f ca="1">IFERROR(__xludf.DUMMYFUNCTION("""COMPUTED_VALUE"""),64.4)</f>
        <v>64.400000000000006</v>
      </c>
      <c r="D1311" s="1">
        <f ca="1">IFERROR(__xludf.DUMMYFUNCTION("""COMPUTED_VALUE"""),59.6)</f>
        <v>59.6</v>
      </c>
      <c r="E1311" s="1">
        <f ca="1">IFERROR(__xludf.DUMMYFUNCTION("""COMPUTED_VALUE"""),63.22)</f>
        <v>63.22</v>
      </c>
      <c r="F1311" s="1">
        <f ca="1">IFERROR(__xludf.DUMMYFUNCTION("""COMPUTED_VALUE"""),81013965)</f>
        <v>81013965</v>
      </c>
    </row>
    <row r="1312" spans="1:6" x14ac:dyDescent="0.35">
      <c r="A1312" s="2">
        <f ca="1">IFERROR(__xludf.DUMMYFUNCTION("""COMPUTED_VALUE"""),43908.6666666666)</f>
        <v>43908.666666666599</v>
      </c>
      <c r="B1312" s="1">
        <f ca="1">IFERROR(__xludf.DUMMYFUNCTION("""COMPUTED_VALUE"""),59.94)</f>
        <v>59.94</v>
      </c>
      <c r="C1312" s="1">
        <f ca="1">IFERROR(__xludf.DUMMYFUNCTION("""COMPUTED_VALUE"""),62.5)</f>
        <v>62.5</v>
      </c>
      <c r="D1312" s="1">
        <f ca="1">IFERROR(__xludf.DUMMYFUNCTION("""COMPUTED_VALUE"""),59.28)</f>
        <v>59.28</v>
      </c>
      <c r="E1312" s="1">
        <f ca="1">IFERROR(__xludf.DUMMYFUNCTION("""COMPUTED_VALUE"""),61.67)</f>
        <v>61.67</v>
      </c>
      <c r="F1312" s="1">
        <f ca="1">IFERROR(__xludf.DUMMYFUNCTION("""COMPUTED_VALUE"""),75058406)</f>
        <v>75058406</v>
      </c>
    </row>
    <row r="1313" spans="1:6" x14ac:dyDescent="0.35">
      <c r="A1313" s="2">
        <f ca="1">IFERROR(__xludf.DUMMYFUNCTION("""COMPUTED_VALUE"""),43909.6666666666)</f>
        <v>43909.666666666599</v>
      </c>
      <c r="B1313" s="1">
        <f ca="1">IFERROR(__xludf.DUMMYFUNCTION("""COMPUTED_VALUE"""),61.85)</f>
        <v>61.85</v>
      </c>
      <c r="C1313" s="1">
        <f ca="1">IFERROR(__xludf.DUMMYFUNCTION("""COMPUTED_VALUE"""),63.21)</f>
        <v>63.21</v>
      </c>
      <c r="D1313" s="1">
        <f ca="1">IFERROR(__xludf.DUMMYFUNCTION("""COMPUTED_VALUE"""),60.65)</f>
        <v>60.65</v>
      </c>
      <c r="E1313" s="1">
        <f ca="1">IFERROR(__xludf.DUMMYFUNCTION("""COMPUTED_VALUE"""),61.2)</f>
        <v>61.2</v>
      </c>
      <c r="F1313" s="1">
        <f ca="1">IFERROR(__xludf.DUMMYFUNCTION("""COMPUTED_VALUE"""),67964255)</f>
        <v>67964255</v>
      </c>
    </row>
    <row r="1314" spans="1:6" x14ac:dyDescent="0.35">
      <c r="A1314" s="2">
        <f ca="1">IFERROR(__xludf.DUMMYFUNCTION("""COMPUTED_VALUE"""),43910.6666666666)</f>
        <v>43910.666666666599</v>
      </c>
      <c r="B1314" s="1">
        <f ca="1">IFERROR(__xludf.DUMMYFUNCTION("""COMPUTED_VALUE"""),61.8)</f>
        <v>61.8</v>
      </c>
      <c r="C1314" s="1">
        <f ca="1">IFERROR(__xludf.DUMMYFUNCTION("""COMPUTED_VALUE"""),62.96)</f>
        <v>62.96</v>
      </c>
      <c r="D1314" s="1">
        <f ca="1">IFERROR(__xludf.DUMMYFUNCTION("""COMPUTED_VALUE"""),57)</f>
        <v>57</v>
      </c>
      <c r="E1314" s="1">
        <f ca="1">IFERROR(__xludf.DUMMYFUNCTION("""COMPUTED_VALUE"""),57.31)</f>
        <v>57.31</v>
      </c>
      <c r="F1314" s="1">
        <f ca="1">IFERROR(__xludf.DUMMYFUNCTION("""COMPUTED_VALUE"""),100423346)</f>
        <v>100423346</v>
      </c>
    </row>
    <row r="1315" spans="1:6" x14ac:dyDescent="0.35">
      <c r="A1315" s="2">
        <f ca="1">IFERROR(__xludf.DUMMYFUNCTION("""COMPUTED_VALUE"""),43913.6666666666)</f>
        <v>43913.666666666599</v>
      </c>
      <c r="B1315" s="1">
        <f ca="1">IFERROR(__xludf.DUMMYFUNCTION("""COMPUTED_VALUE"""),57.02)</f>
        <v>57.02</v>
      </c>
      <c r="C1315" s="1">
        <f ca="1">IFERROR(__xludf.DUMMYFUNCTION("""COMPUTED_VALUE"""),57.12)</f>
        <v>57.12</v>
      </c>
      <c r="D1315" s="1">
        <f ca="1">IFERROR(__xludf.DUMMYFUNCTION("""COMPUTED_VALUE"""),53.15)</f>
        <v>53.15</v>
      </c>
      <c r="E1315" s="1">
        <f ca="1">IFERROR(__xludf.DUMMYFUNCTION("""COMPUTED_VALUE"""),56.09)</f>
        <v>56.09</v>
      </c>
      <c r="F1315" s="1">
        <f ca="1">IFERROR(__xludf.DUMMYFUNCTION("""COMPUTED_VALUE"""),84188208)</f>
        <v>84188208</v>
      </c>
    </row>
    <row r="1316" spans="1:6" x14ac:dyDescent="0.35">
      <c r="A1316" s="2">
        <f ca="1">IFERROR(__xludf.DUMMYFUNCTION("""COMPUTED_VALUE"""),43914.6666666666)</f>
        <v>43914.666666666599</v>
      </c>
      <c r="B1316" s="1">
        <f ca="1">IFERROR(__xludf.DUMMYFUNCTION("""COMPUTED_VALUE"""),59.09)</f>
        <v>59.09</v>
      </c>
      <c r="C1316" s="1">
        <f ca="1">IFERROR(__xludf.DUMMYFUNCTION("""COMPUTED_VALUE"""),61.92)</f>
        <v>61.92</v>
      </c>
      <c r="D1316" s="1">
        <f ca="1">IFERROR(__xludf.DUMMYFUNCTION("""COMPUTED_VALUE"""),58.58)</f>
        <v>58.58</v>
      </c>
      <c r="E1316" s="1">
        <f ca="1">IFERROR(__xludf.DUMMYFUNCTION("""COMPUTED_VALUE"""),61.72)</f>
        <v>61.72</v>
      </c>
      <c r="F1316" s="1">
        <f ca="1">IFERROR(__xludf.DUMMYFUNCTION("""COMPUTED_VALUE"""),71882773)</f>
        <v>71882773</v>
      </c>
    </row>
    <row r="1317" spans="1:6" x14ac:dyDescent="0.35">
      <c r="A1317" s="2">
        <f ca="1">IFERROR(__xludf.DUMMYFUNCTION("""COMPUTED_VALUE"""),43915.6666666666)</f>
        <v>43915.666666666599</v>
      </c>
      <c r="B1317" s="1">
        <f ca="1">IFERROR(__xludf.DUMMYFUNCTION("""COMPUTED_VALUE"""),62.69)</f>
        <v>62.69</v>
      </c>
      <c r="C1317" s="1">
        <f ca="1">IFERROR(__xludf.DUMMYFUNCTION("""COMPUTED_VALUE"""),64.56)</f>
        <v>64.56</v>
      </c>
      <c r="D1317" s="1">
        <f ca="1">IFERROR(__xludf.DUMMYFUNCTION("""COMPUTED_VALUE"""),61.08)</f>
        <v>61.08</v>
      </c>
      <c r="E1317" s="1">
        <f ca="1">IFERROR(__xludf.DUMMYFUNCTION("""COMPUTED_VALUE"""),61.38)</f>
        <v>61.38</v>
      </c>
      <c r="F1317" s="1">
        <f ca="1">IFERROR(__xludf.DUMMYFUNCTION("""COMPUTED_VALUE"""),75900510)</f>
        <v>75900510</v>
      </c>
    </row>
    <row r="1318" spans="1:6" x14ac:dyDescent="0.35">
      <c r="A1318" s="2">
        <f ca="1">IFERROR(__xludf.DUMMYFUNCTION("""COMPUTED_VALUE"""),43916.6666666666)</f>
        <v>43916.666666666599</v>
      </c>
      <c r="B1318" s="1">
        <f ca="1">IFERROR(__xludf.DUMMYFUNCTION("""COMPUTED_VALUE"""),61.63)</f>
        <v>61.63</v>
      </c>
      <c r="C1318" s="1">
        <f ca="1">IFERROR(__xludf.DUMMYFUNCTION("""COMPUTED_VALUE"""),64.67)</f>
        <v>64.67</v>
      </c>
      <c r="D1318" s="1">
        <f ca="1">IFERROR(__xludf.DUMMYFUNCTION("""COMPUTED_VALUE"""),61.59)</f>
        <v>61.59</v>
      </c>
      <c r="E1318" s="1">
        <f ca="1">IFERROR(__xludf.DUMMYFUNCTION("""COMPUTED_VALUE"""),64.61)</f>
        <v>64.61</v>
      </c>
      <c r="F1318" s="1">
        <f ca="1">IFERROR(__xludf.DUMMYFUNCTION("""COMPUTED_VALUE"""),63140169)</f>
        <v>63140169</v>
      </c>
    </row>
    <row r="1319" spans="1:6" x14ac:dyDescent="0.35">
      <c r="A1319" s="2">
        <f ca="1">IFERROR(__xludf.DUMMYFUNCTION("""COMPUTED_VALUE"""),43917.6666666666)</f>
        <v>43917.666666666599</v>
      </c>
      <c r="B1319" s="1">
        <f ca="1">IFERROR(__xludf.DUMMYFUNCTION("""COMPUTED_VALUE"""),63.19)</f>
        <v>63.19</v>
      </c>
      <c r="C1319" s="1">
        <f ca="1">IFERROR(__xludf.DUMMYFUNCTION("""COMPUTED_VALUE"""),63.97)</f>
        <v>63.97</v>
      </c>
      <c r="D1319" s="1">
        <f ca="1">IFERROR(__xludf.DUMMYFUNCTION("""COMPUTED_VALUE"""),61.76)</f>
        <v>61.76</v>
      </c>
      <c r="E1319" s="1">
        <f ca="1">IFERROR(__xludf.DUMMYFUNCTION("""COMPUTED_VALUE"""),61.94)</f>
        <v>61.94</v>
      </c>
      <c r="F1319" s="1">
        <f ca="1">IFERROR(__xludf.DUMMYFUNCTION("""COMPUTED_VALUE"""),51054153)</f>
        <v>51054153</v>
      </c>
    </row>
    <row r="1320" spans="1:6" x14ac:dyDescent="0.35">
      <c r="A1320" s="2">
        <f ca="1">IFERROR(__xludf.DUMMYFUNCTION("""COMPUTED_VALUE"""),43920.6666666666)</f>
        <v>43920.666666666599</v>
      </c>
      <c r="B1320" s="1">
        <f ca="1">IFERROR(__xludf.DUMMYFUNCTION("""COMPUTED_VALUE"""),62.69)</f>
        <v>62.69</v>
      </c>
      <c r="C1320" s="1">
        <f ca="1">IFERROR(__xludf.DUMMYFUNCTION("""COMPUTED_VALUE"""),63.88)</f>
        <v>63.88</v>
      </c>
      <c r="D1320" s="1">
        <f ca="1">IFERROR(__xludf.DUMMYFUNCTION("""COMPUTED_VALUE"""),62.35)</f>
        <v>62.35</v>
      </c>
      <c r="E1320" s="1">
        <f ca="1">IFERROR(__xludf.DUMMYFUNCTION("""COMPUTED_VALUE"""),63.7)</f>
        <v>63.7</v>
      </c>
      <c r="F1320" s="1">
        <f ca="1">IFERROR(__xludf.DUMMYFUNCTION("""COMPUTED_VALUE"""),41994110)</f>
        <v>41994110</v>
      </c>
    </row>
    <row r="1321" spans="1:6" x14ac:dyDescent="0.35">
      <c r="A1321" s="2">
        <f ca="1">IFERROR(__xludf.DUMMYFUNCTION("""COMPUTED_VALUE"""),43921.6666666666)</f>
        <v>43921.666666666599</v>
      </c>
      <c r="B1321" s="1">
        <f ca="1">IFERROR(__xludf.DUMMYFUNCTION("""COMPUTED_VALUE"""),63.9)</f>
        <v>63.9</v>
      </c>
      <c r="C1321" s="1">
        <f ca="1">IFERROR(__xludf.DUMMYFUNCTION("""COMPUTED_VALUE"""),65.62)</f>
        <v>65.62</v>
      </c>
      <c r="D1321" s="1">
        <f ca="1">IFERROR(__xludf.DUMMYFUNCTION("""COMPUTED_VALUE"""),63)</f>
        <v>63</v>
      </c>
      <c r="E1321" s="1">
        <f ca="1">IFERROR(__xludf.DUMMYFUNCTION("""COMPUTED_VALUE"""),63.57)</f>
        <v>63.57</v>
      </c>
      <c r="F1321" s="1">
        <f ca="1">IFERROR(__xludf.DUMMYFUNCTION("""COMPUTED_VALUE"""),49250501)</f>
        <v>49250501</v>
      </c>
    </row>
    <row r="1322" spans="1:6" x14ac:dyDescent="0.35">
      <c r="A1322" s="2">
        <f ca="1">IFERROR(__xludf.DUMMYFUNCTION("""COMPUTED_VALUE"""),43922.6666666666)</f>
        <v>43922.666666666599</v>
      </c>
      <c r="B1322" s="1">
        <f ca="1">IFERROR(__xludf.DUMMYFUNCTION("""COMPUTED_VALUE"""),61.63)</f>
        <v>61.63</v>
      </c>
      <c r="C1322" s="1">
        <f ca="1">IFERROR(__xludf.DUMMYFUNCTION("""COMPUTED_VALUE"""),62.18)</f>
        <v>62.18</v>
      </c>
      <c r="D1322" s="1">
        <f ca="1">IFERROR(__xludf.DUMMYFUNCTION("""COMPUTED_VALUE"""),59.78)</f>
        <v>59.78</v>
      </c>
      <c r="E1322" s="1">
        <f ca="1">IFERROR(__xludf.DUMMYFUNCTION("""COMPUTED_VALUE"""),60.23)</f>
        <v>60.23</v>
      </c>
      <c r="F1322" s="1">
        <f ca="1">IFERROR(__xludf.DUMMYFUNCTION("""COMPUTED_VALUE"""),44054638)</f>
        <v>44054638</v>
      </c>
    </row>
    <row r="1323" spans="1:6" x14ac:dyDescent="0.35">
      <c r="A1323" s="2">
        <f ca="1">IFERROR(__xludf.DUMMYFUNCTION("""COMPUTED_VALUE"""),43923.6666666666)</f>
        <v>43923.666666666599</v>
      </c>
      <c r="B1323" s="1">
        <f ca="1">IFERROR(__xludf.DUMMYFUNCTION("""COMPUTED_VALUE"""),60.09)</f>
        <v>60.09</v>
      </c>
      <c r="C1323" s="1">
        <f ca="1">IFERROR(__xludf.DUMMYFUNCTION("""COMPUTED_VALUE"""),61.29)</f>
        <v>61.29</v>
      </c>
      <c r="D1323" s="1">
        <f ca="1">IFERROR(__xludf.DUMMYFUNCTION("""COMPUTED_VALUE"""),59.23)</f>
        <v>59.23</v>
      </c>
      <c r="E1323" s="1">
        <f ca="1">IFERROR(__xludf.DUMMYFUNCTION("""COMPUTED_VALUE"""),61.23)</f>
        <v>61.23</v>
      </c>
      <c r="F1323" s="1">
        <f ca="1">IFERROR(__xludf.DUMMYFUNCTION("""COMPUTED_VALUE"""),41483493)</f>
        <v>41483493</v>
      </c>
    </row>
    <row r="1324" spans="1:6" x14ac:dyDescent="0.35">
      <c r="A1324" s="2">
        <f ca="1">IFERROR(__xludf.DUMMYFUNCTION("""COMPUTED_VALUE"""),43924.6666666666)</f>
        <v>43924.666666666599</v>
      </c>
      <c r="B1324" s="1">
        <f ca="1">IFERROR(__xludf.DUMMYFUNCTION("""COMPUTED_VALUE"""),60.7)</f>
        <v>60.7</v>
      </c>
      <c r="C1324" s="1">
        <f ca="1">IFERROR(__xludf.DUMMYFUNCTION("""COMPUTED_VALUE"""),61.43)</f>
        <v>61.43</v>
      </c>
      <c r="D1324" s="1">
        <f ca="1">IFERROR(__xludf.DUMMYFUNCTION("""COMPUTED_VALUE"""),59.74)</f>
        <v>59.74</v>
      </c>
      <c r="E1324" s="1">
        <f ca="1">IFERROR(__xludf.DUMMYFUNCTION("""COMPUTED_VALUE"""),60.35)</f>
        <v>60.35</v>
      </c>
      <c r="F1324" s="1">
        <f ca="1">IFERROR(__xludf.DUMMYFUNCTION("""COMPUTED_VALUE"""),32470017)</f>
        <v>32470017</v>
      </c>
    </row>
    <row r="1325" spans="1:6" x14ac:dyDescent="0.35">
      <c r="A1325" s="2">
        <f ca="1">IFERROR(__xludf.DUMMYFUNCTION("""COMPUTED_VALUE"""),43927.6666666666)</f>
        <v>43927.666666666599</v>
      </c>
      <c r="B1325" s="1">
        <f ca="1">IFERROR(__xludf.DUMMYFUNCTION("""COMPUTED_VALUE"""),62.73)</f>
        <v>62.73</v>
      </c>
      <c r="C1325" s="1">
        <f ca="1">IFERROR(__xludf.DUMMYFUNCTION("""COMPUTED_VALUE"""),65.78)</f>
        <v>65.78</v>
      </c>
      <c r="D1325" s="1">
        <f ca="1">IFERROR(__xludf.DUMMYFUNCTION("""COMPUTED_VALUE"""),62.35)</f>
        <v>62.35</v>
      </c>
      <c r="E1325" s="1">
        <f ca="1">IFERROR(__xludf.DUMMYFUNCTION("""COMPUTED_VALUE"""),65.62)</f>
        <v>65.62</v>
      </c>
      <c r="F1325" s="1">
        <f ca="1">IFERROR(__xludf.DUMMYFUNCTION("""COMPUTED_VALUE"""),50455071)</f>
        <v>50455071</v>
      </c>
    </row>
    <row r="1326" spans="1:6" x14ac:dyDescent="0.35">
      <c r="A1326" s="2">
        <f ca="1">IFERROR(__xludf.DUMMYFUNCTION("""COMPUTED_VALUE"""),43928.6666666666)</f>
        <v>43928.666666666599</v>
      </c>
      <c r="B1326" s="1">
        <f ca="1">IFERROR(__xludf.DUMMYFUNCTION("""COMPUTED_VALUE"""),67.7)</f>
        <v>67.7</v>
      </c>
      <c r="C1326" s="1">
        <f ca="1">IFERROR(__xludf.DUMMYFUNCTION("""COMPUTED_VALUE"""),67.93)</f>
        <v>67.930000000000007</v>
      </c>
      <c r="D1326" s="1">
        <f ca="1">IFERROR(__xludf.DUMMYFUNCTION("""COMPUTED_VALUE"""),64.75)</f>
        <v>64.75</v>
      </c>
      <c r="E1326" s="1">
        <f ca="1">IFERROR(__xludf.DUMMYFUNCTION("""COMPUTED_VALUE"""),64.86)</f>
        <v>64.86</v>
      </c>
      <c r="F1326" s="1">
        <f ca="1">IFERROR(__xludf.DUMMYFUNCTION("""COMPUTED_VALUE"""),50721831)</f>
        <v>50721831</v>
      </c>
    </row>
    <row r="1327" spans="1:6" x14ac:dyDescent="0.35">
      <c r="A1327" s="2">
        <f ca="1">IFERROR(__xludf.DUMMYFUNCTION("""COMPUTED_VALUE"""),43929.6666666666)</f>
        <v>43929.666666666599</v>
      </c>
      <c r="B1327" s="1">
        <f ca="1">IFERROR(__xludf.DUMMYFUNCTION("""COMPUTED_VALUE"""),65.69)</f>
        <v>65.69</v>
      </c>
      <c r="C1327" s="1">
        <f ca="1">IFERROR(__xludf.DUMMYFUNCTION("""COMPUTED_VALUE"""),66.84)</f>
        <v>66.84</v>
      </c>
      <c r="D1327" s="1">
        <f ca="1">IFERROR(__xludf.DUMMYFUNCTION("""COMPUTED_VALUE"""),65.31)</f>
        <v>65.31</v>
      </c>
      <c r="E1327" s="1">
        <f ca="1">IFERROR(__xludf.DUMMYFUNCTION("""COMPUTED_VALUE"""),66.52)</f>
        <v>66.52</v>
      </c>
      <c r="F1327" s="1">
        <f ca="1">IFERROR(__xludf.DUMMYFUNCTION("""COMPUTED_VALUE"""),42223821)</f>
        <v>42223821</v>
      </c>
    </row>
    <row r="1328" spans="1:6" x14ac:dyDescent="0.35">
      <c r="A1328" s="2">
        <f ca="1">IFERROR(__xludf.DUMMYFUNCTION("""COMPUTED_VALUE"""),43930.6666666666)</f>
        <v>43930.666666666599</v>
      </c>
      <c r="B1328" s="1">
        <f ca="1">IFERROR(__xludf.DUMMYFUNCTION("""COMPUTED_VALUE"""),67.18)</f>
        <v>67.180000000000007</v>
      </c>
      <c r="C1328" s="1">
        <f ca="1">IFERROR(__xludf.DUMMYFUNCTION("""COMPUTED_VALUE"""),67.52)</f>
        <v>67.52</v>
      </c>
      <c r="D1328" s="1">
        <f ca="1">IFERROR(__xludf.DUMMYFUNCTION("""COMPUTED_VALUE"""),66.18)</f>
        <v>66.180000000000007</v>
      </c>
      <c r="E1328" s="1">
        <f ca="1">IFERROR(__xludf.DUMMYFUNCTION("""COMPUTED_VALUE"""),67)</f>
        <v>67</v>
      </c>
      <c r="F1328" s="1">
        <f ca="1">IFERROR(__xludf.DUMMYFUNCTION("""COMPUTED_VALUE"""),40529123)</f>
        <v>40529123</v>
      </c>
    </row>
    <row r="1329" spans="1:6" x14ac:dyDescent="0.35">
      <c r="A1329" s="2">
        <f ca="1">IFERROR(__xludf.DUMMYFUNCTION("""COMPUTED_VALUE"""),43934.6666666666)</f>
        <v>43934.666666666599</v>
      </c>
      <c r="B1329" s="1">
        <f ca="1">IFERROR(__xludf.DUMMYFUNCTION("""COMPUTED_VALUE"""),67.08)</f>
        <v>67.08</v>
      </c>
      <c r="C1329" s="1">
        <f ca="1">IFERROR(__xludf.DUMMYFUNCTION("""COMPUTED_VALUE"""),68.43)</f>
        <v>68.430000000000007</v>
      </c>
      <c r="D1329" s="1">
        <f ca="1">IFERROR(__xludf.DUMMYFUNCTION("""COMPUTED_VALUE"""),66.46)</f>
        <v>66.459999999999994</v>
      </c>
      <c r="E1329" s="1">
        <f ca="1">IFERROR(__xludf.DUMMYFUNCTION("""COMPUTED_VALUE"""),68.31)</f>
        <v>68.31</v>
      </c>
      <c r="F1329" s="1">
        <f ca="1">IFERROR(__xludf.DUMMYFUNCTION("""COMPUTED_VALUE"""),32755731)</f>
        <v>32755731</v>
      </c>
    </row>
    <row r="1330" spans="1:6" x14ac:dyDescent="0.35">
      <c r="A1330" s="2">
        <f ca="1">IFERROR(__xludf.DUMMYFUNCTION("""COMPUTED_VALUE"""),43935.6666666666)</f>
        <v>43935.666666666599</v>
      </c>
      <c r="B1330" s="1">
        <f ca="1">IFERROR(__xludf.DUMMYFUNCTION("""COMPUTED_VALUE"""),70)</f>
        <v>70</v>
      </c>
      <c r="C1330" s="1">
        <f ca="1">IFERROR(__xludf.DUMMYFUNCTION("""COMPUTED_VALUE"""),72.06)</f>
        <v>72.06</v>
      </c>
      <c r="D1330" s="1">
        <f ca="1">IFERROR(__xludf.DUMMYFUNCTION("""COMPUTED_VALUE"""),69.51)</f>
        <v>69.510000000000005</v>
      </c>
      <c r="E1330" s="1">
        <f ca="1">IFERROR(__xludf.DUMMYFUNCTION("""COMPUTED_VALUE"""),71.76)</f>
        <v>71.760000000000005</v>
      </c>
      <c r="F1330" s="1">
        <f ca="1">IFERROR(__xludf.DUMMYFUNCTION("""COMPUTED_VALUE"""),48748672)</f>
        <v>48748672</v>
      </c>
    </row>
    <row r="1331" spans="1:6" x14ac:dyDescent="0.35">
      <c r="A1331" s="2">
        <f ca="1">IFERROR(__xludf.DUMMYFUNCTION("""COMPUTED_VALUE"""),43936.6666666666)</f>
        <v>43936.666666666599</v>
      </c>
      <c r="B1331" s="1">
        <f ca="1">IFERROR(__xludf.DUMMYFUNCTION("""COMPUTED_VALUE"""),70.6)</f>
        <v>70.599999999999994</v>
      </c>
      <c r="C1331" s="1">
        <f ca="1">IFERROR(__xludf.DUMMYFUNCTION("""COMPUTED_VALUE"""),71.58)</f>
        <v>71.58</v>
      </c>
      <c r="D1331" s="1">
        <f ca="1">IFERROR(__xludf.DUMMYFUNCTION("""COMPUTED_VALUE"""),70.16)</f>
        <v>70.16</v>
      </c>
      <c r="E1331" s="1">
        <f ca="1">IFERROR(__xludf.DUMMYFUNCTION("""COMPUTED_VALUE"""),71.11)</f>
        <v>71.11</v>
      </c>
      <c r="F1331" s="1">
        <f ca="1">IFERROR(__xludf.DUMMYFUNCTION("""COMPUTED_VALUE"""),32788641)</f>
        <v>32788641</v>
      </c>
    </row>
    <row r="1332" spans="1:6" x14ac:dyDescent="0.35">
      <c r="A1332" s="2">
        <f ca="1">IFERROR(__xludf.DUMMYFUNCTION("""COMPUTED_VALUE"""),43937.6666666666)</f>
        <v>43937.666666666599</v>
      </c>
      <c r="B1332" s="1">
        <f ca="1">IFERROR(__xludf.DUMMYFUNCTION("""COMPUTED_VALUE"""),71.85)</f>
        <v>71.849999999999994</v>
      </c>
      <c r="C1332" s="1">
        <f ca="1">IFERROR(__xludf.DUMMYFUNCTION("""COMPUTED_VALUE"""),72.05)</f>
        <v>72.05</v>
      </c>
      <c r="D1332" s="1">
        <f ca="1">IFERROR(__xludf.DUMMYFUNCTION("""COMPUTED_VALUE"""),70.59)</f>
        <v>70.59</v>
      </c>
      <c r="E1332" s="1">
        <f ca="1">IFERROR(__xludf.DUMMYFUNCTION("""COMPUTED_VALUE"""),71.67)</f>
        <v>71.67</v>
      </c>
      <c r="F1332" s="1">
        <f ca="1">IFERROR(__xludf.DUMMYFUNCTION("""COMPUTED_VALUE"""),39281290)</f>
        <v>39281290</v>
      </c>
    </row>
    <row r="1333" spans="1:6" x14ac:dyDescent="0.35">
      <c r="A1333" s="2">
        <f ca="1">IFERROR(__xludf.DUMMYFUNCTION("""COMPUTED_VALUE"""),43938.6666666666)</f>
        <v>43938.666666666599</v>
      </c>
      <c r="B1333" s="1">
        <f ca="1">IFERROR(__xludf.DUMMYFUNCTION("""COMPUTED_VALUE"""),71.17)</f>
        <v>71.17</v>
      </c>
      <c r="C1333" s="1">
        <f ca="1">IFERROR(__xludf.DUMMYFUNCTION("""COMPUTED_VALUE"""),71.74)</f>
        <v>71.739999999999995</v>
      </c>
      <c r="D1333" s="1">
        <f ca="1">IFERROR(__xludf.DUMMYFUNCTION("""COMPUTED_VALUE"""),69.22)</f>
        <v>69.22</v>
      </c>
      <c r="E1333" s="1">
        <f ca="1">IFERROR(__xludf.DUMMYFUNCTION("""COMPUTED_VALUE"""),70.7)</f>
        <v>70.7</v>
      </c>
      <c r="F1333" s="1">
        <f ca="1">IFERROR(__xludf.DUMMYFUNCTION("""COMPUTED_VALUE"""),53812478)</f>
        <v>53812478</v>
      </c>
    </row>
    <row r="1334" spans="1:6" x14ac:dyDescent="0.35">
      <c r="A1334" s="2">
        <f ca="1">IFERROR(__xludf.DUMMYFUNCTION("""COMPUTED_VALUE"""),43941.6666666666)</f>
        <v>43941.666666666599</v>
      </c>
      <c r="B1334" s="1">
        <f ca="1">IFERROR(__xludf.DUMMYFUNCTION("""COMPUTED_VALUE"""),69.49)</f>
        <v>69.489999999999995</v>
      </c>
      <c r="C1334" s="1">
        <f ca="1">IFERROR(__xludf.DUMMYFUNCTION("""COMPUTED_VALUE"""),70.42)</f>
        <v>70.42</v>
      </c>
      <c r="D1334" s="1">
        <f ca="1">IFERROR(__xludf.DUMMYFUNCTION("""COMPUTED_VALUE"""),69.21)</f>
        <v>69.209999999999994</v>
      </c>
      <c r="E1334" s="1">
        <f ca="1">IFERROR(__xludf.DUMMYFUNCTION("""COMPUTED_VALUE"""),69.23)</f>
        <v>69.23</v>
      </c>
      <c r="F1334" s="1">
        <f ca="1">IFERROR(__xludf.DUMMYFUNCTION("""COMPUTED_VALUE"""),32503750)</f>
        <v>32503750</v>
      </c>
    </row>
    <row r="1335" spans="1:6" x14ac:dyDescent="0.35">
      <c r="A1335" s="2">
        <f ca="1">IFERROR(__xludf.DUMMYFUNCTION("""COMPUTED_VALUE"""),43942.6666666666)</f>
        <v>43942.666666666599</v>
      </c>
      <c r="B1335" s="1">
        <f ca="1">IFERROR(__xludf.DUMMYFUNCTION("""COMPUTED_VALUE"""),69.07)</f>
        <v>69.069999999999993</v>
      </c>
      <c r="C1335" s="1">
        <f ca="1">IFERROR(__xludf.DUMMYFUNCTION("""COMPUTED_VALUE"""),69.31)</f>
        <v>69.31</v>
      </c>
      <c r="D1335" s="1">
        <f ca="1">IFERROR(__xludf.DUMMYFUNCTION("""COMPUTED_VALUE"""),66.36)</f>
        <v>66.36</v>
      </c>
      <c r="E1335" s="1">
        <f ca="1">IFERROR(__xludf.DUMMYFUNCTION("""COMPUTED_VALUE"""),67.09)</f>
        <v>67.09</v>
      </c>
      <c r="F1335" s="1">
        <f ca="1">IFERROR(__xludf.DUMMYFUNCTION("""COMPUTED_VALUE"""),45247893)</f>
        <v>45247893</v>
      </c>
    </row>
    <row r="1336" spans="1:6" x14ac:dyDescent="0.35">
      <c r="A1336" s="2">
        <f ca="1">IFERROR(__xludf.DUMMYFUNCTION("""COMPUTED_VALUE"""),43943.6666666666)</f>
        <v>43943.666666666599</v>
      </c>
      <c r="B1336" s="1">
        <f ca="1">IFERROR(__xludf.DUMMYFUNCTION("""COMPUTED_VALUE"""),68.4)</f>
        <v>68.400000000000006</v>
      </c>
      <c r="C1336" s="1">
        <f ca="1">IFERROR(__xludf.DUMMYFUNCTION("""COMPUTED_VALUE"""),69.47)</f>
        <v>69.47</v>
      </c>
      <c r="D1336" s="1">
        <f ca="1">IFERROR(__xludf.DUMMYFUNCTION("""COMPUTED_VALUE"""),68.05)</f>
        <v>68.05</v>
      </c>
      <c r="E1336" s="1">
        <f ca="1">IFERROR(__xludf.DUMMYFUNCTION("""COMPUTED_VALUE"""),69.03)</f>
        <v>69.03</v>
      </c>
      <c r="F1336" s="1">
        <f ca="1">IFERROR(__xludf.DUMMYFUNCTION("""COMPUTED_VALUE"""),29264342)</f>
        <v>29264342</v>
      </c>
    </row>
    <row r="1337" spans="1:6" x14ac:dyDescent="0.35">
      <c r="A1337" s="2">
        <f ca="1">IFERROR(__xludf.DUMMYFUNCTION("""COMPUTED_VALUE"""),43944.6666666666)</f>
        <v>43944.666666666599</v>
      </c>
      <c r="B1337" s="1">
        <f ca="1">IFERROR(__xludf.DUMMYFUNCTION("""COMPUTED_VALUE"""),68.97)</f>
        <v>68.97</v>
      </c>
      <c r="C1337" s="1">
        <f ca="1">IFERROR(__xludf.DUMMYFUNCTION("""COMPUTED_VALUE"""),70.44)</f>
        <v>70.44</v>
      </c>
      <c r="D1337" s="1">
        <f ca="1">IFERROR(__xludf.DUMMYFUNCTION("""COMPUTED_VALUE"""),68.72)</f>
        <v>68.72</v>
      </c>
      <c r="E1337" s="1">
        <f ca="1">IFERROR(__xludf.DUMMYFUNCTION("""COMPUTED_VALUE"""),68.76)</f>
        <v>68.760000000000005</v>
      </c>
      <c r="F1337" s="1">
        <f ca="1">IFERROR(__xludf.DUMMYFUNCTION("""COMPUTED_VALUE"""),31203582)</f>
        <v>31203582</v>
      </c>
    </row>
    <row r="1338" spans="1:6" x14ac:dyDescent="0.35">
      <c r="A1338" s="2">
        <f ca="1">IFERROR(__xludf.DUMMYFUNCTION("""COMPUTED_VALUE"""),43945.6666666666)</f>
        <v>43945.666666666599</v>
      </c>
      <c r="B1338" s="1">
        <f ca="1">IFERROR(__xludf.DUMMYFUNCTION("""COMPUTED_VALUE"""),69.3)</f>
        <v>69.3</v>
      </c>
      <c r="C1338" s="1">
        <f ca="1">IFERROR(__xludf.DUMMYFUNCTION("""COMPUTED_VALUE"""),70.75)</f>
        <v>70.75</v>
      </c>
      <c r="D1338" s="1">
        <f ca="1">IFERROR(__xludf.DUMMYFUNCTION("""COMPUTED_VALUE"""),69.25)</f>
        <v>69.25</v>
      </c>
      <c r="E1338" s="1">
        <f ca="1">IFERROR(__xludf.DUMMYFUNCTION("""COMPUTED_VALUE"""),70.74)</f>
        <v>70.739999999999995</v>
      </c>
      <c r="F1338" s="1">
        <f ca="1">IFERROR(__xludf.DUMMYFUNCTION("""COMPUTED_VALUE"""),31627183)</f>
        <v>31627183</v>
      </c>
    </row>
    <row r="1339" spans="1:6" x14ac:dyDescent="0.35">
      <c r="A1339" s="2">
        <f ca="1">IFERROR(__xludf.DUMMYFUNCTION("""COMPUTED_VALUE"""),43948.6666666666)</f>
        <v>43948.666666666599</v>
      </c>
      <c r="B1339" s="1">
        <f ca="1">IFERROR(__xludf.DUMMYFUNCTION("""COMPUTED_VALUE"""),70.45)</f>
        <v>70.45</v>
      </c>
      <c r="C1339" s="1">
        <f ca="1">IFERROR(__xludf.DUMMYFUNCTION("""COMPUTED_VALUE"""),71.14)</f>
        <v>71.14</v>
      </c>
      <c r="D1339" s="1">
        <f ca="1">IFERROR(__xludf.DUMMYFUNCTION("""COMPUTED_VALUE"""),69.99)</f>
        <v>69.989999999999995</v>
      </c>
      <c r="E1339" s="1">
        <f ca="1">IFERROR(__xludf.DUMMYFUNCTION("""COMPUTED_VALUE"""),70.79)</f>
        <v>70.790000000000006</v>
      </c>
      <c r="F1339" s="1">
        <f ca="1">IFERROR(__xludf.DUMMYFUNCTION("""COMPUTED_VALUE"""),29271893)</f>
        <v>29271893</v>
      </c>
    </row>
    <row r="1340" spans="1:6" x14ac:dyDescent="0.35">
      <c r="A1340" s="2">
        <f ca="1">IFERROR(__xludf.DUMMYFUNCTION("""COMPUTED_VALUE"""),43949.6666666666)</f>
        <v>43949.666666666599</v>
      </c>
      <c r="B1340" s="1">
        <f ca="1">IFERROR(__xludf.DUMMYFUNCTION("""COMPUTED_VALUE"""),71.27)</f>
        <v>71.27</v>
      </c>
      <c r="C1340" s="1">
        <f ca="1">IFERROR(__xludf.DUMMYFUNCTION("""COMPUTED_VALUE"""),71.46)</f>
        <v>71.459999999999994</v>
      </c>
      <c r="D1340" s="1">
        <f ca="1">IFERROR(__xludf.DUMMYFUNCTION("""COMPUTED_VALUE"""),69.55)</f>
        <v>69.55</v>
      </c>
      <c r="E1340" s="1">
        <f ca="1">IFERROR(__xludf.DUMMYFUNCTION("""COMPUTED_VALUE"""),69.65)</f>
        <v>69.650000000000006</v>
      </c>
      <c r="F1340" s="1">
        <f ca="1">IFERROR(__xludf.DUMMYFUNCTION("""COMPUTED_VALUE"""),28001187)</f>
        <v>28001187</v>
      </c>
    </row>
    <row r="1341" spans="1:6" x14ac:dyDescent="0.35">
      <c r="A1341" s="2">
        <f ca="1">IFERROR(__xludf.DUMMYFUNCTION("""COMPUTED_VALUE"""),43950.6666666666)</f>
        <v>43950.666666666599</v>
      </c>
      <c r="B1341" s="1">
        <f ca="1">IFERROR(__xludf.DUMMYFUNCTION("""COMPUTED_VALUE"""),71.18)</f>
        <v>71.180000000000007</v>
      </c>
      <c r="C1341" s="1">
        <f ca="1">IFERROR(__xludf.DUMMYFUNCTION("""COMPUTED_VALUE"""),72.42)</f>
        <v>72.42</v>
      </c>
      <c r="D1341" s="1">
        <f ca="1">IFERROR(__xludf.DUMMYFUNCTION("""COMPUTED_VALUE"""),70.97)</f>
        <v>70.97</v>
      </c>
      <c r="E1341" s="1">
        <f ca="1">IFERROR(__xludf.DUMMYFUNCTION("""COMPUTED_VALUE"""),71.93)</f>
        <v>71.930000000000007</v>
      </c>
      <c r="F1341" s="1">
        <f ca="1">IFERROR(__xludf.DUMMYFUNCTION("""COMPUTED_VALUE"""),34320204)</f>
        <v>34320204</v>
      </c>
    </row>
    <row r="1342" spans="1:6" x14ac:dyDescent="0.35">
      <c r="A1342" s="2">
        <f ca="1">IFERROR(__xludf.DUMMYFUNCTION("""COMPUTED_VALUE"""),43951.6666666666)</f>
        <v>43951.666666666599</v>
      </c>
      <c r="B1342" s="1">
        <f ca="1">IFERROR(__xludf.DUMMYFUNCTION("""COMPUTED_VALUE"""),72.49)</f>
        <v>72.489999999999995</v>
      </c>
      <c r="C1342" s="1">
        <f ca="1">IFERROR(__xludf.DUMMYFUNCTION("""COMPUTED_VALUE"""),73.63)</f>
        <v>73.63</v>
      </c>
      <c r="D1342" s="1">
        <f ca="1">IFERROR(__xludf.DUMMYFUNCTION("""COMPUTED_VALUE"""),72.09)</f>
        <v>72.09</v>
      </c>
      <c r="E1342" s="1">
        <f ca="1">IFERROR(__xludf.DUMMYFUNCTION("""COMPUTED_VALUE"""),73.45)</f>
        <v>73.45</v>
      </c>
      <c r="F1342" s="1">
        <f ca="1">IFERROR(__xludf.DUMMYFUNCTION("""COMPUTED_VALUE"""),45765968)</f>
        <v>45765968</v>
      </c>
    </row>
    <row r="1343" spans="1:6" x14ac:dyDescent="0.35">
      <c r="A1343" s="2">
        <f ca="1">IFERROR(__xludf.DUMMYFUNCTION("""COMPUTED_VALUE"""),43952.6666666666)</f>
        <v>43952.666666666599</v>
      </c>
      <c r="B1343" s="1">
        <f ca="1">IFERROR(__xludf.DUMMYFUNCTION("""COMPUTED_VALUE"""),71.56)</f>
        <v>71.56</v>
      </c>
      <c r="C1343" s="1">
        <f ca="1">IFERROR(__xludf.DUMMYFUNCTION("""COMPUTED_VALUE"""),74.75)</f>
        <v>74.75</v>
      </c>
      <c r="D1343" s="1">
        <f ca="1">IFERROR(__xludf.DUMMYFUNCTION("""COMPUTED_VALUE"""),71.46)</f>
        <v>71.459999999999994</v>
      </c>
      <c r="E1343" s="1">
        <f ca="1">IFERROR(__xludf.DUMMYFUNCTION("""COMPUTED_VALUE"""),72.27)</f>
        <v>72.27</v>
      </c>
      <c r="F1343" s="1">
        <f ca="1">IFERROR(__xludf.DUMMYFUNCTION("""COMPUTED_VALUE"""),60154175)</f>
        <v>60154175</v>
      </c>
    </row>
    <row r="1344" spans="1:6" x14ac:dyDescent="0.35">
      <c r="A1344" s="2">
        <f ca="1">IFERROR(__xludf.DUMMYFUNCTION("""COMPUTED_VALUE"""),43955.6666666666)</f>
        <v>43955.666666666599</v>
      </c>
      <c r="B1344" s="1">
        <f ca="1">IFERROR(__xludf.DUMMYFUNCTION("""COMPUTED_VALUE"""),72.29)</f>
        <v>72.290000000000006</v>
      </c>
      <c r="C1344" s="1">
        <f ca="1">IFERROR(__xludf.DUMMYFUNCTION("""COMPUTED_VALUE"""),73.42)</f>
        <v>73.42</v>
      </c>
      <c r="D1344" s="1">
        <f ca="1">IFERROR(__xludf.DUMMYFUNCTION("""COMPUTED_VALUE"""),71.58)</f>
        <v>71.58</v>
      </c>
      <c r="E1344" s="1">
        <f ca="1">IFERROR(__xludf.DUMMYFUNCTION("""COMPUTED_VALUE"""),73.29)</f>
        <v>73.290000000000006</v>
      </c>
      <c r="F1344" s="1">
        <f ca="1">IFERROR(__xludf.DUMMYFUNCTION("""COMPUTED_VALUE"""),33391986)</f>
        <v>33391986</v>
      </c>
    </row>
    <row r="1345" spans="1:6" x14ac:dyDescent="0.35">
      <c r="A1345" s="2">
        <f ca="1">IFERROR(__xludf.DUMMYFUNCTION("""COMPUTED_VALUE"""),43956.6666666666)</f>
        <v>43956.666666666599</v>
      </c>
      <c r="B1345" s="1">
        <f ca="1">IFERROR(__xludf.DUMMYFUNCTION("""COMPUTED_VALUE"""),73.77)</f>
        <v>73.77</v>
      </c>
      <c r="C1345" s="1">
        <f ca="1">IFERROR(__xludf.DUMMYFUNCTION("""COMPUTED_VALUE"""),75.25)</f>
        <v>75.25</v>
      </c>
      <c r="D1345" s="1">
        <f ca="1">IFERROR(__xludf.DUMMYFUNCTION("""COMPUTED_VALUE"""),73.61)</f>
        <v>73.61</v>
      </c>
      <c r="E1345" s="1">
        <f ca="1">IFERROR(__xludf.DUMMYFUNCTION("""COMPUTED_VALUE"""),74.39)</f>
        <v>74.39</v>
      </c>
      <c r="F1345" s="1">
        <f ca="1">IFERROR(__xludf.DUMMYFUNCTION("""COMPUTED_VALUE"""),36937795)</f>
        <v>36937795</v>
      </c>
    </row>
    <row r="1346" spans="1:6" x14ac:dyDescent="0.35">
      <c r="A1346" s="2">
        <f ca="1">IFERROR(__xludf.DUMMYFUNCTION("""COMPUTED_VALUE"""),43957.6666666666)</f>
        <v>43957.666666666599</v>
      </c>
      <c r="B1346" s="1">
        <f ca="1">IFERROR(__xludf.DUMMYFUNCTION("""COMPUTED_VALUE"""),75.11)</f>
        <v>75.11</v>
      </c>
      <c r="C1346" s="1">
        <f ca="1">IFERROR(__xludf.DUMMYFUNCTION("""COMPUTED_VALUE"""),75.81)</f>
        <v>75.81</v>
      </c>
      <c r="D1346" s="1">
        <f ca="1">IFERROR(__xludf.DUMMYFUNCTION("""COMPUTED_VALUE"""),74.72)</f>
        <v>74.72</v>
      </c>
      <c r="E1346" s="1">
        <f ca="1">IFERROR(__xludf.DUMMYFUNCTION("""COMPUTED_VALUE"""),75.16)</f>
        <v>75.16</v>
      </c>
      <c r="F1346" s="1">
        <f ca="1">IFERROR(__xludf.DUMMYFUNCTION("""COMPUTED_VALUE"""),35583438)</f>
        <v>35583438</v>
      </c>
    </row>
    <row r="1347" spans="1:6" x14ac:dyDescent="0.35">
      <c r="A1347" s="2">
        <f ca="1">IFERROR(__xludf.DUMMYFUNCTION("""COMPUTED_VALUE"""),43958.6666666666)</f>
        <v>43958.666666666599</v>
      </c>
      <c r="B1347" s="1">
        <f ca="1">IFERROR(__xludf.DUMMYFUNCTION("""COMPUTED_VALUE"""),75.81)</f>
        <v>75.81</v>
      </c>
      <c r="C1347" s="1">
        <f ca="1">IFERROR(__xludf.DUMMYFUNCTION("""COMPUTED_VALUE"""),76.29)</f>
        <v>76.290000000000006</v>
      </c>
      <c r="D1347" s="1">
        <f ca="1">IFERROR(__xludf.DUMMYFUNCTION("""COMPUTED_VALUE"""),75.49)</f>
        <v>75.489999999999995</v>
      </c>
      <c r="E1347" s="1">
        <f ca="1">IFERROR(__xludf.DUMMYFUNCTION("""COMPUTED_VALUE"""),75.94)</f>
        <v>75.94</v>
      </c>
      <c r="F1347" s="1">
        <f ca="1">IFERROR(__xludf.DUMMYFUNCTION("""COMPUTED_VALUE"""),28803764)</f>
        <v>28803764</v>
      </c>
    </row>
    <row r="1348" spans="1:6" x14ac:dyDescent="0.35">
      <c r="A1348" s="2">
        <f ca="1">IFERROR(__xludf.DUMMYFUNCTION("""COMPUTED_VALUE"""),43959.6666666666)</f>
        <v>43959.666666666599</v>
      </c>
      <c r="B1348" s="1">
        <f ca="1">IFERROR(__xludf.DUMMYFUNCTION("""COMPUTED_VALUE"""),76.41)</f>
        <v>76.41</v>
      </c>
      <c r="C1348" s="1">
        <f ca="1">IFERROR(__xludf.DUMMYFUNCTION("""COMPUTED_VALUE"""),77.59)</f>
        <v>77.59</v>
      </c>
      <c r="D1348" s="1">
        <f ca="1">IFERROR(__xludf.DUMMYFUNCTION("""COMPUTED_VALUE"""),76.07)</f>
        <v>76.069999999999993</v>
      </c>
      <c r="E1348" s="1">
        <f ca="1">IFERROR(__xludf.DUMMYFUNCTION("""COMPUTED_VALUE"""),77.53)</f>
        <v>77.53</v>
      </c>
      <c r="F1348" s="1">
        <f ca="1">IFERROR(__xludf.DUMMYFUNCTION("""COMPUTED_VALUE"""),33511985)</f>
        <v>33511985</v>
      </c>
    </row>
    <row r="1349" spans="1:6" x14ac:dyDescent="0.35">
      <c r="A1349" s="2">
        <f ca="1">IFERROR(__xludf.DUMMYFUNCTION("""COMPUTED_VALUE"""),43962.6666666666)</f>
        <v>43962.666666666599</v>
      </c>
      <c r="B1349" s="1">
        <f ca="1">IFERROR(__xludf.DUMMYFUNCTION("""COMPUTED_VALUE"""),77.03)</f>
        <v>77.03</v>
      </c>
      <c r="C1349" s="1">
        <f ca="1">IFERROR(__xludf.DUMMYFUNCTION("""COMPUTED_VALUE"""),79.26)</f>
        <v>79.260000000000005</v>
      </c>
      <c r="D1349" s="1">
        <f ca="1">IFERROR(__xludf.DUMMYFUNCTION("""COMPUTED_VALUE"""),76.81)</f>
        <v>76.81</v>
      </c>
      <c r="E1349" s="1">
        <f ca="1">IFERROR(__xludf.DUMMYFUNCTION("""COMPUTED_VALUE"""),78.75)</f>
        <v>78.75</v>
      </c>
      <c r="F1349" s="1">
        <f ca="1">IFERROR(__xludf.DUMMYFUNCTION("""COMPUTED_VALUE"""),36486561)</f>
        <v>36486561</v>
      </c>
    </row>
    <row r="1350" spans="1:6" x14ac:dyDescent="0.35">
      <c r="A1350" s="2">
        <f ca="1">IFERROR(__xludf.DUMMYFUNCTION("""COMPUTED_VALUE"""),43963.6666666666)</f>
        <v>43963.666666666599</v>
      </c>
      <c r="B1350" s="1">
        <f ca="1">IFERROR(__xludf.DUMMYFUNCTION("""COMPUTED_VALUE"""),79.46)</f>
        <v>79.459999999999994</v>
      </c>
      <c r="C1350" s="1">
        <f ca="1">IFERROR(__xludf.DUMMYFUNCTION("""COMPUTED_VALUE"""),79.92)</f>
        <v>79.92</v>
      </c>
      <c r="D1350" s="1">
        <f ca="1">IFERROR(__xludf.DUMMYFUNCTION("""COMPUTED_VALUE"""),77.73)</f>
        <v>77.73</v>
      </c>
      <c r="E1350" s="1">
        <f ca="1">IFERROR(__xludf.DUMMYFUNCTION("""COMPUTED_VALUE"""),77.85)</f>
        <v>77.849999999999994</v>
      </c>
      <c r="F1350" s="1">
        <f ca="1">IFERROR(__xludf.DUMMYFUNCTION("""COMPUTED_VALUE"""),40575263)</f>
        <v>40575263</v>
      </c>
    </row>
    <row r="1351" spans="1:6" x14ac:dyDescent="0.35">
      <c r="A1351" s="2">
        <f ca="1">IFERROR(__xludf.DUMMYFUNCTION("""COMPUTED_VALUE"""),43964.6666666666)</f>
        <v>43964.666666666599</v>
      </c>
      <c r="B1351" s="1">
        <f ca="1">IFERROR(__xludf.DUMMYFUNCTION("""COMPUTED_VALUE"""),78.04)</f>
        <v>78.040000000000006</v>
      </c>
      <c r="C1351" s="1">
        <f ca="1">IFERROR(__xludf.DUMMYFUNCTION("""COMPUTED_VALUE"""),78.99)</f>
        <v>78.989999999999995</v>
      </c>
      <c r="D1351" s="1">
        <f ca="1">IFERROR(__xludf.DUMMYFUNCTION("""COMPUTED_VALUE"""),75.8)</f>
        <v>75.8</v>
      </c>
      <c r="E1351" s="1">
        <f ca="1">IFERROR(__xludf.DUMMYFUNCTION("""COMPUTED_VALUE"""),76.91)</f>
        <v>76.91</v>
      </c>
      <c r="F1351" s="1">
        <f ca="1">IFERROR(__xludf.DUMMYFUNCTION("""COMPUTED_VALUE"""),50155639)</f>
        <v>50155639</v>
      </c>
    </row>
    <row r="1352" spans="1:6" x14ac:dyDescent="0.35">
      <c r="A1352" s="2">
        <f ca="1">IFERROR(__xludf.DUMMYFUNCTION("""COMPUTED_VALUE"""),43965.6666666666)</f>
        <v>43965.666666666599</v>
      </c>
      <c r="B1352" s="1">
        <f ca="1">IFERROR(__xludf.DUMMYFUNCTION("""COMPUTED_VALUE"""),76.13)</f>
        <v>76.13</v>
      </c>
      <c r="C1352" s="1">
        <f ca="1">IFERROR(__xludf.DUMMYFUNCTION("""COMPUTED_VALUE"""),77.45)</f>
        <v>77.45</v>
      </c>
      <c r="D1352" s="1">
        <f ca="1">IFERROR(__xludf.DUMMYFUNCTION("""COMPUTED_VALUE"""),75.38)</f>
        <v>75.38</v>
      </c>
      <c r="E1352" s="1">
        <f ca="1">IFERROR(__xludf.DUMMYFUNCTION("""COMPUTED_VALUE"""),77.39)</f>
        <v>77.39</v>
      </c>
      <c r="F1352" s="1">
        <f ca="1">IFERROR(__xludf.DUMMYFUNCTION("""COMPUTED_VALUE"""),39732269)</f>
        <v>39732269</v>
      </c>
    </row>
    <row r="1353" spans="1:6" x14ac:dyDescent="0.35">
      <c r="A1353" s="2">
        <f ca="1">IFERROR(__xludf.DUMMYFUNCTION("""COMPUTED_VALUE"""),43966.6666666666)</f>
        <v>43966.666666666599</v>
      </c>
      <c r="B1353" s="1">
        <f ca="1">IFERROR(__xludf.DUMMYFUNCTION("""COMPUTED_VALUE"""),75.09)</f>
        <v>75.09</v>
      </c>
      <c r="C1353" s="1">
        <f ca="1">IFERROR(__xludf.DUMMYFUNCTION("""COMPUTED_VALUE"""),76.97)</f>
        <v>76.97</v>
      </c>
      <c r="D1353" s="1">
        <f ca="1">IFERROR(__xludf.DUMMYFUNCTION("""COMPUTED_VALUE"""),75.05)</f>
        <v>75.05</v>
      </c>
      <c r="E1353" s="1">
        <f ca="1">IFERROR(__xludf.DUMMYFUNCTION("""COMPUTED_VALUE"""),76.93)</f>
        <v>76.930000000000007</v>
      </c>
      <c r="F1353" s="1">
        <f ca="1">IFERROR(__xludf.DUMMYFUNCTION("""COMPUTED_VALUE"""),41587094)</f>
        <v>41587094</v>
      </c>
    </row>
    <row r="1354" spans="1:6" x14ac:dyDescent="0.35">
      <c r="A1354" s="2">
        <f ca="1">IFERROR(__xludf.DUMMYFUNCTION("""COMPUTED_VALUE"""),43969.6666666666)</f>
        <v>43969.666666666599</v>
      </c>
      <c r="B1354" s="1">
        <f ca="1">IFERROR(__xludf.DUMMYFUNCTION("""COMPUTED_VALUE"""),78.29)</f>
        <v>78.290000000000006</v>
      </c>
      <c r="C1354" s="1">
        <f ca="1">IFERROR(__xludf.DUMMYFUNCTION("""COMPUTED_VALUE"""),79.13)</f>
        <v>79.13</v>
      </c>
      <c r="D1354" s="1">
        <f ca="1">IFERROR(__xludf.DUMMYFUNCTION("""COMPUTED_VALUE"""),77.58)</f>
        <v>77.58</v>
      </c>
      <c r="E1354" s="1">
        <f ca="1">IFERROR(__xludf.DUMMYFUNCTION("""COMPUTED_VALUE"""),78.74)</f>
        <v>78.739999999999995</v>
      </c>
      <c r="F1354" s="1">
        <f ca="1">IFERROR(__xludf.DUMMYFUNCTION("""COMPUTED_VALUE"""),33843125)</f>
        <v>33843125</v>
      </c>
    </row>
    <row r="1355" spans="1:6" x14ac:dyDescent="0.35">
      <c r="A1355" s="2">
        <f ca="1">IFERROR(__xludf.DUMMYFUNCTION("""COMPUTED_VALUE"""),43970.6666666666)</f>
        <v>43970.666666666599</v>
      </c>
      <c r="B1355" s="1">
        <f ca="1">IFERROR(__xludf.DUMMYFUNCTION("""COMPUTED_VALUE"""),78.76)</f>
        <v>78.760000000000005</v>
      </c>
      <c r="C1355" s="1">
        <f ca="1">IFERROR(__xludf.DUMMYFUNCTION("""COMPUTED_VALUE"""),79.63)</f>
        <v>79.63</v>
      </c>
      <c r="D1355" s="1">
        <f ca="1">IFERROR(__xludf.DUMMYFUNCTION("""COMPUTED_VALUE"""),78.25)</f>
        <v>78.25</v>
      </c>
      <c r="E1355" s="1">
        <f ca="1">IFERROR(__xludf.DUMMYFUNCTION("""COMPUTED_VALUE"""),78.29)</f>
        <v>78.290000000000006</v>
      </c>
      <c r="F1355" s="1">
        <f ca="1">IFERROR(__xludf.DUMMYFUNCTION("""COMPUTED_VALUE"""),25432385)</f>
        <v>25432385</v>
      </c>
    </row>
    <row r="1356" spans="1:6" x14ac:dyDescent="0.35">
      <c r="A1356" s="2">
        <f ca="1">IFERROR(__xludf.DUMMYFUNCTION("""COMPUTED_VALUE"""),43971.6666666666)</f>
        <v>43971.666666666599</v>
      </c>
      <c r="B1356" s="1">
        <f ca="1">IFERROR(__xludf.DUMMYFUNCTION("""COMPUTED_VALUE"""),79.17)</f>
        <v>79.17</v>
      </c>
      <c r="C1356" s="1">
        <f ca="1">IFERROR(__xludf.DUMMYFUNCTION("""COMPUTED_VALUE"""),79.88)</f>
        <v>79.88</v>
      </c>
      <c r="D1356" s="1">
        <f ca="1">IFERROR(__xludf.DUMMYFUNCTION("""COMPUTED_VALUE"""),79.05)</f>
        <v>79.05</v>
      </c>
      <c r="E1356" s="1">
        <f ca="1">IFERROR(__xludf.DUMMYFUNCTION("""COMPUTED_VALUE"""),79.81)</f>
        <v>79.81</v>
      </c>
      <c r="F1356" s="1">
        <f ca="1">IFERROR(__xludf.DUMMYFUNCTION("""COMPUTED_VALUE"""),27876215)</f>
        <v>27876215</v>
      </c>
    </row>
    <row r="1357" spans="1:6" x14ac:dyDescent="0.35">
      <c r="A1357" s="2">
        <f ca="1">IFERROR(__xludf.DUMMYFUNCTION("""COMPUTED_VALUE"""),43972.6666666666)</f>
        <v>43972.666666666599</v>
      </c>
      <c r="B1357" s="1">
        <f ca="1">IFERROR(__xludf.DUMMYFUNCTION("""COMPUTED_VALUE"""),79.67)</f>
        <v>79.67</v>
      </c>
      <c r="C1357" s="1">
        <f ca="1">IFERROR(__xludf.DUMMYFUNCTION("""COMPUTED_VALUE"""),80.22)</f>
        <v>80.22</v>
      </c>
      <c r="D1357" s="1">
        <f ca="1">IFERROR(__xludf.DUMMYFUNCTION("""COMPUTED_VALUE"""),78.97)</f>
        <v>78.97</v>
      </c>
      <c r="E1357" s="1">
        <f ca="1">IFERROR(__xludf.DUMMYFUNCTION("""COMPUTED_VALUE"""),79.21)</f>
        <v>79.209999999999994</v>
      </c>
      <c r="F1357" s="1">
        <f ca="1">IFERROR(__xludf.DUMMYFUNCTION("""COMPUTED_VALUE"""),25672211)</f>
        <v>25672211</v>
      </c>
    </row>
    <row r="1358" spans="1:6" x14ac:dyDescent="0.35">
      <c r="A1358" s="2">
        <f ca="1">IFERROR(__xludf.DUMMYFUNCTION("""COMPUTED_VALUE"""),43973.6666666666)</f>
        <v>43973.666666666599</v>
      </c>
      <c r="B1358" s="1">
        <f ca="1">IFERROR(__xludf.DUMMYFUNCTION("""COMPUTED_VALUE"""),78.94)</f>
        <v>78.94</v>
      </c>
      <c r="C1358" s="1">
        <f ca="1">IFERROR(__xludf.DUMMYFUNCTION("""COMPUTED_VALUE"""),79.81)</f>
        <v>79.81</v>
      </c>
      <c r="D1358" s="1">
        <f ca="1">IFERROR(__xludf.DUMMYFUNCTION("""COMPUTED_VALUE"""),78.84)</f>
        <v>78.84</v>
      </c>
      <c r="E1358" s="1">
        <f ca="1">IFERROR(__xludf.DUMMYFUNCTION("""COMPUTED_VALUE"""),79.72)</f>
        <v>79.72</v>
      </c>
      <c r="F1358" s="1">
        <f ca="1">IFERROR(__xludf.DUMMYFUNCTION("""COMPUTED_VALUE"""),20450754)</f>
        <v>20450754</v>
      </c>
    </row>
    <row r="1359" spans="1:6" x14ac:dyDescent="0.35">
      <c r="A1359" s="2">
        <f ca="1">IFERROR(__xludf.DUMMYFUNCTION("""COMPUTED_VALUE"""),43977.6666666666)</f>
        <v>43977.666666666599</v>
      </c>
      <c r="B1359" s="1">
        <f ca="1">IFERROR(__xludf.DUMMYFUNCTION("""COMPUTED_VALUE"""),80.88)</f>
        <v>80.88</v>
      </c>
      <c r="C1359" s="1">
        <f ca="1">IFERROR(__xludf.DUMMYFUNCTION("""COMPUTED_VALUE"""),81.06)</f>
        <v>81.06</v>
      </c>
      <c r="D1359" s="1">
        <f ca="1">IFERROR(__xludf.DUMMYFUNCTION("""COMPUTED_VALUE"""),79.13)</f>
        <v>79.13</v>
      </c>
      <c r="E1359" s="1">
        <f ca="1">IFERROR(__xludf.DUMMYFUNCTION("""COMPUTED_VALUE"""),79.18)</f>
        <v>79.180000000000007</v>
      </c>
      <c r="F1359" s="1">
        <f ca="1">IFERROR(__xludf.DUMMYFUNCTION("""COMPUTED_VALUE"""),31380454)</f>
        <v>31380454</v>
      </c>
    </row>
    <row r="1360" spans="1:6" x14ac:dyDescent="0.35">
      <c r="A1360" s="2">
        <f ca="1">IFERROR(__xludf.DUMMYFUNCTION("""COMPUTED_VALUE"""),43978.6666666666)</f>
        <v>43978.666666666599</v>
      </c>
      <c r="B1360" s="1">
        <f ca="1">IFERROR(__xludf.DUMMYFUNCTION("""COMPUTED_VALUE"""),79.04)</f>
        <v>79.040000000000006</v>
      </c>
      <c r="C1360" s="1">
        <f ca="1">IFERROR(__xludf.DUMMYFUNCTION("""COMPUTED_VALUE"""),79.68)</f>
        <v>79.680000000000007</v>
      </c>
      <c r="D1360" s="1">
        <f ca="1">IFERROR(__xludf.DUMMYFUNCTION("""COMPUTED_VALUE"""),78.27)</f>
        <v>78.27</v>
      </c>
      <c r="E1360" s="1">
        <f ca="1">IFERROR(__xludf.DUMMYFUNCTION("""COMPUTED_VALUE"""),79.53)</f>
        <v>79.53</v>
      </c>
      <c r="F1360" s="1">
        <f ca="1">IFERROR(__xludf.DUMMYFUNCTION("""COMPUTED_VALUE"""),28236274)</f>
        <v>28236274</v>
      </c>
    </row>
    <row r="1361" spans="1:6" x14ac:dyDescent="0.35">
      <c r="A1361" s="2">
        <f ca="1">IFERROR(__xludf.DUMMYFUNCTION("""COMPUTED_VALUE"""),43979.6666666666)</f>
        <v>43979.666666666599</v>
      </c>
      <c r="B1361" s="1">
        <f ca="1">IFERROR(__xludf.DUMMYFUNCTION("""COMPUTED_VALUE"""),79.19)</f>
        <v>79.19</v>
      </c>
      <c r="C1361" s="1">
        <f ca="1">IFERROR(__xludf.DUMMYFUNCTION("""COMPUTED_VALUE"""),80.86)</f>
        <v>80.86</v>
      </c>
      <c r="D1361" s="1">
        <f ca="1">IFERROR(__xludf.DUMMYFUNCTION("""COMPUTED_VALUE"""),78.91)</f>
        <v>78.91</v>
      </c>
      <c r="E1361" s="1">
        <f ca="1">IFERROR(__xludf.DUMMYFUNCTION("""COMPUTED_VALUE"""),79.56)</f>
        <v>79.56</v>
      </c>
      <c r="F1361" s="1">
        <f ca="1">IFERROR(__xludf.DUMMYFUNCTION("""COMPUTED_VALUE"""),33449103)</f>
        <v>33449103</v>
      </c>
    </row>
    <row r="1362" spans="1:6" x14ac:dyDescent="0.35">
      <c r="A1362" s="2">
        <f ca="1">IFERROR(__xludf.DUMMYFUNCTION("""COMPUTED_VALUE"""),43980.6666666666)</f>
        <v>43980.666666666599</v>
      </c>
      <c r="B1362" s="1">
        <f ca="1">IFERROR(__xludf.DUMMYFUNCTION("""COMPUTED_VALUE"""),79.81)</f>
        <v>79.81</v>
      </c>
      <c r="C1362" s="1">
        <f ca="1">IFERROR(__xludf.DUMMYFUNCTION("""COMPUTED_VALUE"""),80.29)</f>
        <v>80.290000000000006</v>
      </c>
      <c r="D1362" s="1">
        <f ca="1">IFERROR(__xludf.DUMMYFUNCTION("""COMPUTED_VALUE"""),79.12)</f>
        <v>79.12</v>
      </c>
      <c r="E1362" s="1">
        <f ca="1">IFERROR(__xludf.DUMMYFUNCTION("""COMPUTED_VALUE"""),79.49)</f>
        <v>79.489999999999995</v>
      </c>
      <c r="F1362" s="1">
        <f ca="1">IFERROR(__xludf.DUMMYFUNCTION("""COMPUTED_VALUE"""),38399532)</f>
        <v>38399532</v>
      </c>
    </row>
    <row r="1363" spans="1:6" x14ac:dyDescent="0.35">
      <c r="A1363" s="2">
        <f ca="1">IFERROR(__xludf.DUMMYFUNCTION("""COMPUTED_VALUE"""),43983.6666666666)</f>
        <v>43983.666666666599</v>
      </c>
      <c r="B1363" s="1">
        <f ca="1">IFERROR(__xludf.DUMMYFUNCTION("""COMPUTED_VALUE"""),79.44)</f>
        <v>79.44</v>
      </c>
      <c r="C1363" s="1">
        <f ca="1">IFERROR(__xludf.DUMMYFUNCTION("""COMPUTED_VALUE"""),80.59)</f>
        <v>80.59</v>
      </c>
      <c r="D1363" s="1">
        <f ca="1">IFERROR(__xludf.DUMMYFUNCTION("""COMPUTED_VALUE"""),79.3)</f>
        <v>79.3</v>
      </c>
      <c r="E1363" s="1">
        <f ca="1">IFERROR(__xludf.DUMMYFUNCTION("""COMPUTED_VALUE"""),80.46)</f>
        <v>80.459999999999994</v>
      </c>
      <c r="F1363" s="1">
        <f ca="1">IFERROR(__xludf.DUMMYFUNCTION("""COMPUTED_VALUE"""),20254653)</f>
        <v>20254653</v>
      </c>
    </row>
    <row r="1364" spans="1:6" x14ac:dyDescent="0.35">
      <c r="A1364" s="2">
        <f ca="1">IFERROR(__xludf.DUMMYFUNCTION("""COMPUTED_VALUE"""),43984.6666666666)</f>
        <v>43984.666666666599</v>
      </c>
      <c r="B1364" s="1">
        <f ca="1">IFERROR(__xludf.DUMMYFUNCTION("""COMPUTED_VALUE"""),80.19)</f>
        <v>80.19</v>
      </c>
      <c r="C1364" s="1">
        <f ca="1">IFERROR(__xludf.DUMMYFUNCTION("""COMPUTED_VALUE"""),80.86)</f>
        <v>80.86</v>
      </c>
      <c r="D1364" s="1">
        <f ca="1">IFERROR(__xludf.DUMMYFUNCTION("""COMPUTED_VALUE"""),79.73)</f>
        <v>79.73</v>
      </c>
      <c r="E1364" s="1">
        <f ca="1">IFERROR(__xludf.DUMMYFUNCTION("""COMPUTED_VALUE"""),80.83)</f>
        <v>80.83</v>
      </c>
      <c r="F1364" s="1">
        <f ca="1">IFERROR(__xludf.DUMMYFUNCTION("""COMPUTED_VALUE"""),21910704)</f>
        <v>21910704</v>
      </c>
    </row>
    <row r="1365" spans="1:6" x14ac:dyDescent="0.35">
      <c r="A1365" s="2">
        <f ca="1">IFERROR(__xludf.DUMMYFUNCTION("""COMPUTED_VALUE"""),43985.6666666666)</f>
        <v>43985.666666666599</v>
      </c>
      <c r="B1365" s="1">
        <f ca="1">IFERROR(__xludf.DUMMYFUNCTION("""COMPUTED_VALUE"""),81.17)</f>
        <v>81.17</v>
      </c>
      <c r="C1365" s="1">
        <f ca="1">IFERROR(__xludf.DUMMYFUNCTION("""COMPUTED_VALUE"""),81.55)</f>
        <v>81.55</v>
      </c>
      <c r="D1365" s="1">
        <f ca="1">IFERROR(__xludf.DUMMYFUNCTION("""COMPUTED_VALUE"""),80.58)</f>
        <v>80.58</v>
      </c>
      <c r="E1365" s="1">
        <f ca="1">IFERROR(__xludf.DUMMYFUNCTION("""COMPUTED_VALUE"""),81.28)</f>
        <v>81.28</v>
      </c>
      <c r="F1365" s="1">
        <f ca="1">IFERROR(__xludf.DUMMYFUNCTION("""COMPUTED_VALUE"""),26122804)</f>
        <v>26122804</v>
      </c>
    </row>
    <row r="1366" spans="1:6" x14ac:dyDescent="0.35">
      <c r="A1366" s="2">
        <f ca="1">IFERROR(__xludf.DUMMYFUNCTION("""COMPUTED_VALUE"""),43986.6666666666)</f>
        <v>43986.666666666599</v>
      </c>
      <c r="B1366" s="1">
        <f ca="1">IFERROR(__xludf.DUMMYFUNCTION("""COMPUTED_VALUE"""),81.1)</f>
        <v>81.099999999999994</v>
      </c>
      <c r="C1366" s="1">
        <f ca="1">IFERROR(__xludf.DUMMYFUNCTION("""COMPUTED_VALUE"""),81.41)</f>
        <v>81.41</v>
      </c>
      <c r="D1366" s="1">
        <f ca="1">IFERROR(__xludf.DUMMYFUNCTION("""COMPUTED_VALUE"""),80.19)</f>
        <v>80.19</v>
      </c>
      <c r="E1366" s="1">
        <f ca="1">IFERROR(__xludf.DUMMYFUNCTION("""COMPUTED_VALUE"""),80.58)</f>
        <v>80.58</v>
      </c>
      <c r="F1366" s="1">
        <f ca="1">IFERROR(__xludf.DUMMYFUNCTION("""COMPUTED_VALUE"""),21890091)</f>
        <v>21890091</v>
      </c>
    </row>
    <row r="1367" spans="1:6" x14ac:dyDescent="0.35">
      <c r="A1367" s="2">
        <f ca="1">IFERROR(__xludf.DUMMYFUNCTION("""COMPUTED_VALUE"""),43987.6666666666)</f>
        <v>43987.666666666599</v>
      </c>
      <c r="B1367" s="1">
        <f ca="1">IFERROR(__xludf.DUMMYFUNCTION("""COMPUTED_VALUE"""),80.84)</f>
        <v>80.84</v>
      </c>
      <c r="C1367" s="1">
        <f ca="1">IFERROR(__xludf.DUMMYFUNCTION("""COMPUTED_VALUE"""),82.94)</f>
        <v>82.94</v>
      </c>
      <c r="D1367" s="1">
        <f ca="1">IFERROR(__xludf.DUMMYFUNCTION("""COMPUTED_VALUE"""),80.81)</f>
        <v>80.81</v>
      </c>
      <c r="E1367" s="1">
        <f ca="1">IFERROR(__xludf.DUMMYFUNCTION("""COMPUTED_VALUE"""),82.88)</f>
        <v>82.88</v>
      </c>
      <c r="F1367" s="1">
        <f ca="1">IFERROR(__xludf.DUMMYFUNCTION("""COMPUTED_VALUE"""),34312550)</f>
        <v>34312550</v>
      </c>
    </row>
    <row r="1368" spans="1:6" x14ac:dyDescent="0.35">
      <c r="A1368" s="2">
        <f ca="1">IFERROR(__xludf.DUMMYFUNCTION("""COMPUTED_VALUE"""),43990.6666666666)</f>
        <v>43990.666666666599</v>
      </c>
      <c r="B1368" s="1">
        <f ca="1">IFERROR(__xludf.DUMMYFUNCTION("""COMPUTED_VALUE"""),82.56)</f>
        <v>82.56</v>
      </c>
      <c r="C1368" s="1">
        <f ca="1">IFERROR(__xludf.DUMMYFUNCTION("""COMPUTED_VALUE"""),83.4)</f>
        <v>83.4</v>
      </c>
      <c r="D1368" s="1">
        <f ca="1">IFERROR(__xludf.DUMMYFUNCTION("""COMPUTED_VALUE"""),81.83)</f>
        <v>81.83</v>
      </c>
      <c r="E1368" s="1">
        <f ca="1">IFERROR(__xludf.DUMMYFUNCTION("""COMPUTED_VALUE"""),83.37)</f>
        <v>83.37</v>
      </c>
      <c r="F1368" s="1">
        <f ca="1">IFERROR(__xludf.DUMMYFUNCTION("""COMPUTED_VALUE"""),23913634)</f>
        <v>23913634</v>
      </c>
    </row>
    <row r="1369" spans="1:6" x14ac:dyDescent="0.35">
      <c r="A1369" s="2">
        <f ca="1">IFERROR(__xludf.DUMMYFUNCTION("""COMPUTED_VALUE"""),43991.6666666666)</f>
        <v>43991.666666666599</v>
      </c>
      <c r="B1369" s="1">
        <f ca="1">IFERROR(__xludf.DUMMYFUNCTION("""COMPUTED_VALUE"""),83.04)</f>
        <v>83.04</v>
      </c>
      <c r="C1369" s="1">
        <f ca="1">IFERROR(__xludf.DUMMYFUNCTION("""COMPUTED_VALUE"""),86.4)</f>
        <v>86.4</v>
      </c>
      <c r="D1369" s="1">
        <f ca="1">IFERROR(__xludf.DUMMYFUNCTION("""COMPUTED_VALUE"""),83)</f>
        <v>83</v>
      </c>
      <c r="E1369" s="1">
        <f ca="1">IFERROR(__xludf.DUMMYFUNCTION("""COMPUTED_VALUE"""),86)</f>
        <v>86</v>
      </c>
      <c r="F1369" s="1">
        <f ca="1">IFERROR(__xludf.DUMMYFUNCTION("""COMPUTED_VALUE"""),36928091)</f>
        <v>36928091</v>
      </c>
    </row>
    <row r="1370" spans="1:6" x14ac:dyDescent="0.35">
      <c r="A1370" s="2">
        <f ca="1">IFERROR(__xludf.DUMMYFUNCTION("""COMPUTED_VALUE"""),43992.6666666666)</f>
        <v>43992.666666666599</v>
      </c>
      <c r="B1370" s="1">
        <f ca="1">IFERROR(__xludf.DUMMYFUNCTION("""COMPUTED_VALUE"""),86.98)</f>
        <v>86.98</v>
      </c>
      <c r="C1370" s="1">
        <f ca="1">IFERROR(__xludf.DUMMYFUNCTION("""COMPUTED_VALUE"""),88.69)</f>
        <v>88.69</v>
      </c>
      <c r="D1370" s="1">
        <f ca="1">IFERROR(__xludf.DUMMYFUNCTION("""COMPUTED_VALUE"""),86.52)</f>
        <v>86.52</v>
      </c>
      <c r="E1370" s="1">
        <f ca="1">IFERROR(__xludf.DUMMYFUNCTION("""COMPUTED_VALUE"""),88.21)</f>
        <v>88.21</v>
      </c>
      <c r="F1370" s="1">
        <f ca="1">IFERROR(__xludf.DUMMYFUNCTION("""COMPUTED_VALUE"""),41662938)</f>
        <v>41662938</v>
      </c>
    </row>
    <row r="1371" spans="1:6" x14ac:dyDescent="0.35">
      <c r="A1371" s="2">
        <f ca="1">IFERROR(__xludf.DUMMYFUNCTION("""COMPUTED_VALUE"""),43993.6666666666)</f>
        <v>43993.666666666599</v>
      </c>
      <c r="B1371" s="1">
        <f ca="1">IFERROR(__xludf.DUMMYFUNCTION("""COMPUTED_VALUE"""),87.33)</f>
        <v>87.33</v>
      </c>
      <c r="C1371" s="1">
        <f ca="1">IFERROR(__xludf.DUMMYFUNCTION("""COMPUTED_VALUE"""),87.77)</f>
        <v>87.77</v>
      </c>
      <c r="D1371" s="1">
        <f ca="1">IFERROR(__xludf.DUMMYFUNCTION("""COMPUTED_VALUE"""),83.87)</f>
        <v>83.87</v>
      </c>
      <c r="E1371" s="1">
        <f ca="1">IFERROR(__xludf.DUMMYFUNCTION("""COMPUTED_VALUE"""),83.98)</f>
        <v>83.98</v>
      </c>
      <c r="F1371" s="1">
        <f ca="1">IFERROR(__xludf.DUMMYFUNCTION("""COMPUTED_VALUE"""),50415613)</f>
        <v>50415613</v>
      </c>
    </row>
    <row r="1372" spans="1:6" x14ac:dyDescent="0.35">
      <c r="A1372" s="2">
        <f ca="1">IFERROR(__xludf.DUMMYFUNCTION("""COMPUTED_VALUE"""),43994.6666666666)</f>
        <v>43994.666666666599</v>
      </c>
      <c r="B1372" s="1">
        <f ca="1">IFERROR(__xludf.DUMMYFUNCTION("""COMPUTED_VALUE"""),86.18)</f>
        <v>86.18</v>
      </c>
      <c r="C1372" s="1">
        <f ca="1">IFERROR(__xludf.DUMMYFUNCTION("""COMPUTED_VALUE"""),86.95)</f>
        <v>86.95</v>
      </c>
      <c r="D1372" s="1">
        <f ca="1">IFERROR(__xludf.DUMMYFUNCTION("""COMPUTED_VALUE"""),83.56)</f>
        <v>83.56</v>
      </c>
      <c r="E1372" s="1">
        <f ca="1">IFERROR(__xludf.DUMMYFUNCTION("""COMPUTED_VALUE"""),84.7)</f>
        <v>84.7</v>
      </c>
      <c r="F1372" s="1">
        <f ca="1">IFERROR(__xludf.DUMMYFUNCTION("""COMPUTED_VALUE"""),50036513)</f>
        <v>50036513</v>
      </c>
    </row>
    <row r="1373" spans="1:6" x14ac:dyDescent="0.35">
      <c r="A1373" s="2">
        <f ca="1">IFERROR(__xludf.DUMMYFUNCTION("""COMPUTED_VALUE"""),43997.6666666666)</f>
        <v>43997.666666666599</v>
      </c>
      <c r="B1373" s="1">
        <f ca="1">IFERROR(__xludf.DUMMYFUNCTION("""COMPUTED_VALUE"""),83.31)</f>
        <v>83.31</v>
      </c>
      <c r="C1373" s="1">
        <f ca="1">IFERROR(__xludf.DUMMYFUNCTION("""COMPUTED_VALUE"""),86.42)</f>
        <v>86.42</v>
      </c>
      <c r="D1373" s="1">
        <f ca="1">IFERROR(__xludf.DUMMYFUNCTION("""COMPUTED_VALUE"""),83.15)</f>
        <v>83.15</v>
      </c>
      <c r="E1373" s="1">
        <f ca="1">IFERROR(__xludf.DUMMYFUNCTION("""COMPUTED_VALUE"""),85.75)</f>
        <v>85.75</v>
      </c>
      <c r="F1373" s="1">
        <f ca="1">IFERROR(__xludf.DUMMYFUNCTION("""COMPUTED_VALUE"""),34702230)</f>
        <v>34702230</v>
      </c>
    </row>
    <row r="1374" spans="1:6" x14ac:dyDescent="0.35">
      <c r="A1374" s="2">
        <f ca="1">IFERROR(__xludf.DUMMYFUNCTION("""COMPUTED_VALUE"""),43998.6666666666)</f>
        <v>43998.666666666599</v>
      </c>
      <c r="B1374" s="1">
        <f ca="1">IFERROR(__xludf.DUMMYFUNCTION("""COMPUTED_VALUE"""),87.87)</f>
        <v>87.87</v>
      </c>
      <c r="C1374" s="1">
        <f ca="1">IFERROR(__xludf.DUMMYFUNCTION("""COMPUTED_VALUE"""),88.3)</f>
        <v>88.3</v>
      </c>
      <c r="D1374" s="1">
        <f ca="1">IFERROR(__xludf.DUMMYFUNCTION("""COMPUTED_VALUE"""),86.18)</f>
        <v>86.18</v>
      </c>
      <c r="E1374" s="1">
        <f ca="1">IFERROR(__xludf.DUMMYFUNCTION("""COMPUTED_VALUE"""),88.02)</f>
        <v>88.02</v>
      </c>
      <c r="F1374" s="1">
        <f ca="1">IFERROR(__xludf.DUMMYFUNCTION("""COMPUTED_VALUE"""),41357182)</f>
        <v>41357182</v>
      </c>
    </row>
    <row r="1375" spans="1:6" x14ac:dyDescent="0.35">
      <c r="A1375" s="2">
        <f ca="1">IFERROR(__xludf.DUMMYFUNCTION("""COMPUTED_VALUE"""),43999.6666666666)</f>
        <v>43999.666666666599</v>
      </c>
      <c r="B1375" s="1">
        <f ca="1">IFERROR(__xludf.DUMMYFUNCTION("""COMPUTED_VALUE"""),88.79)</f>
        <v>88.79</v>
      </c>
      <c r="C1375" s="1">
        <f ca="1">IFERROR(__xludf.DUMMYFUNCTION("""COMPUTED_VALUE"""),88.85)</f>
        <v>88.85</v>
      </c>
      <c r="D1375" s="1">
        <f ca="1">IFERROR(__xludf.DUMMYFUNCTION("""COMPUTED_VALUE"""),87.77)</f>
        <v>87.77</v>
      </c>
      <c r="E1375" s="1">
        <f ca="1">IFERROR(__xludf.DUMMYFUNCTION("""COMPUTED_VALUE"""),87.9)</f>
        <v>87.9</v>
      </c>
      <c r="F1375" s="1">
        <f ca="1">IFERROR(__xludf.DUMMYFUNCTION("""COMPUTED_VALUE"""),28601626)</f>
        <v>28601626</v>
      </c>
    </row>
    <row r="1376" spans="1:6" x14ac:dyDescent="0.35">
      <c r="A1376" s="2">
        <f ca="1">IFERROR(__xludf.DUMMYFUNCTION("""COMPUTED_VALUE"""),44000.6666666666)</f>
        <v>44000.666666666599</v>
      </c>
      <c r="B1376" s="1">
        <f ca="1">IFERROR(__xludf.DUMMYFUNCTION("""COMPUTED_VALUE"""),87.85)</f>
        <v>87.85</v>
      </c>
      <c r="C1376" s="1">
        <f ca="1">IFERROR(__xludf.DUMMYFUNCTION("""COMPUTED_VALUE"""),88.36)</f>
        <v>88.36</v>
      </c>
      <c r="D1376" s="1">
        <f ca="1">IFERROR(__xludf.DUMMYFUNCTION("""COMPUTED_VALUE"""),87.31)</f>
        <v>87.31</v>
      </c>
      <c r="E1376" s="1">
        <f ca="1">IFERROR(__xludf.DUMMYFUNCTION("""COMPUTED_VALUE"""),87.93)</f>
        <v>87.93</v>
      </c>
      <c r="F1376" s="1">
        <f ca="1">IFERROR(__xludf.DUMMYFUNCTION("""COMPUTED_VALUE"""),24205096)</f>
        <v>24205096</v>
      </c>
    </row>
    <row r="1377" spans="1:6" x14ac:dyDescent="0.35">
      <c r="A1377" s="2">
        <f ca="1">IFERROR(__xludf.DUMMYFUNCTION("""COMPUTED_VALUE"""),44001.6666666666)</f>
        <v>44001.666666666599</v>
      </c>
      <c r="B1377" s="1">
        <f ca="1">IFERROR(__xludf.DUMMYFUNCTION("""COMPUTED_VALUE"""),88.66)</f>
        <v>88.66</v>
      </c>
      <c r="C1377" s="1">
        <f ca="1">IFERROR(__xludf.DUMMYFUNCTION("""COMPUTED_VALUE"""),89.14)</f>
        <v>89.14</v>
      </c>
      <c r="D1377" s="1">
        <f ca="1">IFERROR(__xludf.DUMMYFUNCTION("""COMPUTED_VALUE"""),86.29)</f>
        <v>86.29</v>
      </c>
      <c r="E1377" s="1">
        <f ca="1">IFERROR(__xludf.DUMMYFUNCTION("""COMPUTED_VALUE"""),87.43)</f>
        <v>87.43</v>
      </c>
      <c r="F1377" s="1">
        <f ca="1">IFERROR(__xludf.DUMMYFUNCTION("""COMPUTED_VALUE"""),66118952)</f>
        <v>66118952</v>
      </c>
    </row>
    <row r="1378" spans="1:6" x14ac:dyDescent="0.35">
      <c r="A1378" s="2">
        <f ca="1">IFERROR(__xludf.DUMMYFUNCTION("""COMPUTED_VALUE"""),44004.6666666666)</f>
        <v>44004.666666666599</v>
      </c>
      <c r="B1378" s="1">
        <f ca="1">IFERROR(__xludf.DUMMYFUNCTION("""COMPUTED_VALUE"""),87.84)</f>
        <v>87.84</v>
      </c>
      <c r="C1378" s="1">
        <f ca="1">IFERROR(__xludf.DUMMYFUNCTION("""COMPUTED_VALUE"""),89.87)</f>
        <v>89.87</v>
      </c>
      <c r="D1378" s="1">
        <f ca="1">IFERROR(__xludf.DUMMYFUNCTION("""COMPUTED_VALUE"""),87.79)</f>
        <v>87.79</v>
      </c>
      <c r="E1378" s="1">
        <f ca="1">IFERROR(__xludf.DUMMYFUNCTION("""COMPUTED_VALUE"""),89.72)</f>
        <v>89.72</v>
      </c>
      <c r="F1378" s="1">
        <f ca="1">IFERROR(__xludf.DUMMYFUNCTION("""COMPUTED_VALUE"""),33861316)</f>
        <v>33861316</v>
      </c>
    </row>
    <row r="1379" spans="1:6" x14ac:dyDescent="0.35">
      <c r="A1379" s="2">
        <f ca="1">IFERROR(__xludf.DUMMYFUNCTION("""COMPUTED_VALUE"""),44005.6666666666)</f>
        <v>44005.666666666599</v>
      </c>
      <c r="B1379" s="1">
        <f ca="1">IFERROR(__xludf.DUMMYFUNCTION("""COMPUTED_VALUE"""),91)</f>
        <v>91</v>
      </c>
      <c r="C1379" s="1">
        <f ca="1">IFERROR(__xludf.DUMMYFUNCTION("""COMPUTED_VALUE"""),93.1)</f>
        <v>93.1</v>
      </c>
      <c r="D1379" s="1">
        <f ca="1">IFERROR(__xludf.DUMMYFUNCTION("""COMPUTED_VALUE"""),90.57)</f>
        <v>90.57</v>
      </c>
      <c r="E1379" s="1">
        <f ca="1">IFERROR(__xludf.DUMMYFUNCTION("""COMPUTED_VALUE"""),91.63)</f>
        <v>91.63</v>
      </c>
      <c r="F1379" s="1">
        <f ca="1">IFERROR(__xludf.DUMMYFUNCTION("""COMPUTED_VALUE"""),53038869)</f>
        <v>53038869</v>
      </c>
    </row>
    <row r="1380" spans="1:6" x14ac:dyDescent="0.35">
      <c r="A1380" s="2">
        <f ca="1">IFERROR(__xludf.DUMMYFUNCTION("""COMPUTED_VALUE"""),44006.6666666666)</f>
        <v>44006.666666666599</v>
      </c>
      <c r="B1380" s="1">
        <f ca="1">IFERROR(__xludf.DUMMYFUNCTION("""COMPUTED_VALUE"""),91.25)</f>
        <v>91.25</v>
      </c>
      <c r="C1380" s="1">
        <f ca="1">IFERROR(__xludf.DUMMYFUNCTION("""COMPUTED_VALUE"""),92.2)</f>
        <v>92.2</v>
      </c>
      <c r="D1380" s="1">
        <f ca="1">IFERROR(__xludf.DUMMYFUNCTION("""COMPUTED_VALUE"""),89.63)</f>
        <v>89.63</v>
      </c>
      <c r="E1380" s="1">
        <f ca="1">IFERROR(__xludf.DUMMYFUNCTION("""COMPUTED_VALUE"""),90.02)</f>
        <v>90.02</v>
      </c>
      <c r="F1380" s="1">
        <f ca="1">IFERROR(__xludf.DUMMYFUNCTION("""COMPUTED_VALUE"""),48155849)</f>
        <v>48155849</v>
      </c>
    </row>
    <row r="1381" spans="1:6" x14ac:dyDescent="0.35">
      <c r="A1381" s="2">
        <f ca="1">IFERROR(__xludf.DUMMYFUNCTION("""COMPUTED_VALUE"""),44007.6666666666)</f>
        <v>44007.666666666599</v>
      </c>
      <c r="B1381" s="1">
        <f ca="1">IFERROR(__xludf.DUMMYFUNCTION("""COMPUTED_VALUE"""),90.18)</f>
        <v>90.18</v>
      </c>
      <c r="C1381" s="1">
        <f ca="1">IFERROR(__xludf.DUMMYFUNCTION("""COMPUTED_VALUE"""),91.25)</f>
        <v>91.25</v>
      </c>
      <c r="D1381" s="1">
        <f ca="1">IFERROR(__xludf.DUMMYFUNCTION("""COMPUTED_VALUE"""),89.39)</f>
        <v>89.39</v>
      </c>
      <c r="E1381" s="1">
        <f ca="1">IFERROR(__xludf.DUMMYFUNCTION("""COMPUTED_VALUE"""),91.21)</f>
        <v>91.21</v>
      </c>
      <c r="F1381" s="1">
        <f ca="1">IFERROR(__xludf.DUMMYFUNCTION("""COMPUTED_VALUE"""),34380628)</f>
        <v>34380628</v>
      </c>
    </row>
    <row r="1382" spans="1:6" x14ac:dyDescent="0.35">
      <c r="A1382" s="2">
        <f ca="1">IFERROR(__xludf.DUMMYFUNCTION("""COMPUTED_VALUE"""),44008.6666666666)</f>
        <v>44008.666666666599</v>
      </c>
      <c r="B1382" s="1">
        <f ca="1">IFERROR(__xludf.DUMMYFUNCTION("""COMPUTED_VALUE"""),91.1)</f>
        <v>91.1</v>
      </c>
      <c r="C1382" s="1">
        <f ca="1">IFERROR(__xludf.DUMMYFUNCTION("""COMPUTED_VALUE"""),91.33)</f>
        <v>91.33</v>
      </c>
      <c r="D1382" s="1">
        <f ca="1">IFERROR(__xludf.DUMMYFUNCTION("""COMPUTED_VALUE"""),88.26)</f>
        <v>88.26</v>
      </c>
      <c r="E1382" s="1">
        <f ca="1">IFERROR(__xludf.DUMMYFUNCTION("""COMPUTED_VALUE"""),88.41)</f>
        <v>88.41</v>
      </c>
      <c r="F1382" s="1">
        <f ca="1">IFERROR(__xludf.DUMMYFUNCTION("""COMPUTED_VALUE"""),51314211)</f>
        <v>51314211</v>
      </c>
    </row>
    <row r="1383" spans="1:6" x14ac:dyDescent="0.35">
      <c r="A1383" s="2">
        <f ca="1">IFERROR(__xludf.DUMMYFUNCTION("""COMPUTED_VALUE"""),44011.6666666666)</f>
        <v>44011.666666666599</v>
      </c>
      <c r="B1383" s="1">
        <f ca="1">IFERROR(__xludf.DUMMYFUNCTION("""COMPUTED_VALUE"""),88.31)</f>
        <v>88.31</v>
      </c>
      <c r="C1383" s="1">
        <f ca="1">IFERROR(__xludf.DUMMYFUNCTION("""COMPUTED_VALUE"""),90.54)</f>
        <v>90.54</v>
      </c>
      <c r="D1383" s="1">
        <f ca="1">IFERROR(__xludf.DUMMYFUNCTION("""COMPUTED_VALUE"""),87.82)</f>
        <v>87.82</v>
      </c>
      <c r="E1383" s="1">
        <f ca="1">IFERROR(__xludf.DUMMYFUNCTION("""COMPUTED_VALUE"""),90.45)</f>
        <v>90.45</v>
      </c>
      <c r="F1383" s="1">
        <f ca="1">IFERROR(__xludf.DUMMYFUNCTION("""COMPUTED_VALUE"""),32661519)</f>
        <v>32661519</v>
      </c>
    </row>
    <row r="1384" spans="1:6" x14ac:dyDescent="0.35">
      <c r="A1384" s="2">
        <f ca="1">IFERROR(__xludf.DUMMYFUNCTION("""COMPUTED_VALUE"""),44012.6666666666)</f>
        <v>44012.666666666599</v>
      </c>
      <c r="B1384" s="1">
        <f ca="1">IFERROR(__xludf.DUMMYFUNCTION("""COMPUTED_VALUE"""),90.02)</f>
        <v>90.02</v>
      </c>
      <c r="C1384" s="1">
        <f ca="1">IFERROR(__xludf.DUMMYFUNCTION("""COMPUTED_VALUE"""),91.5)</f>
        <v>91.5</v>
      </c>
      <c r="D1384" s="1">
        <f ca="1">IFERROR(__xludf.DUMMYFUNCTION("""COMPUTED_VALUE"""),90)</f>
        <v>90</v>
      </c>
      <c r="E1384" s="1">
        <f ca="1">IFERROR(__xludf.DUMMYFUNCTION("""COMPUTED_VALUE"""),91.2)</f>
        <v>91.2</v>
      </c>
      <c r="F1384" s="1">
        <f ca="1">IFERROR(__xludf.DUMMYFUNCTION("""COMPUTED_VALUE"""),35055821)</f>
        <v>35055821</v>
      </c>
    </row>
    <row r="1385" spans="1:6" x14ac:dyDescent="0.35">
      <c r="A1385" s="2">
        <f ca="1">IFERROR(__xludf.DUMMYFUNCTION("""COMPUTED_VALUE"""),44013.6666666666)</f>
        <v>44013.666666666599</v>
      </c>
      <c r="B1385" s="1">
        <f ca="1">IFERROR(__xludf.DUMMYFUNCTION("""COMPUTED_VALUE"""),91.28)</f>
        <v>91.28</v>
      </c>
      <c r="C1385" s="1">
        <f ca="1">IFERROR(__xludf.DUMMYFUNCTION("""COMPUTED_VALUE"""),91.84)</f>
        <v>91.84</v>
      </c>
      <c r="D1385" s="1">
        <f ca="1">IFERROR(__xludf.DUMMYFUNCTION("""COMPUTED_VALUE"""),90.98)</f>
        <v>90.98</v>
      </c>
      <c r="E1385" s="1">
        <f ca="1">IFERROR(__xludf.DUMMYFUNCTION("""COMPUTED_VALUE"""),91.03)</f>
        <v>91.03</v>
      </c>
      <c r="F1385" s="1">
        <f ca="1">IFERROR(__xludf.DUMMYFUNCTION("""COMPUTED_VALUE"""),27684309)</f>
        <v>27684309</v>
      </c>
    </row>
    <row r="1386" spans="1:6" x14ac:dyDescent="0.35">
      <c r="A1386" s="2">
        <f ca="1">IFERROR(__xludf.DUMMYFUNCTION("""COMPUTED_VALUE"""),44014.6666666666)</f>
        <v>44014.666666666599</v>
      </c>
      <c r="B1386" s="1">
        <f ca="1">IFERROR(__xludf.DUMMYFUNCTION("""COMPUTED_VALUE"""),91.96)</f>
        <v>91.96</v>
      </c>
      <c r="C1386" s="1">
        <f ca="1">IFERROR(__xludf.DUMMYFUNCTION("""COMPUTED_VALUE"""),92.62)</f>
        <v>92.62</v>
      </c>
      <c r="D1386" s="1">
        <f ca="1">IFERROR(__xludf.DUMMYFUNCTION("""COMPUTED_VALUE"""),90.91)</f>
        <v>90.91</v>
      </c>
      <c r="E1386" s="1">
        <f ca="1">IFERROR(__xludf.DUMMYFUNCTION("""COMPUTED_VALUE"""),91.03)</f>
        <v>91.03</v>
      </c>
      <c r="F1386" s="1">
        <f ca="1">IFERROR(__xludf.DUMMYFUNCTION("""COMPUTED_VALUE"""),28510367)</f>
        <v>28510367</v>
      </c>
    </row>
    <row r="1387" spans="1:6" x14ac:dyDescent="0.35">
      <c r="A1387" s="2">
        <f ca="1">IFERROR(__xludf.DUMMYFUNCTION("""COMPUTED_VALUE"""),44018.6666666666)</f>
        <v>44018.666666666599</v>
      </c>
      <c r="B1387" s="1">
        <f ca="1">IFERROR(__xludf.DUMMYFUNCTION("""COMPUTED_VALUE"""),92.5)</f>
        <v>92.5</v>
      </c>
      <c r="C1387" s="1">
        <f ca="1">IFERROR(__xludf.DUMMYFUNCTION("""COMPUTED_VALUE"""),93.95)</f>
        <v>93.95</v>
      </c>
      <c r="D1387" s="1">
        <f ca="1">IFERROR(__xludf.DUMMYFUNCTION("""COMPUTED_VALUE"""),92.47)</f>
        <v>92.47</v>
      </c>
      <c r="E1387" s="1">
        <f ca="1">IFERROR(__xludf.DUMMYFUNCTION("""COMPUTED_VALUE"""),93.46)</f>
        <v>93.46</v>
      </c>
      <c r="F1387" s="1">
        <f ca="1">IFERROR(__xludf.DUMMYFUNCTION("""COMPUTED_VALUE"""),29663913)</f>
        <v>29663913</v>
      </c>
    </row>
    <row r="1388" spans="1:6" x14ac:dyDescent="0.35">
      <c r="A1388" s="2">
        <f ca="1">IFERROR(__xludf.DUMMYFUNCTION("""COMPUTED_VALUE"""),44019.6666666666)</f>
        <v>44019.666666666599</v>
      </c>
      <c r="B1388" s="1">
        <f ca="1">IFERROR(__xludf.DUMMYFUNCTION("""COMPUTED_VALUE"""),93.85)</f>
        <v>93.85</v>
      </c>
      <c r="C1388" s="1">
        <f ca="1">IFERROR(__xludf.DUMMYFUNCTION("""COMPUTED_VALUE"""),94.66)</f>
        <v>94.66</v>
      </c>
      <c r="D1388" s="1">
        <f ca="1">IFERROR(__xludf.DUMMYFUNCTION("""COMPUTED_VALUE"""),93.06)</f>
        <v>93.06</v>
      </c>
      <c r="E1388" s="1">
        <f ca="1">IFERROR(__xludf.DUMMYFUNCTION("""COMPUTED_VALUE"""),93.17)</f>
        <v>93.17</v>
      </c>
      <c r="F1388" s="1">
        <f ca="1">IFERROR(__xludf.DUMMYFUNCTION("""COMPUTED_VALUE"""),28106114)</f>
        <v>28106114</v>
      </c>
    </row>
    <row r="1389" spans="1:6" x14ac:dyDescent="0.35">
      <c r="A1389" s="2">
        <f ca="1">IFERROR(__xludf.DUMMYFUNCTION("""COMPUTED_VALUE"""),44020.6666666666)</f>
        <v>44020.666666666599</v>
      </c>
      <c r="B1389" s="1">
        <f ca="1">IFERROR(__xludf.DUMMYFUNCTION("""COMPUTED_VALUE"""),94.18)</f>
        <v>94.18</v>
      </c>
      <c r="C1389" s="1">
        <f ca="1">IFERROR(__xludf.DUMMYFUNCTION("""COMPUTED_VALUE"""),95.38)</f>
        <v>95.38</v>
      </c>
      <c r="D1389" s="1">
        <f ca="1">IFERROR(__xludf.DUMMYFUNCTION("""COMPUTED_VALUE"""),94.09)</f>
        <v>94.09</v>
      </c>
      <c r="E1389" s="1">
        <f ca="1">IFERROR(__xludf.DUMMYFUNCTION("""COMPUTED_VALUE"""),95.34)</f>
        <v>95.34</v>
      </c>
      <c r="F1389" s="1">
        <f ca="1">IFERROR(__xludf.DUMMYFUNCTION("""COMPUTED_VALUE"""),29272970)</f>
        <v>29272970</v>
      </c>
    </row>
    <row r="1390" spans="1:6" x14ac:dyDescent="0.35">
      <c r="A1390" s="2">
        <f ca="1">IFERROR(__xludf.DUMMYFUNCTION("""COMPUTED_VALUE"""),44021.6666666666)</f>
        <v>44021.666666666599</v>
      </c>
      <c r="B1390" s="1">
        <f ca="1">IFERROR(__xludf.DUMMYFUNCTION("""COMPUTED_VALUE"""),96.26)</f>
        <v>96.26</v>
      </c>
      <c r="C1390" s="1">
        <f ca="1">IFERROR(__xludf.DUMMYFUNCTION("""COMPUTED_VALUE"""),96.32)</f>
        <v>96.32</v>
      </c>
      <c r="D1390" s="1">
        <f ca="1">IFERROR(__xludf.DUMMYFUNCTION("""COMPUTED_VALUE"""),94.67)</f>
        <v>94.67</v>
      </c>
      <c r="E1390" s="1">
        <f ca="1">IFERROR(__xludf.DUMMYFUNCTION("""COMPUTED_VALUE"""),95.68)</f>
        <v>95.68</v>
      </c>
      <c r="F1390" s="1">
        <f ca="1">IFERROR(__xludf.DUMMYFUNCTION("""COMPUTED_VALUE"""),31410652)</f>
        <v>31410652</v>
      </c>
    </row>
    <row r="1391" spans="1:6" x14ac:dyDescent="0.35">
      <c r="A1391" s="2">
        <f ca="1">IFERROR(__xludf.DUMMYFUNCTION("""COMPUTED_VALUE"""),44022.6666666666)</f>
        <v>44022.666666666599</v>
      </c>
      <c r="B1391" s="1">
        <f ca="1">IFERROR(__xludf.DUMMYFUNCTION("""COMPUTED_VALUE"""),95.34)</f>
        <v>95.34</v>
      </c>
      <c r="C1391" s="1">
        <f ca="1">IFERROR(__xludf.DUMMYFUNCTION("""COMPUTED_VALUE"""),95.98)</f>
        <v>95.98</v>
      </c>
      <c r="D1391" s="1">
        <f ca="1">IFERROR(__xludf.DUMMYFUNCTION("""COMPUTED_VALUE"""),94.71)</f>
        <v>94.71</v>
      </c>
      <c r="E1391" s="1">
        <f ca="1">IFERROR(__xludf.DUMMYFUNCTION("""COMPUTED_VALUE"""),95.92)</f>
        <v>95.92</v>
      </c>
      <c r="F1391" s="1">
        <f ca="1">IFERROR(__xludf.DUMMYFUNCTION("""COMPUTED_VALUE"""),22564330)</f>
        <v>22564330</v>
      </c>
    </row>
    <row r="1392" spans="1:6" x14ac:dyDescent="0.35">
      <c r="A1392" s="2">
        <f ca="1">IFERROR(__xludf.DUMMYFUNCTION("""COMPUTED_VALUE"""),44025.6666666666)</f>
        <v>44025.666666666599</v>
      </c>
      <c r="B1392" s="1">
        <f ca="1">IFERROR(__xludf.DUMMYFUNCTION("""COMPUTED_VALUE"""),97.27)</f>
        <v>97.27</v>
      </c>
      <c r="C1392" s="1">
        <f ca="1">IFERROR(__xludf.DUMMYFUNCTION("""COMPUTED_VALUE"""),99.96)</f>
        <v>99.96</v>
      </c>
      <c r="D1392" s="1">
        <f ca="1">IFERROR(__xludf.DUMMYFUNCTION("""COMPUTED_VALUE"""),95.26)</f>
        <v>95.26</v>
      </c>
      <c r="E1392" s="1">
        <f ca="1">IFERROR(__xludf.DUMMYFUNCTION("""COMPUTED_VALUE"""),95.48)</f>
        <v>95.48</v>
      </c>
      <c r="F1392" s="1">
        <f ca="1">IFERROR(__xludf.DUMMYFUNCTION("""COMPUTED_VALUE"""),47912285)</f>
        <v>47912285</v>
      </c>
    </row>
    <row r="1393" spans="1:6" x14ac:dyDescent="0.35">
      <c r="A1393" s="2">
        <f ca="1">IFERROR(__xludf.DUMMYFUNCTION("""COMPUTED_VALUE"""),44026.6666666666)</f>
        <v>44026.666666666599</v>
      </c>
      <c r="B1393" s="1">
        <f ca="1">IFERROR(__xludf.DUMMYFUNCTION("""COMPUTED_VALUE"""),94.84)</f>
        <v>94.84</v>
      </c>
      <c r="C1393" s="1">
        <f ca="1">IFERROR(__xludf.DUMMYFUNCTION("""COMPUTED_VALUE"""),97.26)</f>
        <v>97.26</v>
      </c>
      <c r="D1393" s="1">
        <f ca="1">IFERROR(__xludf.DUMMYFUNCTION("""COMPUTED_VALUE"""),93.88)</f>
        <v>93.88</v>
      </c>
      <c r="E1393" s="1">
        <f ca="1">IFERROR(__xludf.DUMMYFUNCTION("""COMPUTED_VALUE"""),97.06)</f>
        <v>97.06</v>
      </c>
      <c r="F1393" s="1">
        <f ca="1">IFERROR(__xludf.DUMMYFUNCTION("""COMPUTED_VALUE"""),42747341)</f>
        <v>42747341</v>
      </c>
    </row>
    <row r="1394" spans="1:6" x14ac:dyDescent="0.35">
      <c r="A1394" s="2">
        <f ca="1">IFERROR(__xludf.DUMMYFUNCTION("""COMPUTED_VALUE"""),44027.6666666666)</f>
        <v>44027.666666666599</v>
      </c>
      <c r="B1394" s="1">
        <f ca="1">IFERROR(__xludf.DUMMYFUNCTION("""COMPUTED_VALUE"""),98.99)</f>
        <v>98.99</v>
      </c>
      <c r="C1394" s="1">
        <f ca="1">IFERROR(__xludf.DUMMYFUNCTION("""COMPUTED_VALUE"""),99.25)</f>
        <v>99.25</v>
      </c>
      <c r="D1394" s="1">
        <f ca="1">IFERROR(__xludf.DUMMYFUNCTION("""COMPUTED_VALUE"""),96.49)</f>
        <v>96.49</v>
      </c>
      <c r="E1394" s="1">
        <f ca="1">IFERROR(__xludf.DUMMYFUNCTION("""COMPUTED_VALUE"""),97.73)</f>
        <v>97.73</v>
      </c>
      <c r="F1394" s="1">
        <f ca="1">IFERROR(__xludf.DUMMYFUNCTION("""COMPUTED_VALUE"""),38299483)</f>
        <v>38299483</v>
      </c>
    </row>
    <row r="1395" spans="1:6" x14ac:dyDescent="0.35">
      <c r="A1395" s="2">
        <f ca="1">IFERROR(__xludf.DUMMYFUNCTION("""COMPUTED_VALUE"""),44028.6666666666)</f>
        <v>44028.666666666599</v>
      </c>
      <c r="B1395" s="1">
        <f ca="1">IFERROR(__xludf.DUMMYFUNCTION("""COMPUTED_VALUE"""),96.56)</f>
        <v>96.56</v>
      </c>
      <c r="C1395" s="1">
        <f ca="1">IFERROR(__xludf.DUMMYFUNCTION("""COMPUTED_VALUE"""),97.41)</f>
        <v>97.41</v>
      </c>
      <c r="D1395" s="1">
        <f ca="1">IFERROR(__xludf.DUMMYFUNCTION("""COMPUTED_VALUE"""),95.91)</f>
        <v>95.91</v>
      </c>
      <c r="E1395" s="1">
        <f ca="1">IFERROR(__xludf.DUMMYFUNCTION("""COMPUTED_VALUE"""),96.52)</f>
        <v>96.52</v>
      </c>
      <c r="F1395" s="1">
        <f ca="1">IFERROR(__xludf.DUMMYFUNCTION("""COMPUTED_VALUE"""),27644418)</f>
        <v>27644418</v>
      </c>
    </row>
    <row r="1396" spans="1:6" x14ac:dyDescent="0.35">
      <c r="A1396" s="2">
        <f ca="1">IFERROR(__xludf.DUMMYFUNCTION("""COMPUTED_VALUE"""),44029.6666666666)</f>
        <v>44029.666666666599</v>
      </c>
      <c r="B1396" s="1">
        <f ca="1">IFERROR(__xludf.DUMMYFUNCTION("""COMPUTED_VALUE"""),96.99)</f>
        <v>96.99</v>
      </c>
      <c r="C1396" s="1">
        <f ca="1">IFERROR(__xludf.DUMMYFUNCTION("""COMPUTED_VALUE"""),97.15)</f>
        <v>97.15</v>
      </c>
      <c r="D1396" s="1">
        <f ca="1">IFERROR(__xludf.DUMMYFUNCTION("""COMPUTED_VALUE"""),95.84)</f>
        <v>95.84</v>
      </c>
      <c r="E1396" s="1">
        <f ca="1">IFERROR(__xludf.DUMMYFUNCTION("""COMPUTED_VALUE"""),96.33)</f>
        <v>96.33</v>
      </c>
      <c r="F1396" s="1">
        <f ca="1">IFERROR(__xludf.DUMMYFUNCTION("""COMPUTED_VALUE"""),23046725)</f>
        <v>23046725</v>
      </c>
    </row>
    <row r="1397" spans="1:6" x14ac:dyDescent="0.35">
      <c r="A1397" s="2">
        <f ca="1">IFERROR(__xludf.DUMMYFUNCTION("""COMPUTED_VALUE"""),44032.6666666666)</f>
        <v>44032.666666666599</v>
      </c>
      <c r="B1397" s="1">
        <f ca="1">IFERROR(__xludf.DUMMYFUNCTION("""COMPUTED_VALUE"""),96.42)</f>
        <v>96.42</v>
      </c>
      <c r="C1397" s="1">
        <f ca="1">IFERROR(__xludf.DUMMYFUNCTION("""COMPUTED_VALUE"""),98.5)</f>
        <v>98.5</v>
      </c>
      <c r="D1397" s="1">
        <f ca="1">IFERROR(__xludf.DUMMYFUNCTION("""COMPUTED_VALUE"""),96.06)</f>
        <v>96.06</v>
      </c>
      <c r="E1397" s="1">
        <f ca="1">IFERROR(__xludf.DUMMYFUNCTION("""COMPUTED_VALUE"""),98.36)</f>
        <v>98.36</v>
      </c>
      <c r="F1397" s="1">
        <f ca="1">IFERROR(__xludf.DUMMYFUNCTION("""COMPUTED_VALUE"""),22579477)</f>
        <v>22579477</v>
      </c>
    </row>
    <row r="1398" spans="1:6" x14ac:dyDescent="0.35">
      <c r="A1398" s="2">
        <f ca="1">IFERROR(__xludf.DUMMYFUNCTION("""COMPUTED_VALUE"""),44033.6666666666)</f>
        <v>44033.666666666599</v>
      </c>
      <c r="B1398" s="1">
        <f ca="1">IFERROR(__xludf.DUMMYFUNCTION("""COMPUTED_VALUE"""),99.17)</f>
        <v>99.17</v>
      </c>
      <c r="C1398" s="1">
        <f ca="1">IFERROR(__xludf.DUMMYFUNCTION("""COMPUTED_VALUE"""),99.25)</f>
        <v>99.25</v>
      </c>
      <c r="D1398" s="1">
        <f ca="1">IFERROR(__xludf.DUMMYFUNCTION("""COMPUTED_VALUE"""),96.74)</f>
        <v>96.74</v>
      </c>
      <c r="E1398" s="1">
        <f ca="1">IFERROR(__xludf.DUMMYFUNCTION("""COMPUTED_VALUE"""),97)</f>
        <v>97</v>
      </c>
      <c r="F1398" s="1">
        <f ca="1">IFERROR(__xludf.DUMMYFUNCTION("""COMPUTED_VALUE"""),25911459)</f>
        <v>25911459</v>
      </c>
    </row>
    <row r="1399" spans="1:6" x14ac:dyDescent="0.35">
      <c r="A1399" s="2">
        <f ca="1">IFERROR(__xludf.DUMMYFUNCTION("""COMPUTED_VALUE"""),44034.6666666666)</f>
        <v>44034.666666666599</v>
      </c>
      <c r="B1399" s="1">
        <f ca="1">IFERROR(__xludf.DUMMYFUNCTION("""COMPUTED_VALUE"""),96.69)</f>
        <v>96.69</v>
      </c>
      <c r="C1399" s="1">
        <f ca="1">IFERROR(__xludf.DUMMYFUNCTION("""COMPUTED_VALUE"""),97.98)</f>
        <v>97.98</v>
      </c>
      <c r="D1399" s="1">
        <f ca="1">IFERROR(__xludf.DUMMYFUNCTION("""COMPUTED_VALUE"""),96.6)</f>
        <v>96.6</v>
      </c>
      <c r="E1399" s="1">
        <f ca="1">IFERROR(__xludf.DUMMYFUNCTION("""COMPUTED_VALUE"""),97.27)</f>
        <v>97.27</v>
      </c>
      <c r="F1399" s="1">
        <f ca="1">IFERROR(__xludf.DUMMYFUNCTION("""COMPUTED_VALUE"""),22250413)</f>
        <v>22250413</v>
      </c>
    </row>
    <row r="1400" spans="1:6" x14ac:dyDescent="0.35">
      <c r="A1400" s="2">
        <f ca="1">IFERROR(__xludf.DUMMYFUNCTION("""COMPUTED_VALUE"""),44035.6666666666)</f>
        <v>44035.666666666599</v>
      </c>
      <c r="B1400" s="1">
        <f ca="1">IFERROR(__xludf.DUMMYFUNCTION("""COMPUTED_VALUE"""),97)</f>
        <v>97</v>
      </c>
      <c r="C1400" s="1">
        <f ca="1">IFERROR(__xludf.DUMMYFUNCTION("""COMPUTED_VALUE"""),97.08)</f>
        <v>97.08</v>
      </c>
      <c r="D1400" s="1">
        <f ca="1">IFERROR(__xludf.DUMMYFUNCTION("""COMPUTED_VALUE"""),92.01)</f>
        <v>92.01</v>
      </c>
      <c r="E1400" s="1">
        <f ca="1">IFERROR(__xludf.DUMMYFUNCTION("""COMPUTED_VALUE"""),92.85)</f>
        <v>92.85</v>
      </c>
      <c r="F1400" s="1">
        <f ca="1">IFERROR(__xludf.DUMMYFUNCTION("""COMPUTED_VALUE"""),49251108)</f>
        <v>49251108</v>
      </c>
    </row>
    <row r="1401" spans="1:6" x14ac:dyDescent="0.35">
      <c r="A1401" s="2">
        <f ca="1">IFERROR(__xludf.DUMMYFUNCTION("""COMPUTED_VALUE"""),44036.6666666666)</f>
        <v>44036.666666666599</v>
      </c>
      <c r="B1401" s="1">
        <f ca="1">IFERROR(__xludf.DUMMYFUNCTION("""COMPUTED_VALUE"""),90.99)</f>
        <v>90.99</v>
      </c>
      <c r="C1401" s="1">
        <f ca="1">IFERROR(__xludf.DUMMYFUNCTION("""COMPUTED_VALUE"""),92.97)</f>
        <v>92.97</v>
      </c>
      <c r="D1401" s="1">
        <f ca="1">IFERROR(__xludf.DUMMYFUNCTION("""COMPUTED_VALUE"""),89.15)</f>
        <v>89.15</v>
      </c>
      <c r="E1401" s="1">
        <f ca="1">IFERROR(__xludf.DUMMYFUNCTION("""COMPUTED_VALUE"""),92.62)</f>
        <v>92.62</v>
      </c>
      <c r="F1401" s="1">
        <f ca="1">IFERROR(__xludf.DUMMYFUNCTION("""COMPUTED_VALUE"""),46359716)</f>
        <v>46359716</v>
      </c>
    </row>
    <row r="1402" spans="1:6" x14ac:dyDescent="0.35">
      <c r="A1402" s="2">
        <f ca="1">IFERROR(__xludf.DUMMYFUNCTION("""COMPUTED_VALUE"""),44039.6666666666)</f>
        <v>44039.666666666599</v>
      </c>
      <c r="B1402" s="1">
        <f ca="1">IFERROR(__xludf.DUMMYFUNCTION("""COMPUTED_VALUE"""),93.71)</f>
        <v>93.71</v>
      </c>
      <c r="C1402" s="1">
        <f ca="1">IFERROR(__xludf.DUMMYFUNCTION("""COMPUTED_VALUE"""),94.91)</f>
        <v>94.91</v>
      </c>
      <c r="D1402" s="1">
        <f ca="1">IFERROR(__xludf.DUMMYFUNCTION("""COMPUTED_VALUE"""),93.48)</f>
        <v>93.48</v>
      </c>
      <c r="E1402" s="1">
        <f ca="1">IFERROR(__xludf.DUMMYFUNCTION("""COMPUTED_VALUE"""),94.81)</f>
        <v>94.81</v>
      </c>
      <c r="F1402" s="1">
        <f ca="1">IFERROR(__xludf.DUMMYFUNCTION("""COMPUTED_VALUE"""),30303548)</f>
        <v>30303548</v>
      </c>
    </row>
    <row r="1403" spans="1:6" x14ac:dyDescent="0.35">
      <c r="A1403" s="2">
        <f ca="1">IFERROR(__xludf.DUMMYFUNCTION("""COMPUTED_VALUE"""),44040.6666666666)</f>
        <v>44040.666666666599</v>
      </c>
      <c r="B1403" s="1">
        <f ca="1">IFERROR(__xludf.DUMMYFUNCTION("""COMPUTED_VALUE"""),94.37)</f>
        <v>94.37</v>
      </c>
      <c r="C1403" s="1">
        <f ca="1">IFERROR(__xludf.DUMMYFUNCTION("""COMPUTED_VALUE"""),94.55)</f>
        <v>94.55</v>
      </c>
      <c r="D1403" s="1">
        <f ca="1">IFERROR(__xludf.DUMMYFUNCTION("""COMPUTED_VALUE"""),93.25)</f>
        <v>93.25</v>
      </c>
      <c r="E1403" s="1">
        <f ca="1">IFERROR(__xludf.DUMMYFUNCTION("""COMPUTED_VALUE"""),93.25)</f>
        <v>93.25</v>
      </c>
      <c r="F1403" s="1">
        <f ca="1">IFERROR(__xludf.DUMMYFUNCTION("""COMPUTED_VALUE"""),25906375)</f>
        <v>25906375</v>
      </c>
    </row>
    <row r="1404" spans="1:6" x14ac:dyDescent="0.35">
      <c r="A1404" s="2">
        <f ca="1">IFERROR(__xludf.DUMMYFUNCTION("""COMPUTED_VALUE"""),44041.6666666666)</f>
        <v>44041.666666666599</v>
      </c>
      <c r="B1404" s="1">
        <f ca="1">IFERROR(__xludf.DUMMYFUNCTION("""COMPUTED_VALUE"""),93.75)</f>
        <v>93.75</v>
      </c>
      <c r="C1404" s="1">
        <f ca="1">IFERROR(__xludf.DUMMYFUNCTION("""COMPUTED_VALUE"""),95.23)</f>
        <v>95.23</v>
      </c>
      <c r="D1404" s="1">
        <f ca="1">IFERROR(__xludf.DUMMYFUNCTION("""COMPUTED_VALUE"""),93.71)</f>
        <v>93.71</v>
      </c>
      <c r="E1404" s="1">
        <f ca="1">IFERROR(__xludf.DUMMYFUNCTION("""COMPUTED_VALUE"""),95.04)</f>
        <v>95.04</v>
      </c>
      <c r="F1404" s="1">
        <f ca="1">IFERROR(__xludf.DUMMYFUNCTION("""COMPUTED_VALUE"""),22582314)</f>
        <v>22582314</v>
      </c>
    </row>
    <row r="1405" spans="1:6" x14ac:dyDescent="0.35">
      <c r="A1405" s="2">
        <f ca="1">IFERROR(__xludf.DUMMYFUNCTION("""COMPUTED_VALUE"""),44042.6666666666)</f>
        <v>44042.666666666599</v>
      </c>
      <c r="B1405" s="1">
        <f ca="1">IFERROR(__xludf.DUMMYFUNCTION("""COMPUTED_VALUE"""),94.19)</f>
        <v>94.19</v>
      </c>
      <c r="C1405" s="1">
        <f ca="1">IFERROR(__xludf.DUMMYFUNCTION("""COMPUTED_VALUE"""),96.3)</f>
        <v>96.3</v>
      </c>
      <c r="D1405" s="1">
        <f ca="1">IFERROR(__xludf.DUMMYFUNCTION("""COMPUTED_VALUE"""),93.77)</f>
        <v>93.77</v>
      </c>
      <c r="E1405" s="1">
        <f ca="1">IFERROR(__xludf.DUMMYFUNCTION("""COMPUTED_VALUE"""),96.19)</f>
        <v>96.19</v>
      </c>
      <c r="F1405" s="1">
        <f ca="1">IFERROR(__xludf.DUMMYFUNCTION("""COMPUTED_VALUE"""),39532505)</f>
        <v>39532505</v>
      </c>
    </row>
    <row r="1406" spans="1:6" x14ac:dyDescent="0.35">
      <c r="A1406" s="2">
        <f ca="1">IFERROR(__xludf.DUMMYFUNCTION("""COMPUTED_VALUE"""),44043.6666666666)</f>
        <v>44043.666666666599</v>
      </c>
      <c r="B1406" s="1">
        <f ca="1">IFERROR(__xludf.DUMMYFUNCTION("""COMPUTED_VALUE"""),102.88)</f>
        <v>102.88</v>
      </c>
      <c r="C1406" s="1">
        <f ca="1">IFERROR(__xludf.DUMMYFUNCTION("""COMPUTED_VALUE"""),106.42)</f>
        <v>106.42</v>
      </c>
      <c r="D1406" s="1">
        <f ca="1">IFERROR(__xludf.DUMMYFUNCTION("""COMPUTED_VALUE"""),100.83)</f>
        <v>100.83</v>
      </c>
      <c r="E1406" s="1">
        <f ca="1">IFERROR(__xludf.DUMMYFUNCTION("""COMPUTED_VALUE"""),106.26)</f>
        <v>106.26</v>
      </c>
      <c r="F1406" s="1">
        <f ca="1">IFERROR(__xludf.DUMMYFUNCTION("""COMPUTED_VALUE"""),93573867)</f>
        <v>93573867</v>
      </c>
    </row>
    <row r="1407" spans="1:6" x14ac:dyDescent="0.35">
      <c r="A1407" s="2">
        <f ca="1">IFERROR(__xludf.DUMMYFUNCTION("""COMPUTED_VALUE"""),44046.6666666666)</f>
        <v>44046.666666666599</v>
      </c>
      <c r="B1407" s="1">
        <f ca="1">IFERROR(__xludf.DUMMYFUNCTION("""COMPUTED_VALUE"""),108.2)</f>
        <v>108.2</v>
      </c>
      <c r="C1407" s="1">
        <f ca="1">IFERROR(__xludf.DUMMYFUNCTION("""COMPUTED_VALUE"""),111.64)</f>
        <v>111.64</v>
      </c>
      <c r="D1407" s="1">
        <f ca="1">IFERROR(__xludf.DUMMYFUNCTION("""COMPUTED_VALUE"""),107.89)</f>
        <v>107.89</v>
      </c>
      <c r="E1407" s="1">
        <f ca="1">IFERROR(__xludf.DUMMYFUNCTION("""COMPUTED_VALUE"""),108.94)</f>
        <v>108.94</v>
      </c>
      <c r="F1407" s="1">
        <f ca="1">IFERROR(__xludf.DUMMYFUNCTION("""COMPUTED_VALUE"""),77037847)</f>
        <v>77037847</v>
      </c>
    </row>
    <row r="1408" spans="1:6" x14ac:dyDescent="0.35">
      <c r="A1408" s="2">
        <f ca="1">IFERROR(__xludf.DUMMYFUNCTION("""COMPUTED_VALUE"""),44047.6666666666)</f>
        <v>44047.666666666599</v>
      </c>
      <c r="B1408" s="1">
        <f ca="1">IFERROR(__xludf.DUMMYFUNCTION("""COMPUTED_VALUE"""),109.13)</f>
        <v>109.13</v>
      </c>
      <c r="C1408" s="1">
        <f ca="1">IFERROR(__xludf.DUMMYFUNCTION("""COMPUTED_VALUE"""),110.79)</f>
        <v>110.79</v>
      </c>
      <c r="D1408" s="1">
        <f ca="1">IFERROR(__xludf.DUMMYFUNCTION("""COMPUTED_VALUE"""),108.39)</f>
        <v>108.39</v>
      </c>
      <c r="E1408" s="1">
        <f ca="1">IFERROR(__xludf.DUMMYFUNCTION("""COMPUTED_VALUE"""),109.67)</f>
        <v>109.67</v>
      </c>
      <c r="F1408" s="1">
        <f ca="1">IFERROR(__xludf.DUMMYFUNCTION("""COMPUTED_VALUE"""),43198092)</f>
        <v>43198092</v>
      </c>
    </row>
    <row r="1409" spans="1:6" x14ac:dyDescent="0.35">
      <c r="A1409" s="2">
        <f ca="1">IFERROR(__xludf.DUMMYFUNCTION("""COMPUTED_VALUE"""),44048.6666666666)</f>
        <v>44048.666666666599</v>
      </c>
      <c r="B1409" s="1">
        <f ca="1">IFERROR(__xludf.DUMMYFUNCTION("""COMPUTED_VALUE"""),109.38)</f>
        <v>109.38</v>
      </c>
      <c r="C1409" s="1">
        <f ca="1">IFERROR(__xludf.DUMMYFUNCTION("""COMPUTED_VALUE"""),110.39)</f>
        <v>110.39</v>
      </c>
      <c r="D1409" s="1">
        <f ca="1">IFERROR(__xludf.DUMMYFUNCTION("""COMPUTED_VALUE"""),108.9)</f>
        <v>108.9</v>
      </c>
      <c r="E1409" s="1">
        <f ca="1">IFERROR(__xludf.DUMMYFUNCTION("""COMPUTED_VALUE"""),110.06)</f>
        <v>110.06</v>
      </c>
      <c r="F1409" s="1">
        <f ca="1">IFERROR(__xludf.DUMMYFUNCTION("""COMPUTED_VALUE"""),30497988)</f>
        <v>30497988</v>
      </c>
    </row>
    <row r="1410" spans="1:6" x14ac:dyDescent="0.35">
      <c r="A1410" s="2">
        <f ca="1">IFERROR(__xludf.DUMMYFUNCTION("""COMPUTED_VALUE"""),44049.6666666666)</f>
        <v>44049.666666666599</v>
      </c>
      <c r="B1410" s="1">
        <f ca="1">IFERROR(__xludf.DUMMYFUNCTION("""COMPUTED_VALUE"""),110.41)</f>
        <v>110.41</v>
      </c>
      <c r="C1410" s="1">
        <f ca="1">IFERROR(__xludf.DUMMYFUNCTION("""COMPUTED_VALUE"""),114.41)</f>
        <v>114.41</v>
      </c>
      <c r="D1410" s="1">
        <f ca="1">IFERROR(__xludf.DUMMYFUNCTION("""COMPUTED_VALUE"""),109.8)</f>
        <v>109.8</v>
      </c>
      <c r="E1410" s="1">
        <f ca="1">IFERROR(__xludf.DUMMYFUNCTION("""COMPUTED_VALUE"""),113.9)</f>
        <v>113.9</v>
      </c>
      <c r="F1410" s="1">
        <f ca="1">IFERROR(__xludf.DUMMYFUNCTION("""COMPUTED_VALUE"""),50607225)</f>
        <v>50607225</v>
      </c>
    </row>
    <row r="1411" spans="1:6" x14ac:dyDescent="0.35">
      <c r="A1411" s="2">
        <f ca="1">IFERROR(__xludf.DUMMYFUNCTION("""COMPUTED_VALUE"""),44050.6666666666)</f>
        <v>44050.666666666599</v>
      </c>
      <c r="B1411" s="1">
        <f ca="1">IFERROR(__xludf.DUMMYFUNCTION("""COMPUTED_VALUE"""),113.21)</f>
        <v>113.21</v>
      </c>
      <c r="C1411" s="1">
        <f ca="1">IFERROR(__xludf.DUMMYFUNCTION("""COMPUTED_VALUE"""),113.68)</f>
        <v>113.68</v>
      </c>
      <c r="D1411" s="1">
        <f ca="1">IFERROR(__xludf.DUMMYFUNCTION("""COMPUTED_VALUE"""),110.29)</f>
        <v>110.29</v>
      </c>
      <c r="E1411" s="1">
        <f ca="1">IFERROR(__xludf.DUMMYFUNCTION("""COMPUTED_VALUE"""),111.11)</f>
        <v>111.11</v>
      </c>
      <c r="F1411" s="1">
        <f ca="1">IFERROR(__xludf.DUMMYFUNCTION("""COMPUTED_VALUE"""),49511403)</f>
        <v>49511403</v>
      </c>
    </row>
    <row r="1412" spans="1:6" x14ac:dyDescent="0.35">
      <c r="A1412" s="2">
        <f ca="1">IFERROR(__xludf.DUMMYFUNCTION("""COMPUTED_VALUE"""),44053.6666666666)</f>
        <v>44053.666666666599</v>
      </c>
      <c r="B1412" s="1">
        <f ca="1">IFERROR(__xludf.DUMMYFUNCTION("""COMPUTED_VALUE"""),112.6)</f>
        <v>112.6</v>
      </c>
      <c r="C1412" s="1">
        <f ca="1">IFERROR(__xludf.DUMMYFUNCTION("""COMPUTED_VALUE"""),113.78)</f>
        <v>113.78</v>
      </c>
      <c r="D1412" s="1">
        <f ca="1">IFERROR(__xludf.DUMMYFUNCTION("""COMPUTED_VALUE"""),110)</f>
        <v>110</v>
      </c>
      <c r="E1412" s="1">
        <f ca="1">IFERROR(__xludf.DUMMYFUNCTION("""COMPUTED_VALUE"""),112.73)</f>
        <v>112.73</v>
      </c>
      <c r="F1412" s="1">
        <f ca="1">IFERROR(__xludf.DUMMYFUNCTION("""COMPUTED_VALUE"""),53100856)</f>
        <v>53100856</v>
      </c>
    </row>
    <row r="1413" spans="1:6" x14ac:dyDescent="0.35">
      <c r="A1413" s="2">
        <f ca="1">IFERROR(__xludf.DUMMYFUNCTION("""COMPUTED_VALUE"""),44054.6666666666)</f>
        <v>44054.666666666599</v>
      </c>
      <c r="B1413" s="1">
        <f ca="1">IFERROR(__xludf.DUMMYFUNCTION("""COMPUTED_VALUE"""),111.97)</f>
        <v>111.97</v>
      </c>
      <c r="C1413" s="1">
        <f ca="1">IFERROR(__xludf.DUMMYFUNCTION("""COMPUTED_VALUE"""),112.48)</f>
        <v>112.48</v>
      </c>
      <c r="D1413" s="1">
        <f ca="1">IFERROR(__xludf.DUMMYFUNCTION("""COMPUTED_VALUE"""),109.11)</f>
        <v>109.11</v>
      </c>
      <c r="E1413" s="1">
        <f ca="1">IFERROR(__xludf.DUMMYFUNCTION("""COMPUTED_VALUE"""),109.38)</f>
        <v>109.38</v>
      </c>
      <c r="F1413" s="1">
        <f ca="1">IFERROR(__xludf.DUMMYFUNCTION("""COMPUTED_VALUE"""),46975594)</f>
        <v>46975594</v>
      </c>
    </row>
    <row r="1414" spans="1:6" x14ac:dyDescent="0.35">
      <c r="A1414" s="2">
        <f ca="1">IFERROR(__xludf.DUMMYFUNCTION("""COMPUTED_VALUE"""),44055.6666666666)</f>
        <v>44055.666666666599</v>
      </c>
      <c r="B1414" s="1">
        <f ca="1">IFERROR(__xludf.DUMMYFUNCTION("""COMPUTED_VALUE"""),110.5)</f>
        <v>110.5</v>
      </c>
      <c r="C1414" s="1">
        <f ca="1">IFERROR(__xludf.DUMMYFUNCTION("""COMPUTED_VALUE"""),113.28)</f>
        <v>113.28</v>
      </c>
      <c r="D1414" s="1">
        <f ca="1">IFERROR(__xludf.DUMMYFUNCTION("""COMPUTED_VALUE"""),110.3)</f>
        <v>110.3</v>
      </c>
      <c r="E1414" s="1">
        <f ca="1">IFERROR(__xludf.DUMMYFUNCTION("""COMPUTED_VALUE"""),113.01)</f>
        <v>113.01</v>
      </c>
      <c r="F1414" s="1">
        <f ca="1">IFERROR(__xludf.DUMMYFUNCTION("""COMPUTED_VALUE"""),41486205)</f>
        <v>41486205</v>
      </c>
    </row>
    <row r="1415" spans="1:6" x14ac:dyDescent="0.35">
      <c r="A1415" s="2">
        <f ca="1">IFERROR(__xludf.DUMMYFUNCTION("""COMPUTED_VALUE"""),44056.6666666666)</f>
        <v>44056.666666666599</v>
      </c>
      <c r="B1415" s="1">
        <f ca="1">IFERROR(__xludf.DUMMYFUNCTION("""COMPUTED_VALUE"""),114.43)</f>
        <v>114.43</v>
      </c>
      <c r="C1415" s="1">
        <f ca="1">IFERROR(__xludf.DUMMYFUNCTION("""COMPUTED_VALUE"""),116.04)</f>
        <v>116.04</v>
      </c>
      <c r="D1415" s="1">
        <f ca="1">IFERROR(__xludf.DUMMYFUNCTION("""COMPUTED_VALUE"""),113.93)</f>
        <v>113.93</v>
      </c>
      <c r="E1415" s="1">
        <f ca="1">IFERROR(__xludf.DUMMYFUNCTION("""COMPUTED_VALUE"""),115.01)</f>
        <v>115.01</v>
      </c>
      <c r="F1415" s="1">
        <f ca="1">IFERROR(__xludf.DUMMYFUNCTION("""COMPUTED_VALUE"""),52520516)</f>
        <v>52520516</v>
      </c>
    </row>
    <row r="1416" spans="1:6" x14ac:dyDescent="0.35">
      <c r="A1416" s="2">
        <f ca="1">IFERROR(__xludf.DUMMYFUNCTION("""COMPUTED_VALUE"""),44057.6666666666)</f>
        <v>44057.666666666599</v>
      </c>
      <c r="B1416" s="1">
        <f ca="1">IFERROR(__xludf.DUMMYFUNCTION("""COMPUTED_VALUE"""),114.83)</f>
        <v>114.83</v>
      </c>
      <c r="C1416" s="1">
        <f ca="1">IFERROR(__xludf.DUMMYFUNCTION("""COMPUTED_VALUE"""),115)</f>
        <v>115</v>
      </c>
      <c r="D1416" s="1">
        <f ca="1">IFERROR(__xludf.DUMMYFUNCTION("""COMPUTED_VALUE"""),113.05)</f>
        <v>113.05</v>
      </c>
      <c r="E1416" s="1">
        <f ca="1">IFERROR(__xludf.DUMMYFUNCTION("""COMPUTED_VALUE"""),114.91)</f>
        <v>114.91</v>
      </c>
      <c r="F1416" s="1">
        <f ca="1">IFERROR(__xludf.DUMMYFUNCTION("""COMPUTED_VALUE"""),41391302)</f>
        <v>41391302</v>
      </c>
    </row>
    <row r="1417" spans="1:6" x14ac:dyDescent="0.35">
      <c r="A1417" s="2">
        <f ca="1">IFERROR(__xludf.DUMMYFUNCTION("""COMPUTED_VALUE"""),44060.6666666666)</f>
        <v>44060.666666666599</v>
      </c>
      <c r="B1417" s="1">
        <f ca="1">IFERROR(__xludf.DUMMYFUNCTION("""COMPUTED_VALUE"""),116.06)</f>
        <v>116.06</v>
      </c>
      <c r="C1417" s="1">
        <f ca="1">IFERROR(__xludf.DUMMYFUNCTION("""COMPUTED_VALUE"""),116.09)</f>
        <v>116.09</v>
      </c>
      <c r="D1417" s="1">
        <f ca="1">IFERROR(__xludf.DUMMYFUNCTION("""COMPUTED_VALUE"""),113.96)</f>
        <v>113.96</v>
      </c>
      <c r="E1417" s="1">
        <f ca="1">IFERROR(__xludf.DUMMYFUNCTION("""COMPUTED_VALUE"""),114.61)</f>
        <v>114.61</v>
      </c>
      <c r="F1417" s="1">
        <f ca="1">IFERROR(__xludf.DUMMYFUNCTION("""COMPUTED_VALUE"""),29890361)</f>
        <v>29890361</v>
      </c>
    </row>
    <row r="1418" spans="1:6" x14ac:dyDescent="0.35">
      <c r="A1418" s="2">
        <f ca="1">IFERROR(__xludf.DUMMYFUNCTION("""COMPUTED_VALUE"""),44061.6666666666)</f>
        <v>44061.666666666599</v>
      </c>
      <c r="B1418" s="1">
        <f ca="1">IFERROR(__xludf.DUMMYFUNCTION("""COMPUTED_VALUE"""),114.35)</f>
        <v>114.35</v>
      </c>
      <c r="C1418" s="1">
        <f ca="1">IFERROR(__xludf.DUMMYFUNCTION("""COMPUTED_VALUE"""),116)</f>
        <v>116</v>
      </c>
      <c r="D1418" s="1">
        <f ca="1">IFERROR(__xludf.DUMMYFUNCTION("""COMPUTED_VALUE"""),114.01)</f>
        <v>114.01</v>
      </c>
      <c r="E1418" s="1">
        <f ca="1">IFERROR(__xludf.DUMMYFUNCTION("""COMPUTED_VALUE"""),115.56)</f>
        <v>115.56</v>
      </c>
      <c r="F1418" s="1">
        <f ca="1">IFERROR(__xludf.DUMMYFUNCTION("""COMPUTED_VALUE"""),26408385)</f>
        <v>26408385</v>
      </c>
    </row>
    <row r="1419" spans="1:6" x14ac:dyDescent="0.35">
      <c r="A1419" s="2">
        <f ca="1">IFERROR(__xludf.DUMMYFUNCTION("""COMPUTED_VALUE"""),44062.6666666666)</f>
        <v>44062.666666666599</v>
      </c>
      <c r="B1419" s="1">
        <f ca="1">IFERROR(__xludf.DUMMYFUNCTION("""COMPUTED_VALUE"""),115.98)</f>
        <v>115.98</v>
      </c>
      <c r="C1419" s="1">
        <f ca="1">IFERROR(__xludf.DUMMYFUNCTION("""COMPUTED_VALUE"""),117.16)</f>
        <v>117.16</v>
      </c>
      <c r="D1419" s="1">
        <f ca="1">IFERROR(__xludf.DUMMYFUNCTION("""COMPUTED_VALUE"""),115.61)</f>
        <v>115.61</v>
      </c>
      <c r="E1419" s="1">
        <f ca="1">IFERROR(__xludf.DUMMYFUNCTION("""COMPUTED_VALUE"""),115.71)</f>
        <v>115.71</v>
      </c>
      <c r="F1419" s="1">
        <f ca="1">IFERROR(__xludf.DUMMYFUNCTION("""COMPUTED_VALUE"""),36384502)</f>
        <v>36384502</v>
      </c>
    </row>
    <row r="1420" spans="1:6" x14ac:dyDescent="0.35">
      <c r="A1420" s="2">
        <f ca="1">IFERROR(__xludf.DUMMYFUNCTION("""COMPUTED_VALUE"""),44063.6666666666)</f>
        <v>44063.666666666599</v>
      </c>
      <c r="B1420" s="1">
        <f ca="1">IFERROR(__xludf.DUMMYFUNCTION("""COMPUTED_VALUE"""),115.75)</f>
        <v>115.75</v>
      </c>
      <c r="C1420" s="1">
        <f ca="1">IFERROR(__xludf.DUMMYFUNCTION("""COMPUTED_VALUE"""),118.39)</f>
        <v>118.39</v>
      </c>
      <c r="D1420" s="1">
        <f ca="1">IFERROR(__xludf.DUMMYFUNCTION("""COMPUTED_VALUE"""),115.73)</f>
        <v>115.73</v>
      </c>
      <c r="E1420" s="1">
        <f ca="1">IFERROR(__xludf.DUMMYFUNCTION("""COMPUTED_VALUE"""),118.28)</f>
        <v>118.28</v>
      </c>
      <c r="F1420" s="1">
        <f ca="1">IFERROR(__xludf.DUMMYFUNCTION("""COMPUTED_VALUE"""),31726797)</f>
        <v>31726797</v>
      </c>
    </row>
    <row r="1421" spans="1:6" x14ac:dyDescent="0.35">
      <c r="A1421" s="2">
        <f ca="1">IFERROR(__xludf.DUMMYFUNCTION("""COMPUTED_VALUE"""),44064.6666666666)</f>
        <v>44064.666666666599</v>
      </c>
      <c r="B1421" s="1">
        <f ca="1">IFERROR(__xludf.DUMMYFUNCTION("""COMPUTED_VALUE"""),119.26)</f>
        <v>119.26</v>
      </c>
      <c r="C1421" s="1">
        <f ca="1">IFERROR(__xludf.DUMMYFUNCTION("""COMPUTED_VALUE"""),124.87)</f>
        <v>124.87</v>
      </c>
      <c r="D1421" s="1">
        <f ca="1">IFERROR(__xludf.DUMMYFUNCTION("""COMPUTED_VALUE"""),119.25)</f>
        <v>119.25</v>
      </c>
      <c r="E1421" s="1">
        <f ca="1">IFERROR(__xludf.DUMMYFUNCTION("""COMPUTED_VALUE"""),124.37)</f>
        <v>124.37</v>
      </c>
      <c r="F1421" s="1">
        <f ca="1">IFERROR(__xludf.DUMMYFUNCTION("""COMPUTED_VALUE"""),84513660)</f>
        <v>84513660</v>
      </c>
    </row>
    <row r="1422" spans="1:6" x14ac:dyDescent="0.35">
      <c r="A1422" s="2">
        <f ca="1">IFERROR(__xludf.DUMMYFUNCTION("""COMPUTED_VALUE"""),44067.6666666666)</f>
        <v>44067.666666666599</v>
      </c>
      <c r="B1422" s="1">
        <f ca="1">IFERROR(__xludf.DUMMYFUNCTION("""COMPUTED_VALUE"""),128.7)</f>
        <v>128.69999999999999</v>
      </c>
      <c r="C1422" s="1">
        <f ca="1">IFERROR(__xludf.DUMMYFUNCTION("""COMPUTED_VALUE"""),128.79)</f>
        <v>128.79</v>
      </c>
      <c r="D1422" s="1">
        <f ca="1">IFERROR(__xludf.DUMMYFUNCTION("""COMPUTED_VALUE"""),123.94)</f>
        <v>123.94</v>
      </c>
      <c r="E1422" s="1">
        <f ca="1">IFERROR(__xludf.DUMMYFUNCTION("""COMPUTED_VALUE"""),125.86)</f>
        <v>125.86</v>
      </c>
      <c r="F1422" s="1">
        <f ca="1">IFERROR(__xludf.DUMMYFUNCTION("""COMPUTED_VALUE"""),86484442)</f>
        <v>86484442</v>
      </c>
    </row>
    <row r="1423" spans="1:6" x14ac:dyDescent="0.35">
      <c r="A1423" s="2">
        <f ca="1">IFERROR(__xludf.DUMMYFUNCTION("""COMPUTED_VALUE"""),44068.6666666666)</f>
        <v>44068.666666666599</v>
      </c>
      <c r="B1423" s="1">
        <f ca="1">IFERROR(__xludf.DUMMYFUNCTION("""COMPUTED_VALUE"""),124.7)</f>
        <v>124.7</v>
      </c>
      <c r="C1423" s="1">
        <f ca="1">IFERROR(__xludf.DUMMYFUNCTION("""COMPUTED_VALUE"""),125.18)</f>
        <v>125.18</v>
      </c>
      <c r="D1423" s="1">
        <f ca="1">IFERROR(__xludf.DUMMYFUNCTION("""COMPUTED_VALUE"""),123.05)</f>
        <v>123.05</v>
      </c>
      <c r="E1423" s="1">
        <f ca="1">IFERROR(__xludf.DUMMYFUNCTION("""COMPUTED_VALUE"""),124.83)</f>
        <v>124.83</v>
      </c>
      <c r="F1423" s="1">
        <f ca="1">IFERROR(__xludf.DUMMYFUNCTION("""COMPUTED_VALUE"""),52873947)</f>
        <v>52873947</v>
      </c>
    </row>
    <row r="1424" spans="1:6" x14ac:dyDescent="0.35">
      <c r="A1424" s="2">
        <f ca="1">IFERROR(__xludf.DUMMYFUNCTION("""COMPUTED_VALUE"""),44069.6666666666)</f>
        <v>44069.666666666599</v>
      </c>
      <c r="B1424" s="1">
        <f ca="1">IFERROR(__xludf.DUMMYFUNCTION("""COMPUTED_VALUE"""),126.18)</f>
        <v>126.18</v>
      </c>
      <c r="C1424" s="1">
        <f ca="1">IFERROR(__xludf.DUMMYFUNCTION("""COMPUTED_VALUE"""),126.99)</f>
        <v>126.99</v>
      </c>
      <c r="D1424" s="1">
        <f ca="1">IFERROR(__xludf.DUMMYFUNCTION("""COMPUTED_VALUE"""),125.08)</f>
        <v>125.08</v>
      </c>
      <c r="E1424" s="1">
        <f ca="1">IFERROR(__xludf.DUMMYFUNCTION("""COMPUTED_VALUE"""),126.52)</f>
        <v>126.52</v>
      </c>
      <c r="F1424" s="1">
        <f ca="1">IFERROR(__xludf.DUMMYFUNCTION("""COMPUTED_VALUE"""),40755567)</f>
        <v>40755567</v>
      </c>
    </row>
    <row r="1425" spans="1:6" x14ac:dyDescent="0.35">
      <c r="A1425" s="2">
        <f ca="1">IFERROR(__xludf.DUMMYFUNCTION("""COMPUTED_VALUE"""),44070.6666666666)</f>
        <v>44070.666666666599</v>
      </c>
      <c r="B1425" s="1">
        <f ca="1">IFERROR(__xludf.DUMMYFUNCTION("""COMPUTED_VALUE"""),127.14)</f>
        <v>127.14</v>
      </c>
      <c r="C1425" s="1">
        <f ca="1">IFERROR(__xludf.DUMMYFUNCTION("""COMPUTED_VALUE"""),127.49)</f>
        <v>127.49</v>
      </c>
      <c r="D1425" s="1">
        <f ca="1">IFERROR(__xludf.DUMMYFUNCTION("""COMPUTED_VALUE"""),123.83)</f>
        <v>123.83</v>
      </c>
      <c r="E1425" s="1">
        <f ca="1">IFERROR(__xludf.DUMMYFUNCTION("""COMPUTED_VALUE"""),125.01)</f>
        <v>125.01</v>
      </c>
      <c r="F1425" s="1">
        <f ca="1">IFERROR(__xludf.DUMMYFUNCTION("""COMPUTED_VALUE"""),38888096)</f>
        <v>38888096</v>
      </c>
    </row>
    <row r="1426" spans="1:6" x14ac:dyDescent="0.35">
      <c r="A1426" s="2">
        <f ca="1">IFERROR(__xludf.DUMMYFUNCTION("""COMPUTED_VALUE"""),44071.6666666666)</f>
        <v>44071.666666666599</v>
      </c>
      <c r="B1426" s="1">
        <f ca="1">IFERROR(__xludf.DUMMYFUNCTION("""COMPUTED_VALUE"""),126.01)</f>
        <v>126.01</v>
      </c>
      <c r="C1426" s="1">
        <f ca="1">IFERROR(__xludf.DUMMYFUNCTION("""COMPUTED_VALUE"""),126.44)</f>
        <v>126.44</v>
      </c>
      <c r="D1426" s="1">
        <f ca="1">IFERROR(__xludf.DUMMYFUNCTION("""COMPUTED_VALUE"""),124.58)</f>
        <v>124.58</v>
      </c>
      <c r="E1426" s="1">
        <f ca="1">IFERROR(__xludf.DUMMYFUNCTION("""COMPUTED_VALUE"""),124.81)</f>
        <v>124.81</v>
      </c>
      <c r="F1426" s="1">
        <f ca="1">IFERROR(__xludf.DUMMYFUNCTION("""COMPUTED_VALUE"""),46907479)</f>
        <v>46907479</v>
      </c>
    </row>
    <row r="1427" spans="1:6" x14ac:dyDescent="0.35">
      <c r="A1427" s="2">
        <f ca="1">IFERROR(__xludf.DUMMYFUNCTION("""COMPUTED_VALUE"""),44074.6666666666)</f>
        <v>44074.666666666599</v>
      </c>
      <c r="B1427" s="1">
        <f ca="1">IFERROR(__xludf.DUMMYFUNCTION("""COMPUTED_VALUE"""),127.58)</f>
        <v>127.58</v>
      </c>
      <c r="C1427" s="1">
        <f ca="1">IFERROR(__xludf.DUMMYFUNCTION("""COMPUTED_VALUE"""),131)</f>
        <v>131</v>
      </c>
      <c r="D1427" s="1">
        <f ca="1">IFERROR(__xludf.DUMMYFUNCTION("""COMPUTED_VALUE"""),126)</f>
        <v>126</v>
      </c>
      <c r="E1427" s="1">
        <f ca="1">IFERROR(__xludf.DUMMYFUNCTION("""COMPUTED_VALUE"""),129.04)</f>
        <v>129.04</v>
      </c>
      <c r="F1427" s="1">
        <f ca="1">IFERROR(__xludf.DUMMYFUNCTION("""COMPUTED_VALUE"""),225702688)</f>
        <v>225702688</v>
      </c>
    </row>
    <row r="1428" spans="1:6" x14ac:dyDescent="0.35">
      <c r="A1428" s="2">
        <f ca="1">IFERROR(__xludf.DUMMYFUNCTION("""COMPUTED_VALUE"""),44075.6666666666)</f>
        <v>44075.666666666599</v>
      </c>
      <c r="B1428" s="1">
        <f ca="1">IFERROR(__xludf.DUMMYFUNCTION("""COMPUTED_VALUE"""),132.76)</f>
        <v>132.76</v>
      </c>
      <c r="C1428" s="1">
        <f ca="1">IFERROR(__xludf.DUMMYFUNCTION("""COMPUTED_VALUE"""),134.8)</f>
        <v>134.80000000000001</v>
      </c>
      <c r="D1428" s="1">
        <f ca="1">IFERROR(__xludf.DUMMYFUNCTION("""COMPUTED_VALUE"""),130.53)</f>
        <v>130.53</v>
      </c>
      <c r="E1428" s="1">
        <f ca="1">IFERROR(__xludf.DUMMYFUNCTION("""COMPUTED_VALUE"""),134.18)</f>
        <v>134.18</v>
      </c>
      <c r="F1428" s="1">
        <f ca="1">IFERROR(__xludf.DUMMYFUNCTION("""COMPUTED_VALUE"""),152470142)</f>
        <v>152470142</v>
      </c>
    </row>
    <row r="1429" spans="1:6" x14ac:dyDescent="0.35">
      <c r="A1429" s="2">
        <f ca="1">IFERROR(__xludf.DUMMYFUNCTION("""COMPUTED_VALUE"""),44076.6666666666)</f>
        <v>44076.666666666599</v>
      </c>
      <c r="B1429" s="1">
        <f ca="1">IFERROR(__xludf.DUMMYFUNCTION("""COMPUTED_VALUE"""),137.59)</f>
        <v>137.59</v>
      </c>
      <c r="C1429" s="1">
        <f ca="1">IFERROR(__xludf.DUMMYFUNCTION("""COMPUTED_VALUE"""),137.98)</f>
        <v>137.97999999999999</v>
      </c>
      <c r="D1429" s="1">
        <f ca="1">IFERROR(__xludf.DUMMYFUNCTION("""COMPUTED_VALUE"""),127)</f>
        <v>127</v>
      </c>
      <c r="E1429" s="1">
        <f ca="1">IFERROR(__xludf.DUMMYFUNCTION("""COMPUTED_VALUE"""),131.4)</f>
        <v>131.4</v>
      </c>
      <c r="F1429" s="1">
        <f ca="1">IFERROR(__xludf.DUMMYFUNCTION("""COMPUTED_VALUE"""),200118991)</f>
        <v>200118991</v>
      </c>
    </row>
    <row r="1430" spans="1:6" x14ac:dyDescent="0.35">
      <c r="A1430" s="2">
        <f ca="1">IFERROR(__xludf.DUMMYFUNCTION("""COMPUTED_VALUE"""),44077.6666666666)</f>
        <v>44077.666666666599</v>
      </c>
      <c r="B1430" s="1">
        <f ca="1">IFERROR(__xludf.DUMMYFUNCTION("""COMPUTED_VALUE"""),126.91)</f>
        <v>126.91</v>
      </c>
      <c r="C1430" s="1">
        <f ca="1">IFERROR(__xludf.DUMMYFUNCTION("""COMPUTED_VALUE"""),128.84)</f>
        <v>128.84</v>
      </c>
      <c r="D1430" s="1">
        <f ca="1">IFERROR(__xludf.DUMMYFUNCTION("""COMPUTED_VALUE"""),120.5)</f>
        <v>120.5</v>
      </c>
      <c r="E1430" s="1">
        <f ca="1">IFERROR(__xludf.DUMMYFUNCTION("""COMPUTED_VALUE"""),120.88)</f>
        <v>120.88</v>
      </c>
      <c r="F1430" s="1">
        <f ca="1">IFERROR(__xludf.DUMMYFUNCTION("""COMPUTED_VALUE"""),257599640)</f>
        <v>257599640</v>
      </c>
    </row>
    <row r="1431" spans="1:6" x14ac:dyDescent="0.35">
      <c r="A1431" s="2">
        <f ca="1">IFERROR(__xludf.DUMMYFUNCTION("""COMPUTED_VALUE"""),44078.6666666666)</f>
        <v>44078.666666666599</v>
      </c>
      <c r="B1431" s="1">
        <f ca="1">IFERROR(__xludf.DUMMYFUNCTION("""COMPUTED_VALUE"""),120.07)</f>
        <v>120.07</v>
      </c>
      <c r="C1431" s="1">
        <f ca="1">IFERROR(__xludf.DUMMYFUNCTION("""COMPUTED_VALUE"""),123.7)</f>
        <v>123.7</v>
      </c>
      <c r="D1431" s="1">
        <f ca="1">IFERROR(__xludf.DUMMYFUNCTION("""COMPUTED_VALUE"""),110.89)</f>
        <v>110.89</v>
      </c>
      <c r="E1431" s="1">
        <f ca="1">IFERROR(__xludf.DUMMYFUNCTION("""COMPUTED_VALUE"""),120.96)</f>
        <v>120.96</v>
      </c>
      <c r="F1431" s="1">
        <f ca="1">IFERROR(__xludf.DUMMYFUNCTION("""COMPUTED_VALUE"""),332607163)</f>
        <v>332607163</v>
      </c>
    </row>
    <row r="1432" spans="1:6" x14ac:dyDescent="0.35">
      <c r="A1432" s="2">
        <f ca="1">IFERROR(__xludf.DUMMYFUNCTION("""COMPUTED_VALUE"""),44082.6666666666)</f>
        <v>44082.666666666599</v>
      </c>
      <c r="B1432" s="1">
        <f ca="1">IFERROR(__xludf.DUMMYFUNCTION("""COMPUTED_VALUE"""),113.95)</f>
        <v>113.95</v>
      </c>
      <c r="C1432" s="1">
        <f ca="1">IFERROR(__xludf.DUMMYFUNCTION("""COMPUTED_VALUE"""),118.99)</f>
        <v>118.99</v>
      </c>
      <c r="D1432" s="1">
        <f ca="1">IFERROR(__xludf.DUMMYFUNCTION("""COMPUTED_VALUE"""),112.68)</f>
        <v>112.68</v>
      </c>
      <c r="E1432" s="1">
        <f ca="1">IFERROR(__xludf.DUMMYFUNCTION("""COMPUTED_VALUE"""),112.82)</f>
        <v>112.82</v>
      </c>
      <c r="F1432" s="1">
        <f ca="1">IFERROR(__xludf.DUMMYFUNCTION("""COMPUTED_VALUE"""),231366563)</f>
        <v>231366563</v>
      </c>
    </row>
    <row r="1433" spans="1:6" x14ac:dyDescent="0.35">
      <c r="A1433" s="2">
        <f ca="1">IFERROR(__xludf.DUMMYFUNCTION("""COMPUTED_VALUE"""),44083.6666666666)</f>
        <v>44083.666666666599</v>
      </c>
      <c r="B1433" s="1">
        <f ca="1">IFERROR(__xludf.DUMMYFUNCTION("""COMPUTED_VALUE"""),117.26)</f>
        <v>117.26</v>
      </c>
      <c r="C1433" s="1">
        <f ca="1">IFERROR(__xludf.DUMMYFUNCTION("""COMPUTED_VALUE"""),119.14)</f>
        <v>119.14</v>
      </c>
      <c r="D1433" s="1">
        <f ca="1">IFERROR(__xludf.DUMMYFUNCTION("""COMPUTED_VALUE"""),115.26)</f>
        <v>115.26</v>
      </c>
      <c r="E1433" s="1">
        <f ca="1">IFERROR(__xludf.DUMMYFUNCTION("""COMPUTED_VALUE"""),117.32)</f>
        <v>117.32</v>
      </c>
      <c r="F1433" s="1">
        <f ca="1">IFERROR(__xludf.DUMMYFUNCTION("""COMPUTED_VALUE"""),176940455)</f>
        <v>176940455</v>
      </c>
    </row>
    <row r="1434" spans="1:6" x14ac:dyDescent="0.35">
      <c r="A1434" s="2">
        <f ca="1">IFERROR(__xludf.DUMMYFUNCTION("""COMPUTED_VALUE"""),44084.6666666666)</f>
        <v>44084.666666666599</v>
      </c>
      <c r="B1434" s="1">
        <f ca="1">IFERROR(__xludf.DUMMYFUNCTION("""COMPUTED_VALUE"""),120.36)</f>
        <v>120.36</v>
      </c>
      <c r="C1434" s="1">
        <f ca="1">IFERROR(__xludf.DUMMYFUNCTION("""COMPUTED_VALUE"""),120.5)</f>
        <v>120.5</v>
      </c>
      <c r="D1434" s="1">
        <f ca="1">IFERROR(__xludf.DUMMYFUNCTION("""COMPUTED_VALUE"""),112.5)</f>
        <v>112.5</v>
      </c>
      <c r="E1434" s="1">
        <f ca="1">IFERROR(__xludf.DUMMYFUNCTION("""COMPUTED_VALUE"""),113.49)</f>
        <v>113.49</v>
      </c>
      <c r="F1434" s="1">
        <f ca="1">IFERROR(__xludf.DUMMYFUNCTION("""COMPUTED_VALUE"""),182274391)</f>
        <v>182274391</v>
      </c>
    </row>
    <row r="1435" spans="1:6" x14ac:dyDescent="0.35">
      <c r="A1435" s="2">
        <f ca="1">IFERROR(__xludf.DUMMYFUNCTION("""COMPUTED_VALUE"""),44085.6666666666)</f>
        <v>44085.666666666599</v>
      </c>
      <c r="B1435" s="1">
        <f ca="1">IFERROR(__xludf.DUMMYFUNCTION("""COMPUTED_VALUE"""),114.57)</f>
        <v>114.57</v>
      </c>
      <c r="C1435" s="1">
        <f ca="1">IFERROR(__xludf.DUMMYFUNCTION("""COMPUTED_VALUE"""),115.23)</f>
        <v>115.23</v>
      </c>
      <c r="D1435" s="1">
        <f ca="1">IFERROR(__xludf.DUMMYFUNCTION("""COMPUTED_VALUE"""),110)</f>
        <v>110</v>
      </c>
      <c r="E1435" s="1">
        <f ca="1">IFERROR(__xludf.DUMMYFUNCTION("""COMPUTED_VALUE"""),112)</f>
        <v>112</v>
      </c>
      <c r="F1435" s="1">
        <f ca="1">IFERROR(__xludf.DUMMYFUNCTION("""COMPUTED_VALUE"""),180860325)</f>
        <v>180860325</v>
      </c>
    </row>
    <row r="1436" spans="1:6" x14ac:dyDescent="0.35">
      <c r="A1436" s="2">
        <f ca="1">IFERROR(__xludf.DUMMYFUNCTION("""COMPUTED_VALUE"""),44088.6666666666)</f>
        <v>44088.666666666599</v>
      </c>
      <c r="B1436" s="1">
        <f ca="1">IFERROR(__xludf.DUMMYFUNCTION("""COMPUTED_VALUE"""),114.72)</f>
        <v>114.72</v>
      </c>
      <c r="C1436" s="1">
        <f ca="1">IFERROR(__xludf.DUMMYFUNCTION("""COMPUTED_VALUE"""),115.93)</f>
        <v>115.93</v>
      </c>
      <c r="D1436" s="1">
        <f ca="1">IFERROR(__xludf.DUMMYFUNCTION("""COMPUTED_VALUE"""),112.8)</f>
        <v>112.8</v>
      </c>
      <c r="E1436" s="1">
        <f ca="1">IFERROR(__xludf.DUMMYFUNCTION("""COMPUTED_VALUE"""),115.36)</f>
        <v>115.36</v>
      </c>
      <c r="F1436" s="1">
        <f ca="1">IFERROR(__xludf.DUMMYFUNCTION("""COMPUTED_VALUE"""),140150087)</f>
        <v>140150087</v>
      </c>
    </row>
    <row r="1437" spans="1:6" x14ac:dyDescent="0.35">
      <c r="A1437" s="2">
        <f ca="1">IFERROR(__xludf.DUMMYFUNCTION("""COMPUTED_VALUE"""),44089.6666666666)</f>
        <v>44089.666666666599</v>
      </c>
      <c r="B1437" s="1">
        <f ca="1">IFERROR(__xludf.DUMMYFUNCTION("""COMPUTED_VALUE"""),118.33)</f>
        <v>118.33</v>
      </c>
      <c r="C1437" s="1">
        <f ca="1">IFERROR(__xludf.DUMMYFUNCTION("""COMPUTED_VALUE"""),118.83)</f>
        <v>118.83</v>
      </c>
      <c r="D1437" s="1">
        <f ca="1">IFERROR(__xludf.DUMMYFUNCTION("""COMPUTED_VALUE"""),113.61)</f>
        <v>113.61</v>
      </c>
      <c r="E1437" s="1">
        <f ca="1">IFERROR(__xludf.DUMMYFUNCTION("""COMPUTED_VALUE"""),115.54)</f>
        <v>115.54</v>
      </c>
      <c r="F1437" s="1">
        <f ca="1">IFERROR(__xludf.DUMMYFUNCTION("""COMPUTED_VALUE"""),184642039)</f>
        <v>184642039</v>
      </c>
    </row>
    <row r="1438" spans="1:6" x14ac:dyDescent="0.35">
      <c r="A1438" s="2">
        <f ca="1">IFERROR(__xludf.DUMMYFUNCTION("""COMPUTED_VALUE"""),44090.6666666666)</f>
        <v>44090.666666666599</v>
      </c>
      <c r="B1438" s="1">
        <f ca="1">IFERROR(__xludf.DUMMYFUNCTION("""COMPUTED_VALUE"""),115.23)</f>
        <v>115.23</v>
      </c>
      <c r="C1438" s="1">
        <f ca="1">IFERROR(__xludf.DUMMYFUNCTION("""COMPUTED_VALUE"""),116)</f>
        <v>116</v>
      </c>
      <c r="D1438" s="1">
        <f ca="1">IFERROR(__xludf.DUMMYFUNCTION("""COMPUTED_VALUE"""),112.04)</f>
        <v>112.04</v>
      </c>
      <c r="E1438" s="1">
        <f ca="1">IFERROR(__xludf.DUMMYFUNCTION("""COMPUTED_VALUE"""),112.13)</f>
        <v>112.13</v>
      </c>
      <c r="F1438" s="1">
        <f ca="1">IFERROR(__xludf.DUMMYFUNCTION("""COMPUTED_VALUE"""),155026675)</f>
        <v>155026675</v>
      </c>
    </row>
    <row r="1439" spans="1:6" x14ac:dyDescent="0.35">
      <c r="A1439" s="2">
        <f ca="1">IFERROR(__xludf.DUMMYFUNCTION("""COMPUTED_VALUE"""),44091.6666666666)</f>
        <v>44091.666666666599</v>
      </c>
      <c r="B1439" s="1">
        <f ca="1">IFERROR(__xludf.DUMMYFUNCTION("""COMPUTED_VALUE"""),109.72)</f>
        <v>109.72</v>
      </c>
      <c r="C1439" s="1">
        <f ca="1">IFERROR(__xludf.DUMMYFUNCTION("""COMPUTED_VALUE"""),112.2)</f>
        <v>112.2</v>
      </c>
      <c r="D1439" s="1">
        <f ca="1">IFERROR(__xludf.DUMMYFUNCTION("""COMPUTED_VALUE"""),108.71)</f>
        <v>108.71</v>
      </c>
      <c r="E1439" s="1">
        <f ca="1">IFERROR(__xludf.DUMMYFUNCTION("""COMPUTED_VALUE"""),110.34)</f>
        <v>110.34</v>
      </c>
      <c r="F1439" s="1">
        <f ca="1">IFERROR(__xludf.DUMMYFUNCTION("""COMPUTED_VALUE"""),178010968)</f>
        <v>178010968</v>
      </c>
    </row>
    <row r="1440" spans="1:6" x14ac:dyDescent="0.35">
      <c r="A1440" s="2">
        <f ca="1">IFERROR(__xludf.DUMMYFUNCTION("""COMPUTED_VALUE"""),44092.6666666666)</f>
        <v>44092.666666666599</v>
      </c>
      <c r="B1440" s="1">
        <f ca="1">IFERROR(__xludf.DUMMYFUNCTION("""COMPUTED_VALUE"""),110.4)</f>
        <v>110.4</v>
      </c>
      <c r="C1440" s="1">
        <f ca="1">IFERROR(__xludf.DUMMYFUNCTION("""COMPUTED_VALUE"""),110.88)</f>
        <v>110.88</v>
      </c>
      <c r="D1440" s="1">
        <f ca="1">IFERROR(__xludf.DUMMYFUNCTION("""COMPUTED_VALUE"""),106.09)</f>
        <v>106.09</v>
      </c>
      <c r="E1440" s="1">
        <f ca="1">IFERROR(__xludf.DUMMYFUNCTION("""COMPUTED_VALUE"""),106.84)</f>
        <v>106.84</v>
      </c>
      <c r="F1440" s="1">
        <f ca="1">IFERROR(__xludf.DUMMYFUNCTION("""COMPUTED_VALUE"""),287104882)</f>
        <v>287104882</v>
      </c>
    </row>
    <row r="1441" spans="1:6" x14ac:dyDescent="0.35">
      <c r="A1441" s="2">
        <f ca="1">IFERROR(__xludf.DUMMYFUNCTION("""COMPUTED_VALUE"""),44095.6666666666)</f>
        <v>44095.666666666599</v>
      </c>
      <c r="B1441" s="1">
        <f ca="1">IFERROR(__xludf.DUMMYFUNCTION("""COMPUTED_VALUE"""),104.54)</f>
        <v>104.54</v>
      </c>
      <c r="C1441" s="1">
        <f ca="1">IFERROR(__xludf.DUMMYFUNCTION("""COMPUTED_VALUE"""),110.19)</f>
        <v>110.19</v>
      </c>
      <c r="D1441" s="1">
        <f ca="1">IFERROR(__xludf.DUMMYFUNCTION("""COMPUTED_VALUE"""),103.1)</f>
        <v>103.1</v>
      </c>
      <c r="E1441" s="1">
        <f ca="1">IFERROR(__xludf.DUMMYFUNCTION("""COMPUTED_VALUE"""),110.08)</f>
        <v>110.08</v>
      </c>
      <c r="F1441" s="1">
        <f ca="1">IFERROR(__xludf.DUMMYFUNCTION("""COMPUTED_VALUE"""),195713815)</f>
        <v>195713815</v>
      </c>
    </row>
    <row r="1442" spans="1:6" x14ac:dyDescent="0.35">
      <c r="A1442" s="2">
        <f ca="1">IFERROR(__xludf.DUMMYFUNCTION("""COMPUTED_VALUE"""),44096.6666666666)</f>
        <v>44096.666666666599</v>
      </c>
      <c r="B1442" s="1">
        <f ca="1">IFERROR(__xludf.DUMMYFUNCTION("""COMPUTED_VALUE"""),112.68)</f>
        <v>112.68</v>
      </c>
      <c r="C1442" s="1">
        <f ca="1">IFERROR(__xludf.DUMMYFUNCTION("""COMPUTED_VALUE"""),112.86)</f>
        <v>112.86</v>
      </c>
      <c r="D1442" s="1">
        <f ca="1">IFERROR(__xludf.DUMMYFUNCTION("""COMPUTED_VALUE"""),109.16)</f>
        <v>109.16</v>
      </c>
      <c r="E1442" s="1">
        <f ca="1">IFERROR(__xludf.DUMMYFUNCTION("""COMPUTED_VALUE"""),111.81)</f>
        <v>111.81</v>
      </c>
      <c r="F1442" s="1">
        <f ca="1">IFERROR(__xludf.DUMMYFUNCTION("""COMPUTED_VALUE"""),183055373)</f>
        <v>183055373</v>
      </c>
    </row>
    <row r="1443" spans="1:6" x14ac:dyDescent="0.35">
      <c r="A1443" s="2">
        <f ca="1">IFERROR(__xludf.DUMMYFUNCTION("""COMPUTED_VALUE"""),44097.6666666666)</f>
        <v>44097.666666666599</v>
      </c>
      <c r="B1443" s="1">
        <f ca="1">IFERROR(__xludf.DUMMYFUNCTION("""COMPUTED_VALUE"""),111.62)</f>
        <v>111.62</v>
      </c>
      <c r="C1443" s="1">
        <f ca="1">IFERROR(__xludf.DUMMYFUNCTION("""COMPUTED_VALUE"""),112.11)</f>
        <v>112.11</v>
      </c>
      <c r="D1443" s="1">
        <f ca="1">IFERROR(__xludf.DUMMYFUNCTION("""COMPUTED_VALUE"""),106.77)</f>
        <v>106.77</v>
      </c>
      <c r="E1443" s="1">
        <f ca="1">IFERROR(__xludf.DUMMYFUNCTION("""COMPUTED_VALUE"""),107.12)</f>
        <v>107.12</v>
      </c>
      <c r="F1443" s="1">
        <f ca="1">IFERROR(__xludf.DUMMYFUNCTION("""COMPUTED_VALUE"""),150718671)</f>
        <v>150718671</v>
      </c>
    </row>
    <row r="1444" spans="1:6" x14ac:dyDescent="0.35">
      <c r="A1444" s="2">
        <f ca="1">IFERROR(__xludf.DUMMYFUNCTION("""COMPUTED_VALUE"""),44098.6666666666)</f>
        <v>44098.666666666599</v>
      </c>
      <c r="B1444" s="1">
        <f ca="1">IFERROR(__xludf.DUMMYFUNCTION("""COMPUTED_VALUE"""),105.17)</f>
        <v>105.17</v>
      </c>
      <c r="C1444" s="1">
        <f ca="1">IFERROR(__xludf.DUMMYFUNCTION("""COMPUTED_VALUE"""),110.25)</f>
        <v>110.25</v>
      </c>
      <c r="D1444" s="1">
        <f ca="1">IFERROR(__xludf.DUMMYFUNCTION("""COMPUTED_VALUE"""),105)</f>
        <v>105</v>
      </c>
      <c r="E1444" s="1">
        <f ca="1">IFERROR(__xludf.DUMMYFUNCTION("""COMPUTED_VALUE"""),108.22)</f>
        <v>108.22</v>
      </c>
      <c r="F1444" s="1">
        <f ca="1">IFERROR(__xludf.DUMMYFUNCTION("""COMPUTED_VALUE"""),167743349)</f>
        <v>167743349</v>
      </c>
    </row>
    <row r="1445" spans="1:6" x14ac:dyDescent="0.35">
      <c r="A1445" s="2">
        <f ca="1">IFERROR(__xludf.DUMMYFUNCTION("""COMPUTED_VALUE"""),44099.6666666666)</f>
        <v>44099.666666666599</v>
      </c>
      <c r="B1445" s="1">
        <f ca="1">IFERROR(__xludf.DUMMYFUNCTION("""COMPUTED_VALUE"""),108.43)</f>
        <v>108.43</v>
      </c>
      <c r="C1445" s="1">
        <f ca="1">IFERROR(__xludf.DUMMYFUNCTION("""COMPUTED_VALUE"""),112.44)</f>
        <v>112.44</v>
      </c>
      <c r="D1445" s="1">
        <f ca="1">IFERROR(__xludf.DUMMYFUNCTION("""COMPUTED_VALUE"""),107.67)</f>
        <v>107.67</v>
      </c>
      <c r="E1445" s="1">
        <f ca="1">IFERROR(__xludf.DUMMYFUNCTION("""COMPUTED_VALUE"""),112.28)</f>
        <v>112.28</v>
      </c>
      <c r="F1445" s="1">
        <f ca="1">IFERROR(__xludf.DUMMYFUNCTION("""COMPUTED_VALUE"""),149981441)</f>
        <v>149981441</v>
      </c>
    </row>
    <row r="1446" spans="1:6" x14ac:dyDescent="0.35">
      <c r="A1446" s="2">
        <f ca="1">IFERROR(__xludf.DUMMYFUNCTION("""COMPUTED_VALUE"""),44102.6666666666)</f>
        <v>44102.666666666599</v>
      </c>
      <c r="B1446" s="1">
        <f ca="1">IFERROR(__xludf.DUMMYFUNCTION("""COMPUTED_VALUE"""),115.01)</f>
        <v>115.01</v>
      </c>
      <c r="C1446" s="1">
        <f ca="1">IFERROR(__xludf.DUMMYFUNCTION("""COMPUTED_VALUE"""),115.32)</f>
        <v>115.32</v>
      </c>
      <c r="D1446" s="1">
        <f ca="1">IFERROR(__xludf.DUMMYFUNCTION("""COMPUTED_VALUE"""),112.78)</f>
        <v>112.78</v>
      </c>
      <c r="E1446" s="1">
        <f ca="1">IFERROR(__xludf.DUMMYFUNCTION("""COMPUTED_VALUE"""),114.96)</f>
        <v>114.96</v>
      </c>
      <c r="F1446" s="1">
        <f ca="1">IFERROR(__xludf.DUMMYFUNCTION("""COMPUTED_VALUE"""),137672403)</f>
        <v>137672403</v>
      </c>
    </row>
    <row r="1447" spans="1:6" x14ac:dyDescent="0.35">
      <c r="A1447" s="2">
        <f ca="1">IFERROR(__xludf.DUMMYFUNCTION("""COMPUTED_VALUE"""),44103.6666666666)</f>
        <v>44103.666666666599</v>
      </c>
      <c r="B1447" s="1">
        <f ca="1">IFERROR(__xludf.DUMMYFUNCTION("""COMPUTED_VALUE"""),114.55)</f>
        <v>114.55</v>
      </c>
      <c r="C1447" s="1">
        <f ca="1">IFERROR(__xludf.DUMMYFUNCTION("""COMPUTED_VALUE"""),115.31)</f>
        <v>115.31</v>
      </c>
      <c r="D1447" s="1">
        <f ca="1">IFERROR(__xludf.DUMMYFUNCTION("""COMPUTED_VALUE"""),113.57)</f>
        <v>113.57</v>
      </c>
      <c r="E1447" s="1">
        <f ca="1">IFERROR(__xludf.DUMMYFUNCTION("""COMPUTED_VALUE"""),114.09)</f>
        <v>114.09</v>
      </c>
      <c r="F1447" s="1">
        <f ca="1">IFERROR(__xludf.DUMMYFUNCTION("""COMPUTED_VALUE"""),100060526)</f>
        <v>100060526</v>
      </c>
    </row>
    <row r="1448" spans="1:6" x14ac:dyDescent="0.35">
      <c r="A1448" s="2">
        <f ca="1">IFERROR(__xludf.DUMMYFUNCTION("""COMPUTED_VALUE"""),44104.6666666666)</f>
        <v>44104.666666666599</v>
      </c>
      <c r="B1448" s="1">
        <f ca="1">IFERROR(__xludf.DUMMYFUNCTION("""COMPUTED_VALUE"""),113.79)</f>
        <v>113.79</v>
      </c>
      <c r="C1448" s="1">
        <f ca="1">IFERROR(__xludf.DUMMYFUNCTION("""COMPUTED_VALUE"""),117.26)</f>
        <v>117.26</v>
      </c>
      <c r="D1448" s="1">
        <f ca="1">IFERROR(__xludf.DUMMYFUNCTION("""COMPUTED_VALUE"""),113.62)</f>
        <v>113.62</v>
      </c>
      <c r="E1448" s="1">
        <f ca="1">IFERROR(__xludf.DUMMYFUNCTION("""COMPUTED_VALUE"""),115.81)</f>
        <v>115.81</v>
      </c>
      <c r="F1448" s="1">
        <f ca="1">IFERROR(__xludf.DUMMYFUNCTION("""COMPUTED_VALUE"""),142675184)</f>
        <v>142675184</v>
      </c>
    </row>
    <row r="1449" spans="1:6" x14ac:dyDescent="0.35">
      <c r="A1449" s="2">
        <f ca="1">IFERROR(__xludf.DUMMYFUNCTION("""COMPUTED_VALUE"""),44105.6666666666)</f>
        <v>44105.666666666599</v>
      </c>
      <c r="B1449" s="1">
        <f ca="1">IFERROR(__xludf.DUMMYFUNCTION("""COMPUTED_VALUE"""),117.64)</f>
        <v>117.64</v>
      </c>
      <c r="C1449" s="1">
        <f ca="1">IFERROR(__xludf.DUMMYFUNCTION("""COMPUTED_VALUE"""),117.72)</f>
        <v>117.72</v>
      </c>
      <c r="D1449" s="1">
        <f ca="1">IFERROR(__xludf.DUMMYFUNCTION("""COMPUTED_VALUE"""),115.83)</f>
        <v>115.83</v>
      </c>
      <c r="E1449" s="1">
        <f ca="1">IFERROR(__xludf.DUMMYFUNCTION("""COMPUTED_VALUE"""),116.79)</f>
        <v>116.79</v>
      </c>
      <c r="F1449" s="1">
        <f ca="1">IFERROR(__xludf.DUMMYFUNCTION("""COMPUTED_VALUE"""),116120440)</f>
        <v>116120440</v>
      </c>
    </row>
    <row r="1450" spans="1:6" x14ac:dyDescent="0.35">
      <c r="A1450" s="2">
        <f ca="1">IFERROR(__xludf.DUMMYFUNCTION("""COMPUTED_VALUE"""),44106.6666666666)</f>
        <v>44106.666666666599</v>
      </c>
      <c r="B1450" s="1">
        <f ca="1">IFERROR(__xludf.DUMMYFUNCTION("""COMPUTED_VALUE"""),112.89)</f>
        <v>112.89</v>
      </c>
      <c r="C1450" s="1">
        <f ca="1">IFERROR(__xludf.DUMMYFUNCTION("""COMPUTED_VALUE"""),115.37)</f>
        <v>115.37</v>
      </c>
      <c r="D1450" s="1">
        <f ca="1">IFERROR(__xludf.DUMMYFUNCTION("""COMPUTED_VALUE"""),112.22)</f>
        <v>112.22</v>
      </c>
      <c r="E1450" s="1">
        <f ca="1">IFERROR(__xludf.DUMMYFUNCTION("""COMPUTED_VALUE"""),113.02)</f>
        <v>113.02</v>
      </c>
      <c r="F1450" s="1">
        <f ca="1">IFERROR(__xludf.DUMMYFUNCTION("""COMPUTED_VALUE"""),144711986)</f>
        <v>144711986</v>
      </c>
    </row>
    <row r="1451" spans="1:6" x14ac:dyDescent="0.35">
      <c r="A1451" s="2">
        <f ca="1">IFERROR(__xludf.DUMMYFUNCTION("""COMPUTED_VALUE"""),44109.6666666666)</f>
        <v>44109.666666666599</v>
      </c>
      <c r="B1451" s="1">
        <f ca="1">IFERROR(__xludf.DUMMYFUNCTION("""COMPUTED_VALUE"""),113.91)</f>
        <v>113.91</v>
      </c>
      <c r="C1451" s="1">
        <f ca="1">IFERROR(__xludf.DUMMYFUNCTION("""COMPUTED_VALUE"""),116.65)</f>
        <v>116.65</v>
      </c>
      <c r="D1451" s="1">
        <f ca="1">IFERROR(__xludf.DUMMYFUNCTION("""COMPUTED_VALUE"""),113.55)</f>
        <v>113.55</v>
      </c>
      <c r="E1451" s="1">
        <f ca="1">IFERROR(__xludf.DUMMYFUNCTION("""COMPUTED_VALUE"""),116.5)</f>
        <v>116.5</v>
      </c>
      <c r="F1451" s="1">
        <f ca="1">IFERROR(__xludf.DUMMYFUNCTION("""COMPUTED_VALUE"""),106243839)</f>
        <v>106243839</v>
      </c>
    </row>
    <row r="1452" spans="1:6" x14ac:dyDescent="0.35">
      <c r="A1452" s="2">
        <f ca="1">IFERROR(__xludf.DUMMYFUNCTION("""COMPUTED_VALUE"""),44110.6666666666)</f>
        <v>44110.666666666599</v>
      </c>
      <c r="B1452" s="1">
        <f ca="1">IFERROR(__xludf.DUMMYFUNCTION("""COMPUTED_VALUE"""),115.7)</f>
        <v>115.7</v>
      </c>
      <c r="C1452" s="1">
        <f ca="1">IFERROR(__xludf.DUMMYFUNCTION("""COMPUTED_VALUE"""),116.12)</f>
        <v>116.12</v>
      </c>
      <c r="D1452" s="1">
        <f ca="1">IFERROR(__xludf.DUMMYFUNCTION("""COMPUTED_VALUE"""),112.25)</f>
        <v>112.25</v>
      </c>
      <c r="E1452" s="1">
        <f ca="1">IFERROR(__xludf.DUMMYFUNCTION("""COMPUTED_VALUE"""),113.16)</f>
        <v>113.16</v>
      </c>
      <c r="F1452" s="1">
        <f ca="1">IFERROR(__xludf.DUMMYFUNCTION("""COMPUTED_VALUE"""),161498212)</f>
        <v>161498212</v>
      </c>
    </row>
    <row r="1453" spans="1:6" x14ac:dyDescent="0.35">
      <c r="A1453" s="2">
        <f ca="1">IFERROR(__xludf.DUMMYFUNCTION("""COMPUTED_VALUE"""),44111.6666666666)</f>
        <v>44111.666666666599</v>
      </c>
      <c r="B1453" s="1">
        <f ca="1">IFERROR(__xludf.DUMMYFUNCTION("""COMPUTED_VALUE"""),114.62)</f>
        <v>114.62</v>
      </c>
      <c r="C1453" s="1">
        <f ca="1">IFERROR(__xludf.DUMMYFUNCTION("""COMPUTED_VALUE"""),115.55)</f>
        <v>115.55</v>
      </c>
      <c r="D1453" s="1">
        <f ca="1">IFERROR(__xludf.DUMMYFUNCTION("""COMPUTED_VALUE"""),114.13)</f>
        <v>114.13</v>
      </c>
      <c r="E1453" s="1">
        <f ca="1">IFERROR(__xludf.DUMMYFUNCTION("""COMPUTED_VALUE"""),115.08)</f>
        <v>115.08</v>
      </c>
      <c r="F1453" s="1">
        <f ca="1">IFERROR(__xludf.DUMMYFUNCTION("""COMPUTED_VALUE"""),96848985)</f>
        <v>96848985</v>
      </c>
    </row>
    <row r="1454" spans="1:6" x14ac:dyDescent="0.35">
      <c r="A1454" s="2">
        <f ca="1">IFERROR(__xludf.DUMMYFUNCTION("""COMPUTED_VALUE"""),44112.6666666666)</f>
        <v>44112.666666666599</v>
      </c>
      <c r="B1454" s="1">
        <f ca="1">IFERROR(__xludf.DUMMYFUNCTION("""COMPUTED_VALUE"""),116.25)</f>
        <v>116.25</v>
      </c>
      <c r="C1454" s="1">
        <f ca="1">IFERROR(__xludf.DUMMYFUNCTION("""COMPUTED_VALUE"""),116.4)</f>
        <v>116.4</v>
      </c>
      <c r="D1454" s="1">
        <f ca="1">IFERROR(__xludf.DUMMYFUNCTION("""COMPUTED_VALUE"""),114.59)</f>
        <v>114.59</v>
      </c>
      <c r="E1454" s="1">
        <f ca="1">IFERROR(__xludf.DUMMYFUNCTION("""COMPUTED_VALUE"""),114.97)</f>
        <v>114.97</v>
      </c>
      <c r="F1454" s="1">
        <f ca="1">IFERROR(__xludf.DUMMYFUNCTION("""COMPUTED_VALUE"""),83477153)</f>
        <v>83477153</v>
      </c>
    </row>
    <row r="1455" spans="1:6" x14ac:dyDescent="0.35">
      <c r="A1455" s="2">
        <f ca="1">IFERROR(__xludf.DUMMYFUNCTION("""COMPUTED_VALUE"""),44113.6666666666)</f>
        <v>44113.666666666599</v>
      </c>
      <c r="B1455" s="1">
        <f ca="1">IFERROR(__xludf.DUMMYFUNCTION("""COMPUTED_VALUE"""),115.28)</f>
        <v>115.28</v>
      </c>
      <c r="C1455" s="1">
        <f ca="1">IFERROR(__xludf.DUMMYFUNCTION("""COMPUTED_VALUE"""),117)</f>
        <v>117</v>
      </c>
      <c r="D1455" s="1">
        <f ca="1">IFERROR(__xludf.DUMMYFUNCTION("""COMPUTED_VALUE"""),114.92)</f>
        <v>114.92</v>
      </c>
      <c r="E1455" s="1">
        <f ca="1">IFERROR(__xludf.DUMMYFUNCTION("""COMPUTED_VALUE"""),116.97)</f>
        <v>116.97</v>
      </c>
      <c r="F1455" s="1">
        <f ca="1">IFERROR(__xludf.DUMMYFUNCTION("""COMPUTED_VALUE"""),100506865)</f>
        <v>100506865</v>
      </c>
    </row>
    <row r="1456" spans="1:6" x14ac:dyDescent="0.35">
      <c r="A1456" s="2">
        <f ca="1">IFERROR(__xludf.DUMMYFUNCTION("""COMPUTED_VALUE"""),44116.6666666666)</f>
        <v>44116.666666666599</v>
      </c>
      <c r="B1456" s="1">
        <f ca="1">IFERROR(__xludf.DUMMYFUNCTION("""COMPUTED_VALUE"""),120.06)</f>
        <v>120.06</v>
      </c>
      <c r="C1456" s="1">
        <f ca="1">IFERROR(__xludf.DUMMYFUNCTION("""COMPUTED_VALUE"""),125.18)</f>
        <v>125.18</v>
      </c>
      <c r="D1456" s="1">
        <f ca="1">IFERROR(__xludf.DUMMYFUNCTION("""COMPUTED_VALUE"""),119.28)</f>
        <v>119.28</v>
      </c>
      <c r="E1456" s="1">
        <f ca="1">IFERROR(__xludf.DUMMYFUNCTION("""COMPUTED_VALUE"""),124.4)</f>
        <v>124.4</v>
      </c>
      <c r="F1456" s="1">
        <f ca="1">IFERROR(__xludf.DUMMYFUNCTION("""COMPUTED_VALUE"""),240226769)</f>
        <v>240226769</v>
      </c>
    </row>
    <row r="1457" spans="1:6" x14ac:dyDescent="0.35">
      <c r="A1457" s="2">
        <f ca="1">IFERROR(__xludf.DUMMYFUNCTION("""COMPUTED_VALUE"""),44117.6666666666)</f>
        <v>44117.666666666599</v>
      </c>
      <c r="B1457" s="1">
        <f ca="1">IFERROR(__xludf.DUMMYFUNCTION("""COMPUTED_VALUE"""),125.27)</f>
        <v>125.27</v>
      </c>
      <c r="C1457" s="1">
        <f ca="1">IFERROR(__xludf.DUMMYFUNCTION("""COMPUTED_VALUE"""),125.39)</f>
        <v>125.39</v>
      </c>
      <c r="D1457" s="1">
        <f ca="1">IFERROR(__xludf.DUMMYFUNCTION("""COMPUTED_VALUE"""),119.65)</f>
        <v>119.65</v>
      </c>
      <c r="E1457" s="1">
        <f ca="1">IFERROR(__xludf.DUMMYFUNCTION("""COMPUTED_VALUE"""),121.1)</f>
        <v>121.1</v>
      </c>
      <c r="F1457" s="1">
        <f ca="1">IFERROR(__xludf.DUMMYFUNCTION("""COMPUTED_VALUE"""),262330451)</f>
        <v>262330451</v>
      </c>
    </row>
    <row r="1458" spans="1:6" x14ac:dyDescent="0.35">
      <c r="A1458" s="2">
        <f ca="1">IFERROR(__xludf.DUMMYFUNCTION("""COMPUTED_VALUE"""),44118.6666666666)</f>
        <v>44118.666666666599</v>
      </c>
      <c r="B1458" s="1">
        <f ca="1">IFERROR(__xludf.DUMMYFUNCTION("""COMPUTED_VALUE"""),121)</f>
        <v>121</v>
      </c>
      <c r="C1458" s="1">
        <f ca="1">IFERROR(__xludf.DUMMYFUNCTION("""COMPUTED_VALUE"""),123.03)</f>
        <v>123.03</v>
      </c>
      <c r="D1458" s="1">
        <f ca="1">IFERROR(__xludf.DUMMYFUNCTION("""COMPUTED_VALUE"""),119.62)</f>
        <v>119.62</v>
      </c>
      <c r="E1458" s="1">
        <f ca="1">IFERROR(__xludf.DUMMYFUNCTION("""COMPUTED_VALUE"""),121.19)</f>
        <v>121.19</v>
      </c>
      <c r="F1458" s="1">
        <f ca="1">IFERROR(__xludf.DUMMYFUNCTION("""COMPUTED_VALUE"""),151062308)</f>
        <v>151062308</v>
      </c>
    </row>
    <row r="1459" spans="1:6" x14ac:dyDescent="0.35">
      <c r="A1459" s="2">
        <f ca="1">IFERROR(__xludf.DUMMYFUNCTION("""COMPUTED_VALUE"""),44119.6666666666)</f>
        <v>44119.666666666599</v>
      </c>
      <c r="B1459" s="1">
        <f ca="1">IFERROR(__xludf.DUMMYFUNCTION("""COMPUTED_VALUE"""),118.72)</f>
        <v>118.72</v>
      </c>
      <c r="C1459" s="1">
        <f ca="1">IFERROR(__xludf.DUMMYFUNCTION("""COMPUTED_VALUE"""),121.2)</f>
        <v>121.2</v>
      </c>
      <c r="D1459" s="1">
        <f ca="1">IFERROR(__xludf.DUMMYFUNCTION("""COMPUTED_VALUE"""),118.15)</f>
        <v>118.15</v>
      </c>
      <c r="E1459" s="1">
        <f ca="1">IFERROR(__xludf.DUMMYFUNCTION("""COMPUTED_VALUE"""),120.71)</f>
        <v>120.71</v>
      </c>
      <c r="F1459" s="1">
        <f ca="1">IFERROR(__xludf.DUMMYFUNCTION("""COMPUTED_VALUE"""),112559219)</f>
        <v>112559219</v>
      </c>
    </row>
    <row r="1460" spans="1:6" x14ac:dyDescent="0.35">
      <c r="A1460" s="2">
        <f ca="1">IFERROR(__xludf.DUMMYFUNCTION("""COMPUTED_VALUE"""),44120.6666666666)</f>
        <v>44120.666666666599</v>
      </c>
      <c r="B1460" s="1">
        <f ca="1">IFERROR(__xludf.DUMMYFUNCTION("""COMPUTED_VALUE"""),121.28)</f>
        <v>121.28</v>
      </c>
      <c r="C1460" s="1">
        <f ca="1">IFERROR(__xludf.DUMMYFUNCTION("""COMPUTED_VALUE"""),121.55)</f>
        <v>121.55</v>
      </c>
      <c r="D1460" s="1">
        <f ca="1">IFERROR(__xludf.DUMMYFUNCTION("""COMPUTED_VALUE"""),118.81)</f>
        <v>118.81</v>
      </c>
      <c r="E1460" s="1">
        <f ca="1">IFERROR(__xludf.DUMMYFUNCTION("""COMPUTED_VALUE"""),119.02)</f>
        <v>119.02</v>
      </c>
      <c r="F1460" s="1">
        <f ca="1">IFERROR(__xludf.DUMMYFUNCTION("""COMPUTED_VALUE"""),115393808)</f>
        <v>115393808</v>
      </c>
    </row>
    <row r="1461" spans="1:6" x14ac:dyDescent="0.35">
      <c r="A1461" s="2">
        <f ca="1">IFERROR(__xludf.DUMMYFUNCTION("""COMPUTED_VALUE"""),44123.6666666666)</f>
        <v>44123.666666666599</v>
      </c>
      <c r="B1461" s="1">
        <f ca="1">IFERROR(__xludf.DUMMYFUNCTION("""COMPUTED_VALUE"""),119.96)</f>
        <v>119.96</v>
      </c>
      <c r="C1461" s="1">
        <f ca="1">IFERROR(__xludf.DUMMYFUNCTION("""COMPUTED_VALUE"""),120.42)</f>
        <v>120.42</v>
      </c>
      <c r="D1461" s="1">
        <f ca="1">IFERROR(__xludf.DUMMYFUNCTION("""COMPUTED_VALUE"""),115.66)</f>
        <v>115.66</v>
      </c>
      <c r="E1461" s="1">
        <f ca="1">IFERROR(__xludf.DUMMYFUNCTION("""COMPUTED_VALUE"""),115.98)</f>
        <v>115.98</v>
      </c>
      <c r="F1461" s="1">
        <f ca="1">IFERROR(__xludf.DUMMYFUNCTION("""COMPUTED_VALUE"""),120639337)</f>
        <v>120639337</v>
      </c>
    </row>
    <row r="1462" spans="1:6" x14ac:dyDescent="0.35">
      <c r="A1462" s="2">
        <f ca="1">IFERROR(__xludf.DUMMYFUNCTION("""COMPUTED_VALUE"""),44124.6666666666)</f>
        <v>44124.666666666599</v>
      </c>
      <c r="B1462" s="1">
        <f ca="1">IFERROR(__xludf.DUMMYFUNCTION("""COMPUTED_VALUE"""),116.2)</f>
        <v>116.2</v>
      </c>
      <c r="C1462" s="1">
        <f ca="1">IFERROR(__xludf.DUMMYFUNCTION("""COMPUTED_VALUE"""),118.98)</f>
        <v>118.98</v>
      </c>
      <c r="D1462" s="1">
        <f ca="1">IFERROR(__xludf.DUMMYFUNCTION("""COMPUTED_VALUE"""),115.63)</f>
        <v>115.63</v>
      </c>
      <c r="E1462" s="1">
        <f ca="1">IFERROR(__xludf.DUMMYFUNCTION("""COMPUTED_VALUE"""),117.51)</f>
        <v>117.51</v>
      </c>
      <c r="F1462" s="1">
        <f ca="1">IFERROR(__xludf.DUMMYFUNCTION("""COMPUTED_VALUE"""),124423728)</f>
        <v>124423728</v>
      </c>
    </row>
    <row r="1463" spans="1:6" x14ac:dyDescent="0.35">
      <c r="A1463" s="2">
        <f ca="1">IFERROR(__xludf.DUMMYFUNCTION("""COMPUTED_VALUE"""),44125.6666666666)</f>
        <v>44125.666666666599</v>
      </c>
      <c r="B1463" s="1">
        <f ca="1">IFERROR(__xludf.DUMMYFUNCTION("""COMPUTED_VALUE"""),116.67)</f>
        <v>116.67</v>
      </c>
      <c r="C1463" s="1">
        <f ca="1">IFERROR(__xludf.DUMMYFUNCTION("""COMPUTED_VALUE"""),118.71)</f>
        <v>118.71</v>
      </c>
      <c r="D1463" s="1">
        <f ca="1">IFERROR(__xludf.DUMMYFUNCTION("""COMPUTED_VALUE"""),116.45)</f>
        <v>116.45</v>
      </c>
      <c r="E1463" s="1">
        <f ca="1">IFERROR(__xludf.DUMMYFUNCTION("""COMPUTED_VALUE"""),116.87)</f>
        <v>116.87</v>
      </c>
      <c r="F1463" s="1">
        <f ca="1">IFERROR(__xludf.DUMMYFUNCTION("""COMPUTED_VALUE"""),89945980)</f>
        <v>89945980</v>
      </c>
    </row>
    <row r="1464" spans="1:6" x14ac:dyDescent="0.35">
      <c r="A1464" s="2">
        <f ca="1">IFERROR(__xludf.DUMMYFUNCTION("""COMPUTED_VALUE"""),44126.6666666666)</f>
        <v>44126.666666666599</v>
      </c>
      <c r="B1464" s="1">
        <f ca="1">IFERROR(__xludf.DUMMYFUNCTION("""COMPUTED_VALUE"""),117.45)</f>
        <v>117.45</v>
      </c>
      <c r="C1464" s="1">
        <f ca="1">IFERROR(__xludf.DUMMYFUNCTION("""COMPUTED_VALUE"""),118.04)</f>
        <v>118.04</v>
      </c>
      <c r="D1464" s="1">
        <f ca="1">IFERROR(__xludf.DUMMYFUNCTION("""COMPUTED_VALUE"""),114.59)</f>
        <v>114.59</v>
      </c>
      <c r="E1464" s="1">
        <f ca="1">IFERROR(__xludf.DUMMYFUNCTION("""COMPUTED_VALUE"""),115.75)</f>
        <v>115.75</v>
      </c>
      <c r="F1464" s="1">
        <f ca="1">IFERROR(__xludf.DUMMYFUNCTION("""COMPUTED_VALUE"""),101987954)</f>
        <v>101987954</v>
      </c>
    </row>
    <row r="1465" spans="1:6" x14ac:dyDescent="0.35">
      <c r="A1465" s="2">
        <f ca="1">IFERROR(__xludf.DUMMYFUNCTION("""COMPUTED_VALUE"""),44127.6666666666)</f>
        <v>44127.666666666599</v>
      </c>
      <c r="B1465" s="1">
        <f ca="1">IFERROR(__xludf.DUMMYFUNCTION("""COMPUTED_VALUE"""),116.39)</f>
        <v>116.39</v>
      </c>
      <c r="C1465" s="1">
        <f ca="1">IFERROR(__xludf.DUMMYFUNCTION("""COMPUTED_VALUE"""),116.55)</f>
        <v>116.55</v>
      </c>
      <c r="D1465" s="1">
        <f ca="1">IFERROR(__xludf.DUMMYFUNCTION("""COMPUTED_VALUE"""),114.28)</f>
        <v>114.28</v>
      </c>
      <c r="E1465" s="1">
        <f ca="1">IFERROR(__xludf.DUMMYFUNCTION("""COMPUTED_VALUE"""),115.04)</f>
        <v>115.04</v>
      </c>
      <c r="F1465" s="1">
        <f ca="1">IFERROR(__xludf.DUMMYFUNCTION("""COMPUTED_VALUE"""),82572645)</f>
        <v>82572645</v>
      </c>
    </row>
    <row r="1466" spans="1:6" x14ac:dyDescent="0.35">
      <c r="A1466" s="2">
        <f ca="1">IFERROR(__xludf.DUMMYFUNCTION("""COMPUTED_VALUE"""),44130.6666666666)</f>
        <v>44130.666666666599</v>
      </c>
      <c r="B1466" s="1">
        <f ca="1">IFERROR(__xludf.DUMMYFUNCTION("""COMPUTED_VALUE"""),114.01)</f>
        <v>114.01</v>
      </c>
      <c r="C1466" s="1">
        <f ca="1">IFERROR(__xludf.DUMMYFUNCTION("""COMPUTED_VALUE"""),116.55)</f>
        <v>116.55</v>
      </c>
      <c r="D1466" s="1">
        <f ca="1">IFERROR(__xludf.DUMMYFUNCTION("""COMPUTED_VALUE"""),112.88)</f>
        <v>112.88</v>
      </c>
      <c r="E1466" s="1">
        <f ca="1">IFERROR(__xludf.DUMMYFUNCTION("""COMPUTED_VALUE"""),115.05)</f>
        <v>115.05</v>
      </c>
      <c r="F1466" s="1">
        <f ca="1">IFERROR(__xludf.DUMMYFUNCTION("""COMPUTED_VALUE"""),111850657)</f>
        <v>111850657</v>
      </c>
    </row>
    <row r="1467" spans="1:6" x14ac:dyDescent="0.35">
      <c r="A1467" s="2">
        <f ca="1">IFERROR(__xludf.DUMMYFUNCTION("""COMPUTED_VALUE"""),44131.6666666666)</f>
        <v>44131.666666666599</v>
      </c>
      <c r="B1467" s="1">
        <f ca="1">IFERROR(__xludf.DUMMYFUNCTION("""COMPUTED_VALUE"""),115.49)</f>
        <v>115.49</v>
      </c>
      <c r="C1467" s="1">
        <f ca="1">IFERROR(__xludf.DUMMYFUNCTION("""COMPUTED_VALUE"""),117.28)</f>
        <v>117.28</v>
      </c>
      <c r="D1467" s="1">
        <f ca="1">IFERROR(__xludf.DUMMYFUNCTION("""COMPUTED_VALUE"""),114.54)</f>
        <v>114.54</v>
      </c>
      <c r="E1467" s="1">
        <f ca="1">IFERROR(__xludf.DUMMYFUNCTION("""COMPUTED_VALUE"""),116.6)</f>
        <v>116.6</v>
      </c>
      <c r="F1467" s="1">
        <f ca="1">IFERROR(__xludf.DUMMYFUNCTION("""COMPUTED_VALUE"""),92276772)</f>
        <v>92276772</v>
      </c>
    </row>
    <row r="1468" spans="1:6" x14ac:dyDescent="0.35">
      <c r="A1468" s="2">
        <f ca="1">IFERROR(__xludf.DUMMYFUNCTION("""COMPUTED_VALUE"""),44132.6666666666)</f>
        <v>44132.666666666599</v>
      </c>
      <c r="B1468" s="1">
        <f ca="1">IFERROR(__xludf.DUMMYFUNCTION("""COMPUTED_VALUE"""),115.05)</f>
        <v>115.05</v>
      </c>
      <c r="C1468" s="1">
        <f ca="1">IFERROR(__xludf.DUMMYFUNCTION("""COMPUTED_VALUE"""),115.43)</f>
        <v>115.43</v>
      </c>
      <c r="D1468" s="1">
        <f ca="1">IFERROR(__xludf.DUMMYFUNCTION("""COMPUTED_VALUE"""),111.1)</f>
        <v>111.1</v>
      </c>
      <c r="E1468" s="1">
        <f ca="1">IFERROR(__xludf.DUMMYFUNCTION("""COMPUTED_VALUE"""),111.2)</f>
        <v>111.2</v>
      </c>
      <c r="F1468" s="1">
        <f ca="1">IFERROR(__xludf.DUMMYFUNCTION("""COMPUTED_VALUE"""),143937823)</f>
        <v>143937823</v>
      </c>
    </row>
    <row r="1469" spans="1:6" x14ac:dyDescent="0.35">
      <c r="A1469" s="2">
        <f ca="1">IFERROR(__xludf.DUMMYFUNCTION("""COMPUTED_VALUE"""),44133.6666666666)</f>
        <v>44133.666666666599</v>
      </c>
      <c r="B1469" s="1">
        <f ca="1">IFERROR(__xludf.DUMMYFUNCTION("""COMPUTED_VALUE"""),112.37)</f>
        <v>112.37</v>
      </c>
      <c r="C1469" s="1">
        <f ca="1">IFERROR(__xludf.DUMMYFUNCTION("""COMPUTED_VALUE"""),116.93)</f>
        <v>116.93</v>
      </c>
      <c r="D1469" s="1">
        <f ca="1">IFERROR(__xludf.DUMMYFUNCTION("""COMPUTED_VALUE"""),112.2)</f>
        <v>112.2</v>
      </c>
      <c r="E1469" s="1">
        <f ca="1">IFERROR(__xludf.DUMMYFUNCTION("""COMPUTED_VALUE"""),115.32)</f>
        <v>115.32</v>
      </c>
      <c r="F1469" s="1">
        <f ca="1">IFERROR(__xludf.DUMMYFUNCTION("""COMPUTED_VALUE"""),146129173)</f>
        <v>146129173</v>
      </c>
    </row>
    <row r="1470" spans="1:6" x14ac:dyDescent="0.35">
      <c r="A1470" s="2">
        <f ca="1">IFERROR(__xludf.DUMMYFUNCTION("""COMPUTED_VALUE"""),44134.6666666666)</f>
        <v>44134.666666666599</v>
      </c>
      <c r="B1470" s="1">
        <f ca="1">IFERROR(__xludf.DUMMYFUNCTION("""COMPUTED_VALUE"""),111.06)</f>
        <v>111.06</v>
      </c>
      <c r="C1470" s="1">
        <f ca="1">IFERROR(__xludf.DUMMYFUNCTION("""COMPUTED_VALUE"""),111.99)</f>
        <v>111.99</v>
      </c>
      <c r="D1470" s="1">
        <f ca="1">IFERROR(__xludf.DUMMYFUNCTION("""COMPUTED_VALUE"""),107.72)</f>
        <v>107.72</v>
      </c>
      <c r="E1470" s="1">
        <f ca="1">IFERROR(__xludf.DUMMYFUNCTION("""COMPUTED_VALUE"""),108.86)</f>
        <v>108.86</v>
      </c>
      <c r="F1470" s="1">
        <f ca="1">IFERROR(__xludf.DUMMYFUNCTION("""COMPUTED_VALUE"""),190573476)</f>
        <v>190573476</v>
      </c>
    </row>
    <row r="1471" spans="1:6" x14ac:dyDescent="0.35">
      <c r="A1471" s="2">
        <f ca="1">IFERROR(__xludf.DUMMYFUNCTION("""COMPUTED_VALUE"""),44137.6666666666)</f>
        <v>44137.666666666599</v>
      </c>
      <c r="B1471" s="1">
        <f ca="1">IFERROR(__xludf.DUMMYFUNCTION("""COMPUTED_VALUE"""),109.11)</f>
        <v>109.11</v>
      </c>
      <c r="C1471" s="1">
        <f ca="1">IFERROR(__xludf.DUMMYFUNCTION("""COMPUTED_VALUE"""),110.68)</f>
        <v>110.68</v>
      </c>
      <c r="D1471" s="1">
        <f ca="1">IFERROR(__xludf.DUMMYFUNCTION("""COMPUTED_VALUE"""),107.32)</f>
        <v>107.32</v>
      </c>
      <c r="E1471" s="1">
        <f ca="1">IFERROR(__xludf.DUMMYFUNCTION("""COMPUTED_VALUE"""),108.77)</f>
        <v>108.77</v>
      </c>
      <c r="F1471" s="1">
        <f ca="1">IFERROR(__xludf.DUMMYFUNCTION("""COMPUTED_VALUE"""),122866899)</f>
        <v>122866899</v>
      </c>
    </row>
    <row r="1472" spans="1:6" x14ac:dyDescent="0.35">
      <c r="A1472" s="2">
        <f ca="1">IFERROR(__xludf.DUMMYFUNCTION("""COMPUTED_VALUE"""),44138.6666666666)</f>
        <v>44138.666666666599</v>
      </c>
      <c r="B1472" s="1">
        <f ca="1">IFERROR(__xludf.DUMMYFUNCTION("""COMPUTED_VALUE"""),109.66)</f>
        <v>109.66</v>
      </c>
      <c r="C1472" s="1">
        <f ca="1">IFERROR(__xludf.DUMMYFUNCTION("""COMPUTED_VALUE"""),111.49)</f>
        <v>111.49</v>
      </c>
      <c r="D1472" s="1">
        <f ca="1">IFERROR(__xludf.DUMMYFUNCTION("""COMPUTED_VALUE"""),108.73)</f>
        <v>108.73</v>
      </c>
      <c r="E1472" s="1">
        <f ca="1">IFERROR(__xludf.DUMMYFUNCTION("""COMPUTED_VALUE"""),110.44)</f>
        <v>110.44</v>
      </c>
      <c r="F1472" s="1">
        <f ca="1">IFERROR(__xludf.DUMMYFUNCTION("""COMPUTED_VALUE"""),107624448)</f>
        <v>107624448</v>
      </c>
    </row>
    <row r="1473" spans="1:6" x14ac:dyDescent="0.35">
      <c r="A1473" s="2">
        <f ca="1">IFERROR(__xludf.DUMMYFUNCTION("""COMPUTED_VALUE"""),44139.6666666666)</f>
        <v>44139.666666666599</v>
      </c>
      <c r="B1473" s="1">
        <f ca="1">IFERROR(__xludf.DUMMYFUNCTION("""COMPUTED_VALUE"""),114.14)</f>
        <v>114.14</v>
      </c>
      <c r="C1473" s="1">
        <f ca="1">IFERROR(__xludf.DUMMYFUNCTION("""COMPUTED_VALUE"""),115.59)</f>
        <v>115.59</v>
      </c>
      <c r="D1473" s="1">
        <f ca="1">IFERROR(__xludf.DUMMYFUNCTION("""COMPUTED_VALUE"""),112.35)</f>
        <v>112.35</v>
      </c>
      <c r="E1473" s="1">
        <f ca="1">IFERROR(__xludf.DUMMYFUNCTION("""COMPUTED_VALUE"""),114.95)</f>
        <v>114.95</v>
      </c>
      <c r="F1473" s="1">
        <f ca="1">IFERROR(__xludf.DUMMYFUNCTION("""COMPUTED_VALUE"""),138235482)</f>
        <v>138235482</v>
      </c>
    </row>
    <row r="1474" spans="1:6" x14ac:dyDescent="0.35">
      <c r="A1474" s="2">
        <f ca="1">IFERROR(__xludf.DUMMYFUNCTION("""COMPUTED_VALUE"""),44140.6666666666)</f>
        <v>44140.666666666599</v>
      </c>
      <c r="B1474" s="1">
        <f ca="1">IFERROR(__xludf.DUMMYFUNCTION("""COMPUTED_VALUE"""),117.95)</f>
        <v>117.95</v>
      </c>
      <c r="C1474" s="1">
        <f ca="1">IFERROR(__xludf.DUMMYFUNCTION("""COMPUTED_VALUE"""),119.62)</f>
        <v>119.62</v>
      </c>
      <c r="D1474" s="1">
        <f ca="1">IFERROR(__xludf.DUMMYFUNCTION("""COMPUTED_VALUE"""),116.87)</f>
        <v>116.87</v>
      </c>
      <c r="E1474" s="1">
        <f ca="1">IFERROR(__xludf.DUMMYFUNCTION("""COMPUTED_VALUE"""),119.03)</f>
        <v>119.03</v>
      </c>
      <c r="F1474" s="1">
        <f ca="1">IFERROR(__xludf.DUMMYFUNCTION("""COMPUTED_VALUE"""),126387074)</f>
        <v>126387074</v>
      </c>
    </row>
    <row r="1475" spans="1:6" x14ac:dyDescent="0.35">
      <c r="A1475" s="2">
        <f ca="1">IFERROR(__xludf.DUMMYFUNCTION("""COMPUTED_VALUE"""),44141.6666666666)</f>
        <v>44141.666666666599</v>
      </c>
      <c r="B1475" s="1">
        <f ca="1">IFERROR(__xludf.DUMMYFUNCTION("""COMPUTED_VALUE"""),118.32)</f>
        <v>118.32</v>
      </c>
      <c r="C1475" s="1">
        <f ca="1">IFERROR(__xludf.DUMMYFUNCTION("""COMPUTED_VALUE"""),119.2)</f>
        <v>119.2</v>
      </c>
      <c r="D1475" s="1">
        <f ca="1">IFERROR(__xludf.DUMMYFUNCTION("""COMPUTED_VALUE"""),116.13)</f>
        <v>116.13</v>
      </c>
      <c r="E1475" s="1">
        <f ca="1">IFERROR(__xludf.DUMMYFUNCTION("""COMPUTED_VALUE"""),118.69)</f>
        <v>118.69</v>
      </c>
      <c r="F1475" s="1">
        <f ca="1">IFERROR(__xludf.DUMMYFUNCTION("""COMPUTED_VALUE"""),114457922)</f>
        <v>114457922</v>
      </c>
    </row>
    <row r="1476" spans="1:6" x14ac:dyDescent="0.35">
      <c r="A1476" s="2">
        <f ca="1">IFERROR(__xludf.DUMMYFUNCTION("""COMPUTED_VALUE"""),44144.6666666666)</f>
        <v>44144.666666666599</v>
      </c>
      <c r="B1476" s="1">
        <f ca="1">IFERROR(__xludf.DUMMYFUNCTION("""COMPUTED_VALUE"""),120.5)</f>
        <v>120.5</v>
      </c>
      <c r="C1476" s="1">
        <f ca="1">IFERROR(__xludf.DUMMYFUNCTION("""COMPUTED_VALUE"""),121.99)</f>
        <v>121.99</v>
      </c>
      <c r="D1476" s="1">
        <f ca="1">IFERROR(__xludf.DUMMYFUNCTION("""COMPUTED_VALUE"""),116.05)</f>
        <v>116.05</v>
      </c>
      <c r="E1476" s="1">
        <f ca="1">IFERROR(__xludf.DUMMYFUNCTION("""COMPUTED_VALUE"""),116.32)</f>
        <v>116.32</v>
      </c>
      <c r="F1476" s="1">
        <f ca="1">IFERROR(__xludf.DUMMYFUNCTION("""COMPUTED_VALUE"""),154515315)</f>
        <v>154515315</v>
      </c>
    </row>
    <row r="1477" spans="1:6" x14ac:dyDescent="0.35">
      <c r="A1477" s="2">
        <f ca="1">IFERROR(__xludf.DUMMYFUNCTION("""COMPUTED_VALUE"""),44145.6666666666)</f>
        <v>44145.666666666599</v>
      </c>
      <c r="B1477" s="1">
        <f ca="1">IFERROR(__xludf.DUMMYFUNCTION("""COMPUTED_VALUE"""),115.55)</f>
        <v>115.55</v>
      </c>
      <c r="C1477" s="1">
        <f ca="1">IFERROR(__xludf.DUMMYFUNCTION("""COMPUTED_VALUE"""),117.59)</f>
        <v>117.59</v>
      </c>
      <c r="D1477" s="1">
        <f ca="1">IFERROR(__xludf.DUMMYFUNCTION("""COMPUTED_VALUE"""),114.13)</f>
        <v>114.13</v>
      </c>
      <c r="E1477" s="1">
        <f ca="1">IFERROR(__xludf.DUMMYFUNCTION("""COMPUTED_VALUE"""),115.97)</f>
        <v>115.97</v>
      </c>
      <c r="F1477" s="1">
        <f ca="1">IFERROR(__xludf.DUMMYFUNCTION("""COMPUTED_VALUE"""),138023390)</f>
        <v>138023390</v>
      </c>
    </row>
    <row r="1478" spans="1:6" x14ac:dyDescent="0.35">
      <c r="A1478" s="2">
        <f ca="1">IFERROR(__xludf.DUMMYFUNCTION("""COMPUTED_VALUE"""),44146.6666666666)</f>
        <v>44146.666666666599</v>
      </c>
      <c r="B1478" s="1">
        <f ca="1">IFERROR(__xludf.DUMMYFUNCTION("""COMPUTED_VALUE"""),117.19)</f>
        <v>117.19</v>
      </c>
      <c r="C1478" s="1">
        <f ca="1">IFERROR(__xludf.DUMMYFUNCTION("""COMPUTED_VALUE"""),119.63)</f>
        <v>119.63</v>
      </c>
      <c r="D1478" s="1">
        <f ca="1">IFERROR(__xludf.DUMMYFUNCTION("""COMPUTED_VALUE"""),116.44)</f>
        <v>116.44</v>
      </c>
      <c r="E1478" s="1">
        <f ca="1">IFERROR(__xludf.DUMMYFUNCTION("""COMPUTED_VALUE"""),119.49)</f>
        <v>119.49</v>
      </c>
      <c r="F1478" s="1">
        <f ca="1">IFERROR(__xludf.DUMMYFUNCTION("""COMPUTED_VALUE"""),112294954)</f>
        <v>112294954</v>
      </c>
    </row>
    <row r="1479" spans="1:6" x14ac:dyDescent="0.35">
      <c r="A1479" s="2">
        <f ca="1">IFERROR(__xludf.DUMMYFUNCTION("""COMPUTED_VALUE"""),44147.6666666666)</f>
        <v>44147.666666666599</v>
      </c>
      <c r="B1479" s="1">
        <f ca="1">IFERROR(__xludf.DUMMYFUNCTION("""COMPUTED_VALUE"""),119.62)</f>
        <v>119.62</v>
      </c>
      <c r="C1479" s="1">
        <f ca="1">IFERROR(__xludf.DUMMYFUNCTION("""COMPUTED_VALUE"""),120.53)</f>
        <v>120.53</v>
      </c>
      <c r="D1479" s="1">
        <f ca="1">IFERROR(__xludf.DUMMYFUNCTION("""COMPUTED_VALUE"""),118.57)</f>
        <v>118.57</v>
      </c>
      <c r="E1479" s="1">
        <f ca="1">IFERROR(__xludf.DUMMYFUNCTION("""COMPUTED_VALUE"""),119.21)</f>
        <v>119.21</v>
      </c>
      <c r="F1479" s="1">
        <f ca="1">IFERROR(__xludf.DUMMYFUNCTION("""COMPUTED_VALUE"""),103350674)</f>
        <v>103350674</v>
      </c>
    </row>
    <row r="1480" spans="1:6" x14ac:dyDescent="0.35">
      <c r="A1480" s="2">
        <f ca="1">IFERROR(__xludf.DUMMYFUNCTION("""COMPUTED_VALUE"""),44148.6666666666)</f>
        <v>44148.666666666599</v>
      </c>
      <c r="B1480" s="1">
        <f ca="1">IFERROR(__xludf.DUMMYFUNCTION("""COMPUTED_VALUE"""),119.44)</f>
        <v>119.44</v>
      </c>
      <c r="C1480" s="1">
        <f ca="1">IFERROR(__xludf.DUMMYFUNCTION("""COMPUTED_VALUE"""),119.67)</f>
        <v>119.67</v>
      </c>
      <c r="D1480" s="1">
        <f ca="1">IFERROR(__xludf.DUMMYFUNCTION("""COMPUTED_VALUE"""),117.87)</f>
        <v>117.87</v>
      </c>
      <c r="E1480" s="1">
        <f ca="1">IFERROR(__xludf.DUMMYFUNCTION("""COMPUTED_VALUE"""),119.26)</f>
        <v>119.26</v>
      </c>
      <c r="F1480" s="1">
        <f ca="1">IFERROR(__xludf.DUMMYFUNCTION("""COMPUTED_VALUE"""),81688586)</f>
        <v>81688586</v>
      </c>
    </row>
    <row r="1481" spans="1:6" x14ac:dyDescent="0.35">
      <c r="A1481" s="2">
        <f ca="1">IFERROR(__xludf.DUMMYFUNCTION("""COMPUTED_VALUE"""),44151.6666666666)</f>
        <v>44151.666666666599</v>
      </c>
      <c r="B1481" s="1">
        <f ca="1">IFERROR(__xludf.DUMMYFUNCTION("""COMPUTED_VALUE"""),118.92)</f>
        <v>118.92</v>
      </c>
      <c r="C1481" s="1">
        <f ca="1">IFERROR(__xludf.DUMMYFUNCTION("""COMPUTED_VALUE"""),120.99)</f>
        <v>120.99</v>
      </c>
      <c r="D1481" s="1">
        <f ca="1">IFERROR(__xludf.DUMMYFUNCTION("""COMPUTED_VALUE"""),118.15)</f>
        <v>118.15</v>
      </c>
      <c r="E1481" s="1">
        <f ca="1">IFERROR(__xludf.DUMMYFUNCTION("""COMPUTED_VALUE"""),120.3)</f>
        <v>120.3</v>
      </c>
      <c r="F1481" s="1">
        <f ca="1">IFERROR(__xludf.DUMMYFUNCTION("""COMPUTED_VALUE"""),91183018)</f>
        <v>91183018</v>
      </c>
    </row>
    <row r="1482" spans="1:6" x14ac:dyDescent="0.35">
      <c r="A1482" s="2">
        <f ca="1">IFERROR(__xludf.DUMMYFUNCTION("""COMPUTED_VALUE"""),44152.6666666666)</f>
        <v>44152.666666666599</v>
      </c>
      <c r="B1482" s="1">
        <f ca="1">IFERROR(__xludf.DUMMYFUNCTION("""COMPUTED_VALUE"""),119.55)</f>
        <v>119.55</v>
      </c>
      <c r="C1482" s="1">
        <f ca="1">IFERROR(__xludf.DUMMYFUNCTION("""COMPUTED_VALUE"""),120.67)</f>
        <v>120.67</v>
      </c>
      <c r="D1482" s="1">
        <f ca="1">IFERROR(__xludf.DUMMYFUNCTION("""COMPUTED_VALUE"""),118.96)</f>
        <v>118.96</v>
      </c>
      <c r="E1482" s="1">
        <f ca="1">IFERROR(__xludf.DUMMYFUNCTION("""COMPUTED_VALUE"""),119.39)</f>
        <v>119.39</v>
      </c>
      <c r="F1482" s="1">
        <f ca="1">IFERROR(__xludf.DUMMYFUNCTION("""COMPUTED_VALUE"""),74270973)</f>
        <v>74270973</v>
      </c>
    </row>
    <row r="1483" spans="1:6" x14ac:dyDescent="0.35">
      <c r="A1483" s="2">
        <f ca="1">IFERROR(__xludf.DUMMYFUNCTION("""COMPUTED_VALUE"""),44153.6666666666)</f>
        <v>44153.666666666599</v>
      </c>
      <c r="B1483" s="1">
        <f ca="1">IFERROR(__xludf.DUMMYFUNCTION("""COMPUTED_VALUE"""),118.61)</f>
        <v>118.61</v>
      </c>
      <c r="C1483" s="1">
        <f ca="1">IFERROR(__xludf.DUMMYFUNCTION("""COMPUTED_VALUE"""),119.82)</f>
        <v>119.82</v>
      </c>
      <c r="D1483" s="1">
        <f ca="1">IFERROR(__xludf.DUMMYFUNCTION("""COMPUTED_VALUE"""),118)</f>
        <v>118</v>
      </c>
      <c r="E1483" s="1">
        <f ca="1">IFERROR(__xludf.DUMMYFUNCTION("""COMPUTED_VALUE"""),118.03)</f>
        <v>118.03</v>
      </c>
      <c r="F1483" s="1">
        <f ca="1">IFERROR(__xludf.DUMMYFUNCTION("""COMPUTED_VALUE"""),76322111)</f>
        <v>76322111</v>
      </c>
    </row>
    <row r="1484" spans="1:6" x14ac:dyDescent="0.35">
      <c r="A1484" s="2">
        <f ca="1">IFERROR(__xludf.DUMMYFUNCTION("""COMPUTED_VALUE"""),44154.6666666666)</f>
        <v>44154.666666666599</v>
      </c>
      <c r="B1484" s="1">
        <f ca="1">IFERROR(__xludf.DUMMYFUNCTION("""COMPUTED_VALUE"""),117.59)</f>
        <v>117.59</v>
      </c>
      <c r="C1484" s="1">
        <f ca="1">IFERROR(__xludf.DUMMYFUNCTION("""COMPUTED_VALUE"""),119.06)</f>
        <v>119.06</v>
      </c>
      <c r="D1484" s="1">
        <f ca="1">IFERROR(__xludf.DUMMYFUNCTION("""COMPUTED_VALUE"""),116.81)</f>
        <v>116.81</v>
      </c>
      <c r="E1484" s="1">
        <f ca="1">IFERROR(__xludf.DUMMYFUNCTION("""COMPUTED_VALUE"""),118.64)</f>
        <v>118.64</v>
      </c>
      <c r="F1484" s="1">
        <f ca="1">IFERROR(__xludf.DUMMYFUNCTION("""COMPUTED_VALUE"""),74112972)</f>
        <v>74112972</v>
      </c>
    </row>
    <row r="1485" spans="1:6" x14ac:dyDescent="0.35">
      <c r="A1485" s="2">
        <f ca="1">IFERROR(__xludf.DUMMYFUNCTION("""COMPUTED_VALUE"""),44155.6666666666)</f>
        <v>44155.666666666599</v>
      </c>
      <c r="B1485" s="1">
        <f ca="1">IFERROR(__xludf.DUMMYFUNCTION("""COMPUTED_VALUE"""),118.64)</f>
        <v>118.64</v>
      </c>
      <c r="C1485" s="1">
        <f ca="1">IFERROR(__xludf.DUMMYFUNCTION("""COMPUTED_VALUE"""),118.77)</f>
        <v>118.77</v>
      </c>
      <c r="D1485" s="1">
        <f ca="1">IFERROR(__xludf.DUMMYFUNCTION("""COMPUTED_VALUE"""),117.29)</f>
        <v>117.29</v>
      </c>
      <c r="E1485" s="1">
        <f ca="1">IFERROR(__xludf.DUMMYFUNCTION("""COMPUTED_VALUE"""),117.34)</f>
        <v>117.34</v>
      </c>
      <c r="F1485" s="1">
        <f ca="1">IFERROR(__xludf.DUMMYFUNCTION("""COMPUTED_VALUE"""),73604287)</f>
        <v>73604287</v>
      </c>
    </row>
    <row r="1486" spans="1:6" x14ac:dyDescent="0.35">
      <c r="A1486" s="2">
        <f ca="1">IFERROR(__xludf.DUMMYFUNCTION("""COMPUTED_VALUE"""),44158.6666666666)</f>
        <v>44158.666666666599</v>
      </c>
      <c r="B1486" s="1">
        <f ca="1">IFERROR(__xludf.DUMMYFUNCTION("""COMPUTED_VALUE"""),117.18)</f>
        <v>117.18</v>
      </c>
      <c r="C1486" s="1">
        <f ca="1">IFERROR(__xludf.DUMMYFUNCTION("""COMPUTED_VALUE"""),117.62)</f>
        <v>117.62</v>
      </c>
      <c r="D1486" s="1">
        <f ca="1">IFERROR(__xludf.DUMMYFUNCTION("""COMPUTED_VALUE"""),113.75)</f>
        <v>113.75</v>
      </c>
      <c r="E1486" s="1">
        <f ca="1">IFERROR(__xludf.DUMMYFUNCTION("""COMPUTED_VALUE"""),113.85)</f>
        <v>113.85</v>
      </c>
      <c r="F1486" s="1">
        <f ca="1">IFERROR(__xludf.DUMMYFUNCTION("""COMPUTED_VALUE"""),127959318)</f>
        <v>127959318</v>
      </c>
    </row>
    <row r="1487" spans="1:6" x14ac:dyDescent="0.35">
      <c r="A1487" s="2">
        <f ca="1">IFERROR(__xludf.DUMMYFUNCTION("""COMPUTED_VALUE"""),44159.6666666666)</f>
        <v>44159.666666666599</v>
      </c>
      <c r="B1487" s="1">
        <f ca="1">IFERROR(__xludf.DUMMYFUNCTION("""COMPUTED_VALUE"""),113.91)</f>
        <v>113.91</v>
      </c>
      <c r="C1487" s="1">
        <f ca="1">IFERROR(__xludf.DUMMYFUNCTION("""COMPUTED_VALUE"""),115.85)</f>
        <v>115.85</v>
      </c>
      <c r="D1487" s="1">
        <f ca="1">IFERROR(__xludf.DUMMYFUNCTION("""COMPUTED_VALUE"""),112.59)</f>
        <v>112.59</v>
      </c>
      <c r="E1487" s="1">
        <f ca="1">IFERROR(__xludf.DUMMYFUNCTION("""COMPUTED_VALUE"""),115.17)</f>
        <v>115.17</v>
      </c>
      <c r="F1487" s="1">
        <f ca="1">IFERROR(__xludf.DUMMYFUNCTION("""COMPUTED_VALUE"""),113874218)</f>
        <v>113874218</v>
      </c>
    </row>
    <row r="1488" spans="1:6" x14ac:dyDescent="0.35">
      <c r="A1488" s="2">
        <f ca="1">IFERROR(__xludf.DUMMYFUNCTION("""COMPUTED_VALUE"""),44160.6666666666)</f>
        <v>44160.666666666599</v>
      </c>
      <c r="B1488" s="1">
        <f ca="1">IFERROR(__xludf.DUMMYFUNCTION("""COMPUTED_VALUE"""),115.55)</f>
        <v>115.55</v>
      </c>
      <c r="C1488" s="1">
        <f ca="1">IFERROR(__xludf.DUMMYFUNCTION("""COMPUTED_VALUE"""),116.75)</f>
        <v>116.75</v>
      </c>
      <c r="D1488" s="1">
        <f ca="1">IFERROR(__xludf.DUMMYFUNCTION("""COMPUTED_VALUE"""),115.17)</f>
        <v>115.17</v>
      </c>
      <c r="E1488" s="1">
        <f ca="1">IFERROR(__xludf.DUMMYFUNCTION("""COMPUTED_VALUE"""),116.03)</f>
        <v>116.03</v>
      </c>
      <c r="F1488" s="1">
        <f ca="1">IFERROR(__xludf.DUMMYFUNCTION("""COMPUTED_VALUE"""),76499234)</f>
        <v>76499234</v>
      </c>
    </row>
    <row r="1489" spans="1:6" x14ac:dyDescent="0.35">
      <c r="A1489" s="2">
        <f ca="1">IFERROR(__xludf.DUMMYFUNCTION("""COMPUTED_VALUE"""),44162.5416666666)</f>
        <v>44162.541666666599</v>
      </c>
      <c r="B1489" s="1">
        <f ca="1">IFERROR(__xludf.DUMMYFUNCTION("""COMPUTED_VALUE"""),116.57)</f>
        <v>116.57</v>
      </c>
      <c r="C1489" s="1">
        <f ca="1">IFERROR(__xludf.DUMMYFUNCTION("""COMPUTED_VALUE"""),117.49)</f>
        <v>117.49</v>
      </c>
      <c r="D1489" s="1">
        <f ca="1">IFERROR(__xludf.DUMMYFUNCTION("""COMPUTED_VALUE"""),116.22)</f>
        <v>116.22</v>
      </c>
      <c r="E1489" s="1">
        <f ca="1">IFERROR(__xludf.DUMMYFUNCTION("""COMPUTED_VALUE"""),116.59)</f>
        <v>116.59</v>
      </c>
      <c r="F1489" s="1">
        <f ca="1">IFERROR(__xludf.DUMMYFUNCTION("""COMPUTED_VALUE"""),46691331)</f>
        <v>46691331</v>
      </c>
    </row>
    <row r="1490" spans="1:6" x14ac:dyDescent="0.35">
      <c r="A1490" s="2">
        <f ca="1">IFERROR(__xludf.DUMMYFUNCTION("""COMPUTED_VALUE"""),44165.6666666666)</f>
        <v>44165.666666666599</v>
      </c>
      <c r="B1490" s="1">
        <f ca="1">IFERROR(__xludf.DUMMYFUNCTION("""COMPUTED_VALUE"""),116.97)</f>
        <v>116.97</v>
      </c>
      <c r="C1490" s="1">
        <f ca="1">IFERROR(__xludf.DUMMYFUNCTION("""COMPUTED_VALUE"""),120.97)</f>
        <v>120.97</v>
      </c>
      <c r="D1490" s="1">
        <f ca="1">IFERROR(__xludf.DUMMYFUNCTION("""COMPUTED_VALUE"""),116.81)</f>
        <v>116.81</v>
      </c>
      <c r="E1490" s="1">
        <f ca="1">IFERROR(__xludf.DUMMYFUNCTION("""COMPUTED_VALUE"""),119.05)</f>
        <v>119.05</v>
      </c>
      <c r="F1490" s="1">
        <f ca="1">IFERROR(__xludf.DUMMYFUNCTION("""COMPUTED_VALUE"""),169410176)</f>
        <v>169410176</v>
      </c>
    </row>
    <row r="1491" spans="1:6" x14ac:dyDescent="0.35">
      <c r="A1491" s="2">
        <f ca="1">IFERROR(__xludf.DUMMYFUNCTION("""COMPUTED_VALUE"""),44166.6666666666)</f>
        <v>44166.666666666599</v>
      </c>
      <c r="B1491" s="1">
        <f ca="1">IFERROR(__xludf.DUMMYFUNCTION("""COMPUTED_VALUE"""),121.01)</f>
        <v>121.01</v>
      </c>
      <c r="C1491" s="1">
        <f ca="1">IFERROR(__xludf.DUMMYFUNCTION("""COMPUTED_VALUE"""),123.47)</f>
        <v>123.47</v>
      </c>
      <c r="D1491" s="1">
        <f ca="1">IFERROR(__xludf.DUMMYFUNCTION("""COMPUTED_VALUE"""),120.01)</f>
        <v>120.01</v>
      </c>
      <c r="E1491" s="1">
        <f ca="1">IFERROR(__xludf.DUMMYFUNCTION("""COMPUTED_VALUE"""),122.72)</f>
        <v>122.72</v>
      </c>
      <c r="F1491" s="1">
        <f ca="1">IFERROR(__xludf.DUMMYFUNCTION("""COMPUTED_VALUE"""),128166803)</f>
        <v>128166803</v>
      </c>
    </row>
    <row r="1492" spans="1:6" x14ac:dyDescent="0.35">
      <c r="A1492" s="2">
        <f ca="1">IFERROR(__xludf.DUMMYFUNCTION("""COMPUTED_VALUE"""),44167.6666666666)</f>
        <v>44167.666666666599</v>
      </c>
      <c r="B1492" s="1">
        <f ca="1">IFERROR(__xludf.DUMMYFUNCTION("""COMPUTED_VALUE"""),122.02)</f>
        <v>122.02</v>
      </c>
      <c r="C1492" s="1">
        <f ca="1">IFERROR(__xludf.DUMMYFUNCTION("""COMPUTED_VALUE"""),123.37)</f>
        <v>123.37</v>
      </c>
      <c r="D1492" s="1">
        <f ca="1">IFERROR(__xludf.DUMMYFUNCTION("""COMPUTED_VALUE"""),120.89)</f>
        <v>120.89</v>
      </c>
      <c r="E1492" s="1">
        <f ca="1">IFERROR(__xludf.DUMMYFUNCTION("""COMPUTED_VALUE"""),123.08)</f>
        <v>123.08</v>
      </c>
      <c r="F1492" s="1">
        <f ca="1">IFERROR(__xludf.DUMMYFUNCTION("""COMPUTED_VALUE"""),89004195)</f>
        <v>89004195</v>
      </c>
    </row>
    <row r="1493" spans="1:6" x14ac:dyDescent="0.35">
      <c r="A1493" s="2">
        <f ca="1">IFERROR(__xludf.DUMMYFUNCTION("""COMPUTED_VALUE"""),44168.6666666666)</f>
        <v>44168.666666666599</v>
      </c>
      <c r="B1493" s="1">
        <f ca="1">IFERROR(__xludf.DUMMYFUNCTION("""COMPUTED_VALUE"""),123.52)</f>
        <v>123.52</v>
      </c>
      <c r="C1493" s="1">
        <f ca="1">IFERROR(__xludf.DUMMYFUNCTION("""COMPUTED_VALUE"""),123.78)</f>
        <v>123.78</v>
      </c>
      <c r="D1493" s="1">
        <f ca="1">IFERROR(__xludf.DUMMYFUNCTION("""COMPUTED_VALUE"""),122.21)</f>
        <v>122.21</v>
      </c>
      <c r="E1493" s="1">
        <f ca="1">IFERROR(__xludf.DUMMYFUNCTION("""COMPUTED_VALUE"""),122.94)</f>
        <v>122.94</v>
      </c>
      <c r="F1493" s="1">
        <f ca="1">IFERROR(__xludf.DUMMYFUNCTION("""COMPUTED_VALUE"""),78967630)</f>
        <v>78967630</v>
      </c>
    </row>
    <row r="1494" spans="1:6" x14ac:dyDescent="0.35">
      <c r="A1494" s="2">
        <f ca="1">IFERROR(__xludf.DUMMYFUNCTION("""COMPUTED_VALUE"""),44169.6666666666)</f>
        <v>44169.666666666599</v>
      </c>
      <c r="B1494" s="1">
        <f ca="1">IFERROR(__xludf.DUMMYFUNCTION("""COMPUTED_VALUE"""),122.6)</f>
        <v>122.6</v>
      </c>
      <c r="C1494" s="1">
        <f ca="1">IFERROR(__xludf.DUMMYFUNCTION("""COMPUTED_VALUE"""),122.86)</f>
        <v>122.86</v>
      </c>
      <c r="D1494" s="1">
        <f ca="1">IFERROR(__xludf.DUMMYFUNCTION("""COMPUTED_VALUE"""),121.52)</f>
        <v>121.52</v>
      </c>
      <c r="E1494" s="1">
        <f ca="1">IFERROR(__xludf.DUMMYFUNCTION("""COMPUTED_VALUE"""),122.25)</f>
        <v>122.25</v>
      </c>
      <c r="F1494" s="1">
        <f ca="1">IFERROR(__xludf.DUMMYFUNCTION("""COMPUTED_VALUE"""),78260421)</f>
        <v>78260421</v>
      </c>
    </row>
    <row r="1495" spans="1:6" x14ac:dyDescent="0.35">
      <c r="A1495" s="2">
        <f ca="1">IFERROR(__xludf.DUMMYFUNCTION("""COMPUTED_VALUE"""),44172.6666666666)</f>
        <v>44172.666666666599</v>
      </c>
      <c r="B1495" s="1">
        <f ca="1">IFERROR(__xludf.DUMMYFUNCTION("""COMPUTED_VALUE"""),122.31)</f>
        <v>122.31</v>
      </c>
      <c r="C1495" s="1">
        <f ca="1">IFERROR(__xludf.DUMMYFUNCTION("""COMPUTED_VALUE"""),124.57)</f>
        <v>124.57</v>
      </c>
      <c r="D1495" s="1">
        <f ca="1">IFERROR(__xludf.DUMMYFUNCTION("""COMPUTED_VALUE"""),122.25)</f>
        <v>122.25</v>
      </c>
      <c r="E1495" s="1">
        <f ca="1">IFERROR(__xludf.DUMMYFUNCTION("""COMPUTED_VALUE"""),123.75)</f>
        <v>123.75</v>
      </c>
      <c r="F1495" s="1">
        <f ca="1">IFERROR(__xludf.DUMMYFUNCTION("""COMPUTED_VALUE"""),86711990)</f>
        <v>86711990</v>
      </c>
    </row>
    <row r="1496" spans="1:6" x14ac:dyDescent="0.35">
      <c r="A1496" s="2">
        <f ca="1">IFERROR(__xludf.DUMMYFUNCTION("""COMPUTED_VALUE"""),44173.6666666666)</f>
        <v>44173.666666666599</v>
      </c>
      <c r="B1496" s="1">
        <f ca="1">IFERROR(__xludf.DUMMYFUNCTION("""COMPUTED_VALUE"""),124.37)</f>
        <v>124.37</v>
      </c>
      <c r="C1496" s="1">
        <f ca="1">IFERROR(__xludf.DUMMYFUNCTION("""COMPUTED_VALUE"""),124.98)</f>
        <v>124.98</v>
      </c>
      <c r="D1496" s="1">
        <f ca="1">IFERROR(__xludf.DUMMYFUNCTION("""COMPUTED_VALUE"""),123.09)</f>
        <v>123.09</v>
      </c>
      <c r="E1496" s="1">
        <f ca="1">IFERROR(__xludf.DUMMYFUNCTION("""COMPUTED_VALUE"""),124.38)</f>
        <v>124.38</v>
      </c>
      <c r="F1496" s="1">
        <f ca="1">IFERROR(__xludf.DUMMYFUNCTION("""COMPUTED_VALUE"""),82225512)</f>
        <v>82225512</v>
      </c>
    </row>
    <row r="1497" spans="1:6" x14ac:dyDescent="0.35">
      <c r="A1497" s="2">
        <f ca="1">IFERROR(__xludf.DUMMYFUNCTION("""COMPUTED_VALUE"""),44174.6666666666)</f>
        <v>44174.666666666599</v>
      </c>
      <c r="B1497" s="1">
        <f ca="1">IFERROR(__xludf.DUMMYFUNCTION("""COMPUTED_VALUE"""),124.53)</f>
        <v>124.53</v>
      </c>
      <c r="C1497" s="1">
        <f ca="1">IFERROR(__xludf.DUMMYFUNCTION("""COMPUTED_VALUE"""),125.95)</f>
        <v>125.95</v>
      </c>
      <c r="D1497" s="1">
        <f ca="1">IFERROR(__xludf.DUMMYFUNCTION("""COMPUTED_VALUE"""),121)</f>
        <v>121</v>
      </c>
      <c r="E1497" s="1">
        <f ca="1">IFERROR(__xludf.DUMMYFUNCTION("""COMPUTED_VALUE"""),121.78)</f>
        <v>121.78</v>
      </c>
      <c r="F1497" s="1">
        <f ca="1">IFERROR(__xludf.DUMMYFUNCTION("""COMPUTED_VALUE"""),115089193)</f>
        <v>115089193</v>
      </c>
    </row>
    <row r="1498" spans="1:6" x14ac:dyDescent="0.35">
      <c r="A1498" s="2">
        <f ca="1">IFERROR(__xludf.DUMMYFUNCTION("""COMPUTED_VALUE"""),44175.6666666666)</f>
        <v>44175.666666666599</v>
      </c>
      <c r="B1498" s="1">
        <f ca="1">IFERROR(__xludf.DUMMYFUNCTION("""COMPUTED_VALUE"""),120.5)</f>
        <v>120.5</v>
      </c>
      <c r="C1498" s="1">
        <f ca="1">IFERROR(__xludf.DUMMYFUNCTION("""COMPUTED_VALUE"""),123.87)</f>
        <v>123.87</v>
      </c>
      <c r="D1498" s="1">
        <f ca="1">IFERROR(__xludf.DUMMYFUNCTION("""COMPUTED_VALUE"""),120.15)</f>
        <v>120.15</v>
      </c>
      <c r="E1498" s="1">
        <f ca="1">IFERROR(__xludf.DUMMYFUNCTION("""COMPUTED_VALUE"""),123.24)</f>
        <v>123.24</v>
      </c>
      <c r="F1498" s="1">
        <f ca="1">IFERROR(__xludf.DUMMYFUNCTION("""COMPUTED_VALUE"""),81312170)</f>
        <v>81312170</v>
      </c>
    </row>
    <row r="1499" spans="1:6" x14ac:dyDescent="0.35">
      <c r="A1499" s="2">
        <f ca="1">IFERROR(__xludf.DUMMYFUNCTION("""COMPUTED_VALUE"""),44176.6666666666)</f>
        <v>44176.666666666599</v>
      </c>
      <c r="B1499" s="1">
        <f ca="1">IFERROR(__xludf.DUMMYFUNCTION("""COMPUTED_VALUE"""),122.43)</f>
        <v>122.43</v>
      </c>
      <c r="C1499" s="1">
        <f ca="1">IFERROR(__xludf.DUMMYFUNCTION("""COMPUTED_VALUE"""),122.76)</f>
        <v>122.76</v>
      </c>
      <c r="D1499" s="1">
        <f ca="1">IFERROR(__xludf.DUMMYFUNCTION("""COMPUTED_VALUE"""),120.55)</f>
        <v>120.55</v>
      </c>
      <c r="E1499" s="1">
        <f ca="1">IFERROR(__xludf.DUMMYFUNCTION("""COMPUTED_VALUE"""),122.41)</f>
        <v>122.41</v>
      </c>
      <c r="F1499" s="1">
        <f ca="1">IFERROR(__xludf.DUMMYFUNCTION("""COMPUTED_VALUE"""),86939786)</f>
        <v>86939786</v>
      </c>
    </row>
    <row r="1500" spans="1:6" x14ac:dyDescent="0.35">
      <c r="A1500" s="2">
        <f ca="1">IFERROR(__xludf.DUMMYFUNCTION("""COMPUTED_VALUE"""),44179.6666666666)</f>
        <v>44179.666666666599</v>
      </c>
      <c r="B1500" s="1">
        <f ca="1">IFERROR(__xludf.DUMMYFUNCTION("""COMPUTED_VALUE"""),122.6)</f>
        <v>122.6</v>
      </c>
      <c r="C1500" s="1">
        <f ca="1">IFERROR(__xludf.DUMMYFUNCTION("""COMPUTED_VALUE"""),123.35)</f>
        <v>123.35</v>
      </c>
      <c r="D1500" s="1">
        <f ca="1">IFERROR(__xludf.DUMMYFUNCTION("""COMPUTED_VALUE"""),121.54)</f>
        <v>121.54</v>
      </c>
      <c r="E1500" s="1">
        <f ca="1">IFERROR(__xludf.DUMMYFUNCTION("""COMPUTED_VALUE"""),121.78)</f>
        <v>121.78</v>
      </c>
      <c r="F1500" s="1">
        <f ca="1">IFERROR(__xludf.DUMMYFUNCTION("""COMPUTED_VALUE"""),79075988)</f>
        <v>79075988</v>
      </c>
    </row>
    <row r="1501" spans="1:6" x14ac:dyDescent="0.35">
      <c r="A1501" s="2">
        <f ca="1">IFERROR(__xludf.DUMMYFUNCTION("""COMPUTED_VALUE"""),44180.6666666666)</f>
        <v>44180.666666666599</v>
      </c>
      <c r="B1501" s="1">
        <f ca="1">IFERROR(__xludf.DUMMYFUNCTION("""COMPUTED_VALUE"""),124.34)</f>
        <v>124.34</v>
      </c>
      <c r="C1501" s="1">
        <f ca="1">IFERROR(__xludf.DUMMYFUNCTION("""COMPUTED_VALUE"""),127.9)</f>
        <v>127.9</v>
      </c>
      <c r="D1501" s="1">
        <f ca="1">IFERROR(__xludf.DUMMYFUNCTION("""COMPUTED_VALUE"""),124.13)</f>
        <v>124.13</v>
      </c>
      <c r="E1501" s="1">
        <f ca="1">IFERROR(__xludf.DUMMYFUNCTION("""COMPUTED_VALUE"""),127.88)</f>
        <v>127.88</v>
      </c>
      <c r="F1501" s="1">
        <f ca="1">IFERROR(__xludf.DUMMYFUNCTION("""COMPUTED_VALUE"""),157572262)</f>
        <v>157572262</v>
      </c>
    </row>
    <row r="1502" spans="1:6" x14ac:dyDescent="0.35">
      <c r="A1502" s="2">
        <f ca="1">IFERROR(__xludf.DUMMYFUNCTION("""COMPUTED_VALUE"""),44181.6666666666)</f>
        <v>44181.666666666599</v>
      </c>
      <c r="B1502" s="1">
        <f ca="1">IFERROR(__xludf.DUMMYFUNCTION("""COMPUTED_VALUE"""),127.41)</f>
        <v>127.41</v>
      </c>
      <c r="C1502" s="1">
        <f ca="1">IFERROR(__xludf.DUMMYFUNCTION("""COMPUTED_VALUE"""),128.37)</f>
        <v>128.37</v>
      </c>
      <c r="D1502" s="1">
        <f ca="1">IFERROR(__xludf.DUMMYFUNCTION("""COMPUTED_VALUE"""),126.56)</f>
        <v>126.56</v>
      </c>
      <c r="E1502" s="1">
        <f ca="1">IFERROR(__xludf.DUMMYFUNCTION("""COMPUTED_VALUE"""),127.81)</f>
        <v>127.81</v>
      </c>
      <c r="F1502" s="1">
        <f ca="1">IFERROR(__xludf.DUMMYFUNCTION("""COMPUTED_VALUE"""),98208591)</f>
        <v>98208591</v>
      </c>
    </row>
    <row r="1503" spans="1:6" x14ac:dyDescent="0.35">
      <c r="A1503" s="2">
        <f ca="1">IFERROR(__xludf.DUMMYFUNCTION("""COMPUTED_VALUE"""),44182.6666666666)</f>
        <v>44182.666666666599</v>
      </c>
      <c r="B1503" s="1">
        <f ca="1">IFERROR(__xludf.DUMMYFUNCTION("""COMPUTED_VALUE"""),128.9)</f>
        <v>128.9</v>
      </c>
      <c r="C1503" s="1">
        <f ca="1">IFERROR(__xludf.DUMMYFUNCTION("""COMPUTED_VALUE"""),129.58)</f>
        <v>129.58000000000001</v>
      </c>
      <c r="D1503" s="1">
        <f ca="1">IFERROR(__xludf.DUMMYFUNCTION("""COMPUTED_VALUE"""),128.04)</f>
        <v>128.04</v>
      </c>
      <c r="E1503" s="1">
        <f ca="1">IFERROR(__xludf.DUMMYFUNCTION("""COMPUTED_VALUE"""),128.7)</f>
        <v>128.69999999999999</v>
      </c>
      <c r="F1503" s="1">
        <f ca="1">IFERROR(__xludf.DUMMYFUNCTION("""COMPUTED_VALUE"""),94359811)</f>
        <v>94359811</v>
      </c>
    </row>
    <row r="1504" spans="1:6" x14ac:dyDescent="0.35">
      <c r="A1504" s="2">
        <f ca="1">IFERROR(__xludf.DUMMYFUNCTION("""COMPUTED_VALUE"""),44183.6666666666)</f>
        <v>44183.666666666599</v>
      </c>
      <c r="B1504" s="1">
        <f ca="1">IFERROR(__xludf.DUMMYFUNCTION("""COMPUTED_VALUE"""),128.96)</f>
        <v>128.96</v>
      </c>
      <c r="C1504" s="1">
        <f ca="1">IFERROR(__xludf.DUMMYFUNCTION("""COMPUTED_VALUE"""),129.1)</f>
        <v>129.1</v>
      </c>
      <c r="D1504" s="1">
        <f ca="1">IFERROR(__xludf.DUMMYFUNCTION("""COMPUTED_VALUE"""),126.12)</f>
        <v>126.12</v>
      </c>
      <c r="E1504" s="1">
        <f ca="1">IFERROR(__xludf.DUMMYFUNCTION("""COMPUTED_VALUE"""),126.66)</f>
        <v>126.66</v>
      </c>
      <c r="F1504" s="1">
        <f ca="1">IFERROR(__xludf.DUMMYFUNCTION("""COMPUTED_VALUE"""),192541496)</f>
        <v>192541496</v>
      </c>
    </row>
    <row r="1505" spans="1:6" x14ac:dyDescent="0.35">
      <c r="A1505" s="2">
        <f ca="1">IFERROR(__xludf.DUMMYFUNCTION("""COMPUTED_VALUE"""),44186.6666666666)</f>
        <v>44186.666666666599</v>
      </c>
      <c r="B1505" s="1">
        <f ca="1">IFERROR(__xludf.DUMMYFUNCTION("""COMPUTED_VALUE"""),125.02)</f>
        <v>125.02</v>
      </c>
      <c r="C1505" s="1">
        <f ca="1">IFERROR(__xludf.DUMMYFUNCTION("""COMPUTED_VALUE"""),128.31)</f>
        <v>128.31</v>
      </c>
      <c r="D1505" s="1">
        <f ca="1">IFERROR(__xludf.DUMMYFUNCTION("""COMPUTED_VALUE"""),123.45)</f>
        <v>123.45</v>
      </c>
      <c r="E1505" s="1">
        <f ca="1">IFERROR(__xludf.DUMMYFUNCTION("""COMPUTED_VALUE"""),128.23)</f>
        <v>128.22999999999999</v>
      </c>
      <c r="F1505" s="1">
        <f ca="1">IFERROR(__xludf.DUMMYFUNCTION("""COMPUTED_VALUE"""),121251553)</f>
        <v>121251553</v>
      </c>
    </row>
    <row r="1506" spans="1:6" x14ac:dyDescent="0.35">
      <c r="A1506" s="2">
        <f ca="1">IFERROR(__xludf.DUMMYFUNCTION("""COMPUTED_VALUE"""),44187.6666666666)</f>
        <v>44187.666666666599</v>
      </c>
      <c r="B1506" s="1">
        <f ca="1">IFERROR(__xludf.DUMMYFUNCTION("""COMPUTED_VALUE"""),131.61)</f>
        <v>131.61000000000001</v>
      </c>
      <c r="C1506" s="1">
        <f ca="1">IFERROR(__xludf.DUMMYFUNCTION("""COMPUTED_VALUE"""),134.41)</f>
        <v>134.41</v>
      </c>
      <c r="D1506" s="1">
        <f ca="1">IFERROR(__xludf.DUMMYFUNCTION("""COMPUTED_VALUE"""),129.65)</f>
        <v>129.65</v>
      </c>
      <c r="E1506" s="1">
        <f ca="1">IFERROR(__xludf.DUMMYFUNCTION("""COMPUTED_VALUE"""),131.88)</f>
        <v>131.88</v>
      </c>
      <c r="F1506" s="1">
        <f ca="1">IFERROR(__xludf.DUMMYFUNCTION("""COMPUTED_VALUE"""),169351825)</f>
        <v>169351825</v>
      </c>
    </row>
    <row r="1507" spans="1:6" x14ac:dyDescent="0.35">
      <c r="A1507" s="2">
        <f ca="1">IFERROR(__xludf.DUMMYFUNCTION("""COMPUTED_VALUE"""),44188.6666666666)</f>
        <v>44188.666666666599</v>
      </c>
      <c r="B1507" s="1">
        <f ca="1">IFERROR(__xludf.DUMMYFUNCTION("""COMPUTED_VALUE"""),132.16)</f>
        <v>132.16</v>
      </c>
      <c r="C1507" s="1">
        <f ca="1">IFERROR(__xludf.DUMMYFUNCTION("""COMPUTED_VALUE"""),132.43)</f>
        <v>132.43</v>
      </c>
      <c r="D1507" s="1">
        <f ca="1">IFERROR(__xludf.DUMMYFUNCTION("""COMPUTED_VALUE"""),130.78)</f>
        <v>130.78</v>
      </c>
      <c r="E1507" s="1">
        <f ca="1">IFERROR(__xludf.DUMMYFUNCTION("""COMPUTED_VALUE"""),130.96)</f>
        <v>130.96</v>
      </c>
      <c r="F1507" s="1">
        <f ca="1">IFERROR(__xludf.DUMMYFUNCTION("""COMPUTED_VALUE"""),88223692)</f>
        <v>88223692</v>
      </c>
    </row>
    <row r="1508" spans="1:6" x14ac:dyDescent="0.35">
      <c r="A1508" s="2">
        <f ca="1">IFERROR(__xludf.DUMMYFUNCTION("""COMPUTED_VALUE"""),44189.5416666666)</f>
        <v>44189.541666666599</v>
      </c>
      <c r="B1508" s="1">
        <f ca="1">IFERROR(__xludf.DUMMYFUNCTION("""COMPUTED_VALUE"""),131.32)</f>
        <v>131.32</v>
      </c>
      <c r="C1508" s="1">
        <f ca="1">IFERROR(__xludf.DUMMYFUNCTION("""COMPUTED_VALUE"""),133.46)</f>
        <v>133.46</v>
      </c>
      <c r="D1508" s="1">
        <f ca="1">IFERROR(__xludf.DUMMYFUNCTION("""COMPUTED_VALUE"""),131.1)</f>
        <v>131.1</v>
      </c>
      <c r="E1508" s="1">
        <f ca="1">IFERROR(__xludf.DUMMYFUNCTION("""COMPUTED_VALUE"""),131.97)</f>
        <v>131.97</v>
      </c>
      <c r="F1508" s="1">
        <f ca="1">IFERROR(__xludf.DUMMYFUNCTION("""COMPUTED_VALUE"""),54930064)</f>
        <v>54930064</v>
      </c>
    </row>
    <row r="1509" spans="1:6" x14ac:dyDescent="0.35">
      <c r="A1509" s="2">
        <f ca="1">IFERROR(__xludf.DUMMYFUNCTION("""COMPUTED_VALUE"""),44193.6666666666)</f>
        <v>44193.666666666599</v>
      </c>
      <c r="B1509" s="1">
        <f ca="1">IFERROR(__xludf.DUMMYFUNCTION("""COMPUTED_VALUE"""),133.99)</f>
        <v>133.99</v>
      </c>
      <c r="C1509" s="1">
        <f ca="1">IFERROR(__xludf.DUMMYFUNCTION("""COMPUTED_VALUE"""),137.34)</f>
        <v>137.34</v>
      </c>
      <c r="D1509" s="1">
        <f ca="1">IFERROR(__xludf.DUMMYFUNCTION("""COMPUTED_VALUE"""),133.51)</f>
        <v>133.51</v>
      </c>
      <c r="E1509" s="1">
        <f ca="1">IFERROR(__xludf.DUMMYFUNCTION("""COMPUTED_VALUE"""),136.69)</f>
        <v>136.69</v>
      </c>
      <c r="F1509" s="1">
        <f ca="1">IFERROR(__xludf.DUMMYFUNCTION("""COMPUTED_VALUE"""),124486237)</f>
        <v>124486237</v>
      </c>
    </row>
    <row r="1510" spans="1:6" x14ac:dyDescent="0.35">
      <c r="A1510" s="2">
        <f ca="1">IFERROR(__xludf.DUMMYFUNCTION("""COMPUTED_VALUE"""),44194.6666666666)</f>
        <v>44194.666666666599</v>
      </c>
      <c r="B1510" s="1">
        <f ca="1">IFERROR(__xludf.DUMMYFUNCTION("""COMPUTED_VALUE"""),138.05)</f>
        <v>138.05000000000001</v>
      </c>
      <c r="C1510" s="1">
        <f ca="1">IFERROR(__xludf.DUMMYFUNCTION("""COMPUTED_VALUE"""),138.79)</f>
        <v>138.79</v>
      </c>
      <c r="D1510" s="1">
        <f ca="1">IFERROR(__xludf.DUMMYFUNCTION("""COMPUTED_VALUE"""),134.34)</f>
        <v>134.34</v>
      </c>
      <c r="E1510" s="1">
        <f ca="1">IFERROR(__xludf.DUMMYFUNCTION("""COMPUTED_VALUE"""),134.87)</f>
        <v>134.87</v>
      </c>
      <c r="F1510" s="1">
        <f ca="1">IFERROR(__xludf.DUMMYFUNCTION("""COMPUTED_VALUE"""),121047324)</f>
        <v>121047324</v>
      </c>
    </row>
    <row r="1511" spans="1:6" x14ac:dyDescent="0.35">
      <c r="A1511" s="2">
        <f ca="1">IFERROR(__xludf.DUMMYFUNCTION("""COMPUTED_VALUE"""),44195.6666666666)</f>
        <v>44195.666666666599</v>
      </c>
      <c r="B1511" s="1">
        <f ca="1">IFERROR(__xludf.DUMMYFUNCTION("""COMPUTED_VALUE"""),135.58)</f>
        <v>135.58000000000001</v>
      </c>
      <c r="C1511" s="1">
        <f ca="1">IFERROR(__xludf.DUMMYFUNCTION("""COMPUTED_VALUE"""),135.99)</f>
        <v>135.99</v>
      </c>
      <c r="D1511" s="1">
        <f ca="1">IFERROR(__xludf.DUMMYFUNCTION("""COMPUTED_VALUE"""),133.4)</f>
        <v>133.4</v>
      </c>
      <c r="E1511" s="1">
        <f ca="1">IFERROR(__xludf.DUMMYFUNCTION("""COMPUTED_VALUE"""),133.72)</f>
        <v>133.72</v>
      </c>
      <c r="F1511" s="1">
        <f ca="1">IFERROR(__xludf.DUMMYFUNCTION("""COMPUTED_VALUE"""),96452124)</f>
        <v>96452124</v>
      </c>
    </row>
    <row r="1512" spans="1:6" x14ac:dyDescent="0.35">
      <c r="A1512" s="2">
        <f ca="1">IFERROR(__xludf.DUMMYFUNCTION("""COMPUTED_VALUE"""),44196.6666666666)</f>
        <v>44196.666666666599</v>
      </c>
      <c r="B1512" s="1">
        <f ca="1">IFERROR(__xludf.DUMMYFUNCTION("""COMPUTED_VALUE"""),134.08)</f>
        <v>134.08000000000001</v>
      </c>
      <c r="C1512" s="1">
        <f ca="1">IFERROR(__xludf.DUMMYFUNCTION("""COMPUTED_VALUE"""),134.74)</f>
        <v>134.74</v>
      </c>
      <c r="D1512" s="1">
        <f ca="1">IFERROR(__xludf.DUMMYFUNCTION("""COMPUTED_VALUE"""),131.72)</f>
        <v>131.72</v>
      </c>
      <c r="E1512" s="1">
        <f ca="1">IFERROR(__xludf.DUMMYFUNCTION("""COMPUTED_VALUE"""),132.69)</f>
        <v>132.69</v>
      </c>
      <c r="F1512" s="1">
        <f ca="1">IFERROR(__xludf.DUMMYFUNCTION("""COMPUTED_VALUE"""),99116586)</f>
        <v>99116586</v>
      </c>
    </row>
    <row r="1513" spans="1:6" x14ac:dyDescent="0.35">
      <c r="A1513" s="2">
        <f ca="1">IFERROR(__xludf.DUMMYFUNCTION("""COMPUTED_VALUE"""),44200.6666666666)</f>
        <v>44200.666666666599</v>
      </c>
      <c r="B1513" s="1">
        <f ca="1">IFERROR(__xludf.DUMMYFUNCTION("""COMPUTED_VALUE"""),133.52)</f>
        <v>133.52000000000001</v>
      </c>
      <c r="C1513" s="1">
        <f ca="1">IFERROR(__xludf.DUMMYFUNCTION("""COMPUTED_VALUE"""),133.61)</f>
        <v>133.61000000000001</v>
      </c>
      <c r="D1513" s="1">
        <f ca="1">IFERROR(__xludf.DUMMYFUNCTION("""COMPUTED_VALUE"""),126.76)</f>
        <v>126.76</v>
      </c>
      <c r="E1513" s="1">
        <f ca="1">IFERROR(__xludf.DUMMYFUNCTION("""COMPUTED_VALUE"""),129.41)</f>
        <v>129.41</v>
      </c>
      <c r="F1513" s="1">
        <f ca="1">IFERROR(__xludf.DUMMYFUNCTION("""COMPUTED_VALUE"""),143301887)</f>
        <v>143301887</v>
      </c>
    </row>
    <row r="1514" spans="1:6" x14ac:dyDescent="0.35">
      <c r="A1514" s="2">
        <f ca="1">IFERROR(__xludf.DUMMYFUNCTION("""COMPUTED_VALUE"""),44201.6666666666)</f>
        <v>44201.666666666599</v>
      </c>
      <c r="B1514" s="1">
        <f ca="1">IFERROR(__xludf.DUMMYFUNCTION("""COMPUTED_VALUE"""),128.89)</f>
        <v>128.88999999999999</v>
      </c>
      <c r="C1514" s="1">
        <f ca="1">IFERROR(__xludf.DUMMYFUNCTION("""COMPUTED_VALUE"""),131.74)</f>
        <v>131.74</v>
      </c>
      <c r="D1514" s="1">
        <f ca="1">IFERROR(__xludf.DUMMYFUNCTION("""COMPUTED_VALUE"""),128.43)</f>
        <v>128.43</v>
      </c>
      <c r="E1514" s="1">
        <f ca="1">IFERROR(__xludf.DUMMYFUNCTION("""COMPUTED_VALUE"""),131.01)</f>
        <v>131.01</v>
      </c>
      <c r="F1514" s="1">
        <f ca="1">IFERROR(__xludf.DUMMYFUNCTION("""COMPUTED_VALUE"""),97664898)</f>
        <v>97664898</v>
      </c>
    </row>
    <row r="1515" spans="1:6" x14ac:dyDescent="0.35">
      <c r="A1515" s="2">
        <f ca="1">IFERROR(__xludf.DUMMYFUNCTION("""COMPUTED_VALUE"""),44202.6666666666)</f>
        <v>44202.666666666599</v>
      </c>
      <c r="B1515" s="1">
        <f ca="1">IFERROR(__xludf.DUMMYFUNCTION("""COMPUTED_VALUE"""),127.72)</f>
        <v>127.72</v>
      </c>
      <c r="C1515" s="1">
        <f ca="1">IFERROR(__xludf.DUMMYFUNCTION("""COMPUTED_VALUE"""),131.05)</f>
        <v>131.05000000000001</v>
      </c>
      <c r="D1515" s="1">
        <f ca="1">IFERROR(__xludf.DUMMYFUNCTION("""COMPUTED_VALUE"""),126.38)</f>
        <v>126.38</v>
      </c>
      <c r="E1515" s="1">
        <f ca="1">IFERROR(__xludf.DUMMYFUNCTION("""COMPUTED_VALUE"""),126.6)</f>
        <v>126.6</v>
      </c>
      <c r="F1515" s="1">
        <f ca="1">IFERROR(__xludf.DUMMYFUNCTION("""COMPUTED_VALUE"""),155087970)</f>
        <v>155087970</v>
      </c>
    </row>
    <row r="1516" spans="1:6" x14ac:dyDescent="0.35">
      <c r="A1516" s="2">
        <f ca="1">IFERROR(__xludf.DUMMYFUNCTION("""COMPUTED_VALUE"""),44203.6666666666)</f>
        <v>44203.666666666599</v>
      </c>
      <c r="B1516" s="1">
        <f ca="1">IFERROR(__xludf.DUMMYFUNCTION("""COMPUTED_VALUE"""),128.36)</f>
        <v>128.36000000000001</v>
      </c>
      <c r="C1516" s="1">
        <f ca="1">IFERROR(__xludf.DUMMYFUNCTION("""COMPUTED_VALUE"""),131.63)</f>
        <v>131.63</v>
      </c>
      <c r="D1516" s="1">
        <f ca="1">IFERROR(__xludf.DUMMYFUNCTION("""COMPUTED_VALUE"""),127.86)</f>
        <v>127.86</v>
      </c>
      <c r="E1516" s="1">
        <f ca="1">IFERROR(__xludf.DUMMYFUNCTION("""COMPUTED_VALUE"""),130.92)</f>
        <v>130.91999999999999</v>
      </c>
      <c r="F1516" s="1">
        <f ca="1">IFERROR(__xludf.DUMMYFUNCTION("""COMPUTED_VALUE"""),109578157)</f>
        <v>109578157</v>
      </c>
    </row>
    <row r="1517" spans="1:6" x14ac:dyDescent="0.35">
      <c r="A1517" s="2">
        <f ca="1">IFERROR(__xludf.DUMMYFUNCTION("""COMPUTED_VALUE"""),44204.6666666666)</f>
        <v>44204.666666666599</v>
      </c>
      <c r="B1517" s="1">
        <f ca="1">IFERROR(__xludf.DUMMYFUNCTION("""COMPUTED_VALUE"""),132.43)</f>
        <v>132.43</v>
      </c>
      <c r="C1517" s="1">
        <f ca="1">IFERROR(__xludf.DUMMYFUNCTION("""COMPUTED_VALUE"""),132.63)</f>
        <v>132.63</v>
      </c>
      <c r="D1517" s="1">
        <f ca="1">IFERROR(__xludf.DUMMYFUNCTION("""COMPUTED_VALUE"""),130.23)</f>
        <v>130.22999999999999</v>
      </c>
      <c r="E1517" s="1">
        <f ca="1">IFERROR(__xludf.DUMMYFUNCTION("""COMPUTED_VALUE"""),132.05)</f>
        <v>132.05000000000001</v>
      </c>
      <c r="F1517" s="1">
        <f ca="1">IFERROR(__xludf.DUMMYFUNCTION("""COMPUTED_VALUE"""),105158245)</f>
        <v>105158245</v>
      </c>
    </row>
    <row r="1518" spans="1:6" x14ac:dyDescent="0.35">
      <c r="A1518" s="2">
        <f ca="1">IFERROR(__xludf.DUMMYFUNCTION("""COMPUTED_VALUE"""),44207.6666666666)</f>
        <v>44207.666666666599</v>
      </c>
      <c r="B1518" s="1">
        <f ca="1">IFERROR(__xludf.DUMMYFUNCTION("""COMPUTED_VALUE"""),129.19)</f>
        <v>129.19</v>
      </c>
      <c r="C1518" s="1">
        <f ca="1">IFERROR(__xludf.DUMMYFUNCTION("""COMPUTED_VALUE"""),130.17)</f>
        <v>130.16999999999999</v>
      </c>
      <c r="D1518" s="1">
        <f ca="1">IFERROR(__xludf.DUMMYFUNCTION("""COMPUTED_VALUE"""),128.5)</f>
        <v>128.5</v>
      </c>
      <c r="E1518" s="1">
        <f ca="1">IFERROR(__xludf.DUMMYFUNCTION("""COMPUTED_VALUE"""),128.98)</f>
        <v>128.97999999999999</v>
      </c>
      <c r="F1518" s="1">
        <f ca="1">IFERROR(__xludf.DUMMYFUNCTION("""COMPUTED_VALUE"""),100620880)</f>
        <v>100620880</v>
      </c>
    </row>
    <row r="1519" spans="1:6" x14ac:dyDescent="0.35">
      <c r="A1519" s="2">
        <f ca="1">IFERROR(__xludf.DUMMYFUNCTION("""COMPUTED_VALUE"""),44208.6666666666)</f>
        <v>44208.666666666599</v>
      </c>
      <c r="B1519" s="1">
        <f ca="1">IFERROR(__xludf.DUMMYFUNCTION("""COMPUTED_VALUE"""),128.5)</f>
        <v>128.5</v>
      </c>
      <c r="C1519" s="1">
        <f ca="1">IFERROR(__xludf.DUMMYFUNCTION("""COMPUTED_VALUE"""),129.69)</f>
        <v>129.69</v>
      </c>
      <c r="D1519" s="1">
        <f ca="1">IFERROR(__xludf.DUMMYFUNCTION("""COMPUTED_VALUE"""),126.86)</f>
        <v>126.86</v>
      </c>
      <c r="E1519" s="1">
        <f ca="1">IFERROR(__xludf.DUMMYFUNCTION("""COMPUTED_VALUE"""),128.8)</f>
        <v>128.80000000000001</v>
      </c>
      <c r="F1519" s="1">
        <f ca="1">IFERROR(__xludf.DUMMYFUNCTION("""COMPUTED_VALUE"""),91951145)</f>
        <v>91951145</v>
      </c>
    </row>
    <row r="1520" spans="1:6" x14ac:dyDescent="0.35">
      <c r="A1520" s="2">
        <f ca="1">IFERROR(__xludf.DUMMYFUNCTION("""COMPUTED_VALUE"""),44209.6666666666)</f>
        <v>44209.666666666599</v>
      </c>
      <c r="B1520" s="1">
        <f ca="1">IFERROR(__xludf.DUMMYFUNCTION("""COMPUTED_VALUE"""),128.76)</f>
        <v>128.76</v>
      </c>
      <c r="C1520" s="1">
        <f ca="1">IFERROR(__xludf.DUMMYFUNCTION("""COMPUTED_VALUE"""),131.45)</f>
        <v>131.44999999999999</v>
      </c>
      <c r="D1520" s="1">
        <f ca="1">IFERROR(__xludf.DUMMYFUNCTION("""COMPUTED_VALUE"""),128.49)</f>
        <v>128.49</v>
      </c>
      <c r="E1520" s="1">
        <f ca="1">IFERROR(__xludf.DUMMYFUNCTION("""COMPUTED_VALUE"""),130.89)</f>
        <v>130.88999999999999</v>
      </c>
      <c r="F1520" s="1">
        <f ca="1">IFERROR(__xludf.DUMMYFUNCTION("""COMPUTED_VALUE"""),88636831)</f>
        <v>88636831</v>
      </c>
    </row>
    <row r="1521" spans="1:6" x14ac:dyDescent="0.35">
      <c r="A1521" s="2">
        <f ca="1">IFERROR(__xludf.DUMMYFUNCTION("""COMPUTED_VALUE"""),44210.6666666666)</f>
        <v>44210.666666666599</v>
      </c>
      <c r="B1521" s="1">
        <f ca="1">IFERROR(__xludf.DUMMYFUNCTION("""COMPUTED_VALUE"""),130.8)</f>
        <v>130.80000000000001</v>
      </c>
      <c r="C1521" s="1">
        <f ca="1">IFERROR(__xludf.DUMMYFUNCTION("""COMPUTED_VALUE"""),131)</f>
        <v>131</v>
      </c>
      <c r="D1521" s="1">
        <f ca="1">IFERROR(__xludf.DUMMYFUNCTION("""COMPUTED_VALUE"""),128.76)</f>
        <v>128.76</v>
      </c>
      <c r="E1521" s="1">
        <f ca="1">IFERROR(__xludf.DUMMYFUNCTION("""COMPUTED_VALUE"""),128.91)</f>
        <v>128.91</v>
      </c>
      <c r="F1521" s="1">
        <f ca="1">IFERROR(__xludf.DUMMYFUNCTION("""COMPUTED_VALUE"""),90221755)</f>
        <v>90221755</v>
      </c>
    </row>
    <row r="1522" spans="1:6" x14ac:dyDescent="0.35">
      <c r="A1522" s="2">
        <f ca="1">IFERROR(__xludf.DUMMYFUNCTION("""COMPUTED_VALUE"""),44211.6666666666)</f>
        <v>44211.666666666599</v>
      </c>
      <c r="B1522" s="1">
        <f ca="1">IFERROR(__xludf.DUMMYFUNCTION("""COMPUTED_VALUE"""),128.78)</f>
        <v>128.78</v>
      </c>
      <c r="C1522" s="1">
        <f ca="1">IFERROR(__xludf.DUMMYFUNCTION("""COMPUTED_VALUE"""),130.22)</f>
        <v>130.22</v>
      </c>
      <c r="D1522" s="1">
        <f ca="1">IFERROR(__xludf.DUMMYFUNCTION("""COMPUTED_VALUE"""),127)</f>
        <v>127</v>
      </c>
      <c r="E1522" s="1">
        <f ca="1">IFERROR(__xludf.DUMMYFUNCTION("""COMPUTED_VALUE"""),127.14)</f>
        <v>127.14</v>
      </c>
      <c r="F1522" s="1">
        <f ca="1">IFERROR(__xludf.DUMMYFUNCTION("""COMPUTED_VALUE"""),111598531)</f>
        <v>111598531</v>
      </c>
    </row>
    <row r="1523" spans="1:6" x14ac:dyDescent="0.35">
      <c r="A1523" s="2">
        <f ca="1">IFERROR(__xludf.DUMMYFUNCTION("""COMPUTED_VALUE"""),44215.6666666666)</f>
        <v>44215.666666666599</v>
      </c>
      <c r="B1523" s="1">
        <f ca="1">IFERROR(__xludf.DUMMYFUNCTION("""COMPUTED_VALUE"""),127.78)</f>
        <v>127.78</v>
      </c>
      <c r="C1523" s="1">
        <f ca="1">IFERROR(__xludf.DUMMYFUNCTION("""COMPUTED_VALUE"""),128.71)</f>
        <v>128.71</v>
      </c>
      <c r="D1523" s="1">
        <f ca="1">IFERROR(__xludf.DUMMYFUNCTION("""COMPUTED_VALUE"""),126.94)</f>
        <v>126.94</v>
      </c>
      <c r="E1523" s="1">
        <f ca="1">IFERROR(__xludf.DUMMYFUNCTION("""COMPUTED_VALUE"""),127.83)</f>
        <v>127.83</v>
      </c>
      <c r="F1523" s="1">
        <f ca="1">IFERROR(__xludf.DUMMYFUNCTION("""COMPUTED_VALUE"""),90757329)</f>
        <v>90757329</v>
      </c>
    </row>
    <row r="1524" spans="1:6" x14ac:dyDescent="0.35">
      <c r="A1524" s="2">
        <f ca="1">IFERROR(__xludf.DUMMYFUNCTION("""COMPUTED_VALUE"""),44216.6666666666)</f>
        <v>44216.666666666599</v>
      </c>
      <c r="B1524" s="1">
        <f ca="1">IFERROR(__xludf.DUMMYFUNCTION("""COMPUTED_VALUE"""),128.66)</f>
        <v>128.66</v>
      </c>
      <c r="C1524" s="1">
        <f ca="1">IFERROR(__xludf.DUMMYFUNCTION("""COMPUTED_VALUE"""),132.49)</f>
        <v>132.49</v>
      </c>
      <c r="D1524" s="1">
        <f ca="1">IFERROR(__xludf.DUMMYFUNCTION("""COMPUTED_VALUE"""),128.55)</f>
        <v>128.55000000000001</v>
      </c>
      <c r="E1524" s="1">
        <f ca="1">IFERROR(__xludf.DUMMYFUNCTION("""COMPUTED_VALUE"""),132.03)</f>
        <v>132.03</v>
      </c>
      <c r="F1524" s="1">
        <f ca="1">IFERROR(__xludf.DUMMYFUNCTION("""COMPUTED_VALUE"""),104319489)</f>
        <v>104319489</v>
      </c>
    </row>
    <row r="1525" spans="1:6" x14ac:dyDescent="0.35">
      <c r="A1525" s="2">
        <f ca="1">IFERROR(__xludf.DUMMYFUNCTION("""COMPUTED_VALUE"""),44217.6666666666)</f>
        <v>44217.666666666599</v>
      </c>
      <c r="B1525" s="1">
        <f ca="1">IFERROR(__xludf.DUMMYFUNCTION("""COMPUTED_VALUE"""),133.8)</f>
        <v>133.80000000000001</v>
      </c>
      <c r="C1525" s="1">
        <f ca="1">IFERROR(__xludf.DUMMYFUNCTION("""COMPUTED_VALUE"""),139.67)</f>
        <v>139.66999999999999</v>
      </c>
      <c r="D1525" s="1">
        <f ca="1">IFERROR(__xludf.DUMMYFUNCTION("""COMPUTED_VALUE"""),133.59)</f>
        <v>133.59</v>
      </c>
      <c r="E1525" s="1">
        <f ca="1">IFERROR(__xludf.DUMMYFUNCTION("""COMPUTED_VALUE"""),136.87)</f>
        <v>136.87</v>
      </c>
      <c r="F1525" s="1">
        <f ca="1">IFERROR(__xludf.DUMMYFUNCTION("""COMPUTED_VALUE"""),120529544)</f>
        <v>120529544</v>
      </c>
    </row>
    <row r="1526" spans="1:6" x14ac:dyDescent="0.35">
      <c r="A1526" s="2">
        <f ca="1">IFERROR(__xludf.DUMMYFUNCTION("""COMPUTED_VALUE"""),44218.6666666666)</f>
        <v>44218.666666666599</v>
      </c>
      <c r="B1526" s="1">
        <f ca="1">IFERROR(__xludf.DUMMYFUNCTION("""COMPUTED_VALUE"""),136.28)</f>
        <v>136.28</v>
      </c>
      <c r="C1526" s="1">
        <f ca="1">IFERROR(__xludf.DUMMYFUNCTION("""COMPUTED_VALUE"""),139.85)</f>
        <v>139.85</v>
      </c>
      <c r="D1526" s="1">
        <f ca="1">IFERROR(__xludf.DUMMYFUNCTION("""COMPUTED_VALUE"""),135.02)</f>
        <v>135.02000000000001</v>
      </c>
      <c r="E1526" s="1">
        <f ca="1">IFERROR(__xludf.DUMMYFUNCTION("""COMPUTED_VALUE"""),139.07)</f>
        <v>139.07</v>
      </c>
      <c r="F1526" s="1">
        <f ca="1">IFERROR(__xludf.DUMMYFUNCTION("""COMPUTED_VALUE"""),114459360)</f>
        <v>114459360</v>
      </c>
    </row>
    <row r="1527" spans="1:6" x14ac:dyDescent="0.35">
      <c r="A1527" s="2">
        <f ca="1">IFERROR(__xludf.DUMMYFUNCTION("""COMPUTED_VALUE"""),44221.6666666666)</f>
        <v>44221.666666666599</v>
      </c>
      <c r="B1527" s="1">
        <f ca="1">IFERROR(__xludf.DUMMYFUNCTION("""COMPUTED_VALUE"""),143.07)</f>
        <v>143.07</v>
      </c>
      <c r="C1527" s="1">
        <f ca="1">IFERROR(__xludf.DUMMYFUNCTION("""COMPUTED_VALUE"""),145.09)</f>
        <v>145.09</v>
      </c>
      <c r="D1527" s="1">
        <f ca="1">IFERROR(__xludf.DUMMYFUNCTION("""COMPUTED_VALUE"""),136.54)</f>
        <v>136.54</v>
      </c>
      <c r="E1527" s="1">
        <f ca="1">IFERROR(__xludf.DUMMYFUNCTION("""COMPUTED_VALUE"""),142.92)</f>
        <v>142.91999999999999</v>
      </c>
      <c r="F1527" s="1">
        <f ca="1">IFERROR(__xludf.DUMMYFUNCTION("""COMPUTED_VALUE"""),157611713)</f>
        <v>157611713</v>
      </c>
    </row>
    <row r="1528" spans="1:6" x14ac:dyDescent="0.35">
      <c r="A1528" s="2">
        <f ca="1">IFERROR(__xludf.DUMMYFUNCTION("""COMPUTED_VALUE"""),44222.6666666666)</f>
        <v>44222.666666666599</v>
      </c>
      <c r="B1528" s="1">
        <f ca="1">IFERROR(__xludf.DUMMYFUNCTION("""COMPUTED_VALUE"""),143.6)</f>
        <v>143.6</v>
      </c>
      <c r="C1528" s="1">
        <f ca="1">IFERROR(__xludf.DUMMYFUNCTION("""COMPUTED_VALUE"""),144.3)</f>
        <v>144.30000000000001</v>
      </c>
      <c r="D1528" s="1">
        <f ca="1">IFERROR(__xludf.DUMMYFUNCTION("""COMPUTED_VALUE"""),141.37)</f>
        <v>141.37</v>
      </c>
      <c r="E1528" s="1">
        <f ca="1">IFERROR(__xludf.DUMMYFUNCTION("""COMPUTED_VALUE"""),143.16)</f>
        <v>143.16</v>
      </c>
      <c r="F1528" s="1">
        <f ca="1">IFERROR(__xludf.DUMMYFUNCTION("""COMPUTED_VALUE"""),98390555)</f>
        <v>98390555</v>
      </c>
    </row>
    <row r="1529" spans="1:6" x14ac:dyDescent="0.35">
      <c r="A1529" s="2">
        <f ca="1">IFERROR(__xludf.DUMMYFUNCTION("""COMPUTED_VALUE"""),44223.6666666666)</f>
        <v>44223.666666666599</v>
      </c>
      <c r="B1529" s="1">
        <f ca="1">IFERROR(__xludf.DUMMYFUNCTION("""COMPUTED_VALUE"""),143.43)</f>
        <v>143.43</v>
      </c>
      <c r="C1529" s="1">
        <f ca="1">IFERROR(__xludf.DUMMYFUNCTION("""COMPUTED_VALUE"""),144.3)</f>
        <v>144.30000000000001</v>
      </c>
      <c r="D1529" s="1">
        <f ca="1">IFERROR(__xludf.DUMMYFUNCTION("""COMPUTED_VALUE"""),140.41)</f>
        <v>140.41</v>
      </c>
      <c r="E1529" s="1">
        <f ca="1">IFERROR(__xludf.DUMMYFUNCTION("""COMPUTED_VALUE"""),142.06)</f>
        <v>142.06</v>
      </c>
      <c r="F1529" s="1">
        <f ca="1">IFERROR(__xludf.DUMMYFUNCTION("""COMPUTED_VALUE"""),140843759)</f>
        <v>140843759</v>
      </c>
    </row>
    <row r="1530" spans="1:6" x14ac:dyDescent="0.35">
      <c r="A1530" s="2">
        <f ca="1">IFERROR(__xludf.DUMMYFUNCTION("""COMPUTED_VALUE"""),44224.6666666666)</f>
        <v>44224.666666666599</v>
      </c>
      <c r="B1530" s="1">
        <f ca="1">IFERROR(__xludf.DUMMYFUNCTION("""COMPUTED_VALUE"""),139.52)</f>
        <v>139.52000000000001</v>
      </c>
      <c r="C1530" s="1">
        <f ca="1">IFERROR(__xludf.DUMMYFUNCTION("""COMPUTED_VALUE"""),141.99)</f>
        <v>141.99</v>
      </c>
      <c r="D1530" s="1">
        <f ca="1">IFERROR(__xludf.DUMMYFUNCTION("""COMPUTED_VALUE"""),136.7)</f>
        <v>136.69999999999999</v>
      </c>
      <c r="E1530" s="1">
        <f ca="1">IFERROR(__xludf.DUMMYFUNCTION("""COMPUTED_VALUE"""),137.09)</f>
        <v>137.09</v>
      </c>
      <c r="F1530" s="1">
        <f ca="1">IFERROR(__xludf.DUMMYFUNCTION("""COMPUTED_VALUE"""),142621128)</f>
        <v>142621128</v>
      </c>
    </row>
    <row r="1531" spans="1:6" x14ac:dyDescent="0.35">
      <c r="A1531" s="2">
        <f ca="1">IFERROR(__xludf.DUMMYFUNCTION("""COMPUTED_VALUE"""),44225.6666666666)</f>
        <v>44225.666666666599</v>
      </c>
      <c r="B1531" s="1">
        <f ca="1">IFERROR(__xludf.DUMMYFUNCTION("""COMPUTED_VALUE"""),135.83)</f>
        <v>135.83000000000001</v>
      </c>
      <c r="C1531" s="1">
        <f ca="1">IFERROR(__xludf.DUMMYFUNCTION("""COMPUTED_VALUE"""),136.74)</f>
        <v>136.74</v>
      </c>
      <c r="D1531" s="1">
        <f ca="1">IFERROR(__xludf.DUMMYFUNCTION("""COMPUTED_VALUE"""),130.21)</f>
        <v>130.21</v>
      </c>
      <c r="E1531" s="1">
        <f ca="1">IFERROR(__xludf.DUMMYFUNCTION("""COMPUTED_VALUE"""),131.96)</f>
        <v>131.96</v>
      </c>
      <c r="F1531" s="1">
        <f ca="1">IFERROR(__xludf.DUMMYFUNCTION("""COMPUTED_VALUE"""),177523812)</f>
        <v>177523812</v>
      </c>
    </row>
    <row r="1532" spans="1:6" x14ac:dyDescent="0.35">
      <c r="A1532" s="2">
        <f ca="1">IFERROR(__xludf.DUMMYFUNCTION("""COMPUTED_VALUE"""),44228.6666666666)</f>
        <v>44228.666666666599</v>
      </c>
      <c r="B1532" s="1">
        <f ca="1">IFERROR(__xludf.DUMMYFUNCTION("""COMPUTED_VALUE"""),133.75)</f>
        <v>133.75</v>
      </c>
      <c r="C1532" s="1">
        <f ca="1">IFERROR(__xludf.DUMMYFUNCTION("""COMPUTED_VALUE"""),135.38)</f>
        <v>135.38</v>
      </c>
      <c r="D1532" s="1">
        <f ca="1">IFERROR(__xludf.DUMMYFUNCTION("""COMPUTED_VALUE"""),130.93)</f>
        <v>130.93</v>
      </c>
      <c r="E1532" s="1">
        <f ca="1">IFERROR(__xludf.DUMMYFUNCTION("""COMPUTED_VALUE"""),134.14)</f>
        <v>134.13999999999999</v>
      </c>
      <c r="F1532" s="1">
        <f ca="1">IFERROR(__xludf.DUMMYFUNCTION("""COMPUTED_VALUE"""),106239823)</f>
        <v>106239823</v>
      </c>
    </row>
    <row r="1533" spans="1:6" x14ac:dyDescent="0.35">
      <c r="A1533" s="2">
        <f ca="1">IFERROR(__xludf.DUMMYFUNCTION("""COMPUTED_VALUE"""),44229.6666666666)</f>
        <v>44229.666666666599</v>
      </c>
      <c r="B1533" s="1">
        <f ca="1">IFERROR(__xludf.DUMMYFUNCTION("""COMPUTED_VALUE"""),135.73)</f>
        <v>135.72999999999999</v>
      </c>
      <c r="C1533" s="1">
        <f ca="1">IFERROR(__xludf.DUMMYFUNCTION("""COMPUTED_VALUE"""),136.31)</f>
        <v>136.31</v>
      </c>
      <c r="D1533" s="1">
        <f ca="1">IFERROR(__xludf.DUMMYFUNCTION("""COMPUTED_VALUE"""),134.61)</f>
        <v>134.61000000000001</v>
      </c>
      <c r="E1533" s="1">
        <f ca="1">IFERROR(__xludf.DUMMYFUNCTION("""COMPUTED_VALUE"""),134.99)</f>
        <v>134.99</v>
      </c>
      <c r="F1533" s="1">
        <f ca="1">IFERROR(__xludf.DUMMYFUNCTION("""COMPUTED_VALUE"""),83305367)</f>
        <v>83305367</v>
      </c>
    </row>
    <row r="1534" spans="1:6" x14ac:dyDescent="0.35">
      <c r="A1534" s="2">
        <f ca="1">IFERROR(__xludf.DUMMYFUNCTION("""COMPUTED_VALUE"""),44230.6666666666)</f>
        <v>44230.666666666599</v>
      </c>
      <c r="B1534" s="1">
        <f ca="1">IFERROR(__xludf.DUMMYFUNCTION("""COMPUTED_VALUE"""),135.76)</f>
        <v>135.76</v>
      </c>
      <c r="C1534" s="1">
        <f ca="1">IFERROR(__xludf.DUMMYFUNCTION("""COMPUTED_VALUE"""),135.77)</f>
        <v>135.77000000000001</v>
      </c>
      <c r="D1534" s="1">
        <f ca="1">IFERROR(__xludf.DUMMYFUNCTION("""COMPUTED_VALUE"""),133.61)</f>
        <v>133.61000000000001</v>
      </c>
      <c r="E1534" s="1">
        <f ca="1">IFERROR(__xludf.DUMMYFUNCTION("""COMPUTED_VALUE"""),133.94)</f>
        <v>133.94</v>
      </c>
      <c r="F1534" s="1">
        <f ca="1">IFERROR(__xludf.DUMMYFUNCTION("""COMPUTED_VALUE"""),89880937)</f>
        <v>89880937</v>
      </c>
    </row>
    <row r="1535" spans="1:6" x14ac:dyDescent="0.35">
      <c r="A1535" s="2">
        <f ca="1">IFERROR(__xludf.DUMMYFUNCTION("""COMPUTED_VALUE"""),44231.6666666666)</f>
        <v>44231.666666666599</v>
      </c>
      <c r="B1535" s="1">
        <f ca="1">IFERROR(__xludf.DUMMYFUNCTION("""COMPUTED_VALUE"""),136.3)</f>
        <v>136.30000000000001</v>
      </c>
      <c r="C1535" s="1">
        <f ca="1">IFERROR(__xludf.DUMMYFUNCTION("""COMPUTED_VALUE"""),137.4)</f>
        <v>137.4</v>
      </c>
      <c r="D1535" s="1">
        <f ca="1">IFERROR(__xludf.DUMMYFUNCTION("""COMPUTED_VALUE"""),134.59)</f>
        <v>134.59</v>
      </c>
      <c r="E1535" s="1">
        <f ca="1">IFERROR(__xludf.DUMMYFUNCTION("""COMPUTED_VALUE"""),137.39)</f>
        <v>137.38999999999999</v>
      </c>
      <c r="F1535" s="1">
        <f ca="1">IFERROR(__xludf.DUMMYFUNCTION("""COMPUTED_VALUE"""),84183061)</f>
        <v>84183061</v>
      </c>
    </row>
    <row r="1536" spans="1:6" x14ac:dyDescent="0.35">
      <c r="A1536" s="2">
        <f ca="1">IFERROR(__xludf.DUMMYFUNCTION("""COMPUTED_VALUE"""),44232.6666666666)</f>
        <v>44232.666666666599</v>
      </c>
      <c r="B1536" s="1">
        <f ca="1">IFERROR(__xludf.DUMMYFUNCTION("""COMPUTED_VALUE"""),137.35)</f>
        <v>137.35</v>
      </c>
      <c r="C1536" s="1">
        <f ca="1">IFERROR(__xludf.DUMMYFUNCTION("""COMPUTED_VALUE"""),137.42)</f>
        <v>137.41999999999999</v>
      </c>
      <c r="D1536" s="1">
        <f ca="1">IFERROR(__xludf.DUMMYFUNCTION("""COMPUTED_VALUE"""),135.86)</f>
        <v>135.86000000000001</v>
      </c>
      <c r="E1536" s="1">
        <f ca="1">IFERROR(__xludf.DUMMYFUNCTION("""COMPUTED_VALUE"""),136.76)</f>
        <v>136.76</v>
      </c>
      <c r="F1536" s="1">
        <f ca="1">IFERROR(__xludf.DUMMYFUNCTION("""COMPUTED_VALUE"""),75693830)</f>
        <v>75693830</v>
      </c>
    </row>
    <row r="1537" spans="1:6" x14ac:dyDescent="0.35">
      <c r="A1537" s="2">
        <f ca="1">IFERROR(__xludf.DUMMYFUNCTION("""COMPUTED_VALUE"""),44235.6666666666)</f>
        <v>44235.666666666599</v>
      </c>
      <c r="B1537" s="1">
        <f ca="1">IFERROR(__xludf.DUMMYFUNCTION("""COMPUTED_VALUE"""),136.03)</f>
        <v>136.03</v>
      </c>
      <c r="C1537" s="1">
        <f ca="1">IFERROR(__xludf.DUMMYFUNCTION("""COMPUTED_VALUE"""),136.96)</f>
        <v>136.96</v>
      </c>
      <c r="D1537" s="1">
        <f ca="1">IFERROR(__xludf.DUMMYFUNCTION("""COMPUTED_VALUE"""),134.92)</f>
        <v>134.91999999999999</v>
      </c>
      <c r="E1537" s="1">
        <f ca="1">IFERROR(__xludf.DUMMYFUNCTION("""COMPUTED_VALUE"""),136.91)</f>
        <v>136.91</v>
      </c>
      <c r="F1537" s="1">
        <f ca="1">IFERROR(__xludf.DUMMYFUNCTION("""COMPUTED_VALUE"""),71297214)</f>
        <v>71297214</v>
      </c>
    </row>
    <row r="1538" spans="1:6" x14ac:dyDescent="0.35">
      <c r="A1538" s="2">
        <f ca="1">IFERROR(__xludf.DUMMYFUNCTION("""COMPUTED_VALUE"""),44236.6666666666)</f>
        <v>44236.666666666599</v>
      </c>
      <c r="B1538" s="1">
        <f ca="1">IFERROR(__xludf.DUMMYFUNCTION("""COMPUTED_VALUE"""),136.62)</f>
        <v>136.62</v>
      </c>
      <c r="C1538" s="1">
        <f ca="1">IFERROR(__xludf.DUMMYFUNCTION("""COMPUTED_VALUE"""),137.88)</f>
        <v>137.88</v>
      </c>
      <c r="D1538" s="1">
        <f ca="1">IFERROR(__xludf.DUMMYFUNCTION("""COMPUTED_VALUE"""),135.85)</f>
        <v>135.85</v>
      </c>
      <c r="E1538" s="1">
        <f ca="1">IFERROR(__xludf.DUMMYFUNCTION("""COMPUTED_VALUE"""),136.01)</f>
        <v>136.01</v>
      </c>
      <c r="F1538" s="1">
        <f ca="1">IFERROR(__xludf.DUMMYFUNCTION("""COMPUTED_VALUE"""),76774213)</f>
        <v>76774213</v>
      </c>
    </row>
    <row r="1539" spans="1:6" x14ac:dyDescent="0.35">
      <c r="A1539" s="2">
        <f ca="1">IFERROR(__xludf.DUMMYFUNCTION("""COMPUTED_VALUE"""),44237.6666666666)</f>
        <v>44237.666666666599</v>
      </c>
      <c r="B1539" s="1">
        <f ca="1">IFERROR(__xludf.DUMMYFUNCTION("""COMPUTED_VALUE"""),136.48)</f>
        <v>136.47999999999999</v>
      </c>
      <c r="C1539" s="1">
        <f ca="1">IFERROR(__xludf.DUMMYFUNCTION("""COMPUTED_VALUE"""),136.99)</f>
        <v>136.99</v>
      </c>
      <c r="D1539" s="1">
        <f ca="1">IFERROR(__xludf.DUMMYFUNCTION("""COMPUTED_VALUE"""),134.4)</f>
        <v>134.4</v>
      </c>
      <c r="E1539" s="1">
        <f ca="1">IFERROR(__xludf.DUMMYFUNCTION("""COMPUTED_VALUE"""),135.39)</f>
        <v>135.38999999999999</v>
      </c>
      <c r="F1539" s="1">
        <f ca="1">IFERROR(__xludf.DUMMYFUNCTION("""COMPUTED_VALUE"""),73046563)</f>
        <v>73046563</v>
      </c>
    </row>
    <row r="1540" spans="1:6" x14ac:dyDescent="0.35">
      <c r="A1540" s="2">
        <f ca="1">IFERROR(__xludf.DUMMYFUNCTION("""COMPUTED_VALUE"""),44238.6666666666)</f>
        <v>44238.666666666599</v>
      </c>
      <c r="B1540" s="1">
        <f ca="1">IFERROR(__xludf.DUMMYFUNCTION("""COMPUTED_VALUE"""),135.9)</f>
        <v>135.9</v>
      </c>
      <c r="C1540" s="1">
        <f ca="1">IFERROR(__xludf.DUMMYFUNCTION("""COMPUTED_VALUE"""),136.39)</f>
        <v>136.38999999999999</v>
      </c>
      <c r="D1540" s="1">
        <f ca="1">IFERROR(__xludf.DUMMYFUNCTION("""COMPUTED_VALUE"""),133.77)</f>
        <v>133.77000000000001</v>
      </c>
      <c r="E1540" s="1">
        <f ca="1">IFERROR(__xludf.DUMMYFUNCTION("""COMPUTED_VALUE"""),135.13)</f>
        <v>135.13</v>
      </c>
      <c r="F1540" s="1">
        <f ca="1">IFERROR(__xludf.DUMMYFUNCTION("""COMPUTED_VALUE"""),64280029)</f>
        <v>64280029</v>
      </c>
    </row>
    <row r="1541" spans="1:6" x14ac:dyDescent="0.35">
      <c r="A1541" s="2">
        <f ca="1">IFERROR(__xludf.DUMMYFUNCTION("""COMPUTED_VALUE"""),44239.6666666666)</f>
        <v>44239.666666666599</v>
      </c>
      <c r="B1541" s="1">
        <f ca="1">IFERROR(__xludf.DUMMYFUNCTION("""COMPUTED_VALUE"""),134.35)</f>
        <v>134.35</v>
      </c>
      <c r="C1541" s="1">
        <f ca="1">IFERROR(__xludf.DUMMYFUNCTION("""COMPUTED_VALUE"""),135.53)</f>
        <v>135.53</v>
      </c>
      <c r="D1541" s="1">
        <f ca="1">IFERROR(__xludf.DUMMYFUNCTION("""COMPUTED_VALUE"""),133.69)</f>
        <v>133.69</v>
      </c>
      <c r="E1541" s="1">
        <f ca="1">IFERROR(__xludf.DUMMYFUNCTION("""COMPUTED_VALUE"""),135.37)</f>
        <v>135.37</v>
      </c>
      <c r="F1541" s="1">
        <f ca="1">IFERROR(__xludf.DUMMYFUNCTION("""COMPUTED_VALUE"""),60145130)</f>
        <v>60145130</v>
      </c>
    </row>
    <row r="1542" spans="1:6" x14ac:dyDescent="0.35">
      <c r="A1542" s="2">
        <f ca="1">IFERROR(__xludf.DUMMYFUNCTION("""COMPUTED_VALUE"""),44243.6666666666)</f>
        <v>44243.666666666599</v>
      </c>
      <c r="B1542" s="1">
        <f ca="1">IFERROR(__xludf.DUMMYFUNCTION("""COMPUTED_VALUE"""),135.49)</f>
        <v>135.49</v>
      </c>
      <c r="C1542" s="1">
        <f ca="1">IFERROR(__xludf.DUMMYFUNCTION("""COMPUTED_VALUE"""),136.01)</f>
        <v>136.01</v>
      </c>
      <c r="D1542" s="1">
        <f ca="1">IFERROR(__xludf.DUMMYFUNCTION("""COMPUTED_VALUE"""),132.79)</f>
        <v>132.79</v>
      </c>
      <c r="E1542" s="1">
        <f ca="1">IFERROR(__xludf.DUMMYFUNCTION("""COMPUTED_VALUE"""),133.19)</f>
        <v>133.19</v>
      </c>
      <c r="F1542" s="1">
        <f ca="1">IFERROR(__xludf.DUMMYFUNCTION("""COMPUTED_VALUE"""),80576316)</f>
        <v>80576316</v>
      </c>
    </row>
    <row r="1543" spans="1:6" x14ac:dyDescent="0.35">
      <c r="A1543" s="2">
        <f ca="1">IFERROR(__xludf.DUMMYFUNCTION("""COMPUTED_VALUE"""),44244.6666666666)</f>
        <v>44244.666666666599</v>
      </c>
      <c r="B1543" s="1">
        <f ca="1">IFERROR(__xludf.DUMMYFUNCTION("""COMPUTED_VALUE"""),131.25)</f>
        <v>131.25</v>
      </c>
      <c r="C1543" s="1">
        <f ca="1">IFERROR(__xludf.DUMMYFUNCTION("""COMPUTED_VALUE"""),132.22)</f>
        <v>132.22</v>
      </c>
      <c r="D1543" s="1">
        <f ca="1">IFERROR(__xludf.DUMMYFUNCTION("""COMPUTED_VALUE"""),129.47)</f>
        <v>129.47</v>
      </c>
      <c r="E1543" s="1">
        <f ca="1">IFERROR(__xludf.DUMMYFUNCTION("""COMPUTED_VALUE"""),130.84)</f>
        <v>130.84</v>
      </c>
      <c r="F1543" s="1">
        <f ca="1">IFERROR(__xludf.DUMMYFUNCTION("""COMPUTED_VALUE"""),98085249)</f>
        <v>98085249</v>
      </c>
    </row>
    <row r="1544" spans="1:6" x14ac:dyDescent="0.35">
      <c r="A1544" s="2">
        <f ca="1">IFERROR(__xludf.DUMMYFUNCTION("""COMPUTED_VALUE"""),44245.6666666666)</f>
        <v>44245.666666666599</v>
      </c>
      <c r="B1544" s="1">
        <f ca="1">IFERROR(__xludf.DUMMYFUNCTION("""COMPUTED_VALUE"""),129.2)</f>
        <v>129.19999999999999</v>
      </c>
      <c r="C1544" s="1">
        <f ca="1">IFERROR(__xludf.DUMMYFUNCTION("""COMPUTED_VALUE"""),130)</f>
        <v>130</v>
      </c>
      <c r="D1544" s="1">
        <f ca="1">IFERROR(__xludf.DUMMYFUNCTION("""COMPUTED_VALUE"""),127.41)</f>
        <v>127.41</v>
      </c>
      <c r="E1544" s="1">
        <f ca="1">IFERROR(__xludf.DUMMYFUNCTION("""COMPUTED_VALUE"""),129.71)</f>
        <v>129.71</v>
      </c>
      <c r="F1544" s="1">
        <f ca="1">IFERROR(__xludf.DUMMYFUNCTION("""COMPUTED_VALUE"""),96856748)</f>
        <v>96856748</v>
      </c>
    </row>
    <row r="1545" spans="1:6" x14ac:dyDescent="0.35">
      <c r="A1545" s="2">
        <f ca="1">IFERROR(__xludf.DUMMYFUNCTION("""COMPUTED_VALUE"""),44246.6666666666)</f>
        <v>44246.666666666599</v>
      </c>
      <c r="B1545" s="1">
        <f ca="1">IFERROR(__xludf.DUMMYFUNCTION("""COMPUTED_VALUE"""),130.24)</f>
        <v>130.24</v>
      </c>
      <c r="C1545" s="1">
        <f ca="1">IFERROR(__xludf.DUMMYFUNCTION("""COMPUTED_VALUE"""),130.71)</f>
        <v>130.71</v>
      </c>
      <c r="D1545" s="1">
        <f ca="1">IFERROR(__xludf.DUMMYFUNCTION("""COMPUTED_VALUE"""),128.8)</f>
        <v>128.80000000000001</v>
      </c>
      <c r="E1545" s="1">
        <f ca="1">IFERROR(__xludf.DUMMYFUNCTION("""COMPUTED_VALUE"""),129.87)</f>
        <v>129.87</v>
      </c>
      <c r="F1545" s="1">
        <f ca="1">IFERROR(__xludf.DUMMYFUNCTION("""COMPUTED_VALUE"""),87668834)</f>
        <v>87668834</v>
      </c>
    </row>
    <row r="1546" spans="1:6" x14ac:dyDescent="0.35">
      <c r="A1546" s="2">
        <f ca="1">IFERROR(__xludf.DUMMYFUNCTION("""COMPUTED_VALUE"""),44249.6666666666)</f>
        <v>44249.666666666599</v>
      </c>
      <c r="B1546" s="1">
        <f ca="1">IFERROR(__xludf.DUMMYFUNCTION("""COMPUTED_VALUE"""),128.01)</f>
        <v>128.01</v>
      </c>
      <c r="C1546" s="1">
        <f ca="1">IFERROR(__xludf.DUMMYFUNCTION("""COMPUTED_VALUE"""),129.72)</f>
        <v>129.72</v>
      </c>
      <c r="D1546" s="1">
        <f ca="1">IFERROR(__xludf.DUMMYFUNCTION("""COMPUTED_VALUE"""),125.6)</f>
        <v>125.6</v>
      </c>
      <c r="E1546" s="1">
        <f ca="1">IFERROR(__xludf.DUMMYFUNCTION("""COMPUTED_VALUE"""),126)</f>
        <v>126</v>
      </c>
      <c r="F1546" s="1">
        <f ca="1">IFERROR(__xludf.DUMMYFUNCTION("""COMPUTED_VALUE"""),103916419)</f>
        <v>103916419</v>
      </c>
    </row>
    <row r="1547" spans="1:6" x14ac:dyDescent="0.35">
      <c r="A1547" s="2">
        <f ca="1">IFERROR(__xludf.DUMMYFUNCTION("""COMPUTED_VALUE"""),44250.6666666666)</f>
        <v>44250.666666666599</v>
      </c>
      <c r="B1547" s="1">
        <f ca="1">IFERROR(__xludf.DUMMYFUNCTION("""COMPUTED_VALUE"""),123.76)</f>
        <v>123.76</v>
      </c>
      <c r="C1547" s="1">
        <f ca="1">IFERROR(__xludf.DUMMYFUNCTION("""COMPUTED_VALUE"""),126.71)</f>
        <v>126.71</v>
      </c>
      <c r="D1547" s="1">
        <f ca="1">IFERROR(__xludf.DUMMYFUNCTION("""COMPUTED_VALUE"""),118.39)</f>
        <v>118.39</v>
      </c>
      <c r="E1547" s="1">
        <f ca="1">IFERROR(__xludf.DUMMYFUNCTION("""COMPUTED_VALUE"""),125.86)</f>
        <v>125.86</v>
      </c>
      <c r="F1547" s="1">
        <f ca="1">IFERROR(__xludf.DUMMYFUNCTION("""COMPUTED_VALUE"""),158273022)</f>
        <v>158273022</v>
      </c>
    </row>
    <row r="1548" spans="1:6" x14ac:dyDescent="0.35">
      <c r="A1548" s="2">
        <f ca="1">IFERROR(__xludf.DUMMYFUNCTION("""COMPUTED_VALUE"""),44251.6666666666)</f>
        <v>44251.666666666599</v>
      </c>
      <c r="B1548" s="1">
        <f ca="1">IFERROR(__xludf.DUMMYFUNCTION("""COMPUTED_VALUE"""),124.94)</f>
        <v>124.94</v>
      </c>
      <c r="C1548" s="1">
        <f ca="1">IFERROR(__xludf.DUMMYFUNCTION("""COMPUTED_VALUE"""),125.56)</f>
        <v>125.56</v>
      </c>
      <c r="D1548" s="1">
        <f ca="1">IFERROR(__xludf.DUMMYFUNCTION("""COMPUTED_VALUE"""),122.23)</f>
        <v>122.23</v>
      </c>
      <c r="E1548" s="1">
        <f ca="1">IFERROR(__xludf.DUMMYFUNCTION("""COMPUTED_VALUE"""),125.35)</f>
        <v>125.35</v>
      </c>
      <c r="F1548" s="1">
        <f ca="1">IFERROR(__xludf.DUMMYFUNCTION("""COMPUTED_VALUE"""),111039904)</f>
        <v>111039904</v>
      </c>
    </row>
    <row r="1549" spans="1:6" x14ac:dyDescent="0.35">
      <c r="A1549" s="2">
        <f ca="1">IFERROR(__xludf.DUMMYFUNCTION("""COMPUTED_VALUE"""),44252.6666666666)</f>
        <v>44252.666666666599</v>
      </c>
      <c r="B1549" s="1">
        <f ca="1">IFERROR(__xludf.DUMMYFUNCTION("""COMPUTED_VALUE"""),124.68)</f>
        <v>124.68</v>
      </c>
      <c r="C1549" s="1">
        <f ca="1">IFERROR(__xludf.DUMMYFUNCTION("""COMPUTED_VALUE"""),126.46)</f>
        <v>126.46</v>
      </c>
      <c r="D1549" s="1">
        <f ca="1">IFERROR(__xludf.DUMMYFUNCTION("""COMPUTED_VALUE"""),120.54)</f>
        <v>120.54</v>
      </c>
      <c r="E1549" s="1">
        <f ca="1">IFERROR(__xludf.DUMMYFUNCTION("""COMPUTED_VALUE"""),120.99)</f>
        <v>120.99</v>
      </c>
      <c r="F1549" s="1">
        <f ca="1">IFERROR(__xludf.DUMMYFUNCTION("""COMPUTED_VALUE"""),148199540)</f>
        <v>148199540</v>
      </c>
    </row>
    <row r="1550" spans="1:6" x14ac:dyDescent="0.35">
      <c r="A1550" s="2">
        <f ca="1">IFERROR(__xludf.DUMMYFUNCTION("""COMPUTED_VALUE"""),44253.6666666666)</f>
        <v>44253.666666666599</v>
      </c>
      <c r="B1550" s="1">
        <f ca="1">IFERROR(__xludf.DUMMYFUNCTION("""COMPUTED_VALUE"""),122.59)</f>
        <v>122.59</v>
      </c>
      <c r="C1550" s="1">
        <f ca="1">IFERROR(__xludf.DUMMYFUNCTION("""COMPUTED_VALUE"""),124.85)</f>
        <v>124.85</v>
      </c>
      <c r="D1550" s="1">
        <f ca="1">IFERROR(__xludf.DUMMYFUNCTION("""COMPUTED_VALUE"""),121.2)</f>
        <v>121.2</v>
      </c>
      <c r="E1550" s="1">
        <f ca="1">IFERROR(__xludf.DUMMYFUNCTION("""COMPUTED_VALUE"""),121.26)</f>
        <v>121.26</v>
      </c>
      <c r="F1550" s="1">
        <f ca="1">IFERROR(__xludf.DUMMYFUNCTION("""COMPUTED_VALUE"""),164560394)</f>
        <v>164560394</v>
      </c>
    </row>
    <row r="1551" spans="1:6" x14ac:dyDescent="0.35">
      <c r="A1551" s="2">
        <f ca="1">IFERROR(__xludf.DUMMYFUNCTION("""COMPUTED_VALUE"""),44256.6666666666)</f>
        <v>44256.666666666599</v>
      </c>
      <c r="B1551" s="1">
        <f ca="1">IFERROR(__xludf.DUMMYFUNCTION("""COMPUTED_VALUE"""),123.75)</f>
        <v>123.75</v>
      </c>
      <c r="C1551" s="1">
        <f ca="1">IFERROR(__xludf.DUMMYFUNCTION("""COMPUTED_VALUE"""),127.93)</f>
        <v>127.93</v>
      </c>
      <c r="D1551" s="1">
        <f ca="1">IFERROR(__xludf.DUMMYFUNCTION("""COMPUTED_VALUE"""),122.79)</f>
        <v>122.79</v>
      </c>
      <c r="E1551" s="1">
        <f ca="1">IFERROR(__xludf.DUMMYFUNCTION("""COMPUTED_VALUE"""),127.79)</f>
        <v>127.79</v>
      </c>
      <c r="F1551" s="1">
        <f ca="1">IFERROR(__xludf.DUMMYFUNCTION("""COMPUTED_VALUE"""),116307892)</f>
        <v>116307892</v>
      </c>
    </row>
    <row r="1552" spans="1:6" x14ac:dyDescent="0.35">
      <c r="A1552" s="2">
        <f ca="1">IFERROR(__xludf.DUMMYFUNCTION("""COMPUTED_VALUE"""),44257.6666666666)</f>
        <v>44257.666666666599</v>
      </c>
      <c r="B1552" s="1">
        <f ca="1">IFERROR(__xludf.DUMMYFUNCTION("""COMPUTED_VALUE"""),128.41)</f>
        <v>128.41</v>
      </c>
      <c r="C1552" s="1">
        <f ca="1">IFERROR(__xludf.DUMMYFUNCTION("""COMPUTED_VALUE"""),128.72)</f>
        <v>128.72</v>
      </c>
      <c r="D1552" s="1">
        <f ca="1">IFERROR(__xludf.DUMMYFUNCTION("""COMPUTED_VALUE"""),125.01)</f>
        <v>125.01</v>
      </c>
      <c r="E1552" s="1">
        <f ca="1">IFERROR(__xludf.DUMMYFUNCTION("""COMPUTED_VALUE"""),125.12)</f>
        <v>125.12</v>
      </c>
      <c r="F1552" s="1">
        <f ca="1">IFERROR(__xludf.DUMMYFUNCTION("""COMPUTED_VALUE"""),102260945)</f>
        <v>102260945</v>
      </c>
    </row>
    <row r="1553" spans="1:6" x14ac:dyDescent="0.35">
      <c r="A1553" s="2">
        <f ca="1">IFERROR(__xludf.DUMMYFUNCTION("""COMPUTED_VALUE"""),44258.6666666666)</f>
        <v>44258.666666666599</v>
      </c>
      <c r="B1553" s="1">
        <f ca="1">IFERROR(__xludf.DUMMYFUNCTION("""COMPUTED_VALUE"""),124.81)</f>
        <v>124.81</v>
      </c>
      <c r="C1553" s="1">
        <f ca="1">IFERROR(__xludf.DUMMYFUNCTION("""COMPUTED_VALUE"""),125.71)</f>
        <v>125.71</v>
      </c>
      <c r="D1553" s="1">
        <f ca="1">IFERROR(__xludf.DUMMYFUNCTION("""COMPUTED_VALUE"""),121.84)</f>
        <v>121.84</v>
      </c>
      <c r="E1553" s="1">
        <f ca="1">IFERROR(__xludf.DUMMYFUNCTION("""COMPUTED_VALUE"""),122.06)</f>
        <v>122.06</v>
      </c>
      <c r="F1553" s="1">
        <f ca="1">IFERROR(__xludf.DUMMYFUNCTION("""COMPUTED_VALUE"""),112966340)</f>
        <v>112966340</v>
      </c>
    </row>
    <row r="1554" spans="1:6" x14ac:dyDescent="0.35">
      <c r="A1554" s="2">
        <f ca="1">IFERROR(__xludf.DUMMYFUNCTION("""COMPUTED_VALUE"""),44259.6666666666)</f>
        <v>44259.666666666599</v>
      </c>
      <c r="B1554" s="1">
        <f ca="1">IFERROR(__xludf.DUMMYFUNCTION("""COMPUTED_VALUE"""),121.75)</f>
        <v>121.75</v>
      </c>
      <c r="C1554" s="1">
        <f ca="1">IFERROR(__xludf.DUMMYFUNCTION("""COMPUTED_VALUE"""),123.6)</f>
        <v>123.6</v>
      </c>
      <c r="D1554" s="1">
        <f ca="1">IFERROR(__xludf.DUMMYFUNCTION("""COMPUTED_VALUE"""),118.62)</f>
        <v>118.62</v>
      </c>
      <c r="E1554" s="1">
        <f ca="1">IFERROR(__xludf.DUMMYFUNCTION("""COMPUTED_VALUE"""),120.13)</f>
        <v>120.13</v>
      </c>
      <c r="F1554" s="1">
        <f ca="1">IFERROR(__xludf.DUMMYFUNCTION("""COMPUTED_VALUE"""),178154975)</f>
        <v>178154975</v>
      </c>
    </row>
    <row r="1555" spans="1:6" x14ac:dyDescent="0.35">
      <c r="A1555" s="2">
        <f ca="1">IFERROR(__xludf.DUMMYFUNCTION("""COMPUTED_VALUE"""),44260.6666666666)</f>
        <v>44260.666666666599</v>
      </c>
      <c r="B1555" s="1">
        <f ca="1">IFERROR(__xludf.DUMMYFUNCTION("""COMPUTED_VALUE"""),120.98)</f>
        <v>120.98</v>
      </c>
      <c r="C1555" s="1">
        <f ca="1">IFERROR(__xludf.DUMMYFUNCTION("""COMPUTED_VALUE"""),121.94)</f>
        <v>121.94</v>
      </c>
      <c r="D1555" s="1">
        <f ca="1">IFERROR(__xludf.DUMMYFUNCTION("""COMPUTED_VALUE"""),117.57)</f>
        <v>117.57</v>
      </c>
      <c r="E1555" s="1">
        <f ca="1">IFERROR(__xludf.DUMMYFUNCTION("""COMPUTED_VALUE"""),121.42)</f>
        <v>121.42</v>
      </c>
      <c r="F1555" s="1">
        <f ca="1">IFERROR(__xludf.DUMMYFUNCTION("""COMPUTED_VALUE"""),153766601)</f>
        <v>153766601</v>
      </c>
    </row>
    <row r="1556" spans="1:6" x14ac:dyDescent="0.35">
      <c r="A1556" s="2">
        <f ca="1">IFERROR(__xludf.DUMMYFUNCTION("""COMPUTED_VALUE"""),44263.6666666666)</f>
        <v>44263.666666666599</v>
      </c>
      <c r="B1556" s="1">
        <f ca="1">IFERROR(__xludf.DUMMYFUNCTION("""COMPUTED_VALUE"""),120.93)</f>
        <v>120.93</v>
      </c>
      <c r="C1556" s="1">
        <f ca="1">IFERROR(__xludf.DUMMYFUNCTION("""COMPUTED_VALUE"""),121)</f>
        <v>121</v>
      </c>
      <c r="D1556" s="1">
        <f ca="1">IFERROR(__xludf.DUMMYFUNCTION("""COMPUTED_VALUE"""),116.21)</f>
        <v>116.21</v>
      </c>
      <c r="E1556" s="1">
        <f ca="1">IFERROR(__xludf.DUMMYFUNCTION("""COMPUTED_VALUE"""),116.36)</f>
        <v>116.36</v>
      </c>
      <c r="F1556" s="1">
        <f ca="1">IFERROR(__xludf.DUMMYFUNCTION("""COMPUTED_VALUE"""),154376610)</f>
        <v>154376610</v>
      </c>
    </row>
    <row r="1557" spans="1:6" x14ac:dyDescent="0.35">
      <c r="A1557" s="2">
        <f ca="1">IFERROR(__xludf.DUMMYFUNCTION("""COMPUTED_VALUE"""),44264.6666666666)</f>
        <v>44264.666666666599</v>
      </c>
      <c r="B1557" s="1">
        <f ca="1">IFERROR(__xludf.DUMMYFUNCTION("""COMPUTED_VALUE"""),119.03)</f>
        <v>119.03</v>
      </c>
      <c r="C1557" s="1">
        <f ca="1">IFERROR(__xludf.DUMMYFUNCTION("""COMPUTED_VALUE"""),122.06)</f>
        <v>122.06</v>
      </c>
      <c r="D1557" s="1">
        <f ca="1">IFERROR(__xludf.DUMMYFUNCTION("""COMPUTED_VALUE"""),118.79)</f>
        <v>118.79</v>
      </c>
      <c r="E1557" s="1">
        <f ca="1">IFERROR(__xludf.DUMMYFUNCTION("""COMPUTED_VALUE"""),121.09)</f>
        <v>121.09</v>
      </c>
      <c r="F1557" s="1">
        <f ca="1">IFERROR(__xludf.DUMMYFUNCTION("""COMPUTED_VALUE"""),129525780)</f>
        <v>129525780</v>
      </c>
    </row>
    <row r="1558" spans="1:6" x14ac:dyDescent="0.35">
      <c r="A1558" s="2">
        <f ca="1">IFERROR(__xludf.DUMMYFUNCTION("""COMPUTED_VALUE"""),44265.6666666666)</f>
        <v>44265.666666666599</v>
      </c>
      <c r="B1558" s="1">
        <f ca="1">IFERROR(__xludf.DUMMYFUNCTION("""COMPUTED_VALUE"""),121.69)</f>
        <v>121.69</v>
      </c>
      <c r="C1558" s="1">
        <f ca="1">IFERROR(__xludf.DUMMYFUNCTION("""COMPUTED_VALUE"""),122.17)</f>
        <v>122.17</v>
      </c>
      <c r="D1558" s="1">
        <f ca="1">IFERROR(__xludf.DUMMYFUNCTION("""COMPUTED_VALUE"""),119.45)</f>
        <v>119.45</v>
      </c>
      <c r="E1558" s="1">
        <f ca="1">IFERROR(__xludf.DUMMYFUNCTION("""COMPUTED_VALUE"""),119.98)</f>
        <v>119.98</v>
      </c>
      <c r="F1558" s="1">
        <f ca="1">IFERROR(__xludf.DUMMYFUNCTION("""COMPUTED_VALUE"""),111943326)</f>
        <v>111943326</v>
      </c>
    </row>
    <row r="1559" spans="1:6" x14ac:dyDescent="0.35">
      <c r="A1559" s="2">
        <f ca="1">IFERROR(__xludf.DUMMYFUNCTION("""COMPUTED_VALUE"""),44266.6666666666)</f>
        <v>44266.666666666599</v>
      </c>
      <c r="B1559" s="1">
        <f ca="1">IFERROR(__xludf.DUMMYFUNCTION("""COMPUTED_VALUE"""),122.54)</f>
        <v>122.54</v>
      </c>
      <c r="C1559" s="1">
        <f ca="1">IFERROR(__xludf.DUMMYFUNCTION("""COMPUTED_VALUE"""),123.21)</f>
        <v>123.21</v>
      </c>
      <c r="D1559" s="1">
        <f ca="1">IFERROR(__xludf.DUMMYFUNCTION("""COMPUTED_VALUE"""),121.26)</f>
        <v>121.26</v>
      </c>
      <c r="E1559" s="1">
        <f ca="1">IFERROR(__xludf.DUMMYFUNCTION("""COMPUTED_VALUE"""),121.96)</f>
        <v>121.96</v>
      </c>
      <c r="F1559" s="1">
        <f ca="1">IFERROR(__xludf.DUMMYFUNCTION("""COMPUTED_VALUE"""),103026514)</f>
        <v>103026514</v>
      </c>
    </row>
    <row r="1560" spans="1:6" x14ac:dyDescent="0.35">
      <c r="A1560" s="2">
        <f ca="1">IFERROR(__xludf.DUMMYFUNCTION("""COMPUTED_VALUE"""),44267.6666666666)</f>
        <v>44267.666666666599</v>
      </c>
      <c r="B1560" s="1">
        <f ca="1">IFERROR(__xludf.DUMMYFUNCTION("""COMPUTED_VALUE"""),120.4)</f>
        <v>120.4</v>
      </c>
      <c r="C1560" s="1">
        <f ca="1">IFERROR(__xludf.DUMMYFUNCTION("""COMPUTED_VALUE"""),121.17)</f>
        <v>121.17</v>
      </c>
      <c r="D1560" s="1">
        <f ca="1">IFERROR(__xludf.DUMMYFUNCTION("""COMPUTED_VALUE"""),119.16)</f>
        <v>119.16</v>
      </c>
      <c r="E1560" s="1">
        <f ca="1">IFERROR(__xludf.DUMMYFUNCTION("""COMPUTED_VALUE"""),121.03)</f>
        <v>121.03</v>
      </c>
      <c r="F1560" s="1">
        <f ca="1">IFERROR(__xludf.DUMMYFUNCTION("""COMPUTED_VALUE"""),88105050)</f>
        <v>88105050</v>
      </c>
    </row>
    <row r="1561" spans="1:6" x14ac:dyDescent="0.35">
      <c r="A1561" s="2">
        <f ca="1">IFERROR(__xludf.DUMMYFUNCTION("""COMPUTED_VALUE"""),44270.6666666666)</f>
        <v>44270.666666666599</v>
      </c>
      <c r="B1561" s="1">
        <f ca="1">IFERROR(__xludf.DUMMYFUNCTION("""COMPUTED_VALUE"""),121.41)</f>
        <v>121.41</v>
      </c>
      <c r="C1561" s="1">
        <f ca="1">IFERROR(__xludf.DUMMYFUNCTION("""COMPUTED_VALUE"""),124)</f>
        <v>124</v>
      </c>
      <c r="D1561" s="1">
        <f ca="1">IFERROR(__xludf.DUMMYFUNCTION("""COMPUTED_VALUE"""),120.42)</f>
        <v>120.42</v>
      </c>
      <c r="E1561" s="1">
        <f ca="1">IFERROR(__xludf.DUMMYFUNCTION("""COMPUTED_VALUE"""),123.99)</f>
        <v>123.99</v>
      </c>
      <c r="F1561" s="1">
        <f ca="1">IFERROR(__xludf.DUMMYFUNCTION("""COMPUTED_VALUE"""),92590555)</f>
        <v>92590555</v>
      </c>
    </row>
    <row r="1562" spans="1:6" x14ac:dyDescent="0.35">
      <c r="A1562" s="2">
        <f ca="1">IFERROR(__xludf.DUMMYFUNCTION("""COMPUTED_VALUE"""),44271.6666666666)</f>
        <v>44271.666666666599</v>
      </c>
      <c r="B1562" s="1">
        <f ca="1">IFERROR(__xludf.DUMMYFUNCTION("""COMPUTED_VALUE"""),125.7)</f>
        <v>125.7</v>
      </c>
      <c r="C1562" s="1">
        <f ca="1">IFERROR(__xludf.DUMMYFUNCTION("""COMPUTED_VALUE"""),127.22)</f>
        <v>127.22</v>
      </c>
      <c r="D1562" s="1">
        <f ca="1">IFERROR(__xludf.DUMMYFUNCTION("""COMPUTED_VALUE"""),124.72)</f>
        <v>124.72</v>
      </c>
      <c r="E1562" s="1">
        <f ca="1">IFERROR(__xludf.DUMMYFUNCTION("""COMPUTED_VALUE"""),125.57)</f>
        <v>125.57</v>
      </c>
      <c r="F1562" s="1">
        <f ca="1">IFERROR(__xludf.DUMMYFUNCTION("""COMPUTED_VALUE"""),115227936)</f>
        <v>115227936</v>
      </c>
    </row>
    <row r="1563" spans="1:6" x14ac:dyDescent="0.35">
      <c r="A1563" s="2">
        <f ca="1">IFERROR(__xludf.DUMMYFUNCTION("""COMPUTED_VALUE"""),44272.6666666666)</f>
        <v>44272.666666666599</v>
      </c>
      <c r="B1563" s="1">
        <f ca="1">IFERROR(__xludf.DUMMYFUNCTION("""COMPUTED_VALUE"""),124.05)</f>
        <v>124.05</v>
      </c>
      <c r="C1563" s="1">
        <f ca="1">IFERROR(__xludf.DUMMYFUNCTION("""COMPUTED_VALUE"""),125.86)</f>
        <v>125.86</v>
      </c>
      <c r="D1563" s="1">
        <f ca="1">IFERROR(__xludf.DUMMYFUNCTION("""COMPUTED_VALUE"""),122.34)</f>
        <v>122.34</v>
      </c>
      <c r="E1563" s="1">
        <f ca="1">IFERROR(__xludf.DUMMYFUNCTION("""COMPUTED_VALUE"""),124.76)</f>
        <v>124.76</v>
      </c>
      <c r="F1563" s="1">
        <f ca="1">IFERROR(__xludf.DUMMYFUNCTION("""COMPUTED_VALUE"""),111932636)</f>
        <v>111932636</v>
      </c>
    </row>
    <row r="1564" spans="1:6" x14ac:dyDescent="0.35">
      <c r="A1564" s="2">
        <f ca="1">IFERROR(__xludf.DUMMYFUNCTION("""COMPUTED_VALUE"""),44273.6666666666)</f>
        <v>44273.666666666599</v>
      </c>
      <c r="B1564" s="1">
        <f ca="1">IFERROR(__xludf.DUMMYFUNCTION("""COMPUTED_VALUE"""),122.88)</f>
        <v>122.88</v>
      </c>
      <c r="C1564" s="1">
        <f ca="1">IFERROR(__xludf.DUMMYFUNCTION("""COMPUTED_VALUE"""),123.18)</f>
        <v>123.18</v>
      </c>
      <c r="D1564" s="1">
        <f ca="1">IFERROR(__xludf.DUMMYFUNCTION("""COMPUTED_VALUE"""),120.32)</f>
        <v>120.32</v>
      </c>
      <c r="E1564" s="1">
        <f ca="1">IFERROR(__xludf.DUMMYFUNCTION("""COMPUTED_VALUE"""),120.53)</f>
        <v>120.53</v>
      </c>
      <c r="F1564" s="1">
        <f ca="1">IFERROR(__xludf.DUMMYFUNCTION("""COMPUTED_VALUE"""),121469755)</f>
        <v>121469755</v>
      </c>
    </row>
    <row r="1565" spans="1:6" x14ac:dyDescent="0.35">
      <c r="A1565" s="2">
        <f ca="1">IFERROR(__xludf.DUMMYFUNCTION("""COMPUTED_VALUE"""),44274.6666666666)</f>
        <v>44274.666666666599</v>
      </c>
      <c r="B1565" s="1">
        <f ca="1">IFERROR(__xludf.DUMMYFUNCTION("""COMPUTED_VALUE"""),119.9)</f>
        <v>119.9</v>
      </c>
      <c r="C1565" s="1">
        <f ca="1">IFERROR(__xludf.DUMMYFUNCTION("""COMPUTED_VALUE"""),121.43)</f>
        <v>121.43</v>
      </c>
      <c r="D1565" s="1">
        <f ca="1">IFERROR(__xludf.DUMMYFUNCTION("""COMPUTED_VALUE"""),119.68)</f>
        <v>119.68</v>
      </c>
      <c r="E1565" s="1">
        <f ca="1">IFERROR(__xludf.DUMMYFUNCTION("""COMPUTED_VALUE"""),119.99)</f>
        <v>119.99</v>
      </c>
      <c r="F1565" s="1">
        <f ca="1">IFERROR(__xludf.DUMMYFUNCTION("""COMPUTED_VALUE"""),185549522)</f>
        <v>185549522</v>
      </c>
    </row>
    <row r="1566" spans="1:6" x14ac:dyDescent="0.35">
      <c r="A1566" s="2">
        <f ca="1">IFERROR(__xludf.DUMMYFUNCTION("""COMPUTED_VALUE"""),44277.6666666666)</f>
        <v>44277.666666666599</v>
      </c>
      <c r="B1566" s="1">
        <f ca="1">IFERROR(__xludf.DUMMYFUNCTION("""COMPUTED_VALUE"""),120.33)</f>
        <v>120.33</v>
      </c>
      <c r="C1566" s="1">
        <f ca="1">IFERROR(__xludf.DUMMYFUNCTION("""COMPUTED_VALUE"""),123.87)</f>
        <v>123.87</v>
      </c>
      <c r="D1566" s="1">
        <f ca="1">IFERROR(__xludf.DUMMYFUNCTION("""COMPUTED_VALUE"""),120.26)</f>
        <v>120.26</v>
      </c>
      <c r="E1566" s="1">
        <f ca="1">IFERROR(__xludf.DUMMYFUNCTION("""COMPUTED_VALUE"""),123.39)</f>
        <v>123.39</v>
      </c>
      <c r="F1566" s="1">
        <f ca="1">IFERROR(__xludf.DUMMYFUNCTION("""COMPUTED_VALUE"""),111912284)</f>
        <v>111912284</v>
      </c>
    </row>
    <row r="1567" spans="1:6" x14ac:dyDescent="0.35">
      <c r="A1567" s="2">
        <f ca="1">IFERROR(__xludf.DUMMYFUNCTION("""COMPUTED_VALUE"""),44278.6666666666)</f>
        <v>44278.666666666599</v>
      </c>
      <c r="B1567" s="1">
        <f ca="1">IFERROR(__xludf.DUMMYFUNCTION("""COMPUTED_VALUE"""),123.33)</f>
        <v>123.33</v>
      </c>
      <c r="C1567" s="1">
        <f ca="1">IFERROR(__xludf.DUMMYFUNCTION("""COMPUTED_VALUE"""),124.24)</f>
        <v>124.24</v>
      </c>
      <c r="D1567" s="1">
        <f ca="1">IFERROR(__xludf.DUMMYFUNCTION("""COMPUTED_VALUE"""),122.14)</f>
        <v>122.14</v>
      </c>
      <c r="E1567" s="1">
        <f ca="1">IFERROR(__xludf.DUMMYFUNCTION("""COMPUTED_VALUE"""),122.54)</f>
        <v>122.54</v>
      </c>
      <c r="F1567" s="1">
        <f ca="1">IFERROR(__xludf.DUMMYFUNCTION("""COMPUTED_VALUE"""),95467142)</f>
        <v>95467142</v>
      </c>
    </row>
    <row r="1568" spans="1:6" x14ac:dyDescent="0.35">
      <c r="A1568" s="2">
        <f ca="1">IFERROR(__xludf.DUMMYFUNCTION("""COMPUTED_VALUE"""),44279.6666666666)</f>
        <v>44279.666666666599</v>
      </c>
      <c r="B1568" s="1">
        <f ca="1">IFERROR(__xludf.DUMMYFUNCTION("""COMPUTED_VALUE"""),122.82)</f>
        <v>122.82</v>
      </c>
      <c r="C1568" s="1">
        <f ca="1">IFERROR(__xludf.DUMMYFUNCTION("""COMPUTED_VALUE"""),122.9)</f>
        <v>122.9</v>
      </c>
      <c r="D1568" s="1">
        <f ca="1">IFERROR(__xludf.DUMMYFUNCTION("""COMPUTED_VALUE"""),120.07)</f>
        <v>120.07</v>
      </c>
      <c r="E1568" s="1">
        <f ca="1">IFERROR(__xludf.DUMMYFUNCTION("""COMPUTED_VALUE"""),120.09)</f>
        <v>120.09</v>
      </c>
      <c r="F1568" s="1">
        <f ca="1">IFERROR(__xludf.DUMMYFUNCTION("""COMPUTED_VALUE"""),88530485)</f>
        <v>88530485</v>
      </c>
    </row>
    <row r="1569" spans="1:6" x14ac:dyDescent="0.35">
      <c r="A1569" s="2">
        <f ca="1">IFERROR(__xludf.DUMMYFUNCTION("""COMPUTED_VALUE"""),44280.6666666666)</f>
        <v>44280.666666666599</v>
      </c>
      <c r="B1569" s="1">
        <f ca="1">IFERROR(__xludf.DUMMYFUNCTION("""COMPUTED_VALUE"""),119.54)</f>
        <v>119.54</v>
      </c>
      <c r="C1569" s="1">
        <f ca="1">IFERROR(__xludf.DUMMYFUNCTION("""COMPUTED_VALUE"""),121.66)</f>
        <v>121.66</v>
      </c>
      <c r="D1569" s="1">
        <f ca="1">IFERROR(__xludf.DUMMYFUNCTION("""COMPUTED_VALUE"""),119)</f>
        <v>119</v>
      </c>
      <c r="E1569" s="1">
        <f ca="1">IFERROR(__xludf.DUMMYFUNCTION("""COMPUTED_VALUE"""),120.59)</f>
        <v>120.59</v>
      </c>
      <c r="F1569" s="1">
        <f ca="1">IFERROR(__xludf.DUMMYFUNCTION("""COMPUTED_VALUE"""),98844681)</f>
        <v>98844681</v>
      </c>
    </row>
    <row r="1570" spans="1:6" x14ac:dyDescent="0.35">
      <c r="A1570" s="2">
        <f ca="1">IFERROR(__xludf.DUMMYFUNCTION("""COMPUTED_VALUE"""),44281.6666666666)</f>
        <v>44281.666666666599</v>
      </c>
      <c r="B1570" s="1">
        <f ca="1">IFERROR(__xludf.DUMMYFUNCTION("""COMPUTED_VALUE"""),120.35)</f>
        <v>120.35</v>
      </c>
      <c r="C1570" s="1">
        <f ca="1">IFERROR(__xludf.DUMMYFUNCTION("""COMPUTED_VALUE"""),121.48)</f>
        <v>121.48</v>
      </c>
      <c r="D1570" s="1">
        <f ca="1">IFERROR(__xludf.DUMMYFUNCTION("""COMPUTED_VALUE"""),118.92)</f>
        <v>118.92</v>
      </c>
      <c r="E1570" s="1">
        <f ca="1">IFERROR(__xludf.DUMMYFUNCTION("""COMPUTED_VALUE"""),121.21)</f>
        <v>121.21</v>
      </c>
      <c r="F1570" s="1">
        <f ca="1">IFERROR(__xludf.DUMMYFUNCTION("""COMPUTED_VALUE"""),94071234)</f>
        <v>94071234</v>
      </c>
    </row>
    <row r="1571" spans="1:6" x14ac:dyDescent="0.35">
      <c r="A1571" s="2">
        <f ca="1">IFERROR(__xludf.DUMMYFUNCTION("""COMPUTED_VALUE"""),44284.6666666666)</f>
        <v>44284.666666666599</v>
      </c>
      <c r="B1571" s="1">
        <f ca="1">IFERROR(__xludf.DUMMYFUNCTION("""COMPUTED_VALUE"""),121.65)</f>
        <v>121.65</v>
      </c>
      <c r="C1571" s="1">
        <f ca="1">IFERROR(__xludf.DUMMYFUNCTION("""COMPUTED_VALUE"""),122.58)</f>
        <v>122.58</v>
      </c>
      <c r="D1571" s="1">
        <f ca="1">IFERROR(__xludf.DUMMYFUNCTION("""COMPUTED_VALUE"""),120.73)</f>
        <v>120.73</v>
      </c>
      <c r="E1571" s="1">
        <f ca="1">IFERROR(__xludf.DUMMYFUNCTION("""COMPUTED_VALUE"""),121.39)</f>
        <v>121.39</v>
      </c>
      <c r="F1571" s="1">
        <f ca="1">IFERROR(__xludf.DUMMYFUNCTION("""COMPUTED_VALUE"""),80819203)</f>
        <v>80819203</v>
      </c>
    </row>
    <row r="1572" spans="1:6" x14ac:dyDescent="0.35">
      <c r="A1572" s="2">
        <f ca="1">IFERROR(__xludf.DUMMYFUNCTION("""COMPUTED_VALUE"""),44285.6666666666)</f>
        <v>44285.666666666599</v>
      </c>
      <c r="B1572" s="1">
        <f ca="1">IFERROR(__xludf.DUMMYFUNCTION("""COMPUTED_VALUE"""),120.11)</f>
        <v>120.11</v>
      </c>
      <c r="C1572" s="1">
        <f ca="1">IFERROR(__xludf.DUMMYFUNCTION("""COMPUTED_VALUE"""),120.4)</f>
        <v>120.4</v>
      </c>
      <c r="D1572" s="1">
        <f ca="1">IFERROR(__xludf.DUMMYFUNCTION("""COMPUTED_VALUE"""),118.86)</f>
        <v>118.86</v>
      </c>
      <c r="E1572" s="1">
        <f ca="1">IFERROR(__xludf.DUMMYFUNCTION("""COMPUTED_VALUE"""),119.9)</f>
        <v>119.9</v>
      </c>
      <c r="F1572" s="1">
        <f ca="1">IFERROR(__xludf.DUMMYFUNCTION("""COMPUTED_VALUE"""),85671919)</f>
        <v>85671919</v>
      </c>
    </row>
    <row r="1573" spans="1:6" x14ac:dyDescent="0.35">
      <c r="A1573" s="2">
        <f ca="1">IFERROR(__xludf.DUMMYFUNCTION("""COMPUTED_VALUE"""),44286.6666666666)</f>
        <v>44286.666666666599</v>
      </c>
      <c r="B1573" s="1">
        <f ca="1">IFERROR(__xludf.DUMMYFUNCTION("""COMPUTED_VALUE"""),121.65)</f>
        <v>121.65</v>
      </c>
      <c r="C1573" s="1">
        <f ca="1">IFERROR(__xludf.DUMMYFUNCTION("""COMPUTED_VALUE"""),123.52)</f>
        <v>123.52</v>
      </c>
      <c r="D1573" s="1">
        <f ca="1">IFERROR(__xludf.DUMMYFUNCTION("""COMPUTED_VALUE"""),121.15)</f>
        <v>121.15</v>
      </c>
      <c r="E1573" s="1">
        <f ca="1">IFERROR(__xludf.DUMMYFUNCTION("""COMPUTED_VALUE"""),122.15)</f>
        <v>122.15</v>
      </c>
      <c r="F1573" s="1">
        <f ca="1">IFERROR(__xludf.DUMMYFUNCTION("""COMPUTED_VALUE"""),118323826)</f>
        <v>118323826</v>
      </c>
    </row>
    <row r="1574" spans="1:6" x14ac:dyDescent="0.35">
      <c r="A1574" s="2">
        <f ca="1">IFERROR(__xludf.DUMMYFUNCTION("""COMPUTED_VALUE"""),44287.6666666666)</f>
        <v>44287.666666666599</v>
      </c>
      <c r="B1574" s="1">
        <f ca="1">IFERROR(__xludf.DUMMYFUNCTION("""COMPUTED_VALUE"""),123.66)</f>
        <v>123.66</v>
      </c>
      <c r="C1574" s="1">
        <f ca="1">IFERROR(__xludf.DUMMYFUNCTION("""COMPUTED_VALUE"""),124.18)</f>
        <v>124.18</v>
      </c>
      <c r="D1574" s="1">
        <f ca="1">IFERROR(__xludf.DUMMYFUNCTION("""COMPUTED_VALUE"""),122.49)</f>
        <v>122.49</v>
      </c>
      <c r="E1574" s="1">
        <f ca="1">IFERROR(__xludf.DUMMYFUNCTION("""COMPUTED_VALUE"""),123)</f>
        <v>123</v>
      </c>
      <c r="F1574" s="1">
        <f ca="1">IFERROR(__xludf.DUMMYFUNCTION("""COMPUTED_VALUE"""),75089134)</f>
        <v>75089134</v>
      </c>
    </row>
    <row r="1575" spans="1:6" x14ac:dyDescent="0.35">
      <c r="A1575" s="2">
        <f ca="1">IFERROR(__xludf.DUMMYFUNCTION("""COMPUTED_VALUE"""),44291.6666666666)</f>
        <v>44291.666666666599</v>
      </c>
      <c r="B1575" s="1">
        <f ca="1">IFERROR(__xludf.DUMMYFUNCTION("""COMPUTED_VALUE"""),123.87)</f>
        <v>123.87</v>
      </c>
      <c r="C1575" s="1">
        <f ca="1">IFERROR(__xludf.DUMMYFUNCTION("""COMPUTED_VALUE"""),126.16)</f>
        <v>126.16</v>
      </c>
      <c r="D1575" s="1">
        <f ca="1">IFERROR(__xludf.DUMMYFUNCTION("""COMPUTED_VALUE"""),123.07)</f>
        <v>123.07</v>
      </c>
      <c r="E1575" s="1">
        <f ca="1">IFERROR(__xludf.DUMMYFUNCTION("""COMPUTED_VALUE"""),125.9)</f>
        <v>125.9</v>
      </c>
      <c r="F1575" s="1">
        <f ca="1">IFERROR(__xludf.DUMMYFUNCTION("""COMPUTED_VALUE"""),88651175)</f>
        <v>88651175</v>
      </c>
    </row>
    <row r="1576" spans="1:6" x14ac:dyDescent="0.35">
      <c r="A1576" s="2">
        <f ca="1">IFERROR(__xludf.DUMMYFUNCTION("""COMPUTED_VALUE"""),44292.6666666666)</f>
        <v>44292.666666666599</v>
      </c>
      <c r="B1576" s="1">
        <f ca="1">IFERROR(__xludf.DUMMYFUNCTION("""COMPUTED_VALUE"""),126.5)</f>
        <v>126.5</v>
      </c>
      <c r="C1576" s="1">
        <f ca="1">IFERROR(__xludf.DUMMYFUNCTION("""COMPUTED_VALUE"""),127.13)</f>
        <v>127.13</v>
      </c>
      <c r="D1576" s="1">
        <f ca="1">IFERROR(__xludf.DUMMYFUNCTION("""COMPUTED_VALUE"""),125.65)</f>
        <v>125.65</v>
      </c>
      <c r="E1576" s="1">
        <f ca="1">IFERROR(__xludf.DUMMYFUNCTION("""COMPUTED_VALUE"""),126.21)</f>
        <v>126.21</v>
      </c>
      <c r="F1576" s="1">
        <f ca="1">IFERROR(__xludf.DUMMYFUNCTION("""COMPUTED_VALUE"""),80171253)</f>
        <v>80171253</v>
      </c>
    </row>
    <row r="1577" spans="1:6" x14ac:dyDescent="0.35">
      <c r="A1577" s="2">
        <f ca="1">IFERROR(__xludf.DUMMYFUNCTION("""COMPUTED_VALUE"""),44293.6666666666)</f>
        <v>44293.666666666599</v>
      </c>
      <c r="B1577" s="1">
        <f ca="1">IFERROR(__xludf.DUMMYFUNCTION("""COMPUTED_VALUE"""),125.83)</f>
        <v>125.83</v>
      </c>
      <c r="C1577" s="1">
        <f ca="1">IFERROR(__xludf.DUMMYFUNCTION("""COMPUTED_VALUE"""),127.92)</f>
        <v>127.92</v>
      </c>
      <c r="D1577" s="1">
        <f ca="1">IFERROR(__xludf.DUMMYFUNCTION("""COMPUTED_VALUE"""),125.14)</f>
        <v>125.14</v>
      </c>
      <c r="E1577" s="1">
        <f ca="1">IFERROR(__xludf.DUMMYFUNCTION("""COMPUTED_VALUE"""),127.9)</f>
        <v>127.9</v>
      </c>
      <c r="F1577" s="1">
        <f ca="1">IFERROR(__xludf.DUMMYFUNCTION("""COMPUTED_VALUE"""),83466716)</f>
        <v>83466716</v>
      </c>
    </row>
    <row r="1578" spans="1:6" x14ac:dyDescent="0.35">
      <c r="A1578" s="2">
        <f ca="1">IFERROR(__xludf.DUMMYFUNCTION("""COMPUTED_VALUE"""),44294.6666666666)</f>
        <v>44294.666666666599</v>
      </c>
      <c r="B1578" s="1">
        <f ca="1">IFERROR(__xludf.DUMMYFUNCTION("""COMPUTED_VALUE"""),128.95)</f>
        <v>128.94999999999999</v>
      </c>
      <c r="C1578" s="1">
        <f ca="1">IFERROR(__xludf.DUMMYFUNCTION("""COMPUTED_VALUE"""),130.39)</f>
        <v>130.38999999999999</v>
      </c>
      <c r="D1578" s="1">
        <f ca="1">IFERROR(__xludf.DUMMYFUNCTION("""COMPUTED_VALUE"""),128.52)</f>
        <v>128.52000000000001</v>
      </c>
      <c r="E1578" s="1">
        <f ca="1">IFERROR(__xludf.DUMMYFUNCTION("""COMPUTED_VALUE"""),130.36)</f>
        <v>130.36000000000001</v>
      </c>
      <c r="F1578" s="1">
        <f ca="1">IFERROR(__xludf.DUMMYFUNCTION("""COMPUTED_VALUE"""),88844591)</f>
        <v>88844591</v>
      </c>
    </row>
    <row r="1579" spans="1:6" x14ac:dyDescent="0.35">
      <c r="A1579" s="2">
        <f ca="1">IFERROR(__xludf.DUMMYFUNCTION("""COMPUTED_VALUE"""),44295.6666666666)</f>
        <v>44295.666666666599</v>
      </c>
      <c r="B1579" s="1">
        <f ca="1">IFERROR(__xludf.DUMMYFUNCTION("""COMPUTED_VALUE"""),129.8)</f>
        <v>129.80000000000001</v>
      </c>
      <c r="C1579" s="1">
        <f ca="1">IFERROR(__xludf.DUMMYFUNCTION("""COMPUTED_VALUE"""),133.04)</f>
        <v>133.04</v>
      </c>
      <c r="D1579" s="1">
        <f ca="1">IFERROR(__xludf.DUMMYFUNCTION("""COMPUTED_VALUE"""),129.47)</f>
        <v>129.47</v>
      </c>
      <c r="E1579" s="1">
        <f ca="1">IFERROR(__xludf.DUMMYFUNCTION("""COMPUTED_VALUE"""),133)</f>
        <v>133</v>
      </c>
      <c r="F1579" s="1">
        <f ca="1">IFERROR(__xludf.DUMMYFUNCTION("""COMPUTED_VALUE"""),106686703)</f>
        <v>106686703</v>
      </c>
    </row>
    <row r="1580" spans="1:6" x14ac:dyDescent="0.35">
      <c r="A1580" s="2">
        <f ca="1">IFERROR(__xludf.DUMMYFUNCTION("""COMPUTED_VALUE"""),44298.6666666666)</f>
        <v>44298.666666666599</v>
      </c>
      <c r="B1580" s="1">
        <f ca="1">IFERROR(__xludf.DUMMYFUNCTION("""COMPUTED_VALUE"""),132.52)</f>
        <v>132.52000000000001</v>
      </c>
      <c r="C1580" s="1">
        <f ca="1">IFERROR(__xludf.DUMMYFUNCTION("""COMPUTED_VALUE"""),132.85)</f>
        <v>132.85</v>
      </c>
      <c r="D1580" s="1">
        <f ca="1">IFERROR(__xludf.DUMMYFUNCTION("""COMPUTED_VALUE"""),130.63)</f>
        <v>130.63</v>
      </c>
      <c r="E1580" s="1">
        <f ca="1">IFERROR(__xludf.DUMMYFUNCTION("""COMPUTED_VALUE"""),131.24)</f>
        <v>131.24</v>
      </c>
      <c r="F1580" s="1">
        <f ca="1">IFERROR(__xludf.DUMMYFUNCTION("""COMPUTED_VALUE"""),91419983)</f>
        <v>91419983</v>
      </c>
    </row>
    <row r="1581" spans="1:6" x14ac:dyDescent="0.35">
      <c r="A1581" s="2">
        <f ca="1">IFERROR(__xludf.DUMMYFUNCTION("""COMPUTED_VALUE"""),44299.6666666666)</f>
        <v>44299.666666666599</v>
      </c>
      <c r="B1581" s="1">
        <f ca="1">IFERROR(__xludf.DUMMYFUNCTION("""COMPUTED_VALUE"""),132.44)</f>
        <v>132.44</v>
      </c>
      <c r="C1581" s="1">
        <f ca="1">IFERROR(__xludf.DUMMYFUNCTION("""COMPUTED_VALUE"""),134.66)</f>
        <v>134.66</v>
      </c>
      <c r="D1581" s="1">
        <f ca="1">IFERROR(__xludf.DUMMYFUNCTION("""COMPUTED_VALUE"""),131.93)</f>
        <v>131.93</v>
      </c>
      <c r="E1581" s="1">
        <f ca="1">IFERROR(__xludf.DUMMYFUNCTION("""COMPUTED_VALUE"""),134.43)</f>
        <v>134.43</v>
      </c>
      <c r="F1581" s="1">
        <f ca="1">IFERROR(__xludf.DUMMYFUNCTION("""COMPUTED_VALUE"""),91266545)</f>
        <v>91266545</v>
      </c>
    </row>
    <row r="1582" spans="1:6" x14ac:dyDescent="0.35">
      <c r="A1582" s="2">
        <f ca="1">IFERROR(__xludf.DUMMYFUNCTION("""COMPUTED_VALUE"""),44300.6666666666)</f>
        <v>44300.666666666599</v>
      </c>
      <c r="B1582" s="1">
        <f ca="1">IFERROR(__xludf.DUMMYFUNCTION("""COMPUTED_VALUE"""),134.94)</f>
        <v>134.94</v>
      </c>
      <c r="C1582" s="1">
        <f ca="1">IFERROR(__xludf.DUMMYFUNCTION("""COMPUTED_VALUE"""),135)</f>
        <v>135</v>
      </c>
      <c r="D1582" s="1">
        <f ca="1">IFERROR(__xludf.DUMMYFUNCTION("""COMPUTED_VALUE"""),131.66)</f>
        <v>131.66</v>
      </c>
      <c r="E1582" s="1">
        <f ca="1">IFERROR(__xludf.DUMMYFUNCTION("""COMPUTED_VALUE"""),132.03)</f>
        <v>132.03</v>
      </c>
      <c r="F1582" s="1">
        <f ca="1">IFERROR(__xludf.DUMMYFUNCTION("""COMPUTED_VALUE"""),87222782)</f>
        <v>87222782</v>
      </c>
    </row>
    <row r="1583" spans="1:6" x14ac:dyDescent="0.35">
      <c r="A1583" s="2">
        <f ca="1">IFERROR(__xludf.DUMMYFUNCTION("""COMPUTED_VALUE"""),44301.6666666666)</f>
        <v>44301.666666666599</v>
      </c>
      <c r="B1583" s="1">
        <f ca="1">IFERROR(__xludf.DUMMYFUNCTION("""COMPUTED_VALUE"""),133.82)</f>
        <v>133.82</v>
      </c>
      <c r="C1583" s="1">
        <f ca="1">IFERROR(__xludf.DUMMYFUNCTION("""COMPUTED_VALUE"""),135)</f>
        <v>135</v>
      </c>
      <c r="D1583" s="1">
        <f ca="1">IFERROR(__xludf.DUMMYFUNCTION("""COMPUTED_VALUE"""),133.64)</f>
        <v>133.63999999999999</v>
      </c>
      <c r="E1583" s="1">
        <f ca="1">IFERROR(__xludf.DUMMYFUNCTION("""COMPUTED_VALUE"""),134.5)</f>
        <v>134.5</v>
      </c>
      <c r="F1583" s="1">
        <f ca="1">IFERROR(__xludf.DUMMYFUNCTION("""COMPUTED_VALUE"""),89347102)</f>
        <v>89347102</v>
      </c>
    </row>
    <row r="1584" spans="1:6" x14ac:dyDescent="0.35">
      <c r="A1584" s="2">
        <f ca="1">IFERROR(__xludf.DUMMYFUNCTION("""COMPUTED_VALUE"""),44302.6666666666)</f>
        <v>44302.666666666599</v>
      </c>
      <c r="B1584" s="1">
        <f ca="1">IFERROR(__xludf.DUMMYFUNCTION("""COMPUTED_VALUE"""),134.3)</f>
        <v>134.30000000000001</v>
      </c>
      <c r="C1584" s="1">
        <f ca="1">IFERROR(__xludf.DUMMYFUNCTION("""COMPUTED_VALUE"""),134.67)</f>
        <v>134.66999999999999</v>
      </c>
      <c r="D1584" s="1">
        <f ca="1">IFERROR(__xludf.DUMMYFUNCTION("""COMPUTED_VALUE"""),133.28)</f>
        <v>133.28</v>
      </c>
      <c r="E1584" s="1">
        <f ca="1">IFERROR(__xludf.DUMMYFUNCTION("""COMPUTED_VALUE"""),134.16)</f>
        <v>134.16</v>
      </c>
      <c r="F1584" s="1">
        <f ca="1">IFERROR(__xludf.DUMMYFUNCTION("""COMPUTED_VALUE"""),84922386)</f>
        <v>84922386</v>
      </c>
    </row>
    <row r="1585" spans="1:6" x14ac:dyDescent="0.35">
      <c r="A1585" s="2">
        <f ca="1">IFERROR(__xludf.DUMMYFUNCTION("""COMPUTED_VALUE"""),44305.6666666666)</f>
        <v>44305.666666666599</v>
      </c>
      <c r="B1585" s="1">
        <f ca="1">IFERROR(__xludf.DUMMYFUNCTION("""COMPUTED_VALUE"""),133.51)</f>
        <v>133.51</v>
      </c>
      <c r="C1585" s="1">
        <f ca="1">IFERROR(__xludf.DUMMYFUNCTION("""COMPUTED_VALUE"""),135.47)</f>
        <v>135.47</v>
      </c>
      <c r="D1585" s="1">
        <f ca="1">IFERROR(__xludf.DUMMYFUNCTION("""COMPUTED_VALUE"""),133.34)</f>
        <v>133.34</v>
      </c>
      <c r="E1585" s="1">
        <f ca="1">IFERROR(__xludf.DUMMYFUNCTION("""COMPUTED_VALUE"""),134.84)</f>
        <v>134.84</v>
      </c>
      <c r="F1585" s="1">
        <f ca="1">IFERROR(__xludf.DUMMYFUNCTION("""COMPUTED_VALUE"""),94264215)</f>
        <v>94264215</v>
      </c>
    </row>
    <row r="1586" spans="1:6" x14ac:dyDescent="0.35">
      <c r="A1586" s="2">
        <f ca="1">IFERROR(__xludf.DUMMYFUNCTION("""COMPUTED_VALUE"""),44306.6666666666)</f>
        <v>44306.666666666599</v>
      </c>
      <c r="B1586" s="1">
        <f ca="1">IFERROR(__xludf.DUMMYFUNCTION("""COMPUTED_VALUE"""),135.02)</f>
        <v>135.02000000000001</v>
      </c>
      <c r="C1586" s="1">
        <f ca="1">IFERROR(__xludf.DUMMYFUNCTION("""COMPUTED_VALUE"""),135.53)</f>
        <v>135.53</v>
      </c>
      <c r="D1586" s="1">
        <f ca="1">IFERROR(__xludf.DUMMYFUNCTION("""COMPUTED_VALUE"""),131.81)</f>
        <v>131.81</v>
      </c>
      <c r="E1586" s="1">
        <f ca="1">IFERROR(__xludf.DUMMYFUNCTION("""COMPUTED_VALUE"""),133.11)</f>
        <v>133.11000000000001</v>
      </c>
      <c r="F1586" s="1">
        <f ca="1">IFERROR(__xludf.DUMMYFUNCTION("""COMPUTED_VALUE"""),94812349)</f>
        <v>94812349</v>
      </c>
    </row>
    <row r="1587" spans="1:6" x14ac:dyDescent="0.35">
      <c r="A1587" s="2">
        <f ca="1">IFERROR(__xludf.DUMMYFUNCTION("""COMPUTED_VALUE"""),44307.6666666666)</f>
        <v>44307.666666666599</v>
      </c>
      <c r="B1587" s="1">
        <f ca="1">IFERROR(__xludf.DUMMYFUNCTION("""COMPUTED_VALUE"""),132.36)</f>
        <v>132.36000000000001</v>
      </c>
      <c r="C1587" s="1">
        <f ca="1">IFERROR(__xludf.DUMMYFUNCTION("""COMPUTED_VALUE"""),133.75)</f>
        <v>133.75</v>
      </c>
      <c r="D1587" s="1">
        <f ca="1">IFERROR(__xludf.DUMMYFUNCTION("""COMPUTED_VALUE"""),131.3)</f>
        <v>131.30000000000001</v>
      </c>
      <c r="E1587" s="1">
        <f ca="1">IFERROR(__xludf.DUMMYFUNCTION("""COMPUTED_VALUE"""),133.5)</f>
        <v>133.5</v>
      </c>
      <c r="F1587" s="1">
        <f ca="1">IFERROR(__xludf.DUMMYFUNCTION("""COMPUTED_VALUE"""),68847136)</f>
        <v>68847136</v>
      </c>
    </row>
    <row r="1588" spans="1:6" x14ac:dyDescent="0.35">
      <c r="A1588" s="2">
        <f ca="1">IFERROR(__xludf.DUMMYFUNCTION("""COMPUTED_VALUE"""),44308.6666666666)</f>
        <v>44308.666666666599</v>
      </c>
      <c r="B1588" s="1">
        <f ca="1">IFERROR(__xludf.DUMMYFUNCTION("""COMPUTED_VALUE"""),133.04)</f>
        <v>133.04</v>
      </c>
      <c r="C1588" s="1">
        <f ca="1">IFERROR(__xludf.DUMMYFUNCTION("""COMPUTED_VALUE"""),134.15)</f>
        <v>134.15</v>
      </c>
      <c r="D1588" s="1">
        <f ca="1">IFERROR(__xludf.DUMMYFUNCTION("""COMPUTED_VALUE"""),131.41)</f>
        <v>131.41</v>
      </c>
      <c r="E1588" s="1">
        <f ca="1">IFERROR(__xludf.DUMMYFUNCTION("""COMPUTED_VALUE"""),131.94)</f>
        <v>131.94</v>
      </c>
      <c r="F1588" s="1">
        <f ca="1">IFERROR(__xludf.DUMMYFUNCTION("""COMPUTED_VALUE"""),84566456)</f>
        <v>84566456</v>
      </c>
    </row>
    <row r="1589" spans="1:6" x14ac:dyDescent="0.35">
      <c r="A1589" s="2">
        <f ca="1">IFERROR(__xludf.DUMMYFUNCTION("""COMPUTED_VALUE"""),44309.6666666666)</f>
        <v>44309.666666666599</v>
      </c>
      <c r="B1589" s="1">
        <f ca="1">IFERROR(__xludf.DUMMYFUNCTION("""COMPUTED_VALUE"""),132.16)</f>
        <v>132.16</v>
      </c>
      <c r="C1589" s="1">
        <f ca="1">IFERROR(__xludf.DUMMYFUNCTION("""COMPUTED_VALUE"""),135.12)</f>
        <v>135.12</v>
      </c>
      <c r="D1589" s="1">
        <f ca="1">IFERROR(__xludf.DUMMYFUNCTION("""COMPUTED_VALUE"""),132.16)</f>
        <v>132.16</v>
      </c>
      <c r="E1589" s="1">
        <f ca="1">IFERROR(__xludf.DUMMYFUNCTION("""COMPUTED_VALUE"""),134.32)</f>
        <v>134.32</v>
      </c>
      <c r="F1589" s="1">
        <f ca="1">IFERROR(__xludf.DUMMYFUNCTION("""COMPUTED_VALUE"""),78756779)</f>
        <v>78756779</v>
      </c>
    </row>
    <row r="1590" spans="1:6" x14ac:dyDescent="0.35">
      <c r="A1590" s="2">
        <f ca="1">IFERROR(__xludf.DUMMYFUNCTION("""COMPUTED_VALUE"""),44312.6666666666)</f>
        <v>44312.666666666599</v>
      </c>
      <c r="B1590" s="1">
        <f ca="1">IFERROR(__xludf.DUMMYFUNCTION("""COMPUTED_VALUE"""),134.83)</f>
        <v>134.83000000000001</v>
      </c>
      <c r="C1590" s="1">
        <f ca="1">IFERROR(__xludf.DUMMYFUNCTION("""COMPUTED_VALUE"""),135.06)</f>
        <v>135.06</v>
      </c>
      <c r="D1590" s="1">
        <f ca="1">IFERROR(__xludf.DUMMYFUNCTION("""COMPUTED_VALUE"""),133.56)</f>
        <v>133.56</v>
      </c>
      <c r="E1590" s="1">
        <f ca="1">IFERROR(__xludf.DUMMYFUNCTION("""COMPUTED_VALUE"""),134.72)</f>
        <v>134.72</v>
      </c>
      <c r="F1590" s="1">
        <f ca="1">IFERROR(__xludf.DUMMYFUNCTION("""COMPUTED_VALUE"""),66905069)</f>
        <v>66905069</v>
      </c>
    </row>
    <row r="1591" spans="1:6" x14ac:dyDescent="0.35">
      <c r="A1591" s="2">
        <f ca="1">IFERROR(__xludf.DUMMYFUNCTION("""COMPUTED_VALUE"""),44313.6666666666)</f>
        <v>44313.666666666599</v>
      </c>
      <c r="B1591" s="1">
        <f ca="1">IFERROR(__xludf.DUMMYFUNCTION("""COMPUTED_VALUE"""),135.01)</f>
        <v>135.01</v>
      </c>
      <c r="C1591" s="1">
        <f ca="1">IFERROR(__xludf.DUMMYFUNCTION("""COMPUTED_VALUE"""),135.41)</f>
        <v>135.41</v>
      </c>
      <c r="D1591" s="1">
        <f ca="1">IFERROR(__xludf.DUMMYFUNCTION("""COMPUTED_VALUE"""),134.11)</f>
        <v>134.11000000000001</v>
      </c>
      <c r="E1591" s="1">
        <f ca="1">IFERROR(__xludf.DUMMYFUNCTION("""COMPUTED_VALUE"""),134.39)</f>
        <v>134.38999999999999</v>
      </c>
      <c r="F1591" s="1">
        <f ca="1">IFERROR(__xludf.DUMMYFUNCTION("""COMPUTED_VALUE"""),66015804)</f>
        <v>66015804</v>
      </c>
    </row>
    <row r="1592" spans="1:6" x14ac:dyDescent="0.35">
      <c r="A1592" s="2">
        <f ca="1">IFERROR(__xludf.DUMMYFUNCTION("""COMPUTED_VALUE"""),44314.6666666666)</f>
        <v>44314.666666666599</v>
      </c>
      <c r="B1592" s="1">
        <f ca="1">IFERROR(__xludf.DUMMYFUNCTION("""COMPUTED_VALUE"""),134.31)</f>
        <v>134.31</v>
      </c>
      <c r="C1592" s="1">
        <f ca="1">IFERROR(__xludf.DUMMYFUNCTION("""COMPUTED_VALUE"""),135.02)</f>
        <v>135.02000000000001</v>
      </c>
      <c r="D1592" s="1">
        <f ca="1">IFERROR(__xludf.DUMMYFUNCTION("""COMPUTED_VALUE"""),133.08)</f>
        <v>133.08000000000001</v>
      </c>
      <c r="E1592" s="1">
        <f ca="1">IFERROR(__xludf.DUMMYFUNCTION("""COMPUTED_VALUE"""),133.58)</f>
        <v>133.58000000000001</v>
      </c>
      <c r="F1592" s="1">
        <f ca="1">IFERROR(__xludf.DUMMYFUNCTION("""COMPUTED_VALUE"""),107760097)</f>
        <v>107760097</v>
      </c>
    </row>
    <row r="1593" spans="1:6" x14ac:dyDescent="0.35">
      <c r="A1593" s="2">
        <f ca="1">IFERROR(__xludf.DUMMYFUNCTION("""COMPUTED_VALUE"""),44315.6666666666)</f>
        <v>44315.666666666599</v>
      </c>
      <c r="B1593" s="1">
        <f ca="1">IFERROR(__xludf.DUMMYFUNCTION("""COMPUTED_VALUE"""),136.47)</f>
        <v>136.47</v>
      </c>
      <c r="C1593" s="1">
        <f ca="1">IFERROR(__xludf.DUMMYFUNCTION("""COMPUTED_VALUE"""),137.07)</f>
        <v>137.07</v>
      </c>
      <c r="D1593" s="1">
        <f ca="1">IFERROR(__xludf.DUMMYFUNCTION("""COMPUTED_VALUE"""),132.45)</f>
        <v>132.44999999999999</v>
      </c>
      <c r="E1593" s="1">
        <f ca="1">IFERROR(__xludf.DUMMYFUNCTION("""COMPUTED_VALUE"""),133.48)</f>
        <v>133.47999999999999</v>
      </c>
      <c r="F1593" s="1">
        <f ca="1">IFERROR(__xludf.DUMMYFUNCTION("""COMPUTED_VALUE"""),151100953)</f>
        <v>151100953</v>
      </c>
    </row>
    <row r="1594" spans="1:6" x14ac:dyDescent="0.35">
      <c r="A1594" s="2">
        <f ca="1">IFERROR(__xludf.DUMMYFUNCTION("""COMPUTED_VALUE"""),44316.6666666666)</f>
        <v>44316.666666666599</v>
      </c>
      <c r="B1594" s="1">
        <f ca="1">IFERROR(__xludf.DUMMYFUNCTION("""COMPUTED_VALUE"""),131.78)</f>
        <v>131.78</v>
      </c>
      <c r="C1594" s="1">
        <f ca="1">IFERROR(__xludf.DUMMYFUNCTION("""COMPUTED_VALUE"""),133.56)</f>
        <v>133.56</v>
      </c>
      <c r="D1594" s="1">
        <f ca="1">IFERROR(__xludf.DUMMYFUNCTION("""COMPUTED_VALUE"""),131.07)</f>
        <v>131.07</v>
      </c>
      <c r="E1594" s="1">
        <f ca="1">IFERROR(__xludf.DUMMYFUNCTION("""COMPUTED_VALUE"""),131.46)</f>
        <v>131.46</v>
      </c>
      <c r="F1594" s="1">
        <f ca="1">IFERROR(__xludf.DUMMYFUNCTION("""COMPUTED_VALUE"""),109839466)</f>
        <v>109839466</v>
      </c>
    </row>
    <row r="1595" spans="1:6" x14ac:dyDescent="0.35">
      <c r="A1595" s="2">
        <f ca="1">IFERROR(__xludf.DUMMYFUNCTION("""COMPUTED_VALUE"""),44319.6666666666)</f>
        <v>44319.666666666599</v>
      </c>
      <c r="B1595" s="1">
        <f ca="1">IFERROR(__xludf.DUMMYFUNCTION("""COMPUTED_VALUE"""),132.04)</f>
        <v>132.04</v>
      </c>
      <c r="C1595" s="1">
        <f ca="1">IFERROR(__xludf.DUMMYFUNCTION("""COMPUTED_VALUE"""),134.07)</f>
        <v>134.07</v>
      </c>
      <c r="D1595" s="1">
        <f ca="1">IFERROR(__xludf.DUMMYFUNCTION("""COMPUTED_VALUE"""),131.83)</f>
        <v>131.83000000000001</v>
      </c>
      <c r="E1595" s="1">
        <f ca="1">IFERROR(__xludf.DUMMYFUNCTION("""COMPUTED_VALUE"""),132.54)</f>
        <v>132.54</v>
      </c>
      <c r="F1595" s="1">
        <f ca="1">IFERROR(__xludf.DUMMYFUNCTION("""COMPUTED_VALUE"""),75135100)</f>
        <v>75135100</v>
      </c>
    </row>
    <row r="1596" spans="1:6" x14ac:dyDescent="0.35">
      <c r="A1596" s="2">
        <f ca="1">IFERROR(__xludf.DUMMYFUNCTION("""COMPUTED_VALUE"""),44320.6666666666)</f>
        <v>44320.666666666599</v>
      </c>
      <c r="B1596" s="1">
        <f ca="1">IFERROR(__xludf.DUMMYFUNCTION("""COMPUTED_VALUE"""),131.19)</f>
        <v>131.19</v>
      </c>
      <c r="C1596" s="1">
        <f ca="1">IFERROR(__xludf.DUMMYFUNCTION("""COMPUTED_VALUE"""),131.49)</f>
        <v>131.49</v>
      </c>
      <c r="D1596" s="1">
        <f ca="1">IFERROR(__xludf.DUMMYFUNCTION("""COMPUTED_VALUE"""),126.7)</f>
        <v>126.7</v>
      </c>
      <c r="E1596" s="1">
        <f ca="1">IFERROR(__xludf.DUMMYFUNCTION("""COMPUTED_VALUE"""),127.85)</f>
        <v>127.85</v>
      </c>
      <c r="F1596" s="1">
        <f ca="1">IFERROR(__xludf.DUMMYFUNCTION("""COMPUTED_VALUE"""),137564718)</f>
        <v>137564718</v>
      </c>
    </row>
    <row r="1597" spans="1:6" x14ac:dyDescent="0.35">
      <c r="A1597" s="2">
        <f ca="1">IFERROR(__xludf.DUMMYFUNCTION("""COMPUTED_VALUE"""),44321.6666666666)</f>
        <v>44321.666666666599</v>
      </c>
      <c r="B1597" s="1">
        <f ca="1">IFERROR(__xludf.DUMMYFUNCTION("""COMPUTED_VALUE"""),129.2)</f>
        <v>129.19999999999999</v>
      </c>
      <c r="C1597" s="1">
        <f ca="1">IFERROR(__xludf.DUMMYFUNCTION("""COMPUTED_VALUE"""),130.45)</f>
        <v>130.44999999999999</v>
      </c>
      <c r="D1597" s="1">
        <f ca="1">IFERROR(__xludf.DUMMYFUNCTION("""COMPUTED_VALUE"""),127.97)</f>
        <v>127.97</v>
      </c>
      <c r="E1597" s="1">
        <f ca="1">IFERROR(__xludf.DUMMYFUNCTION("""COMPUTED_VALUE"""),128.1)</f>
        <v>128.1</v>
      </c>
      <c r="F1597" s="1">
        <f ca="1">IFERROR(__xludf.DUMMYFUNCTION("""COMPUTED_VALUE"""),84000900)</f>
        <v>84000900</v>
      </c>
    </row>
    <row r="1598" spans="1:6" x14ac:dyDescent="0.35">
      <c r="A1598" s="2">
        <f ca="1">IFERROR(__xludf.DUMMYFUNCTION("""COMPUTED_VALUE"""),44322.6666666666)</f>
        <v>44322.666666666599</v>
      </c>
      <c r="B1598" s="1">
        <f ca="1">IFERROR(__xludf.DUMMYFUNCTION("""COMPUTED_VALUE"""),127.89)</f>
        <v>127.89</v>
      </c>
      <c r="C1598" s="1">
        <f ca="1">IFERROR(__xludf.DUMMYFUNCTION("""COMPUTED_VALUE"""),129.75)</f>
        <v>129.75</v>
      </c>
      <c r="D1598" s="1">
        <f ca="1">IFERROR(__xludf.DUMMYFUNCTION("""COMPUTED_VALUE"""),127.13)</f>
        <v>127.13</v>
      </c>
      <c r="E1598" s="1">
        <f ca="1">IFERROR(__xludf.DUMMYFUNCTION("""COMPUTED_VALUE"""),129.74)</f>
        <v>129.74</v>
      </c>
      <c r="F1598" s="1">
        <f ca="1">IFERROR(__xludf.DUMMYFUNCTION("""COMPUTED_VALUE"""),78128334)</f>
        <v>78128334</v>
      </c>
    </row>
    <row r="1599" spans="1:6" x14ac:dyDescent="0.35">
      <c r="A1599" s="2">
        <f ca="1">IFERROR(__xludf.DUMMYFUNCTION("""COMPUTED_VALUE"""),44323.6666666666)</f>
        <v>44323.666666666599</v>
      </c>
      <c r="B1599" s="1">
        <f ca="1">IFERROR(__xludf.DUMMYFUNCTION("""COMPUTED_VALUE"""),130.85)</f>
        <v>130.85</v>
      </c>
      <c r="C1599" s="1">
        <f ca="1">IFERROR(__xludf.DUMMYFUNCTION("""COMPUTED_VALUE"""),131.26)</f>
        <v>131.26</v>
      </c>
      <c r="D1599" s="1">
        <f ca="1">IFERROR(__xludf.DUMMYFUNCTION("""COMPUTED_VALUE"""),129.48)</f>
        <v>129.47999999999999</v>
      </c>
      <c r="E1599" s="1">
        <f ca="1">IFERROR(__xludf.DUMMYFUNCTION("""COMPUTED_VALUE"""),130.21)</f>
        <v>130.21</v>
      </c>
      <c r="F1599" s="1">
        <f ca="1">IFERROR(__xludf.DUMMYFUNCTION("""COMPUTED_VALUE"""),78973273)</f>
        <v>78973273</v>
      </c>
    </row>
    <row r="1600" spans="1:6" x14ac:dyDescent="0.35">
      <c r="A1600" s="2">
        <f ca="1">IFERROR(__xludf.DUMMYFUNCTION("""COMPUTED_VALUE"""),44326.6666666666)</f>
        <v>44326.666666666599</v>
      </c>
      <c r="B1600" s="1">
        <f ca="1">IFERROR(__xludf.DUMMYFUNCTION("""COMPUTED_VALUE"""),129.41)</f>
        <v>129.41</v>
      </c>
      <c r="C1600" s="1">
        <f ca="1">IFERROR(__xludf.DUMMYFUNCTION("""COMPUTED_VALUE"""),129.54)</f>
        <v>129.54</v>
      </c>
      <c r="D1600" s="1">
        <f ca="1">IFERROR(__xludf.DUMMYFUNCTION("""COMPUTED_VALUE"""),126.81)</f>
        <v>126.81</v>
      </c>
      <c r="E1600" s="1">
        <f ca="1">IFERROR(__xludf.DUMMYFUNCTION("""COMPUTED_VALUE"""),126.85)</f>
        <v>126.85</v>
      </c>
      <c r="F1600" s="1">
        <f ca="1">IFERROR(__xludf.DUMMYFUNCTION("""COMPUTED_VALUE"""),88071229)</f>
        <v>88071229</v>
      </c>
    </row>
    <row r="1601" spans="1:6" x14ac:dyDescent="0.35">
      <c r="A1601" s="2">
        <f ca="1">IFERROR(__xludf.DUMMYFUNCTION("""COMPUTED_VALUE"""),44327.6666666666)</f>
        <v>44327.666666666599</v>
      </c>
      <c r="B1601" s="1">
        <f ca="1">IFERROR(__xludf.DUMMYFUNCTION("""COMPUTED_VALUE"""),123.5)</f>
        <v>123.5</v>
      </c>
      <c r="C1601" s="1">
        <f ca="1">IFERROR(__xludf.DUMMYFUNCTION("""COMPUTED_VALUE"""),126.27)</f>
        <v>126.27</v>
      </c>
      <c r="D1601" s="1">
        <f ca="1">IFERROR(__xludf.DUMMYFUNCTION("""COMPUTED_VALUE"""),122.77)</f>
        <v>122.77</v>
      </c>
      <c r="E1601" s="1">
        <f ca="1">IFERROR(__xludf.DUMMYFUNCTION("""COMPUTED_VALUE"""),125.91)</f>
        <v>125.91</v>
      </c>
      <c r="F1601" s="1">
        <f ca="1">IFERROR(__xludf.DUMMYFUNCTION("""COMPUTED_VALUE"""),126142826)</f>
        <v>126142826</v>
      </c>
    </row>
    <row r="1602" spans="1:6" x14ac:dyDescent="0.35">
      <c r="A1602" s="2">
        <f ca="1">IFERROR(__xludf.DUMMYFUNCTION("""COMPUTED_VALUE"""),44328.6666666666)</f>
        <v>44328.666666666599</v>
      </c>
      <c r="B1602" s="1">
        <f ca="1">IFERROR(__xludf.DUMMYFUNCTION("""COMPUTED_VALUE"""),123.4)</f>
        <v>123.4</v>
      </c>
      <c r="C1602" s="1">
        <f ca="1">IFERROR(__xludf.DUMMYFUNCTION("""COMPUTED_VALUE"""),124.64)</f>
        <v>124.64</v>
      </c>
      <c r="D1602" s="1">
        <f ca="1">IFERROR(__xludf.DUMMYFUNCTION("""COMPUTED_VALUE"""),122.25)</f>
        <v>122.25</v>
      </c>
      <c r="E1602" s="1">
        <f ca="1">IFERROR(__xludf.DUMMYFUNCTION("""COMPUTED_VALUE"""),122.77)</f>
        <v>122.77</v>
      </c>
      <c r="F1602" s="1">
        <f ca="1">IFERROR(__xludf.DUMMYFUNCTION("""COMPUTED_VALUE"""),112172282)</f>
        <v>112172282</v>
      </c>
    </row>
    <row r="1603" spans="1:6" x14ac:dyDescent="0.35">
      <c r="A1603" s="2">
        <f ca="1">IFERROR(__xludf.DUMMYFUNCTION("""COMPUTED_VALUE"""),44329.6666666666)</f>
        <v>44329.666666666599</v>
      </c>
      <c r="B1603" s="1">
        <f ca="1">IFERROR(__xludf.DUMMYFUNCTION("""COMPUTED_VALUE"""),124.58)</f>
        <v>124.58</v>
      </c>
      <c r="C1603" s="1">
        <f ca="1">IFERROR(__xludf.DUMMYFUNCTION("""COMPUTED_VALUE"""),126.15)</f>
        <v>126.15</v>
      </c>
      <c r="D1603" s="1">
        <f ca="1">IFERROR(__xludf.DUMMYFUNCTION("""COMPUTED_VALUE"""),124.26)</f>
        <v>124.26</v>
      </c>
      <c r="E1603" s="1">
        <f ca="1">IFERROR(__xludf.DUMMYFUNCTION("""COMPUTED_VALUE"""),124.97)</f>
        <v>124.97</v>
      </c>
      <c r="F1603" s="1">
        <f ca="1">IFERROR(__xludf.DUMMYFUNCTION("""COMPUTED_VALUE"""),105861339)</f>
        <v>105861339</v>
      </c>
    </row>
    <row r="1604" spans="1:6" x14ac:dyDescent="0.35">
      <c r="A1604" s="2">
        <f ca="1">IFERROR(__xludf.DUMMYFUNCTION("""COMPUTED_VALUE"""),44330.6666666666)</f>
        <v>44330.666666666599</v>
      </c>
      <c r="B1604" s="1">
        <f ca="1">IFERROR(__xludf.DUMMYFUNCTION("""COMPUTED_VALUE"""),126.25)</f>
        <v>126.25</v>
      </c>
      <c r="C1604" s="1">
        <f ca="1">IFERROR(__xludf.DUMMYFUNCTION("""COMPUTED_VALUE"""),127.89)</f>
        <v>127.89</v>
      </c>
      <c r="D1604" s="1">
        <f ca="1">IFERROR(__xludf.DUMMYFUNCTION("""COMPUTED_VALUE"""),125.85)</f>
        <v>125.85</v>
      </c>
      <c r="E1604" s="1">
        <f ca="1">IFERROR(__xludf.DUMMYFUNCTION("""COMPUTED_VALUE"""),127.45)</f>
        <v>127.45</v>
      </c>
      <c r="F1604" s="1">
        <f ca="1">IFERROR(__xludf.DUMMYFUNCTION("""COMPUTED_VALUE"""),81917951)</f>
        <v>81917951</v>
      </c>
    </row>
    <row r="1605" spans="1:6" x14ac:dyDescent="0.35">
      <c r="A1605" s="2">
        <f ca="1">IFERROR(__xludf.DUMMYFUNCTION("""COMPUTED_VALUE"""),44333.6666666666)</f>
        <v>44333.666666666599</v>
      </c>
      <c r="B1605" s="1">
        <f ca="1">IFERROR(__xludf.DUMMYFUNCTION("""COMPUTED_VALUE"""),126.82)</f>
        <v>126.82</v>
      </c>
      <c r="C1605" s="1">
        <f ca="1">IFERROR(__xludf.DUMMYFUNCTION("""COMPUTED_VALUE"""),126.93)</f>
        <v>126.93</v>
      </c>
      <c r="D1605" s="1">
        <f ca="1">IFERROR(__xludf.DUMMYFUNCTION("""COMPUTED_VALUE"""),125.17)</f>
        <v>125.17</v>
      </c>
      <c r="E1605" s="1">
        <f ca="1">IFERROR(__xludf.DUMMYFUNCTION("""COMPUTED_VALUE"""),126.27)</f>
        <v>126.27</v>
      </c>
      <c r="F1605" s="1">
        <f ca="1">IFERROR(__xludf.DUMMYFUNCTION("""COMPUTED_VALUE"""),74244624)</f>
        <v>74244624</v>
      </c>
    </row>
    <row r="1606" spans="1:6" x14ac:dyDescent="0.35">
      <c r="A1606" s="2">
        <f ca="1">IFERROR(__xludf.DUMMYFUNCTION("""COMPUTED_VALUE"""),44334.6666666666)</f>
        <v>44334.666666666599</v>
      </c>
      <c r="B1606" s="1">
        <f ca="1">IFERROR(__xludf.DUMMYFUNCTION("""COMPUTED_VALUE"""),126.56)</f>
        <v>126.56</v>
      </c>
      <c r="C1606" s="1">
        <f ca="1">IFERROR(__xludf.DUMMYFUNCTION("""COMPUTED_VALUE"""),126.99)</f>
        <v>126.99</v>
      </c>
      <c r="D1606" s="1">
        <f ca="1">IFERROR(__xludf.DUMMYFUNCTION("""COMPUTED_VALUE"""),124.78)</f>
        <v>124.78</v>
      </c>
      <c r="E1606" s="1">
        <f ca="1">IFERROR(__xludf.DUMMYFUNCTION("""COMPUTED_VALUE"""),124.85)</f>
        <v>124.85</v>
      </c>
      <c r="F1606" s="1">
        <f ca="1">IFERROR(__xludf.DUMMYFUNCTION("""COMPUTED_VALUE"""),63342929)</f>
        <v>63342929</v>
      </c>
    </row>
    <row r="1607" spans="1:6" x14ac:dyDescent="0.35">
      <c r="A1607" s="2">
        <f ca="1">IFERROR(__xludf.DUMMYFUNCTION("""COMPUTED_VALUE"""),44335.6666666666)</f>
        <v>44335.666666666599</v>
      </c>
      <c r="B1607" s="1">
        <f ca="1">IFERROR(__xludf.DUMMYFUNCTION("""COMPUTED_VALUE"""),123.16)</f>
        <v>123.16</v>
      </c>
      <c r="C1607" s="1">
        <f ca="1">IFERROR(__xludf.DUMMYFUNCTION("""COMPUTED_VALUE"""),124.92)</f>
        <v>124.92</v>
      </c>
      <c r="D1607" s="1">
        <f ca="1">IFERROR(__xludf.DUMMYFUNCTION("""COMPUTED_VALUE"""),122.86)</f>
        <v>122.86</v>
      </c>
      <c r="E1607" s="1">
        <f ca="1">IFERROR(__xludf.DUMMYFUNCTION("""COMPUTED_VALUE"""),124.69)</f>
        <v>124.69</v>
      </c>
      <c r="F1607" s="1">
        <f ca="1">IFERROR(__xludf.DUMMYFUNCTION("""COMPUTED_VALUE"""),92611989)</f>
        <v>92611989</v>
      </c>
    </row>
    <row r="1608" spans="1:6" x14ac:dyDescent="0.35">
      <c r="A1608" s="2">
        <f ca="1">IFERROR(__xludf.DUMMYFUNCTION("""COMPUTED_VALUE"""),44336.6666666666)</f>
        <v>44336.666666666599</v>
      </c>
      <c r="B1608" s="1">
        <f ca="1">IFERROR(__xludf.DUMMYFUNCTION("""COMPUTED_VALUE"""),125.23)</f>
        <v>125.23</v>
      </c>
      <c r="C1608" s="1">
        <f ca="1">IFERROR(__xludf.DUMMYFUNCTION("""COMPUTED_VALUE"""),127.72)</f>
        <v>127.72</v>
      </c>
      <c r="D1608" s="1">
        <f ca="1">IFERROR(__xludf.DUMMYFUNCTION("""COMPUTED_VALUE"""),125.1)</f>
        <v>125.1</v>
      </c>
      <c r="E1608" s="1">
        <f ca="1">IFERROR(__xludf.DUMMYFUNCTION("""COMPUTED_VALUE"""),127.31)</f>
        <v>127.31</v>
      </c>
      <c r="F1608" s="1">
        <f ca="1">IFERROR(__xludf.DUMMYFUNCTION("""COMPUTED_VALUE"""),76857123)</f>
        <v>76857123</v>
      </c>
    </row>
    <row r="1609" spans="1:6" x14ac:dyDescent="0.35">
      <c r="A1609" s="2">
        <f ca="1">IFERROR(__xludf.DUMMYFUNCTION("""COMPUTED_VALUE"""),44337.6666666666)</f>
        <v>44337.666666666599</v>
      </c>
      <c r="B1609" s="1">
        <f ca="1">IFERROR(__xludf.DUMMYFUNCTION("""COMPUTED_VALUE"""),127.82)</f>
        <v>127.82</v>
      </c>
      <c r="C1609" s="1">
        <f ca="1">IFERROR(__xludf.DUMMYFUNCTION("""COMPUTED_VALUE"""),128)</f>
        <v>128</v>
      </c>
      <c r="D1609" s="1">
        <f ca="1">IFERROR(__xludf.DUMMYFUNCTION("""COMPUTED_VALUE"""),125.21)</f>
        <v>125.21</v>
      </c>
      <c r="E1609" s="1">
        <f ca="1">IFERROR(__xludf.DUMMYFUNCTION("""COMPUTED_VALUE"""),125.43)</f>
        <v>125.43</v>
      </c>
      <c r="F1609" s="1">
        <f ca="1">IFERROR(__xludf.DUMMYFUNCTION("""COMPUTED_VALUE"""),79295436)</f>
        <v>79295436</v>
      </c>
    </row>
    <row r="1610" spans="1:6" x14ac:dyDescent="0.35">
      <c r="A1610" s="2">
        <f ca="1">IFERROR(__xludf.DUMMYFUNCTION("""COMPUTED_VALUE"""),44340.6666666666)</f>
        <v>44340.666666666599</v>
      </c>
      <c r="B1610" s="1">
        <f ca="1">IFERROR(__xludf.DUMMYFUNCTION("""COMPUTED_VALUE"""),126.01)</f>
        <v>126.01</v>
      </c>
      <c r="C1610" s="1">
        <f ca="1">IFERROR(__xludf.DUMMYFUNCTION("""COMPUTED_VALUE"""),127.94)</f>
        <v>127.94</v>
      </c>
      <c r="D1610" s="1">
        <f ca="1">IFERROR(__xludf.DUMMYFUNCTION("""COMPUTED_VALUE"""),125.94)</f>
        <v>125.94</v>
      </c>
      <c r="E1610" s="1">
        <f ca="1">IFERROR(__xludf.DUMMYFUNCTION("""COMPUTED_VALUE"""),127.1)</f>
        <v>127.1</v>
      </c>
      <c r="F1610" s="1">
        <f ca="1">IFERROR(__xludf.DUMMYFUNCTION("""COMPUTED_VALUE"""),63092945)</f>
        <v>63092945</v>
      </c>
    </row>
    <row r="1611" spans="1:6" x14ac:dyDescent="0.35">
      <c r="A1611" s="2">
        <f ca="1">IFERROR(__xludf.DUMMYFUNCTION("""COMPUTED_VALUE"""),44341.6666666666)</f>
        <v>44341.666666666599</v>
      </c>
      <c r="B1611" s="1">
        <f ca="1">IFERROR(__xludf.DUMMYFUNCTION("""COMPUTED_VALUE"""),127.82)</f>
        <v>127.82</v>
      </c>
      <c r="C1611" s="1">
        <f ca="1">IFERROR(__xludf.DUMMYFUNCTION("""COMPUTED_VALUE"""),128.32)</f>
        <v>128.32</v>
      </c>
      <c r="D1611" s="1">
        <f ca="1">IFERROR(__xludf.DUMMYFUNCTION("""COMPUTED_VALUE"""),126.32)</f>
        <v>126.32</v>
      </c>
      <c r="E1611" s="1">
        <f ca="1">IFERROR(__xludf.DUMMYFUNCTION("""COMPUTED_VALUE"""),126.9)</f>
        <v>126.9</v>
      </c>
      <c r="F1611" s="1">
        <f ca="1">IFERROR(__xludf.DUMMYFUNCTION("""COMPUTED_VALUE"""),72009482)</f>
        <v>72009482</v>
      </c>
    </row>
    <row r="1612" spans="1:6" x14ac:dyDescent="0.35">
      <c r="A1612" s="2">
        <f ca="1">IFERROR(__xludf.DUMMYFUNCTION("""COMPUTED_VALUE"""),44342.6666666666)</f>
        <v>44342.666666666599</v>
      </c>
      <c r="B1612" s="1">
        <f ca="1">IFERROR(__xludf.DUMMYFUNCTION("""COMPUTED_VALUE"""),126.96)</f>
        <v>126.96</v>
      </c>
      <c r="C1612" s="1">
        <f ca="1">IFERROR(__xludf.DUMMYFUNCTION("""COMPUTED_VALUE"""),127.39)</f>
        <v>127.39</v>
      </c>
      <c r="D1612" s="1">
        <f ca="1">IFERROR(__xludf.DUMMYFUNCTION("""COMPUTED_VALUE"""),126.42)</f>
        <v>126.42</v>
      </c>
      <c r="E1612" s="1">
        <f ca="1">IFERROR(__xludf.DUMMYFUNCTION("""COMPUTED_VALUE"""),126.85)</f>
        <v>126.85</v>
      </c>
      <c r="F1612" s="1">
        <f ca="1">IFERROR(__xludf.DUMMYFUNCTION("""COMPUTED_VALUE"""),56575920)</f>
        <v>56575920</v>
      </c>
    </row>
    <row r="1613" spans="1:6" x14ac:dyDescent="0.35">
      <c r="A1613" s="2">
        <f ca="1">IFERROR(__xludf.DUMMYFUNCTION("""COMPUTED_VALUE"""),44343.6666666666)</f>
        <v>44343.666666666599</v>
      </c>
      <c r="B1613" s="1">
        <f ca="1">IFERROR(__xludf.DUMMYFUNCTION("""COMPUTED_VALUE"""),126.44)</f>
        <v>126.44</v>
      </c>
      <c r="C1613" s="1">
        <f ca="1">IFERROR(__xludf.DUMMYFUNCTION("""COMPUTED_VALUE"""),127.64)</f>
        <v>127.64</v>
      </c>
      <c r="D1613" s="1">
        <f ca="1">IFERROR(__xludf.DUMMYFUNCTION("""COMPUTED_VALUE"""),125.08)</f>
        <v>125.08</v>
      </c>
      <c r="E1613" s="1">
        <f ca="1">IFERROR(__xludf.DUMMYFUNCTION("""COMPUTED_VALUE"""),125.28)</f>
        <v>125.28</v>
      </c>
      <c r="F1613" s="1">
        <f ca="1">IFERROR(__xludf.DUMMYFUNCTION("""COMPUTED_VALUE"""),94625601)</f>
        <v>94625601</v>
      </c>
    </row>
    <row r="1614" spans="1:6" x14ac:dyDescent="0.35">
      <c r="A1614" s="2">
        <f ca="1">IFERROR(__xludf.DUMMYFUNCTION("""COMPUTED_VALUE"""),44344.6666666666)</f>
        <v>44344.666666666599</v>
      </c>
      <c r="B1614" s="1">
        <f ca="1">IFERROR(__xludf.DUMMYFUNCTION("""COMPUTED_VALUE"""),125.57)</f>
        <v>125.57</v>
      </c>
      <c r="C1614" s="1">
        <f ca="1">IFERROR(__xludf.DUMMYFUNCTION("""COMPUTED_VALUE"""),125.8)</f>
        <v>125.8</v>
      </c>
      <c r="D1614" s="1">
        <f ca="1">IFERROR(__xludf.DUMMYFUNCTION("""COMPUTED_VALUE"""),124.55)</f>
        <v>124.55</v>
      </c>
      <c r="E1614" s="1">
        <f ca="1">IFERROR(__xludf.DUMMYFUNCTION("""COMPUTED_VALUE"""),124.61)</f>
        <v>124.61</v>
      </c>
      <c r="F1614" s="1">
        <f ca="1">IFERROR(__xludf.DUMMYFUNCTION("""COMPUTED_VALUE"""),71311109)</f>
        <v>71311109</v>
      </c>
    </row>
    <row r="1615" spans="1:6" x14ac:dyDescent="0.35">
      <c r="A1615" s="2">
        <f ca="1">IFERROR(__xludf.DUMMYFUNCTION("""COMPUTED_VALUE"""),44348.6666666666)</f>
        <v>44348.666666666599</v>
      </c>
      <c r="B1615" s="1">
        <f ca="1">IFERROR(__xludf.DUMMYFUNCTION("""COMPUTED_VALUE"""),125.08)</f>
        <v>125.08</v>
      </c>
      <c r="C1615" s="1">
        <f ca="1">IFERROR(__xludf.DUMMYFUNCTION("""COMPUTED_VALUE"""),125.35)</f>
        <v>125.35</v>
      </c>
      <c r="D1615" s="1">
        <f ca="1">IFERROR(__xludf.DUMMYFUNCTION("""COMPUTED_VALUE"""),123.94)</f>
        <v>123.94</v>
      </c>
      <c r="E1615" s="1">
        <f ca="1">IFERROR(__xludf.DUMMYFUNCTION("""COMPUTED_VALUE"""),124.28)</f>
        <v>124.28</v>
      </c>
      <c r="F1615" s="1">
        <f ca="1">IFERROR(__xludf.DUMMYFUNCTION("""COMPUTED_VALUE"""),67637118)</f>
        <v>67637118</v>
      </c>
    </row>
    <row r="1616" spans="1:6" x14ac:dyDescent="0.35">
      <c r="A1616" s="2">
        <f ca="1">IFERROR(__xludf.DUMMYFUNCTION("""COMPUTED_VALUE"""),44349.6666666666)</f>
        <v>44349.666666666599</v>
      </c>
      <c r="B1616" s="1">
        <f ca="1">IFERROR(__xludf.DUMMYFUNCTION("""COMPUTED_VALUE"""),124.28)</f>
        <v>124.28</v>
      </c>
      <c r="C1616" s="1">
        <f ca="1">IFERROR(__xludf.DUMMYFUNCTION("""COMPUTED_VALUE"""),125.24)</f>
        <v>125.24</v>
      </c>
      <c r="D1616" s="1">
        <f ca="1">IFERROR(__xludf.DUMMYFUNCTION("""COMPUTED_VALUE"""),124.05)</f>
        <v>124.05</v>
      </c>
      <c r="E1616" s="1">
        <f ca="1">IFERROR(__xludf.DUMMYFUNCTION("""COMPUTED_VALUE"""),125.06)</f>
        <v>125.06</v>
      </c>
      <c r="F1616" s="1">
        <f ca="1">IFERROR(__xludf.DUMMYFUNCTION("""COMPUTED_VALUE"""),59278862)</f>
        <v>59278862</v>
      </c>
    </row>
    <row r="1617" spans="1:6" x14ac:dyDescent="0.35">
      <c r="A1617" s="2">
        <f ca="1">IFERROR(__xludf.DUMMYFUNCTION("""COMPUTED_VALUE"""),44350.6666666666)</f>
        <v>44350.666666666599</v>
      </c>
      <c r="B1617" s="1">
        <f ca="1">IFERROR(__xludf.DUMMYFUNCTION("""COMPUTED_VALUE"""),124.68)</f>
        <v>124.68</v>
      </c>
      <c r="C1617" s="1">
        <f ca="1">IFERROR(__xludf.DUMMYFUNCTION("""COMPUTED_VALUE"""),124.85)</f>
        <v>124.85</v>
      </c>
      <c r="D1617" s="1">
        <f ca="1">IFERROR(__xludf.DUMMYFUNCTION("""COMPUTED_VALUE"""),123.13)</f>
        <v>123.13</v>
      </c>
      <c r="E1617" s="1">
        <f ca="1">IFERROR(__xludf.DUMMYFUNCTION("""COMPUTED_VALUE"""),123.54)</f>
        <v>123.54</v>
      </c>
      <c r="F1617" s="1">
        <f ca="1">IFERROR(__xludf.DUMMYFUNCTION("""COMPUTED_VALUE"""),76229170)</f>
        <v>76229170</v>
      </c>
    </row>
    <row r="1618" spans="1:6" x14ac:dyDescent="0.35">
      <c r="A1618" s="2">
        <f ca="1">IFERROR(__xludf.DUMMYFUNCTION("""COMPUTED_VALUE"""),44351.6666666666)</f>
        <v>44351.666666666599</v>
      </c>
      <c r="B1618" s="1">
        <f ca="1">IFERROR(__xludf.DUMMYFUNCTION("""COMPUTED_VALUE"""),124.07)</f>
        <v>124.07</v>
      </c>
      <c r="C1618" s="1">
        <f ca="1">IFERROR(__xludf.DUMMYFUNCTION("""COMPUTED_VALUE"""),126.16)</f>
        <v>126.16</v>
      </c>
      <c r="D1618" s="1">
        <f ca="1">IFERROR(__xludf.DUMMYFUNCTION("""COMPUTED_VALUE"""),123.85)</f>
        <v>123.85</v>
      </c>
      <c r="E1618" s="1">
        <f ca="1">IFERROR(__xludf.DUMMYFUNCTION("""COMPUTED_VALUE"""),125.89)</f>
        <v>125.89</v>
      </c>
      <c r="F1618" s="1">
        <f ca="1">IFERROR(__xludf.DUMMYFUNCTION("""COMPUTED_VALUE"""),75169343)</f>
        <v>75169343</v>
      </c>
    </row>
    <row r="1619" spans="1:6" x14ac:dyDescent="0.35">
      <c r="A1619" s="2">
        <f ca="1">IFERROR(__xludf.DUMMYFUNCTION("""COMPUTED_VALUE"""),44354.6666666666)</f>
        <v>44354.666666666599</v>
      </c>
      <c r="B1619" s="1">
        <f ca="1">IFERROR(__xludf.DUMMYFUNCTION("""COMPUTED_VALUE"""),126.17)</f>
        <v>126.17</v>
      </c>
      <c r="C1619" s="1">
        <f ca="1">IFERROR(__xludf.DUMMYFUNCTION("""COMPUTED_VALUE"""),126.32)</f>
        <v>126.32</v>
      </c>
      <c r="D1619" s="1">
        <f ca="1">IFERROR(__xludf.DUMMYFUNCTION("""COMPUTED_VALUE"""),124.83)</f>
        <v>124.83</v>
      </c>
      <c r="E1619" s="1">
        <f ca="1">IFERROR(__xludf.DUMMYFUNCTION("""COMPUTED_VALUE"""),125.9)</f>
        <v>125.9</v>
      </c>
      <c r="F1619" s="1">
        <f ca="1">IFERROR(__xludf.DUMMYFUNCTION("""COMPUTED_VALUE"""),71057550)</f>
        <v>71057550</v>
      </c>
    </row>
    <row r="1620" spans="1:6" x14ac:dyDescent="0.35">
      <c r="A1620" s="2">
        <f ca="1">IFERROR(__xludf.DUMMYFUNCTION("""COMPUTED_VALUE"""),44355.6666666666)</f>
        <v>44355.666666666599</v>
      </c>
      <c r="B1620" s="1">
        <f ca="1">IFERROR(__xludf.DUMMYFUNCTION("""COMPUTED_VALUE"""),126.6)</f>
        <v>126.6</v>
      </c>
      <c r="C1620" s="1">
        <f ca="1">IFERROR(__xludf.DUMMYFUNCTION("""COMPUTED_VALUE"""),128.46)</f>
        <v>128.46</v>
      </c>
      <c r="D1620" s="1">
        <f ca="1">IFERROR(__xludf.DUMMYFUNCTION("""COMPUTED_VALUE"""),126.21)</f>
        <v>126.21</v>
      </c>
      <c r="E1620" s="1">
        <f ca="1">IFERROR(__xludf.DUMMYFUNCTION("""COMPUTED_VALUE"""),126.74)</f>
        <v>126.74</v>
      </c>
      <c r="F1620" s="1">
        <f ca="1">IFERROR(__xludf.DUMMYFUNCTION("""COMPUTED_VALUE"""),74403774)</f>
        <v>74403774</v>
      </c>
    </row>
    <row r="1621" spans="1:6" x14ac:dyDescent="0.35">
      <c r="A1621" s="2">
        <f ca="1">IFERROR(__xludf.DUMMYFUNCTION("""COMPUTED_VALUE"""),44356.6666666666)</f>
        <v>44356.666666666599</v>
      </c>
      <c r="B1621" s="1">
        <f ca="1">IFERROR(__xludf.DUMMYFUNCTION("""COMPUTED_VALUE"""),127.21)</f>
        <v>127.21</v>
      </c>
      <c r="C1621" s="1">
        <f ca="1">IFERROR(__xludf.DUMMYFUNCTION("""COMPUTED_VALUE"""),127.75)</f>
        <v>127.75</v>
      </c>
      <c r="D1621" s="1">
        <f ca="1">IFERROR(__xludf.DUMMYFUNCTION("""COMPUTED_VALUE"""),126.52)</f>
        <v>126.52</v>
      </c>
      <c r="E1621" s="1">
        <f ca="1">IFERROR(__xludf.DUMMYFUNCTION("""COMPUTED_VALUE"""),127.13)</f>
        <v>127.13</v>
      </c>
      <c r="F1621" s="1">
        <f ca="1">IFERROR(__xludf.DUMMYFUNCTION("""COMPUTED_VALUE"""),56877937)</f>
        <v>56877937</v>
      </c>
    </row>
    <row r="1622" spans="1:6" x14ac:dyDescent="0.35">
      <c r="A1622" s="2">
        <f ca="1">IFERROR(__xludf.DUMMYFUNCTION("""COMPUTED_VALUE"""),44357.6666666666)</f>
        <v>44357.666666666599</v>
      </c>
      <c r="B1622" s="1">
        <f ca="1">IFERROR(__xludf.DUMMYFUNCTION("""COMPUTED_VALUE"""),127.02)</f>
        <v>127.02</v>
      </c>
      <c r="C1622" s="1">
        <f ca="1">IFERROR(__xludf.DUMMYFUNCTION("""COMPUTED_VALUE"""),128.19)</f>
        <v>128.19</v>
      </c>
      <c r="D1622" s="1">
        <f ca="1">IFERROR(__xludf.DUMMYFUNCTION("""COMPUTED_VALUE"""),125.94)</f>
        <v>125.94</v>
      </c>
      <c r="E1622" s="1">
        <f ca="1">IFERROR(__xludf.DUMMYFUNCTION("""COMPUTED_VALUE"""),126.11)</f>
        <v>126.11</v>
      </c>
      <c r="F1622" s="1">
        <f ca="1">IFERROR(__xludf.DUMMYFUNCTION("""COMPUTED_VALUE"""),71186421)</f>
        <v>71186421</v>
      </c>
    </row>
    <row r="1623" spans="1:6" x14ac:dyDescent="0.35">
      <c r="A1623" s="2">
        <f ca="1">IFERROR(__xludf.DUMMYFUNCTION("""COMPUTED_VALUE"""),44358.6666666666)</f>
        <v>44358.666666666599</v>
      </c>
      <c r="B1623" s="1">
        <f ca="1">IFERROR(__xludf.DUMMYFUNCTION("""COMPUTED_VALUE"""),126.53)</f>
        <v>126.53</v>
      </c>
      <c r="C1623" s="1">
        <f ca="1">IFERROR(__xludf.DUMMYFUNCTION("""COMPUTED_VALUE"""),127.44)</f>
        <v>127.44</v>
      </c>
      <c r="D1623" s="1">
        <f ca="1">IFERROR(__xludf.DUMMYFUNCTION("""COMPUTED_VALUE"""),126.1)</f>
        <v>126.1</v>
      </c>
      <c r="E1623" s="1">
        <f ca="1">IFERROR(__xludf.DUMMYFUNCTION("""COMPUTED_VALUE"""),127.35)</f>
        <v>127.35</v>
      </c>
      <c r="F1623" s="1">
        <f ca="1">IFERROR(__xludf.DUMMYFUNCTION("""COMPUTED_VALUE"""),53522373)</f>
        <v>53522373</v>
      </c>
    </row>
    <row r="1624" spans="1:6" x14ac:dyDescent="0.35">
      <c r="A1624" s="2">
        <f ca="1">IFERROR(__xludf.DUMMYFUNCTION("""COMPUTED_VALUE"""),44361.6666666666)</f>
        <v>44361.666666666599</v>
      </c>
      <c r="B1624" s="1">
        <f ca="1">IFERROR(__xludf.DUMMYFUNCTION("""COMPUTED_VALUE"""),127.82)</f>
        <v>127.82</v>
      </c>
      <c r="C1624" s="1">
        <f ca="1">IFERROR(__xludf.DUMMYFUNCTION("""COMPUTED_VALUE"""),130.54)</f>
        <v>130.54</v>
      </c>
      <c r="D1624" s="1">
        <f ca="1">IFERROR(__xludf.DUMMYFUNCTION("""COMPUTED_VALUE"""),127.07)</f>
        <v>127.07</v>
      </c>
      <c r="E1624" s="1">
        <f ca="1">IFERROR(__xludf.DUMMYFUNCTION("""COMPUTED_VALUE"""),130.48)</f>
        <v>130.47999999999999</v>
      </c>
      <c r="F1624" s="1">
        <f ca="1">IFERROR(__xludf.DUMMYFUNCTION("""COMPUTED_VALUE"""),96906490)</f>
        <v>96906490</v>
      </c>
    </row>
    <row r="1625" spans="1:6" x14ac:dyDescent="0.35">
      <c r="A1625" s="2">
        <f ca="1">IFERROR(__xludf.DUMMYFUNCTION("""COMPUTED_VALUE"""),44362.6666666666)</f>
        <v>44362.666666666599</v>
      </c>
      <c r="B1625" s="1">
        <f ca="1">IFERROR(__xludf.DUMMYFUNCTION("""COMPUTED_VALUE"""),129.94)</f>
        <v>129.94</v>
      </c>
      <c r="C1625" s="1">
        <f ca="1">IFERROR(__xludf.DUMMYFUNCTION("""COMPUTED_VALUE"""),130.6)</f>
        <v>130.6</v>
      </c>
      <c r="D1625" s="1">
        <f ca="1">IFERROR(__xludf.DUMMYFUNCTION("""COMPUTED_VALUE"""),129.39)</f>
        <v>129.38999999999999</v>
      </c>
      <c r="E1625" s="1">
        <f ca="1">IFERROR(__xludf.DUMMYFUNCTION("""COMPUTED_VALUE"""),129.64)</f>
        <v>129.63999999999999</v>
      </c>
      <c r="F1625" s="1">
        <f ca="1">IFERROR(__xludf.DUMMYFUNCTION("""COMPUTED_VALUE"""),62746332)</f>
        <v>62746332</v>
      </c>
    </row>
    <row r="1626" spans="1:6" x14ac:dyDescent="0.35">
      <c r="A1626" s="2">
        <f ca="1">IFERROR(__xludf.DUMMYFUNCTION("""COMPUTED_VALUE"""),44363.6666666666)</f>
        <v>44363.666666666599</v>
      </c>
      <c r="B1626" s="1">
        <f ca="1">IFERROR(__xludf.DUMMYFUNCTION("""COMPUTED_VALUE"""),130.37)</f>
        <v>130.37</v>
      </c>
      <c r="C1626" s="1">
        <f ca="1">IFERROR(__xludf.DUMMYFUNCTION("""COMPUTED_VALUE"""),130.89)</f>
        <v>130.88999999999999</v>
      </c>
      <c r="D1626" s="1">
        <f ca="1">IFERROR(__xludf.DUMMYFUNCTION("""COMPUTED_VALUE"""),128.46)</f>
        <v>128.46</v>
      </c>
      <c r="E1626" s="1">
        <f ca="1">IFERROR(__xludf.DUMMYFUNCTION("""COMPUTED_VALUE"""),130.15)</f>
        <v>130.15</v>
      </c>
      <c r="F1626" s="1">
        <f ca="1">IFERROR(__xludf.DUMMYFUNCTION("""COMPUTED_VALUE"""),91815026)</f>
        <v>91815026</v>
      </c>
    </row>
    <row r="1627" spans="1:6" x14ac:dyDescent="0.35">
      <c r="A1627" s="2">
        <f ca="1">IFERROR(__xludf.DUMMYFUNCTION("""COMPUTED_VALUE"""),44364.6666666666)</f>
        <v>44364.666666666599</v>
      </c>
      <c r="B1627" s="1">
        <f ca="1">IFERROR(__xludf.DUMMYFUNCTION("""COMPUTED_VALUE"""),129.8)</f>
        <v>129.80000000000001</v>
      </c>
      <c r="C1627" s="1">
        <f ca="1">IFERROR(__xludf.DUMMYFUNCTION("""COMPUTED_VALUE"""),132.55)</f>
        <v>132.55000000000001</v>
      </c>
      <c r="D1627" s="1">
        <f ca="1">IFERROR(__xludf.DUMMYFUNCTION("""COMPUTED_VALUE"""),129.65)</f>
        <v>129.65</v>
      </c>
      <c r="E1627" s="1">
        <f ca="1">IFERROR(__xludf.DUMMYFUNCTION("""COMPUTED_VALUE"""),131.79)</f>
        <v>131.79</v>
      </c>
      <c r="F1627" s="1">
        <f ca="1">IFERROR(__xludf.DUMMYFUNCTION("""COMPUTED_VALUE"""),96721669)</f>
        <v>96721669</v>
      </c>
    </row>
    <row r="1628" spans="1:6" x14ac:dyDescent="0.35">
      <c r="A1628" s="2">
        <f ca="1">IFERROR(__xludf.DUMMYFUNCTION("""COMPUTED_VALUE"""),44365.6666666666)</f>
        <v>44365.666666666599</v>
      </c>
      <c r="B1628" s="1">
        <f ca="1">IFERROR(__xludf.DUMMYFUNCTION("""COMPUTED_VALUE"""),130.71)</f>
        <v>130.71</v>
      </c>
      <c r="C1628" s="1">
        <f ca="1">IFERROR(__xludf.DUMMYFUNCTION("""COMPUTED_VALUE"""),131.51)</f>
        <v>131.51</v>
      </c>
      <c r="D1628" s="1">
        <f ca="1">IFERROR(__xludf.DUMMYFUNCTION("""COMPUTED_VALUE"""),130.24)</f>
        <v>130.24</v>
      </c>
      <c r="E1628" s="1">
        <f ca="1">IFERROR(__xludf.DUMMYFUNCTION("""COMPUTED_VALUE"""),130.46)</f>
        <v>130.46</v>
      </c>
      <c r="F1628" s="1">
        <f ca="1">IFERROR(__xludf.DUMMYFUNCTION("""COMPUTED_VALUE"""),108953309)</f>
        <v>108953309</v>
      </c>
    </row>
    <row r="1629" spans="1:6" x14ac:dyDescent="0.35">
      <c r="A1629" s="2">
        <f ca="1">IFERROR(__xludf.DUMMYFUNCTION("""COMPUTED_VALUE"""),44368.6666666666)</f>
        <v>44368.666666666599</v>
      </c>
      <c r="B1629" s="1">
        <f ca="1">IFERROR(__xludf.DUMMYFUNCTION("""COMPUTED_VALUE"""),130.3)</f>
        <v>130.30000000000001</v>
      </c>
      <c r="C1629" s="1">
        <f ca="1">IFERROR(__xludf.DUMMYFUNCTION("""COMPUTED_VALUE"""),132.41)</f>
        <v>132.41</v>
      </c>
      <c r="D1629" s="1">
        <f ca="1">IFERROR(__xludf.DUMMYFUNCTION("""COMPUTED_VALUE"""),129.21)</f>
        <v>129.21</v>
      </c>
      <c r="E1629" s="1">
        <f ca="1">IFERROR(__xludf.DUMMYFUNCTION("""COMPUTED_VALUE"""),132.3)</f>
        <v>132.30000000000001</v>
      </c>
      <c r="F1629" s="1">
        <f ca="1">IFERROR(__xludf.DUMMYFUNCTION("""COMPUTED_VALUE"""),79663316)</f>
        <v>79663316</v>
      </c>
    </row>
    <row r="1630" spans="1:6" x14ac:dyDescent="0.35">
      <c r="A1630" s="2">
        <f ca="1">IFERROR(__xludf.DUMMYFUNCTION("""COMPUTED_VALUE"""),44369.6666666666)</f>
        <v>44369.666666666599</v>
      </c>
      <c r="B1630" s="1">
        <f ca="1">IFERROR(__xludf.DUMMYFUNCTION("""COMPUTED_VALUE"""),132.13)</f>
        <v>132.13</v>
      </c>
      <c r="C1630" s="1">
        <f ca="1">IFERROR(__xludf.DUMMYFUNCTION("""COMPUTED_VALUE"""),134.08)</f>
        <v>134.08000000000001</v>
      </c>
      <c r="D1630" s="1">
        <f ca="1">IFERROR(__xludf.DUMMYFUNCTION("""COMPUTED_VALUE"""),131.62)</f>
        <v>131.62</v>
      </c>
      <c r="E1630" s="1">
        <f ca="1">IFERROR(__xludf.DUMMYFUNCTION("""COMPUTED_VALUE"""),133.98)</f>
        <v>133.97999999999999</v>
      </c>
      <c r="F1630" s="1">
        <f ca="1">IFERROR(__xludf.DUMMYFUNCTION("""COMPUTED_VALUE"""),74783618)</f>
        <v>74783618</v>
      </c>
    </row>
    <row r="1631" spans="1:6" x14ac:dyDescent="0.35">
      <c r="A1631" s="2">
        <f ca="1">IFERROR(__xludf.DUMMYFUNCTION("""COMPUTED_VALUE"""),44370.6666666666)</f>
        <v>44370.666666666599</v>
      </c>
      <c r="B1631" s="1">
        <f ca="1">IFERROR(__xludf.DUMMYFUNCTION("""COMPUTED_VALUE"""),133.77)</f>
        <v>133.77000000000001</v>
      </c>
      <c r="C1631" s="1">
        <f ca="1">IFERROR(__xludf.DUMMYFUNCTION("""COMPUTED_VALUE"""),134.32)</f>
        <v>134.32</v>
      </c>
      <c r="D1631" s="1">
        <f ca="1">IFERROR(__xludf.DUMMYFUNCTION("""COMPUTED_VALUE"""),133.23)</f>
        <v>133.22999999999999</v>
      </c>
      <c r="E1631" s="1">
        <f ca="1">IFERROR(__xludf.DUMMYFUNCTION("""COMPUTED_VALUE"""),133.7)</f>
        <v>133.69999999999999</v>
      </c>
      <c r="F1631" s="1">
        <f ca="1">IFERROR(__xludf.DUMMYFUNCTION("""COMPUTED_VALUE"""),60214200)</f>
        <v>60214200</v>
      </c>
    </row>
    <row r="1632" spans="1:6" x14ac:dyDescent="0.35">
      <c r="A1632" s="2">
        <f ca="1">IFERROR(__xludf.DUMMYFUNCTION("""COMPUTED_VALUE"""),44371.6666666666)</f>
        <v>44371.666666666599</v>
      </c>
      <c r="B1632" s="1">
        <f ca="1">IFERROR(__xludf.DUMMYFUNCTION("""COMPUTED_VALUE"""),134.45)</f>
        <v>134.44999999999999</v>
      </c>
      <c r="C1632" s="1">
        <f ca="1">IFERROR(__xludf.DUMMYFUNCTION("""COMPUTED_VALUE"""),134.64)</f>
        <v>134.63999999999999</v>
      </c>
      <c r="D1632" s="1">
        <f ca="1">IFERROR(__xludf.DUMMYFUNCTION("""COMPUTED_VALUE"""),132.93)</f>
        <v>132.93</v>
      </c>
      <c r="E1632" s="1">
        <f ca="1">IFERROR(__xludf.DUMMYFUNCTION("""COMPUTED_VALUE"""),133.41)</f>
        <v>133.41</v>
      </c>
      <c r="F1632" s="1">
        <f ca="1">IFERROR(__xludf.DUMMYFUNCTION("""COMPUTED_VALUE"""),68710998)</f>
        <v>68710998</v>
      </c>
    </row>
    <row r="1633" spans="1:6" x14ac:dyDescent="0.35">
      <c r="A1633" s="2">
        <f ca="1">IFERROR(__xludf.DUMMYFUNCTION("""COMPUTED_VALUE"""),44372.6666666666)</f>
        <v>44372.666666666599</v>
      </c>
      <c r="B1633" s="1">
        <f ca="1">IFERROR(__xludf.DUMMYFUNCTION("""COMPUTED_VALUE"""),133.46)</f>
        <v>133.46</v>
      </c>
      <c r="C1633" s="1">
        <f ca="1">IFERROR(__xludf.DUMMYFUNCTION("""COMPUTED_VALUE"""),133.89)</f>
        <v>133.88999999999999</v>
      </c>
      <c r="D1633" s="1">
        <f ca="1">IFERROR(__xludf.DUMMYFUNCTION("""COMPUTED_VALUE"""),132.81)</f>
        <v>132.81</v>
      </c>
      <c r="E1633" s="1">
        <f ca="1">IFERROR(__xludf.DUMMYFUNCTION("""COMPUTED_VALUE"""),133.11)</f>
        <v>133.11000000000001</v>
      </c>
      <c r="F1633" s="1">
        <f ca="1">IFERROR(__xludf.DUMMYFUNCTION("""COMPUTED_VALUE"""),70783746)</f>
        <v>70783746</v>
      </c>
    </row>
    <row r="1634" spans="1:6" x14ac:dyDescent="0.35">
      <c r="A1634" s="2">
        <f ca="1">IFERROR(__xludf.DUMMYFUNCTION("""COMPUTED_VALUE"""),44375.6666666666)</f>
        <v>44375.666666666599</v>
      </c>
      <c r="B1634" s="1">
        <f ca="1">IFERROR(__xludf.DUMMYFUNCTION("""COMPUTED_VALUE"""),133.41)</f>
        <v>133.41</v>
      </c>
      <c r="C1634" s="1">
        <f ca="1">IFERROR(__xludf.DUMMYFUNCTION("""COMPUTED_VALUE"""),135.25)</f>
        <v>135.25</v>
      </c>
      <c r="D1634" s="1">
        <f ca="1">IFERROR(__xludf.DUMMYFUNCTION("""COMPUTED_VALUE"""),133.35)</f>
        <v>133.35</v>
      </c>
      <c r="E1634" s="1">
        <f ca="1">IFERROR(__xludf.DUMMYFUNCTION("""COMPUTED_VALUE"""),134.78)</f>
        <v>134.78</v>
      </c>
      <c r="F1634" s="1">
        <f ca="1">IFERROR(__xludf.DUMMYFUNCTION("""COMPUTED_VALUE"""),62111303)</f>
        <v>62111303</v>
      </c>
    </row>
    <row r="1635" spans="1:6" x14ac:dyDescent="0.35">
      <c r="A1635" s="2">
        <f ca="1">IFERROR(__xludf.DUMMYFUNCTION("""COMPUTED_VALUE"""),44376.6666666666)</f>
        <v>44376.666666666599</v>
      </c>
      <c r="B1635" s="1">
        <f ca="1">IFERROR(__xludf.DUMMYFUNCTION("""COMPUTED_VALUE"""),134.8)</f>
        <v>134.80000000000001</v>
      </c>
      <c r="C1635" s="1">
        <f ca="1">IFERROR(__xludf.DUMMYFUNCTION("""COMPUTED_VALUE"""),136.49)</f>
        <v>136.49</v>
      </c>
      <c r="D1635" s="1">
        <f ca="1">IFERROR(__xludf.DUMMYFUNCTION("""COMPUTED_VALUE"""),134.35)</f>
        <v>134.35</v>
      </c>
      <c r="E1635" s="1">
        <f ca="1">IFERROR(__xludf.DUMMYFUNCTION("""COMPUTED_VALUE"""),136.33)</f>
        <v>136.33000000000001</v>
      </c>
      <c r="F1635" s="1">
        <f ca="1">IFERROR(__xludf.DUMMYFUNCTION("""COMPUTED_VALUE"""),64556081)</f>
        <v>64556081</v>
      </c>
    </row>
    <row r="1636" spans="1:6" x14ac:dyDescent="0.35">
      <c r="A1636" s="2">
        <f ca="1">IFERROR(__xludf.DUMMYFUNCTION("""COMPUTED_VALUE"""),44377.6666666666)</f>
        <v>44377.666666666599</v>
      </c>
      <c r="B1636" s="1">
        <f ca="1">IFERROR(__xludf.DUMMYFUNCTION("""COMPUTED_VALUE"""),136.17)</f>
        <v>136.16999999999999</v>
      </c>
      <c r="C1636" s="1">
        <f ca="1">IFERROR(__xludf.DUMMYFUNCTION("""COMPUTED_VALUE"""),137.41)</f>
        <v>137.41</v>
      </c>
      <c r="D1636" s="1">
        <f ca="1">IFERROR(__xludf.DUMMYFUNCTION("""COMPUTED_VALUE"""),135.87)</f>
        <v>135.87</v>
      </c>
      <c r="E1636" s="1">
        <f ca="1">IFERROR(__xludf.DUMMYFUNCTION("""COMPUTED_VALUE"""),136.96)</f>
        <v>136.96</v>
      </c>
      <c r="F1636" s="1">
        <f ca="1">IFERROR(__xludf.DUMMYFUNCTION("""COMPUTED_VALUE"""),63261393)</f>
        <v>63261393</v>
      </c>
    </row>
    <row r="1637" spans="1:6" x14ac:dyDescent="0.35">
      <c r="A1637" s="2">
        <f ca="1">IFERROR(__xludf.DUMMYFUNCTION("""COMPUTED_VALUE"""),44378.6666666666)</f>
        <v>44378.666666666599</v>
      </c>
      <c r="B1637" s="1">
        <f ca="1">IFERROR(__xludf.DUMMYFUNCTION("""COMPUTED_VALUE"""),136.6)</f>
        <v>136.6</v>
      </c>
      <c r="C1637" s="1">
        <f ca="1">IFERROR(__xludf.DUMMYFUNCTION("""COMPUTED_VALUE"""),137.33)</f>
        <v>137.33000000000001</v>
      </c>
      <c r="D1637" s="1">
        <f ca="1">IFERROR(__xludf.DUMMYFUNCTION("""COMPUTED_VALUE"""),135.76)</f>
        <v>135.76</v>
      </c>
      <c r="E1637" s="1">
        <f ca="1">IFERROR(__xludf.DUMMYFUNCTION("""COMPUTED_VALUE"""),137.27)</f>
        <v>137.27000000000001</v>
      </c>
      <c r="F1637" s="1">
        <f ca="1">IFERROR(__xludf.DUMMYFUNCTION("""COMPUTED_VALUE"""),52485781)</f>
        <v>52485781</v>
      </c>
    </row>
    <row r="1638" spans="1:6" x14ac:dyDescent="0.35">
      <c r="A1638" s="2">
        <f ca="1">IFERROR(__xludf.DUMMYFUNCTION("""COMPUTED_VALUE"""),44379.6666666666)</f>
        <v>44379.666666666599</v>
      </c>
      <c r="B1638" s="1">
        <f ca="1">IFERROR(__xludf.DUMMYFUNCTION("""COMPUTED_VALUE"""),137.9)</f>
        <v>137.9</v>
      </c>
      <c r="C1638" s="1">
        <f ca="1">IFERROR(__xludf.DUMMYFUNCTION("""COMPUTED_VALUE"""),140)</f>
        <v>140</v>
      </c>
      <c r="D1638" s="1">
        <f ca="1">IFERROR(__xludf.DUMMYFUNCTION("""COMPUTED_VALUE"""),137.75)</f>
        <v>137.75</v>
      </c>
      <c r="E1638" s="1">
        <f ca="1">IFERROR(__xludf.DUMMYFUNCTION("""COMPUTED_VALUE"""),139.96)</f>
        <v>139.96</v>
      </c>
      <c r="F1638" s="1">
        <f ca="1">IFERROR(__xludf.DUMMYFUNCTION("""COMPUTED_VALUE"""),78945572)</f>
        <v>78945572</v>
      </c>
    </row>
    <row r="1639" spans="1:6" x14ac:dyDescent="0.35">
      <c r="A1639" s="2">
        <f ca="1">IFERROR(__xludf.DUMMYFUNCTION("""COMPUTED_VALUE"""),44383.6666666666)</f>
        <v>44383.666666666599</v>
      </c>
      <c r="B1639" s="1">
        <f ca="1">IFERROR(__xludf.DUMMYFUNCTION("""COMPUTED_VALUE"""),140.07)</f>
        <v>140.07</v>
      </c>
      <c r="C1639" s="1">
        <f ca="1">IFERROR(__xludf.DUMMYFUNCTION("""COMPUTED_VALUE"""),143.15)</f>
        <v>143.15</v>
      </c>
      <c r="D1639" s="1">
        <f ca="1">IFERROR(__xludf.DUMMYFUNCTION("""COMPUTED_VALUE"""),140.07)</f>
        <v>140.07</v>
      </c>
      <c r="E1639" s="1">
        <f ca="1">IFERROR(__xludf.DUMMYFUNCTION("""COMPUTED_VALUE"""),142.02)</f>
        <v>142.02000000000001</v>
      </c>
      <c r="F1639" s="1">
        <f ca="1">IFERROR(__xludf.DUMMYFUNCTION("""COMPUTED_VALUE"""),108181793)</f>
        <v>108181793</v>
      </c>
    </row>
    <row r="1640" spans="1:6" x14ac:dyDescent="0.35">
      <c r="A1640" s="2">
        <f ca="1">IFERROR(__xludf.DUMMYFUNCTION("""COMPUTED_VALUE"""),44384.6666666666)</f>
        <v>44384.666666666599</v>
      </c>
      <c r="B1640" s="1">
        <f ca="1">IFERROR(__xludf.DUMMYFUNCTION("""COMPUTED_VALUE"""),143.54)</f>
        <v>143.54</v>
      </c>
      <c r="C1640" s="1">
        <f ca="1">IFERROR(__xludf.DUMMYFUNCTION("""COMPUTED_VALUE"""),144.89)</f>
        <v>144.88999999999999</v>
      </c>
      <c r="D1640" s="1">
        <f ca="1">IFERROR(__xludf.DUMMYFUNCTION("""COMPUTED_VALUE"""),142.66)</f>
        <v>142.66</v>
      </c>
      <c r="E1640" s="1">
        <f ca="1">IFERROR(__xludf.DUMMYFUNCTION("""COMPUTED_VALUE"""),144.57)</f>
        <v>144.57</v>
      </c>
      <c r="F1640" s="1">
        <f ca="1">IFERROR(__xludf.DUMMYFUNCTION("""COMPUTED_VALUE"""),104911589)</f>
        <v>104911589</v>
      </c>
    </row>
    <row r="1641" spans="1:6" x14ac:dyDescent="0.35">
      <c r="A1641" s="2">
        <f ca="1">IFERROR(__xludf.DUMMYFUNCTION("""COMPUTED_VALUE"""),44385.6666666666)</f>
        <v>44385.666666666599</v>
      </c>
      <c r="B1641" s="1">
        <f ca="1">IFERROR(__xludf.DUMMYFUNCTION("""COMPUTED_VALUE"""),141.58)</f>
        <v>141.58000000000001</v>
      </c>
      <c r="C1641" s="1">
        <f ca="1">IFERROR(__xludf.DUMMYFUNCTION("""COMPUTED_VALUE"""),144.06)</f>
        <v>144.06</v>
      </c>
      <c r="D1641" s="1">
        <f ca="1">IFERROR(__xludf.DUMMYFUNCTION("""COMPUTED_VALUE"""),140.67)</f>
        <v>140.66999999999999</v>
      </c>
      <c r="E1641" s="1">
        <f ca="1">IFERROR(__xludf.DUMMYFUNCTION("""COMPUTED_VALUE"""),143.24)</f>
        <v>143.24</v>
      </c>
      <c r="F1641" s="1">
        <f ca="1">IFERROR(__xludf.DUMMYFUNCTION("""COMPUTED_VALUE"""),105575458)</f>
        <v>105575458</v>
      </c>
    </row>
    <row r="1642" spans="1:6" x14ac:dyDescent="0.35">
      <c r="A1642" s="2">
        <f ca="1">IFERROR(__xludf.DUMMYFUNCTION("""COMPUTED_VALUE"""),44386.6666666666)</f>
        <v>44386.666666666599</v>
      </c>
      <c r="B1642" s="1">
        <f ca="1">IFERROR(__xludf.DUMMYFUNCTION("""COMPUTED_VALUE"""),142.75)</f>
        <v>142.75</v>
      </c>
      <c r="C1642" s="1">
        <f ca="1">IFERROR(__xludf.DUMMYFUNCTION("""COMPUTED_VALUE"""),145.65)</f>
        <v>145.65</v>
      </c>
      <c r="D1642" s="1">
        <f ca="1">IFERROR(__xludf.DUMMYFUNCTION("""COMPUTED_VALUE"""),142.65)</f>
        <v>142.65</v>
      </c>
      <c r="E1642" s="1">
        <f ca="1">IFERROR(__xludf.DUMMYFUNCTION("""COMPUTED_VALUE"""),145.11)</f>
        <v>145.11000000000001</v>
      </c>
      <c r="F1642" s="1">
        <f ca="1">IFERROR(__xludf.DUMMYFUNCTION("""COMPUTED_VALUE"""),99890800)</f>
        <v>99890800</v>
      </c>
    </row>
    <row r="1643" spans="1:6" x14ac:dyDescent="0.35">
      <c r="A1643" s="2">
        <f ca="1">IFERROR(__xludf.DUMMYFUNCTION("""COMPUTED_VALUE"""),44389.6666666666)</f>
        <v>44389.666666666599</v>
      </c>
      <c r="B1643" s="1">
        <f ca="1">IFERROR(__xludf.DUMMYFUNCTION("""COMPUTED_VALUE"""),146.21)</f>
        <v>146.21</v>
      </c>
      <c r="C1643" s="1">
        <f ca="1">IFERROR(__xludf.DUMMYFUNCTION("""COMPUTED_VALUE"""),146.32)</f>
        <v>146.32</v>
      </c>
      <c r="D1643" s="1">
        <f ca="1">IFERROR(__xludf.DUMMYFUNCTION("""COMPUTED_VALUE"""),144)</f>
        <v>144</v>
      </c>
      <c r="E1643" s="1">
        <f ca="1">IFERROR(__xludf.DUMMYFUNCTION("""COMPUTED_VALUE"""),144.5)</f>
        <v>144.5</v>
      </c>
      <c r="F1643" s="1">
        <f ca="1">IFERROR(__xludf.DUMMYFUNCTION("""COMPUTED_VALUE"""),76299719)</f>
        <v>76299719</v>
      </c>
    </row>
    <row r="1644" spans="1:6" x14ac:dyDescent="0.35">
      <c r="A1644" s="2">
        <f ca="1">IFERROR(__xludf.DUMMYFUNCTION("""COMPUTED_VALUE"""),44390.6666666666)</f>
        <v>44390.666666666599</v>
      </c>
      <c r="B1644" s="1">
        <f ca="1">IFERROR(__xludf.DUMMYFUNCTION("""COMPUTED_VALUE"""),144.03)</f>
        <v>144.03</v>
      </c>
      <c r="C1644" s="1">
        <f ca="1">IFERROR(__xludf.DUMMYFUNCTION("""COMPUTED_VALUE"""),147.46)</f>
        <v>147.46</v>
      </c>
      <c r="D1644" s="1">
        <f ca="1">IFERROR(__xludf.DUMMYFUNCTION("""COMPUTED_VALUE"""),143.63)</f>
        <v>143.63</v>
      </c>
      <c r="E1644" s="1">
        <f ca="1">IFERROR(__xludf.DUMMYFUNCTION("""COMPUTED_VALUE"""),145.64)</f>
        <v>145.63999999999999</v>
      </c>
      <c r="F1644" s="1">
        <f ca="1">IFERROR(__xludf.DUMMYFUNCTION("""COMPUTED_VALUE"""),100827099)</f>
        <v>100827099</v>
      </c>
    </row>
    <row r="1645" spans="1:6" x14ac:dyDescent="0.35">
      <c r="A1645" s="2">
        <f ca="1">IFERROR(__xludf.DUMMYFUNCTION("""COMPUTED_VALUE"""),44391.6666666666)</f>
        <v>44391.666666666599</v>
      </c>
      <c r="B1645" s="1">
        <f ca="1">IFERROR(__xludf.DUMMYFUNCTION("""COMPUTED_VALUE"""),148.1)</f>
        <v>148.1</v>
      </c>
      <c r="C1645" s="1">
        <f ca="1">IFERROR(__xludf.DUMMYFUNCTION("""COMPUTED_VALUE"""),149.57)</f>
        <v>149.57</v>
      </c>
      <c r="D1645" s="1">
        <f ca="1">IFERROR(__xludf.DUMMYFUNCTION("""COMPUTED_VALUE"""),147.68)</f>
        <v>147.68</v>
      </c>
      <c r="E1645" s="1">
        <f ca="1">IFERROR(__xludf.DUMMYFUNCTION("""COMPUTED_VALUE"""),149.15)</f>
        <v>149.15</v>
      </c>
      <c r="F1645" s="1">
        <f ca="1">IFERROR(__xludf.DUMMYFUNCTION("""COMPUTED_VALUE"""),127050785)</f>
        <v>127050785</v>
      </c>
    </row>
    <row r="1646" spans="1:6" x14ac:dyDescent="0.35">
      <c r="A1646" s="2">
        <f ca="1">IFERROR(__xludf.DUMMYFUNCTION("""COMPUTED_VALUE"""),44392.6666666666)</f>
        <v>44392.666666666599</v>
      </c>
      <c r="B1646" s="1">
        <f ca="1">IFERROR(__xludf.DUMMYFUNCTION("""COMPUTED_VALUE"""),149.24)</f>
        <v>149.24</v>
      </c>
      <c r="C1646" s="1">
        <f ca="1">IFERROR(__xludf.DUMMYFUNCTION("""COMPUTED_VALUE"""),150)</f>
        <v>150</v>
      </c>
      <c r="D1646" s="1">
        <f ca="1">IFERROR(__xludf.DUMMYFUNCTION("""COMPUTED_VALUE"""),147.09)</f>
        <v>147.09</v>
      </c>
      <c r="E1646" s="1">
        <f ca="1">IFERROR(__xludf.DUMMYFUNCTION("""COMPUTED_VALUE"""),148.48)</f>
        <v>148.47999999999999</v>
      </c>
      <c r="F1646" s="1">
        <f ca="1">IFERROR(__xludf.DUMMYFUNCTION("""COMPUTED_VALUE"""),106820297)</f>
        <v>106820297</v>
      </c>
    </row>
    <row r="1647" spans="1:6" x14ac:dyDescent="0.35">
      <c r="A1647" s="2">
        <f ca="1">IFERROR(__xludf.DUMMYFUNCTION("""COMPUTED_VALUE"""),44393.6666666666)</f>
        <v>44393.666666666599</v>
      </c>
      <c r="B1647" s="1">
        <f ca="1">IFERROR(__xludf.DUMMYFUNCTION("""COMPUTED_VALUE"""),148.46)</f>
        <v>148.46</v>
      </c>
      <c r="C1647" s="1">
        <f ca="1">IFERROR(__xludf.DUMMYFUNCTION("""COMPUTED_VALUE"""),149.76)</f>
        <v>149.76</v>
      </c>
      <c r="D1647" s="1">
        <f ca="1">IFERROR(__xludf.DUMMYFUNCTION("""COMPUTED_VALUE"""),145.88)</f>
        <v>145.88</v>
      </c>
      <c r="E1647" s="1">
        <f ca="1">IFERROR(__xludf.DUMMYFUNCTION("""COMPUTED_VALUE"""),146.39)</f>
        <v>146.38999999999999</v>
      </c>
      <c r="F1647" s="1">
        <f ca="1">IFERROR(__xludf.DUMMYFUNCTION("""COMPUTED_VALUE"""),93251426)</f>
        <v>93251426</v>
      </c>
    </row>
    <row r="1648" spans="1:6" x14ac:dyDescent="0.35">
      <c r="A1648" s="2">
        <f ca="1">IFERROR(__xludf.DUMMYFUNCTION("""COMPUTED_VALUE"""),44396.6666666666)</f>
        <v>44396.666666666599</v>
      </c>
      <c r="B1648" s="1">
        <f ca="1">IFERROR(__xludf.DUMMYFUNCTION("""COMPUTED_VALUE"""),143.75)</f>
        <v>143.75</v>
      </c>
      <c r="C1648" s="1">
        <f ca="1">IFERROR(__xludf.DUMMYFUNCTION("""COMPUTED_VALUE"""),144.07)</f>
        <v>144.07</v>
      </c>
      <c r="D1648" s="1">
        <f ca="1">IFERROR(__xludf.DUMMYFUNCTION("""COMPUTED_VALUE"""),141.67)</f>
        <v>141.66999999999999</v>
      </c>
      <c r="E1648" s="1">
        <f ca="1">IFERROR(__xludf.DUMMYFUNCTION("""COMPUTED_VALUE"""),142.45)</f>
        <v>142.44999999999999</v>
      </c>
      <c r="F1648" s="1">
        <f ca="1">IFERROR(__xludf.DUMMYFUNCTION("""COMPUTED_VALUE"""),121434571)</f>
        <v>121434571</v>
      </c>
    </row>
    <row r="1649" spans="1:6" x14ac:dyDescent="0.35">
      <c r="A1649" s="2">
        <f ca="1">IFERROR(__xludf.DUMMYFUNCTION("""COMPUTED_VALUE"""),44397.6666666666)</f>
        <v>44397.666666666599</v>
      </c>
      <c r="B1649" s="1">
        <f ca="1">IFERROR(__xludf.DUMMYFUNCTION("""COMPUTED_VALUE"""),143.46)</f>
        <v>143.46</v>
      </c>
      <c r="C1649" s="1">
        <f ca="1">IFERROR(__xludf.DUMMYFUNCTION("""COMPUTED_VALUE"""),147.1)</f>
        <v>147.1</v>
      </c>
      <c r="D1649" s="1">
        <f ca="1">IFERROR(__xludf.DUMMYFUNCTION("""COMPUTED_VALUE"""),142.96)</f>
        <v>142.96</v>
      </c>
      <c r="E1649" s="1">
        <f ca="1">IFERROR(__xludf.DUMMYFUNCTION("""COMPUTED_VALUE"""),146.15)</f>
        <v>146.15</v>
      </c>
      <c r="F1649" s="1">
        <f ca="1">IFERROR(__xludf.DUMMYFUNCTION("""COMPUTED_VALUE"""),96350036)</f>
        <v>96350036</v>
      </c>
    </row>
    <row r="1650" spans="1:6" x14ac:dyDescent="0.35">
      <c r="A1650" s="2">
        <f ca="1">IFERROR(__xludf.DUMMYFUNCTION("""COMPUTED_VALUE"""),44398.6666666666)</f>
        <v>44398.666666666599</v>
      </c>
      <c r="B1650" s="1">
        <f ca="1">IFERROR(__xludf.DUMMYFUNCTION("""COMPUTED_VALUE"""),145.53)</f>
        <v>145.53</v>
      </c>
      <c r="C1650" s="1">
        <f ca="1">IFERROR(__xludf.DUMMYFUNCTION("""COMPUTED_VALUE"""),146.13)</f>
        <v>146.13</v>
      </c>
      <c r="D1650" s="1">
        <f ca="1">IFERROR(__xludf.DUMMYFUNCTION("""COMPUTED_VALUE"""),144.63)</f>
        <v>144.63</v>
      </c>
      <c r="E1650" s="1">
        <f ca="1">IFERROR(__xludf.DUMMYFUNCTION("""COMPUTED_VALUE"""),145.4)</f>
        <v>145.4</v>
      </c>
      <c r="F1650" s="1">
        <f ca="1">IFERROR(__xludf.DUMMYFUNCTION("""COMPUTED_VALUE"""),74993460)</f>
        <v>74993460</v>
      </c>
    </row>
    <row r="1651" spans="1:6" x14ac:dyDescent="0.35">
      <c r="A1651" s="2">
        <f ca="1">IFERROR(__xludf.DUMMYFUNCTION("""COMPUTED_VALUE"""),44399.6666666666)</f>
        <v>44399.666666666599</v>
      </c>
      <c r="B1651" s="1">
        <f ca="1">IFERROR(__xludf.DUMMYFUNCTION("""COMPUTED_VALUE"""),145.94)</f>
        <v>145.94</v>
      </c>
      <c r="C1651" s="1">
        <f ca="1">IFERROR(__xludf.DUMMYFUNCTION("""COMPUTED_VALUE"""),148.2)</f>
        <v>148.19999999999999</v>
      </c>
      <c r="D1651" s="1">
        <f ca="1">IFERROR(__xludf.DUMMYFUNCTION("""COMPUTED_VALUE"""),145.81)</f>
        <v>145.81</v>
      </c>
      <c r="E1651" s="1">
        <f ca="1">IFERROR(__xludf.DUMMYFUNCTION("""COMPUTED_VALUE"""),146.8)</f>
        <v>146.80000000000001</v>
      </c>
      <c r="F1651" s="1">
        <f ca="1">IFERROR(__xludf.DUMMYFUNCTION("""COMPUTED_VALUE"""),77338156)</f>
        <v>77338156</v>
      </c>
    </row>
    <row r="1652" spans="1:6" x14ac:dyDescent="0.35">
      <c r="A1652" s="2">
        <f ca="1">IFERROR(__xludf.DUMMYFUNCTION("""COMPUTED_VALUE"""),44400.6666666666)</f>
        <v>44400.666666666599</v>
      </c>
      <c r="B1652" s="1">
        <f ca="1">IFERROR(__xludf.DUMMYFUNCTION("""COMPUTED_VALUE"""),147.55)</f>
        <v>147.55000000000001</v>
      </c>
      <c r="C1652" s="1">
        <f ca="1">IFERROR(__xludf.DUMMYFUNCTION("""COMPUTED_VALUE"""),148.72)</f>
        <v>148.72</v>
      </c>
      <c r="D1652" s="1">
        <f ca="1">IFERROR(__xludf.DUMMYFUNCTION("""COMPUTED_VALUE"""),146.92)</f>
        <v>146.91999999999999</v>
      </c>
      <c r="E1652" s="1">
        <f ca="1">IFERROR(__xludf.DUMMYFUNCTION("""COMPUTED_VALUE"""),148.56)</f>
        <v>148.56</v>
      </c>
      <c r="F1652" s="1">
        <f ca="1">IFERROR(__xludf.DUMMYFUNCTION("""COMPUTED_VALUE"""),71447416)</f>
        <v>71447416</v>
      </c>
    </row>
    <row r="1653" spans="1:6" x14ac:dyDescent="0.35">
      <c r="A1653" s="2">
        <f ca="1">IFERROR(__xludf.DUMMYFUNCTION("""COMPUTED_VALUE"""),44403.6666666666)</f>
        <v>44403.666666666599</v>
      </c>
      <c r="B1653" s="1">
        <f ca="1">IFERROR(__xludf.DUMMYFUNCTION("""COMPUTED_VALUE"""),148.27)</f>
        <v>148.27000000000001</v>
      </c>
      <c r="C1653" s="1">
        <f ca="1">IFERROR(__xludf.DUMMYFUNCTION("""COMPUTED_VALUE"""),149.83)</f>
        <v>149.83000000000001</v>
      </c>
      <c r="D1653" s="1">
        <f ca="1">IFERROR(__xludf.DUMMYFUNCTION("""COMPUTED_VALUE"""),147.7)</f>
        <v>147.69999999999999</v>
      </c>
      <c r="E1653" s="1">
        <f ca="1">IFERROR(__xludf.DUMMYFUNCTION("""COMPUTED_VALUE"""),148.99)</f>
        <v>148.99</v>
      </c>
      <c r="F1653" s="1">
        <f ca="1">IFERROR(__xludf.DUMMYFUNCTION("""COMPUTED_VALUE"""),72434089)</f>
        <v>72434089</v>
      </c>
    </row>
    <row r="1654" spans="1:6" x14ac:dyDescent="0.35">
      <c r="A1654" s="2">
        <f ca="1">IFERROR(__xludf.DUMMYFUNCTION("""COMPUTED_VALUE"""),44404.6666666666)</f>
        <v>44404.666666666599</v>
      </c>
      <c r="B1654" s="1">
        <f ca="1">IFERROR(__xludf.DUMMYFUNCTION("""COMPUTED_VALUE"""),149.12)</f>
        <v>149.12</v>
      </c>
      <c r="C1654" s="1">
        <f ca="1">IFERROR(__xludf.DUMMYFUNCTION("""COMPUTED_VALUE"""),149.21)</f>
        <v>149.21</v>
      </c>
      <c r="D1654" s="1">
        <f ca="1">IFERROR(__xludf.DUMMYFUNCTION("""COMPUTED_VALUE"""),145.55)</f>
        <v>145.55000000000001</v>
      </c>
      <c r="E1654" s="1">
        <f ca="1">IFERROR(__xludf.DUMMYFUNCTION("""COMPUTED_VALUE"""),146.77)</f>
        <v>146.77000000000001</v>
      </c>
      <c r="F1654" s="1">
        <f ca="1">IFERROR(__xludf.DUMMYFUNCTION("""COMPUTED_VALUE"""),104818578)</f>
        <v>104818578</v>
      </c>
    </row>
    <row r="1655" spans="1:6" x14ac:dyDescent="0.35">
      <c r="A1655" s="2">
        <f ca="1">IFERROR(__xludf.DUMMYFUNCTION("""COMPUTED_VALUE"""),44405.6666666666)</f>
        <v>44405.666666666599</v>
      </c>
      <c r="B1655" s="1">
        <f ca="1">IFERROR(__xludf.DUMMYFUNCTION("""COMPUTED_VALUE"""),144.81)</f>
        <v>144.81</v>
      </c>
      <c r="C1655" s="1">
        <f ca="1">IFERROR(__xludf.DUMMYFUNCTION("""COMPUTED_VALUE"""),146.97)</f>
        <v>146.97</v>
      </c>
      <c r="D1655" s="1">
        <f ca="1">IFERROR(__xludf.DUMMYFUNCTION("""COMPUTED_VALUE"""),142.54)</f>
        <v>142.54</v>
      </c>
      <c r="E1655" s="1">
        <f ca="1">IFERROR(__xludf.DUMMYFUNCTION("""COMPUTED_VALUE"""),144.98)</f>
        <v>144.97999999999999</v>
      </c>
      <c r="F1655" s="1">
        <f ca="1">IFERROR(__xludf.DUMMYFUNCTION("""COMPUTED_VALUE"""),118931191)</f>
        <v>118931191</v>
      </c>
    </row>
    <row r="1656" spans="1:6" x14ac:dyDescent="0.35">
      <c r="A1656" s="2">
        <f ca="1">IFERROR(__xludf.DUMMYFUNCTION("""COMPUTED_VALUE"""),44406.6666666666)</f>
        <v>44406.666666666599</v>
      </c>
      <c r="B1656" s="1">
        <f ca="1">IFERROR(__xludf.DUMMYFUNCTION("""COMPUTED_VALUE"""),144.69)</f>
        <v>144.69</v>
      </c>
      <c r="C1656" s="1">
        <f ca="1">IFERROR(__xludf.DUMMYFUNCTION("""COMPUTED_VALUE"""),146.55)</f>
        <v>146.55000000000001</v>
      </c>
      <c r="D1656" s="1">
        <f ca="1">IFERROR(__xludf.DUMMYFUNCTION("""COMPUTED_VALUE"""),144.58)</f>
        <v>144.58000000000001</v>
      </c>
      <c r="E1656" s="1">
        <f ca="1">IFERROR(__xludf.DUMMYFUNCTION("""COMPUTED_VALUE"""),145.64)</f>
        <v>145.63999999999999</v>
      </c>
      <c r="F1656" s="1">
        <f ca="1">IFERROR(__xludf.DUMMYFUNCTION("""COMPUTED_VALUE"""),56699475)</f>
        <v>56699475</v>
      </c>
    </row>
    <row r="1657" spans="1:6" x14ac:dyDescent="0.35">
      <c r="A1657" s="2">
        <f ca="1">IFERROR(__xludf.DUMMYFUNCTION("""COMPUTED_VALUE"""),44407.6666666666)</f>
        <v>44407.666666666599</v>
      </c>
      <c r="B1657" s="1">
        <f ca="1">IFERROR(__xludf.DUMMYFUNCTION("""COMPUTED_VALUE"""),144.38)</f>
        <v>144.38</v>
      </c>
      <c r="C1657" s="1">
        <f ca="1">IFERROR(__xludf.DUMMYFUNCTION("""COMPUTED_VALUE"""),146.33)</f>
        <v>146.33000000000001</v>
      </c>
      <c r="D1657" s="1">
        <f ca="1">IFERROR(__xludf.DUMMYFUNCTION("""COMPUTED_VALUE"""),144.11)</f>
        <v>144.11000000000001</v>
      </c>
      <c r="E1657" s="1">
        <f ca="1">IFERROR(__xludf.DUMMYFUNCTION("""COMPUTED_VALUE"""),145.86)</f>
        <v>145.86000000000001</v>
      </c>
      <c r="F1657" s="1">
        <f ca="1">IFERROR(__xludf.DUMMYFUNCTION("""COMPUTED_VALUE"""),70440626)</f>
        <v>70440626</v>
      </c>
    </row>
    <row r="1658" spans="1:6" x14ac:dyDescent="0.35">
      <c r="A1658" s="2">
        <f ca="1">IFERROR(__xludf.DUMMYFUNCTION("""COMPUTED_VALUE"""),44410.6666666666)</f>
        <v>44410.666666666599</v>
      </c>
      <c r="B1658" s="1">
        <f ca="1">IFERROR(__xludf.DUMMYFUNCTION("""COMPUTED_VALUE"""),146.36)</f>
        <v>146.36000000000001</v>
      </c>
      <c r="C1658" s="1">
        <f ca="1">IFERROR(__xludf.DUMMYFUNCTION("""COMPUTED_VALUE"""),146.95)</f>
        <v>146.94999999999999</v>
      </c>
      <c r="D1658" s="1">
        <f ca="1">IFERROR(__xludf.DUMMYFUNCTION("""COMPUTED_VALUE"""),145.25)</f>
        <v>145.25</v>
      </c>
      <c r="E1658" s="1">
        <f ca="1">IFERROR(__xludf.DUMMYFUNCTION("""COMPUTED_VALUE"""),145.52)</f>
        <v>145.52000000000001</v>
      </c>
      <c r="F1658" s="1">
        <f ca="1">IFERROR(__xludf.DUMMYFUNCTION("""COMPUTED_VALUE"""),62879961)</f>
        <v>62879961</v>
      </c>
    </row>
    <row r="1659" spans="1:6" x14ac:dyDescent="0.35">
      <c r="A1659" s="2">
        <f ca="1">IFERROR(__xludf.DUMMYFUNCTION("""COMPUTED_VALUE"""),44411.6666666666)</f>
        <v>44411.666666666599</v>
      </c>
      <c r="B1659" s="1">
        <f ca="1">IFERROR(__xludf.DUMMYFUNCTION("""COMPUTED_VALUE"""),145.81)</f>
        <v>145.81</v>
      </c>
      <c r="C1659" s="1">
        <f ca="1">IFERROR(__xludf.DUMMYFUNCTION("""COMPUTED_VALUE"""),148.04)</f>
        <v>148.04</v>
      </c>
      <c r="D1659" s="1">
        <f ca="1">IFERROR(__xludf.DUMMYFUNCTION("""COMPUTED_VALUE"""),145.18)</f>
        <v>145.18</v>
      </c>
      <c r="E1659" s="1">
        <f ca="1">IFERROR(__xludf.DUMMYFUNCTION("""COMPUTED_VALUE"""),147.36)</f>
        <v>147.36000000000001</v>
      </c>
      <c r="F1659" s="1">
        <f ca="1">IFERROR(__xludf.DUMMYFUNCTION("""COMPUTED_VALUE"""),64786618)</f>
        <v>64786618</v>
      </c>
    </row>
    <row r="1660" spans="1:6" x14ac:dyDescent="0.35">
      <c r="A1660" s="2">
        <f ca="1">IFERROR(__xludf.DUMMYFUNCTION("""COMPUTED_VALUE"""),44412.6666666666)</f>
        <v>44412.666666666599</v>
      </c>
      <c r="B1660" s="1">
        <f ca="1">IFERROR(__xludf.DUMMYFUNCTION("""COMPUTED_VALUE"""),147.27)</f>
        <v>147.27000000000001</v>
      </c>
      <c r="C1660" s="1">
        <f ca="1">IFERROR(__xludf.DUMMYFUNCTION("""COMPUTED_VALUE"""),147.79)</f>
        <v>147.79</v>
      </c>
      <c r="D1660" s="1">
        <f ca="1">IFERROR(__xludf.DUMMYFUNCTION("""COMPUTED_VALUE"""),146.28)</f>
        <v>146.28</v>
      </c>
      <c r="E1660" s="1">
        <f ca="1">IFERROR(__xludf.DUMMYFUNCTION("""COMPUTED_VALUE"""),146.95)</f>
        <v>146.94999999999999</v>
      </c>
      <c r="F1660" s="1">
        <f ca="1">IFERROR(__xludf.DUMMYFUNCTION("""COMPUTED_VALUE"""),56368271)</f>
        <v>56368271</v>
      </c>
    </row>
    <row r="1661" spans="1:6" x14ac:dyDescent="0.35">
      <c r="A1661" s="2">
        <f ca="1">IFERROR(__xludf.DUMMYFUNCTION("""COMPUTED_VALUE"""),44413.6666666666)</f>
        <v>44413.666666666599</v>
      </c>
      <c r="B1661" s="1">
        <f ca="1">IFERROR(__xludf.DUMMYFUNCTION("""COMPUTED_VALUE"""),146.98)</f>
        <v>146.97999999999999</v>
      </c>
      <c r="C1661" s="1">
        <f ca="1">IFERROR(__xludf.DUMMYFUNCTION("""COMPUTED_VALUE"""),147.84)</f>
        <v>147.84</v>
      </c>
      <c r="D1661" s="1">
        <f ca="1">IFERROR(__xludf.DUMMYFUNCTION("""COMPUTED_VALUE"""),146.17)</f>
        <v>146.16999999999999</v>
      </c>
      <c r="E1661" s="1">
        <f ca="1">IFERROR(__xludf.DUMMYFUNCTION("""COMPUTED_VALUE"""),147.06)</f>
        <v>147.06</v>
      </c>
      <c r="F1661" s="1">
        <f ca="1">IFERROR(__xludf.DUMMYFUNCTION("""COMPUTED_VALUE"""),46397674)</f>
        <v>46397674</v>
      </c>
    </row>
    <row r="1662" spans="1:6" x14ac:dyDescent="0.35">
      <c r="A1662" s="2">
        <f ca="1">IFERROR(__xludf.DUMMYFUNCTION("""COMPUTED_VALUE"""),44414.6666666666)</f>
        <v>44414.666666666599</v>
      </c>
      <c r="B1662" s="1">
        <f ca="1">IFERROR(__xludf.DUMMYFUNCTION("""COMPUTED_VALUE"""),146.35)</f>
        <v>146.35</v>
      </c>
      <c r="C1662" s="1">
        <f ca="1">IFERROR(__xludf.DUMMYFUNCTION("""COMPUTED_VALUE"""),147.11)</f>
        <v>147.11000000000001</v>
      </c>
      <c r="D1662" s="1">
        <f ca="1">IFERROR(__xludf.DUMMYFUNCTION("""COMPUTED_VALUE"""),145.63)</f>
        <v>145.63</v>
      </c>
      <c r="E1662" s="1">
        <f ca="1">IFERROR(__xludf.DUMMYFUNCTION("""COMPUTED_VALUE"""),146.14)</f>
        <v>146.13999999999999</v>
      </c>
      <c r="F1662" s="1">
        <f ca="1">IFERROR(__xludf.DUMMYFUNCTION("""COMPUTED_VALUE"""),54126813)</f>
        <v>54126813</v>
      </c>
    </row>
    <row r="1663" spans="1:6" x14ac:dyDescent="0.35">
      <c r="A1663" s="2">
        <f ca="1">IFERROR(__xludf.DUMMYFUNCTION("""COMPUTED_VALUE"""),44417.6666666666)</f>
        <v>44417.666666666599</v>
      </c>
      <c r="B1663" s="1">
        <f ca="1">IFERROR(__xludf.DUMMYFUNCTION("""COMPUTED_VALUE"""),146.2)</f>
        <v>146.19999999999999</v>
      </c>
      <c r="C1663" s="1">
        <f ca="1">IFERROR(__xludf.DUMMYFUNCTION("""COMPUTED_VALUE"""),146.7)</f>
        <v>146.69999999999999</v>
      </c>
      <c r="D1663" s="1">
        <f ca="1">IFERROR(__xludf.DUMMYFUNCTION("""COMPUTED_VALUE"""),145.52)</f>
        <v>145.52000000000001</v>
      </c>
      <c r="E1663" s="1">
        <f ca="1">IFERROR(__xludf.DUMMYFUNCTION("""COMPUTED_VALUE"""),146.09)</f>
        <v>146.09</v>
      </c>
      <c r="F1663" s="1">
        <f ca="1">IFERROR(__xludf.DUMMYFUNCTION("""COMPUTED_VALUE"""),48908689)</f>
        <v>48908689</v>
      </c>
    </row>
    <row r="1664" spans="1:6" x14ac:dyDescent="0.35">
      <c r="A1664" s="2">
        <f ca="1">IFERROR(__xludf.DUMMYFUNCTION("""COMPUTED_VALUE"""),44418.6666666666)</f>
        <v>44418.666666666599</v>
      </c>
      <c r="B1664" s="1">
        <f ca="1">IFERROR(__xludf.DUMMYFUNCTION("""COMPUTED_VALUE"""),146.44)</f>
        <v>146.44</v>
      </c>
      <c r="C1664" s="1">
        <f ca="1">IFERROR(__xludf.DUMMYFUNCTION("""COMPUTED_VALUE"""),147.71)</f>
        <v>147.71</v>
      </c>
      <c r="D1664" s="1">
        <f ca="1">IFERROR(__xludf.DUMMYFUNCTION("""COMPUTED_VALUE"""),145.3)</f>
        <v>145.30000000000001</v>
      </c>
      <c r="E1664" s="1">
        <f ca="1">IFERROR(__xludf.DUMMYFUNCTION("""COMPUTED_VALUE"""),145.6)</f>
        <v>145.6</v>
      </c>
      <c r="F1664" s="1">
        <f ca="1">IFERROR(__xludf.DUMMYFUNCTION("""COMPUTED_VALUE"""),69023081)</f>
        <v>69023081</v>
      </c>
    </row>
    <row r="1665" spans="1:6" x14ac:dyDescent="0.35">
      <c r="A1665" s="2">
        <f ca="1">IFERROR(__xludf.DUMMYFUNCTION("""COMPUTED_VALUE"""),44419.6666666666)</f>
        <v>44419.666666666599</v>
      </c>
      <c r="B1665" s="1">
        <f ca="1">IFERROR(__xludf.DUMMYFUNCTION("""COMPUTED_VALUE"""),146.05)</f>
        <v>146.05000000000001</v>
      </c>
      <c r="C1665" s="1">
        <f ca="1">IFERROR(__xludf.DUMMYFUNCTION("""COMPUTED_VALUE"""),146.72)</f>
        <v>146.72</v>
      </c>
      <c r="D1665" s="1">
        <f ca="1">IFERROR(__xludf.DUMMYFUNCTION("""COMPUTED_VALUE"""),145.53)</f>
        <v>145.53</v>
      </c>
      <c r="E1665" s="1">
        <f ca="1">IFERROR(__xludf.DUMMYFUNCTION("""COMPUTED_VALUE"""),145.86)</f>
        <v>145.86000000000001</v>
      </c>
      <c r="F1665" s="1">
        <f ca="1">IFERROR(__xludf.DUMMYFUNCTION("""COMPUTED_VALUE"""),48493463)</f>
        <v>48493463</v>
      </c>
    </row>
    <row r="1666" spans="1:6" x14ac:dyDescent="0.35">
      <c r="A1666" s="2">
        <f ca="1">IFERROR(__xludf.DUMMYFUNCTION("""COMPUTED_VALUE"""),44420.6666666666)</f>
        <v>44420.666666666599</v>
      </c>
      <c r="B1666" s="1">
        <f ca="1">IFERROR(__xludf.DUMMYFUNCTION("""COMPUTED_VALUE"""),146.19)</f>
        <v>146.19</v>
      </c>
      <c r="C1666" s="1">
        <f ca="1">IFERROR(__xludf.DUMMYFUNCTION("""COMPUTED_VALUE"""),149.05)</f>
        <v>149.05000000000001</v>
      </c>
      <c r="D1666" s="1">
        <f ca="1">IFERROR(__xludf.DUMMYFUNCTION("""COMPUTED_VALUE"""),145.84)</f>
        <v>145.84</v>
      </c>
      <c r="E1666" s="1">
        <f ca="1">IFERROR(__xludf.DUMMYFUNCTION("""COMPUTED_VALUE"""),148.89)</f>
        <v>148.88999999999999</v>
      </c>
      <c r="F1666" s="1">
        <f ca="1">IFERROR(__xludf.DUMMYFUNCTION("""COMPUTED_VALUE"""),73779113)</f>
        <v>73779113</v>
      </c>
    </row>
    <row r="1667" spans="1:6" x14ac:dyDescent="0.35">
      <c r="A1667" s="2">
        <f ca="1">IFERROR(__xludf.DUMMYFUNCTION("""COMPUTED_VALUE"""),44421.6666666666)</f>
        <v>44421.666666666599</v>
      </c>
      <c r="B1667" s="1">
        <f ca="1">IFERROR(__xludf.DUMMYFUNCTION("""COMPUTED_VALUE"""),148.97)</f>
        <v>148.97</v>
      </c>
      <c r="C1667" s="1">
        <f ca="1">IFERROR(__xludf.DUMMYFUNCTION("""COMPUTED_VALUE"""),149.44)</f>
        <v>149.44</v>
      </c>
      <c r="D1667" s="1">
        <f ca="1">IFERROR(__xludf.DUMMYFUNCTION("""COMPUTED_VALUE"""),148.27)</f>
        <v>148.27000000000001</v>
      </c>
      <c r="E1667" s="1">
        <f ca="1">IFERROR(__xludf.DUMMYFUNCTION("""COMPUTED_VALUE"""),149.1)</f>
        <v>149.1</v>
      </c>
      <c r="F1667" s="1">
        <f ca="1">IFERROR(__xludf.DUMMYFUNCTION("""COMPUTED_VALUE"""),59375009)</f>
        <v>59375009</v>
      </c>
    </row>
    <row r="1668" spans="1:6" x14ac:dyDescent="0.35">
      <c r="A1668" s="2">
        <f ca="1">IFERROR(__xludf.DUMMYFUNCTION("""COMPUTED_VALUE"""),44424.6666666666)</f>
        <v>44424.666666666599</v>
      </c>
      <c r="B1668" s="1">
        <f ca="1">IFERROR(__xludf.DUMMYFUNCTION("""COMPUTED_VALUE"""),148.54)</f>
        <v>148.54</v>
      </c>
      <c r="C1668" s="1">
        <f ca="1">IFERROR(__xludf.DUMMYFUNCTION("""COMPUTED_VALUE"""),151.19)</f>
        <v>151.19</v>
      </c>
      <c r="D1668" s="1">
        <f ca="1">IFERROR(__xludf.DUMMYFUNCTION("""COMPUTED_VALUE"""),146.47)</f>
        <v>146.47</v>
      </c>
      <c r="E1668" s="1">
        <f ca="1">IFERROR(__xludf.DUMMYFUNCTION("""COMPUTED_VALUE"""),151.12)</f>
        <v>151.12</v>
      </c>
      <c r="F1668" s="1">
        <f ca="1">IFERROR(__xludf.DUMMYFUNCTION("""COMPUTED_VALUE"""),103558782)</f>
        <v>103558782</v>
      </c>
    </row>
    <row r="1669" spans="1:6" x14ac:dyDescent="0.35">
      <c r="A1669" s="2">
        <f ca="1">IFERROR(__xludf.DUMMYFUNCTION("""COMPUTED_VALUE"""),44425.6666666666)</f>
        <v>44425.666666666599</v>
      </c>
      <c r="B1669" s="1">
        <f ca="1">IFERROR(__xludf.DUMMYFUNCTION("""COMPUTED_VALUE"""),150.23)</f>
        <v>150.22999999999999</v>
      </c>
      <c r="C1669" s="1">
        <f ca="1">IFERROR(__xludf.DUMMYFUNCTION("""COMPUTED_VALUE"""),151.68)</f>
        <v>151.68</v>
      </c>
      <c r="D1669" s="1">
        <f ca="1">IFERROR(__xludf.DUMMYFUNCTION("""COMPUTED_VALUE"""),149.09)</f>
        <v>149.09</v>
      </c>
      <c r="E1669" s="1">
        <f ca="1">IFERROR(__xludf.DUMMYFUNCTION("""COMPUTED_VALUE"""),150.19)</f>
        <v>150.19</v>
      </c>
      <c r="F1669" s="1">
        <f ca="1">IFERROR(__xludf.DUMMYFUNCTION("""COMPUTED_VALUE"""),92229735)</f>
        <v>92229735</v>
      </c>
    </row>
    <row r="1670" spans="1:6" x14ac:dyDescent="0.35">
      <c r="A1670" s="2">
        <f ca="1">IFERROR(__xludf.DUMMYFUNCTION("""COMPUTED_VALUE"""),44426.6666666666)</f>
        <v>44426.666666666599</v>
      </c>
      <c r="B1670" s="1">
        <f ca="1">IFERROR(__xludf.DUMMYFUNCTION("""COMPUTED_VALUE"""),149.8)</f>
        <v>149.80000000000001</v>
      </c>
      <c r="C1670" s="1">
        <f ca="1">IFERROR(__xludf.DUMMYFUNCTION("""COMPUTED_VALUE"""),150.72)</f>
        <v>150.72</v>
      </c>
      <c r="D1670" s="1">
        <f ca="1">IFERROR(__xludf.DUMMYFUNCTION("""COMPUTED_VALUE"""),146.15)</f>
        <v>146.15</v>
      </c>
      <c r="E1670" s="1">
        <f ca="1">IFERROR(__xludf.DUMMYFUNCTION("""COMPUTED_VALUE"""),146.36)</f>
        <v>146.36000000000001</v>
      </c>
      <c r="F1670" s="1">
        <f ca="1">IFERROR(__xludf.DUMMYFUNCTION("""COMPUTED_VALUE"""),86325990)</f>
        <v>86325990</v>
      </c>
    </row>
    <row r="1671" spans="1:6" x14ac:dyDescent="0.35">
      <c r="A1671" s="2">
        <f ca="1">IFERROR(__xludf.DUMMYFUNCTION("""COMPUTED_VALUE"""),44427.6666666666)</f>
        <v>44427.666666666599</v>
      </c>
      <c r="B1671" s="1">
        <f ca="1">IFERROR(__xludf.DUMMYFUNCTION("""COMPUTED_VALUE"""),145.03)</f>
        <v>145.03</v>
      </c>
      <c r="C1671" s="1">
        <f ca="1">IFERROR(__xludf.DUMMYFUNCTION("""COMPUTED_VALUE"""),148)</f>
        <v>148</v>
      </c>
      <c r="D1671" s="1">
        <f ca="1">IFERROR(__xludf.DUMMYFUNCTION("""COMPUTED_VALUE"""),144.5)</f>
        <v>144.5</v>
      </c>
      <c r="E1671" s="1">
        <f ca="1">IFERROR(__xludf.DUMMYFUNCTION("""COMPUTED_VALUE"""),146.7)</f>
        <v>146.69999999999999</v>
      </c>
      <c r="F1671" s="1">
        <f ca="1">IFERROR(__xludf.DUMMYFUNCTION("""COMPUTED_VALUE"""),86960310)</f>
        <v>86960310</v>
      </c>
    </row>
    <row r="1672" spans="1:6" x14ac:dyDescent="0.35">
      <c r="A1672" s="2">
        <f ca="1">IFERROR(__xludf.DUMMYFUNCTION("""COMPUTED_VALUE"""),44428.6666666666)</f>
        <v>44428.666666666599</v>
      </c>
      <c r="B1672" s="1">
        <f ca="1">IFERROR(__xludf.DUMMYFUNCTION("""COMPUTED_VALUE"""),147.44)</f>
        <v>147.44</v>
      </c>
      <c r="C1672" s="1">
        <f ca="1">IFERROR(__xludf.DUMMYFUNCTION("""COMPUTED_VALUE"""),148.5)</f>
        <v>148.5</v>
      </c>
      <c r="D1672" s="1">
        <f ca="1">IFERROR(__xludf.DUMMYFUNCTION("""COMPUTED_VALUE"""),146.78)</f>
        <v>146.78</v>
      </c>
      <c r="E1672" s="1">
        <f ca="1">IFERROR(__xludf.DUMMYFUNCTION("""COMPUTED_VALUE"""),148.19)</f>
        <v>148.19</v>
      </c>
      <c r="F1672" s="1">
        <f ca="1">IFERROR(__xludf.DUMMYFUNCTION("""COMPUTED_VALUE"""),60549630)</f>
        <v>60549630</v>
      </c>
    </row>
    <row r="1673" spans="1:6" x14ac:dyDescent="0.35">
      <c r="A1673" s="2">
        <f ca="1">IFERROR(__xludf.DUMMYFUNCTION("""COMPUTED_VALUE"""),44431.6666666666)</f>
        <v>44431.666666666599</v>
      </c>
      <c r="B1673" s="1">
        <f ca="1">IFERROR(__xludf.DUMMYFUNCTION("""COMPUTED_VALUE"""),148.31)</f>
        <v>148.31</v>
      </c>
      <c r="C1673" s="1">
        <f ca="1">IFERROR(__xludf.DUMMYFUNCTION("""COMPUTED_VALUE"""),150.19)</f>
        <v>150.19</v>
      </c>
      <c r="D1673" s="1">
        <f ca="1">IFERROR(__xludf.DUMMYFUNCTION("""COMPUTED_VALUE"""),147.89)</f>
        <v>147.88999999999999</v>
      </c>
      <c r="E1673" s="1">
        <f ca="1">IFERROR(__xludf.DUMMYFUNCTION("""COMPUTED_VALUE"""),149.71)</f>
        <v>149.71</v>
      </c>
      <c r="F1673" s="1">
        <f ca="1">IFERROR(__xludf.DUMMYFUNCTION("""COMPUTED_VALUE"""),60131810)</f>
        <v>60131810</v>
      </c>
    </row>
    <row r="1674" spans="1:6" x14ac:dyDescent="0.35">
      <c r="A1674" s="2">
        <f ca="1">IFERROR(__xludf.DUMMYFUNCTION("""COMPUTED_VALUE"""),44432.6666666666)</f>
        <v>44432.666666666599</v>
      </c>
      <c r="B1674" s="1">
        <f ca="1">IFERROR(__xludf.DUMMYFUNCTION("""COMPUTED_VALUE"""),149.45)</f>
        <v>149.44999999999999</v>
      </c>
      <c r="C1674" s="1">
        <f ca="1">IFERROR(__xludf.DUMMYFUNCTION("""COMPUTED_VALUE"""),150.86)</f>
        <v>150.86000000000001</v>
      </c>
      <c r="D1674" s="1">
        <f ca="1">IFERROR(__xludf.DUMMYFUNCTION("""COMPUTED_VALUE"""),149.15)</f>
        <v>149.15</v>
      </c>
      <c r="E1674" s="1">
        <f ca="1">IFERROR(__xludf.DUMMYFUNCTION("""COMPUTED_VALUE"""),149.62)</f>
        <v>149.62</v>
      </c>
      <c r="F1674" s="1">
        <f ca="1">IFERROR(__xludf.DUMMYFUNCTION("""COMPUTED_VALUE"""),48606428)</f>
        <v>48606428</v>
      </c>
    </row>
    <row r="1675" spans="1:6" x14ac:dyDescent="0.35">
      <c r="A1675" s="2">
        <f ca="1">IFERROR(__xludf.DUMMYFUNCTION("""COMPUTED_VALUE"""),44433.6666666666)</f>
        <v>44433.666666666599</v>
      </c>
      <c r="B1675" s="1">
        <f ca="1">IFERROR(__xludf.DUMMYFUNCTION("""COMPUTED_VALUE"""),149.81)</f>
        <v>149.81</v>
      </c>
      <c r="C1675" s="1">
        <f ca="1">IFERROR(__xludf.DUMMYFUNCTION("""COMPUTED_VALUE"""),150.32)</f>
        <v>150.32</v>
      </c>
      <c r="D1675" s="1">
        <f ca="1">IFERROR(__xludf.DUMMYFUNCTION("""COMPUTED_VALUE"""),147.8)</f>
        <v>147.80000000000001</v>
      </c>
      <c r="E1675" s="1">
        <f ca="1">IFERROR(__xludf.DUMMYFUNCTION("""COMPUTED_VALUE"""),148.36)</f>
        <v>148.36000000000001</v>
      </c>
      <c r="F1675" s="1">
        <f ca="1">IFERROR(__xludf.DUMMYFUNCTION("""COMPUTED_VALUE"""),58991297)</f>
        <v>58991297</v>
      </c>
    </row>
    <row r="1676" spans="1:6" x14ac:dyDescent="0.35">
      <c r="A1676" s="2">
        <f ca="1">IFERROR(__xludf.DUMMYFUNCTION("""COMPUTED_VALUE"""),44434.6666666666)</f>
        <v>44434.666666666599</v>
      </c>
      <c r="B1676" s="1">
        <f ca="1">IFERROR(__xludf.DUMMYFUNCTION("""COMPUTED_VALUE"""),148.35)</f>
        <v>148.35</v>
      </c>
      <c r="C1676" s="1">
        <f ca="1">IFERROR(__xludf.DUMMYFUNCTION("""COMPUTED_VALUE"""),149.12)</f>
        <v>149.12</v>
      </c>
      <c r="D1676" s="1">
        <f ca="1">IFERROR(__xludf.DUMMYFUNCTION("""COMPUTED_VALUE"""),147.51)</f>
        <v>147.51</v>
      </c>
      <c r="E1676" s="1">
        <f ca="1">IFERROR(__xludf.DUMMYFUNCTION("""COMPUTED_VALUE"""),147.54)</f>
        <v>147.54</v>
      </c>
      <c r="F1676" s="1">
        <f ca="1">IFERROR(__xludf.DUMMYFUNCTION("""COMPUTED_VALUE"""),48597195)</f>
        <v>48597195</v>
      </c>
    </row>
    <row r="1677" spans="1:6" x14ac:dyDescent="0.35">
      <c r="A1677" s="2">
        <f ca="1">IFERROR(__xludf.DUMMYFUNCTION("""COMPUTED_VALUE"""),44435.6666666666)</f>
        <v>44435.666666666599</v>
      </c>
      <c r="B1677" s="1">
        <f ca="1">IFERROR(__xludf.DUMMYFUNCTION("""COMPUTED_VALUE"""),147.48)</f>
        <v>147.47999999999999</v>
      </c>
      <c r="C1677" s="1">
        <f ca="1">IFERROR(__xludf.DUMMYFUNCTION("""COMPUTED_VALUE"""),148.75)</f>
        <v>148.75</v>
      </c>
      <c r="D1677" s="1">
        <f ca="1">IFERROR(__xludf.DUMMYFUNCTION("""COMPUTED_VALUE"""),146.83)</f>
        <v>146.83000000000001</v>
      </c>
      <c r="E1677" s="1">
        <f ca="1">IFERROR(__xludf.DUMMYFUNCTION("""COMPUTED_VALUE"""),148.6)</f>
        <v>148.6</v>
      </c>
      <c r="F1677" s="1">
        <f ca="1">IFERROR(__xludf.DUMMYFUNCTION("""COMPUTED_VALUE"""),55802388)</f>
        <v>55802388</v>
      </c>
    </row>
    <row r="1678" spans="1:6" x14ac:dyDescent="0.35">
      <c r="A1678" s="2">
        <f ca="1">IFERROR(__xludf.DUMMYFUNCTION("""COMPUTED_VALUE"""),44438.6666666666)</f>
        <v>44438.666666666599</v>
      </c>
      <c r="B1678" s="1">
        <f ca="1">IFERROR(__xludf.DUMMYFUNCTION("""COMPUTED_VALUE"""),149)</f>
        <v>149</v>
      </c>
      <c r="C1678" s="1">
        <f ca="1">IFERROR(__xludf.DUMMYFUNCTION("""COMPUTED_VALUE"""),153.49)</f>
        <v>153.49</v>
      </c>
      <c r="D1678" s="1">
        <f ca="1">IFERROR(__xludf.DUMMYFUNCTION("""COMPUTED_VALUE"""),148.61)</f>
        <v>148.61000000000001</v>
      </c>
      <c r="E1678" s="1">
        <f ca="1">IFERROR(__xludf.DUMMYFUNCTION("""COMPUTED_VALUE"""),153.12)</f>
        <v>153.12</v>
      </c>
      <c r="F1678" s="1">
        <f ca="1">IFERROR(__xludf.DUMMYFUNCTION("""COMPUTED_VALUE"""),90956723)</f>
        <v>90956723</v>
      </c>
    </row>
    <row r="1679" spans="1:6" x14ac:dyDescent="0.35">
      <c r="A1679" s="2">
        <f ca="1">IFERROR(__xludf.DUMMYFUNCTION("""COMPUTED_VALUE"""),44439.6666666666)</f>
        <v>44439.666666666599</v>
      </c>
      <c r="B1679" s="1">
        <f ca="1">IFERROR(__xludf.DUMMYFUNCTION("""COMPUTED_VALUE"""),152.66)</f>
        <v>152.66</v>
      </c>
      <c r="C1679" s="1">
        <f ca="1">IFERROR(__xludf.DUMMYFUNCTION("""COMPUTED_VALUE"""),152.8)</f>
        <v>152.80000000000001</v>
      </c>
      <c r="D1679" s="1">
        <f ca="1">IFERROR(__xludf.DUMMYFUNCTION("""COMPUTED_VALUE"""),151.29)</f>
        <v>151.29</v>
      </c>
      <c r="E1679" s="1">
        <f ca="1">IFERROR(__xludf.DUMMYFUNCTION("""COMPUTED_VALUE"""),151.83)</f>
        <v>151.83000000000001</v>
      </c>
      <c r="F1679" s="1">
        <f ca="1">IFERROR(__xludf.DUMMYFUNCTION("""COMPUTED_VALUE"""),86453117)</f>
        <v>86453117</v>
      </c>
    </row>
    <row r="1680" spans="1:6" x14ac:dyDescent="0.35">
      <c r="A1680" s="2">
        <f ca="1">IFERROR(__xludf.DUMMYFUNCTION("""COMPUTED_VALUE"""),44440.6666666666)</f>
        <v>44440.666666666599</v>
      </c>
      <c r="B1680" s="1">
        <f ca="1">IFERROR(__xludf.DUMMYFUNCTION("""COMPUTED_VALUE"""),152.83)</f>
        <v>152.83000000000001</v>
      </c>
      <c r="C1680" s="1">
        <f ca="1">IFERROR(__xludf.DUMMYFUNCTION("""COMPUTED_VALUE"""),154.98)</f>
        <v>154.97999999999999</v>
      </c>
      <c r="D1680" s="1">
        <f ca="1">IFERROR(__xludf.DUMMYFUNCTION("""COMPUTED_VALUE"""),152.34)</f>
        <v>152.34</v>
      </c>
      <c r="E1680" s="1">
        <f ca="1">IFERROR(__xludf.DUMMYFUNCTION("""COMPUTED_VALUE"""),152.51)</f>
        <v>152.51</v>
      </c>
      <c r="F1680" s="1">
        <f ca="1">IFERROR(__xludf.DUMMYFUNCTION("""COMPUTED_VALUE"""),80313711)</f>
        <v>80313711</v>
      </c>
    </row>
    <row r="1681" spans="1:6" x14ac:dyDescent="0.35">
      <c r="A1681" s="2">
        <f ca="1">IFERROR(__xludf.DUMMYFUNCTION("""COMPUTED_VALUE"""),44441.6666666666)</f>
        <v>44441.666666666599</v>
      </c>
      <c r="B1681" s="1">
        <f ca="1">IFERROR(__xludf.DUMMYFUNCTION("""COMPUTED_VALUE"""),153.87)</f>
        <v>153.87</v>
      </c>
      <c r="C1681" s="1">
        <f ca="1">IFERROR(__xludf.DUMMYFUNCTION("""COMPUTED_VALUE"""),154.72)</f>
        <v>154.72</v>
      </c>
      <c r="D1681" s="1">
        <f ca="1">IFERROR(__xludf.DUMMYFUNCTION("""COMPUTED_VALUE"""),152.4)</f>
        <v>152.4</v>
      </c>
      <c r="E1681" s="1">
        <f ca="1">IFERROR(__xludf.DUMMYFUNCTION("""COMPUTED_VALUE"""),153.65)</f>
        <v>153.65</v>
      </c>
      <c r="F1681" s="1">
        <f ca="1">IFERROR(__xludf.DUMMYFUNCTION("""COMPUTED_VALUE"""),71171317)</f>
        <v>71171317</v>
      </c>
    </row>
    <row r="1682" spans="1:6" x14ac:dyDescent="0.35">
      <c r="A1682" s="2">
        <f ca="1">IFERROR(__xludf.DUMMYFUNCTION("""COMPUTED_VALUE"""),44442.6666666666)</f>
        <v>44442.666666666599</v>
      </c>
      <c r="B1682" s="1">
        <f ca="1">IFERROR(__xludf.DUMMYFUNCTION("""COMPUTED_VALUE"""),153.76)</f>
        <v>153.76</v>
      </c>
      <c r="C1682" s="1">
        <f ca="1">IFERROR(__xludf.DUMMYFUNCTION("""COMPUTED_VALUE"""),154.63)</f>
        <v>154.63</v>
      </c>
      <c r="D1682" s="1">
        <f ca="1">IFERROR(__xludf.DUMMYFUNCTION("""COMPUTED_VALUE"""),153.09)</f>
        <v>153.09</v>
      </c>
      <c r="E1682" s="1">
        <f ca="1">IFERROR(__xludf.DUMMYFUNCTION("""COMPUTED_VALUE"""),154.3)</f>
        <v>154.30000000000001</v>
      </c>
      <c r="F1682" s="1">
        <f ca="1">IFERROR(__xludf.DUMMYFUNCTION("""COMPUTED_VALUE"""),57866066)</f>
        <v>57866066</v>
      </c>
    </row>
    <row r="1683" spans="1:6" x14ac:dyDescent="0.35">
      <c r="A1683" s="2">
        <f ca="1">IFERROR(__xludf.DUMMYFUNCTION("""COMPUTED_VALUE"""),44446.6666666666)</f>
        <v>44446.666666666599</v>
      </c>
      <c r="B1683" s="1">
        <f ca="1">IFERROR(__xludf.DUMMYFUNCTION("""COMPUTED_VALUE"""),154.97)</f>
        <v>154.97</v>
      </c>
      <c r="C1683" s="1">
        <f ca="1">IFERROR(__xludf.DUMMYFUNCTION("""COMPUTED_VALUE"""),157.26)</f>
        <v>157.26</v>
      </c>
      <c r="D1683" s="1">
        <f ca="1">IFERROR(__xludf.DUMMYFUNCTION("""COMPUTED_VALUE"""),154.39)</f>
        <v>154.38999999999999</v>
      </c>
      <c r="E1683" s="1">
        <f ca="1">IFERROR(__xludf.DUMMYFUNCTION("""COMPUTED_VALUE"""),156.69)</f>
        <v>156.69</v>
      </c>
      <c r="F1683" s="1">
        <f ca="1">IFERROR(__xludf.DUMMYFUNCTION("""COMPUTED_VALUE"""),82278261)</f>
        <v>82278261</v>
      </c>
    </row>
    <row r="1684" spans="1:6" x14ac:dyDescent="0.35">
      <c r="A1684" s="2">
        <f ca="1">IFERROR(__xludf.DUMMYFUNCTION("""COMPUTED_VALUE"""),44447.6666666666)</f>
        <v>44447.666666666599</v>
      </c>
      <c r="B1684" s="1">
        <f ca="1">IFERROR(__xludf.DUMMYFUNCTION("""COMPUTED_VALUE"""),156.98)</f>
        <v>156.97999999999999</v>
      </c>
      <c r="C1684" s="1">
        <f ca="1">IFERROR(__xludf.DUMMYFUNCTION("""COMPUTED_VALUE"""),157.04)</f>
        <v>157.04</v>
      </c>
      <c r="D1684" s="1">
        <f ca="1">IFERROR(__xludf.DUMMYFUNCTION("""COMPUTED_VALUE"""),153.98)</f>
        <v>153.97999999999999</v>
      </c>
      <c r="E1684" s="1">
        <f ca="1">IFERROR(__xludf.DUMMYFUNCTION("""COMPUTED_VALUE"""),155.11)</f>
        <v>155.11000000000001</v>
      </c>
      <c r="F1684" s="1">
        <f ca="1">IFERROR(__xludf.DUMMYFUNCTION("""COMPUTED_VALUE"""),74420207)</f>
        <v>74420207</v>
      </c>
    </row>
    <row r="1685" spans="1:6" x14ac:dyDescent="0.35">
      <c r="A1685" s="2">
        <f ca="1">IFERROR(__xludf.DUMMYFUNCTION("""COMPUTED_VALUE"""),44448.6666666666)</f>
        <v>44448.666666666599</v>
      </c>
      <c r="B1685" s="1">
        <f ca="1">IFERROR(__xludf.DUMMYFUNCTION("""COMPUTED_VALUE"""),155.49)</f>
        <v>155.49</v>
      </c>
      <c r="C1685" s="1">
        <f ca="1">IFERROR(__xludf.DUMMYFUNCTION("""COMPUTED_VALUE"""),156.11)</f>
        <v>156.11000000000001</v>
      </c>
      <c r="D1685" s="1">
        <f ca="1">IFERROR(__xludf.DUMMYFUNCTION("""COMPUTED_VALUE"""),153.95)</f>
        <v>153.94999999999999</v>
      </c>
      <c r="E1685" s="1">
        <f ca="1">IFERROR(__xludf.DUMMYFUNCTION("""COMPUTED_VALUE"""),154.07)</f>
        <v>154.07</v>
      </c>
      <c r="F1685" s="1">
        <f ca="1">IFERROR(__xludf.DUMMYFUNCTION("""COMPUTED_VALUE"""),57305730)</f>
        <v>57305730</v>
      </c>
    </row>
    <row r="1686" spans="1:6" x14ac:dyDescent="0.35">
      <c r="A1686" s="2">
        <f ca="1">IFERROR(__xludf.DUMMYFUNCTION("""COMPUTED_VALUE"""),44449.6666666666)</f>
        <v>44449.666666666599</v>
      </c>
      <c r="B1686" s="1">
        <f ca="1">IFERROR(__xludf.DUMMYFUNCTION("""COMPUTED_VALUE"""),155)</f>
        <v>155</v>
      </c>
      <c r="C1686" s="1">
        <f ca="1">IFERROR(__xludf.DUMMYFUNCTION("""COMPUTED_VALUE"""),155.48)</f>
        <v>155.47999999999999</v>
      </c>
      <c r="D1686" s="1">
        <f ca="1">IFERROR(__xludf.DUMMYFUNCTION("""COMPUTED_VALUE"""),148.7)</f>
        <v>148.69999999999999</v>
      </c>
      <c r="E1686" s="1">
        <f ca="1">IFERROR(__xludf.DUMMYFUNCTION("""COMPUTED_VALUE"""),148.97)</f>
        <v>148.97</v>
      </c>
      <c r="F1686" s="1">
        <f ca="1">IFERROR(__xludf.DUMMYFUNCTION("""COMPUTED_VALUE"""),140893235)</f>
        <v>140893235</v>
      </c>
    </row>
    <row r="1687" spans="1:6" x14ac:dyDescent="0.35">
      <c r="A1687" s="2">
        <f ca="1">IFERROR(__xludf.DUMMYFUNCTION("""COMPUTED_VALUE"""),44452.6666666666)</f>
        <v>44452.666666666599</v>
      </c>
      <c r="B1687" s="1">
        <f ca="1">IFERROR(__xludf.DUMMYFUNCTION("""COMPUTED_VALUE"""),150.63)</f>
        <v>150.63</v>
      </c>
      <c r="C1687" s="1">
        <f ca="1">IFERROR(__xludf.DUMMYFUNCTION("""COMPUTED_VALUE"""),151.42)</f>
        <v>151.41999999999999</v>
      </c>
      <c r="D1687" s="1">
        <f ca="1">IFERROR(__xludf.DUMMYFUNCTION("""COMPUTED_VALUE"""),148.75)</f>
        <v>148.75</v>
      </c>
      <c r="E1687" s="1">
        <f ca="1">IFERROR(__xludf.DUMMYFUNCTION("""COMPUTED_VALUE"""),149.55)</f>
        <v>149.55000000000001</v>
      </c>
      <c r="F1687" s="1">
        <f ca="1">IFERROR(__xludf.DUMMYFUNCTION("""COMPUTED_VALUE"""),102404329)</f>
        <v>102404329</v>
      </c>
    </row>
    <row r="1688" spans="1:6" x14ac:dyDescent="0.35">
      <c r="A1688" s="2">
        <f ca="1">IFERROR(__xludf.DUMMYFUNCTION("""COMPUTED_VALUE"""),44453.6666666666)</f>
        <v>44453.666666666599</v>
      </c>
      <c r="B1688" s="1">
        <f ca="1">IFERROR(__xludf.DUMMYFUNCTION("""COMPUTED_VALUE"""),150.35)</f>
        <v>150.35</v>
      </c>
      <c r="C1688" s="1">
        <f ca="1">IFERROR(__xludf.DUMMYFUNCTION("""COMPUTED_VALUE"""),151.07)</f>
        <v>151.07</v>
      </c>
      <c r="D1688" s="1">
        <f ca="1">IFERROR(__xludf.DUMMYFUNCTION("""COMPUTED_VALUE"""),146.91)</f>
        <v>146.91</v>
      </c>
      <c r="E1688" s="1">
        <f ca="1">IFERROR(__xludf.DUMMYFUNCTION("""COMPUTED_VALUE"""),148.12)</f>
        <v>148.12</v>
      </c>
      <c r="F1688" s="1">
        <f ca="1">IFERROR(__xludf.DUMMYFUNCTION("""COMPUTED_VALUE"""),109296295)</f>
        <v>109296295</v>
      </c>
    </row>
    <row r="1689" spans="1:6" x14ac:dyDescent="0.35">
      <c r="A1689" s="2">
        <f ca="1">IFERROR(__xludf.DUMMYFUNCTION("""COMPUTED_VALUE"""),44454.6666666666)</f>
        <v>44454.666666666599</v>
      </c>
      <c r="B1689" s="1">
        <f ca="1">IFERROR(__xludf.DUMMYFUNCTION("""COMPUTED_VALUE"""),148.56)</f>
        <v>148.56</v>
      </c>
      <c r="C1689" s="1">
        <f ca="1">IFERROR(__xludf.DUMMYFUNCTION("""COMPUTED_VALUE"""),149.44)</f>
        <v>149.44</v>
      </c>
      <c r="D1689" s="1">
        <f ca="1">IFERROR(__xludf.DUMMYFUNCTION("""COMPUTED_VALUE"""),146.37)</f>
        <v>146.37</v>
      </c>
      <c r="E1689" s="1">
        <f ca="1">IFERROR(__xludf.DUMMYFUNCTION("""COMPUTED_VALUE"""),149.03)</f>
        <v>149.03</v>
      </c>
      <c r="F1689" s="1">
        <f ca="1">IFERROR(__xludf.DUMMYFUNCTION("""COMPUTED_VALUE"""),83281315)</f>
        <v>83281315</v>
      </c>
    </row>
    <row r="1690" spans="1:6" x14ac:dyDescent="0.35">
      <c r="A1690" s="2">
        <f ca="1">IFERROR(__xludf.DUMMYFUNCTION("""COMPUTED_VALUE"""),44455.6666666666)</f>
        <v>44455.666666666599</v>
      </c>
      <c r="B1690" s="1">
        <f ca="1">IFERROR(__xludf.DUMMYFUNCTION("""COMPUTED_VALUE"""),148.44)</f>
        <v>148.44</v>
      </c>
      <c r="C1690" s="1">
        <f ca="1">IFERROR(__xludf.DUMMYFUNCTION("""COMPUTED_VALUE"""),148.97)</f>
        <v>148.97</v>
      </c>
      <c r="D1690" s="1">
        <f ca="1">IFERROR(__xludf.DUMMYFUNCTION("""COMPUTED_VALUE"""),147.22)</f>
        <v>147.22</v>
      </c>
      <c r="E1690" s="1">
        <f ca="1">IFERROR(__xludf.DUMMYFUNCTION("""COMPUTED_VALUE"""),148.79)</f>
        <v>148.79</v>
      </c>
      <c r="F1690" s="1">
        <f ca="1">IFERROR(__xludf.DUMMYFUNCTION("""COMPUTED_VALUE"""),68034149)</f>
        <v>68034149</v>
      </c>
    </row>
    <row r="1691" spans="1:6" x14ac:dyDescent="0.35">
      <c r="A1691" s="2">
        <f ca="1">IFERROR(__xludf.DUMMYFUNCTION("""COMPUTED_VALUE"""),44456.6666666666)</f>
        <v>44456.666666666599</v>
      </c>
      <c r="B1691" s="1">
        <f ca="1">IFERROR(__xludf.DUMMYFUNCTION("""COMPUTED_VALUE"""),148.82)</f>
        <v>148.82</v>
      </c>
      <c r="C1691" s="1">
        <f ca="1">IFERROR(__xludf.DUMMYFUNCTION("""COMPUTED_VALUE"""),148.82)</f>
        <v>148.82</v>
      </c>
      <c r="D1691" s="1">
        <f ca="1">IFERROR(__xludf.DUMMYFUNCTION("""COMPUTED_VALUE"""),145.76)</f>
        <v>145.76</v>
      </c>
      <c r="E1691" s="1">
        <f ca="1">IFERROR(__xludf.DUMMYFUNCTION("""COMPUTED_VALUE"""),146.06)</f>
        <v>146.06</v>
      </c>
      <c r="F1691" s="1">
        <f ca="1">IFERROR(__xludf.DUMMYFUNCTION("""COMPUTED_VALUE"""),129868824)</f>
        <v>129868824</v>
      </c>
    </row>
    <row r="1692" spans="1:6" x14ac:dyDescent="0.35">
      <c r="A1692" s="2">
        <f ca="1">IFERROR(__xludf.DUMMYFUNCTION("""COMPUTED_VALUE"""),44459.6666666666)</f>
        <v>44459.666666666599</v>
      </c>
      <c r="B1692" s="1">
        <f ca="1">IFERROR(__xludf.DUMMYFUNCTION("""COMPUTED_VALUE"""),143.8)</f>
        <v>143.80000000000001</v>
      </c>
      <c r="C1692" s="1">
        <f ca="1">IFERROR(__xludf.DUMMYFUNCTION("""COMPUTED_VALUE"""),144.84)</f>
        <v>144.84</v>
      </c>
      <c r="D1692" s="1">
        <f ca="1">IFERROR(__xludf.DUMMYFUNCTION("""COMPUTED_VALUE"""),141.27)</f>
        <v>141.27000000000001</v>
      </c>
      <c r="E1692" s="1">
        <f ca="1">IFERROR(__xludf.DUMMYFUNCTION("""COMPUTED_VALUE"""),142.94)</f>
        <v>142.94</v>
      </c>
      <c r="F1692" s="1">
        <f ca="1">IFERROR(__xludf.DUMMYFUNCTION("""COMPUTED_VALUE"""),123478863)</f>
        <v>123478863</v>
      </c>
    </row>
    <row r="1693" spans="1:6" x14ac:dyDescent="0.35">
      <c r="A1693" s="2">
        <f ca="1">IFERROR(__xludf.DUMMYFUNCTION("""COMPUTED_VALUE"""),44460.6666666666)</f>
        <v>44460.666666666599</v>
      </c>
      <c r="B1693" s="1">
        <f ca="1">IFERROR(__xludf.DUMMYFUNCTION("""COMPUTED_VALUE"""),143.93)</f>
        <v>143.93</v>
      </c>
      <c r="C1693" s="1">
        <f ca="1">IFERROR(__xludf.DUMMYFUNCTION("""COMPUTED_VALUE"""),144.6)</f>
        <v>144.6</v>
      </c>
      <c r="D1693" s="1">
        <f ca="1">IFERROR(__xludf.DUMMYFUNCTION("""COMPUTED_VALUE"""),142.78)</f>
        <v>142.78</v>
      </c>
      <c r="E1693" s="1">
        <f ca="1">IFERROR(__xludf.DUMMYFUNCTION("""COMPUTED_VALUE"""),143.43)</f>
        <v>143.43</v>
      </c>
      <c r="F1693" s="1">
        <f ca="1">IFERROR(__xludf.DUMMYFUNCTION("""COMPUTED_VALUE"""),75833962)</f>
        <v>75833962</v>
      </c>
    </row>
    <row r="1694" spans="1:6" x14ac:dyDescent="0.35">
      <c r="A1694" s="2">
        <f ca="1">IFERROR(__xludf.DUMMYFUNCTION("""COMPUTED_VALUE"""),44461.6666666666)</f>
        <v>44461.666666666599</v>
      </c>
      <c r="B1694" s="1">
        <f ca="1">IFERROR(__xludf.DUMMYFUNCTION("""COMPUTED_VALUE"""),144.45)</f>
        <v>144.44999999999999</v>
      </c>
      <c r="C1694" s="1">
        <f ca="1">IFERROR(__xludf.DUMMYFUNCTION("""COMPUTED_VALUE"""),146.43)</f>
        <v>146.43</v>
      </c>
      <c r="D1694" s="1">
        <f ca="1">IFERROR(__xludf.DUMMYFUNCTION("""COMPUTED_VALUE"""),143.7)</f>
        <v>143.69999999999999</v>
      </c>
      <c r="E1694" s="1">
        <f ca="1">IFERROR(__xludf.DUMMYFUNCTION("""COMPUTED_VALUE"""),145.85)</f>
        <v>145.85</v>
      </c>
      <c r="F1694" s="1">
        <f ca="1">IFERROR(__xludf.DUMMYFUNCTION("""COMPUTED_VALUE"""),76404341)</f>
        <v>76404341</v>
      </c>
    </row>
    <row r="1695" spans="1:6" x14ac:dyDescent="0.35">
      <c r="A1695" s="2">
        <f ca="1">IFERROR(__xludf.DUMMYFUNCTION("""COMPUTED_VALUE"""),44462.6666666666)</f>
        <v>44462.666666666599</v>
      </c>
      <c r="B1695" s="1">
        <f ca="1">IFERROR(__xludf.DUMMYFUNCTION("""COMPUTED_VALUE"""),146.65)</f>
        <v>146.65</v>
      </c>
      <c r="C1695" s="1">
        <f ca="1">IFERROR(__xludf.DUMMYFUNCTION("""COMPUTED_VALUE"""),147.08)</f>
        <v>147.08000000000001</v>
      </c>
      <c r="D1695" s="1">
        <f ca="1">IFERROR(__xludf.DUMMYFUNCTION("""COMPUTED_VALUE"""),145.64)</f>
        <v>145.63999999999999</v>
      </c>
      <c r="E1695" s="1">
        <f ca="1">IFERROR(__xludf.DUMMYFUNCTION("""COMPUTED_VALUE"""),146.83)</f>
        <v>146.83000000000001</v>
      </c>
      <c r="F1695" s="1">
        <f ca="1">IFERROR(__xludf.DUMMYFUNCTION("""COMPUTED_VALUE"""),64838170)</f>
        <v>64838170</v>
      </c>
    </row>
    <row r="1696" spans="1:6" x14ac:dyDescent="0.35">
      <c r="A1696" s="2">
        <f ca="1">IFERROR(__xludf.DUMMYFUNCTION("""COMPUTED_VALUE"""),44463.6666666666)</f>
        <v>44463.666666666599</v>
      </c>
      <c r="B1696" s="1">
        <f ca="1">IFERROR(__xludf.DUMMYFUNCTION("""COMPUTED_VALUE"""),145.66)</f>
        <v>145.66</v>
      </c>
      <c r="C1696" s="1">
        <f ca="1">IFERROR(__xludf.DUMMYFUNCTION("""COMPUTED_VALUE"""),147.47)</f>
        <v>147.47</v>
      </c>
      <c r="D1696" s="1">
        <f ca="1">IFERROR(__xludf.DUMMYFUNCTION("""COMPUTED_VALUE"""),145.56)</f>
        <v>145.56</v>
      </c>
      <c r="E1696" s="1">
        <f ca="1">IFERROR(__xludf.DUMMYFUNCTION("""COMPUTED_VALUE"""),146.92)</f>
        <v>146.91999999999999</v>
      </c>
      <c r="F1696" s="1">
        <f ca="1">IFERROR(__xludf.DUMMYFUNCTION("""COMPUTED_VALUE"""),53477869)</f>
        <v>53477869</v>
      </c>
    </row>
    <row r="1697" spans="1:6" x14ac:dyDescent="0.35">
      <c r="A1697" s="2">
        <f ca="1">IFERROR(__xludf.DUMMYFUNCTION("""COMPUTED_VALUE"""),44466.6666666666)</f>
        <v>44466.666666666599</v>
      </c>
      <c r="B1697" s="1">
        <f ca="1">IFERROR(__xludf.DUMMYFUNCTION("""COMPUTED_VALUE"""),145.47)</f>
        <v>145.47</v>
      </c>
      <c r="C1697" s="1">
        <f ca="1">IFERROR(__xludf.DUMMYFUNCTION("""COMPUTED_VALUE"""),145.96)</f>
        <v>145.96</v>
      </c>
      <c r="D1697" s="1">
        <f ca="1">IFERROR(__xludf.DUMMYFUNCTION("""COMPUTED_VALUE"""),143.82)</f>
        <v>143.82</v>
      </c>
      <c r="E1697" s="1">
        <f ca="1">IFERROR(__xludf.DUMMYFUNCTION("""COMPUTED_VALUE"""),145.37)</f>
        <v>145.37</v>
      </c>
      <c r="F1697" s="1">
        <f ca="1">IFERROR(__xludf.DUMMYFUNCTION("""COMPUTED_VALUE"""),74150729)</f>
        <v>74150729</v>
      </c>
    </row>
    <row r="1698" spans="1:6" x14ac:dyDescent="0.35">
      <c r="A1698" s="2">
        <f ca="1">IFERROR(__xludf.DUMMYFUNCTION("""COMPUTED_VALUE"""),44467.6666666666)</f>
        <v>44467.666666666599</v>
      </c>
      <c r="B1698" s="1">
        <f ca="1">IFERROR(__xludf.DUMMYFUNCTION("""COMPUTED_VALUE"""),143.25)</f>
        <v>143.25</v>
      </c>
      <c r="C1698" s="1">
        <f ca="1">IFERROR(__xludf.DUMMYFUNCTION("""COMPUTED_VALUE"""),144.75)</f>
        <v>144.75</v>
      </c>
      <c r="D1698" s="1">
        <f ca="1">IFERROR(__xludf.DUMMYFUNCTION("""COMPUTED_VALUE"""),141.69)</f>
        <v>141.69</v>
      </c>
      <c r="E1698" s="1">
        <f ca="1">IFERROR(__xludf.DUMMYFUNCTION("""COMPUTED_VALUE"""),141.91)</f>
        <v>141.91</v>
      </c>
      <c r="F1698" s="1">
        <f ca="1">IFERROR(__xludf.DUMMYFUNCTION("""COMPUTED_VALUE"""),108972340)</f>
        <v>108972340</v>
      </c>
    </row>
    <row r="1699" spans="1:6" x14ac:dyDescent="0.35">
      <c r="A1699" s="2">
        <f ca="1">IFERROR(__xludf.DUMMYFUNCTION("""COMPUTED_VALUE"""),44468.6666666666)</f>
        <v>44468.666666666599</v>
      </c>
      <c r="B1699" s="1">
        <f ca="1">IFERROR(__xludf.DUMMYFUNCTION("""COMPUTED_VALUE"""),142.47)</f>
        <v>142.47</v>
      </c>
      <c r="C1699" s="1">
        <f ca="1">IFERROR(__xludf.DUMMYFUNCTION("""COMPUTED_VALUE"""),144.45)</f>
        <v>144.44999999999999</v>
      </c>
      <c r="D1699" s="1">
        <f ca="1">IFERROR(__xludf.DUMMYFUNCTION("""COMPUTED_VALUE"""),142.03)</f>
        <v>142.03</v>
      </c>
      <c r="E1699" s="1">
        <f ca="1">IFERROR(__xludf.DUMMYFUNCTION("""COMPUTED_VALUE"""),142.83)</f>
        <v>142.83000000000001</v>
      </c>
      <c r="F1699" s="1">
        <f ca="1">IFERROR(__xludf.DUMMYFUNCTION("""COMPUTED_VALUE"""),74602044)</f>
        <v>74602044</v>
      </c>
    </row>
    <row r="1700" spans="1:6" x14ac:dyDescent="0.35">
      <c r="A1700" s="2">
        <f ca="1">IFERROR(__xludf.DUMMYFUNCTION("""COMPUTED_VALUE"""),44469.6666666666)</f>
        <v>44469.666666666599</v>
      </c>
      <c r="B1700" s="1">
        <f ca="1">IFERROR(__xludf.DUMMYFUNCTION("""COMPUTED_VALUE"""),143.66)</f>
        <v>143.66</v>
      </c>
      <c r="C1700" s="1">
        <f ca="1">IFERROR(__xludf.DUMMYFUNCTION("""COMPUTED_VALUE"""),144.38)</f>
        <v>144.38</v>
      </c>
      <c r="D1700" s="1">
        <f ca="1">IFERROR(__xludf.DUMMYFUNCTION("""COMPUTED_VALUE"""),141.28)</f>
        <v>141.28</v>
      </c>
      <c r="E1700" s="1">
        <f ca="1">IFERROR(__xludf.DUMMYFUNCTION("""COMPUTED_VALUE"""),141.5)</f>
        <v>141.5</v>
      </c>
      <c r="F1700" s="1">
        <f ca="1">IFERROR(__xludf.DUMMYFUNCTION("""COMPUTED_VALUE"""),89056664)</f>
        <v>89056664</v>
      </c>
    </row>
    <row r="1701" spans="1:6" x14ac:dyDescent="0.35">
      <c r="A1701" s="2">
        <f ca="1">IFERROR(__xludf.DUMMYFUNCTION("""COMPUTED_VALUE"""),44470.6666666666)</f>
        <v>44470.666666666599</v>
      </c>
      <c r="B1701" s="1">
        <f ca="1">IFERROR(__xludf.DUMMYFUNCTION("""COMPUTED_VALUE"""),141.9)</f>
        <v>141.9</v>
      </c>
      <c r="C1701" s="1">
        <f ca="1">IFERROR(__xludf.DUMMYFUNCTION("""COMPUTED_VALUE"""),142.92)</f>
        <v>142.91999999999999</v>
      </c>
      <c r="D1701" s="1">
        <f ca="1">IFERROR(__xludf.DUMMYFUNCTION("""COMPUTED_VALUE"""),139.11)</f>
        <v>139.11000000000001</v>
      </c>
      <c r="E1701" s="1">
        <f ca="1">IFERROR(__xludf.DUMMYFUNCTION("""COMPUTED_VALUE"""),142.65)</f>
        <v>142.65</v>
      </c>
      <c r="F1701" s="1">
        <f ca="1">IFERROR(__xludf.DUMMYFUNCTION("""COMPUTED_VALUE"""),94639581)</f>
        <v>94639581</v>
      </c>
    </row>
    <row r="1702" spans="1:6" x14ac:dyDescent="0.35">
      <c r="A1702" s="2">
        <f ca="1">IFERROR(__xludf.DUMMYFUNCTION("""COMPUTED_VALUE"""),44473.6666666666)</f>
        <v>44473.666666666599</v>
      </c>
      <c r="B1702" s="1">
        <f ca="1">IFERROR(__xludf.DUMMYFUNCTION("""COMPUTED_VALUE"""),141.76)</f>
        <v>141.76</v>
      </c>
      <c r="C1702" s="1">
        <f ca="1">IFERROR(__xludf.DUMMYFUNCTION("""COMPUTED_VALUE"""),142.21)</f>
        <v>142.21</v>
      </c>
      <c r="D1702" s="1">
        <f ca="1">IFERROR(__xludf.DUMMYFUNCTION("""COMPUTED_VALUE"""),138.27)</f>
        <v>138.27000000000001</v>
      </c>
      <c r="E1702" s="1">
        <f ca="1">IFERROR(__xludf.DUMMYFUNCTION("""COMPUTED_VALUE"""),139.14)</f>
        <v>139.13999999999999</v>
      </c>
      <c r="F1702" s="1">
        <f ca="1">IFERROR(__xludf.DUMMYFUNCTION("""COMPUTED_VALUE"""),98322008)</f>
        <v>98322008</v>
      </c>
    </row>
    <row r="1703" spans="1:6" x14ac:dyDescent="0.35">
      <c r="A1703" s="2">
        <f ca="1">IFERROR(__xludf.DUMMYFUNCTION("""COMPUTED_VALUE"""),44474.6666666666)</f>
        <v>44474.666666666599</v>
      </c>
      <c r="B1703" s="1">
        <f ca="1">IFERROR(__xludf.DUMMYFUNCTION("""COMPUTED_VALUE"""),139.49)</f>
        <v>139.49</v>
      </c>
      <c r="C1703" s="1">
        <f ca="1">IFERROR(__xludf.DUMMYFUNCTION("""COMPUTED_VALUE"""),142.24)</f>
        <v>142.24</v>
      </c>
      <c r="D1703" s="1">
        <f ca="1">IFERROR(__xludf.DUMMYFUNCTION("""COMPUTED_VALUE"""),139.36)</f>
        <v>139.36000000000001</v>
      </c>
      <c r="E1703" s="1">
        <f ca="1">IFERROR(__xludf.DUMMYFUNCTION("""COMPUTED_VALUE"""),141.11)</f>
        <v>141.11000000000001</v>
      </c>
      <c r="F1703" s="1">
        <f ca="1">IFERROR(__xludf.DUMMYFUNCTION("""COMPUTED_VALUE"""),80861062)</f>
        <v>80861062</v>
      </c>
    </row>
    <row r="1704" spans="1:6" x14ac:dyDescent="0.35">
      <c r="A1704" s="2">
        <f ca="1">IFERROR(__xludf.DUMMYFUNCTION("""COMPUTED_VALUE"""),44475.6666666666)</f>
        <v>44475.666666666599</v>
      </c>
      <c r="B1704" s="1">
        <f ca="1">IFERROR(__xludf.DUMMYFUNCTION("""COMPUTED_VALUE"""),139.47)</f>
        <v>139.47</v>
      </c>
      <c r="C1704" s="1">
        <f ca="1">IFERROR(__xludf.DUMMYFUNCTION("""COMPUTED_VALUE"""),142.15)</f>
        <v>142.15</v>
      </c>
      <c r="D1704" s="1">
        <f ca="1">IFERROR(__xludf.DUMMYFUNCTION("""COMPUTED_VALUE"""),138.37)</f>
        <v>138.37</v>
      </c>
      <c r="E1704" s="1">
        <f ca="1">IFERROR(__xludf.DUMMYFUNCTION("""COMPUTED_VALUE"""),142)</f>
        <v>142</v>
      </c>
      <c r="F1704" s="1">
        <f ca="1">IFERROR(__xludf.DUMMYFUNCTION("""COMPUTED_VALUE"""),83221119)</f>
        <v>83221119</v>
      </c>
    </row>
    <row r="1705" spans="1:6" x14ac:dyDescent="0.35">
      <c r="A1705" s="2">
        <f ca="1">IFERROR(__xludf.DUMMYFUNCTION("""COMPUTED_VALUE"""),44476.6666666666)</f>
        <v>44476.666666666599</v>
      </c>
      <c r="B1705" s="1">
        <f ca="1">IFERROR(__xludf.DUMMYFUNCTION("""COMPUTED_VALUE"""),143.06)</f>
        <v>143.06</v>
      </c>
      <c r="C1705" s="1">
        <f ca="1">IFERROR(__xludf.DUMMYFUNCTION("""COMPUTED_VALUE"""),144.22)</f>
        <v>144.22</v>
      </c>
      <c r="D1705" s="1">
        <f ca="1">IFERROR(__xludf.DUMMYFUNCTION("""COMPUTED_VALUE"""),142.72)</f>
        <v>142.72</v>
      </c>
      <c r="E1705" s="1">
        <f ca="1">IFERROR(__xludf.DUMMYFUNCTION("""COMPUTED_VALUE"""),143.29)</f>
        <v>143.29</v>
      </c>
      <c r="F1705" s="1">
        <f ca="1">IFERROR(__xludf.DUMMYFUNCTION("""COMPUTED_VALUE"""),61732656)</f>
        <v>61732656</v>
      </c>
    </row>
    <row r="1706" spans="1:6" x14ac:dyDescent="0.35">
      <c r="A1706" s="2">
        <f ca="1">IFERROR(__xludf.DUMMYFUNCTION("""COMPUTED_VALUE"""),44477.6666666666)</f>
        <v>44477.666666666599</v>
      </c>
      <c r="B1706" s="1">
        <f ca="1">IFERROR(__xludf.DUMMYFUNCTION("""COMPUTED_VALUE"""),144.03)</f>
        <v>144.03</v>
      </c>
      <c r="C1706" s="1">
        <f ca="1">IFERROR(__xludf.DUMMYFUNCTION("""COMPUTED_VALUE"""),144.18)</f>
        <v>144.18</v>
      </c>
      <c r="D1706" s="1">
        <f ca="1">IFERROR(__xludf.DUMMYFUNCTION("""COMPUTED_VALUE"""),142.56)</f>
        <v>142.56</v>
      </c>
      <c r="E1706" s="1">
        <f ca="1">IFERROR(__xludf.DUMMYFUNCTION("""COMPUTED_VALUE"""),142.9)</f>
        <v>142.9</v>
      </c>
      <c r="F1706" s="1">
        <f ca="1">IFERROR(__xludf.DUMMYFUNCTION("""COMPUTED_VALUE"""),58773155)</f>
        <v>58773155</v>
      </c>
    </row>
    <row r="1707" spans="1:6" x14ac:dyDescent="0.35">
      <c r="A1707" s="2">
        <f ca="1">IFERROR(__xludf.DUMMYFUNCTION("""COMPUTED_VALUE"""),44480.6666666666)</f>
        <v>44480.666666666599</v>
      </c>
      <c r="B1707" s="1">
        <f ca="1">IFERROR(__xludf.DUMMYFUNCTION("""COMPUTED_VALUE"""),142.27)</f>
        <v>142.27000000000001</v>
      </c>
      <c r="C1707" s="1">
        <f ca="1">IFERROR(__xludf.DUMMYFUNCTION("""COMPUTED_VALUE"""),144.81)</f>
        <v>144.81</v>
      </c>
      <c r="D1707" s="1">
        <f ca="1">IFERROR(__xludf.DUMMYFUNCTION("""COMPUTED_VALUE"""),141.81)</f>
        <v>141.81</v>
      </c>
      <c r="E1707" s="1">
        <f ca="1">IFERROR(__xludf.DUMMYFUNCTION("""COMPUTED_VALUE"""),142.81)</f>
        <v>142.81</v>
      </c>
      <c r="F1707" s="1">
        <f ca="1">IFERROR(__xludf.DUMMYFUNCTION("""COMPUTED_VALUE"""),64452219)</f>
        <v>64452219</v>
      </c>
    </row>
    <row r="1708" spans="1:6" x14ac:dyDescent="0.35">
      <c r="A1708" s="2">
        <f ca="1">IFERROR(__xludf.DUMMYFUNCTION("""COMPUTED_VALUE"""),44481.6666666666)</f>
        <v>44481.666666666599</v>
      </c>
      <c r="B1708" s="1">
        <f ca="1">IFERROR(__xludf.DUMMYFUNCTION("""COMPUTED_VALUE"""),143.23)</f>
        <v>143.22999999999999</v>
      </c>
      <c r="C1708" s="1">
        <f ca="1">IFERROR(__xludf.DUMMYFUNCTION("""COMPUTED_VALUE"""),143.25)</f>
        <v>143.25</v>
      </c>
      <c r="D1708" s="1">
        <f ca="1">IFERROR(__xludf.DUMMYFUNCTION("""COMPUTED_VALUE"""),141.04)</f>
        <v>141.04</v>
      </c>
      <c r="E1708" s="1">
        <f ca="1">IFERROR(__xludf.DUMMYFUNCTION("""COMPUTED_VALUE"""),141.51)</f>
        <v>141.51</v>
      </c>
      <c r="F1708" s="1">
        <f ca="1">IFERROR(__xludf.DUMMYFUNCTION("""COMPUTED_VALUE"""),73035859)</f>
        <v>73035859</v>
      </c>
    </row>
    <row r="1709" spans="1:6" x14ac:dyDescent="0.35">
      <c r="A1709" s="2">
        <f ca="1">IFERROR(__xludf.DUMMYFUNCTION("""COMPUTED_VALUE"""),44482.6666666666)</f>
        <v>44482.666666666599</v>
      </c>
      <c r="B1709" s="1">
        <f ca="1">IFERROR(__xludf.DUMMYFUNCTION("""COMPUTED_VALUE"""),141.24)</f>
        <v>141.24</v>
      </c>
      <c r="C1709" s="1">
        <f ca="1">IFERROR(__xludf.DUMMYFUNCTION("""COMPUTED_VALUE"""),141.4)</f>
        <v>141.4</v>
      </c>
      <c r="D1709" s="1">
        <f ca="1">IFERROR(__xludf.DUMMYFUNCTION("""COMPUTED_VALUE"""),139.2)</f>
        <v>139.19999999999999</v>
      </c>
      <c r="E1709" s="1">
        <f ca="1">IFERROR(__xludf.DUMMYFUNCTION("""COMPUTED_VALUE"""),140.91)</f>
        <v>140.91</v>
      </c>
      <c r="F1709" s="1">
        <f ca="1">IFERROR(__xludf.DUMMYFUNCTION("""COMPUTED_VALUE"""),78762721)</f>
        <v>78762721</v>
      </c>
    </row>
    <row r="1710" spans="1:6" x14ac:dyDescent="0.35">
      <c r="A1710" s="2">
        <f ca="1">IFERROR(__xludf.DUMMYFUNCTION("""COMPUTED_VALUE"""),44483.6666666666)</f>
        <v>44483.666666666599</v>
      </c>
      <c r="B1710" s="1">
        <f ca="1">IFERROR(__xludf.DUMMYFUNCTION("""COMPUTED_VALUE"""),142.11)</f>
        <v>142.11000000000001</v>
      </c>
      <c r="C1710" s="1">
        <f ca="1">IFERROR(__xludf.DUMMYFUNCTION("""COMPUTED_VALUE"""),143.88)</f>
        <v>143.88</v>
      </c>
      <c r="D1710" s="1">
        <f ca="1">IFERROR(__xludf.DUMMYFUNCTION("""COMPUTED_VALUE"""),141.51)</f>
        <v>141.51</v>
      </c>
      <c r="E1710" s="1">
        <f ca="1">IFERROR(__xludf.DUMMYFUNCTION("""COMPUTED_VALUE"""),143.76)</f>
        <v>143.76</v>
      </c>
      <c r="F1710" s="1">
        <f ca="1">IFERROR(__xludf.DUMMYFUNCTION("""COMPUTED_VALUE"""),69907100)</f>
        <v>69907100</v>
      </c>
    </row>
    <row r="1711" spans="1:6" x14ac:dyDescent="0.35">
      <c r="A1711" s="2">
        <f ca="1">IFERROR(__xludf.DUMMYFUNCTION("""COMPUTED_VALUE"""),44484.6666666666)</f>
        <v>44484.666666666599</v>
      </c>
      <c r="B1711" s="1">
        <f ca="1">IFERROR(__xludf.DUMMYFUNCTION("""COMPUTED_VALUE"""),143.77)</f>
        <v>143.77000000000001</v>
      </c>
      <c r="C1711" s="1">
        <f ca="1">IFERROR(__xludf.DUMMYFUNCTION("""COMPUTED_VALUE"""),144.9)</f>
        <v>144.9</v>
      </c>
      <c r="D1711" s="1">
        <f ca="1">IFERROR(__xludf.DUMMYFUNCTION("""COMPUTED_VALUE"""),143.51)</f>
        <v>143.51</v>
      </c>
      <c r="E1711" s="1">
        <f ca="1">IFERROR(__xludf.DUMMYFUNCTION("""COMPUTED_VALUE"""),144.84)</f>
        <v>144.84</v>
      </c>
      <c r="F1711" s="1">
        <f ca="1">IFERROR(__xludf.DUMMYFUNCTION("""COMPUTED_VALUE"""),67940334)</f>
        <v>67940334</v>
      </c>
    </row>
    <row r="1712" spans="1:6" x14ac:dyDescent="0.35">
      <c r="A1712" s="2">
        <f ca="1">IFERROR(__xludf.DUMMYFUNCTION("""COMPUTED_VALUE"""),44487.6666666666)</f>
        <v>44487.666666666599</v>
      </c>
      <c r="B1712" s="1">
        <f ca="1">IFERROR(__xludf.DUMMYFUNCTION("""COMPUTED_VALUE"""),143.45)</f>
        <v>143.44999999999999</v>
      </c>
      <c r="C1712" s="1">
        <f ca="1">IFERROR(__xludf.DUMMYFUNCTION("""COMPUTED_VALUE"""),146.84)</f>
        <v>146.84</v>
      </c>
      <c r="D1712" s="1">
        <f ca="1">IFERROR(__xludf.DUMMYFUNCTION("""COMPUTED_VALUE"""),143.16)</f>
        <v>143.16</v>
      </c>
      <c r="E1712" s="1">
        <f ca="1">IFERROR(__xludf.DUMMYFUNCTION("""COMPUTED_VALUE"""),146.55)</f>
        <v>146.55000000000001</v>
      </c>
      <c r="F1712" s="1">
        <f ca="1">IFERROR(__xludf.DUMMYFUNCTION("""COMPUTED_VALUE"""),85589175)</f>
        <v>85589175</v>
      </c>
    </row>
    <row r="1713" spans="1:6" x14ac:dyDescent="0.35">
      <c r="A1713" s="2">
        <f ca="1">IFERROR(__xludf.DUMMYFUNCTION("""COMPUTED_VALUE"""),44488.6666666666)</f>
        <v>44488.666666666599</v>
      </c>
      <c r="B1713" s="1">
        <f ca="1">IFERROR(__xludf.DUMMYFUNCTION("""COMPUTED_VALUE"""),147.01)</f>
        <v>147.01</v>
      </c>
      <c r="C1713" s="1">
        <f ca="1">IFERROR(__xludf.DUMMYFUNCTION("""COMPUTED_VALUE"""),149.17)</f>
        <v>149.16999999999999</v>
      </c>
      <c r="D1713" s="1">
        <f ca="1">IFERROR(__xludf.DUMMYFUNCTION("""COMPUTED_VALUE"""),146.55)</f>
        <v>146.55000000000001</v>
      </c>
      <c r="E1713" s="1">
        <f ca="1">IFERROR(__xludf.DUMMYFUNCTION("""COMPUTED_VALUE"""),148.76)</f>
        <v>148.76</v>
      </c>
      <c r="F1713" s="1">
        <f ca="1">IFERROR(__xludf.DUMMYFUNCTION("""COMPUTED_VALUE"""),76378894)</f>
        <v>76378894</v>
      </c>
    </row>
    <row r="1714" spans="1:6" x14ac:dyDescent="0.35">
      <c r="A1714" s="2">
        <f ca="1">IFERROR(__xludf.DUMMYFUNCTION("""COMPUTED_VALUE"""),44489.6666666666)</f>
        <v>44489.666666666599</v>
      </c>
      <c r="B1714" s="1">
        <f ca="1">IFERROR(__xludf.DUMMYFUNCTION("""COMPUTED_VALUE"""),148.7)</f>
        <v>148.69999999999999</v>
      </c>
      <c r="C1714" s="1">
        <f ca="1">IFERROR(__xludf.DUMMYFUNCTION("""COMPUTED_VALUE"""),149.75)</f>
        <v>149.75</v>
      </c>
      <c r="D1714" s="1">
        <f ca="1">IFERROR(__xludf.DUMMYFUNCTION("""COMPUTED_VALUE"""),148.12)</f>
        <v>148.12</v>
      </c>
      <c r="E1714" s="1">
        <f ca="1">IFERROR(__xludf.DUMMYFUNCTION("""COMPUTED_VALUE"""),149.26)</f>
        <v>149.26</v>
      </c>
      <c r="F1714" s="1">
        <f ca="1">IFERROR(__xludf.DUMMYFUNCTION("""COMPUTED_VALUE"""),58418788)</f>
        <v>58418788</v>
      </c>
    </row>
    <row r="1715" spans="1:6" x14ac:dyDescent="0.35">
      <c r="A1715" s="2">
        <f ca="1">IFERROR(__xludf.DUMMYFUNCTION("""COMPUTED_VALUE"""),44490.6666666666)</f>
        <v>44490.666666666599</v>
      </c>
      <c r="B1715" s="1">
        <f ca="1">IFERROR(__xludf.DUMMYFUNCTION("""COMPUTED_VALUE"""),148.81)</f>
        <v>148.81</v>
      </c>
      <c r="C1715" s="1">
        <f ca="1">IFERROR(__xludf.DUMMYFUNCTION("""COMPUTED_VALUE"""),149.64)</f>
        <v>149.63999999999999</v>
      </c>
      <c r="D1715" s="1">
        <f ca="1">IFERROR(__xludf.DUMMYFUNCTION("""COMPUTED_VALUE"""),147.87)</f>
        <v>147.87</v>
      </c>
      <c r="E1715" s="1">
        <f ca="1">IFERROR(__xludf.DUMMYFUNCTION("""COMPUTED_VALUE"""),149.48)</f>
        <v>149.47999999999999</v>
      </c>
      <c r="F1715" s="1">
        <f ca="1">IFERROR(__xludf.DUMMYFUNCTION("""COMPUTED_VALUE"""),61420990)</f>
        <v>61420990</v>
      </c>
    </row>
    <row r="1716" spans="1:6" x14ac:dyDescent="0.35">
      <c r="A1716" s="2">
        <f ca="1">IFERROR(__xludf.DUMMYFUNCTION("""COMPUTED_VALUE"""),44491.6666666666)</f>
        <v>44491.666666666599</v>
      </c>
      <c r="B1716" s="1">
        <f ca="1">IFERROR(__xludf.DUMMYFUNCTION("""COMPUTED_VALUE"""),149.69)</f>
        <v>149.69</v>
      </c>
      <c r="C1716" s="1">
        <f ca="1">IFERROR(__xludf.DUMMYFUNCTION("""COMPUTED_VALUE"""),150.18)</f>
        <v>150.18</v>
      </c>
      <c r="D1716" s="1">
        <f ca="1">IFERROR(__xludf.DUMMYFUNCTION("""COMPUTED_VALUE"""),148.64)</f>
        <v>148.63999999999999</v>
      </c>
      <c r="E1716" s="1">
        <f ca="1">IFERROR(__xludf.DUMMYFUNCTION("""COMPUTED_VALUE"""),148.69)</f>
        <v>148.69</v>
      </c>
      <c r="F1716" s="1">
        <f ca="1">IFERROR(__xludf.DUMMYFUNCTION("""COMPUTED_VALUE"""),58883443)</f>
        <v>58883443</v>
      </c>
    </row>
    <row r="1717" spans="1:6" x14ac:dyDescent="0.35">
      <c r="A1717" s="2">
        <f ca="1">IFERROR(__xludf.DUMMYFUNCTION("""COMPUTED_VALUE"""),44494.6666666666)</f>
        <v>44494.666666666599</v>
      </c>
      <c r="B1717" s="1">
        <f ca="1">IFERROR(__xludf.DUMMYFUNCTION("""COMPUTED_VALUE"""),148.68)</f>
        <v>148.68</v>
      </c>
      <c r="C1717" s="1">
        <f ca="1">IFERROR(__xludf.DUMMYFUNCTION("""COMPUTED_VALUE"""),149.37)</f>
        <v>149.37</v>
      </c>
      <c r="D1717" s="1">
        <f ca="1">IFERROR(__xludf.DUMMYFUNCTION("""COMPUTED_VALUE"""),147.62)</f>
        <v>147.62</v>
      </c>
      <c r="E1717" s="1">
        <f ca="1">IFERROR(__xludf.DUMMYFUNCTION("""COMPUTED_VALUE"""),148.64)</f>
        <v>148.63999999999999</v>
      </c>
      <c r="F1717" s="1">
        <f ca="1">IFERROR(__xludf.DUMMYFUNCTION("""COMPUTED_VALUE"""),50720556)</f>
        <v>50720556</v>
      </c>
    </row>
    <row r="1718" spans="1:6" x14ac:dyDescent="0.35">
      <c r="A1718" s="2">
        <f ca="1">IFERROR(__xludf.DUMMYFUNCTION("""COMPUTED_VALUE"""),44495.6666666666)</f>
        <v>44495.666666666599</v>
      </c>
      <c r="B1718" s="1">
        <f ca="1">IFERROR(__xludf.DUMMYFUNCTION("""COMPUTED_VALUE"""),149.33)</f>
        <v>149.33000000000001</v>
      </c>
      <c r="C1718" s="1">
        <f ca="1">IFERROR(__xludf.DUMMYFUNCTION("""COMPUTED_VALUE"""),150.84)</f>
        <v>150.84</v>
      </c>
      <c r="D1718" s="1">
        <f ca="1">IFERROR(__xludf.DUMMYFUNCTION("""COMPUTED_VALUE"""),149.01)</f>
        <v>149.01</v>
      </c>
      <c r="E1718" s="1">
        <f ca="1">IFERROR(__xludf.DUMMYFUNCTION("""COMPUTED_VALUE"""),149.32)</f>
        <v>149.32</v>
      </c>
      <c r="F1718" s="1">
        <f ca="1">IFERROR(__xludf.DUMMYFUNCTION("""COMPUTED_VALUE"""),60893395)</f>
        <v>60893395</v>
      </c>
    </row>
    <row r="1719" spans="1:6" x14ac:dyDescent="0.35">
      <c r="A1719" s="2">
        <f ca="1">IFERROR(__xludf.DUMMYFUNCTION("""COMPUTED_VALUE"""),44496.6666666666)</f>
        <v>44496.666666666599</v>
      </c>
      <c r="B1719" s="1">
        <f ca="1">IFERROR(__xludf.DUMMYFUNCTION("""COMPUTED_VALUE"""),149.36)</f>
        <v>149.36000000000001</v>
      </c>
      <c r="C1719" s="1">
        <f ca="1">IFERROR(__xludf.DUMMYFUNCTION("""COMPUTED_VALUE"""),149.73)</f>
        <v>149.72999999999999</v>
      </c>
      <c r="D1719" s="1">
        <f ca="1">IFERROR(__xludf.DUMMYFUNCTION("""COMPUTED_VALUE"""),148.49)</f>
        <v>148.49</v>
      </c>
      <c r="E1719" s="1">
        <f ca="1">IFERROR(__xludf.DUMMYFUNCTION("""COMPUTED_VALUE"""),148.85)</f>
        <v>148.85</v>
      </c>
      <c r="F1719" s="1">
        <f ca="1">IFERROR(__xludf.DUMMYFUNCTION("""COMPUTED_VALUE"""),56094929)</f>
        <v>56094929</v>
      </c>
    </row>
    <row r="1720" spans="1:6" x14ac:dyDescent="0.35">
      <c r="A1720" s="2">
        <f ca="1">IFERROR(__xludf.DUMMYFUNCTION("""COMPUTED_VALUE"""),44497.6666666666)</f>
        <v>44497.666666666599</v>
      </c>
      <c r="B1720" s="1">
        <f ca="1">IFERROR(__xludf.DUMMYFUNCTION("""COMPUTED_VALUE"""),149.82)</f>
        <v>149.82</v>
      </c>
      <c r="C1720" s="1">
        <f ca="1">IFERROR(__xludf.DUMMYFUNCTION("""COMPUTED_VALUE"""),153.17)</f>
        <v>153.16999999999999</v>
      </c>
      <c r="D1720" s="1">
        <f ca="1">IFERROR(__xludf.DUMMYFUNCTION("""COMPUTED_VALUE"""),149.72)</f>
        <v>149.72</v>
      </c>
      <c r="E1720" s="1">
        <f ca="1">IFERROR(__xludf.DUMMYFUNCTION("""COMPUTED_VALUE"""),152.57)</f>
        <v>152.57</v>
      </c>
      <c r="F1720" s="1">
        <f ca="1">IFERROR(__xludf.DUMMYFUNCTION("""COMPUTED_VALUE"""),100077888)</f>
        <v>100077888</v>
      </c>
    </row>
    <row r="1721" spans="1:6" x14ac:dyDescent="0.35">
      <c r="A1721" s="2">
        <f ca="1">IFERROR(__xludf.DUMMYFUNCTION("""COMPUTED_VALUE"""),44498.6666666666)</f>
        <v>44498.666666666599</v>
      </c>
      <c r="B1721" s="1">
        <f ca="1">IFERROR(__xludf.DUMMYFUNCTION("""COMPUTED_VALUE"""),147.22)</f>
        <v>147.22</v>
      </c>
      <c r="C1721" s="1">
        <f ca="1">IFERROR(__xludf.DUMMYFUNCTION("""COMPUTED_VALUE"""),149.94)</f>
        <v>149.94</v>
      </c>
      <c r="D1721" s="1">
        <f ca="1">IFERROR(__xludf.DUMMYFUNCTION("""COMPUTED_VALUE"""),146.41)</f>
        <v>146.41</v>
      </c>
      <c r="E1721" s="1">
        <f ca="1">IFERROR(__xludf.DUMMYFUNCTION("""COMPUTED_VALUE"""),149.8)</f>
        <v>149.80000000000001</v>
      </c>
      <c r="F1721" s="1">
        <f ca="1">IFERROR(__xludf.DUMMYFUNCTION("""COMPUTED_VALUE"""),124953168)</f>
        <v>124953168</v>
      </c>
    </row>
    <row r="1722" spans="1:6" x14ac:dyDescent="0.35">
      <c r="A1722" s="2">
        <f ca="1">IFERROR(__xludf.DUMMYFUNCTION("""COMPUTED_VALUE"""),44501.6666666666)</f>
        <v>44501.666666666599</v>
      </c>
      <c r="B1722" s="1">
        <f ca="1">IFERROR(__xludf.DUMMYFUNCTION("""COMPUTED_VALUE"""),148.99)</f>
        <v>148.99</v>
      </c>
      <c r="C1722" s="1">
        <f ca="1">IFERROR(__xludf.DUMMYFUNCTION("""COMPUTED_VALUE"""),149.7)</f>
        <v>149.69999999999999</v>
      </c>
      <c r="D1722" s="1">
        <f ca="1">IFERROR(__xludf.DUMMYFUNCTION("""COMPUTED_VALUE"""),147.8)</f>
        <v>147.80000000000001</v>
      </c>
      <c r="E1722" s="1">
        <f ca="1">IFERROR(__xludf.DUMMYFUNCTION("""COMPUTED_VALUE"""),148.96)</f>
        <v>148.96</v>
      </c>
      <c r="F1722" s="1">
        <f ca="1">IFERROR(__xludf.DUMMYFUNCTION("""COMPUTED_VALUE"""),74588258)</f>
        <v>74588258</v>
      </c>
    </row>
    <row r="1723" spans="1:6" x14ac:dyDescent="0.35">
      <c r="A1723" s="2">
        <f ca="1">IFERROR(__xludf.DUMMYFUNCTION("""COMPUTED_VALUE"""),44502.6666666666)</f>
        <v>44502.666666666599</v>
      </c>
      <c r="B1723" s="1">
        <f ca="1">IFERROR(__xludf.DUMMYFUNCTION("""COMPUTED_VALUE"""),148.66)</f>
        <v>148.66</v>
      </c>
      <c r="C1723" s="1">
        <f ca="1">IFERROR(__xludf.DUMMYFUNCTION("""COMPUTED_VALUE"""),151.57)</f>
        <v>151.57</v>
      </c>
      <c r="D1723" s="1">
        <f ca="1">IFERROR(__xludf.DUMMYFUNCTION("""COMPUTED_VALUE"""),148.65)</f>
        <v>148.65</v>
      </c>
      <c r="E1723" s="1">
        <f ca="1">IFERROR(__xludf.DUMMYFUNCTION("""COMPUTED_VALUE"""),150.02)</f>
        <v>150.02000000000001</v>
      </c>
      <c r="F1723" s="1">
        <f ca="1">IFERROR(__xludf.DUMMYFUNCTION("""COMPUTED_VALUE"""),69121987)</f>
        <v>69121987</v>
      </c>
    </row>
    <row r="1724" spans="1:6" x14ac:dyDescent="0.35">
      <c r="A1724" s="2">
        <f ca="1">IFERROR(__xludf.DUMMYFUNCTION("""COMPUTED_VALUE"""),44503.6666666666)</f>
        <v>44503.666666666599</v>
      </c>
      <c r="B1724" s="1">
        <f ca="1">IFERROR(__xludf.DUMMYFUNCTION("""COMPUTED_VALUE"""),150.39)</f>
        <v>150.38999999999999</v>
      </c>
      <c r="C1724" s="1">
        <f ca="1">IFERROR(__xludf.DUMMYFUNCTION("""COMPUTED_VALUE"""),151.97)</f>
        <v>151.97</v>
      </c>
      <c r="D1724" s="1">
        <f ca="1">IFERROR(__xludf.DUMMYFUNCTION("""COMPUTED_VALUE"""),149.82)</f>
        <v>149.82</v>
      </c>
      <c r="E1724" s="1">
        <f ca="1">IFERROR(__xludf.DUMMYFUNCTION("""COMPUTED_VALUE"""),151.49)</f>
        <v>151.49</v>
      </c>
      <c r="F1724" s="1">
        <f ca="1">IFERROR(__xludf.DUMMYFUNCTION("""COMPUTED_VALUE"""),54511534)</f>
        <v>54511534</v>
      </c>
    </row>
    <row r="1725" spans="1:6" x14ac:dyDescent="0.35">
      <c r="A1725" s="2">
        <f ca="1">IFERROR(__xludf.DUMMYFUNCTION("""COMPUTED_VALUE"""),44504.6666666666)</f>
        <v>44504.666666666599</v>
      </c>
      <c r="B1725" s="1">
        <f ca="1">IFERROR(__xludf.DUMMYFUNCTION("""COMPUTED_VALUE"""),151.58)</f>
        <v>151.58000000000001</v>
      </c>
      <c r="C1725" s="1">
        <f ca="1">IFERROR(__xludf.DUMMYFUNCTION("""COMPUTED_VALUE"""),152.43)</f>
        <v>152.43</v>
      </c>
      <c r="D1725" s="1">
        <f ca="1">IFERROR(__xludf.DUMMYFUNCTION("""COMPUTED_VALUE"""),150.64)</f>
        <v>150.63999999999999</v>
      </c>
      <c r="E1725" s="1">
        <f ca="1">IFERROR(__xludf.DUMMYFUNCTION("""COMPUTED_VALUE"""),150.96)</f>
        <v>150.96</v>
      </c>
      <c r="F1725" s="1">
        <f ca="1">IFERROR(__xludf.DUMMYFUNCTION("""COMPUTED_VALUE"""),60394616)</f>
        <v>60394616</v>
      </c>
    </row>
    <row r="1726" spans="1:6" x14ac:dyDescent="0.35">
      <c r="A1726" s="2">
        <f ca="1">IFERROR(__xludf.DUMMYFUNCTION("""COMPUTED_VALUE"""),44505.6666666666)</f>
        <v>44505.666666666599</v>
      </c>
      <c r="B1726" s="1">
        <f ca="1">IFERROR(__xludf.DUMMYFUNCTION("""COMPUTED_VALUE"""),151.89)</f>
        <v>151.88999999999999</v>
      </c>
      <c r="C1726" s="1">
        <f ca="1">IFERROR(__xludf.DUMMYFUNCTION("""COMPUTED_VALUE"""),152.2)</f>
        <v>152.19999999999999</v>
      </c>
      <c r="D1726" s="1">
        <f ca="1">IFERROR(__xludf.DUMMYFUNCTION("""COMPUTED_VALUE"""),150.06)</f>
        <v>150.06</v>
      </c>
      <c r="E1726" s="1">
        <f ca="1">IFERROR(__xludf.DUMMYFUNCTION("""COMPUTED_VALUE"""),151.28)</f>
        <v>151.28</v>
      </c>
      <c r="F1726" s="1">
        <f ca="1">IFERROR(__xludf.DUMMYFUNCTION("""COMPUTED_VALUE"""),65463883)</f>
        <v>65463883</v>
      </c>
    </row>
    <row r="1727" spans="1:6" x14ac:dyDescent="0.35">
      <c r="A1727" s="2">
        <f ca="1">IFERROR(__xludf.DUMMYFUNCTION("""COMPUTED_VALUE"""),44508.6666666666)</f>
        <v>44508.666666666599</v>
      </c>
      <c r="B1727" s="1">
        <f ca="1">IFERROR(__xludf.DUMMYFUNCTION("""COMPUTED_VALUE"""),151.41)</f>
        <v>151.41</v>
      </c>
      <c r="C1727" s="1">
        <f ca="1">IFERROR(__xludf.DUMMYFUNCTION("""COMPUTED_VALUE"""),151.57)</f>
        <v>151.57</v>
      </c>
      <c r="D1727" s="1">
        <f ca="1">IFERROR(__xludf.DUMMYFUNCTION("""COMPUTED_VALUE"""),150.16)</f>
        <v>150.16</v>
      </c>
      <c r="E1727" s="1">
        <f ca="1">IFERROR(__xludf.DUMMYFUNCTION("""COMPUTED_VALUE"""),150.44)</f>
        <v>150.44</v>
      </c>
      <c r="F1727" s="1">
        <f ca="1">IFERROR(__xludf.DUMMYFUNCTION("""COMPUTED_VALUE"""),55020868)</f>
        <v>55020868</v>
      </c>
    </row>
    <row r="1728" spans="1:6" x14ac:dyDescent="0.35">
      <c r="A1728" s="2">
        <f ca="1">IFERROR(__xludf.DUMMYFUNCTION("""COMPUTED_VALUE"""),44509.6666666666)</f>
        <v>44509.666666666599</v>
      </c>
      <c r="B1728" s="1">
        <f ca="1">IFERROR(__xludf.DUMMYFUNCTION("""COMPUTED_VALUE"""),150.2)</f>
        <v>150.19999999999999</v>
      </c>
      <c r="C1728" s="1">
        <f ca="1">IFERROR(__xludf.DUMMYFUNCTION("""COMPUTED_VALUE"""),151.43)</f>
        <v>151.43</v>
      </c>
      <c r="D1728" s="1">
        <f ca="1">IFERROR(__xludf.DUMMYFUNCTION("""COMPUTED_VALUE"""),150.06)</f>
        <v>150.06</v>
      </c>
      <c r="E1728" s="1">
        <f ca="1">IFERROR(__xludf.DUMMYFUNCTION("""COMPUTED_VALUE"""),150.81)</f>
        <v>150.81</v>
      </c>
      <c r="F1728" s="1">
        <f ca="1">IFERROR(__xludf.DUMMYFUNCTION("""COMPUTED_VALUE"""),56787930)</f>
        <v>56787930</v>
      </c>
    </row>
    <row r="1729" spans="1:6" x14ac:dyDescent="0.35">
      <c r="A1729" s="2">
        <f ca="1">IFERROR(__xludf.DUMMYFUNCTION("""COMPUTED_VALUE"""),44510.6666666666)</f>
        <v>44510.666666666599</v>
      </c>
      <c r="B1729" s="1">
        <f ca="1">IFERROR(__xludf.DUMMYFUNCTION("""COMPUTED_VALUE"""),150.02)</f>
        <v>150.02000000000001</v>
      </c>
      <c r="C1729" s="1">
        <f ca="1">IFERROR(__xludf.DUMMYFUNCTION("""COMPUTED_VALUE"""),150.13)</f>
        <v>150.13</v>
      </c>
      <c r="D1729" s="1">
        <f ca="1">IFERROR(__xludf.DUMMYFUNCTION("""COMPUTED_VALUE"""),147.85)</f>
        <v>147.85</v>
      </c>
      <c r="E1729" s="1">
        <f ca="1">IFERROR(__xludf.DUMMYFUNCTION("""COMPUTED_VALUE"""),147.92)</f>
        <v>147.91999999999999</v>
      </c>
      <c r="F1729" s="1">
        <f ca="1">IFERROR(__xludf.DUMMYFUNCTION("""COMPUTED_VALUE"""),65187092)</f>
        <v>65187092</v>
      </c>
    </row>
    <row r="1730" spans="1:6" x14ac:dyDescent="0.35">
      <c r="A1730" s="2">
        <f ca="1">IFERROR(__xludf.DUMMYFUNCTION("""COMPUTED_VALUE"""),44511.6666666666)</f>
        <v>44511.666666666599</v>
      </c>
      <c r="B1730" s="1">
        <f ca="1">IFERROR(__xludf.DUMMYFUNCTION("""COMPUTED_VALUE"""),148.96)</f>
        <v>148.96</v>
      </c>
      <c r="C1730" s="1">
        <f ca="1">IFERROR(__xludf.DUMMYFUNCTION("""COMPUTED_VALUE"""),149.43)</f>
        <v>149.43</v>
      </c>
      <c r="D1730" s="1">
        <f ca="1">IFERROR(__xludf.DUMMYFUNCTION("""COMPUTED_VALUE"""),147.68)</f>
        <v>147.68</v>
      </c>
      <c r="E1730" s="1">
        <f ca="1">IFERROR(__xludf.DUMMYFUNCTION("""COMPUTED_VALUE"""),147.87)</f>
        <v>147.87</v>
      </c>
      <c r="F1730" s="1">
        <f ca="1">IFERROR(__xludf.DUMMYFUNCTION("""COMPUTED_VALUE"""),40999950)</f>
        <v>40999950</v>
      </c>
    </row>
    <row r="1731" spans="1:6" x14ac:dyDescent="0.35">
      <c r="A1731" s="2">
        <f ca="1">IFERROR(__xludf.DUMMYFUNCTION("""COMPUTED_VALUE"""),44512.6666666666)</f>
        <v>44512.666666666599</v>
      </c>
      <c r="B1731" s="1">
        <f ca="1">IFERROR(__xludf.DUMMYFUNCTION("""COMPUTED_VALUE"""),148.43)</f>
        <v>148.43</v>
      </c>
      <c r="C1731" s="1">
        <f ca="1">IFERROR(__xludf.DUMMYFUNCTION("""COMPUTED_VALUE"""),150.4)</f>
        <v>150.4</v>
      </c>
      <c r="D1731" s="1">
        <f ca="1">IFERROR(__xludf.DUMMYFUNCTION("""COMPUTED_VALUE"""),147.48)</f>
        <v>147.47999999999999</v>
      </c>
      <c r="E1731" s="1">
        <f ca="1">IFERROR(__xludf.DUMMYFUNCTION("""COMPUTED_VALUE"""),149.99)</f>
        <v>149.99</v>
      </c>
      <c r="F1731" s="1">
        <f ca="1">IFERROR(__xludf.DUMMYFUNCTION("""COMPUTED_VALUE"""),63804008)</f>
        <v>63804008</v>
      </c>
    </row>
    <row r="1732" spans="1:6" x14ac:dyDescent="0.35">
      <c r="A1732" s="2">
        <f ca="1">IFERROR(__xludf.DUMMYFUNCTION("""COMPUTED_VALUE"""),44515.6666666666)</f>
        <v>44515.666666666599</v>
      </c>
      <c r="B1732" s="1">
        <f ca="1">IFERROR(__xludf.DUMMYFUNCTION("""COMPUTED_VALUE"""),150.37)</f>
        <v>150.37</v>
      </c>
      <c r="C1732" s="1">
        <f ca="1">IFERROR(__xludf.DUMMYFUNCTION("""COMPUTED_VALUE"""),151.88)</f>
        <v>151.88</v>
      </c>
      <c r="D1732" s="1">
        <f ca="1">IFERROR(__xludf.DUMMYFUNCTION("""COMPUTED_VALUE"""),149.43)</f>
        <v>149.43</v>
      </c>
      <c r="E1732" s="1">
        <f ca="1">IFERROR(__xludf.DUMMYFUNCTION("""COMPUTED_VALUE"""),150)</f>
        <v>150</v>
      </c>
      <c r="F1732" s="1">
        <f ca="1">IFERROR(__xludf.DUMMYFUNCTION("""COMPUTED_VALUE"""),59222803)</f>
        <v>59222803</v>
      </c>
    </row>
    <row r="1733" spans="1:6" x14ac:dyDescent="0.35">
      <c r="A1733" s="2">
        <f ca="1">IFERROR(__xludf.DUMMYFUNCTION("""COMPUTED_VALUE"""),44516.6666666666)</f>
        <v>44516.666666666599</v>
      </c>
      <c r="B1733" s="1">
        <f ca="1">IFERROR(__xludf.DUMMYFUNCTION("""COMPUTED_VALUE"""),149.94)</f>
        <v>149.94</v>
      </c>
      <c r="C1733" s="1">
        <f ca="1">IFERROR(__xludf.DUMMYFUNCTION("""COMPUTED_VALUE"""),151.49)</f>
        <v>151.49</v>
      </c>
      <c r="D1733" s="1">
        <f ca="1">IFERROR(__xludf.DUMMYFUNCTION("""COMPUTED_VALUE"""),149.34)</f>
        <v>149.34</v>
      </c>
      <c r="E1733" s="1">
        <f ca="1">IFERROR(__xludf.DUMMYFUNCTION("""COMPUTED_VALUE"""),151)</f>
        <v>151</v>
      </c>
      <c r="F1733" s="1">
        <f ca="1">IFERROR(__xludf.DUMMYFUNCTION("""COMPUTED_VALUE"""),59256210)</f>
        <v>59256210</v>
      </c>
    </row>
    <row r="1734" spans="1:6" x14ac:dyDescent="0.35">
      <c r="A1734" s="2">
        <f ca="1">IFERROR(__xludf.DUMMYFUNCTION("""COMPUTED_VALUE"""),44517.6666666666)</f>
        <v>44517.666666666599</v>
      </c>
      <c r="B1734" s="1">
        <f ca="1">IFERROR(__xludf.DUMMYFUNCTION("""COMPUTED_VALUE"""),151)</f>
        <v>151</v>
      </c>
      <c r="C1734" s="1">
        <f ca="1">IFERROR(__xludf.DUMMYFUNCTION("""COMPUTED_VALUE"""),155)</f>
        <v>155</v>
      </c>
      <c r="D1734" s="1">
        <f ca="1">IFERROR(__xludf.DUMMYFUNCTION("""COMPUTED_VALUE"""),150.99)</f>
        <v>150.99</v>
      </c>
      <c r="E1734" s="1">
        <f ca="1">IFERROR(__xludf.DUMMYFUNCTION("""COMPUTED_VALUE"""),153.49)</f>
        <v>153.49</v>
      </c>
      <c r="F1734" s="1">
        <f ca="1">IFERROR(__xludf.DUMMYFUNCTION("""COMPUTED_VALUE"""),88807000)</f>
        <v>88807000</v>
      </c>
    </row>
    <row r="1735" spans="1:6" x14ac:dyDescent="0.35">
      <c r="A1735" s="2">
        <f ca="1">IFERROR(__xludf.DUMMYFUNCTION("""COMPUTED_VALUE"""),44518.6666666666)</f>
        <v>44518.666666666599</v>
      </c>
      <c r="B1735" s="1">
        <f ca="1">IFERROR(__xludf.DUMMYFUNCTION("""COMPUTED_VALUE"""),153.71)</f>
        <v>153.71</v>
      </c>
      <c r="C1735" s="1">
        <f ca="1">IFERROR(__xludf.DUMMYFUNCTION("""COMPUTED_VALUE"""),158.67)</f>
        <v>158.66999999999999</v>
      </c>
      <c r="D1735" s="1">
        <f ca="1">IFERROR(__xludf.DUMMYFUNCTION("""COMPUTED_VALUE"""),153.05)</f>
        <v>153.05000000000001</v>
      </c>
      <c r="E1735" s="1">
        <f ca="1">IFERROR(__xludf.DUMMYFUNCTION("""COMPUTED_VALUE"""),157.87)</f>
        <v>157.87</v>
      </c>
      <c r="F1735" s="1">
        <f ca="1">IFERROR(__xludf.DUMMYFUNCTION("""COMPUTED_VALUE"""),137827673)</f>
        <v>137827673</v>
      </c>
    </row>
    <row r="1736" spans="1:6" x14ac:dyDescent="0.35">
      <c r="A1736" s="2">
        <f ca="1">IFERROR(__xludf.DUMMYFUNCTION("""COMPUTED_VALUE"""),44519.6666666666)</f>
        <v>44519.666666666599</v>
      </c>
      <c r="B1736" s="1">
        <f ca="1">IFERROR(__xludf.DUMMYFUNCTION("""COMPUTED_VALUE"""),157.65)</f>
        <v>157.65</v>
      </c>
      <c r="C1736" s="1">
        <f ca="1">IFERROR(__xludf.DUMMYFUNCTION("""COMPUTED_VALUE"""),161.02)</f>
        <v>161.02000000000001</v>
      </c>
      <c r="D1736" s="1">
        <f ca="1">IFERROR(__xludf.DUMMYFUNCTION("""COMPUTED_VALUE"""),156.53)</f>
        <v>156.53</v>
      </c>
      <c r="E1736" s="1">
        <f ca="1">IFERROR(__xludf.DUMMYFUNCTION("""COMPUTED_VALUE"""),160.55)</f>
        <v>160.55000000000001</v>
      </c>
      <c r="F1736" s="1">
        <f ca="1">IFERROR(__xludf.DUMMYFUNCTION("""COMPUTED_VALUE"""),117305597)</f>
        <v>117305597</v>
      </c>
    </row>
    <row r="1737" spans="1:6" x14ac:dyDescent="0.35">
      <c r="A1737" s="2">
        <f ca="1">IFERROR(__xludf.DUMMYFUNCTION("""COMPUTED_VALUE"""),44522.6666666666)</f>
        <v>44522.666666666599</v>
      </c>
      <c r="B1737" s="1">
        <f ca="1">IFERROR(__xludf.DUMMYFUNCTION("""COMPUTED_VALUE"""),161.68)</f>
        <v>161.68</v>
      </c>
      <c r="C1737" s="1">
        <f ca="1">IFERROR(__xludf.DUMMYFUNCTION("""COMPUTED_VALUE"""),165.7)</f>
        <v>165.7</v>
      </c>
      <c r="D1737" s="1">
        <f ca="1">IFERROR(__xludf.DUMMYFUNCTION("""COMPUTED_VALUE"""),161)</f>
        <v>161</v>
      </c>
      <c r="E1737" s="1">
        <f ca="1">IFERROR(__xludf.DUMMYFUNCTION("""COMPUTED_VALUE"""),161.02)</f>
        <v>161.02000000000001</v>
      </c>
      <c r="F1737" s="1">
        <f ca="1">IFERROR(__xludf.DUMMYFUNCTION("""COMPUTED_VALUE"""),117467889)</f>
        <v>117467889</v>
      </c>
    </row>
    <row r="1738" spans="1:6" x14ac:dyDescent="0.35">
      <c r="A1738" s="2">
        <f ca="1">IFERROR(__xludf.DUMMYFUNCTION("""COMPUTED_VALUE"""),44523.6666666666)</f>
        <v>44523.666666666599</v>
      </c>
      <c r="B1738" s="1">
        <f ca="1">IFERROR(__xludf.DUMMYFUNCTION("""COMPUTED_VALUE"""),161.12)</f>
        <v>161.12</v>
      </c>
      <c r="C1738" s="1">
        <f ca="1">IFERROR(__xludf.DUMMYFUNCTION("""COMPUTED_VALUE"""),161.8)</f>
        <v>161.80000000000001</v>
      </c>
      <c r="D1738" s="1">
        <f ca="1">IFERROR(__xludf.DUMMYFUNCTION("""COMPUTED_VALUE"""),159.06)</f>
        <v>159.06</v>
      </c>
      <c r="E1738" s="1">
        <f ca="1">IFERROR(__xludf.DUMMYFUNCTION("""COMPUTED_VALUE"""),161.41)</f>
        <v>161.41</v>
      </c>
      <c r="F1738" s="1">
        <f ca="1">IFERROR(__xludf.DUMMYFUNCTION("""COMPUTED_VALUE"""),96041899)</f>
        <v>96041899</v>
      </c>
    </row>
    <row r="1739" spans="1:6" x14ac:dyDescent="0.35">
      <c r="A1739" s="2">
        <f ca="1">IFERROR(__xludf.DUMMYFUNCTION("""COMPUTED_VALUE"""),44524.6666666666)</f>
        <v>44524.666666666599</v>
      </c>
      <c r="B1739" s="1">
        <f ca="1">IFERROR(__xludf.DUMMYFUNCTION("""COMPUTED_VALUE"""),160.75)</f>
        <v>160.75</v>
      </c>
      <c r="C1739" s="1">
        <f ca="1">IFERROR(__xludf.DUMMYFUNCTION("""COMPUTED_VALUE"""),162.14)</f>
        <v>162.13999999999999</v>
      </c>
      <c r="D1739" s="1">
        <f ca="1">IFERROR(__xludf.DUMMYFUNCTION("""COMPUTED_VALUE"""),159.64)</f>
        <v>159.63999999999999</v>
      </c>
      <c r="E1739" s="1">
        <f ca="1">IFERROR(__xludf.DUMMYFUNCTION("""COMPUTED_VALUE"""),161.94)</f>
        <v>161.94</v>
      </c>
      <c r="F1739" s="1">
        <f ca="1">IFERROR(__xludf.DUMMYFUNCTION("""COMPUTED_VALUE"""),69463623)</f>
        <v>69463623</v>
      </c>
    </row>
    <row r="1740" spans="1:6" x14ac:dyDescent="0.35">
      <c r="A1740" s="2">
        <f ca="1">IFERROR(__xludf.DUMMYFUNCTION("""COMPUTED_VALUE"""),44526.5416666666)</f>
        <v>44526.541666666599</v>
      </c>
      <c r="B1740" s="1">
        <f ca="1">IFERROR(__xludf.DUMMYFUNCTION("""COMPUTED_VALUE"""),159.57)</f>
        <v>159.57</v>
      </c>
      <c r="C1740" s="1">
        <f ca="1">IFERROR(__xludf.DUMMYFUNCTION("""COMPUTED_VALUE"""),160.45)</f>
        <v>160.44999999999999</v>
      </c>
      <c r="D1740" s="1">
        <f ca="1">IFERROR(__xludf.DUMMYFUNCTION("""COMPUTED_VALUE"""),156.36)</f>
        <v>156.36000000000001</v>
      </c>
      <c r="E1740" s="1">
        <f ca="1">IFERROR(__xludf.DUMMYFUNCTION("""COMPUTED_VALUE"""),156.81)</f>
        <v>156.81</v>
      </c>
      <c r="F1740" s="1">
        <f ca="1">IFERROR(__xludf.DUMMYFUNCTION("""COMPUTED_VALUE"""),76959752)</f>
        <v>76959752</v>
      </c>
    </row>
    <row r="1741" spans="1:6" x14ac:dyDescent="0.35">
      <c r="A1741" s="2">
        <f ca="1">IFERROR(__xludf.DUMMYFUNCTION("""COMPUTED_VALUE"""),44529.6666666666)</f>
        <v>44529.666666666599</v>
      </c>
      <c r="B1741" s="1">
        <f ca="1">IFERROR(__xludf.DUMMYFUNCTION("""COMPUTED_VALUE"""),159.37)</f>
        <v>159.37</v>
      </c>
      <c r="C1741" s="1">
        <f ca="1">IFERROR(__xludf.DUMMYFUNCTION("""COMPUTED_VALUE"""),161.19)</f>
        <v>161.19</v>
      </c>
      <c r="D1741" s="1">
        <f ca="1">IFERROR(__xludf.DUMMYFUNCTION("""COMPUTED_VALUE"""),158.79)</f>
        <v>158.79</v>
      </c>
      <c r="E1741" s="1">
        <f ca="1">IFERROR(__xludf.DUMMYFUNCTION("""COMPUTED_VALUE"""),160.24)</f>
        <v>160.24</v>
      </c>
      <c r="F1741" s="1">
        <f ca="1">IFERROR(__xludf.DUMMYFUNCTION("""COMPUTED_VALUE"""),88748217)</f>
        <v>88748217</v>
      </c>
    </row>
    <row r="1742" spans="1:6" x14ac:dyDescent="0.35">
      <c r="A1742" s="2">
        <f ca="1">IFERROR(__xludf.DUMMYFUNCTION("""COMPUTED_VALUE"""),44530.6666666666)</f>
        <v>44530.666666666599</v>
      </c>
      <c r="B1742" s="1">
        <f ca="1">IFERROR(__xludf.DUMMYFUNCTION("""COMPUTED_VALUE"""),159.99)</f>
        <v>159.99</v>
      </c>
      <c r="C1742" s="1">
        <f ca="1">IFERROR(__xludf.DUMMYFUNCTION("""COMPUTED_VALUE"""),165.52)</f>
        <v>165.52</v>
      </c>
      <c r="D1742" s="1">
        <f ca="1">IFERROR(__xludf.DUMMYFUNCTION("""COMPUTED_VALUE"""),159.92)</f>
        <v>159.91999999999999</v>
      </c>
      <c r="E1742" s="1">
        <f ca="1">IFERROR(__xludf.DUMMYFUNCTION("""COMPUTED_VALUE"""),165.3)</f>
        <v>165.3</v>
      </c>
      <c r="F1742" s="1">
        <f ca="1">IFERROR(__xludf.DUMMYFUNCTION("""COMPUTED_VALUE"""),174048056)</f>
        <v>174048056</v>
      </c>
    </row>
    <row r="1743" spans="1:6" x14ac:dyDescent="0.35">
      <c r="A1743" s="2">
        <f ca="1">IFERROR(__xludf.DUMMYFUNCTION("""COMPUTED_VALUE"""),44531.6666666666)</f>
        <v>44531.666666666599</v>
      </c>
      <c r="B1743" s="1">
        <f ca="1">IFERROR(__xludf.DUMMYFUNCTION("""COMPUTED_VALUE"""),167.48)</f>
        <v>167.48</v>
      </c>
      <c r="C1743" s="1">
        <f ca="1">IFERROR(__xludf.DUMMYFUNCTION("""COMPUTED_VALUE"""),170.3)</f>
        <v>170.3</v>
      </c>
      <c r="D1743" s="1">
        <f ca="1">IFERROR(__xludf.DUMMYFUNCTION("""COMPUTED_VALUE"""),164.53)</f>
        <v>164.53</v>
      </c>
      <c r="E1743" s="1">
        <f ca="1">IFERROR(__xludf.DUMMYFUNCTION("""COMPUTED_VALUE"""),164.77)</f>
        <v>164.77</v>
      </c>
      <c r="F1743" s="1">
        <f ca="1">IFERROR(__xludf.DUMMYFUNCTION("""COMPUTED_VALUE"""),152423003)</f>
        <v>152423003</v>
      </c>
    </row>
    <row r="1744" spans="1:6" x14ac:dyDescent="0.35">
      <c r="A1744" s="2">
        <f ca="1">IFERROR(__xludf.DUMMYFUNCTION("""COMPUTED_VALUE"""),44532.6666666666)</f>
        <v>44532.666666666599</v>
      </c>
      <c r="B1744" s="1">
        <f ca="1">IFERROR(__xludf.DUMMYFUNCTION("""COMPUTED_VALUE"""),158.74)</f>
        <v>158.74</v>
      </c>
      <c r="C1744" s="1">
        <f ca="1">IFERROR(__xludf.DUMMYFUNCTION("""COMPUTED_VALUE"""),164.2)</f>
        <v>164.2</v>
      </c>
      <c r="D1744" s="1">
        <f ca="1">IFERROR(__xludf.DUMMYFUNCTION("""COMPUTED_VALUE"""),157.8)</f>
        <v>157.80000000000001</v>
      </c>
      <c r="E1744" s="1">
        <f ca="1">IFERROR(__xludf.DUMMYFUNCTION("""COMPUTED_VALUE"""),163.76)</f>
        <v>163.76</v>
      </c>
      <c r="F1744" s="1">
        <f ca="1">IFERROR(__xludf.DUMMYFUNCTION("""COMPUTED_VALUE"""),136739174)</f>
        <v>136739174</v>
      </c>
    </row>
    <row r="1745" spans="1:6" x14ac:dyDescent="0.35">
      <c r="A1745" s="2">
        <f ca="1">IFERROR(__xludf.DUMMYFUNCTION("""COMPUTED_VALUE"""),44533.6666666666)</f>
        <v>44533.666666666599</v>
      </c>
      <c r="B1745" s="1">
        <f ca="1">IFERROR(__xludf.DUMMYFUNCTION("""COMPUTED_VALUE"""),164.02)</f>
        <v>164.02</v>
      </c>
      <c r="C1745" s="1">
        <f ca="1">IFERROR(__xludf.DUMMYFUNCTION("""COMPUTED_VALUE"""),164.96)</f>
        <v>164.96</v>
      </c>
      <c r="D1745" s="1">
        <f ca="1">IFERROR(__xludf.DUMMYFUNCTION("""COMPUTED_VALUE"""),159.72)</f>
        <v>159.72</v>
      </c>
      <c r="E1745" s="1">
        <f ca="1">IFERROR(__xludf.DUMMYFUNCTION("""COMPUTED_VALUE"""),161.84)</f>
        <v>161.84</v>
      </c>
      <c r="F1745" s="1">
        <f ca="1">IFERROR(__xludf.DUMMYFUNCTION("""COMPUTED_VALUE"""),118023116)</f>
        <v>118023116</v>
      </c>
    </row>
    <row r="1746" spans="1:6" x14ac:dyDescent="0.35">
      <c r="A1746" s="2">
        <f ca="1">IFERROR(__xludf.DUMMYFUNCTION("""COMPUTED_VALUE"""),44536.6666666666)</f>
        <v>44536.666666666599</v>
      </c>
      <c r="B1746" s="1">
        <f ca="1">IFERROR(__xludf.DUMMYFUNCTION("""COMPUTED_VALUE"""),164.29)</f>
        <v>164.29</v>
      </c>
      <c r="C1746" s="1">
        <f ca="1">IFERROR(__xludf.DUMMYFUNCTION("""COMPUTED_VALUE"""),167.88)</f>
        <v>167.88</v>
      </c>
      <c r="D1746" s="1">
        <f ca="1">IFERROR(__xludf.DUMMYFUNCTION("""COMPUTED_VALUE"""),164.28)</f>
        <v>164.28</v>
      </c>
      <c r="E1746" s="1">
        <f ca="1">IFERROR(__xludf.DUMMYFUNCTION("""COMPUTED_VALUE"""),165.32)</f>
        <v>165.32</v>
      </c>
      <c r="F1746" s="1">
        <f ca="1">IFERROR(__xludf.DUMMYFUNCTION("""COMPUTED_VALUE"""),107496982)</f>
        <v>107496982</v>
      </c>
    </row>
    <row r="1747" spans="1:6" x14ac:dyDescent="0.35">
      <c r="A1747" s="2">
        <f ca="1">IFERROR(__xludf.DUMMYFUNCTION("""COMPUTED_VALUE"""),44537.6666666666)</f>
        <v>44537.666666666599</v>
      </c>
      <c r="B1747" s="1">
        <f ca="1">IFERROR(__xludf.DUMMYFUNCTION("""COMPUTED_VALUE"""),169.08)</f>
        <v>169.08</v>
      </c>
      <c r="C1747" s="1">
        <f ca="1">IFERROR(__xludf.DUMMYFUNCTION("""COMPUTED_VALUE"""),171.58)</f>
        <v>171.58</v>
      </c>
      <c r="D1747" s="1">
        <f ca="1">IFERROR(__xludf.DUMMYFUNCTION("""COMPUTED_VALUE"""),168.34)</f>
        <v>168.34</v>
      </c>
      <c r="E1747" s="1">
        <f ca="1">IFERROR(__xludf.DUMMYFUNCTION("""COMPUTED_VALUE"""),171.18)</f>
        <v>171.18</v>
      </c>
      <c r="F1747" s="1">
        <f ca="1">IFERROR(__xludf.DUMMYFUNCTION("""COMPUTED_VALUE"""),120405352)</f>
        <v>120405352</v>
      </c>
    </row>
    <row r="1748" spans="1:6" x14ac:dyDescent="0.35">
      <c r="A1748" s="2">
        <f ca="1">IFERROR(__xludf.DUMMYFUNCTION("""COMPUTED_VALUE"""),44538.6666666666)</f>
        <v>44538.666666666599</v>
      </c>
      <c r="B1748" s="1">
        <f ca="1">IFERROR(__xludf.DUMMYFUNCTION("""COMPUTED_VALUE"""),172.13)</f>
        <v>172.13</v>
      </c>
      <c r="C1748" s="1">
        <f ca="1">IFERROR(__xludf.DUMMYFUNCTION("""COMPUTED_VALUE"""),175.96)</f>
        <v>175.96</v>
      </c>
      <c r="D1748" s="1">
        <f ca="1">IFERROR(__xludf.DUMMYFUNCTION("""COMPUTED_VALUE"""),170.7)</f>
        <v>170.7</v>
      </c>
      <c r="E1748" s="1">
        <f ca="1">IFERROR(__xludf.DUMMYFUNCTION("""COMPUTED_VALUE"""),175.08)</f>
        <v>175.08</v>
      </c>
      <c r="F1748" s="1">
        <f ca="1">IFERROR(__xludf.DUMMYFUNCTION("""COMPUTED_VALUE"""),116998901)</f>
        <v>116998901</v>
      </c>
    </row>
    <row r="1749" spans="1:6" x14ac:dyDescent="0.35">
      <c r="A1749" s="2">
        <f ca="1">IFERROR(__xludf.DUMMYFUNCTION("""COMPUTED_VALUE"""),44539.6666666666)</f>
        <v>44539.666666666599</v>
      </c>
      <c r="B1749" s="1">
        <f ca="1">IFERROR(__xludf.DUMMYFUNCTION("""COMPUTED_VALUE"""),174.91)</f>
        <v>174.91</v>
      </c>
      <c r="C1749" s="1">
        <f ca="1">IFERROR(__xludf.DUMMYFUNCTION("""COMPUTED_VALUE"""),176.75)</f>
        <v>176.75</v>
      </c>
      <c r="D1749" s="1">
        <f ca="1">IFERROR(__xludf.DUMMYFUNCTION("""COMPUTED_VALUE"""),173.92)</f>
        <v>173.92</v>
      </c>
      <c r="E1749" s="1">
        <f ca="1">IFERROR(__xludf.DUMMYFUNCTION("""COMPUTED_VALUE"""),174.56)</f>
        <v>174.56</v>
      </c>
      <c r="F1749" s="1">
        <f ca="1">IFERROR(__xludf.DUMMYFUNCTION("""COMPUTED_VALUE"""),108923739)</f>
        <v>108923739</v>
      </c>
    </row>
    <row r="1750" spans="1:6" x14ac:dyDescent="0.35">
      <c r="A1750" s="2">
        <f ca="1">IFERROR(__xludf.DUMMYFUNCTION("""COMPUTED_VALUE"""),44540.6666666666)</f>
        <v>44540.666666666599</v>
      </c>
      <c r="B1750" s="1">
        <f ca="1">IFERROR(__xludf.DUMMYFUNCTION("""COMPUTED_VALUE"""),175.21)</f>
        <v>175.21</v>
      </c>
      <c r="C1750" s="1">
        <f ca="1">IFERROR(__xludf.DUMMYFUNCTION("""COMPUTED_VALUE"""),179.63)</f>
        <v>179.63</v>
      </c>
      <c r="D1750" s="1">
        <f ca="1">IFERROR(__xludf.DUMMYFUNCTION("""COMPUTED_VALUE"""),174.69)</f>
        <v>174.69</v>
      </c>
      <c r="E1750" s="1">
        <f ca="1">IFERROR(__xludf.DUMMYFUNCTION("""COMPUTED_VALUE"""),179.45)</f>
        <v>179.45</v>
      </c>
      <c r="F1750" s="1">
        <f ca="1">IFERROR(__xludf.DUMMYFUNCTION("""COMPUTED_VALUE"""),115402731)</f>
        <v>115402731</v>
      </c>
    </row>
    <row r="1751" spans="1:6" x14ac:dyDescent="0.35">
      <c r="A1751" s="2">
        <f ca="1">IFERROR(__xludf.DUMMYFUNCTION("""COMPUTED_VALUE"""),44543.6666666666)</f>
        <v>44543.666666666599</v>
      </c>
      <c r="B1751" s="1">
        <f ca="1">IFERROR(__xludf.DUMMYFUNCTION("""COMPUTED_VALUE"""),181.12)</f>
        <v>181.12</v>
      </c>
      <c r="C1751" s="1">
        <f ca="1">IFERROR(__xludf.DUMMYFUNCTION("""COMPUTED_VALUE"""),182.13)</f>
        <v>182.13</v>
      </c>
      <c r="D1751" s="1">
        <f ca="1">IFERROR(__xludf.DUMMYFUNCTION("""COMPUTED_VALUE"""),175.53)</f>
        <v>175.53</v>
      </c>
      <c r="E1751" s="1">
        <f ca="1">IFERROR(__xludf.DUMMYFUNCTION("""COMPUTED_VALUE"""),175.74)</f>
        <v>175.74</v>
      </c>
      <c r="F1751" s="1">
        <f ca="1">IFERROR(__xludf.DUMMYFUNCTION("""COMPUTED_VALUE"""),153237019)</f>
        <v>153237019</v>
      </c>
    </row>
    <row r="1752" spans="1:6" x14ac:dyDescent="0.35">
      <c r="A1752" s="2">
        <f ca="1">IFERROR(__xludf.DUMMYFUNCTION("""COMPUTED_VALUE"""),44544.6666666666)</f>
        <v>44544.666666666599</v>
      </c>
      <c r="B1752" s="1">
        <f ca="1">IFERROR(__xludf.DUMMYFUNCTION("""COMPUTED_VALUE"""),175.25)</f>
        <v>175.25</v>
      </c>
      <c r="C1752" s="1">
        <f ca="1">IFERROR(__xludf.DUMMYFUNCTION("""COMPUTED_VALUE"""),177.74)</f>
        <v>177.74</v>
      </c>
      <c r="D1752" s="1">
        <f ca="1">IFERROR(__xludf.DUMMYFUNCTION("""COMPUTED_VALUE"""),172.21)</f>
        <v>172.21</v>
      </c>
      <c r="E1752" s="1">
        <f ca="1">IFERROR(__xludf.DUMMYFUNCTION("""COMPUTED_VALUE"""),174.33)</f>
        <v>174.33</v>
      </c>
      <c r="F1752" s="1">
        <f ca="1">IFERROR(__xludf.DUMMYFUNCTION("""COMPUTED_VALUE"""),139380382)</f>
        <v>139380382</v>
      </c>
    </row>
    <row r="1753" spans="1:6" x14ac:dyDescent="0.35">
      <c r="A1753" s="2">
        <f ca="1">IFERROR(__xludf.DUMMYFUNCTION("""COMPUTED_VALUE"""),44545.6666666666)</f>
        <v>44545.666666666599</v>
      </c>
      <c r="B1753" s="1">
        <f ca="1">IFERROR(__xludf.DUMMYFUNCTION("""COMPUTED_VALUE"""),175.11)</f>
        <v>175.11</v>
      </c>
      <c r="C1753" s="1">
        <f ca="1">IFERROR(__xludf.DUMMYFUNCTION("""COMPUTED_VALUE"""),179.5)</f>
        <v>179.5</v>
      </c>
      <c r="D1753" s="1">
        <f ca="1">IFERROR(__xludf.DUMMYFUNCTION("""COMPUTED_VALUE"""),172.31)</f>
        <v>172.31</v>
      </c>
      <c r="E1753" s="1">
        <f ca="1">IFERROR(__xludf.DUMMYFUNCTION("""COMPUTED_VALUE"""),179.3)</f>
        <v>179.3</v>
      </c>
      <c r="F1753" s="1">
        <f ca="1">IFERROR(__xludf.DUMMYFUNCTION("""COMPUTED_VALUE"""),131063257)</f>
        <v>131063257</v>
      </c>
    </row>
    <row r="1754" spans="1:6" x14ac:dyDescent="0.35">
      <c r="A1754" s="2">
        <f ca="1">IFERROR(__xludf.DUMMYFUNCTION("""COMPUTED_VALUE"""),44546.6666666666)</f>
        <v>44546.666666666599</v>
      </c>
      <c r="B1754" s="1">
        <f ca="1">IFERROR(__xludf.DUMMYFUNCTION("""COMPUTED_VALUE"""),179.28)</f>
        <v>179.28</v>
      </c>
      <c r="C1754" s="1">
        <f ca="1">IFERROR(__xludf.DUMMYFUNCTION("""COMPUTED_VALUE"""),181.14)</f>
        <v>181.14</v>
      </c>
      <c r="D1754" s="1">
        <f ca="1">IFERROR(__xludf.DUMMYFUNCTION("""COMPUTED_VALUE"""),170.75)</f>
        <v>170.75</v>
      </c>
      <c r="E1754" s="1">
        <f ca="1">IFERROR(__xludf.DUMMYFUNCTION("""COMPUTED_VALUE"""),172.26)</f>
        <v>172.26</v>
      </c>
      <c r="F1754" s="1">
        <f ca="1">IFERROR(__xludf.DUMMYFUNCTION("""COMPUTED_VALUE"""),150185843)</f>
        <v>150185843</v>
      </c>
    </row>
    <row r="1755" spans="1:6" x14ac:dyDescent="0.35">
      <c r="A1755" s="2">
        <f ca="1">IFERROR(__xludf.DUMMYFUNCTION("""COMPUTED_VALUE"""),44547.6666666666)</f>
        <v>44547.666666666599</v>
      </c>
      <c r="B1755" s="1">
        <f ca="1">IFERROR(__xludf.DUMMYFUNCTION("""COMPUTED_VALUE"""),169.93)</f>
        <v>169.93</v>
      </c>
      <c r="C1755" s="1">
        <f ca="1">IFERROR(__xludf.DUMMYFUNCTION("""COMPUTED_VALUE"""),173.47)</f>
        <v>173.47</v>
      </c>
      <c r="D1755" s="1">
        <f ca="1">IFERROR(__xludf.DUMMYFUNCTION("""COMPUTED_VALUE"""),169.69)</f>
        <v>169.69</v>
      </c>
      <c r="E1755" s="1">
        <f ca="1">IFERROR(__xludf.DUMMYFUNCTION("""COMPUTED_VALUE"""),171.14)</f>
        <v>171.14</v>
      </c>
      <c r="F1755" s="1">
        <f ca="1">IFERROR(__xludf.DUMMYFUNCTION("""COMPUTED_VALUE"""),195923441)</f>
        <v>195923441</v>
      </c>
    </row>
    <row r="1756" spans="1:6" x14ac:dyDescent="0.35">
      <c r="A1756" s="2">
        <f ca="1">IFERROR(__xludf.DUMMYFUNCTION("""COMPUTED_VALUE"""),44550.6666666666)</f>
        <v>44550.666666666599</v>
      </c>
      <c r="B1756" s="1">
        <f ca="1">IFERROR(__xludf.DUMMYFUNCTION("""COMPUTED_VALUE"""),168.28)</f>
        <v>168.28</v>
      </c>
      <c r="C1756" s="1">
        <f ca="1">IFERROR(__xludf.DUMMYFUNCTION("""COMPUTED_VALUE"""),170.58)</f>
        <v>170.58</v>
      </c>
      <c r="D1756" s="1">
        <f ca="1">IFERROR(__xludf.DUMMYFUNCTION("""COMPUTED_VALUE"""),167.46)</f>
        <v>167.46</v>
      </c>
      <c r="E1756" s="1">
        <f ca="1">IFERROR(__xludf.DUMMYFUNCTION("""COMPUTED_VALUE"""),169.75)</f>
        <v>169.75</v>
      </c>
      <c r="F1756" s="1">
        <f ca="1">IFERROR(__xludf.DUMMYFUNCTION("""COMPUTED_VALUE"""),107499114)</f>
        <v>107499114</v>
      </c>
    </row>
    <row r="1757" spans="1:6" x14ac:dyDescent="0.35">
      <c r="A1757" s="2">
        <f ca="1">IFERROR(__xludf.DUMMYFUNCTION("""COMPUTED_VALUE"""),44551.6666666666)</f>
        <v>44551.666666666599</v>
      </c>
      <c r="B1757" s="1">
        <f ca="1">IFERROR(__xludf.DUMMYFUNCTION("""COMPUTED_VALUE"""),171.56)</f>
        <v>171.56</v>
      </c>
      <c r="C1757" s="1">
        <f ca="1">IFERROR(__xludf.DUMMYFUNCTION("""COMPUTED_VALUE"""),173.2)</f>
        <v>173.2</v>
      </c>
      <c r="D1757" s="1">
        <f ca="1">IFERROR(__xludf.DUMMYFUNCTION("""COMPUTED_VALUE"""),169.12)</f>
        <v>169.12</v>
      </c>
      <c r="E1757" s="1">
        <f ca="1">IFERROR(__xludf.DUMMYFUNCTION("""COMPUTED_VALUE"""),172.99)</f>
        <v>172.99</v>
      </c>
      <c r="F1757" s="1">
        <f ca="1">IFERROR(__xludf.DUMMYFUNCTION("""COMPUTED_VALUE"""),91185905)</f>
        <v>91185905</v>
      </c>
    </row>
    <row r="1758" spans="1:6" x14ac:dyDescent="0.35">
      <c r="A1758" s="2">
        <f ca="1">IFERROR(__xludf.DUMMYFUNCTION("""COMPUTED_VALUE"""),44552.6666666666)</f>
        <v>44552.666666666599</v>
      </c>
      <c r="B1758" s="1">
        <f ca="1">IFERROR(__xludf.DUMMYFUNCTION("""COMPUTED_VALUE"""),173.04)</f>
        <v>173.04</v>
      </c>
      <c r="C1758" s="1">
        <f ca="1">IFERROR(__xludf.DUMMYFUNCTION("""COMPUTED_VALUE"""),175.86)</f>
        <v>175.86</v>
      </c>
      <c r="D1758" s="1">
        <f ca="1">IFERROR(__xludf.DUMMYFUNCTION("""COMPUTED_VALUE"""),172.15)</f>
        <v>172.15</v>
      </c>
      <c r="E1758" s="1">
        <f ca="1">IFERROR(__xludf.DUMMYFUNCTION("""COMPUTED_VALUE"""),175.64)</f>
        <v>175.64</v>
      </c>
      <c r="F1758" s="1">
        <f ca="1">IFERROR(__xludf.DUMMYFUNCTION("""COMPUTED_VALUE"""),92135303)</f>
        <v>92135303</v>
      </c>
    </row>
    <row r="1759" spans="1:6" x14ac:dyDescent="0.35">
      <c r="A1759" s="2">
        <f ca="1">IFERROR(__xludf.DUMMYFUNCTION("""COMPUTED_VALUE"""),44553.6666666666)</f>
        <v>44553.666666666599</v>
      </c>
      <c r="B1759" s="1">
        <f ca="1">IFERROR(__xludf.DUMMYFUNCTION("""COMPUTED_VALUE"""),175.85)</f>
        <v>175.85</v>
      </c>
      <c r="C1759" s="1">
        <f ca="1">IFERROR(__xludf.DUMMYFUNCTION("""COMPUTED_VALUE"""),176.85)</f>
        <v>176.85</v>
      </c>
      <c r="D1759" s="1">
        <f ca="1">IFERROR(__xludf.DUMMYFUNCTION("""COMPUTED_VALUE"""),175.27)</f>
        <v>175.27</v>
      </c>
      <c r="E1759" s="1">
        <f ca="1">IFERROR(__xludf.DUMMYFUNCTION("""COMPUTED_VALUE"""),176.28)</f>
        <v>176.28</v>
      </c>
      <c r="F1759" s="1">
        <f ca="1">IFERROR(__xludf.DUMMYFUNCTION("""COMPUTED_VALUE"""),68356567)</f>
        <v>68356567</v>
      </c>
    </row>
    <row r="1760" spans="1:6" x14ac:dyDescent="0.35">
      <c r="A1760" s="2">
        <f ca="1">IFERROR(__xludf.DUMMYFUNCTION("""COMPUTED_VALUE"""),44557.6666666666)</f>
        <v>44557.666666666599</v>
      </c>
      <c r="B1760" s="1">
        <f ca="1">IFERROR(__xludf.DUMMYFUNCTION("""COMPUTED_VALUE"""),177.09)</f>
        <v>177.09</v>
      </c>
      <c r="C1760" s="1">
        <f ca="1">IFERROR(__xludf.DUMMYFUNCTION("""COMPUTED_VALUE"""),180.42)</f>
        <v>180.42</v>
      </c>
      <c r="D1760" s="1">
        <f ca="1">IFERROR(__xludf.DUMMYFUNCTION("""COMPUTED_VALUE"""),177.07)</f>
        <v>177.07</v>
      </c>
      <c r="E1760" s="1">
        <f ca="1">IFERROR(__xludf.DUMMYFUNCTION("""COMPUTED_VALUE"""),180.33)</f>
        <v>180.33</v>
      </c>
      <c r="F1760" s="1">
        <f ca="1">IFERROR(__xludf.DUMMYFUNCTION("""COMPUTED_VALUE"""),74919582)</f>
        <v>74919582</v>
      </c>
    </row>
    <row r="1761" spans="1:6" x14ac:dyDescent="0.35">
      <c r="A1761" s="2">
        <f ca="1">IFERROR(__xludf.DUMMYFUNCTION("""COMPUTED_VALUE"""),44558.6666666666)</f>
        <v>44558.666666666599</v>
      </c>
      <c r="B1761" s="1">
        <f ca="1">IFERROR(__xludf.DUMMYFUNCTION("""COMPUTED_VALUE"""),180.16)</f>
        <v>180.16</v>
      </c>
      <c r="C1761" s="1">
        <f ca="1">IFERROR(__xludf.DUMMYFUNCTION("""COMPUTED_VALUE"""),181.33)</f>
        <v>181.33</v>
      </c>
      <c r="D1761" s="1">
        <f ca="1">IFERROR(__xludf.DUMMYFUNCTION("""COMPUTED_VALUE"""),178.53)</f>
        <v>178.53</v>
      </c>
      <c r="E1761" s="1">
        <f ca="1">IFERROR(__xludf.DUMMYFUNCTION("""COMPUTED_VALUE"""),179.29)</f>
        <v>179.29</v>
      </c>
      <c r="F1761" s="1">
        <f ca="1">IFERROR(__xludf.DUMMYFUNCTION("""COMPUTED_VALUE"""),79144339)</f>
        <v>79144339</v>
      </c>
    </row>
    <row r="1762" spans="1:6" x14ac:dyDescent="0.35">
      <c r="A1762" s="2">
        <f ca="1">IFERROR(__xludf.DUMMYFUNCTION("""COMPUTED_VALUE"""),44559.6666666666)</f>
        <v>44559.666666666599</v>
      </c>
      <c r="B1762" s="1">
        <f ca="1">IFERROR(__xludf.DUMMYFUNCTION("""COMPUTED_VALUE"""),179.33)</f>
        <v>179.33</v>
      </c>
      <c r="C1762" s="1">
        <f ca="1">IFERROR(__xludf.DUMMYFUNCTION("""COMPUTED_VALUE"""),180.63)</f>
        <v>180.63</v>
      </c>
      <c r="D1762" s="1">
        <f ca="1">IFERROR(__xludf.DUMMYFUNCTION("""COMPUTED_VALUE"""),178.14)</f>
        <v>178.14</v>
      </c>
      <c r="E1762" s="1">
        <f ca="1">IFERROR(__xludf.DUMMYFUNCTION("""COMPUTED_VALUE"""),179.38)</f>
        <v>179.38</v>
      </c>
      <c r="F1762" s="1">
        <f ca="1">IFERROR(__xludf.DUMMYFUNCTION("""COMPUTED_VALUE"""),62348931)</f>
        <v>62348931</v>
      </c>
    </row>
    <row r="1763" spans="1:6" x14ac:dyDescent="0.35">
      <c r="A1763" s="2">
        <f ca="1">IFERROR(__xludf.DUMMYFUNCTION("""COMPUTED_VALUE"""),44560.6666666666)</f>
        <v>44560.666666666599</v>
      </c>
      <c r="B1763" s="1">
        <f ca="1">IFERROR(__xludf.DUMMYFUNCTION("""COMPUTED_VALUE"""),179.47)</f>
        <v>179.47</v>
      </c>
      <c r="C1763" s="1">
        <f ca="1">IFERROR(__xludf.DUMMYFUNCTION("""COMPUTED_VALUE"""),180.57)</f>
        <v>180.57</v>
      </c>
      <c r="D1763" s="1">
        <f ca="1">IFERROR(__xludf.DUMMYFUNCTION("""COMPUTED_VALUE"""),178.09)</f>
        <v>178.09</v>
      </c>
      <c r="E1763" s="1">
        <f ca="1">IFERROR(__xludf.DUMMYFUNCTION("""COMPUTED_VALUE"""),178.2)</f>
        <v>178.2</v>
      </c>
      <c r="F1763" s="1">
        <f ca="1">IFERROR(__xludf.DUMMYFUNCTION("""COMPUTED_VALUE"""),59773014)</f>
        <v>59773014</v>
      </c>
    </row>
    <row r="1764" spans="1:6" x14ac:dyDescent="0.35">
      <c r="A1764" s="2">
        <f ca="1">IFERROR(__xludf.DUMMYFUNCTION("""COMPUTED_VALUE"""),44561.6666666666)</f>
        <v>44561.666666666599</v>
      </c>
      <c r="B1764" s="1">
        <f ca="1">IFERROR(__xludf.DUMMYFUNCTION("""COMPUTED_VALUE"""),178.09)</f>
        <v>178.09</v>
      </c>
      <c r="C1764" s="1">
        <f ca="1">IFERROR(__xludf.DUMMYFUNCTION("""COMPUTED_VALUE"""),179.23)</f>
        <v>179.23</v>
      </c>
      <c r="D1764" s="1">
        <f ca="1">IFERROR(__xludf.DUMMYFUNCTION("""COMPUTED_VALUE"""),177.26)</f>
        <v>177.26</v>
      </c>
      <c r="E1764" s="1">
        <f ca="1">IFERROR(__xludf.DUMMYFUNCTION("""COMPUTED_VALUE"""),177.57)</f>
        <v>177.57</v>
      </c>
      <c r="F1764" s="1">
        <f ca="1">IFERROR(__xludf.DUMMYFUNCTION("""COMPUTED_VALUE"""),64062261)</f>
        <v>64062261</v>
      </c>
    </row>
    <row r="1765" spans="1:6" x14ac:dyDescent="0.35">
      <c r="A1765" s="2">
        <f ca="1">IFERROR(__xludf.DUMMYFUNCTION("""COMPUTED_VALUE"""),44564.6666666666)</f>
        <v>44564.666666666599</v>
      </c>
      <c r="B1765" s="1">
        <f ca="1">IFERROR(__xludf.DUMMYFUNCTION("""COMPUTED_VALUE"""),177.83)</f>
        <v>177.83</v>
      </c>
      <c r="C1765" s="1">
        <f ca="1">IFERROR(__xludf.DUMMYFUNCTION("""COMPUTED_VALUE"""),182.88)</f>
        <v>182.88</v>
      </c>
      <c r="D1765" s="1">
        <f ca="1">IFERROR(__xludf.DUMMYFUNCTION("""COMPUTED_VALUE"""),177.71)</f>
        <v>177.71</v>
      </c>
      <c r="E1765" s="1">
        <f ca="1">IFERROR(__xludf.DUMMYFUNCTION("""COMPUTED_VALUE"""),182.01)</f>
        <v>182.01</v>
      </c>
      <c r="F1765" s="1">
        <f ca="1">IFERROR(__xludf.DUMMYFUNCTION("""COMPUTED_VALUE"""),104701220)</f>
        <v>104701220</v>
      </c>
    </row>
    <row r="1766" spans="1:6" x14ac:dyDescent="0.35">
      <c r="A1766" s="2">
        <f ca="1">IFERROR(__xludf.DUMMYFUNCTION("""COMPUTED_VALUE"""),44565.6666666666)</f>
        <v>44565.666666666599</v>
      </c>
      <c r="B1766" s="1">
        <f ca="1">IFERROR(__xludf.DUMMYFUNCTION("""COMPUTED_VALUE"""),182.63)</f>
        <v>182.63</v>
      </c>
      <c r="C1766" s="1">
        <f ca="1">IFERROR(__xludf.DUMMYFUNCTION("""COMPUTED_VALUE"""),182.94)</f>
        <v>182.94</v>
      </c>
      <c r="D1766" s="1">
        <f ca="1">IFERROR(__xludf.DUMMYFUNCTION("""COMPUTED_VALUE"""),179.12)</f>
        <v>179.12</v>
      </c>
      <c r="E1766" s="1">
        <f ca="1">IFERROR(__xludf.DUMMYFUNCTION("""COMPUTED_VALUE"""),179.7)</f>
        <v>179.7</v>
      </c>
      <c r="F1766" s="1">
        <f ca="1">IFERROR(__xludf.DUMMYFUNCTION("""COMPUTED_VALUE"""),99310438)</f>
        <v>99310438</v>
      </c>
    </row>
    <row r="1767" spans="1:6" x14ac:dyDescent="0.35">
      <c r="A1767" s="2">
        <f ca="1">IFERROR(__xludf.DUMMYFUNCTION("""COMPUTED_VALUE"""),44566.6666666666)</f>
        <v>44566.666666666599</v>
      </c>
      <c r="B1767" s="1">
        <f ca="1">IFERROR(__xludf.DUMMYFUNCTION("""COMPUTED_VALUE"""),179.61)</f>
        <v>179.61</v>
      </c>
      <c r="C1767" s="1">
        <f ca="1">IFERROR(__xludf.DUMMYFUNCTION("""COMPUTED_VALUE"""),180.17)</f>
        <v>180.17</v>
      </c>
      <c r="D1767" s="1">
        <f ca="1">IFERROR(__xludf.DUMMYFUNCTION("""COMPUTED_VALUE"""),174.64)</f>
        <v>174.64</v>
      </c>
      <c r="E1767" s="1">
        <f ca="1">IFERROR(__xludf.DUMMYFUNCTION("""COMPUTED_VALUE"""),174.92)</f>
        <v>174.92</v>
      </c>
      <c r="F1767" s="1">
        <f ca="1">IFERROR(__xludf.DUMMYFUNCTION("""COMPUTED_VALUE"""),94537602)</f>
        <v>94537602</v>
      </c>
    </row>
    <row r="1768" spans="1:6" x14ac:dyDescent="0.35">
      <c r="A1768" s="2">
        <f ca="1">IFERROR(__xludf.DUMMYFUNCTION("""COMPUTED_VALUE"""),44567.6666666666)</f>
        <v>44567.666666666599</v>
      </c>
      <c r="B1768" s="1">
        <f ca="1">IFERROR(__xludf.DUMMYFUNCTION("""COMPUTED_VALUE"""),172.7)</f>
        <v>172.7</v>
      </c>
      <c r="C1768" s="1">
        <f ca="1">IFERROR(__xludf.DUMMYFUNCTION("""COMPUTED_VALUE"""),175.3)</f>
        <v>175.3</v>
      </c>
      <c r="D1768" s="1">
        <f ca="1">IFERROR(__xludf.DUMMYFUNCTION("""COMPUTED_VALUE"""),171.64)</f>
        <v>171.64</v>
      </c>
      <c r="E1768" s="1">
        <f ca="1">IFERROR(__xludf.DUMMYFUNCTION("""COMPUTED_VALUE"""),172)</f>
        <v>172</v>
      </c>
      <c r="F1768" s="1">
        <f ca="1">IFERROR(__xludf.DUMMYFUNCTION("""COMPUTED_VALUE"""),96903955)</f>
        <v>96903955</v>
      </c>
    </row>
    <row r="1769" spans="1:6" x14ac:dyDescent="0.35">
      <c r="A1769" s="2">
        <f ca="1">IFERROR(__xludf.DUMMYFUNCTION("""COMPUTED_VALUE"""),44568.6666666666)</f>
        <v>44568.666666666599</v>
      </c>
      <c r="B1769" s="1">
        <f ca="1">IFERROR(__xludf.DUMMYFUNCTION("""COMPUTED_VALUE"""),172.89)</f>
        <v>172.89</v>
      </c>
      <c r="C1769" s="1">
        <f ca="1">IFERROR(__xludf.DUMMYFUNCTION("""COMPUTED_VALUE"""),174.14)</f>
        <v>174.14</v>
      </c>
      <c r="D1769" s="1">
        <f ca="1">IFERROR(__xludf.DUMMYFUNCTION("""COMPUTED_VALUE"""),171.03)</f>
        <v>171.03</v>
      </c>
      <c r="E1769" s="1">
        <f ca="1">IFERROR(__xludf.DUMMYFUNCTION("""COMPUTED_VALUE"""),172.17)</f>
        <v>172.17</v>
      </c>
      <c r="F1769" s="1">
        <f ca="1">IFERROR(__xludf.DUMMYFUNCTION("""COMPUTED_VALUE"""),86709147)</f>
        <v>86709147</v>
      </c>
    </row>
    <row r="1770" spans="1:6" x14ac:dyDescent="0.35">
      <c r="A1770" s="2">
        <f ca="1">IFERROR(__xludf.DUMMYFUNCTION("""COMPUTED_VALUE"""),44571.6666666666)</f>
        <v>44571.666666666599</v>
      </c>
      <c r="B1770" s="1">
        <f ca="1">IFERROR(__xludf.DUMMYFUNCTION("""COMPUTED_VALUE"""),169.08)</f>
        <v>169.08</v>
      </c>
      <c r="C1770" s="1">
        <f ca="1">IFERROR(__xludf.DUMMYFUNCTION("""COMPUTED_VALUE"""),172.5)</f>
        <v>172.5</v>
      </c>
      <c r="D1770" s="1">
        <f ca="1">IFERROR(__xludf.DUMMYFUNCTION("""COMPUTED_VALUE"""),168.17)</f>
        <v>168.17</v>
      </c>
      <c r="E1770" s="1">
        <f ca="1">IFERROR(__xludf.DUMMYFUNCTION("""COMPUTED_VALUE"""),172.19)</f>
        <v>172.19</v>
      </c>
      <c r="F1770" s="1">
        <f ca="1">IFERROR(__xludf.DUMMYFUNCTION("""COMPUTED_VALUE"""),106765552)</f>
        <v>106765552</v>
      </c>
    </row>
    <row r="1771" spans="1:6" x14ac:dyDescent="0.35">
      <c r="A1771" s="2">
        <f ca="1">IFERROR(__xludf.DUMMYFUNCTION("""COMPUTED_VALUE"""),44572.6666666666)</f>
        <v>44572.666666666599</v>
      </c>
      <c r="B1771" s="1">
        <f ca="1">IFERROR(__xludf.DUMMYFUNCTION("""COMPUTED_VALUE"""),172.32)</f>
        <v>172.32</v>
      </c>
      <c r="C1771" s="1">
        <f ca="1">IFERROR(__xludf.DUMMYFUNCTION("""COMPUTED_VALUE"""),175.18)</f>
        <v>175.18</v>
      </c>
      <c r="D1771" s="1">
        <f ca="1">IFERROR(__xludf.DUMMYFUNCTION("""COMPUTED_VALUE"""),170.82)</f>
        <v>170.82</v>
      </c>
      <c r="E1771" s="1">
        <f ca="1">IFERROR(__xludf.DUMMYFUNCTION("""COMPUTED_VALUE"""),175.08)</f>
        <v>175.08</v>
      </c>
      <c r="F1771" s="1">
        <f ca="1">IFERROR(__xludf.DUMMYFUNCTION("""COMPUTED_VALUE"""),76138312)</f>
        <v>76138312</v>
      </c>
    </row>
    <row r="1772" spans="1:6" x14ac:dyDescent="0.35">
      <c r="A1772" s="2">
        <f ca="1">IFERROR(__xludf.DUMMYFUNCTION("""COMPUTED_VALUE"""),44573.6666666666)</f>
        <v>44573.666666666599</v>
      </c>
      <c r="B1772" s="1">
        <f ca="1">IFERROR(__xludf.DUMMYFUNCTION("""COMPUTED_VALUE"""),176.12)</f>
        <v>176.12</v>
      </c>
      <c r="C1772" s="1">
        <f ca="1">IFERROR(__xludf.DUMMYFUNCTION("""COMPUTED_VALUE"""),177.18)</f>
        <v>177.18</v>
      </c>
      <c r="D1772" s="1">
        <f ca="1">IFERROR(__xludf.DUMMYFUNCTION("""COMPUTED_VALUE"""),174.82)</f>
        <v>174.82</v>
      </c>
      <c r="E1772" s="1">
        <f ca="1">IFERROR(__xludf.DUMMYFUNCTION("""COMPUTED_VALUE"""),175.53)</f>
        <v>175.53</v>
      </c>
      <c r="F1772" s="1">
        <f ca="1">IFERROR(__xludf.DUMMYFUNCTION("""COMPUTED_VALUE"""),74805173)</f>
        <v>74805173</v>
      </c>
    </row>
    <row r="1773" spans="1:6" x14ac:dyDescent="0.35">
      <c r="A1773" s="2">
        <f ca="1">IFERROR(__xludf.DUMMYFUNCTION("""COMPUTED_VALUE"""),44574.6666666666)</f>
        <v>44574.666666666599</v>
      </c>
      <c r="B1773" s="1">
        <f ca="1">IFERROR(__xludf.DUMMYFUNCTION("""COMPUTED_VALUE"""),175.78)</f>
        <v>175.78</v>
      </c>
      <c r="C1773" s="1">
        <f ca="1">IFERROR(__xludf.DUMMYFUNCTION("""COMPUTED_VALUE"""),176.62)</f>
        <v>176.62</v>
      </c>
      <c r="D1773" s="1">
        <f ca="1">IFERROR(__xludf.DUMMYFUNCTION("""COMPUTED_VALUE"""),171.79)</f>
        <v>171.79</v>
      </c>
      <c r="E1773" s="1">
        <f ca="1">IFERROR(__xludf.DUMMYFUNCTION("""COMPUTED_VALUE"""),172.19)</f>
        <v>172.19</v>
      </c>
      <c r="F1773" s="1">
        <f ca="1">IFERROR(__xludf.DUMMYFUNCTION("""COMPUTED_VALUE"""),84505760)</f>
        <v>84505760</v>
      </c>
    </row>
    <row r="1774" spans="1:6" x14ac:dyDescent="0.35">
      <c r="A1774" s="2">
        <f ca="1">IFERROR(__xludf.DUMMYFUNCTION("""COMPUTED_VALUE"""),44575.6666666666)</f>
        <v>44575.666666666599</v>
      </c>
      <c r="B1774" s="1">
        <f ca="1">IFERROR(__xludf.DUMMYFUNCTION("""COMPUTED_VALUE"""),171.34)</f>
        <v>171.34</v>
      </c>
      <c r="C1774" s="1">
        <f ca="1">IFERROR(__xludf.DUMMYFUNCTION("""COMPUTED_VALUE"""),173.78)</f>
        <v>173.78</v>
      </c>
      <c r="D1774" s="1">
        <f ca="1">IFERROR(__xludf.DUMMYFUNCTION("""COMPUTED_VALUE"""),171.09)</f>
        <v>171.09</v>
      </c>
      <c r="E1774" s="1">
        <f ca="1">IFERROR(__xludf.DUMMYFUNCTION("""COMPUTED_VALUE"""),173.07)</f>
        <v>173.07</v>
      </c>
      <c r="F1774" s="1">
        <f ca="1">IFERROR(__xludf.DUMMYFUNCTION("""COMPUTED_VALUE"""),80440780)</f>
        <v>80440780</v>
      </c>
    </row>
    <row r="1775" spans="1:6" x14ac:dyDescent="0.35">
      <c r="A1775" s="2">
        <f ca="1">IFERROR(__xludf.DUMMYFUNCTION("""COMPUTED_VALUE"""),44579.6666666666)</f>
        <v>44579.666666666599</v>
      </c>
      <c r="B1775" s="1">
        <f ca="1">IFERROR(__xludf.DUMMYFUNCTION("""COMPUTED_VALUE"""),171.51)</f>
        <v>171.51</v>
      </c>
      <c r="C1775" s="1">
        <f ca="1">IFERROR(__xludf.DUMMYFUNCTION("""COMPUTED_VALUE"""),172.54)</f>
        <v>172.54</v>
      </c>
      <c r="D1775" s="1">
        <f ca="1">IFERROR(__xludf.DUMMYFUNCTION("""COMPUTED_VALUE"""),169.41)</f>
        <v>169.41</v>
      </c>
      <c r="E1775" s="1">
        <f ca="1">IFERROR(__xludf.DUMMYFUNCTION("""COMPUTED_VALUE"""),169.8)</f>
        <v>169.8</v>
      </c>
      <c r="F1775" s="1">
        <f ca="1">IFERROR(__xludf.DUMMYFUNCTION("""COMPUTED_VALUE"""),91168729)</f>
        <v>91168729</v>
      </c>
    </row>
    <row r="1776" spans="1:6" x14ac:dyDescent="0.35">
      <c r="A1776" s="2">
        <f ca="1">IFERROR(__xludf.DUMMYFUNCTION("""COMPUTED_VALUE"""),44580.6666666666)</f>
        <v>44580.666666666599</v>
      </c>
      <c r="B1776" s="1">
        <f ca="1">IFERROR(__xludf.DUMMYFUNCTION("""COMPUTED_VALUE"""),170)</f>
        <v>170</v>
      </c>
      <c r="C1776" s="1">
        <f ca="1">IFERROR(__xludf.DUMMYFUNCTION("""COMPUTED_VALUE"""),171.08)</f>
        <v>171.08</v>
      </c>
      <c r="D1776" s="1">
        <f ca="1">IFERROR(__xludf.DUMMYFUNCTION("""COMPUTED_VALUE"""),165.94)</f>
        <v>165.94</v>
      </c>
      <c r="E1776" s="1">
        <f ca="1">IFERROR(__xludf.DUMMYFUNCTION("""COMPUTED_VALUE"""),166.23)</f>
        <v>166.23</v>
      </c>
      <c r="F1776" s="1">
        <f ca="1">IFERROR(__xludf.DUMMYFUNCTION("""COMPUTED_VALUE"""),94814990)</f>
        <v>94814990</v>
      </c>
    </row>
    <row r="1777" spans="1:6" x14ac:dyDescent="0.35">
      <c r="A1777" s="2">
        <f ca="1">IFERROR(__xludf.DUMMYFUNCTION("""COMPUTED_VALUE"""),44581.6666666666)</f>
        <v>44581.666666666599</v>
      </c>
      <c r="B1777" s="1">
        <f ca="1">IFERROR(__xludf.DUMMYFUNCTION("""COMPUTED_VALUE"""),166.98)</f>
        <v>166.98</v>
      </c>
      <c r="C1777" s="1">
        <f ca="1">IFERROR(__xludf.DUMMYFUNCTION("""COMPUTED_VALUE"""),169.68)</f>
        <v>169.68</v>
      </c>
      <c r="D1777" s="1">
        <f ca="1">IFERROR(__xludf.DUMMYFUNCTION("""COMPUTED_VALUE"""),164.18)</f>
        <v>164.18</v>
      </c>
      <c r="E1777" s="1">
        <f ca="1">IFERROR(__xludf.DUMMYFUNCTION("""COMPUTED_VALUE"""),164.51)</f>
        <v>164.51</v>
      </c>
      <c r="F1777" s="1">
        <f ca="1">IFERROR(__xludf.DUMMYFUNCTION("""COMPUTED_VALUE"""),91420515)</f>
        <v>91420515</v>
      </c>
    </row>
    <row r="1778" spans="1:6" x14ac:dyDescent="0.35">
      <c r="A1778" s="2">
        <f ca="1">IFERROR(__xludf.DUMMYFUNCTION("""COMPUTED_VALUE"""),44582.6666666666)</f>
        <v>44582.666666666599</v>
      </c>
      <c r="B1778" s="1">
        <f ca="1">IFERROR(__xludf.DUMMYFUNCTION("""COMPUTED_VALUE"""),164.42)</f>
        <v>164.42</v>
      </c>
      <c r="C1778" s="1">
        <f ca="1">IFERROR(__xludf.DUMMYFUNCTION("""COMPUTED_VALUE"""),166.33)</f>
        <v>166.33</v>
      </c>
      <c r="D1778" s="1">
        <f ca="1">IFERROR(__xludf.DUMMYFUNCTION("""COMPUTED_VALUE"""),162.3)</f>
        <v>162.30000000000001</v>
      </c>
      <c r="E1778" s="1">
        <f ca="1">IFERROR(__xludf.DUMMYFUNCTION("""COMPUTED_VALUE"""),162.41)</f>
        <v>162.41</v>
      </c>
      <c r="F1778" s="1">
        <f ca="1">IFERROR(__xludf.DUMMYFUNCTION("""COMPUTED_VALUE"""),122848858)</f>
        <v>122848858</v>
      </c>
    </row>
    <row r="1779" spans="1:6" x14ac:dyDescent="0.35">
      <c r="A1779" s="2">
        <f ca="1">IFERROR(__xludf.DUMMYFUNCTION("""COMPUTED_VALUE"""),44585.6666666666)</f>
        <v>44585.666666666599</v>
      </c>
      <c r="B1779" s="1">
        <f ca="1">IFERROR(__xludf.DUMMYFUNCTION("""COMPUTED_VALUE"""),160.02)</f>
        <v>160.02000000000001</v>
      </c>
      <c r="C1779" s="1">
        <f ca="1">IFERROR(__xludf.DUMMYFUNCTION("""COMPUTED_VALUE"""),162.3)</f>
        <v>162.30000000000001</v>
      </c>
      <c r="D1779" s="1">
        <f ca="1">IFERROR(__xludf.DUMMYFUNCTION("""COMPUTED_VALUE"""),154.7)</f>
        <v>154.69999999999999</v>
      </c>
      <c r="E1779" s="1">
        <f ca="1">IFERROR(__xludf.DUMMYFUNCTION("""COMPUTED_VALUE"""),161.62)</f>
        <v>161.62</v>
      </c>
      <c r="F1779" s="1">
        <f ca="1">IFERROR(__xludf.DUMMYFUNCTION("""COMPUTED_VALUE"""),162706686)</f>
        <v>162706686</v>
      </c>
    </row>
    <row r="1780" spans="1:6" x14ac:dyDescent="0.35">
      <c r="A1780" s="2">
        <f ca="1">IFERROR(__xludf.DUMMYFUNCTION("""COMPUTED_VALUE"""),44586.6666666666)</f>
        <v>44586.666666666599</v>
      </c>
      <c r="B1780" s="1">
        <f ca="1">IFERROR(__xludf.DUMMYFUNCTION("""COMPUTED_VALUE"""),158.98)</f>
        <v>158.97999999999999</v>
      </c>
      <c r="C1780" s="1">
        <f ca="1">IFERROR(__xludf.DUMMYFUNCTION("""COMPUTED_VALUE"""),162.76)</f>
        <v>162.76</v>
      </c>
      <c r="D1780" s="1">
        <f ca="1">IFERROR(__xludf.DUMMYFUNCTION("""COMPUTED_VALUE"""),157.02)</f>
        <v>157.02000000000001</v>
      </c>
      <c r="E1780" s="1">
        <f ca="1">IFERROR(__xludf.DUMMYFUNCTION("""COMPUTED_VALUE"""),159.78)</f>
        <v>159.78</v>
      </c>
      <c r="F1780" s="1">
        <f ca="1">IFERROR(__xludf.DUMMYFUNCTION("""COMPUTED_VALUE"""),115798367)</f>
        <v>115798367</v>
      </c>
    </row>
    <row r="1781" spans="1:6" x14ac:dyDescent="0.35">
      <c r="A1781" s="2">
        <f ca="1">IFERROR(__xludf.DUMMYFUNCTION("""COMPUTED_VALUE"""),44587.6666666666)</f>
        <v>44587.666666666599</v>
      </c>
      <c r="B1781" s="1">
        <f ca="1">IFERROR(__xludf.DUMMYFUNCTION("""COMPUTED_VALUE"""),163.5)</f>
        <v>163.5</v>
      </c>
      <c r="C1781" s="1">
        <f ca="1">IFERROR(__xludf.DUMMYFUNCTION("""COMPUTED_VALUE"""),164.39)</f>
        <v>164.39</v>
      </c>
      <c r="D1781" s="1">
        <f ca="1">IFERROR(__xludf.DUMMYFUNCTION("""COMPUTED_VALUE"""),157.82)</f>
        <v>157.82</v>
      </c>
      <c r="E1781" s="1">
        <f ca="1">IFERROR(__xludf.DUMMYFUNCTION("""COMPUTED_VALUE"""),159.69)</f>
        <v>159.69</v>
      </c>
      <c r="F1781" s="1">
        <f ca="1">IFERROR(__xludf.DUMMYFUNCTION("""COMPUTED_VALUE"""),108275308)</f>
        <v>108275308</v>
      </c>
    </row>
    <row r="1782" spans="1:6" x14ac:dyDescent="0.35">
      <c r="A1782" s="2">
        <f ca="1">IFERROR(__xludf.DUMMYFUNCTION("""COMPUTED_VALUE"""),44588.6666666666)</f>
        <v>44588.666666666599</v>
      </c>
      <c r="B1782" s="1">
        <f ca="1">IFERROR(__xludf.DUMMYFUNCTION("""COMPUTED_VALUE"""),162.45)</f>
        <v>162.44999999999999</v>
      </c>
      <c r="C1782" s="1">
        <f ca="1">IFERROR(__xludf.DUMMYFUNCTION("""COMPUTED_VALUE"""),163.84)</f>
        <v>163.84</v>
      </c>
      <c r="D1782" s="1">
        <f ca="1">IFERROR(__xludf.DUMMYFUNCTION("""COMPUTED_VALUE"""),158.28)</f>
        <v>158.28</v>
      </c>
      <c r="E1782" s="1">
        <f ca="1">IFERROR(__xludf.DUMMYFUNCTION("""COMPUTED_VALUE"""),159.22)</f>
        <v>159.22</v>
      </c>
      <c r="F1782" s="1">
        <f ca="1">IFERROR(__xludf.DUMMYFUNCTION("""COMPUTED_VALUE"""),121954638)</f>
        <v>121954638</v>
      </c>
    </row>
    <row r="1783" spans="1:6" x14ac:dyDescent="0.35">
      <c r="A1783" s="2">
        <f ca="1">IFERROR(__xludf.DUMMYFUNCTION("""COMPUTED_VALUE"""),44589.6666666666)</f>
        <v>44589.666666666599</v>
      </c>
      <c r="B1783" s="1">
        <f ca="1">IFERROR(__xludf.DUMMYFUNCTION("""COMPUTED_VALUE"""),165.71)</f>
        <v>165.71</v>
      </c>
      <c r="C1783" s="1">
        <f ca="1">IFERROR(__xludf.DUMMYFUNCTION("""COMPUTED_VALUE"""),170.35)</f>
        <v>170.35</v>
      </c>
      <c r="D1783" s="1">
        <f ca="1">IFERROR(__xludf.DUMMYFUNCTION("""COMPUTED_VALUE"""),162.8)</f>
        <v>162.80000000000001</v>
      </c>
      <c r="E1783" s="1">
        <f ca="1">IFERROR(__xludf.DUMMYFUNCTION("""COMPUTED_VALUE"""),170.33)</f>
        <v>170.33</v>
      </c>
      <c r="F1783" s="1">
        <f ca="1">IFERROR(__xludf.DUMMYFUNCTION("""COMPUTED_VALUE"""),179935660)</f>
        <v>179935660</v>
      </c>
    </row>
    <row r="1784" spans="1:6" x14ac:dyDescent="0.35">
      <c r="A1784" s="2">
        <f ca="1">IFERROR(__xludf.DUMMYFUNCTION("""COMPUTED_VALUE"""),44592.6666666666)</f>
        <v>44592.666666666599</v>
      </c>
      <c r="B1784" s="1">
        <f ca="1">IFERROR(__xludf.DUMMYFUNCTION("""COMPUTED_VALUE"""),170.16)</f>
        <v>170.16</v>
      </c>
      <c r="C1784" s="1">
        <f ca="1">IFERROR(__xludf.DUMMYFUNCTION("""COMPUTED_VALUE"""),175)</f>
        <v>175</v>
      </c>
      <c r="D1784" s="1">
        <f ca="1">IFERROR(__xludf.DUMMYFUNCTION("""COMPUTED_VALUE"""),169.51)</f>
        <v>169.51</v>
      </c>
      <c r="E1784" s="1">
        <f ca="1">IFERROR(__xludf.DUMMYFUNCTION("""COMPUTED_VALUE"""),174.78)</f>
        <v>174.78</v>
      </c>
      <c r="F1784" s="1">
        <f ca="1">IFERROR(__xludf.DUMMYFUNCTION("""COMPUTED_VALUE"""),115541590)</f>
        <v>115541590</v>
      </c>
    </row>
    <row r="1785" spans="1:6" x14ac:dyDescent="0.35">
      <c r="A1785" s="2">
        <f ca="1">IFERROR(__xludf.DUMMYFUNCTION("""COMPUTED_VALUE"""),44593.6666666666)</f>
        <v>44593.666666666599</v>
      </c>
      <c r="B1785" s="1">
        <f ca="1">IFERROR(__xludf.DUMMYFUNCTION("""COMPUTED_VALUE"""),174.01)</f>
        <v>174.01</v>
      </c>
      <c r="C1785" s="1">
        <f ca="1">IFERROR(__xludf.DUMMYFUNCTION("""COMPUTED_VALUE"""),174.84)</f>
        <v>174.84</v>
      </c>
      <c r="D1785" s="1">
        <f ca="1">IFERROR(__xludf.DUMMYFUNCTION("""COMPUTED_VALUE"""),172.31)</f>
        <v>172.31</v>
      </c>
      <c r="E1785" s="1">
        <f ca="1">IFERROR(__xludf.DUMMYFUNCTION("""COMPUTED_VALUE"""),174.61)</f>
        <v>174.61</v>
      </c>
      <c r="F1785" s="1">
        <f ca="1">IFERROR(__xludf.DUMMYFUNCTION("""COMPUTED_VALUE"""),86213911)</f>
        <v>86213911</v>
      </c>
    </row>
    <row r="1786" spans="1:6" x14ac:dyDescent="0.35">
      <c r="A1786" s="2">
        <f ca="1">IFERROR(__xludf.DUMMYFUNCTION("""COMPUTED_VALUE"""),44594.6666666666)</f>
        <v>44594.666666666599</v>
      </c>
      <c r="B1786" s="1">
        <f ca="1">IFERROR(__xludf.DUMMYFUNCTION("""COMPUTED_VALUE"""),174.75)</f>
        <v>174.75</v>
      </c>
      <c r="C1786" s="1">
        <f ca="1">IFERROR(__xludf.DUMMYFUNCTION("""COMPUTED_VALUE"""),175.88)</f>
        <v>175.88</v>
      </c>
      <c r="D1786" s="1">
        <f ca="1">IFERROR(__xludf.DUMMYFUNCTION("""COMPUTED_VALUE"""),173.33)</f>
        <v>173.33</v>
      </c>
      <c r="E1786" s="1">
        <f ca="1">IFERROR(__xludf.DUMMYFUNCTION("""COMPUTED_VALUE"""),175.84)</f>
        <v>175.84</v>
      </c>
      <c r="F1786" s="1">
        <f ca="1">IFERROR(__xludf.DUMMYFUNCTION("""COMPUTED_VALUE"""),84914256)</f>
        <v>84914256</v>
      </c>
    </row>
    <row r="1787" spans="1:6" x14ac:dyDescent="0.35">
      <c r="A1787" s="2">
        <f ca="1">IFERROR(__xludf.DUMMYFUNCTION("""COMPUTED_VALUE"""),44595.6666666666)</f>
        <v>44595.666666666599</v>
      </c>
      <c r="B1787" s="1">
        <f ca="1">IFERROR(__xludf.DUMMYFUNCTION("""COMPUTED_VALUE"""),174.48)</f>
        <v>174.48</v>
      </c>
      <c r="C1787" s="1">
        <f ca="1">IFERROR(__xludf.DUMMYFUNCTION("""COMPUTED_VALUE"""),176.24)</f>
        <v>176.24</v>
      </c>
      <c r="D1787" s="1">
        <f ca="1">IFERROR(__xludf.DUMMYFUNCTION("""COMPUTED_VALUE"""),172.12)</f>
        <v>172.12</v>
      </c>
      <c r="E1787" s="1">
        <f ca="1">IFERROR(__xludf.DUMMYFUNCTION("""COMPUTED_VALUE"""),172.9)</f>
        <v>172.9</v>
      </c>
      <c r="F1787" s="1">
        <f ca="1">IFERROR(__xludf.DUMMYFUNCTION("""COMPUTED_VALUE"""),89418074)</f>
        <v>89418074</v>
      </c>
    </row>
    <row r="1788" spans="1:6" x14ac:dyDescent="0.35">
      <c r="A1788" s="2">
        <f ca="1">IFERROR(__xludf.DUMMYFUNCTION("""COMPUTED_VALUE"""),44596.6666666666)</f>
        <v>44596.666666666599</v>
      </c>
      <c r="B1788" s="1">
        <f ca="1">IFERROR(__xludf.DUMMYFUNCTION("""COMPUTED_VALUE"""),171.68)</f>
        <v>171.68</v>
      </c>
      <c r="C1788" s="1">
        <f ca="1">IFERROR(__xludf.DUMMYFUNCTION("""COMPUTED_VALUE"""),174.1)</f>
        <v>174.1</v>
      </c>
      <c r="D1788" s="1">
        <f ca="1">IFERROR(__xludf.DUMMYFUNCTION("""COMPUTED_VALUE"""),170.68)</f>
        <v>170.68</v>
      </c>
      <c r="E1788" s="1">
        <f ca="1">IFERROR(__xludf.DUMMYFUNCTION("""COMPUTED_VALUE"""),172.39)</f>
        <v>172.39</v>
      </c>
      <c r="F1788" s="1">
        <f ca="1">IFERROR(__xludf.DUMMYFUNCTION("""COMPUTED_VALUE"""),82465400)</f>
        <v>82465400</v>
      </c>
    </row>
    <row r="1789" spans="1:6" x14ac:dyDescent="0.35">
      <c r="A1789" s="2">
        <f ca="1">IFERROR(__xludf.DUMMYFUNCTION("""COMPUTED_VALUE"""),44599.6666666666)</f>
        <v>44599.666666666599</v>
      </c>
      <c r="B1789" s="1">
        <f ca="1">IFERROR(__xludf.DUMMYFUNCTION("""COMPUTED_VALUE"""),172.86)</f>
        <v>172.86</v>
      </c>
      <c r="C1789" s="1">
        <f ca="1">IFERROR(__xludf.DUMMYFUNCTION("""COMPUTED_VALUE"""),173.95)</f>
        <v>173.95</v>
      </c>
      <c r="D1789" s="1">
        <f ca="1">IFERROR(__xludf.DUMMYFUNCTION("""COMPUTED_VALUE"""),170.95)</f>
        <v>170.95</v>
      </c>
      <c r="E1789" s="1">
        <f ca="1">IFERROR(__xludf.DUMMYFUNCTION("""COMPUTED_VALUE"""),171.66)</f>
        <v>171.66</v>
      </c>
      <c r="F1789" s="1">
        <f ca="1">IFERROR(__xludf.DUMMYFUNCTION("""COMPUTED_VALUE"""),77251204)</f>
        <v>77251204</v>
      </c>
    </row>
    <row r="1790" spans="1:6" x14ac:dyDescent="0.35">
      <c r="A1790" s="2">
        <f ca="1">IFERROR(__xludf.DUMMYFUNCTION("""COMPUTED_VALUE"""),44600.6666666666)</f>
        <v>44600.666666666599</v>
      </c>
      <c r="B1790" s="1">
        <f ca="1">IFERROR(__xludf.DUMMYFUNCTION("""COMPUTED_VALUE"""),171.73)</f>
        <v>171.73</v>
      </c>
      <c r="C1790" s="1">
        <f ca="1">IFERROR(__xludf.DUMMYFUNCTION("""COMPUTED_VALUE"""),175.35)</f>
        <v>175.35</v>
      </c>
      <c r="D1790" s="1">
        <f ca="1">IFERROR(__xludf.DUMMYFUNCTION("""COMPUTED_VALUE"""),171.43)</f>
        <v>171.43</v>
      </c>
      <c r="E1790" s="1">
        <f ca="1">IFERROR(__xludf.DUMMYFUNCTION("""COMPUTED_VALUE"""),174.83)</f>
        <v>174.83</v>
      </c>
      <c r="F1790" s="1">
        <f ca="1">IFERROR(__xludf.DUMMYFUNCTION("""COMPUTED_VALUE"""),74829217)</f>
        <v>74829217</v>
      </c>
    </row>
    <row r="1791" spans="1:6" x14ac:dyDescent="0.35">
      <c r="A1791" s="2">
        <f ca="1">IFERROR(__xludf.DUMMYFUNCTION("""COMPUTED_VALUE"""),44601.6666666666)</f>
        <v>44601.666666666599</v>
      </c>
      <c r="B1791" s="1">
        <f ca="1">IFERROR(__xludf.DUMMYFUNCTION("""COMPUTED_VALUE"""),176.05)</f>
        <v>176.05</v>
      </c>
      <c r="C1791" s="1">
        <f ca="1">IFERROR(__xludf.DUMMYFUNCTION("""COMPUTED_VALUE"""),176.65)</f>
        <v>176.65</v>
      </c>
      <c r="D1791" s="1">
        <f ca="1">IFERROR(__xludf.DUMMYFUNCTION("""COMPUTED_VALUE"""),174.9)</f>
        <v>174.9</v>
      </c>
      <c r="E1791" s="1">
        <f ca="1">IFERROR(__xludf.DUMMYFUNCTION("""COMPUTED_VALUE"""),176.28)</f>
        <v>176.28</v>
      </c>
      <c r="F1791" s="1">
        <f ca="1">IFERROR(__xludf.DUMMYFUNCTION("""COMPUTED_VALUE"""),71285038)</f>
        <v>71285038</v>
      </c>
    </row>
    <row r="1792" spans="1:6" x14ac:dyDescent="0.35">
      <c r="A1792" s="2">
        <f ca="1">IFERROR(__xludf.DUMMYFUNCTION("""COMPUTED_VALUE"""),44602.6666666666)</f>
        <v>44602.666666666599</v>
      </c>
      <c r="B1792" s="1">
        <f ca="1">IFERROR(__xludf.DUMMYFUNCTION("""COMPUTED_VALUE"""),174.14)</f>
        <v>174.14</v>
      </c>
      <c r="C1792" s="1">
        <f ca="1">IFERROR(__xludf.DUMMYFUNCTION("""COMPUTED_VALUE"""),175.48)</f>
        <v>175.48</v>
      </c>
      <c r="D1792" s="1">
        <f ca="1">IFERROR(__xludf.DUMMYFUNCTION("""COMPUTED_VALUE"""),171.55)</f>
        <v>171.55</v>
      </c>
      <c r="E1792" s="1">
        <f ca="1">IFERROR(__xludf.DUMMYFUNCTION("""COMPUTED_VALUE"""),172.12)</f>
        <v>172.12</v>
      </c>
      <c r="F1792" s="1">
        <f ca="1">IFERROR(__xludf.DUMMYFUNCTION("""COMPUTED_VALUE"""),90865899)</f>
        <v>90865899</v>
      </c>
    </row>
    <row r="1793" spans="1:6" x14ac:dyDescent="0.35">
      <c r="A1793" s="2">
        <f ca="1">IFERROR(__xludf.DUMMYFUNCTION("""COMPUTED_VALUE"""),44603.6666666666)</f>
        <v>44603.666666666599</v>
      </c>
      <c r="B1793" s="1">
        <f ca="1">IFERROR(__xludf.DUMMYFUNCTION("""COMPUTED_VALUE"""),172.33)</f>
        <v>172.33</v>
      </c>
      <c r="C1793" s="1">
        <f ca="1">IFERROR(__xludf.DUMMYFUNCTION("""COMPUTED_VALUE"""),173.08)</f>
        <v>173.08</v>
      </c>
      <c r="D1793" s="1">
        <f ca="1">IFERROR(__xludf.DUMMYFUNCTION("""COMPUTED_VALUE"""),168.04)</f>
        <v>168.04</v>
      </c>
      <c r="E1793" s="1">
        <f ca="1">IFERROR(__xludf.DUMMYFUNCTION("""COMPUTED_VALUE"""),168.64)</f>
        <v>168.64</v>
      </c>
      <c r="F1793" s="1">
        <f ca="1">IFERROR(__xludf.DUMMYFUNCTION("""COMPUTED_VALUE"""),98670687)</f>
        <v>98670687</v>
      </c>
    </row>
    <row r="1794" spans="1:6" x14ac:dyDescent="0.35">
      <c r="A1794" s="2">
        <f ca="1">IFERROR(__xludf.DUMMYFUNCTION("""COMPUTED_VALUE"""),44606.6666666666)</f>
        <v>44606.666666666599</v>
      </c>
      <c r="B1794" s="1">
        <f ca="1">IFERROR(__xludf.DUMMYFUNCTION("""COMPUTED_VALUE"""),167.37)</f>
        <v>167.37</v>
      </c>
      <c r="C1794" s="1">
        <f ca="1">IFERROR(__xludf.DUMMYFUNCTION("""COMPUTED_VALUE"""),169.58)</f>
        <v>169.58</v>
      </c>
      <c r="D1794" s="1">
        <f ca="1">IFERROR(__xludf.DUMMYFUNCTION("""COMPUTED_VALUE"""),166.56)</f>
        <v>166.56</v>
      </c>
      <c r="E1794" s="1">
        <f ca="1">IFERROR(__xludf.DUMMYFUNCTION("""COMPUTED_VALUE"""),168.88)</f>
        <v>168.88</v>
      </c>
      <c r="F1794" s="1">
        <f ca="1">IFERROR(__xludf.DUMMYFUNCTION("""COMPUTED_VALUE"""),86185530)</f>
        <v>86185530</v>
      </c>
    </row>
    <row r="1795" spans="1:6" x14ac:dyDescent="0.35">
      <c r="A1795" s="2">
        <f ca="1">IFERROR(__xludf.DUMMYFUNCTION("""COMPUTED_VALUE"""),44607.6666666666)</f>
        <v>44607.666666666599</v>
      </c>
      <c r="B1795" s="1">
        <f ca="1">IFERROR(__xludf.DUMMYFUNCTION("""COMPUTED_VALUE"""),170.97)</f>
        <v>170.97</v>
      </c>
      <c r="C1795" s="1">
        <f ca="1">IFERROR(__xludf.DUMMYFUNCTION("""COMPUTED_VALUE"""),172.95)</f>
        <v>172.95</v>
      </c>
      <c r="D1795" s="1">
        <f ca="1">IFERROR(__xludf.DUMMYFUNCTION("""COMPUTED_VALUE"""),170.25)</f>
        <v>170.25</v>
      </c>
      <c r="E1795" s="1">
        <f ca="1">IFERROR(__xludf.DUMMYFUNCTION("""COMPUTED_VALUE"""),172.79)</f>
        <v>172.79</v>
      </c>
      <c r="F1795" s="1">
        <f ca="1">IFERROR(__xludf.DUMMYFUNCTION("""COMPUTED_VALUE"""),64286320)</f>
        <v>64286320</v>
      </c>
    </row>
    <row r="1796" spans="1:6" x14ac:dyDescent="0.35">
      <c r="A1796" s="2">
        <f ca="1">IFERROR(__xludf.DUMMYFUNCTION("""COMPUTED_VALUE"""),44608.6666666666)</f>
        <v>44608.666666666599</v>
      </c>
      <c r="B1796" s="1">
        <f ca="1">IFERROR(__xludf.DUMMYFUNCTION("""COMPUTED_VALUE"""),171.85)</f>
        <v>171.85</v>
      </c>
      <c r="C1796" s="1">
        <f ca="1">IFERROR(__xludf.DUMMYFUNCTION("""COMPUTED_VALUE"""),173.34)</f>
        <v>173.34</v>
      </c>
      <c r="D1796" s="1">
        <f ca="1">IFERROR(__xludf.DUMMYFUNCTION("""COMPUTED_VALUE"""),170.05)</f>
        <v>170.05</v>
      </c>
      <c r="E1796" s="1">
        <f ca="1">IFERROR(__xludf.DUMMYFUNCTION("""COMPUTED_VALUE"""),172.55)</f>
        <v>172.55</v>
      </c>
      <c r="F1796" s="1">
        <f ca="1">IFERROR(__xludf.DUMMYFUNCTION("""COMPUTED_VALUE"""),61177398)</f>
        <v>61177398</v>
      </c>
    </row>
    <row r="1797" spans="1:6" x14ac:dyDescent="0.35">
      <c r="A1797" s="2">
        <f ca="1">IFERROR(__xludf.DUMMYFUNCTION("""COMPUTED_VALUE"""),44609.6666666666)</f>
        <v>44609.666666666599</v>
      </c>
      <c r="B1797" s="1">
        <f ca="1">IFERROR(__xludf.DUMMYFUNCTION("""COMPUTED_VALUE"""),171.03)</f>
        <v>171.03</v>
      </c>
      <c r="C1797" s="1">
        <f ca="1">IFERROR(__xludf.DUMMYFUNCTION("""COMPUTED_VALUE"""),171.91)</f>
        <v>171.91</v>
      </c>
      <c r="D1797" s="1">
        <f ca="1">IFERROR(__xludf.DUMMYFUNCTION("""COMPUTED_VALUE"""),168.47)</f>
        <v>168.47</v>
      </c>
      <c r="E1797" s="1">
        <f ca="1">IFERROR(__xludf.DUMMYFUNCTION("""COMPUTED_VALUE"""),168.88)</f>
        <v>168.88</v>
      </c>
      <c r="F1797" s="1">
        <f ca="1">IFERROR(__xludf.DUMMYFUNCTION("""COMPUTED_VALUE"""),69589344)</f>
        <v>69589344</v>
      </c>
    </row>
    <row r="1798" spans="1:6" x14ac:dyDescent="0.35">
      <c r="A1798" s="2">
        <f ca="1">IFERROR(__xludf.DUMMYFUNCTION("""COMPUTED_VALUE"""),44610.6666666666)</f>
        <v>44610.666666666599</v>
      </c>
      <c r="B1798" s="1">
        <f ca="1">IFERROR(__xludf.DUMMYFUNCTION("""COMPUTED_VALUE"""),169.82)</f>
        <v>169.82</v>
      </c>
      <c r="C1798" s="1">
        <f ca="1">IFERROR(__xludf.DUMMYFUNCTION("""COMPUTED_VALUE"""),170.54)</f>
        <v>170.54</v>
      </c>
      <c r="D1798" s="1">
        <f ca="1">IFERROR(__xludf.DUMMYFUNCTION("""COMPUTED_VALUE"""),166.19)</f>
        <v>166.19</v>
      </c>
      <c r="E1798" s="1">
        <f ca="1">IFERROR(__xludf.DUMMYFUNCTION("""COMPUTED_VALUE"""),167.3)</f>
        <v>167.3</v>
      </c>
      <c r="F1798" s="1">
        <f ca="1">IFERROR(__xludf.DUMMYFUNCTION("""COMPUTED_VALUE"""),82772674)</f>
        <v>82772674</v>
      </c>
    </row>
    <row r="1799" spans="1:6" x14ac:dyDescent="0.35">
      <c r="A1799" s="2">
        <f ca="1">IFERROR(__xludf.DUMMYFUNCTION("""COMPUTED_VALUE"""),44614.6666666666)</f>
        <v>44614.666666666599</v>
      </c>
      <c r="B1799" s="1">
        <f ca="1">IFERROR(__xludf.DUMMYFUNCTION("""COMPUTED_VALUE"""),164.98)</f>
        <v>164.98</v>
      </c>
      <c r="C1799" s="1">
        <f ca="1">IFERROR(__xludf.DUMMYFUNCTION("""COMPUTED_VALUE"""),166.69)</f>
        <v>166.69</v>
      </c>
      <c r="D1799" s="1">
        <f ca="1">IFERROR(__xludf.DUMMYFUNCTION("""COMPUTED_VALUE"""),162.15)</f>
        <v>162.15</v>
      </c>
      <c r="E1799" s="1">
        <f ca="1">IFERROR(__xludf.DUMMYFUNCTION("""COMPUTED_VALUE"""),164.32)</f>
        <v>164.32</v>
      </c>
      <c r="F1799" s="1">
        <f ca="1">IFERROR(__xludf.DUMMYFUNCTION("""COMPUTED_VALUE"""),91162758)</f>
        <v>91162758</v>
      </c>
    </row>
    <row r="1800" spans="1:6" x14ac:dyDescent="0.35">
      <c r="A1800" s="2">
        <f ca="1">IFERROR(__xludf.DUMMYFUNCTION("""COMPUTED_VALUE"""),44615.6666666666)</f>
        <v>44615.666666666599</v>
      </c>
      <c r="B1800" s="1">
        <f ca="1">IFERROR(__xludf.DUMMYFUNCTION("""COMPUTED_VALUE"""),165.54)</f>
        <v>165.54</v>
      </c>
      <c r="C1800" s="1">
        <f ca="1">IFERROR(__xludf.DUMMYFUNCTION("""COMPUTED_VALUE"""),166.15)</f>
        <v>166.15</v>
      </c>
      <c r="D1800" s="1">
        <f ca="1">IFERROR(__xludf.DUMMYFUNCTION("""COMPUTED_VALUE"""),159.75)</f>
        <v>159.75</v>
      </c>
      <c r="E1800" s="1">
        <f ca="1">IFERROR(__xludf.DUMMYFUNCTION("""COMPUTED_VALUE"""),160.07)</f>
        <v>160.07</v>
      </c>
      <c r="F1800" s="1">
        <f ca="1">IFERROR(__xludf.DUMMYFUNCTION("""COMPUTED_VALUE"""),90009247)</f>
        <v>90009247</v>
      </c>
    </row>
    <row r="1801" spans="1:6" x14ac:dyDescent="0.35">
      <c r="A1801" s="2">
        <f ca="1">IFERROR(__xludf.DUMMYFUNCTION("""COMPUTED_VALUE"""),44616.6666666666)</f>
        <v>44616.666666666599</v>
      </c>
      <c r="B1801" s="1">
        <f ca="1">IFERROR(__xludf.DUMMYFUNCTION("""COMPUTED_VALUE"""),152.58)</f>
        <v>152.58000000000001</v>
      </c>
      <c r="C1801" s="1">
        <f ca="1">IFERROR(__xludf.DUMMYFUNCTION("""COMPUTED_VALUE"""),162.85)</f>
        <v>162.85</v>
      </c>
      <c r="D1801" s="1">
        <f ca="1">IFERROR(__xludf.DUMMYFUNCTION("""COMPUTED_VALUE"""),152)</f>
        <v>152</v>
      </c>
      <c r="E1801" s="1">
        <f ca="1">IFERROR(__xludf.DUMMYFUNCTION("""COMPUTED_VALUE"""),162.74)</f>
        <v>162.74</v>
      </c>
      <c r="F1801" s="1">
        <f ca="1">IFERROR(__xludf.DUMMYFUNCTION("""COMPUTED_VALUE"""),141147540)</f>
        <v>141147540</v>
      </c>
    </row>
    <row r="1802" spans="1:6" x14ac:dyDescent="0.35">
      <c r="A1802" s="2">
        <f ca="1">IFERROR(__xludf.DUMMYFUNCTION("""COMPUTED_VALUE"""),44617.6666666666)</f>
        <v>44617.666666666599</v>
      </c>
      <c r="B1802" s="1">
        <f ca="1">IFERROR(__xludf.DUMMYFUNCTION("""COMPUTED_VALUE"""),163.84)</f>
        <v>163.84</v>
      </c>
      <c r="C1802" s="1">
        <f ca="1">IFERROR(__xludf.DUMMYFUNCTION("""COMPUTED_VALUE"""),165.12)</f>
        <v>165.12</v>
      </c>
      <c r="D1802" s="1">
        <f ca="1">IFERROR(__xludf.DUMMYFUNCTION("""COMPUTED_VALUE"""),160.87)</f>
        <v>160.87</v>
      </c>
      <c r="E1802" s="1">
        <f ca="1">IFERROR(__xludf.DUMMYFUNCTION("""COMPUTED_VALUE"""),164.85)</f>
        <v>164.85</v>
      </c>
      <c r="F1802" s="1">
        <f ca="1">IFERROR(__xludf.DUMMYFUNCTION("""COMPUTED_VALUE"""),91974222)</f>
        <v>91974222</v>
      </c>
    </row>
    <row r="1803" spans="1:6" x14ac:dyDescent="0.35">
      <c r="A1803" s="2">
        <f ca="1">IFERROR(__xludf.DUMMYFUNCTION("""COMPUTED_VALUE"""),44620.6666666666)</f>
        <v>44620.666666666599</v>
      </c>
      <c r="B1803" s="1">
        <f ca="1">IFERROR(__xludf.DUMMYFUNCTION("""COMPUTED_VALUE"""),163.06)</f>
        <v>163.06</v>
      </c>
      <c r="C1803" s="1">
        <f ca="1">IFERROR(__xludf.DUMMYFUNCTION("""COMPUTED_VALUE"""),165.42)</f>
        <v>165.42</v>
      </c>
      <c r="D1803" s="1">
        <f ca="1">IFERROR(__xludf.DUMMYFUNCTION("""COMPUTED_VALUE"""),162.43)</f>
        <v>162.43</v>
      </c>
      <c r="E1803" s="1">
        <f ca="1">IFERROR(__xludf.DUMMYFUNCTION("""COMPUTED_VALUE"""),165.12)</f>
        <v>165.12</v>
      </c>
      <c r="F1803" s="1">
        <f ca="1">IFERROR(__xludf.DUMMYFUNCTION("""COMPUTED_VALUE"""),95056629)</f>
        <v>95056629</v>
      </c>
    </row>
    <row r="1804" spans="1:6" x14ac:dyDescent="0.35">
      <c r="A1804" s="2">
        <f ca="1">IFERROR(__xludf.DUMMYFUNCTION("""COMPUTED_VALUE"""),44621.6666666666)</f>
        <v>44621.666666666599</v>
      </c>
      <c r="B1804" s="1">
        <f ca="1">IFERROR(__xludf.DUMMYFUNCTION("""COMPUTED_VALUE"""),164.7)</f>
        <v>164.7</v>
      </c>
      <c r="C1804" s="1">
        <f ca="1">IFERROR(__xludf.DUMMYFUNCTION("""COMPUTED_VALUE"""),166.6)</f>
        <v>166.6</v>
      </c>
      <c r="D1804" s="1">
        <f ca="1">IFERROR(__xludf.DUMMYFUNCTION("""COMPUTED_VALUE"""),161.97)</f>
        <v>161.97</v>
      </c>
      <c r="E1804" s="1">
        <f ca="1">IFERROR(__xludf.DUMMYFUNCTION("""COMPUTED_VALUE"""),163.2)</f>
        <v>163.19999999999999</v>
      </c>
      <c r="F1804" s="1">
        <f ca="1">IFERROR(__xludf.DUMMYFUNCTION("""COMPUTED_VALUE"""),83474425)</f>
        <v>83474425</v>
      </c>
    </row>
    <row r="1805" spans="1:6" x14ac:dyDescent="0.35">
      <c r="A1805" s="2">
        <f ca="1">IFERROR(__xludf.DUMMYFUNCTION("""COMPUTED_VALUE"""),44622.6666666666)</f>
        <v>44622.666666666599</v>
      </c>
      <c r="B1805" s="1">
        <f ca="1">IFERROR(__xludf.DUMMYFUNCTION("""COMPUTED_VALUE"""),164.39)</f>
        <v>164.39</v>
      </c>
      <c r="C1805" s="1">
        <f ca="1">IFERROR(__xludf.DUMMYFUNCTION("""COMPUTED_VALUE"""),167.36)</f>
        <v>167.36</v>
      </c>
      <c r="D1805" s="1">
        <f ca="1">IFERROR(__xludf.DUMMYFUNCTION("""COMPUTED_VALUE"""),162.95)</f>
        <v>162.94999999999999</v>
      </c>
      <c r="E1805" s="1">
        <f ca="1">IFERROR(__xludf.DUMMYFUNCTION("""COMPUTED_VALUE"""),166.56)</f>
        <v>166.56</v>
      </c>
      <c r="F1805" s="1">
        <f ca="1">IFERROR(__xludf.DUMMYFUNCTION("""COMPUTED_VALUE"""),79724750)</f>
        <v>79724750</v>
      </c>
    </row>
    <row r="1806" spans="1:6" x14ac:dyDescent="0.35">
      <c r="A1806" s="2">
        <f ca="1">IFERROR(__xludf.DUMMYFUNCTION("""COMPUTED_VALUE"""),44623.6666666666)</f>
        <v>44623.666666666599</v>
      </c>
      <c r="B1806" s="1">
        <f ca="1">IFERROR(__xludf.DUMMYFUNCTION("""COMPUTED_VALUE"""),168.47)</f>
        <v>168.47</v>
      </c>
      <c r="C1806" s="1">
        <f ca="1">IFERROR(__xludf.DUMMYFUNCTION("""COMPUTED_VALUE"""),168.91)</f>
        <v>168.91</v>
      </c>
      <c r="D1806" s="1">
        <f ca="1">IFERROR(__xludf.DUMMYFUNCTION("""COMPUTED_VALUE"""),165.55)</f>
        <v>165.55</v>
      </c>
      <c r="E1806" s="1">
        <f ca="1">IFERROR(__xludf.DUMMYFUNCTION("""COMPUTED_VALUE"""),166.23)</f>
        <v>166.23</v>
      </c>
      <c r="F1806" s="1">
        <f ca="1">IFERROR(__xludf.DUMMYFUNCTION("""COMPUTED_VALUE"""),76678441)</f>
        <v>76678441</v>
      </c>
    </row>
    <row r="1807" spans="1:6" x14ac:dyDescent="0.35">
      <c r="A1807" s="2">
        <f ca="1">IFERROR(__xludf.DUMMYFUNCTION("""COMPUTED_VALUE"""),44624.6666666666)</f>
        <v>44624.666666666599</v>
      </c>
      <c r="B1807" s="1">
        <f ca="1">IFERROR(__xludf.DUMMYFUNCTION("""COMPUTED_VALUE"""),164.49)</f>
        <v>164.49</v>
      </c>
      <c r="C1807" s="1">
        <f ca="1">IFERROR(__xludf.DUMMYFUNCTION("""COMPUTED_VALUE"""),165.55)</f>
        <v>165.55</v>
      </c>
      <c r="D1807" s="1">
        <f ca="1">IFERROR(__xludf.DUMMYFUNCTION("""COMPUTED_VALUE"""),162.1)</f>
        <v>162.1</v>
      </c>
      <c r="E1807" s="1">
        <f ca="1">IFERROR(__xludf.DUMMYFUNCTION("""COMPUTED_VALUE"""),163.17)</f>
        <v>163.16999999999999</v>
      </c>
      <c r="F1807" s="1">
        <f ca="1">IFERROR(__xludf.DUMMYFUNCTION("""COMPUTED_VALUE"""),83819592)</f>
        <v>83819592</v>
      </c>
    </row>
    <row r="1808" spans="1:6" x14ac:dyDescent="0.35">
      <c r="A1808" s="2">
        <f ca="1">IFERROR(__xludf.DUMMYFUNCTION("""COMPUTED_VALUE"""),44627.6666666666)</f>
        <v>44627.666666666599</v>
      </c>
      <c r="B1808" s="1">
        <f ca="1">IFERROR(__xludf.DUMMYFUNCTION("""COMPUTED_VALUE"""),163.36)</f>
        <v>163.36000000000001</v>
      </c>
      <c r="C1808" s="1">
        <f ca="1">IFERROR(__xludf.DUMMYFUNCTION("""COMPUTED_VALUE"""),165.02)</f>
        <v>165.02</v>
      </c>
      <c r="D1808" s="1">
        <f ca="1">IFERROR(__xludf.DUMMYFUNCTION("""COMPUTED_VALUE"""),159.04)</f>
        <v>159.04</v>
      </c>
      <c r="E1808" s="1">
        <f ca="1">IFERROR(__xludf.DUMMYFUNCTION("""COMPUTED_VALUE"""),159.3)</f>
        <v>159.30000000000001</v>
      </c>
      <c r="F1808" s="1">
        <f ca="1">IFERROR(__xludf.DUMMYFUNCTION("""COMPUTED_VALUE"""),96418845)</f>
        <v>96418845</v>
      </c>
    </row>
    <row r="1809" spans="1:6" x14ac:dyDescent="0.35">
      <c r="A1809" s="2">
        <f ca="1">IFERROR(__xludf.DUMMYFUNCTION("""COMPUTED_VALUE"""),44628.6666666666)</f>
        <v>44628.666666666599</v>
      </c>
      <c r="B1809" s="1">
        <f ca="1">IFERROR(__xludf.DUMMYFUNCTION("""COMPUTED_VALUE"""),158.82)</f>
        <v>158.82</v>
      </c>
      <c r="C1809" s="1">
        <f ca="1">IFERROR(__xludf.DUMMYFUNCTION("""COMPUTED_VALUE"""),162.88)</f>
        <v>162.88</v>
      </c>
      <c r="D1809" s="1">
        <f ca="1">IFERROR(__xludf.DUMMYFUNCTION("""COMPUTED_VALUE"""),155.8)</f>
        <v>155.80000000000001</v>
      </c>
      <c r="E1809" s="1">
        <f ca="1">IFERROR(__xludf.DUMMYFUNCTION("""COMPUTED_VALUE"""),157.44)</f>
        <v>157.44</v>
      </c>
      <c r="F1809" s="1">
        <f ca="1">IFERROR(__xludf.DUMMYFUNCTION("""COMPUTED_VALUE"""),131148280)</f>
        <v>131148280</v>
      </c>
    </row>
    <row r="1810" spans="1:6" x14ac:dyDescent="0.35">
      <c r="A1810" s="2">
        <f ca="1">IFERROR(__xludf.DUMMYFUNCTION("""COMPUTED_VALUE"""),44629.6666666666)</f>
        <v>44629.666666666599</v>
      </c>
      <c r="B1810" s="1">
        <f ca="1">IFERROR(__xludf.DUMMYFUNCTION("""COMPUTED_VALUE"""),161.48)</f>
        <v>161.47999999999999</v>
      </c>
      <c r="C1810" s="1">
        <f ca="1">IFERROR(__xludf.DUMMYFUNCTION("""COMPUTED_VALUE"""),163.41)</f>
        <v>163.41</v>
      </c>
      <c r="D1810" s="1">
        <f ca="1">IFERROR(__xludf.DUMMYFUNCTION("""COMPUTED_VALUE"""),159.41)</f>
        <v>159.41</v>
      </c>
      <c r="E1810" s="1">
        <f ca="1">IFERROR(__xludf.DUMMYFUNCTION("""COMPUTED_VALUE"""),162.95)</f>
        <v>162.94999999999999</v>
      </c>
      <c r="F1810" s="1">
        <f ca="1">IFERROR(__xludf.DUMMYFUNCTION("""COMPUTED_VALUE"""),91454905)</f>
        <v>91454905</v>
      </c>
    </row>
    <row r="1811" spans="1:6" x14ac:dyDescent="0.35">
      <c r="A1811" s="2">
        <f ca="1">IFERROR(__xludf.DUMMYFUNCTION("""COMPUTED_VALUE"""),44630.6666666666)</f>
        <v>44630.666666666599</v>
      </c>
      <c r="B1811" s="1">
        <f ca="1">IFERROR(__xludf.DUMMYFUNCTION("""COMPUTED_VALUE"""),160.2)</f>
        <v>160.19999999999999</v>
      </c>
      <c r="C1811" s="1">
        <f ca="1">IFERROR(__xludf.DUMMYFUNCTION("""COMPUTED_VALUE"""),160.39)</f>
        <v>160.38999999999999</v>
      </c>
      <c r="D1811" s="1">
        <f ca="1">IFERROR(__xludf.DUMMYFUNCTION("""COMPUTED_VALUE"""),155.98)</f>
        <v>155.97999999999999</v>
      </c>
      <c r="E1811" s="1">
        <f ca="1">IFERROR(__xludf.DUMMYFUNCTION("""COMPUTED_VALUE"""),158.52)</f>
        <v>158.52000000000001</v>
      </c>
      <c r="F1811" s="1">
        <f ca="1">IFERROR(__xludf.DUMMYFUNCTION("""COMPUTED_VALUE"""),105342033)</f>
        <v>105342033</v>
      </c>
    </row>
    <row r="1812" spans="1:6" x14ac:dyDescent="0.35">
      <c r="A1812" s="2">
        <f ca="1">IFERROR(__xludf.DUMMYFUNCTION("""COMPUTED_VALUE"""),44631.6666666666)</f>
        <v>44631.666666666599</v>
      </c>
      <c r="B1812" s="1">
        <f ca="1">IFERROR(__xludf.DUMMYFUNCTION("""COMPUTED_VALUE"""),158.93)</f>
        <v>158.93</v>
      </c>
      <c r="C1812" s="1">
        <f ca="1">IFERROR(__xludf.DUMMYFUNCTION("""COMPUTED_VALUE"""),159.28)</f>
        <v>159.28</v>
      </c>
      <c r="D1812" s="1">
        <f ca="1">IFERROR(__xludf.DUMMYFUNCTION("""COMPUTED_VALUE"""),154.5)</f>
        <v>154.5</v>
      </c>
      <c r="E1812" s="1">
        <f ca="1">IFERROR(__xludf.DUMMYFUNCTION("""COMPUTED_VALUE"""),154.73)</f>
        <v>154.72999999999999</v>
      </c>
      <c r="F1812" s="1">
        <f ca="1">IFERROR(__xludf.DUMMYFUNCTION("""COMPUTED_VALUE"""),96970102)</f>
        <v>96970102</v>
      </c>
    </row>
    <row r="1813" spans="1:6" x14ac:dyDescent="0.35">
      <c r="A1813" s="2">
        <f ca="1">IFERROR(__xludf.DUMMYFUNCTION("""COMPUTED_VALUE"""),44634.6666666666)</f>
        <v>44634.666666666599</v>
      </c>
      <c r="B1813" s="1">
        <f ca="1">IFERROR(__xludf.DUMMYFUNCTION("""COMPUTED_VALUE"""),151.45)</f>
        <v>151.44999999999999</v>
      </c>
      <c r="C1813" s="1">
        <f ca="1">IFERROR(__xludf.DUMMYFUNCTION("""COMPUTED_VALUE"""),154.12)</f>
        <v>154.12</v>
      </c>
      <c r="D1813" s="1">
        <f ca="1">IFERROR(__xludf.DUMMYFUNCTION("""COMPUTED_VALUE"""),150.1)</f>
        <v>150.1</v>
      </c>
      <c r="E1813" s="1">
        <f ca="1">IFERROR(__xludf.DUMMYFUNCTION("""COMPUTED_VALUE"""),150.62)</f>
        <v>150.62</v>
      </c>
      <c r="F1813" s="1">
        <f ca="1">IFERROR(__xludf.DUMMYFUNCTION("""COMPUTED_VALUE"""),108732111)</f>
        <v>108732111</v>
      </c>
    </row>
    <row r="1814" spans="1:6" x14ac:dyDescent="0.35">
      <c r="A1814" s="2">
        <f ca="1">IFERROR(__xludf.DUMMYFUNCTION("""COMPUTED_VALUE"""),44635.6666666666)</f>
        <v>44635.666666666599</v>
      </c>
      <c r="B1814" s="1">
        <f ca="1">IFERROR(__xludf.DUMMYFUNCTION("""COMPUTED_VALUE"""),150.9)</f>
        <v>150.9</v>
      </c>
      <c r="C1814" s="1">
        <f ca="1">IFERROR(__xludf.DUMMYFUNCTION("""COMPUTED_VALUE"""),155.57)</f>
        <v>155.57</v>
      </c>
      <c r="D1814" s="1">
        <f ca="1">IFERROR(__xludf.DUMMYFUNCTION("""COMPUTED_VALUE"""),150.38)</f>
        <v>150.38</v>
      </c>
      <c r="E1814" s="1">
        <f ca="1">IFERROR(__xludf.DUMMYFUNCTION("""COMPUTED_VALUE"""),155.09)</f>
        <v>155.09</v>
      </c>
      <c r="F1814" s="1">
        <f ca="1">IFERROR(__xludf.DUMMYFUNCTION("""COMPUTED_VALUE"""),92964302)</f>
        <v>92964302</v>
      </c>
    </row>
    <row r="1815" spans="1:6" x14ac:dyDescent="0.35">
      <c r="A1815" s="2">
        <f ca="1">IFERROR(__xludf.DUMMYFUNCTION("""COMPUTED_VALUE"""),44636.6666666666)</f>
        <v>44636.666666666599</v>
      </c>
      <c r="B1815" s="1">
        <f ca="1">IFERROR(__xludf.DUMMYFUNCTION("""COMPUTED_VALUE"""),157.05)</f>
        <v>157.05000000000001</v>
      </c>
      <c r="C1815" s="1">
        <f ca="1">IFERROR(__xludf.DUMMYFUNCTION("""COMPUTED_VALUE"""),160)</f>
        <v>160</v>
      </c>
      <c r="D1815" s="1">
        <f ca="1">IFERROR(__xludf.DUMMYFUNCTION("""COMPUTED_VALUE"""),154.46)</f>
        <v>154.46</v>
      </c>
      <c r="E1815" s="1">
        <f ca="1">IFERROR(__xludf.DUMMYFUNCTION("""COMPUTED_VALUE"""),159.59)</f>
        <v>159.59</v>
      </c>
      <c r="F1815" s="1">
        <f ca="1">IFERROR(__xludf.DUMMYFUNCTION("""COMPUTED_VALUE"""),102300157)</f>
        <v>102300157</v>
      </c>
    </row>
    <row r="1816" spans="1:6" x14ac:dyDescent="0.35">
      <c r="A1816" s="2">
        <f ca="1">IFERROR(__xludf.DUMMYFUNCTION("""COMPUTED_VALUE"""),44637.6666666666)</f>
        <v>44637.666666666599</v>
      </c>
      <c r="B1816" s="1">
        <f ca="1">IFERROR(__xludf.DUMMYFUNCTION("""COMPUTED_VALUE"""),158.61)</f>
        <v>158.61000000000001</v>
      </c>
      <c r="C1816" s="1">
        <f ca="1">IFERROR(__xludf.DUMMYFUNCTION("""COMPUTED_VALUE"""),161)</f>
        <v>161</v>
      </c>
      <c r="D1816" s="1">
        <f ca="1">IFERROR(__xludf.DUMMYFUNCTION("""COMPUTED_VALUE"""),157.63)</f>
        <v>157.63</v>
      </c>
      <c r="E1816" s="1">
        <f ca="1">IFERROR(__xludf.DUMMYFUNCTION("""COMPUTED_VALUE"""),160.62)</f>
        <v>160.62</v>
      </c>
      <c r="F1816" s="1">
        <f ca="1">IFERROR(__xludf.DUMMYFUNCTION("""COMPUTED_VALUE"""),75615376)</f>
        <v>75615376</v>
      </c>
    </row>
    <row r="1817" spans="1:6" x14ac:dyDescent="0.35">
      <c r="A1817" s="2">
        <f ca="1">IFERROR(__xludf.DUMMYFUNCTION("""COMPUTED_VALUE"""),44638.6666666666)</f>
        <v>44638.666666666599</v>
      </c>
      <c r="B1817" s="1">
        <f ca="1">IFERROR(__xludf.DUMMYFUNCTION("""COMPUTED_VALUE"""),160.51)</f>
        <v>160.51</v>
      </c>
      <c r="C1817" s="1">
        <f ca="1">IFERROR(__xludf.DUMMYFUNCTION("""COMPUTED_VALUE"""),164.48)</f>
        <v>164.48</v>
      </c>
      <c r="D1817" s="1">
        <f ca="1">IFERROR(__xludf.DUMMYFUNCTION("""COMPUTED_VALUE"""),159.76)</f>
        <v>159.76</v>
      </c>
      <c r="E1817" s="1">
        <f ca="1">IFERROR(__xludf.DUMMYFUNCTION("""COMPUTED_VALUE"""),163.98)</f>
        <v>163.98</v>
      </c>
      <c r="F1817" s="1">
        <f ca="1">IFERROR(__xludf.DUMMYFUNCTION("""COMPUTED_VALUE"""),123511692)</f>
        <v>123511692</v>
      </c>
    </row>
    <row r="1818" spans="1:6" x14ac:dyDescent="0.35">
      <c r="A1818" s="2">
        <f ca="1">IFERROR(__xludf.DUMMYFUNCTION("""COMPUTED_VALUE"""),44641.6666666666)</f>
        <v>44641.666666666599</v>
      </c>
      <c r="B1818" s="1">
        <f ca="1">IFERROR(__xludf.DUMMYFUNCTION("""COMPUTED_VALUE"""),163.51)</f>
        <v>163.51</v>
      </c>
      <c r="C1818" s="1">
        <f ca="1">IFERROR(__xludf.DUMMYFUNCTION("""COMPUTED_VALUE"""),166.35)</f>
        <v>166.35</v>
      </c>
      <c r="D1818" s="1">
        <f ca="1">IFERROR(__xludf.DUMMYFUNCTION("""COMPUTED_VALUE"""),163.01)</f>
        <v>163.01</v>
      </c>
      <c r="E1818" s="1">
        <f ca="1">IFERROR(__xludf.DUMMYFUNCTION("""COMPUTED_VALUE"""),165.38)</f>
        <v>165.38</v>
      </c>
      <c r="F1818" s="1">
        <f ca="1">IFERROR(__xludf.DUMMYFUNCTION("""COMPUTED_VALUE"""),95811352)</f>
        <v>95811352</v>
      </c>
    </row>
    <row r="1819" spans="1:6" x14ac:dyDescent="0.35">
      <c r="A1819" s="2">
        <f ca="1">IFERROR(__xludf.DUMMYFUNCTION("""COMPUTED_VALUE"""),44642.6666666666)</f>
        <v>44642.666666666599</v>
      </c>
      <c r="B1819" s="1">
        <f ca="1">IFERROR(__xludf.DUMMYFUNCTION("""COMPUTED_VALUE"""),165.51)</f>
        <v>165.51</v>
      </c>
      <c r="C1819" s="1">
        <f ca="1">IFERROR(__xludf.DUMMYFUNCTION("""COMPUTED_VALUE"""),169.42)</f>
        <v>169.42</v>
      </c>
      <c r="D1819" s="1">
        <f ca="1">IFERROR(__xludf.DUMMYFUNCTION("""COMPUTED_VALUE"""),164.91)</f>
        <v>164.91</v>
      </c>
      <c r="E1819" s="1">
        <f ca="1">IFERROR(__xludf.DUMMYFUNCTION("""COMPUTED_VALUE"""),168.82)</f>
        <v>168.82</v>
      </c>
      <c r="F1819" s="1">
        <f ca="1">IFERROR(__xludf.DUMMYFUNCTION("""COMPUTED_VALUE"""),81532007)</f>
        <v>81532007</v>
      </c>
    </row>
    <row r="1820" spans="1:6" x14ac:dyDescent="0.35">
      <c r="A1820" s="2">
        <f ca="1">IFERROR(__xludf.DUMMYFUNCTION("""COMPUTED_VALUE"""),44643.6666666666)</f>
        <v>44643.666666666599</v>
      </c>
      <c r="B1820" s="1">
        <f ca="1">IFERROR(__xludf.DUMMYFUNCTION("""COMPUTED_VALUE"""),167.99)</f>
        <v>167.99</v>
      </c>
      <c r="C1820" s="1">
        <f ca="1">IFERROR(__xludf.DUMMYFUNCTION("""COMPUTED_VALUE"""),172.64)</f>
        <v>172.64</v>
      </c>
      <c r="D1820" s="1">
        <f ca="1">IFERROR(__xludf.DUMMYFUNCTION("""COMPUTED_VALUE"""),167.65)</f>
        <v>167.65</v>
      </c>
      <c r="E1820" s="1">
        <f ca="1">IFERROR(__xludf.DUMMYFUNCTION("""COMPUTED_VALUE"""),170.21)</f>
        <v>170.21</v>
      </c>
      <c r="F1820" s="1">
        <f ca="1">IFERROR(__xludf.DUMMYFUNCTION("""COMPUTED_VALUE"""),98062674)</f>
        <v>98062674</v>
      </c>
    </row>
    <row r="1821" spans="1:6" x14ac:dyDescent="0.35">
      <c r="A1821" s="2">
        <f ca="1">IFERROR(__xludf.DUMMYFUNCTION("""COMPUTED_VALUE"""),44644.6666666666)</f>
        <v>44644.666666666599</v>
      </c>
      <c r="B1821" s="1">
        <f ca="1">IFERROR(__xludf.DUMMYFUNCTION("""COMPUTED_VALUE"""),171.06)</f>
        <v>171.06</v>
      </c>
      <c r="C1821" s="1">
        <f ca="1">IFERROR(__xludf.DUMMYFUNCTION("""COMPUTED_VALUE"""),174.14)</f>
        <v>174.14</v>
      </c>
      <c r="D1821" s="1">
        <f ca="1">IFERROR(__xludf.DUMMYFUNCTION("""COMPUTED_VALUE"""),170.21)</f>
        <v>170.21</v>
      </c>
      <c r="E1821" s="1">
        <f ca="1">IFERROR(__xludf.DUMMYFUNCTION("""COMPUTED_VALUE"""),174.07)</f>
        <v>174.07</v>
      </c>
      <c r="F1821" s="1">
        <f ca="1">IFERROR(__xludf.DUMMYFUNCTION("""COMPUTED_VALUE"""),90131418)</f>
        <v>90131418</v>
      </c>
    </row>
    <row r="1822" spans="1:6" x14ac:dyDescent="0.35">
      <c r="A1822" s="2">
        <f ca="1">IFERROR(__xludf.DUMMYFUNCTION("""COMPUTED_VALUE"""),44645.6666666666)</f>
        <v>44645.666666666599</v>
      </c>
      <c r="B1822" s="1">
        <f ca="1">IFERROR(__xludf.DUMMYFUNCTION("""COMPUTED_VALUE"""),173.88)</f>
        <v>173.88</v>
      </c>
      <c r="C1822" s="1">
        <f ca="1">IFERROR(__xludf.DUMMYFUNCTION("""COMPUTED_VALUE"""),175.28)</f>
        <v>175.28</v>
      </c>
      <c r="D1822" s="1">
        <f ca="1">IFERROR(__xludf.DUMMYFUNCTION("""COMPUTED_VALUE"""),172.75)</f>
        <v>172.75</v>
      </c>
      <c r="E1822" s="1">
        <f ca="1">IFERROR(__xludf.DUMMYFUNCTION("""COMPUTED_VALUE"""),174.72)</f>
        <v>174.72</v>
      </c>
      <c r="F1822" s="1">
        <f ca="1">IFERROR(__xludf.DUMMYFUNCTION("""COMPUTED_VALUE"""),80546156)</f>
        <v>80546156</v>
      </c>
    </row>
    <row r="1823" spans="1:6" x14ac:dyDescent="0.35">
      <c r="A1823" s="2">
        <f ca="1">IFERROR(__xludf.DUMMYFUNCTION("""COMPUTED_VALUE"""),44648.6666666666)</f>
        <v>44648.666666666599</v>
      </c>
      <c r="B1823" s="1">
        <f ca="1">IFERROR(__xludf.DUMMYFUNCTION("""COMPUTED_VALUE"""),172.17)</f>
        <v>172.17</v>
      </c>
      <c r="C1823" s="1">
        <f ca="1">IFERROR(__xludf.DUMMYFUNCTION("""COMPUTED_VALUE"""),175.73)</f>
        <v>175.73</v>
      </c>
      <c r="D1823" s="1">
        <f ca="1">IFERROR(__xludf.DUMMYFUNCTION("""COMPUTED_VALUE"""),172)</f>
        <v>172</v>
      </c>
      <c r="E1823" s="1">
        <f ca="1">IFERROR(__xludf.DUMMYFUNCTION("""COMPUTED_VALUE"""),175.6)</f>
        <v>175.6</v>
      </c>
      <c r="F1823" s="1">
        <f ca="1">IFERROR(__xludf.DUMMYFUNCTION("""COMPUTED_VALUE"""),90371916)</f>
        <v>90371916</v>
      </c>
    </row>
    <row r="1824" spans="1:6" x14ac:dyDescent="0.35">
      <c r="A1824" s="2">
        <f ca="1">IFERROR(__xludf.DUMMYFUNCTION("""COMPUTED_VALUE"""),44649.6666666666)</f>
        <v>44649.666666666599</v>
      </c>
      <c r="B1824" s="1">
        <f ca="1">IFERROR(__xludf.DUMMYFUNCTION("""COMPUTED_VALUE"""),176.69)</f>
        <v>176.69</v>
      </c>
      <c r="C1824" s="1">
        <f ca="1">IFERROR(__xludf.DUMMYFUNCTION("""COMPUTED_VALUE"""),179.01)</f>
        <v>179.01</v>
      </c>
      <c r="D1824" s="1">
        <f ca="1">IFERROR(__xludf.DUMMYFUNCTION("""COMPUTED_VALUE"""),176.34)</f>
        <v>176.34</v>
      </c>
      <c r="E1824" s="1">
        <f ca="1">IFERROR(__xludf.DUMMYFUNCTION("""COMPUTED_VALUE"""),178.96)</f>
        <v>178.96</v>
      </c>
      <c r="F1824" s="1">
        <f ca="1">IFERROR(__xludf.DUMMYFUNCTION("""COMPUTED_VALUE"""),100589440)</f>
        <v>100589440</v>
      </c>
    </row>
    <row r="1825" spans="1:6" x14ac:dyDescent="0.35">
      <c r="A1825" s="2">
        <f ca="1">IFERROR(__xludf.DUMMYFUNCTION("""COMPUTED_VALUE"""),44650.6666666666)</f>
        <v>44650.666666666599</v>
      </c>
      <c r="B1825" s="1">
        <f ca="1">IFERROR(__xludf.DUMMYFUNCTION("""COMPUTED_VALUE"""),178.55)</f>
        <v>178.55</v>
      </c>
      <c r="C1825" s="1">
        <f ca="1">IFERROR(__xludf.DUMMYFUNCTION("""COMPUTED_VALUE"""),179.61)</f>
        <v>179.61</v>
      </c>
      <c r="D1825" s="1">
        <f ca="1">IFERROR(__xludf.DUMMYFUNCTION("""COMPUTED_VALUE"""),176.7)</f>
        <v>176.7</v>
      </c>
      <c r="E1825" s="1">
        <f ca="1">IFERROR(__xludf.DUMMYFUNCTION("""COMPUTED_VALUE"""),177.77)</f>
        <v>177.77</v>
      </c>
      <c r="F1825" s="1">
        <f ca="1">IFERROR(__xludf.DUMMYFUNCTION("""COMPUTED_VALUE"""),92633154)</f>
        <v>92633154</v>
      </c>
    </row>
    <row r="1826" spans="1:6" x14ac:dyDescent="0.35">
      <c r="A1826" s="2">
        <f ca="1">IFERROR(__xludf.DUMMYFUNCTION("""COMPUTED_VALUE"""),44651.6666666666)</f>
        <v>44651.666666666599</v>
      </c>
      <c r="B1826" s="1">
        <f ca="1">IFERROR(__xludf.DUMMYFUNCTION("""COMPUTED_VALUE"""),177.84)</f>
        <v>177.84</v>
      </c>
      <c r="C1826" s="1">
        <f ca="1">IFERROR(__xludf.DUMMYFUNCTION("""COMPUTED_VALUE"""),178.03)</f>
        <v>178.03</v>
      </c>
      <c r="D1826" s="1">
        <f ca="1">IFERROR(__xludf.DUMMYFUNCTION("""COMPUTED_VALUE"""),174.4)</f>
        <v>174.4</v>
      </c>
      <c r="E1826" s="1">
        <f ca="1">IFERROR(__xludf.DUMMYFUNCTION("""COMPUTED_VALUE"""),174.61)</f>
        <v>174.61</v>
      </c>
      <c r="F1826" s="1">
        <f ca="1">IFERROR(__xludf.DUMMYFUNCTION("""COMPUTED_VALUE"""),103049285)</f>
        <v>103049285</v>
      </c>
    </row>
    <row r="1827" spans="1:6" x14ac:dyDescent="0.35">
      <c r="A1827" s="2">
        <f ca="1">IFERROR(__xludf.DUMMYFUNCTION("""COMPUTED_VALUE"""),44652.6666666666)</f>
        <v>44652.666666666599</v>
      </c>
      <c r="B1827" s="1">
        <f ca="1">IFERROR(__xludf.DUMMYFUNCTION("""COMPUTED_VALUE"""),174.03)</f>
        <v>174.03</v>
      </c>
      <c r="C1827" s="1">
        <f ca="1">IFERROR(__xludf.DUMMYFUNCTION("""COMPUTED_VALUE"""),174.88)</f>
        <v>174.88</v>
      </c>
      <c r="D1827" s="1">
        <f ca="1">IFERROR(__xludf.DUMMYFUNCTION("""COMPUTED_VALUE"""),171.94)</f>
        <v>171.94</v>
      </c>
      <c r="E1827" s="1">
        <f ca="1">IFERROR(__xludf.DUMMYFUNCTION("""COMPUTED_VALUE"""),174.31)</f>
        <v>174.31</v>
      </c>
      <c r="F1827" s="1">
        <f ca="1">IFERROR(__xludf.DUMMYFUNCTION("""COMPUTED_VALUE"""),78751328)</f>
        <v>78751328</v>
      </c>
    </row>
    <row r="1828" spans="1:6" x14ac:dyDescent="0.35">
      <c r="A1828" s="2">
        <f ca="1">IFERROR(__xludf.DUMMYFUNCTION("""COMPUTED_VALUE"""),44655.6666666666)</f>
        <v>44655.666666666599</v>
      </c>
      <c r="B1828" s="1">
        <f ca="1">IFERROR(__xludf.DUMMYFUNCTION("""COMPUTED_VALUE"""),174.57)</f>
        <v>174.57</v>
      </c>
      <c r="C1828" s="1">
        <f ca="1">IFERROR(__xludf.DUMMYFUNCTION("""COMPUTED_VALUE"""),178.49)</f>
        <v>178.49</v>
      </c>
      <c r="D1828" s="1">
        <f ca="1">IFERROR(__xludf.DUMMYFUNCTION("""COMPUTED_VALUE"""),174.44)</f>
        <v>174.44</v>
      </c>
      <c r="E1828" s="1">
        <f ca="1">IFERROR(__xludf.DUMMYFUNCTION("""COMPUTED_VALUE"""),178.44)</f>
        <v>178.44</v>
      </c>
      <c r="F1828" s="1">
        <f ca="1">IFERROR(__xludf.DUMMYFUNCTION("""COMPUTED_VALUE"""),76545983)</f>
        <v>76545983</v>
      </c>
    </row>
    <row r="1829" spans="1:6" x14ac:dyDescent="0.35">
      <c r="A1829" s="2">
        <f ca="1">IFERROR(__xludf.DUMMYFUNCTION("""COMPUTED_VALUE"""),44656.6666666666)</f>
        <v>44656.666666666599</v>
      </c>
      <c r="B1829" s="1">
        <f ca="1">IFERROR(__xludf.DUMMYFUNCTION("""COMPUTED_VALUE"""),177.5)</f>
        <v>177.5</v>
      </c>
      <c r="C1829" s="1">
        <f ca="1">IFERROR(__xludf.DUMMYFUNCTION("""COMPUTED_VALUE"""),178.3)</f>
        <v>178.3</v>
      </c>
      <c r="D1829" s="1">
        <f ca="1">IFERROR(__xludf.DUMMYFUNCTION("""COMPUTED_VALUE"""),174.42)</f>
        <v>174.42</v>
      </c>
      <c r="E1829" s="1">
        <f ca="1">IFERROR(__xludf.DUMMYFUNCTION("""COMPUTED_VALUE"""),175.06)</f>
        <v>175.06</v>
      </c>
      <c r="F1829" s="1">
        <f ca="1">IFERROR(__xludf.DUMMYFUNCTION("""COMPUTED_VALUE"""),73401786)</f>
        <v>73401786</v>
      </c>
    </row>
    <row r="1830" spans="1:6" x14ac:dyDescent="0.35">
      <c r="A1830" s="2">
        <f ca="1">IFERROR(__xludf.DUMMYFUNCTION("""COMPUTED_VALUE"""),44657.6666666666)</f>
        <v>44657.666666666599</v>
      </c>
      <c r="B1830" s="1">
        <f ca="1">IFERROR(__xludf.DUMMYFUNCTION("""COMPUTED_VALUE"""),172.36)</f>
        <v>172.36</v>
      </c>
      <c r="C1830" s="1">
        <f ca="1">IFERROR(__xludf.DUMMYFUNCTION("""COMPUTED_VALUE"""),173.63)</f>
        <v>173.63</v>
      </c>
      <c r="D1830" s="1">
        <f ca="1">IFERROR(__xludf.DUMMYFUNCTION("""COMPUTED_VALUE"""),170.13)</f>
        <v>170.13</v>
      </c>
      <c r="E1830" s="1">
        <f ca="1">IFERROR(__xludf.DUMMYFUNCTION("""COMPUTED_VALUE"""),171.83)</f>
        <v>171.83</v>
      </c>
      <c r="F1830" s="1">
        <f ca="1">IFERROR(__xludf.DUMMYFUNCTION("""COMPUTED_VALUE"""),89058782)</f>
        <v>89058782</v>
      </c>
    </row>
    <row r="1831" spans="1:6" x14ac:dyDescent="0.35">
      <c r="A1831" s="2">
        <f ca="1">IFERROR(__xludf.DUMMYFUNCTION("""COMPUTED_VALUE"""),44658.6666666666)</f>
        <v>44658.666666666599</v>
      </c>
      <c r="B1831" s="1">
        <f ca="1">IFERROR(__xludf.DUMMYFUNCTION("""COMPUTED_VALUE"""),171.16)</f>
        <v>171.16</v>
      </c>
      <c r="C1831" s="1">
        <f ca="1">IFERROR(__xludf.DUMMYFUNCTION("""COMPUTED_VALUE"""),173.36)</f>
        <v>173.36</v>
      </c>
      <c r="D1831" s="1">
        <f ca="1">IFERROR(__xludf.DUMMYFUNCTION("""COMPUTED_VALUE"""),169.85)</f>
        <v>169.85</v>
      </c>
      <c r="E1831" s="1">
        <f ca="1">IFERROR(__xludf.DUMMYFUNCTION("""COMPUTED_VALUE"""),172.14)</f>
        <v>172.14</v>
      </c>
      <c r="F1831" s="1">
        <f ca="1">IFERROR(__xludf.DUMMYFUNCTION("""COMPUTED_VALUE"""),77594650)</f>
        <v>77594650</v>
      </c>
    </row>
    <row r="1832" spans="1:6" x14ac:dyDescent="0.35">
      <c r="A1832" s="2">
        <f ca="1">IFERROR(__xludf.DUMMYFUNCTION("""COMPUTED_VALUE"""),44659.6666666666)</f>
        <v>44659.666666666599</v>
      </c>
      <c r="B1832" s="1">
        <f ca="1">IFERROR(__xludf.DUMMYFUNCTION("""COMPUTED_VALUE"""),171.78)</f>
        <v>171.78</v>
      </c>
      <c r="C1832" s="1">
        <f ca="1">IFERROR(__xludf.DUMMYFUNCTION("""COMPUTED_VALUE"""),171.78)</f>
        <v>171.78</v>
      </c>
      <c r="D1832" s="1">
        <f ca="1">IFERROR(__xludf.DUMMYFUNCTION("""COMPUTED_VALUE"""),169.2)</f>
        <v>169.2</v>
      </c>
      <c r="E1832" s="1">
        <f ca="1">IFERROR(__xludf.DUMMYFUNCTION("""COMPUTED_VALUE"""),170.09)</f>
        <v>170.09</v>
      </c>
      <c r="F1832" s="1">
        <f ca="1">IFERROR(__xludf.DUMMYFUNCTION("""COMPUTED_VALUE"""),76575508)</f>
        <v>76575508</v>
      </c>
    </row>
    <row r="1833" spans="1:6" x14ac:dyDescent="0.35">
      <c r="A1833" s="2">
        <f ca="1">IFERROR(__xludf.DUMMYFUNCTION("""COMPUTED_VALUE"""),44662.6666666666)</f>
        <v>44662.666666666599</v>
      </c>
      <c r="B1833" s="1">
        <f ca="1">IFERROR(__xludf.DUMMYFUNCTION("""COMPUTED_VALUE"""),168.71)</f>
        <v>168.71</v>
      </c>
      <c r="C1833" s="1">
        <f ca="1">IFERROR(__xludf.DUMMYFUNCTION("""COMPUTED_VALUE"""),169.03)</f>
        <v>169.03</v>
      </c>
      <c r="D1833" s="1">
        <f ca="1">IFERROR(__xludf.DUMMYFUNCTION("""COMPUTED_VALUE"""),165.5)</f>
        <v>165.5</v>
      </c>
      <c r="E1833" s="1">
        <f ca="1">IFERROR(__xludf.DUMMYFUNCTION("""COMPUTED_VALUE"""),165.75)</f>
        <v>165.75</v>
      </c>
      <c r="F1833" s="1">
        <f ca="1">IFERROR(__xludf.DUMMYFUNCTION("""COMPUTED_VALUE"""),72246706)</f>
        <v>72246706</v>
      </c>
    </row>
    <row r="1834" spans="1:6" x14ac:dyDescent="0.35">
      <c r="A1834" s="2">
        <f ca="1">IFERROR(__xludf.DUMMYFUNCTION("""COMPUTED_VALUE"""),44663.6666666666)</f>
        <v>44663.666666666599</v>
      </c>
      <c r="B1834" s="1">
        <f ca="1">IFERROR(__xludf.DUMMYFUNCTION("""COMPUTED_VALUE"""),168.02)</f>
        <v>168.02</v>
      </c>
      <c r="C1834" s="1">
        <f ca="1">IFERROR(__xludf.DUMMYFUNCTION("""COMPUTED_VALUE"""),169.87)</f>
        <v>169.87</v>
      </c>
      <c r="D1834" s="1">
        <f ca="1">IFERROR(__xludf.DUMMYFUNCTION("""COMPUTED_VALUE"""),166.64)</f>
        <v>166.64</v>
      </c>
      <c r="E1834" s="1">
        <f ca="1">IFERROR(__xludf.DUMMYFUNCTION("""COMPUTED_VALUE"""),167.66)</f>
        <v>167.66</v>
      </c>
      <c r="F1834" s="1">
        <f ca="1">IFERROR(__xludf.DUMMYFUNCTION("""COMPUTED_VALUE"""),79265181)</f>
        <v>79265181</v>
      </c>
    </row>
    <row r="1835" spans="1:6" x14ac:dyDescent="0.35">
      <c r="A1835" s="2">
        <f ca="1">IFERROR(__xludf.DUMMYFUNCTION("""COMPUTED_VALUE"""),44664.6666666666)</f>
        <v>44664.666666666599</v>
      </c>
      <c r="B1835" s="1">
        <f ca="1">IFERROR(__xludf.DUMMYFUNCTION("""COMPUTED_VALUE"""),167.39)</f>
        <v>167.39</v>
      </c>
      <c r="C1835" s="1">
        <f ca="1">IFERROR(__xludf.DUMMYFUNCTION("""COMPUTED_VALUE"""),171.04)</f>
        <v>171.04</v>
      </c>
      <c r="D1835" s="1">
        <f ca="1">IFERROR(__xludf.DUMMYFUNCTION("""COMPUTED_VALUE"""),166.77)</f>
        <v>166.77</v>
      </c>
      <c r="E1835" s="1">
        <f ca="1">IFERROR(__xludf.DUMMYFUNCTION("""COMPUTED_VALUE"""),170.4)</f>
        <v>170.4</v>
      </c>
      <c r="F1835" s="1">
        <f ca="1">IFERROR(__xludf.DUMMYFUNCTION("""COMPUTED_VALUE"""),70618925)</f>
        <v>70618925</v>
      </c>
    </row>
    <row r="1836" spans="1:6" x14ac:dyDescent="0.35">
      <c r="A1836" s="2">
        <f ca="1">IFERROR(__xludf.DUMMYFUNCTION("""COMPUTED_VALUE"""),44665.6666666666)</f>
        <v>44665.666666666599</v>
      </c>
      <c r="B1836" s="1">
        <f ca="1">IFERROR(__xludf.DUMMYFUNCTION("""COMPUTED_VALUE"""),170.62)</f>
        <v>170.62</v>
      </c>
      <c r="C1836" s="1">
        <f ca="1">IFERROR(__xludf.DUMMYFUNCTION("""COMPUTED_VALUE"""),171.27)</f>
        <v>171.27</v>
      </c>
      <c r="D1836" s="1">
        <f ca="1">IFERROR(__xludf.DUMMYFUNCTION("""COMPUTED_VALUE"""),165.04)</f>
        <v>165.04</v>
      </c>
      <c r="E1836" s="1">
        <f ca="1">IFERROR(__xludf.DUMMYFUNCTION("""COMPUTED_VALUE"""),165.29)</f>
        <v>165.29</v>
      </c>
      <c r="F1836" s="1">
        <f ca="1">IFERROR(__xludf.DUMMYFUNCTION("""COMPUTED_VALUE"""),75329376)</f>
        <v>75329376</v>
      </c>
    </row>
    <row r="1837" spans="1:6" x14ac:dyDescent="0.35">
      <c r="A1837" s="2">
        <f ca="1">IFERROR(__xludf.DUMMYFUNCTION("""COMPUTED_VALUE"""),44669.6666666666)</f>
        <v>44669.666666666599</v>
      </c>
      <c r="B1837" s="1">
        <f ca="1">IFERROR(__xludf.DUMMYFUNCTION("""COMPUTED_VALUE"""),163.92)</f>
        <v>163.92</v>
      </c>
      <c r="C1837" s="1">
        <f ca="1">IFERROR(__xludf.DUMMYFUNCTION("""COMPUTED_VALUE"""),166.6)</f>
        <v>166.6</v>
      </c>
      <c r="D1837" s="1">
        <f ca="1">IFERROR(__xludf.DUMMYFUNCTION("""COMPUTED_VALUE"""),163.57)</f>
        <v>163.57</v>
      </c>
      <c r="E1837" s="1">
        <f ca="1">IFERROR(__xludf.DUMMYFUNCTION("""COMPUTED_VALUE"""),165.07)</f>
        <v>165.07</v>
      </c>
      <c r="F1837" s="1">
        <f ca="1">IFERROR(__xludf.DUMMYFUNCTION("""COMPUTED_VALUE"""),69023941)</f>
        <v>69023941</v>
      </c>
    </row>
    <row r="1838" spans="1:6" x14ac:dyDescent="0.35">
      <c r="A1838" s="2">
        <f ca="1">IFERROR(__xludf.DUMMYFUNCTION("""COMPUTED_VALUE"""),44670.6666666666)</f>
        <v>44670.666666666599</v>
      </c>
      <c r="B1838" s="1">
        <f ca="1">IFERROR(__xludf.DUMMYFUNCTION("""COMPUTED_VALUE"""),165.02)</f>
        <v>165.02</v>
      </c>
      <c r="C1838" s="1">
        <f ca="1">IFERROR(__xludf.DUMMYFUNCTION("""COMPUTED_VALUE"""),167.82)</f>
        <v>167.82</v>
      </c>
      <c r="D1838" s="1">
        <f ca="1">IFERROR(__xludf.DUMMYFUNCTION("""COMPUTED_VALUE"""),163.91)</f>
        <v>163.91</v>
      </c>
      <c r="E1838" s="1">
        <f ca="1">IFERROR(__xludf.DUMMYFUNCTION("""COMPUTED_VALUE"""),167.4)</f>
        <v>167.4</v>
      </c>
      <c r="F1838" s="1">
        <f ca="1">IFERROR(__xludf.DUMMYFUNCTION("""COMPUTED_VALUE"""),67723833)</f>
        <v>67723833</v>
      </c>
    </row>
    <row r="1839" spans="1:6" x14ac:dyDescent="0.35">
      <c r="A1839" s="2">
        <f ca="1">IFERROR(__xludf.DUMMYFUNCTION("""COMPUTED_VALUE"""),44671.6666666666)</f>
        <v>44671.666666666599</v>
      </c>
      <c r="B1839" s="1">
        <f ca="1">IFERROR(__xludf.DUMMYFUNCTION("""COMPUTED_VALUE"""),168.76)</f>
        <v>168.76</v>
      </c>
      <c r="C1839" s="1">
        <f ca="1">IFERROR(__xludf.DUMMYFUNCTION("""COMPUTED_VALUE"""),168.88)</f>
        <v>168.88</v>
      </c>
      <c r="D1839" s="1">
        <f ca="1">IFERROR(__xludf.DUMMYFUNCTION("""COMPUTED_VALUE"""),166.1)</f>
        <v>166.1</v>
      </c>
      <c r="E1839" s="1">
        <f ca="1">IFERROR(__xludf.DUMMYFUNCTION("""COMPUTED_VALUE"""),167.23)</f>
        <v>167.23</v>
      </c>
      <c r="F1839" s="1">
        <f ca="1">IFERROR(__xludf.DUMMYFUNCTION("""COMPUTED_VALUE"""),67929814)</f>
        <v>67929814</v>
      </c>
    </row>
    <row r="1840" spans="1:6" x14ac:dyDescent="0.35">
      <c r="A1840" s="2">
        <f ca="1">IFERROR(__xludf.DUMMYFUNCTION("""COMPUTED_VALUE"""),44672.6666666666)</f>
        <v>44672.666666666599</v>
      </c>
      <c r="B1840" s="1">
        <f ca="1">IFERROR(__xludf.DUMMYFUNCTION("""COMPUTED_VALUE"""),168.91)</f>
        <v>168.91</v>
      </c>
      <c r="C1840" s="1">
        <f ca="1">IFERROR(__xludf.DUMMYFUNCTION("""COMPUTED_VALUE"""),171.53)</f>
        <v>171.53</v>
      </c>
      <c r="D1840" s="1">
        <f ca="1">IFERROR(__xludf.DUMMYFUNCTION("""COMPUTED_VALUE"""),165.91)</f>
        <v>165.91</v>
      </c>
      <c r="E1840" s="1">
        <f ca="1">IFERROR(__xludf.DUMMYFUNCTION("""COMPUTED_VALUE"""),166.42)</f>
        <v>166.42</v>
      </c>
      <c r="F1840" s="1">
        <f ca="1">IFERROR(__xludf.DUMMYFUNCTION("""COMPUTED_VALUE"""),87227768)</f>
        <v>87227768</v>
      </c>
    </row>
    <row r="1841" spans="1:6" x14ac:dyDescent="0.35">
      <c r="A1841" s="2">
        <f ca="1">IFERROR(__xludf.DUMMYFUNCTION("""COMPUTED_VALUE"""),44673.6666666666)</f>
        <v>44673.666666666599</v>
      </c>
      <c r="B1841" s="1">
        <f ca="1">IFERROR(__xludf.DUMMYFUNCTION("""COMPUTED_VALUE"""),166.46)</f>
        <v>166.46</v>
      </c>
      <c r="C1841" s="1">
        <f ca="1">IFERROR(__xludf.DUMMYFUNCTION("""COMPUTED_VALUE"""),167.87)</f>
        <v>167.87</v>
      </c>
      <c r="D1841" s="1">
        <f ca="1">IFERROR(__xludf.DUMMYFUNCTION("""COMPUTED_VALUE"""),161.5)</f>
        <v>161.5</v>
      </c>
      <c r="E1841" s="1">
        <f ca="1">IFERROR(__xludf.DUMMYFUNCTION("""COMPUTED_VALUE"""),161.79)</f>
        <v>161.79</v>
      </c>
      <c r="F1841" s="1">
        <f ca="1">IFERROR(__xludf.DUMMYFUNCTION("""COMPUTED_VALUE"""),84882424)</f>
        <v>84882424</v>
      </c>
    </row>
    <row r="1842" spans="1:6" x14ac:dyDescent="0.35">
      <c r="A1842" s="2">
        <f ca="1">IFERROR(__xludf.DUMMYFUNCTION("""COMPUTED_VALUE"""),44676.6666666666)</f>
        <v>44676.666666666599</v>
      </c>
      <c r="B1842" s="1">
        <f ca="1">IFERROR(__xludf.DUMMYFUNCTION("""COMPUTED_VALUE"""),161.12)</f>
        <v>161.12</v>
      </c>
      <c r="C1842" s="1">
        <f ca="1">IFERROR(__xludf.DUMMYFUNCTION("""COMPUTED_VALUE"""),163.17)</f>
        <v>163.16999999999999</v>
      </c>
      <c r="D1842" s="1">
        <f ca="1">IFERROR(__xludf.DUMMYFUNCTION("""COMPUTED_VALUE"""),158.46)</f>
        <v>158.46</v>
      </c>
      <c r="E1842" s="1">
        <f ca="1">IFERROR(__xludf.DUMMYFUNCTION("""COMPUTED_VALUE"""),162.88)</f>
        <v>162.88</v>
      </c>
      <c r="F1842" s="1">
        <f ca="1">IFERROR(__xludf.DUMMYFUNCTION("""COMPUTED_VALUE"""),96046376)</f>
        <v>96046376</v>
      </c>
    </row>
    <row r="1843" spans="1:6" x14ac:dyDescent="0.35">
      <c r="A1843" s="2">
        <f ca="1">IFERROR(__xludf.DUMMYFUNCTION("""COMPUTED_VALUE"""),44677.6666666666)</f>
        <v>44677.666666666599</v>
      </c>
      <c r="B1843" s="1">
        <f ca="1">IFERROR(__xludf.DUMMYFUNCTION("""COMPUTED_VALUE"""),162.25)</f>
        <v>162.25</v>
      </c>
      <c r="C1843" s="1">
        <f ca="1">IFERROR(__xludf.DUMMYFUNCTION("""COMPUTED_VALUE"""),162.34)</f>
        <v>162.34</v>
      </c>
      <c r="D1843" s="1">
        <f ca="1">IFERROR(__xludf.DUMMYFUNCTION("""COMPUTED_VALUE"""),156.72)</f>
        <v>156.72</v>
      </c>
      <c r="E1843" s="1">
        <f ca="1">IFERROR(__xludf.DUMMYFUNCTION("""COMPUTED_VALUE"""),156.8)</f>
        <v>156.80000000000001</v>
      </c>
      <c r="F1843" s="1">
        <f ca="1">IFERROR(__xludf.DUMMYFUNCTION("""COMPUTED_VALUE"""),95623240)</f>
        <v>95623240</v>
      </c>
    </row>
    <row r="1844" spans="1:6" x14ac:dyDescent="0.35">
      <c r="A1844" s="2">
        <f ca="1">IFERROR(__xludf.DUMMYFUNCTION("""COMPUTED_VALUE"""),44678.6666666666)</f>
        <v>44678.666666666599</v>
      </c>
      <c r="B1844" s="1">
        <f ca="1">IFERROR(__xludf.DUMMYFUNCTION("""COMPUTED_VALUE"""),155.91)</f>
        <v>155.91</v>
      </c>
      <c r="C1844" s="1">
        <f ca="1">IFERROR(__xludf.DUMMYFUNCTION("""COMPUTED_VALUE"""),159.79)</f>
        <v>159.79</v>
      </c>
      <c r="D1844" s="1">
        <f ca="1">IFERROR(__xludf.DUMMYFUNCTION("""COMPUTED_VALUE"""),155.38)</f>
        <v>155.38</v>
      </c>
      <c r="E1844" s="1">
        <f ca="1">IFERROR(__xludf.DUMMYFUNCTION("""COMPUTED_VALUE"""),156.57)</f>
        <v>156.57</v>
      </c>
      <c r="F1844" s="1">
        <f ca="1">IFERROR(__xludf.DUMMYFUNCTION("""COMPUTED_VALUE"""),88063191)</f>
        <v>88063191</v>
      </c>
    </row>
    <row r="1845" spans="1:6" x14ac:dyDescent="0.35">
      <c r="A1845" s="2">
        <f ca="1">IFERROR(__xludf.DUMMYFUNCTION("""COMPUTED_VALUE"""),44679.6666666666)</f>
        <v>44679.666666666599</v>
      </c>
      <c r="B1845" s="1">
        <f ca="1">IFERROR(__xludf.DUMMYFUNCTION("""COMPUTED_VALUE"""),159.25)</f>
        <v>159.25</v>
      </c>
      <c r="C1845" s="1">
        <f ca="1">IFERROR(__xludf.DUMMYFUNCTION("""COMPUTED_VALUE"""),164.52)</f>
        <v>164.52</v>
      </c>
      <c r="D1845" s="1">
        <f ca="1">IFERROR(__xludf.DUMMYFUNCTION("""COMPUTED_VALUE"""),158.93)</f>
        <v>158.93</v>
      </c>
      <c r="E1845" s="1">
        <f ca="1">IFERROR(__xludf.DUMMYFUNCTION("""COMPUTED_VALUE"""),163.64)</f>
        <v>163.63999999999999</v>
      </c>
      <c r="F1845" s="1">
        <f ca="1">IFERROR(__xludf.DUMMYFUNCTION("""COMPUTED_VALUE"""),130216792)</f>
        <v>130216792</v>
      </c>
    </row>
    <row r="1846" spans="1:6" x14ac:dyDescent="0.35">
      <c r="A1846" s="2">
        <f ca="1">IFERROR(__xludf.DUMMYFUNCTION("""COMPUTED_VALUE"""),44680.6666666666)</f>
        <v>44680.666666666599</v>
      </c>
      <c r="B1846" s="1">
        <f ca="1">IFERROR(__xludf.DUMMYFUNCTION("""COMPUTED_VALUE"""),161.84)</f>
        <v>161.84</v>
      </c>
      <c r="C1846" s="1">
        <f ca="1">IFERROR(__xludf.DUMMYFUNCTION("""COMPUTED_VALUE"""),166.2)</f>
        <v>166.2</v>
      </c>
      <c r="D1846" s="1">
        <f ca="1">IFERROR(__xludf.DUMMYFUNCTION("""COMPUTED_VALUE"""),157.25)</f>
        <v>157.25</v>
      </c>
      <c r="E1846" s="1">
        <f ca="1">IFERROR(__xludf.DUMMYFUNCTION("""COMPUTED_VALUE"""),157.65)</f>
        <v>157.65</v>
      </c>
      <c r="F1846" s="1">
        <f ca="1">IFERROR(__xludf.DUMMYFUNCTION("""COMPUTED_VALUE"""),131747571)</f>
        <v>131747571</v>
      </c>
    </row>
    <row r="1847" spans="1:6" x14ac:dyDescent="0.35">
      <c r="A1847" s="2">
        <f ca="1">IFERROR(__xludf.DUMMYFUNCTION("""COMPUTED_VALUE"""),44683.6666666666)</f>
        <v>44683.666666666599</v>
      </c>
      <c r="B1847" s="1">
        <f ca="1">IFERROR(__xludf.DUMMYFUNCTION("""COMPUTED_VALUE"""),156.71)</f>
        <v>156.71</v>
      </c>
      <c r="C1847" s="1">
        <f ca="1">IFERROR(__xludf.DUMMYFUNCTION("""COMPUTED_VALUE"""),158.23)</f>
        <v>158.22999999999999</v>
      </c>
      <c r="D1847" s="1">
        <f ca="1">IFERROR(__xludf.DUMMYFUNCTION("""COMPUTED_VALUE"""),153.27)</f>
        <v>153.27000000000001</v>
      </c>
      <c r="E1847" s="1">
        <f ca="1">IFERROR(__xludf.DUMMYFUNCTION("""COMPUTED_VALUE"""),157.96)</f>
        <v>157.96</v>
      </c>
      <c r="F1847" s="1">
        <f ca="1">IFERROR(__xludf.DUMMYFUNCTION("""COMPUTED_VALUE"""),123055265)</f>
        <v>123055265</v>
      </c>
    </row>
    <row r="1848" spans="1:6" x14ac:dyDescent="0.35">
      <c r="A1848" s="2">
        <f ca="1">IFERROR(__xludf.DUMMYFUNCTION("""COMPUTED_VALUE"""),44684.6666666666)</f>
        <v>44684.666666666599</v>
      </c>
      <c r="B1848" s="1">
        <f ca="1">IFERROR(__xludf.DUMMYFUNCTION("""COMPUTED_VALUE"""),158.15)</f>
        <v>158.15</v>
      </c>
      <c r="C1848" s="1">
        <f ca="1">IFERROR(__xludf.DUMMYFUNCTION("""COMPUTED_VALUE"""),160.71)</f>
        <v>160.71</v>
      </c>
      <c r="D1848" s="1">
        <f ca="1">IFERROR(__xludf.DUMMYFUNCTION("""COMPUTED_VALUE"""),156.32)</f>
        <v>156.32</v>
      </c>
      <c r="E1848" s="1">
        <f ca="1">IFERROR(__xludf.DUMMYFUNCTION("""COMPUTED_VALUE"""),159.48)</f>
        <v>159.47999999999999</v>
      </c>
      <c r="F1848" s="1">
        <f ca="1">IFERROR(__xludf.DUMMYFUNCTION("""COMPUTED_VALUE"""),88966526)</f>
        <v>88966526</v>
      </c>
    </row>
    <row r="1849" spans="1:6" x14ac:dyDescent="0.35">
      <c r="A1849" s="2">
        <f ca="1">IFERROR(__xludf.DUMMYFUNCTION("""COMPUTED_VALUE"""),44685.6666666666)</f>
        <v>44685.666666666599</v>
      </c>
      <c r="B1849" s="1">
        <f ca="1">IFERROR(__xludf.DUMMYFUNCTION("""COMPUTED_VALUE"""),159.67)</f>
        <v>159.66999999999999</v>
      </c>
      <c r="C1849" s="1">
        <f ca="1">IFERROR(__xludf.DUMMYFUNCTION("""COMPUTED_VALUE"""),166.48)</f>
        <v>166.48</v>
      </c>
      <c r="D1849" s="1">
        <f ca="1">IFERROR(__xludf.DUMMYFUNCTION("""COMPUTED_VALUE"""),159.26)</f>
        <v>159.26</v>
      </c>
      <c r="E1849" s="1">
        <f ca="1">IFERROR(__xludf.DUMMYFUNCTION("""COMPUTED_VALUE"""),166.02)</f>
        <v>166.02</v>
      </c>
      <c r="F1849" s="1">
        <f ca="1">IFERROR(__xludf.DUMMYFUNCTION("""COMPUTED_VALUE"""),108256503)</f>
        <v>108256503</v>
      </c>
    </row>
    <row r="1850" spans="1:6" x14ac:dyDescent="0.35">
      <c r="A1850" s="2">
        <f ca="1">IFERROR(__xludf.DUMMYFUNCTION("""COMPUTED_VALUE"""),44686.6666666666)</f>
        <v>44686.666666666599</v>
      </c>
      <c r="B1850" s="1">
        <f ca="1">IFERROR(__xludf.DUMMYFUNCTION("""COMPUTED_VALUE"""),163.85)</f>
        <v>163.85</v>
      </c>
      <c r="C1850" s="1">
        <f ca="1">IFERROR(__xludf.DUMMYFUNCTION("""COMPUTED_VALUE"""),164.08)</f>
        <v>164.08</v>
      </c>
      <c r="D1850" s="1">
        <f ca="1">IFERROR(__xludf.DUMMYFUNCTION("""COMPUTED_VALUE"""),154.95)</f>
        <v>154.94999999999999</v>
      </c>
      <c r="E1850" s="1">
        <f ca="1">IFERROR(__xludf.DUMMYFUNCTION("""COMPUTED_VALUE"""),156.77)</f>
        <v>156.77000000000001</v>
      </c>
      <c r="F1850" s="1">
        <f ca="1">IFERROR(__xludf.DUMMYFUNCTION("""COMPUTED_VALUE"""),130525275)</f>
        <v>130525275</v>
      </c>
    </row>
    <row r="1851" spans="1:6" x14ac:dyDescent="0.35">
      <c r="A1851" s="2">
        <f ca="1">IFERROR(__xludf.DUMMYFUNCTION("""COMPUTED_VALUE"""),44687.6666666666)</f>
        <v>44687.666666666599</v>
      </c>
      <c r="B1851" s="1">
        <f ca="1">IFERROR(__xludf.DUMMYFUNCTION("""COMPUTED_VALUE"""),156.01)</f>
        <v>156.01</v>
      </c>
      <c r="C1851" s="1">
        <f ca="1">IFERROR(__xludf.DUMMYFUNCTION("""COMPUTED_VALUE"""),159.44)</f>
        <v>159.44</v>
      </c>
      <c r="D1851" s="1">
        <f ca="1">IFERROR(__xludf.DUMMYFUNCTION("""COMPUTED_VALUE"""),154.18)</f>
        <v>154.18</v>
      </c>
      <c r="E1851" s="1">
        <f ca="1">IFERROR(__xludf.DUMMYFUNCTION("""COMPUTED_VALUE"""),157.28)</f>
        <v>157.28</v>
      </c>
      <c r="F1851" s="1">
        <f ca="1">IFERROR(__xludf.DUMMYFUNCTION("""COMPUTED_VALUE"""),116124647)</f>
        <v>116124647</v>
      </c>
    </row>
    <row r="1852" spans="1:6" x14ac:dyDescent="0.35">
      <c r="A1852" s="2">
        <f ca="1">IFERROR(__xludf.DUMMYFUNCTION("""COMPUTED_VALUE"""),44690.6666666666)</f>
        <v>44690.666666666599</v>
      </c>
      <c r="B1852" s="1">
        <f ca="1">IFERROR(__xludf.DUMMYFUNCTION("""COMPUTED_VALUE"""),154.93)</f>
        <v>154.93</v>
      </c>
      <c r="C1852" s="1">
        <f ca="1">IFERROR(__xludf.DUMMYFUNCTION("""COMPUTED_VALUE"""),155.83)</f>
        <v>155.83000000000001</v>
      </c>
      <c r="D1852" s="1">
        <f ca="1">IFERROR(__xludf.DUMMYFUNCTION("""COMPUTED_VALUE"""),151.49)</f>
        <v>151.49</v>
      </c>
      <c r="E1852" s="1">
        <f ca="1">IFERROR(__xludf.DUMMYFUNCTION("""COMPUTED_VALUE"""),152.06)</f>
        <v>152.06</v>
      </c>
      <c r="F1852" s="1">
        <f ca="1">IFERROR(__xludf.DUMMYFUNCTION("""COMPUTED_VALUE"""),131577921)</f>
        <v>131577921</v>
      </c>
    </row>
    <row r="1853" spans="1:6" x14ac:dyDescent="0.35">
      <c r="A1853" s="2">
        <f ca="1">IFERROR(__xludf.DUMMYFUNCTION("""COMPUTED_VALUE"""),44691.6666666666)</f>
        <v>44691.666666666599</v>
      </c>
      <c r="B1853" s="1">
        <f ca="1">IFERROR(__xludf.DUMMYFUNCTION("""COMPUTED_VALUE"""),155.52)</f>
        <v>155.52000000000001</v>
      </c>
      <c r="C1853" s="1">
        <f ca="1">IFERROR(__xludf.DUMMYFUNCTION("""COMPUTED_VALUE"""),156.74)</f>
        <v>156.74</v>
      </c>
      <c r="D1853" s="1">
        <f ca="1">IFERROR(__xludf.DUMMYFUNCTION("""COMPUTED_VALUE"""),152.93)</f>
        <v>152.93</v>
      </c>
      <c r="E1853" s="1">
        <f ca="1">IFERROR(__xludf.DUMMYFUNCTION("""COMPUTED_VALUE"""),154.51)</f>
        <v>154.51</v>
      </c>
      <c r="F1853" s="1">
        <f ca="1">IFERROR(__xludf.DUMMYFUNCTION("""COMPUTED_VALUE"""),115366736)</f>
        <v>115366736</v>
      </c>
    </row>
    <row r="1854" spans="1:6" x14ac:dyDescent="0.35">
      <c r="A1854" s="2">
        <f ca="1">IFERROR(__xludf.DUMMYFUNCTION("""COMPUTED_VALUE"""),44692.6666666666)</f>
        <v>44692.666666666599</v>
      </c>
      <c r="B1854" s="1">
        <f ca="1">IFERROR(__xludf.DUMMYFUNCTION("""COMPUTED_VALUE"""),153.5)</f>
        <v>153.5</v>
      </c>
      <c r="C1854" s="1">
        <f ca="1">IFERROR(__xludf.DUMMYFUNCTION("""COMPUTED_VALUE"""),155.45)</f>
        <v>155.44999999999999</v>
      </c>
      <c r="D1854" s="1">
        <f ca="1">IFERROR(__xludf.DUMMYFUNCTION("""COMPUTED_VALUE"""),145.81)</f>
        <v>145.81</v>
      </c>
      <c r="E1854" s="1">
        <f ca="1">IFERROR(__xludf.DUMMYFUNCTION("""COMPUTED_VALUE"""),146.5)</f>
        <v>146.5</v>
      </c>
      <c r="F1854" s="1">
        <f ca="1">IFERROR(__xludf.DUMMYFUNCTION("""COMPUTED_VALUE"""),142689825)</f>
        <v>142689825</v>
      </c>
    </row>
    <row r="1855" spans="1:6" x14ac:dyDescent="0.35">
      <c r="A1855" s="2">
        <f ca="1">IFERROR(__xludf.DUMMYFUNCTION("""COMPUTED_VALUE"""),44693.6666666666)</f>
        <v>44693.666666666599</v>
      </c>
      <c r="B1855" s="1">
        <f ca="1">IFERROR(__xludf.DUMMYFUNCTION("""COMPUTED_VALUE"""),142.77)</f>
        <v>142.77000000000001</v>
      </c>
      <c r="C1855" s="1">
        <f ca="1">IFERROR(__xludf.DUMMYFUNCTION("""COMPUTED_VALUE"""),146.2)</f>
        <v>146.19999999999999</v>
      </c>
      <c r="D1855" s="1">
        <f ca="1">IFERROR(__xludf.DUMMYFUNCTION("""COMPUTED_VALUE"""),138.8)</f>
        <v>138.80000000000001</v>
      </c>
      <c r="E1855" s="1">
        <f ca="1">IFERROR(__xludf.DUMMYFUNCTION("""COMPUTED_VALUE"""),142.56)</f>
        <v>142.56</v>
      </c>
      <c r="F1855" s="1">
        <f ca="1">IFERROR(__xludf.DUMMYFUNCTION("""COMPUTED_VALUE"""),182602041)</f>
        <v>182602041</v>
      </c>
    </row>
    <row r="1856" spans="1:6" x14ac:dyDescent="0.35">
      <c r="A1856" s="2">
        <f ca="1">IFERROR(__xludf.DUMMYFUNCTION("""COMPUTED_VALUE"""),44694.6666666666)</f>
        <v>44694.666666666599</v>
      </c>
      <c r="B1856" s="1">
        <f ca="1">IFERROR(__xludf.DUMMYFUNCTION("""COMPUTED_VALUE"""),144.59)</f>
        <v>144.59</v>
      </c>
      <c r="C1856" s="1">
        <f ca="1">IFERROR(__xludf.DUMMYFUNCTION("""COMPUTED_VALUE"""),148.1)</f>
        <v>148.1</v>
      </c>
      <c r="D1856" s="1">
        <f ca="1">IFERROR(__xludf.DUMMYFUNCTION("""COMPUTED_VALUE"""),143.11)</f>
        <v>143.11000000000001</v>
      </c>
      <c r="E1856" s="1">
        <f ca="1">IFERROR(__xludf.DUMMYFUNCTION("""COMPUTED_VALUE"""),147.11)</f>
        <v>147.11000000000001</v>
      </c>
      <c r="F1856" s="1">
        <f ca="1">IFERROR(__xludf.DUMMYFUNCTION("""COMPUTED_VALUE"""),113990852)</f>
        <v>113990852</v>
      </c>
    </row>
    <row r="1857" spans="1:6" x14ac:dyDescent="0.35">
      <c r="A1857" s="2">
        <f ca="1">IFERROR(__xludf.DUMMYFUNCTION("""COMPUTED_VALUE"""),44697.6666666666)</f>
        <v>44697.666666666599</v>
      </c>
      <c r="B1857" s="1">
        <f ca="1">IFERROR(__xludf.DUMMYFUNCTION("""COMPUTED_VALUE"""),145.55)</f>
        <v>145.55000000000001</v>
      </c>
      <c r="C1857" s="1">
        <f ca="1">IFERROR(__xludf.DUMMYFUNCTION("""COMPUTED_VALUE"""),147.52)</f>
        <v>147.52000000000001</v>
      </c>
      <c r="D1857" s="1">
        <f ca="1">IFERROR(__xludf.DUMMYFUNCTION("""COMPUTED_VALUE"""),144.18)</f>
        <v>144.18</v>
      </c>
      <c r="E1857" s="1">
        <f ca="1">IFERROR(__xludf.DUMMYFUNCTION("""COMPUTED_VALUE"""),145.54)</f>
        <v>145.54</v>
      </c>
      <c r="F1857" s="1">
        <f ca="1">IFERROR(__xludf.DUMMYFUNCTION("""COMPUTED_VALUE"""),86643781)</f>
        <v>86643781</v>
      </c>
    </row>
    <row r="1858" spans="1:6" x14ac:dyDescent="0.35">
      <c r="A1858" s="2">
        <f ca="1">IFERROR(__xludf.DUMMYFUNCTION("""COMPUTED_VALUE"""),44698.6666666666)</f>
        <v>44698.666666666599</v>
      </c>
      <c r="B1858" s="1">
        <f ca="1">IFERROR(__xludf.DUMMYFUNCTION("""COMPUTED_VALUE"""),148.86)</f>
        <v>148.86000000000001</v>
      </c>
      <c r="C1858" s="1">
        <f ca="1">IFERROR(__xludf.DUMMYFUNCTION("""COMPUTED_VALUE"""),149.77)</f>
        <v>149.77000000000001</v>
      </c>
      <c r="D1858" s="1">
        <f ca="1">IFERROR(__xludf.DUMMYFUNCTION("""COMPUTED_VALUE"""),146.68)</f>
        <v>146.68</v>
      </c>
      <c r="E1858" s="1">
        <f ca="1">IFERROR(__xludf.DUMMYFUNCTION("""COMPUTED_VALUE"""),149.24)</f>
        <v>149.24</v>
      </c>
      <c r="F1858" s="1">
        <f ca="1">IFERROR(__xludf.DUMMYFUNCTION("""COMPUTED_VALUE"""),78336254)</f>
        <v>78336254</v>
      </c>
    </row>
    <row r="1859" spans="1:6" x14ac:dyDescent="0.35">
      <c r="A1859" s="2">
        <f ca="1">IFERROR(__xludf.DUMMYFUNCTION("""COMPUTED_VALUE"""),44699.6666666666)</f>
        <v>44699.666666666599</v>
      </c>
      <c r="B1859" s="1">
        <f ca="1">IFERROR(__xludf.DUMMYFUNCTION("""COMPUTED_VALUE"""),146.85)</f>
        <v>146.85</v>
      </c>
      <c r="C1859" s="1">
        <f ca="1">IFERROR(__xludf.DUMMYFUNCTION("""COMPUTED_VALUE"""),147.36)</f>
        <v>147.36000000000001</v>
      </c>
      <c r="D1859" s="1">
        <f ca="1">IFERROR(__xludf.DUMMYFUNCTION("""COMPUTED_VALUE"""),139.9)</f>
        <v>139.9</v>
      </c>
      <c r="E1859" s="1">
        <f ca="1">IFERROR(__xludf.DUMMYFUNCTION("""COMPUTED_VALUE"""),140.82)</f>
        <v>140.82</v>
      </c>
      <c r="F1859" s="1">
        <f ca="1">IFERROR(__xludf.DUMMYFUNCTION("""COMPUTED_VALUE"""),109742890)</f>
        <v>109742890</v>
      </c>
    </row>
    <row r="1860" spans="1:6" x14ac:dyDescent="0.35">
      <c r="A1860" s="2">
        <f ca="1">IFERROR(__xludf.DUMMYFUNCTION("""COMPUTED_VALUE"""),44700.6666666666)</f>
        <v>44700.666666666599</v>
      </c>
      <c r="B1860" s="1">
        <f ca="1">IFERROR(__xludf.DUMMYFUNCTION("""COMPUTED_VALUE"""),139.88)</f>
        <v>139.88</v>
      </c>
      <c r="C1860" s="1">
        <f ca="1">IFERROR(__xludf.DUMMYFUNCTION("""COMPUTED_VALUE"""),141.66)</f>
        <v>141.66</v>
      </c>
      <c r="D1860" s="1">
        <f ca="1">IFERROR(__xludf.DUMMYFUNCTION("""COMPUTED_VALUE"""),136.6)</f>
        <v>136.6</v>
      </c>
      <c r="E1860" s="1">
        <f ca="1">IFERROR(__xludf.DUMMYFUNCTION("""COMPUTED_VALUE"""),137.35)</f>
        <v>137.35</v>
      </c>
      <c r="F1860" s="1">
        <f ca="1">IFERROR(__xludf.DUMMYFUNCTION("""COMPUTED_VALUE"""),136095640)</f>
        <v>136095640</v>
      </c>
    </row>
    <row r="1861" spans="1:6" x14ac:dyDescent="0.35">
      <c r="A1861" s="2">
        <f ca="1">IFERROR(__xludf.DUMMYFUNCTION("""COMPUTED_VALUE"""),44701.6666666666)</f>
        <v>44701.666666666599</v>
      </c>
      <c r="B1861" s="1">
        <f ca="1">IFERROR(__xludf.DUMMYFUNCTION("""COMPUTED_VALUE"""),139.09)</f>
        <v>139.09</v>
      </c>
      <c r="C1861" s="1">
        <f ca="1">IFERROR(__xludf.DUMMYFUNCTION("""COMPUTED_VALUE"""),140.7)</f>
        <v>140.69999999999999</v>
      </c>
      <c r="D1861" s="1">
        <f ca="1">IFERROR(__xludf.DUMMYFUNCTION("""COMPUTED_VALUE"""),132.61)</f>
        <v>132.61000000000001</v>
      </c>
      <c r="E1861" s="1">
        <f ca="1">IFERROR(__xludf.DUMMYFUNCTION("""COMPUTED_VALUE"""),137.59)</f>
        <v>137.59</v>
      </c>
      <c r="F1861" s="1">
        <f ca="1">IFERROR(__xludf.DUMMYFUNCTION("""COMPUTED_VALUE"""),137426125)</f>
        <v>137426125</v>
      </c>
    </row>
    <row r="1862" spans="1:6" x14ac:dyDescent="0.35">
      <c r="A1862" s="2">
        <f ca="1">IFERROR(__xludf.DUMMYFUNCTION("""COMPUTED_VALUE"""),44704.6666666666)</f>
        <v>44704.666666666599</v>
      </c>
      <c r="B1862" s="1">
        <f ca="1">IFERROR(__xludf.DUMMYFUNCTION("""COMPUTED_VALUE"""),137.79)</f>
        <v>137.79</v>
      </c>
      <c r="C1862" s="1">
        <f ca="1">IFERROR(__xludf.DUMMYFUNCTION("""COMPUTED_VALUE"""),143.26)</f>
        <v>143.26</v>
      </c>
      <c r="D1862" s="1">
        <f ca="1">IFERROR(__xludf.DUMMYFUNCTION("""COMPUTED_VALUE"""),137.65)</f>
        <v>137.65</v>
      </c>
      <c r="E1862" s="1">
        <f ca="1">IFERROR(__xludf.DUMMYFUNCTION("""COMPUTED_VALUE"""),143.11)</f>
        <v>143.11000000000001</v>
      </c>
      <c r="F1862" s="1">
        <f ca="1">IFERROR(__xludf.DUMMYFUNCTION("""COMPUTED_VALUE"""),117726265)</f>
        <v>117726265</v>
      </c>
    </row>
    <row r="1863" spans="1:6" x14ac:dyDescent="0.35">
      <c r="A1863" s="2">
        <f ca="1">IFERROR(__xludf.DUMMYFUNCTION("""COMPUTED_VALUE"""),44705.6666666666)</f>
        <v>44705.666666666599</v>
      </c>
      <c r="B1863" s="1">
        <f ca="1">IFERROR(__xludf.DUMMYFUNCTION("""COMPUTED_VALUE"""),140.81)</f>
        <v>140.81</v>
      </c>
      <c r="C1863" s="1">
        <f ca="1">IFERROR(__xludf.DUMMYFUNCTION("""COMPUTED_VALUE"""),141.97)</f>
        <v>141.97</v>
      </c>
      <c r="D1863" s="1">
        <f ca="1">IFERROR(__xludf.DUMMYFUNCTION("""COMPUTED_VALUE"""),137.33)</f>
        <v>137.33000000000001</v>
      </c>
      <c r="E1863" s="1">
        <f ca="1">IFERROR(__xludf.DUMMYFUNCTION("""COMPUTED_VALUE"""),140.36)</f>
        <v>140.36000000000001</v>
      </c>
      <c r="F1863" s="1">
        <f ca="1">IFERROR(__xludf.DUMMYFUNCTION("""COMPUTED_VALUE"""),104132746)</f>
        <v>104132746</v>
      </c>
    </row>
    <row r="1864" spans="1:6" x14ac:dyDescent="0.35">
      <c r="A1864" s="2">
        <f ca="1">IFERROR(__xludf.DUMMYFUNCTION("""COMPUTED_VALUE"""),44706.6666666666)</f>
        <v>44706.666666666599</v>
      </c>
      <c r="B1864" s="1">
        <f ca="1">IFERROR(__xludf.DUMMYFUNCTION("""COMPUTED_VALUE"""),138.43)</f>
        <v>138.43</v>
      </c>
      <c r="C1864" s="1">
        <f ca="1">IFERROR(__xludf.DUMMYFUNCTION("""COMPUTED_VALUE"""),141.79)</f>
        <v>141.79</v>
      </c>
      <c r="D1864" s="1">
        <f ca="1">IFERROR(__xludf.DUMMYFUNCTION("""COMPUTED_VALUE"""),138.34)</f>
        <v>138.34</v>
      </c>
      <c r="E1864" s="1">
        <f ca="1">IFERROR(__xludf.DUMMYFUNCTION("""COMPUTED_VALUE"""),140.52)</f>
        <v>140.52000000000001</v>
      </c>
      <c r="F1864" s="1">
        <f ca="1">IFERROR(__xludf.DUMMYFUNCTION("""COMPUTED_VALUE"""),92482696)</f>
        <v>92482696</v>
      </c>
    </row>
    <row r="1865" spans="1:6" x14ac:dyDescent="0.35">
      <c r="A1865" s="2">
        <f ca="1">IFERROR(__xludf.DUMMYFUNCTION("""COMPUTED_VALUE"""),44707.6666666666)</f>
        <v>44707.666666666599</v>
      </c>
      <c r="B1865" s="1">
        <f ca="1">IFERROR(__xludf.DUMMYFUNCTION("""COMPUTED_VALUE"""),137.39)</f>
        <v>137.38999999999999</v>
      </c>
      <c r="C1865" s="1">
        <f ca="1">IFERROR(__xludf.DUMMYFUNCTION("""COMPUTED_VALUE"""),144.34)</f>
        <v>144.34</v>
      </c>
      <c r="D1865" s="1">
        <f ca="1">IFERROR(__xludf.DUMMYFUNCTION("""COMPUTED_VALUE"""),137.14)</f>
        <v>137.13999999999999</v>
      </c>
      <c r="E1865" s="1">
        <f ca="1">IFERROR(__xludf.DUMMYFUNCTION("""COMPUTED_VALUE"""),143.78)</f>
        <v>143.78</v>
      </c>
      <c r="F1865" s="1">
        <f ca="1">IFERROR(__xludf.DUMMYFUNCTION("""COMPUTED_VALUE"""),90601548)</f>
        <v>90601548</v>
      </c>
    </row>
    <row r="1866" spans="1:6" x14ac:dyDescent="0.35">
      <c r="A1866" s="2">
        <f ca="1">IFERROR(__xludf.DUMMYFUNCTION("""COMPUTED_VALUE"""),44708.6666666666)</f>
        <v>44708.666666666599</v>
      </c>
      <c r="B1866" s="1">
        <f ca="1">IFERROR(__xludf.DUMMYFUNCTION("""COMPUTED_VALUE"""),145.39)</f>
        <v>145.38999999999999</v>
      </c>
      <c r="C1866" s="1">
        <f ca="1">IFERROR(__xludf.DUMMYFUNCTION("""COMPUTED_VALUE"""),149.68)</f>
        <v>149.68</v>
      </c>
      <c r="D1866" s="1">
        <f ca="1">IFERROR(__xludf.DUMMYFUNCTION("""COMPUTED_VALUE"""),145.26)</f>
        <v>145.26</v>
      </c>
      <c r="E1866" s="1">
        <f ca="1">IFERROR(__xludf.DUMMYFUNCTION("""COMPUTED_VALUE"""),149.64)</f>
        <v>149.63999999999999</v>
      </c>
      <c r="F1866" s="1">
        <f ca="1">IFERROR(__xludf.DUMMYFUNCTION("""COMPUTED_VALUE"""),90978503)</f>
        <v>90978503</v>
      </c>
    </row>
    <row r="1867" spans="1:6" x14ac:dyDescent="0.35">
      <c r="A1867" s="2">
        <f ca="1">IFERROR(__xludf.DUMMYFUNCTION("""COMPUTED_VALUE"""),44712.6666666666)</f>
        <v>44712.666666666599</v>
      </c>
      <c r="B1867" s="1">
        <f ca="1">IFERROR(__xludf.DUMMYFUNCTION("""COMPUTED_VALUE"""),149.07)</f>
        <v>149.07</v>
      </c>
      <c r="C1867" s="1">
        <f ca="1">IFERROR(__xludf.DUMMYFUNCTION("""COMPUTED_VALUE"""),150.66)</f>
        <v>150.66</v>
      </c>
      <c r="D1867" s="1">
        <f ca="1">IFERROR(__xludf.DUMMYFUNCTION("""COMPUTED_VALUE"""),146.84)</f>
        <v>146.84</v>
      </c>
      <c r="E1867" s="1">
        <f ca="1">IFERROR(__xludf.DUMMYFUNCTION("""COMPUTED_VALUE"""),148.84)</f>
        <v>148.84</v>
      </c>
      <c r="F1867" s="1">
        <f ca="1">IFERROR(__xludf.DUMMYFUNCTION("""COMPUTED_VALUE"""),103718416)</f>
        <v>103718416</v>
      </c>
    </row>
    <row r="1868" spans="1:6" x14ac:dyDescent="0.35">
      <c r="A1868" s="2">
        <f ca="1">IFERROR(__xludf.DUMMYFUNCTION("""COMPUTED_VALUE"""),44713.6666666666)</f>
        <v>44713.666666666599</v>
      </c>
      <c r="B1868" s="1">
        <f ca="1">IFERROR(__xludf.DUMMYFUNCTION("""COMPUTED_VALUE"""),149.9)</f>
        <v>149.9</v>
      </c>
      <c r="C1868" s="1">
        <f ca="1">IFERROR(__xludf.DUMMYFUNCTION("""COMPUTED_VALUE"""),151.74)</f>
        <v>151.74</v>
      </c>
      <c r="D1868" s="1">
        <f ca="1">IFERROR(__xludf.DUMMYFUNCTION("""COMPUTED_VALUE"""),147.68)</f>
        <v>147.68</v>
      </c>
      <c r="E1868" s="1">
        <f ca="1">IFERROR(__xludf.DUMMYFUNCTION("""COMPUTED_VALUE"""),148.71)</f>
        <v>148.71</v>
      </c>
      <c r="F1868" s="1">
        <f ca="1">IFERROR(__xludf.DUMMYFUNCTION("""COMPUTED_VALUE"""),74286635)</f>
        <v>74286635</v>
      </c>
    </row>
    <row r="1869" spans="1:6" x14ac:dyDescent="0.35">
      <c r="A1869" s="2">
        <f ca="1">IFERROR(__xludf.DUMMYFUNCTION("""COMPUTED_VALUE"""),44714.6666666666)</f>
        <v>44714.666666666599</v>
      </c>
      <c r="B1869" s="1">
        <f ca="1">IFERROR(__xludf.DUMMYFUNCTION("""COMPUTED_VALUE"""),147.83)</f>
        <v>147.83000000000001</v>
      </c>
      <c r="C1869" s="1">
        <f ca="1">IFERROR(__xludf.DUMMYFUNCTION("""COMPUTED_VALUE"""),151.27)</f>
        <v>151.27000000000001</v>
      </c>
      <c r="D1869" s="1">
        <f ca="1">IFERROR(__xludf.DUMMYFUNCTION("""COMPUTED_VALUE"""),146.86)</f>
        <v>146.86000000000001</v>
      </c>
      <c r="E1869" s="1">
        <f ca="1">IFERROR(__xludf.DUMMYFUNCTION("""COMPUTED_VALUE"""),151.21)</f>
        <v>151.21</v>
      </c>
      <c r="F1869" s="1">
        <f ca="1">IFERROR(__xludf.DUMMYFUNCTION("""COMPUTED_VALUE"""),72348055)</f>
        <v>72348055</v>
      </c>
    </row>
    <row r="1870" spans="1:6" x14ac:dyDescent="0.35">
      <c r="A1870" s="2">
        <f ca="1">IFERROR(__xludf.DUMMYFUNCTION("""COMPUTED_VALUE"""),44715.6666666666)</f>
        <v>44715.666666666599</v>
      </c>
      <c r="B1870" s="1">
        <f ca="1">IFERROR(__xludf.DUMMYFUNCTION("""COMPUTED_VALUE"""),146.9)</f>
        <v>146.9</v>
      </c>
      <c r="C1870" s="1">
        <f ca="1">IFERROR(__xludf.DUMMYFUNCTION("""COMPUTED_VALUE"""),147.97)</f>
        <v>147.97</v>
      </c>
      <c r="D1870" s="1">
        <f ca="1">IFERROR(__xludf.DUMMYFUNCTION("""COMPUTED_VALUE"""),144.46)</f>
        <v>144.46</v>
      </c>
      <c r="E1870" s="1">
        <f ca="1">IFERROR(__xludf.DUMMYFUNCTION("""COMPUTED_VALUE"""),145.38)</f>
        <v>145.38</v>
      </c>
      <c r="F1870" s="1">
        <f ca="1">IFERROR(__xludf.DUMMYFUNCTION("""COMPUTED_VALUE"""),88570289)</f>
        <v>88570289</v>
      </c>
    </row>
    <row r="1871" spans="1:6" x14ac:dyDescent="0.35">
      <c r="A1871" s="2">
        <f ca="1">IFERROR(__xludf.DUMMYFUNCTION("""COMPUTED_VALUE"""),44718.6666666666)</f>
        <v>44718.666666666599</v>
      </c>
      <c r="B1871" s="1">
        <f ca="1">IFERROR(__xludf.DUMMYFUNCTION("""COMPUTED_VALUE"""),147.03)</f>
        <v>147.03</v>
      </c>
      <c r="C1871" s="1">
        <f ca="1">IFERROR(__xludf.DUMMYFUNCTION("""COMPUTED_VALUE"""),148.57)</f>
        <v>148.57</v>
      </c>
      <c r="D1871" s="1">
        <f ca="1">IFERROR(__xludf.DUMMYFUNCTION("""COMPUTED_VALUE"""),144.9)</f>
        <v>144.9</v>
      </c>
      <c r="E1871" s="1">
        <f ca="1">IFERROR(__xludf.DUMMYFUNCTION("""COMPUTED_VALUE"""),146.14)</f>
        <v>146.13999999999999</v>
      </c>
      <c r="F1871" s="1">
        <f ca="1">IFERROR(__xludf.DUMMYFUNCTION("""COMPUTED_VALUE"""),71598380)</f>
        <v>71598380</v>
      </c>
    </row>
    <row r="1872" spans="1:6" x14ac:dyDescent="0.35">
      <c r="A1872" s="2">
        <f ca="1">IFERROR(__xludf.DUMMYFUNCTION("""COMPUTED_VALUE"""),44719.6666666666)</f>
        <v>44719.666666666599</v>
      </c>
      <c r="B1872" s="1">
        <f ca="1">IFERROR(__xludf.DUMMYFUNCTION("""COMPUTED_VALUE"""),144.35)</f>
        <v>144.35</v>
      </c>
      <c r="C1872" s="1">
        <f ca="1">IFERROR(__xludf.DUMMYFUNCTION("""COMPUTED_VALUE"""),149)</f>
        <v>149</v>
      </c>
      <c r="D1872" s="1">
        <f ca="1">IFERROR(__xludf.DUMMYFUNCTION("""COMPUTED_VALUE"""),144.1)</f>
        <v>144.1</v>
      </c>
      <c r="E1872" s="1">
        <f ca="1">IFERROR(__xludf.DUMMYFUNCTION("""COMPUTED_VALUE"""),148.71)</f>
        <v>148.71</v>
      </c>
      <c r="F1872" s="1">
        <f ca="1">IFERROR(__xludf.DUMMYFUNCTION("""COMPUTED_VALUE"""),67808150)</f>
        <v>67808150</v>
      </c>
    </row>
    <row r="1873" spans="1:6" x14ac:dyDescent="0.35">
      <c r="A1873" s="2">
        <f ca="1">IFERROR(__xludf.DUMMYFUNCTION("""COMPUTED_VALUE"""),44720.6666666666)</f>
        <v>44720.666666666599</v>
      </c>
      <c r="B1873" s="1">
        <f ca="1">IFERROR(__xludf.DUMMYFUNCTION("""COMPUTED_VALUE"""),148.58)</f>
        <v>148.58000000000001</v>
      </c>
      <c r="C1873" s="1">
        <f ca="1">IFERROR(__xludf.DUMMYFUNCTION("""COMPUTED_VALUE"""),149.87)</f>
        <v>149.87</v>
      </c>
      <c r="D1873" s="1">
        <f ca="1">IFERROR(__xludf.DUMMYFUNCTION("""COMPUTED_VALUE"""),147.46)</f>
        <v>147.46</v>
      </c>
      <c r="E1873" s="1">
        <f ca="1">IFERROR(__xludf.DUMMYFUNCTION("""COMPUTED_VALUE"""),147.96)</f>
        <v>147.96</v>
      </c>
      <c r="F1873" s="1">
        <f ca="1">IFERROR(__xludf.DUMMYFUNCTION("""COMPUTED_VALUE"""),53950201)</f>
        <v>53950201</v>
      </c>
    </row>
    <row r="1874" spans="1:6" x14ac:dyDescent="0.35">
      <c r="A1874" s="2">
        <f ca="1">IFERROR(__xludf.DUMMYFUNCTION("""COMPUTED_VALUE"""),44721.6666666666)</f>
        <v>44721.666666666599</v>
      </c>
      <c r="B1874" s="1">
        <f ca="1">IFERROR(__xludf.DUMMYFUNCTION("""COMPUTED_VALUE"""),147.08)</f>
        <v>147.08000000000001</v>
      </c>
      <c r="C1874" s="1">
        <f ca="1">IFERROR(__xludf.DUMMYFUNCTION("""COMPUTED_VALUE"""),147.95)</f>
        <v>147.94999999999999</v>
      </c>
      <c r="D1874" s="1">
        <f ca="1">IFERROR(__xludf.DUMMYFUNCTION("""COMPUTED_VALUE"""),142.53)</f>
        <v>142.53</v>
      </c>
      <c r="E1874" s="1">
        <f ca="1">IFERROR(__xludf.DUMMYFUNCTION("""COMPUTED_VALUE"""),142.64)</f>
        <v>142.63999999999999</v>
      </c>
      <c r="F1874" s="1">
        <f ca="1">IFERROR(__xludf.DUMMYFUNCTION("""COMPUTED_VALUE"""),69472976)</f>
        <v>69472976</v>
      </c>
    </row>
    <row r="1875" spans="1:6" x14ac:dyDescent="0.35">
      <c r="A1875" s="2">
        <f ca="1">IFERROR(__xludf.DUMMYFUNCTION("""COMPUTED_VALUE"""),44722.6666666666)</f>
        <v>44722.666666666599</v>
      </c>
      <c r="B1875" s="1">
        <f ca="1">IFERROR(__xludf.DUMMYFUNCTION("""COMPUTED_VALUE"""),140.28)</f>
        <v>140.28</v>
      </c>
      <c r="C1875" s="1">
        <f ca="1">IFERROR(__xludf.DUMMYFUNCTION("""COMPUTED_VALUE"""),140.76)</f>
        <v>140.76</v>
      </c>
      <c r="D1875" s="1">
        <f ca="1">IFERROR(__xludf.DUMMYFUNCTION("""COMPUTED_VALUE"""),137.06)</f>
        <v>137.06</v>
      </c>
      <c r="E1875" s="1">
        <f ca="1">IFERROR(__xludf.DUMMYFUNCTION("""COMPUTED_VALUE"""),137.13)</f>
        <v>137.13</v>
      </c>
      <c r="F1875" s="1">
        <f ca="1">IFERROR(__xludf.DUMMYFUNCTION("""COMPUTED_VALUE"""),91566637)</f>
        <v>91566637</v>
      </c>
    </row>
    <row r="1876" spans="1:6" x14ac:dyDescent="0.35">
      <c r="A1876" s="2">
        <f ca="1">IFERROR(__xludf.DUMMYFUNCTION("""COMPUTED_VALUE"""),44725.6666666666)</f>
        <v>44725.666666666599</v>
      </c>
      <c r="B1876" s="1">
        <f ca="1">IFERROR(__xludf.DUMMYFUNCTION("""COMPUTED_VALUE"""),132.87)</f>
        <v>132.87</v>
      </c>
      <c r="C1876" s="1">
        <f ca="1">IFERROR(__xludf.DUMMYFUNCTION("""COMPUTED_VALUE"""),135.2)</f>
        <v>135.19999999999999</v>
      </c>
      <c r="D1876" s="1">
        <f ca="1">IFERROR(__xludf.DUMMYFUNCTION("""COMPUTED_VALUE"""),131.44)</f>
        <v>131.44</v>
      </c>
      <c r="E1876" s="1">
        <f ca="1">IFERROR(__xludf.DUMMYFUNCTION("""COMPUTED_VALUE"""),131.88)</f>
        <v>131.88</v>
      </c>
      <c r="F1876" s="1">
        <f ca="1">IFERROR(__xludf.DUMMYFUNCTION("""COMPUTED_VALUE"""),122207099)</f>
        <v>122207099</v>
      </c>
    </row>
    <row r="1877" spans="1:6" x14ac:dyDescent="0.35">
      <c r="A1877" s="2">
        <f ca="1">IFERROR(__xludf.DUMMYFUNCTION("""COMPUTED_VALUE"""),44726.6666666666)</f>
        <v>44726.666666666599</v>
      </c>
      <c r="B1877" s="1">
        <f ca="1">IFERROR(__xludf.DUMMYFUNCTION("""COMPUTED_VALUE"""),133.13)</f>
        <v>133.13</v>
      </c>
      <c r="C1877" s="1">
        <f ca="1">IFERROR(__xludf.DUMMYFUNCTION("""COMPUTED_VALUE"""),133.89)</f>
        <v>133.88999999999999</v>
      </c>
      <c r="D1877" s="1">
        <f ca="1">IFERROR(__xludf.DUMMYFUNCTION("""COMPUTED_VALUE"""),131.48)</f>
        <v>131.47999999999999</v>
      </c>
      <c r="E1877" s="1">
        <f ca="1">IFERROR(__xludf.DUMMYFUNCTION("""COMPUTED_VALUE"""),132.76)</f>
        <v>132.76</v>
      </c>
      <c r="F1877" s="1">
        <f ca="1">IFERROR(__xludf.DUMMYFUNCTION("""COMPUTED_VALUE"""),84784326)</f>
        <v>84784326</v>
      </c>
    </row>
    <row r="1878" spans="1:6" x14ac:dyDescent="0.35">
      <c r="A1878" s="2">
        <f ca="1">IFERROR(__xludf.DUMMYFUNCTION("""COMPUTED_VALUE"""),44727.6666666666)</f>
        <v>44727.666666666599</v>
      </c>
      <c r="B1878" s="1">
        <f ca="1">IFERROR(__xludf.DUMMYFUNCTION("""COMPUTED_VALUE"""),134.29)</f>
        <v>134.29</v>
      </c>
      <c r="C1878" s="1">
        <f ca="1">IFERROR(__xludf.DUMMYFUNCTION("""COMPUTED_VALUE"""),137.34)</f>
        <v>137.34</v>
      </c>
      <c r="D1878" s="1">
        <f ca="1">IFERROR(__xludf.DUMMYFUNCTION("""COMPUTED_VALUE"""),132.16)</f>
        <v>132.16</v>
      </c>
      <c r="E1878" s="1">
        <f ca="1">IFERROR(__xludf.DUMMYFUNCTION("""COMPUTED_VALUE"""),135.43)</f>
        <v>135.43</v>
      </c>
      <c r="F1878" s="1">
        <f ca="1">IFERROR(__xludf.DUMMYFUNCTION("""COMPUTED_VALUE"""),91532972)</f>
        <v>91532972</v>
      </c>
    </row>
    <row r="1879" spans="1:6" x14ac:dyDescent="0.35">
      <c r="A1879" s="2">
        <f ca="1">IFERROR(__xludf.DUMMYFUNCTION("""COMPUTED_VALUE"""),44728.6666666666)</f>
        <v>44728.666666666599</v>
      </c>
      <c r="B1879" s="1">
        <f ca="1">IFERROR(__xludf.DUMMYFUNCTION("""COMPUTED_VALUE"""),132.08)</f>
        <v>132.08000000000001</v>
      </c>
      <c r="C1879" s="1">
        <f ca="1">IFERROR(__xludf.DUMMYFUNCTION("""COMPUTED_VALUE"""),132.39)</f>
        <v>132.38999999999999</v>
      </c>
      <c r="D1879" s="1">
        <f ca="1">IFERROR(__xludf.DUMMYFUNCTION("""COMPUTED_VALUE"""),129.04)</f>
        <v>129.04</v>
      </c>
      <c r="E1879" s="1">
        <f ca="1">IFERROR(__xludf.DUMMYFUNCTION("""COMPUTED_VALUE"""),130.06)</f>
        <v>130.06</v>
      </c>
      <c r="F1879" s="1">
        <f ca="1">IFERROR(__xludf.DUMMYFUNCTION("""COMPUTED_VALUE"""),107961508)</f>
        <v>107961508</v>
      </c>
    </row>
    <row r="1880" spans="1:6" x14ac:dyDescent="0.35">
      <c r="A1880" s="2">
        <f ca="1">IFERROR(__xludf.DUMMYFUNCTION("""COMPUTED_VALUE"""),44729.6666666666)</f>
        <v>44729.666666666599</v>
      </c>
      <c r="B1880" s="1">
        <f ca="1">IFERROR(__xludf.DUMMYFUNCTION("""COMPUTED_VALUE"""),130.07)</f>
        <v>130.07</v>
      </c>
      <c r="C1880" s="1">
        <f ca="1">IFERROR(__xludf.DUMMYFUNCTION("""COMPUTED_VALUE"""),133.08)</f>
        <v>133.08000000000001</v>
      </c>
      <c r="D1880" s="1">
        <f ca="1">IFERROR(__xludf.DUMMYFUNCTION("""COMPUTED_VALUE"""),129.81)</f>
        <v>129.81</v>
      </c>
      <c r="E1880" s="1">
        <f ca="1">IFERROR(__xludf.DUMMYFUNCTION("""COMPUTED_VALUE"""),131.56)</f>
        <v>131.56</v>
      </c>
      <c r="F1880" s="1">
        <f ca="1">IFERROR(__xludf.DUMMYFUNCTION("""COMPUTED_VALUE"""),134520290)</f>
        <v>134520290</v>
      </c>
    </row>
    <row r="1881" spans="1:6" x14ac:dyDescent="0.35">
      <c r="A1881" s="2">
        <f ca="1">IFERROR(__xludf.DUMMYFUNCTION("""COMPUTED_VALUE"""),44733.6666666666)</f>
        <v>44733.666666666599</v>
      </c>
      <c r="B1881" s="1">
        <f ca="1">IFERROR(__xludf.DUMMYFUNCTION("""COMPUTED_VALUE"""),133.42)</f>
        <v>133.41999999999999</v>
      </c>
      <c r="C1881" s="1">
        <f ca="1">IFERROR(__xludf.DUMMYFUNCTION("""COMPUTED_VALUE"""),137.06)</f>
        <v>137.06</v>
      </c>
      <c r="D1881" s="1">
        <f ca="1">IFERROR(__xludf.DUMMYFUNCTION("""COMPUTED_VALUE"""),133.32)</f>
        <v>133.32</v>
      </c>
      <c r="E1881" s="1">
        <f ca="1">IFERROR(__xludf.DUMMYFUNCTION("""COMPUTED_VALUE"""),135.87)</f>
        <v>135.87</v>
      </c>
      <c r="F1881" s="1">
        <f ca="1">IFERROR(__xludf.DUMMYFUNCTION("""COMPUTED_VALUE"""),81000488)</f>
        <v>81000488</v>
      </c>
    </row>
    <row r="1882" spans="1:6" x14ac:dyDescent="0.35">
      <c r="A1882" s="2">
        <f ca="1">IFERROR(__xludf.DUMMYFUNCTION("""COMPUTED_VALUE"""),44734.6666666666)</f>
        <v>44734.666666666599</v>
      </c>
      <c r="B1882" s="1">
        <f ca="1">IFERROR(__xludf.DUMMYFUNCTION("""COMPUTED_VALUE"""),134.79)</f>
        <v>134.79</v>
      </c>
      <c r="C1882" s="1">
        <f ca="1">IFERROR(__xludf.DUMMYFUNCTION("""COMPUTED_VALUE"""),137.76)</f>
        <v>137.76</v>
      </c>
      <c r="D1882" s="1">
        <f ca="1">IFERROR(__xludf.DUMMYFUNCTION("""COMPUTED_VALUE"""),133.91)</f>
        <v>133.91</v>
      </c>
      <c r="E1882" s="1">
        <f ca="1">IFERROR(__xludf.DUMMYFUNCTION("""COMPUTED_VALUE"""),135.35)</f>
        <v>135.35</v>
      </c>
      <c r="F1882" s="1">
        <f ca="1">IFERROR(__xludf.DUMMYFUNCTION("""COMPUTED_VALUE"""),73409234)</f>
        <v>73409234</v>
      </c>
    </row>
    <row r="1883" spans="1:6" x14ac:dyDescent="0.35">
      <c r="A1883" s="2">
        <f ca="1">IFERROR(__xludf.DUMMYFUNCTION("""COMPUTED_VALUE"""),44735.6666666666)</f>
        <v>44735.666666666599</v>
      </c>
      <c r="B1883" s="1">
        <f ca="1">IFERROR(__xludf.DUMMYFUNCTION("""COMPUTED_VALUE"""),136.82)</f>
        <v>136.82</v>
      </c>
      <c r="C1883" s="1">
        <f ca="1">IFERROR(__xludf.DUMMYFUNCTION("""COMPUTED_VALUE"""),138.59)</f>
        <v>138.59</v>
      </c>
      <c r="D1883" s="1">
        <f ca="1">IFERROR(__xludf.DUMMYFUNCTION("""COMPUTED_VALUE"""),135.63)</f>
        <v>135.63</v>
      </c>
      <c r="E1883" s="1">
        <f ca="1">IFERROR(__xludf.DUMMYFUNCTION("""COMPUTED_VALUE"""),138.27)</f>
        <v>138.27000000000001</v>
      </c>
      <c r="F1883" s="1">
        <f ca="1">IFERROR(__xludf.DUMMYFUNCTION("""COMPUTED_VALUE"""),72433768)</f>
        <v>72433768</v>
      </c>
    </row>
    <row r="1884" spans="1:6" x14ac:dyDescent="0.35">
      <c r="A1884" s="2">
        <f ca="1">IFERROR(__xludf.DUMMYFUNCTION("""COMPUTED_VALUE"""),44736.6666666666)</f>
        <v>44736.666666666599</v>
      </c>
      <c r="B1884" s="1">
        <f ca="1">IFERROR(__xludf.DUMMYFUNCTION("""COMPUTED_VALUE"""),139.9)</f>
        <v>139.9</v>
      </c>
      <c r="C1884" s="1">
        <f ca="1">IFERROR(__xludf.DUMMYFUNCTION("""COMPUTED_VALUE"""),141.91)</f>
        <v>141.91</v>
      </c>
      <c r="D1884" s="1">
        <f ca="1">IFERROR(__xludf.DUMMYFUNCTION("""COMPUTED_VALUE"""),139.77)</f>
        <v>139.77000000000001</v>
      </c>
      <c r="E1884" s="1">
        <f ca="1">IFERROR(__xludf.DUMMYFUNCTION("""COMPUTED_VALUE"""),141.66)</f>
        <v>141.66</v>
      </c>
      <c r="F1884" s="1">
        <f ca="1">IFERROR(__xludf.DUMMYFUNCTION("""COMPUTED_VALUE"""),89116837)</f>
        <v>89116837</v>
      </c>
    </row>
    <row r="1885" spans="1:6" x14ac:dyDescent="0.35">
      <c r="A1885" s="2">
        <f ca="1">IFERROR(__xludf.DUMMYFUNCTION("""COMPUTED_VALUE"""),44739.6666666666)</f>
        <v>44739.666666666599</v>
      </c>
      <c r="B1885" s="1">
        <f ca="1">IFERROR(__xludf.DUMMYFUNCTION("""COMPUTED_VALUE"""),142.7)</f>
        <v>142.69999999999999</v>
      </c>
      <c r="C1885" s="1">
        <f ca="1">IFERROR(__xludf.DUMMYFUNCTION("""COMPUTED_VALUE"""),143.49)</f>
        <v>143.49</v>
      </c>
      <c r="D1885" s="1">
        <f ca="1">IFERROR(__xludf.DUMMYFUNCTION("""COMPUTED_VALUE"""),140.97)</f>
        <v>140.97</v>
      </c>
      <c r="E1885" s="1">
        <f ca="1">IFERROR(__xludf.DUMMYFUNCTION("""COMPUTED_VALUE"""),141.66)</f>
        <v>141.66</v>
      </c>
      <c r="F1885" s="1">
        <f ca="1">IFERROR(__xludf.DUMMYFUNCTION("""COMPUTED_VALUE"""),70207908)</f>
        <v>70207908</v>
      </c>
    </row>
    <row r="1886" spans="1:6" x14ac:dyDescent="0.35">
      <c r="A1886" s="2">
        <f ca="1">IFERROR(__xludf.DUMMYFUNCTION("""COMPUTED_VALUE"""),44740.6666666666)</f>
        <v>44740.666666666599</v>
      </c>
      <c r="B1886" s="1">
        <f ca="1">IFERROR(__xludf.DUMMYFUNCTION("""COMPUTED_VALUE"""),142.13)</f>
        <v>142.13</v>
      </c>
      <c r="C1886" s="1">
        <f ca="1">IFERROR(__xludf.DUMMYFUNCTION("""COMPUTED_VALUE"""),143.42)</f>
        <v>143.41999999999999</v>
      </c>
      <c r="D1886" s="1">
        <f ca="1">IFERROR(__xludf.DUMMYFUNCTION("""COMPUTED_VALUE"""),137.32)</f>
        <v>137.32</v>
      </c>
      <c r="E1886" s="1">
        <f ca="1">IFERROR(__xludf.DUMMYFUNCTION("""COMPUTED_VALUE"""),137.44)</f>
        <v>137.44</v>
      </c>
      <c r="F1886" s="1">
        <f ca="1">IFERROR(__xludf.DUMMYFUNCTION("""COMPUTED_VALUE"""),67315328)</f>
        <v>67315328</v>
      </c>
    </row>
    <row r="1887" spans="1:6" x14ac:dyDescent="0.35">
      <c r="A1887" s="2">
        <f ca="1">IFERROR(__xludf.DUMMYFUNCTION("""COMPUTED_VALUE"""),44741.6666666666)</f>
        <v>44741.666666666599</v>
      </c>
      <c r="B1887" s="1">
        <f ca="1">IFERROR(__xludf.DUMMYFUNCTION("""COMPUTED_VALUE"""),137.46)</f>
        <v>137.46</v>
      </c>
      <c r="C1887" s="1">
        <f ca="1">IFERROR(__xludf.DUMMYFUNCTION("""COMPUTED_VALUE"""),140.67)</f>
        <v>140.66999999999999</v>
      </c>
      <c r="D1887" s="1">
        <f ca="1">IFERROR(__xludf.DUMMYFUNCTION("""COMPUTED_VALUE"""),136.67)</f>
        <v>136.66999999999999</v>
      </c>
      <c r="E1887" s="1">
        <f ca="1">IFERROR(__xludf.DUMMYFUNCTION("""COMPUTED_VALUE"""),139.23)</f>
        <v>139.22999999999999</v>
      </c>
      <c r="F1887" s="1">
        <f ca="1">IFERROR(__xludf.DUMMYFUNCTION("""COMPUTED_VALUE"""),66242411)</f>
        <v>66242411</v>
      </c>
    </row>
    <row r="1888" spans="1:6" x14ac:dyDescent="0.35">
      <c r="A1888" s="2">
        <f ca="1">IFERROR(__xludf.DUMMYFUNCTION("""COMPUTED_VALUE"""),44742.6666666666)</f>
        <v>44742.666666666599</v>
      </c>
      <c r="B1888" s="1">
        <f ca="1">IFERROR(__xludf.DUMMYFUNCTION("""COMPUTED_VALUE"""),137.25)</f>
        <v>137.25</v>
      </c>
      <c r="C1888" s="1">
        <f ca="1">IFERROR(__xludf.DUMMYFUNCTION("""COMPUTED_VALUE"""),138.37)</f>
        <v>138.37</v>
      </c>
      <c r="D1888" s="1">
        <f ca="1">IFERROR(__xludf.DUMMYFUNCTION("""COMPUTED_VALUE"""),133.77)</f>
        <v>133.77000000000001</v>
      </c>
      <c r="E1888" s="1">
        <f ca="1">IFERROR(__xludf.DUMMYFUNCTION("""COMPUTED_VALUE"""),136.72)</f>
        <v>136.72</v>
      </c>
      <c r="F1888" s="1">
        <f ca="1">IFERROR(__xludf.DUMMYFUNCTION("""COMPUTED_VALUE"""),98964467)</f>
        <v>98964467</v>
      </c>
    </row>
    <row r="1889" spans="1:6" x14ac:dyDescent="0.35">
      <c r="A1889" s="2">
        <f ca="1">IFERROR(__xludf.DUMMYFUNCTION("""COMPUTED_VALUE"""),44743.6666666666)</f>
        <v>44743.666666666599</v>
      </c>
      <c r="B1889" s="1">
        <f ca="1">IFERROR(__xludf.DUMMYFUNCTION("""COMPUTED_VALUE"""),136.04)</f>
        <v>136.04</v>
      </c>
      <c r="C1889" s="1">
        <f ca="1">IFERROR(__xludf.DUMMYFUNCTION("""COMPUTED_VALUE"""),139.04)</f>
        <v>139.04</v>
      </c>
      <c r="D1889" s="1">
        <f ca="1">IFERROR(__xludf.DUMMYFUNCTION("""COMPUTED_VALUE"""),135.66)</f>
        <v>135.66</v>
      </c>
      <c r="E1889" s="1">
        <f ca="1">IFERROR(__xludf.DUMMYFUNCTION("""COMPUTED_VALUE"""),138.93)</f>
        <v>138.93</v>
      </c>
      <c r="F1889" s="1">
        <f ca="1">IFERROR(__xludf.DUMMYFUNCTION("""COMPUTED_VALUE"""),71051552)</f>
        <v>71051552</v>
      </c>
    </row>
    <row r="1890" spans="1:6" x14ac:dyDescent="0.35">
      <c r="A1890" s="2">
        <f ca="1">IFERROR(__xludf.DUMMYFUNCTION("""COMPUTED_VALUE"""),44747.6666666666)</f>
        <v>44747.666666666599</v>
      </c>
      <c r="B1890" s="1">
        <f ca="1">IFERROR(__xludf.DUMMYFUNCTION("""COMPUTED_VALUE"""),137.77)</f>
        <v>137.77000000000001</v>
      </c>
      <c r="C1890" s="1">
        <f ca="1">IFERROR(__xludf.DUMMYFUNCTION("""COMPUTED_VALUE"""),141.61)</f>
        <v>141.61000000000001</v>
      </c>
      <c r="D1890" s="1">
        <f ca="1">IFERROR(__xludf.DUMMYFUNCTION("""COMPUTED_VALUE"""),136.93)</f>
        <v>136.93</v>
      </c>
      <c r="E1890" s="1">
        <f ca="1">IFERROR(__xludf.DUMMYFUNCTION("""COMPUTED_VALUE"""),141.56)</f>
        <v>141.56</v>
      </c>
      <c r="F1890" s="1">
        <f ca="1">IFERROR(__xludf.DUMMYFUNCTION("""COMPUTED_VALUE"""),73429641)</f>
        <v>73429641</v>
      </c>
    </row>
    <row r="1891" spans="1:6" x14ac:dyDescent="0.35">
      <c r="A1891" s="2">
        <f ca="1">IFERROR(__xludf.DUMMYFUNCTION("""COMPUTED_VALUE"""),44748.6666666666)</f>
        <v>44748.666666666599</v>
      </c>
      <c r="B1891" s="1">
        <f ca="1">IFERROR(__xludf.DUMMYFUNCTION("""COMPUTED_VALUE"""),141.35)</f>
        <v>141.35</v>
      </c>
      <c r="C1891" s="1">
        <f ca="1">IFERROR(__xludf.DUMMYFUNCTION("""COMPUTED_VALUE"""),144.12)</f>
        <v>144.12</v>
      </c>
      <c r="D1891" s="1">
        <f ca="1">IFERROR(__xludf.DUMMYFUNCTION("""COMPUTED_VALUE"""),141.08)</f>
        <v>141.08000000000001</v>
      </c>
      <c r="E1891" s="1">
        <f ca="1">IFERROR(__xludf.DUMMYFUNCTION("""COMPUTED_VALUE"""),142.92)</f>
        <v>142.91999999999999</v>
      </c>
      <c r="F1891" s="1">
        <f ca="1">IFERROR(__xludf.DUMMYFUNCTION("""COMPUTED_VALUE"""),74064254)</f>
        <v>74064254</v>
      </c>
    </row>
    <row r="1892" spans="1:6" x14ac:dyDescent="0.35">
      <c r="A1892" s="2">
        <f ca="1">IFERROR(__xludf.DUMMYFUNCTION("""COMPUTED_VALUE"""),44749.6666666666)</f>
        <v>44749.666666666599</v>
      </c>
      <c r="B1892" s="1">
        <f ca="1">IFERROR(__xludf.DUMMYFUNCTION("""COMPUTED_VALUE"""),143.29)</f>
        <v>143.29</v>
      </c>
      <c r="C1892" s="1">
        <f ca="1">IFERROR(__xludf.DUMMYFUNCTION("""COMPUTED_VALUE"""),146.55)</f>
        <v>146.55000000000001</v>
      </c>
      <c r="D1892" s="1">
        <f ca="1">IFERROR(__xludf.DUMMYFUNCTION("""COMPUTED_VALUE"""),143.28)</f>
        <v>143.28</v>
      </c>
      <c r="E1892" s="1">
        <f ca="1">IFERROR(__xludf.DUMMYFUNCTION("""COMPUTED_VALUE"""),146.35)</f>
        <v>146.35</v>
      </c>
      <c r="F1892" s="1">
        <f ca="1">IFERROR(__xludf.DUMMYFUNCTION("""COMPUTED_VALUE"""),66253709)</f>
        <v>66253709</v>
      </c>
    </row>
    <row r="1893" spans="1:6" x14ac:dyDescent="0.35">
      <c r="A1893" s="2">
        <f ca="1">IFERROR(__xludf.DUMMYFUNCTION("""COMPUTED_VALUE"""),44750.6666666666)</f>
        <v>44750.666666666599</v>
      </c>
      <c r="B1893" s="1">
        <f ca="1">IFERROR(__xludf.DUMMYFUNCTION("""COMPUTED_VALUE"""),145.26)</f>
        <v>145.26</v>
      </c>
      <c r="C1893" s="1">
        <f ca="1">IFERROR(__xludf.DUMMYFUNCTION("""COMPUTED_VALUE"""),147.55)</f>
        <v>147.55000000000001</v>
      </c>
      <c r="D1893" s="1">
        <f ca="1">IFERROR(__xludf.DUMMYFUNCTION("""COMPUTED_VALUE"""),145)</f>
        <v>145</v>
      </c>
      <c r="E1893" s="1">
        <f ca="1">IFERROR(__xludf.DUMMYFUNCTION("""COMPUTED_VALUE"""),147.04)</f>
        <v>147.04</v>
      </c>
      <c r="F1893" s="1">
        <f ca="1">IFERROR(__xludf.DUMMYFUNCTION("""COMPUTED_VALUE"""),64547798)</f>
        <v>64547798</v>
      </c>
    </row>
    <row r="1894" spans="1:6" x14ac:dyDescent="0.35">
      <c r="A1894" s="2">
        <f ca="1">IFERROR(__xludf.DUMMYFUNCTION("""COMPUTED_VALUE"""),44753.6666666666)</f>
        <v>44753.666666666599</v>
      </c>
      <c r="B1894" s="1">
        <f ca="1">IFERROR(__xludf.DUMMYFUNCTION("""COMPUTED_VALUE"""),145.67)</f>
        <v>145.66999999999999</v>
      </c>
      <c r="C1894" s="1">
        <f ca="1">IFERROR(__xludf.DUMMYFUNCTION("""COMPUTED_VALUE"""),146.64)</f>
        <v>146.63999999999999</v>
      </c>
      <c r="D1894" s="1">
        <f ca="1">IFERROR(__xludf.DUMMYFUNCTION("""COMPUTED_VALUE"""),143.78)</f>
        <v>143.78</v>
      </c>
      <c r="E1894" s="1">
        <f ca="1">IFERROR(__xludf.DUMMYFUNCTION("""COMPUTED_VALUE"""),144.87)</f>
        <v>144.87</v>
      </c>
      <c r="F1894" s="1">
        <f ca="1">IFERROR(__xludf.DUMMYFUNCTION("""COMPUTED_VALUE"""),63305113)</f>
        <v>63305113</v>
      </c>
    </row>
    <row r="1895" spans="1:6" x14ac:dyDescent="0.35">
      <c r="A1895" s="2">
        <f ca="1">IFERROR(__xludf.DUMMYFUNCTION("""COMPUTED_VALUE"""),44754.6666666666)</f>
        <v>44754.666666666599</v>
      </c>
      <c r="B1895" s="1">
        <f ca="1">IFERROR(__xludf.DUMMYFUNCTION("""COMPUTED_VALUE"""),145.76)</f>
        <v>145.76</v>
      </c>
      <c r="C1895" s="1">
        <f ca="1">IFERROR(__xludf.DUMMYFUNCTION("""COMPUTED_VALUE"""),148.45)</f>
        <v>148.44999999999999</v>
      </c>
      <c r="D1895" s="1">
        <f ca="1">IFERROR(__xludf.DUMMYFUNCTION("""COMPUTED_VALUE"""),145.05)</f>
        <v>145.05000000000001</v>
      </c>
      <c r="E1895" s="1">
        <f ca="1">IFERROR(__xludf.DUMMYFUNCTION("""COMPUTED_VALUE"""),145.86)</f>
        <v>145.86000000000001</v>
      </c>
      <c r="F1895" s="1">
        <f ca="1">IFERROR(__xludf.DUMMYFUNCTION("""COMPUTED_VALUE"""),77588759)</f>
        <v>77588759</v>
      </c>
    </row>
    <row r="1896" spans="1:6" x14ac:dyDescent="0.35">
      <c r="A1896" s="2">
        <f ca="1">IFERROR(__xludf.DUMMYFUNCTION("""COMPUTED_VALUE"""),44755.6666666666)</f>
        <v>44755.666666666599</v>
      </c>
      <c r="B1896" s="1">
        <f ca="1">IFERROR(__xludf.DUMMYFUNCTION("""COMPUTED_VALUE"""),142.99)</f>
        <v>142.99</v>
      </c>
      <c r="C1896" s="1">
        <f ca="1">IFERROR(__xludf.DUMMYFUNCTION("""COMPUTED_VALUE"""),146.45)</f>
        <v>146.44999999999999</v>
      </c>
      <c r="D1896" s="1">
        <f ca="1">IFERROR(__xludf.DUMMYFUNCTION("""COMPUTED_VALUE"""),142.12)</f>
        <v>142.12</v>
      </c>
      <c r="E1896" s="1">
        <f ca="1">IFERROR(__xludf.DUMMYFUNCTION("""COMPUTED_VALUE"""),145.49)</f>
        <v>145.49</v>
      </c>
      <c r="F1896" s="1">
        <f ca="1">IFERROR(__xludf.DUMMYFUNCTION("""COMPUTED_VALUE"""),71185560)</f>
        <v>71185560</v>
      </c>
    </row>
    <row r="1897" spans="1:6" x14ac:dyDescent="0.35">
      <c r="A1897" s="2">
        <f ca="1">IFERROR(__xludf.DUMMYFUNCTION("""COMPUTED_VALUE"""),44756.6666666666)</f>
        <v>44756.666666666599</v>
      </c>
      <c r="B1897" s="1">
        <f ca="1">IFERROR(__xludf.DUMMYFUNCTION("""COMPUTED_VALUE"""),144.08)</f>
        <v>144.08000000000001</v>
      </c>
      <c r="C1897" s="1">
        <f ca="1">IFERROR(__xludf.DUMMYFUNCTION("""COMPUTED_VALUE"""),148.95)</f>
        <v>148.94999999999999</v>
      </c>
      <c r="D1897" s="1">
        <f ca="1">IFERROR(__xludf.DUMMYFUNCTION("""COMPUTED_VALUE"""),143.25)</f>
        <v>143.25</v>
      </c>
      <c r="E1897" s="1">
        <f ca="1">IFERROR(__xludf.DUMMYFUNCTION("""COMPUTED_VALUE"""),148.47)</f>
        <v>148.47</v>
      </c>
      <c r="F1897" s="1">
        <f ca="1">IFERROR(__xludf.DUMMYFUNCTION("""COMPUTED_VALUE"""),78140744)</f>
        <v>78140744</v>
      </c>
    </row>
    <row r="1898" spans="1:6" x14ac:dyDescent="0.35">
      <c r="A1898" s="2">
        <f ca="1">IFERROR(__xludf.DUMMYFUNCTION("""COMPUTED_VALUE"""),44757.6666666666)</f>
        <v>44757.666666666599</v>
      </c>
      <c r="B1898" s="1">
        <f ca="1">IFERROR(__xludf.DUMMYFUNCTION("""COMPUTED_VALUE"""),149.78)</f>
        <v>149.78</v>
      </c>
      <c r="C1898" s="1">
        <f ca="1">IFERROR(__xludf.DUMMYFUNCTION("""COMPUTED_VALUE"""),150.86)</f>
        <v>150.86000000000001</v>
      </c>
      <c r="D1898" s="1">
        <f ca="1">IFERROR(__xludf.DUMMYFUNCTION("""COMPUTED_VALUE"""),148.2)</f>
        <v>148.19999999999999</v>
      </c>
      <c r="E1898" s="1">
        <f ca="1">IFERROR(__xludf.DUMMYFUNCTION("""COMPUTED_VALUE"""),150.17)</f>
        <v>150.16999999999999</v>
      </c>
      <c r="F1898" s="1">
        <f ca="1">IFERROR(__xludf.DUMMYFUNCTION("""COMPUTED_VALUE"""),76259931)</f>
        <v>76259931</v>
      </c>
    </row>
    <row r="1899" spans="1:6" x14ac:dyDescent="0.35">
      <c r="A1899" s="2">
        <f ca="1">IFERROR(__xludf.DUMMYFUNCTION("""COMPUTED_VALUE"""),44760.6666666666)</f>
        <v>44760.666666666599</v>
      </c>
      <c r="B1899" s="1">
        <f ca="1">IFERROR(__xludf.DUMMYFUNCTION("""COMPUTED_VALUE"""),150.74)</f>
        <v>150.74</v>
      </c>
      <c r="C1899" s="1">
        <f ca="1">IFERROR(__xludf.DUMMYFUNCTION("""COMPUTED_VALUE"""),151.57)</f>
        <v>151.57</v>
      </c>
      <c r="D1899" s="1">
        <f ca="1">IFERROR(__xludf.DUMMYFUNCTION("""COMPUTED_VALUE"""),146.7)</f>
        <v>146.69999999999999</v>
      </c>
      <c r="E1899" s="1">
        <f ca="1">IFERROR(__xludf.DUMMYFUNCTION("""COMPUTED_VALUE"""),147.07)</f>
        <v>147.07</v>
      </c>
      <c r="F1899" s="1">
        <f ca="1">IFERROR(__xludf.DUMMYFUNCTION("""COMPUTED_VALUE"""),81420868)</f>
        <v>81420868</v>
      </c>
    </row>
    <row r="1900" spans="1:6" x14ac:dyDescent="0.35">
      <c r="A1900" s="2">
        <f ca="1">IFERROR(__xludf.DUMMYFUNCTION("""COMPUTED_VALUE"""),44761.6666666666)</f>
        <v>44761.666666666599</v>
      </c>
      <c r="B1900" s="1">
        <f ca="1">IFERROR(__xludf.DUMMYFUNCTION("""COMPUTED_VALUE"""),147.92)</f>
        <v>147.91999999999999</v>
      </c>
      <c r="C1900" s="1">
        <f ca="1">IFERROR(__xludf.DUMMYFUNCTION("""COMPUTED_VALUE"""),151.23)</f>
        <v>151.22999999999999</v>
      </c>
      <c r="D1900" s="1">
        <f ca="1">IFERROR(__xludf.DUMMYFUNCTION("""COMPUTED_VALUE"""),146.91)</f>
        <v>146.91</v>
      </c>
      <c r="E1900" s="1">
        <f ca="1">IFERROR(__xludf.DUMMYFUNCTION("""COMPUTED_VALUE"""),151)</f>
        <v>151</v>
      </c>
      <c r="F1900" s="1">
        <f ca="1">IFERROR(__xludf.DUMMYFUNCTION("""COMPUTED_VALUE"""),82982367)</f>
        <v>82982367</v>
      </c>
    </row>
    <row r="1901" spans="1:6" x14ac:dyDescent="0.35">
      <c r="A1901" s="2">
        <f ca="1">IFERROR(__xludf.DUMMYFUNCTION("""COMPUTED_VALUE"""),44762.6666666666)</f>
        <v>44762.666666666599</v>
      </c>
      <c r="B1901" s="1">
        <f ca="1">IFERROR(__xludf.DUMMYFUNCTION("""COMPUTED_VALUE"""),151.12)</f>
        <v>151.12</v>
      </c>
      <c r="C1901" s="1">
        <f ca="1">IFERROR(__xludf.DUMMYFUNCTION("""COMPUTED_VALUE"""),153.72)</f>
        <v>153.72</v>
      </c>
      <c r="D1901" s="1">
        <f ca="1">IFERROR(__xludf.DUMMYFUNCTION("""COMPUTED_VALUE"""),150.37)</f>
        <v>150.37</v>
      </c>
      <c r="E1901" s="1">
        <f ca="1">IFERROR(__xludf.DUMMYFUNCTION("""COMPUTED_VALUE"""),153.04)</f>
        <v>153.04</v>
      </c>
      <c r="F1901" s="1">
        <f ca="1">IFERROR(__xludf.DUMMYFUNCTION("""COMPUTED_VALUE"""),64823413)</f>
        <v>64823413</v>
      </c>
    </row>
    <row r="1902" spans="1:6" x14ac:dyDescent="0.35">
      <c r="A1902" s="2">
        <f ca="1">IFERROR(__xludf.DUMMYFUNCTION("""COMPUTED_VALUE"""),44763.6666666666)</f>
        <v>44763.666666666599</v>
      </c>
      <c r="B1902" s="1">
        <f ca="1">IFERROR(__xludf.DUMMYFUNCTION("""COMPUTED_VALUE"""),154.5)</f>
        <v>154.5</v>
      </c>
      <c r="C1902" s="1">
        <f ca="1">IFERROR(__xludf.DUMMYFUNCTION("""COMPUTED_VALUE"""),155.57)</f>
        <v>155.57</v>
      </c>
      <c r="D1902" s="1">
        <f ca="1">IFERROR(__xludf.DUMMYFUNCTION("""COMPUTED_VALUE"""),151.94)</f>
        <v>151.94</v>
      </c>
      <c r="E1902" s="1">
        <f ca="1">IFERROR(__xludf.DUMMYFUNCTION("""COMPUTED_VALUE"""),155.35)</f>
        <v>155.35</v>
      </c>
      <c r="F1902" s="1">
        <f ca="1">IFERROR(__xludf.DUMMYFUNCTION("""COMPUTED_VALUE"""),65086636)</f>
        <v>65086636</v>
      </c>
    </row>
    <row r="1903" spans="1:6" x14ac:dyDescent="0.35">
      <c r="A1903" s="2">
        <f ca="1">IFERROR(__xludf.DUMMYFUNCTION("""COMPUTED_VALUE"""),44764.6666666666)</f>
        <v>44764.666666666599</v>
      </c>
      <c r="B1903" s="1">
        <f ca="1">IFERROR(__xludf.DUMMYFUNCTION("""COMPUTED_VALUE"""),155.39)</f>
        <v>155.38999999999999</v>
      </c>
      <c r="C1903" s="1">
        <f ca="1">IFERROR(__xludf.DUMMYFUNCTION("""COMPUTED_VALUE"""),156.28)</f>
        <v>156.28</v>
      </c>
      <c r="D1903" s="1">
        <f ca="1">IFERROR(__xludf.DUMMYFUNCTION("""COMPUTED_VALUE"""),153.41)</f>
        <v>153.41</v>
      </c>
      <c r="E1903" s="1">
        <f ca="1">IFERROR(__xludf.DUMMYFUNCTION("""COMPUTED_VALUE"""),154.09)</f>
        <v>154.09</v>
      </c>
      <c r="F1903" s="1">
        <f ca="1">IFERROR(__xludf.DUMMYFUNCTION("""COMPUTED_VALUE"""),66675408)</f>
        <v>66675408</v>
      </c>
    </row>
    <row r="1904" spans="1:6" x14ac:dyDescent="0.35">
      <c r="A1904" s="2">
        <f ca="1">IFERROR(__xludf.DUMMYFUNCTION("""COMPUTED_VALUE"""),44767.6666666666)</f>
        <v>44767.666666666599</v>
      </c>
      <c r="B1904" s="1">
        <f ca="1">IFERROR(__xludf.DUMMYFUNCTION("""COMPUTED_VALUE"""),154.01)</f>
        <v>154.01</v>
      </c>
      <c r="C1904" s="1">
        <f ca="1">IFERROR(__xludf.DUMMYFUNCTION("""COMPUTED_VALUE"""),155.04)</f>
        <v>155.04</v>
      </c>
      <c r="D1904" s="1">
        <f ca="1">IFERROR(__xludf.DUMMYFUNCTION("""COMPUTED_VALUE"""),152.28)</f>
        <v>152.28</v>
      </c>
      <c r="E1904" s="1">
        <f ca="1">IFERROR(__xludf.DUMMYFUNCTION("""COMPUTED_VALUE"""),152.95)</f>
        <v>152.94999999999999</v>
      </c>
      <c r="F1904" s="1">
        <f ca="1">IFERROR(__xludf.DUMMYFUNCTION("""COMPUTED_VALUE"""),53623945)</f>
        <v>53623945</v>
      </c>
    </row>
    <row r="1905" spans="1:6" x14ac:dyDescent="0.35">
      <c r="A1905" s="2">
        <f ca="1">IFERROR(__xludf.DUMMYFUNCTION("""COMPUTED_VALUE"""),44768.6666666666)</f>
        <v>44768.666666666599</v>
      </c>
      <c r="B1905" s="1">
        <f ca="1">IFERROR(__xludf.DUMMYFUNCTION("""COMPUTED_VALUE"""),152.26)</f>
        <v>152.26</v>
      </c>
      <c r="C1905" s="1">
        <f ca="1">IFERROR(__xludf.DUMMYFUNCTION("""COMPUTED_VALUE"""),153.09)</f>
        <v>153.09</v>
      </c>
      <c r="D1905" s="1">
        <f ca="1">IFERROR(__xludf.DUMMYFUNCTION("""COMPUTED_VALUE"""),150.8)</f>
        <v>150.80000000000001</v>
      </c>
      <c r="E1905" s="1">
        <f ca="1">IFERROR(__xludf.DUMMYFUNCTION("""COMPUTED_VALUE"""),151.6)</f>
        <v>151.6</v>
      </c>
      <c r="F1905" s="1">
        <f ca="1">IFERROR(__xludf.DUMMYFUNCTION("""COMPUTED_VALUE"""),55138691)</f>
        <v>55138691</v>
      </c>
    </row>
    <row r="1906" spans="1:6" x14ac:dyDescent="0.35">
      <c r="A1906" s="2">
        <f ca="1">IFERROR(__xludf.DUMMYFUNCTION("""COMPUTED_VALUE"""),44769.6666666666)</f>
        <v>44769.666666666599</v>
      </c>
      <c r="B1906" s="1">
        <f ca="1">IFERROR(__xludf.DUMMYFUNCTION("""COMPUTED_VALUE"""),152.58)</f>
        <v>152.58000000000001</v>
      </c>
      <c r="C1906" s="1">
        <f ca="1">IFERROR(__xludf.DUMMYFUNCTION("""COMPUTED_VALUE"""),157.33)</f>
        <v>157.33000000000001</v>
      </c>
      <c r="D1906" s="1">
        <f ca="1">IFERROR(__xludf.DUMMYFUNCTION("""COMPUTED_VALUE"""),152.16)</f>
        <v>152.16</v>
      </c>
      <c r="E1906" s="1">
        <f ca="1">IFERROR(__xludf.DUMMYFUNCTION("""COMPUTED_VALUE"""),156.79)</f>
        <v>156.79</v>
      </c>
      <c r="F1906" s="1">
        <f ca="1">IFERROR(__xludf.DUMMYFUNCTION("""COMPUTED_VALUE"""),78620688)</f>
        <v>78620688</v>
      </c>
    </row>
    <row r="1907" spans="1:6" x14ac:dyDescent="0.35">
      <c r="A1907" s="2">
        <f ca="1">IFERROR(__xludf.DUMMYFUNCTION("""COMPUTED_VALUE"""),44770.6666666666)</f>
        <v>44770.666666666599</v>
      </c>
      <c r="B1907" s="1">
        <f ca="1">IFERROR(__xludf.DUMMYFUNCTION("""COMPUTED_VALUE"""),156.98)</f>
        <v>156.97999999999999</v>
      </c>
      <c r="C1907" s="1">
        <f ca="1">IFERROR(__xludf.DUMMYFUNCTION("""COMPUTED_VALUE"""),157.64)</f>
        <v>157.63999999999999</v>
      </c>
      <c r="D1907" s="1">
        <f ca="1">IFERROR(__xludf.DUMMYFUNCTION("""COMPUTED_VALUE"""),154.41)</f>
        <v>154.41</v>
      </c>
      <c r="E1907" s="1">
        <f ca="1">IFERROR(__xludf.DUMMYFUNCTION("""COMPUTED_VALUE"""),157.35)</f>
        <v>157.35</v>
      </c>
      <c r="F1907" s="1">
        <f ca="1">IFERROR(__xludf.DUMMYFUNCTION("""COMPUTED_VALUE"""),81378731)</f>
        <v>81378731</v>
      </c>
    </row>
    <row r="1908" spans="1:6" x14ac:dyDescent="0.35">
      <c r="A1908" s="2">
        <f ca="1">IFERROR(__xludf.DUMMYFUNCTION("""COMPUTED_VALUE"""),44771.6666666666)</f>
        <v>44771.666666666599</v>
      </c>
      <c r="B1908" s="1">
        <f ca="1">IFERROR(__xludf.DUMMYFUNCTION("""COMPUTED_VALUE"""),161.24)</f>
        <v>161.24</v>
      </c>
      <c r="C1908" s="1">
        <f ca="1">IFERROR(__xludf.DUMMYFUNCTION("""COMPUTED_VALUE"""),163.63)</f>
        <v>163.63</v>
      </c>
      <c r="D1908" s="1">
        <f ca="1">IFERROR(__xludf.DUMMYFUNCTION("""COMPUTED_VALUE"""),159.5)</f>
        <v>159.5</v>
      </c>
      <c r="E1908" s="1">
        <f ca="1">IFERROR(__xludf.DUMMYFUNCTION("""COMPUTED_VALUE"""),162.51)</f>
        <v>162.51</v>
      </c>
      <c r="F1908" s="1">
        <f ca="1">IFERROR(__xludf.DUMMYFUNCTION("""COMPUTED_VALUE"""),101786860)</f>
        <v>101786860</v>
      </c>
    </row>
    <row r="1909" spans="1:6" x14ac:dyDescent="0.35">
      <c r="A1909" s="2">
        <f ca="1">IFERROR(__xludf.DUMMYFUNCTION("""COMPUTED_VALUE"""),44774.6666666666)</f>
        <v>44774.666666666599</v>
      </c>
      <c r="B1909" s="1">
        <f ca="1">IFERROR(__xludf.DUMMYFUNCTION("""COMPUTED_VALUE"""),161.01)</f>
        <v>161.01</v>
      </c>
      <c r="C1909" s="1">
        <f ca="1">IFERROR(__xludf.DUMMYFUNCTION("""COMPUTED_VALUE"""),163.59)</f>
        <v>163.59</v>
      </c>
      <c r="D1909" s="1">
        <f ca="1">IFERROR(__xludf.DUMMYFUNCTION("""COMPUTED_VALUE"""),160.89)</f>
        <v>160.88999999999999</v>
      </c>
      <c r="E1909" s="1">
        <f ca="1">IFERROR(__xludf.DUMMYFUNCTION("""COMPUTED_VALUE"""),161.51)</f>
        <v>161.51</v>
      </c>
      <c r="F1909" s="1">
        <f ca="1">IFERROR(__xludf.DUMMYFUNCTION("""COMPUTED_VALUE"""),67829379)</f>
        <v>67829379</v>
      </c>
    </row>
    <row r="1910" spans="1:6" x14ac:dyDescent="0.35">
      <c r="A1910" s="2">
        <f ca="1">IFERROR(__xludf.DUMMYFUNCTION("""COMPUTED_VALUE"""),44775.6666666666)</f>
        <v>44775.666666666599</v>
      </c>
      <c r="B1910" s="1">
        <f ca="1">IFERROR(__xludf.DUMMYFUNCTION("""COMPUTED_VALUE"""),160.1)</f>
        <v>160.1</v>
      </c>
      <c r="C1910" s="1">
        <f ca="1">IFERROR(__xludf.DUMMYFUNCTION("""COMPUTED_VALUE"""),162.41)</f>
        <v>162.41</v>
      </c>
      <c r="D1910" s="1">
        <f ca="1">IFERROR(__xludf.DUMMYFUNCTION("""COMPUTED_VALUE"""),159.63)</f>
        <v>159.63</v>
      </c>
      <c r="E1910" s="1">
        <f ca="1">IFERROR(__xludf.DUMMYFUNCTION("""COMPUTED_VALUE"""),160.01)</f>
        <v>160.01</v>
      </c>
      <c r="F1910" s="1">
        <f ca="1">IFERROR(__xludf.DUMMYFUNCTION("""COMPUTED_VALUE"""),59907025)</f>
        <v>59907025</v>
      </c>
    </row>
    <row r="1911" spans="1:6" x14ac:dyDescent="0.35">
      <c r="A1911" s="2">
        <f ca="1">IFERROR(__xludf.DUMMYFUNCTION("""COMPUTED_VALUE"""),44776.6666666666)</f>
        <v>44776.666666666599</v>
      </c>
      <c r="B1911" s="1">
        <f ca="1">IFERROR(__xludf.DUMMYFUNCTION("""COMPUTED_VALUE"""),160.84)</f>
        <v>160.84</v>
      </c>
      <c r="C1911" s="1">
        <f ca="1">IFERROR(__xludf.DUMMYFUNCTION("""COMPUTED_VALUE"""),166.59)</f>
        <v>166.59</v>
      </c>
      <c r="D1911" s="1">
        <f ca="1">IFERROR(__xludf.DUMMYFUNCTION("""COMPUTED_VALUE"""),160.75)</f>
        <v>160.75</v>
      </c>
      <c r="E1911" s="1">
        <f ca="1">IFERROR(__xludf.DUMMYFUNCTION("""COMPUTED_VALUE"""),166.13)</f>
        <v>166.13</v>
      </c>
      <c r="F1911" s="1">
        <f ca="1">IFERROR(__xludf.DUMMYFUNCTION("""COMPUTED_VALUE"""),82507488)</f>
        <v>82507488</v>
      </c>
    </row>
    <row r="1912" spans="1:6" x14ac:dyDescent="0.35">
      <c r="A1912" s="2">
        <f ca="1">IFERROR(__xludf.DUMMYFUNCTION("""COMPUTED_VALUE"""),44777.6666666666)</f>
        <v>44777.666666666599</v>
      </c>
      <c r="B1912" s="1">
        <f ca="1">IFERROR(__xludf.DUMMYFUNCTION("""COMPUTED_VALUE"""),166.01)</f>
        <v>166.01</v>
      </c>
      <c r="C1912" s="1">
        <f ca="1">IFERROR(__xludf.DUMMYFUNCTION("""COMPUTED_VALUE"""),167.19)</f>
        <v>167.19</v>
      </c>
      <c r="D1912" s="1">
        <f ca="1">IFERROR(__xludf.DUMMYFUNCTION("""COMPUTED_VALUE"""),164.43)</f>
        <v>164.43</v>
      </c>
      <c r="E1912" s="1">
        <f ca="1">IFERROR(__xludf.DUMMYFUNCTION("""COMPUTED_VALUE"""),165.81)</f>
        <v>165.81</v>
      </c>
      <c r="F1912" s="1">
        <f ca="1">IFERROR(__xludf.DUMMYFUNCTION("""COMPUTED_VALUE"""),55474144)</f>
        <v>55474144</v>
      </c>
    </row>
    <row r="1913" spans="1:6" x14ac:dyDescent="0.35">
      <c r="A1913" s="2">
        <f ca="1">IFERROR(__xludf.DUMMYFUNCTION("""COMPUTED_VALUE"""),44778.6666666666)</f>
        <v>44778.666666666599</v>
      </c>
      <c r="B1913" s="1">
        <f ca="1">IFERROR(__xludf.DUMMYFUNCTION("""COMPUTED_VALUE"""),163.21)</f>
        <v>163.21</v>
      </c>
      <c r="C1913" s="1">
        <f ca="1">IFERROR(__xludf.DUMMYFUNCTION("""COMPUTED_VALUE"""),165.85)</f>
        <v>165.85</v>
      </c>
      <c r="D1913" s="1">
        <f ca="1">IFERROR(__xludf.DUMMYFUNCTION("""COMPUTED_VALUE"""),163)</f>
        <v>163</v>
      </c>
      <c r="E1913" s="1">
        <f ca="1">IFERROR(__xludf.DUMMYFUNCTION("""COMPUTED_VALUE"""),165.35)</f>
        <v>165.35</v>
      </c>
      <c r="F1913" s="1">
        <f ca="1">IFERROR(__xludf.DUMMYFUNCTION("""COMPUTED_VALUE"""),56696985)</f>
        <v>56696985</v>
      </c>
    </row>
    <row r="1914" spans="1:6" x14ac:dyDescent="0.35">
      <c r="A1914" s="2">
        <f ca="1">IFERROR(__xludf.DUMMYFUNCTION("""COMPUTED_VALUE"""),44781.6666666666)</f>
        <v>44781.666666666599</v>
      </c>
      <c r="B1914" s="1">
        <f ca="1">IFERROR(__xludf.DUMMYFUNCTION("""COMPUTED_VALUE"""),166.37)</f>
        <v>166.37</v>
      </c>
      <c r="C1914" s="1">
        <f ca="1">IFERROR(__xludf.DUMMYFUNCTION("""COMPUTED_VALUE"""),167.81)</f>
        <v>167.81</v>
      </c>
      <c r="D1914" s="1">
        <f ca="1">IFERROR(__xludf.DUMMYFUNCTION("""COMPUTED_VALUE"""),164.2)</f>
        <v>164.2</v>
      </c>
      <c r="E1914" s="1">
        <f ca="1">IFERROR(__xludf.DUMMYFUNCTION("""COMPUTED_VALUE"""),164.87)</f>
        <v>164.87</v>
      </c>
      <c r="F1914" s="1">
        <f ca="1">IFERROR(__xludf.DUMMYFUNCTION("""COMPUTED_VALUE"""),60362338)</f>
        <v>60362338</v>
      </c>
    </row>
    <row r="1915" spans="1:6" x14ac:dyDescent="0.35">
      <c r="A1915" s="2">
        <f ca="1">IFERROR(__xludf.DUMMYFUNCTION("""COMPUTED_VALUE"""),44782.6666666666)</f>
        <v>44782.666666666599</v>
      </c>
      <c r="B1915" s="1">
        <f ca="1">IFERROR(__xludf.DUMMYFUNCTION("""COMPUTED_VALUE"""),164.02)</f>
        <v>164.02</v>
      </c>
      <c r="C1915" s="1">
        <f ca="1">IFERROR(__xludf.DUMMYFUNCTION("""COMPUTED_VALUE"""),165.82)</f>
        <v>165.82</v>
      </c>
      <c r="D1915" s="1">
        <f ca="1">IFERROR(__xludf.DUMMYFUNCTION("""COMPUTED_VALUE"""),163.25)</f>
        <v>163.25</v>
      </c>
      <c r="E1915" s="1">
        <f ca="1">IFERROR(__xludf.DUMMYFUNCTION("""COMPUTED_VALUE"""),164.92)</f>
        <v>164.92</v>
      </c>
      <c r="F1915" s="1">
        <f ca="1">IFERROR(__xludf.DUMMYFUNCTION("""COMPUTED_VALUE"""),63135503)</f>
        <v>63135503</v>
      </c>
    </row>
    <row r="1916" spans="1:6" x14ac:dyDescent="0.35">
      <c r="A1916" s="2">
        <f ca="1">IFERROR(__xludf.DUMMYFUNCTION("""COMPUTED_VALUE"""),44783.6666666666)</f>
        <v>44783.666666666599</v>
      </c>
      <c r="B1916" s="1">
        <f ca="1">IFERROR(__xludf.DUMMYFUNCTION("""COMPUTED_VALUE"""),167.68)</f>
        <v>167.68</v>
      </c>
      <c r="C1916" s="1">
        <f ca="1">IFERROR(__xludf.DUMMYFUNCTION("""COMPUTED_VALUE"""),169.34)</f>
        <v>169.34</v>
      </c>
      <c r="D1916" s="1">
        <f ca="1">IFERROR(__xludf.DUMMYFUNCTION("""COMPUTED_VALUE"""),166.9)</f>
        <v>166.9</v>
      </c>
      <c r="E1916" s="1">
        <f ca="1">IFERROR(__xludf.DUMMYFUNCTION("""COMPUTED_VALUE"""),169.24)</f>
        <v>169.24</v>
      </c>
      <c r="F1916" s="1">
        <f ca="1">IFERROR(__xludf.DUMMYFUNCTION("""COMPUTED_VALUE"""),70170540)</f>
        <v>70170540</v>
      </c>
    </row>
    <row r="1917" spans="1:6" x14ac:dyDescent="0.35">
      <c r="A1917" s="2">
        <f ca="1">IFERROR(__xludf.DUMMYFUNCTION("""COMPUTED_VALUE"""),44784.6666666666)</f>
        <v>44784.666666666599</v>
      </c>
      <c r="B1917" s="1">
        <f ca="1">IFERROR(__xludf.DUMMYFUNCTION("""COMPUTED_VALUE"""),170.06)</f>
        <v>170.06</v>
      </c>
      <c r="C1917" s="1">
        <f ca="1">IFERROR(__xludf.DUMMYFUNCTION("""COMPUTED_VALUE"""),170.99)</f>
        <v>170.99</v>
      </c>
      <c r="D1917" s="1">
        <f ca="1">IFERROR(__xludf.DUMMYFUNCTION("""COMPUTED_VALUE"""),168.19)</f>
        <v>168.19</v>
      </c>
      <c r="E1917" s="1">
        <f ca="1">IFERROR(__xludf.DUMMYFUNCTION("""COMPUTED_VALUE"""),168.49)</f>
        <v>168.49</v>
      </c>
      <c r="F1917" s="1">
        <f ca="1">IFERROR(__xludf.DUMMYFUNCTION("""COMPUTED_VALUE"""),57149159)</f>
        <v>57149159</v>
      </c>
    </row>
    <row r="1918" spans="1:6" x14ac:dyDescent="0.35">
      <c r="A1918" s="2">
        <f ca="1">IFERROR(__xludf.DUMMYFUNCTION("""COMPUTED_VALUE"""),44785.6666666666)</f>
        <v>44785.666666666599</v>
      </c>
      <c r="B1918" s="1">
        <f ca="1">IFERROR(__xludf.DUMMYFUNCTION("""COMPUTED_VALUE"""),169.82)</f>
        <v>169.82</v>
      </c>
      <c r="C1918" s="1">
        <f ca="1">IFERROR(__xludf.DUMMYFUNCTION("""COMPUTED_VALUE"""),172.17)</f>
        <v>172.17</v>
      </c>
      <c r="D1918" s="1">
        <f ca="1">IFERROR(__xludf.DUMMYFUNCTION("""COMPUTED_VALUE"""),169.4)</f>
        <v>169.4</v>
      </c>
      <c r="E1918" s="1">
        <f ca="1">IFERROR(__xludf.DUMMYFUNCTION("""COMPUTED_VALUE"""),172.1)</f>
        <v>172.1</v>
      </c>
      <c r="F1918" s="1">
        <f ca="1">IFERROR(__xludf.DUMMYFUNCTION("""COMPUTED_VALUE"""),68039382)</f>
        <v>68039382</v>
      </c>
    </row>
    <row r="1919" spans="1:6" x14ac:dyDescent="0.35">
      <c r="A1919" s="2">
        <f ca="1">IFERROR(__xludf.DUMMYFUNCTION("""COMPUTED_VALUE"""),44788.6666666666)</f>
        <v>44788.666666666599</v>
      </c>
      <c r="B1919" s="1">
        <f ca="1">IFERROR(__xludf.DUMMYFUNCTION("""COMPUTED_VALUE"""),171.52)</f>
        <v>171.52</v>
      </c>
      <c r="C1919" s="1">
        <f ca="1">IFERROR(__xludf.DUMMYFUNCTION("""COMPUTED_VALUE"""),173.39)</f>
        <v>173.39</v>
      </c>
      <c r="D1919" s="1">
        <f ca="1">IFERROR(__xludf.DUMMYFUNCTION("""COMPUTED_VALUE"""),171.35)</f>
        <v>171.35</v>
      </c>
      <c r="E1919" s="1">
        <f ca="1">IFERROR(__xludf.DUMMYFUNCTION("""COMPUTED_VALUE"""),173.19)</f>
        <v>173.19</v>
      </c>
      <c r="F1919" s="1">
        <f ca="1">IFERROR(__xludf.DUMMYFUNCTION("""COMPUTED_VALUE"""),54091694)</f>
        <v>54091694</v>
      </c>
    </row>
    <row r="1920" spans="1:6" x14ac:dyDescent="0.35">
      <c r="A1920" s="2">
        <f ca="1">IFERROR(__xludf.DUMMYFUNCTION("""COMPUTED_VALUE"""),44789.6666666666)</f>
        <v>44789.666666666599</v>
      </c>
      <c r="B1920" s="1">
        <f ca="1">IFERROR(__xludf.DUMMYFUNCTION("""COMPUTED_VALUE"""),172.78)</f>
        <v>172.78</v>
      </c>
      <c r="C1920" s="1">
        <f ca="1">IFERROR(__xludf.DUMMYFUNCTION("""COMPUTED_VALUE"""),173.71)</f>
        <v>173.71</v>
      </c>
      <c r="D1920" s="1">
        <f ca="1">IFERROR(__xludf.DUMMYFUNCTION("""COMPUTED_VALUE"""),171.66)</f>
        <v>171.66</v>
      </c>
      <c r="E1920" s="1">
        <f ca="1">IFERROR(__xludf.DUMMYFUNCTION("""COMPUTED_VALUE"""),173.03)</f>
        <v>173.03</v>
      </c>
      <c r="F1920" s="1">
        <f ca="1">IFERROR(__xludf.DUMMYFUNCTION("""COMPUTED_VALUE"""),56377050)</f>
        <v>56377050</v>
      </c>
    </row>
    <row r="1921" spans="1:6" x14ac:dyDescent="0.35">
      <c r="A1921" s="2">
        <f ca="1">IFERROR(__xludf.DUMMYFUNCTION("""COMPUTED_VALUE"""),44790.6666666666)</f>
        <v>44790.666666666599</v>
      </c>
      <c r="B1921" s="1">
        <f ca="1">IFERROR(__xludf.DUMMYFUNCTION("""COMPUTED_VALUE"""),172.77)</f>
        <v>172.77</v>
      </c>
      <c r="C1921" s="1">
        <f ca="1">IFERROR(__xludf.DUMMYFUNCTION("""COMPUTED_VALUE"""),176.15)</f>
        <v>176.15</v>
      </c>
      <c r="D1921" s="1">
        <f ca="1">IFERROR(__xludf.DUMMYFUNCTION("""COMPUTED_VALUE"""),172.57)</f>
        <v>172.57</v>
      </c>
      <c r="E1921" s="1">
        <f ca="1">IFERROR(__xludf.DUMMYFUNCTION("""COMPUTED_VALUE"""),174.55)</f>
        <v>174.55</v>
      </c>
      <c r="F1921" s="1">
        <f ca="1">IFERROR(__xludf.DUMMYFUNCTION("""COMPUTED_VALUE"""),79542037)</f>
        <v>79542037</v>
      </c>
    </row>
    <row r="1922" spans="1:6" x14ac:dyDescent="0.35">
      <c r="A1922" s="2">
        <f ca="1">IFERROR(__xludf.DUMMYFUNCTION("""COMPUTED_VALUE"""),44791.6666666666)</f>
        <v>44791.666666666599</v>
      </c>
      <c r="B1922" s="1">
        <f ca="1">IFERROR(__xludf.DUMMYFUNCTION("""COMPUTED_VALUE"""),173.75)</f>
        <v>173.75</v>
      </c>
      <c r="C1922" s="1">
        <f ca="1">IFERROR(__xludf.DUMMYFUNCTION("""COMPUTED_VALUE"""),174.9)</f>
        <v>174.9</v>
      </c>
      <c r="D1922" s="1">
        <f ca="1">IFERROR(__xludf.DUMMYFUNCTION("""COMPUTED_VALUE"""),173.12)</f>
        <v>173.12</v>
      </c>
      <c r="E1922" s="1">
        <f ca="1">IFERROR(__xludf.DUMMYFUNCTION("""COMPUTED_VALUE"""),174.15)</f>
        <v>174.15</v>
      </c>
      <c r="F1922" s="1">
        <f ca="1">IFERROR(__xludf.DUMMYFUNCTION("""COMPUTED_VALUE"""),62290075)</f>
        <v>62290075</v>
      </c>
    </row>
    <row r="1923" spans="1:6" x14ac:dyDescent="0.35">
      <c r="A1923" s="2">
        <f ca="1">IFERROR(__xludf.DUMMYFUNCTION("""COMPUTED_VALUE"""),44792.6666666666)</f>
        <v>44792.666666666599</v>
      </c>
      <c r="B1923" s="1">
        <f ca="1">IFERROR(__xludf.DUMMYFUNCTION("""COMPUTED_VALUE"""),173.03)</f>
        <v>173.03</v>
      </c>
      <c r="C1923" s="1">
        <f ca="1">IFERROR(__xludf.DUMMYFUNCTION("""COMPUTED_VALUE"""),173.74)</f>
        <v>173.74</v>
      </c>
      <c r="D1923" s="1">
        <f ca="1">IFERROR(__xludf.DUMMYFUNCTION("""COMPUTED_VALUE"""),171.31)</f>
        <v>171.31</v>
      </c>
      <c r="E1923" s="1">
        <f ca="1">IFERROR(__xludf.DUMMYFUNCTION("""COMPUTED_VALUE"""),171.52)</f>
        <v>171.52</v>
      </c>
      <c r="F1923" s="1">
        <f ca="1">IFERROR(__xludf.DUMMYFUNCTION("""COMPUTED_VALUE"""),70346295)</f>
        <v>70346295</v>
      </c>
    </row>
    <row r="1924" spans="1:6" x14ac:dyDescent="0.35">
      <c r="A1924" s="2">
        <f ca="1">IFERROR(__xludf.DUMMYFUNCTION("""COMPUTED_VALUE"""),44795.6666666666)</f>
        <v>44795.666666666599</v>
      </c>
      <c r="B1924" s="1">
        <f ca="1">IFERROR(__xludf.DUMMYFUNCTION("""COMPUTED_VALUE"""),169.69)</f>
        <v>169.69</v>
      </c>
      <c r="C1924" s="1">
        <f ca="1">IFERROR(__xludf.DUMMYFUNCTION("""COMPUTED_VALUE"""),169.86)</f>
        <v>169.86</v>
      </c>
      <c r="D1924" s="1">
        <f ca="1">IFERROR(__xludf.DUMMYFUNCTION("""COMPUTED_VALUE"""),167.14)</f>
        <v>167.14</v>
      </c>
      <c r="E1924" s="1">
        <f ca="1">IFERROR(__xludf.DUMMYFUNCTION("""COMPUTED_VALUE"""),167.57)</f>
        <v>167.57</v>
      </c>
      <c r="F1924" s="1">
        <f ca="1">IFERROR(__xludf.DUMMYFUNCTION("""COMPUTED_VALUE"""),69026809)</f>
        <v>69026809</v>
      </c>
    </row>
    <row r="1925" spans="1:6" x14ac:dyDescent="0.35">
      <c r="A1925" s="2">
        <f ca="1">IFERROR(__xludf.DUMMYFUNCTION("""COMPUTED_VALUE"""),44796.6666666666)</f>
        <v>44796.666666666599</v>
      </c>
      <c r="B1925" s="1">
        <f ca="1">IFERROR(__xludf.DUMMYFUNCTION("""COMPUTED_VALUE"""),167.08)</f>
        <v>167.08</v>
      </c>
      <c r="C1925" s="1">
        <f ca="1">IFERROR(__xludf.DUMMYFUNCTION("""COMPUTED_VALUE"""),168.71)</f>
        <v>168.71</v>
      </c>
      <c r="D1925" s="1">
        <f ca="1">IFERROR(__xludf.DUMMYFUNCTION("""COMPUTED_VALUE"""),166.65)</f>
        <v>166.65</v>
      </c>
      <c r="E1925" s="1">
        <f ca="1">IFERROR(__xludf.DUMMYFUNCTION("""COMPUTED_VALUE"""),167.23)</f>
        <v>167.23</v>
      </c>
      <c r="F1925" s="1">
        <f ca="1">IFERROR(__xludf.DUMMYFUNCTION("""COMPUTED_VALUE"""),54147079)</f>
        <v>54147079</v>
      </c>
    </row>
    <row r="1926" spans="1:6" x14ac:dyDescent="0.35">
      <c r="A1926" s="2">
        <f ca="1">IFERROR(__xludf.DUMMYFUNCTION("""COMPUTED_VALUE"""),44797.6666666666)</f>
        <v>44797.666666666599</v>
      </c>
      <c r="B1926" s="1">
        <f ca="1">IFERROR(__xludf.DUMMYFUNCTION("""COMPUTED_VALUE"""),167.32)</f>
        <v>167.32</v>
      </c>
      <c r="C1926" s="1">
        <f ca="1">IFERROR(__xludf.DUMMYFUNCTION("""COMPUTED_VALUE"""),168.11)</f>
        <v>168.11</v>
      </c>
      <c r="D1926" s="1">
        <f ca="1">IFERROR(__xludf.DUMMYFUNCTION("""COMPUTED_VALUE"""),166.25)</f>
        <v>166.25</v>
      </c>
      <c r="E1926" s="1">
        <f ca="1">IFERROR(__xludf.DUMMYFUNCTION("""COMPUTED_VALUE"""),167.53)</f>
        <v>167.53</v>
      </c>
      <c r="F1926" s="1">
        <f ca="1">IFERROR(__xludf.DUMMYFUNCTION("""COMPUTED_VALUE"""),53841524)</f>
        <v>53841524</v>
      </c>
    </row>
    <row r="1927" spans="1:6" x14ac:dyDescent="0.35">
      <c r="A1927" s="2">
        <f ca="1">IFERROR(__xludf.DUMMYFUNCTION("""COMPUTED_VALUE"""),44798.6666666666)</f>
        <v>44798.666666666599</v>
      </c>
      <c r="B1927" s="1">
        <f ca="1">IFERROR(__xludf.DUMMYFUNCTION("""COMPUTED_VALUE"""),168.78)</f>
        <v>168.78</v>
      </c>
      <c r="C1927" s="1">
        <f ca="1">IFERROR(__xludf.DUMMYFUNCTION("""COMPUTED_VALUE"""),170.14)</f>
        <v>170.14</v>
      </c>
      <c r="D1927" s="1">
        <f ca="1">IFERROR(__xludf.DUMMYFUNCTION("""COMPUTED_VALUE"""),168.35)</f>
        <v>168.35</v>
      </c>
      <c r="E1927" s="1">
        <f ca="1">IFERROR(__xludf.DUMMYFUNCTION("""COMPUTED_VALUE"""),170.03)</f>
        <v>170.03</v>
      </c>
      <c r="F1927" s="1">
        <f ca="1">IFERROR(__xludf.DUMMYFUNCTION("""COMPUTED_VALUE"""),51218209)</f>
        <v>51218209</v>
      </c>
    </row>
    <row r="1928" spans="1:6" x14ac:dyDescent="0.35">
      <c r="A1928" s="2">
        <f ca="1">IFERROR(__xludf.DUMMYFUNCTION("""COMPUTED_VALUE"""),44799.6666666666)</f>
        <v>44799.666666666599</v>
      </c>
      <c r="B1928" s="1">
        <f ca="1">IFERROR(__xludf.DUMMYFUNCTION("""COMPUTED_VALUE"""),170.57)</f>
        <v>170.57</v>
      </c>
      <c r="C1928" s="1">
        <f ca="1">IFERROR(__xludf.DUMMYFUNCTION("""COMPUTED_VALUE"""),171.05)</f>
        <v>171.05</v>
      </c>
      <c r="D1928" s="1">
        <f ca="1">IFERROR(__xludf.DUMMYFUNCTION("""COMPUTED_VALUE"""),163.56)</f>
        <v>163.56</v>
      </c>
      <c r="E1928" s="1">
        <f ca="1">IFERROR(__xludf.DUMMYFUNCTION("""COMPUTED_VALUE"""),163.62)</f>
        <v>163.62</v>
      </c>
      <c r="F1928" s="1">
        <f ca="1">IFERROR(__xludf.DUMMYFUNCTION("""COMPUTED_VALUE"""),78960980)</f>
        <v>78960980</v>
      </c>
    </row>
    <row r="1929" spans="1:6" x14ac:dyDescent="0.35">
      <c r="A1929" s="2">
        <f ca="1">IFERROR(__xludf.DUMMYFUNCTION("""COMPUTED_VALUE"""),44802.6666666666)</f>
        <v>44802.666666666599</v>
      </c>
      <c r="B1929" s="1">
        <f ca="1">IFERROR(__xludf.DUMMYFUNCTION("""COMPUTED_VALUE"""),161.15)</f>
        <v>161.15</v>
      </c>
      <c r="C1929" s="1">
        <f ca="1">IFERROR(__xludf.DUMMYFUNCTION("""COMPUTED_VALUE"""),162.9)</f>
        <v>162.9</v>
      </c>
      <c r="D1929" s="1">
        <f ca="1">IFERROR(__xludf.DUMMYFUNCTION("""COMPUTED_VALUE"""),159.82)</f>
        <v>159.82</v>
      </c>
      <c r="E1929" s="1">
        <f ca="1">IFERROR(__xludf.DUMMYFUNCTION("""COMPUTED_VALUE"""),161.38)</f>
        <v>161.38</v>
      </c>
      <c r="F1929" s="1">
        <f ca="1">IFERROR(__xludf.DUMMYFUNCTION("""COMPUTED_VALUE"""),73313953)</f>
        <v>73313953</v>
      </c>
    </row>
    <row r="1930" spans="1:6" x14ac:dyDescent="0.35">
      <c r="A1930" s="2">
        <f ca="1">IFERROR(__xludf.DUMMYFUNCTION("""COMPUTED_VALUE"""),44803.6666666666)</f>
        <v>44803.666666666599</v>
      </c>
      <c r="B1930" s="1">
        <f ca="1">IFERROR(__xludf.DUMMYFUNCTION("""COMPUTED_VALUE"""),162.13)</f>
        <v>162.13</v>
      </c>
      <c r="C1930" s="1">
        <f ca="1">IFERROR(__xludf.DUMMYFUNCTION("""COMPUTED_VALUE"""),162.56)</f>
        <v>162.56</v>
      </c>
      <c r="D1930" s="1">
        <f ca="1">IFERROR(__xludf.DUMMYFUNCTION("""COMPUTED_VALUE"""),157.72)</f>
        <v>157.72</v>
      </c>
      <c r="E1930" s="1">
        <f ca="1">IFERROR(__xludf.DUMMYFUNCTION("""COMPUTED_VALUE"""),158.91)</f>
        <v>158.91</v>
      </c>
      <c r="F1930" s="1">
        <f ca="1">IFERROR(__xludf.DUMMYFUNCTION("""COMPUTED_VALUE"""),77906197)</f>
        <v>77906197</v>
      </c>
    </row>
    <row r="1931" spans="1:6" x14ac:dyDescent="0.35">
      <c r="A1931" s="2">
        <f ca="1">IFERROR(__xludf.DUMMYFUNCTION("""COMPUTED_VALUE"""),44804.6666666666)</f>
        <v>44804.666666666599</v>
      </c>
      <c r="B1931" s="1">
        <f ca="1">IFERROR(__xludf.DUMMYFUNCTION("""COMPUTED_VALUE"""),160.31)</f>
        <v>160.31</v>
      </c>
      <c r="C1931" s="1">
        <f ca="1">IFERROR(__xludf.DUMMYFUNCTION("""COMPUTED_VALUE"""),160.58)</f>
        <v>160.58000000000001</v>
      </c>
      <c r="D1931" s="1">
        <f ca="1">IFERROR(__xludf.DUMMYFUNCTION("""COMPUTED_VALUE"""),157.14)</f>
        <v>157.13999999999999</v>
      </c>
      <c r="E1931" s="1">
        <f ca="1">IFERROR(__xludf.DUMMYFUNCTION("""COMPUTED_VALUE"""),157.22)</f>
        <v>157.22</v>
      </c>
      <c r="F1931" s="1">
        <f ca="1">IFERROR(__xludf.DUMMYFUNCTION("""COMPUTED_VALUE"""),87991091)</f>
        <v>87991091</v>
      </c>
    </row>
    <row r="1932" spans="1:6" x14ac:dyDescent="0.35">
      <c r="A1932" s="2">
        <f ca="1">IFERROR(__xludf.DUMMYFUNCTION("""COMPUTED_VALUE"""),44805.6666666666)</f>
        <v>44805.666666666599</v>
      </c>
      <c r="B1932" s="1">
        <f ca="1">IFERROR(__xludf.DUMMYFUNCTION("""COMPUTED_VALUE"""),156.64)</f>
        <v>156.63999999999999</v>
      </c>
      <c r="C1932" s="1">
        <f ca="1">IFERROR(__xludf.DUMMYFUNCTION("""COMPUTED_VALUE"""),158.42)</f>
        <v>158.41999999999999</v>
      </c>
      <c r="D1932" s="1">
        <f ca="1">IFERROR(__xludf.DUMMYFUNCTION("""COMPUTED_VALUE"""),154.67)</f>
        <v>154.66999999999999</v>
      </c>
      <c r="E1932" s="1">
        <f ca="1">IFERROR(__xludf.DUMMYFUNCTION("""COMPUTED_VALUE"""),157.96)</f>
        <v>157.96</v>
      </c>
      <c r="F1932" s="1">
        <f ca="1">IFERROR(__xludf.DUMMYFUNCTION("""COMPUTED_VALUE"""),74229896)</f>
        <v>74229896</v>
      </c>
    </row>
    <row r="1933" spans="1:6" x14ac:dyDescent="0.35">
      <c r="A1933" s="2">
        <f ca="1">IFERROR(__xludf.DUMMYFUNCTION("""COMPUTED_VALUE"""),44806.6666666666)</f>
        <v>44806.666666666599</v>
      </c>
      <c r="B1933" s="1">
        <f ca="1">IFERROR(__xludf.DUMMYFUNCTION("""COMPUTED_VALUE"""),159.75)</f>
        <v>159.75</v>
      </c>
      <c r="C1933" s="1">
        <f ca="1">IFERROR(__xludf.DUMMYFUNCTION("""COMPUTED_VALUE"""),160.36)</f>
        <v>160.36000000000001</v>
      </c>
      <c r="D1933" s="1">
        <f ca="1">IFERROR(__xludf.DUMMYFUNCTION("""COMPUTED_VALUE"""),154.97)</f>
        <v>154.97</v>
      </c>
      <c r="E1933" s="1">
        <f ca="1">IFERROR(__xludf.DUMMYFUNCTION("""COMPUTED_VALUE"""),155.81)</f>
        <v>155.81</v>
      </c>
      <c r="F1933" s="1">
        <f ca="1">IFERROR(__xludf.DUMMYFUNCTION("""COMPUTED_VALUE"""),76957768)</f>
        <v>76957768</v>
      </c>
    </row>
    <row r="1934" spans="1:6" x14ac:dyDescent="0.35">
      <c r="A1934" s="2">
        <f ca="1">IFERROR(__xludf.DUMMYFUNCTION("""COMPUTED_VALUE"""),44810.6666666666)</f>
        <v>44810.666666666599</v>
      </c>
      <c r="B1934" s="1">
        <f ca="1">IFERROR(__xludf.DUMMYFUNCTION("""COMPUTED_VALUE"""),156.47)</f>
        <v>156.47</v>
      </c>
      <c r="C1934" s="1">
        <f ca="1">IFERROR(__xludf.DUMMYFUNCTION("""COMPUTED_VALUE"""),157.09)</f>
        <v>157.09</v>
      </c>
      <c r="D1934" s="1">
        <f ca="1">IFERROR(__xludf.DUMMYFUNCTION("""COMPUTED_VALUE"""),153.69)</f>
        <v>153.69</v>
      </c>
      <c r="E1934" s="1">
        <f ca="1">IFERROR(__xludf.DUMMYFUNCTION("""COMPUTED_VALUE"""),154.53)</f>
        <v>154.53</v>
      </c>
      <c r="F1934" s="1">
        <f ca="1">IFERROR(__xludf.DUMMYFUNCTION("""COMPUTED_VALUE"""),73714843)</f>
        <v>73714843</v>
      </c>
    </row>
    <row r="1935" spans="1:6" x14ac:dyDescent="0.35">
      <c r="A1935" s="2">
        <f ca="1">IFERROR(__xludf.DUMMYFUNCTION("""COMPUTED_VALUE"""),44811.6666666666)</f>
        <v>44811.666666666599</v>
      </c>
      <c r="B1935" s="1">
        <f ca="1">IFERROR(__xludf.DUMMYFUNCTION("""COMPUTED_VALUE"""),154.82)</f>
        <v>154.82</v>
      </c>
      <c r="C1935" s="1">
        <f ca="1">IFERROR(__xludf.DUMMYFUNCTION("""COMPUTED_VALUE"""),156.67)</f>
        <v>156.66999999999999</v>
      </c>
      <c r="D1935" s="1">
        <f ca="1">IFERROR(__xludf.DUMMYFUNCTION("""COMPUTED_VALUE"""),153.61)</f>
        <v>153.61000000000001</v>
      </c>
      <c r="E1935" s="1">
        <f ca="1">IFERROR(__xludf.DUMMYFUNCTION("""COMPUTED_VALUE"""),155.96)</f>
        <v>155.96</v>
      </c>
      <c r="F1935" s="1">
        <f ca="1">IFERROR(__xludf.DUMMYFUNCTION("""COMPUTED_VALUE"""),87449574)</f>
        <v>87449574</v>
      </c>
    </row>
    <row r="1936" spans="1:6" x14ac:dyDescent="0.35">
      <c r="A1936" s="2">
        <f ca="1">IFERROR(__xludf.DUMMYFUNCTION("""COMPUTED_VALUE"""),44812.6666666666)</f>
        <v>44812.666666666599</v>
      </c>
      <c r="B1936" s="1">
        <f ca="1">IFERROR(__xludf.DUMMYFUNCTION("""COMPUTED_VALUE"""),154.64)</f>
        <v>154.63999999999999</v>
      </c>
      <c r="C1936" s="1">
        <f ca="1">IFERROR(__xludf.DUMMYFUNCTION("""COMPUTED_VALUE"""),156.36)</f>
        <v>156.36000000000001</v>
      </c>
      <c r="D1936" s="1">
        <f ca="1">IFERROR(__xludf.DUMMYFUNCTION("""COMPUTED_VALUE"""),152.68)</f>
        <v>152.68</v>
      </c>
      <c r="E1936" s="1">
        <f ca="1">IFERROR(__xludf.DUMMYFUNCTION("""COMPUTED_VALUE"""),154.46)</f>
        <v>154.46</v>
      </c>
      <c r="F1936" s="1">
        <f ca="1">IFERROR(__xludf.DUMMYFUNCTION("""COMPUTED_VALUE"""),84923847)</f>
        <v>84923847</v>
      </c>
    </row>
    <row r="1937" spans="1:6" x14ac:dyDescent="0.35">
      <c r="A1937" s="2">
        <f ca="1">IFERROR(__xludf.DUMMYFUNCTION("""COMPUTED_VALUE"""),44813.6666666666)</f>
        <v>44813.666666666599</v>
      </c>
      <c r="B1937" s="1">
        <f ca="1">IFERROR(__xludf.DUMMYFUNCTION("""COMPUTED_VALUE"""),155.47)</f>
        <v>155.47</v>
      </c>
      <c r="C1937" s="1">
        <f ca="1">IFERROR(__xludf.DUMMYFUNCTION("""COMPUTED_VALUE"""),157.82)</f>
        <v>157.82</v>
      </c>
      <c r="D1937" s="1">
        <f ca="1">IFERROR(__xludf.DUMMYFUNCTION("""COMPUTED_VALUE"""),154.75)</f>
        <v>154.75</v>
      </c>
      <c r="E1937" s="1">
        <f ca="1">IFERROR(__xludf.DUMMYFUNCTION("""COMPUTED_VALUE"""),157.37)</f>
        <v>157.37</v>
      </c>
      <c r="F1937" s="1">
        <f ca="1">IFERROR(__xludf.DUMMYFUNCTION("""COMPUTED_VALUE"""),68081006)</f>
        <v>68081006</v>
      </c>
    </row>
    <row r="1938" spans="1:6" x14ac:dyDescent="0.35">
      <c r="A1938" s="2">
        <f ca="1">IFERROR(__xludf.DUMMYFUNCTION("""COMPUTED_VALUE"""),44816.6666666666)</f>
        <v>44816.666666666599</v>
      </c>
      <c r="B1938" s="1">
        <f ca="1">IFERROR(__xludf.DUMMYFUNCTION("""COMPUTED_VALUE"""),159.59)</f>
        <v>159.59</v>
      </c>
      <c r="C1938" s="1">
        <f ca="1">IFERROR(__xludf.DUMMYFUNCTION("""COMPUTED_VALUE"""),164.26)</f>
        <v>164.26</v>
      </c>
      <c r="D1938" s="1">
        <f ca="1">IFERROR(__xludf.DUMMYFUNCTION("""COMPUTED_VALUE"""),159.3)</f>
        <v>159.30000000000001</v>
      </c>
      <c r="E1938" s="1">
        <f ca="1">IFERROR(__xludf.DUMMYFUNCTION("""COMPUTED_VALUE"""),163.43)</f>
        <v>163.43</v>
      </c>
      <c r="F1938" s="1">
        <f ca="1">IFERROR(__xludf.DUMMYFUNCTION("""COMPUTED_VALUE"""),104955962)</f>
        <v>104955962</v>
      </c>
    </row>
    <row r="1939" spans="1:6" x14ac:dyDescent="0.35">
      <c r="A1939" s="2">
        <f ca="1">IFERROR(__xludf.DUMMYFUNCTION("""COMPUTED_VALUE"""),44817.6666666666)</f>
        <v>44817.666666666599</v>
      </c>
      <c r="B1939" s="1">
        <f ca="1">IFERROR(__xludf.DUMMYFUNCTION("""COMPUTED_VALUE"""),159.9)</f>
        <v>159.9</v>
      </c>
      <c r="C1939" s="1">
        <f ca="1">IFERROR(__xludf.DUMMYFUNCTION("""COMPUTED_VALUE"""),160.54)</f>
        <v>160.54</v>
      </c>
      <c r="D1939" s="1">
        <f ca="1">IFERROR(__xludf.DUMMYFUNCTION("""COMPUTED_VALUE"""),153.37)</f>
        <v>153.37</v>
      </c>
      <c r="E1939" s="1">
        <f ca="1">IFERROR(__xludf.DUMMYFUNCTION("""COMPUTED_VALUE"""),153.84)</f>
        <v>153.84</v>
      </c>
      <c r="F1939" s="1">
        <f ca="1">IFERROR(__xludf.DUMMYFUNCTION("""COMPUTED_VALUE"""),122656614)</f>
        <v>122656614</v>
      </c>
    </row>
    <row r="1940" spans="1:6" x14ac:dyDescent="0.35">
      <c r="A1940" s="2">
        <f ca="1">IFERROR(__xludf.DUMMYFUNCTION("""COMPUTED_VALUE"""),44818.6666666666)</f>
        <v>44818.666666666599</v>
      </c>
      <c r="B1940" s="1">
        <f ca="1">IFERROR(__xludf.DUMMYFUNCTION("""COMPUTED_VALUE"""),154.79)</f>
        <v>154.79</v>
      </c>
      <c r="C1940" s="1">
        <f ca="1">IFERROR(__xludf.DUMMYFUNCTION("""COMPUTED_VALUE"""),157.1)</f>
        <v>157.1</v>
      </c>
      <c r="D1940" s="1">
        <f ca="1">IFERROR(__xludf.DUMMYFUNCTION("""COMPUTED_VALUE"""),153.61)</f>
        <v>153.61000000000001</v>
      </c>
      <c r="E1940" s="1">
        <f ca="1">IFERROR(__xludf.DUMMYFUNCTION("""COMPUTED_VALUE"""),155.31)</f>
        <v>155.31</v>
      </c>
      <c r="F1940" s="1">
        <f ca="1">IFERROR(__xludf.DUMMYFUNCTION("""COMPUTED_VALUE"""),87965409)</f>
        <v>87965409</v>
      </c>
    </row>
    <row r="1941" spans="1:6" x14ac:dyDescent="0.35">
      <c r="A1941" s="2">
        <f ca="1">IFERROR(__xludf.DUMMYFUNCTION("""COMPUTED_VALUE"""),44819.6666666666)</f>
        <v>44819.666666666599</v>
      </c>
      <c r="B1941" s="1">
        <f ca="1">IFERROR(__xludf.DUMMYFUNCTION("""COMPUTED_VALUE"""),154.65)</f>
        <v>154.65</v>
      </c>
      <c r="C1941" s="1">
        <f ca="1">IFERROR(__xludf.DUMMYFUNCTION("""COMPUTED_VALUE"""),155.24)</f>
        <v>155.24</v>
      </c>
      <c r="D1941" s="1">
        <f ca="1">IFERROR(__xludf.DUMMYFUNCTION("""COMPUTED_VALUE"""),151.38)</f>
        <v>151.38</v>
      </c>
      <c r="E1941" s="1">
        <f ca="1">IFERROR(__xludf.DUMMYFUNCTION("""COMPUTED_VALUE"""),152.37)</f>
        <v>152.37</v>
      </c>
      <c r="F1941" s="1">
        <f ca="1">IFERROR(__xludf.DUMMYFUNCTION("""COMPUTED_VALUE"""),90481110)</f>
        <v>90481110</v>
      </c>
    </row>
    <row r="1942" spans="1:6" x14ac:dyDescent="0.35">
      <c r="A1942" s="2">
        <f ca="1">IFERROR(__xludf.DUMMYFUNCTION("""COMPUTED_VALUE"""),44820.6666666666)</f>
        <v>44820.666666666599</v>
      </c>
      <c r="B1942" s="1">
        <f ca="1">IFERROR(__xludf.DUMMYFUNCTION("""COMPUTED_VALUE"""),151.21)</f>
        <v>151.21</v>
      </c>
      <c r="C1942" s="1">
        <f ca="1">IFERROR(__xludf.DUMMYFUNCTION("""COMPUTED_VALUE"""),151.35)</f>
        <v>151.35</v>
      </c>
      <c r="D1942" s="1">
        <f ca="1">IFERROR(__xludf.DUMMYFUNCTION("""COMPUTED_VALUE"""),148.37)</f>
        <v>148.37</v>
      </c>
      <c r="E1942" s="1">
        <f ca="1">IFERROR(__xludf.DUMMYFUNCTION("""COMPUTED_VALUE"""),150.7)</f>
        <v>150.69999999999999</v>
      </c>
      <c r="F1942" s="1">
        <f ca="1">IFERROR(__xludf.DUMMYFUNCTION("""COMPUTED_VALUE"""),162278841)</f>
        <v>162278841</v>
      </c>
    </row>
    <row r="1943" spans="1:6" x14ac:dyDescent="0.35">
      <c r="A1943" s="2">
        <f ca="1">IFERROR(__xludf.DUMMYFUNCTION("""COMPUTED_VALUE"""),44823.6666666666)</f>
        <v>44823.666666666599</v>
      </c>
      <c r="B1943" s="1">
        <f ca="1">IFERROR(__xludf.DUMMYFUNCTION("""COMPUTED_VALUE"""),149.31)</f>
        <v>149.31</v>
      </c>
      <c r="C1943" s="1">
        <f ca="1">IFERROR(__xludf.DUMMYFUNCTION("""COMPUTED_VALUE"""),154.56)</f>
        <v>154.56</v>
      </c>
      <c r="D1943" s="1">
        <f ca="1">IFERROR(__xludf.DUMMYFUNCTION("""COMPUTED_VALUE"""),149.1)</f>
        <v>149.1</v>
      </c>
      <c r="E1943" s="1">
        <f ca="1">IFERROR(__xludf.DUMMYFUNCTION("""COMPUTED_VALUE"""),154.48)</f>
        <v>154.47999999999999</v>
      </c>
      <c r="F1943" s="1">
        <f ca="1">IFERROR(__xludf.DUMMYFUNCTION("""COMPUTED_VALUE"""),81474246)</f>
        <v>81474246</v>
      </c>
    </row>
    <row r="1944" spans="1:6" x14ac:dyDescent="0.35">
      <c r="A1944" s="2">
        <f ca="1">IFERROR(__xludf.DUMMYFUNCTION("""COMPUTED_VALUE"""),44824.6666666666)</f>
        <v>44824.666666666599</v>
      </c>
      <c r="B1944" s="1">
        <f ca="1">IFERROR(__xludf.DUMMYFUNCTION("""COMPUTED_VALUE"""),153.4)</f>
        <v>153.4</v>
      </c>
      <c r="C1944" s="1">
        <f ca="1">IFERROR(__xludf.DUMMYFUNCTION("""COMPUTED_VALUE"""),158.08)</f>
        <v>158.08000000000001</v>
      </c>
      <c r="D1944" s="1">
        <f ca="1">IFERROR(__xludf.DUMMYFUNCTION("""COMPUTED_VALUE"""),153.08)</f>
        <v>153.08000000000001</v>
      </c>
      <c r="E1944" s="1">
        <f ca="1">IFERROR(__xludf.DUMMYFUNCTION("""COMPUTED_VALUE"""),156.9)</f>
        <v>156.9</v>
      </c>
      <c r="F1944" s="1">
        <f ca="1">IFERROR(__xludf.DUMMYFUNCTION("""COMPUTED_VALUE"""),107689796)</f>
        <v>107689796</v>
      </c>
    </row>
    <row r="1945" spans="1:6" x14ac:dyDescent="0.35">
      <c r="A1945" s="2">
        <f ca="1">IFERROR(__xludf.DUMMYFUNCTION("""COMPUTED_VALUE"""),44825.6666666666)</f>
        <v>44825.666666666599</v>
      </c>
      <c r="B1945" s="1">
        <f ca="1">IFERROR(__xludf.DUMMYFUNCTION("""COMPUTED_VALUE"""),157.34)</f>
        <v>157.34</v>
      </c>
      <c r="C1945" s="1">
        <f ca="1">IFERROR(__xludf.DUMMYFUNCTION("""COMPUTED_VALUE"""),158.74)</f>
        <v>158.74</v>
      </c>
      <c r="D1945" s="1">
        <f ca="1">IFERROR(__xludf.DUMMYFUNCTION("""COMPUTED_VALUE"""),153.6)</f>
        <v>153.6</v>
      </c>
      <c r="E1945" s="1">
        <f ca="1">IFERROR(__xludf.DUMMYFUNCTION("""COMPUTED_VALUE"""),153.72)</f>
        <v>153.72</v>
      </c>
      <c r="F1945" s="1">
        <f ca="1">IFERROR(__xludf.DUMMYFUNCTION("""COMPUTED_VALUE"""),101696790)</f>
        <v>101696790</v>
      </c>
    </row>
    <row r="1946" spans="1:6" x14ac:dyDescent="0.35">
      <c r="A1946" s="2">
        <f ca="1">IFERROR(__xludf.DUMMYFUNCTION("""COMPUTED_VALUE"""),44826.6666666666)</f>
        <v>44826.666666666599</v>
      </c>
      <c r="B1946" s="1">
        <f ca="1">IFERROR(__xludf.DUMMYFUNCTION("""COMPUTED_VALUE"""),152.38)</f>
        <v>152.38</v>
      </c>
      <c r="C1946" s="1">
        <f ca="1">IFERROR(__xludf.DUMMYFUNCTION("""COMPUTED_VALUE"""),154.47)</f>
        <v>154.47</v>
      </c>
      <c r="D1946" s="1">
        <f ca="1">IFERROR(__xludf.DUMMYFUNCTION("""COMPUTED_VALUE"""),150.91)</f>
        <v>150.91</v>
      </c>
      <c r="E1946" s="1">
        <f ca="1">IFERROR(__xludf.DUMMYFUNCTION("""COMPUTED_VALUE"""),152.74)</f>
        <v>152.74</v>
      </c>
      <c r="F1946" s="1">
        <f ca="1">IFERROR(__xludf.DUMMYFUNCTION("""COMPUTED_VALUE"""),86652542)</f>
        <v>86652542</v>
      </c>
    </row>
    <row r="1947" spans="1:6" x14ac:dyDescent="0.35">
      <c r="A1947" s="2">
        <f ca="1">IFERROR(__xludf.DUMMYFUNCTION("""COMPUTED_VALUE"""),44827.6666666666)</f>
        <v>44827.666666666599</v>
      </c>
      <c r="B1947" s="1">
        <f ca="1">IFERROR(__xludf.DUMMYFUNCTION("""COMPUTED_VALUE"""),151.19)</f>
        <v>151.19</v>
      </c>
      <c r="C1947" s="1">
        <f ca="1">IFERROR(__xludf.DUMMYFUNCTION("""COMPUTED_VALUE"""),151.47)</f>
        <v>151.47</v>
      </c>
      <c r="D1947" s="1">
        <f ca="1">IFERROR(__xludf.DUMMYFUNCTION("""COMPUTED_VALUE"""),148.56)</f>
        <v>148.56</v>
      </c>
      <c r="E1947" s="1">
        <f ca="1">IFERROR(__xludf.DUMMYFUNCTION("""COMPUTED_VALUE"""),150.43)</f>
        <v>150.43</v>
      </c>
      <c r="F1947" s="1">
        <f ca="1">IFERROR(__xludf.DUMMYFUNCTION("""COMPUTED_VALUE"""),96029909)</f>
        <v>96029909</v>
      </c>
    </row>
    <row r="1948" spans="1:6" x14ac:dyDescent="0.35">
      <c r="A1948" s="2">
        <f ca="1">IFERROR(__xludf.DUMMYFUNCTION("""COMPUTED_VALUE"""),44830.6666666666)</f>
        <v>44830.666666666599</v>
      </c>
      <c r="B1948" s="1">
        <f ca="1">IFERROR(__xludf.DUMMYFUNCTION("""COMPUTED_VALUE"""),149.66)</f>
        <v>149.66</v>
      </c>
      <c r="C1948" s="1">
        <f ca="1">IFERROR(__xludf.DUMMYFUNCTION("""COMPUTED_VALUE"""),153.77)</f>
        <v>153.77000000000001</v>
      </c>
      <c r="D1948" s="1">
        <f ca="1">IFERROR(__xludf.DUMMYFUNCTION("""COMPUTED_VALUE"""),149.64)</f>
        <v>149.63999999999999</v>
      </c>
      <c r="E1948" s="1">
        <f ca="1">IFERROR(__xludf.DUMMYFUNCTION("""COMPUTED_VALUE"""),150.77)</f>
        <v>150.77000000000001</v>
      </c>
      <c r="F1948" s="1">
        <f ca="1">IFERROR(__xludf.DUMMYFUNCTION("""COMPUTED_VALUE"""),93339409)</f>
        <v>93339409</v>
      </c>
    </row>
    <row r="1949" spans="1:6" x14ac:dyDescent="0.35">
      <c r="A1949" s="2">
        <f ca="1">IFERROR(__xludf.DUMMYFUNCTION("""COMPUTED_VALUE"""),44831.6666666666)</f>
        <v>44831.666666666599</v>
      </c>
      <c r="B1949" s="1">
        <f ca="1">IFERROR(__xludf.DUMMYFUNCTION("""COMPUTED_VALUE"""),152.74)</f>
        <v>152.74</v>
      </c>
      <c r="C1949" s="1">
        <f ca="1">IFERROR(__xludf.DUMMYFUNCTION("""COMPUTED_VALUE"""),154.72)</f>
        <v>154.72</v>
      </c>
      <c r="D1949" s="1">
        <f ca="1">IFERROR(__xludf.DUMMYFUNCTION("""COMPUTED_VALUE"""),149.95)</f>
        <v>149.94999999999999</v>
      </c>
      <c r="E1949" s="1">
        <f ca="1">IFERROR(__xludf.DUMMYFUNCTION("""COMPUTED_VALUE"""),151.76)</f>
        <v>151.76</v>
      </c>
      <c r="F1949" s="1">
        <f ca="1">IFERROR(__xludf.DUMMYFUNCTION("""COMPUTED_VALUE"""),84442741)</f>
        <v>84442741</v>
      </c>
    </row>
    <row r="1950" spans="1:6" x14ac:dyDescent="0.35">
      <c r="A1950" s="2">
        <f ca="1">IFERROR(__xludf.DUMMYFUNCTION("""COMPUTED_VALUE"""),44832.6666666666)</f>
        <v>44832.666666666599</v>
      </c>
      <c r="B1950" s="1">
        <f ca="1">IFERROR(__xludf.DUMMYFUNCTION("""COMPUTED_VALUE"""),147.64)</f>
        <v>147.63999999999999</v>
      </c>
      <c r="C1950" s="1">
        <f ca="1">IFERROR(__xludf.DUMMYFUNCTION("""COMPUTED_VALUE"""),150.64)</f>
        <v>150.63999999999999</v>
      </c>
      <c r="D1950" s="1">
        <f ca="1">IFERROR(__xludf.DUMMYFUNCTION("""COMPUTED_VALUE"""),144.84)</f>
        <v>144.84</v>
      </c>
      <c r="E1950" s="1">
        <f ca="1">IFERROR(__xludf.DUMMYFUNCTION("""COMPUTED_VALUE"""),149.84)</f>
        <v>149.84</v>
      </c>
      <c r="F1950" s="1">
        <f ca="1">IFERROR(__xludf.DUMMYFUNCTION("""COMPUTED_VALUE"""),146691387)</f>
        <v>146691387</v>
      </c>
    </row>
    <row r="1951" spans="1:6" x14ac:dyDescent="0.35">
      <c r="A1951" s="2">
        <f ca="1">IFERROR(__xludf.DUMMYFUNCTION("""COMPUTED_VALUE"""),44833.6666666666)</f>
        <v>44833.666666666599</v>
      </c>
      <c r="B1951" s="1">
        <f ca="1">IFERROR(__xludf.DUMMYFUNCTION("""COMPUTED_VALUE"""),146.1)</f>
        <v>146.1</v>
      </c>
      <c r="C1951" s="1">
        <f ca="1">IFERROR(__xludf.DUMMYFUNCTION("""COMPUTED_VALUE"""),146.72)</f>
        <v>146.72</v>
      </c>
      <c r="D1951" s="1">
        <f ca="1">IFERROR(__xludf.DUMMYFUNCTION("""COMPUTED_VALUE"""),140.68)</f>
        <v>140.68</v>
      </c>
      <c r="E1951" s="1">
        <f ca="1">IFERROR(__xludf.DUMMYFUNCTION("""COMPUTED_VALUE"""),142.48)</f>
        <v>142.47999999999999</v>
      </c>
      <c r="F1951" s="1">
        <f ca="1">IFERROR(__xludf.DUMMYFUNCTION("""COMPUTED_VALUE"""),128138237)</f>
        <v>128138237</v>
      </c>
    </row>
    <row r="1952" spans="1:6" x14ac:dyDescent="0.35">
      <c r="A1952" s="2">
        <f ca="1">IFERROR(__xludf.DUMMYFUNCTION("""COMPUTED_VALUE"""),44834.6666666666)</f>
        <v>44834.666666666599</v>
      </c>
      <c r="B1952" s="1">
        <f ca="1">IFERROR(__xludf.DUMMYFUNCTION("""COMPUTED_VALUE"""),141.28)</f>
        <v>141.28</v>
      </c>
      <c r="C1952" s="1">
        <f ca="1">IFERROR(__xludf.DUMMYFUNCTION("""COMPUTED_VALUE"""),143.1)</f>
        <v>143.1</v>
      </c>
      <c r="D1952" s="1">
        <f ca="1">IFERROR(__xludf.DUMMYFUNCTION("""COMPUTED_VALUE"""),138)</f>
        <v>138</v>
      </c>
      <c r="E1952" s="1">
        <f ca="1">IFERROR(__xludf.DUMMYFUNCTION("""COMPUTED_VALUE"""),138.2)</f>
        <v>138.19999999999999</v>
      </c>
      <c r="F1952" s="1">
        <f ca="1">IFERROR(__xludf.DUMMYFUNCTION("""COMPUTED_VALUE"""),124925274)</f>
        <v>124925274</v>
      </c>
    </row>
    <row r="1953" spans="1:6" x14ac:dyDescent="0.35">
      <c r="A1953" s="2">
        <f ca="1">IFERROR(__xludf.DUMMYFUNCTION("""COMPUTED_VALUE"""),44837.6666666666)</f>
        <v>44837.666666666599</v>
      </c>
      <c r="B1953" s="1">
        <f ca="1">IFERROR(__xludf.DUMMYFUNCTION("""COMPUTED_VALUE"""),138.21)</f>
        <v>138.21</v>
      </c>
      <c r="C1953" s="1">
        <f ca="1">IFERROR(__xludf.DUMMYFUNCTION("""COMPUTED_VALUE"""),143.07)</f>
        <v>143.07</v>
      </c>
      <c r="D1953" s="1">
        <f ca="1">IFERROR(__xludf.DUMMYFUNCTION("""COMPUTED_VALUE"""),137.69)</f>
        <v>137.69</v>
      </c>
      <c r="E1953" s="1">
        <f ca="1">IFERROR(__xludf.DUMMYFUNCTION("""COMPUTED_VALUE"""),142.45)</f>
        <v>142.44999999999999</v>
      </c>
      <c r="F1953" s="1">
        <f ca="1">IFERROR(__xludf.DUMMYFUNCTION("""COMPUTED_VALUE"""),114311663)</f>
        <v>114311663</v>
      </c>
    </row>
    <row r="1954" spans="1:6" x14ac:dyDescent="0.35">
      <c r="A1954" s="2">
        <f ca="1">IFERROR(__xludf.DUMMYFUNCTION("""COMPUTED_VALUE"""),44838.6666666666)</f>
        <v>44838.666666666599</v>
      </c>
      <c r="B1954" s="1">
        <f ca="1">IFERROR(__xludf.DUMMYFUNCTION("""COMPUTED_VALUE"""),145.03)</f>
        <v>145.03</v>
      </c>
      <c r="C1954" s="1">
        <f ca="1">IFERROR(__xludf.DUMMYFUNCTION("""COMPUTED_VALUE"""),146.22)</f>
        <v>146.22</v>
      </c>
      <c r="D1954" s="1">
        <f ca="1">IFERROR(__xludf.DUMMYFUNCTION("""COMPUTED_VALUE"""),144.26)</f>
        <v>144.26</v>
      </c>
      <c r="E1954" s="1">
        <f ca="1">IFERROR(__xludf.DUMMYFUNCTION("""COMPUTED_VALUE"""),146.1)</f>
        <v>146.1</v>
      </c>
      <c r="F1954" s="1">
        <f ca="1">IFERROR(__xludf.DUMMYFUNCTION("""COMPUTED_VALUE"""),87830064)</f>
        <v>87830064</v>
      </c>
    </row>
    <row r="1955" spans="1:6" x14ac:dyDescent="0.35">
      <c r="A1955" s="2">
        <f ca="1">IFERROR(__xludf.DUMMYFUNCTION("""COMPUTED_VALUE"""),44839.6666666666)</f>
        <v>44839.666666666599</v>
      </c>
      <c r="B1955" s="1">
        <f ca="1">IFERROR(__xludf.DUMMYFUNCTION("""COMPUTED_VALUE"""),144.07)</f>
        <v>144.07</v>
      </c>
      <c r="C1955" s="1">
        <f ca="1">IFERROR(__xludf.DUMMYFUNCTION("""COMPUTED_VALUE"""),147.38)</f>
        <v>147.38</v>
      </c>
      <c r="D1955" s="1">
        <f ca="1">IFERROR(__xludf.DUMMYFUNCTION("""COMPUTED_VALUE"""),143.01)</f>
        <v>143.01</v>
      </c>
      <c r="E1955" s="1">
        <f ca="1">IFERROR(__xludf.DUMMYFUNCTION("""COMPUTED_VALUE"""),146.4)</f>
        <v>146.4</v>
      </c>
      <c r="F1955" s="1">
        <f ca="1">IFERROR(__xludf.DUMMYFUNCTION("""COMPUTED_VALUE"""),79470968)</f>
        <v>79470968</v>
      </c>
    </row>
    <row r="1956" spans="1:6" x14ac:dyDescent="0.35">
      <c r="A1956" s="2">
        <f ca="1">IFERROR(__xludf.DUMMYFUNCTION("""COMPUTED_VALUE"""),44840.6666666666)</f>
        <v>44840.666666666599</v>
      </c>
      <c r="B1956" s="1">
        <f ca="1">IFERROR(__xludf.DUMMYFUNCTION("""COMPUTED_VALUE"""),145.81)</f>
        <v>145.81</v>
      </c>
      <c r="C1956" s="1">
        <f ca="1">IFERROR(__xludf.DUMMYFUNCTION("""COMPUTED_VALUE"""),147.54)</f>
        <v>147.54</v>
      </c>
      <c r="D1956" s="1">
        <f ca="1">IFERROR(__xludf.DUMMYFUNCTION("""COMPUTED_VALUE"""),145.22)</f>
        <v>145.22</v>
      </c>
      <c r="E1956" s="1">
        <f ca="1">IFERROR(__xludf.DUMMYFUNCTION("""COMPUTED_VALUE"""),145.43)</f>
        <v>145.43</v>
      </c>
      <c r="F1956" s="1">
        <f ca="1">IFERROR(__xludf.DUMMYFUNCTION("""COMPUTED_VALUE"""),68402169)</f>
        <v>68402169</v>
      </c>
    </row>
    <row r="1957" spans="1:6" x14ac:dyDescent="0.35">
      <c r="A1957" s="2">
        <f ca="1">IFERROR(__xludf.DUMMYFUNCTION("""COMPUTED_VALUE"""),44841.6666666666)</f>
        <v>44841.666666666599</v>
      </c>
      <c r="B1957" s="1">
        <f ca="1">IFERROR(__xludf.DUMMYFUNCTION("""COMPUTED_VALUE"""),142.54)</f>
        <v>142.54</v>
      </c>
      <c r="C1957" s="1">
        <f ca="1">IFERROR(__xludf.DUMMYFUNCTION("""COMPUTED_VALUE"""),143.1)</f>
        <v>143.1</v>
      </c>
      <c r="D1957" s="1">
        <f ca="1">IFERROR(__xludf.DUMMYFUNCTION("""COMPUTED_VALUE"""),139.45)</f>
        <v>139.44999999999999</v>
      </c>
      <c r="E1957" s="1">
        <f ca="1">IFERROR(__xludf.DUMMYFUNCTION("""COMPUTED_VALUE"""),140.09)</f>
        <v>140.09</v>
      </c>
      <c r="F1957" s="1">
        <f ca="1">IFERROR(__xludf.DUMMYFUNCTION("""COMPUTED_VALUE"""),85925559)</f>
        <v>85925559</v>
      </c>
    </row>
    <row r="1958" spans="1:6" x14ac:dyDescent="0.35">
      <c r="A1958" s="2">
        <f ca="1">IFERROR(__xludf.DUMMYFUNCTION("""COMPUTED_VALUE"""),44844.6666666666)</f>
        <v>44844.666666666599</v>
      </c>
      <c r="B1958" s="1">
        <f ca="1">IFERROR(__xludf.DUMMYFUNCTION("""COMPUTED_VALUE"""),140.42)</f>
        <v>140.41999999999999</v>
      </c>
      <c r="C1958" s="1">
        <f ca="1">IFERROR(__xludf.DUMMYFUNCTION("""COMPUTED_VALUE"""),141.89)</f>
        <v>141.88999999999999</v>
      </c>
      <c r="D1958" s="1">
        <f ca="1">IFERROR(__xludf.DUMMYFUNCTION("""COMPUTED_VALUE"""),138.57)</f>
        <v>138.57</v>
      </c>
      <c r="E1958" s="1">
        <f ca="1">IFERROR(__xludf.DUMMYFUNCTION("""COMPUTED_VALUE"""),140.42)</f>
        <v>140.41999999999999</v>
      </c>
      <c r="F1958" s="1">
        <f ca="1">IFERROR(__xludf.DUMMYFUNCTION("""COMPUTED_VALUE"""),74899002)</f>
        <v>74899002</v>
      </c>
    </row>
    <row r="1959" spans="1:6" x14ac:dyDescent="0.35">
      <c r="A1959" s="2">
        <f ca="1">IFERROR(__xludf.DUMMYFUNCTION("""COMPUTED_VALUE"""),44845.6666666666)</f>
        <v>44845.666666666599</v>
      </c>
      <c r="B1959" s="1">
        <f ca="1">IFERROR(__xludf.DUMMYFUNCTION("""COMPUTED_VALUE"""),139.9)</f>
        <v>139.9</v>
      </c>
      <c r="C1959" s="1">
        <f ca="1">IFERROR(__xludf.DUMMYFUNCTION("""COMPUTED_VALUE"""),141.35)</f>
        <v>141.35</v>
      </c>
      <c r="D1959" s="1">
        <f ca="1">IFERROR(__xludf.DUMMYFUNCTION("""COMPUTED_VALUE"""),138.22)</f>
        <v>138.22</v>
      </c>
      <c r="E1959" s="1">
        <f ca="1">IFERROR(__xludf.DUMMYFUNCTION("""COMPUTED_VALUE"""),138.98)</f>
        <v>138.97999999999999</v>
      </c>
      <c r="F1959" s="1">
        <f ca="1">IFERROR(__xludf.DUMMYFUNCTION("""COMPUTED_VALUE"""),77033672)</f>
        <v>77033672</v>
      </c>
    </row>
    <row r="1960" spans="1:6" x14ac:dyDescent="0.35">
      <c r="A1960" s="2">
        <f ca="1">IFERROR(__xludf.DUMMYFUNCTION("""COMPUTED_VALUE"""),44846.6666666666)</f>
        <v>44846.666666666599</v>
      </c>
      <c r="B1960" s="1">
        <f ca="1">IFERROR(__xludf.DUMMYFUNCTION("""COMPUTED_VALUE"""),139.13)</f>
        <v>139.13</v>
      </c>
      <c r="C1960" s="1">
        <f ca="1">IFERROR(__xludf.DUMMYFUNCTION("""COMPUTED_VALUE"""),140.36)</f>
        <v>140.36000000000001</v>
      </c>
      <c r="D1960" s="1">
        <f ca="1">IFERROR(__xludf.DUMMYFUNCTION("""COMPUTED_VALUE"""),138.16)</f>
        <v>138.16</v>
      </c>
      <c r="E1960" s="1">
        <f ca="1">IFERROR(__xludf.DUMMYFUNCTION("""COMPUTED_VALUE"""),138.34)</f>
        <v>138.34</v>
      </c>
      <c r="F1960" s="1">
        <f ca="1">IFERROR(__xludf.DUMMYFUNCTION("""COMPUTED_VALUE"""),70433744)</f>
        <v>70433744</v>
      </c>
    </row>
    <row r="1961" spans="1:6" x14ac:dyDescent="0.35">
      <c r="A1961" s="2">
        <f ca="1">IFERROR(__xludf.DUMMYFUNCTION("""COMPUTED_VALUE"""),44847.6666666666)</f>
        <v>44847.666666666599</v>
      </c>
      <c r="B1961" s="1">
        <f ca="1">IFERROR(__xludf.DUMMYFUNCTION("""COMPUTED_VALUE"""),134.99)</f>
        <v>134.99</v>
      </c>
      <c r="C1961" s="1">
        <f ca="1">IFERROR(__xludf.DUMMYFUNCTION("""COMPUTED_VALUE"""),143.59)</f>
        <v>143.59</v>
      </c>
      <c r="D1961" s="1">
        <f ca="1">IFERROR(__xludf.DUMMYFUNCTION("""COMPUTED_VALUE"""),134.37)</f>
        <v>134.37</v>
      </c>
      <c r="E1961" s="1">
        <f ca="1">IFERROR(__xludf.DUMMYFUNCTION("""COMPUTED_VALUE"""),142.99)</f>
        <v>142.99</v>
      </c>
      <c r="F1961" s="1">
        <f ca="1">IFERROR(__xludf.DUMMYFUNCTION("""COMPUTED_VALUE"""),113223975)</f>
        <v>113223975</v>
      </c>
    </row>
    <row r="1962" spans="1:6" x14ac:dyDescent="0.35">
      <c r="A1962" s="2">
        <f ca="1">IFERROR(__xludf.DUMMYFUNCTION("""COMPUTED_VALUE"""),44848.6666666666)</f>
        <v>44848.666666666599</v>
      </c>
      <c r="B1962" s="1">
        <f ca="1">IFERROR(__xludf.DUMMYFUNCTION("""COMPUTED_VALUE"""),144.31)</f>
        <v>144.31</v>
      </c>
      <c r="C1962" s="1">
        <f ca="1">IFERROR(__xludf.DUMMYFUNCTION("""COMPUTED_VALUE"""),144.52)</f>
        <v>144.52000000000001</v>
      </c>
      <c r="D1962" s="1">
        <f ca="1">IFERROR(__xludf.DUMMYFUNCTION("""COMPUTED_VALUE"""),138.19)</f>
        <v>138.19</v>
      </c>
      <c r="E1962" s="1">
        <f ca="1">IFERROR(__xludf.DUMMYFUNCTION("""COMPUTED_VALUE"""),138.38)</f>
        <v>138.38</v>
      </c>
      <c r="F1962" s="1">
        <f ca="1">IFERROR(__xludf.DUMMYFUNCTION("""COMPUTED_VALUE"""),88597969)</f>
        <v>88597969</v>
      </c>
    </row>
    <row r="1963" spans="1:6" x14ac:dyDescent="0.35">
      <c r="A1963" s="2">
        <f ca="1">IFERROR(__xludf.DUMMYFUNCTION("""COMPUTED_VALUE"""),44851.6666666666)</f>
        <v>44851.666666666599</v>
      </c>
      <c r="B1963" s="1">
        <f ca="1">IFERROR(__xludf.DUMMYFUNCTION("""COMPUTED_VALUE"""),141.07)</f>
        <v>141.07</v>
      </c>
      <c r="C1963" s="1">
        <f ca="1">IFERROR(__xludf.DUMMYFUNCTION("""COMPUTED_VALUE"""),142.9)</f>
        <v>142.9</v>
      </c>
      <c r="D1963" s="1">
        <f ca="1">IFERROR(__xludf.DUMMYFUNCTION("""COMPUTED_VALUE"""),140.27)</f>
        <v>140.27000000000001</v>
      </c>
      <c r="E1963" s="1">
        <f ca="1">IFERROR(__xludf.DUMMYFUNCTION("""COMPUTED_VALUE"""),142.41)</f>
        <v>142.41</v>
      </c>
      <c r="F1963" s="1">
        <f ca="1">IFERROR(__xludf.DUMMYFUNCTION("""COMPUTED_VALUE"""),85250939)</f>
        <v>85250939</v>
      </c>
    </row>
    <row r="1964" spans="1:6" x14ac:dyDescent="0.35">
      <c r="A1964" s="2">
        <f ca="1">IFERROR(__xludf.DUMMYFUNCTION("""COMPUTED_VALUE"""),44852.6666666666)</f>
        <v>44852.666666666599</v>
      </c>
      <c r="B1964" s="1">
        <f ca="1">IFERROR(__xludf.DUMMYFUNCTION("""COMPUTED_VALUE"""),145.49)</f>
        <v>145.49</v>
      </c>
      <c r="C1964" s="1">
        <f ca="1">IFERROR(__xludf.DUMMYFUNCTION("""COMPUTED_VALUE"""),146.7)</f>
        <v>146.69999999999999</v>
      </c>
      <c r="D1964" s="1">
        <f ca="1">IFERROR(__xludf.DUMMYFUNCTION("""COMPUTED_VALUE"""),140.61)</f>
        <v>140.61000000000001</v>
      </c>
      <c r="E1964" s="1">
        <f ca="1">IFERROR(__xludf.DUMMYFUNCTION("""COMPUTED_VALUE"""),143.75)</f>
        <v>143.75</v>
      </c>
      <c r="F1964" s="1">
        <f ca="1">IFERROR(__xludf.DUMMYFUNCTION("""COMPUTED_VALUE"""),99136610)</f>
        <v>99136610</v>
      </c>
    </row>
    <row r="1965" spans="1:6" x14ac:dyDescent="0.35">
      <c r="A1965" s="2">
        <f ca="1">IFERROR(__xludf.DUMMYFUNCTION("""COMPUTED_VALUE"""),44853.6666666666)</f>
        <v>44853.666666666599</v>
      </c>
      <c r="B1965" s="1">
        <f ca="1">IFERROR(__xludf.DUMMYFUNCTION("""COMPUTED_VALUE"""),141.69)</f>
        <v>141.69</v>
      </c>
      <c r="C1965" s="1">
        <f ca="1">IFERROR(__xludf.DUMMYFUNCTION("""COMPUTED_VALUE"""),144.95)</f>
        <v>144.94999999999999</v>
      </c>
      <c r="D1965" s="1">
        <f ca="1">IFERROR(__xludf.DUMMYFUNCTION("""COMPUTED_VALUE"""),141.5)</f>
        <v>141.5</v>
      </c>
      <c r="E1965" s="1">
        <f ca="1">IFERROR(__xludf.DUMMYFUNCTION("""COMPUTED_VALUE"""),143.86)</f>
        <v>143.86000000000001</v>
      </c>
      <c r="F1965" s="1">
        <f ca="1">IFERROR(__xludf.DUMMYFUNCTION("""COMPUTED_VALUE"""),61758340)</f>
        <v>61758340</v>
      </c>
    </row>
    <row r="1966" spans="1:6" x14ac:dyDescent="0.35">
      <c r="A1966" s="2">
        <f ca="1">IFERROR(__xludf.DUMMYFUNCTION("""COMPUTED_VALUE"""),44854.6666666666)</f>
        <v>44854.666666666599</v>
      </c>
      <c r="B1966" s="1">
        <f ca="1">IFERROR(__xludf.DUMMYFUNCTION("""COMPUTED_VALUE"""),143.02)</f>
        <v>143.02000000000001</v>
      </c>
      <c r="C1966" s="1">
        <f ca="1">IFERROR(__xludf.DUMMYFUNCTION("""COMPUTED_VALUE"""),145.89)</f>
        <v>145.88999999999999</v>
      </c>
      <c r="D1966" s="1">
        <f ca="1">IFERROR(__xludf.DUMMYFUNCTION("""COMPUTED_VALUE"""),142.65)</f>
        <v>142.65</v>
      </c>
      <c r="E1966" s="1">
        <f ca="1">IFERROR(__xludf.DUMMYFUNCTION("""COMPUTED_VALUE"""),143.39)</f>
        <v>143.38999999999999</v>
      </c>
      <c r="F1966" s="1">
        <f ca="1">IFERROR(__xludf.DUMMYFUNCTION("""COMPUTED_VALUE"""),64521989)</f>
        <v>64521989</v>
      </c>
    </row>
    <row r="1967" spans="1:6" x14ac:dyDescent="0.35">
      <c r="A1967" s="2">
        <f ca="1">IFERROR(__xludf.DUMMYFUNCTION("""COMPUTED_VALUE"""),44855.6666666666)</f>
        <v>44855.666666666599</v>
      </c>
      <c r="B1967" s="1">
        <f ca="1">IFERROR(__xludf.DUMMYFUNCTION("""COMPUTED_VALUE"""),142.87)</f>
        <v>142.87</v>
      </c>
      <c r="C1967" s="1">
        <f ca="1">IFERROR(__xludf.DUMMYFUNCTION("""COMPUTED_VALUE"""),147.85)</f>
        <v>147.85</v>
      </c>
      <c r="D1967" s="1">
        <f ca="1">IFERROR(__xludf.DUMMYFUNCTION("""COMPUTED_VALUE"""),142.65)</f>
        <v>142.65</v>
      </c>
      <c r="E1967" s="1">
        <f ca="1">IFERROR(__xludf.DUMMYFUNCTION("""COMPUTED_VALUE"""),147.27)</f>
        <v>147.27000000000001</v>
      </c>
      <c r="F1967" s="1">
        <f ca="1">IFERROR(__xludf.DUMMYFUNCTION("""COMPUTED_VALUE"""),86548609)</f>
        <v>86548609</v>
      </c>
    </row>
    <row r="1968" spans="1:6" x14ac:dyDescent="0.35">
      <c r="A1968" s="2">
        <f ca="1">IFERROR(__xludf.DUMMYFUNCTION("""COMPUTED_VALUE"""),44858.6666666666)</f>
        <v>44858.666666666599</v>
      </c>
      <c r="B1968" s="1">
        <f ca="1">IFERROR(__xludf.DUMMYFUNCTION("""COMPUTED_VALUE"""),147.19)</f>
        <v>147.19</v>
      </c>
      <c r="C1968" s="1">
        <f ca="1">IFERROR(__xludf.DUMMYFUNCTION("""COMPUTED_VALUE"""),150.23)</f>
        <v>150.22999999999999</v>
      </c>
      <c r="D1968" s="1">
        <f ca="1">IFERROR(__xludf.DUMMYFUNCTION("""COMPUTED_VALUE"""),146)</f>
        <v>146</v>
      </c>
      <c r="E1968" s="1">
        <f ca="1">IFERROR(__xludf.DUMMYFUNCTION("""COMPUTED_VALUE"""),149.45)</f>
        <v>149.44999999999999</v>
      </c>
      <c r="F1968" s="1">
        <f ca="1">IFERROR(__xludf.DUMMYFUNCTION("""COMPUTED_VALUE"""),75981918)</f>
        <v>75981918</v>
      </c>
    </row>
    <row r="1969" spans="1:6" x14ac:dyDescent="0.35">
      <c r="A1969" s="2">
        <f ca="1">IFERROR(__xludf.DUMMYFUNCTION("""COMPUTED_VALUE"""),44859.6666666666)</f>
        <v>44859.666666666599</v>
      </c>
      <c r="B1969" s="1">
        <f ca="1">IFERROR(__xludf.DUMMYFUNCTION("""COMPUTED_VALUE"""),150.09)</f>
        <v>150.09</v>
      </c>
      <c r="C1969" s="1">
        <f ca="1">IFERROR(__xludf.DUMMYFUNCTION("""COMPUTED_VALUE"""),152.49)</f>
        <v>152.49</v>
      </c>
      <c r="D1969" s="1">
        <f ca="1">IFERROR(__xludf.DUMMYFUNCTION("""COMPUTED_VALUE"""),149.36)</f>
        <v>149.36000000000001</v>
      </c>
      <c r="E1969" s="1">
        <f ca="1">IFERROR(__xludf.DUMMYFUNCTION("""COMPUTED_VALUE"""),152.34)</f>
        <v>152.34</v>
      </c>
      <c r="F1969" s="1">
        <f ca="1">IFERROR(__xludf.DUMMYFUNCTION("""COMPUTED_VALUE"""),74732290)</f>
        <v>74732290</v>
      </c>
    </row>
    <row r="1970" spans="1:6" x14ac:dyDescent="0.35">
      <c r="A1970" s="2">
        <f ca="1">IFERROR(__xludf.DUMMYFUNCTION("""COMPUTED_VALUE"""),44860.6666666666)</f>
        <v>44860.666666666599</v>
      </c>
      <c r="B1970" s="1">
        <f ca="1">IFERROR(__xludf.DUMMYFUNCTION("""COMPUTED_VALUE"""),150.96)</f>
        <v>150.96</v>
      </c>
      <c r="C1970" s="1">
        <f ca="1">IFERROR(__xludf.DUMMYFUNCTION("""COMPUTED_VALUE"""),151.99)</f>
        <v>151.99</v>
      </c>
      <c r="D1970" s="1">
        <f ca="1">IFERROR(__xludf.DUMMYFUNCTION("""COMPUTED_VALUE"""),148.04)</f>
        <v>148.04</v>
      </c>
      <c r="E1970" s="1">
        <f ca="1">IFERROR(__xludf.DUMMYFUNCTION("""COMPUTED_VALUE"""),149.35)</f>
        <v>149.35</v>
      </c>
      <c r="F1970" s="1">
        <f ca="1">IFERROR(__xludf.DUMMYFUNCTION("""COMPUTED_VALUE"""),88436172)</f>
        <v>88436172</v>
      </c>
    </row>
    <row r="1971" spans="1:6" x14ac:dyDescent="0.35">
      <c r="A1971" s="2">
        <f ca="1">IFERROR(__xludf.DUMMYFUNCTION("""COMPUTED_VALUE"""),44861.6666666666)</f>
        <v>44861.666666666599</v>
      </c>
      <c r="B1971" s="1">
        <f ca="1">IFERROR(__xludf.DUMMYFUNCTION("""COMPUTED_VALUE"""),148.07)</f>
        <v>148.07</v>
      </c>
      <c r="C1971" s="1">
        <f ca="1">IFERROR(__xludf.DUMMYFUNCTION("""COMPUTED_VALUE"""),149.05)</f>
        <v>149.05000000000001</v>
      </c>
      <c r="D1971" s="1">
        <f ca="1">IFERROR(__xludf.DUMMYFUNCTION("""COMPUTED_VALUE"""),144.13)</f>
        <v>144.13</v>
      </c>
      <c r="E1971" s="1">
        <f ca="1">IFERROR(__xludf.DUMMYFUNCTION("""COMPUTED_VALUE"""),144.8)</f>
        <v>144.80000000000001</v>
      </c>
      <c r="F1971" s="1">
        <f ca="1">IFERROR(__xludf.DUMMYFUNCTION("""COMPUTED_VALUE"""),109180150)</f>
        <v>109180150</v>
      </c>
    </row>
    <row r="1972" spans="1:6" x14ac:dyDescent="0.35">
      <c r="A1972" s="2">
        <f ca="1">IFERROR(__xludf.DUMMYFUNCTION("""COMPUTED_VALUE"""),44862.6666666666)</f>
        <v>44862.666666666599</v>
      </c>
      <c r="B1972" s="1">
        <f ca="1">IFERROR(__xludf.DUMMYFUNCTION("""COMPUTED_VALUE"""),148.2)</f>
        <v>148.19999999999999</v>
      </c>
      <c r="C1972" s="1">
        <f ca="1">IFERROR(__xludf.DUMMYFUNCTION("""COMPUTED_VALUE"""),157.5)</f>
        <v>157.5</v>
      </c>
      <c r="D1972" s="1">
        <f ca="1">IFERROR(__xludf.DUMMYFUNCTION("""COMPUTED_VALUE"""),147.82)</f>
        <v>147.82</v>
      </c>
      <c r="E1972" s="1">
        <f ca="1">IFERROR(__xludf.DUMMYFUNCTION("""COMPUTED_VALUE"""),155.74)</f>
        <v>155.74</v>
      </c>
      <c r="F1972" s="1">
        <f ca="1">IFERROR(__xludf.DUMMYFUNCTION("""COMPUTED_VALUE"""),164762371)</f>
        <v>164762371</v>
      </c>
    </row>
    <row r="1973" spans="1:6" x14ac:dyDescent="0.35">
      <c r="A1973" s="2">
        <f ca="1">IFERROR(__xludf.DUMMYFUNCTION("""COMPUTED_VALUE"""),44865.6666666666)</f>
        <v>44865.666666666599</v>
      </c>
      <c r="B1973" s="1">
        <f ca="1">IFERROR(__xludf.DUMMYFUNCTION("""COMPUTED_VALUE"""),153.16)</f>
        <v>153.16</v>
      </c>
      <c r="C1973" s="1">
        <f ca="1">IFERROR(__xludf.DUMMYFUNCTION("""COMPUTED_VALUE"""),154.24)</f>
        <v>154.24</v>
      </c>
      <c r="D1973" s="1">
        <f ca="1">IFERROR(__xludf.DUMMYFUNCTION("""COMPUTED_VALUE"""),151.92)</f>
        <v>151.91999999999999</v>
      </c>
      <c r="E1973" s="1">
        <f ca="1">IFERROR(__xludf.DUMMYFUNCTION("""COMPUTED_VALUE"""),153.34)</f>
        <v>153.34</v>
      </c>
      <c r="F1973" s="1">
        <f ca="1">IFERROR(__xludf.DUMMYFUNCTION("""COMPUTED_VALUE"""),97943171)</f>
        <v>97943171</v>
      </c>
    </row>
    <row r="1974" spans="1:6" x14ac:dyDescent="0.35">
      <c r="A1974" s="2">
        <f ca="1">IFERROR(__xludf.DUMMYFUNCTION("""COMPUTED_VALUE"""),44866.6666666666)</f>
        <v>44866.666666666599</v>
      </c>
      <c r="B1974" s="1">
        <f ca="1">IFERROR(__xludf.DUMMYFUNCTION("""COMPUTED_VALUE"""),155.08)</f>
        <v>155.08000000000001</v>
      </c>
      <c r="C1974" s="1">
        <f ca="1">IFERROR(__xludf.DUMMYFUNCTION("""COMPUTED_VALUE"""),155.45)</f>
        <v>155.44999999999999</v>
      </c>
      <c r="D1974" s="1">
        <f ca="1">IFERROR(__xludf.DUMMYFUNCTION("""COMPUTED_VALUE"""),149.13)</f>
        <v>149.13</v>
      </c>
      <c r="E1974" s="1">
        <f ca="1">IFERROR(__xludf.DUMMYFUNCTION("""COMPUTED_VALUE"""),150.65)</f>
        <v>150.65</v>
      </c>
      <c r="F1974" s="1">
        <f ca="1">IFERROR(__xludf.DUMMYFUNCTION("""COMPUTED_VALUE"""),80379345)</f>
        <v>80379345</v>
      </c>
    </row>
    <row r="1975" spans="1:6" x14ac:dyDescent="0.35">
      <c r="A1975" s="2">
        <f ca="1">IFERROR(__xludf.DUMMYFUNCTION("""COMPUTED_VALUE"""),44867.6666666666)</f>
        <v>44867.666666666599</v>
      </c>
      <c r="B1975" s="1">
        <f ca="1">IFERROR(__xludf.DUMMYFUNCTION("""COMPUTED_VALUE"""),148.95)</f>
        <v>148.94999999999999</v>
      </c>
      <c r="C1975" s="1">
        <f ca="1">IFERROR(__xludf.DUMMYFUNCTION("""COMPUTED_VALUE"""),152.17)</f>
        <v>152.16999999999999</v>
      </c>
      <c r="D1975" s="1">
        <f ca="1">IFERROR(__xludf.DUMMYFUNCTION("""COMPUTED_VALUE"""),145)</f>
        <v>145</v>
      </c>
      <c r="E1975" s="1">
        <f ca="1">IFERROR(__xludf.DUMMYFUNCTION("""COMPUTED_VALUE"""),145.03)</f>
        <v>145.03</v>
      </c>
      <c r="F1975" s="1">
        <f ca="1">IFERROR(__xludf.DUMMYFUNCTION("""COMPUTED_VALUE"""),93604623)</f>
        <v>93604623</v>
      </c>
    </row>
    <row r="1976" spans="1:6" x14ac:dyDescent="0.35">
      <c r="A1976" s="2">
        <f ca="1">IFERROR(__xludf.DUMMYFUNCTION("""COMPUTED_VALUE"""),44868.6666666666)</f>
        <v>44868.666666666599</v>
      </c>
      <c r="B1976" s="1">
        <f ca="1">IFERROR(__xludf.DUMMYFUNCTION("""COMPUTED_VALUE"""),142.06)</f>
        <v>142.06</v>
      </c>
      <c r="C1976" s="1">
        <f ca="1">IFERROR(__xludf.DUMMYFUNCTION("""COMPUTED_VALUE"""),142.8)</f>
        <v>142.80000000000001</v>
      </c>
      <c r="D1976" s="1">
        <f ca="1">IFERROR(__xludf.DUMMYFUNCTION("""COMPUTED_VALUE"""),138.75)</f>
        <v>138.75</v>
      </c>
      <c r="E1976" s="1">
        <f ca="1">IFERROR(__xludf.DUMMYFUNCTION("""COMPUTED_VALUE"""),138.88)</f>
        <v>138.88</v>
      </c>
      <c r="F1976" s="1">
        <f ca="1">IFERROR(__xludf.DUMMYFUNCTION("""COMPUTED_VALUE"""),97918516)</f>
        <v>97918516</v>
      </c>
    </row>
    <row r="1977" spans="1:6" x14ac:dyDescent="0.35">
      <c r="A1977" s="2">
        <f ca="1">IFERROR(__xludf.DUMMYFUNCTION("""COMPUTED_VALUE"""),44869.6666666666)</f>
        <v>44869.666666666599</v>
      </c>
      <c r="B1977" s="1">
        <f ca="1">IFERROR(__xludf.DUMMYFUNCTION("""COMPUTED_VALUE"""),142.09)</f>
        <v>142.09</v>
      </c>
      <c r="C1977" s="1">
        <f ca="1">IFERROR(__xludf.DUMMYFUNCTION("""COMPUTED_VALUE"""),142.67)</f>
        <v>142.66999999999999</v>
      </c>
      <c r="D1977" s="1">
        <f ca="1">IFERROR(__xludf.DUMMYFUNCTION("""COMPUTED_VALUE"""),134.38)</f>
        <v>134.38</v>
      </c>
      <c r="E1977" s="1">
        <f ca="1">IFERROR(__xludf.DUMMYFUNCTION("""COMPUTED_VALUE"""),138.38)</f>
        <v>138.38</v>
      </c>
      <c r="F1977" s="1">
        <f ca="1">IFERROR(__xludf.DUMMYFUNCTION("""COMPUTED_VALUE"""),140814796)</f>
        <v>140814796</v>
      </c>
    </row>
    <row r="1978" spans="1:6" x14ac:dyDescent="0.35">
      <c r="A1978" s="2">
        <f ca="1">IFERROR(__xludf.DUMMYFUNCTION("""COMPUTED_VALUE"""),44872.6666666666)</f>
        <v>44872.666666666599</v>
      </c>
      <c r="B1978" s="1">
        <f ca="1">IFERROR(__xludf.DUMMYFUNCTION("""COMPUTED_VALUE"""),137.11)</f>
        <v>137.11000000000001</v>
      </c>
      <c r="C1978" s="1">
        <f ca="1">IFERROR(__xludf.DUMMYFUNCTION("""COMPUTED_VALUE"""),139.15)</f>
        <v>139.15</v>
      </c>
      <c r="D1978" s="1">
        <f ca="1">IFERROR(__xludf.DUMMYFUNCTION("""COMPUTED_VALUE"""),135.67)</f>
        <v>135.66999999999999</v>
      </c>
      <c r="E1978" s="1">
        <f ca="1">IFERROR(__xludf.DUMMYFUNCTION("""COMPUTED_VALUE"""),138.92)</f>
        <v>138.91999999999999</v>
      </c>
      <c r="F1978" s="1">
        <f ca="1">IFERROR(__xludf.DUMMYFUNCTION("""COMPUTED_VALUE"""),83374628)</f>
        <v>83374628</v>
      </c>
    </row>
    <row r="1979" spans="1:6" x14ac:dyDescent="0.35">
      <c r="A1979" s="2">
        <f ca="1">IFERROR(__xludf.DUMMYFUNCTION("""COMPUTED_VALUE"""),44873.6666666666)</f>
        <v>44873.666666666599</v>
      </c>
      <c r="B1979" s="1">
        <f ca="1">IFERROR(__xludf.DUMMYFUNCTION("""COMPUTED_VALUE"""),140.41)</f>
        <v>140.41</v>
      </c>
      <c r="C1979" s="1">
        <f ca="1">IFERROR(__xludf.DUMMYFUNCTION("""COMPUTED_VALUE"""),141.43)</f>
        <v>141.43</v>
      </c>
      <c r="D1979" s="1">
        <f ca="1">IFERROR(__xludf.DUMMYFUNCTION("""COMPUTED_VALUE"""),137.49)</f>
        <v>137.49</v>
      </c>
      <c r="E1979" s="1">
        <f ca="1">IFERROR(__xludf.DUMMYFUNCTION("""COMPUTED_VALUE"""),139.5)</f>
        <v>139.5</v>
      </c>
      <c r="F1979" s="1">
        <f ca="1">IFERROR(__xludf.DUMMYFUNCTION("""COMPUTED_VALUE"""),89908477)</f>
        <v>89908477</v>
      </c>
    </row>
    <row r="1980" spans="1:6" x14ac:dyDescent="0.35">
      <c r="A1980" s="2">
        <f ca="1">IFERROR(__xludf.DUMMYFUNCTION("""COMPUTED_VALUE"""),44874.6666666666)</f>
        <v>44874.666666666599</v>
      </c>
      <c r="B1980" s="1">
        <f ca="1">IFERROR(__xludf.DUMMYFUNCTION("""COMPUTED_VALUE"""),138.5)</f>
        <v>138.5</v>
      </c>
      <c r="C1980" s="1">
        <f ca="1">IFERROR(__xludf.DUMMYFUNCTION("""COMPUTED_VALUE"""),138.55)</f>
        <v>138.55000000000001</v>
      </c>
      <c r="D1980" s="1">
        <f ca="1">IFERROR(__xludf.DUMMYFUNCTION("""COMPUTED_VALUE"""),134.59)</f>
        <v>134.59</v>
      </c>
      <c r="E1980" s="1">
        <f ca="1">IFERROR(__xludf.DUMMYFUNCTION("""COMPUTED_VALUE"""),134.87)</f>
        <v>134.87</v>
      </c>
      <c r="F1980" s="1">
        <f ca="1">IFERROR(__xludf.DUMMYFUNCTION("""COMPUTED_VALUE"""),74917794)</f>
        <v>74917794</v>
      </c>
    </row>
    <row r="1981" spans="1:6" x14ac:dyDescent="0.35">
      <c r="A1981" s="2">
        <f ca="1">IFERROR(__xludf.DUMMYFUNCTION("""COMPUTED_VALUE"""),44875.6666666666)</f>
        <v>44875.666666666599</v>
      </c>
      <c r="B1981" s="1">
        <f ca="1">IFERROR(__xludf.DUMMYFUNCTION("""COMPUTED_VALUE"""),141.24)</f>
        <v>141.24</v>
      </c>
      <c r="C1981" s="1">
        <f ca="1">IFERROR(__xludf.DUMMYFUNCTION("""COMPUTED_VALUE"""),146.87)</f>
        <v>146.87</v>
      </c>
      <c r="D1981" s="1">
        <f ca="1">IFERROR(__xludf.DUMMYFUNCTION("""COMPUTED_VALUE"""),139.5)</f>
        <v>139.5</v>
      </c>
      <c r="E1981" s="1">
        <f ca="1">IFERROR(__xludf.DUMMYFUNCTION("""COMPUTED_VALUE"""),146.87)</f>
        <v>146.87</v>
      </c>
      <c r="F1981" s="1">
        <f ca="1">IFERROR(__xludf.DUMMYFUNCTION("""COMPUTED_VALUE"""),118854028)</f>
        <v>118854028</v>
      </c>
    </row>
    <row r="1982" spans="1:6" x14ac:dyDescent="0.35">
      <c r="A1982" s="2">
        <f ca="1">IFERROR(__xludf.DUMMYFUNCTION("""COMPUTED_VALUE"""),44876.6666666666)</f>
        <v>44876.666666666599</v>
      </c>
      <c r="B1982" s="1">
        <f ca="1">IFERROR(__xludf.DUMMYFUNCTION("""COMPUTED_VALUE"""),145.82)</f>
        <v>145.82</v>
      </c>
      <c r="C1982" s="1">
        <f ca="1">IFERROR(__xludf.DUMMYFUNCTION("""COMPUTED_VALUE"""),150.01)</f>
        <v>150.01</v>
      </c>
      <c r="D1982" s="1">
        <f ca="1">IFERROR(__xludf.DUMMYFUNCTION("""COMPUTED_VALUE"""),144.37)</f>
        <v>144.37</v>
      </c>
      <c r="E1982" s="1">
        <f ca="1">IFERROR(__xludf.DUMMYFUNCTION("""COMPUTED_VALUE"""),149.7)</f>
        <v>149.69999999999999</v>
      </c>
      <c r="F1982" s="1">
        <f ca="1">IFERROR(__xludf.DUMMYFUNCTION("""COMPUTED_VALUE"""),93979665)</f>
        <v>93979665</v>
      </c>
    </row>
    <row r="1983" spans="1:6" x14ac:dyDescent="0.35">
      <c r="A1983" s="2">
        <f ca="1">IFERROR(__xludf.DUMMYFUNCTION("""COMPUTED_VALUE"""),44879.6666666666)</f>
        <v>44879.666666666599</v>
      </c>
      <c r="B1983" s="1">
        <f ca="1">IFERROR(__xludf.DUMMYFUNCTION("""COMPUTED_VALUE"""),148.97)</f>
        <v>148.97</v>
      </c>
      <c r="C1983" s="1">
        <f ca="1">IFERROR(__xludf.DUMMYFUNCTION("""COMPUTED_VALUE"""),150.28)</f>
        <v>150.28</v>
      </c>
      <c r="D1983" s="1">
        <f ca="1">IFERROR(__xludf.DUMMYFUNCTION("""COMPUTED_VALUE"""),147.43)</f>
        <v>147.43</v>
      </c>
      <c r="E1983" s="1">
        <f ca="1">IFERROR(__xludf.DUMMYFUNCTION("""COMPUTED_VALUE"""),148.28)</f>
        <v>148.28</v>
      </c>
      <c r="F1983" s="1">
        <f ca="1">IFERROR(__xludf.DUMMYFUNCTION("""COMPUTED_VALUE"""),73374114)</f>
        <v>73374114</v>
      </c>
    </row>
    <row r="1984" spans="1:6" x14ac:dyDescent="0.35">
      <c r="A1984" s="2">
        <f ca="1">IFERROR(__xludf.DUMMYFUNCTION("""COMPUTED_VALUE"""),44880.6666666666)</f>
        <v>44880.666666666599</v>
      </c>
      <c r="B1984" s="1">
        <f ca="1">IFERROR(__xludf.DUMMYFUNCTION("""COMPUTED_VALUE"""),152.22)</f>
        <v>152.22</v>
      </c>
      <c r="C1984" s="1">
        <f ca="1">IFERROR(__xludf.DUMMYFUNCTION("""COMPUTED_VALUE"""),153.59)</f>
        <v>153.59</v>
      </c>
      <c r="D1984" s="1">
        <f ca="1">IFERROR(__xludf.DUMMYFUNCTION("""COMPUTED_VALUE"""),148.56)</f>
        <v>148.56</v>
      </c>
      <c r="E1984" s="1">
        <f ca="1">IFERROR(__xludf.DUMMYFUNCTION("""COMPUTED_VALUE"""),150.04)</f>
        <v>150.04</v>
      </c>
      <c r="F1984" s="1">
        <f ca="1">IFERROR(__xludf.DUMMYFUNCTION("""COMPUTED_VALUE"""),89868332)</f>
        <v>89868332</v>
      </c>
    </row>
    <row r="1985" spans="1:6" x14ac:dyDescent="0.35">
      <c r="A1985" s="2">
        <f ca="1">IFERROR(__xludf.DUMMYFUNCTION("""COMPUTED_VALUE"""),44881.6666666666)</f>
        <v>44881.666666666599</v>
      </c>
      <c r="B1985" s="1">
        <f ca="1">IFERROR(__xludf.DUMMYFUNCTION("""COMPUTED_VALUE"""),149.13)</f>
        <v>149.13</v>
      </c>
      <c r="C1985" s="1">
        <f ca="1">IFERROR(__xludf.DUMMYFUNCTION("""COMPUTED_VALUE"""),149.87)</f>
        <v>149.87</v>
      </c>
      <c r="D1985" s="1">
        <f ca="1">IFERROR(__xludf.DUMMYFUNCTION("""COMPUTED_VALUE"""),147.29)</f>
        <v>147.29</v>
      </c>
      <c r="E1985" s="1">
        <f ca="1">IFERROR(__xludf.DUMMYFUNCTION("""COMPUTED_VALUE"""),148.79)</f>
        <v>148.79</v>
      </c>
      <c r="F1985" s="1">
        <f ca="1">IFERROR(__xludf.DUMMYFUNCTION("""COMPUTED_VALUE"""),64218266)</f>
        <v>64218266</v>
      </c>
    </row>
    <row r="1986" spans="1:6" x14ac:dyDescent="0.35">
      <c r="A1986" s="2">
        <f ca="1">IFERROR(__xludf.DUMMYFUNCTION("""COMPUTED_VALUE"""),44882.6666666666)</f>
        <v>44882.666666666599</v>
      </c>
      <c r="B1986" s="1">
        <f ca="1">IFERROR(__xludf.DUMMYFUNCTION("""COMPUTED_VALUE"""),146.43)</f>
        <v>146.43</v>
      </c>
      <c r="C1986" s="1">
        <f ca="1">IFERROR(__xludf.DUMMYFUNCTION("""COMPUTED_VALUE"""),151.48)</f>
        <v>151.47999999999999</v>
      </c>
      <c r="D1986" s="1">
        <f ca="1">IFERROR(__xludf.DUMMYFUNCTION("""COMPUTED_VALUE"""),146.15)</f>
        <v>146.15</v>
      </c>
      <c r="E1986" s="1">
        <f ca="1">IFERROR(__xludf.DUMMYFUNCTION("""COMPUTED_VALUE"""),150.72)</f>
        <v>150.72</v>
      </c>
      <c r="F1986" s="1">
        <f ca="1">IFERROR(__xludf.DUMMYFUNCTION("""COMPUTED_VALUE"""),80389400)</f>
        <v>80389400</v>
      </c>
    </row>
    <row r="1987" spans="1:6" x14ac:dyDescent="0.35">
      <c r="A1987" s="2">
        <f ca="1">IFERROR(__xludf.DUMMYFUNCTION("""COMPUTED_VALUE"""),44883.6666666666)</f>
        <v>44883.666666666599</v>
      </c>
      <c r="B1987" s="1">
        <f ca="1">IFERROR(__xludf.DUMMYFUNCTION("""COMPUTED_VALUE"""),152.31)</f>
        <v>152.31</v>
      </c>
      <c r="C1987" s="1">
        <f ca="1">IFERROR(__xludf.DUMMYFUNCTION("""COMPUTED_VALUE"""),152.7)</f>
        <v>152.69999999999999</v>
      </c>
      <c r="D1987" s="1">
        <f ca="1">IFERROR(__xludf.DUMMYFUNCTION("""COMPUTED_VALUE"""),149.97)</f>
        <v>149.97</v>
      </c>
      <c r="E1987" s="1">
        <f ca="1">IFERROR(__xludf.DUMMYFUNCTION("""COMPUTED_VALUE"""),151.29)</f>
        <v>151.29</v>
      </c>
      <c r="F1987" s="1">
        <f ca="1">IFERROR(__xludf.DUMMYFUNCTION("""COMPUTED_VALUE"""),74829573)</f>
        <v>74829573</v>
      </c>
    </row>
    <row r="1988" spans="1:6" x14ac:dyDescent="0.35">
      <c r="A1988" s="2">
        <f ca="1">IFERROR(__xludf.DUMMYFUNCTION("""COMPUTED_VALUE"""),44886.6666666666)</f>
        <v>44886.666666666599</v>
      </c>
      <c r="B1988" s="1">
        <f ca="1">IFERROR(__xludf.DUMMYFUNCTION("""COMPUTED_VALUE"""),150.16)</f>
        <v>150.16</v>
      </c>
      <c r="C1988" s="1">
        <f ca="1">IFERROR(__xludf.DUMMYFUNCTION("""COMPUTED_VALUE"""),150.37)</f>
        <v>150.37</v>
      </c>
      <c r="D1988" s="1">
        <f ca="1">IFERROR(__xludf.DUMMYFUNCTION("""COMPUTED_VALUE"""),147.72)</f>
        <v>147.72</v>
      </c>
      <c r="E1988" s="1">
        <f ca="1">IFERROR(__xludf.DUMMYFUNCTION("""COMPUTED_VALUE"""),148.01)</f>
        <v>148.01</v>
      </c>
      <c r="F1988" s="1">
        <f ca="1">IFERROR(__xludf.DUMMYFUNCTION("""COMPUTED_VALUE"""),58724070)</f>
        <v>58724070</v>
      </c>
    </row>
    <row r="1989" spans="1:6" x14ac:dyDescent="0.35">
      <c r="A1989" s="2">
        <f ca="1">IFERROR(__xludf.DUMMYFUNCTION("""COMPUTED_VALUE"""),44887.6666666666)</f>
        <v>44887.666666666599</v>
      </c>
      <c r="B1989" s="1">
        <f ca="1">IFERROR(__xludf.DUMMYFUNCTION("""COMPUTED_VALUE"""),148.13)</f>
        <v>148.13</v>
      </c>
      <c r="C1989" s="1">
        <f ca="1">IFERROR(__xludf.DUMMYFUNCTION("""COMPUTED_VALUE"""),150.42)</f>
        <v>150.41999999999999</v>
      </c>
      <c r="D1989" s="1">
        <f ca="1">IFERROR(__xludf.DUMMYFUNCTION("""COMPUTED_VALUE"""),146.93)</f>
        <v>146.93</v>
      </c>
      <c r="E1989" s="1">
        <f ca="1">IFERROR(__xludf.DUMMYFUNCTION("""COMPUTED_VALUE"""),150.18)</f>
        <v>150.18</v>
      </c>
      <c r="F1989" s="1">
        <f ca="1">IFERROR(__xludf.DUMMYFUNCTION("""COMPUTED_VALUE"""),51804132)</f>
        <v>51804132</v>
      </c>
    </row>
    <row r="1990" spans="1:6" x14ac:dyDescent="0.35">
      <c r="A1990" s="2">
        <f ca="1">IFERROR(__xludf.DUMMYFUNCTION("""COMPUTED_VALUE"""),44888.6666666666)</f>
        <v>44888.666666666599</v>
      </c>
      <c r="B1990" s="1">
        <f ca="1">IFERROR(__xludf.DUMMYFUNCTION("""COMPUTED_VALUE"""),149.45)</f>
        <v>149.44999999999999</v>
      </c>
      <c r="C1990" s="1">
        <f ca="1">IFERROR(__xludf.DUMMYFUNCTION("""COMPUTED_VALUE"""),151.83)</f>
        <v>151.83000000000001</v>
      </c>
      <c r="D1990" s="1">
        <f ca="1">IFERROR(__xludf.DUMMYFUNCTION("""COMPUTED_VALUE"""),149.34)</f>
        <v>149.34</v>
      </c>
      <c r="E1990" s="1">
        <f ca="1">IFERROR(__xludf.DUMMYFUNCTION("""COMPUTED_VALUE"""),151.07)</f>
        <v>151.07</v>
      </c>
      <c r="F1990" s="1">
        <f ca="1">IFERROR(__xludf.DUMMYFUNCTION("""COMPUTED_VALUE"""),58301395)</f>
        <v>58301395</v>
      </c>
    </row>
    <row r="1991" spans="1:6" x14ac:dyDescent="0.35">
      <c r="A1991" s="2">
        <f ca="1">IFERROR(__xludf.DUMMYFUNCTION("""COMPUTED_VALUE"""),44890.5451388888)</f>
        <v>44890.545138888803</v>
      </c>
      <c r="B1991" s="1">
        <f ca="1">IFERROR(__xludf.DUMMYFUNCTION("""COMPUTED_VALUE"""),148.31)</f>
        <v>148.31</v>
      </c>
      <c r="C1991" s="1">
        <f ca="1">IFERROR(__xludf.DUMMYFUNCTION("""COMPUTED_VALUE"""),148.88)</f>
        <v>148.88</v>
      </c>
      <c r="D1991" s="1">
        <f ca="1">IFERROR(__xludf.DUMMYFUNCTION("""COMPUTED_VALUE"""),147.12)</f>
        <v>147.12</v>
      </c>
      <c r="E1991" s="1">
        <f ca="1">IFERROR(__xludf.DUMMYFUNCTION("""COMPUTED_VALUE"""),148.11)</f>
        <v>148.11000000000001</v>
      </c>
      <c r="F1991" s="1">
        <f ca="1">IFERROR(__xludf.DUMMYFUNCTION("""COMPUTED_VALUE"""),35195860)</f>
        <v>35195860</v>
      </c>
    </row>
    <row r="1992" spans="1:6" x14ac:dyDescent="0.35">
      <c r="A1992" s="2">
        <f ca="1">IFERROR(__xludf.DUMMYFUNCTION("""COMPUTED_VALUE"""),44893.6666666666)</f>
        <v>44893.666666666599</v>
      </c>
      <c r="B1992" s="1">
        <f ca="1">IFERROR(__xludf.DUMMYFUNCTION("""COMPUTED_VALUE"""),145.14)</f>
        <v>145.13999999999999</v>
      </c>
      <c r="C1992" s="1">
        <f ca="1">IFERROR(__xludf.DUMMYFUNCTION("""COMPUTED_VALUE"""),146.64)</f>
        <v>146.63999999999999</v>
      </c>
      <c r="D1992" s="1">
        <f ca="1">IFERROR(__xludf.DUMMYFUNCTION("""COMPUTED_VALUE"""),143.38)</f>
        <v>143.38</v>
      </c>
      <c r="E1992" s="1">
        <f ca="1">IFERROR(__xludf.DUMMYFUNCTION("""COMPUTED_VALUE"""),144.22)</f>
        <v>144.22</v>
      </c>
      <c r="F1992" s="1">
        <f ca="1">IFERROR(__xludf.DUMMYFUNCTION("""COMPUTED_VALUE"""),69346522)</f>
        <v>69346522</v>
      </c>
    </row>
    <row r="1993" spans="1:6" x14ac:dyDescent="0.35">
      <c r="A1993" s="2">
        <f ca="1">IFERROR(__xludf.DUMMYFUNCTION("""COMPUTED_VALUE"""),44894.6666666666)</f>
        <v>44894.666666666599</v>
      </c>
      <c r="B1993" s="1">
        <f ca="1">IFERROR(__xludf.DUMMYFUNCTION("""COMPUTED_VALUE"""),144.29)</f>
        <v>144.29</v>
      </c>
      <c r="C1993" s="1">
        <f ca="1">IFERROR(__xludf.DUMMYFUNCTION("""COMPUTED_VALUE"""),144.81)</f>
        <v>144.81</v>
      </c>
      <c r="D1993" s="1">
        <f ca="1">IFERROR(__xludf.DUMMYFUNCTION("""COMPUTED_VALUE"""),140.35)</f>
        <v>140.35</v>
      </c>
      <c r="E1993" s="1">
        <f ca="1">IFERROR(__xludf.DUMMYFUNCTION("""COMPUTED_VALUE"""),141.17)</f>
        <v>141.16999999999999</v>
      </c>
      <c r="F1993" s="1">
        <f ca="1">IFERROR(__xludf.DUMMYFUNCTION("""COMPUTED_VALUE"""),83763803)</f>
        <v>83763803</v>
      </c>
    </row>
    <row r="1994" spans="1:6" x14ac:dyDescent="0.35">
      <c r="A1994" s="2">
        <f ca="1">IFERROR(__xludf.DUMMYFUNCTION("""COMPUTED_VALUE"""),44895.6666666666)</f>
        <v>44895.666666666599</v>
      </c>
      <c r="B1994" s="1">
        <f ca="1">IFERROR(__xludf.DUMMYFUNCTION("""COMPUTED_VALUE"""),141.4)</f>
        <v>141.4</v>
      </c>
      <c r="C1994" s="1">
        <f ca="1">IFERROR(__xludf.DUMMYFUNCTION("""COMPUTED_VALUE"""),148.72)</f>
        <v>148.72</v>
      </c>
      <c r="D1994" s="1">
        <f ca="1">IFERROR(__xludf.DUMMYFUNCTION("""COMPUTED_VALUE"""),140.55)</f>
        <v>140.55000000000001</v>
      </c>
      <c r="E1994" s="1">
        <f ca="1">IFERROR(__xludf.DUMMYFUNCTION("""COMPUTED_VALUE"""),148.03)</f>
        <v>148.03</v>
      </c>
      <c r="F1994" s="1">
        <f ca="1">IFERROR(__xludf.DUMMYFUNCTION("""COMPUTED_VALUE"""),111380880)</f>
        <v>111380880</v>
      </c>
    </row>
    <row r="1995" spans="1:6" x14ac:dyDescent="0.35">
      <c r="A1995" s="2">
        <f ca="1">IFERROR(__xludf.DUMMYFUNCTION("""COMPUTED_VALUE"""),44896.6666666666)</f>
        <v>44896.666666666599</v>
      </c>
      <c r="B1995" s="1">
        <f ca="1">IFERROR(__xludf.DUMMYFUNCTION("""COMPUTED_VALUE"""),148.21)</f>
        <v>148.21</v>
      </c>
      <c r="C1995" s="1">
        <f ca="1">IFERROR(__xludf.DUMMYFUNCTION("""COMPUTED_VALUE"""),149.13)</f>
        <v>149.13</v>
      </c>
      <c r="D1995" s="1">
        <f ca="1">IFERROR(__xludf.DUMMYFUNCTION("""COMPUTED_VALUE"""),146.61)</f>
        <v>146.61000000000001</v>
      </c>
      <c r="E1995" s="1">
        <f ca="1">IFERROR(__xludf.DUMMYFUNCTION("""COMPUTED_VALUE"""),148.31)</f>
        <v>148.31</v>
      </c>
      <c r="F1995" s="1">
        <f ca="1">IFERROR(__xludf.DUMMYFUNCTION("""COMPUTED_VALUE"""),71250416)</f>
        <v>71250416</v>
      </c>
    </row>
    <row r="1996" spans="1:6" x14ac:dyDescent="0.35">
      <c r="A1996" s="2">
        <f ca="1">IFERROR(__xludf.DUMMYFUNCTION("""COMPUTED_VALUE"""),44897.6666666666)</f>
        <v>44897.666666666599</v>
      </c>
      <c r="B1996" s="1">
        <f ca="1">IFERROR(__xludf.DUMMYFUNCTION("""COMPUTED_VALUE"""),145.96)</f>
        <v>145.96</v>
      </c>
      <c r="C1996" s="1">
        <f ca="1">IFERROR(__xludf.DUMMYFUNCTION("""COMPUTED_VALUE"""),148)</f>
        <v>148</v>
      </c>
      <c r="D1996" s="1">
        <f ca="1">IFERROR(__xludf.DUMMYFUNCTION("""COMPUTED_VALUE"""),145.65)</f>
        <v>145.65</v>
      </c>
      <c r="E1996" s="1">
        <f ca="1">IFERROR(__xludf.DUMMYFUNCTION("""COMPUTED_VALUE"""),147.81)</f>
        <v>147.81</v>
      </c>
      <c r="F1996" s="1">
        <f ca="1">IFERROR(__xludf.DUMMYFUNCTION("""COMPUTED_VALUE"""),65447446)</f>
        <v>65447446</v>
      </c>
    </row>
    <row r="1997" spans="1:6" x14ac:dyDescent="0.35">
      <c r="A1997" s="2">
        <f ca="1">IFERROR(__xludf.DUMMYFUNCTION("""COMPUTED_VALUE"""),44900.6666666666)</f>
        <v>44900.666666666599</v>
      </c>
      <c r="B1997" s="1">
        <f ca="1">IFERROR(__xludf.DUMMYFUNCTION("""COMPUTED_VALUE"""),147.77)</f>
        <v>147.77000000000001</v>
      </c>
      <c r="C1997" s="1">
        <f ca="1">IFERROR(__xludf.DUMMYFUNCTION("""COMPUTED_VALUE"""),150.92)</f>
        <v>150.91999999999999</v>
      </c>
      <c r="D1997" s="1">
        <f ca="1">IFERROR(__xludf.DUMMYFUNCTION("""COMPUTED_VALUE"""),145.77)</f>
        <v>145.77000000000001</v>
      </c>
      <c r="E1997" s="1">
        <f ca="1">IFERROR(__xludf.DUMMYFUNCTION("""COMPUTED_VALUE"""),146.63)</f>
        <v>146.63</v>
      </c>
      <c r="F1997" s="1">
        <f ca="1">IFERROR(__xludf.DUMMYFUNCTION("""COMPUTED_VALUE"""),68826442)</f>
        <v>68826442</v>
      </c>
    </row>
    <row r="1998" spans="1:6" x14ac:dyDescent="0.35">
      <c r="A1998" s="2">
        <f ca="1">IFERROR(__xludf.DUMMYFUNCTION("""COMPUTED_VALUE"""),44901.6666666666)</f>
        <v>44901.666666666599</v>
      </c>
      <c r="B1998" s="1">
        <f ca="1">IFERROR(__xludf.DUMMYFUNCTION("""COMPUTED_VALUE"""),147.07)</f>
        <v>147.07</v>
      </c>
      <c r="C1998" s="1">
        <f ca="1">IFERROR(__xludf.DUMMYFUNCTION("""COMPUTED_VALUE"""),147.3)</f>
        <v>147.30000000000001</v>
      </c>
      <c r="D1998" s="1">
        <f ca="1">IFERROR(__xludf.DUMMYFUNCTION("""COMPUTED_VALUE"""),141.92)</f>
        <v>141.91999999999999</v>
      </c>
      <c r="E1998" s="1">
        <f ca="1">IFERROR(__xludf.DUMMYFUNCTION("""COMPUTED_VALUE"""),142.91)</f>
        <v>142.91</v>
      </c>
      <c r="F1998" s="1">
        <f ca="1">IFERROR(__xludf.DUMMYFUNCTION("""COMPUTED_VALUE"""),64727186)</f>
        <v>64727186</v>
      </c>
    </row>
    <row r="1999" spans="1:6" x14ac:dyDescent="0.35">
      <c r="A1999" s="2">
        <f ca="1">IFERROR(__xludf.DUMMYFUNCTION("""COMPUTED_VALUE"""),44902.6666666666)</f>
        <v>44902.666666666599</v>
      </c>
      <c r="B1999" s="1">
        <f ca="1">IFERROR(__xludf.DUMMYFUNCTION("""COMPUTED_VALUE"""),142.19)</f>
        <v>142.19</v>
      </c>
      <c r="C1999" s="1">
        <f ca="1">IFERROR(__xludf.DUMMYFUNCTION("""COMPUTED_VALUE"""),143.37)</f>
        <v>143.37</v>
      </c>
      <c r="D1999" s="1">
        <f ca="1">IFERROR(__xludf.DUMMYFUNCTION("""COMPUTED_VALUE"""),140)</f>
        <v>140</v>
      </c>
      <c r="E1999" s="1">
        <f ca="1">IFERROR(__xludf.DUMMYFUNCTION("""COMPUTED_VALUE"""),140.94)</f>
        <v>140.94</v>
      </c>
      <c r="F1999" s="1">
        <f ca="1">IFERROR(__xludf.DUMMYFUNCTION("""COMPUTED_VALUE"""),69721094)</f>
        <v>69721094</v>
      </c>
    </row>
    <row r="2000" spans="1:6" x14ac:dyDescent="0.35">
      <c r="A2000" s="2">
        <f ca="1">IFERROR(__xludf.DUMMYFUNCTION("""COMPUTED_VALUE"""),44903.6666666666)</f>
        <v>44903.666666666599</v>
      </c>
      <c r="B2000" s="1">
        <f ca="1">IFERROR(__xludf.DUMMYFUNCTION("""COMPUTED_VALUE"""),142.36)</f>
        <v>142.36000000000001</v>
      </c>
      <c r="C2000" s="1">
        <f ca="1">IFERROR(__xludf.DUMMYFUNCTION("""COMPUTED_VALUE"""),143.52)</f>
        <v>143.52000000000001</v>
      </c>
      <c r="D2000" s="1">
        <f ca="1">IFERROR(__xludf.DUMMYFUNCTION("""COMPUTED_VALUE"""),141.1)</f>
        <v>141.1</v>
      </c>
      <c r="E2000" s="1">
        <f ca="1">IFERROR(__xludf.DUMMYFUNCTION("""COMPUTED_VALUE"""),142.65)</f>
        <v>142.65</v>
      </c>
      <c r="F2000" s="1">
        <f ca="1">IFERROR(__xludf.DUMMYFUNCTION("""COMPUTED_VALUE"""),62128338)</f>
        <v>62128338</v>
      </c>
    </row>
    <row r="2001" spans="1:6" x14ac:dyDescent="0.35">
      <c r="A2001" s="2">
        <f ca="1">IFERROR(__xludf.DUMMYFUNCTION("""COMPUTED_VALUE"""),44904.6666666666)</f>
        <v>44904.666666666599</v>
      </c>
      <c r="B2001" s="1">
        <f ca="1">IFERROR(__xludf.DUMMYFUNCTION("""COMPUTED_VALUE"""),142.34)</f>
        <v>142.34</v>
      </c>
      <c r="C2001" s="1">
        <f ca="1">IFERROR(__xludf.DUMMYFUNCTION("""COMPUTED_VALUE"""),145.57)</f>
        <v>145.57</v>
      </c>
      <c r="D2001" s="1">
        <f ca="1">IFERROR(__xludf.DUMMYFUNCTION("""COMPUTED_VALUE"""),140.9)</f>
        <v>140.9</v>
      </c>
      <c r="E2001" s="1">
        <f ca="1">IFERROR(__xludf.DUMMYFUNCTION("""COMPUTED_VALUE"""),142.16)</f>
        <v>142.16</v>
      </c>
      <c r="F2001" s="1">
        <f ca="1">IFERROR(__xludf.DUMMYFUNCTION("""COMPUTED_VALUE"""),76097011)</f>
        <v>76097011</v>
      </c>
    </row>
    <row r="2002" spans="1:6" x14ac:dyDescent="0.35">
      <c r="A2002" s="2">
        <f ca="1">IFERROR(__xludf.DUMMYFUNCTION("""COMPUTED_VALUE"""),44907.6666666666)</f>
        <v>44907.666666666599</v>
      </c>
      <c r="B2002" s="1">
        <f ca="1">IFERROR(__xludf.DUMMYFUNCTION("""COMPUTED_VALUE"""),142.7)</f>
        <v>142.69999999999999</v>
      </c>
      <c r="C2002" s="1">
        <f ca="1">IFERROR(__xludf.DUMMYFUNCTION("""COMPUTED_VALUE"""),144.5)</f>
        <v>144.5</v>
      </c>
      <c r="D2002" s="1">
        <f ca="1">IFERROR(__xludf.DUMMYFUNCTION("""COMPUTED_VALUE"""),141.06)</f>
        <v>141.06</v>
      </c>
      <c r="E2002" s="1">
        <f ca="1">IFERROR(__xludf.DUMMYFUNCTION("""COMPUTED_VALUE"""),144.49)</f>
        <v>144.49</v>
      </c>
      <c r="F2002" s="1">
        <f ca="1">IFERROR(__xludf.DUMMYFUNCTION("""COMPUTED_VALUE"""),70462654)</f>
        <v>70462654</v>
      </c>
    </row>
    <row r="2003" spans="1:6" x14ac:dyDescent="0.35">
      <c r="A2003" s="2">
        <f ca="1">IFERROR(__xludf.DUMMYFUNCTION("""COMPUTED_VALUE"""),44908.6666666666)</f>
        <v>44908.666666666599</v>
      </c>
      <c r="B2003" s="1">
        <f ca="1">IFERROR(__xludf.DUMMYFUNCTION("""COMPUTED_VALUE"""),149.5)</f>
        <v>149.5</v>
      </c>
      <c r="C2003" s="1">
        <f ca="1">IFERROR(__xludf.DUMMYFUNCTION("""COMPUTED_VALUE"""),149.97)</f>
        <v>149.97</v>
      </c>
      <c r="D2003" s="1">
        <f ca="1">IFERROR(__xludf.DUMMYFUNCTION("""COMPUTED_VALUE"""),144.24)</f>
        <v>144.24</v>
      </c>
      <c r="E2003" s="1">
        <f ca="1">IFERROR(__xludf.DUMMYFUNCTION("""COMPUTED_VALUE"""),145.47)</f>
        <v>145.47</v>
      </c>
      <c r="F2003" s="1">
        <f ca="1">IFERROR(__xludf.DUMMYFUNCTION("""COMPUTED_VALUE"""),93886161)</f>
        <v>93886161</v>
      </c>
    </row>
    <row r="2004" spans="1:6" x14ac:dyDescent="0.35">
      <c r="A2004" s="2">
        <f ca="1">IFERROR(__xludf.DUMMYFUNCTION("""COMPUTED_VALUE"""),44909.6666666666)</f>
        <v>44909.666666666599</v>
      </c>
      <c r="B2004" s="1">
        <f ca="1">IFERROR(__xludf.DUMMYFUNCTION("""COMPUTED_VALUE"""),145.35)</f>
        <v>145.35</v>
      </c>
      <c r="C2004" s="1">
        <f ca="1">IFERROR(__xludf.DUMMYFUNCTION("""COMPUTED_VALUE"""),146.66)</f>
        <v>146.66</v>
      </c>
      <c r="D2004" s="1">
        <f ca="1">IFERROR(__xludf.DUMMYFUNCTION("""COMPUTED_VALUE"""),141.16)</f>
        <v>141.16</v>
      </c>
      <c r="E2004" s="1">
        <f ca="1">IFERROR(__xludf.DUMMYFUNCTION("""COMPUTED_VALUE"""),143.21)</f>
        <v>143.21</v>
      </c>
      <c r="F2004" s="1">
        <f ca="1">IFERROR(__xludf.DUMMYFUNCTION("""COMPUTED_VALUE"""),82291182)</f>
        <v>82291182</v>
      </c>
    </row>
    <row r="2005" spans="1:6" x14ac:dyDescent="0.35">
      <c r="A2005" s="2">
        <f ca="1">IFERROR(__xludf.DUMMYFUNCTION("""COMPUTED_VALUE"""),44910.6666666666)</f>
        <v>44910.666666666599</v>
      </c>
      <c r="B2005" s="1">
        <f ca="1">IFERROR(__xludf.DUMMYFUNCTION("""COMPUTED_VALUE"""),141.11)</f>
        <v>141.11000000000001</v>
      </c>
      <c r="C2005" s="1">
        <f ca="1">IFERROR(__xludf.DUMMYFUNCTION("""COMPUTED_VALUE"""),141.8)</f>
        <v>141.80000000000001</v>
      </c>
      <c r="D2005" s="1">
        <f ca="1">IFERROR(__xludf.DUMMYFUNCTION("""COMPUTED_VALUE"""),136.03)</f>
        <v>136.03</v>
      </c>
      <c r="E2005" s="1">
        <f ca="1">IFERROR(__xludf.DUMMYFUNCTION("""COMPUTED_VALUE"""),136.5)</f>
        <v>136.5</v>
      </c>
      <c r="F2005" s="1">
        <f ca="1">IFERROR(__xludf.DUMMYFUNCTION("""COMPUTED_VALUE"""),98931907)</f>
        <v>98931907</v>
      </c>
    </row>
    <row r="2006" spans="1:6" x14ac:dyDescent="0.35">
      <c r="A2006" s="2">
        <f ca="1">IFERROR(__xludf.DUMMYFUNCTION("""COMPUTED_VALUE"""),44911.6666666666)</f>
        <v>44911.666666666599</v>
      </c>
      <c r="B2006" s="1">
        <f ca="1">IFERROR(__xludf.DUMMYFUNCTION("""COMPUTED_VALUE"""),136.69)</f>
        <v>136.69</v>
      </c>
      <c r="C2006" s="1">
        <f ca="1">IFERROR(__xludf.DUMMYFUNCTION("""COMPUTED_VALUE"""),137.65)</f>
        <v>137.65</v>
      </c>
      <c r="D2006" s="1">
        <f ca="1">IFERROR(__xludf.DUMMYFUNCTION("""COMPUTED_VALUE"""),133.73)</f>
        <v>133.72999999999999</v>
      </c>
      <c r="E2006" s="1">
        <f ca="1">IFERROR(__xludf.DUMMYFUNCTION("""COMPUTED_VALUE"""),134.51)</f>
        <v>134.51</v>
      </c>
      <c r="F2006" s="1">
        <f ca="1">IFERROR(__xludf.DUMMYFUNCTION("""COMPUTED_VALUE"""),160156900)</f>
        <v>160156900</v>
      </c>
    </row>
    <row r="2007" spans="1:6" x14ac:dyDescent="0.35">
      <c r="A2007" s="2">
        <f ca="1">IFERROR(__xludf.DUMMYFUNCTION("""COMPUTED_VALUE"""),44914.6666666666)</f>
        <v>44914.666666666599</v>
      </c>
      <c r="B2007" s="1">
        <f ca="1">IFERROR(__xludf.DUMMYFUNCTION("""COMPUTED_VALUE"""),135.11)</f>
        <v>135.11000000000001</v>
      </c>
      <c r="C2007" s="1">
        <f ca="1">IFERROR(__xludf.DUMMYFUNCTION("""COMPUTED_VALUE"""),135.2)</f>
        <v>135.19999999999999</v>
      </c>
      <c r="D2007" s="1">
        <f ca="1">IFERROR(__xludf.DUMMYFUNCTION("""COMPUTED_VALUE"""),131.32)</f>
        <v>131.32</v>
      </c>
      <c r="E2007" s="1">
        <f ca="1">IFERROR(__xludf.DUMMYFUNCTION("""COMPUTED_VALUE"""),132.37)</f>
        <v>132.37</v>
      </c>
      <c r="F2007" s="1">
        <f ca="1">IFERROR(__xludf.DUMMYFUNCTION("""COMPUTED_VALUE"""),79592614)</f>
        <v>79592614</v>
      </c>
    </row>
    <row r="2008" spans="1:6" x14ac:dyDescent="0.35">
      <c r="A2008" s="2">
        <f ca="1">IFERROR(__xludf.DUMMYFUNCTION("""COMPUTED_VALUE"""),44915.6666666666)</f>
        <v>44915.666666666599</v>
      </c>
      <c r="B2008" s="1">
        <f ca="1">IFERROR(__xludf.DUMMYFUNCTION("""COMPUTED_VALUE"""),131.39)</f>
        <v>131.38999999999999</v>
      </c>
      <c r="C2008" s="1">
        <f ca="1">IFERROR(__xludf.DUMMYFUNCTION("""COMPUTED_VALUE"""),133.25)</f>
        <v>133.25</v>
      </c>
      <c r="D2008" s="1">
        <f ca="1">IFERROR(__xludf.DUMMYFUNCTION("""COMPUTED_VALUE"""),129.89)</f>
        <v>129.88999999999999</v>
      </c>
      <c r="E2008" s="1">
        <f ca="1">IFERROR(__xludf.DUMMYFUNCTION("""COMPUTED_VALUE"""),132.3)</f>
        <v>132.30000000000001</v>
      </c>
      <c r="F2008" s="1">
        <f ca="1">IFERROR(__xludf.DUMMYFUNCTION("""COMPUTED_VALUE"""),77432819)</f>
        <v>77432819</v>
      </c>
    </row>
    <row r="2009" spans="1:6" x14ac:dyDescent="0.35">
      <c r="A2009" s="2">
        <f ca="1">IFERROR(__xludf.DUMMYFUNCTION("""COMPUTED_VALUE"""),44916.6666666666)</f>
        <v>44916.666666666599</v>
      </c>
      <c r="B2009" s="1">
        <f ca="1">IFERROR(__xludf.DUMMYFUNCTION("""COMPUTED_VALUE"""),132.98)</f>
        <v>132.97999999999999</v>
      </c>
      <c r="C2009" s="1">
        <f ca="1">IFERROR(__xludf.DUMMYFUNCTION("""COMPUTED_VALUE"""),136.81)</f>
        <v>136.81</v>
      </c>
      <c r="D2009" s="1">
        <f ca="1">IFERROR(__xludf.DUMMYFUNCTION("""COMPUTED_VALUE"""),132.75)</f>
        <v>132.75</v>
      </c>
      <c r="E2009" s="1">
        <f ca="1">IFERROR(__xludf.DUMMYFUNCTION("""COMPUTED_VALUE"""),135.45)</f>
        <v>135.44999999999999</v>
      </c>
      <c r="F2009" s="1">
        <f ca="1">IFERROR(__xludf.DUMMYFUNCTION("""COMPUTED_VALUE"""),85927993)</f>
        <v>85927993</v>
      </c>
    </row>
    <row r="2010" spans="1:6" x14ac:dyDescent="0.35">
      <c r="A2010" s="2">
        <f ca="1">IFERROR(__xludf.DUMMYFUNCTION("""COMPUTED_VALUE"""),44917.6666666666)</f>
        <v>44917.666666666599</v>
      </c>
      <c r="B2010" s="1">
        <f ca="1">IFERROR(__xludf.DUMMYFUNCTION("""COMPUTED_VALUE"""),134.35)</f>
        <v>134.35</v>
      </c>
      <c r="C2010" s="1">
        <f ca="1">IFERROR(__xludf.DUMMYFUNCTION("""COMPUTED_VALUE"""),134.56)</f>
        <v>134.56</v>
      </c>
      <c r="D2010" s="1">
        <f ca="1">IFERROR(__xludf.DUMMYFUNCTION("""COMPUTED_VALUE"""),130.3)</f>
        <v>130.30000000000001</v>
      </c>
      <c r="E2010" s="1">
        <f ca="1">IFERROR(__xludf.DUMMYFUNCTION("""COMPUTED_VALUE"""),132.23)</f>
        <v>132.22999999999999</v>
      </c>
      <c r="F2010" s="1">
        <f ca="1">IFERROR(__xludf.DUMMYFUNCTION("""COMPUTED_VALUE"""),77852108)</f>
        <v>77852108</v>
      </c>
    </row>
    <row r="2011" spans="1:6" x14ac:dyDescent="0.35">
      <c r="A2011" s="2">
        <f ca="1">IFERROR(__xludf.DUMMYFUNCTION("""COMPUTED_VALUE"""),44918.6666666666)</f>
        <v>44918.666666666599</v>
      </c>
      <c r="B2011" s="1">
        <f ca="1">IFERROR(__xludf.DUMMYFUNCTION("""COMPUTED_VALUE"""),130.92)</f>
        <v>130.91999999999999</v>
      </c>
      <c r="C2011" s="1">
        <f ca="1">IFERROR(__xludf.DUMMYFUNCTION("""COMPUTED_VALUE"""),132.42)</f>
        <v>132.41999999999999</v>
      </c>
      <c r="D2011" s="1">
        <f ca="1">IFERROR(__xludf.DUMMYFUNCTION("""COMPUTED_VALUE"""),129.64)</f>
        <v>129.63999999999999</v>
      </c>
      <c r="E2011" s="1">
        <f ca="1">IFERROR(__xludf.DUMMYFUNCTION("""COMPUTED_VALUE"""),131.86)</f>
        <v>131.86000000000001</v>
      </c>
      <c r="F2011" s="1">
        <f ca="1">IFERROR(__xludf.DUMMYFUNCTION("""COMPUTED_VALUE"""),63814893)</f>
        <v>63814893</v>
      </c>
    </row>
    <row r="2012" spans="1:6" x14ac:dyDescent="0.35">
      <c r="A2012" s="2">
        <f ca="1">IFERROR(__xludf.DUMMYFUNCTION("""COMPUTED_VALUE"""),44922.6666666666)</f>
        <v>44922.666666666599</v>
      </c>
      <c r="B2012" s="1">
        <f ca="1">IFERROR(__xludf.DUMMYFUNCTION("""COMPUTED_VALUE"""),131.38)</f>
        <v>131.38</v>
      </c>
      <c r="C2012" s="1">
        <f ca="1">IFERROR(__xludf.DUMMYFUNCTION("""COMPUTED_VALUE"""),131.41)</f>
        <v>131.41</v>
      </c>
      <c r="D2012" s="1">
        <f ca="1">IFERROR(__xludf.DUMMYFUNCTION("""COMPUTED_VALUE"""),128.72)</f>
        <v>128.72</v>
      </c>
      <c r="E2012" s="1">
        <f ca="1">IFERROR(__xludf.DUMMYFUNCTION("""COMPUTED_VALUE"""),130.03)</f>
        <v>130.03</v>
      </c>
      <c r="F2012" s="1">
        <f ca="1">IFERROR(__xludf.DUMMYFUNCTION("""COMPUTED_VALUE"""),69007830)</f>
        <v>69007830</v>
      </c>
    </row>
    <row r="2013" spans="1:6" x14ac:dyDescent="0.35">
      <c r="A2013" s="2">
        <f ca="1">IFERROR(__xludf.DUMMYFUNCTION("""COMPUTED_VALUE"""),44923.6666666666)</f>
        <v>44923.666666666599</v>
      </c>
      <c r="B2013" s="1">
        <f ca="1">IFERROR(__xludf.DUMMYFUNCTION("""COMPUTED_VALUE"""),129.67)</f>
        <v>129.66999999999999</v>
      </c>
      <c r="C2013" s="1">
        <f ca="1">IFERROR(__xludf.DUMMYFUNCTION("""COMPUTED_VALUE"""),131.03)</f>
        <v>131.03</v>
      </c>
      <c r="D2013" s="1">
        <f ca="1">IFERROR(__xludf.DUMMYFUNCTION("""COMPUTED_VALUE"""),125.87)</f>
        <v>125.87</v>
      </c>
      <c r="E2013" s="1">
        <f ca="1">IFERROR(__xludf.DUMMYFUNCTION("""COMPUTED_VALUE"""),126.04)</f>
        <v>126.04</v>
      </c>
      <c r="F2013" s="1">
        <f ca="1">IFERROR(__xludf.DUMMYFUNCTION("""COMPUTED_VALUE"""),85438391)</f>
        <v>85438391</v>
      </c>
    </row>
    <row r="2014" spans="1:6" x14ac:dyDescent="0.35">
      <c r="A2014" s="2">
        <f ca="1">IFERROR(__xludf.DUMMYFUNCTION("""COMPUTED_VALUE"""),44924.6666666666)</f>
        <v>44924.666666666599</v>
      </c>
      <c r="B2014" s="1">
        <f ca="1">IFERROR(__xludf.DUMMYFUNCTION("""COMPUTED_VALUE"""),127.99)</f>
        <v>127.99</v>
      </c>
      <c r="C2014" s="1">
        <f ca="1">IFERROR(__xludf.DUMMYFUNCTION("""COMPUTED_VALUE"""),130.48)</f>
        <v>130.47999999999999</v>
      </c>
      <c r="D2014" s="1">
        <f ca="1">IFERROR(__xludf.DUMMYFUNCTION("""COMPUTED_VALUE"""),127.73)</f>
        <v>127.73</v>
      </c>
      <c r="E2014" s="1">
        <f ca="1">IFERROR(__xludf.DUMMYFUNCTION("""COMPUTED_VALUE"""),129.61)</f>
        <v>129.61000000000001</v>
      </c>
      <c r="F2014" s="1">
        <f ca="1">IFERROR(__xludf.DUMMYFUNCTION("""COMPUTED_VALUE"""),75703710)</f>
        <v>75703710</v>
      </c>
    </row>
    <row r="2015" spans="1:6" x14ac:dyDescent="0.35">
      <c r="A2015" s="2">
        <f ca="1">IFERROR(__xludf.DUMMYFUNCTION("""COMPUTED_VALUE"""),44925.6666666666)</f>
        <v>44925.666666666599</v>
      </c>
      <c r="B2015" s="1">
        <f ca="1">IFERROR(__xludf.DUMMYFUNCTION("""COMPUTED_VALUE"""),128.41)</f>
        <v>128.41</v>
      </c>
      <c r="C2015" s="1">
        <f ca="1">IFERROR(__xludf.DUMMYFUNCTION("""COMPUTED_VALUE"""),129.95)</f>
        <v>129.94999999999999</v>
      </c>
      <c r="D2015" s="1">
        <f ca="1">IFERROR(__xludf.DUMMYFUNCTION("""COMPUTED_VALUE"""),127.43)</f>
        <v>127.43</v>
      </c>
      <c r="E2015" s="1">
        <f ca="1">IFERROR(__xludf.DUMMYFUNCTION("""COMPUTED_VALUE"""),129.93)</f>
        <v>129.93</v>
      </c>
      <c r="F2015" s="1">
        <f ca="1">IFERROR(__xludf.DUMMYFUNCTION("""COMPUTED_VALUE"""),77034209)</f>
        <v>77034209</v>
      </c>
    </row>
    <row r="2016" spans="1:6" x14ac:dyDescent="0.35">
      <c r="A2016" s="2">
        <f ca="1">IFERROR(__xludf.DUMMYFUNCTION("""COMPUTED_VALUE"""),44929.6666666666)</f>
        <v>44929.666666666599</v>
      </c>
      <c r="B2016" s="1">
        <f ca="1">IFERROR(__xludf.DUMMYFUNCTION("""COMPUTED_VALUE"""),130.28)</f>
        <v>130.28</v>
      </c>
      <c r="C2016" s="1">
        <f ca="1">IFERROR(__xludf.DUMMYFUNCTION("""COMPUTED_VALUE"""),130.9)</f>
        <v>130.9</v>
      </c>
      <c r="D2016" s="1">
        <f ca="1">IFERROR(__xludf.DUMMYFUNCTION("""COMPUTED_VALUE"""),124.17)</f>
        <v>124.17</v>
      </c>
      <c r="E2016" s="1">
        <f ca="1">IFERROR(__xludf.DUMMYFUNCTION("""COMPUTED_VALUE"""),125.07)</f>
        <v>125.07</v>
      </c>
      <c r="F2016" s="1">
        <f ca="1">IFERROR(__xludf.DUMMYFUNCTION("""COMPUTED_VALUE"""),112117471)</f>
        <v>112117471</v>
      </c>
    </row>
    <row r="2017" spans="1:6" x14ac:dyDescent="0.35">
      <c r="A2017" s="2">
        <f ca="1">IFERROR(__xludf.DUMMYFUNCTION("""COMPUTED_VALUE"""),44930.6666666666)</f>
        <v>44930.666666666599</v>
      </c>
      <c r="B2017" s="1">
        <f ca="1">IFERROR(__xludf.DUMMYFUNCTION("""COMPUTED_VALUE"""),126.89)</f>
        <v>126.89</v>
      </c>
      <c r="C2017" s="1">
        <f ca="1">IFERROR(__xludf.DUMMYFUNCTION("""COMPUTED_VALUE"""),128.66)</f>
        <v>128.66</v>
      </c>
      <c r="D2017" s="1">
        <f ca="1">IFERROR(__xludf.DUMMYFUNCTION("""COMPUTED_VALUE"""),125.08)</f>
        <v>125.08</v>
      </c>
      <c r="E2017" s="1">
        <f ca="1">IFERROR(__xludf.DUMMYFUNCTION("""COMPUTED_VALUE"""),126.36)</f>
        <v>126.36</v>
      </c>
      <c r="F2017" s="1">
        <f ca="1">IFERROR(__xludf.DUMMYFUNCTION("""COMPUTED_VALUE"""),89113633)</f>
        <v>89113633</v>
      </c>
    </row>
    <row r="2018" spans="1:6" x14ac:dyDescent="0.35">
      <c r="A2018" s="2">
        <f ca="1">IFERROR(__xludf.DUMMYFUNCTION("""COMPUTED_VALUE"""),44931.6666666666)</f>
        <v>44931.666666666599</v>
      </c>
      <c r="B2018" s="1">
        <f ca="1">IFERROR(__xludf.DUMMYFUNCTION("""COMPUTED_VALUE"""),127.13)</f>
        <v>127.13</v>
      </c>
      <c r="C2018" s="1">
        <f ca="1">IFERROR(__xludf.DUMMYFUNCTION("""COMPUTED_VALUE"""),127.77)</f>
        <v>127.77</v>
      </c>
      <c r="D2018" s="1">
        <f ca="1">IFERROR(__xludf.DUMMYFUNCTION("""COMPUTED_VALUE"""),124.76)</f>
        <v>124.76</v>
      </c>
      <c r="E2018" s="1">
        <f ca="1">IFERROR(__xludf.DUMMYFUNCTION("""COMPUTED_VALUE"""),125.02)</f>
        <v>125.02</v>
      </c>
      <c r="F2018" s="1">
        <f ca="1">IFERROR(__xludf.DUMMYFUNCTION("""COMPUTED_VALUE"""),80962708)</f>
        <v>80962708</v>
      </c>
    </row>
    <row r="2019" spans="1:6" x14ac:dyDescent="0.35">
      <c r="A2019" s="2">
        <f ca="1">IFERROR(__xludf.DUMMYFUNCTION("""COMPUTED_VALUE"""),44932.6666666666)</f>
        <v>44932.666666666599</v>
      </c>
      <c r="B2019" s="1">
        <f ca="1">IFERROR(__xludf.DUMMYFUNCTION("""COMPUTED_VALUE"""),126.01)</f>
        <v>126.01</v>
      </c>
      <c r="C2019" s="1">
        <f ca="1">IFERROR(__xludf.DUMMYFUNCTION("""COMPUTED_VALUE"""),130.29)</f>
        <v>130.29</v>
      </c>
      <c r="D2019" s="1">
        <f ca="1">IFERROR(__xludf.DUMMYFUNCTION("""COMPUTED_VALUE"""),124.89)</f>
        <v>124.89</v>
      </c>
      <c r="E2019" s="1">
        <f ca="1">IFERROR(__xludf.DUMMYFUNCTION("""COMPUTED_VALUE"""),129.62)</f>
        <v>129.62</v>
      </c>
      <c r="F2019" s="1">
        <f ca="1">IFERROR(__xludf.DUMMYFUNCTION("""COMPUTED_VALUE"""),87754715)</f>
        <v>87754715</v>
      </c>
    </row>
    <row r="2020" spans="1:6" x14ac:dyDescent="0.35">
      <c r="A2020" s="2">
        <f ca="1">IFERROR(__xludf.DUMMYFUNCTION("""COMPUTED_VALUE"""),44935.6666666666)</f>
        <v>44935.666666666599</v>
      </c>
      <c r="B2020" s="1">
        <f ca="1">IFERROR(__xludf.DUMMYFUNCTION("""COMPUTED_VALUE"""),130.47)</f>
        <v>130.47</v>
      </c>
      <c r="C2020" s="1">
        <f ca="1">IFERROR(__xludf.DUMMYFUNCTION("""COMPUTED_VALUE"""),133.41)</f>
        <v>133.41</v>
      </c>
      <c r="D2020" s="1">
        <f ca="1">IFERROR(__xludf.DUMMYFUNCTION("""COMPUTED_VALUE"""),129.89)</f>
        <v>129.88999999999999</v>
      </c>
      <c r="E2020" s="1">
        <f ca="1">IFERROR(__xludf.DUMMYFUNCTION("""COMPUTED_VALUE"""),130.15)</f>
        <v>130.15</v>
      </c>
      <c r="F2020" s="1">
        <f ca="1">IFERROR(__xludf.DUMMYFUNCTION("""COMPUTED_VALUE"""),70790813)</f>
        <v>70790813</v>
      </c>
    </row>
    <row r="2021" spans="1:6" x14ac:dyDescent="0.35">
      <c r="A2021" s="2">
        <f ca="1">IFERROR(__xludf.DUMMYFUNCTION("""COMPUTED_VALUE"""),44936.6666666666)</f>
        <v>44936.666666666599</v>
      </c>
      <c r="B2021" s="1">
        <f ca="1">IFERROR(__xludf.DUMMYFUNCTION("""COMPUTED_VALUE"""),130.26)</f>
        <v>130.26</v>
      </c>
      <c r="C2021" s="1">
        <f ca="1">IFERROR(__xludf.DUMMYFUNCTION("""COMPUTED_VALUE"""),131.26)</f>
        <v>131.26</v>
      </c>
      <c r="D2021" s="1">
        <f ca="1">IFERROR(__xludf.DUMMYFUNCTION("""COMPUTED_VALUE"""),128.12)</f>
        <v>128.12</v>
      </c>
      <c r="E2021" s="1">
        <f ca="1">IFERROR(__xludf.DUMMYFUNCTION("""COMPUTED_VALUE"""),130.73)</f>
        <v>130.72999999999999</v>
      </c>
      <c r="F2021" s="1">
        <f ca="1">IFERROR(__xludf.DUMMYFUNCTION("""COMPUTED_VALUE"""),63896155)</f>
        <v>63896155</v>
      </c>
    </row>
    <row r="2022" spans="1:6" x14ac:dyDescent="0.35">
      <c r="A2022" s="2">
        <f ca="1">IFERROR(__xludf.DUMMYFUNCTION("""COMPUTED_VALUE"""),44937.6666666666)</f>
        <v>44937.666666666599</v>
      </c>
      <c r="B2022" s="1">
        <f ca="1">IFERROR(__xludf.DUMMYFUNCTION("""COMPUTED_VALUE"""),131.25)</f>
        <v>131.25</v>
      </c>
      <c r="C2022" s="1">
        <f ca="1">IFERROR(__xludf.DUMMYFUNCTION("""COMPUTED_VALUE"""),133.51)</f>
        <v>133.51</v>
      </c>
      <c r="D2022" s="1">
        <f ca="1">IFERROR(__xludf.DUMMYFUNCTION("""COMPUTED_VALUE"""),130.46)</f>
        <v>130.46</v>
      </c>
      <c r="E2022" s="1">
        <f ca="1">IFERROR(__xludf.DUMMYFUNCTION("""COMPUTED_VALUE"""),133.49)</f>
        <v>133.49</v>
      </c>
      <c r="F2022" s="1">
        <f ca="1">IFERROR(__xludf.DUMMYFUNCTION("""COMPUTED_VALUE"""),69458949)</f>
        <v>69458949</v>
      </c>
    </row>
    <row r="2023" spans="1:6" x14ac:dyDescent="0.35">
      <c r="A2023" s="2">
        <f ca="1">IFERROR(__xludf.DUMMYFUNCTION("""COMPUTED_VALUE"""),44938.6666666666)</f>
        <v>44938.666666666599</v>
      </c>
      <c r="B2023" s="1">
        <f ca="1">IFERROR(__xludf.DUMMYFUNCTION("""COMPUTED_VALUE"""),133.88)</f>
        <v>133.88</v>
      </c>
      <c r="C2023" s="1">
        <f ca="1">IFERROR(__xludf.DUMMYFUNCTION("""COMPUTED_VALUE"""),134.26)</f>
        <v>134.26</v>
      </c>
      <c r="D2023" s="1">
        <f ca="1">IFERROR(__xludf.DUMMYFUNCTION("""COMPUTED_VALUE"""),131.44)</f>
        <v>131.44</v>
      </c>
      <c r="E2023" s="1">
        <f ca="1">IFERROR(__xludf.DUMMYFUNCTION("""COMPUTED_VALUE"""),133.41)</f>
        <v>133.41</v>
      </c>
      <c r="F2023" s="1">
        <f ca="1">IFERROR(__xludf.DUMMYFUNCTION("""COMPUTED_VALUE"""),71379648)</f>
        <v>71379648</v>
      </c>
    </row>
    <row r="2024" spans="1:6" x14ac:dyDescent="0.35">
      <c r="A2024" s="2">
        <f ca="1">IFERROR(__xludf.DUMMYFUNCTION("""COMPUTED_VALUE"""),44939.6666666666)</f>
        <v>44939.666666666599</v>
      </c>
      <c r="B2024" s="1">
        <f ca="1">IFERROR(__xludf.DUMMYFUNCTION("""COMPUTED_VALUE"""),132.03)</f>
        <v>132.03</v>
      </c>
      <c r="C2024" s="1">
        <f ca="1">IFERROR(__xludf.DUMMYFUNCTION("""COMPUTED_VALUE"""),134.92)</f>
        <v>134.91999999999999</v>
      </c>
      <c r="D2024" s="1">
        <f ca="1">IFERROR(__xludf.DUMMYFUNCTION("""COMPUTED_VALUE"""),131.66)</f>
        <v>131.66</v>
      </c>
      <c r="E2024" s="1">
        <f ca="1">IFERROR(__xludf.DUMMYFUNCTION("""COMPUTED_VALUE"""),134.76)</f>
        <v>134.76</v>
      </c>
      <c r="F2024" s="1">
        <f ca="1">IFERROR(__xludf.DUMMYFUNCTION("""COMPUTED_VALUE"""),57809719)</f>
        <v>57809719</v>
      </c>
    </row>
    <row r="2025" spans="1:6" x14ac:dyDescent="0.35">
      <c r="A2025" s="2">
        <f ca="1">IFERROR(__xludf.DUMMYFUNCTION("""COMPUTED_VALUE"""),44943.6666666666)</f>
        <v>44943.666666666599</v>
      </c>
      <c r="B2025" s="1">
        <f ca="1">IFERROR(__xludf.DUMMYFUNCTION("""COMPUTED_VALUE"""),134.83)</f>
        <v>134.83000000000001</v>
      </c>
      <c r="C2025" s="1">
        <f ca="1">IFERROR(__xludf.DUMMYFUNCTION("""COMPUTED_VALUE"""),137.29)</f>
        <v>137.29</v>
      </c>
      <c r="D2025" s="1">
        <f ca="1">IFERROR(__xludf.DUMMYFUNCTION("""COMPUTED_VALUE"""),134.13)</f>
        <v>134.13</v>
      </c>
      <c r="E2025" s="1">
        <f ca="1">IFERROR(__xludf.DUMMYFUNCTION("""COMPUTED_VALUE"""),135.94)</f>
        <v>135.94</v>
      </c>
      <c r="F2025" s="1">
        <f ca="1">IFERROR(__xludf.DUMMYFUNCTION("""COMPUTED_VALUE"""),63646627)</f>
        <v>63646627</v>
      </c>
    </row>
    <row r="2026" spans="1:6" x14ac:dyDescent="0.35">
      <c r="A2026" s="2">
        <f ca="1">IFERROR(__xludf.DUMMYFUNCTION("""COMPUTED_VALUE"""),44944.6666666666)</f>
        <v>44944.666666666599</v>
      </c>
      <c r="B2026" s="1">
        <f ca="1">IFERROR(__xludf.DUMMYFUNCTION("""COMPUTED_VALUE"""),136.82)</f>
        <v>136.82</v>
      </c>
      <c r="C2026" s="1">
        <f ca="1">IFERROR(__xludf.DUMMYFUNCTION("""COMPUTED_VALUE"""),138.61)</f>
        <v>138.61000000000001</v>
      </c>
      <c r="D2026" s="1">
        <f ca="1">IFERROR(__xludf.DUMMYFUNCTION("""COMPUTED_VALUE"""),135.03)</f>
        <v>135.03</v>
      </c>
      <c r="E2026" s="1">
        <f ca="1">IFERROR(__xludf.DUMMYFUNCTION("""COMPUTED_VALUE"""),135.21)</f>
        <v>135.21</v>
      </c>
      <c r="F2026" s="1">
        <f ca="1">IFERROR(__xludf.DUMMYFUNCTION("""COMPUTED_VALUE"""),69672800)</f>
        <v>69672800</v>
      </c>
    </row>
    <row r="2027" spans="1:6" x14ac:dyDescent="0.35">
      <c r="A2027" s="2">
        <f ca="1">IFERROR(__xludf.DUMMYFUNCTION("""COMPUTED_VALUE"""),44945.6666666666)</f>
        <v>44945.666666666599</v>
      </c>
      <c r="B2027" s="1">
        <f ca="1">IFERROR(__xludf.DUMMYFUNCTION("""COMPUTED_VALUE"""),134.08)</f>
        <v>134.08000000000001</v>
      </c>
      <c r="C2027" s="1">
        <f ca="1">IFERROR(__xludf.DUMMYFUNCTION("""COMPUTED_VALUE"""),136.25)</f>
        <v>136.25</v>
      </c>
      <c r="D2027" s="1">
        <f ca="1">IFERROR(__xludf.DUMMYFUNCTION("""COMPUTED_VALUE"""),133.77)</f>
        <v>133.77000000000001</v>
      </c>
      <c r="E2027" s="1">
        <f ca="1">IFERROR(__xludf.DUMMYFUNCTION("""COMPUTED_VALUE"""),135.27)</f>
        <v>135.27000000000001</v>
      </c>
      <c r="F2027" s="1">
        <f ca="1">IFERROR(__xludf.DUMMYFUNCTION("""COMPUTED_VALUE"""),58280413)</f>
        <v>58280413</v>
      </c>
    </row>
    <row r="2028" spans="1:6" x14ac:dyDescent="0.35">
      <c r="A2028" s="2">
        <f ca="1">IFERROR(__xludf.DUMMYFUNCTION("""COMPUTED_VALUE"""),44946.6666666666)</f>
        <v>44946.666666666599</v>
      </c>
      <c r="B2028" s="1">
        <f ca="1">IFERROR(__xludf.DUMMYFUNCTION("""COMPUTED_VALUE"""),135.28)</f>
        <v>135.28</v>
      </c>
      <c r="C2028" s="1">
        <f ca="1">IFERROR(__xludf.DUMMYFUNCTION("""COMPUTED_VALUE"""),138.02)</f>
        <v>138.02000000000001</v>
      </c>
      <c r="D2028" s="1">
        <f ca="1">IFERROR(__xludf.DUMMYFUNCTION("""COMPUTED_VALUE"""),134.22)</f>
        <v>134.22</v>
      </c>
      <c r="E2028" s="1">
        <f ca="1">IFERROR(__xludf.DUMMYFUNCTION("""COMPUTED_VALUE"""),137.87)</f>
        <v>137.87</v>
      </c>
      <c r="F2028" s="1">
        <f ca="1">IFERROR(__xludf.DUMMYFUNCTION("""COMPUTED_VALUE"""),80223626)</f>
        <v>80223626</v>
      </c>
    </row>
    <row r="2029" spans="1:6" x14ac:dyDescent="0.35">
      <c r="A2029" s="2">
        <f ca="1">IFERROR(__xludf.DUMMYFUNCTION("""COMPUTED_VALUE"""),44949.6666666666)</f>
        <v>44949.666666666599</v>
      </c>
      <c r="B2029" s="1">
        <f ca="1">IFERROR(__xludf.DUMMYFUNCTION("""COMPUTED_VALUE"""),138.12)</f>
        <v>138.12</v>
      </c>
      <c r="C2029" s="1">
        <f ca="1">IFERROR(__xludf.DUMMYFUNCTION("""COMPUTED_VALUE"""),143.32)</f>
        <v>143.32</v>
      </c>
      <c r="D2029" s="1">
        <f ca="1">IFERROR(__xludf.DUMMYFUNCTION("""COMPUTED_VALUE"""),137.9)</f>
        <v>137.9</v>
      </c>
      <c r="E2029" s="1">
        <f ca="1">IFERROR(__xludf.DUMMYFUNCTION("""COMPUTED_VALUE"""),141.11)</f>
        <v>141.11000000000001</v>
      </c>
      <c r="F2029" s="1">
        <f ca="1">IFERROR(__xludf.DUMMYFUNCTION("""COMPUTED_VALUE"""),81760313)</f>
        <v>81760313</v>
      </c>
    </row>
    <row r="2030" spans="1:6" x14ac:dyDescent="0.35">
      <c r="A2030" s="2">
        <f ca="1">IFERROR(__xludf.DUMMYFUNCTION("""COMPUTED_VALUE"""),44950.6666666666)</f>
        <v>44950.666666666599</v>
      </c>
      <c r="B2030" s="1">
        <f ca="1">IFERROR(__xludf.DUMMYFUNCTION("""COMPUTED_VALUE"""),140.31)</f>
        <v>140.31</v>
      </c>
      <c r="C2030" s="1">
        <f ca="1">IFERROR(__xludf.DUMMYFUNCTION("""COMPUTED_VALUE"""),143.16)</f>
        <v>143.16</v>
      </c>
      <c r="D2030" s="1">
        <f ca="1">IFERROR(__xludf.DUMMYFUNCTION("""COMPUTED_VALUE"""),140.3)</f>
        <v>140.30000000000001</v>
      </c>
      <c r="E2030" s="1">
        <f ca="1">IFERROR(__xludf.DUMMYFUNCTION("""COMPUTED_VALUE"""),142.53)</f>
        <v>142.53</v>
      </c>
      <c r="F2030" s="1">
        <f ca="1">IFERROR(__xludf.DUMMYFUNCTION("""COMPUTED_VALUE"""),66435142)</f>
        <v>66435142</v>
      </c>
    </row>
    <row r="2031" spans="1:6" x14ac:dyDescent="0.35">
      <c r="A2031" s="2">
        <f ca="1">IFERROR(__xludf.DUMMYFUNCTION("""COMPUTED_VALUE"""),44951.6666666666)</f>
        <v>44951.666666666599</v>
      </c>
      <c r="B2031" s="1">
        <f ca="1">IFERROR(__xludf.DUMMYFUNCTION("""COMPUTED_VALUE"""),140.89)</f>
        <v>140.88999999999999</v>
      </c>
      <c r="C2031" s="1">
        <f ca="1">IFERROR(__xludf.DUMMYFUNCTION("""COMPUTED_VALUE"""),142.43)</f>
        <v>142.43</v>
      </c>
      <c r="D2031" s="1">
        <f ca="1">IFERROR(__xludf.DUMMYFUNCTION("""COMPUTED_VALUE"""),138.81)</f>
        <v>138.81</v>
      </c>
      <c r="E2031" s="1">
        <f ca="1">IFERROR(__xludf.DUMMYFUNCTION("""COMPUTED_VALUE"""),141.86)</f>
        <v>141.86000000000001</v>
      </c>
      <c r="F2031" s="1">
        <f ca="1">IFERROR(__xludf.DUMMYFUNCTION("""COMPUTED_VALUE"""),65799349)</f>
        <v>65799349</v>
      </c>
    </row>
    <row r="2032" spans="1:6" x14ac:dyDescent="0.35">
      <c r="A2032" s="2">
        <f ca="1">IFERROR(__xludf.DUMMYFUNCTION("""COMPUTED_VALUE"""),44952.6666666666)</f>
        <v>44952.666666666599</v>
      </c>
      <c r="B2032" s="1">
        <f ca="1">IFERROR(__xludf.DUMMYFUNCTION("""COMPUTED_VALUE"""),143.17)</f>
        <v>143.16999999999999</v>
      </c>
      <c r="C2032" s="1">
        <f ca="1">IFERROR(__xludf.DUMMYFUNCTION("""COMPUTED_VALUE"""),144.25)</f>
        <v>144.25</v>
      </c>
      <c r="D2032" s="1">
        <f ca="1">IFERROR(__xludf.DUMMYFUNCTION("""COMPUTED_VALUE"""),141.9)</f>
        <v>141.9</v>
      </c>
      <c r="E2032" s="1">
        <f ca="1">IFERROR(__xludf.DUMMYFUNCTION("""COMPUTED_VALUE"""),143.96)</f>
        <v>143.96</v>
      </c>
      <c r="F2032" s="1">
        <f ca="1">IFERROR(__xludf.DUMMYFUNCTION("""COMPUTED_VALUE"""),54105068)</f>
        <v>54105068</v>
      </c>
    </row>
    <row r="2033" spans="1:6" x14ac:dyDescent="0.35">
      <c r="A2033" s="2">
        <f ca="1">IFERROR(__xludf.DUMMYFUNCTION("""COMPUTED_VALUE"""),44953.6666666666)</f>
        <v>44953.666666666599</v>
      </c>
      <c r="B2033" s="1">
        <f ca="1">IFERROR(__xludf.DUMMYFUNCTION("""COMPUTED_VALUE"""),143.16)</f>
        <v>143.16</v>
      </c>
      <c r="C2033" s="1">
        <f ca="1">IFERROR(__xludf.DUMMYFUNCTION("""COMPUTED_VALUE"""),147.23)</f>
        <v>147.22999999999999</v>
      </c>
      <c r="D2033" s="1">
        <f ca="1">IFERROR(__xludf.DUMMYFUNCTION("""COMPUTED_VALUE"""),143.08)</f>
        <v>143.08000000000001</v>
      </c>
      <c r="E2033" s="1">
        <f ca="1">IFERROR(__xludf.DUMMYFUNCTION("""COMPUTED_VALUE"""),145.93)</f>
        <v>145.93</v>
      </c>
      <c r="F2033" s="1">
        <f ca="1">IFERROR(__xludf.DUMMYFUNCTION("""COMPUTED_VALUE"""),70555843)</f>
        <v>70555843</v>
      </c>
    </row>
    <row r="2034" spans="1:6" x14ac:dyDescent="0.35">
      <c r="A2034" s="2">
        <f ca="1">IFERROR(__xludf.DUMMYFUNCTION("""COMPUTED_VALUE"""),44956.6666666666)</f>
        <v>44956.666666666599</v>
      </c>
      <c r="B2034" s="1">
        <f ca="1">IFERROR(__xludf.DUMMYFUNCTION("""COMPUTED_VALUE"""),144.96)</f>
        <v>144.96</v>
      </c>
      <c r="C2034" s="1">
        <f ca="1">IFERROR(__xludf.DUMMYFUNCTION("""COMPUTED_VALUE"""),145.55)</f>
        <v>145.55000000000001</v>
      </c>
      <c r="D2034" s="1">
        <f ca="1">IFERROR(__xludf.DUMMYFUNCTION("""COMPUTED_VALUE"""),142.85)</f>
        <v>142.85</v>
      </c>
      <c r="E2034" s="1">
        <f ca="1">IFERROR(__xludf.DUMMYFUNCTION("""COMPUTED_VALUE"""),143)</f>
        <v>143</v>
      </c>
      <c r="F2034" s="1">
        <f ca="1">IFERROR(__xludf.DUMMYFUNCTION("""COMPUTED_VALUE"""),64015274)</f>
        <v>64015274</v>
      </c>
    </row>
    <row r="2035" spans="1:6" x14ac:dyDescent="0.35">
      <c r="A2035" s="2">
        <f ca="1">IFERROR(__xludf.DUMMYFUNCTION("""COMPUTED_VALUE"""),44957.6666666666)</f>
        <v>44957.666666666599</v>
      </c>
      <c r="B2035" s="1">
        <f ca="1">IFERROR(__xludf.DUMMYFUNCTION("""COMPUTED_VALUE"""),142.7)</f>
        <v>142.69999999999999</v>
      </c>
      <c r="C2035" s="1">
        <f ca="1">IFERROR(__xludf.DUMMYFUNCTION("""COMPUTED_VALUE"""),144.34)</f>
        <v>144.34</v>
      </c>
      <c r="D2035" s="1">
        <f ca="1">IFERROR(__xludf.DUMMYFUNCTION("""COMPUTED_VALUE"""),142.28)</f>
        <v>142.28</v>
      </c>
      <c r="E2035" s="1">
        <f ca="1">IFERROR(__xludf.DUMMYFUNCTION("""COMPUTED_VALUE"""),144.29)</f>
        <v>144.29</v>
      </c>
      <c r="F2035" s="1">
        <f ca="1">IFERROR(__xludf.DUMMYFUNCTION("""COMPUTED_VALUE"""),65874459)</f>
        <v>65874459</v>
      </c>
    </row>
    <row r="2036" spans="1:6" x14ac:dyDescent="0.35">
      <c r="A2036" s="2">
        <f ca="1">IFERROR(__xludf.DUMMYFUNCTION("""COMPUTED_VALUE"""),44958.6666666666)</f>
        <v>44958.666666666599</v>
      </c>
      <c r="B2036" s="1">
        <f ca="1">IFERROR(__xludf.DUMMYFUNCTION("""COMPUTED_VALUE"""),143.97)</f>
        <v>143.97</v>
      </c>
      <c r="C2036" s="1">
        <f ca="1">IFERROR(__xludf.DUMMYFUNCTION("""COMPUTED_VALUE"""),146.61)</f>
        <v>146.61000000000001</v>
      </c>
      <c r="D2036" s="1">
        <f ca="1">IFERROR(__xludf.DUMMYFUNCTION("""COMPUTED_VALUE"""),141.32)</f>
        <v>141.32</v>
      </c>
      <c r="E2036" s="1">
        <f ca="1">IFERROR(__xludf.DUMMYFUNCTION("""COMPUTED_VALUE"""),145.43)</f>
        <v>145.43</v>
      </c>
      <c r="F2036" s="1">
        <f ca="1">IFERROR(__xludf.DUMMYFUNCTION("""COMPUTED_VALUE"""),77663633)</f>
        <v>77663633</v>
      </c>
    </row>
    <row r="2037" spans="1:6" x14ac:dyDescent="0.35">
      <c r="A2037" s="2">
        <f ca="1">IFERROR(__xludf.DUMMYFUNCTION("""COMPUTED_VALUE"""),44959.6666666666)</f>
        <v>44959.666666666599</v>
      </c>
      <c r="B2037" s="1">
        <f ca="1">IFERROR(__xludf.DUMMYFUNCTION("""COMPUTED_VALUE"""),148.9)</f>
        <v>148.9</v>
      </c>
      <c r="C2037" s="1">
        <f ca="1">IFERROR(__xludf.DUMMYFUNCTION("""COMPUTED_VALUE"""),151.18)</f>
        <v>151.18</v>
      </c>
      <c r="D2037" s="1">
        <f ca="1">IFERROR(__xludf.DUMMYFUNCTION("""COMPUTED_VALUE"""),148.17)</f>
        <v>148.16999999999999</v>
      </c>
      <c r="E2037" s="1">
        <f ca="1">IFERROR(__xludf.DUMMYFUNCTION("""COMPUTED_VALUE"""),150.82)</f>
        <v>150.82</v>
      </c>
      <c r="F2037" s="1">
        <f ca="1">IFERROR(__xludf.DUMMYFUNCTION("""COMPUTED_VALUE"""),118338980)</f>
        <v>118338980</v>
      </c>
    </row>
    <row r="2038" spans="1:6" x14ac:dyDescent="0.35">
      <c r="A2038" s="2">
        <f ca="1">IFERROR(__xludf.DUMMYFUNCTION("""COMPUTED_VALUE"""),44960.6666666666)</f>
        <v>44960.666666666599</v>
      </c>
      <c r="B2038" s="1">
        <f ca="1">IFERROR(__xludf.DUMMYFUNCTION("""COMPUTED_VALUE"""),148.03)</f>
        <v>148.03</v>
      </c>
      <c r="C2038" s="1">
        <f ca="1">IFERROR(__xludf.DUMMYFUNCTION("""COMPUTED_VALUE"""),157.38)</f>
        <v>157.38</v>
      </c>
      <c r="D2038" s="1">
        <f ca="1">IFERROR(__xludf.DUMMYFUNCTION("""COMPUTED_VALUE"""),147.83)</f>
        <v>147.83000000000001</v>
      </c>
      <c r="E2038" s="1">
        <f ca="1">IFERROR(__xludf.DUMMYFUNCTION("""COMPUTED_VALUE"""),154.5)</f>
        <v>154.5</v>
      </c>
      <c r="F2038" s="1">
        <f ca="1">IFERROR(__xludf.DUMMYFUNCTION("""COMPUTED_VALUE"""),154357337)</f>
        <v>154357337</v>
      </c>
    </row>
    <row r="2039" spans="1:6" x14ac:dyDescent="0.35">
      <c r="A2039" s="2">
        <f ca="1">IFERROR(__xludf.DUMMYFUNCTION("""COMPUTED_VALUE"""),44963.6666666666)</f>
        <v>44963.666666666599</v>
      </c>
      <c r="B2039" s="1">
        <f ca="1">IFERROR(__xludf.DUMMYFUNCTION("""COMPUTED_VALUE"""),152.57)</f>
        <v>152.57</v>
      </c>
      <c r="C2039" s="1">
        <f ca="1">IFERROR(__xludf.DUMMYFUNCTION("""COMPUTED_VALUE"""),153.1)</f>
        <v>153.1</v>
      </c>
      <c r="D2039" s="1">
        <f ca="1">IFERROR(__xludf.DUMMYFUNCTION("""COMPUTED_VALUE"""),150.78)</f>
        <v>150.78</v>
      </c>
      <c r="E2039" s="1">
        <f ca="1">IFERROR(__xludf.DUMMYFUNCTION("""COMPUTED_VALUE"""),151.73)</f>
        <v>151.72999999999999</v>
      </c>
      <c r="F2039" s="1">
        <f ca="1">IFERROR(__xludf.DUMMYFUNCTION("""COMPUTED_VALUE"""),69858306)</f>
        <v>69858306</v>
      </c>
    </row>
    <row r="2040" spans="1:6" x14ac:dyDescent="0.35">
      <c r="A2040" s="2">
        <f ca="1">IFERROR(__xludf.DUMMYFUNCTION("""COMPUTED_VALUE"""),44964.6666666666)</f>
        <v>44964.666666666599</v>
      </c>
      <c r="B2040" s="1">
        <f ca="1">IFERROR(__xludf.DUMMYFUNCTION("""COMPUTED_VALUE"""),150.64)</f>
        <v>150.63999999999999</v>
      </c>
      <c r="C2040" s="1">
        <f ca="1">IFERROR(__xludf.DUMMYFUNCTION("""COMPUTED_VALUE"""),155.23)</f>
        <v>155.22999999999999</v>
      </c>
      <c r="D2040" s="1">
        <f ca="1">IFERROR(__xludf.DUMMYFUNCTION("""COMPUTED_VALUE"""),150.64)</f>
        <v>150.63999999999999</v>
      </c>
      <c r="E2040" s="1">
        <f ca="1">IFERROR(__xludf.DUMMYFUNCTION("""COMPUTED_VALUE"""),154.65)</f>
        <v>154.65</v>
      </c>
      <c r="F2040" s="1">
        <f ca="1">IFERROR(__xludf.DUMMYFUNCTION("""COMPUTED_VALUE"""),83322551)</f>
        <v>83322551</v>
      </c>
    </row>
    <row r="2041" spans="1:6" x14ac:dyDescent="0.35">
      <c r="A2041" s="2">
        <f ca="1">IFERROR(__xludf.DUMMYFUNCTION("""COMPUTED_VALUE"""),44965.6666666666)</f>
        <v>44965.666666666599</v>
      </c>
      <c r="B2041" s="1">
        <f ca="1">IFERROR(__xludf.DUMMYFUNCTION("""COMPUTED_VALUE"""),153.88)</f>
        <v>153.88</v>
      </c>
      <c r="C2041" s="1">
        <f ca="1">IFERROR(__xludf.DUMMYFUNCTION("""COMPUTED_VALUE"""),154.58)</f>
        <v>154.58000000000001</v>
      </c>
      <c r="D2041" s="1">
        <f ca="1">IFERROR(__xludf.DUMMYFUNCTION("""COMPUTED_VALUE"""),151.17)</f>
        <v>151.16999999999999</v>
      </c>
      <c r="E2041" s="1">
        <f ca="1">IFERROR(__xludf.DUMMYFUNCTION("""COMPUTED_VALUE"""),151.92)</f>
        <v>151.91999999999999</v>
      </c>
      <c r="F2041" s="1">
        <f ca="1">IFERROR(__xludf.DUMMYFUNCTION("""COMPUTED_VALUE"""),64120079)</f>
        <v>64120079</v>
      </c>
    </row>
    <row r="2042" spans="1:6" x14ac:dyDescent="0.35">
      <c r="A2042" s="2">
        <f ca="1">IFERROR(__xludf.DUMMYFUNCTION("""COMPUTED_VALUE"""),44966.6666666666)</f>
        <v>44966.666666666599</v>
      </c>
      <c r="B2042" s="1">
        <f ca="1">IFERROR(__xludf.DUMMYFUNCTION("""COMPUTED_VALUE"""),153.78)</f>
        <v>153.78</v>
      </c>
      <c r="C2042" s="1">
        <f ca="1">IFERROR(__xludf.DUMMYFUNCTION("""COMPUTED_VALUE"""),154.33)</f>
        <v>154.33000000000001</v>
      </c>
      <c r="D2042" s="1">
        <f ca="1">IFERROR(__xludf.DUMMYFUNCTION("""COMPUTED_VALUE"""),150.42)</f>
        <v>150.41999999999999</v>
      </c>
      <c r="E2042" s="1">
        <f ca="1">IFERROR(__xludf.DUMMYFUNCTION("""COMPUTED_VALUE"""),150.87)</f>
        <v>150.87</v>
      </c>
      <c r="F2042" s="1">
        <f ca="1">IFERROR(__xludf.DUMMYFUNCTION("""COMPUTED_VALUE"""),56007143)</f>
        <v>56007143</v>
      </c>
    </row>
    <row r="2043" spans="1:6" x14ac:dyDescent="0.35">
      <c r="A2043" s="2">
        <f ca="1">IFERROR(__xludf.DUMMYFUNCTION("""COMPUTED_VALUE"""),44967.6666666666)</f>
        <v>44967.666666666599</v>
      </c>
      <c r="B2043" s="1">
        <f ca="1">IFERROR(__xludf.DUMMYFUNCTION("""COMPUTED_VALUE"""),149.46)</f>
        <v>149.46</v>
      </c>
      <c r="C2043" s="1">
        <f ca="1">IFERROR(__xludf.DUMMYFUNCTION("""COMPUTED_VALUE"""),151.34)</f>
        <v>151.34</v>
      </c>
      <c r="D2043" s="1">
        <f ca="1">IFERROR(__xludf.DUMMYFUNCTION("""COMPUTED_VALUE"""),149.22)</f>
        <v>149.22</v>
      </c>
      <c r="E2043" s="1">
        <f ca="1">IFERROR(__xludf.DUMMYFUNCTION("""COMPUTED_VALUE"""),151.01)</f>
        <v>151.01</v>
      </c>
      <c r="F2043" s="1">
        <f ca="1">IFERROR(__xludf.DUMMYFUNCTION("""COMPUTED_VALUE"""),57450708)</f>
        <v>57450708</v>
      </c>
    </row>
    <row r="2044" spans="1:6" x14ac:dyDescent="0.35">
      <c r="A2044" s="2">
        <f ca="1">IFERROR(__xludf.DUMMYFUNCTION("""COMPUTED_VALUE"""),44970.6666666666)</f>
        <v>44970.666666666599</v>
      </c>
      <c r="B2044" s="1">
        <f ca="1">IFERROR(__xludf.DUMMYFUNCTION("""COMPUTED_VALUE"""),150.95)</f>
        <v>150.94999999999999</v>
      </c>
      <c r="C2044" s="1">
        <f ca="1">IFERROR(__xludf.DUMMYFUNCTION("""COMPUTED_VALUE"""),154.26)</f>
        <v>154.26</v>
      </c>
      <c r="D2044" s="1">
        <f ca="1">IFERROR(__xludf.DUMMYFUNCTION("""COMPUTED_VALUE"""),150.92)</f>
        <v>150.91999999999999</v>
      </c>
      <c r="E2044" s="1">
        <f ca="1">IFERROR(__xludf.DUMMYFUNCTION("""COMPUTED_VALUE"""),153.85)</f>
        <v>153.85</v>
      </c>
      <c r="F2044" s="1">
        <f ca="1">IFERROR(__xludf.DUMMYFUNCTION("""COMPUTED_VALUE"""),62199013)</f>
        <v>62199013</v>
      </c>
    </row>
    <row r="2045" spans="1:6" x14ac:dyDescent="0.35">
      <c r="A2045" s="2">
        <f ca="1">IFERROR(__xludf.DUMMYFUNCTION("""COMPUTED_VALUE"""),44971.6666666666)</f>
        <v>44971.666666666599</v>
      </c>
      <c r="B2045" s="1">
        <f ca="1">IFERROR(__xludf.DUMMYFUNCTION("""COMPUTED_VALUE"""),152.12)</f>
        <v>152.12</v>
      </c>
      <c r="C2045" s="1">
        <f ca="1">IFERROR(__xludf.DUMMYFUNCTION("""COMPUTED_VALUE"""),153.77)</f>
        <v>153.77000000000001</v>
      </c>
      <c r="D2045" s="1">
        <f ca="1">IFERROR(__xludf.DUMMYFUNCTION("""COMPUTED_VALUE"""),150.86)</f>
        <v>150.86000000000001</v>
      </c>
      <c r="E2045" s="1">
        <f ca="1">IFERROR(__xludf.DUMMYFUNCTION("""COMPUTED_VALUE"""),153.2)</f>
        <v>153.19999999999999</v>
      </c>
      <c r="F2045" s="1">
        <f ca="1">IFERROR(__xludf.DUMMYFUNCTION("""COMPUTED_VALUE"""),61707573)</f>
        <v>61707573</v>
      </c>
    </row>
    <row r="2046" spans="1:6" x14ac:dyDescent="0.35">
      <c r="A2046" s="2">
        <f ca="1">IFERROR(__xludf.DUMMYFUNCTION("""COMPUTED_VALUE"""),44972.6666666666)</f>
        <v>44972.666666666599</v>
      </c>
      <c r="B2046" s="1">
        <f ca="1">IFERROR(__xludf.DUMMYFUNCTION("""COMPUTED_VALUE"""),153.11)</f>
        <v>153.11000000000001</v>
      </c>
      <c r="C2046" s="1">
        <f ca="1">IFERROR(__xludf.DUMMYFUNCTION("""COMPUTED_VALUE"""),155.5)</f>
        <v>155.5</v>
      </c>
      <c r="D2046" s="1">
        <f ca="1">IFERROR(__xludf.DUMMYFUNCTION("""COMPUTED_VALUE"""),152.88)</f>
        <v>152.88</v>
      </c>
      <c r="E2046" s="1">
        <f ca="1">IFERROR(__xludf.DUMMYFUNCTION("""COMPUTED_VALUE"""),155.33)</f>
        <v>155.33000000000001</v>
      </c>
      <c r="F2046" s="1">
        <f ca="1">IFERROR(__xludf.DUMMYFUNCTION("""COMPUTED_VALUE"""),65669252)</f>
        <v>65669252</v>
      </c>
    </row>
    <row r="2047" spans="1:6" x14ac:dyDescent="0.35">
      <c r="A2047" s="2">
        <f ca="1">IFERROR(__xludf.DUMMYFUNCTION("""COMPUTED_VALUE"""),44973.6666666666)</f>
        <v>44973.666666666599</v>
      </c>
      <c r="B2047" s="1">
        <f ca="1">IFERROR(__xludf.DUMMYFUNCTION("""COMPUTED_VALUE"""),153.51)</f>
        <v>153.51</v>
      </c>
      <c r="C2047" s="1">
        <f ca="1">IFERROR(__xludf.DUMMYFUNCTION("""COMPUTED_VALUE"""),156.33)</f>
        <v>156.33000000000001</v>
      </c>
      <c r="D2047" s="1">
        <f ca="1">IFERROR(__xludf.DUMMYFUNCTION("""COMPUTED_VALUE"""),153.35)</f>
        <v>153.35</v>
      </c>
      <c r="E2047" s="1">
        <f ca="1">IFERROR(__xludf.DUMMYFUNCTION("""COMPUTED_VALUE"""),153.71)</f>
        <v>153.71</v>
      </c>
      <c r="F2047" s="1">
        <f ca="1">IFERROR(__xludf.DUMMYFUNCTION("""COMPUTED_VALUE"""),68167942)</f>
        <v>68167942</v>
      </c>
    </row>
    <row r="2048" spans="1:6" x14ac:dyDescent="0.35">
      <c r="A2048" s="2">
        <f ca="1">IFERROR(__xludf.DUMMYFUNCTION("""COMPUTED_VALUE"""),44974.6666666666)</f>
        <v>44974.666666666599</v>
      </c>
      <c r="B2048" s="1">
        <f ca="1">IFERROR(__xludf.DUMMYFUNCTION("""COMPUTED_VALUE"""),152.35)</f>
        <v>152.35</v>
      </c>
      <c r="C2048" s="1">
        <f ca="1">IFERROR(__xludf.DUMMYFUNCTION("""COMPUTED_VALUE"""),153)</f>
        <v>153</v>
      </c>
      <c r="D2048" s="1">
        <f ca="1">IFERROR(__xludf.DUMMYFUNCTION("""COMPUTED_VALUE"""),150.85)</f>
        <v>150.85</v>
      </c>
      <c r="E2048" s="1">
        <f ca="1">IFERROR(__xludf.DUMMYFUNCTION("""COMPUTED_VALUE"""),152.55)</f>
        <v>152.55000000000001</v>
      </c>
      <c r="F2048" s="1">
        <f ca="1">IFERROR(__xludf.DUMMYFUNCTION("""COMPUTED_VALUE"""),59144118)</f>
        <v>59144118</v>
      </c>
    </row>
    <row r="2049" spans="1:6" x14ac:dyDescent="0.35">
      <c r="A2049" s="2">
        <f ca="1">IFERROR(__xludf.DUMMYFUNCTION("""COMPUTED_VALUE"""),44978.6666666666)</f>
        <v>44978.666666666599</v>
      </c>
      <c r="B2049" s="1">
        <f ca="1">IFERROR(__xludf.DUMMYFUNCTION("""COMPUTED_VALUE"""),150.2)</f>
        <v>150.19999999999999</v>
      </c>
      <c r="C2049" s="1">
        <f ca="1">IFERROR(__xludf.DUMMYFUNCTION("""COMPUTED_VALUE"""),151.3)</f>
        <v>151.30000000000001</v>
      </c>
      <c r="D2049" s="1">
        <f ca="1">IFERROR(__xludf.DUMMYFUNCTION("""COMPUTED_VALUE"""),148.41)</f>
        <v>148.41</v>
      </c>
      <c r="E2049" s="1">
        <f ca="1">IFERROR(__xludf.DUMMYFUNCTION("""COMPUTED_VALUE"""),148.48)</f>
        <v>148.47999999999999</v>
      </c>
      <c r="F2049" s="1">
        <f ca="1">IFERROR(__xludf.DUMMYFUNCTION("""COMPUTED_VALUE"""),58867230)</f>
        <v>58867230</v>
      </c>
    </row>
    <row r="2050" spans="1:6" x14ac:dyDescent="0.35">
      <c r="A2050" s="2">
        <f ca="1">IFERROR(__xludf.DUMMYFUNCTION("""COMPUTED_VALUE"""),44979.6666666666)</f>
        <v>44979.666666666599</v>
      </c>
      <c r="B2050" s="1">
        <f ca="1">IFERROR(__xludf.DUMMYFUNCTION("""COMPUTED_VALUE"""),148.87)</f>
        <v>148.87</v>
      </c>
      <c r="C2050" s="1">
        <f ca="1">IFERROR(__xludf.DUMMYFUNCTION("""COMPUTED_VALUE"""),149.95)</f>
        <v>149.94999999999999</v>
      </c>
      <c r="D2050" s="1">
        <f ca="1">IFERROR(__xludf.DUMMYFUNCTION("""COMPUTED_VALUE"""),147.16)</f>
        <v>147.16</v>
      </c>
      <c r="E2050" s="1">
        <f ca="1">IFERROR(__xludf.DUMMYFUNCTION("""COMPUTED_VALUE"""),148.91)</f>
        <v>148.91</v>
      </c>
      <c r="F2050" s="1">
        <f ca="1">IFERROR(__xludf.DUMMYFUNCTION("""COMPUTED_VALUE"""),51011305)</f>
        <v>51011305</v>
      </c>
    </row>
    <row r="2051" spans="1:6" x14ac:dyDescent="0.35">
      <c r="A2051" s="2">
        <f ca="1">IFERROR(__xludf.DUMMYFUNCTION("""COMPUTED_VALUE"""),44980.6666666666)</f>
        <v>44980.666666666599</v>
      </c>
      <c r="B2051" s="1">
        <f ca="1">IFERROR(__xludf.DUMMYFUNCTION("""COMPUTED_VALUE"""),150.09)</f>
        <v>150.09</v>
      </c>
      <c r="C2051" s="1">
        <f ca="1">IFERROR(__xludf.DUMMYFUNCTION("""COMPUTED_VALUE"""),150.34)</f>
        <v>150.34</v>
      </c>
      <c r="D2051" s="1">
        <f ca="1">IFERROR(__xludf.DUMMYFUNCTION("""COMPUTED_VALUE"""),147.24)</f>
        <v>147.24</v>
      </c>
      <c r="E2051" s="1">
        <f ca="1">IFERROR(__xludf.DUMMYFUNCTION("""COMPUTED_VALUE"""),149.4)</f>
        <v>149.4</v>
      </c>
      <c r="F2051" s="1">
        <f ca="1">IFERROR(__xludf.DUMMYFUNCTION("""COMPUTED_VALUE"""),48394249)</f>
        <v>48394249</v>
      </c>
    </row>
    <row r="2052" spans="1:6" x14ac:dyDescent="0.35">
      <c r="A2052" s="2">
        <f ca="1">IFERROR(__xludf.DUMMYFUNCTION("""COMPUTED_VALUE"""),44981.6666666666)</f>
        <v>44981.666666666599</v>
      </c>
      <c r="B2052" s="1">
        <f ca="1">IFERROR(__xludf.DUMMYFUNCTION("""COMPUTED_VALUE"""),147.11)</f>
        <v>147.11000000000001</v>
      </c>
      <c r="C2052" s="1">
        <f ca="1">IFERROR(__xludf.DUMMYFUNCTION("""COMPUTED_VALUE"""),147.19)</f>
        <v>147.19</v>
      </c>
      <c r="D2052" s="1">
        <f ca="1">IFERROR(__xludf.DUMMYFUNCTION("""COMPUTED_VALUE"""),145.72)</f>
        <v>145.72</v>
      </c>
      <c r="E2052" s="1">
        <f ca="1">IFERROR(__xludf.DUMMYFUNCTION("""COMPUTED_VALUE"""),146.71)</f>
        <v>146.71</v>
      </c>
      <c r="F2052" s="1">
        <f ca="1">IFERROR(__xludf.DUMMYFUNCTION("""COMPUTED_VALUE"""),55469606)</f>
        <v>55469606</v>
      </c>
    </row>
    <row r="2053" spans="1:6" x14ac:dyDescent="0.35">
      <c r="A2053" s="2">
        <f ca="1">IFERROR(__xludf.DUMMYFUNCTION("""COMPUTED_VALUE"""),44984.6666666666)</f>
        <v>44984.666666666599</v>
      </c>
      <c r="B2053" s="1">
        <f ca="1">IFERROR(__xludf.DUMMYFUNCTION("""COMPUTED_VALUE"""),147.71)</f>
        <v>147.71</v>
      </c>
      <c r="C2053" s="1">
        <f ca="1">IFERROR(__xludf.DUMMYFUNCTION("""COMPUTED_VALUE"""),149.17)</f>
        <v>149.16999999999999</v>
      </c>
      <c r="D2053" s="1">
        <f ca="1">IFERROR(__xludf.DUMMYFUNCTION("""COMPUTED_VALUE"""),147.45)</f>
        <v>147.44999999999999</v>
      </c>
      <c r="E2053" s="1">
        <f ca="1">IFERROR(__xludf.DUMMYFUNCTION("""COMPUTED_VALUE"""),147.92)</f>
        <v>147.91999999999999</v>
      </c>
      <c r="F2053" s="1">
        <f ca="1">IFERROR(__xludf.DUMMYFUNCTION("""COMPUTED_VALUE"""),44998470)</f>
        <v>44998470</v>
      </c>
    </row>
    <row r="2054" spans="1:6" x14ac:dyDescent="0.35">
      <c r="A2054" s="2">
        <f ca="1">IFERROR(__xludf.DUMMYFUNCTION("""COMPUTED_VALUE"""),44985.6666666666)</f>
        <v>44985.666666666599</v>
      </c>
      <c r="B2054" s="1">
        <f ca="1">IFERROR(__xludf.DUMMYFUNCTION("""COMPUTED_VALUE"""),147.05)</f>
        <v>147.05000000000001</v>
      </c>
      <c r="C2054" s="1">
        <f ca="1">IFERROR(__xludf.DUMMYFUNCTION("""COMPUTED_VALUE"""),149.08)</f>
        <v>149.08000000000001</v>
      </c>
      <c r="D2054" s="1">
        <f ca="1">IFERROR(__xludf.DUMMYFUNCTION("""COMPUTED_VALUE"""),146.83)</f>
        <v>146.83000000000001</v>
      </c>
      <c r="E2054" s="1">
        <f ca="1">IFERROR(__xludf.DUMMYFUNCTION("""COMPUTED_VALUE"""),147.41)</f>
        <v>147.41</v>
      </c>
      <c r="F2054" s="1">
        <f ca="1">IFERROR(__xludf.DUMMYFUNCTION("""COMPUTED_VALUE"""),50546998)</f>
        <v>50546998</v>
      </c>
    </row>
    <row r="2055" spans="1:6" x14ac:dyDescent="0.35">
      <c r="A2055" s="2">
        <f ca="1">IFERROR(__xludf.DUMMYFUNCTION("""COMPUTED_VALUE"""),44986.6666666666)</f>
        <v>44986.666666666599</v>
      </c>
      <c r="B2055" s="1">
        <f ca="1">IFERROR(__xludf.DUMMYFUNCTION("""COMPUTED_VALUE"""),146.83)</f>
        <v>146.83000000000001</v>
      </c>
      <c r="C2055" s="1">
        <f ca="1">IFERROR(__xludf.DUMMYFUNCTION("""COMPUTED_VALUE"""),147.23)</f>
        <v>147.22999999999999</v>
      </c>
      <c r="D2055" s="1">
        <f ca="1">IFERROR(__xludf.DUMMYFUNCTION("""COMPUTED_VALUE"""),145.01)</f>
        <v>145.01</v>
      </c>
      <c r="E2055" s="1">
        <f ca="1">IFERROR(__xludf.DUMMYFUNCTION("""COMPUTED_VALUE"""),145.31)</f>
        <v>145.31</v>
      </c>
      <c r="F2055" s="1">
        <f ca="1">IFERROR(__xludf.DUMMYFUNCTION("""COMPUTED_VALUE"""),55478991)</f>
        <v>55478991</v>
      </c>
    </row>
    <row r="2056" spans="1:6" x14ac:dyDescent="0.35">
      <c r="A2056" s="2">
        <f ca="1">IFERROR(__xludf.DUMMYFUNCTION("""COMPUTED_VALUE"""),44987.6666666666)</f>
        <v>44987.666666666599</v>
      </c>
      <c r="B2056" s="1">
        <f ca="1">IFERROR(__xludf.DUMMYFUNCTION("""COMPUTED_VALUE"""),144.38)</f>
        <v>144.38</v>
      </c>
      <c r="C2056" s="1">
        <f ca="1">IFERROR(__xludf.DUMMYFUNCTION("""COMPUTED_VALUE"""),146.71)</f>
        <v>146.71</v>
      </c>
      <c r="D2056" s="1">
        <f ca="1">IFERROR(__xludf.DUMMYFUNCTION("""COMPUTED_VALUE"""),143.9)</f>
        <v>143.9</v>
      </c>
      <c r="E2056" s="1">
        <f ca="1">IFERROR(__xludf.DUMMYFUNCTION("""COMPUTED_VALUE"""),145.91)</f>
        <v>145.91</v>
      </c>
      <c r="F2056" s="1">
        <f ca="1">IFERROR(__xludf.DUMMYFUNCTION("""COMPUTED_VALUE"""),52279761)</f>
        <v>52279761</v>
      </c>
    </row>
    <row r="2057" spans="1:6" x14ac:dyDescent="0.35">
      <c r="A2057" s="2">
        <f ca="1">IFERROR(__xludf.DUMMYFUNCTION("""COMPUTED_VALUE"""),44988.6666666666)</f>
        <v>44988.666666666599</v>
      </c>
      <c r="B2057" s="1">
        <f ca="1">IFERROR(__xludf.DUMMYFUNCTION("""COMPUTED_VALUE"""),148.04)</f>
        <v>148.04</v>
      </c>
      <c r="C2057" s="1">
        <f ca="1">IFERROR(__xludf.DUMMYFUNCTION("""COMPUTED_VALUE"""),151.11)</f>
        <v>151.11000000000001</v>
      </c>
      <c r="D2057" s="1">
        <f ca="1">IFERROR(__xludf.DUMMYFUNCTION("""COMPUTED_VALUE"""),147.33)</f>
        <v>147.33000000000001</v>
      </c>
      <c r="E2057" s="1">
        <f ca="1">IFERROR(__xludf.DUMMYFUNCTION("""COMPUTED_VALUE"""),151.03)</f>
        <v>151.03</v>
      </c>
      <c r="F2057" s="1">
        <f ca="1">IFERROR(__xludf.DUMMYFUNCTION("""COMPUTED_VALUE"""),70732297)</f>
        <v>70732297</v>
      </c>
    </row>
    <row r="2058" spans="1:6" x14ac:dyDescent="0.35">
      <c r="A2058" s="2">
        <f ca="1">IFERROR(__xludf.DUMMYFUNCTION("""COMPUTED_VALUE"""),44991.6666666666)</f>
        <v>44991.666666666599</v>
      </c>
      <c r="B2058" s="1">
        <f ca="1">IFERROR(__xludf.DUMMYFUNCTION("""COMPUTED_VALUE"""),153.79)</f>
        <v>153.79</v>
      </c>
      <c r="C2058" s="1">
        <f ca="1">IFERROR(__xludf.DUMMYFUNCTION("""COMPUTED_VALUE"""),156.3)</f>
        <v>156.30000000000001</v>
      </c>
      <c r="D2058" s="1">
        <f ca="1">IFERROR(__xludf.DUMMYFUNCTION("""COMPUTED_VALUE"""),153.46)</f>
        <v>153.46</v>
      </c>
      <c r="E2058" s="1">
        <f ca="1">IFERROR(__xludf.DUMMYFUNCTION("""COMPUTED_VALUE"""),153.83)</f>
        <v>153.83000000000001</v>
      </c>
      <c r="F2058" s="1">
        <f ca="1">IFERROR(__xludf.DUMMYFUNCTION("""COMPUTED_VALUE"""),87558028)</f>
        <v>87558028</v>
      </c>
    </row>
    <row r="2059" spans="1:6" x14ac:dyDescent="0.35">
      <c r="A2059" s="2">
        <f ca="1">IFERROR(__xludf.DUMMYFUNCTION("""COMPUTED_VALUE"""),44992.6666666666)</f>
        <v>44992.666666666599</v>
      </c>
      <c r="B2059" s="1">
        <f ca="1">IFERROR(__xludf.DUMMYFUNCTION("""COMPUTED_VALUE"""),153.7)</f>
        <v>153.69999999999999</v>
      </c>
      <c r="C2059" s="1">
        <f ca="1">IFERROR(__xludf.DUMMYFUNCTION("""COMPUTED_VALUE"""),154.03)</f>
        <v>154.03</v>
      </c>
      <c r="D2059" s="1">
        <f ca="1">IFERROR(__xludf.DUMMYFUNCTION("""COMPUTED_VALUE"""),151.13)</f>
        <v>151.13</v>
      </c>
      <c r="E2059" s="1">
        <f ca="1">IFERROR(__xludf.DUMMYFUNCTION("""COMPUTED_VALUE"""),151.6)</f>
        <v>151.6</v>
      </c>
      <c r="F2059" s="1">
        <f ca="1">IFERROR(__xludf.DUMMYFUNCTION("""COMPUTED_VALUE"""),56182028)</f>
        <v>56182028</v>
      </c>
    </row>
    <row r="2060" spans="1:6" x14ac:dyDescent="0.35">
      <c r="A2060" s="2">
        <f ca="1">IFERROR(__xludf.DUMMYFUNCTION("""COMPUTED_VALUE"""),44993.6666666666)</f>
        <v>44993.666666666599</v>
      </c>
      <c r="B2060" s="1">
        <f ca="1">IFERROR(__xludf.DUMMYFUNCTION("""COMPUTED_VALUE"""),152.81)</f>
        <v>152.81</v>
      </c>
      <c r="C2060" s="1">
        <f ca="1">IFERROR(__xludf.DUMMYFUNCTION("""COMPUTED_VALUE"""),153.47)</f>
        <v>153.47</v>
      </c>
      <c r="D2060" s="1">
        <f ca="1">IFERROR(__xludf.DUMMYFUNCTION("""COMPUTED_VALUE"""),151.83)</f>
        <v>151.83000000000001</v>
      </c>
      <c r="E2060" s="1">
        <f ca="1">IFERROR(__xludf.DUMMYFUNCTION("""COMPUTED_VALUE"""),152.87)</f>
        <v>152.87</v>
      </c>
      <c r="F2060" s="1">
        <f ca="1">IFERROR(__xludf.DUMMYFUNCTION("""COMPUTED_VALUE"""),47204791)</f>
        <v>47204791</v>
      </c>
    </row>
    <row r="2061" spans="1:6" x14ac:dyDescent="0.35">
      <c r="A2061" s="2">
        <f ca="1">IFERROR(__xludf.DUMMYFUNCTION("""COMPUTED_VALUE"""),44994.6666666666)</f>
        <v>44994.666666666599</v>
      </c>
      <c r="B2061" s="1">
        <f ca="1">IFERROR(__xludf.DUMMYFUNCTION("""COMPUTED_VALUE"""),153.56)</f>
        <v>153.56</v>
      </c>
      <c r="C2061" s="1">
        <f ca="1">IFERROR(__xludf.DUMMYFUNCTION("""COMPUTED_VALUE"""),154.54)</f>
        <v>154.54</v>
      </c>
      <c r="D2061" s="1">
        <f ca="1">IFERROR(__xludf.DUMMYFUNCTION("""COMPUTED_VALUE"""),150.23)</f>
        <v>150.22999999999999</v>
      </c>
      <c r="E2061" s="1">
        <f ca="1">IFERROR(__xludf.DUMMYFUNCTION("""COMPUTED_VALUE"""),150.59)</f>
        <v>150.59</v>
      </c>
      <c r="F2061" s="1">
        <f ca="1">IFERROR(__xludf.DUMMYFUNCTION("""COMPUTED_VALUE"""),53833582)</f>
        <v>53833582</v>
      </c>
    </row>
    <row r="2062" spans="1:6" x14ac:dyDescent="0.35">
      <c r="A2062" s="2">
        <f ca="1">IFERROR(__xludf.DUMMYFUNCTION("""COMPUTED_VALUE"""),44995.6666666666)</f>
        <v>44995.666666666599</v>
      </c>
      <c r="B2062" s="1">
        <f ca="1">IFERROR(__xludf.DUMMYFUNCTION("""COMPUTED_VALUE"""),150.21)</f>
        <v>150.21</v>
      </c>
      <c r="C2062" s="1">
        <f ca="1">IFERROR(__xludf.DUMMYFUNCTION("""COMPUTED_VALUE"""),150.94)</f>
        <v>150.94</v>
      </c>
      <c r="D2062" s="1">
        <f ca="1">IFERROR(__xludf.DUMMYFUNCTION("""COMPUTED_VALUE"""),147.61)</f>
        <v>147.61000000000001</v>
      </c>
      <c r="E2062" s="1">
        <f ca="1">IFERROR(__xludf.DUMMYFUNCTION("""COMPUTED_VALUE"""),148.5)</f>
        <v>148.5</v>
      </c>
      <c r="F2062" s="1">
        <f ca="1">IFERROR(__xludf.DUMMYFUNCTION("""COMPUTED_VALUE"""),68572400)</f>
        <v>68572400</v>
      </c>
    </row>
    <row r="2063" spans="1:6" x14ac:dyDescent="0.35">
      <c r="A2063" s="2">
        <f ca="1">IFERROR(__xludf.DUMMYFUNCTION("""COMPUTED_VALUE"""),44998.6666666666)</f>
        <v>44998.666666666599</v>
      </c>
      <c r="B2063" s="1">
        <f ca="1">IFERROR(__xludf.DUMMYFUNCTION("""COMPUTED_VALUE"""),147.81)</f>
        <v>147.81</v>
      </c>
      <c r="C2063" s="1">
        <f ca="1">IFERROR(__xludf.DUMMYFUNCTION("""COMPUTED_VALUE"""),153.14)</f>
        <v>153.13999999999999</v>
      </c>
      <c r="D2063" s="1">
        <f ca="1">IFERROR(__xludf.DUMMYFUNCTION("""COMPUTED_VALUE"""),147.7)</f>
        <v>147.69999999999999</v>
      </c>
      <c r="E2063" s="1">
        <f ca="1">IFERROR(__xludf.DUMMYFUNCTION("""COMPUTED_VALUE"""),150.47)</f>
        <v>150.47</v>
      </c>
      <c r="F2063" s="1">
        <f ca="1">IFERROR(__xludf.DUMMYFUNCTION("""COMPUTED_VALUE"""),84457122)</f>
        <v>84457122</v>
      </c>
    </row>
    <row r="2064" spans="1:6" x14ac:dyDescent="0.35">
      <c r="A2064" s="2">
        <f ca="1">IFERROR(__xludf.DUMMYFUNCTION("""COMPUTED_VALUE"""),44999.6666666666)</f>
        <v>44999.666666666599</v>
      </c>
      <c r="B2064" s="1">
        <f ca="1">IFERROR(__xludf.DUMMYFUNCTION("""COMPUTED_VALUE"""),151.28)</f>
        <v>151.28</v>
      </c>
      <c r="C2064" s="1">
        <f ca="1">IFERROR(__xludf.DUMMYFUNCTION("""COMPUTED_VALUE"""),153.4)</f>
        <v>153.4</v>
      </c>
      <c r="D2064" s="1">
        <f ca="1">IFERROR(__xludf.DUMMYFUNCTION("""COMPUTED_VALUE"""),150.1)</f>
        <v>150.1</v>
      </c>
      <c r="E2064" s="1">
        <f ca="1">IFERROR(__xludf.DUMMYFUNCTION("""COMPUTED_VALUE"""),152.59)</f>
        <v>152.59</v>
      </c>
      <c r="F2064" s="1">
        <f ca="1">IFERROR(__xludf.DUMMYFUNCTION("""COMPUTED_VALUE"""),73695893)</f>
        <v>73695893</v>
      </c>
    </row>
    <row r="2065" spans="1:6" x14ac:dyDescent="0.35">
      <c r="A2065" s="2">
        <f ca="1">IFERROR(__xludf.DUMMYFUNCTION("""COMPUTED_VALUE"""),45000.6666666666)</f>
        <v>45000.666666666599</v>
      </c>
      <c r="B2065" s="1">
        <f ca="1">IFERROR(__xludf.DUMMYFUNCTION("""COMPUTED_VALUE"""),151.19)</f>
        <v>151.19</v>
      </c>
      <c r="C2065" s="1">
        <f ca="1">IFERROR(__xludf.DUMMYFUNCTION("""COMPUTED_VALUE"""),153.25)</f>
        <v>153.25</v>
      </c>
      <c r="D2065" s="1">
        <f ca="1">IFERROR(__xludf.DUMMYFUNCTION("""COMPUTED_VALUE"""),149.92)</f>
        <v>149.91999999999999</v>
      </c>
      <c r="E2065" s="1">
        <f ca="1">IFERROR(__xludf.DUMMYFUNCTION("""COMPUTED_VALUE"""),152.99)</f>
        <v>152.99</v>
      </c>
      <c r="F2065" s="1">
        <f ca="1">IFERROR(__xludf.DUMMYFUNCTION("""COMPUTED_VALUE"""),77167866)</f>
        <v>77167866</v>
      </c>
    </row>
    <row r="2066" spans="1:6" x14ac:dyDescent="0.35">
      <c r="A2066" s="2">
        <f ca="1">IFERROR(__xludf.DUMMYFUNCTION("""COMPUTED_VALUE"""),45001.6666666666)</f>
        <v>45001.666666666599</v>
      </c>
      <c r="B2066" s="1">
        <f ca="1">IFERROR(__xludf.DUMMYFUNCTION("""COMPUTED_VALUE"""),152.16)</f>
        <v>152.16</v>
      </c>
      <c r="C2066" s="1">
        <f ca="1">IFERROR(__xludf.DUMMYFUNCTION("""COMPUTED_VALUE"""),156.46)</f>
        <v>156.46</v>
      </c>
      <c r="D2066" s="1">
        <f ca="1">IFERROR(__xludf.DUMMYFUNCTION("""COMPUTED_VALUE"""),151.64)</f>
        <v>151.63999999999999</v>
      </c>
      <c r="E2066" s="1">
        <f ca="1">IFERROR(__xludf.DUMMYFUNCTION("""COMPUTED_VALUE"""),155.85)</f>
        <v>155.85</v>
      </c>
      <c r="F2066" s="1">
        <f ca="1">IFERROR(__xludf.DUMMYFUNCTION("""COMPUTED_VALUE"""),76254419)</f>
        <v>76254419</v>
      </c>
    </row>
    <row r="2067" spans="1:6" x14ac:dyDescent="0.35">
      <c r="A2067" s="2">
        <f ca="1">IFERROR(__xludf.DUMMYFUNCTION("""COMPUTED_VALUE"""),45002.6666666666)</f>
        <v>45002.666666666599</v>
      </c>
      <c r="B2067" s="1">
        <f ca="1">IFERROR(__xludf.DUMMYFUNCTION("""COMPUTED_VALUE"""),156.08)</f>
        <v>156.08000000000001</v>
      </c>
      <c r="C2067" s="1">
        <f ca="1">IFERROR(__xludf.DUMMYFUNCTION("""COMPUTED_VALUE"""),156.74)</f>
        <v>156.74</v>
      </c>
      <c r="D2067" s="1">
        <f ca="1">IFERROR(__xludf.DUMMYFUNCTION("""COMPUTED_VALUE"""),154.28)</f>
        <v>154.28</v>
      </c>
      <c r="E2067" s="1">
        <f ca="1">IFERROR(__xludf.DUMMYFUNCTION("""COMPUTED_VALUE"""),155)</f>
        <v>155</v>
      </c>
      <c r="F2067" s="1">
        <f ca="1">IFERROR(__xludf.DUMMYFUNCTION("""COMPUTED_VALUE"""),98944633)</f>
        <v>98944633</v>
      </c>
    </row>
    <row r="2068" spans="1:6" x14ac:dyDescent="0.35">
      <c r="A2068" s="2">
        <f ca="1">IFERROR(__xludf.DUMMYFUNCTION("""COMPUTED_VALUE"""),45005.6666666666)</f>
        <v>45005.666666666599</v>
      </c>
      <c r="B2068" s="1">
        <f ca="1">IFERROR(__xludf.DUMMYFUNCTION("""COMPUTED_VALUE"""),155.07)</f>
        <v>155.07</v>
      </c>
      <c r="C2068" s="1">
        <f ca="1">IFERROR(__xludf.DUMMYFUNCTION("""COMPUTED_VALUE"""),157.82)</f>
        <v>157.82</v>
      </c>
      <c r="D2068" s="1">
        <f ca="1">IFERROR(__xludf.DUMMYFUNCTION("""COMPUTED_VALUE"""),154.15)</f>
        <v>154.15</v>
      </c>
      <c r="E2068" s="1">
        <f ca="1">IFERROR(__xludf.DUMMYFUNCTION("""COMPUTED_VALUE"""),157.4)</f>
        <v>157.4</v>
      </c>
      <c r="F2068" s="1">
        <f ca="1">IFERROR(__xludf.DUMMYFUNCTION("""COMPUTED_VALUE"""),73641415)</f>
        <v>73641415</v>
      </c>
    </row>
    <row r="2069" spans="1:6" x14ac:dyDescent="0.35">
      <c r="A2069" s="2">
        <f ca="1">IFERROR(__xludf.DUMMYFUNCTION("""COMPUTED_VALUE"""),45006.6666666666)</f>
        <v>45006.666666666599</v>
      </c>
      <c r="B2069" s="1">
        <f ca="1">IFERROR(__xludf.DUMMYFUNCTION("""COMPUTED_VALUE"""),157.32)</f>
        <v>157.32</v>
      </c>
      <c r="C2069" s="1">
        <f ca="1">IFERROR(__xludf.DUMMYFUNCTION("""COMPUTED_VALUE"""),159.4)</f>
        <v>159.4</v>
      </c>
      <c r="D2069" s="1">
        <f ca="1">IFERROR(__xludf.DUMMYFUNCTION("""COMPUTED_VALUE"""),156.54)</f>
        <v>156.54</v>
      </c>
      <c r="E2069" s="1">
        <f ca="1">IFERROR(__xludf.DUMMYFUNCTION("""COMPUTED_VALUE"""),159.28)</f>
        <v>159.28</v>
      </c>
      <c r="F2069" s="1">
        <f ca="1">IFERROR(__xludf.DUMMYFUNCTION("""COMPUTED_VALUE"""),73938285)</f>
        <v>73938285</v>
      </c>
    </row>
    <row r="2070" spans="1:6" x14ac:dyDescent="0.35">
      <c r="A2070" s="2">
        <f ca="1">IFERROR(__xludf.DUMMYFUNCTION("""COMPUTED_VALUE"""),45007.6666666666)</f>
        <v>45007.666666666599</v>
      </c>
      <c r="B2070" s="1">
        <f ca="1">IFERROR(__xludf.DUMMYFUNCTION("""COMPUTED_VALUE"""),159.3)</f>
        <v>159.30000000000001</v>
      </c>
      <c r="C2070" s="1">
        <f ca="1">IFERROR(__xludf.DUMMYFUNCTION("""COMPUTED_VALUE"""),162.14)</f>
        <v>162.13999999999999</v>
      </c>
      <c r="D2070" s="1">
        <f ca="1">IFERROR(__xludf.DUMMYFUNCTION("""COMPUTED_VALUE"""),157.81)</f>
        <v>157.81</v>
      </c>
      <c r="E2070" s="1">
        <f ca="1">IFERROR(__xludf.DUMMYFUNCTION("""COMPUTED_VALUE"""),157.83)</f>
        <v>157.83000000000001</v>
      </c>
      <c r="F2070" s="1">
        <f ca="1">IFERROR(__xludf.DUMMYFUNCTION("""COMPUTED_VALUE"""),75701811)</f>
        <v>75701811</v>
      </c>
    </row>
    <row r="2071" spans="1:6" x14ac:dyDescent="0.35">
      <c r="A2071" s="2">
        <f ca="1">IFERROR(__xludf.DUMMYFUNCTION("""COMPUTED_VALUE"""),45008.6666666666)</f>
        <v>45008.666666666599</v>
      </c>
      <c r="B2071" s="1">
        <f ca="1">IFERROR(__xludf.DUMMYFUNCTION("""COMPUTED_VALUE"""),158.83)</f>
        <v>158.83000000000001</v>
      </c>
      <c r="C2071" s="1">
        <f ca="1">IFERROR(__xludf.DUMMYFUNCTION("""COMPUTED_VALUE"""),161.55)</f>
        <v>161.55000000000001</v>
      </c>
      <c r="D2071" s="1">
        <f ca="1">IFERROR(__xludf.DUMMYFUNCTION("""COMPUTED_VALUE"""),157.68)</f>
        <v>157.68</v>
      </c>
      <c r="E2071" s="1">
        <f ca="1">IFERROR(__xludf.DUMMYFUNCTION("""COMPUTED_VALUE"""),158.93)</f>
        <v>158.93</v>
      </c>
      <c r="F2071" s="1">
        <f ca="1">IFERROR(__xludf.DUMMYFUNCTION("""COMPUTED_VALUE"""),67622060)</f>
        <v>67622060</v>
      </c>
    </row>
    <row r="2072" spans="1:6" x14ac:dyDescent="0.35">
      <c r="A2072" s="2">
        <f ca="1">IFERROR(__xludf.DUMMYFUNCTION("""COMPUTED_VALUE"""),45009.6666666666)</f>
        <v>45009.666666666599</v>
      </c>
      <c r="B2072" s="1">
        <f ca="1">IFERROR(__xludf.DUMMYFUNCTION("""COMPUTED_VALUE"""),158.86)</f>
        <v>158.86000000000001</v>
      </c>
      <c r="C2072" s="1">
        <f ca="1">IFERROR(__xludf.DUMMYFUNCTION("""COMPUTED_VALUE"""),160.34)</f>
        <v>160.34</v>
      </c>
      <c r="D2072" s="1">
        <f ca="1">IFERROR(__xludf.DUMMYFUNCTION("""COMPUTED_VALUE"""),157.85)</f>
        <v>157.85</v>
      </c>
      <c r="E2072" s="1">
        <f ca="1">IFERROR(__xludf.DUMMYFUNCTION("""COMPUTED_VALUE"""),160.25)</f>
        <v>160.25</v>
      </c>
      <c r="F2072" s="1">
        <f ca="1">IFERROR(__xludf.DUMMYFUNCTION("""COMPUTED_VALUE"""),59256343)</f>
        <v>59256343</v>
      </c>
    </row>
    <row r="2073" spans="1:6" x14ac:dyDescent="0.35">
      <c r="A2073" s="2">
        <f ca="1">IFERROR(__xludf.DUMMYFUNCTION("""COMPUTED_VALUE"""),45012.6666666666)</f>
        <v>45012.666666666599</v>
      </c>
      <c r="B2073" s="1">
        <f ca="1">IFERROR(__xludf.DUMMYFUNCTION("""COMPUTED_VALUE"""),159.94)</f>
        <v>159.94</v>
      </c>
      <c r="C2073" s="1">
        <f ca="1">IFERROR(__xludf.DUMMYFUNCTION("""COMPUTED_VALUE"""),160.77)</f>
        <v>160.77000000000001</v>
      </c>
      <c r="D2073" s="1">
        <f ca="1">IFERROR(__xludf.DUMMYFUNCTION("""COMPUTED_VALUE"""),157.87)</f>
        <v>157.87</v>
      </c>
      <c r="E2073" s="1">
        <f ca="1">IFERROR(__xludf.DUMMYFUNCTION("""COMPUTED_VALUE"""),158.28)</f>
        <v>158.28</v>
      </c>
      <c r="F2073" s="1">
        <f ca="1">IFERROR(__xludf.DUMMYFUNCTION("""COMPUTED_VALUE"""),52390266)</f>
        <v>52390266</v>
      </c>
    </row>
    <row r="2074" spans="1:6" x14ac:dyDescent="0.35">
      <c r="A2074" s="2">
        <f ca="1">IFERROR(__xludf.DUMMYFUNCTION("""COMPUTED_VALUE"""),45013.6666666666)</f>
        <v>45013.666666666599</v>
      </c>
      <c r="B2074" s="1">
        <f ca="1">IFERROR(__xludf.DUMMYFUNCTION("""COMPUTED_VALUE"""),157.97)</f>
        <v>157.97</v>
      </c>
      <c r="C2074" s="1">
        <f ca="1">IFERROR(__xludf.DUMMYFUNCTION("""COMPUTED_VALUE"""),158.49)</f>
        <v>158.49</v>
      </c>
      <c r="D2074" s="1">
        <f ca="1">IFERROR(__xludf.DUMMYFUNCTION("""COMPUTED_VALUE"""),155.98)</f>
        <v>155.97999999999999</v>
      </c>
      <c r="E2074" s="1">
        <f ca="1">IFERROR(__xludf.DUMMYFUNCTION("""COMPUTED_VALUE"""),157.65)</f>
        <v>157.65</v>
      </c>
      <c r="F2074" s="1">
        <f ca="1">IFERROR(__xludf.DUMMYFUNCTION("""COMPUTED_VALUE"""),45992152)</f>
        <v>45992152</v>
      </c>
    </row>
    <row r="2075" spans="1:6" x14ac:dyDescent="0.35">
      <c r="A2075" s="2">
        <f ca="1">IFERROR(__xludf.DUMMYFUNCTION("""COMPUTED_VALUE"""),45014.6666666666)</f>
        <v>45014.666666666599</v>
      </c>
      <c r="B2075" s="1">
        <f ca="1">IFERROR(__xludf.DUMMYFUNCTION("""COMPUTED_VALUE"""),159.37)</f>
        <v>159.37</v>
      </c>
      <c r="C2075" s="1">
        <f ca="1">IFERROR(__xludf.DUMMYFUNCTION("""COMPUTED_VALUE"""),161.05)</f>
        <v>161.05000000000001</v>
      </c>
      <c r="D2075" s="1">
        <f ca="1">IFERROR(__xludf.DUMMYFUNCTION("""COMPUTED_VALUE"""),159.35)</f>
        <v>159.35</v>
      </c>
      <c r="E2075" s="1">
        <f ca="1">IFERROR(__xludf.DUMMYFUNCTION("""COMPUTED_VALUE"""),160.77)</f>
        <v>160.77000000000001</v>
      </c>
      <c r="F2075" s="1">
        <f ca="1">IFERROR(__xludf.DUMMYFUNCTION("""COMPUTED_VALUE"""),51305691)</f>
        <v>51305691</v>
      </c>
    </row>
    <row r="2076" spans="1:6" x14ac:dyDescent="0.35">
      <c r="A2076" s="2">
        <f ca="1">IFERROR(__xludf.DUMMYFUNCTION("""COMPUTED_VALUE"""),45015.6666666666)</f>
        <v>45015.666666666599</v>
      </c>
      <c r="B2076" s="1">
        <f ca="1">IFERROR(__xludf.DUMMYFUNCTION("""COMPUTED_VALUE"""),161.53)</f>
        <v>161.53</v>
      </c>
      <c r="C2076" s="1">
        <f ca="1">IFERROR(__xludf.DUMMYFUNCTION("""COMPUTED_VALUE"""),162.47)</f>
        <v>162.47</v>
      </c>
      <c r="D2076" s="1">
        <f ca="1">IFERROR(__xludf.DUMMYFUNCTION("""COMPUTED_VALUE"""),161.27)</f>
        <v>161.27000000000001</v>
      </c>
      <c r="E2076" s="1">
        <f ca="1">IFERROR(__xludf.DUMMYFUNCTION("""COMPUTED_VALUE"""),162.36)</f>
        <v>162.36000000000001</v>
      </c>
      <c r="F2076" s="1">
        <f ca="1">IFERROR(__xludf.DUMMYFUNCTION("""COMPUTED_VALUE"""),49501689)</f>
        <v>49501689</v>
      </c>
    </row>
    <row r="2077" spans="1:6" x14ac:dyDescent="0.35">
      <c r="A2077" s="2">
        <f ca="1">IFERROR(__xludf.DUMMYFUNCTION("""COMPUTED_VALUE"""),45016.6666666666)</f>
        <v>45016.666666666599</v>
      </c>
      <c r="B2077" s="1">
        <f ca="1">IFERROR(__xludf.DUMMYFUNCTION("""COMPUTED_VALUE"""),162.44)</f>
        <v>162.44</v>
      </c>
      <c r="C2077" s="1">
        <f ca="1">IFERROR(__xludf.DUMMYFUNCTION("""COMPUTED_VALUE"""),165)</f>
        <v>165</v>
      </c>
      <c r="D2077" s="1">
        <f ca="1">IFERROR(__xludf.DUMMYFUNCTION("""COMPUTED_VALUE"""),161.91)</f>
        <v>161.91</v>
      </c>
      <c r="E2077" s="1">
        <f ca="1">IFERROR(__xludf.DUMMYFUNCTION("""COMPUTED_VALUE"""),164.9)</f>
        <v>164.9</v>
      </c>
      <c r="F2077" s="1">
        <f ca="1">IFERROR(__xludf.DUMMYFUNCTION("""COMPUTED_VALUE"""),68749792)</f>
        <v>68749792</v>
      </c>
    </row>
    <row r="2078" spans="1:6" x14ac:dyDescent="0.35">
      <c r="A2078" s="2">
        <f ca="1">IFERROR(__xludf.DUMMYFUNCTION("""COMPUTED_VALUE"""),45019.6666666666)</f>
        <v>45019.666666666599</v>
      </c>
      <c r="B2078" s="1">
        <f ca="1">IFERROR(__xludf.DUMMYFUNCTION("""COMPUTED_VALUE"""),164.27)</f>
        <v>164.27</v>
      </c>
      <c r="C2078" s="1">
        <f ca="1">IFERROR(__xludf.DUMMYFUNCTION("""COMPUTED_VALUE"""),166.29)</f>
        <v>166.29</v>
      </c>
      <c r="D2078" s="1">
        <f ca="1">IFERROR(__xludf.DUMMYFUNCTION("""COMPUTED_VALUE"""),164.22)</f>
        <v>164.22</v>
      </c>
      <c r="E2078" s="1">
        <f ca="1">IFERROR(__xludf.DUMMYFUNCTION("""COMPUTED_VALUE"""),166.17)</f>
        <v>166.17</v>
      </c>
      <c r="F2078" s="1">
        <f ca="1">IFERROR(__xludf.DUMMYFUNCTION("""COMPUTED_VALUE"""),56976187)</f>
        <v>56976187</v>
      </c>
    </row>
    <row r="2079" spans="1:6" x14ac:dyDescent="0.35">
      <c r="A2079" s="2">
        <f ca="1">IFERROR(__xludf.DUMMYFUNCTION("""COMPUTED_VALUE"""),45020.6666666666)</f>
        <v>45020.666666666599</v>
      </c>
      <c r="B2079" s="1">
        <f ca="1">IFERROR(__xludf.DUMMYFUNCTION("""COMPUTED_VALUE"""),166.6)</f>
        <v>166.6</v>
      </c>
      <c r="C2079" s="1">
        <f ca="1">IFERROR(__xludf.DUMMYFUNCTION("""COMPUTED_VALUE"""),166.84)</f>
        <v>166.84</v>
      </c>
      <c r="D2079" s="1">
        <f ca="1">IFERROR(__xludf.DUMMYFUNCTION("""COMPUTED_VALUE"""),165.11)</f>
        <v>165.11</v>
      </c>
      <c r="E2079" s="1">
        <f ca="1">IFERROR(__xludf.DUMMYFUNCTION("""COMPUTED_VALUE"""),165.63)</f>
        <v>165.63</v>
      </c>
      <c r="F2079" s="1">
        <f ca="1">IFERROR(__xludf.DUMMYFUNCTION("""COMPUTED_VALUE"""),46278295)</f>
        <v>46278295</v>
      </c>
    </row>
    <row r="2080" spans="1:6" x14ac:dyDescent="0.35">
      <c r="A2080" s="2">
        <f ca="1">IFERROR(__xludf.DUMMYFUNCTION("""COMPUTED_VALUE"""),45021.6666666666)</f>
        <v>45021.666666666599</v>
      </c>
      <c r="B2080" s="1">
        <f ca="1">IFERROR(__xludf.DUMMYFUNCTION("""COMPUTED_VALUE"""),164.74)</f>
        <v>164.74</v>
      </c>
      <c r="C2080" s="1">
        <f ca="1">IFERROR(__xludf.DUMMYFUNCTION("""COMPUTED_VALUE"""),165.05)</f>
        <v>165.05</v>
      </c>
      <c r="D2080" s="1">
        <f ca="1">IFERROR(__xludf.DUMMYFUNCTION("""COMPUTED_VALUE"""),161.8)</f>
        <v>161.80000000000001</v>
      </c>
      <c r="E2080" s="1">
        <f ca="1">IFERROR(__xludf.DUMMYFUNCTION("""COMPUTED_VALUE"""),163.76)</f>
        <v>163.76</v>
      </c>
      <c r="F2080" s="1">
        <f ca="1">IFERROR(__xludf.DUMMYFUNCTION("""COMPUTED_VALUE"""),51511744)</f>
        <v>51511744</v>
      </c>
    </row>
    <row r="2081" spans="1:6" x14ac:dyDescent="0.35">
      <c r="A2081" s="2">
        <f ca="1">IFERROR(__xludf.DUMMYFUNCTION("""COMPUTED_VALUE"""),45022.6666666666)</f>
        <v>45022.666666666599</v>
      </c>
      <c r="B2081" s="1">
        <f ca="1">IFERROR(__xludf.DUMMYFUNCTION("""COMPUTED_VALUE"""),162.43)</f>
        <v>162.43</v>
      </c>
      <c r="C2081" s="1">
        <f ca="1">IFERROR(__xludf.DUMMYFUNCTION("""COMPUTED_VALUE"""),164.96)</f>
        <v>164.96</v>
      </c>
      <c r="D2081" s="1">
        <f ca="1">IFERROR(__xludf.DUMMYFUNCTION("""COMPUTED_VALUE"""),162)</f>
        <v>162</v>
      </c>
      <c r="E2081" s="1">
        <f ca="1">IFERROR(__xludf.DUMMYFUNCTION("""COMPUTED_VALUE"""),164.66)</f>
        <v>164.66</v>
      </c>
      <c r="F2081" s="1">
        <f ca="1">IFERROR(__xludf.DUMMYFUNCTION("""COMPUTED_VALUE"""),45390123)</f>
        <v>45390123</v>
      </c>
    </row>
    <row r="2082" spans="1:6" x14ac:dyDescent="0.35">
      <c r="A2082" s="2">
        <f ca="1">IFERROR(__xludf.DUMMYFUNCTION("""COMPUTED_VALUE"""),45026.6666666666)</f>
        <v>45026.666666666599</v>
      </c>
      <c r="B2082" s="1">
        <f ca="1">IFERROR(__xludf.DUMMYFUNCTION("""COMPUTED_VALUE"""),161.42)</f>
        <v>161.41999999999999</v>
      </c>
      <c r="C2082" s="1">
        <f ca="1">IFERROR(__xludf.DUMMYFUNCTION("""COMPUTED_VALUE"""),162.03)</f>
        <v>162.03</v>
      </c>
      <c r="D2082" s="1">
        <f ca="1">IFERROR(__xludf.DUMMYFUNCTION("""COMPUTED_VALUE"""),160.08)</f>
        <v>160.08000000000001</v>
      </c>
      <c r="E2082" s="1">
        <f ca="1">IFERROR(__xludf.DUMMYFUNCTION("""COMPUTED_VALUE"""),162.03)</f>
        <v>162.03</v>
      </c>
      <c r="F2082" s="1">
        <f ca="1">IFERROR(__xludf.DUMMYFUNCTION("""COMPUTED_VALUE"""),47716882)</f>
        <v>47716882</v>
      </c>
    </row>
    <row r="2083" spans="1:6" x14ac:dyDescent="0.35">
      <c r="A2083" s="2">
        <f ca="1">IFERROR(__xludf.DUMMYFUNCTION("""COMPUTED_VALUE"""),45027.6666666666)</f>
        <v>45027.666666666599</v>
      </c>
      <c r="B2083" s="1">
        <f ca="1">IFERROR(__xludf.DUMMYFUNCTION("""COMPUTED_VALUE"""),162.35)</f>
        <v>162.35</v>
      </c>
      <c r="C2083" s="1">
        <f ca="1">IFERROR(__xludf.DUMMYFUNCTION("""COMPUTED_VALUE"""),162.36)</f>
        <v>162.36000000000001</v>
      </c>
      <c r="D2083" s="1">
        <f ca="1">IFERROR(__xludf.DUMMYFUNCTION("""COMPUTED_VALUE"""),160.51)</f>
        <v>160.51</v>
      </c>
      <c r="E2083" s="1">
        <f ca="1">IFERROR(__xludf.DUMMYFUNCTION("""COMPUTED_VALUE"""),160.8)</f>
        <v>160.80000000000001</v>
      </c>
      <c r="F2083" s="1">
        <f ca="1">IFERROR(__xludf.DUMMYFUNCTION("""COMPUTED_VALUE"""),47644217)</f>
        <v>47644217</v>
      </c>
    </row>
    <row r="2084" spans="1:6" x14ac:dyDescent="0.35">
      <c r="A2084" s="2">
        <f ca="1">IFERROR(__xludf.DUMMYFUNCTION("""COMPUTED_VALUE"""),45028.6666666666)</f>
        <v>45028.666666666599</v>
      </c>
      <c r="B2084" s="1">
        <f ca="1">IFERROR(__xludf.DUMMYFUNCTION("""COMPUTED_VALUE"""),161.22)</f>
        <v>161.22</v>
      </c>
      <c r="C2084" s="1">
        <f ca="1">IFERROR(__xludf.DUMMYFUNCTION("""COMPUTED_VALUE"""),162.06)</f>
        <v>162.06</v>
      </c>
      <c r="D2084" s="1">
        <f ca="1">IFERROR(__xludf.DUMMYFUNCTION("""COMPUTED_VALUE"""),159.78)</f>
        <v>159.78</v>
      </c>
      <c r="E2084" s="1">
        <f ca="1">IFERROR(__xludf.DUMMYFUNCTION("""COMPUTED_VALUE"""),160.1)</f>
        <v>160.1</v>
      </c>
      <c r="F2084" s="1">
        <f ca="1">IFERROR(__xludf.DUMMYFUNCTION("""COMPUTED_VALUE"""),50133062)</f>
        <v>50133062</v>
      </c>
    </row>
    <row r="2085" spans="1:6" x14ac:dyDescent="0.35">
      <c r="A2085" s="2">
        <f ca="1">IFERROR(__xludf.DUMMYFUNCTION("""COMPUTED_VALUE"""),45029.6666666666)</f>
        <v>45029.666666666599</v>
      </c>
      <c r="B2085" s="1">
        <f ca="1">IFERROR(__xludf.DUMMYFUNCTION("""COMPUTED_VALUE"""),161.63)</f>
        <v>161.63</v>
      </c>
      <c r="C2085" s="1">
        <f ca="1">IFERROR(__xludf.DUMMYFUNCTION("""COMPUTED_VALUE"""),165.8)</f>
        <v>165.8</v>
      </c>
      <c r="D2085" s="1">
        <f ca="1">IFERROR(__xludf.DUMMYFUNCTION("""COMPUTED_VALUE"""),161.42)</f>
        <v>161.41999999999999</v>
      </c>
      <c r="E2085" s="1">
        <f ca="1">IFERROR(__xludf.DUMMYFUNCTION("""COMPUTED_VALUE"""),165.56)</f>
        <v>165.56</v>
      </c>
      <c r="F2085" s="1">
        <f ca="1">IFERROR(__xludf.DUMMYFUNCTION("""COMPUTED_VALUE"""),68445649)</f>
        <v>68445649</v>
      </c>
    </row>
    <row r="2086" spans="1:6" x14ac:dyDescent="0.35">
      <c r="A2086" s="2">
        <f ca="1">IFERROR(__xludf.DUMMYFUNCTION("""COMPUTED_VALUE"""),45030.6666666666)</f>
        <v>45030.666666666599</v>
      </c>
      <c r="B2086" s="1">
        <f ca="1">IFERROR(__xludf.DUMMYFUNCTION("""COMPUTED_VALUE"""),164.59)</f>
        <v>164.59</v>
      </c>
      <c r="C2086" s="1">
        <f ca="1">IFERROR(__xludf.DUMMYFUNCTION("""COMPUTED_VALUE"""),166.32)</f>
        <v>166.32</v>
      </c>
      <c r="D2086" s="1">
        <f ca="1">IFERROR(__xludf.DUMMYFUNCTION("""COMPUTED_VALUE"""),163.82)</f>
        <v>163.82</v>
      </c>
      <c r="E2086" s="1">
        <f ca="1">IFERROR(__xludf.DUMMYFUNCTION("""COMPUTED_VALUE"""),165.21)</f>
        <v>165.21</v>
      </c>
      <c r="F2086" s="1">
        <f ca="1">IFERROR(__xludf.DUMMYFUNCTION("""COMPUTED_VALUE"""),49386480)</f>
        <v>49386480</v>
      </c>
    </row>
    <row r="2087" spans="1:6" x14ac:dyDescent="0.35">
      <c r="A2087" s="2">
        <f ca="1">IFERROR(__xludf.DUMMYFUNCTION("""COMPUTED_VALUE"""),45033.6666666666)</f>
        <v>45033.666666666599</v>
      </c>
      <c r="B2087" s="1">
        <f ca="1">IFERROR(__xludf.DUMMYFUNCTION("""COMPUTED_VALUE"""),165.09)</f>
        <v>165.09</v>
      </c>
      <c r="C2087" s="1">
        <f ca="1">IFERROR(__xludf.DUMMYFUNCTION("""COMPUTED_VALUE"""),165.39)</f>
        <v>165.39</v>
      </c>
      <c r="D2087" s="1">
        <f ca="1">IFERROR(__xludf.DUMMYFUNCTION("""COMPUTED_VALUE"""),164.03)</f>
        <v>164.03</v>
      </c>
      <c r="E2087" s="1">
        <f ca="1">IFERROR(__xludf.DUMMYFUNCTION("""COMPUTED_VALUE"""),165.23)</f>
        <v>165.23</v>
      </c>
      <c r="F2087" s="1">
        <f ca="1">IFERROR(__xludf.DUMMYFUNCTION("""COMPUTED_VALUE"""),41516217)</f>
        <v>41516217</v>
      </c>
    </row>
    <row r="2088" spans="1:6" x14ac:dyDescent="0.35">
      <c r="A2088" s="2">
        <f ca="1">IFERROR(__xludf.DUMMYFUNCTION("""COMPUTED_VALUE"""),45034.6666666666)</f>
        <v>45034.666666666599</v>
      </c>
      <c r="B2088" s="1">
        <f ca="1">IFERROR(__xludf.DUMMYFUNCTION("""COMPUTED_VALUE"""),166.1)</f>
        <v>166.1</v>
      </c>
      <c r="C2088" s="1">
        <f ca="1">IFERROR(__xludf.DUMMYFUNCTION("""COMPUTED_VALUE"""),167.41)</f>
        <v>167.41</v>
      </c>
      <c r="D2088" s="1">
        <f ca="1">IFERROR(__xludf.DUMMYFUNCTION("""COMPUTED_VALUE"""),165.65)</f>
        <v>165.65</v>
      </c>
      <c r="E2088" s="1">
        <f ca="1">IFERROR(__xludf.DUMMYFUNCTION("""COMPUTED_VALUE"""),166.47)</f>
        <v>166.47</v>
      </c>
      <c r="F2088" s="1">
        <f ca="1">IFERROR(__xludf.DUMMYFUNCTION("""COMPUTED_VALUE"""),49923008)</f>
        <v>49923008</v>
      </c>
    </row>
    <row r="2089" spans="1:6" x14ac:dyDescent="0.35">
      <c r="A2089" s="2">
        <f ca="1">IFERROR(__xludf.DUMMYFUNCTION("""COMPUTED_VALUE"""),45035.6666666666)</f>
        <v>45035.666666666599</v>
      </c>
      <c r="B2089" s="1">
        <f ca="1">IFERROR(__xludf.DUMMYFUNCTION("""COMPUTED_VALUE"""),165.8)</f>
        <v>165.8</v>
      </c>
      <c r="C2089" s="1">
        <f ca="1">IFERROR(__xludf.DUMMYFUNCTION("""COMPUTED_VALUE"""),168.16)</f>
        <v>168.16</v>
      </c>
      <c r="D2089" s="1">
        <f ca="1">IFERROR(__xludf.DUMMYFUNCTION("""COMPUTED_VALUE"""),165.54)</f>
        <v>165.54</v>
      </c>
      <c r="E2089" s="1">
        <f ca="1">IFERROR(__xludf.DUMMYFUNCTION("""COMPUTED_VALUE"""),167.63)</f>
        <v>167.63</v>
      </c>
      <c r="F2089" s="1">
        <f ca="1">IFERROR(__xludf.DUMMYFUNCTION("""COMPUTED_VALUE"""),47720166)</f>
        <v>47720166</v>
      </c>
    </row>
    <row r="2090" spans="1:6" x14ac:dyDescent="0.35">
      <c r="A2090" s="2">
        <f ca="1">IFERROR(__xludf.DUMMYFUNCTION("""COMPUTED_VALUE"""),45036.6666666666)</f>
        <v>45036.666666666599</v>
      </c>
      <c r="B2090" s="1">
        <f ca="1">IFERROR(__xludf.DUMMYFUNCTION("""COMPUTED_VALUE"""),166.09)</f>
        <v>166.09</v>
      </c>
      <c r="C2090" s="1">
        <f ca="1">IFERROR(__xludf.DUMMYFUNCTION("""COMPUTED_VALUE"""),167.87)</f>
        <v>167.87</v>
      </c>
      <c r="D2090" s="1">
        <f ca="1">IFERROR(__xludf.DUMMYFUNCTION("""COMPUTED_VALUE"""),165.56)</f>
        <v>165.56</v>
      </c>
      <c r="E2090" s="1">
        <f ca="1">IFERROR(__xludf.DUMMYFUNCTION("""COMPUTED_VALUE"""),166.65)</f>
        <v>166.65</v>
      </c>
      <c r="F2090" s="1">
        <f ca="1">IFERROR(__xludf.DUMMYFUNCTION("""COMPUTED_VALUE"""),52456377)</f>
        <v>52456377</v>
      </c>
    </row>
    <row r="2091" spans="1:6" x14ac:dyDescent="0.35">
      <c r="A2091" s="2">
        <f ca="1">IFERROR(__xludf.DUMMYFUNCTION("""COMPUTED_VALUE"""),45037.6666666666)</f>
        <v>45037.666666666599</v>
      </c>
      <c r="B2091" s="1">
        <f ca="1">IFERROR(__xludf.DUMMYFUNCTION("""COMPUTED_VALUE"""),165.05)</f>
        <v>165.05</v>
      </c>
      <c r="C2091" s="1">
        <f ca="1">IFERROR(__xludf.DUMMYFUNCTION("""COMPUTED_VALUE"""),166.45)</f>
        <v>166.45</v>
      </c>
      <c r="D2091" s="1">
        <f ca="1">IFERROR(__xludf.DUMMYFUNCTION("""COMPUTED_VALUE"""),164.49)</f>
        <v>164.49</v>
      </c>
      <c r="E2091" s="1">
        <f ca="1">IFERROR(__xludf.DUMMYFUNCTION("""COMPUTED_VALUE"""),165.02)</f>
        <v>165.02</v>
      </c>
      <c r="F2091" s="1">
        <f ca="1">IFERROR(__xludf.DUMMYFUNCTION("""COMPUTED_VALUE"""),58337341)</f>
        <v>58337341</v>
      </c>
    </row>
    <row r="2092" spans="1:6" x14ac:dyDescent="0.35">
      <c r="A2092" s="2">
        <f ca="1">IFERROR(__xludf.DUMMYFUNCTION("""COMPUTED_VALUE"""),45040.6666666666)</f>
        <v>45040.666666666599</v>
      </c>
      <c r="B2092" s="1">
        <f ca="1">IFERROR(__xludf.DUMMYFUNCTION("""COMPUTED_VALUE"""),165)</f>
        <v>165</v>
      </c>
      <c r="C2092" s="1">
        <f ca="1">IFERROR(__xludf.DUMMYFUNCTION("""COMPUTED_VALUE"""),165.6)</f>
        <v>165.6</v>
      </c>
      <c r="D2092" s="1">
        <f ca="1">IFERROR(__xludf.DUMMYFUNCTION("""COMPUTED_VALUE"""),163.89)</f>
        <v>163.89</v>
      </c>
      <c r="E2092" s="1">
        <f ca="1">IFERROR(__xludf.DUMMYFUNCTION("""COMPUTED_VALUE"""),165.33)</f>
        <v>165.33</v>
      </c>
      <c r="F2092" s="1">
        <f ca="1">IFERROR(__xludf.DUMMYFUNCTION("""COMPUTED_VALUE"""),41949581)</f>
        <v>41949581</v>
      </c>
    </row>
    <row r="2093" spans="1:6" x14ac:dyDescent="0.35">
      <c r="A2093" s="2">
        <f ca="1">IFERROR(__xludf.DUMMYFUNCTION("""COMPUTED_VALUE"""),45041.6666666666)</f>
        <v>45041.666666666599</v>
      </c>
      <c r="B2093" s="1">
        <f ca="1">IFERROR(__xludf.DUMMYFUNCTION("""COMPUTED_VALUE"""),165.19)</f>
        <v>165.19</v>
      </c>
      <c r="C2093" s="1">
        <f ca="1">IFERROR(__xludf.DUMMYFUNCTION("""COMPUTED_VALUE"""),166.31)</f>
        <v>166.31</v>
      </c>
      <c r="D2093" s="1">
        <f ca="1">IFERROR(__xludf.DUMMYFUNCTION("""COMPUTED_VALUE"""),163.73)</f>
        <v>163.72999999999999</v>
      </c>
      <c r="E2093" s="1">
        <f ca="1">IFERROR(__xludf.DUMMYFUNCTION("""COMPUTED_VALUE"""),163.77)</f>
        <v>163.77000000000001</v>
      </c>
      <c r="F2093" s="1">
        <f ca="1">IFERROR(__xludf.DUMMYFUNCTION("""COMPUTED_VALUE"""),48714063)</f>
        <v>48714063</v>
      </c>
    </row>
    <row r="2094" spans="1:6" x14ac:dyDescent="0.35">
      <c r="A2094" s="2">
        <f ca="1">IFERROR(__xludf.DUMMYFUNCTION("""COMPUTED_VALUE"""),45042.6666666666)</f>
        <v>45042.666666666599</v>
      </c>
      <c r="B2094" s="1">
        <f ca="1">IFERROR(__xludf.DUMMYFUNCTION("""COMPUTED_VALUE"""),163.06)</f>
        <v>163.06</v>
      </c>
      <c r="C2094" s="1">
        <f ca="1">IFERROR(__xludf.DUMMYFUNCTION("""COMPUTED_VALUE"""),165.28)</f>
        <v>165.28</v>
      </c>
      <c r="D2094" s="1">
        <f ca="1">IFERROR(__xludf.DUMMYFUNCTION("""COMPUTED_VALUE"""),162.8)</f>
        <v>162.80000000000001</v>
      </c>
      <c r="E2094" s="1">
        <f ca="1">IFERROR(__xludf.DUMMYFUNCTION("""COMPUTED_VALUE"""),163.76)</f>
        <v>163.76</v>
      </c>
      <c r="F2094" s="1">
        <f ca="1">IFERROR(__xludf.DUMMYFUNCTION("""COMPUTED_VALUE"""),45498796)</f>
        <v>45498796</v>
      </c>
    </row>
    <row r="2095" spans="1:6" x14ac:dyDescent="0.35">
      <c r="A2095" s="2">
        <f ca="1">IFERROR(__xludf.DUMMYFUNCTION("""COMPUTED_VALUE"""),45043.6666666666)</f>
        <v>45043.666666666599</v>
      </c>
      <c r="B2095" s="1">
        <f ca="1">IFERROR(__xludf.DUMMYFUNCTION("""COMPUTED_VALUE"""),165.19)</f>
        <v>165.19</v>
      </c>
      <c r="C2095" s="1">
        <f ca="1">IFERROR(__xludf.DUMMYFUNCTION("""COMPUTED_VALUE"""),168.56)</f>
        <v>168.56</v>
      </c>
      <c r="D2095" s="1">
        <f ca="1">IFERROR(__xludf.DUMMYFUNCTION("""COMPUTED_VALUE"""),165.19)</f>
        <v>165.19</v>
      </c>
      <c r="E2095" s="1">
        <f ca="1">IFERROR(__xludf.DUMMYFUNCTION("""COMPUTED_VALUE"""),168.41)</f>
        <v>168.41</v>
      </c>
      <c r="F2095" s="1">
        <f ca="1">IFERROR(__xludf.DUMMYFUNCTION("""COMPUTED_VALUE"""),64902329)</f>
        <v>64902329</v>
      </c>
    </row>
    <row r="2096" spans="1:6" x14ac:dyDescent="0.35">
      <c r="A2096" s="2">
        <f ca="1">IFERROR(__xludf.DUMMYFUNCTION("""COMPUTED_VALUE"""),45044.6666666666)</f>
        <v>45044.666666666599</v>
      </c>
      <c r="B2096" s="1">
        <f ca="1">IFERROR(__xludf.DUMMYFUNCTION("""COMPUTED_VALUE"""),168.49)</f>
        <v>168.49</v>
      </c>
      <c r="C2096" s="1">
        <f ca="1">IFERROR(__xludf.DUMMYFUNCTION("""COMPUTED_VALUE"""),169.85)</f>
        <v>169.85</v>
      </c>
      <c r="D2096" s="1">
        <f ca="1">IFERROR(__xludf.DUMMYFUNCTION("""COMPUTED_VALUE"""),167.88)</f>
        <v>167.88</v>
      </c>
      <c r="E2096" s="1">
        <f ca="1">IFERROR(__xludf.DUMMYFUNCTION("""COMPUTED_VALUE"""),169.68)</f>
        <v>169.68</v>
      </c>
      <c r="F2096" s="1">
        <f ca="1">IFERROR(__xludf.DUMMYFUNCTION("""COMPUTED_VALUE"""),55275851)</f>
        <v>55275851</v>
      </c>
    </row>
    <row r="2097" spans="1:6" x14ac:dyDescent="0.35">
      <c r="A2097" s="2">
        <f ca="1">IFERROR(__xludf.DUMMYFUNCTION("""COMPUTED_VALUE"""),45047.6666666666)</f>
        <v>45047.666666666599</v>
      </c>
      <c r="B2097" s="1">
        <f ca="1">IFERROR(__xludf.DUMMYFUNCTION("""COMPUTED_VALUE"""),169.28)</f>
        <v>169.28</v>
      </c>
      <c r="C2097" s="1">
        <f ca="1">IFERROR(__xludf.DUMMYFUNCTION("""COMPUTED_VALUE"""),170.45)</f>
        <v>170.45</v>
      </c>
      <c r="D2097" s="1">
        <f ca="1">IFERROR(__xludf.DUMMYFUNCTION("""COMPUTED_VALUE"""),168.64)</f>
        <v>168.64</v>
      </c>
      <c r="E2097" s="1">
        <f ca="1">IFERROR(__xludf.DUMMYFUNCTION("""COMPUTED_VALUE"""),169.59)</f>
        <v>169.59</v>
      </c>
      <c r="F2097" s="1">
        <f ca="1">IFERROR(__xludf.DUMMYFUNCTION("""COMPUTED_VALUE"""),52472936)</f>
        <v>52472936</v>
      </c>
    </row>
    <row r="2098" spans="1:6" x14ac:dyDescent="0.35">
      <c r="A2098" s="2">
        <f ca="1">IFERROR(__xludf.DUMMYFUNCTION("""COMPUTED_VALUE"""),45048.6666666666)</f>
        <v>45048.666666666599</v>
      </c>
      <c r="B2098" s="1">
        <f ca="1">IFERROR(__xludf.DUMMYFUNCTION("""COMPUTED_VALUE"""),170.09)</f>
        <v>170.09</v>
      </c>
      <c r="C2098" s="1">
        <f ca="1">IFERROR(__xludf.DUMMYFUNCTION("""COMPUTED_VALUE"""),170.35)</f>
        <v>170.35</v>
      </c>
      <c r="D2098" s="1">
        <f ca="1">IFERROR(__xludf.DUMMYFUNCTION("""COMPUTED_VALUE"""),167.54)</f>
        <v>167.54</v>
      </c>
      <c r="E2098" s="1">
        <f ca="1">IFERROR(__xludf.DUMMYFUNCTION("""COMPUTED_VALUE"""),168.54)</f>
        <v>168.54</v>
      </c>
      <c r="F2098" s="1">
        <f ca="1">IFERROR(__xludf.DUMMYFUNCTION("""COMPUTED_VALUE"""),48425696)</f>
        <v>48425696</v>
      </c>
    </row>
    <row r="2099" spans="1:6" x14ac:dyDescent="0.35">
      <c r="A2099" s="2">
        <f ca="1">IFERROR(__xludf.DUMMYFUNCTION("""COMPUTED_VALUE"""),45049.6666666666)</f>
        <v>45049.666666666599</v>
      </c>
      <c r="B2099" s="1">
        <f ca="1">IFERROR(__xludf.DUMMYFUNCTION("""COMPUTED_VALUE"""),169.5)</f>
        <v>169.5</v>
      </c>
      <c r="C2099" s="1">
        <f ca="1">IFERROR(__xludf.DUMMYFUNCTION("""COMPUTED_VALUE"""),170.92)</f>
        <v>170.92</v>
      </c>
      <c r="D2099" s="1">
        <f ca="1">IFERROR(__xludf.DUMMYFUNCTION("""COMPUTED_VALUE"""),167.16)</f>
        <v>167.16</v>
      </c>
      <c r="E2099" s="1">
        <f ca="1">IFERROR(__xludf.DUMMYFUNCTION("""COMPUTED_VALUE"""),167.45)</f>
        <v>167.45</v>
      </c>
      <c r="F2099" s="1">
        <f ca="1">IFERROR(__xludf.DUMMYFUNCTION("""COMPUTED_VALUE"""),65136018)</f>
        <v>65136018</v>
      </c>
    </row>
    <row r="2100" spans="1:6" x14ac:dyDescent="0.35">
      <c r="A2100" s="2">
        <f ca="1">IFERROR(__xludf.DUMMYFUNCTION("""COMPUTED_VALUE"""),45050.6666666666)</f>
        <v>45050.666666666599</v>
      </c>
      <c r="B2100" s="1">
        <f ca="1">IFERROR(__xludf.DUMMYFUNCTION("""COMPUTED_VALUE"""),164.89)</f>
        <v>164.89</v>
      </c>
      <c r="C2100" s="1">
        <f ca="1">IFERROR(__xludf.DUMMYFUNCTION("""COMPUTED_VALUE"""),167.04)</f>
        <v>167.04</v>
      </c>
      <c r="D2100" s="1">
        <f ca="1">IFERROR(__xludf.DUMMYFUNCTION("""COMPUTED_VALUE"""),164.31)</f>
        <v>164.31</v>
      </c>
      <c r="E2100" s="1">
        <f ca="1">IFERROR(__xludf.DUMMYFUNCTION("""COMPUTED_VALUE"""),165.79)</f>
        <v>165.79</v>
      </c>
      <c r="F2100" s="1">
        <f ca="1">IFERROR(__xludf.DUMMYFUNCTION("""COMPUTED_VALUE"""),81235427)</f>
        <v>81235427</v>
      </c>
    </row>
    <row r="2101" spans="1:6" x14ac:dyDescent="0.35">
      <c r="A2101" s="2">
        <f ca="1">IFERROR(__xludf.DUMMYFUNCTION("""COMPUTED_VALUE"""),45051.6666666666)</f>
        <v>45051.666666666599</v>
      </c>
      <c r="B2101" s="1">
        <f ca="1">IFERROR(__xludf.DUMMYFUNCTION("""COMPUTED_VALUE"""),170.98)</f>
        <v>170.98</v>
      </c>
      <c r="C2101" s="1">
        <f ca="1">IFERROR(__xludf.DUMMYFUNCTION("""COMPUTED_VALUE"""),174.3)</f>
        <v>174.3</v>
      </c>
      <c r="D2101" s="1">
        <f ca="1">IFERROR(__xludf.DUMMYFUNCTION("""COMPUTED_VALUE"""),170.76)</f>
        <v>170.76</v>
      </c>
      <c r="E2101" s="1">
        <f ca="1">IFERROR(__xludf.DUMMYFUNCTION("""COMPUTED_VALUE"""),173.57)</f>
        <v>173.57</v>
      </c>
      <c r="F2101" s="1">
        <f ca="1">IFERROR(__xludf.DUMMYFUNCTION("""COMPUTED_VALUE"""),113453171)</f>
        <v>113453171</v>
      </c>
    </row>
    <row r="2102" spans="1:6" x14ac:dyDescent="0.35">
      <c r="A2102" s="2">
        <f ca="1">IFERROR(__xludf.DUMMYFUNCTION("""COMPUTED_VALUE"""),45054.6666666666)</f>
        <v>45054.666666666599</v>
      </c>
      <c r="B2102" s="1">
        <f ca="1">IFERROR(__xludf.DUMMYFUNCTION("""COMPUTED_VALUE"""),172.48)</f>
        <v>172.48</v>
      </c>
      <c r="C2102" s="1">
        <f ca="1">IFERROR(__xludf.DUMMYFUNCTION("""COMPUTED_VALUE"""),173.85)</f>
        <v>173.85</v>
      </c>
      <c r="D2102" s="1">
        <f ca="1">IFERROR(__xludf.DUMMYFUNCTION("""COMPUTED_VALUE"""),172.11)</f>
        <v>172.11</v>
      </c>
      <c r="E2102" s="1">
        <f ca="1">IFERROR(__xludf.DUMMYFUNCTION("""COMPUTED_VALUE"""),173.5)</f>
        <v>173.5</v>
      </c>
      <c r="F2102" s="1">
        <f ca="1">IFERROR(__xludf.DUMMYFUNCTION("""COMPUTED_VALUE"""),55962793)</f>
        <v>55962793</v>
      </c>
    </row>
    <row r="2103" spans="1:6" x14ac:dyDescent="0.35">
      <c r="A2103" s="2">
        <f ca="1">IFERROR(__xludf.DUMMYFUNCTION("""COMPUTED_VALUE"""),45055.6666666666)</f>
        <v>45055.666666666599</v>
      </c>
      <c r="B2103" s="1">
        <f ca="1">IFERROR(__xludf.DUMMYFUNCTION("""COMPUTED_VALUE"""),173.05)</f>
        <v>173.05</v>
      </c>
      <c r="C2103" s="1">
        <f ca="1">IFERROR(__xludf.DUMMYFUNCTION("""COMPUTED_VALUE"""),173.54)</f>
        <v>173.54</v>
      </c>
      <c r="D2103" s="1">
        <f ca="1">IFERROR(__xludf.DUMMYFUNCTION("""COMPUTED_VALUE"""),171.6)</f>
        <v>171.6</v>
      </c>
      <c r="E2103" s="1">
        <f ca="1">IFERROR(__xludf.DUMMYFUNCTION("""COMPUTED_VALUE"""),171.77)</f>
        <v>171.77</v>
      </c>
      <c r="F2103" s="1">
        <f ca="1">IFERROR(__xludf.DUMMYFUNCTION("""COMPUTED_VALUE"""),45326874)</f>
        <v>45326874</v>
      </c>
    </row>
    <row r="2104" spans="1:6" x14ac:dyDescent="0.35">
      <c r="A2104" s="2">
        <f ca="1">IFERROR(__xludf.DUMMYFUNCTION("""COMPUTED_VALUE"""),45056.6666666666)</f>
        <v>45056.666666666599</v>
      </c>
      <c r="B2104" s="1">
        <f ca="1">IFERROR(__xludf.DUMMYFUNCTION("""COMPUTED_VALUE"""),173.02)</f>
        <v>173.02</v>
      </c>
      <c r="C2104" s="1">
        <f ca="1">IFERROR(__xludf.DUMMYFUNCTION("""COMPUTED_VALUE"""),174.03)</f>
        <v>174.03</v>
      </c>
      <c r="D2104" s="1">
        <f ca="1">IFERROR(__xludf.DUMMYFUNCTION("""COMPUTED_VALUE"""),171.9)</f>
        <v>171.9</v>
      </c>
      <c r="E2104" s="1">
        <f ca="1">IFERROR(__xludf.DUMMYFUNCTION("""COMPUTED_VALUE"""),173.56)</f>
        <v>173.56</v>
      </c>
      <c r="F2104" s="1">
        <f ca="1">IFERROR(__xludf.DUMMYFUNCTION("""COMPUTED_VALUE"""),53724501)</f>
        <v>53724501</v>
      </c>
    </row>
    <row r="2105" spans="1:6" x14ac:dyDescent="0.35">
      <c r="A2105" s="2">
        <f ca="1">IFERROR(__xludf.DUMMYFUNCTION("""COMPUTED_VALUE"""),45057.6666666666)</f>
        <v>45057.666666666599</v>
      </c>
      <c r="B2105" s="1">
        <f ca="1">IFERROR(__xludf.DUMMYFUNCTION("""COMPUTED_VALUE"""),173.85)</f>
        <v>173.85</v>
      </c>
      <c r="C2105" s="1">
        <f ca="1">IFERROR(__xludf.DUMMYFUNCTION("""COMPUTED_VALUE"""),174.59)</f>
        <v>174.59</v>
      </c>
      <c r="D2105" s="1">
        <f ca="1">IFERROR(__xludf.DUMMYFUNCTION("""COMPUTED_VALUE"""),172.17)</f>
        <v>172.17</v>
      </c>
      <c r="E2105" s="1">
        <f ca="1">IFERROR(__xludf.DUMMYFUNCTION("""COMPUTED_VALUE"""),173.75)</f>
        <v>173.75</v>
      </c>
      <c r="F2105" s="1">
        <f ca="1">IFERROR(__xludf.DUMMYFUNCTION("""COMPUTED_VALUE"""),49514676)</f>
        <v>49514676</v>
      </c>
    </row>
    <row r="2106" spans="1:6" x14ac:dyDescent="0.35">
      <c r="A2106" s="2">
        <f ca="1">IFERROR(__xludf.DUMMYFUNCTION("""COMPUTED_VALUE"""),45058.6666666666)</f>
        <v>45058.666666666599</v>
      </c>
      <c r="B2106" s="1">
        <f ca="1">IFERROR(__xludf.DUMMYFUNCTION("""COMPUTED_VALUE"""),173.62)</f>
        <v>173.62</v>
      </c>
      <c r="C2106" s="1">
        <f ca="1">IFERROR(__xludf.DUMMYFUNCTION("""COMPUTED_VALUE"""),174.06)</f>
        <v>174.06</v>
      </c>
      <c r="D2106" s="1">
        <f ca="1">IFERROR(__xludf.DUMMYFUNCTION("""COMPUTED_VALUE"""),171)</f>
        <v>171</v>
      </c>
      <c r="E2106" s="1">
        <f ca="1">IFERROR(__xludf.DUMMYFUNCTION("""COMPUTED_VALUE"""),172.57)</f>
        <v>172.57</v>
      </c>
      <c r="F2106" s="1">
        <f ca="1">IFERROR(__xludf.DUMMYFUNCTION("""COMPUTED_VALUE"""),45533138)</f>
        <v>45533138</v>
      </c>
    </row>
    <row r="2107" spans="1:6" x14ac:dyDescent="0.35">
      <c r="A2107" s="2">
        <f ca="1">IFERROR(__xludf.DUMMYFUNCTION("""COMPUTED_VALUE"""),45061.6666666666)</f>
        <v>45061.666666666599</v>
      </c>
      <c r="B2107" s="1">
        <f ca="1">IFERROR(__xludf.DUMMYFUNCTION("""COMPUTED_VALUE"""),173.16)</f>
        <v>173.16</v>
      </c>
      <c r="C2107" s="1">
        <f ca="1">IFERROR(__xludf.DUMMYFUNCTION("""COMPUTED_VALUE"""),173.21)</f>
        <v>173.21</v>
      </c>
      <c r="D2107" s="1">
        <f ca="1">IFERROR(__xludf.DUMMYFUNCTION("""COMPUTED_VALUE"""),171.47)</f>
        <v>171.47</v>
      </c>
      <c r="E2107" s="1">
        <f ca="1">IFERROR(__xludf.DUMMYFUNCTION("""COMPUTED_VALUE"""),172.07)</f>
        <v>172.07</v>
      </c>
      <c r="F2107" s="1">
        <f ca="1">IFERROR(__xludf.DUMMYFUNCTION("""COMPUTED_VALUE"""),37266659)</f>
        <v>37266659</v>
      </c>
    </row>
    <row r="2108" spans="1:6" x14ac:dyDescent="0.35">
      <c r="A2108" s="2">
        <f ca="1">IFERROR(__xludf.DUMMYFUNCTION("""COMPUTED_VALUE"""),45062.6666666666)</f>
        <v>45062.666666666599</v>
      </c>
      <c r="B2108" s="1">
        <f ca="1">IFERROR(__xludf.DUMMYFUNCTION("""COMPUTED_VALUE"""),171.99)</f>
        <v>171.99</v>
      </c>
      <c r="C2108" s="1">
        <f ca="1">IFERROR(__xludf.DUMMYFUNCTION("""COMPUTED_VALUE"""),173.14)</f>
        <v>173.14</v>
      </c>
      <c r="D2108" s="1">
        <f ca="1">IFERROR(__xludf.DUMMYFUNCTION("""COMPUTED_VALUE"""),171.8)</f>
        <v>171.8</v>
      </c>
      <c r="E2108" s="1">
        <f ca="1">IFERROR(__xludf.DUMMYFUNCTION("""COMPUTED_VALUE"""),172.07)</f>
        <v>172.07</v>
      </c>
      <c r="F2108" s="1">
        <f ca="1">IFERROR(__xludf.DUMMYFUNCTION("""COMPUTED_VALUE"""),42110293)</f>
        <v>42110293</v>
      </c>
    </row>
    <row r="2109" spans="1:6" x14ac:dyDescent="0.35">
      <c r="A2109" s="2">
        <f ca="1">IFERROR(__xludf.DUMMYFUNCTION("""COMPUTED_VALUE"""),45063.6666666666)</f>
        <v>45063.666666666599</v>
      </c>
      <c r="B2109" s="1">
        <f ca="1">IFERROR(__xludf.DUMMYFUNCTION("""COMPUTED_VALUE"""),171.71)</f>
        <v>171.71</v>
      </c>
      <c r="C2109" s="1">
        <f ca="1">IFERROR(__xludf.DUMMYFUNCTION("""COMPUTED_VALUE"""),172.93)</f>
        <v>172.93</v>
      </c>
      <c r="D2109" s="1">
        <f ca="1">IFERROR(__xludf.DUMMYFUNCTION("""COMPUTED_VALUE"""),170.42)</f>
        <v>170.42</v>
      </c>
      <c r="E2109" s="1">
        <f ca="1">IFERROR(__xludf.DUMMYFUNCTION("""COMPUTED_VALUE"""),172.69)</f>
        <v>172.69</v>
      </c>
      <c r="F2109" s="1">
        <f ca="1">IFERROR(__xludf.DUMMYFUNCTION("""COMPUTED_VALUE"""),57951604)</f>
        <v>57951604</v>
      </c>
    </row>
    <row r="2110" spans="1:6" x14ac:dyDescent="0.35">
      <c r="A2110" s="2">
        <f ca="1">IFERROR(__xludf.DUMMYFUNCTION("""COMPUTED_VALUE"""),45064.6666666666)</f>
        <v>45064.666666666599</v>
      </c>
      <c r="B2110" s="1">
        <f ca="1">IFERROR(__xludf.DUMMYFUNCTION("""COMPUTED_VALUE"""),173)</f>
        <v>173</v>
      </c>
      <c r="C2110" s="1">
        <f ca="1">IFERROR(__xludf.DUMMYFUNCTION("""COMPUTED_VALUE"""),175.24)</f>
        <v>175.24</v>
      </c>
      <c r="D2110" s="1">
        <f ca="1">IFERROR(__xludf.DUMMYFUNCTION("""COMPUTED_VALUE"""),172.58)</f>
        <v>172.58</v>
      </c>
      <c r="E2110" s="1">
        <f ca="1">IFERROR(__xludf.DUMMYFUNCTION("""COMPUTED_VALUE"""),175.05)</f>
        <v>175.05</v>
      </c>
      <c r="F2110" s="1">
        <f ca="1">IFERROR(__xludf.DUMMYFUNCTION("""COMPUTED_VALUE"""),65496657)</f>
        <v>65496657</v>
      </c>
    </row>
    <row r="2111" spans="1:6" x14ac:dyDescent="0.35">
      <c r="A2111" s="2">
        <f ca="1">IFERROR(__xludf.DUMMYFUNCTION("""COMPUTED_VALUE"""),45065.6666666666)</f>
        <v>45065.666666666599</v>
      </c>
      <c r="B2111" s="1">
        <f ca="1">IFERROR(__xludf.DUMMYFUNCTION("""COMPUTED_VALUE"""),176.39)</f>
        <v>176.39</v>
      </c>
      <c r="C2111" s="1">
        <f ca="1">IFERROR(__xludf.DUMMYFUNCTION("""COMPUTED_VALUE"""),176.39)</f>
        <v>176.39</v>
      </c>
      <c r="D2111" s="1">
        <f ca="1">IFERROR(__xludf.DUMMYFUNCTION("""COMPUTED_VALUE"""),174.94)</f>
        <v>174.94</v>
      </c>
      <c r="E2111" s="1">
        <f ca="1">IFERROR(__xludf.DUMMYFUNCTION("""COMPUTED_VALUE"""),175.16)</f>
        <v>175.16</v>
      </c>
      <c r="F2111" s="1">
        <f ca="1">IFERROR(__xludf.DUMMYFUNCTION("""COMPUTED_VALUE"""),55809475)</f>
        <v>55809475</v>
      </c>
    </row>
    <row r="2112" spans="1:6" x14ac:dyDescent="0.35">
      <c r="A2112" s="2">
        <f ca="1">IFERROR(__xludf.DUMMYFUNCTION("""COMPUTED_VALUE"""),45068.6666666666)</f>
        <v>45068.666666666599</v>
      </c>
      <c r="B2112" s="1">
        <f ca="1">IFERROR(__xludf.DUMMYFUNCTION("""COMPUTED_VALUE"""),173.98)</f>
        <v>173.98</v>
      </c>
      <c r="C2112" s="1">
        <f ca="1">IFERROR(__xludf.DUMMYFUNCTION("""COMPUTED_VALUE"""),174.71)</f>
        <v>174.71</v>
      </c>
      <c r="D2112" s="1">
        <f ca="1">IFERROR(__xludf.DUMMYFUNCTION("""COMPUTED_VALUE"""),173.45)</f>
        <v>173.45</v>
      </c>
      <c r="E2112" s="1">
        <f ca="1">IFERROR(__xludf.DUMMYFUNCTION("""COMPUTED_VALUE"""),174.2)</f>
        <v>174.2</v>
      </c>
      <c r="F2112" s="1">
        <f ca="1">IFERROR(__xludf.DUMMYFUNCTION("""COMPUTED_VALUE"""),43570932)</f>
        <v>43570932</v>
      </c>
    </row>
    <row r="2113" spans="1:6" x14ac:dyDescent="0.35">
      <c r="A2113" s="2">
        <f ca="1">IFERROR(__xludf.DUMMYFUNCTION("""COMPUTED_VALUE"""),45069.6666666666)</f>
        <v>45069.666666666599</v>
      </c>
      <c r="B2113" s="1">
        <f ca="1">IFERROR(__xludf.DUMMYFUNCTION("""COMPUTED_VALUE"""),173.13)</f>
        <v>173.13</v>
      </c>
      <c r="C2113" s="1">
        <f ca="1">IFERROR(__xludf.DUMMYFUNCTION("""COMPUTED_VALUE"""),173.38)</f>
        <v>173.38</v>
      </c>
      <c r="D2113" s="1">
        <f ca="1">IFERROR(__xludf.DUMMYFUNCTION("""COMPUTED_VALUE"""),171.28)</f>
        <v>171.28</v>
      </c>
      <c r="E2113" s="1">
        <f ca="1">IFERROR(__xludf.DUMMYFUNCTION("""COMPUTED_VALUE"""),171.56)</f>
        <v>171.56</v>
      </c>
      <c r="F2113" s="1">
        <f ca="1">IFERROR(__xludf.DUMMYFUNCTION("""COMPUTED_VALUE"""),50747263)</f>
        <v>50747263</v>
      </c>
    </row>
    <row r="2114" spans="1:6" x14ac:dyDescent="0.35">
      <c r="A2114" s="2">
        <f ca="1">IFERROR(__xludf.DUMMYFUNCTION("""COMPUTED_VALUE"""),45070.6666666666)</f>
        <v>45070.666666666599</v>
      </c>
      <c r="B2114" s="1">
        <f ca="1">IFERROR(__xludf.DUMMYFUNCTION("""COMPUTED_VALUE"""),171.09)</f>
        <v>171.09</v>
      </c>
      <c r="C2114" s="1">
        <f ca="1">IFERROR(__xludf.DUMMYFUNCTION("""COMPUTED_VALUE"""),172.42)</f>
        <v>172.42</v>
      </c>
      <c r="D2114" s="1">
        <f ca="1">IFERROR(__xludf.DUMMYFUNCTION("""COMPUTED_VALUE"""),170.52)</f>
        <v>170.52</v>
      </c>
      <c r="E2114" s="1">
        <f ca="1">IFERROR(__xludf.DUMMYFUNCTION("""COMPUTED_VALUE"""),171.84)</f>
        <v>171.84</v>
      </c>
      <c r="F2114" s="1">
        <f ca="1">IFERROR(__xludf.DUMMYFUNCTION("""COMPUTED_VALUE"""),45143488)</f>
        <v>45143488</v>
      </c>
    </row>
    <row r="2115" spans="1:6" x14ac:dyDescent="0.35">
      <c r="A2115" s="2">
        <f ca="1">IFERROR(__xludf.DUMMYFUNCTION("""COMPUTED_VALUE"""),45071.6666666666)</f>
        <v>45071.666666666599</v>
      </c>
      <c r="B2115" s="1">
        <f ca="1">IFERROR(__xludf.DUMMYFUNCTION("""COMPUTED_VALUE"""),172.41)</f>
        <v>172.41</v>
      </c>
      <c r="C2115" s="1">
        <f ca="1">IFERROR(__xludf.DUMMYFUNCTION("""COMPUTED_VALUE"""),173.9)</f>
        <v>173.9</v>
      </c>
      <c r="D2115" s="1">
        <f ca="1">IFERROR(__xludf.DUMMYFUNCTION("""COMPUTED_VALUE"""),171.69)</f>
        <v>171.69</v>
      </c>
      <c r="E2115" s="1">
        <f ca="1">IFERROR(__xludf.DUMMYFUNCTION("""COMPUTED_VALUE"""),172.99)</f>
        <v>172.99</v>
      </c>
      <c r="F2115" s="1">
        <f ca="1">IFERROR(__xludf.DUMMYFUNCTION("""COMPUTED_VALUE"""),56058258)</f>
        <v>56058258</v>
      </c>
    </row>
    <row r="2116" spans="1:6" x14ac:dyDescent="0.35">
      <c r="A2116" s="2">
        <f ca="1">IFERROR(__xludf.DUMMYFUNCTION("""COMPUTED_VALUE"""),45072.6666666666)</f>
        <v>45072.666666666599</v>
      </c>
      <c r="B2116" s="1">
        <f ca="1">IFERROR(__xludf.DUMMYFUNCTION("""COMPUTED_VALUE"""),173.32)</f>
        <v>173.32</v>
      </c>
      <c r="C2116" s="1">
        <f ca="1">IFERROR(__xludf.DUMMYFUNCTION("""COMPUTED_VALUE"""),175.77)</f>
        <v>175.77</v>
      </c>
      <c r="D2116" s="1">
        <f ca="1">IFERROR(__xludf.DUMMYFUNCTION("""COMPUTED_VALUE"""),173.11)</f>
        <v>173.11</v>
      </c>
      <c r="E2116" s="1">
        <f ca="1">IFERROR(__xludf.DUMMYFUNCTION("""COMPUTED_VALUE"""),175.43)</f>
        <v>175.43</v>
      </c>
      <c r="F2116" s="1">
        <f ca="1">IFERROR(__xludf.DUMMYFUNCTION("""COMPUTED_VALUE"""),54834975)</f>
        <v>54834975</v>
      </c>
    </row>
    <row r="2117" spans="1:6" x14ac:dyDescent="0.35">
      <c r="A2117" s="2">
        <f ca="1">IFERROR(__xludf.DUMMYFUNCTION("""COMPUTED_VALUE"""),45076.6666666666)</f>
        <v>45076.666666666599</v>
      </c>
      <c r="B2117" s="1">
        <f ca="1">IFERROR(__xludf.DUMMYFUNCTION("""COMPUTED_VALUE"""),176.96)</f>
        <v>176.96</v>
      </c>
      <c r="C2117" s="1">
        <f ca="1">IFERROR(__xludf.DUMMYFUNCTION("""COMPUTED_VALUE"""),178.99)</f>
        <v>178.99</v>
      </c>
      <c r="D2117" s="1">
        <f ca="1">IFERROR(__xludf.DUMMYFUNCTION("""COMPUTED_VALUE"""),176.57)</f>
        <v>176.57</v>
      </c>
      <c r="E2117" s="1">
        <f ca="1">IFERROR(__xludf.DUMMYFUNCTION("""COMPUTED_VALUE"""),177.3)</f>
        <v>177.3</v>
      </c>
      <c r="F2117" s="1">
        <f ca="1">IFERROR(__xludf.DUMMYFUNCTION("""COMPUTED_VALUE"""),55964401)</f>
        <v>55964401</v>
      </c>
    </row>
    <row r="2118" spans="1:6" x14ac:dyDescent="0.35">
      <c r="A2118" s="2">
        <f ca="1">IFERROR(__xludf.DUMMYFUNCTION("""COMPUTED_VALUE"""),45077.6666666666)</f>
        <v>45077.666666666599</v>
      </c>
      <c r="B2118" s="1">
        <f ca="1">IFERROR(__xludf.DUMMYFUNCTION("""COMPUTED_VALUE"""),177.33)</f>
        <v>177.33</v>
      </c>
      <c r="C2118" s="1">
        <f ca="1">IFERROR(__xludf.DUMMYFUNCTION("""COMPUTED_VALUE"""),179.35)</f>
        <v>179.35</v>
      </c>
      <c r="D2118" s="1">
        <f ca="1">IFERROR(__xludf.DUMMYFUNCTION("""COMPUTED_VALUE"""),176.76)</f>
        <v>176.76</v>
      </c>
      <c r="E2118" s="1">
        <f ca="1">IFERROR(__xludf.DUMMYFUNCTION("""COMPUTED_VALUE"""),177.25)</f>
        <v>177.25</v>
      </c>
      <c r="F2118" s="1">
        <f ca="1">IFERROR(__xludf.DUMMYFUNCTION("""COMPUTED_VALUE"""),99625288)</f>
        <v>99625288</v>
      </c>
    </row>
    <row r="2119" spans="1:6" x14ac:dyDescent="0.35">
      <c r="A2119" s="2">
        <f ca="1">IFERROR(__xludf.DUMMYFUNCTION("""COMPUTED_VALUE"""),45078.6666666666)</f>
        <v>45078.666666666599</v>
      </c>
      <c r="B2119" s="1">
        <f ca="1">IFERROR(__xludf.DUMMYFUNCTION("""COMPUTED_VALUE"""),177.7)</f>
        <v>177.7</v>
      </c>
      <c r="C2119" s="1">
        <f ca="1">IFERROR(__xludf.DUMMYFUNCTION("""COMPUTED_VALUE"""),180.12)</f>
        <v>180.12</v>
      </c>
      <c r="D2119" s="1">
        <f ca="1">IFERROR(__xludf.DUMMYFUNCTION("""COMPUTED_VALUE"""),176.93)</f>
        <v>176.93</v>
      </c>
      <c r="E2119" s="1">
        <f ca="1">IFERROR(__xludf.DUMMYFUNCTION("""COMPUTED_VALUE"""),180.09)</f>
        <v>180.09</v>
      </c>
      <c r="F2119" s="1">
        <f ca="1">IFERROR(__xludf.DUMMYFUNCTION("""COMPUTED_VALUE"""),68901809)</f>
        <v>68901809</v>
      </c>
    </row>
    <row r="2120" spans="1:6" x14ac:dyDescent="0.35">
      <c r="A2120" s="2">
        <f ca="1">IFERROR(__xludf.DUMMYFUNCTION("""COMPUTED_VALUE"""),45079.6666666666)</f>
        <v>45079.666666666599</v>
      </c>
      <c r="B2120" s="1">
        <f ca="1">IFERROR(__xludf.DUMMYFUNCTION("""COMPUTED_VALUE"""),181.03)</f>
        <v>181.03</v>
      </c>
      <c r="C2120" s="1">
        <f ca="1">IFERROR(__xludf.DUMMYFUNCTION("""COMPUTED_VALUE"""),181.78)</f>
        <v>181.78</v>
      </c>
      <c r="D2120" s="1">
        <f ca="1">IFERROR(__xludf.DUMMYFUNCTION("""COMPUTED_VALUE"""),179.26)</f>
        <v>179.26</v>
      </c>
      <c r="E2120" s="1">
        <f ca="1">IFERROR(__xludf.DUMMYFUNCTION("""COMPUTED_VALUE"""),180.95)</f>
        <v>180.95</v>
      </c>
      <c r="F2120" s="1">
        <f ca="1">IFERROR(__xludf.DUMMYFUNCTION("""COMPUTED_VALUE"""),61996913)</f>
        <v>61996913</v>
      </c>
    </row>
    <row r="2121" spans="1:6" x14ac:dyDescent="0.35">
      <c r="A2121" s="2">
        <f ca="1">IFERROR(__xludf.DUMMYFUNCTION("""COMPUTED_VALUE"""),45082.6666666666)</f>
        <v>45082.666666666599</v>
      </c>
      <c r="B2121" s="1">
        <f ca="1">IFERROR(__xludf.DUMMYFUNCTION("""COMPUTED_VALUE"""),182.63)</f>
        <v>182.63</v>
      </c>
      <c r="C2121" s="1">
        <f ca="1">IFERROR(__xludf.DUMMYFUNCTION("""COMPUTED_VALUE"""),184.95)</f>
        <v>184.95</v>
      </c>
      <c r="D2121" s="1">
        <f ca="1">IFERROR(__xludf.DUMMYFUNCTION("""COMPUTED_VALUE"""),178.04)</f>
        <v>178.04</v>
      </c>
      <c r="E2121" s="1">
        <f ca="1">IFERROR(__xludf.DUMMYFUNCTION("""COMPUTED_VALUE"""),179.58)</f>
        <v>179.58</v>
      </c>
      <c r="F2121" s="1">
        <f ca="1">IFERROR(__xludf.DUMMYFUNCTION("""COMPUTED_VALUE"""),121946497)</f>
        <v>121946497</v>
      </c>
    </row>
    <row r="2122" spans="1:6" x14ac:dyDescent="0.35">
      <c r="A2122" s="2">
        <f ca="1">IFERROR(__xludf.DUMMYFUNCTION("""COMPUTED_VALUE"""),45083.6666666666)</f>
        <v>45083.666666666599</v>
      </c>
      <c r="B2122" s="1">
        <f ca="1">IFERROR(__xludf.DUMMYFUNCTION("""COMPUTED_VALUE"""),179.97)</f>
        <v>179.97</v>
      </c>
      <c r="C2122" s="1">
        <f ca="1">IFERROR(__xludf.DUMMYFUNCTION("""COMPUTED_VALUE"""),180.12)</f>
        <v>180.12</v>
      </c>
      <c r="D2122" s="1">
        <f ca="1">IFERROR(__xludf.DUMMYFUNCTION("""COMPUTED_VALUE"""),177.43)</f>
        <v>177.43</v>
      </c>
      <c r="E2122" s="1">
        <f ca="1">IFERROR(__xludf.DUMMYFUNCTION("""COMPUTED_VALUE"""),179.21)</f>
        <v>179.21</v>
      </c>
      <c r="F2122" s="1">
        <f ca="1">IFERROR(__xludf.DUMMYFUNCTION("""COMPUTED_VALUE"""),64848374)</f>
        <v>64848374</v>
      </c>
    </row>
    <row r="2123" spans="1:6" x14ac:dyDescent="0.35">
      <c r="A2123" s="2">
        <f ca="1">IFERROR(__xludf.DUMMYFUNCTION("""COMPUTED_VALUE"""),45084.6666666666)</f>
        <v>45084.666666666599</v>
      </c>
      <c r="B2123" s="1">
        <f ca="1">IFERROR(__xludf.DUMMYFUNCTION("""COMPUTED_VALUE"""),178.44)</f>
        <v>178.44</v>
      </c>
      <c r="C2123" s="1">
        <f ca="1">IFERROR(__xludf.DUMMYFUNCTION("""COMPUTED_VALUE"""),181.21)</f>
        <v>181.21</v>
      </c>
      <c r="D2123" s="1">
        <f ca="1">IFERROR(__xludf.DUMMYFUNCTION("""COMPUTED_VALUE"""),177.32)</f>
        <v>177.32</v>
      </c>
      <c r="E2123" s="1">
        <f ca="1">IFERROR(__xludf.DUMMYFUNCTION("""COMPUTED_VALUE"""),177.82)</f>
        <v>177.82</v>
      </c>
      <c r="F2123" s="1">
        <f ca="1">IFERROR(__xludf.DUMMYFUNCTION("""COMPUTED_VALUE"""),61944615)</f>
        <v>61944615</v>
      </c>
    </row>
    <row r="2124" spans="1:6" x14ac:dyDescent="0.35">
      <c r="A2124" s="2">
        <f ca="1">IFERROR(__xludf.DUMMYFUNCTION("""COMPUTED_VALUE"""),45085.6666666666)</f>
        <v>45085.666666666599</v>
      </c>
      <c r="B2124" s="1">
        <f ca="1">IFERROR(__xludf.DUMMYFUNCTION("""COMPUTED_VALUE"""),177.9)</f>
        <v>177.9</v>
      </c>
      <c r="C2124" s="1">
        <f ca="1">IFERROR(__xludf.DUMMYFUNCTION("""COMPUTED_VALUE"""),180.84)</f>
        <v>180.84</v>
      </c>
      <c r="D2124" s="1">
        <f ca="1">IFERROR(__xludf.DUMMYFUNCTION("""COMPUTED_VALUE"""),177.46)</f>
        <v>177.46</v>
      </c>
      <c r="E2124" s="1">
        <f ca="1">IFERROR(__xludf.DUMMYFUNCTION("""COMPUTED_VALUE"""),180.57)</f>
        <v>180.57</v>
      </c>
      <c r="F2124" s="1">
        <f ca="1">IFERROR(__xludf.DUMMYFUNCTION("""COMPUTED_VALUE"""),50214881)</f>
        <v>50214881</v>
      </c>
    </row>
    <row r="2125" spans="1:6" x14ac:dyDescent="0.35">
      <c r="A2125" s="2">
        <f ca="1">IFERROR(__xludf.DUMMYFUNCTION("""COMPUTED_VALUE"""),45086.6666666666)</f>
        <v>45086.666666666599</v>
      </c>
      <c r="B2125" s="1">
        <f ca="1">IFERROR(__xludf.DUMMYFUNCTION("""COMPUTED_VALUE"""),181.5)</f>
        <v>181.5</v>
      </c>
      <c r="C2125" s="1">
        <f ca="1">IFERROR(__xludf.DUMMYFUNCTION("""COMPUTED_VALUE"""),182.23)</f>
        <v>182.23</v>
      </c>
      <c r="D2125" s="1">
        <f ca="1">IFERROR(__xludf.DUMMYFUNCTION("""COMPUTED_VALUE"""),180.63)</f>
        <v>180.63</v>
      </c>
      <c r="E2125" s="1">
        <f ca="1">IFERROR(__xludf.DUMMYFUNCTION("""COMPUTED_VALUE"""),180.96)</f>
        <v>180.96</v>
      </c>
      <c r="F2125" s="1">
        <f ca="1">IFERROR(__xludf.DUMMYFUNCTION("""COMPUTED_VALUE"""),48899973)</f>
        <v>48899973</v>
      </c>
    </row>
    <row r="2126" spans="1:6" x14ac:dyDescent="0.35">
      <c r="A2126" s="2">
        <f ca="1">IFERROR(__xludf.DUMMYFUNCTION("""COMPUTED_VALUE"""),45089.6666666666)</f>
        <v>45089.666666666599</v>
      </c>
      <c r="B2126" s="1">
        <f ca="1">IFERROR(__xludf.DUMMYFUNCTION("""COMPUTED_VALUE"""),181.27)</f>
        <v>181.27</v>
      </c>
      <c r="C2126" s="1">
        <f ca="1">IFERROR(__xludf.DUMMYFUNCTION("""COMPUTED_VALUE"""),183.89)</f>
        <v>183.89</v>
      </c>
      <c r="D2126" s="1">
        <f ca="1">IFERROR(__xludf.DUMMYFUNCTION("""COMPUTED_VALUE"""),180.97)</f>
        <v>180.97</v>
      </c>
      <c r="E2126" s="1">
        <f ca="1">IFERROR(__xludf.DUMMYFUNCTION("""COMPUTED_VALUE"""),183.79)</f>
        <v>183.79</v>
      </c>
      <c r="F2126" s="1">
        <f ca="1">IFERROR(__xludf.DUMMYFUNCTION("""COMPUTED_VALUE"""),54754995)</f>
        <v>54754995</v>
      </c>
    </row>
    <row r="2127" spans="1:6" x14ac:dyDescent="0.35">
      <c r="A2127" s="2">
        <f ca="1">IFERROR(__xludf.DUMMYFUNCTION("""COMPUTED_VALUE"""),45090.6666666666)</f>
        <v>45090.666666666599</v>
      </c>
      <c r="B2127" s="1">
        <f ca="1">IFERROR(__xludf.DUMMYFUNCTION("""COMPUTED_VALUE"""),182.8)</f>
        <v>182.8</v>
      </c>
      <c r="C2127" s="1">
        <f ca="1">IFERROR(__xludf.DUMMYFUNCTION("""COMPUTED_VALUE"""),184.15)</f>
        <v>184.15</v>
      </c>
      <c r="D2127" s="1">
        <f ca="1">IFERROR(__xludf.DUMMYFUNCTION("""COMPUTED_VALUE"""),182.44)</f>
        <v>182.44</v>
      </c>
      <c r="E2127" s="1">
        <f ca="1">IFERROR(__xludf.DUMMYFUNCTION("""COMPUTED_VALUE"""),183.31)</f>
        <v>183.31</v>
      </c>
      <c r="F2127" s="1">
        <f ca="1">IFERROR(__xludf.DUMMYFUNCTION("""COMPUTED_VALUE"""),54929129)</f>
        <v>54929129</v>
      </c>
    </row>
    <row r="2128" spans="1:6" x14ac:dyDescent="0.35">
      <c r="A2128" s="2">
        <f ca="1">IFERROR(__xludf.DUMMYFUNCTION("""COMPUTED_VALUE"""),45091.6666666666)</f>
        <v>45091.666666666599</v>
      </c>
      <c r="B2128" s="1">
        <f ca="1">IFERROR(__xludf.DUMMYFUNCTION("""COMPUTED_VALUE"""),183.37)</f>
        <v>183.37</v>
      </c>
      <c r="C2128" s="1">
        <f ca="1">IFERROR(__xludf.DUMMYFUNCTION("""COMPUTED_VALUE"""),184.39)</f>
        <v>184.39</v>
      </c>
      <c r="D2128" s="1">
        <f ca="1">IFERROR(__xludf.DUMMYFUNCTION("""COMPUTED_VALUE"""),182.02)</f>
        <v>182.02</v>
      </c>
      <c r="E2128" s="1">
        <f ca="1">IFERROR(__xludf.DUMMYFUNCTION("""COMPUTED_VALUE"""),183.95)</f>
        <v>183.95</v>
      </c>
      <c r="F2128" s="1">
        <f ca="1">IFERROR(__xludf.DUMMYFUNCTION("""COMPUTED_VALUE"""),57462882)</f>
        <v>57462882</v>
      </c>
    </row>
    <row r="2129" spans="1:6" x14ac:dyDescent="0.35">
      <c r="A2129" s="2">
        <f ca="1">IFERROR(__xludf.DUMMYFUNCTION("""COMPUTED_VALUE"""),45092.6666666666)</f>
        <v>45092.666666666599</v>
      </c>
      <c r="B2129" s="1">
        <f ca="1">IFERROR(__xludf.DUMMYFUNCTION("""COMPUTED_VALUE"""),183.96)</f>
        <v>183.96</v>
      </c>
      <c r="C2129" s="1">
        <f ca="1">IFERROR(__xludf.DUMMYFUNCTION("""COMPUTED_VALUE"""),186.52)</f>
        <v>186.52</v>
      </c>
      <c r="D2129" s="1">
        <f ca="1">IFERROR(__xludf.DUMMYFUNCTION("""COMPUTED_VALUE"""),183.78)</f>
        <v>183.78</v>
      </c>
      <c r="E2129" s="1">
        <f ca="1">IFERROR(__xludf.DUMMYFUNCTION("""COMPUTED_VALUE"""),186.01)</f>
        <v>186.01</v>
      </c>
      <c r="F2129" s="1">
        <f ca="1">IFERROR(__xludf.DUMMYFUNCTION("""COMPUTED_VALUE"""),65433166)</f>
        <v>65433166</v>
      </c>
    </row>
    <row r="2130" spans="1:6" x14ac:dyDescent="0.35">
      <c r="A2130" s="2">
        <f ca="1">IFERROR(__xludf.DUMMYFUNCTION("""COMPUTED_VALUE"""),45093.6666666666)</f>
        <v>45093.666666666599</v>
      </c>
      <c r="B2130" s="1">
        <f ca="1">IFERROR(__xludf.DUMMYFUNCTION("""COMPUTED_VALUE"""),186.73)</f>
        <v>186.73</v>
      </c>
      <c r="C2130" s="1">
        <f ca="1">IFERROR(__xludf.DUMMYFUNCTION("""COMPUTED_VALUE"""),186.99)</f>
        <v>186.99</v>
      </c>
      <c r="D2130" s="1">
        <f ca="1">IFERROR(__xludf.DUMMYFUNCTION("""COMPUTED_VALUE"""),184.27)</f>
        <v>184.27</v>
      </c>
      <c r="E2130" s="1">
        <f ca="1">IFERROR(__xludf.DUMMYFUNCTION("""COMPUTED_VALUE"""),184.92)</f>
        <v>184.92</v>
      </c>
      <c r="F2130" s="1">
        <f ca="1">IFERROR(__xludf.DUMMYFUNCTION("""COMPUTED_VALUE"""),101256225)</f>
        <v>101256225</v>
      </c>
    </row>
    <row r="2131" spans="1:6" x14ac:dyDescent="0.35">
      <c r="A2131" s="2">
        <f ca="1">IFERROR(__xludf.DUMMYFUNCTION("""COMPUTED_VALUE"""),45097.6666666666)</f>
        <v>45097.666666666599</v>
      </c>
      <c r="B2131" s="1">
        <f ca="1">IFERROR(__xludf.DUMMYFUNCTION("""COMPUTED_VALUE"""),184.41)</f>
        <v>184.41</v>
      </c>
      <c r="C2131" s="1">
        <f ca="1">IFERROR(__xludf.DUMMYFUNCTION("""COMPUTED_VALUE"""),186.1)</f>
        <v>186.1</v>
      </c>
      <c r="D2131" s="1">
        <f ca="1">IFERROR(__xludf.DUMMYFUNCTION("""COMPUTED_VALUE"""),184.41)</f>
        <v>184.41</v>
      </c>
      <c r="E2131" s="1">
        <f ca="1">IFERROR(__xludf.DUMMYFUNCTION("""COMPUTED_VALUE"""),185.01)</f>
        <v>185.01</v>
      </c>
      <c r="F2131" s="1">
        <f ca="1">IFERROR(__xludf.DUMMYFUNCTION("""COMPUTED_VALUE"""),49799092)</f>
        <v>49799092</v>
      </c>
    </row>
    <row r="2132" spans="1:6" x14ac:dyDescent="0.35">
      <c r="A2132" s="2">
        <f ca="1">IFERROR(__xludf.DUMMYFUNCTION("""COMPUTED_VALUE"""),45098.6666666666)</f>
        <v>45098.666666666599</v>
      </c>
      <c r="B2132" s="1">
        <f ca="1">IFERROR(__xludf.DUMMYFUNCTION("""COMPUTED_VALUE"""),184.9)</f>
        <v>184.9</v>
      </c>
      <c r="C2132" s="1">
        <f ca="1">IFERROR(__xludf.DUMMYFUNCTION("""COMPUTED_VALUE"""),185.41)</f>
        <v>185.41</v>
      </c>
      <c r="D2132" s="1">
        <f ca="1">IFERROR(__xludf.DUMMYFUNCTION("""COMPUTED_VALUE"""),182.59)</f>
        <v>182.59</v>
      </c>
      <c r="E2132" s="1">
        <f ca="1">IFERROR(__xludf.DUMMYFUNCTION("""COMPUTED_VALUE"""),183.96)</f>
        <v>183.96</v>
      </c>
      <c r="F2132" s="1">
        <f ca="1">IFERROR(__xludf.DUMMYFUNCTION("""COMPUTED_VALUE"""),49515697)</f>
        <v>49515697</v>
      </c>
    </row>
    <row r="2133" spans="1:6" x14ac:dyDescent="0.35">
      <c r="A2133" s="2">
        <f ca="1">IFERROR(__xludf.DUMMYFUNCTION("""COMPUTED_VALUE"""),45099.6666666666)</f>
        <v>45099.666666666599</v>
      </c>
      <c r="B2133" s="1">
        <f ca="1">IFERROR(__xludf.DUMMYFUNCTION("""COMPUTED_VALUE"""),183.74)</f>
        <v>183.74</v>
      </c>
      <c r="C2133" s="1">
        <f ca="1">IFERROR(__xludf.DUMMYFUNCTION("""COMPUTED_VALUE"""),187.05)</f>
        <v>187.05</v>
      </c>
      <c r="D2133" s="1">
        <f ca="1">IFERROR(__xludf.DUMMYFUNCTION("""COMPUTED_VALUE"""),183.67)</f>
        <v>183.67</v>
      </c>
      <c r="E2133" s="1">
        <f ca="1">IFERROR(__xludf.DUMMYFUNCTION("""COMPUTED_VALUE"""),187)</f>
        <v>187</v>
      </c>
      <c r="F2133" s="1">
        <f ca="1">IFERROR(__xludf.DUMMYFUNCTION("""COMPUTED_VALUE"""),51245327)</f>
        <v>51245327</v>
      </c>
    </row>
    <row r="2134" spans="1:6" x14ac:dyDescent="0.35">
      <c r="A2134" s="2">
        <f ca="1">IFERROR(__xludf.DUMMYFUNCTION("""COMPUTED_VALUE"""),45100.6666666666)</f>
        <v>45100.666666666599</v>
      </c>
      <c r="B2134" s="1">
        <f ca="1">IFERROR(__xludf.DUMMYFUNCTION("""COMPUTED_VALUE"""),185.55)</f>
        <v>185.55</v>
      </c>
      <c r="C2134" s="1">
        <f ca="1">IFERROR(__xludf.DUMMYFUNCTION("""COMPUTED_VALUE"""),187.56)</f>
        <v>187.56</v>
      </c>
      <c r="D2134" s="1">
        <f ca="1">IFERROR(__xludf.DUMMYFUNCTION("""COMPUTED_VALUE"""),185.01)</f>
        <v>185.01</v>
      </c>
      <c r="E2134" s="1">
        <f ca="1">IFERROR(__xludf.DUMMYFUNCTION("""COMPUTED_VALUE"""),186.68)</f>
        <v>186.68</v>
      </c>
      <c r="F2134" s="1">
        <f ca="1">IFERROR(__xludf.DUMMYFUNCTION("""COMPUTED_VALUE"""),53116996)</f>
        <v>53116996</v>
      </c>
    </row>
    <row r="2135" spans="1:6" x14ac:dyDescent="0.35">
      <c r="A2135" s="2">
        <f ca="1">IFERROR(__xludf.DUMMYFUNCTION("""COMPUTED_VALUE"""),45103.6666666666)</f>
        <v>45103.666666666599</v>
      </c>
      <c r="B2135" s="1">
        <f ca="1">IFERROR(__xludf.DUMMYFUNCTION("""COMPUTED_VALUE"""),186.83)</f>
        <v>186.83</v>
      </c>
      <c r="C2135" s="1">
        <f ca="1">IFERROR(__xludf.DUMMYFUNCTION("""COMPUTED_VALUE"""),188.05)</f>
        <v>188.05</v>
      </c>
      <c r="D2135" s="1">
        <f ca="1">IFERROR(__xludf.DUMMYFUNCTION("""COMPUTED_VALUE"""),185.23)</f>
        <v>185.23</v>
      </c>
      <c r="E2135" s="1">
        <f ca="1">IFERROR(__xludf.DUMMYFUNCTION("""COMPUTED_VALUE"""),185.27)</f>
        <v>185.27</v>
      </c>
      <c r="F2135" s="1">
        <f ca="1">IFERROR(__xludf.DUMMYFUNCTION("""COMPUTED_VALUE"""),48088661)</f>
        <v>48088661</v>
      </c>
    </row>
    <row r="2136" spans="1:6" x14ac:dyDescent="0.35">
      <c r="A2136" s="2">
        <f ca="1">IFERROR(__xludf.DUMMYFUNCTION("""COMPUTED_VALUE"""),45104.6666666666)</f>
        <v>45104.666666666599</v>
      </c>
      <c r="B2136" s="1">
        <f ca="1">IFERROR(__xludf.DUMMYFUNCTION("""COMPUTED_VALUE"""),185.89)</f>
        <v>185.89</v>
      </c>
      <c r="C2136" s="1">
        <f ca="1">IFERROR(__xludf.DUMMYFUNCTION("""COMPUTED_VALUE"""),188.39)</f>
        <v>188.39</v>
      </c>
      <c r="D2136" s="1">
        <f ca="1">IFERROR(__xludf.DUMMYFUNCTION("""COMPUTED_VALUE"""),185.67)</f>
        <v>185.67</v>
      </c>
      <c r="E2136" s="1">
        <f ca="1">IFERROR(__xludf.DUMMYFUNCTION("""COMPUTED_VALUE"""),188.06)</f>
        <v>188.06</v>
      </c>
      <c r="F2136" s="1">
        <f ca="1">IFERROR(__xludf.DUMMYFUNCTION("""COMPUTED_VALUE"""),50730846)</f>
        <v>50730846</v>
      </c>
    </row>
    <row r="2137" spans="1:6" x14ac:dyDescent="0.35">
      <c r="A2137" s="2">
        <f ca="1">IFERROR(__xludf.DUMMYFUNCTION("""COMPUTED_VALUE"""),45105.6666666666)</f>
        <v>45105.666666666599</v>
      </c>
      <c r="B2137" s="1">
        <f ca="1">IFERROR(__xludf.DUMMYFUNCTION("""COMPUTED_VALUE"""),187.93)</f>
        <v>187.93</v>
      </c>
      <c r="C2137" s="1">
        <f ca="1">IFERROR(__xludf.DUMMYFUNCTION("""COMPUTED_VALUE"""),189.9)</f>
        <v>189.9</v>
      </c>
      <c r="D2137" s="1">
        <f ca="1">IFERROR(__xludf.DUMMYFUNCTION("""COMPUTED_VALUE"""),187.6)</f>
        <v>187.6</v>
      </c>
      <c r="E2137" s="1">
        <f ca="1">IFERROR(__xludf.DUMMYFUNCTION("""COMPUTED_VALUE"""),189.25)</f>
        <v>189.25</v>
      </c>
      <c r="F2137" s="1">
        <f ca="1">IFERROR(__xludf.DUMMYFUNCTION("""COMPUTED_VALUE"""),51216801)</f>
        <v>51216801</v>
      </c>
    </row>
    <row r="2138" spans="1:6" x14ac:dyDescent="0.35">
      <c r="A2138" s="2">
        <f ca="1">IFERROR(__xludf.DUMMYFUNCTION("""COMPUTED_VALUE"""),45106.6666666666)</f>
        <v>45106.666666666599</v>
      </c>
      <c r="B2138" s="1">
        <f ca="1">IFERROR(__xludf.DUMMYFUNCTION("""COMPUTED_VALUE"""),189.08)</f>
        <v>189.08</v>
      </c>
      <c r="C2138" s="1">
        <f ca="1">IFERROR(__xludf.DUMMYFUNCTION("""COMPUTED_VALUE"""),190.07)</f>
        <v>190.07</v>
      </c>
      <c r="D2138" s="1">
        <f ca="1">IFERROR(__xludf.DUMMYFUNCTION("""COMPUTED_VALUE"""),188.94)</f>
        <v>188.94</v>
      </c>
      <c r="E2138" s="1">
        <f ca="1">IFERROR(__xludf.DUMMYFUNCTION("""COMPUTED_VALUE"""),189.59)</f>
        <v>189.59</v>
      </c>
      <c r="F2138" s="1">
        <f ca="1">IFERROR(__xludf.DUMMYFUNCTION("""COMPUTED_VALUE"""),46347308)</f>
        <v>46347308</v>
      </c>
    </row>
    <row r="2139" spans="1:6" x14ac:dyDescent="0.35">
      <c r="A2139" s="2">
        <f ca="1">IFERROR(__xludf.DUMMYFUNCTION("""COMPUTED_VALUE"""),45107.6666666666)</f>
        <v>45107.666666666599</v>
      </c>
      <c r="B2139" s="1">
        <f ca="1">IFERROR(__xludf.DUMMYFUNCTION("""COMPUTED_VALUE"""),191.63)</f>
        <v>191.63</v>
      </c>
      <c r="C2139" s="1">
        <f ca="1">IFERROR(__xludf.DUMMYFUNCTION("""COMPUTED_VALUE"""),194.48)</f>
        <v>194.48</v>
      </c>
      <c r="D2139" s="1">
        <f ca="1">IFERROR(__xludf.DUMMYFUNCTION("""COMPUTED_VALUE"""),191.26)</f>
        <v>191.26</v>
      </c>
      <c r="E2139" s="1">
        <f ca="1">IFERROR(__xludf.DUMMYFUNCTION("""COMPUTED_VALUE"""),193.97)</f>
        <v>193.97</v>
      </c>
      <c r="F2139" s="1">
        <f ca="1">IFERROR(__xludf.DUMMYFUNCTION("""COMPUTED_VALUE"""),85213216)</f>
        <v>85213216</v>
      </c>
    </row>
    <row r="2140" spans="1:6" x14ac:dyDescent="0.35">
      <c r="A2140" s="2">
        <f ca="1">IFERROR(__xludf.DUMMYFUNCTION("""COMPUTED_VALUE"""),45110.5451388888)</f>
        <v>45110.545138888803</v>
      </c>
      <c r="B2140" s="1">
        <f ca="1">IFERROR(__xludf.DUMMYFUNCTION("""COMPUTED_VALUE"""),193.78)</f>
        <v>193.78</v>
      </c>
      <c r="C2140" s="1">
        <f ca="1">IFERROR(__xludf.DUMMYFUNCTION("""COMPUTED_VALUE"""),193.88)</f>
        <v>193.88</v>
      </c>
      <c r="D2140" s="1">
        <f ca="1">IFERROR(__xludf.DUMMYFUNCTION("""COMPUTED_VALUE"""),191.76)</f>
        <v>191.76</v>
      </c>
      <c r="E2140" s="1">
        <f ca="1">IFERROR(__xludf.DUMMYFUNCTION("""COMPUTED_VALUE"""),192.46)</f>
        <v>192.46</v>
      </c>
      <c r="F2140" s="1">
        <f ca="1">IFERROR(__xludf.DUMMYFUNCTION("""COMPUTED_VALUE"""),31458198)</f>
        <v>31458198</v>
      </c>
    </row>
    <row r="2141" spans="1:6" x14ac:dyDescent="0.35">
      <c r="A2141" s="2">
        <f ca="1">IFERROR(__xludf.DUMMYFUNCTION("""COMPUTED_VALUE"""),45112.6666666666)</f>
        <v>45112.666666666599</v>
      </c>
      <c r="B2141" s="1">
        <f ca="1">IFERROR(__xludf.DUMMYFUNCTION("""COMPUTED_VALUE"""),191.57)</f>
        <v>191.57</v>
      </c>
      <c r="C2141" s="1">
        <f ca="1">IFERROR(__xludf.DUMMYFUNCTION("""COMPUTED_VALUE"""),192.98)</f>
        <v>192.98</v>
      </c>
      <c r="D2141" s="1">
        <f ca="1">IFERROR(__xludf.DUMMYFUNCTION("""COMPUTED_VALUE"""),190.62)</f>
        <v>190.62</v>
      </c>
      <c r="E2141" s="1">
        <f ca="1">IFERROR(__xludf.DUMMYFUNCTION("""COMPUTED_VALUE"""),191.33)</f>
        <v>191.33</v>
      </c>
      <c r="F2141" s="1">
        <f ca="1">IFERROR(__xludf.DUMMYFUNCTION("""COMPUTED_VALUE"""),46920261)</f>
        <v>46920261</v>
      </c>
    </row>
    <row r="2142" spans="1:6" x14ac:dyDescent="0.35">
      <c r="A2142" s="2">
        <f ca="1">IFERROR(__xludf.DUMMYFUNCTION("""COMPUTED_VALUE"""),45113.6666666666)</f>
        <v>45113.666666666599</v>
      </c>
      <c r="B2142" s="1">
        <f ca="1">IFERROR(__xludf.DUMMYFUNCTION("""COMPUTED_VALUE"""),189.84)</f>
        <v>189.84</v>
      </c>
      <c r="C2142" s="1">
        <f ca="1">IFERROR(__xludf.DUMMYFUNCTION("""COMPUTED_VALUE"""),192.02)</f>
        <v>192.02</v>
      </c>
      <c r="D2142" s="1">
        <f ca="1">IFERROR(__xludf.DUMMYFUNCTION("""COMPUTED_VALUE"""),189.2)</f>
        <v>189.2</v>
      </c>
      <c r="E2142" s="1">
        <f ca="1">IFERROR(__xludf.DUMMYFUNCTION("""COMPUTED_VALUE"""),191.81)</f>
        <v>191.81</v>
      </c>
      <c r="F2142" s="1">
        <f ca="1">IFERROR(__xludf.DUMMYFUNCTION("""COMPUTED_VALUE"""),45156009)</f>
        <v>45156009</v>
      </c>
    </row>
    <row r="2143" spans="1:6" x14ac:dyDescent="0.35">
      <c r="A2143" s="2">
        <f ca="1">IFERROR(__xludf.DUMMYFUNCTION("""COMPUTED_VALUE"""),45114.6666666666)</f>
        <v>45114.666666666599</v>
      </c>
      <c r="B2143" s="1">
        <f ca="1">IFERROR(__xludf.DUMMYFUNCTION("""COMPUTED_VALUE"""),191.41)</f>
        <v>191.41</v>
      </c>
      <c r="C2143" s="1">
        <f ca="1">IFERROR(__xludf.DUMMYFUNCTION("""COMPUTED_VALUE"""),192.67)</f>
        <v>192.67</v>
      </c>
      <c r="D2143" s="1">
        <f ca="1">IFERROR(__xludf.DUMMYFUNCTION("""COMPUTED_VALUE"""),190.24)</f>
        <v>190.24</v>
      </c>
      <c r="E2143" s="1">
        <f ca="1">IFERROR(__xludf.DUMMYFUNCTION("""COMPUTED_VALUE"""),190.68)</f>
        <v>190.68</v>
      </c>
      <c r="F2143" s="1">
        <f ca="1">IFERROR(__xludf.DUMMYFUNCTION("""COMPUTED_VALUE"""),46814998)</f>
        <v>46814998</v>
      </c>
    </row>
    <row r="2144" spans="1:6" x14ac:dyDescent="0.35">
      <c r="A2144" s="2">
        <f ca="1">IFERROR(__xludf.DUMMYFUNCTION("""COMPUTED_VALUE"""),45117.6666666666)</f>
        <v>45117.666666666599</v>
      </c>
      <c r="B2144" s="1">
        <f ca="1">IFERROR(__xludf.DUMMYFUNCTION("""COMPUTED_VALUE"""),189.26)</f>
        <v>189.26</v>
      </c>
      <c r="C2144" s="1">
        <f ca="1">IFERROR(__xludf.DUMMYFUNCTION("""COMPUTED_VALUE"""),189.99)</f>
        <v>189.99</v>
      </c>
      <c r="D2144" s="1">
        <f ca="1">IFERROR(__xludf.DUMMYFUNCTION("""COMPUTED_VALUE"""),187.04)</f>
        <v>187.04</v>
      </c>
      <c r="E2144" s="1">
        <f ca="1">IFERROR(__xludf.DUMMYFUNCTION("""COMPUTED_VALUE"""),188.61)</f>
        <v>188.61</v>
      </c>
      <c r="F2144" s="1">
        <f ca="1">IFERROR(__xludf.DUMMYFUNCTION("""COMPUTED_VALUE"""),59922163)</f>
        <v>59922163</v>
      </c>
    </row>
    <row r="2145" spans="1:6" x14ac:dyDescent="0.35">
      <c r="A2145" s="2">
        <f ca="1">IFERROR(__xludf.DUMMYFUNCTION("""COMPUTED_VALUE"""),45118.6666666666)</f>
        <v>45118.666666666599</v>
      </c>
      <c r="B2145" s="1">
        <f ca="1">IFERROR(__xludf.DUMMYFUNCTION("""COMPUTED_VALUE"""),189.16)</f>
        <v>189.16</v>
      </c>
      <c r="C2145" s="1">
        <f ca="1">IFERROR(__xludf.DUMMYFUNCTION("""COMPUTED_VALUE"""),189.3)</f>
        <v>189.3</v>
      </c>
      <c r="D2145" s="1">
        <f ca="1">IFERROR(__xludf.DUMMYFUNCTION("""COMPUTED_VALUE"""),186.6)</f>
        <v>186.6</v>
      </c>
      <c r="E2145" s="1">
        <f ca="1">IFERROR(__xludf.DUMMYFUNCTION("""COMPUTED_VALUE"""),188.08)</f>
        <v>188.08</v>
      </c>
      <c r="F2145" s="1">
        <f ca="1">IFERROR(__xludf.DUMMYFUNCTION("""COMPUTED_VALUE"""),46638119)</f>
        <v>46638119</v>
      </c>
    </row>
    <row r="2146" spans="1:6" x14ac:dyDescent="0.35">
      <c r="A2146" s="2">
        <f ca="1">IFERROR(__xludf.DUMMYFUNCTION("""COMPUTED_VALUE"""),45119.6666666666)</f>
        <v>45119.666666666599</v>
      </c>
      <c r="B2146" s="1">
        <f ca="1">IFERROR(__xludf.DUMMYFUNCTION("""COMPUTED_VALUE"""),189.68)</f>
        <v>189.68</v>
      </c>
      <c r="C2146" s="1">
        <f ca="1">IFERROR(__xludf.DUMMYFUNCTION("""COMPUTED_VALUE"""),191.7)</f>
        <v>191.7</v>
      </c>
      <c r="D2146" s="1">
        <f ca="1">IFERROR(__xludf.DUMMYFUNCTION("""COMPUTED_VALUE"""),188.47)</f>
        <v>188.47</v>
      </c>
      <c r="E2146" s="1">
        <f ca="1">IFERROR(__xludf.DUMMYFUNCTION("""COMPUTED_VALUE"""),189.77)</f>
        <v>189.77</v>
      </c>
      <c r="F2146" s="1">
        <f ca="1">IFERROR(__xludf.DUMMYFUNCTION("""COMPUTED_VALUE"""),60750248)</f>
        <v>60750248</v>
      </c>
    </row>
    <row r="2147" spans="1:6" x14ac:dyDescent="0.35">
      <c r="A2147" s="2">
        <f ca="1">IFERROR(__xludf.DUMMYFUNCTION("""COMPUTED_VALUE"""),45120.6666666666)</f>
        <v>45120.666666666599</v>
      </c>
      <c r="B2147" s="1">
        <f ca="1">IFERROR(__xludf.DUMMYFUNCTION("""COMPUTED_VALUE"""),190.5)</f>
        <v>190.5</v>
      </c>
      <c r="C2147" s="1">
        <f ca="1">IFERROR(__xludf.DUMMYFUNCTION("""COMPUTED_VALUE"""),191.19)</f>
        <v>191.19</v>
      </c>
      <c r="D2147" s="1">
        <f ca="1">IFERROR(__xludf.DUMMYFUNCTION("""COMPUTED_VALUE"""),189.78)</f>
        <v>189.78</v>
      </c>
      <c r="E2147" s="1">
        <f ca="1">IFERROR(__xludf.DUMMYFUNCTION("""COMPUTED_VALUE"""),190.54)</f>
        <v>190.54</v>
      </c>
      <c r="F2147" s="1">
        <f ca="1">IFERROR(__xludf.DUMMYFUNCTION("""COMPUTED_VALUE"""),41342338)</f>
        <v>41342338</v>
      </c>
    </row>
    <row r="2148" spans="1:6" x14ac:dyDescent="0.35">
      <c r="A2148" s="2">
        <f ca="1">IFERROR(__xludf.DUMMYFUNCTION("""COMPUTED_VALUE"""),45121.6666666666)</f>
        <v>45121.666666666599</v>
      </c>
      <c r="B2148" s="1">
        <f ca="1">IFERROR(__xludf.DUMMYFUNCTION("""COMPUTED_VALUE"""),190.23)</f>
        <v>190.23</v>
      </c>
      <c r="C2148" s="1">
        <f ca="1">IFERROR(__xludf.DUMMYFUNCTION("""COMPUTED_VALUE"""),191.18)</f>
        <v>191.18</v>
      </c>
      <c r="D2148" s="1">
        <f ca="1">IFERROR(__xludf.DUMMYFUNCTION("""COMPUTED_VALUE"""),189.63)</f>
        <v>189.63</v>
      </c>
      <c r="E2148" s="1">
        <f ca="1">IFERROR(__xludf.DUMMYFUNCTION("""COMPUTED_VALUE"""),190.69)</f>
        <v>190.69</v>
      </c>
      <c r="F2148" s="1">
        <f ca="1">IFERROR(__xludf.DUMMYFUNCTION("""COMPUTED_VALUE"""),41616242)</f>
        <v>41616242</v>
      </c>
    </row>
    <row r="2149" spans="1:6" x14ac:dyDescent="0.35">
      <c r="A2149" s="2">
        <f ca="1">IFERROR(__xludf.DUMMYFUNCTION("""COMPUTED_VALUE"""),45124.6666666666)</f>
        <v>45124.666666666599</v>
      </c>
      <c r="B2149" s="1">
        <f ca="1">IFERROR(__xludf.DUMMYFUNCTION("""COMPUTED_VALUE"""),191.9)</f>
        <v>191.9</v>
      </c>
      <c r="C2149" s="1">
        <f ca="1">IFERROR(__xludf.DUMMYFUNCTION("""COMPUTED_VALUE"""),194.32)</f>
        <v>194.32</v>
      </c>
      <c r="D2149" s="1">
        <f ca="1">IFERROR(__xludf.DUMMYFUNCTION("""COMPUTED_VALUE"""),191.81)</f>
        <v>191.81</v>
      </c>
      <c r="E2149" s="1">
        <f ca="1">IFERROR(__xludf.DUMMYFUNCTION("""COMPUTED_VALUE"""),193.99)</f>
        <v>193.99</v>
      </c>
      <c r="F2149" s="1">
        <f ca="1">IFERROR(__xludf.DUMMYFUNCTION("""COMPUTED_VALUE"""),50520159)</f>
        <v>50520159</v>
      </c>
    </row>
    <row r="2150" spans="1:6" x14ac:dyDescent="0.35">
      <c r="A2150" s="2">
        <f ca="1">IFERROR(__xludf.DUMMYFUNCTION("""COMPUTED_VALUE"""),45125.6666666666)</f>
        <v>45125.666666666599</v>
      </c>
      <c r="B2150" s="1">
        <f ca="1">IFERROR(__xludf.DUMMYFUNCTION("""COMPUTED_VALUE"""),193.35)</f>
        <v>193.35</v>
      </c>
      <c r="C2150" s="1">
        <f ca="1">IFERROR(__xludf.DUMMYFUNCTION("""COMPUTED_VALUE"""),194.33)</f>
        <v>194.33</v>
      </c>
      <c r="D2150" s="1">
        <f ca="1">IFERROR(__xludf.DUMMYFUNCTION("""COMPUTED_VALUE"""),192.42)</f>
        <v>192.42</v>
      </c>
      <c r="E2150" s="1">
        <f ca="1">IFERROR(__xludf.DUMMYFUNCTION("""COMPUTED_VALUE"""),193.73)</f>
        <v>193.73</v>
      </c>
      <c r="F2150" s="1">
        <f ca="1">IFERROR(__xludf.DUMMYFUNCTION("""COMPUTED_VALUE"""),48353774)</f>
        <v>48353774</v>
      </c>
    </row>
    <row r="2151" spans="1:6" x14ac:dyDescent="0.35">
      <c r="A2151" s="2">
        <f ca="1">IFERROR(__xludf.DUMMYFUNCTION("""COMPUTED_VALUE"""),45126.6666666666)</f>
        <v>45126.666666666599</v>
      </c>
      <c r="B2151" s="1">
        <f ca="1">IFERROR(__xludf.DUMMYFUNCTION("""COMPUTED_VALUE"""),193.1)</f>
        <v>193.1</v>
      </c>
      <c r="C2151" s="1">
        <f ca="1">IFERROR(__xludf.DUMMYFUNCTION("""COMPUTED_VALUE"""),198.23)</f>
        <v>198.23</v>
      </c>
      <c r="D2151" s="1">
        <f ca="1">IFERROR(__xludf.DUMMYFUNCTION("""COMPUTED_VALUE"""),192.65)</f>
        <v>192.65</v>
      </c>
      <c r="E2151" s="1">
        <f ca="1">IFERROR(__xludf.DUMMYFUNCTION("""COMPUTED_VALUE"""),195.1)</f>
        <v>195.1</v>
      </c>
      <c r="F2151" s="1">
        <f ca="1">IFERROR(__xludf.DUMMYFUNCTION("""COMPUTED_VALUE"""),80507323)</f>
        <v>80507323</v>
      </c>
    </row>
    <row r="2152" spans="1:6" x14ac:dyDescent="0.35">
      <c r="A2152" s="2">
        <f ca="1">IFERROR(__xludf.DUMMYFUNCTION("""COMPUTED_VALUE"""),45127.6666666666)</f>
        <v>45127.666666666599</v>
      </c>
      <c r="B2152" s="1">
        <f ca="1">IFERROR(__xludf.DUMMYFUNCTION("""COMPUTED_VALUE"""),195.09)</f>
        <v>195.09</v>
      </c>
      <c r="C2152" s="1">
        <f ca="1">IFERROR(__xludf.DUMMYFUNCTION("""COMPUTED_VALUE"""),196.47)</f>
        <v>196.47</v>
      </c>
      <c r="D2152" s="1">
        <f ca="1">IFERROR(__xludf.DUMMYFUNCTION("""COMPUTED_VALUE"""),192.5)</f>
        <v>192.5</v>
      </c>
      <c r="E2152" s="1">
        <f ca="1">IFERROR(__xludf.DUMMYFUNCTION("""COMPUTED_VALUE"""),193.13)</f>
        <v>193.13</v>
      </c>
      <c r="F2152" s="1">
        <f ca="1">IFERROR(__xludf.DUMMYFUNCTION("""COMPUTED_VALUE"""),59581196)</f>
        <v>59581196</v>
      </c>
    </row>
    <row r="2153" spans="1:6" x14ac:dyDescent="0.35">
      <c r="A2153" s="2">
        <f ca="1">IFERROR(__xludf.DUMMYFUNCTION("""COMPUTED_VALUE"""),45128.6666666666)</f>
        <v>45128.666666666599</v>
      </c>
      <c r="B2153" s="1">
        <f ca="1">IFERROR(__xludf.DUMMYFUNCTION("""COMPUTED_VALUE"""),194.1)</f>
        <v>194.1</v>
      </c>
      <c r="C2153" s="1">
        <f ca="1">IFERROR(__xludf.DUMMYFUNCTION("""COMPUTED_VALUE"""),194.97)</f>
        <v>194.97</v>
      </c>
      <c r="D2153" s="1">
        <f ca="1">IFERROR(__xludf.DUMMYFUNCTION("""COMPUTED_VALUE"""),191.23)</f>
        <v>191.23</v>
      </c>
      <c r="E2153" s="1">
        <f ca="1">IFERROR(__xludf.DUMMYFUNCTION("""COMPUTED_VALUE"""),191.94)</f>
        <v>191.94</v>
      </c>
      <c r="F2153" s="1">
        <f ca="1">IFERROR(__xludf.DUMMYFUNCTION("""COMPUTED_VALUE"""),71951683)</f>
        <v>71951683</v>
      </c>
    </row>
    <row r="2154" spans="1:6" x14ac:dyDescent="0.35">
      <c r="A2154" s="2">
        <f ca="1">IFERROR(__xludf.DUMMYFUNCTION("""COMPUTED_VALUE"""),45131.6666666666)</f>
        <v>45131.666666666599</v>
      </c>
      <c r="B2154" s="1">
        <f ca="1">IFERROR(__xludf.DUMMYFUNCTION("""COMPUTED_VALUE"""),193.41)</f>
        <v>193.41</v>
      </c>
      <c r="C2154" s="1">
        <f ca="1">IFERROR(__xludf.DUMMYFUNCTION("""COMPUTED_VALUE"""),194.91)</f>
        <v>194.91</v>
      </c>
      <c r="D2154" s="1">
        <f ca="1">IFERROR(__xludf.DUMMYFUNCTION("""COMPUTED_VALUE"""),192.25)</f>
        <v>192.25</v>
      </c>
      <c r="E2154" s="1">
        <f ca="1">IFERROR(__xludf.DUMMYFUNCTION("""COMPUTED_VALUE"""),192.75)</f>
        <v>192.75</v>
      </c>
      <c r="F2154" s="1">
        <f ca="1">IFERROR(__xludf.DUMMYFUNCTION("""COMPUTED_VALUE"""),45505097)</f>
        <v>45505097</v>
      </c>
    </row>
    <row r="2155" spans="1:6" x14ac:dyDescent="0.35">
      <c r="A2155" s="2">
        <f ca="1">IFERROR(__xludf.DUMMYFUNCTION("""COMPUTED_VALUE"""),45132.6666666666)</f>
        <v>45132.666666666599</v>
      </c>
      <c r="B2155" s="1">
        <f ca="1">IFERROR(__xludf.DUMMYFUNCTION("""COMPUTED_VALUE"""),193.33)</f>
        <v>193.33</v>
      </c>
      <c r="C2155" s="1">
        <f ca="1">IFERROR(__xludf.DUMMYFUNCTION("""COMPUTED_VALUE"""),194.44)</f>
        <v>194.44</v>
      </c>
      <c r="D2155" s="1">
        <f ca="1">IFERROR(__xludf.DUMMYFUNCTION("""COMPUTED_VALUE"""),192.92)</f>
        <v>192.92</v>
      </c>
      <c r="E2155" s="1">
        <f ca="1">IFERROR(__xludf.DUMMYFUNCTION("""COMPUTED_VALUE"""),193.62)</f>
        <v>193.62</v>
      </c>
      <c r="F2155" s="1">
        <f ca="1">IFERROR(__xludf.DUMMYFUNCTION("""COMPUTED_VALUE"""),37283201)</f>
        <v>37283201</v>
      </c>
    </row>
    <row r="2156" spans="1:6" x14ac:dyDescent="0.35">
      <c r="A2156" s="2">
        <f ca="1">IFERROR(__xludf.DUMMYFUNCTION("""COMPUTED_VALUE"""),45133.6666666666)</f>
        <v>45133.666666666599</v>
      </c>
      <c r="B2156" s="1">
        <f ca="1">IFERROR(__xludf.DUMMYFUNCTION("""COMPUTED_VALUE"""),193.67)</f>
        <v>193.67</v>
      </c>
      <c r="C2156" s="1">
        <f ca="1">IFERROR(__xludf.DUMMYFUNCTION("""COMPUTED_VALUE"""),195.64)</f>
        <v>195.64</v>
      </c>
      <c r="D2156" s="1">
        <f ca="1">IFERROR(__xludf.DUMMYFUNCTION("""COMPUTED_VALUE"""),193.32)</f>
        <v>193.32</v>
      </c>
      <c r="E2156" s="1">
        <f ca="1">IFERROR(__xludf.DUMMYFUNCTION("""COMPUTED_VALUE"""),194.5)</f>
        <v>194.5</v>
      </c>
      <c r="F2156" s="1">
        <f ca="1">IFERROR(__xludf.DUMMYFUNCTION("""COMPUTED_VALUE"""),47471868)</f>
        <v>47471868</v>
      </c>
    </row>
    <row r="2157" spans="1:6" x14ac:dyDescent="0.35">
      <c r="A2157" s="2">
        <f ca="1">IFERROR(__xludf.DUMMYFUNCTION("""COMPUTED_VALUE"""),45134.6666666666)</f>
        <v>45134.666666666599</v>
      </c>
      <c r="B2157" s="1">
        <f ca="1">IFERROR(__xludf.DUMMYFUNCTION("""COMPUTED_VALUE"""),196.02)</f>
        <v>196.02</v>
      </c>
      <c r="C2157" s="1">
        <f ca="1">IFERROR(__xludf.DUMMYFUNCTION("""COMPUTED_VALUE"""),197.2)</f>
        <v>197.2</v>
      </c>
      <c r="D2157" s="1">
        <f ca="1">IFERROR(__xludf.DUMMYFUNCTION("""COMPUTED_VALUE"""),192.55)</f>
        <v>192.55</v>
      </c>
      <c r="E2157" s="1">
        <f ca="1">IFERROR(__xludf.DUMMYFUNCTION("""COMPUTED_VALUE"""),193.22)</f>
        <v>193.22</v>
      </c>
      <c r="F2157" s="1">
        <f ca="1">IFERROR(__xludf.DUMMYFUNCTION("""COMPUTED_VALUE"""),47460180)</f>
        <v>47460180</v>
      </c>
    </row>
    <row r="2158" spans="1:6" x14ac:dyDescent="0.35">
      <c r="A2158" s="2">
        <f ca="1">IFERROR(__xludf.DUMMYFUNCTION("""COMPUTED_VALUE"""),45135.6666666666)</f>
        <v>45135.666666666599</v>
      </c>
      <c r="B2158" s="1">
        <f ca="1">IFERROR(__xludf.DUMMYFUNCTION("""COMPUTED_VALUE"""),194.67)</f>
        <v>194.67</v>
      </c>
      <c r="C2158" s="1">
        <f ca="1">IFERROR(__xludf.DUMMYFUNCTION("""COMPUTED_VALUE"""),196.63)</f>
        <v>196.63</v>
      </c>
      <c r="D2158" s="1">
        <f ca="1">IFERROR(__xludf.DUMMYFUNCTION("""COMPUTED_VALUE"""),194.14)</f>
        <v>194.14</v>
      </c>
      <c r="E2158" s="1">
        <f ca="1">IFERROR(__xludf.DUMMYFUNCTION("""COMPUTED_VALUE"""),195.83)</f>
        <v>195.83</v>
      </c>
      <c r="F2158" s="1">
        <f ca="1">IFERROR(__xludf.DUMMYFUNCTION("""COMPUTED_VALUE"""),48291443)</f>
        <v>48291443</v>
      </c>
    </row>
    <row r="2159" spans="1:6" x14ac:dyDescent="0.35">
      <c r="A2159" s="2">
        <f ca="1">IFERROR(__xludf.DUMMYFUNCTION("""COMPUTED_VALUE"""),45138.6666666666)</f>
        <v>45138.666666666599</v>
      </c>
      <c r="B2159" s="1">
        <f ca="1">IFERROR(__xludf.DUMMYFUNCTION("""COMPUTED_VALUE"""),196.06)</f>
        <v>196.06</v>
      </c>
      <c r="C2159" s="1">
        <f ca="1">IFERROR(__xludf.DUMMYFUNCTION("""COMPUTED_VALUE"""),196.49)</f>
        <v>196.49</v>
      </c>
      <c r="D2159" s="1">
        <f ca="1">IFERROR(__xludf.DUMMYFUNCTION("""COMPUTED_VALUE"""),195.26)</f>
        <v>195.26</v>
      </c>
      <c r="E2159" s="1">
        <f ca="1">IFERROR(__xludf.DUMMYFUNCTION("""COMPUTED_VALUE"""),196.45)</f>
        <v>196.45</v>
      </c>
      <c r="F2159" s="1">
        <f ca="1">IFERROR(__xludf.DUMMYFUNCTION("""COMPUTED_VALUE"""),38824113)</f>
        <v>38824113</v>
      </c>
    </row>
    <row r="2160" spans="1:6" x14ac:dyDescent="0.35">
      <c r="A2160" s="2">
        <f ca="1">IFERROR(__xludf.DUMMYFUNCTION("""COMPUTED_VALUE"""),45139.6666666666)</f>
        <v>45139.666666666599</v>
      </c>
      <c r="B2160" s="1">
        <f ca="1">IFERROR(__xludf.DUMMYFUNCTION("""COMPUTED_VALUE"""),196.24)</f>
        <v>196.24</v>
      </c>
      <c r="C2160" s="1">
        <f ca="1">IFERROR(__xludf.DUMMYFUNCTION("""COMPUTED_VALUE"""),196.73)</f>
        <v>196.73</v>
      </c>
      <c r="D2160" s="1">
        <f ca="1">IFERROR(__xludf.DUMMYFUNCTION("""COMPUTED_VALUE"""),195.28)</f>
        <v>195.28</v>
      </c>
      <c r="E2160" s="1">
        <f ca="1">IFERROR(__xludf.DUMMYFUNCTION("""COMPUTED_VALUE"""),195.61)</f>
        <v>195.61</v>
      </c>
      <c r="F2160" s="1">
        <f ca="1">IFERROR(__xludf.DUMMYFUNCTION("""COMPUTED_VALUE"""),35281426)</f>
        <v>35281426</v>
      </c>
    </row>
    <row r="2161" spans="1:6" x14ac:dyDescent="0.35">
      <c r="A2161" s="2">
        <f ca="1">IFERROR(__xludf.DUMMYFUNCTION("""COMPUTED_VALUE"""),45140.6666666666)</f>
        <v>45140.666666666599</v>
      </c>
      <c r="B2161" s="1">
        <f ca="1">IFERROR(__xludf.DUMMYFUNCTION("""COMPUTED_VALUE"""),195.04)</f>
        <v>195.04</v>
      </c>
      <c r="C2161" s="1">
        <f ca="1">IFERROR(__xludf.DUMMYFUNCTION("""COMPUTED_VALUE"""),195.18)</f>
        <v>195.18</v>
      </c>
      <c r="D2161" s="1">
        <f ca="1">IFERROR(__xludf.DUMMYFUNCTION("""COMPUTED_VALUE"""),191.85)</f>
        <v>191.85</v>
      </c>
      <c r="E2161" s="1">
        <f ca="1">IFERROR(__xludf.DUMMYFUNCTION("""COMPUTED_VALUE"""),192.58)</f>
        <v>192.58</v>
      </c>
      <c r="F2161" s="1">
        <f ca="1">IFERROR(__xludf.DUMMYFUNCTION("""COMPUTED_VALUE"""),50389327)</f>
        <v>50389327</v>
      </c>
    </row>
    <row r="2162" spans="1:6" x14ac:dyDescent="0.35">
      <c r="A2162" s="2">
        <f ca="1">IFERROR(__xludf.DUMMYFUNCTION("""COMPUTED_VALUE"""),45141.6666666666)</f>
        <v>45141.666666666599</v>
      </c>
      <c r="B2162" s="1">
        <f ca="1">IFERROR(__xludf.DUMMYFUNCTION("""COMPUTED_VALUE"""),191.57)</f>
        <v>191.57</v>
      </c>
      <c r="C2162" s="1">
        <f ca="1">IFERROR(__xludf.DUMMYFUNCTION("""COMPUTED_VALUE"""),192.37)</f>
        <v>192.37</v>
      </c>
      <c r="D2162" s="1">
        <f ca="1">IFERROR(__xludf.DUMMYFUNCTION("""COMPUTED_VALUE"""),190.69)</f>
        <v>190.69</v>
      </c>
      <c r="E2162" s="1">
        <f ca="1">IFERROR(__xludf.DUMMYFUNCTION("""COMPUTED_VALUE"""),191.17)</f>
        <v>191.17</v>
      </c>
      <c r="F2162" s="1">
        <f ca="1">IFERROR(__xludf.DUMMYFUNCTION("""COMPUTED_VALUE"""),62243282)</f>
        <v>62243282</v>
      </c>
    </row>
    <row r="2163" spans="1:6" x14ac:dyDescent="0.35">
      <c r="A2163" s="2">
        <f ca="1">IFERROR(__xludf.DUMMYFUNCTION("""COMPUTED_VALUE"""),45142.6666666666)</f>
        <v>45142.666666666599</v>
      </c>
      <c r="B2163" s="1">
        <f ca="1">IFERROR(__xludf.DUMMYFUNCTION("""COMPUTED_VALUE"""),185.52)</f>
        <v>185.52</v>
      </c>
      <c r="C2163" s="1">
        <f ca="1">IFERROR(__xludf.DUMMYFUNCTION("""COMPUTED_VALUE"""),187.38)</f>
        <v>187.38</v>
      </c>
      <c r="D2163" s="1">
        <f ca="1">IFERROR(__xludf.DUMMYFUNCTION("""COMPUTED_VALUE"""),181.92)</f>
        <v>181.92</v>
      </c>
      <c r="E2163" s="1">
        <f ca="1">IFERROR(__xludf.DUMMYFUNCTION("""COMPUTED_VALUE"""),181.99)</f>
        <v>181.99</v>
      </c>
      <c r="F2163" s="1">
        <f ca="1">IFERROR(__xludf.DUMMYFUNCTION("""COMPUTED_VALUE"""),115956841)</f>
        <v>115956841</v>
      </c>
    </row>
    <row r="2164" spans="1:6" x14ac:dyDescent="0.35">
      <c r="A2164" s="2">
        <f ca="1">IFERROR(__xludf.DUMMYFUNCTION("""COMPUTED_VALUE"""),45145.6666666666)</f>
        <v>45145.666666666599</v>
      </c>
      <c r="B2164" s="1">
        <f ca="1">IFERROR(__xludf.DUMMYFUNCTION("""COMPUTED_VALUE"""),182.13)</f>
        <v>182.13</v>
      </c>
      <c r="C2164" s="1">
        <f ca="1">IFERROR(__xludf.DUMMYFUNCTION("""COMPUTED_VALUE"""),183.13)</f>
        <v>183.13</v>
      </c>
      <c r="D2164" s="1">
        <f ca="1">IFERROR(__xludf.DUMMYFUNCTION("""COMPUTED_VALUE"""),177.35)</f>
        <v>177.35</v>
      </c>
      <c r="E2164" s="1">
        <f ca="1">IFERROR(__xludf.DUMMYFUNCTION("""COMPUTED_VALUE"""),178.85)</f>
        <v>178.85</v>
      </c>
      <c r="F2164" s="1">
        <f ca="1">IFERROR(__xludf.DUMMYFUNCTION("""COMPUTED_VALUE"""),97576069)</f>
        <v>97576069</v>
      </c>
    </row>
    <row r="2165" spans="1:6" x14ac:dyDescent="0.35">
      <c r="A2165" s="2">
        <f ca="1">IFERROR(__xludf.DUMMYFUNCTION("""COMPUTED_VALUE"""),45146.6666666666)</f>
        <v>45146.666666666599</v>
      </c>
      <c r="B2165" s="1">
        <f ca="1">IFERROR(__xludf.DUMMYFUNCTION("""COMPUTED_VALUE"""),179.69)</f>
        <v>179.69</v>
      </c>
      <c r="C2165" s="1">
        <f ca="1">IFERROR(__xludf.DUMMYFUNCTION("""COMPUTED_VALUE"""),180.27)</f>
        <v>180.27</v>
      </c>
      <c r="D2165" s="1">
        <f ca="1">IFERROR(__xludf.DUMMYFUNCTION("""COMPUTED_VALUE"""),177.58)</f>
        <v>177.58</v>
      </c>
      <c r="E2165" s="1">
        <f ca="1">IFERROR(__xludf.DUMMYFUNCTION("""COMPUTED_VALUE"""),179.8)</f>
        <v>179.8</v>
      </c>
      <c r="F2165" s="1">
        <f ca="1">IFERROR(__xludf.DUMMYFUNCTION("""COMPUTED_VALUE"""),67823003)</f>
        <v>67823003</v>
      </c>
    </row>
    <row r="2166" spans="1:6" x14ac:dyDescent="0.35">
      <c r="A2166" s="2">
        <f ca="1">IFERROR(__xludf.DUMMYFUNCTION("""COMPUTED_VALUE"""),45147.6666666666)</f>
        <v>45147.666666666599</v>
      </c>
      <c r="B2166" s="1">
        <f ca="1">IFERROR(__xludf.DUMMYFUNCTION("""COMPUTED_VALUE"""),180.87)</f>
        <v>180.87</v>
      </c>
      <c r="C2166" s="1">
        <f ca="1">IFERROR(__xludf.DUMMYFUNCTION("""COMPUTED_VALUE"""),180.93)</f>
        <v>180.93</v>
      </c>
      <c r="D2166" s="1">
        <f ca="1">IFERROR(__xludf.DUMMYFUNCTION("""COMPUTED_VALUE"""),177.01)</f>
        <v>177.01</v>
      </c>
      <c r="E2166" s="1">
        <f ca="1">IFERROR(__xludf.DUMMYFUNCTION("""COMPUTED_VALUE"""),178.19)</f>
        <v>178.19</v>
      </c>
      <c r="F2166" s="1">
        <f ca="1">IFERROR(__xludf.DUMMYFUNCTION("""COMPUTED_VALUE"""),60378492)</f>
        <v>60378492</v>
      </c>
    </row>
    <row r="2167" spans="1:6" x14ac:dyDescent="0.35">
      <c r="A2167" s="2">
        <f ca="1">IFERROR(__xludf.DUMMYFUNCTION("""COMPUTED_VALUE"""),45148.6666666666)</f>
        <v>45148.666666666599</v>
      </c>
      <c r="B2167" s="1">
        <f ca="1">IFERROR(__xludf.DUMMYFUNCTION("""COMPUTED_VALUE"""),179.48)</f>
        <v>179.48</v>
      </c>
      <c r="C2167" s="1">
        <f ca="1">IFERROR(__xludf.DUMMYFUNCTION("""COMPUTED_VALUE"""),180.75)</f>
        <v>180.75</v>
      </c>
      <c r="D2167" s="1">
        <f ca="1">IFERROR(__xludf.DUMMYFUNCTION("""COMPUTED_VALUE"""),177.6)</f>
        <v>177.6</v>
      </c>
      <c r="E2167" s="1">
        <f ca="1">IFERROR(__xludf.DUMMYFUNCTION("""COMPUTED_VALUE"""),177.97)</f>
        <v>177.97</v>
      </c>
      <c r="F2167" s="1">
        <f ca="1">IFERROR(__xludf.DUMMYFUNCTION("""COMPUTED_VALUE"""),54686851)</f>
        <v>54686851</v>
      </c>
    </row>
    <row r="2168" spans="1:6" x14ac:dyDescent="0.35">
      <c r="A2168" s="2">
        <f ca="1">IFERROR(__xludf.DUMMYFUNCTION("""COMPUTED_VALUE"""),45149.6666666666)</f>
        <v>45149.666666666599</v>
      </c>
      <c r="B2168" s="1">
        <f ca="1">IFERROR(__xludf.DUMMYFUNCTION("""COMPUTED_VALUE"""),177.32)</f>
        <v>177.32</v>
      </c>
      <c r="C2168" s="1">
        <f ca="1">IFERROR(__xludf.DUMMYFUNCTION("""COMPUTED_VALUE"""),178.62)</f>
        <v>178.62</v>
      </c>
      <c r="D2168" s="1">
        <f ca="1">IFERROR(__xludf.DUMMYFUNCTION("""COMPUTED_VALUE"""),176.55)</f>
        <v>176.55</v>
      </c>
      <c r="E2168" s="1">
        <f ca="1">IFERROR(__xludf.DUMMYFUNCTION("""COMPUTED_VALUE"""),177.79)</f>
        <v>177.79</v>
      </c>
      <c r="F2168" s="1">
        <f ca="1">IFERROR(__xludf.DUMMYFUNCTION("""COMPUTED_VALUE"""),52036672)</f>
        <v>52036672</v>
      </c>
    </row>
    <row r="2169" spans="1:6" x14ac:dyDescent="0.35">
      <c r="A2169" s="2">
        <f ca="1">IFERROR(__xludf.DUMMYFUNCTION("""COMPUTED_VALUE"""),45152.6666666666)</f>
        <v>45152.666666666599</v>
      </c>
      <c r="B2169" s="1">
        <f ca="1">IFERROR(__xludf.DUMMYFUNCTION("""COMPUTED_VALUE"""),177.97)</f>
        <v>177.97</v>
      </c>
      <c r="C2169" s="1">
        <f ca="1">IFERROR(__xludf.DUMMYFUNCTION("""COMPUTED_VALUE"""),179.69)</f>
        <v>179.69</v>
      </c>
      <c r="D2169" s="1">
        <f ca="1">IFERROR(__xludf.DUMMYFUNCTION("""COMPUTED_VALUE"""),177.31)</f>
        <v>177.31</v>
      </c>
      <c r="E2169" s="1">
        <f ca="1">IFERROR(__xludf.DUMMYFUNCTION("""COMPUTED_VALUE"""),179.46)</f>
        <v>179.46</v>
      </c>
      <c r="F2169" s="1">
        <f ca="1">IFERROR(__xludf.DUMMYFUNCTION("""COMPUTED_VALUE"""),43675627)</f>
        <v>43675627</v>
      </c>
    </row>
    <row r="2170" spans="1:6" x14ac:dyDescent="0.35">
      <c r="A2170" s="2">
        <f ca="1">IFERROR(__xludf.DUMMYFUNCTION("""COMPUTED_VALUE"""),45153.6666666666)</f>
        <v>45153.666666666599</v>
      </c>
      <c r="B2170" s="1">
        <f ca="1">IFERROR(__xludf.DUMMYFUNCTION("""COMPUTED_VALUE"""),178.88)</f>
        <v>178.88</v>
      </c>
      <c r="C2170" s="1">
        <f ca="1">IFERROR(__xludf.DUMMYFUNCTION("""COMPUTED_VALUE"""),179.48)</f>
        <v>179.48</v>
      </c>
      <c r="D2170" s="1">
        <f ca="1">IFERROR(__xludf.DUMMYFUNCTION("""COMPUTED_VALUE"""),177.05)</f>
        <v>177.05</v>
      </c>
      <c r="E2170" s="1">
        <f ca="1">IFERROR(__xludf.DUMMYFUNCTION("""COMPUTED_VALUE"""),177.45)</f>
        <v>177.45</v>
      </c>
      <c r="F2170" s="1">
        <f ca="1">IFERROR(__xludf.DUMMYFUNCTION("""COMPUTED_VALUE"""),43622593)</f>
        <v>43622593</v>
      </c>
    </row>
    <row r="2171" spans="1:6" x14ac:dyDescent="0.35">
      <c r="A2171" s="2">
        <f ca="1">IFERROR(__xludf.DUMMYFUNCTION("""COMPUTED_VALUE"""),45154.6666666666)</f>
        <v>45154.666666666599</v>
      </c>
      <c r="B2171" s="1">
        <f ca="1">IFERROR(__xludf.DUMMYFUNCTION("""COMPUTED_VALUE"""),177.13)</f>
        <v>177.13</v>
      </c>
      <c r="C2171" s="1">
        <f ca="1">IFERROR(__xludf.DUMMYFUNCTION("""COMPUTED_VALUE"""),178.54)</f>
        <v>178.54</v>
      </c>
      <c r="D2171" s="1">
        <f ca="1">IFERROR(__xludf.DUMMYFUNCTION("""COMPUTED_VALUE"""),176.5)</f>
        <v>176.5</v>
      </c>
      <c r="E2171" s="1">
        <f ca="1">IFERROR(__xludf.DUMMYFUNCTION("""COMPUTED_VALUE"""),176.57)</f>
        <v>176.57</v>
      </c>
      <c r="F2171" s="1">
        <f ca="1">IFERROR(__xludf.DUMMYFUNCTION("""COMPUTED_VALUE"""),46964857)</f>
        <v>46964857</v>
      </c>
    </row>
    <row r="2172" spans="1:6" x14ac:dyDescent="0.35">
      <c r="A2172" s="2">
        <f ca="1">IFERROR(__xludf.DUMMYFUNCTION("""COMPUTED_VALUE"""),45155.6666666666)</f>
        <v>45155.666666666599</v>
      </c>
      <c r="B2172" s="1">
        <f ca="1">IFERROR(__xludf.DUMMYFUNCTION("""COMPUTED_VALUE"""),177.14)</f>
        <v>177.14</v>
      </c>
      <c r="C2172" s="1">
        <f ca="1">IFERROR(__xludf.DUMMYFUNCTION("""COMPUTED_VALUE"""),177.51)</f>
        <v>177.51</v>
      </c>
      <c r="D2172" s="1">
        <f ca="1">IFERROR(__xludf.DUMMYFUNCTION("""COMPUTED_VALUE"""),173.48)</f>
        <v>173.48</v>
      </c>
      <c r="E2172" s="1">
        <f ca="1">IFERROR(__xludf.DUMMYFUNCTION("""COMPUTED_VALUE"""),174)</f>
        <v>174</v>
      </c>
      <c r="F2172" s="1">
        <f ca="1">IFERROR(__xludf.DUMMYFUNCTION("""COMPUTED_VALUE"""),66062882)</f>
        <v>66062882</v>
      </c>
    </row>
    <row r="2173" spans="1:6" x14ac:dyDescent="0.35">
      <c r="A2173" s="2">
        <f ca="1">IFERROR(__xludf.DUMMYFUNCTION("""COMPUTED_VALUE"""),45156.6666666666)</f>
        <v>45156.666666666599</v>
      </c>
      <c r="B2173" s="1">
        <f ca="1">IFERROR(__xludf.DUMMYFUNCTION("""COMPUTED_VALUE"""),172.3)</f>
        <v>172.3</v>
      </c>
      <c r="C2173" s="1">
        <f ca="1">IFERROR(__xludf.DUMMYFUNCTION("""COMPUTED_VALUE"""),175.1)</f>
        <v>175.1</v>
      </c>
      <c r="D2173" s="1">
        <f ca="1">IFERROR(__xludf.DUMMYFUNCTION("""COMPUTED_VALUE"""),171.96)</f>
        <v>171.96</v>
      </c>
      <c r="E2173" s="1">
        <f ca="1">IFERROR(__xludf.DUMMYFUNCTION("""COMPUTED_VALUE"""),174.49)</f>
        <v>174.49</v>
      </c>
      <c r="F2173" s="1">
        <f ca="1">IFERROR(__xludf.DUMMYFUNCTION("""COMPUTED_VALUE"""),61172150)</f>
        <v>61172150</v>
      </c>
    </row>
    <row r="2174" spans="1:6" x14ac:dyDescent="0.35">
      <c r="A2174" s="2">
        <f ca="1">IFERROR(__xludf.DUMMYFUNCTION("""COMPUTED_VALUE"""),45159.6666666666)</f>
        <v>45159.666666666599</v>
      </c>
      <c r="B2174" s="1">
        <f ca="1">IFERROR(__xludf.DUMMYFUNCTION("""COMPUTED_VALUE"""),175.07)</f>
        <v>175.07</v>
      </c>
      <c r="C2174" s="1">
        <f ca="1">IFERROR(__xludf.DUMMYFUNCTION("""COMPUTED_VALUE"""),176.13)</f>
        <v>176.13</v>
      </c>
      <c r="D2174" s="1">
        <f ca="1">IFERROR(__xludf.DUMMYFUNCTION("""COMPUTED_VALUE"""),173.74)</f>
        <v>173.74</v>
      </c>
      <c r="E2174" s="1">
        <f ca="1">IFERROR(__xludf.DUMMYFUNCTION("""COMPUTED_VALUE"""),175.84)</f>
        <v>175.84</v>
      </c>
      <c r="F2174" s="1">
        <f ca="1">IFERROR(__xludf.DUMMYFUNCTION("""COMPUTED_VALUE"""),46311879)</f>
        <v>46311879</v>
      </c>
    </row>
    <row r="2175" spans="1:6" x14ac:dyDescent="0.35">
      <c r="A2175" s="2">
        <f ca="1">IFERROR(__xludf.DUMMYFUNCTION("""COMPUTED_VALUE"""),45160.6666666666)</f>
        <v>45160.666666666599</v>
      </c>
      <c r="B2175" s="1">
        <f ca="1">IFERROR(__xludf.DUMMYFUNCTION("""COMPUTED_VALUE"""),177.06)</f>
        <v>177.06</v>
      </c>
      <c r="C2175" s="1">
        <f ca="1">IFERROR(__xludf.DUMMYFUNCTION("""COMPUTED_VALUE"""),177.68)</f>
        <v>177.68</v>
      </c>
      <c r="D2175" s="1">
        <f ca="1">IFERROR(__xludf.DUMMYFUNCTION("""COMPUTED_VALUE"""),176.25)</f>
        <v>176.25</v>
      </c>
      <c r="E2175" s="1">
        <f ca="1">IFERROR(__xludf.DUMMYFUNCTION("""COMPUTED_VALUE"""),177.23)</f>
        <v>177.23</v>
      </c>
      <c r="F2175" s="1">
        <f ca="1">IFERROR(__xludf.DUMMYFUNCTION("""COMPUTED_VALUE"""),42084245)</f>
        <v>42084245</v>
      </c>
    </row>
    <row r="2176" spans="1:6" x14ac:dyDescent="0.35">
      <c r="A2176" s="2">
        <f ca="1">IFERROR(__xludf.DUMMYFUNCTION("""COMPUTED_VALUE"""),45161.6666666666)</f>
        <v>45161.666666666599</v>
      </c>
      <c r="B2176" s="1">
        <f ca="1">IFERROR(__xludf.DUMMYFUNCTION("""COMPUTED_VALUE"""),178.52)</f>
        <v>178.52</v>
      </c>
      <c r="C2176" s="1">
        <f ca="1">IFERROR(__xludf.DUMMYFUNCTION("""COMPUTED_VALUE"""),181.55)</f>
        <v>181.55</v>
      </c>
      <c r="D2176" s="1">
        <f ca="1">IFERROR(__xludf.DUMMYFUNCTION("""COMPUTED_VALUE"""),178.33)</f>
        <v>178.33</v>
      </c>
      <c r="E2176" s="1">
        <f ca="1">IFERROR(__xludf.DUMMYFUNCTION("""COMPUTED_VALUE"""),181.12)</f>
        <v>181.12</v>
      </c>
      <c r="F2176" s="1">
        <f ca="1">IFERROR(__xludf.DUMMYFUNCTION("""COMPUTED_VALUE"""),52722752)</f>
        <v>52722752</v>
      </c>
    </row>
    <row r="2177" spans="1:6" x14ac:dyDescent="0.35">
      <c r="A2177" s="2">
        <f ca="1">IFERROR(__xludf.DUMMYFUNCTION("""COMPUTED_VALUE"""),45162.6666666666)</f>
        <v>45162.666666666599</v>
      </c>
      <c r="B2177" s="1">
        <f ca="1">IFERROR(__xludf.DUMMYFUNCTION("""COMPUTED_VALUE"""),180.67)</f>
        <v>180.67</v>
      </c>
      <c r="C2177" s="1">
        <f ca="1">IFERROR(__xludf.DUMMYFUNCTION("""COMPUTED_VALUE"""),181.1)</f>
        <v>181.1</v>
      </c>
      <c r="D2177" s="1">
        <f ca="1">IFERROR(__xludf.DUMMYFUNCTION("""COMPUTED_VALUE"""),176.01)</f>
        <v>176.01</v>
      </c>
      <c r="E2177" s="1">
        <f ca="1">IFERROR(__xludf.DUMMYFUNCTION("""COMPUTED_VALUE"""),176.38)</f>
        <v>176.38</v>
      </c>
      <c r="F2177" s="1">
        <f ca="1">IFERROR(__xludf.DUMMYFUNCTION("""COMPUTED_VALUE"""),54945798)</f>
        <v>54945798</v>
      </c>
    </row>
    <row r="2178" spans="1:6" x14ac:dyDescent="0.35">
      <c r="A2178" s="2">
        <f ca="1">IFERROR(__xludf.DUMMYFUNCTION("""COMPUTED_VALUE"""),45163.6666666666)</f>
        <v>45163.666666666599</v>
      </c>
      <c r="B2178" s="1">
        <f ca="1">IFERROR(__xludf.DUMMYFUNCTION("""COMPUTED_VALUE"""),177.38)</f>
        <v>177.38</v>
      </c>
      <c r="C2178" s="1">
        <f ca="1">IFERROR(__xludf.DUMMYFUNCTION("""COMPUTED_VALUE"""),179.15)</f>
        <v>179.15</v>
      </c>
      <c r="D2178" s="1">
        <f ca="1">IFERROR(__xludf.DUMMYFUNCTION("""COMPUTED_VALUE"""),175.82)</f>
        <v>175.82</v>
      </c>
      <c r="E2178" s="1">
        <f ca="1">IFERROR(__xludf.DUMMYFUNCTION("""COMPUTED_VALUE"""),178.61)</f>
        <v>178.61</v>
      </c>
      <c r="F2178" s="1">
        <f ca="1">IFERROR(__xludf.DUMMYFUNCTION("""COMPUTED_VALUE"""),51449594)</f>
        <v>51449594</v>
      </c>
    </row>
    <row r="2179" spans="1:6" x14ac:dyDescent="0.35">
      <c r="A2179" s="2">
        <f ca="1">IFERROR(__xludf.DUMMYFUNCTION("""COMPUTED_VALUE"""),45166.6666666666)</f>
        <v>45166.666666666599</v>
      </c>
      <c r="B2179" s="1">
        <f ca="1">IFERROR(__xludf.DUMMYFUNCTION("""COMPUTED_VALUE"""),180.09)</f>
        <v>180.09</v>
      </c>
      <c r="C2179" s="1">
        <f ca="1">IFERROR(__xludf.DUMMYFUNCTION("""COMPUTED_VALUE"""),180.59)</f>
        <v>180.59</v>
      </c>
      <c r="D2179" s="1">
        <f ca="1">IFERROR(__xludf.DUMMYFUNCTION("""COMPUTED_VALUE"""),178.55)</f>
        <v>178.55</v>
      </c>
      <c r="E2179" s="1">
        <f ca="1">IFERROR(__xludf.DUMMYFUNCTION("""COMPUTED_VALUE"""),180.19)</f>
        <v>180.19</v>
      </c>
      <c r="F2179" s="1">
        <f ca="1">IFERROR(__xludf.DUMMYFUNCTION("""COMPUTED_VALUE"""),43820697)</f>
        <v>43820697</v>
      </c>
    </row>
    <row r="2180" spans="1:6" x14ac:dyDescent="0.35">
      <c r="A2180" s="2">
        <f ca="1">IFERROR(__xludf.DUMMYFUNCTION("""COMPUTED_VALUE"""),45167.6666666666)</f>
        <v>45167.666666666599</v>
      </c>
      <c r="B2180" s="1">
        <f ca="1">IFERROR(__xludf.DUMMYFUNCTION("""COMPUTED_VALUE"""),179.7)</f>
        <v>179.7</v>
      </c>
      <c r="C2180" s="1">
        <f ca="1">IFERROR(__xludf.DUMMYFUNCTION("""COMPUTED_VALUE"""),184.9)</f>
        <v>184.9</v>
      </c>
      <c r="D2180" s="1">
        <f ca="1">IFERROR(__xludf.DUMMYFUNCTION("""COMPUTED_VALUE"""),179.5)</f>
        <v>179.5</v>
      </c>
      <c r="E2180" s="1">
        <f ca="1">IFERROR(__xludf.DUMMYFUNCTION("""COMPUTED_VALUE"""),184.12)</f>
        <v>184.12</v>
      </c>
      <c r="F2180" s="1">
        <f ca="1">IFERROR(__xludf.DUMMYFUNCTION("""COMPUTED_VALUE"""),53003948)</f>
        <v>53003948</v>
      </c>
    </row>
    <row r="2181" spans="1:6" x14ac:dyDescent="0.35">
      <c r="A2181" s="2">
        <f ca="1">IFERROR(__xludf.DUMMYFUNCTION("""COMPUTED_VALUE"""),45168.6666666666)</f>
        <v>45168.666666666599</v>
      </c>
      <c r="B2181" s="1">
        <f ca="1">IFERROR(__xludf.DUMMYFUNCTION("""COMPUTED_VALUE"""),184.94)</f>
        <v>184.94</v>
      </c>
      <c r="C2181" s="1">
        <f ca="1">IFERROR(__xludf.DUMMYFUNCTION("""COMPUTED_VALUE"""),187.85)</f>
        <v>187.85</v>
      </c>
      <c r="D2181" s="1">
        <f ca="1">IFERROR(__xludf.DUMMYFUNCTION("""COMPUTED_VALUE"""),184.74)</f>
        <v>184.74</v>
      </c>
      <c r="E2181" s="1">
        <f ca="1">IFERROR(__xludf.DUMMYFUNCTION("""COMPUTED_VALUE"""),187.65)</f>
        <v>187.65</v>
      </c>
      <c r="F2181" s="1">
        <f ca="1">IFERROR(__xludf.DUMMYFUNCTION("""COMPUTED_VALUE"""),60813888)</f>
        <v>60813888</v>
      </c>
    </row>
    <row r="2182" spans="1:6" x14ac:dyDescent="0.35">
      <c r="A2182" s="2">
        <f ca="1">IFERROR(__xludf.DUMMYFUNCTION("""COMPUTED_VALUE"""),45169.6666666666)</f>
        <v>45169.666666666599</v>
      </c>
      <c r="B2182" s="1">
        <f ca="1">IFERROR(__xludf.DUMMYFUNCTION("""COMPUTED_VALUE"""),187.84)</f>
        <v>187.84</v>
      </c>
      <c r="C2182" s="1">
        <f ca="1">IFERROR(__xludf.DUMMYFUNCTION("""COMPUTED_VALUE"""),189.12)</f>
        <v>189.12</v>
      </c>
      <c r="D2182" s="1">
        <f ca="1">IFERROR(__xludf.DUMMYFUNCTION("""COMPUTED_VALUE"""),187.48)</f>
        <v>187.48</v>
      </c>
      <c r="E2182" s="1">
        <f ca="1">IFERROR(__xludf.DUMMYFUNCTION("""COMPUTED_VALUE"""),187.87)</f>
        <v>187.87</v>
      </c>
      <c r="F2182" s="1">
        <f ca="1">IFERROR(__xludf.DUMMYFUNCTION("""COMPUTED_VALUE"""),60794467)</f>
        <v>60794467</v>
      </c>
    </row>
    <row r="2183" spans="1:6" x14ac:dyDescent="0.35">
      <c r="A2183" s="2">
        <f ca="1">IFERROR(__xludf.DUMMYFUNCTION("""COMPUTED_VALUE"""),45170.6666666666)</f>
        <v>45170.666666666599</v>
      </c>
      <c r="B2183" s="1">
        <f ca="1">IFERROR(__xludf.DUMMYFUNCTION("""COMPUTED_VALUE"""),189.49)</f>
        <v>189.49</v>
      </c>
      <c r="C2183" s="1">
        <f ca="1">IFERROR(__xludf.DUMMYFUNCTION("""COMPUTED_VALUE"""),189.92)</f>
        <v>189.92</v>
      </c>
      <c r="D2183" s="1">
        <f ca="1">IFERROR(__xludf.DUMMYFUNCTION("""COMPUTED_VALUE"""),188.28)</f>
        <v>188.28</v>
      </c>
      <c r="E2183" s="1">
        <f ca="1">IFERROR(__xludf.DUMMYFUNCTION("""COMPUTED_VALUE"""),189.46)</f>
        <v>189.46</v>
      </c>
      <c r="F2183" s="1">
        <f ca="1">IFERROR(__xludf.DUMMYFUNCTION("""COMPUTED_VALUE"""),45766503)</f>
        <v>45766503</v>
      </c>
    </row>
    <row r="2184" spans="1:6" x14ac:dyDescent="0.35">
      <c r="A2184" s="2">
        <f ca="1">IFERROR(__xludf.DUMMYFUNCTION("""COMPUTED_VALUE"""),45174.6666666666)</f>
        <v>45174.666666666599</v>
      </c>
      <c r="B2184" s="1">
        <f ca="1">IFERROR(__xludf.DUMMYFUNCTION("""COMPUTED_VALUE"""),188.28)</f>
        <v>188.28</v>
      </c>
      <c r="C2184" s="1">
        <f ca="1">IFERROR(__xludf.DUMMYFUNCTION("""COMPUTED_VALUE"""),189.98)</f>
        <v>189.98</v>
      </c>
      <c r="D2184" s="1">
        <f ca="1">IFERROR(__xludf.DUMMYFUNCTION("""COMPUTED_VALUE"""),187.61)</f>
        <v>187.61</v>
      </c>
      <c r="E2184" s="1">
        <f ca="1">IFERROR(__xludf.DUMMYFUNCTION("""COMPUTED_VALUE"""),189.7)</f>
        <v>189.7</v>
      </c>
      <c r="F2184" s="1">
        <f ca="1">IFERROR(__xludf.DUMMYFUNCTION("""COMPUTED_VALUE"""),45280027)</f>
        <v>45280027</v>
      </c>
    </row>
    <row r="2185" spans="1:6" x14ac:dyDescent="0.35">
      <c r="A2185" s="2">
        <f ca="1">IFERROR(__xludf.DUMMYFUNCTION("""COMPUTED_VALUE"""),45175.6666666666)</f>
        <v>45175.666666666599</v>
      </c>
      <c r="B2185" s="1">
        <f ca="1">IFERROR(__xludf.DUMMYFUNCTION("""COMPUTED_VALUE"""),188.4)</f>
        <v>188.4</v>
      </c>
      <c r="C2185" s="1">
        <f ca="1">IFERROR(__xludf.DUMMYFUNCTION("""COMPUTED_VALUE"""),188.85)</f>
        <v>188.85</v>
      </c>
      <c r="D2185" s="1">
        <f ca="1">IFERROR(__xludf.DUMMYFUNCTION("""COMPUTED_VALUE"""),181.47)</f>
        <v>181.47</v>
      </c>
      <c r="E2185" s="1">
        <f ca="1">IFERROR(__xludf.DUMMYFUNCTION("""COMPUTED_VALUE"""),182.91)</f>
        <v>182.91</v>
      </c>
      <c r="F2185" s="1">
        <f ca="1">IFERROR(__xludf.DUMMYFUNCTION("""COMPUTED_VALUE"""),81755816)</f>
        <v>81755816</v>
      </c>
    </row>
    <row r="2186" spans="1:6" x14ac:dyDescent="0.35">
      <c r="A2186" s="2">
        <f ca="1">IFERROR(__xludf.DUMMYFUNCTION("""COMPUTED_VALUE"""),45176.6666666666)</f>
        <v>45176.666666666599</v>
      </c>
      <c r="B2186" s="1">
        <f ca="1">IFERROR(__xludf.DUMMYFUNCTION("""COMPUTED_VALUE"""),175.18)</f>
        <v>175.18</v>
      </c>
      <c r="C2186" s="1">
        <f ca="1">IFERROR(__xludf.DUMMYFUNCTION("""COMPUTED_VALUE"""),178.21)</f>
        <v>178.21</v>
      </c>
      <c r="D2186" s="1">
        <f ca="1">IFERROR(__xludf.DUMMYFUNCTION("""COMPUTED_VALUE"""),173.54)</f>
        <v>173.54</v>
      </c>
      <c r="E2186" s="1">
        <f ca="1">IFERROR(__xludf.DUMMYFUNCTION("""COMPUTED_VALUE"""),177.56)</f>
        <v>177.56</v>
      </c>
      <c r="F2186" s="1">
        <f ca="1">IFERROR(__xludf.DUMMYFUNCTION("""COMPUTED_VALUE"""),112488803)</f>
        <v>112488803</v>
      </c>
    </row>
    <row r="2187" spans="1:6" x14ac:dyDescent="0.35">
      <c r="A2187" s="2">
        <f ca="1">IFERROR(__xludf.DUMMYFUNCTION("""COMPUTED_VALUE"""),45177.6666666666)</f>
        <v>45177.666666666599</v>
      </c>
      <c r="B2187" s="1">
        <f ca="1">IFERROR(__xludf.DUMMYFUNCTION("""COMPUTED_VALUE"""),178.35)</f>
        <v>178.35</v>
      </c>
      <c r="C2187" s="1">
        <f ca="1">IFERROR(__xludf.DUMMYFUNCTION("""COMPUTED_VALUE"""),180.24)</f>
        <v>180.24</v>
      </c>
      <c r="D2187" s="1">
        <f ca="1">IFERROR(__xludf.DUMMYFUNCTION("""COMPUTED_VALUE"""),177.79)</f>
        <v>177.79</v>
      </c>
      <c r="E2187" s="1">
        <f ca="1">IFERROR(__xludf.DUMMYFUNCTION("""COMPUTED_VALUE"""),178.18)</f>
        <v>178.18</v>
      </c>
      <c r="F2187" s="1">
        <f ca="1">IFERROR(__xludf.DUMMYFUNCTION("""COMPUTED_VALUE"""),65602066)</f>
        <v>65602066</v>
      </c>
    </row>
    <row r="2188" spans="1:6" x14ac:dyDescent="0.35">
      <c r="A2188" s="2">
        <f ca="1">IFERROR(__xludf.DUMMYFUNCTION("""COMPUTED_VALUE"""),45180.6666666666)</f>
        <v>45180.666666666599</v>
      </c>
      <c r="B2188" s="1">
        <f ca="1">IFERROR(__xludf.DUMMYFUNCTION("""COMPUTED_VALUE"""),180.07)</f>
        <v>180.07</v>
      </c>
      <c r="C2188" s="1">
        <f ca="1">IFERROR(__xludf.DUMMYFUNCTION("""COMPUTED_VALUE"""),180.3)</f>
        <v>180.3</v>
      </c>
      <c r="D2188" s="1">
        <f ca="1">IFERROR(__xludf.DUMMYFUNCTION("""COMPUTED_VALUE"""),177.34)</f>
        <v>177.34</v>
      </c>
      <c r="E2188" s="1">
        <f ca="1">IFERROR(__xludf.DUMMYFUNCTION("""COMPUTED_VALUE"""),179.36)</f>
        <v>179.36</v>
      </c>
      <c r="F2188" s="1">
        <f ca="1">IFERROR(__xludf.DUMMYFUNCTION("""COMPUTED_VALUE"""),58953052)</f>
        <v>58953052</v>
      </c>
    </row>
    <row r="2189" spans="1:6" x14ac:dyDescent="0.35">
      <c r="A2189" s="2">
        <f ca="1">IFERROR(__xludf.DUMMYFUNCTION("""COMPUTED_VALUE"""),45181.6666666666)</f>
        <v>45181.666666666599</v>
      </c>
      <c r="B2189" s="1">
        <f ca="1">IFERROR(__xludf.DUMMYFUNCTION("""COMPUTED_VALUE"""),179.49)</f>
        <v>179.49</v>
      </c>
      <c r="C2189" s="1">
        <f ca="1">IFERROR(__xludf.DUMMYFUNCTION("""COMPUTED_VALUE"""),180.13)</f>
        <v>180.13</v>
      </c>
      <c r="D2189" s="1">
        <f ca="1">IFERROR(__xludf.DUMMYFUNCTION("""COMPUTED_VALUE"""),174.82)</f>
        <v>174.82</v>
      </c>
      <c r="E2189" s="1">
        <f ca="1">IFERROR(__xludf.DUMMYFUNCTION("""COMPUTED_VALUE"""),176.3)</f>
        <v>176.3</v>
      </c>
      <c r="F2189" s="1">
        <f ca="1">IFERROR(__xludf.DUMMYFUNCTION("""COMPUTED_VALUE"""),90370192)</f>
        <v>90370192</v>
      </c>
    </row>
    <row r="2190" spans="1:6" x14ac:dyDescent="0.35">
      <c r="A2190" s="2">
        <f ca="1">IFERROR(__xludf.DUMMYFUNCTION("""COMPUTED_VALUE"""),45182.6666666666)</f>
        <v>45182.666666666599</v>
      </c>
      <c r="B2190" s="1">
        <f ca="1">IFERROR(__xludf.DUMMYFUNCTION("""COMPUTED_VALUE"""),176.51)</f>
        <v>176.51</v>
      </c>
      <c r="C2190" s="1">
        <f ca="1">IFERROR(__xludf.DUMMYFUNCTION("""COMPUTED_VALUE"""),177.3)</f>
        <v>177.3</v>
      </c>
      <c r="D2190" s="1">
        <f ca="1">IFERROR(__xludf.DUMMYFUNCTION("""COMPUTED_VALUE"""),173.98)</f>
        <v>173.98</v>
      </c>
      <c r="E2190" s="1">
        <f ca="1">IFERROR(__xludf.DUMMYFUNCTION("""COMPUTED_VALUE"""),174.21)</f>
        <v>174.21</v>
      </c>
      <c r="F2190" s="1">
        <f ca="1">IFERROR(__xludf.DUMMYFUNCTION("""COMPUTED_VALUE"""),84267928)</f>
        <v>84267928</v>
      </c>
    </row>
    <row r="2191" spans="1:6" x14ac:dyDescent="0.35">
      <c r="A2191" s="2">
        <f ca="1">IFERROR(__xludf.DUMMYFUNCTION("""COMPUTED_VALUE"""),45183.6666666666)</f>
        <v>45183.666666666599</v>
      </c>
      <c r="B2191" s="1">
        <f ca="1">IFERROR(__xludf.DUMMYFUNCTION("""COMPUTED_VALUE"""),174)</f>
        <v>174</v>
      </c>
      <c r="C2191" s="1">
        <f ca="1">IFERROR(__xludf.DUMMYFUNCTION("""COMPUTED_VALUE"""),176.1)</f>
        <v>176.1</v>
      </c>
      <c r="D2191" s="1">
        <f ca="1">IFERROR(__xludf.DUMMYFUNCTION("""COMPUTED_VALUE"""),173.58)</f>
        <v>173.58</v>
      </c>
      <c r="E2191" s="1">
        <f ca="1">IFERROR(__xludf.DUMMYFUNCTION("""COMPUTED_VALUE"""),175.74)</f>
        <v>175.74</v>
      </c>
      <c r="F2191" s="1">
        <f ca="1">IFERROR(__xludf.DUMMYFUNCTION("""COMPUTED_VALUE"""),60895757)</f>
        <v>60895757</v>
      </c>
    </row>
    <row r="2192" spans="1:6" x14ac:dyDescent="0.35">
      <c r="A2192" s="2">
        <f ca="1">IFERROR(__xludf.DUMMYFUNCTION("""COMPUTED_VALUE"""),45184.6666666666)</f>
        <v>45184.666666666599</v>
      </c>
      <c r="B2192" s="1">
        <f ca="1">IFERROR(__xludf.DUMMYFUNCTION("""COMPUTED_VALUE"""),176.48)</f>
        <v>176.48</v>
      </c>
      <c r="C2192" s="1">
        <f ca="1">IFERROR(__xludf.DUMMYFUNCTION("""COMPUTED_VALUE"""),176.5)</f>
        <v>176.5</v>
      </c>
      <c r="D2192" s="1">
        <f ca="1">IFERROR(__xludf.DUMMYFUNCTION("""COMPUTED_VALUE"""),173.82)</f>
        <v>173.82</v>
      </c>
      <c r="E2192" s="1">
        <f ca="1">IFERROR(__xludf.DUMMYFUNCTION("""COMPUTED_VALUE"""),175.01)</f>
        <v>175.01</v>
      </c>
      <c r="F2192" s="1">
        <f ca="1">IFERROR(__xludf.DUMMYFUNCTION("""COMPUTED_VALUE"""),109259461)</f>
        <v>109259461</v>
      </c>
    </row>
    <row r="2193" spans="1:6" x14ac:dyDescent="0.35">
      <c r="A2193" s="2">
        <f ca="1">IFERROR(__xludf.DUMMYFUNCTION("""COMPUTED_VALUE"""),45187.6666666666)</f>
        <v>45187.666666666599</v>
      </c>
      <c r="B2193" s="1">
        <f ca="1">IFERROR(__xludf.DUMMYFUNCTION("""COMPUTED_VALUE"""),176.48)</f>
        <v>176.48</v>
      </c>
      <c r="C2193" s="1">
        <f ca="1">IFERROR(__xludf.DUMMYFUNCTION("""COMPUTED_VALUE"""),179.38)</f>
        <v>179.38</v>
      </c>
      <c r="D2193" s="1">
        <f ca="1">IFERROR(__xludf.DUMMYFUNCTION("""COMPUTED_VALUE"""),176.17)</f>
        <v>176.17</v>
      </c>
      <c r="E2193" s="1">
        <f ca="1">IFERROR(__xludf.DUMMYFUNCTION("""COMPUTED_VALUE"""),177.97)</f>
        <v>177.97</v>
      </c>
      <c r="F2193" s="1">
        <f ca="1">IFERROR(__xludf.DUMMYFUNCTION("""COMPUTED_VALUE"""),67257573)</f>
        <v>67257573</v>
      </c>
    </row>
    <row r="2194" spans="1:6" x14ac:dyDescent="0.35">
      <c r="A2194" s="2">
        <f ca="1">IFERROR(__xludf.DUMMYFUNCTION("""COMPUTED_VALUE"""),45188.6666666666)</f>
        <v>45188.666666666599</v>
      </c>
      <c r="B2194" s="1">
        <f ca="1">IFERROR(__xludf.DUMMYFUNCTION("""COMPUTED_VALUE"""),177.52)</f>
        <v>177.52</v>
      </c>
      <c r="C2194" s="1">
        <f ca="1">IFERROR(__xludf.DUMMYFUNCTION("""COMPUTED_VALUE"""),179.63)</f>
        <v>179.63</v>
      </c>
      <c r="D2194" s="1">
        <f ca="1">IFERROR(__xludf.DUMMYFUNCTION("""COMPUTED_VALUE"""),177.13)</f>
        <v>177.13</v>
      </c>
      <c r="E2194" s="1">
        <f ca="1">IFERROR(__xludf.DUMMYFUNCTION("""COMPUTED_VALUE"""),179.07)</f>
        <v>179.07</v>
      </c>
      <c r="F2194" s="1">
        <f ca="1">IFERROR(__xludf.DUMMYFUNCTION("""COMPUTED_VALUE"""),51826941)</f>
        <v>51826941</v>
      </c>
    </row>
    <row r="2195" spans="1:6" x14ac:dyDescent="0.35">
      <c r="A2195" s="2">
        <f ca="1">IFERROR(__xludf.DUMMYFUNCTION("""COMPUTED_VALUE"""),45189.6666666666)</f>
        <v>45189.666666666599</v>
      </c>
      <c r="B2195" s="1">
        <f ca="1">IFERROR(__xludf.DUMMYFUNCTION("""COMPUTED_VALUE"""),179.26)</f>
        <v>179.26</v>
      </c>
      <c r="C2195" s="1">
        <f ca="1">IFERROR(__xludf.DUMMYFUNCTION("""COMPUTED_VALUE"""),179.7)</f>
        <v>179.7</v>
      </c>
      <c r="D2195" s="1">
        <f ca="1">IFERROR(__xludf.DUMMYFUNCTION("""COMPUTED_VALUE"""),175.4)</f>
        <v>175.4</v>
      </c>
      <c r="E2195" s="1">
        <f ca="1">IFERROR(__xludf.DUMMYFUNCTION("""COMPUTED_VALUE"""),175.49)</f>
        <v>175.49</v>
      </c>
      <c r="F2195" s="1">
        <f ca="1">IFERROR(__xludf.DUMMYFUNCTION("""COMPUTED_VALUE"""),58436181)</f>
        <v>58436181</v>
      </c>
    </row>
    <row r="2196" spans="1:6" x14ac:dyDescent="0.35">
      <c r="A2196" s="2">
        <f ca="1">IFERROR(__xludf.DUMMYFUNCTION("""COMPUTED_VALUE"""),45190.6666666666)</f>
        <v>45190.666666666599</v>
      </c>
      <c r="B2196" s="1">
        <f ca="1">IFERROR(__xludf.DUMMYFUNCTION("""COMPUTED_VALUE"""),174.55)</f>
        <v>174.55</v>
      </c>
      <c r="C2196" s="1">
        <f ca="1">IFERROR(__xludf.DUMMYFUNCTION("""COMPUTED_VALUE"""),176.3)</f>
        <v>176.3</v>
      </c>
      <c r="D2196" s="1">
        <f ca="1">IFERROR(__xludf.DUMMYFUNCTION("""COMPUTED_VALUE"""),173.86)</f>
        <v>173.86</v>
      </c>
      <c r="E2196" s="1">
        <f ca="1">IFERROR(__xludf.DUMMYFUNCTION("""COMPUTED_VALUE"""),173.93)</f>
        <v>173.93</v>
      </c>
      <c r="F2196" s="1">
        <f ca="1">IFERROR(__xludf.DUMMYFUNCTION("""COMPUTED_VALUE"""),63149116)</f>
        <v>63149116</v>
      </c>
    </row>
    <row r="2197" spans="1:6" x14ac:dyDescent="0.35">
      <c r="A2197" s="2">
        <f ca="1">IFERROR(__xludf.DUMMYFUNCTION("""COMPUTED_VALUE"""),45191.6666666666)</f>
        <v>45191.666666666599</v>
      </c>
      <c r="B2197" s="1">
        <f ca="1">IFERROR(__xludf.DUMMYFUNCTION("""COMPUTED_VALUE"""),174.67)</f>
        <v>174.67</v>
      </c>
      <c r="C2197" s="1">
        <f ca="1">IFERROR(__xludf.DUMMYFUNCTION("""COMPUTED_VALUE"""),177.08)</f>
        <v>177.08</v>
      </c>
      <c r="D2197" s="1">
        <f ca="1">IFERROR(__xludf.DUMMYFUNCTION("""COMPUTED_VALUE"""),174.05)</f>
        <v>174.05</v>
      </c>
      <c r="E2197" s="1">
        <f ca="1">IFERROR(__xludf.DUMMYFUNCTION("""COMPUTED_VALUE"""),174.79)</f>
        <v>174.79</v>
      </c>
      <c r="F2197" s="1">
        <f ca="1">IFERROR(__xludf.DUMMYFUNCTION("""COMPUTED_VALUE"""),56725385)</f>
        <v>56725385</v>
      </c>
    </row>
    <row r="2198" spans="1:6" x14ac:dyDescent="0.35">
      <c r="A2198" s="2">
        <f ca="1">IFERROR(__xludf.DUMMYFUNCTION("""COMPUTED_VALUE"""),45194.6666666666)</f>
        <v>45194.666666666599</v>
      </c>
      <c r="B2198" s="1">
        <f ca="1">IFERROR(__xludf.DUMMYFUNCTION("""COMPUTED_VALUE"""),174.2)</f>
        <v>174.2</v>
      </c>
      <c r="C2198" s="1">
        <f ca="1">IFERROR(__xludf.DUMMYFUNCTION("""COMPUTED_VALUE"""),176.97)</f>
        <v>176.97</v>
      </c>
      <c r="D2198" s="1">
        <f ca="1">IFERROR(__xludf.DUMMYFUNCTION("""COMPUTED_VALUE"""),174.15)</f>
        <v>174.15</v>
      </c>
      <c r="E2198" s="1">
        <f ca="1">IFERROR(__xludf.DUMMYFUNCTION("""COMPUTED_VALUE"""),176.08)</f>
        <v>176.08</v>
      </c>
      <c r="F2198" s="1">
        <f ca="1">IFERROR(__xludf.DUMMYFUNCTION("""COMPUTED_VALUE"""),46172740)</f>
        <v>46172740</v>
      </c>
    </row>
    <row r="2199" spans="1:6" x14ac:dyDescent="0.35">
      <c r="A2199" s="2">
        <f ca="1">IFERROR(__xludf.DUMMYFUNCTION("""COMPUTED_VALUE"""),45195.6666666666)</f>
        <v>45195.666666666599</v>
      </c>
      <c r="B2199" s="1">
        <f ca="1">IFERROR(__xludf.DUMMYFUNCTION("""COMPUTED_VALUE"""),174.82)</f>
        <v>174.82</v>
      </c>
      <c r="C2199" s="1">
        <f ca="1">IFERROR(__xludf.DUMMYFUNCTION("""COMPUTED_VALUE"""),175.2)</f>
        <v>175.2</v>
      </c>
      <c r="D2199" s="1">
        <f ca="1">IFERROR(__xludf.DUMMYFUNCTION("""COMPUTED_VALUE"""),171.66)</f>
        <v>171.66</v>
      </c>
      <c r="E2199" s="1">
        <f ca="1">IFERROR(__xludf.DUMMYFUNCTION("""COMPUTED_VALUE"""),171.96)</f>
        <v>171.96</v>
      </c>
      <c r="F2199" s="1">
        <f ca="1">IFERROR(__xludf.DUMMYFUNCTION("""COMPUTED_VALUE"""),64588945)</f>
        <v>64588945</v>
      </c>
    </row>
    <row r="2200" spans="1:6" x14ac:dyDescent="0.35">
      <c r="A2200" s="2">
        <f ca="1">IFERROR(__xludf.DUMMYFUNCTION("""COMPUTED_VALUE"""),45196.6666666666)</f>
        <v>45196.666666666599</v>
      </c>
      <c r="B2200" s="1">
        <f ca="1">IFERROR(__xludf.DUMMYFUNCTION("""COMPUTED_VALUE"""),172.62)</f>
        <v>172.62</v>
      </c>
      <c r="C2200" s="1">
        <f ca="1">IFERROR(__xludf.DUMMYFUNCTION("""COMPUTED_VALUE"""),173.04)</f>
        <v>173.04</v>
      </c>
      <c r="D2200" s="1">
        <f ca="1">IFERROR(__xludf.DUMMYFUNCTION("""COMPUTED_VALUE"""),169.05)</f>
        <v>169.05</v>
      </c>
      <c r="E2200" s="1">
        <f ca="1">IFERROR(__xludf.DUMMYFUNCTION("""COMPUTED_VALUE"""),170.43)</f>
        <v>170.43</v>
      </c>
      <c r="F2200" s="1">
        <f ca="1">IFERROR(__xludf.DUMMYFUNCTION("""COMPUTED_VALUE"""),66921808)</f>
        <v>66921808</v>
      </c>
    </row>
    <row r="2201" spans="1:6" x14ac:dyDescent="0.35">
      <c r="A2201" s="2">
        <f ca="1">IFERROR(__xludf.DUMMYFUNCTION("""COMPUTED_VALUE"""),45197.6666666666)</f>
        <v>45197.666666666599</v>
      </c>
      <c r="B2201" s="1">
        <f ca="1">IFERROR(__xludf.DUMMYFUNCTION("""COMPUTED_VALUE"""),169.34)</f>
        <v>169.34</v>
      </c>
      <c r="C2201" s="1">
        <f ca="1">IFERROR(__xludf.DUMMYFUNCTION("""COMPUTED_VALUE"""),172.03)</f>
        <v>172.03</v>
      </c>
      <c r="D2201" s="1">
        <f ca="1">IFERROR(__xludf.DUMMYFUNCTION("""COMPUTED_VALUE"""),167.62)</f>
        <v>167.62</v>
      </c>
      <c r="E2201" s="1">
        <f ca="1">IFERROR(__xludf.DUMMYFUNCTION("""COMPUTED_VALUE"""),170.69)</f>
        <v>170.69</v>
      </c>
      <c r="F2201" s="1">
        <f ca="1">IFERROR(__xludf.DUMMYFUNCTION("""COMPUTED_VALUE"""),56294419)</f>
        <v>56294419</v>
      </c>
    </row>
    <row r="2202" spans="1:6" x14ac:dyDescent="0.35">
      <c r="A2202" s="2">
        <f ca="1">IFERROR(__xludf.DUMMYFUNCTION("""COMPUTED_VALUE"""),45198.6666666666)</f>
        <v>45198.666666666599</v>
      </c>
      <c r="B2202" s="1">
        <f ca="1">IFERROR(__xludf.DUMMYFUNCTION("""COMPUTED_VALUE"""),172.02)</f>
        <v>172.02</v>
      </c>
      <c r="C2202" s="1">
        <f ca="1">IFERROR(__xludf.DUMMYFUNCTION("""COMPUTED_VALUE"""),173.07)</f>
        <v>173.07</v>
      </c>
      <c r="D2202" s="1">
        <f ca="1">IFERROR(__xludf.DUMMYFUNCTION("""COMPUTED_VALUE"""),170.34)</f>
        <v>170.34</v>
      </c>
      <c r="E2202" s="1">
        <f ca="1">IFERROR(__xludf.DUMMYFUNCTION("""COMPUTED_VALUE"""),171.21)</f>
        <v>171.21</v>
      </c>
      <c r="F2202" s="1">
        <f ca="1">IFERROR(__xludf.DUMMYFUNCTION("""COMPUTED_VALUE"""),51861083)</f>
        <v>51861083</v>
      </c>
    </row>
    <row r="2203" spans="1:6" x14ac:dyDescent="0.35">
      <c r="A2203" s="2">
        <f ca="1">IFERROR(__xludf.DUMMYFUNCTION("""COMPUTED_VALUE"""),45201.6666666666)</f>
        <v>45201.666666666599</v>
      </c>
      <c r="B2203" s="1">
        <f ca="1">IFERROR(__xludf.DUMMYFUNCTION("""COMPUTED_VALUE"""),171.22)</f>
        <v>171.22</v>
      </c>
      <c r="C2203" s="1">
        <f ca="1">IFERROR(__xludf.DUMMYFUNCTION("""COMPUTED_VALUE"""),174.3)</f>
        <v>174.3</v>
      </c>
      <c r="D2203" s="1">
        <f ca="1">IFERROR(__xludf.DUMMYFUNCTION("""COMPUTED_VALUE"""),170.93)</f>
        <v>170.93</v>
      </c>
      <c r="E2203" s="1">
        <f ca="1">IFERROR(__xludf.DUMMYFUNCTION("""COMPUTED_VALUE"""),173.75)</f>
        <v>173.75</v>
      </c>
      <c r="F2203" s="1">
        <f ca="1">IFERROR(__xludf.DUMMYFUNCTION("""COMPUTED_VALUE"""),52164535)</f>
        <v>52164535</v>
      </c>
    </row>
    <row r="2204" spans="1:6" x14ac:dyDescent="0.35">
      <c r="A2204" s="2">
        <f ca="1">IFERROR(__xludf.DUMMYFUNCTION("""COMPUTED_VALUE"""),45202.6666666666)</f>
        <v>45202.666666666599</v>
      </c>
      <c r="B2204" s="1">
        <f ca="1">IFERROR(__xludf.DUMMYFUNCTION("""COMPUTED_VALUE"""),172.26)</f>
        <v>172.26</v>
      </c>
      <c r="C2204" s="1">
        <f ca="1">IFERROR(__xludf.DUMMYFUNCTION("""COMPUTED_VALUE"""),173.63)</f>
        <v>173.63</v>
      </c>
      <c r="D2204" s="1">
        <f ca="1">IFERROR(__xludf.DUMMYFUNCTION("""COMPUTED_VALUE"""),170.82)</f>
        <v>170.82</v>
      </c>
      <c r="E2204" s="1">
        <f ca="1">IFERROR(__xludf.DUMMYFUNCTION("""COMPUTED_VALUE"""),172.4)</f>
        <v>172.4</v>
      </c>
      <c r="F2204" s="1">
        <f ca="1">IFERROR(__xludf.DUMMYFUNCTION("""COMPUTED_VALUE"""),49594613)</f>
        <v>49594613</v>
      </c>
    </row>
    <row r="2205" spans="1:6" x14ac:dyDescent="0.35">
      <c r="A2205" s="2">
        <f ca="1">IFERROR(__xludf.DUMMYFUNCTION("""COMPUTED_VALUE"""),45203.6666666666)</f>
        <v>45203.666666666599</v>
      </c>
      <c r="B2205" s="1">
        <f ca="1">IFERROR(__xludf.DUMMYFUNCTION("""COMPUTED_VALUE"""),171.09)</f>
        <v>171.09</v>
      </c>
      <c r="C2205" s="1">
        <f ca="1">IFERROR(__xludf.DUMMYFUNCTION("""COMPUTED_VALUE"""),174.21)</f>
        <v>174.21</v>
      </c>
      <c r="D2205" s="1">
        <f ca="1">IFERROR(__xludf.DUMMYFUNCTION("""COMPUTED_VALUE"""),170.97)</f>
        <v>170.97</v>
      </c>
      <c r="E2205" s="1">
        <f ca="1">IFERROR(__xludf.DUMMYFUNCTION("""COMPUTED_VALUE"""),173.66)</f>
        <v>173.66</v>
      </c>
      <c r="F2205" s="1">
        <f ca="1">IFERROR(__xludf.DUMMYFUNCTION("""COMPUTED_VALUE"""),53020286)</f>
        <v>53020286</v>
      </c>
    </row>
    <row r="2206" spans="1:6" x14ac:dyDescent="0.35">
      <c r="A2206" s="2">
        <f ca="1">IFERROR(__xludf.DUMMYFUNCTION("""COMPUTED_VALUE"""),45204.6666666666)</f>
        <v>45204.666666666599</v>
      </c>
      <c r="B2206" s="1">
        <f ca="1">IFERROR(__xludf.DUMMYFUNCTION("""COMPUTED_VALUE"""),173.79)</f>
        <v>173.79</v>
      </c>
      <c r="C2206" s="1">
        <f ca="1">IFERROR(__xludf.DUMMYFUNCTION("""COMPUTED_VALUE"""),175.45)</f>
        <v>175.45</v>
      </c>
      <c r="D2206" s="1">
        <f ca="1">IFERROR(__xludf.DUMMYFUNCTION("""COMPUTED_VALUE"""),172.68)</f>
        <v>172.68</v>
      </c>
      <c r="E2206" s="1">
        <f ca="1">IFERROR(__xludf.DUMMYFUNCTION("""COMPUTED_VALUE"""),174.91)</f>
        <v>174.91</v>
      </c>
      <c r="F2206" s="1">
        <f ca="1">IFERROR(__xludf.DUMMYFUNCTION("""COMPUTED_VALUE"""),48527918)</f>
        <v>48527918</v>
      </c>
    </row>
    <row r="2207" spans="1:6" x14ac:dyDescent="0.35">
      <c r="A2207" s="2">
        <f ca="1">IFERROR(__xludf.DUMMYFUNCTION("""COMPUTED_VALUE"""),45205.6666666666)</f>
        <v>45205.666666666599</v>
      </c>
      <c r="B2207" s="1">
        <f ca="1">IFERROR(__xludf.DUMMYFUNCTION("""COMPUTED_VALUE"""),173.8)</f>
        <v>173.8</v>
      </c>
      <c r="C2207" s="1">
        <f ca="1">IFERROR(__xludf.DUMMYFUNCTION("""COMPUTED_VALUE"""),177.99)</f>
        <v>177.99</v>
      </c>
      <c r="D2207" s="1">
        <f ca="1">IFERROR(__xludf.DUMMYFUNCTION("""COMPUTED_VALUE"""),173.18)</f>
        <v>173.18</v>
      </c>
      <c r="E2207" s="1">
        <f ca="1">IFERROR(__xludf.DUMMYFUNCTION("""COMPUTED_VALUE"""),177.49)</f>
        <v>177.49</v>
      </c>
      <c r="F2207" s="1">
        <f ca="1">IFERROR(__xludf.DUMMYFUNCTION("""COMPUTED_VALUE"""),57266675)</f>
        <v>57266675</v>
      </c>
    </row>
    <row r="2208" spans="1:6" x14ac:dyDescent="0.35">
      <c r="A2208" s="2">
        <f ca="1">IFERROR(__xludf.DUMMYFUNCTION("""COMPUTED_VALUE"""),45208.6666666666)</f>
        <v>45208.666666666599</v>
      </c>
      <c r="B2208" s="1">
        <f ca="1">IFERROR(__xludf.DUMMYFUNCTION("""COMPUTED_VALUE"""),176.81)</f>
        <v>176.81</v>
      </c>
      <c r="C2208" s="1">
        <f ca="1">IFERROR(__xludf.DUMMYFUNCTION("""COMPUTED_VALUE"""),179.05)</f>
        <v>179.05</v>
      </c>
      <c r="D2208" s="1">
        <f ca="1">IFERROR(__xludf.DUMMYFUNCTION("""COMPUTED_VALUE"""),175.8)</f>
        <v>175.8</v>
      </c>
      <c r="E2208" s="1">
        <f ca="1">IFERROR(__xludf.DUMMYFUNCTION("""COMPUTED_VALUE"""),178.99)</f>
        <v>178.99</v>
      </c>
      <c r="F2208" s="1">
        <f ca="1">IFERROR(__xludf.DUMMYFUNCTION("""COMPUTED_VALUE"""),42390772)</f>
        <v>42390772</v>
      </c>
    </row>
    <row r="2209" spans="1:6" x14ac:dyDescent="0.35">
      <c r="A2209" s="2">
        <f ca="1">IFERROR(__xludf.DUMMYFUNCTION("""COMPUTED_VALUE"""),45209.6666666666)</f>
        <v>45209.666666666599</v>
      </c>
      <c r="B2209" s="1">
        <f ca="1">IFERROR(__xludf.DUMMYFUNCTION("""COMPUTED_VALUE"""),178.1)</f>
        <v>178.1</v>
      </c>
      <c r="C2209" s="1">
        <f ca="1">IFERROR(__xludf.DUMMYFUNCTION("""COMPUTED_VALUE"""),179.72)</f>
        <v>179.72</v>
      </c>
      <c r="D2209" s="1">
        <f ca="1">IFERROR(__xludf.DUMMYFUNCTION("""COMPUTED_VALUE"""),177.95)</f>
        <v>177.95</v>
      </c>
      <c r="E2209" s="1">
        <f ca="1">IFERROR(__xludf.DUMMYFUNCTION("""COMPUTED_VALUE"""),178.39)</f>
        <v>178.39</v>
      </c>
      <c r="F2209" s="1">
        <f ca="1">IFERROR(__xludf.DUMMYFUNCTION("""COMPUTED_VALUE"""),43698019)</f>
        <v>43698019</v>
      </c>
    </row>
    <row r="2210" spans="1:6" x14ac:dyDescent="0.35">
      <c r="A2210" s="2">
        <f ca="1">IFERROR(__xludf.DUMMYFUNCTION("""COMPUTED_VALUE"""),45210.6666666666)</f>
        <v>45210.666666666599</v>
      </c>
      <c r="B2210" s="1">
        <f ca="1">IFERROR(__xludf.DUMMYFUNCTION("""COMPUTED_VALUE"""),178.2)</f>
        <v>178.2</v>
      </c>
      <c r="C2210" s="1">
        <f ca="1">IFERROR(__xludf.DUMMYFUNCTION("""COMPUTED_VALUE"""),179.85)</f>
        <v>179.85</v>
      </c>
      <c r="D2210" s="1">
        <f ca="1">IFERROR(__xludf.DUMMYFUNCTION("""COMPUTED_VALUE"""),177.6)</f>
        <v>177.6</v>
      </c>
      <c r="E2210" s="1">
        <f ca="1">IFERROR(__xludf.DUMMYFUNCTION("""COMPUTED_VALUE"""),179.8)</f>
        <v>179.8</v>
      </c>
      <c r="F2210" s="1">
        <f ca="1">IFERROR(__xludf.DUMMYFUNCTION("""COMPUTED_VALUE"""),47551098)</f>
        <v>47551098</v>
      </c>
    </row>
    <row r="2211" spans="1:6" x14ac:dyDescent="0.35">
      <c r="A2211" s="2">
        <f ca="1">IFERROR(__xludf.DUMMYFUNCTION("""COMPUTED_VALUE"""),45211.6666666666)</f>
        <v>45211.666666666599</v>
      </c>
      <c r="B2211" s="1">
        <f ca="1">IFERROR(__xludf.DUMMYFUNCTION("""COMPUTED_VALUE"""),180.07)</f>
        <v>180.07</v>
      </c>
      <c r="C2211" s="1">
        <f ca="1">IFERROR(__xludf.DUMMYFUNCTION("""COMPUTED_VALUE"""),182.34)</f>
        <v>182.34</v>
      </c>
      <c r="D2211" s="1">
        <f ca="1">IFERROR(__xludf.DUMMYFUNCTION("""COMPUTED_VALUE"""),179.04)</f>
        <v>179.04</v>
      </c>
      <c r="E2211" s="1">
        <f ca="1">IFERROR(__xludf.DUMMYFUNCTION("""COMPUTED_VALUE"""),180.71)</f>
        <v>180.71</v>
      </c>
      <c r="F2211" s="1">
        <f ca="1">IFERROR(__xludf.DUMMYFUNCTION("""COMPUTED_VALUE"""),56743119)</f>
        <v>56743119</v>
      </c>
    </row>
    <row r="2212" spans="1:6" x14ac:dyDescent="0.35">
      <c r="A2212" s="2">
        <f ca="1">IFERROR(__xludf.DUMMYFUNCTION("""COMPUTED_VALUE"""),45212.6666666666)</f>
        <v>45212.666666666599</v>
      </c>
      <c r="B2212" s="1">
        <f ca="1">IFERROR(__xludf.DUMMYFUNCTION("""COMPUTED_VALUE"""),181.42)</f>
        <v>181.42</v>
      </c>
      <c r="C2212" s="1">
        <f ca="1">IFERROR(__xludf.DUMMYFUNCTION("""COMPUTED_VALUE"""),181.93)</f>
        <v>181.93</v>
      </c>
      <c r="D2212" s="1">
        <f ca="1">IFERROR(__xludf.DUMMYFUNCTION("""COMPUTED_VALUE"""),178.14)</f>
        <v>178.14</v>
      </c>
      <c r="E2212" s="1">
        <f ca="1">IFERROR(__xludf.DUMMYFUNCTION("""COMPUTED_VALUE"""),178.85)</f>
        <v>178.85</v>
      </c>
      <c r="F2212" s="1">
        <f ca="1">IFERROR(__xludf.DUMMYFUNCTION("""COMPUTED_VALUE"""),51456082)</f>
        <v>51456082</v>
      </c>
    </row>
    <row r="2213" spans="1:6" x14ac:dyDescent="0.35">
      <c r="A2213" s="2">
        <f ca="1">IFERROR(__xludf.DUMMYFUNCTION("""COMPUTED_VALUE"""),45215.6666666666)</f>
        <v>45215.666666666599</v>
      </c>
      <c r="B2213" s="1">
        <f ca="1">IFERROR(__xludf.DUMMYFUNCTION("""COMPUTED_VALUE"""),176.75)</f>
        <v>176.75</v>
      </c>
      <c r="C2213" s="1">
        <f ca="1">IFERROR(__xludf.DUMMYFUNCTION("""COMPUTED_VALUE"""),179.08)</f>
        <v>179.08</v>
      </c>
      <c r="D2213" s="1">
        <f ca="1">IFERROR(__xludf.DUMMYFUNCTION("""COMPUTED_VALUE"""),176.51)</f>
        <v>176.51</v>
      </c>
      <c r="E2213" s="1">
        <f ca="1">IFERROR(__xludf.DUMMYFUNCTION("""COMPUTED_VALUE"""),178.72)</f>
        <v>178.72</v>
      </c>
      <c r="F2213" s="1">
        <f ca="1">IFERROR(__xludf.DUMMYFUNCTION("""COMPUTED_VALUE"""),52516984)</f>
        <v>52516984</v>
      </c>
    </row>
    <row r="2214" spans="1:6" x14ac:dyDescent="0.35">
      <c r="A2214" s="2">
        <f ca="1">IFERROR(__xludf.DUMMYFUNCTION("""COMPUTED_VALUE"""),45216.6666666666)</f>
        <v>45216.666666666599</v>
      </c>
      <c r="B2214" s="1">
        <f ca="1">IFERROR(__xludf.DUMMYFUNCTION("""COMPUTED_VALUE"""),176.65)</f>
        <v>176.65</v>
      </c>
      <c r="C2214" s="1">
        <f ca="1">IFERROR(__xludf.DUMMYFUNCTION("""COMPUTED_VALUE"""),178.42)</f>
        <v>178.42</v>
      </c>
      <c r="D2214" s="1">
        <f ca="1">IFERROR(__xludf.DUMMYFUNCTION("""COMPUTED_VALUE"""),174.8)</f>
        <v>174.8</v>
      </c>
      <c r="E2214" s="1">
        <f ca="1">IFERROR(__xludf.DUMMYFUNCTION("""COMPUTED_VALUE"""),177.15)</f>
        <v>177.15</v>
      </c>
      <c r="F2214" s="1">
        <f ca="1">IFERROR(__xludf.DUMMYFUNCTION("""COMPUTED_VALUE"""),57549350)</f>
        <v>57549350</v>
      </c>
    </row>
    <row r="2215" spans="1:6" x14ac:dyDescent="0.35">
      <c r="A2215" s="2">
        <f ca="1">IFERROR(__xludf.DUMMYFUNCTION("""COMPUTED_VALUE"""),45217.6666666666)</f>
        <v>45217.666666666599</v>
      </c>
      <c r="B2215" s="1">
        <f ca="1">IFERROR(__xludf.DUMMYFUNCTION("""COMPUTED_VALUE"""),175.58)</f>
        <v>175.58</v>
      </c>
      <c r="C2215" s="1">
        <f ca="1">IFERROR(__xludf.DUMMYFUNCTION("""COMPUTED_VALUE"""),177.58)</f>
        <v>177.58</v>
      </c>
      <c r="D2215" s="1">
        <f ca="1">IFERROR(__xludf.DUMMYFUNCTION("""COMPUTED_VALUE"""),175.11)</f>
        <v>175.11</v>
      </c>
      <c r="E2215" s="1">
        <f ca="1">IFERROR(__xludf.DUMMYFUNCTION("""COMPUTED_VALUE"""),175.84)</f>
        <v>175.84</v>
      </c>
      <c r="F2215" s="1">
        <f ca="1">IFERROR(__xludf.DUMMYFUNCTION("""COMPUTED_VALUE"""),54764375)</f>
        <v>54764375</v>
      </c>
    </row>
    <row r="2216" spans="1:6" x14ac:dyDescent="0.35">
      <c r="A2216" s="2">
        <f ca="1">IFERROR(__xludf.DUMMYFUNCTION("""COMPUTED_VALUE"""),45218.6666666666)</f>
        <v>45218.666666666599</v>
      </c>
      <c r="B2216" s="1">
        <f ca="1">IFERROR(__xludf.DUMMYFUNCTION("""COMPUTED_VALUE"""),176.04)</f>
        <v>176.04</v>
      </c>
      <c r="C2216" s="1">
        <f ca="1">IFERROR(__xludf.DUMMYFUNCTION("""COMPUTED_VALUE"""),177.84)</f>
        <v>177.84</v>
      </c>
      <c r="D2216" s="1">
        <f ca="1">IFERROR(__xludf.DUMMYFUNCTION("""COMPUTED_VALUE"""),175.19)</f>
        <v>175.19</v>
      </c>
      <c r="E2216" s="1">
        <f ca="1">IFERROR(__xludf.DUMMYFUNCTION("""COMPUTED_VALUE"""),175.46)</f>
        <v>175.46</v>
      </c>
      <c r="F2216" s="1">
        <f ca="1">IFERROR(__xludf.DUMMYFUNCTION("""COMPUTED_VALUE"""),59302863)</f>
        <v>59302863</v>
      </c>
    </row>
    <row r="2217" spans="1:6" x14ac:dyDescent="0.35">
      <c r="A2217" s="2">
        <f ca="1">IFERROR(__xludf.DUMMYFUNCTION("""COMPUTED_VALUE"""),45219.6666666666)</f>
        <v>45219.666666666599</v>
      </c>
      <c r="B2217" s="1">
        <f ca="1">IFERROR(__xludf.DUMMYFUNCTION("""COMPUTED_VALUE"""),175.31)</f>
        <v>175.31</v>
      </c>
      <c r="C2217" s="1">
        <f ca="1">IFERROR(__xludf.DUMMYFUNCTION("""COMPUTED_VALUE"""),175.42)</f>
        <v>175.42</v>
      </c>
      <c r="D2217" s="1">
        <f ca="1">IFERROR(__xludf.DUMMYFUNCTION("""COMPUTED_VALUE"""),172.64)</f>
        <v>172.64</v>
      </c>
      <c r="E2217" s="1">
        <f ca="1">IFERROR(__xludf.DUMMYFUNCTION("""COMPUTED_VALUE"""),172.88)</f>
        <v>172.88</v>
      </c>
      <c r="F2217" s="1">
        <f ca="1">IFERROR(__xludf.DUMMYFUNCTION("""COMPUTED_VALUE"""),64244028)</f>
        <v>64244028</v>
      </c>
    </row>
    <row r="2218" spans="1:6" x14ac:dyDescent="0.35">
      <c r="A2218" s="2">
        <f ca="1">IFERROR(__xludf.DUMMYFUNCTION("""COMPUTED_VALUE"""),45222.6666666666)</f>
        <v>45222.666666666599</v>
      </c>
      <c r="B2218" s="1">
        <f ca="1">IFERROR(__xludf.DUMMYFUNCTION("""COMPUTED_VALUE"""),170.91)</f>
        <v>170.91</v>
      </c>
      <c r="C2218" s="1">
        <f ca="1">IFERROR(__xludf.DUMMYFUNCTION("""COMPUTED_VALUE"""),174.01)</f>
        <v>174.01</v>
      </c>
      <c r="D2218" s="1">
        <f ca="1">IFERROR(__xludf.DUMMYFUNCTION("""COMPUTED_VALUE"""),169.93)</f>
        <v>169.93</v>
      </c>
      <c r="E2218" s="1">
        <f ca="1">IFERROR(__xludf.DUMMYFUNCTION("""COMPUTED_VALUE"""),173)</f>
        <v>173</v>
      </c>
      <c r="F2218" s="1">
        <f ca="1">IFERROR(__xludf.DUMMYFUNCTION("""COMPUTED_VALUE"""),55980109)</f>
        <v>55980109</v>
      </c>
    </row>
    <row r="2219" spans="1:6" x14ac:dyDescent="0.35">
      <c r="A2219" s="2">
        <f ca="1">IFERROR(__xludf.DUMMYFUNCTION("""COMPUTED_VALUE"""),45223.6666666666)</f>
        <v>45223.666666666599</v>
      </c>
      <c r="B2219" s="1">
        <f ca="1">IFERROR(__xludf.DUMMYFUNCTION("""COMPUTED_VALUE"""),173.05)</f>
        <v>173.05</v>
      </c>
      <c r="C2219" s="1">
        <f ca="1">IFERROR(__xludf.DUMMYFUNCTION("""COMPUTED_VALUE"""),173.67)</f>
        <v>173.67</v>
      </c>
      <c r="D2219" s="1">
        <f ca="1">IFERROR(__xludf.DUMMYFUNCTION("""COMPUTED_VALUE"""),171.45)</f>
        <v>171.45</v>
      </c>
      <c r="E2219" s="1">
        <f ca="1">IFERROR(__xludf.DUMMYFUNCTION("""COMPUTED_VALUE"""),173.44)</f>
        <v>173.44</v>
      </c>
      <c r="F2219" s="1">
        <f ca="1">IFERROR(__xludf.DUMMYFUNCTION("""COMPUTED_VALUE"""),43816644)</f>
        <v>43816644</v>
      </c>
    </row>
    <row r="2220" spans="1:6" x14ac:dyDescent="0.35">
      <c r="A2220" s="2">
        <f ca="1">IFERROR(__xludf.DUMMYFUNCTION("""COMPUTED_VALUE"""),45224.6666666666)</f>
        <v>45224.666666666599</v>
      </c>
      <c r="B2220" s="1">
        <f ca="1">IFERROR(__xludf.DUMMYFUNCTION("""COMPUTED_VALUE"""),171.88)</f>
        <v>171.88</v>
      </c>
      <c r="C2220" s="1">
        <f ca="1">IFERROR(__xludf.DUMMYFUNCTION("""COMPUTED_VALUE"""),173.06)</f>
        <v>173.06</v>
      </c>
      <c r="D2220" s="1">
        <f ca="1">IFERROR(__xludf.DUMMYFUNCTION("""COMPUTED_VALUE"""),170.65)</f>
        <v>170.65</v>
      </c>
      <c r="E2220" s="1">
        <f ca="1">IFERROR(__xludf.DUMMYFUNCTION("""COMPUTED_VALUE"""),171.1)</f>
        <v>171.1</v>
      </c>
      <c r="F2220" s="1">
        <f ca="1">IFERROR(__xludf.DUMMYFUNCTION("""COMPUTED_VALUE"""),57156962)</f>
        <v>57156962</v>
      </c>
    </row>
    <row r="2221" spans="1:6" x14ac:dyDescent="0.35">
      <c r="A2221" s="2">
        <f ca="1">IFERROR(__xludf.DUMMYFUNCTION("""COMPUTED_VALUE"""),45225.6666666666)</f>
        <v>45225.666666666599</v>
      </c>
      <c r="B2221" s="1">
        <f ca="1">IFERROR(__xludf.DUMMYFUNCTION("""COMPUTED_VALUE"""),170.37)</f>
        <v>170.37</v>
      </c>
      <c r="C2221" s="1">
        <f ca="1">IFERROR(__xludf.DUMMYFUNCTION("""COMPUTED_VALUE"""),171.38)</f>
        <v>171.38</v>
      </c>
      <c r="D2221" s="1">
        <f ca="1">IFERROR(__xludf.DUMMYFUNCTION("""COMPUTED_VALUE"""),165.67)</f>
        <v>165.67</v>
      </c>
      <c r="E2221" s="1">
        <f ca="1">IFERROR(__xludf.DUMMYFUNCTION("""COMPUTED_VALUE"""),166.89)</f>
        <v>166.89</v>
      </c>
      <c r="F2221" s="1">
        <f ca="1">IFERROR(__xludf.DUMMYFUNCTION("""COMPUTED_VALUE"""),70625258)</f>
        <v>70625258</v>
      </c>
    </row>
    <row r="2222" spans="1:6" x14ac:dyDescent="0.35">
      <c r="A2222" s="2">
        <f ca="1">IFERROR(__xludf.DUMMYFUNCTION("""COMPUTED_VALUE"""),45226.6666666666)</f>
        <v>45226.666666666599</v>
      </c>
      <c r="B2222" s="1">
        <f ca="1">IFERROR(__xludf.DUMMYFUNCTION("""COMPUTED_VALUE"""),166.91)</f>
        <v>166.91</v>
      </c>
      <c r="C2222" s="1">
        <f ca="1">IFERROR(__xludf.DUMMYFUNCTION("""COMPUTED_VALUE"""),168.96)</f>
        <v>168.96</v>
      </c>
      <c r="D2222" s="1">
        <f ca="1">IFERROR(__xludf.DUMMYFUNCTION("""COMPUTED_VALUE"""),166.83)</f>
        <v>166.83</v>
      </c>
      <c r="E2222" s="1">
        <f ca="1">IFERROR(__xludf.DUMMYFUNCTION("""COMPUTED_VALUE"""),168.22)</f>
        <v>168.22</v>
      </c>
      <c r="F2222" s="1">
        <f ca="1">IFERROR(__xludf.DUMMYFUNCTION("""COMPUTED_VALUE"""),58499129)</f>
        <v>58499129</v>
      </c>
    </row>
    <row r="2223" spans="1:6" x14ac:dyDescent="0.35">
      <c r="A2223" s="2">
        <f ca="1">IFERROR(__xludf.DUMMYFUNCTION("""COMPUTED_VALUE"""),45229.6666666666)</f>
        <v>45229.666666666599</v>
      </c>
      <c r="B2223" s="1">
        <f ca="1">IFERROR(__xludf.DUMMYFUNCTION("""COMPUTED_VALUE"""),169.02)</f>
        <v>169.02</v>
      </c>
      <c r="C2223" s="1">
        <f ca="1">IFERROR(__xludf.DUMMYFUNCTION("""COMPUTED_VALUE"""),171.17)</f>
        <v>171.17</v>
      </c>
      <c r="D2223" s="1">
        <f ca="1">IFERROR(__xludf.DUMMYFUNCTION("""COMPUTED_VALUE"""),168.87)</f>
        <v>168.87</v>
      </c>
      <c r="E2223" s="1">
        <f ca="1">IFERROR(__xludf.DUMMYFUNCTION("""COMPUTED_VALUE"""),170.29)</f>
        <v>170.29</v>
      </c>
      <c r="F2223" s="1">
        <f ca="1">IFERROR(__xludf.DUMMYFUNCTION("""COMPUTED_VALUE"""),51130955)</f>
        <v>51130955</v>
      </c>
    </row>
    <row r="2224" spans="1:6" x14ac:dyDescent="0.35">
      <c r="A2224" s="2">
        <f ca="1">IFERROR(__xludf.DUMMYFUNCTION("""COMPUTED_VALUE"""),45230.6666666666)</f>
        <v>45230.666666666599</v>
      </c>
      <c r="B2224" s="1">
        <f ca="1">IFERROR(__xludf.DUMMYFUNCTION("""COMPUTED_VALUE"""),169.35)</f>
        <v>169.35</v>
      </c>
      <c r="C2224" s="1">
        <f ca="1">IFERROR(__xludf.DUMMYFUNCTION("""COMPUTED_VALUE"""),170.9)</f>
        <v>170.9</v>
      </c>
      <c r="D2224" s="1">
        <f ca="1">IFERROR(__xludf.DUMMYFUNCTION("""COMPUTED_VALUE"""),167.9)</f>
        <v>167.9</v>
      </c>
      <c r="E2224" s="1">
        <f ca="1">IFERROR(__xludf.DUMMYFUNCTION("""COMPUTED_VALUE"""),170.77)</f>
        <v>170.77</v>
      </c>
      <c r="F2224" s="1">
        <f ca="1">IFERROR(__xludf.DUMMYFUNCTION("""COMPUTED_VALUE"""),44846017)</f>
        <v>44846017</v>
      </c>
    </row>
    <row r="2225" spans="1:6" x14ac:dyDescent="0.35">
      <c r="A2225" s="2">
        <f ca="1">IFERROR(__xludf.DUMMYFUNCTION("""COMPUTED_VALUE"""),45231.6666666666)</f>
        <v>45231.666666666599</v>
      </c>
      <c r="B2225" s="1">
        <f ca="1">IFERROR(__xludf.DUMMYFUNCTION("""COMPUTED_VALUE"""),171)</f>
        <v>171</v>
      </c>
      <c r="C2225" s="1">
        <f ca="1">IFERROR(__xludf.DUMMYFUNCTION("""COMPUTED_VALUE"""),174.23)</f>
        <v>174.23</v>
      </c>
      <c r="D2225" s="1">
        <f ca="1">IFERROR(__xludf.DUMMYFUNCTION("""COMPUTED_VALUE"""),170.12)</f>
        <v>170.12</v>
      </c>
      <c r="E2225" s="1">
        <f ca="1">IFERROR(__xludf.DUMMYFUNCTION("""COMPUTED_VALUE"""),173.97)</f>
        <v>173.97</v>
      </c>
      <c r="F2225" s="1">
        <f ca="1">IFERROR(__xludf.DUMMYFUNCTION("""COMPUTED_VALUE"""),56934906)</f>
        <v>56934906</v>
      </c>
    </row>
    <row r="2226" spans="1:6" x14ac:dyDescent="0.35">
      <c r="A2226" s="2">
        <f ca="1">IFERROR(__xludf.DUMMYFUNCTION("""COMPUTED_VALUE"""),45232.6666666666)</f>
        <v>45232.666666666599</v>
      </c>
      <c r="B2226" s="1">
        <f ca="1">IFERROR(__xludf.DUMMYFUNCTION("""COMPUTED_VALUE"""),175.52)</f>
        <v>175.52</v>
      </c>
      <c r="C2226" s="1">
        <f ca="1">IFERROR(__xludf.DUMMYFUNCTION("""COMPUTED_VALUE"""),177.78)</f>
        <v>177.78</v>
      </c>
      <c r="D2226" s="1">
        <f ca="1">IFERROR(__xludf.DUMMYFUNCTION("""COMPUTED_VALUE"""),175.46)</f>
        <v>175.46</v>
      </c>
      <c r="E2226" s="1">
        <f ca="1">IFERROR(__xludf.DUMMYFUNCTION("""COMPUTED_VALUE"""),177.57)</f>
        <v>177.57</v>
      </c>
      <c r="F2226" s="1">
        <f ca="1">IFERROR(__xludf.DUMMYFUNCTION("""COMPUTED_VALUE"""),77334752)</f>
        <v>77334752</v>
      </c>
    </row>
    <row r="2227" spans="1:6" x14ac:dyDescent="0.35">
      <c r="A2227" s="2">
        <f ca="1">IFERROR(__xludf.DUMMYFUNCTION("""COMPUTED_VALUE"""),45233.6666666666)</f>
        <v>45233.666666666599</v>
      </c>
      <c r="B2227" s="1">
        <f ca="1">IFERROR(__xludf.DUMMYFUNCTION("""COMPUTED_VALUE"""),174.24)</f>
        <v>174.24</v>
      </c>
      <c r="C2227" s="1">
        <f ca="1">IFERROR(__xludf.DUMMYFUNCTION("""COMPUTED_VALUE"""),176.82)</f>
        <v>176.82</v>
      </c>
      <c r="D2227" s="1">
        <f ca="1">IFERROR(__xludf.DUMMYFUNCTION("""COMPUTED_VALUE"""),173.35)</f>
        <v>173.35</v>
      </c>
      <c r="E2227" s="1">
        <f ca="1">IFERROR(__xludf.DUMMYFUNCTION("""COMPUTED_VALUE"""),176.65)</f>
        <v>176.65</v>
      </c>
      <c r="F2227" s="1">
        <f ca="1">IFERROR(__xludf.DUMMYFUNCTION("""COMPUTED_VALUE"""),79829246)</f>
        <v>79829246</v>
      </c>
    </row>
    <row r="2228" spans="1:6" x14ac:dyDescent="0.35">
      <c r="A2228" s="2">
        <f ca="1">IFERROR(__xludf.DUMMYFUNCTION("""COMPUTED_VALUE"""),45236.6666666666)</f>
        <v>45236.666666666599</v>
      </c>
      <c r="B2228" s="1">
        <f ca="1">IFERROR(__xludf.DUMMYFUNCTION("""COMPUTED_VALUE"""),176.38)</f>
        <v>176.38</v>
      </c>
      <c r="C2228" s="1">
        <f ca="1">IFERROR(__xludf.DUMMYFUNCTION("""COMPUTED_VALUE"""),179.43)</f>
        <v>179.43</v>
      </c>
      <c r="D2228" s="1">
        <f ca="1">IFERROR(__xludf.DUMMYFUNCTION("""COMPUTED_VALUE"""),176.21)</f>
        <v>176.21</v>
      </c>
      <c r="E2228" s="1">
        <f ca="1">IFERROR(__xludf.DUMMYFUNCTION("""COMPUTED_VALUE"""),179.23)</f>
        <v>179.23</v>
      </c>
      <c r="F2228" s="1">
        <f ca="1">IFERROR(__xludf.DUMMYFUNCTION("""COMPUTED_VALUE"""),63841310)</f>
        <v>63841310</v>
      </c>
    </row>
    <row r="2229" spans="1:6" x14ac:dyDescent="0.35">
      <c r="A2229" s="2">
        <f ca="1">IFERROR(__xludf.DUMMYFUNCTION("""COMPUTED_VALUE"""),45237.6666666666)</f>
        <v>45237.666666666599</v>
      </c>
      <c r="B2229" s="1">
        <f ca="1">IFERROR(__xludf.DUMMYFUNCTION("""COMPUTED_VALUE"""),179.18)</f>
        <v>179.18</v>
      </c>
      <c r="C2229" s="1">
        <f ca="1">IFERROR(__xludf.DUMMYFUNCTION("""COMPUTED_VALUE"""),182.44)</f>
        <v>182.44</v>
      </c>
      <c r="D2229" s="1">
        <f ca="1">IFERROR(__xludf.DUMMYFUNCTION("""COMPUTED_VALUE"""),178.97)</f>
        <v>178.97</v>
      </c>
      <c r="E2229" s="1">
        <f ca="1">IFERROR(__xludf.DUMMYFUNCTION("""COMPUTED_VALUE"""),181.82)</f>
        <v>181.82</v>
      </c>
      <c r="F2229" s="1">
        <f ca="1">IFERROR(__xludf.DUMMYFUNCTION("""COMPUTED_VALUE"""),70529966)</f>
        <v>70529966</v>
      </c>
    </row>
    <row r="2230" spans="1:6" x14ac:dyDescent="0.35">
      <c r="A2230" s="2">
        <f ca="1">IFERROR(__xludf.DUMMYFUNCTION("""COMPUTED_VALUE"""),45238.6666666666)</f>
        <v>45238.666666666599</v>
      </c>
      <c r="B2230" s="1">
        <f ca="1">IFERROR(__xludf.DUMMYFUNCTION("""COMPUTED_VALUE"""),182.35)</f>
        <v>182.35</v>
      </c>
      <c r="C2230" s="1">
        <f ca="1">IFERROR(__xludf.DUMMYFUNCTION("""COMPUTED_VALUE"""),183.45)</f>
        <v>183.45</v>
      </c>
      <c r="D2230" s="1">
        <f ca="1">IFERROR(__xludf.DUMMYFUNCTION("""COMPUTED_VALUE"""),181.59)</f>
        <v>181.59</v>
      </c>
      <c r="E2230" s="1">
        <f ca="1">IFERROR(__xludf.DUMMYFUNCTION("""COMPUTED_VALUE"""),182.89)</f>
        <v>182.89</v>
      </c>
      <c r="F2230" s="1">
        <f ca="1">IFERROR(__xludf.DUMMYFUNCTION("""COMPUTED_VALUE"""),49340282)</f>
        <v>49340282</v>
      </c>
    </row>
    <row r="2231" spans="1:6" x14ac:dyDescent="0.35">
      <c r="A2231" s="2">
        <f ca="1">IFERROR(__xludf.DUMMYFUNCTION("""COMPUTED_VALUE"""),45239.6666666666)</f>
        <v>45239.666666666599</v>
      </c>
      <c r="B2231" s="1">
        <f ca="1">IFERROR(__xludf.DUMMYFUNCTION("""COMPUTED_VALUE"""),182.96)</f>
        <v>182.96</v>
      </c>
      <c r="C2231" s="1">
        <f ca="1">IFERROR(__xludf.DUMMYFUNCTION("""COMPUTED_VALUE"""),184.12)</f>
        <v>184.12</v>
      </c>
      <c r="D2231" s="1">
        <f ca="1">IFERROR(__xludf.DUMMYFUNCTION("""COMPUTED_VALUE"""),181.81)</f>
        <v>181.81</v>
      </c>
      <c r="E2231" s="1">
        <f ca="1">IFERROR(__xludf.DUMMYFUNCTION("""COMPUTED_VALUE"""),182.41)</f>
        <v>182.41</v>
      </c>
      <c r="F2231" s="1">
        <f ca="1">IFERROR(__xludf.DUMMYFUNCTION("""COMPUTED_VALUE"""),53763540)</f>
        <v>53763540</v>
      </c>
    </row>
    <row r="2232" spans="1:6" x14ac:dyDescent="0.35">
      <c r="A2232" s="2">
        <f ca="1">IFERROR(__xludf.DUMMYFUNCTION("""COMPUTED_VALUE"""),45240.6666666666)</f>
        <v>45240.666666666599</v>
      </c>
      <c r="B2232" s="1">
        <f ca="1">IFERROR(__xludf.DUMMYFUNCTION("""COMPUTED_VALUE"""),183.97)</f>
        <v>183.97</v>
      </c>
      <c r="C2232" s="1">
        <f ca="1">IFERROR(__xludf.DUMMYFUNCTION("""COMPUTED_VALUE"""),186.57)</f>
        <v>186.57</v>
      </c>
      <c r="D2232" s="1">
        <f ca="1">IFERROR(__xludf.DUMMYFUNCTION("""COMPUTED_VALUE"""),183.53)</f>
        <v>183.53</v>
      </c>
      <c r="E2232" s="1">
        <f ca="1">IFERROR(__xludf.DUMMYFUNCTION("""COMPUTED_VALUE"""),186.4)</f>
        <v>186.4</v>
      </c>
      <c r="F2232" s="1">
        <f ca="1">IFERROR(__xludf.DUMMYFUNCTION("""COMPUTED_VALUE"""),66177922)</f>
        <v>66177922</v>
      </c>
    </row>
    <row r="2233" spans="1:6" x14ac:dyDescent="0.35">
      <c r="A2233" s="2">
        <f ca="1">IFERROR(__xludf.DUMMYFUNCTION("""COMPUTED_VALUE"""),45243.6666666666)</f>
        <v>45243.666666666599</v>
      </c>
      <c r="B2233" s="1">
        <f ca="1">IFERROR(__xludf.DUMMYFUNCTION("""COMPUTED_VALUE"""),185.82)</f>
        <v>185.82</v>
      </c>
      <c r="C2233" s="1">
        <f ca="1">IFERROR(__xludf.DUMMYFUNCTION("""COMPUTED_VALUE"""),186.03)</f>
        <v>186.03</v>
      </c>
      <c r="D2233" s="1">
        <f ca="1">IFERROR(__xludf.DUMMYFUNCTION("""COMPUTED_VALUE"""),184.21)</f>
        <v>184.21</v>
      </c>
      <c r="E2233" s="1">
        <f ca="1">IFERROR(__xludf.DUMMYFUNCTION("""COMPUTED_VALUE"""),184.8)</f>
        <v>184.8</v>
      </c>
      <c r="F2233" s="1">
        <f ca="1">IFERROR(__xludf.DUMMYFUNCTION("""COMPUTED_VALUE"""),43627519)</f>
        <v>43627519</v>
      </c>
    </row>
    <row r="2234" spans="1:6" x14ac:dyDescent="0.35">
      <c r="A2234" s="2">
        <f ca="1">IFERROR(__xludf.DUMMYFUNCTION("""COMPUTED_VALUE"""),45244.6666666666)</f>
        <v>45244.666666666599</v>
      </c>
      <c r="B2234" s="1">
        <f ca="1">IFERROR(__xludf.DUMMYFUNCTION("""COMPUTED_VALUE"""),187.7)</f>
        <v>187.7</v>
      </c>
      <c r="C2234" s="1">
        <f ca="1">IFERROR(__xludf.DUMMYFUNCTION("""COMPUTED_VALUE"""),188.11)</f>
        <v>188.11</v>
      </c>
      <c r="D2234" s="1">
        <f ca="1">IFERROR(__xludf.DUMMYFUNCTION("""COMPUTED_VALUE"""),186.3)</f>
        <v>186.3</v>
      </c>
      <c r="E2234" s="1">
        <f ca="1">IFERROR(__xludf.DUMMYFUNCTION("""COMPUTED_VALUE"""),187.44)</f>
        <v>187.44</v>
      </c>
      <c r="F2234" s="1">
        <f ca="1">IFERROR(__xludf.DUMMYFUNCTION("""COMPUTED_VALUE"""),60108378)</f>
        <v>60108378</v>
      </c>
    </row>
    <row r="2235" spans="1:6" x14ac:dyDescent="0.35">
      <c r="A2235" s="2">
        <f ca="1">IFERROR(__xludf.DUMMYFUNCTION("""COMPUTED_VALUE"""),45245.6666666666)</f>
        <v>45245.666666666599</v>
      </c>
      <c r="B2235" s="1">
        <f ca="1">IFERROR(__xludf.DUMMYFUNCTION("""COMPUTED_VALUE"""),187.85)</f>
        <v>187.85</v>
      </c>
      <c r="C2235" s="1">
        <f ca="1">IFERROR(__xludf.DUMMYFUNCTION("""COMPUTED_VALUE"""),189.5)</f>
        <v>189.5</v>
      </c>
      <c r="D2235" s="1">
        <f ca="1">IFERROR(__xludf.DUMMYFUNCTION("""COMPUTED_VALUE"""),187.78)</f>
        <v>187.78</v>
      </c>
      <c r="E2235" s="1">
        <f ca="1">IFERROR(__xludf.DUMMYFUNCTION("""COMPUTED_VALUE"""),188.01)</f>
        <v>188.01</v>
      </c>
      <c r="F2235" s="1">
        <f ca="1">IFERROR(__xludf.DUMMYFUNCTION("""COMPUTED_VALUE"""),53790499)</f>
        <v>53790499</v>
      </c>
    </row>
    <row r="2236" spans="1:6" x14ac:dyDescent="0.35">
      <c r="A2236" s="2">
        <f ca="1">IFERROR(__xludf.DUMMYFUNCTION("""COMPUTED_VALUE"""),45246.6666666666)</f>
        <v>45246.666666666599</v>
      </c>
      <c r="B2236" s="1">
        <f ca="1">IFERROR(__xludf.DUMMYFUNCTION("""COMPUTED_VALUE"""),189.57)</f>
        <v>189.57</v>
      </c>
      <c r="C2236" s="1">
        <f ca="1">IFERROR(__xludf.DUMMYFUNCTION("""COMPUTED_VALUE"""),190.96)</f>
        <v>190.96</v>
      </c>
      <c r="D2236" s="1">
        <f ca="1">IFERROR(__xludf.DUMMYFUNCTION("""COMPUTED_VALUE"""),188.65)</f>
        <v>188.65</v>
      </c>
      <c r="E2236" s="1">
        <f ca="1">IFERROR(__xludf.DUMMYFUNCTION("""COMPUTED_VALUE"""),189.71)</f>
        <v>189.71</v>
      </c>
      <c r="F2236" s="1">
        <f ca="1">IFERROR(__xludf.DUMMYFUNCTION("""COMPUTED_VALUE"""),54412915)</f>
        <v>54412915</v>
      </c>
    </row>
    <row r="2237" spans="1:6" x14ac:dyDescent="0.35">
      <c r="A2237" s="2">
        <f ca="1">IFERROR(__xludf.DUMMYFUNCTION("""COMPUTED_VALUE"""),45247.6666666666)</f>
        <v>45247.666666666599</v>
      </c>
      <c r="B2237" s="1">
        <f ca="1">IFERROR(__xludf.DUMMYFUNCTION("""COMPUTED_VALUE"""),190.25)</f>
        <v>190.25</v>
      </c>
      <c r="C2237" s="1">
        <f ca="1">IFERROR(__xludf.DUMMYFUNCTION("""COMPUTED_VALUE"""),190.38)</f>
        <v>190.38</v>
      </c>
      <c r="D2237" s="1">
        <f ca="1">IFERROR(__xludf.DUMMYFUNCTION("""COMPUTED_VALUE"""),188.57)</f>
        <v>188.57</v>
      </c>
      <c r="E2237" s="1">
        <f ca="1">IFERROR(__xludf.DUMMYFUNCTION("""COMPUTED_VALUE"""),189.69)</f>
        <v>189.69</v>
      </c>
      <c r="F2237" s="1">
        <f ca="1">IFERROR(__xludf.DUMMYFUNCTION("""COMPUTED_VALUE"""),50941404)</f>
        <v>50941404</v>
      </c>
    </row>
    <row r="2238" spans="1:6" x14ac:dyDescent="0.35">
      <c r="A2238" s="2">
        <f ca="1">IFERROR(__xludf.DUMMYFUNCTION("""COMPUTED_VALUE"""),45250.6666666666)</f>
        <v>45250.666666666599</v>
      </c>
      <c r="B2238" s="1">
        <f ca="1">IFERROR(__xludf.DUMMYFUNCTION("""COMPUTED_VALUE"""),189.89)</f>
        <v>189.89</v>
      </c>
      <c r="C2238" s="1">
        <f ca="1">IFERROR(__xludf.DUMMYFUNCTION("""COMPUTED_VALUE"""),191.91)</f>
        <v>191.91</v>
      </c>
      <c r="D2238" s="1">
        <f ca="1">IFERROR(__xludf.DUMMYFUNCTION("""COMPUTED_VALUE"""),189.88)</f>
        <v>189.88</v>
      </c>
      <c r="E2238" s="1">
        <f ca="1">IFERROR(__xludf.DUMMYFUNCTION("""COMPUTED_VALUE"""),191.45)</f>
        <v>191.45</v>
      </c>
      <c r="F2238" s="1">
        <f ca="1">IFERROR(__xludf.DUMMYFUNCTION("""COMPUTED_VALUE"""),46538614)</f>
        <v>46538614</v>
      </c>
    </row>
    <row r="2239" spans="1:6" x14ac:dyDescent="0.35">
      <c r="A2239" s="2">
        <f ca="1">IFERROR(__xludf.DUMMYFUNCTION("""COMPUTED_VALUE"""),45251.6666666666)</f>
        <v>45251.666666666599</v>
      </c>
      <c r="B2239" s="1">
        <f ca="1">IFERROR(__xludf.DUMMYFUNCTION("""COMPUTED_VALUE"""),191.41)</f>
        <v>191.41</v>
      </c>
      <c r="C2239" s="1">
        <f ca="1">IFERROR(__xludf.DUMMYFUNCTION("""COMPUTED_VALUE"""),191.52)</f>
        <v>191.52</v>
      </c>
      <c r="D2239" s="1">
        <f ca="1">IFERROR(__xludf.DUMMYFUNCTION("""COMPUTED_VALUE"""),189.74)</f>
        <v>189.74</v>
      </c>
      <c r="E2239" s="1">
        <f ca="1">IFERROR(__xludf.DUMMYFUNCTION("""COMPUTED_VALUE"""),190.64)</f>
        <v>190.64</v>
      </c>
      <c r="F2239" s="1">
        <f ca="1">IFERROR(__xludf.DUMMYFUNCTION("""COMPUTED_VALUE"""),38134485)</f>
        <v>38134485</v>
      </c>
    </row>
    <row r="2240" spans="1:6" x14ac:dyDescent="0.35">
      <c r="A2240" s="2">
        <f ca="1">IFERROR(__xludf.DUMMYFUNCTION("""COMPUTED_VALUE"""),45252.6666666666)</f>
        <v>45252.666666666599</v>
      </c>
      <c r="B2240" s="1">
        <f ca="1">IFERROR(__xludf.DUMMYFUNCTION("""COMPUTED_VALUE"""),191.49)</f>
        <v>191.49</v>
      </c>
      <c r="C2240" s="1">
        <f ca="1">IFERROR(__xludf.DUMMYFUNCTION("""COMPUTED_VALUE"""),192.93)</f>
        <v>192.93</v>
      </c>
      <c r="D2240" s="1">
        <f ca="1">IFERROR(__xludf.DUMMYFUNCTION("""COMPUTED_VALUE"""),190.83)</f>
        <v>190.83</v>
      </c>
      <c r="E2240" s="1">
        <f ca="1">IFERROR(__xludf.DUMMYFUNCTION("""COMPUTED_VALUE"""),191.31)</f>
        <v>191.31</v>
      </c>
      <c r="F2240" s="1">
        <f ca="1">IFERROR(__xludf.DUMMYFUNCTION("""COMPUTED_VALUE"""),39630011)</f>
        <v>39630011</v>
      </c>
    </row>
    <row r="2241" spans="1:6" x14ac:dyDescent="0.35">
      <c r="A2241" s="2">
        <f ca="1">IFERROR(__xludf.DUMMYFUNCTION("""COMPUTED_VALUE"""),45254.5451388888)</f>
        <v>45254.545138888803</v>
      </c>
      <c r="B2241" s="1">
        <f ca="1">IFERROR(__xludf.DUMMYFUNCTION("""COMPUTED_VALUE"""),190.87)</f>
        <v>190.87</v>
      </c>
      <c r="C2241" s="1">
        <f ca="1">IFERROR(__xludf.DUMMYFUNCTION("""COMPUTED_VALUE"""),190.9)</f>
        <v>190.9</v>
      </c>
      <c r="D2241" s="1">
        <f ca="1">IFERROR(__xludf.DUMMYFUNCTION("""COMPUTED_VALUE"""),189.25)</f>
        <v>189.25</v>
      </c>
      <c r="E2241" s="1">
        <f ca="1">IFERROR(__xludf.DUMMYFUNCTION("""COMPUTED_VALUE"""),189.97)</f>
        <v>189.97</v>
      </c>
      <c r="F2241" s="1">
        <f ca="1">IFERROR(__xludf.DUMMYFUNCTION("""COMPUTED_VALUE"""),24048344)</f>
        <v>24048344</v>
      </c>
    </row>
    <row r="2242" spans="1:6" x14ac:dyDescent="0.35">
      <c r="A2242" s="2">
        <f ca="1">IFERROR(__xludf.DUMMYFUNCTION("""COMPUTED_VALUE"""),45257.6666666666)</f>
        <v>45257.666666666599</v>
      </c>
      <c r="B2242" s="1">
        <f ca="1">IFERROR(__xludf.DUMMYFUNCTION("""COMPUTED_VALUE"""),189.92)</f>
        <v>189.92</v>
      </c>
      <c r="C2242" s="1">
        <f ca="1">IFERROR(__xludf.DUMMYFUNCTION("""COMPUTED_VALUE"""),190.67)</f>
        <v>190.67</v>
      </c>
      <c r="D2242" s="1">
        <f ca="1">IFERROR(__xludf.DUMMYFUNCTION("""COMPUTED_VALUE"""),188.9)</f>
        <v>188.9</v>
      </c>
      <c r="E2242" s="1">
        <f ca="1">IFERROR(__xludf.DUMMYFUNCTION("""COMPUTED_VALUE"""),189.79)</f>
        <v>189.79</v>
      </c>
      <c r="F2242" s="1">
        <f ca="1">IFERROR(__xludf.DUMMYFUNCTION("""COMPUTED_VALUE"""),40552609)</f>
        <v>40552609</v>
      </c>
    </row>
    <row r="2243" spans="1:6" x14ac:dyDescent="0.35">
      <c r="A2243" s="2">
        <f ca="1">IFERROR(__xludf.DUMMYFUNCTION("""COMPUTED_VALUE"""),45258.6666666666)</f>
        <v>45258.666666666599</v>
      </c>
      <c r="B2243" s="1">
        <f ca="1">IFERROR(__xludf.DUMMYFUNCTION("""COMPUTED_VALUE"""),189.78)</f>
        <v>189.78</v>
      </c>
      <c r="C2243" s="1">
        <f ca="1">IFERROR(__xludf.DUMMYFUNCTION("""COMPUTED_VALUE"""),191.08)</f>
        <v>191.08</v>
      </c>
      <c r="D2243" s="1">
        <f ca="1">IFERROR(__xludf.DUMMYFUNCTION("""COMPUTED_VALUE"""),189.4)</f>
        <v>189.4</v>
      </c>
      <c r="E2243" s="1">
        <f ca="1">IFERROR(__xludf.DUMMYFUNCTION("""COMPUTED_VALUE"""),190.4)</f>
        <v>190.4</v>
      </c>
      <c r="F2243" s="1">
        <f ca="1">IFERROR(__xludf.DUMMYFUNCTION("""COMPUTED_VALUE"""),38415419)</f>
        <v>38415419</v>
      </c>
    </row>
    <row r="2244" spans="1:6" x14ac:dyDescent="0.35">
      <c r="A2244" s="2">
        <f ca="1">IFERROR(__xludf.DUMMYFUNCTION("""COMPUTED_VALUE"""),45259.6666666666)</f>
        <v>45259.666666666599</v>
      </c>
      <c r="B2244" s="1">
        <f ca="1">IFERROR(__xludf.DUMMYFUNCTION("""COMPUTED_VALUE"""),190.9)</f>
        <v>190.9</v>
      </c>
      <c r="C2244" s="1">
        <f ca="1">IFERROR(__xludf.DUMMYFUNCTION("""COMPUTED_VALUE"""),192.09)</f>
        <v>192.09</v>
      </c>
      <c r="D2244" s="1">
        <f ca="1">IFERROR(__xludf.DUMMYFUNCTION("""COMPUTED_VALUE"""),188.97)</f>
        <v>188.97</v>
      </c>
      <c r="E2244" s="1">
        <f ca="1">IFERROR(__xludf.DUMMYFUNCTION("""COMPUTED_VALUE"""),189.37)</f>
        <v>189.37</v>
      </c>
      <c r="F2244" s="1">
        <f ca="1">IFERROR(__xludf.DUMMYFUNCTION("""COMPUTED_VALUE"""),43014224)</f>
        <v>43014224</v>
      </c>
    </row>
    <row r="2245" spans="1:6" x14ac:dyDescent="0.35">
      <c r="A2245" s="2">
        <f ca="1">IFERROR(__xludf.DUMMYFUNCTION("""COMPUTED_VALUE"""),45260.6666666666)</f>
        <v>45260.666666666599</v>
      </c>
      <c r="B2245" s="1">
        <f ca="1">IFERROR(__xludf.DUMMYFUNCTION("""COMPUTED_VALUE"""),189.84)</f>
        <v>189.84</v>
      </c>
      <c r="C2245" s="1">
        <f ca="1">IFERROR(__xludf.DUMMYFUNCTION("""COMPUTED_VALUE"""),190.32)</f>
        <v>190.32</v>
      </c>
      <c r="D2245" s="1">
        <f ca="1">IFERROR(__xludf.DUMMYFUNCTION("""COMPUTED_VALUE"""),188.19)</f>
        <v>188.19</v>
      </c>
      <c r="E2245" s="1">
        <f ca="1">IFERROR(__xludf.DUMMYFUNCTION("""COMPUTED_VALUE"""),189.95)</f>
        <v>189.95</v>
      </c>
      <c r="F2245" s="1">
        <f ca="1">IFERROR(__xludf.DUMMYFUNCTION("""COMPUTED_VALUE"""),48794366)</f>
        <v>48794366</v>
      </c>
    </row>
    <row r="2246" spans="1:6" x14ac:dyDescent="0.35">
      <c r="A2246" s="2">
        <f ca="1">IFERROR(__xludf.DUMMYFUNCTION("""COMPUTED_VALUE"""),45261.6666666666)</f>
        <v>45261.666666666599</v>
      </c>
      <c r="B2246" s="1">
        <f ca="1">IFERROR(__xludf.DUMMYFUNCTION("""COMPUTED_VALUE"""),190.33)</f>
        <v>190.33</v>
      </c>
      <c r="C2246" s="1">
        <f ca="1">IFERROR(__xludf.DUMMYFUNCTION("""COMPUTED_VALUE"""),191.56)</f>
        <v>191.56</v>
      </c>
      <c r="D2246" s="1">
        <f ca="1">IFERROR(__xludf.DUMMYFUNCTION("""COMPUTED_VALUE"""),189.23)</f>
        <v>189.23</v>
      </c>
      <c r="E2246" s="1">
        <f ca="1">IFERROR(__xludf.DUMMYFUNCTION("""COMPUTED_VALUE"""),191.24)</f>
        <v>191.24</v>
      </c>
      <c r="F2246" s="1">
        <f ca="1">IFERROR(__xludf.DUMMYFUNCTION("""COMPUTED_VALUE"""),45704823)</f>
        <v>45704823</v>
      </c>
    </row>
    <row r="2247" spans="1:6" x14ac:dyDescent="0.35">
      <c r="A2247" s="2">
        <f ca="1">IFERROR(__xludf.DUMMYFUNCTION("""COMPUTED_VALUE"""),45264.6666666666)</f>
        <v>45264.666666666599</v>
      </c>
      <c r="B2247" s="1">
        <f ca="1">IFERROR(__xludf.DUMMYFUNCTION("""COMPUTED_VALUE"""),189.98)</f>
        <v>189.98</v>
      </c>
      <c r="C2247" s="1">
        <f ca="1">IFERROR(__xludf.DUMMYFUNCTION("""COMPUTED_VALUE"""),190.05)</f>
        <v>190.05</v>
      </c>
      <c r="D2247" s="1">
        <f ca="1">IFERROR(__xludf.DUMMYFUNCTION("""COMPUTED_VALUE"""),187.45)</f>
        <v>187.45</v>
      </c>
      <c r="E2247" s="1">
        <f ca="1">IFERROR(__xludf.DUMMYFUNCTION("""COMPUTED_VALUE"""),189.43)</f>
        <v>189.43</v>
      </c>
      <c r="F2247" s="1">
        <f ca="1">IFERROR(__xludf.DUMMYFUNCTION("""COMPUTED_VALUE"""),43389519)</f>
        <v>43389519</v>
      </c>
    </row>
    <row r="2248" spans="1:6" x14ac:dyDescent="0.35">
      <c r="A2248" s="2">
        <f ca="1">IFERROR(__xludf.DUMMYFUNCTION("""COMPUTED_VALUE"""),45265.6666666666)</f>
        <v>45265.666666666599</v>
      </c>
      <c r="B2248" s="1">
        <f ca="1">IFERROR(__xludf.DUMMYFUNCTION("""COMPUTED_VALUE"""),190.21)</f>
        <v>190.21</v>
      </c>
      <c r="C2248" s="1">
        <f ca="1">IFERROR(__xludf.DUMMYFUNCTION("""COMPUTED_VALUE"""),194.4)</f>
        <v>194.4</v>
      </c>
      <c r="D2248" s="1">
        <f ca="1">IFERROR(__xludf.DUMMYFUNCTION("""COMPUTED_VALUE"""),190.18)</f>
        <v>190.18</v>
      </c>
      <c r="E2248" s="1">
        <f ca="1">IFERROR(__xludf.DUMMYFUNCTION("""COMPUTED_VALUE"""),193.42)</f>
        <v>193.42</v>
      </c>
      <c r="F2248" s="1">
        <f ca="1">IFERROR(__xludf.DUMMYFUNCTION("""COMPUTED_VALUE"""),66628398)</f>
        <v>66628398</v>
      </c>
    </row>
    <row r="2249" spans="1:6" x14ac:dyDescent="0.35">
      <c r="A2249" s="2">
        <f ca="1">IFERROR(__xludf.DUMMYFUNCTION("""COMPUTED_VALUE"""),45266.6666666666)</f>
        <v>45266.666666666599</v>
      </c>
      <c r="B2249" s="1">
        <f ca="1">IFERROR(__xludf.DUMMYFUNCTION("""COMPUTED_VALUE"""),194.45)</f>
        <v>194.45</v>
      </c>
      <c r="C2249" s="1">
        <f ca="1">IFERROR(__xludf.DUMMYFUNCTION("""COMPUTED_VALUE"""),194.76)</f>
        <v>194.76</v>
      </c>
      <c r="D2249" s="1">
        <f ca="1">IFERROR(__xludf.DUMMYFUNCTION("""COMPUTED_VALUE"""),192.11)</f>
        <v>192.11</v>
      </c>
      <c r="E2249" s="1">
        <f ca="1">IFERROR(__xludf.DUMMYFUNCTION("""COMPUTED_VALUE"""),192.32)</f>
        <v>192.32</v>
      </c>
      <c r="F2249" s="1">
        <f ca="1">IFERROR(__xludf.DUMMYFUNCTION("""COMPUTED_VALUE"""),41089737)</f>
        <v>41089737</v>
      </c>
    </row>
    <row r="2250" spans="1:6" x14ac:dyDescent="0.35">
      <c r="A2250" s="2">
        <f ca="1">IFERROR(__xludf.DUMMYFUNCTION("""COMPUTED_VALUE"""),45267.6666666666)</f>
        <v>45267.666666666599</v>
      </c>
      <c r="B2250" s="1">
        <f ca="1">IFERROR(__xludf.DUMMYFUNCTION("""COMPUTED_VALUE"""),193.63)</f>
        <v>193.63</v>
      </c>
      <c r="C2250" s="1">
        <f ca="1">IFERROR(__xludf.DUMMYFUNCTION("""COMPUTED_VALUE"""),195)</f>
        <v>195</v>
      </c>
      <c r="D2250" s="1">
        <f ca="1">IFERROR(__xludf.DUMMYFUNCTION("""COMPUTED_VALUE"""),193.59)</f>
        <v>193.59</v>
      </c>
      <c r="E2250" s="1">
        <f ca="1">IFERROR(__xludf.DUMMYFUNCTION("""COMPUTED_VALUE"""),194.27)</f>
        <v>194.27</v>
      </c>
      <c r="F2250" s="1">
        <f ca="1">IFERROR(__xludf.DUMMYFUNCTION("""COMPUTED_VALUE"""),47477655)</f>
        <v>47477655</v>
      </c>
    </row>
    <row r="2251" spans="1:6" x14ac:dyDescent="0.35">
      <c r="A2251" s="2">
        <f ca="1">IFERROR(__xludf.DUMMYFUNCTION("""COMPUTED_VALUE"""),45268.6666666666)</f>
        <v>45268.666666666599</v>
      </c>
      <c r="B2251" s="1">
        <f ca="1">IFERROR(__xludf.DUMMYFUNCTION("""COMPUTED_VALUE"""),194.2)</f>
        <v>194.2</v>
      </c>
      <c r="C2251" s="1">
        <f ca="1">IFERROR(__xludf.DUMMYFUNCTION("""COMPUTED_VALUE"""),195.99)</f>
        <v>195.99</v>
      </c>
      <c r="D2251" s="1">
        <f ca="1">IFERROR(__xludf.DUMMYFUNCTION("""COMPUTED_VALUE"""),193.67)</f>
        <v>193.67</v>
      </c>
      <c r="E2251" s="1">
        <f ca="1">IFERROR(__xludf.DUMMYFUNCTION("""COMPUTED_VALUE"""),195.71)</f>
        <v>195.71</v>
      </c>
      <c r="F2251" s="1">
        <f ca="1">IFERROR(__xludf.DUMMYFUNCTION("""COMPUTED_VALUE"""),53406358)</f>
        <v>53406358</v>
      </c>
    </row>
    <row r="2252" spans="1:6" x14ac:dyDescent="0.35">
      <c r="A2252" s="2">
        <f ca="1">IFERROR(__xludf.DUMMYFUNCTION("""COMPUTED_VALUE"""),45271.6666666666)</f>
        <v>45271.666666666599</v>
      </c>
      <c r="B2252" s="1">
        <f ca="1">IFERROR(__xludf.DUMMYFUNCTION("""COMPUTED_VALUE"""),193.11)</f>
        <v>193.11</v>
      </c>
      <c r="C2252" s="1">
        <f ca="1">IFERROR(__xludf.DUMMYFUNCTION("""COMPUTED_VALUE"""),193.49)</f>
        <v>193.49</v>
      </c>
      <c r="D2252" s="1">
        <f ca="1">IFERROR(__xludf.DUMMYFUNCTION("""COMPUTED_VALUE"""),191.42)</f>
        <v>191.42</v>
      </c>
      <c r="E2252" s="1">
        <f ca="1">IFERROR(__xludf.DUMMYFUNCTION("""COMPUTED_VALUE"""),193.18)</f>
        <v>193.18</v>
      </c>
      <c r="F2252" s="1">
        <f ca="1">IFERROR(__xludf.DUMMYFUNCTION("""COMPUTED_VALUE"""),60943699)</f>
        <v>60943699</v>
      </c>
    </row>
    <row r="2253" spans="1:6" x14ac:dyDescent="0.35">
      <c r="A2253" s="2">
        <f ca="1">IFERROR(__xludf.DUMMYFUNCTION("""COMPUTED_VALUE"""),45272.6666666666)</f>
        <v>45272.666666666599</v>
      </c>
      <c r="B2253" s="1">
        <f ca="1">IFERROR(__xludf.DUMMYFUNCTION("""COMPUTED_VALUE"""),193.08)</f>
        <v>193.08</v>
      </c>
      <c r="C2253" s="1">
        <f ca="1">IFERROR(__xludf.DUMMYFUNCTION("""COMPUTED_VALUE"""),194.72)</f>
        <v>194.72</v>
      </c>
      <c r="D2253" s="1">
        <f ca="1">IFERROR(__xludf.DUMMYFUNCTION("""COMPUTED_VALUE"""),191.72)</f>
        <v>191.72</v>
      </c>
      <c r="E2253" s="1">
        <f ca="1">IFERROR(__xludf.DUMMYFUNCTION("""COMPUTED_VALUE"""),194.71)</f>
        <v>194.71</v>
      </c>
      <c r="F2253" s="1">
        <f ca="1">IFERROR(__xludf.DUMMYFUNCTION("""COMPUTED_VALUE"""),52696900)</f>
        <v>52696900</v>
      </c>
    </row>
    <row r="2254" spans="1:6" x14ac:dyDescent="0.35">
      <c r="A2254" s="2">
        <f ca="1">IFERROR(__xludf.DUMMYFUNCTION("""COMPUTED_VALUE"""),45273.6666666666)</f>
        <v>45273.666666666599</v>
      </c>
      <c r="B2254" s="1">
        <f ca="1">IFERROR(__xludf.DUMMYFUNCTION("""COMPUTED_VALUE"""),195.09)</f>
        <v>195.09</v>
      </c>
      <c r="C2254" s="1">
        <f ca="1">IFERROR(__xludf.DUMMYFUNCTION("""COMPUTED_VALUE"""),198)</f>
        <v>198</v>
      </c>
      <c r="D2254" s="1">
        <f ca="1">IFERROR(__xludf.DUMMYFUNCTION("""COMPUTED_VALUE"""),194.85)</f>
        <v>194.85</v>
      </c>
      <c r="E2254" s="1">
        <f ca="1">IFERROR(__xludf.DUMMYFUNCTION("""COMPUTED_VALUE"""),197.96)</f>
        <v>197.96</v>
      </c>
      <c r="F2254" s="1">
        <f ca="1">IFERROR(__xludf.DUMMYFUNCTION("""COMPUTED_VALUE"""),70404183)</f>
        <v>70404183</v>
      </c>
    </row>
    <row r="2255" spans="1:6" x14ac:dyDescent="0.35">
      <c r="A2255" s="2">
        <f ca="1">IFERROR(__xludf.DUMMYFUNCTION("""COMPUTED_VALUE"""),45274.6666666666)</f>
        <v>45274.666666666599</v>
      </c>
      <c r="B2255" s="1">
        <f ca="1">IFERROR(__xludf.DUMMYFUNCTION("""COMPUTED_VALUE"""),198.02)</f>
        <v>198.02</v>
      </c>
      <c r="C2255" s="1">
        <f ca="1">IFERROR(__xludf.DUMMYFUNCTION("""COMPUTED_VALUE"""),199.62)</f>
        <v>199.62</v>
      </c>
      <c r="D2255" s="1">
        <f ca="1">IFERROR(__xludf.DUMMYFUNCTION("""COMPUTED_VALUE"""),196.16)</f>
        <v>196.16</v>
      </c>
      <c r="E2255" s="1">
        <f ca="1">IFERROR(__xludf.DUMMYFUNCTION("""COMPUTED_VALUE"""),198.11)</f>
        <v>198.11</v>
      </c>
      <c r="F2255" s="1">
        <f ca="1">IFERROR(__xludf.DUMMYFUNCTION("""COMPUTED_VALUE"""),66831572)</f>
        <v>66831572</v>
      </c>
    </row>
    <row r="2256" spans="1:6" x14ac:dyDescent="0.35">
      <c r="A2256" s="2">
        <f ca="1">IFERROR(__xludf.DUMMYFUNCTION("""COMPUTED_VALUE"""),45275.6666666666)</f>
        <v>45275.666666666599</v>
      </c>
      <c r="B2256" s="1">
        <f ca="1">IFERROR(__xludf.DUMMYFUNCTION("""COMPUTED_VALUE"""),197.53)</f>
        <v>197.53</v>
      </c>
      <c r="C2256" s="1">
        <f ca="1">IFERROR(__xludf.DUMMYFUNCTION("""COMPUTED_VALUE"""),198.4)</f>
        <v>198.4</v>
      </c>
      <c r="D2256" s="1">
        <f ca="1">IFERROR(__xludf.DUMMYFUNCTION("""COMPUTED_VALUE"""),197)</f>
        <v>197</v>
      </c>
      <c r="E2256" s="1">
        <f ca="1">IFERROR(__xludf.DUMMYFUNCTION("""COMPUTED_VALUE"""),197.57)</f>
        <v>197.57</v>
      </c>
      <c r="F2256" s="1">
        <f ca="1">IFERROR(__xludf.DUMMYFUNCTION("""COMPUTED_VALUE"""),128538401)</f>
        <v>128538401</v>
      </c>
    </row>
    <row r="2257" spans="1:6" x14ac:dyDescent="0.35">
      <c r="A2257" s="2">
        <f ca="1">IFERROR(__xludf.DUMMYFUNCTION("""COMPUTED_VALUE"""),45278.6666666666)</f>
        <v>45278.666666666599</v>
      </c>
      <c r="B2257" s="1">
        <f ca="1">IFERROR(__xludf.DUMMYFUNCTION("""COMPUTED_VALUE"""),196.09)</f>
        <v>196.09</v>
      </c>
      <c r="C2257" s="1">
        <f ca="1">IFERROR(__xludf.DUMMYFUNCTION("""COMPUTED_VALUE"""),196.63)</f>
        <v>196.63</v>
      </c>
      <c r="D2257" s="1">
        <f ca="1">IFERROR(__xludf.DUMMYFUNCTION("""COMPUTED_VALUE"""),194.39)</f>
        <v>194.39</v>
      </c>
      <c r="E2257" s="1">
        <f ca="1">IFERROR(__xludf.DUMMYFUNCTION("""COMPUTED_VALUE"""),195.89)</f>
        <v>195.89</v>
      </c>
      <c r="F2257" s="1">
        <f ca="1">IFERROR(__xludf.DUMMYFUNCTION("""COMPUTED_VALUE"""),55751861)</f>
        <v>55751861</v>
      </c>
    </row>
    <row r="2258" spans="1:6" x14ac:dyDescent="0.35">
      <c r="A2258" s="2">
        <f ca="1">IFERROR(__xludf.DUMMYFUNCTION("""COMPUTED_VALUE"""),45279.6666666666)</f>
        <v>45279.666666666599</v>
      </c>
      <c r="B2258" s="1">
        <f ca="1">IFERROR(__xludf.DUMMYFUNCTION("""COMPUTED_VALUE"""),196.16)</f>
        <v>196.16</v>
      </c>
      <c r="C2258" s="1">
        <f ca="1">IFERROR(__xludf.DUMMYFUNCTION("""COMPUTED_VALUE"""),196.95)</f>
        <v>196.95</v>
      </c>
      <c r="D2258" s="1">
        <f ca="1">IFERROR(__xludf.DUMMYFUNCTION("""COMPUTED_VALUE"""),195.89)</f>
        <v>195.89</v>
      </c>
      <c r="E2258" s="1">
        <f ca="1">IFERROR(__xludf.DUMMYFUNCTION("""COMPUTED_VALUE"""),196.94)</f>
        <v>196.94</v>
      </c>
      <c r="F2258" s="1">
        <f ca="1">IFERROR(__xludf.DUMMYFUNCTION("""COMPUTED_VALUE"""),40714051)</f>
        <v>40714051</v>
      </c>
    </row>
    <row r="2259" spans="1:6" x14ac:dyDescent="0.35">
      <c r="A2259" s="2">
        <f ca="1">IFERROR(__xludf.DUMMYFUNCTION("""COMPUTED_VALUE"""),45280.6666666666)</f>
        <v>45280.666666666599</v>
      </c>
      <c r="B2259" s="1">
        <f ca="1">IFERROR(__xludf.DUMMYFUNCTION("""COMPUTED_VALUE"""),196.9)</f>
        <v>196.9</v>
      </c>
      <c r="C2259" s="1">
        <f ca="1">IFERROR(__xludf.DUMMYFUNCTION("""COMPUTED_VALUE"""),197.68)</f>
        <v>197.68</v>
      </c>
      <c r="D2259" s="1">
        <f ca="1">IFERROR(__xludf.DUMMYFUNCTION("""COMPUTED_VALUE"""),194.83)</f>
        <v>194.83</v>
      </c>
      <c r="E2259" s="1">
        <f ca="1">IFERROR(__xludf.DUMMYFUNCTION("""COMPUTED_VALUE"""),194.83)</f>
        <v>194.83</v>
      </c>
      <c r="F2259" s="1">
        <f ca="1">IFERROR(__xludf.DUMMYFUNCTION("""COMPUTED_VALUE"""),52242815)</f>
        <v>52242815</v>
      </c>
    </row>
    <row r="2260" spans="1:6" x14ac:dyDescent="0.35">
      <c r="A2260" s="2">
        <f ca="1">IFERROR(__xludf.DUMMYFUNCTION("""COMPUTED_VALUE"""),45281.6666666666)</f>
        <v>45281.666666666599</v>
      </c>
      <c r="B2260" s="1">
        <f ca="1">IFERROR(__xludf.DUMMYFUNCTION("""COMPUTED_VALUE"""),196.1)</f>
        <v>196.1</v>
      </c>
      <c r="C2260" s="1">
        <f ca="1">IFERROR(__xludf.DUMMYFUNCTION("""COMPUTED_VALUE"""),197.08)</f>
        <v>197.08</v>
      </c>
      <c r="D2260" s="1">
        <f ca="1">IFERROR(__xludf.DUMMYFUNCTION("""COMPUTED_VALUE"""),193.5)</f>
        <v>193.5</v>
      </c>
      <c r="E2260" s="1">
        <f ca="1">IFERROR(__xludf.DUMMYFUNCTION("""COMPUTED_VALUE"""),194.68)</f>
        <v>194.68</v>
      </c>
      <c r="F2260" s="1">
        <f ca="1">IFERROR(__xludf.DUMMYFUNCTION("""COMPUTED_VALUE"""),46482549)</f>
        <v>46482549</v>
      </c>
    </row>
    <row r="2261" spans="1:6" x14ac:dyDescent="0.35">
      <c r="A2261" s="2">
        <f ca="1">IFERROR(__xludf.DUMMYFUNCTION("""COMPUTED_VALUE"""),45282.6666666666)</f>
        <v>45282.666666666599</v>
      </c>
      <c r="B2261" s="1">
        <f ca="1">IFERROR(__xludf.DUMMYFUNCTION("""COMPUTED_VALUE"""),195.18)</f>
        <v>195.18</v>
      </c>
      <c r="C2261" s="1">
        <f ca="1">IFERROR(__xludf.DUMMYFUNCTION("""COMPUTED_VALUE"""),195.41)</f>
        <v>195.41</v>
      </c>
      <c r="D2261" s="1">
        <f ca="1">IFERROR(__xludf.DUMMYFUNCTION("""COMPUTED_VALUE"""),192.97)</f>
        <v>192.97</v>
      </c>
      <c r="E2261" s="1">
        <f ca="1">IFERROR(__xludf.DUMMYFUNCTION("""COMPUTED_VALUE"""),193.6)</f>
        <v>193.6</v>
      </c>
      <c r="F2261" s="1">
        <f ca="1">IFERROR(__xludf.DUMMYFUNCTION("""COMPUTED_VALUE"""),37149570)</f>
        <v>37149570</v>
      </c>
    </row>
    <row r="2262" spans="1:6" x14ac:dyDescent="0.35">
      <c r="A2262" s="2">
        <f ca="1">IFERROR(__xludf.DUMMYFUNCTION("""COMPUTED_VALUE"""),45286.6666666666)</f>
        <v>45286.666666666599</v>
      </c>
      <c r="B2262" s="1">
        <f ca="1">IFERROR(__xludf.DUMMYFUNCTION("""COMPUTED_VALUE"""),193.61)</f>
        <v>193.61</v>
      </c>
      <c r="C2262" s="1">
        <f ca="1">IFERROR(__xludf.DUMMYFUNCTION("""COMPUTED_VALUE"""),193.89)</f>
        <v>193.89</v>
      </c>
      <c r="D2262" s="1">
        <f ca="1">IFERROR(__xludf.DUMMYFUNCTION("""COMPUTED_VALUE"""),192.83)</f>
        <v>192.83</v>
      </c>
      <c r="E2262" s="1">
        <f ca="1">IFERROR(__xludf.DUMMYFUNCTION("""COMPUTED_VALUE"""),193.05)</f>
        <v>193.05</v>
      </c>
      <c r="F2262" s="1">
        <f ca="1">IFERROR(__xludf.DUMMYFUNCTION("""COMPUTED_VALUE"""),28919310)</f>
        <v>28919310</v>
      </c>
    </row>
    <row r="2263" spans="1:6" x14ac:dyDescent="0.35">
      <c r="A2263" s="2">
        <f ca="1">IFERROR(__xludf.DUMMYFUNCTION("""COMPUTED_VALUE"""),45287.6666666666)</f>
        <v>45287.666666666599</v>
      </c>
      <c r="B2263" s="1">
        <f ca="1">IFERROR(__xludf.DUMMYFUNCTION("""COMPUTED_VALUE"""),192.49)</f>
        <v>192.49</v>
      </c>
      <c r="C2263" s="1">
        <f ca="1">IFERROR(__xludf.DUMMYFUNCTION("""COMPUTED_VALUE"""),193.5)</f>
        <v>193.5</v>
      </c>
      <c r="D2263" s="1">
        <f ca="1">IFERROR(__xludf.DUMMYFUNCTION("""COMPUTED_VALUE"""),191.09)</f>
        <v>191.09</v>
      </c>
      <c r="E2263" s="1">
        <f ca="1">IFERROR(__xludf.DUMMYFUNCTION("""COMPUTED_VALUE"""),193.15)</f>
        <v>193.15</v>
      </c>
      <c r="F2263" s="1">
        <f ca="1">IFERROR(__xludf.DUMMYFUNCTION("""COMPUTED_VALUE"""),48087681)</f>
        <v>48087681</v>
      </c>
    </row>
    <row r="2264" spans="1:6" x14ac:dyDescent="0.35">
      <c r="A2264" s="2">
        <f ca="1">IFERROR(__xludf.DUMMYFUNCTION("""COMPUTED_VALUE"""),45288.6666666666)</f>
        <v>45288.666666666599</v>
      </c>
      <c r="B2264" s="1">
        <f ca="1">IFERROR(__xludf.DUMMYFUNCTION("""COMPUTED_VALUE"""),194.14)</f>
        <v>194.14</v>
      </c>
      <c r="C2264" s="1">
        <f ca="1">IFERROR(__xludf.DUMMYFUNCTION("""COMPUTED_VALUE"""),194.66)</f>
        <v>194.66</v>
      </c>
      <c r="D2264" s="1">
        <f ca="1">IFERROR(__xludf.DUMMYFUNCTION("""COMPUTED_VALUE"""),193.17)</f>
        <v>193.17</v>
      </c>
      <c r="E2264" s="1">
        <f ca="1">IFERROR(__xludf.DUMMYFUNCTION("""COMPUTED_VALUE"""),193.58)</f>
        <v>193.58</v>
      </c>
      <c r="F2264" s="1">
        <f ca="1">IFERROR(__xludf.DUMMYFUNCTION("""COMPUTED_VALUE"""),34049898)</f>
        <v>34049898</v>
      </c>
    </row>
    <row r="2265" spans="1:6" x14ac:dyDescent="0.35">
      <c r="A2265" s="2">
        <f ca="1">IFERROR(__xludf.DUMMYFUNCTION("""COMPUTED_VALUE"""),45289.6666666666)</f>
        <v>45289.666666666599</v>
      </c>
      <c r="B2265" s="1">
        <f ca="1">IFERROR(__xludf.DUMMYFUNCTION("""COMPUTED_VALUE"""),193.9)</f>
        <v>193.9</v>
      </c>
      <c r="C2265" s="1">
        <f ca="1">IFERROR(__xludf.DUMMYFUNCTION("""COMPUTED_VALUE"""),194.4)</f>
        <v>194.4</v>
      </c>
      <c r="D2265" s="1">
        <f ca="1">IFERROR(__xludf.DUMMYFUNCTION("""COMPUTED_VALUE"""),191.73)</f>
        <v>191.73</v>
      </c>
      <c r="E2265" s="1">
        <f ca="1">IFERROR(__xludf.DUMMYFUNCTION("""COMPUTED_VALUE"""),192.53)</f>
        <v>192.53</v>
      </c>
      <c r="F2265" s="1">
        <f ca="1">IFERROR(__xludf.DUMMYFUNCTION("""COMPUTED_VALUE"""),42672148)</f>
        <v>42672148</v>
      </c>
    </row>
    <row r="2266" spans="1:6" x14ac:dyDescent="0.35">
      <c r="A2266" s="2">
        <f ca="1">IFERROR(__xludf.DUMMYFUNCTION("""COMPUTED_VALUE"""),45293.6666666666)</f>
        <v>45293.666666666599</v>
      </c>
      <c r="B2266" s="1">
        <f ca="1">IFERROR(__xludf.DUMMYFUNCTION("""COMPUTED_VALUE"""),187.15)</f>
        <v>187.15</v>
      </c>
      <c r="C2266" s="1">
        <f ca="1">IFERROR(__xludf.DUMMYFUNCTION("""COMPUTED_VALUE"""),188.44)</f>
        <v>188.44</v>
      </c>
      <c r="D2266" s="1">
        <f ca="1">IFERROR(__xludf.DUMMYFUNCTION("""COMPUTED_VALUE"""),183.89)</f>
        <v>183.89</v>
      </c>
      <c r="E2266" s="1">
        <f ca="1">IFERROR(__xludf.DUMMYFUNCTION("""COMPUTED_VALUE"""),185.64)</f>
        <v>185.64</v>
      </c>
      <c r="F2266" s="1">
        <f ca="1">IFERROR(__xludf.DUMMYFUNCTION("""COMPUTED_VALUE"""),82488674)</f>
        <v>82488674</v>
      </c>
    </row>
    <row r="2267" spans="1:6" x14ac:dyDescent="0.35">
      <c r="A2267" s="2">
        <f ca="1">IFERROR(__xludf.DUMMYFUNCTION("""COMPUTED_VALUE"""),45294.6666666666)</f>
        <v>45294.666666666599</v>
      </c>
      <c r="B2267" s="1">
        <f ca="1">IFERROR(__xludf.DUMMYFUNCTION("""COMPUTED_VALUE"""),184.22)</f>
        <v>184.22</v>
      </c>
      <c r="C2267" s="1">
        <f ca="1">IFERROR(__xludf.DUMMYFUNCTION("""COMPUTED_VALUE"""),185.88)</f>
        <v>185.88</v>
      </c>
      <c r="D2267" s="1">
        <f ca="1">IFERROR(__xludf.DUMMYFUNCTION("""COMPUTED_VALUE"""),183.43)</f>
        <v>183.43</v>
      </c>
      <c r="E2267" s="1">
        <f ca="1">IFERROR(__xludf.DUMMYFUNCTION("""COMPUTED_VALUE"""),184.25)</f>
        <v>184.25</v>
      </c>
      <c r="F2267" s="1">
        <f ca="1">IFERROR(__xludf.DUMMYFUNCTION("""COMPUTED_VALUE"""),58414460)</f>
        <v>58414460</v>
      </c>
    </row>
    <row r="2268" spans="1:6" x14ac:dyDescent="0.35">
      <c r="A2268" s="2">
        <f ca="1">IFERROR(__xludf.DUMMYFUNCTION("""COMPUTED_VALUE"""),45295.6666666666)</f>
        <v>45295.666666666599</v>
      </c>
      <c r="B2268" s="1">
        <f ca="1">IFERROR(__xludf.DUMMYFUNCTION("""COMPUTED_VALUE"""),182.15)</f>
        <v>182.15</v>
      </c>
      <c r="C2268" s="1">
        <f ca="1">IFERROR(__xludf.DUMMYFUNCTION("""COMPUTED_VALUE"""),183.09)</f>
        <v>183.09</v>
      </c>
      <c r="D2268" s="1">
        <f ca="1">IFERROR(__xludf.DUMMYFUNCTION("""COMPUTED_VALUE"""),180.88)</f>
        <v>180.88</v>
      </c>
      <c r="E2268" s="1">
        <f ca="1">IFERROR(__xludf.DUMMYFUNCTION("""COMPUTED_VALUE"""),181.91)</f>
        <v>181.91</v>
      </c>
      <c r="F2268" s="1">
        <f ca="1">IFERROR(__xludf.DUMMYFUNCTION("""COMPUTED_VALUE"""),71983570)</f>
        <v>71983570</v>
      </c>
    </row>
    <row r="2269" spans="1:6" x14ac:dyDescent="0.35">
      <c r="A2269" s="2">
        <f ca="1">IFERROR(__xludf.DUMMYFUNCTION("""COMPUTED_VALUE"""),45296.6666666666)</f>
        <v>45296.666666666599</v>
      </c>
      <c r="B2269" s="1">
        <f ca="1">IFERROR(__xludf.DUMMYFUNCTION("""COMPUTED_VALUE"""),181.99)</f>
        <v>181.99</v>
      </c>
      <c r="C2269" s="1">
        <f ca="1">IFERROR(__xludf.DUMMYFUNCTION("""COMPUTED_VALUE"""),182.76)</f>
        <v>182.76</v>
      </c>
      <c r="D2269" s="1">
        <f ca="1">IFERROR(__xludf.DUMMYFUNCTION("""COMPUTED_VALUE"""),180.17)</f>
        <v>180.17</v>
      </c>
      <c r="E2269" s="1">
        <f ca="1">IFERROR(__xludf.DUMMYFUNCTION("""COMPUTED_VALUE"""),181.18)</f>
        <v>181.18</v>
      </c>
      <c r="F2269" s="1">
        <f ca="1">IFERROR(__xludf.DUMMYFUNCTION("""COMPUTED_VALUE"""),62379661)</f>
        <v>62379661</v>
      </c>
    </row>
    <row r="2270" spans="1:6" x14ac:dyDescent="0.35">
      <c r="A2270" s="2">
        <f ca="1">IFERROR(__xludf.DUMMYFUNCTION("""COMPUTED_VALUE"""),45299.6666666666)</f>
        <v>45299.666666666599</v>
      </c>
      <c r="B2270" s="1">
        <f ca="1">IFERROR(__xludf.DUMMYFUNCTION("""COMPUTED_VALUE"""),182.09)</f>
        <v>182.09</v>
      </c>
      <c r="C2270" s="1">
        <f ca="1">IFERROR(__xludf.DUMMYFUNCTION("""COMPUTED_VALUE"""),185.6)</f>
        <v>185.6</v>
      </c>
      <c r="D2270" s="1">
        <f ca="1">IFERROR(__xludf.DUMMYFUNCTION("""COMPUTED_VALUE"""),181.5)</f>
        <v>181.5</v>
      </c>
      <c r="E2270" s="1">
        <f ca="1">IFERROR(__xludf.DUMMYFUNCTION("""COMPUTED_VALUE"""),185.56)</f>
        <v>185.56</v>
      </c>
      <c r="F2270" s="1">
        <f ca="1">IFERROR(__xludf.DUMMYFUNCTION("""COMPUTED_VALUE"""),59144470)</f>
        <v>59144470</v>
      </c>
    </row>
    <row r="2271" spans="1:6" x14ac:dyDescent="0.35">
      <c r="A2271" s="2">
        <f ca="1">IFERROR(__xludf.DUMMYFUNCTION("""COMPUTED_VALUE"""),45300.6666666666)</f>
        <v>45300.666666666599</v>
      </c>
      <c r="B2271" s="1">
        <f ca="1">IFERROR(__xludf.DUMMYFUNCTION("""COMPUTED_VALUE"""),183.92)</f>
        <v>183.92</v>
      </c>
      <c r="C2271" s="1">
        <f ca="1">IFERROR(__xludf.DUMMYFUNCTION("""COMPUTED_VALUE"""),185.15)</f>
        <v>185.15</v>
      </c>
      <c r="D2271" s="1">
        <f ca="1">IFERROR(__xludf.DUMMYFUNCTION("""COMPUTED_VALUE"""),182.73)</f>
        <v>182.73</v>
      </c>
      <c r="E2271" s="1">
        <f ca="1">IFERROR(__xludf.DUMMYFUNCTION("""COMPUTED_VALUE"""),185.14)</f>
        <v>185.14</v>
      </c>
      <c r="F2271" s="1">
        <f ca="1">IFERROR(__xludf.DUMMYFUNCTION("""COMPUTED_VALUE"""),42841809)</f>
        <v>42841809</v>
      </c>
    </row>
    <row r="2272" spans="1:6" x14ac:dyDescent="0.35">
      <c r="A2272" s="2">
        <f ca="1">IFERROR(__xludf.DUMMYFUNCTION("""COMPUTED_VALUE"""),45301.6666666666)</f>
        <v>45301.666666666599</v>
      </c>
      <c r="B2272" s="1">
        <f ca="1">IFERROR(__xludf.DUMMYFUNCTION("""COMPUTED_VALUE"""),184.35)</f>
        <v>184.35</v>
      </c>
      <c r="C2272" s="1">
        <f ca="1">IFERROR(__xludf.DUMMYFUNCTION("""COMPUTED_VALUE"""),186.4)</f>
        <v>186.4</v>
      </c>
      <c r="D2272" s="1">
        <f ca="1">IFERROR(__xludf.DUMMYFUNCTION("""COMPUTED_VALUE"""),183.92)</f>
        <v>183.92</v>
      </c>
      <c r="E2272" s="1">
        <f ca="1">IFERROR(__xludf.DUMMYFUNCTION("""COMPUTED_VALUE"""),186.19)</f>
        <v>186.19</v>
      </c>
      <c r="F2272" s="1">
        <f ca="1">IFERROR(__xludf.DUMMYFUNCTION("""COMPUTED_VALUE"""),46792908)</f>
        <v>46792908</v>
      </c>
    </row>
    <row r="2273" spans="1:6" x14ac:dyDescent="0.35">
      <c r="A2273" s="2">
        <f ca="1">IFERROR(__xludf.DUMMYFUNCTION("""COMPUTED_VALUE"""),45302.6666666666)</f>
        <v>45302.666666666599</v>
      </c>
      <c r="B2273" s="1">
        <f ca="1">IFERROR(__xludf.DUMMYFUNCTION("""COMPUTED_VALUE"""),186.54)</f>
        <v>186.54</v>
      </c>
      <c r="C2273" s="1">
        <f ca="1">IFERROR(__xludf.DUMMYFUNCTION("""COMPUTED_VALUE"""),187.05)</f>
        <v>187.05</v>
      </c>
      <c r="D2273" s="1">
        <f ca="1">IFERROR(__xludf.DUMMYFUNCTION("""COMPUTED_VALUE"""),183.62)</f>
        <v>183.62</v>
      </c>
      <c r="E2273" s="1">
        <f ca="1">IFERROR(__xludf.DUMMYFUNCTION("""COMPUTED_VALUE"""),185.59)</f>
        <v>185.59</v>
      </c>
      <c r="F2273" s="1">
        <f ca="1">IFERROR(__xludf.DUMMYFUNCTION("""COMPUTED_VALUE"""),49128408)</f>
        <v>49128408</v>
      </c>
    </row>
    <row r="2274" spans="1:6" x14ac:dyDescent="0.35">
      <c r="A2274" s="2">
        <f ca="1">IFERROR(__xludf.DUMMYFUNCTION("""COMPUTED_VALUE"""),45303.6666666666)</f>
        <v>45303.666666666599</v>
      </c>
      <c r="B2274" s="1">
        <f ca="1">IFERROR(__xludf.DUMMYFUNCTION("""COMPUTED_VALUE"""),186.06)</f>
        <v>186.06</v>
      </c>
      <c r="C2274" s="1">
        <f ca="1">IFERROR(__xludf.DUMMYFUNCTION("""COMPUTED_VALUE"""),186.74)</f>
        <v>186.74</v>
      </c>
      <c r="D2274" s="1">
        <f ca="1">IFERROR(__xludf.DUMMYFUNCTION("""COMPUTED_VALUE"""),185.19)</f>
        <v>185.19</v>
      </c>
      <c r="E2274" s="1">
        <f ca="1">IFERROR(__xludf.DUMMYFUNCTION("""COMPUTED_VALUE"""),185.92)</f>
        <v>185.92</v>
      </c>
      <c r="F2274" s="1">
        <f ca="1">IFERROR(__xludf.DUMMYFUNCTION("""COMPUTED_VALUE"""),40477782)</f>
        <v>40477782</v>
      </c>
    </row>
    <row r="2275" spans="1:6" x14ac:dyDescent="0.35">
      <c r="A2275" s="2">
        <f ca="1">IFERROR(__xludf.DUMMYFUNCTION("""COMPUTED_VALUE"""),45307.6666666666)</f>
        <v>45307.666666666599</v>
      </c>
      <c r="B2275" s="1">
        <f ca="1">IFERROR(__xludf.DUMMYFUNCTION("""COMPUTED_VALUE"""),182.16)</f>
        <v>182.16</v>
      </c>
      <c r="C2275" s="1">
        <f ca="1">IFERROR(__xludf.DUMMYFUNCTION("""COMPUTED_VALUE"""),184.26)</f>
        <v>184.26</v>
      </c>
      <c r="D2275" s="1">
        <f ca="1">IFERROR(__xludf.DUMMYFUNCTION("""COMPUTED_VALUE"""),180.93)</f>
        <v>180.93</v>
      </c>
      <c r="E2275" s="1">
        <f ca="1">IFERROR(__xludf.DUMMYFUNCTION("""COMPUTED_VALUE"""),183.63)</f>
        <v>183.63</v>
      </c>
      <c r="F2275" s="1">
        <f ca="1">IFERROR(__xludf.DUMMYFUNCTION("""COMPUTED_VALUE"""),65603041)</f>
        <v>65603041</v>
      </c>
    </row>
    <row r="2276" spans="1:6" x14ac:dyDescent="0.35">
      <c r="A2276" s="2">
        <f ca="1">IFERROR(__xludf.DUMMYFUNCTION("""COMPUTED_VALUE"""),45308.6666666666)</f>
        <v>45308.666666666599</v>
      </c>
      <c r="B2276" s="1">
        <f ca="1">IFERROR(__xludf.DUMMYFUNCTION("""COMPUTED_VALUE"""),181.27)</f>
        <v>181.27</v>
      </c>
      <c r="C2276" s="1">
        <f ca="1">IFERROR(__xludf.DUMMYFUNCTION("""COMPUTED_VALUE"""),182.93)</f>
        <v>182.93</v>
      </c>
      <c r="D2276" s="1">
        <f ca="1">IFERROR(__xludf.DUMMYFUNCTION("""COMPUTED_VALUE"""),180.3)</f>
        <v>180.3</v>
      </c>
      <c r="E2276" s="1">
        <f ca="1">IFERROR(__xludf.DUMMYFUNCTION("""COMPUTED_VALUE"""),182.68)</f>
        <v>182.68</v>
      </c>
      <c r="F2276" s="1">
        <f ca="1">IFERROR(__xludf.DUMMYFUNCTION("""COMPUTED_VALUE"""),47317433)</f>
        <v>47317433</v>
      </c>
    </row>
    <row r="2277" spans="1:6" x14ac:dyDescent="0.35">
      <c r="A2277" s="2">
        <f ca="1">IFERROR(__xludf.DUMMYFUNCTION("""COMPUTED_VALUE"""),45309.6666666666)</f>
        <v>45309.666666666599</v>
      </c>
      <c r="B2277" s="1">
        <f ca="1">IFERROR(__xludf.DUMMYFUNCTION("""COMPUTED_VALUE"""),186.09)</f>
        <v>186.09</v>
      </c>
      <c r="C2277" s="1">
        <f ca="1">IFERROR(__xludf.DUMMYFUNCTION("""COMPUTED_VALUE"""),189.14)</f>
        <v>189.14</v>
      </c>
      <c r="D2277" s="1">
        <f ca="1">IFERROR(__xludf.DUMMYFUNCTION("""COMPUTED_VALUE"""),185.83)</f>
        <v>185.83</v>
      </c>
      <c r="E2277" s="1">
        <f ca="1">IFERROR(__xludf.DUMMYFUNCTION("""COMPUTED_VALUE"""),188.63)</f>
        <v>188.63</v>
      </c>
      <c r="F2277" s="1">
        <f ca="1">IFERROR(__xludf.DUMMYFUNCTION("""COMPUTED_VALUE"""),78005754)</f>
        <v>78005754</v>
      </c>
    </row>
    <row r="2278" spans="1:6" x14ac:dyDescent="0.35">
      <c r="A2278" s="2">
        <f ca="1">IFERROR(__xludf.DUMMYFUNCTION("""COMPUTED_VALUE"""),45310.6666666666)</f>
        <v>45310.666666666599</v>
      </c>
      <c r="B2278" s="1">
        <f ca="1">IFERROR(__xludf.DUMMYFUNCTION("""COMPUTED_VALUE"""),189.33)</f>
        <v>189.33</v>
      </c>
      <c r="C2278" s="1">
        <f ca="1">IFERROR(__xludf.DUMMYFUNCTION("""COMPUTED_VALUE"""),191.95)</f>
        <v>191.95</v>
      </c>
      <c r="D2278" s="1">
        <f ca="1">IFERROR(__xludf.DUMMYFUNCTION("""COMPUTED_VALUE"""),188.82)</f>
        <v>188.82</v>
      </c>
      <c r="E2278" s="1">
        <f ca="1">IFERROR(__xludf.DUMMYFUNCTION("""COMPUTED_VALUE"""),191.56)</f>
        <v>191.56</v>
      </c>
      <c r="F2278" s="1">
        <f ca="1">IFERROR(__xludf.DUMMYFUNCTION("""COMPUTED_VALUE"""),68902985)</f>
        <v>68902985</v>
      </c>
    </row>
    <row r="2279" spans="1:6" x14ac:dyDescent="0.35">
      <c r="A2279" s="2">
        <f ca="1">IFERROR(__xludf.DUMMYFUNCTION("""COMPUTED_VALUE"""),45313.6666666666)</f>
        <v>45313.666666666599</v>
      </c>
      <c r="B2279" s="1">
        <f ca="1">IFERROR(__xludf.DUMMYFUNCTION("""COMPUTED_VALUE"""),192.3)</f>
        <v>192.3</v>
      </c>
      <c r="C2279" s="1">
        <f ca="1">IFERROR(__xludf.DUMMYFUNCTION("""COMPUTED_VALUE"""),195.33)</f>
        <v>195.33</v>
      </c>
      <c r="D2279" s="1">
        <f ca="1">IFERROR(__xludf.DUMMYFUNCTION("""COMPUTED_VALUE"""),192.26)</f>
        <v>192.26</v>
      </c>
      <c r="E2279" s="1">
        <f ca="1">IFERROR(__xludf.DUMMYFUNCTION("""COMPUTED_VALUE"""),193.89)</f>
        <v>193.89</v>
      </c>
      <c r="F2279" s="1">
        <f ca="1">IFERROR(__xludf.DUMMYFUNCTION("""COMPUTED_VALUE"""),60133852)</f>
        <v>60133852</v>
      </c>
    </row>
    <row r="2280" spans="1:6" x14ac:dyDescent="0.35">
      <c r="A2280" s="2">
        <f ca="1">IFERROR(__xludf.DUMMYFUNCTION("""COMPUTED_VALUE"""),45314.6666666666)</f>
        <v>45314.666666666599</v>
      </c>
      <c r="B2280" s="1">
        <f ca="1">IFERROR(__xludf.DUMMYFUNCTION("""COMPUTED_VALUE"""),195.02)</f>
        <v>195.02</v>
      </c>
      <c r="C2280" s="1">
        <f ca="1">IFERROR(__xludf.DUMMYFUNCTION("""COMPUTED_VALUE"""),195.75)</f>
        <v>195.75</v>
      </c>
      <c r="D2280" s="1">
        <f ca="1">IFERROR(__xludf.DUMMYFUNCTION("""COMPUTED_VALUE"""),193.83)</f>
        <v>193.83</v>
      </c>
      <c r="E2280" s="1">
        <f ca="1">IFERROR(__xludf.DUMMYFUNCTION("""COMPUTED_VALUE"""),195.18)</f>
        <v>195.18</v>
      </c>
      <c r="F2280" s="1">
        <f ca="1">IFERROR(__xludf.DUMMYFUNCTION("""COMPUTED_VALUE"""),42355590)</f>
        <v>42355590</v>
      </c>
    </row>
    <row r="2281" spans="1:6" x14ac:dyDescent="0.35">
      <c r="A2281" s="2">
        <f ca="1">IFERROR(__xludf.DUMMYFUNCTION("""COMPUTED_VALUE"""),45315.6666666666)</f>
        <v>45315.666666666599</v>
      </c>
      <c r="B2281" s="1">
        <f ca="1">IFERROR(__xludf.DUMMYFUNCTION("""COMPUTED_VALUE"""),195.42)</f>
        <v>195.42</v>
      </c>
      <c r="C2281" s="1">
        <f ca="1">IFERROR(__xludf.DUMMYFUNCTION("""COMPUTED_VALUE"""),196.38)</f>
        <v>196.38</v>
      </c>
      <c r="D2281" s="1">
        <f ca="1">IFERROR(__xludf.DUMMYFUNCTION("""COMPUTED_VALUE"""),194.34)</f>
        <v>194.34</v>
      </c>
      <c r="E2281" s="1">
        <f ca="1">IFERROR(__xludf.DUMMYFUNCTION("""COMPUTED_VALUE"""),194.5)</f>
        <v>194.5</v>
      </c>
      <c r="F2281" s="1">
        <f ca="1">IFERROR(__xludf.DUMMYFUNCTION("""COMPUTED_VALUE"""),53631316)</f>
        <v>53631316</v>
      </c>
    </row>
    <row r="2282" spans="1:6" x14ac:dyDescent="0.35">
      <c r="A2282" s="2">
        <f ca="1">IFERROR(__xludf.DUMMYFUNCTION("""COMPUTED_VALUE"""),45316.6666666666)</f>
        <v>45316.666666666599</v>
      </c>
      <c r="B2282" s="1">
        <f ca="1">IFERROR(__xludf.DUMMYFUNCTION("""COMPUTED_VALUE"""),195.22)</f>
        <v>195.22</v>
      </c>
      <c r="C2282" s="1">
        <f ca="1">IFERROR(__xludf.DUMMYFUNCTION("""COMPUTED_VALUE"""),196.27)</f>
        <v>196.27</v>
      </c>
      <c r="D2282" s="1">
        <f ca="1">IFERROR(__xludf.DUMMYFUNCTION("""COMPUTED_VALUE"""),193.11)</f>
        <v>193.11</v>
      </c>
      <c r="E2282" s="1">
        <f ca="1">IFERROR(__xludf.DUMMYFUNCTION("""COMPUTED_VALUE"""),194.17)</f>
        <v>194.17</v>
      </c>
      <c r="F2282" s="1">
        <f ca="1">IFERROR(__xludf.DUMMYFUNCTION("""COMPUTED_VALUE"""),54822126)</f>
        <v>54822126</v>
      </c>
    </row>
    <row r="2283" spans="1:6" x14ac:dyDescent="0.35">
      <c r="A2283" s="2">
        <f ca="1">IFERROR(__xludf.DUMMYFUNCTION("""COMPUTED_VALUE"""),45317.6666666666)</f>
        <v>45317.666666666599</v>
      </c>
      <c r="B2283" s="1">
        <f ca="1">IFERROR(__xludf.DUMMYFUNCTION("""COMPUTED_VALUE"""),194.27)</f>
        <v>194.27</v>
      </c>
      <c r="C2283" s="1">
        <f ca="1">IFERROR(__xludf.DUMMYFUNCTION("""COMPUTED_VALUE"""),194.76)</f>
        <v>194.76</v>
      </c>
      <c r="D2283" s="1">
        <f ca="1">IFERROR(__xludf.DUMMYFUNCTION("""COMPUTED_VALUE"""),191.94)</f>
        <v>191.94</v>
      </c>
      <c r="E2283" s="1">
        <f ca="1">IFERROR(__xludf.DUMMYFUNCTION("""COMPUTED_VALUE"""),192.42)</f>
        <v>192.42</v>
      </c>
      <c r="F2283" s="1">
        <f ca="1">IFERROR(__xludf.DUMMYFUNCTION("""COMPUTED_VALUE"""),44594011)</f>
        <v>44594011</v>
      </c>
    </row>
    <row r="2284" spans="1:6" x14ac:dyDescent="0.35">
      <c r="A2284" s="2">
        <f ca="1">IFERROR(__xludf.DUMMYFUNCTION("""COMPUTED_VALUE"""),45320.6666666666)</f>
        <v>45320.666666666599</v>
      </c>
      <c r="B2284" s="1">
        <f ca="1">IFERROR(__xludf.DUMMYFUNCTION("""COMPUTED_VALUE"""),192.01)</f>
        <v>192.01</v>
      </c>
      <c r="C2284" s="1">
        <f ca="1">IFERROR(__xludf.DUMMYFUNCTION("""COMPUTED_VALUE"""),192.2)</f>
        <v>192.2</v>
      </c>
      <c r="D2284" s="1">
        <f ca="1">IFERROR(__xludf.DUMMYFUNCTION("""COMPUTED_VALUE"""),189.58)</f>
        <v>189.58</v>
      </c>
      <c r="E2284" s="1">
        <f ca="1">IFERROR(__xludf.DUMMYFUNCTION("""COMPUTED_VALUE"""),191.73)</f>
        <v>191.73</v>
      </c>
      <c r="F2284" s="1">
        <f ca="1">IFERROR(__xludf.DUMMYFUNCTION("""COMPUTED_VALUE"""),47145622)</f>
        <v>47145622</v>
      </c>
    </row>
    <row r="2285" spans="1:6" x14ac:dyDescent="0.35">
      <c r="A2285" s="2">
        <f ca="1">IFERROR(__xludf.DUMMYFUNCTION("""COMPUTED_VALUE"""),45321.6666666666)</f>
        <v>45321.666666666599</v>
      </c>
      <c r="B2285" s="1">
        <f ca="1">IFERROR(__xludf.DUMMYFUNCTION("""COMPUTED_VALUE"""),190.94)</f>
        <v>190.94</v>
      </c>
      <c r="C2285" s="1">
        <f ca="1">IFERROR(__xludf.DUMMYFUNCTION("""COMPUTED_VALUE"""),191.8)</f>
        <v>191.8</v>
      </c>
      <c r="D2285" s="1">
        <f ca="1">IFERROR(__xludf.DUMMYFUNCTION("""COMPUTED_VALUE"""),187.47)</f>
        <v>187.47</v>
      </c>
      <c r="E2285" s="1">
        <f ca="1">IFERROR(__xludf.DUMMYFUNCTION("""COMPUTED_VALUE"""),188.04)</f>
        <v>188.04</v>
      </c>
      <c r="F2285" s="1">
        <f ca="1">IFERROR(__xludf.DUMMYFUNCTION("""COMPUTED_VALUE"""),55859370)</f>
        <v>55859370</v>
      </c>
    </row>
    <row r="2286" spans="1:6" x14ac:dyDescent="0.35">
      <c r="A2286" s="2">
        <f ca="1">IFERROR(__xludf.DUMMYFUNCTION("""COMPUTED_VALUE"""),45322.6666666666)</f>
        <v>45322.666666666599</v>
      </c>
      <c r="B2286" s="1">
        <f ca="1">IFERROR(__xludf.DUMMYFUNCTION("""COMPUTED_VALUE"""),187.04)</f>
        <v>187.04</v>
      </c>
      <c r="C2286" s="1">
        <f ca="1">IFERROR(__xludf.DUMMYFUNCTION("""COMPUTED_VALUE"""),187.1)</f>
        <v>187.1</v>
      </c>
      <c r="D2286" s="1">
        <f ca="1">IFERROR(__xludf.DUMMYFUNCTION("""COMPUTED_VALUE"""),184.35)</f>
        <v>184.35</v>
      </c>
      <c r="E2286" s="1">
        <f ca="1">IFERROR(__xludf.DUMMYFUNCTION("""COMPUTED_VALUE"""),184.4)</f>
        <v>184.4</v>
      </c>
      <c r="F2286" s="1">
        <f ca="1">IFERROR(__xludf.DUMMYFUNCTION("""COMPUTED_VALUE"""),55467803)</f>
        <v>55467803</v>
      </c>
    </row>
    <row r="2287" spans="1:6" x14ac:dyDescent="0.35">
      <c r="A2287" s="2">
        <f ca="1">IFERROR(__xludf.DUMMYFUNCTION("""COMPUTED_VALUE"""),45323.6666666666)</f>
        <v>45323.666666666599</v>
      </c>
      <c r="B2287" s="1">
        <f ca="1">IFERROR(__xludf.DUMMYFUNCTION("""COMPUTED_VALUE"""),183.99)</f>
        <v>183.99</v>
      </c>
      <c r="C2287" s="1">
        <f ca="1">IFERROR(__xludf.DUMMYFUNCTION("""COMPUTED_VALUE"""),186.95)</f>
        <v>186.95</v>
      </c>
      <c r="D2287" s="1">
        <f ca="1">IFERROR(__xludf.DUMMYFUNCTION("""COMPUTED_VALUE"""),183.82)</f>
        <v>183.82</v>
      </c>
      <c r="E2287" s="1">
        <f ca="1">IFERROR(__xludf.DUMMYFUNCTION("""COMPUTED_VALUE"""),186.86)</f>
        <v>186.86</v>
      </c>
      <c r="F2287" s="1">
        <f ca="1">IFERROR(__xludf.DUMMYFUNCTION("""COMPUTED_VALUE"""),64885408)</f>
        <v>64885408</v>
      </c>
    </row>
    <row r="2288" spans="1:6" x14ac:dyDescent="0.35">
      <c r="A2288" s="2">
        <f ca="1">IFERROR(__xludf.DUMMYFUNCTION("""COMPUTED_VALUE"""),45324.6666666666)</f>
        <v>45324.666666666599</v>
      </c>
      <c r="B2288" s="1">
        <f ca="1">IFERROR(__xludf.DUMMYFUNCTION("""COMPUTED_VALUE"""),179.86)</f>
        <v>179.86</v>
      </c>
      <c r="C2288" s="1">
        <f ca="1">IFERROR(__xludf.DUMMYFUNCTION("""COMPUTED_VALUE"""),187.33)</f>
        <v>187.33</v>
      </c>
      <c r="D2288" s="1">
        <f ca="1">IFERROR(__xludf.DUMMYFUNCTION("""COMPUTED_VALUE"""),179.25)</f>
        <v>179.25</v>
      </c>
      <c r="E2288" s="1">
        <f ca="1">IFERROR(__xludf.DUMMYFUNCTION("""COMPUTED_VALUE"""),185.85)</f>
        <v>185.85</v>
      </c>
      <c r="F2288" s="1">
        <f ca="1">IFERROR(__xludf.DUMMYFUNCTION("""COMPUTED_VALUE"""),102551680)</f>
        <v>102551680</v>
      </c>
    </row>
    <row r="2289" spans="1:6" x14ac:dyDescent="0.35">
      <c r="A2289" s="2">
        <f ca="1">IFERROR(__xludf.DUMMYFUNCTION("""COMPUTED_VALUE"""),45327.6666666666)</f>
        <v>45327.666666666599</v>
      </c>
      <c r="B2289" s="1">
        <f ca="1">IFERROR(__xludf.DUMMYFUNCTION("""COMPUTED_VALUE"""),188.15)</f>
        <v>188.15</v>
      </c>
      <c r="C2289" s="1">
        <f ca="1">IFERROR(__xludf.DUMMYFUNCTION("""COMPUTED_VALUE"""),189.25)</f>
        <v>189.25</v>
      </c>
      <c r="D2289" s="1">
        <f ca="1">IFERROR(__xludf.DUMMYFUNCTION("""COMPUTED_VALUE"""),185.84)</f>
        <v>185.84</v>
      </c>
      <c r="E2289" s="1">
        <f ca="1">IFERROR(__xludf.DUMMYFUNCTION("""COMPUTED_VALUE"""),187.68)</f>
        <v>187.68</v>
      </c>
      <c r="F2289" s="1">
        <f ca="1">IFERROR(__xludf.DUMMYFUNCTION("""COMPUTED_VALUE"""),69668820)</f>
        <v>69668820</v>
      </c>
    </row>
    <row r="2290" spans="1:6" x14ac:dyDescent="0.35">
      <c r="A2290" s="2">
        <f ca="1">IFERROR(__xludf.DUMMYFUNCTION("""COMPUTED_VALUE"""),45328.6666666666)</f>
        <v>45328.666666666599</v>
      </c>
      <c r="B2290" s="1">
        <f ca="1">IFERROR(__xludf.DUMMYFUNCTION("""COMPUTED_VALUE"""),186.86)</f>
        <v>186.86</v>
      </c>
      <c r="C2290" s="1">
        <f ca="1">IFERROR(__xludf.DUMMYFUNCTION("""COMPUTED_VALUE"""),189.31)</f>
        <v>189.31</v>
      </c>
      <c r="D2290" s="1">
        <f ca="1">IFERROR(__xludf.DUMMYFUNCTION("""COMPUTED_VALUE"""),186.77)</f>
        <v>186.77</v>
      </c>
      <c r="E2290" s="1">
        <f ca="1">IFERROR(__xludf.DUMMYFUNCTION("""COMPUTED_VALUE"""),189.3)</f>
        <v>189.3</v>
      </c>
      <c r="F2290" s="1">
        <f ca="1">IFERROR(__xludf.DUMMYFUNCTION("""COMPUTED_VALUE"""),43490759)</f>
        <v>43490759</v>
      </c>
    </row>
    <row r="2291" spans="1:6" x14ac:dyDescent="0.35">
      <c r="A2291" s="2">
        <f ca="1">IFERROR(__xludf.DUMMYFUNCTION("""COMPUTED_VALUE"""),45329.6666666666)</f>
        <v>45329.666666666599</v>
      </c>
      <c r="B2291" s="1">
        <f ca="1">IFERROR(__xludf.DUMMYFUNCTION("""COMPUTED_VALUE"""),190.64)</f>
        <v>190.64</v>
      </c>
      <c r="C2291" s="1">
        <f ca="1">IFERROR(__xludf.DUMMYFUNCTION("""COMPUTED_VALUE"""),191.05)</f>
        <v>191.05</v>
      </c>
      <c r="D2291" s="1">
        <f ca="1">IFERROR(__xludf.DUMMYFUNCTION("""COMPUTED_VALUE"""),188.61)</f>
        <v>188.61</v>
      </c>
      <c r="E2291" s="1">
        <f ca="1">IFERROR(__xludf.DUMMYFUNCTION("""COMPUTED_VALUE"""),189.41)</f>
        <v>189.41</v>
      </c>
      <c r="F2291" s="1">
        <f ca="1">IFERROR(__xludf.DUMMYFUNCTION("""COMPUTED_VALUE"""),53438955)</f>
        <v>53438955</v>
      </c>
    </row>
    <row r="2292" spans="1:6" x14ac:dyDescent="0.35">
      <c r="A2292" s="2">
        <f ca="1">IFERROR(__xludf.DUMMYFUNCTION("""COMPUTED_VALUE"""),45330.6666666666)</f>
        <v>45330.666666666599</v>
      </c>
      <c r="B2292" s="1">
        <f ca="1">IFERROR(__xludf.DUMMYFUNCTION("""COMPUTED_VALUE"""),189.39)</f>
        <v>189.39</v>
      </c>
      <c r="C2292" s="1">
        <f ca="1">IFERROR(__xludf.DUMMYFUNCTION("""COMPUTED_VALUE"""),189.54)</f>
        <v>189.54</v>
      </c>
      <c r="D2292" s="1">
        <f ca="1">IFERROR(__xludf.DUMMYFUNCTION("""COMPUTED_VALUE"""),187.35)</f>
        <v>187.35</v>
      </c>
      <c r="E2292" s="1">
        <f ca="1">IFERROR(__xludf.DUMMYFUNCTION("""COMPUTED_VALUE"""),188.32)</f>
        <v>188.32</v>
      </c>
      <c r="F2292" s="1">
        <f ca="1">IFERROR(__xludf.DUMMYFUNCTION("""COMPUTED_VALUE"""),40962046)</f>
        <v>40962046</v>
      </c>
    </row>
    <row r="2293" spans="1:6" x14ac:dyDescent="0.35">
      <c r="A2293" s="2">
        <f ca="1">IFERROR(__xludf.DUMMYFUNCTION("""COMPUTED_VALUE"""),45331.6666666666)</f>
        <v>45331.666666666599</v>
      </c>
      <c r="B2293" s="1">
        <f ca="1">IFERROR(__xludf.DUMMYFUNCTION("""COMPUTED_VALUE"""),188.65)</f>
        <v>188.65</v>
      </c>
      <c r="C2293" s="1">
        <f ca="1">IFERROR(__xludf.DUMMYFUNCTION("""COMPUTED_VALUE"""),189.99)</f>
        <v>189.99</v>
      </c>
      <c r="D2293" s="1">
        <f ca="1">IFERROR(__xludf.DUMMYFUNCTION("""COMPUTED_VALUE"""),188)</f>
        <v>188</v>
      </c>
      <c r="E2293" s="1">
        <f ca="1">IFERROR(__xludf.DUMMYFUNCTION("""COMPUTED_VALUE"""),188.85)</f>
        <v>188.85</v>
      </c>
      <c r="F2293" s="1">
        <f ca="1">IFERROR(__xludf.DUMMYFUNCTION("""COMPUTED_VALUE"""),45155216)</f>
        <v>45155216</v>
      </c>
    </row>
    <row r="2294" spans="1:6" x14ac:dyDescent="0.35">
      <c r="A2294" s="2">
        <f ca="1">IFERROR(__xludf.DUMMYFUNCTION("""COMPUTED_VALUE"""),45334.6666666666)</f>
        <v>45334.666666666599</v>
      </c>
      <c r="B2294" s="1">
        <f ca="1">IFERROR(__xludf.DUMMYFUNCTION("""COMPUTED_VALUE"""),188.42)</f>
        <v>188.42</v>
      </c>
      <c r="C2294" s="1">
        <f ca="1">IFERROR(__xludf.DUMMYFUNCTION("""COMPUTED_VALUE"""),188.67)</f>
        <v>188.67</v>
      </c>
      <c r="D2294" s="1">
        <f ca="1">IFERROR(__xludf.DUMMYFUNCTION("""COMPUTED_VALUE"""),186.79)</f>
        <v>186.79</v>
      </c>
      <c r="E2294" s="1">
        <f ca="1">IFERROR(__xludf.DUMMYFUNCTION("""COMPUTED_VALUE"""),187.15)</f>
        <v>187.15</v>
      </c>
      <c r="F2294" s="1">
        <f ca="1">IFERROR(__xludf.DUMMYFUNCTION("""COMPUTED_VALUE"""),41781934)</f>
        <v>41781934</v>
      </c>
    </row>
    <row r="2295" spans="1:6" x14ac:dyDescent="0.35">
      <c r="A2295" s="2">
        <f ca="1">IFERROR(__xludf.DUMMYFUNCTION("""COMPUTED_VALUE"""),45335.6666666666)</f>
        <v>45335.666666666599</v>
      </c>
      <c r="B2295" s="1">
        <f ca="1">IFERROR(__xludf.DUMMYFUNCTION("""COMPUTED_VALUE"""),185.77)</f>
        <v>185.77</v>
      </c>
      <c r="C2295" s="1">
        <f ca="1">IFERROR(__xludf.DUMMYFUNCTION("""COMPUTED_VALUE"""),186.21)</f>
        <v>186.21</v>
      </c>
      <c r="D2295" s="1">
        <f ca="1">IFERROR(__xludf.DUMMYFUNCTION("""COMPUTED_VALUE"""),183.51)</f>
        <v>183.51</v>
      </c>
      <c r="E2295" s="1">
        <f ca="1">IFERROR(__xludf.DUMMYFUNCTION("""COMPUTED_VALUE"""),185.04)</f>
        <v>185.04</v>
      </c>
      <c r="F2295" s="1">
        <f ca="1">IFERROR(__xludf.DUMMYFUNCTION("""COMPUTED_VALUE"""),56529529)</f>
        <v>56529529</v>
      </c>
    </row>
    <row r="2296" spans="1:6" x14ac:dyDescent="0.35">
      <c r="A2296" s="2">
        <f ca="1">IFERROR(__xludf.DUMMYFUNCTION("""COMPUTED_VALUE"""),45336.6666666666)</f>
        <v>45336.666666666599</v>
      </c>
      <c r="B2296" s="1">
        <f ca="1">IFERROR(__xludf.DUMMYFUNCTION("""COMPUTED_VALUE"""),185.32)</f>
        <v>185.32</v>
      </c>
      <c r="C2296" s="1">
        <f ca="1">IFERROR(__xludf.DUMMYFUNCTION("""COMPUTED_VALUE"""),185.53)</f>
        <v>185.53</v>
      </c>
      <c r="D2296" s="1">
        <f ca="1">IFERROR(__xludf.DUMMYFUNCTION("""COMPUTED_VALUE"""),182.44)</f>
        <v>182.44</v>
      </c>
      <c r="E2296" s="1">
        <f ca="1">IFERROR(__xludf.DUMMYFUNCTION("""COMPUTED_VALUE"""),184.15)</f>
        <v>184.15</v>
      </c>
      <c r="F2296" s="1">
        <f ca="1">IFERROR(__xludf.DUMMYFUNCTION("""COMPUTED_VALUE"""),54630517)</f>
        <v>54630517</v>
      </c>
    </row>
    <row r="2297" spans="1:6" x14ac:dyDescent="0.35">
      <c r="A2297" s="2">
        <f ca="1">IFERROR(__xludf.DUMMYFUNCTION("""COMPUTED_VALUE"""),45337.6666666666)</f>
        <v>45337.666666666599</v>
      </c>
      <c r="B2297" s="1">
        <f ca="1">IFERROR(__xludf.DUMMYFUNCTION("""COMPUTED_VALUE"""),183.55)</f>
        <v>183.55</v>
      </c>
      <c r="C2297" s="1">
        <f ca="1">IFERROR(__xludf.DUMMYFUNCTION("""COMPUTED_VALUE"""),184.49)</f>
        <v>184.49</v>
      </c>
      <c r="D2297" s="1">
        <f ca="1">IFERROR(__xludf.DUMMYFUNCTION("""COMPUTED_VALUE"""),181.35)</f>
        <v>181.35</v>
      </c>
      <c r="E2297" s="1">
        <f ca="1">IFERROR(__xludf.DUMMYFUNCTION("""COMPUTED_VALUE"""),183.86)</f>
        <v>183.86</v>
      </c>
      <c r="F2297" s="1">
        <f ca="1">IFERROR(__xludf.DUMMYFUNCTION("""COMPUTED_VALUE"""),65434496)</f>
        <v>65434496</v>
      </c>
    </row>
    <row r="2298" spans="1:6" x14ac:dyDescent="0.35">
      <c r="A2298" s="2">
        <f ca="1">IFERROR(__xludf.DUMMYFUNCTION("""COMPUTED_VALUE"""),45338.6666666666)</f>
        <v>45338.666666666599</v>
      </c>
      <c r="B2298" s="1">
        <f ca="1">IFERROR(__xludf.DUMMYFUNCTION("""COMPUTED_VALUE"""),183.42)</f>
        <v>183.42</v>
      </c>
      <c r="C2298" s="1">
        <f ca="1">IFERROR(__xludf.DUMMYFUNCTION("""COMPUTED_VALUE"""),184.85)</f>
        <v>184.85</v>
      </c>
      <c r="D2298" s="1">
        <f ca="1">IFERROR(__xludf.DUMMYFUNCTION("""COMPUTED_VALUE"""),181.67)</f>
        <v>181.67</v>
      </c>
      <c r="E2298" s="1">
        <f ca="1">IFERROR(__xludf.DUMMYFUNCTION("""COMPUTED_VALUE"""),182.31)</f>
        <v>182.31</v>
      </c>
      <c r="F2298" s="1">
        <f ca="1">IFERROR(__xludf.DUMMYFUNCTION("""COMPUTED_VALUE"""),49752465)</f>
        <v>49752465</v>
      </c>
    </row>
    <row r="2299" spans="1:6" x14ac:dyDescent="0.35">
      <c r="A2299" s="2">
        <f ca="1">IFERROR(__xludf.DUMMYFUNCTION("""COMPUTED_VALUE"""),45342.6666666666)</f>
        <v>45342.666666666599</v>
      </c>
      <c r="B2299" s="1">
        <f ca="1">IFERROR(__xludf.DUMMYFUNCTION("""COMPUTED_VALUE"""),181.79)</f>
        <v>181.79</v>
      </c>
      <c r="C2299" s="1">
        <f ca="1">IFERROR(__xludf.DUMMYFUNCTION("""COMPUTED_VALUE"""),182.43)</f>
        <v>182.43</v>
      </c>
      <c r="D2299" s="1">
        <f ca="1">IFERROR(__xludf.DUMMYFUNCTION("""COMPUTED_VALUE"""),180)</f>
        <v>180</v>
      </c>
      <c r="E2299" s="1">
        <f ca="1">IFERROR(__xludf.DUMMYFUNCTION("""COMPUTED_VALUE"""),181.56)</f>
        <v>181.56</v>
      </c>
      <c r="F2299" s="1">
        <f ca="1">IFERROR(__xludf.DUMMYFUNCTION("""COMPUTED_VALUE"""),53665553)</f>
        <v>53665553</v>
      </c>
    </row>
    <row r="2300" spans="1:6" x14ac:dyDescent="0.35">
      <c r="A2300" s="2">
        <f ca="1">IFERROR(__xludf.DUMMYFUNCTION("""COMPUTED_VALUE"""),45343.6666666666)</f>
        <v>45343.666666666599</v>
      </c>
      <c r="B2300" s="1">
        <f ca="1">IFERROR(__xludf.DUMMYFUNCTION("""COMPUTED_VALUE"""),181.94)</f>
        <v>181.94</v>
      </c>
      <c r="C2300" s="1">
        <f ca="1">IFERROR(__xludf.DUMMYFUNCTION("""COMPUTED_VALUE"""),182.89)</f>
        <v>182.89</v>
      </c>
      <c r="D2300" s="1">
        <f ca="1">IFERROR(__xludf.DUMMYFUNCTION("""COMPUTED_VALUE"""),180.66)</f>
        <v>180.66</v>
      </c>
      <c r="E2300" s="1">
        <f ca="1">IFERROR(__xludf.DUMMYFUNCTION("""COMPUTED_VALUE"""),182.32)</f>
        <v>182.32</v>
      </c>
      <c r="F2300" s="1">
        <f ca="1">IFERROR(__xludf.DUMMYFUNCTION("""COMPUTED_VALUE"""),41529674)</f>
        <v>41529674</v>
      </c>
    </row>
    <row r="2301" spans="1:6" x14ac:dyDescent="0.35">
      <c r="A2301" s="2">
        <f ca="1">IFERROR(__xludf.DUMMYFUNCTION("""COMPUTED_VALUE"""),45344.6666666666)</f>
        <v>45344.666666666599</v>
      </c>
      <c r="B2301" s="1">
        <f ca="1">IFERROR(__xludf.DUMMYFUNCTION("""COMPUTED_VALUE"""),183.48)</f>
        <v>183.48</v>
      </c>
      <c r="C2301" s="1">
        <f ca="1">IFERROR(__xludf.DUMMYFUNCTION("""COMPUTED_VALUE"""),184.96)</f>
        <v>184.96</v>
      </c>
      <c r="D2301" s="1">
        <f ca="1">IFERROR(__xludf.DUMMYFUNCTION("""COMPUTED_VALUE"""),182.46)</f>
        <v>182.46</v>
      </c>
      <c r="E2301" s="1">
        <f ca="1">IFERROR(__xludf.DUMMYFUNCTION("""COMPUTED_VALUE"""),184.37)</f>
        <v>184.37</v>
      </c>
      <c r="F2301" s="1">
        <f ca="1">IFERROR(__xludf.DUMMYFUNCTION("""COMPUTED_VALUE"""),52292208)</f>
        <v>52292208</v>
      </c>
    </row>
    <row r="2302" spans="1:6" x14ac:dyDescent="0.35">
      <c r="A2302" s="2">
        <f ca="1">IFERROR(__xludf.DUMMYFUNCTION("""COMPUTED_VALUE"""),45345.6666666666)</f>
        <v>45345.666666666599</v>
      </c>
      <c r="B2302" s="1">
        <f ca="1">IFERROR(__xludf.DUMMYFUNCTION("""COMPUTED_VALUE"""),185.01)</f>
        <v>185.01</v>
      </c>
      <c r="C2302" s="1">
        <f ca="1">IFERROR(__xludf.DUMMYFUNCTION("""COMPUTED_VALUE"""),185.04)</f>
        <v>185.04</v>
      </c>
      <c r="D2302" s="1">
        <f ca="1">IFERROR(__xludf.DUMMYFUNCTION("""COMPUTED_VALUE"""),182.23)</f>
        <v>182.23</v>
      </c>
      <c r="E2302" s="1">
        <f ca="1">IFERROR(__xludf.DUMMYFUNCTION("""COMPUTED_VALUE"""),182.52)</f>
        <v>182.52</v>
      </c>
      <c r="F2302" s="1">
        <f ca="1">IFERROR(__xludf.DUMMYFUNCTION("""COMPUTED_VALUE"""),45119677)</f>
        <v>45119677</v>
      </c>
    </row>
    <row r="2303" spans="1:6" x14ac:dyDescent="0.35">
      <c r="A2303" s="2">
        <f ca="1">IFERROR(__xludf.DUMMYFUNCTION("""COMPUTED_VALUE"""),45348.6666666666)</f>
        <v>45348.666666666599</v>
      </c>
      <c r="B2303" s="1">
        <f ca="1">IFERROR(__xludf.DUMMYFUNCTION("""COMPUTED_VALUE"""),182.24)</f>
        <v>182.24</v>
      </c>
      <c r="C2303" s="1">
        <f ca="1">IFERROR(__xludf.DUMMYFUNCTION("""COMPUTED_VALUE"""),182.76)</f>
        <v>182.76</v>
      </c>
      <c r="D2303" s="1">
        <f ca="1">IFERROR(__xludf.DUMMYFUNCTION("""COMPUTED_VALUE"""),180.65)</f>
        <v>180.65</v>
      </c>
      <c r="E2303" s="1">
        <f ca="1">IFERROR(__xludf.DUMMYFUNCTION("""COMPUTED_VALUE"""),181.16)</f>
        <v>181.16</v>
      </c>
      <c r="F2303" s="1">
        <f ca="1">IFERROR(__xludf.DUMMYFUNCTION("""COMPUTED_VALUE"""),40867421)</f>
        <v>40867421</v>
      </c>
    </row>
    <row r="2304" spans="1:6" x14ac:dyDescent="0.35">
      <c r="A2304" s="2">
        <f ca="1">IFERROR(__xludf.DUMMYFUNCTION("""COMPUTED_VALUE"""),45349.6666666666)</f>
        <v>45349.666666666599</v>
      </c>
      <c r="B2304" s="1">
        <f ca="1">IFERROR(__xludf.DUMMYFUNCTION("""COMPUTED_VALUE"""),181.1)</f>
        <v>181.1</v>
      </c>
      <c r="C2304" s="1">
        <f ca="1">IFERROR(__xludf.DUMMYFUNCTION("""COMPUTED_VALUE"""),183.92)</f>
        <v>183.92</v>
      </c>
      <c r="D2304" s="1">
        <f ca="1">IFERROR(__xludf.DUMMYFUNCTION("""COMPUTED_VALUE"""),179.56)</f>
        <v>179.56</v>
      </c>
      <c r="E2304" s="1">
        <f ca="1">IFERROR(__xludf.DUMMYFUNCTION("""COMPUTED_VALUE"""),182.63)</f>
        <v>182.63</v>
      </c>
      <c r="F2304" s="1">
        <f ca="1">IFERROR(__xludf.DUMMYFUNCTION("""COMPUTED_VALUE"""),54318851)</f>
        <v>54318851</v>
      </c>
    </row>
    <row r="2305" spans="1:6" x14ac:dyDescent="0.35">
      <c r="A2305" s="2">
        <f ca="1">IFERROR(__xludf.DUMMYFUNCTION("""COMPUTED_VALUE"""),45350.6666666666)</f>
        <v>45350.666666666599</v>
      </c>
      <c r="B2305" s="1">
        <f ca="1">IFERROR(__xludf.DUMMYFUNCTION("""COMPUTED_VALUE"""),182.51)</f>
        <v>182.51</v>
      </c>
      <c r="C2305" s="1">
        <f ca="1">IFERROR(__xludf.DUMMYFUNCTION("""COMPUTED_VALUE"""),183.12)</f>
        <v>183.12</v>
      </c>
      <c r="D2305" s="1">
        <f ca="1">IFERROR(__xludf.DUMMYFUNCTION("""COMPUTED_VALUE"""),180.13)</f>
        <v>180.13</v>
      </c>
      <c r="E2305" s="1">
        <f ca="1">IFERROR(__xludf.DUMMYFUNCTION("""COMPUTED_VALUE"""),181.42)</f>
        <v>181.42</v>
      </c>
      <c r="F2305" s="1">
        <f ca="1">IFERROR(__xludf.DUMMYFUNCTION("""COMPUTED_VALUE"""),48953939)</f>
        <v>48953939</v>
      </c>
    </row>
    <row r="2306" spans="1:6" x14ac:dyDescent="0.35">
      <c r="A2306" s="2">
        <f ca="1">IFERROR(__xludf.DUMMYFUNCTION("""COMPUTED_VALUE"""),45351.6666666666)</f>
        <v>45351.666666666599</v>
      </c>
      <c r="B2306" s="1">
        <f ca="1">IFERROR(__xludf.DUMMYFUNCTION("""COMPUTED_VALUE"""),181.27)</f>
        <v>181.27</v>
      </c>
      <c r="C2306" s="1">
        <f ca="1">IFERROR(__xludf.DUMMYFUNCTION("""COMPUTED_VALUE"""),182.57)</f>
        <v>182.57</v>
      </c>
      <c r="D2306" s="1">
        <f ca="1">IFERROR(__xludf.DUMMYFUNCTION("""COMPUTED_VALUE"""),179.53)</f>
        <v>179.53</v>
      </c>
      <c r="E2306" s="1">
        <f ca="1">IFERROR(__xludf.DUMMYFUNCTION("""COMPUTED_VALUE"""),180.75)</f>
        <v>180.75</v>
      </c>
      <c r="F2306" s="1">
        <f ca="1">IFERROR(__xludf.DUMMYFUNCTION("""COMPUTED_VALUE"""),136682597)</f>
        <v>136682597</v>
      </c>
    </row>
    <row r="2307" spans="1:6" x14ac:dyDescent="0.35">
      <c r="A2307" s="2">
        <f ca="1">IFERROR(__xludf.DUMMYFUNCTION("""COMPUTED_VALUE"""),45352.6666666666)</f>
        <v>45352.666666666599</v>
      </c>
      <c r="B2307" s="1">
        <f ca="1">IFERROR(__xludf.DUMMYFUNCTION("""COMPUTED_VALUE"""),179.55)</f>
        <v>179.55</v>
      </c>
      <c r="C2307" s="1">
        <f ca="1">IFERROR(__xludf.DUMMYFUNCTION("""COMPUTED_VALUE"""),180.53)</f>
        <v>180.53</v>
      </c>
      <c r="D2307" s="1">
        <f ca="1">IFERROR(__xludf.DUMMYFUNCTION("""COMPUTED_VALUE"""),177.38)</f>
        <v>177.38</v>
      </c>
      <c r="E2307" s="1">
        <f ca="1">IFERROR(__xludf.DUMMYFUNCTION("""COMPUTED_VALUE"""),179.66)</f>
        <v>179.66</v>
      </c>
      <c r="F2307" s="1">
        <f ca="1">IFERROR(__xludf.DUMMYFUNCTION("""COMPUTED_VALUE"""),73563082)</f>
        <v>73563082</v>
      </c>
    </row>
    <row r="2308" spans="1:6" x14ac:dyDescent="0.35">
      <c r="A2308" s="2">
        <f ca="1">IFERROR(__xludf.DUMMYFUNCTION("""COMPUTED_VALUE"""),45355.6666666666)</f>
        <v>45355.666666666599</v>
      </c>
      <c r="B2308" s="1">
        <f ca="1">IFERROR(__xludf.DUMMYFUNCTION("""COMPUTED_VALUE"""),176.15)</f>
        <v>176.15</v>
      </c>
      <c r="C2308" s="1">
        <f ca="1">IFERROR(__xludf.DUMMYFUNCTION("""COMPUTED_VALUE"""),176.9)</f>
        <v>176.9</v>
      </c>
      <c r="D2308" s="1">
        <f ca="1">IFERROR(__xludf.DUMMYFUNCTION("""COMPUTED_VALUE"""),173.79)</f>
        <v>173.79</v>
      </c>
      <c r="E2308" s="1">
        <f ca="1">IFERROR(__xludf.DUMMYFUNCTION("""COMPUTED_VALUE"""),175.1)</f>
        <v>175.1</v>
      </c>
      <c r="F2308" s="1">
        <f ca="1">IFERROR(__xludf.DUMMYFUNCTION("""COMPUTED_VALUE"""),81510101)</f>
        <v>81510101</v>
      </c>
    </row>
    <row r="2309" spans="1:6" x14ac:dyDescent="0.35">
      <c r="A2309" s="2">
        <f ca="1">IFERROR(__xludf.DUMMYFUNCTION("""COMPUTED_VALUE"""),45356.6666666666)</f>
        <v>45356.666666666599</v>
      </c>
      <c r="B2309" s="1">
        <f ca="1">IFERROR(__xludf.DUMMYFUNCTION("""COMPUTED_VALUE"""),170.76)</f>
        <v>170.76</v>
      </c>
      <c r="C2309" s="1">
        <f ca="1">IFERROR(__xludf.DUMMYFUNCTION("""COMPUTED_VALUE"""),172.04)</f>
        <v>172.04</v>
      </c>
      <c r="D2309" s="1">
        <f ca="1">IFERROR(__xludf.DUMMYFUNCTION("""COMPUTED_VALUE"""),169.62)</f>
        <v>169.62</v>
      </c>
      <c r="E2309" s="1">
        <f ca="1">IFERROR(__xludf.DUMMYFUNCTION("""COMPUTED_VALUE"""),170.12)</f>
        <v>170.12</v>
      </c>
      <c r="F2309" s="1">
        <f ca="1">IFERROR(__xludf.DUMMYFUNCTION("""COMPUTED_VALUE"""),95132355)</f>
        <v>95132355</v>
      </c>
    </row>
    <row r="2310" spans="1:6" x14ac:dyDescent="0.35">
      <c r="A2310" s="2">
        <f ca="1">IFERROR(__xludf.DUMMYFUNCTION("""COMPUTED_VALUE"""),45357.6666666666)</f>
        <v>45357.666666666599</v>
      </c>
      <c r="B2310" s="1">
        <f ca="1">IFERROR(__xludf.DUMMYFUNCTION("""COMPUTED_VALUE"""),171.06)</f>
        <v>171.06</v>
      </c>
      <c r="C2310" s="1">
        <f ca="1">IFERROR(__xludf.DUMMYFUNCTION("""COMPUTED_VALUE"""),171.24)</f>
        <v>171.24</v>
      </c>
      <c r="D2310" s="1">
        <f ca="1">IFERROR(__xludf.DUMMYFUNCTION("""COMPUTED_VALUE"""),168.68)</f>
        <v>168.68</v>
      </c>
      <c r="E2310" s="1">
        <f ca="1">IFERROR(__xludf.DUMMYFUNCTION("""COMPUTED_VALUE"""),169.12)</f>
        <v>169.12</v>
      </c>
      <c r="F2310" s="1">
        <f ca="1">IFERROR(__xludf.DUMMYFUNCTION("""COMPUTED_VALUE"""),68587707)</f>
        <v>68587707</v>
      </c>
    </row>
    <row r="2311" spans="1:6" x14ac:dyDescent="0.35">
      <c r="A2311" s="2">
        <f ca="1">IFERROR(__xludf.DUMMYFUNCTION("""COMPUTED_VALUE"""),45358.6666666666)</f>
        <v>45358.666666666599</v>
      </c>
      <c r="B2311" s="1">
        <f ca="1">IFERROR(__xludf.DUMMYFUNCTION("""COMPUTED_VALUE"""),169.15)</f>
        <v>169.15</v>
      </c>
      <c r="C2311" s="1">
        <f ca="1">IFERROR(__xludf.DUMMYFUNCTION("""COMPUTED_VALUE"""),170.73)</f>
        <v>170.73</v>
      </c>
      <c r="D2311" s="1">
        <f ca="1">IFERROR(__xludf.DUMMYFUNCTION("""COMPUTED_VALUE"""),168.49)</f>
        <v>168.49</v>
      </c>
      <c r="E2311" s="1">
        <f ca="1">IFERROR(__xludf.DUMMYFUNCTION("""COMPUTED_VALUE"""),169)</f>
        <v>169</v>
      </c>
      <c r="F2311" s="1">
        <f ca="1">IFERROR(__xludf.DUMMYFUNCTION("""COMPUTED_VALUE"""),71765061)</f>
        <v>71765061</v>
      </c>
    </row>
    <row r="2312" spans="1:6" x14ac:dyDescent="0.35">
      <c r="A2312" s="2">
        <f ca="1">IFERROR(__xludf.DUMMYFUNCTION("""COMPUTED_VALUE"""),45359.6666666666)</f>
        <v>45359.666666666599</v>
      </c>
      <c r="B2312" s="1">
        <f ca="1">IFERROR(__xludf.DUMMYFUNCTION("""COMPUTED_VALUE"""),169)</f>
        <v>169</v>
      </c>
      <c r="C2312" s="1">
        <f ca="1">IFERROR(__xludf.DUMMYFUNCTION("""COMPUTED_VALUE"""),173.7)</f>
        <v>173.7</v>
      </c>
      <c r="D2312" s="1">
        <f ca="1">IFERROR(__xludf.DUMMYFUNCTION("""COMPUTED_VALUE"""),168.94)</f>
        <v>168.94</v>
      </c>
      <c r="E2312" s="1">
        <f ca="1">IFERROR(__xludf.DUMMYFUNCTION("""COMPUTED_VALUE"""),170.73)</f>
        <v>170.73</v>
      </c>
      <c r="F2312" s="1">
        <f ca="1">IFERROR(__xludf.DUMMYFUNCTION("""COMPUTED_VALUE"""),76267041)</f>
        <v>76267041</v>
      </c>
    </row>
    <row r="2313" spans="1:6" x14ac:dyDescent="0.35">
      <c r="A2313" s="2">
        <f ca="1">IFERROR(__xludf.DUMMYFUNCTION("""COMPUTED_VALUE"""),45362.6666666666)</f>
        <v>45362.666666666599</v>
      </c>
      <c r="B2313" s="1">
        <f ca="1">IFERROR(__xludf.DUMMYFUNCTION("""COMPUTED_VALUE"""),172.94)</f>
        <v>172.94</v>
      </c>
      <c r="C2313" s="1">
        <f ca="1">IFERROR(__xludf.DUMMYFUNCTION("""COMPUTED_VALUE"""),174.38)</f>
        <v>174.38</v>
      </c>
      <c r="D2313" s="1">
        <f ca="1">IFERROR(__xludf.DUMMYFUNCTION("""COMPUTED_VALUE"""),172.05)</f>
        <v>172.05</v>
      </c>
      <c r="E2313" s="1">
        <f ca="1">IFERROR(__xludf.DUMMYFUNCTION("""COMPUTED_VALUE"""),172.75)</f>
        <v>172.75</v>
      </c>
      <c r="F2313" s="1">
        <f ca="1">IFERROR(__xludf.DUMMYFUNCTION("""COMPUTED_VALUE"""),60139473)</f>
        <v>60139473</v>
      </c>
    </row>
    <row r="2314" spans="1:6" x14ac:dyDescent="0.35">
      <c r="A2314" s="2">
        <f ca="1">IFERROR(__xludf.DUMMYFUNCTION("""COMPUTED_VALUE"""),45363.6666666666)</f>
        <v>45363.666666666599</v>
      </c>
      <c r="B2314" s="1">
        <f ca="1">IFERROR(__xludf.DUMMYFUNCTION("""COMPUTED_VALUE"""),173.15)</f>
        <v>173.15</v>
      </c>
      <c r="C2314" s="1">
        <f ca="1">IFERROR(__xludf.DUMMYFUNCTION("""COMPUTED_VALUE"""),174.03)</f>
        <v>174.03</v>
      </c>
      <c r="D2314" s="1">
        <f ca="1">IFERROR(__xludf.DUMMYFUNCTION("""COMPUTED_VALUE"""),171.01)</f>
        <v>171.01</v>
      </c>
      <c r="E2314" s="1">
        <f ca="1">IFERROR(__xludf.DUMMYFUNCTION("""COMPUTED_VALUE"""),173.23)</f>
        <v>173.23</v>
      </c>
      <c r="F2314" s="1">
        <f ca="1">IFERROR(__xludf.DUMMYFUNCTION("""COMPUTED_VALUE"""),59825372)</f>
        <v>59825372</v>
      </c>
    </row>
    <row r="2315" spans="1:6" x14ac:dyDescent="0.35">
      <c r="A2315" s="2">
        <f ca="1">IFERROR(__xludf.DUMMYFUNCTION("""COMPUTED_VALUE"""),45364.6666666666)</f>
        <v>45364.666666666599</v>
      </c>
      <c r="B2315" s="1">
        <f ca="1">IFERROR(__xludf.DUMMYFUNCTION("""COMPUTED_VALUE"""),172.77)</f>
        <v>172.77</v>
      </c>
      <c r="C2315" s="1">
        <f ca="1">IFERROR(__xludf.DUMMYFUNCTION("""COMPUTED_VALUE"""),173.19)</f>
        <v>173.19</v>
      </c>
      <c r="D2315" s="1">
        <f ca="1">IFERROR(__xludf.DUMMYFUNCTION("""COMPUTED_VALUE"""),170.76)</f>
        <v>170.76</v>
      </c>
      <c r="E2315" s="1">
        <f ca="1">IFERROR(__xludf.DUMMYFUNCTION("""COMPUTED_VALUE"""),171.13)</f>
        <v>171.13</v>
      </c>
      <c r="F2315" s="1">
        <f ca="1">IFERROR(__xludf.DUMMYFUNCTION("""COMPUTED_VALUE"""),52488692)</f>
        <v>52488692</v>
      </c>
    </row>
    <row r="2316" spans="1:6" x14ac:dyDescent="0.35">
      <c r="A2316" s="2">
        <f ca="1">IFERROR(__xludf.DUMMYFUNCTION("""COMPUTED_VALUE"""),45365.6666666666)</f>
        <v>45365.666666666599</v>
      </c>
      <c r="B2316" s="1">
        <f ca="1">IFERROR(__xludf.DUMMYFUNCTION("""COMPUTED_VALUE"""),172.91)</f>
        <v>172.91</v>
      </c>
      <c r="C2316" s="1">
        <f ca="1">IFERROR(__xludf.DUMMYFUNCTION("""COMPUTED_VALUE"""),174.31)</f>
        <v>174.31</v>
      </c>
      <c r="D2316" s="1">
        <f ca="1">IFERROR(__xludf.DUMMYFUNCTION("""COMPUTED_VALUE"""),172.05)</f>
        <v>172.05</v>
      </c>
      <c r="E2316" s="1">
        <f ca="1">IFERROR(__xludf.DUMMYFUNCTION("""COMPUTED_VALUE"""),173)</f>
        <v>173</v>
      </c>
      <c r="F2316" s="1">
        <f ca="1">IFERROR(__xludf.DUMMYFUNCTION("""COMPUTED_VALUE"""),72913507)</f>
        <v>72913507</v>
      </c>
    </row>
    <row r="2317" spans="1:6" x14ac:dyDescent="0.35">
      <c r="A2317" s="2">
        <f ca="1">IFERROR(__xludf.DUMMYFUNCTION("""COMPUTED_VALUE"""),45366.6666666666)</f>
        <v>45366.666666666599</v>
      </c>
      <c r="B2317" s="1">
        <f ca="1">IFERROR(__xludf.DUMMYFUNCTION("""COMPUTED_VALUE"""),171.17)</f>
        <v>171.17</v>
      </c>
      <c r="C2317" s="1">
        <f ca="1">IFERROR(__xludf.DUMMYFUNCTION("""COMPUTED_VALUE"""),172.62)</f>
        <v>172.62</v>
      </c>
      <c r="D2317" s="1">
        <f ca="1">IFERROR(__xludf.DUMMYFUNCTION("""COMPUTED_VALUE"""),170.29)</f>
        <v>170.29</v>
      </c>
      <c r="E2317" s="1">
        <f ca="1">IFERROR(__xludf.DUMMYFUNCTION("""COMPUTED_VALUE"""),172.62)</f>
        <v>172.62</v>
      </c>
      <c r="F2317" s="1">
        <f ca="1">IFERROR(__xludf.DUMMYFUNCTION("""COMPUTED_VALUE"""),121752699)</f>
        <v>121752699</v>
      </c>
    </row>
    <row r="2318" spans="1:6" x14ac:dyDescent="0.35">
      <c r="A2318" s="2">
        <f ca="1">IFERROR(__xludf.DUMMYFUNCTION("""COMPUTED_VALUE"""),45369.6666666666)</f>
        <v>45369.666666666599</v>
      </c>
      <c r="B2318" s="1">
        <f ca="1">IFERROR(__xludf.DUMMYFUNCTION("""COMPUTED_VALUE"""),175.57)</f>
        <v>175.57</v>
      </c>
      <c r="C2318" s="1">
        <f ca="1">IFERROR(__xludf.DUMMYFUNCTION("""COMPUTED_VALUE"""),177.71)</f>
        <v>177.71</v>
      </c>
      <c r="D2318" s="1">
        <f ca="1">IFERROR(__xludf.DUMMYFUNCTION("""COMPUTED_VALUE"""),173.52)</f>
        <v>173.52</v>
      </c>
      <c r="E2318" s="1">
        <f ca="1">IFERROR(__xludf.DUMMYFUNCTION("""COMPUTED_VALUE"""),173.72)</f>
        <v>173.72</v>
      </c>
      <c r="F2318" s="1">
        <f ca="1">IFERROR(__xludf.DUMMYFUNCTION("""COMPUTED_VALUE"""),75604184)</f>
        <v>75604184</v>
      </c>
    </row>
    <row r="2319" spans="1:6" x14ac:dyDescent="0.35">
      <c r="A2319" s="2">
        <f ca="1">IFERROR(__xludf.DUMMYFUNCTION("""COMPUTED_VALUE"""),45370.6666666666)</f>
        <v>45370.666666666599</v>
      </c>
      <c r="B2319" s="1">
        <f ca="1">IFERROR(__xludf.DUMMYFUNCTION("""COMPUTED_VALUE"""),174.34)</f>
        <v>174.34</v>
      </c>
      <c r="C2319" s="1">
        <f ca="1">IFERROR(__xludf.DUMMYFUNCTION("""COMPUTED_VALUE"""),176.61)</f>
        <v>176.61</v>
      </c>
      <c r="D2319" s="1">
        <f ca="1">IFERROR(__xludf.DUMMYFUNCTION("""COMPUTED_VALUE"""),173.03)</f>
        <v>173.03</v>
      </c>
      <c r="E2319" s="1">
        <f ca="1">IFERROR(__xludf.DUMMYFUNCTION("""COMPUTED_VALUE"""),176.08)</f>
        <v>176.08</v>
      </c>
      <c r="F2319" s="1">
        <f ca="1">IFERROR(__xludf.DUMMYFUNCTION("""COMPUTED_VALUE"""),55215244)</f>
        <v>55215244</v>
      </c>
    </row>
    <row r="2320" spans="1:6" x14ac:dyDescent="0.35">
      <c r="A2320" s="2">
        <f ca="1">IFERROR(__xludf.DUMMYFUNCTION("""COMPUTED_VALUE"""),45371.6666666666)</f>
        <v>45371.666666666599</v>
      </c>
      <c r="B2320" s="1">
        <f ca="1">IFERROR(__xludf.DUMMYFUNCTION("""COMPUTED_VALUE"""),175.72)</f>
        <v>175.72</v>
      </c>
      <c r="C2320" s="1">
        <f ca="1">IFERROR(__xludf.DUMMYFUNCTION("""COMPUTED_VALUE"""),178.67)</f>
        <v>178.67</v>
      </c>
      <c r="D2320" s="1">
        <f ca="1">IFERROR(__xludf.DUMMYFUNCTION("""COMPUTED_VALUE"""),175.09)</f>
        <v>175.09</v>
      </c>
      <c r="E2320" s="1">
        <f ca="1">IFERROR(__xludf.DUMMYFUNCTION("""COMPUTED_VALUE"""),178.67)</f>
        <v>178.67</v>
      </c>
      <c r="F2320" s="1">
        <f ca="1">IFERROR(__xludf.DUMMYFUNCTION("""COMPUTED_VALUE"""),53423102)</f>
        <v>53423102</v>
      </c>
    </row>
    <row r="2321" spans="1:6" x14ac:dyDescent="0.35">
      <c r="A2321" s="2">
        <f ca="1">IFERROR(__xludf.DUMMYFUNCTION("""COMPUTED_VALUE"""),45372.6666666666)</f>
        <v>45372.666666666599</v>
      </c>
      <c r="B2321" s="1">
        <f ca="1">IFERROR(__xludf.DUMMYFUNCTION("""COMPUTED_VALUE"""),177.05)</f>
        <v>177.05</v>
      </c>
      <c r="C2321" s="1">
        <f ca="1">IFERROR(__xludf.DUMMYFUNCTION("""COMPUTED_VALUE"""),177.49)</f>
        <v>177.49</v>
      </c>
      <c r="D2321" s="1">
        <f ca="1">IFERROR(__xludf.DUMMYFUNCTION("""COMPUTED_VALUE"""),170.84)</f>
        <v>170.84</v>
      </c>
      <c r="E2321" s="1">
        <f ca="1">IFERROR(__xludf.DUMMYFUNCTION("""COMPUTED_VALUE"""),171.37)</f>
        <v>171.37</v>
      </c>
      <c r="F2321" s="1">
        <f ca="1">IFERROR(__xludf.DUMMYFUNCTION("""COMPUTED_VALUE"""),106181270)</f>
        <v>106181270</v>
      </c>
    </row>
    <row r="2322" spans="1:6" x14ac:dyDescent="0.35">
      <c r="A2322" s="2">
        <f ca="1">IFERROR(__xludf.DUMMYFUNCTION("""COMPUTED_VALUE"""),45373.6666666666)</f>
        <v>45373.666666666599</v>
      </c>
      <c r="B2322" s="1">
        <f ca="1">IFERROR(__xludf.DUMMYFUNCTION("""COMPUTED_VALUE"""),171.76)</f>
        <v>171.76</v>
      </c>
      <c r="C2322" s="1">
        <f ca="1">IFERROR(__xludf.DUMMYFUNCTION("""COMPUTED_VALUE"""),173.05)</f>
        <v>173.05</v>
      </c>
      <c r="D2322" s="1">
        <f ca="1">IFERROR(__xludf.DUMMYFUNCTION("""COMPUTED_VALUE"""),170.06)</f>
        <v>170.06</v>
      </c>
      <c r="E2322" s="1">
        <f ca="1">IFERROR(__xludf.DUMMYFUNCTION("""COMPUTED_VALUE"""),172.28)</f>
        <v>172.28</v>
      </c>
      <c r="F2322" s="1">
        <f ca="1">IFERROR(__xludf.DUMMYFUNCTION("""COMPUTED_VALUE"""),71160138)</f>
        <v>71160138</v>
      </c>
    </row>
    <row r="2323" spans="1:6" x14ac:dyDescent="0.35">
      <c r="A2323" s="2">
        <f ca="1">IFERROR(__xludf.DUMMYFUNCTION("""COMPUTED_VALUE"""),45376.6666666666)</f>
        <v>45376.666666666599</v>
      </c>
      <c r="B2323" s="1">
        <f ca="1">IFERROR(__xludf.DUMMYFUNCTION("""COMPUTED_VALUE"""),170.57)</f>
        <v>170.57</v>
      </c>
      <c r="C2323" s="1">
        <f ca="1">IFERROR(__xludf.DUMMYFUNCTION("""COMPUTED_VALUE"""),171.94)</f>
        <v>171.94</v>
      </c>
      <c r="D2323" s="1">
        <f ca="1">IFERROR(__xludf.DUMMYFUNCTION("""COMPUTED_VALUE"""),169.45)</f>
        <v>169.45</v>
      </c>
      <c r="E2323" s="1">
        <f ca="1">IFERROR(__xludf.DUMMYFUNCTION("""COMPUTED_VALUE"""),170.85)</f>
        <v>170.85</v>
      </c>
      <c r="F2323" s="1">
        <f ca="1">IFERROR(__xludf.DUMMYFUNCTION("""COMPUTED_VALUE"""),54288328)</f>
        <v>54288328</v>
      </c>
    </row>
    <row r="2324" spans="1:6" x14ac:dyDescent="0.35">
      <c r="A2324" s="2">
        <f ca="1">IFERROR(__xludf.DUMMYFUNCTION("""COMPUTED_VALUE"""),45377.6666666666)</f>
        <v>45377.666666666599</v>
      </c>
      <c r="B2324" s="1">
        <f ca="1">IFERROR(__xludf.DUMMYFUNCTION("""COMPUTED_VALUE"""),170)</f>
        <v>170</v>
      </c>
      <c r="C2324" s="1">
        <f ca="1">IFERROR(__xludf.DUMMYFUNCTION("""COMPUTED_VALUE"""),171.42)</f>
        <v>171.42</v>
      </c>
      <c r="D2324" s="1">
        <f ca="1">IFERROR(__xludf.DUMMYFUNCTION("""COMPUTED_VALUE"""),169.58)</f>
        <v>169.58</v>
      </c>
      <c r="E2324" s="1">
        <f ca="1">IFERROR(__xludf.DUMMYFUNCTION("""COMPUTED_VALUE"""),169.71)</f>
        <v>169.71</v>
      </c>
      <c r="F2324" s="1">
        <f ca="1">IFERROR(__xludf.DUMMYFUNCTION("""COMPUTED_VALUE"""),57388449)</f>
        <v>57388449</v>
      </c>
    </row>
    <row r="2325" spans="1:6" x14ac:dyDescent="0.35">
      <c r="A2325" s="2">
        <f ca="1">IFERROR(__xludf.DUMMYFUNCTION("""COMPUTED_VALUE"""),45378.6666666666)</f>
        <v>45378.666666666599</v>
      </c>
      <c r="B2325" s="1">
        <f ca="1">IFERROR(__xludf.DUMMYFUNCTION("""COMPUTED_VALUE"""),170.41)</f>
        <v>170.41</v>
      </c>
      <c r="C2325" s="1">
        <f ca="1">IFERROR(__xludf.DUMMYFUNCTION("""COMPUTED_VALUE"""),173.6)</f>
        <v>173.6</v>
      </c>
      <c r="D2325" s="1">
        <f ca="1">IFERROR(__xludf.DUMMYFUNCTION("""COMPUTED_VALUE"""),170.11)</f>
        <v>170.11</v>
      </c>
      <c r="E2325" s="1">
        <f ca="1">IFERROR(__xludf.DUMMYFUNCTION("""COMPUTED_VALUE"""),173.31)</f>
        <v>173.31</v>
      </c>
      <c r="F2325" s="1">
        <f ca="1">IFERROR(__xludf.DUMMYFUNCTION("""COMPUTED_VALUE"""),60273265)</f>
        <v>60273265</v>
      </c>
    </row>
    <row r="2326" spans="1:6" x14ac:dyDescent="0.35">
      <c r="A2326" s="2">
        <f ca="1">IFERROR(__xludf.DUMMYFUNCTION("""COMPUTED_VALUE"""),45379.6666666666)</f>
        <v>45379.666666666599</v>
      </c>
      <c r="B2326" s="1">
        <f ca="1">IFERROR(__xludf.DUMMYFUNCTION("""COMPUTED_VALUE"""),171.75)</f>
        <v>171.75</v>
      </c>
      <c r="C2326" s="1">
        <f ca="1">IFERROR(__xludf.DUMMYFUNCTION("""COMPUTED_VALUE"""),172.23)</f>
        <v>172.23</v>
      </c>
      <c r="D2326" s="1">
        <f ca="1">IFERROR(__xludf.DUMMYFUNCTION("""COMPUTED_VALUE"""),170.51)</f>
        <v>170.51</v>
      </c>
      <c r="E2326" s="1">
        <f ca="1">IFERROR(__xludf.DUMMYFUNCTION("""COMPUTED_VALUE"""),171.48)</f>
        <v>171.48</v>
      </c>
      <c r="F2326" s="1">
        <f ca="1">IFERROR(__xludf.DUMMYFUNCTION("""COMPUTED_VALUE"""),65672690)</f>
        <v>65672690</v>
      </c>
    </row>
    <row r="2327" spans="1:6" x14ac:dyDescent="0.35">
      <c r="A2327" s="2">
        <f ca="1">IFERROR(__xludf.DUMMYFUNCTION("""COMPUTED_VALUE"""),45383.6666666666)</f>
        <v>45383.666666666599</v>
      </c>
      <c r="B2327" s="1">
        <f ca="1">IFERROR(__xludf.DUMMYFUNCTION("""COMPUTED_VALUE"""),171.19)</f>
        <v>171.19</v>
      </c>
      <c r="C2327" s="1">
        <f ca="1">IFERROR(__xludf.DUMMYFUNCTION("""COMPUTED_VALUE"""),171.25)</f>
        <v>171.25</v>
      </c>
      <c r="D2327" s="1">
        <f ca="1">IFERROR(__xludf.DUMMYFUNCTION("""COMPUTED_VALUE"""),169.48)</f>
        <v>169.48</v>
      </c>
      <c r="E2327" s="1">
        <f ca="1">IFERROR(__xludf.DUMMYFUNCTION("""COMPUTED_VALUE"""),170.03)</f>
        <v>170.03</v>
      </c>
      <c r="F2327" s="1">
        <f ca="1">IFERROR(__xludf.DUMMYFUNCTION("""COMPUTED_VALUE"""),46240500)</f>
        <v>46240500</v>
      </c>
    </row>
    <row r="2328" spans="1:6" x14ac:dyDescent="0.35">
      <c r="A2328" s="2">
        <f ca="1">IFERROR(__xludf.DUMMYFUNCTION("""COMPUTED_VALUE"""),45384.6666666666)</f>
        <v>45384.666666666599</v>
      </c>
      <c r="B2328" s="1">
        <f ca="1">IFERROR(__xludf.DUMMYFUNCTION("""COMPUTED_VALUE"""),169.08)</f>
        <v>169.08</v>
      </c>
      <c r="C2328" s="1">
        <f ca="1">IFERROR(__xludf.DUMMYFUNCTION("""COMPUTED_VALUE"""),169.34)</f>
        <v>169.34</v>
      </c>
      <c r="D2328" s="1">
        <f ca="1">IFERROR(__xludf.DUMMYFUNCTION("""COMPUTED_VALUE"""),168.23)</f>
        <v>168.23</v>
      </c>
      <c r="E2328" s="1">
        <f ca="1">IFERROR(__xludf.DUMMYFUNCTION("""COMPUTED_VALUE"""),168.84)</f>
        <v>168.84</v>
      </c>
      <c r="F2328" s="1">
        <f ca="1">IFERROR(__xludf.DUMMYFUNCTION("""COMPUTED_VALUE"""),49329481)</f>
        <v>49329481</v>
      </c>
    </row>
    <row r="2329" spans="1:6" x14ac:dyDescent="0.35">
      <c r="A2329" s="2">
        <f ca="1">IFERROR(__xludf.DUMMYFUNCTION("""COMPUTED_VALUE"""),45385.6666666666)</f>
        <v>45385.666666666599</v>
      </c>
      <c r="B2329" s="1">
        <f ca="1">IFERROR(__xludf.DUMMYFUNCTION("""COMPUTED_VALUE"""),168.79)</f>
        <v>168.79</v>
      </c>
      <c r="C2329" s="1">
        <f ca="1">IFERROR(__xludf.DUMMYFUNCTION("""COMPUTED_VALUE"""),170.68)</f>
        <v>170.68</v>
      </c>
      <c r="D2329" s="1">
        <f ca="1">IFERROR(__xludf.DUMMYFUNCTION("""COMPUTED_VALUE"""),168.58)</f>
        <v>168.58</v>
      </c>
      <c r="E2329" s="1">
        <f ca="1">IFERROR(__xludf.DUMMYFUNCTION("""COMPUTED_VALUE"""),169.65)</f>
        <v>169.65</v>
      </c>
      <c r="F2329" s="1">
        <f ca="1">IFERROR(__xludf.DUMMYFUNCTION("""COMPUTED_VALUE"""),47691715)</f>
        <v>47691715</v>
      </c>
    </row>
    <row r="2330" spans="1:6" x14ac:dyDescent="0.35">
      <c r="A2330" s="2">
        <f ca="1">IFERROR(__xludf.DUMMYFUNCTION("""COMPUTED_VALUE"""),45386.6666666666)</f>
        <v>45386.666666666599</v>
      </c>
      <c r="B2330" s="1">
        <f ca="1">IFERROR(__xludf.DUMMYFUNCTION("""COMPUTED_VALUE"""),170.29)</f>
        <v>170.29</v>
      </c>
      <c r="C2330" s="1">
        <f ca="1">IFERROR(__xludf.DUMMYFUNCTION("""COMPUTED_VALUE"""),171.92)</f>
        <v>171.92</v>
      </c>
      <c r="D2330" s="1">
        <f ca="1">IFERROR(__xludf.DUMMYFUNCTION("""COMPUTED_VALUE"""),168.82)</f>
        <v>168.82</v>
      </c>
      <c r="E2330" s="1">
        <f ca="1">IFERROR(__xludf.DUMMYFUNCTION("""COMPUTED_VALUE"""),168.82)</f>
        <v>168.82</v>
      </c>
      <c r="F2330" s="1">
        <f ca="1">IFERROR(__xludf.DUMMYFUNCTION("""COMPUTED_VALUE"""),53704386)</f>
        <v>53704386</v>
      </c>
    </row>
    <row r="2331" spans="1:6" x14ac:dyDescent="0.35">
      <c r="A2331" s="2">
        <f ca="1">IFERROR(__xludf.DUMMYFUNCTION("""COMPUTED_VALUE"""),45387.6666666666)</f>
        <v>45387.666666666599</v>
      </c>
      <c r="B2331" s="1">
        <f ca="1">IFERROR(__xludf.DUMMYFUNCTION("""COMPUTED_VALUE"""),169.59)</f>
        <v>169.59</v>
      </c>
      <c r="C2331" s="1">
        <f ca="1">IFERROR(__xludf.DUMMYFUNCTION("""COMPUTED_VALUE"""),170.39)</f>
        <v>170.39</v>
      </c>
      <c r="D2331" s="1">
        <f ca="1">IFERROR(__xludf.DUMMYFUNCTION("""COMPUTED_VALUE"""),168.95)</f>
        <v>168.95</v>
      </c>
      <c r="E2331" s="1">
        <f ca="1">IFERROR(__xludf.DUMMYFUNCTION("""COMPUTED_VALUE"""),169.58)</f>
        <v>169.58</v>
      </c>
      <c r="F2331" s="1">
        <f ca="1">IFERROR(__xludf.DUMMYFUNCTION("""COMPUTED_VALUE"""),42104826)</f>
        <v>42104826</v>
      </c>
    </row>
    <row r="2332" spans="1:6" x14ac:dyDescent="0.35">
      <c r="A2332" s="2">
        <f ca="1">IFERROR(__xludf.DUMMYFUNCTION("""COMPUTED_VALUE"""),45390.6666666666)</f>
        <v>45390.666666666599</v>
      </c>
      <c r="B2332" s="1">
        <f ca="1">IFERROR(__xludf.DUMMYFUNCTION("""COMPUTED_VALUE"""),169.03)</f>
        <v>169.03</v>
      </c>
      <c r="C2332" s="1">
        <f ca="1">IFERROR(__xludf.DUMMYFUNCTION("""COMPUTED_VALUE"""),169.2)</f>
        <v>169.2</v>
      </c>
      <c r="D2332" s="1">
        <f ca="1">IFERROR(__xludf.DUMMYFUNCTION("""COMPUTED_VALUE"""),168.24)</f>
        <v>168.24</v>
      </c>
      <c r="E2332" s="1">
        <f ca="1">IFERROR(__xludf.DUMMYFUNCTION("""COMPUTED_VALUE"""),168.45)</f>
        <v>168.45</v>
      </c>
      <c r="F2332" s="1">
        <f ca="1">IFERROR(__xludf.DUMMYFUNCTION("""COMPUTED_VALUE"""),37425513)</f>
        <v>37425513</v>
      </c>
    </row>
    <row r="2333" spans="1:6" x14ac:dyDescent="0.35">
      <c r="A2333" s="2">
        <f ca="1">IFERROR(__xludf.DUMMYFUNCTION("""COMPUTED_VALUE"""),45391.6666666666)</f>
        <v>45391.666666666599</v>
      </c>
      <c r="B2333" s="1">
        <f ca="1">IFERROR(__xludf.DUMMYFUNCTION("""COMPUTED_VALUE"""),168.7)</f>
        <v>168.7</v>
      </c>
      <c r="C2333" s="1">
        <f ca="1">IFERROR(__xludf.DUMMYFUNCTION("""COMPUTED_VALUE"""),170.08)</f>
        <v>170.08</v>
      </c>
      <c r="D2333" s="1">
        <f ca="1">IFERROR(__xludf.DUMMYFUNCTION("""COMPUTED_VALUE"""),168.35)</f>
        <v>168.35</v>
      </c>
      <c r="E2333" s="1">
        <f ca="1">IFERROR(__xludf.DUMMYFUNCTION("""COMPUTED_VALUE"""),169.67)</f>
        <v>169.67</v>
      </c>
      <c r="F2333" s="1">
        <f ca="1">IFERROR(__xludf.DUMMYFUNCTION("""COMPUTED_VALUE"""),42451209)</f>
        <v>42451209</v>
      </c>
    </row>
    <row r="2334" spans="1:6" x14ac:dyDescent="0.35">
      <c r="A2334" s="2">
        <f ca="1">IFERROR(__xludf.DUMMYFUNCTION("""COMPUTED_VALUE"""),45392.6666666666)</f>
        <v>45392.666666666599</v>
      </c>
      <c r="B2334" s="1">
        <f ca="1">IFERROR(__xludf.DUMMYFUNCTION("""COMPUTED_VALUE"""),168.8)</f>
        <v>168.8</v>
      </c>
      <c r="C2334" s="1">
        <f ca="1">IFERROR(__xludf.DUMMYFUNCTION("""COMPUTED_VALUE"""),169.09)</f>
        <v>169.09</v>
      </c>
      <c r="D2334" s="1">
        <f ca="1">IFERROR(__xludf.DUMMYFUNCTION("""COMPUTED_VALUE"""),167.11)</f>
        <v>167.11</v>
      </c>
      <c r="E2334" s="1">
        <f ca="1">IFERROR(__xludf.DUMMYFUNCTION("""COMPUTED_VALUE"""),167.78)</f>
        <v>167.78</v>
      </c>
      <c r="F2334" s="1">
        <f ca="1">IFERROR(__xludf.DUMMYFUNCTION("""COMPUTED_VALUE"""),49709336)</f>
        <v>49709336</v>
      </c>
    </row>
    <row r="2335" spans="1:6" x14ac:dyDescent="0.35">
      <c r="A2335" s="2">
        <f ca="1">IFERROR(__xludf.DUMMYFUNCTION("""COMPUTED_VALUE"""),45393.6666666666)</f>
        <v>45393.666666666599</v>
      </c>
      <c r="B2335" s="1">
        <f ca="1">IFERROR(__xludf.DUMMYFUNCTION("""COMPUTED_VALUE"""),168.34)</f>
        <v>168.34</v>
      </c>
      <c r="C2335" s="1">
        <f ca="1">IFERROR(__xludf.DUMMYFUNCTION("""COMPUTED_VALUE"""),175.46)</f>
        <v>175.46</v>
      </c>
      <c r="D2335" s="1">
        <f ca="1">IFERROR(__xludf.DUMMYFUNCTION("""COMPUTED_VALUE"""),168.16)</f>
        <v>168.16</v>
      </c>
      <c r="E2335" s="1">
        <f ca="1">IFERROR(__xludf.DUMMYFUNCTION("""COMPUTED_VALUE"""),175.04)</f>
        <v>175.04</v>
      </c>
      <c r="F2335" s="1">
        <f ca="1">IFERROR(__xludf.DUMMYFUNCTION("""COMPUTED_VALUE"""),91070275)</f>
        <v>91070275</v>
      </c>
    </row>
    <row r="2336" spans="1:6" x14ac:dyDescent="0.35">
      <c r="A2336" s="2">
        <f ca="1">IFERROR(__xludf.DUMMYFUNCTION("""COMPUTED_VALUE"""),45394.6666666666)</f>
        <v>45394.666666666599</v>
      </c>
      <c r="B2336" s="1">
        <f ca="1">IFERROR(__xludf.DUMMYFUNCTION("""COMPUTED_VALUE"""),174.26)</f>
        <v>174.26</v>
      </c>
      <c r="C2336" s="1">
        <f ca="1">IFERROR(__xludf.DUMMYFUNCTION("""COMPUTED_VALUE"""),178.36)</f>
        <v>178.36</v>
      </c>
      <c r="D2336" s="1">
        <f ca="1">IFERROR(__xludf.DUMMYFUNCTION("""COMPUTED_VALUE"""),174.21)</f>
        <v>174.21</v>
      </c>
      <c r="E2336" s="1">
        <f ca="1">IFERROR(__xludf.DUMMYFUNCTION("""COMPUTED_VALUE"""),176.55)</f>
        <v>176.55</v>
      </c>
      <c r="F2336" s="1">
        <f ca="1">IFERROR(__xludf.DUMMYFUNCTION("""COMPUTED_VALUE"""),101670886)</f>
        <v>101670886</v>
      </c>
    </row>
    <row r="2337" spans="1:6" x14ac:dyDescent="0.35">
      <c r="A2337" s="2">
        <f ca="1">IFERROR(__xludf.DUMMYFUNCTION("""COMPUTED_VALUE"""),45397.6666666666)</f>
        <v>45397.666666666599</v>
      </c>
      <c r="B2337" s="1">
        <f ca="1">IFERROR(__xludf.DUMMYFUNCTION("""COMPUTED_VALUE"""),175.36)</f>
        <v>175.36</v>
      </c>
      <c r="C2337" s="1">
        <f ca="1">IFERROR(__xludf.DUMMYFUNCTION("""COMPUTED_VALUE"""),176.63)</f>
        <v>176.63</v>
      </c>
      <c r="D2337" s="1">
        <f ca="1">IFERROR(__xludf.DUMMYFUNCTION("""COMPUTED_VALUE"""),172.5)</f>
        <v>172.5</v>
      </c>
      <c r="E2337" s="1">
        <f ca="1">IFERROR(__xludf.DUMMYFUNCTION("""COMPUTED_VALUE"""),172.69)</f>
        <v>172.69</v>
      </c>
      <c r="F2337" s="1">
        <f ca="1">IFERROR(__xludf.DUMMYFUNCTION("""COMPUTED_VALUE"""),73531773)</f>
        <v>73531773</v>
      </c>
    </row>
    <row r="2338" spans="1:6" x14ac:dyDescent="0.35">
      <c r="A2338" s="2">
        <f ca="1">IFERROR(__xludf.DUMMYFUNCTION("""COMPUTED_VALUE"""),45398.6666666666)</f>
        <v>45398.666666666599</v>
      </c>
      <c r="B2338" s="1">
        <f ca="1">IFERROR(__xludf.DUMMYFUNCTION("""COMPUTED_VALUE"""),171.75)</f>
        <v>171.75</v>
      </c>
      <c r="C2338" s="1">
        <f ca="1">IFERROR(__xludf.DUMMYFUNCTION("""COMPUTED_VALUE"""),173.76)</f>
        <v>173.76</v>
      </c>
      <c r="D2338" s="1">
        <f ca="1">IFERROR(__xludf.DUMMYFUNCTION("""COMPUTED_VALUE"""),168.27)</f>
        <v>168.27</v>
      </c>
      <c r="E2338" s="1">
        <f ca="1">IFERROR(__xludf.DUMMYFUNCTION("""COMPUTED_VALUE"""),169.38)</f>
        <v>169.38</v>
      </c>
      <c r="F2338" s="1">
        <f ca="1">IFERROR(__xludf.DUMMYFUNCTION("""COMPUTED_VALUE"""),73711235)</f>
        <v>73711235</v>
      </c>
    </row>
    <row r="2339" spans="1:6" x14ac:dyDescent="0.35">
      <c r="A2339" s="2">
        <f ca="1">IFERROR(__xludf.DUMMYFUNCTION("""COMPUTED_VALUE"""),45399.6666666666)</f>
        <v>45399.666666666599</v>
      </c>
      <c r="B2339" s="1">
        <f ca="1">IFERROR(__xludf.DUMMYFUNCTION("""COMPUTED_VALUE"""),169.61)</f>
        <v>169.61</v>
      </c>
      <c r="C2339" s="1">
        <f ca="1">IFERROR(__xludf.DUMMYFUNCTION("""COMPUTED_VALUE"""),170.65)</f>
        <v>170.65</v>
      </c>
      <c r="D2339" s="1">
        <f ca="1">IFERROR(__xludf.DUMMYFUNCTION("""COMPUTED_VALUE"""),168)</f>
        <v>168</v>
      </c>
      <c r="E2339" s="1">
        <f ca="1">IFERROR(__xludf.DUMMYFUNCTION("""COMPUTED_VALUE"""),168)</f>
        <v>168</v>
      </c>
      <c r="F2339" s="1">
        <f ca="1">IFERROR(__xludf.DUMMYFUNCTION("""COMPUTED_VALUE"""),50901210)</f>
        <v>50901210</v>
      </c>
    </row>
    <row r="2340" spans="1:6" x14ac:dyDescent="0.35">
      <c r="A2340" s="2">
        <f ca="1">IFERROR(__xludf.DUMMYFUNCTION("""COMPUTED_VALUE"""),45400.6666666666)</f>
        <v>45400.666666666599</v>
      </c>
      <c r="B2340" s="1">
        <f ca="1">IFERROR(__xludf.DUMMYFUNCTION("""COMPUTED_VALUE"""),168.03)</f>
        <v>168.03</v>
      </c>
      <c r="C2340" s="1">
        <f ca="1">IFERROR(__xludf.DUMMYFUNCTION("""COMPUTED_VALUE"""),168.64)</f>
        <v>168.64</v>
      </c>
      <c r="D2340" s="1">
        <f ca="1">IFERROR(__xludf.DUMMYFUNCTION("""COMPUTED_VALUE"""),166.55)</f>
        <v>166.55</v>
      </c>
      <c r="E2340" s="1">
        <f ca="1">IFERROR(__xludf.DUMMYFUNCTION("""COMPUTED_VALUE"""),167.04)</f>
        <v>167.04</v>
      </c>
      <c r="F2340" s="1">
        <f ca="1">IFERROR(__xludf.DUMMYFUNCTION("""COMPUTED_VALUE"""),43122903)</f>
        <v>43122903</v>
      </c>
    </row>
    <row r="2341" spans="1:6" x14ac:dyDescent="0.35">
      <c r="A2341" s="2">
        <f ca="1">IFERROR(__xludf.DUMMYFUNCTION("""COMPUTED_VALUE"""),45401.6666666666)</f>
        <v>45401.666666666599</v>
      </c>
      <c r="B2341" s="1">
        <f ca="1">IFERROR(__xludf.DUMMYFUNCTION("""COMPUTED_VALUE"""),166.21)</f>
        <v>166.21</v>
      </c>
      <c r="C2341" s="1">
        <f ca="1">IFERROR(__xludf.DUMMYFUNCTION("""COMPUTED_VALUE"""),166.4)</f>
        <v>166.4</v>
      </c>
      <c r="D2341" s="1">
        <f ca="1">IFERROR(__xludf.DUMMYFUNCTION("""COMPUTED_VALUE"""),164.08)</f>
        <v>164.08</v>
      </c>
      <c r="E2341" s="1">
        <f ca="1">IFERROR(__xludf.DUMMYFUNCTION("""COMPUTED_VALUE"""),165)</f>
        <v>165</v>
      </c>
      <c r="F2341" s="1">
        <f ca="1">IFERROR(__xludf.DUMMYFUNCTION("""COMPUTED_VALUE"""),68149377)</f>
        <v>68149377</v>
      </c>
    </row>
    <row r="2342" spans="1:6" x14ac:dyDescent="0.35">
      <c r="A2342" s="2">
        <f ca="1">IFERROR(__xludf.DUMMYFUNCTION("""COMPUTED_VALUE"""),45404.6666666666)</f>
        <v>45404.666666666599</v>
      </c>
      <c r="B2342" s="1">
        <f ca="1">IFERROR(__xludf.DUMMYFUNCTION("""COMPUTED_VALUE"""),165.52)</f>
        <v>165.52</v>
      </c>
      <c r="C2342" s="1">
        <f ca="1">IFERROR(__xludf.DUMMYFUNCTION("""COMPUTED_VALUE"""),167.26)</f>
        <v>167.26</v>
      </c>
      <c r="D2342" s="1">
        <f ca="1">IFERROR(__xludf.DUMMYFUNCTION("""COMPUTED_VALUE"""),164.77)</f>
        <v>164.77</v>
      </c>
      <c r="E2342" s="1">
        <f ca="1">IFERROR(__xludf.DUMMYFUNCTION("""COMPUTED_VALUE"""),165.84)</f>
        <v>165.84</v>
      </c>
      <c r="F2342" s="1">
        <f ca="1">IFERROR(__xludf.DUMMYFUNCTION("""COMPUTED_VALUE"""),48116443)</f>
        <v>48116443</v>
      </c>
    </row>
    <row r="2343" spans="1:6" x14ac:dyDescent="0.35">
      <c r="A2343" s="2">
        <f ca="1">IFERROR(__xludf.DUMMYFUNCTION("""COMPUTED_VALUE"""),45405.6666666666)</f>
        <v>45405.666666666599</v>
      </c>
      <c r="B2343" s="1">
        <f ca="1">IFERROR(__xludf.DUMMYFUNCTION("""COMPUTED_VALUE"""),165.35)</f>
        <v>165.35</v>
      </c>
      <c r="C2343" s="1">
        <f ca="1">IFERROR(__xludf.DUMMYFUNCTION("""COMPUTED_VALUE"""),167.05)</f>
        <v>167.05</v>
      </c>
      <c r="D2343" s="1">
        <f ca="1">IFERROR(__xludf.DUMMYFUNCTION("""COMPUTED_VALUE"""),164.92)</f>
        <v>164.92</v>
      </c>
      <c r="E2343" s="1">
        <f ca="1">IFERROR(__xludf.DUMMYFUNCTION("""COMPUTED_VALUE"""),166.9)</f>
        <v>166.9</v>
      </c>
      <c r="F2343" s="1">
        <f ca="1">IFERROR(__xludf.DUMMYFUNCTION("""COMPUTED_VALUE"""),49537761)</f>
        <v>49537761</v>
      </c>
    </row>
    <row r="2344" spans="1:6" x14ac:dyDescent="0.35">
      <c r="A2344" s="2">
        <f ca="1">IFERROR(__xludf.DUMMYFUNCTION("""COMPUTED_VALUE"""),45406.6666666666)</f>
        <v>45406.666666666599</v>
      </c>
      <c r="B2344" s="1">
        <f ca="1">IFERROR(__xludf.DUMMYFUNCTION("""COMPUTED_VALUE"""),166.54)</f>
        <v>166.54</v>
      </c>
      <c r="C2344" s="1">
        <f ca="1">IFERROR(__xludf.DUMMYFUNCTION("""COMPUTED_VALUE"""),169.3)</f>
        <v>169.3</v>
      </c>
      <c r="D2344" s="1">
        <f ca="1">IFERROR(__xludf.DUMMYFUNCTION("""COMPUTED_VALUE"""),166.21)</f>
        <v>166.21</v>
      </c>
      <c r="E2344" s="1">
        <f ca="1">IFERROR(__xludf.DUMMYFUNCTION("""COMPUTED_VALUE"""),169.02)</f>
        <v>169.02</v>
      </c>
      <c r="F2344" s="1">
        <f ca="1">IFERROR(__xludf.DUMMYFUNCTION("""COMPUTED_VALUE"""),48251835)</f>
        <v>48251835</v>
      </c>
    </row>
    <row r="2345" spans="1:6" x14ac:dyDescent="0.35">
      <c r="A2345" s="2">
        <f ca="1">IFERROR(__xludf.DUMMYFUNCTION("""COMPUTED_VALUE"""),45407.6666666666)</f>
        <v>45407.666666666599</v>
      </c>
      <c r="B2345" s="1">
        <f ca="1">IFERROR(__xludf.DUMMYFUNCTION("""COMPUTED_VALUE"""),169.53)</f>
        <v>169.53</v>
      </c>
      <c r="C2345" s="1">
        <f ca="1">IFERROR(__xludf.DUMMYFUNCTION("""COMPUTED_VALUE"""),170.61)</f>
        <v>170.61</v>
      </c>
      <c r="D2345" s="1">
        <f ca="1">IFERROR(__xludf.DUMMYFUNCTION("""COMPUTED_VALUE"""),168.15)</f>
        <v>168.15</v>
      </c>
      <c r="E2345" s="1">
        <f ca="1">IFERROR(__xludf.DUMMYFUNCTION("""COMPUTED_VALUE"""),169.89)</f>
        <v>169.89</v>
      </c>
      <c r="F2345" s="1">
        <f ca="1">IFERROR(__xludf.DUMMYFUNCTION("""COMPUTED_VALUE"""),50558329)</f>
        <v>50558329</v>
      </c>
    </row>
    <row r="2346" spans="1:6" x14ac:dyDescent="0.35">
      <c r="A2346" s="2">
        <f ca="1">IFERROR(__xludf.DUMMYFUNCTION("""COMPUTED_VALUE"""),45408.6666666666)</f>
        <v>45408.666666666599</v>
      </c>
      <c r="B2346" s="1">
        <f ca="1">IFERROR(__xludf.DUMMYFUNCTION("""COMPUTED_VALUE"""),169.88)</f>
        <v>169.88</v>
      </c>
      <c r="C2346" s="1">
        <f ca="1">IFERROR(__xludf.DUMMYFUNCTION("""COMPUTED_VALUE"""),171.34)</f>
        <v>171.34</v>
      </c>
      <c r="D2346" s="1">
        <f ca="1">IFERROR(__xludf.DUMMYFUNCTION("""COMPUTED_VALUE"""),169.18)</f>
        <v>169.18</v>
      </c>
      <c r="E2346" s="1">
        <f ca="1">IFERROR(__xludf.DUMMYFUNCTION("""COMPUTED_VALUE"""),169.3)</f>
        <v>169.3</v>
      </c>
      <c r="F2346" s="1">
        <f ca="1">IFERROR(__xludf.DUMMYFUNCTION("""COMPUTED_VALUE"""),44838354)</f>
        <v>44838354</v>
      </c>
    </row>
    <row r="2347" spans="1:6" x14ac:dyDescent="0.35">
      <c r="A2347" s="2">
        <f ca="1">IFERROR(__xludf.DUMMYFUNCTION("""COMPUTED_VALUE"""),45411.6666666666)</f>
        <v>45411.666666666599</v>
      </c>
      <c r="B2347" s="1">
        <f ca="1">IFERROR(__xludf.DUMMYFUNCTION("""COMPUTED_VALUE"""),173.37)</f>
        <v>173.37</v>
      </c>
      <c r="C2347" s="1">
        <f ca="1">IFERROR(__xludf.DUMMYFUNCTION("""COMPUTED_VALUE"""),176.03)</f>
        <v>176.03</v>
      </c>
      <c r="D2347" s="1">
        <f ca="1">IFERROR(__xludf.DUMMYFUNCTION("""COMPUTED_VALUE"""),173.1)</f>
        <v>173.1</v>
      </c>
      <c r="E2347" s="1">
        <f ca="1">IFERROR(__xludf.DUMMYFUNCTION("""COMPUTED_VALUE"""),173.5)</f>
        <v>173.5</v>
      </c>
      <c r="F2347" s="1">
        <f ca="1">IFERROR(__xludf.DUMMYFUNCTION("""COMPUTED_VALUE"""),68169419)</f>
        <v>68169419</v>
      </c>
    </row>
    <row r="2348" spans="1:6" x14ac:dyDescent="0.35">
      <c r="A2348" s="2">
        <f ca="1">IFERROR(__xludf.DUMMYFUNCTION("""COMPUTED_VALUE"""),45412.6666666666)</f>
        <v>45412.666666666599</v>
      </c>
      <c r="B2348" s="1">
        <f ca="1">IFERROR(__xludf.DUMMYFUNCTION("""COMPUTED_VALUE"""),173.33)</f>
        <v>173.33</v>
      </c>
      <c r="C2348" s="1">
        <f ca="1">IFERROR(__xludf.DUMMYFUNCTION("""COMPUTED_VALUE"""),174.99)</f>
        <v>174.99</v>
      </c>
      <c r="D2348" s="1">
        <f ca="1">IFERROR(__xludf.DUMMYFUNCTION("""COMPUTED_VALUE"""),170)</f>
        <v>170</v>
      </c>
      <c r="E2348" s="1">
        <f ca="1">IFERROR(__xludf.DUMMYFUNCTION("""COMPUTED_VALUE"""),170.33)</f>
        <v>170.33</v>
      </c>
      <c r="F2348" s="1">
        <f ca="1">IFERROR(__xludf.DUMMYFUNCTION("""COMPUTED_VALUE"""),65934776)</f>
        <v>65934776</v>
      </c>
    </row>
    <row r="2349" spans="1:6" x14ac:dyDescent="0.35">
      <c r="A2349" s="2">
        <f ca="1">IFERROR(__xludf.DUMMYFUNCTION("""COMPUTED_VALUE"""),45413.6666666666)</f>
        <v>45413.666666666599</v>
      </c>
      <c r="B2349" s="1">
        <f ca="1">IFERROR(__xludf.DUMMYFUNCTION("""COMPUTED_VALUE"""),169.58)</f>
        <v>169.58</v>
      </c>
      <c r="C2349" s="1">
        <f ca="1">IFERROR(__xludf.DUMMYFUNCTION("""COMPUTED_VALUE"""),172.71)</f>
        <v>172.71</v>
      </c>
      <c r="D2349" s="1">
        <f ca="1">IFERROR(__xludf.DUMMYFUNCTION("""COMPUTED_VALUE"""),169.11)</f>
        <v>169.11</v>
      </c>
      <c r="E2349" s="1">
        <f ca="1">IFERROR(__xludf.DUMMYFUNCTION("""COMPUTED_VALUE"""),169.3)</f>
        <v>169.3</v>
      </c>
      <c r="F2349" s="1">
        <f ca="1">IFERROR(__xludf.DUMMYFUNCTION("""COMPUTED_VALUE"""),50383147)</f>
        <v>50383147</v>
      </c>
    </row>
    <row r="2350" spans="1:6" x14ac:dyDescent="0.35">
      <c r="A2350" s="2">
        <f ca="1">IFERROR(__xludf.DUMMYFUNCTION("""COMPUTED_VALUE"""),45414.6666666666)</f>
        <v>45414.666666666599</v>
      </c>
      <c r="B2350" s="1">
        <f ca="1">IFERROR(__xludf.DUMMYFUNCTION("""COMPUTED_VALUE"""),172.51)</f>
        <v>172.51</v>
      </c>
      <c r="C2350" s="1">
        <f ca="1">IFERROR(__xludf.DUMMYFUNCTION("""COMPUTED_VALUE"""),173.42)</f>
        <v>173.42</v>
      </c>
      <c r="D2350" s="1">
        <f ca="1">IFERROR(__xludf.DUMMYFUNCTION("""COMPUTED_VALUE"""),170.89)</f>
        <v>170.89</v>
      </c>
      <c r="E2350" s="1">
        <f ca="1">IFERROR(__xludf.DUMMYFUNCTION("""COMPUTED_VALUE"""),173.03)</f>
        <v>173.03</v>
      </c>
      <c r="F2350" s="1">
        <f ca="1">IFERROR(__xludf.DUMMYFUNCTION("""COMPUTED_VALUE"""),94214915)</f>
        <v>94214915</v>
      </c>
    </row>
    <row r="2351" spans="1:6" x14ac:dyDescent="0.35">
      <c r="A2351" s="2">
        <f ca="1">IFERROR(__xludf.DUMMYFUNCTION("""COMPUTED_VALUE"""),45415.6666666666)</f>
        <v>45415.666666666599</v>
      </c>
      <c r="B2351" s="1">
        <f ca="1">IFERROR(__xludf.DUMMYFUNCTION("""COMPUTED_VALUE"""),186.65)</f>
        <v>186.65</v>
      </c>
      <c r="C2351" s="1">
        <f ca="1">IFERROR(__xludf.DUMMYFUNCTION("""COMPUTED_VALUE"""),187)</f>
        <v>187</v>
      </c>
      <c r="D2351" s="1">
        <f ca="1">IFERROR(__xludf.DUMMYFUNCTION("""COMPUTED_VALUE"""),182.66)</f>
        <v>182.66</v>
      </c>
      <c r="E2351" s="1">
        <f ca="1">IFERROR(__xludf.DUMMYFUNCTION("""COMPUTED_VALUE"""),183.38)</f>
        <v>183.38</v>
      </c>
      <c r="F2351" s="1">
        <f ca="1">IFERROR(__xludf.DUMMYFUNCTION("""COMPUTED_VALUE"""),163224109)</f>
        <v>163224109</v>
      </c>
    </row>
    <row r="2352" spans="1:6" x14ac:dyDescent="0.35">
      <c r="A2352" s="2">
        <f ca="1">IFERROR(__xludf.DUMMYFUNCTION("""COMPUTED_VALUE"""),45418.6666666666)</f>
        <v>45418.666666666599</v>
      </c>
      <c r="B2352" s="1">
        <f ca="1">IFERROR(__xludf.DUMMYFUNCTION("""COMPUTED_VALUE"""),182.35)</f>
        <v>182.35</v>
      </c>
      <c r="C2352" s="1">
        <f ca="1">IFERROR(__xludf.DUMMYFUNCTION("""COMPUTED_VALUE"""),184.2)</f>
        <v>184.2</v>
      </c>
      <c r="D2352" s="1">
        <f ca="1">IFERROR(__xludf.DUMMYFUNCTION("""COMPUTED_VALUE"""),180.42)</f>
        <v>180.42</v>
      </c>
      <c r="E2352" s="1">
        <f ca="1">IFERROR(__xludf.DUMMYFUNCTION("""COMPUTED_VALUE"""),181.71)</f>
        <v>181.71</v>
      </c>
      <c r="F2352" s="1">
        <f ca="1">IFERROR(__xludf.DUMMYFUNCTION("""COMPUTED_VALUE"""),78569667)</f>
        <v>78569667</v>
      </c>
    </row>
    <row r="2353" spans="1:6" x14ac:dyDescent="0.35">
      <c r="A2353" s="2">
        <f ca="1">IFERROR(__xludf.DUMMYFUNCTION("""COMPUTED_VALUE"""),45419.6666666666)</f>
        <v>45419.666666666599</v>
      </c>
      <c r="B2353" s="1">
        <f ca="1">IFERROR(__xludf.DUMMYFUNCTION("""COMPUTED_VALUE"""),183.45)</f>
        <v>183.45</v>
      </c>
      <c r="C2353" s="1">
        <f ca="1">IFERROR(__xludf.DUMMYFUNCTION("""COMPUTED_VALUE"""),184.9)</f>
        <v>184.9</v>
      </c>
      <c r="D2353" s="1">
        <f ca="1">IFERROR(__xludf.DUMMYFUNCTION("""COMPUTED_VALUE"""),181.32)</f>
        <v>181.32</v>
      </c>
      <c r="E2353" s="1">
        <f ca="1">IFERROR(__xludf.DUMMYFUNCTION("""COMPUTED_VALUE"""),182.4)</f>
        <v>182.4</v>
      </c>
      <c r="F2353" s="1">
        <f ca="1">IFERROR(__xludf.DUMMYFUNCTION("""COMPUTED_VALUE"""),77305771)</f>
        <v>77305771</v>
      </c>
    </row>
    <row r="2354" spans="1:6" x14ac:dyDescent="0.35">
      <c r="A2354" s="2">
        <f ca="1">IFERROR(__xludf.DUMMYFUNCTION("""COMPUTED_VALUE"""),45420.6666666666)</f>
        <v>45420.666666666599</v>
      </c>
      <c r="B2354" s="1">
        <f ca="1">IFERROR(__xludf.DUMMYFUNCTION("""COMPUTED_VALUE"""),182.85)</f>
        <v>182.85</v>
      </c>
      <c r="C2354" s="1">
        <f ca="1">IFERROR(__xludf.DUMMYFUNCTION("""COMPUTED_VALUE"""),183.07)</f>
        <v>183.07</v>
      </c>
      <c r="D2354" s="1">
        <f ca="1">IFERROR(__xludf.DUMMYFUNCTION("""COMPUTED_VALUE"""),181.45)</f>
        <v>181.45</v>
      </c>
      <c r="E2354" s="1">
        <f ca="1">IFERROR(__xludf.DUMMYFUNCTION("""COMPUTED_VALUE"""),182.74)</f>
        <v>182.74</v>
      </c>
      <c r="F2354" s="1">
        <f ca="1">IFERROR(__xludf.DUMMYFUNCTION("""COMPUTED_VALUE"""),45057087)</f>
        <v>45057087</v>
      </c>
    </row>
    <row r="2355" spans="1:6" x14ac:dyDescent="0.35">
      <c r="A2355" s="2">
        <f ca="1">IFERROR(__xludf.DUMMYFUNCTION("""COMPUTED_VALUE"""),45421.6666666666)</f>
        <v>45421.666666666599</v>
      </c>
      <c r="B2355" s="1">
        <f ca="1">IFERROR(__xludf.DUMMYFUNCTION("""COMPUTED_VALUE"""),182.56)</f>
        <v>182.56</v>
      </c>
      <c r="C2355" s="1">
        <f ca="1">IFERROR(__xludf.DUMMYFUNCTION("""COMPUTED_VALUE"""),184.66)</f>
        <v>184.66</v>
      </c>
      <c r="D2355" s="1">
        <f ca="1">IFERROR(__xludf.DUMMYFUNCTION("""COMPUTED_VALUE"""),182.11)</f>
        <v>182.11</v>
      </c>
      <c r="E2355" s="1">
        <f ca="1">IFERROR(__xludf.DUMMYFUNCTION("""COMPUTED_VALUE"""),184.57)</f>
        <v>184.57</v>
      </c>
      <c r="F2355" s="1">
        <f ca="1">IFERROR(__xludf.DUMMYFUNCTION("""COMPUTED_VALUE"""),48982972)</f>
        <v>48982972</v>
      </c>
    </row>
    <row r="2356" spans="1:6" x14ac:dyDescent="0.35">
      <c r="A2356" s="2">
        <f ca="1">IFERROR(__xludf.DUMMYFUNCTION("""COMPUTED_VALUE"""),45422.6666666666)</f>
        <v>45422.666666666599</v>
      </c>
      <c r="B2356" s="1">
        <f ca="1">IFERROR(__xludf.DUMMYFUNCTION("""COMPUTED_VALUE"""),184.9)</f>
        <v>184.9</v>
      </c>
      <c r="C2356" s="1">
        <f ca="1">IFERROR(__xludf.DUMMYFUNCTION("""COMPUTED_VALUE"""),185.09)</f>
        <v>185.09</v>
      </c>
      <c r="D2356" s="1">
        <f ca="1">IFERROR(__xludf.DUMMYFUNCTION("""COMPUTED_VALUE"""),182.13)</f>
        <v>182.13</v>
      </c>
      <c r="E2356" s="1">
        <f ca="1">IFERROR(__xludf.DUMMYFUNCTION("""COMPUTED_VALUE"""),183.05)</f>
        <v>183.05</v>
      </c>
      <c r="F2356" s="1">
        <f ca="1">IFERROR(__xludf.DUMMYFUNCTION("""COMPUTED_VALUE"""),50759496)</f>
        <v>50759496</v>
      </c>
    </row>
    <row r="2357" spans="1:6" x14ac:dyDescent="0.35">
      <c r="A2357" s="2">
        <f ca="1">IFERROR(__xludf.DUMMYFUNCTION("""COMPUTED_VALUE"""),45425.6666666666)</f>
        <v>45425.666666666599</v>
      </c>
      <c r="B2357" s="1">
        <f ca="1">IFERROR(__xludf.DUMMYFUNCTION("""COMPUTED_VALUE"""),185.44)</f>
        <v>185.44</v>
      </c>
      <c r="C2357" s="1">
        <f ca="1">IFERROR(__xludf.DUMMYFUNCTION("""COMPUTED_VALUE"""),187.1)</f>
        <v>187.1</v>
      </c>
      <c r="D2357" s="1">
        <f ca="1">IFERROR(__xludf.DUMMYFUNCTION("""COMPUTED_VALUE"""),184.62)</f>
        <v>184.62</v>
      </c>
      <c r="E2357" s="1">
        <f ca="1">IFERROR(__xludf.DUMMYFUNCTION("""COMPUTED_VALUE"""),186.28)</f>
        <v>186.28</v>
      </c>
      <c r="F2357" s="1">
        <f ca="1">IFERROR(__xludf.DUMMYFUNCTION("""COMPUTED_VALUE"""),72044809)</f>
        <v>72044809</v>
      </c>
    </row>
    <row r="2358" spans="1:6" x14ac:dyDescent="0.35">
      <c r="A2358" s="2">
        <f ca="1">IFERROR(__xludf.DUMMYFUNCTION("""COMPUTED_VALUE"""),45426.6666666666)</f>
        <v>45426.666666666599</v>
      </c>
      <c r="B2358" s="1">
        <f ca="1">IFERROR(__xludf.DUMMYFUNCTION("""COMPUTED_VALUE"""),187.51)</f>
        <v>187.51</v>
      </c>
      <c r="C2358" s="1">
        <f ca="1">IFERROR(__xludf.DUMMYFUNCTION("""COMPUTED_VALUE"""),188.3)</f>
        <v>188.3</v>
      </c>
      <c r="D2358" s="1">
        <f ca="1">IFERROR(__xludf.DUMMYFUNCTION("""COMPUTED_VALUE"""),186.29)</f>
        <v>186.29</v>
      </c>
      <c r="E2358" s="1">
        <f ca="1">IFERROR(__xludf.DUMMYFUNCTION("""COMPUTED_VALUE"""),187.43)</f>
        <v>187.43</v>
      </c>
      <c r="F2358" s="1">
        <f ca="1">IFERROR(__xludf.DUMMYFUNCTION("""COMPUTED_VALUE"""),52393619)</f>
        <v>52393619</v>
      </c>
    </row>
    <row r="2359" spans="1:6" x14ac:dyDescent="0.35">
      <c r="A2359" s="2">
        <f ca="1">IFERROR(__xludf.DUMMYFUNCTION("""COMPUTED_VALUE"""),45427.6666666666)</f>
        <v>45427.666666666599</v>
      </c>
      <c r="B2359" s="1">
        <f ca="1">IFERROR(__xludf.DUMMYFUNCTION("""COMPUTED_VALUE"""),187.91)</f>
        <v>187.91</v>
      </c>
      <c r="C2359" s="1">
        <f ca="1">IFERROR(__xludf.DUMMYFUNCTION("""COMPUTED_VALUE"""),190.65)</f>
        <v>190.65</v>
      </c>
      <c r="D2359" s="1">
        <f ca="1">IFERROR(__xludf.DUMMYFUNCTION("""COMPUTED_VALUE"""),187.37)</f>
        <v>187.37</v>
      </c>
      <c r="E2359" s="1">
        <f ca="1">IFERROR(__xludf.DUMMYFUNCTION("""COMPUTED_VALUE"""),189.72)</f>
        <v>189.72</v>
      </c>
      <c r="F2359" s="1">
        <f ca="1">IFERROR(__xludf.DUMMYFUNCTION("""COMPUTED_VALUE"""),70399988)</f>
        <v>70399988</v>
      </c>
    </row>
    <row r="2360" spans="1:6" x14ac:dyDescent="0.35">
      <c r="A2360" s="2">
        <f ca="1">IFERROR(__xludf.DUMMYFUNCTION("""COMPUTED_VALUE"""),45428.6666666666)</f>
        <v>45428.666666666599</v>
      </c>
      <c r="B2360" s="1">
        <f ca="1">IFERROR(__xludf.DUMMYFUNCTION("""COMPUTED_VALUE"""),190.47)</f>
        <v>190.47</v>
      </c>
      <c r="C2360" s="1">
        <f ca="1">IFERROR(__xludf.DUMMYFUNCTION("""COMPUTED_VALUE"""),191.1)</f>
        <v>191.1</v>
      </c>
      <c r="D2360" s="1">
        <f ca="1">IFERROR(__xludf.DUMMYFUNCTION("""COMPUTED_VALUE"""),189.66)</f>
        <v>189.66</v>
      </c>
      <c r="E2360" s="1">
        <f ca="1">IFERROR(__xludf.DUMMYFUNCTION("""COMPUTED_VALUE"""),189.84)</f>
        <v>189.84</v>
      </c>
      <c r="F2360" s="1">
        <f ca="1">IFERROR(__xludf.DUMMYFUNCTION("""COMPUTED_VALUE"""),52845230)</f>
        <v>52845230</v>
      </c>
    </row>
    <row r="2361" spans="1:6" x14ac:dyDescent="0.35">
      <c r="A2361" s="2">
        <f ca="1">IFERROR(__xludf.DUMMYFUNCTION("""COMPUTED_VALUE"""),45429.6666666666)</f>
        <v>45429.666666666599</v>
      </c>
      <c r="B2361" s="1">
        <f ca="1">IFERROR(__xludf.DUMMYFUNCTION("""COMPUTED_VALUE"""),189.51)</f>
        <v>189.51</v>
      </c>
      <c r="C2361" s="1">
        <f ca="1">IFERROR(__xludf.DUMMYFUNCTION("""COMPUTED_VALUE"""),190.81)</f>
        <v>190.81</v>
      </c>
      <c r="D2361" s="1">
        <f ca="1">IFERROR(__xludf.DUMMYFUNCTION("""COMPUTED_VALUE"""),189.18)</f>
        <v>189.18</v>
      </c>
      <c r="E2361" s="1">
        <f ca="1">IFERROR(__xludf.DUMMYFUNCTION("""COMPUTED_VALUE"""),189.87)</f>
        <v>189.87</v>
      </c>
      <c r="F2361" s="1">
        <f ca="1">IFERROR(__xludf.DUMMYFUNCTION("""COMPUTED_VALUE"""),41282925)</f>
        <v>41282925</v>
      </c>
    </row>
    <row r="2362" spans="1:6" x14ac:dyDescent="0.35">
      <c r="A2362" s="2">
        <f ca="1">IFERROR(__xludf.DUMMYFUNCTION("""COMPUTED_VALUE"""),45432.6666666666)</f>
        <v>45432.666666666599</v>
      </c>
      <c r="B2362" s="1">
        <f ca="1">IFERROR(__xludf.DUMMYFUNCTION("""COMPUTED_VALUE"""),189.35)</f>
        <v>189.35</v>
      </c>
      <c r="C2362" s="1">
        <f ca="1">IFERROR(__xludf.DUMMYFUNCTION("""COMPUTED_VALUE"""),191.92)</f>
        <v>191.92</v>
      </c>
      <c r="D2362" s="1">
        <f ca="1">IFERROR(__xludf.DUMMYFUNCTION("""COMPUTED_VALUE"""),189.01)</f>
        <v>189.01</v>
      </c>
      <c r="E2362" s="1">
        <f ca="1">IFERROR(__xludf.DUMMYFUNCTION("""COMPUTED_VALUE"""),191.04)</f>
        <v>191.04</v>
      </c>
      <c r="F2362" s="1">
        <f ca="1">IFERROR(__xludf.DUMMYFUNCTION("""COMPUTED_VALUE"""),44361275)</f>
        <v>44361275</v>
      </c>
    </row>
    <row r="2363" spans="1:6" x14ac:dyDescent="0.35">
      <c r="A2363" s="2">
        <f ca="1">IFERROR(__xludf.DUMMYFUNCTION("""COMPUTED_VALUE"""),45433.6666666666)</f>
        <v>45433.666666666599</v>
      </c>
      <c r="B2363" s="1">
        <f ca="1">IFERROR(__xludf.DUMMYFUNCTION("""COMPUTED_VALUE"""),191.09)</f>
        <v>191.09</v>
      </c>
      <c r="C2363" s="1">
        <f ca="1">IFERROR(__xludf.DUMMYFUNCTION("""COMPUTED_VALUE"""),192.73)</f>
        <v>192.73</v>
      </c>
      <c r="D2363" s="1">
        <f ca="1">IFERROR(__xludf.DUMMYFUNCTION("""COMPUTED_VALUE"""),190.92)</f>
        <v>190.92</v>
      </c>
      <c r="E2363" s="1">
        <f ca="1">IFERROR(__xludf.DUMMYFUNCTION("""COMPUTED_VALUE"""),192.35)</f>
        <v>192.35</v>
      </c>
      <c r="F2363" s="1">
        <f ca="1">IFERROR(__xludf.DUMMYFUNCTION("""COMPUTED_VALUE"""),42309401)</f>
        <v>42309401</v>
      </c>
    </row>
    <row r="2364" spans="1:6" x14ac:dyDescent="0.35">
      <c r="A2364" s="2">
        <f ca="1">IFERROR(__xludf.DUMMYFUNCTION("""COMPUTED_VALUE"""),45434.6666666666)</f>
        <v>45434.666666666599</v>
      </c>
      <c r="B2364" s="1">
        <f ca="1">IFERROR(__xludf.DUMMYFUNCTION("""COMPUTED_VALUE"""),192.27)</f>
        <v>192.27</v>
      </c>
      <c r="C2364" s="1">
        <f ca="1">IFERROR(__xludf.DUMMYFUNCTION("""COMPUTED_VALUE"""),192.82)</f>
        <v>192.82</v>
      </c>
      <c r="D2364" s="1">
        <f ca="1">IFERROR(__xludf.DUMMYFUNCTION("""COMPUTED_VALUE"""),190.27)</f>
        <v>190.27</v>
      </c>
      <c r="E2364" s="1">
        <f ca="1">IFERROR(__xludf.DUMMYFUNCTION("""COMPUTED_VALUE"""),190.9)</f>
        <v>190.9</v>
      </c>
      <c r="F2364" s="1">
        <f ca="1">IFERROR(__xludf.DUMMYFUNCTION("""COMPUTED_VALUE"""),34648547)</f>
        <v>34648547</v>
      </c>
    </row>
    <row r="2365" spans="1:6" x14ac:dyDescent="0.35">
      <c r="A2365" s="2">
        <f ca="1">IFERROR(__xludf.DUMMYFUNCTION("""COMPUTED_VALUE"""),45435.6666666666)</f>
        <v>45435.666666666599</v>
      </c>
      <c r="B2365" s="1">
        <f ca="1">IFERROR(__xludf.DUMMYFUNCTION("""COMPUTED_VALUE"""),190.98)</f>
        <v>190.98</v>
      </c>
      <c r="C2365" s="1">
        <f ca="1">IFERROR(__xludf.DUMMYFUNCTION("""COMPUTED_VALUE"""),191)</f>
        <v>191</v>
      </c>
      <c r="D2365" s="1">
        <f ca="1">IFERROR(__xludf.DUMMYFUNCTION("""COMPUTED_VALUE"""),186.63)</f>
        <v>186.63</v>
      </c>
      <c r="E2365" s="1">
        <f ca="1">IFERROR(__xludf.DUMMYFUNCTION("""COMPUTED_VALUE"""),186.88)</f>
        <v>186.88</v>
      </c>
      <c r="F2365" s="1">
        <f ca="1">IFERROR(__xludf.DUMMYFUNCTION("""COMPUTED_VALUE"""),51005924)</f>
        <v>51005924</v>
      </c>
    </row>
    <row r="2366" spans="1:6" x14ac:dyDescent="0.35">
      <c r="A2366" s="2">
        <f ca="1">IFERROR(__xludf.DUMMYFUNCTION("""COMPUTED_VALUE"""),45436.6666666666)</f>
        <v>45436.666666666599</v>
      </c>
      <c r="B2366" s="1">
        <f ca="1">IFERROR(__xludf.DUMMYFUNCTION("""COMPUTED_VALUE"""),188.82)</f>
        <v>188.82</v>
      </c>
      <c r="C2366" s="1">
        <f ca="1">IFERROR(__xludf.DUMMYFUNCTION("""COMPUTED_VALUE"""),190.58)</f>
        <v>190.58</v>
      </c>
      <c r="D2366" s="1">
        <f ca="1">IFERROR(__xludf.DUMMYFUNCTION("""COMPUTED_VALUE"""),188.04)</f>
        <v>188.04</v>
      </c>
      <c r="E2366" s="1">
        <f ca="1">IFERROR(__xludf.DUMMYFUNCTION("""COMPUTED_VALUE"""),189.98)</f>
        <v>189.98</v>
      </c>
      <c r="F2366" s="1">
        <f ca="1">IFERROR(__xludf.DUMMYFUNCTION("""COMPUTED_VALUE"""),36326975)</f>
        <v>36326975</v>
      </c>
    </row>
    <row r="2367" spans="1:6" x14ac:dyDescent="0.35">
      <c r="A2367" s="2">
        <f ca="1">IFERROR(__xludf.DUMMYFUNCTION("""COMPUTED_VALUE"""),45440.6666666666)</f>
        <v>45440.666666666599</v>
      </c>
      <c r="B2367" s="1">
        <f ca="1">IFERROR(__xludf.DUMMYFUNCTION("""COMPUTED_VALUE"""),191.51)</f>
        <v>191.51</v>
      </c>
      <c r="C2367" s="1">
        <f ca="1">IFERROR(__xludf.DUMMYFUNCTION("""COMPUTED_VALUE"""),193)</f>
        <v>193</v>
      </c>
      <c r="D2367" s="1">
        <f ca="1">IFERROR(__xludf.DUMMYFUNCTION("""COMPUTED_VALUE"""),189.1)</f>
        <v>189.1</v>
      </c>
      <c r="E2367" s="1">
        <f ca="1">IFERROR(__xludf.DUMMYFUNCTION("""COMPUTED_VALUE"""),189.99)</f>
        <v>189.99</v>
      </c>
      <c r="F2367" s="1">
        <f ca="1">IFERROR(__xludf.DUMMYFUNCTION("""COMPUTED_VALUE"""),52280051)</f>
        <v>52280051</v>
      </c>
    </row>
    <row r="2368" spans="1:6" x14ac:dyDescent="0.35">
      <c r="A2368" s="2">
        <f ca="1">IFERROR(__xludf.DUMMYFUNCTION("""COMPUTED_VALUE"""),45441.6666666666)</f>
        <v>45441.666666666599</v>
      </c>
      <c r="B2368" s="1">
        <f ca="1">IFERROR(__xludf.DUMMYFUNCTION("""COMPUTED_VALUE"""),189.61)</f>
        <v>189.61</v>
      </c>
      <c r="C2368" s="1">
        <f ca="1">IFERROR(__xludf.DUMMYFUNCTION("""COMPUTED_VALUE"""),192.25)</f>
        <v>192.25</v>
      </c>
      <c r="D2368" s="1">
        <f ca="1">IFERROR(__xludf.DUMMYFUNCTION("""COMPUTED_VALUE"""),189.51)</f>
        <v>189.51</v>
      </c>
      <c r="E2368" s="1">
        <f ca="1">IFERROR(__xludf.DUMMYFUNCTION("""COMPUTED_VALUE"""),190.29)</f>
        <v>190.29</v>
      </c>
      <c r="F2368" s="1">
        <f ca="1">IFERROR(__xludf.DUMMYFUNCTION("""COMPUTED_VALUE"""),53068016)</f>
        <v>53068016</v>
      </c>
    </row>
    <row r="2369" spans="1:6" x14ac:dyDescent="0.35">
      <c r="A2369" s="2">
        <f ca="1">IFERROR(__xludf.DUMMYFUNCTION("""COMPUTED_VALUE"""),45442.6666666666)</f>
        <v>45442.666666666599</v>
      </c>
      <c r="B2369" s="1">
        <f ca="1">IFERROR(__xludf.DUMMYFUNCTION("""COMPUTED_VALUE"""),190.76)</f>
        <v>190.76</v>
      </c>
      <c r="C2369" s="1">
        <f ca="1">IFERROR(__xludf.DUMMYFUNCTION("""COMPUTED_VALUE"""),192.18)</f>
        <v>192.18</v>
      </c>
      <c r="D2369" s="1">
        <f ca="1">IFERROR(__xludf.DUMMYFUNCTION("""COMPUTED_VALUE"""),190.63)</f>
        <v>190.63</v>
      </c>
      <c r="E2369" s="1">
        <f ca="1">IFERROR(__xludf.DUMMYFUNCTION("""COMPUTED_VALUE"""),191.29)</f>
        <v>191.29</v>
      </c>
      <c r="F2369" s="1">
        <f ca="1">IFERROR(__xludf.DUMMYFUNCTION("""COMPUTED_VALUE"""),49947941)</f>
        <v>49947941</v>
      </c>
    </row>
    <row r="2370" spans="1:6" x14ac:dyDescent="0.35">
      <c r="A2370" s="2">
        <f ca="1">IFERROR(__xludf.DUMMYFUNCTION("""COMPUTED_VALUE"""),45443.6666666666)</f>
        <v>45443.666666666599</v>
      </c>
      <c r="B2370" s="1">
        <f ca="1">IFERROR(__xludf.DUMMYFUNCTION("""COMPUTED_VALUE"""),191.44)</f>
        <v>191.44</v>
      </c>
      <c r="C2370" s="1">
        <f ca="1">IFERROR(__xludf.DUMMYFUNCTION("""COMPUTED_VALUE"""),192.57)</f>
        <v>192.57</v>
      </c>
      <c r="D2370" s="1">
        <f ca="1">IFERROR(__xludf.DUMMYFUNCTION("""COMPUTED_VALUE"""),189.91)</f>
        <v>189.91</v>
      </c>
      <c r="E2370" s="1">
        <f ca="1">IFERROR(__xludf.DUMMYFUNCTION("""COMPUTED_VALUE"""),192.25)</f>
        <v>192.25</v>
      </c>
      <c r="F2370" s="1">
        <f ca="1">IFERROR(__xludf.DUMMYFUNCTION("""COMPUTED_VALUE"""),75158277)</f>
        <v>75158277</v>
      </c>
    </row>
    <row r="2371" spans="1:6" x14ac:dyDescent="0.35">
      <c r="A2371" s="2">
        <f ca="1">IFERROR(__xludf.DUMMYFUNCTION("""COMPUTED_VALUE"""),45446.6666666666)</f>
        <v>45446.666666666599</v>
      </c>
      <c r="B2371" s="1">
        <f ca="1">IFERROR(__xludf.DUMMYFUNCTION("""COMPUTED_VALUE"""),192.9)</f>
        <v>192.9</v>
      </c>
      <c r="C2371" s="1">
        <f ca="1">IFERROR(__xludf.DUMMYFUNCTION("""COMPUTED_VALUE"""),194.99)</f>
        <v>194.99</v>
      </c>
      <c r="D2371" s="1">
        <f ca="1">IFERROR(__xludf.DUMMYFUNCTION("""COMPUTED_VALUE"""),192.52)</f>
        <v>192.52</v>
      </c>
      <c r="E2371" s="1">
        <f ca="1">IFERROR(__xludf.DUMMYFUNCTION("""COMPUTED_VALUE"""),194.03)</f>
        <v>194.03</v>
      </c>
      <c r="F2371" s="1">
        <f ca="1">IFERROR(__xludf.DUMMYFUNCTION("""COMPUTED_VALUE"""),50080539)</f>
        <v>50080539</v>
      </c>
    </row>
    <row r="2372" spans="1:6" x14ac:dyDescent="0.35">
      <c r="A2372" s="2">
        <f ca="1">IFERROR(__xludf.DUMMYFUNCTION("""COMPUTED_VALUE"""),45447.6666666666)</f>
        <v>45447.666666666599</v>
      </c>
      <c r="B2372" s="1">
        <f ca="1">IFERROR(__xludf.DUMMYFUNCTION("""COMPUTED_VALUE"""),194.64)</f>
        <v>194.64</v>
      </c>
      <c r="C2372" s="1">
        <f ca="1">IFERROR(__xludf.DUMMYFUNCTION("""COMPUTED_VALUE"""),195.32)</f>
        <v>195.32</v>
      </c>
      <c r="D2372" s="1">
        <f ca="1">IFERROR(__xludf.DUMMYFUNCTION("""COMPUTED_VALUE"""),193.03)</f>
        <v>193.03</v>
      </c>
      <c r="E2372" s="1">
        <f ca="1">IFERROR(__xludf.DUMMYFUNCTION("""COMPUTED_VALUE"""),194.35)</f>
        <v>194.35</v>
      </c>
      <c r="F2372" s="1">
        <f ca="1">IFERROR(__xludf.DUMMYFUNCTION("""COMPUTED_VALUE"""),47471445)</f>
        <v>47471445</v>
      </c>
    </row>
    <row r="2373" spans="1:6" x14ac:dyDescent="0.35">
      <c r="A2373" s="2">
        <f ca="1">IFERROR(__xludf.DUMMYFUNCTION("""COMPUTED_VALUE"""),45448.6666666666)</f>
        <v>45448.666666666599</v>
      </c>
      <c r="B2373" s="1">
        <f ca="1">IFERROR(__xludf.DUMMYFUNCTION("""COMPUTED_VALUE"""),195.4)</f>
        <v>195.4</v>
      </c>
      <c r="C2373" s="1">
        <f ca="1">IFERROR(__xludf.DUMMYFUNCTION("""COMPUTED_VALUE"""),196.9)</f>
        <v>196.9</v>
      </c>
      <c r="D2373" s="1">
        <f ca="1">IFERROR(__xludf.DUMMYFUNCTION("""COMPUTED_VALUE"""),194.87)</f>
        <v>194.87</v>
      </c>
      <c r="E2373" s="1">
        <f ca="1">IFERROR(__xludf.DUMMYFUNCTION("""COMPUTED_VALUE"""),195.87)</f>
        <v>195.87</v>
      </c>
      <c r="F2373" s="1">
        <f ca="1">IFERROR(__xludf.DUMMYFUNCTION("""COMPUTED_VALUE"""),54156785)</f>
        <v>54156785</v>
      </c>
    </row>
    <row r="2374" spans="1:6" x14ac:dyDescent="0.35">
      <c r="A2374" s="2">
        <f ca="1">IFERROR(__xludf.DUMMYFUNCTION("""COMPUTED_VALUE"""),45449.6666666666)</f>
        <v>45449.666666666599</v>
      </c>
      <c r="B2374" s="1">
        <f ca="1">IFERROR(__xludf.DUMMYFUNCTION("""COMPUTED_VALUE"""),195.69)</f>
        <v>195.69</v>
      </c>
      <c r="C2374" s="1">
        <f ca="1">IFERROR(__xludf.DUMMYFUNCTION("""COMPUTED_VALUE"""),196.5)</f>
        <v>196.5</v>
      </c>
      <c r="D2374" s="1">
        <f ca="1">IFERROR(__xludf.DUMMYFUNCTION("""COMPUTED_VALUE"""),194.17)</f>
        <v>194.17</v>
      </c>
      <c r="E2374" s="1">
        <f ca="1">IFERROR(__xludf.DUMMYFUNCTION("""COMPUTED_VALUE"""),194.48)</f>
        <v>194.48</v>
      </c>
      <c r="F2374" s="1">
        <f ca="1">IFERROR(__xludf.DUMMYFUNCTION("""COMPUTED_VALUE"""),41181753)</f>
        <v>41181753</v>
      </c>
    </row>
    <row r="2375" spans="1:6" x14ac:dyDescent="0.35">
      <c r="A2375" s="2">
        <f ca="1">IFERROR(__xludf.DUMMYFUNCTION("""COMPUTED_VALUE"""),45450.6666666666)</f>
        <v>45450.666666666599</v>
      </c>
      <c r="B2375" s="1">
        <f ca="1">IFERROR(__xludf.DUMMYFUNCTION("""COMPUTED_VALUE"""),194.65)</f>
        <v>194.65</v>
      </c>
      <c r="C2375" s="1">
        <f ca="1">IFERROR(__xludf.DUMMYFUNCTION("""COMPUTED_VALUE"""),196.94)</f>
        <v>196.94</v>
      </c>
      <c r="D2375" s="1">
        <f ca="1">IFERROR(__xludf.DUMMYFUNCTION("""COMPUTED_VALUE"""),194.14)</f>
        <v>194.14</v>
      </c>
      <c r="E2375" s="1">
        <f ca="1">IFERROR(__xludf.DUMMYFUNCTION("""COMPUTED_VALUE"""),196.89)</f>
        <v>196.89</v>
      </c>
      <c r="F2375" s="1">
        <f ca="1">IFERROR(__xludf.DUMMYFUNCTION("""COMPUTED_VALUE"""),53103912)</f>
        <v>53103912</v>
      </c>
    </row>
    <row r="2376" spans="1:6" x14ac:dyDescent="0.35">
      <c r="A2376" s="2">
        <f ca="1">IFERROR(__xludf.DUMMYFUNCTION("""COMPUTED_VALUE"""),45453.6666666666)</f>
        <v>45453.666666666599</v>
      </c>
      <c r="B2376" s="1">
        <f ca="1">IFERROR(__xludf.DUMMYFUNCTION("""COMPUTED_VALUE"""),196.9)</f>
        <v>196.9</v>
      </c>
      <c r="C2376" s="1">
        <f ca="1">IFERROR(__xludf.DUMMYFUNCTION("""COMPUTED_VALUE"""),197.3)</f>
        <v>197.3</v>
      </c>
      <c r="D2376" s="1">
        <f ca="1">IFERROR(__xludf.DUMMYFUNCTION("""COMPUTED_VALUE"""),192.15)</f>
        <v>192.15</v>
      </c>
      <c r="E2376" s="1">
        <f ca="1">IFERROR(__xludf.DUMMYFUNCTION("""COMPUTED_VALUE"""),193.12)</f>
        <v>193.12</v>
      </c>
      <c r="F2376" s="1">
        <f ca="1">IFERROR(__xludf.DUMMYFUNCTION("""COMPUTED_VALUE"""),97262077)</f>
        <v>97262077</v>
      </c>
    </row>
    <row r="2377" spans="1:6" x14ac:dyDescent="0.35">
      <c r="A2377" s="2">
        <f ca="1">IFERROR(__xludf.DUMMYFUNCTION("""COMPUTED_VALUE"""),45454.6666666666)</f>
        <v>45454.666666666599</v>
      </c>
      <c r="B2377" s="1">
        <f ca="1">IFERROR(__xludf.DUMMYFUNCTION("""COMPUTED_VALUE"""),193.65)</f>
        <v>193.65</v>
      </c>
      <c r="C2377" s="1">
        <f ca="1">IFERROR(__xludf.DUMMYFUNCTION("""COMPUTED_VALUE"""),207.16)</f>
        <v>207.16</v>
      </c>
      <c r="D2377" s="1">
        <f ca="1">IFERROR(__xludf.DUMMYFUNCTION("""COMPUTED_VALUE"""),193.63)</f>
        <v>193.63</v>
      </c>
      <c r="E2377" s="1">
        <f ca="1">IFERROR(__xludf.DUMMYFUNCTION("""COMPUTED_VALUE"""),207.15)</f>
        <v>207.15</v>
      </c>
      <c r="F2377" s="1">
        <f ca="1">IFERROR(__xludf.DUMMYFUNCTION("""COMPUTED_VALUE"""),172373296)</f>
        <v>172373296</v>
      </c>
    </row>
    <row r="2378" spans="1:6" x14ac:dyDescent="0.35">
      <c r="A2378" s="2">
        <f ca="1">IFERROR(__xludf.DUMMYFUNCTION("""COMPUTED_VALUE"""),45455.6666666666)</f>
        <v>45455.666666666599</v>
      </c>
      <c r="B2378" s="1">
        <f ca="1">IFERROR(__xludf.DUMMYFUNCTION("""COMPUTED_VALUE"""),207.37)</f>
        <v>207.37</v>
      </c>
      <c r="C2378" s="1">
        <f ca="1">IFERROR(__xludf.DUMMYFUNCTION("""COMPUTED_VALUE"""),220.2)</f>
        <v>220.2</v>
      </c>
      <c r="D2378" s="1">
        <f ca="1">IFERROR(__xludf.DUMMYFUNCTION("""COMPUTED_VALUE"""),206.9)</f>
        <v>206.9</v>
      </c>
      <c r="E2378" s="1">
        <f ca="1">IFERROR(__xludf.DUMMYFUNCTION("""COMPUTED_VALUE"""),213.07)</f>
        <v>213.07</v>
      </c>
      <c r="F2378" s="1">
        <f ca="1">IFERROR(__xludf.DUMMYFUNCTION("""COMPUTED_VALUE"""),198134293)</f>
        <v>198134293</v>
      </c>
    </row>
    <row r="2379" spans="1:6" x14ac:dyDescent="0.35">
      <c r="A2379" s="2">
        <f ca="1">IFERROR(__xludf.DUMMYFUNCTION("""COMPUTED_VALUE"""),45456.6666666666)</f>
        <v>45456.666666666599</v>
      </c>
      <c r="B2379" s="1">
        <f ca="1">IFERROR(__xludf.DUMMYFUNCTION("""COMPUTED_VALUE"""),214.74)</f>
        <v>214.74</v>
      </c>
      <c r="C2379" s="1">
        <f ca="1">IFERROR(__xludf.DUMMYFUNCTION("""COMPUTED_VALUE"""),216.75)</f>
        <v>216.75</v>
      </c>
      <c r="D2379" s="1">
        <f ca="1">IFERROR(__xludf.DUMMYFUNCTION("""COMPUTED_VALUE"""),211.6)</f>
        <v>211.6</v>
      </c>
      <c r="E2379" s="1">
        <f ca="1">IFERROR(__xludf.DUMMYFUNCTION("""COMPUTED_VALUE"""),214.24)</f>
        <v>214.24</v>
      </c>
      <c r="F2379" s="1">
        <f ca="1">IFERROR(__xludf.DUMMYFUNCTION("""COMPUTED_VALUE"""),97862729)</f>
        <v>97862729</v>
      </c>
    </row>
    <row r="2380" spans="1:6" x14ac:dyDescent="0.35">
      <c r="A2380" s="2">
        <f ca="1">IFERROR(__xludf.DUMMYFUNCTION("""COMPUTED_VALUE"""),45457.6666666666)</f>
        <v>45457.666666666599</v>
      </c>
      <c r="B2380" s="1">
        <f ca="1">IFERROR(__xludf.DUMMYFUNCTION("""COMPUTED_VALUE"""),213.85)</f>
        <v>213.85</v>
      </c>
      <c r="C2380" s="1">
        <f ca="1">IFERROR(__xludf.DUMMYFUNCTION("""COMPUTED_VALUE"""),215.17)</f>
        <v>215.17</v>
      </c>
      <c r="D2380" s="1">
        <f ca="1">IFERROR(__xludf.DUMMYFUNCTION("""COMPUTED_VALUE"""),211.3)</f>
        <v>211.3</v>
      </c>
      <c r="E2380" s="1">
        <f ca="1">IFERROR(__xludf.DUMMYFUNCTION("""COMPUTED_VALUE"""),212.49)</f>
        <v>212.49</v>
      </c>
      <c r="F2380" s="1">
        <f ca="1">IFERROR(__xludf.DUMMYFUNCTION("""COMPUTED_VALUE"""),70122748)</f>
        <v>70122748</v>
      </c>
    </row>
    <row r="2381" spans="1:6" x14ac:dyDescent="0.35">
      <c r="A2381" s="2">
        <f ca="1">IFERROR(__xludf.DUMMYFUNCTION("""COMPUTED_VALUE"""),45460.6666666666)</f>
        <v>45460.666666666599</v>
      </c>
      <c r="B2381" s="1">
        <f ca="1">IFERROR(__xludf.DUMMYFUNCTION("""COMPUTED_VALUE"""),213.37)</f>
        <v>213.37</v>
      </c>
      <c r="C2381" s="1">
        <f ca="1">IFERROR(__xludf.DUMMYFUNCTION("""COMPUTED_VALUE"""),218.95)</f>
        <v>218.95</v>
      </c>
      <c r="D2381" s="1">
        <f ca="1">IFERROR(__xludf.DUMMYFUNCTION("""COMPUTED_VALUE"""),212.72)</f>
        <v>212.72</v>
      </c>
      <c r="E2381" s="1">
        <f ca="1">IFERROR(__xludf.DUMMYFUNCTION("""COMPUTED_VALUE"""),216.67)</f>
        <v>216.67</v>
      </c>
      <c r="F2381" s="1">
        <f ca="1">IFERROR(__xludf.DUMMYFUNCTION("""COMPUTED_VALUE"""),93728300)</f>
        <v>93728300</v>
      </c>
    </row>
    <row r="2382" spans="1:6" x14ac:dyDescent="0.35">
      <c r="A2382" s="2">
        <f ca="1">IFERROR(__xludf.DUMMYFUNCTION("""COMPUTED_VALUE"""),45461.6666666666)</f>
        <v>45461.666666666599</v>
      </c>
      <c r="B2382" s="1">
        <f ca="1">IFERROR(__xludf.DUMMYFUNCTION("""COMPUTED_VALUE"""),217.59)</f>
        <v>217.59</v>
      </c>
      <c r="C2382" s="1">
        <f ca="1">IFERROR(__xludf.DUMMYFUNCTION("""COMPUTED_VALUE"""),218.63)</f>
        <v>218.63</v>
      </c>
      <c r="D2382" s="1">
        <f ca="1">IFERROR(__xludf.DUMMYFUNCTION("""COMPUTED_VALUE"""),213)</f>
        <v>213</v>
      </c>
      <c r="E2382" s="1">
        <f ca="1">IFERROR(__xludf.DUMMYFUNCTION("""COMPUTED_VALUE"""),214.29)</f>
        <v>214.29</v>
      </c>
      <c r="F2382" s="1">
        <f ca="1">IFERROR(__xludf.DUMMYFUNCTION("""COMPUTED_VALUE"""),79943254)</f>
        <v>79943254</v>
      </c>
    </row>
    <row r="2383" spans="1:6" x14ac:dyDescent="0.35">
      <c r="A2383" s="2">
        <f ca="1">IFERROR(__xludf.DUMMYFUNCTION("""COMPUTED_VALUE"""),45463.6666666666)</f>
        <v>45463.666666666599</v>
      </c>
      <c r="B2383" s="1">
        <f ca="1">IFERROR(__xludf.DUMMYFUNCTION("""COMPUTED_VALUE"""),213.93)</f>
        <v>213.93</v>
      </c>
      <c r="C2383" s="1">
        <f ca="1">IFERROR(__xludf.DUMMYFUNCTION("""COMPUTED_VALUE"""),214.24)</f>
        <v>214.24</v>
      </c>
      <c r="D2383" s="1">
        <f ca="1">IFERROR(__xludf.DUMMYFUNCTION("""COMPUTED_VALUE"""),208.85)</f>
        <v>208.85</v>
      </c>
      <c r="E2383" s="1">
        <f ca="1">IFERROR(__xludf.DUMMYFUNCTION("""COMPUTED_VALUE"""),209.68)</f>
        <v>209.68</v>
      </c>
      <c r="F2383" s="1">
        <f ca="1">IFERROR(__xludf.DUMMYFUNCTION("""COMPUTED_VALUE"""),86172451)</f>
        <v>86172451</v>
      </c>
    </row>
    <row r="2384" spans="1:6" x14ac:dyDescent="0.35">
      <c r="A2384" s="2">
        <f ca="1">IFERROR(__xludf.DUMMYFUNCTION("""COMPUTED_VALUE"""),45464.6666666666)</f>
        <v>45464.666666666599</v>
      </c>
      <c r="B2384" s="1">
        <f ca="1">IFERROR(__xludf.DUMMYFUNCTION("""COMPUTED_VALUE"""),210.39)</f>
        <v>210.39</v>
      </c>
      <c r="C2384" s="1">
        <f ca="1">IFERROR(__xludf.DUMMYFUNCTION("""COMPUTED_VALUE"""),211.89)</f>
        <v>211.89</v>
      </c>
      <c r="D2384" s="1">
        <f ca="1">IFERROR(__xludf.DUMMYFUNCTION("""COMPUTED_VALUE"""),207.11)</f>
        <v>207.11</v>
      </c>
      <c r="E2384" s="1">
        <f ca="1">IFERROR(__xludf.DUMMYFUNCTION("""COMPUTED_VALUE"""),207.49)</f>
        <v>207.49</v>
      </c>
      <c r="F2384" s="1">
        <f ca="1">IFERROR(__xludf.DUMMYFUNCTION("""COMPUTED_VALUE"""),246421353)</f>
        <v>246421353</v>
      </c>
    </row>
    <row r="2385" spans="1:6" x14ac:dyDescent="0.35">
      <c r="A2385" s="2">
        <f ca="1">IFERROR(__xludf.DUMMYFUNCTION("""COMPUTED_VALUE"""),45467.6666666666)</f>
        <v>45467.666666666599</v>
      </c>
      <c r="B2385" s="1">
        <f ca="1">IFERROR(__xludf.DUMMYFUNCTION("""COMPUTED_VALUE"""),207.72)</f>
        <v>207.72</v>
      </c>
      <c r="C2385" s="1">
        <f ca="1">IFERROR(__xludf.DUMMYFUNCTION("""COMPUTED_VALUE"""),212.7)</f>
        <v>212.7</v>
      </c>
      <c r="D2385" s="1">
        <f ca="1">IFERROR(__xludf.DUMMYFUNCTION("""COMPUTED_VALUE"""),206.59)</f>
        <v>206.59</v>
      </c>
      <c r="E2385" s="1">
        <f ca="1">IFERROR(__xludf.DUMMYFUNCTION("""COMPUTED_VALUE"""),208.14)</f>
        <v>208.14</v>
      </c>
      <c r="F2385" s="1">
        <f ca="1">IFERROR(__xludf.DUMMYFUNCTION("""COMPUTED_VALUE"""),80727006)</f>
        <v>80727006</v>
      </c>
    </row>
    <row r="2386" spans="1:6" x14ac:dyDescent="0.35">
      <c r="A2386" s="2">
        <f ca="1">IFERROR(__xludf.DUMMYFUNCTION("""COMPUTED_VALUE"""),45468.6666666666)</f>
        <v>45468.666666666599</v>
      </c>
      <c r="B2386" s="1">
        <f ca="1">IFERROR(__xludf.DUMMYFUNCTION("""COMPUTED_VALUE"""),209.15)</f>
        <v>209.15</v>
      </c>
      <c r="C2386" s="1">
        <f ca="1">IFERROR(__xludf.DUMMYFUNCTION("""COMPUTED_VALUE"""),211.38)</f>
        <v>211.38</v>
      </c>
      <c r="D2386" s="1">
        <f ca="1">IFERROR(__xludf.DUMMYFUNCTION("""COMPUTED_VALUE"""),208.61)</f>
        <v>208.61</v>
      </c>
      <c r="E2386" s="1">
        <f ca="1">IFERROR(__xludf.DUMMYFUNCTION("""COMPUTED_VALUE"""),209.07)</f>
        <v>209.07</v>
      </c>
      <c r="F2386" s="1">
        <f ca="1">IFERROR(__xludf.DUMMYFUNCTION("""COMPUTED_VALUE"""),56713868)</f>
        <v>56713868</v>
      </c>
    </row>
    <row r="2387" spans="1:6" x14ac:dyDescent="0.35">
      <c r="A2387" s="2">
        <f ca="1">IFERROR(__xludf.DUMMYFUNCTION("""COMPUTED_VALUE"""),45469.6666666666)</f>
        <v>45469.666666666599</v>
      </c>
      <c r="B2387" s="1">
        <f ca="1">IFERROR(__xludf.DUMMYFUNCTION("""COMPUTED_VALUE"""),211.5)</f>
        <v>211.5</v>
      </c>
      <c r="C2387" s="1">
        <f ca="1">IFERROR(__xludf.DUMMYFUNCTION("""COMPUTED_VALUE"""),214.86)</f>
        <v>214.86</v>
      </c>
      <c r="D2387" s="1">
        <f ca="1">IFERROR(__xludf.DUMMYFUNCTION("""COMPUTED_VALUE"""),210.64)</f>
        <v>210.64</v>
      </c>
      <c r="E2387" s="1">
        <f ca="1">IFERROR(__xludf.DUMMYFUNCTION("""COMPUTED_VALUE"""),213.25)</f>
        <v>213.25</v>
      </c>
      <c r="F2387" s="1">
        <f ca="1">IFERROR(__xludf.DUMMYFUNCTION("""COMPUTED_VALUE"""),66213186)</f>
        <v>66213186</v>
      </c>
    </row>
    <row r="2388" spans="1:6" x14ac:dyDescent="0.35">
      <c r="A2388" s="2">
        <f ca="1">IFERROR(__xludf.DUMMYFUNCTION("""COMPUTED_VALUE"""),45470.6666666666)</f>
        <v>45470.666666666599</v>
      </c>
      <c r="B2388" s="1">
        <f ca="1">IFERROR(__xludf.DUMMYFUNCTION("""COMPUTED_VALUE"""),214.69)</f>
        <v>214.69</v>
      </c>
      <c r="C2388" s="1">
        <f ca="1">IFERROR(__xludf.DUMMYFUNCTION("""COMPUTED_VALUE"""),215.74)</f>
        <v>215.74</v>
      </c>
      <c r="D2388" s="1">
        <f ca="1">IFERROR(__xludf.DUMMYFUNCTION("""COMPUTED_VALUE"""),212.35)</f>
        <v>212.35</v>
      </c>
      <c r="E2388" s="1">
        <f ca="1">IFERROR(__xludf.DUMMYFUNCTION("""COMPUTED_VALUE"""),214.1)</f>
        <v>214.1</v>
      </c>
      <c r="F2388" s="1">
        <f ca="1">IFERROR(__xludf.DUMMYFUNCTION("""COMPUTED_VALUE"""),49772707)</f>
        <v>49772707</v>
      </c>
    </row>
    <row r="2389" spans="1:6" x14ac:dyDescent="0.35">
      <c r="A2389" s="2">
        <f ca="1">IFERROR(__xludf.DUMMYFUNCTION("""COMPUTED_VALUE"""),45471.6666666666)</f>
        <v>45471.666666666599</v>
      </c>
      <c r="B2389" s="1">
        <f ca="1">IFERROR(__xludf.DUMMYFUNCTION("""COMPUTED_VALUE"""),215.77)</f>
        <v>215.77</v>
      </c>
      <c r="C2389" s="1">
        <f ca="1">IFERROR(__xludf.DUMMYFUNCTION("""COMPUTED_VALUE"""),216.07)</f>
        <v>216.07</v>
      </c>
      <c r="D2389" s="1">
        <f ca="1">IFERROR(__xludf.DUMMYFUNCTION("""COMPUTED_VALUE"""),210.3)</f>
        <v>210.3</v>
      </c>
      <c r="E2389" s="1">
        <f ca="1">IFERROR(__xludf.DUMMYFUNCTION("""COMPUTED_VALUE"""),210.62)</f>
        <v>210.62</v>
      </c>
      <c r="F2389" s="1">
        <f ca="1">IFERROR(__xludf.DUMMYFUNCTION("""COMPUTED_VALUE"""),82542718)</f>
        <v>82542718</v>
      </c>
    </row>
    <row r="2390" spans="1:6" x14ac:dyDescent="0.35">
      <c r="A2390" s="2">
        <f ca="1">IFERROR(__xludf.DUMMYFUNCTION("""COMPUTED_VALUE"""),45474.6666666666)</f>
        <v>45474.666666666599</v>
      </c>
      <c r="B2390" s="1">
        <f ca="1">IFERROR(__xludf.DUMMYFUNCTION("""COMPUTED_VALUE"""),212.09)</f>
        <v>212.09</v>
      </c>
      <c r="C2390" s="1">
        <f ca="1">IFERROR(__xludf.DUMMYFUNCTION("""COMPUTED_VALUE"""),217.51)</f>
        <v>217.51</v>
      </c>
      <c r="D2390" s="1">
        <f ca="1">IFERROR(__xludf.DUMMYFUNCTION("""COMPUTED_VALUE"""),211.92)</f>
        <v>211.92</v>
      </c>
      <c r="E2390" s="1">
        <f ca="1">IFERROR(__xludf.DUMMYFUNCTION("""COMPUTED_VALUE"""),216.75)</f>
        <v>216.75</v>
      </c>
      <c r="F2390" s="1">
        <f ca="1">IFERROR(__xludf.DUMMYFUNCTION("""COMPUTED_VALUE"""),60402929)</f>
        <v>60402929</v>
      </c>
    </row>
    <row r="2391" spans="1:6" x14ac:dyDescent="0.35">
      <c r="A2391" s="2">
        <f ca="1">IFERROR(__xludf.DUMMYFUNCTION("""COMPUTED_VALUE"""),45475.6666666666)</f>
        <v>45475.666666666599</v>
      </c>
      <c r="B2391" s="1">
        <f ca="1">IFERROR(__xludf.DUMMYFUNCTION("""COMPUTED_VALUE"""),216.15)</f>
        <v>216.15</v>
      </c>
      <c r="C2391" s="1">
        <f ca="1">IFERROR(__xludf.DUMMYFUNCTION("""COMPUTED_VALUE"""),220.38)</f>
        <v>220.38</v>
      </c>
      <c r="D2391" s="1">
        <f ca="1">IFERROR(__xludf.DUMMYFUNCTION("""COMPUTED_VALUE"""),215.1)</f>
        <v>215.1</v>
      </c>
      <c r="E2391" s="1">
        <f ca="1">IFERROR(__xludf.DUMMYFUNCTION("""COMPUTED_VALUE"""),220.27)</f>
        <v>220.27</v>
      </c>
      <c r="F2391" s="1">
        <f ca="1">IFERROR(__xludf.DUMMYFUNCTION("""COMPUTED_VALUE"""),58046178)</f>
        <v>58046178</v>
      </c>
    </row>
    <row r="2392" spans="1:6" x14ac:dyDescent="0.35">
      <c r="A2392" s="2">
        <f ca="1">IFERROR(__xludf.DUMMYFUNCTION("""COMPUTED_VALUE"""),45476.5451388888)</f>
        <v>45476.545138888803</v>
      </c>
      <c r="B2392" s="1">
        <f ca="1">IFERROR(__xludf.DUMMYFUNCTION("""COMPUTED_VALUE"""),220)</f>
        <v>220</v>
      </c>
      <c r="C2392" s="1">
        <f ca="1">IFERROR(__xludf.DUMMYFUNCTION("""COMPUTED_VALUE"""),221.55)</f>
        <v>221.55</v>
      </c>
      <c r="D2392" s="1">
        <f ca="1">IFERROR(__xludf.DUMMYFUNCTION("""COMPUTED_VALUE"""),219.03)</f>
        <v>219.03</v>
      </c>
      <c r="E2392" s="1">
        <f ca="1">IFERROR(__xludf.DUMMYFUNCTION("""COMPUTED_VALUE"""),221.55)</f>
        <v>221.55</v>
      </c>
      <c r="F2392" s="1">
        <f ca="1">IFERROR(__xludf.DUMMYFUNCTION("""COMPUTED_VALUE"""),37369801)</f>
        <v>37369801</v>
      </c>
    </row>
    <row r="2393" spans="1:6" x14ac:dyDescent="0.35">
      <c r="A2393" s="2">
        <f ca="1">IFERROR(__xludf.DUMMYFUNCTION("""COMPUTED_VALUE"""),45478.6666666666)</f>
        <v>45478.666666666599</v>
      </c>
      <c r="B2393" s="1">
        <f ca="1">IFERROR(__xludf.DUMMYFUNCTION("""COMPUTED_VALUE"""),221.65)</f>
        <v>221.65</v>
      </c>
      <c r="C2393" s="1">
        <f ca="1">IFERROR(__xludf.DUMMYFUNCTION("""COMPUTED_VALUE"""),226.45)</f>
        <v>226.45</v>
      </c>
      <c r="D2393" s="1">
        <f ca="1">IFERROR(__xludf.DUMMYFUNCTION("""COMPUTED_VALUE"""),221.65)</f>
        <v>221.65</v>
      </c>
      <c r="E2393" s="1">
        <f ca="1">IFERROR(__xludf.DUMMYFUNCTION("""COMPUTED_VALUE"""),226.34)</f>
        <v>226.34</v>
      </c>
      <c r="F2393" s="1">
        <f ca="1">IFERROR(__xludf.DUMMYFUNCTION("""COMPUTED_VALUE"""),60412408)</f>
        <v>60412408</v>
      </c>
    </row>
    <row r="2394" spans="1:6" x14ac:dyDescent="0.35">
      <c r="A2394" s="2">
        <f ca="1">IFERROR(__xludf.DUMMYFUNCTION("""COMPUTED_VALUE"""),45481.6666666666)</f>
        <v>45481.666666666599</v>
      </c>
      <c r="B2394" s="1">
        <f ca="1">IFERROR(__xludf.DUMMYFUNCTION("""COMPUTED_VALUE"""),227.09)</f>
        <v>227.09</v>
      </c>
      <c r="C2394" s="1">
        <f ca="1">IFERROR(__xludf.DUMMYFUNCTION("""COMPUTED_VALUE"""),227.85)</f>
        <v>227.85</v>
      </c>
      <c r="D2394" s="1">
        <f ca="1">IFERROR(__xludf.DUMMYFUNCTION("""COMPUTED_VALUE"""),223.25)</f>
        <v>223.25</v>
      </c>
      <c r="E2394" s="1">
        <f ca="1">IFERROR(__xludf.DUMMYFUNCTION("""COMPUTED_VALUE"""),227.82)</f>
        <v>227.82</v>
      </c>
      <c r="F2394" s="1">
        <f ca="1">IFERROR(__xludf.DUMMYFUNCTION("""COMPUTED_VALUE"""),59085861)</f>
        <v>59085861</v>
      </c>
    </row>
    <row r="2395" spans="1:6" x14ac:dyDescent="0.35">
      <c r="A2395" s="2">
        <f ca="1">IFERROR(__xludf.DUMMYFUNCTION("""COMPUTED_VALUE"""),45482.6666666666)</f>
        <v>45482.666666666599</v>
      </c>
      <c r="B2395" s="1">
        <f ca="1">IFERROR(__xludf.DUMMYFUNCTION("""COMPUTED_VALUE"""),227.93)</f>
        <v>227.93</v>
      </c>
      <c r="C2395" s="1">
        <f ca="1">IFERROR(__xludf.DUMMYFUNCTION("""COMPUTED_VALUE"""),229.4)</f>
        <v>229.4</v>
      </c>
      <c r="D2395" s="1">
        <f ca="1">IFERROR(__xludf.DUMMYFUNCTION("""COMPUTED_VALUE"""),226.37)</f>
        <v>226.37</v>
      </c>
      <c r="E2395" s="1">
        <f ca="1">IFERROR(__xludf.DUMMYFUNCTION("""COMPUTED_VALUE"""),228.68)</f>
        <v>228.68</v>
      </c>
      <c r="F2395" s="1">
        <f ca="1">IFERROR(__xludf.DUMMYFUNCTION("""COMPUTED_VALUE"""),48169822)</f>
        <v>48169822</v>
      </c>
    </row>
    <row r="2396" spans="1:6" x14ac:dyDescent="0.35">
      <c r="A2396" s="2">
        <f ca="1">IFERROR(__xludf.DUMMYFUNCTION("""COMPUTED_VALUE"""),45483.6666666666)</f>
        <v>45483.666666666599</v>
      </c>
      <c r="B2396" s="1">
        <f ca="1">IFERROR(__xludf.DUMMYFUNCTION("""COMPUTED_VALUE"""),229.3)</f>
        <v>229.3</v>
      </c>
      <c r="C2396" s="1">
        <f ca="1">IFERROR(__xludf.DUMMYFUNCTION("""COMPUTED_VALUE"""),233.08)</f>
        <v>233.08</v>
      </c>
      <c r="D2396" s="1">
        <f ca="1">IFERROR(__xludf.DUMMYFUNCTION("""COMPUTED_VALUE"""),229.25)</f>
        <v>229.25</v>
      </c>
      <c r="E2396" s="1">
        <f ca="1">IFERROR(__xludf.DUMMYFUNCTION("""COMPUTED_VALUE"""),232.98)</f>
        <v>232.98</v>
      </c>
      <c r="F2396" s="1">
        <f ca="1">IFERROR(__xludf.DUMMYFUNCTION("""COMPUTED_VALUE"""),62627687)</f>
        <v>62627687</v>
      </c>
    </row>
    <row r="2397" spans="1:6" x14ac:dyDescent="0.35">
      <c r="A2397" s="2">
        <f ca="1">IFERROR(__xludf.DUMMYFUNCTION("""COMPUTED_VALUE"""),45484.6666666666)</f>
        <v>45484.666666666599</v>
      </c>
      <c r="B2397" s="1">
        <f ca="1">IFERROR(__xludf.DUMMYFUNCTION("""COMPUTED_VALUE"""),231.39)</f>
        <v>231.39</v>
      </c>
      <c r="C2397" s="1">
        <f ca="1">IFERROR(__xludf.DUMMYFUNCTION("""COMPUTED_VALUE"""),232.39)</f>
        <v>232.39</v>
      </c>
      <c r="D2397" s="1">
        <f ca="1">IFERROR(__xludf.DUMMYFUNCTION("""COMPUTED_VALUE"""),225.77)</f>
        <v>225.77</v>
      </c>
      <c r="E2397" s="1">
        <f ca="1">IFERROR(__xludf.DUMMYFUNCTION("""COMPUTED_VALUE"""),227.57)</f>
        <v>227.57</v>
      </c>
      <c r="F2397" s="1">
        <f ca="1">IFERROR(__xludf.DUMMYFUNCTION("""COMPUTED_VALUE"""),64710617)</f>
        <v>64710617</v>
      </c>
    </row>
    <row r="2398" spans="1:6" x14ac:dyDescent="0.35">
      <c r="A2398" s="2">
        <f ca="1">IFERROR(__xludf.DUMMYFUNCTION("""COMPUTED_VALUE"""),45485.6666666666)</f>
        <v>45485.666666666599</v>
      </c>
      <c r="B2398" s="1">
        <f ca="1">IFERROR(__xludf.DUMMYFUNCTION("""COMPUTED_VALUE"""),228.92)</f>
        <v>228.92</v>
      </c>
      <c r="C2398" s="1">
        <f ca="1">IFERROR(__xludf.DUMMYFUNCTION("""COMPUTED_VALUE"""),232.64)</f>
        <v>232.64</v>
      </c>
      <c r="D2398" s="1">
        <f ca="1">IFERROR(__xludf.DUMMYFUNCTION("""COMPUTED_VALUE"""),228.68)</f>
        <v>228.68</v>
      </c>
      <c r="E2398" s="1">
        <f ca="1">IFERROR(__xludf.DUMMYFUNCTION("""COMPUTED_VALUE"""),230.54)</f>
        <v>230.54</v>
      </c>
      <c r="F2398" s="1">
        <f ca="1">IFERROR(__xludf.DUMMYFUNCTION("""COMPUTED_VALUE"""),53046527)</f>
        <v>53046527</v>
      </c>
    </row>
    <row r="2399" spans="1:6" x14ac:dyDescent="0.35">
      <c r="A2399" s="2">
        <f ca="1">IFERROR(__xludf.DUMMYFUNCTION("""COMPUTED_VALUE"""),45488.6666666666)</f>
        <v>45488.666666666599</v>
      </c>
      <c r="B2399" s="1">
        <f ca="1">IFERROR(__xludf.DUMMYFUNCTION("""COMPUTED_VALUE"""),236.48)</f>
        <v>236.48</v>
      </c>
      <c r="C2399" s="1">
        <f ca="1">IFERROR(__xludf.DUMMYFUNCTION("""COMPUTED_VALUE"""),237.23)</f>
        <v>237.23</v>
      </c>
      <c r="D2399" s="1">
        <f ca="1">IFERROR(__xludf.DUMMYFUNCTION("""COMPUTED_VALUE"""),233.09)</f>
        <v>233.09</v>
      </c>
      <c r="E2399" s="1">
        <f ca="1">IFERROR(__xludf.DUMMYFUNCTION("""COMPUTED_VALUE"""),234.4)</f>
        <v>234.4</v>
      </c>
      <c r="F2399" s="1">
        <f ca="1">IFERROR(__xludf.DUMMYFUNCTION("""COMPUTED_VALUE"""),62631252)</f>
        <v>62631252</v>
      </c>
    </row>
    <row r="2400" spans="1:6" x14ac:dyDescent="0.35">
      <c r="A2400" s="2">
        <f ca="1">IFERROR(__xludf.DUMMYFUNCTION("""COMPUTED_VALUE"""),45489.6666666666)</f>
        <v>45489.666666666599</v>
      </c>
      <c r="B2400" s="1">
        <f ca="1">IFERROR(__xludf.DUMMYFUNCTION("""COMPUTED_VALUE"""),235)</f>
        <v>235</v>
      </c>
      <c r="C2400" s="1">
        <f ca="1">IFERROR(__xludf.DUMMYFUNCTION("""COMPUTED_VALUE"""),236.27)</f>
        <v>236.27</v>
      </c>
      <c r="D2400" s="1">
        <f ca="1">IFERROR(__xludf.DUMMYFUNCTION("""COMPUTED_VALUE"""),232.33)</f>
        <v>232.33</v>
      </c>
      <c r="E2400" s="1">
        <f ca="1">IFERROR(__xludf.DUMMYFUNCTION("""COMPUTED_VALUE"""),234.82)</f>
        <v>234.82</v>
      </c>
      <c r="F2400" s="1">
        <f ca="1">IFERROR(__xludf.DUMMYFUNCTION("""COMPUTED_VALUE"""),43234278)</f>
        <v>43234278</v>
      </c>
    </row>
    <row r="2401" spans="1:6" x14ac:dyDescent="0.35">
      <c r="A2401" s="2">
        <f ca="1">IFERROR(__xludf.DUMMYFUNCTION("""COMPUTED_VALUE"""),45490.6666666666)</f>
        <v>45490.666666666599</v>
      </c>
      <c r="B2401" s="1">
        <f ca="1">IFERROR(__xludf.DUMMYFUNCTION("""COMPUTED_VALUE"""),229.45)</f>
        <v>229.45</v>
      </c>
      <c r="C2401" s="1">
        <f ca="1">IFERROR(__xludf.DUMMYFUNCTION("""COMPUTED_VALUE"""),231.46)</f>
        <v>231.46</v>
      </c>
      <c r="D2401" s="1">
        <f ca="1">IFERROR(__xludf.DUMMYFUNCTION("""COMPUTED_VALUE"""),226.64)</f>
        <v>226.64</v>
      </c>
      <c r="E2401" s="1">
        <f ca="1">IFERROR(__xludf.DUMMYFUNCTION("""COMPUTED_VALUE"""),228.88)</f>
        <v>228.88</v>
      </c>
      <c r="F2401" s="1">
        <f ca="1">IFERROR(__xludf.DUMMYFUNCTION("""COMPUTED_VALUE"""),57345884)</f>
        <v>57345884</v>
      </c>
    </row>
    <row r="2402" spans="1:6" x14ac:dyDescent="0.35">
      <c r="A2402" s="2">
        <f ca="1">IFERROR(__xludf.DUMMYFUNCTION("""COMPUTED_VALUE"""),45491.6666666666)</f>
        <v>45491.666666666599</v>
      </c>
      <c r="B2402" s="1">
        <f ca="1">IFERROR(__xludf.DUMMYFUNCTION("""COMPUTED_VALUE"""),230.28)</f>
        <v>230.28</v>
      </c>
      <c r="C2402" s="1">
        <f ca="1">IFERROR(__xludf.DUMMYFUNCTION("""COMPUTED_VALUE"""),230.44)</f>
        <v>230.44</v>
      </c>
      <c r="D2402" s="1">
        <f ca="1">IFERROR(__xludf.DUMMYFUNCTION("""COMPUTED_VALUE"""),222.27)</f>
        <v>222.27</v>
      </c>
      <c r="E2402" s="1">
        <f ca="1">IFERROR(__xludf.DUMMYFUNCTION("""COMPUTED_VALUE"""),224.18)</f>
        <v>224.18</v>
      </c>
      <c r="F2402" s="1">
        <f ca="1">IFERROR(__xludf.DUMMYFUNCTION("""COMPUTED_VALUE"""),66034585)</f>
        <v>66034585</v>
      </c>
    </row>
    <row r="2403" spans="1:6" x14ac:dyDescent="0.35">
      <c r="A2403" s="2">
        <f ca="1">IFERROR(__xludf.DUMMYFUNCTION("""COMPUTED_VALUE"""),45492.6666666666)</f>
        <v>45492.666666666599</v>
      </c>
      <c r="B2403" s="1">
        <f ca="1">IFERROR(__xludf.DUMMYFUNCTION("""COMPUTED_VALUE"""),224.82)</f>
        <v>224.82</v>
      </c>
      <c r="C2403" s="1">
        <f ca="1">IFERROR(__xludf.DUMMYFUNCTION("""COMPUTED_VALUE"""),226.8)</f>
        <v>226.8</v>
      </c>
      <c r="D2403" s="1">
        <f ca="1">IFERROR(__xludf.DUMMYFUNCTION("""COMPUTED_VALUE"""),223.28)</f>
        <v>223.28</v>
      </c>
      <c r="E2403" s="1">
        <f ca="1">IFERROR(__xludf.DUMMYFUNCTION("""COMPUTED_VALUE"""),224.31)</f>
        <v>224.31</v>
      </c>
      <c r="F2403" s="1">
        <f ca="1">IFERROR(__xludf.DUMMYFUNCTION("""COMPUTED_VALUE"""),49151453)</f>
        <v>49151453</v>
      </c>
    </row>
    <row r="2404" spans="1:6" x14ac:dyDescent="0.35">
      <c r="A2404" s="2">
        <f ca="1">IFERROR(__xludf.DUMMYFUNCTION("""COMPUTED_VALUE"""),45495.6666666666)</f>
        <v>45495.666666666599</v>
      </c>
      <c r="B2404" s="1">
        <f ca="1">IFERROR(__xludf.DUMMYFUNCTION("""COMPUTED_VALUE"""),227.01)</f>
        <v>227.01</v>
      </c>
      <c r="C2404" s="1">
        <f ca="1">IFERROR(__xludf.DUMMYFUNCTION("""COMPUTED_VALUE"""),227.78)</f>
        <v>227.78</v>
      </c>
      <c r="D2404" s="1">
        <f ca="1">IFERROR(__xludf.DUMMYFUNCTION("""COMPUTED_VALUE"""),223.09)</f>
        <v>223.09</v>
      </c>
      <c r="E2404" s="1">
        <f ca="1">IFERROR(__xludf.DUMMYFUNCTION("""COMPUTED_VALUE"""),223.96)</f>
        <v>223.96</v>
      </c>
      <c r="F2404" s="1">
        <f ca="1">IFERROR(__xludf.DUMMYFUNCTION("""COMPUTED_VALUE"""),48201835)</f>
        <v>48201835</v>
      </c>
    </row>
    <row r="2405" spans="1:6" x14ac:dyDescent="0.35">
      <c r="A2405" s="2">
        <f ca="1">IFERROR(__xludf.DUMMYFUNCTION("""COMPUTED_VALUE"""),45496.6666666666)</f>
        <v>45496.666666666599</v>
      </c>
      <c r="B2405" s="1">
        <f ca="1">IFERROR(__xludf.DUMMYFUNCTION("""COMPUTED_VALUE"""),224.37)</f>
        <v>224.37</v>
      </c>
      <c r="C2405" s="1">
        <f ca="1">IFERROR(__xludf.DUMMYFUNCTION("""COMPUTED_VALUE"""),226.94)</f>
        <v>226.94</v>
      </c>
      <c r="D2405" s="1">
        <f ca="1">IFERROR(__xludf.DUMMYFUNCTION("""COMPUTED_VALUE"""),222.68)</f>
        <v>222.68</v>
      </c>
      <c r="E2405" s="1">
        <f ca="1">IFERROR(__xludf.DUMMYFUNCTION("""COMPUTED_VALUE"""),225.01)</f>
        <v>225.01</v>
      </c>
      <c r="F2405" s="1">
        <f ca="1">IFERROR(__xludf.DUMMYFUNCTION("""COMPUTED_VALUE"""),39960260)</f>
        <v>39960260</v>
      </c>
    </row>
    <row r="2406" spans="1:6" x14ac:dyDescent="0.35">
      <c r="A2406" s="2">
        <f ca="1">IFERROR(__xludf.DUMMYFUNCTION("""COMPUTED_VALUE"""),45497.6666666666)</f>
        <v>45497.666666666599</v>
      </c>
      <c r="B2406" s="1">
        <f ca="1">IFERROR(__xludf.DUMMYFUNCTION("""COMPUTED_VALUE"""),224)</f>
        <v>224</v>
      </c>
      <c r="C2406" s="1">
        <f ca="1">IFERROR(__xludf.DUMMYFUNCTION("""COMPUTED_VALUE"""),224.8)</f>
        <v>224.8</v>
      </c>
      <c r="D2406" s="1">
        <f ca="1">IFERROR(__xludf.DUMMYFUNCTION("""COMPUTED_VALUE"""),217.13)</f>
        <v>217.13</v>
      </c>
      <c r="E2406" s="1">
        <f ca="1">IFERROR(__xludf.DUMMYFUNCTION("""COMPUTED_VALUE"""),218.54)</f>
        <v>218.54</v>
      </c>
      <c r="F2406" s="1">
        <f ca="1">IFERROR(__xludf.DUMMYFUNCTION("""COMPUTED_VALUE"""),61777576)</f>
        <v>61777576</v>
      </c>
    </row>
    <row r="2407" spans="1:6" x14ac:dyDescent="0.35">
      <c r="A2407" s="2">
        <f ca="1">IFERROR(__xludf.DUMMYFUNCTION("""COMPUTED_VALUE"""),45498.6666666666)</f>
        <v>45498.666666666599</v>
      </c>
      <c r="B2407" s="1">
        <f ca="1">IFERROR(__xludf.DUMMYFUNCTION("""COMPUTED_VALUE"""),218.93)</f>
        <v>218.93</v>
      </c>
      <c r="C2407" s="1">
        <f ca="1">IFERROR(__xludf.DUMMYFUNCTION("""COMPUTED_VALUE"""),220.85)</f>
        <v>220.85</v>
      </c>
      <c r="D2407" s="1">
        <f ca="1">IFERROR(__xludf.DUMMYFUNCTION("""COMPUTED_VALUE"""),214.62)</f>
        <v>214.62</v>
      </c>
      <c r="E2407" s="1">
        <f ca="1">IFERROR(__xludf.DUMMYFUNCTION("""COMPUTED_VALUE"""),217.49)</f>
        <v>217.49</v>
      </c>
      <c r="F2407" s="1">
        <f ca="1">IFERROR(__xludf.DUMMYFUNCTION("""COMPUTED_VALUE"""),51391199)</f>
        <v>51391199</v>
      </c>
    </row>
    <row r="2408" spans="1:6" x14ac:dyDescent="0.35">
      <c r="A2408" s="2">
        <f ca="1">IFERROR(__xludf.DUMMYFUNCTION("""COMPUTED_VALUE"""),45499.6666666666)</f>
        <v>45499.666666666599</v>
      </c>
      <c r="B2408" s="1">
        <f ca="1">IFERROR(__xludf.DUMMYFUNCTION("""COMPUTED_VALUE"""),218.7)</f>
        <v>218.7</v>
      </c>
      <c r="C2408" s="1">
        <f ca="1">IFERROR(__xludf.DUMMYFUNCTION("""COMPUTED_VALUE"""),219.49)</f>
        <v>219.49</v>
      </c>
      <c r="D2408" s="1">
        <f ca="1">IFERROR(__xludf.DUMMYFUNCTION("""COMPUTED_VALUE"""),216.01)</f>
        <v>216.01</v>
      </c>
      <c r="E2408" s="1">
        <f ca="1">IFERROR(__xludf.DUMMYFUNCTION("""COMPUTED_VALUE"""),217.96)</f>
        <v>217.96</v>
      </c>
      <c r="F2408" s="1">
        <f ca="1">IFERROR(__xludf.DUMMYFUNCTION("""COMPUTED_VALUE"""),41601345)</f>
        <v>41601345</v>
      </c>
    </row>
    <row r="2409" spans="1:6" x14ac:dyDescent="0.35">
      <c r="A2409" s="2">
        <f ca="1">IFERROR(__xludf.DUMMYFUNCTION("""COMPUTED_VALUE"""),45502.6666666666)</f>
        <v>45502.666666666599</v>
      </c>
      <c r="B2409" s="1">
        <f ca="1">IFERROR(__xludf.DUMMYFUNCTION("""COMPUTED_VALUE"""),216.96)</f>
        <v>216.96</v>
      </c>
      <c r="C2409" s="1">
        <f ca="1">IFERROR(__xludf.DUMMYFUNCTION("""COMPUTED_VALUE"""),219.3)</f>
        <v>219.3</v>
      </c>
      <c r="D2409" s="1">
        <f ca="1">IFERROR(__xludf.DUMMYFUNCTION("""COMPUTED_VALUE"""),215.75)</f>
        <v>215.75</v>
      </c>
      <c r="E2409" s="1">
        <f ca="1">IFERROR(__xludf.DUMMYFUNCTION("""COMPUTED_VALUE"""),218.24)</f>
        <v>218.24</v>
      </c>
      <c r="F2409" s="1">
        <f ca="1">IFERROR(__xludf.DUMMYFUNCTION("""COMPUTED_VALUE"""),36311778)</f>
        <v>36311778</v>
      </c>
    </row>
    <row r="2410" spans="1:6" x14ac:dyDescent="0.35">
      <c r="A2410" s="2">
        <f ca="1">IFERROR(__xludf.DUMMYFUNCTION("""COMPUTED_VALUE"""),45503.6666666666)</f>
        <v>45503.666666666599</v>
      </c>
      <c r="B2410" s="1">
        <f ca="1">IFERROR(__xludf.DUMMYFUNCTION("""COMPUTED_VALUE"""),219.19)</f>
        <v>219.19</v>
      </c>
      <c r="C2410" s="1">
        <f ca="1">IFERROR(__xludf.DUMMYFUNCTION("""COMPUTED_VALUE"""),220.33)</f>
        <v>220.33</v>
      </c>
      <c r="D2410" s="1">
        <f ca="1">IFERROR(__xludf.DUMMYFUNCTION("""COMPUTED_VALUE"""),216.12)</f>
        <v>216.12</v>
      </c>
      <c r="E2410" s="1">
        <f ca="1">IFERROR(__xludf.DUMMYFUNCTION("""COMPUTED_VALUE"""),218.8)</f>
        <v>218.8</v>
      </c>
      <c r="F2410" s="1">
        <f ca="1">IFERROR(__xludf.DUMMYFUNCTION("""COMPUTED_VALUE"""),41643840)</f>
        <v>41643840</v>
      </c>
    </row>
    <row r="2411" spans="1:6" x14ac:dyDescent="0.35">
      <c r="A2411" s="2">
        <f ca="1">IFERROR(__xludf.DUMMYFUNCTION("""COMPUTED_VALUE"""),45504.6666666666)</f>
        <v>45504.666666666599</v>
      </c>
      <c r="B2411" s="1">
        <f ca="1">IFERROR(__xludf.DUMMYFUNCTION("""COMPUTED_VALUE"""),221.44)</f>
        <v>221.44</v>
      </c>
      <c r="C2411" s="1">
        <f ca="1">IFERROR(__xludf.DUMMYFUNCTION("""COMPUTED_VALUE"""),223.82)</f>
        <v>223.82</v>
      </c>
      <c r="D2411" s="1">
        <f ca="1">IFERROR(__xludf.DUMMYFUNCTION("""COMPUTED_VALUE"""),220.63)</f>
        <v>220.63</v>
      </c>
      <c r="E2411" s="1">
        <f ca="1">IFERROR(__xludf.DUMMYFUNCTION("""COMPUTED_VALUE"""),222.08)</f>
        <v>222.08</v>
      </c>
      <c r="F2411" s="1">
        <f ca="1">IFERROR(__xludf.DUMMYFUNCTION("""COMPUTED_VALUE"""),50036262)</f>
        <v>50036262</v>
      </c>
    </row>
    <row r="2412" spans="1:6" x14ac:dyDescent="0.35">
      <c r="A2412" s="2">
        <f ca="1">IFERROR(__xludf.DUMMYFUNCTION("""COMPUTED_VALUE"""),45505.6666666666)</f>
        <v>45505.666666666599</v>
      </c>
      <c r="B2412" s="1">
        <f ca="1">IFERROR(__xludf.DUMMYFUNCTION("""COMPUTED_VALUE"""),224.37)</f>
        <v>224.37</v>
      </c>
      <c r="C2412" s="1">
        <f ca="1">IFERROR(__xludf.DUMMYFUNCTION("""COMPUTED_VALUE"""),224.48)</f>
        <v>224.48</v>
      </c>
      <c r="D2412" s="1">
        <f ca="1">IFERROR(__xludf.DUMMYFUNCTION("""COMPUTED_VALUE"""),217.02)</f>
        <v>217.02</v>
      </c>
      <c r="E2412" s="1">
        <f ca="1">IFERROR(__xludf.DUMMYFUNCTION("""COMPUTED_VALUE"""),218.36)</f>
        <v>218.36</v>
      </c>
      <c r="F2412" s="1">
        <f ca="1">IFERROR(__xludf.DUMMYFUNCTION("""COMPUTED_VALUE"""),62500996)</f>
        <v>62500996</v>
      </c>
    </row>
    <row r="2413" spans="1:6" x14ac:dyDescent="0.35">
      <c r="A2413" s="2">
        <f ca="1">IFERROR(__xludf.DUMMYFUNCTION("""COMPUTED_VALUE"""),45506.6666666666)</f>
        <v>45506.666666666599</v>
      </c>
      <c r="B2413" s="1">
        <f ca="1">IFERROR(__xludf.DUMMYFUNCTION("""COMPUTED_VALUE"""),219.15)</f>
        <v>219.15</v>
      </c>
      <c r="C2413" s="1">
        <f ca="1">IFERROR(__xludf.DUMMYFUNCTION("""COMPUTED_VALUE"""),225.6)</f>
        <v>225.6</v>
      </c>
      <c r="D2413" s="1">
        <f ca="1">IFERROR(__xludf.DUMMYFUNCTION("""COMPUTED_VALUE"""),217.71)</f>
        <v>217.71</v>
      </c>
      <c r="E2413" s="1">
        <f ca="1">IFERROR(__xludf.DUMMYFUNCTION("""COMPUTED_VALUE"""),219.86)</f>
        <v>219.86</v>
      </c>
      <c r="F2413" s="1">
        <f ca="1">IFERROR(__xludf.DUMMYFUNCTION("""COMPUTED_VALUE"""),105568560)</f>
        <v>105568560</v>
      </c>
    </row>
    <row r="2414" spans="1:6" x14ac:dyDescent="0.35">
      <c r="A2414" s="2">
        <f ca="1">IFERROR(__xludf.DUMMYFUNCTION("""COMPUTED_VALUE"""),45509.6666666666)</f>
        <v>45509.666666666599</v>
      </c>
      <c r="B2414" s="1">
        <f ca="1">IFERROR(__xludf.DUMMYFUNCTION("""COMPUTED_VALUE"""),199.09)</f>
        <v>199.09</v>
      </c>
      <c r="C2414" s="1">
        <f ca="1">IFERROR(__xludf.DUMMYFUNCTION("""COMPUTED_VALUE"""),213.5)</f>
        <v>213.5</v>
      </c>
      <c r="D2414" s="1">
        <f ca="1">IFERROR(__xludf.DUMMYFUNCTION("""COMPUTED_VALUE"""),196)</f>
        <v>196</v>
      </c>
      <c r="E2414" s="1">
        <f ca="1">IFERROR(__xludf.DUMMYFUNCTION("""COMPUTED_VALUE"""),209.27)</f>
        <v>209.27</v>
      </c>
      <c r="F2414" s="1">
        <f ca="1">IFERROR(__xludf.DUMMYFUNCTION("""COMPUTED_VALUE"""),119548589)</f>
        <v>119548589</v>
      </c>
    </row>
    <row r="2415" spans="1:6" x14ac:dyDescent="0.35">
      <c r="A2415" s="2">
        <f ca="1">IFERROR(__xludf.DUMMYFUNCTION("""COMPUTED_VALUE"""),45510.6666666666)</f>
        <v>45510.666666666599</v>
      </c>
      <c r="B2415" s="1">
        <f ca="1">IFERROR(__xludf.DUMMYFUNCTION("""COMPUTED_VALUE"""),205.3)</f>
        <v>205.3</v>
      </c>
      <c r="C2415" s="1">
        <f ca="1">IFERROR(__xludf.DUMMYFUNCTION("""COMPUTED_VALUE"""),209.99)</f>
        <v>209.99</v>
      </c>
      <c r="D2415" s="1">
        <f ca="1">IFERROR(__xludf.DUMMYFUNCTION("""COMPUTED_VALUE"""),201.07)</f>
        <v>201.07</v>
      </c>
      <c r="E2415" s="1">
        <f ca="1">IFERROR(__xludf.DUMMYFUNCTION("""COMPUTED_VALUE"""),207.23)</f>
        <v>207.23</v>
      </c>
      <c r="F2415" s="1">
        <f ca="1">IFERROR(__xludf.DUMMYFUNCTION("""COMPUTED_VALUE"""),69660488)</f>
        <v>69660488</v>
      </c>
    </row>
    <row r="2416" spans="1:6" x14ac:dyDescent="0.35">
      <c r="A2416" s="2">
        <f ca="1">IFERROR(__xludf.DUMMYFUNCTION("""COMPUTED_VALUE"""),45511.6666666666)</f>
        <v>45511.666666666599</v>
      </c>
      <c r="B2416" s="1">
        <f ca="1">IFERROR(__xludf.DUMMYFUNCTION("""COMPUTED_VALUE"""),206.9)</f>
        <v>206.9</v>
      </c>
      <c r="C2416" s="1">
        <f ca="1">IFERROR(__xludf.DUMMYFUNCTION("""COMPUTED_VALUE"""),213.64)</f>
        <v>213.64</v>
      </c>
      <c r="D2416" s="1">
        <f ca="1">IFERROR(__xludf.DUMMYFUNCTION("""COMPUTED_VALUE"""),206.39)</f>
        <v>206.39</v>
      </c>
      <c r="E2416" s="1">
        <f ca="1">IFERROR(__xludf.DUMMYFUNCTION("""COMPUTED_VALUE"""),209.82)</f>
        <v>209.82</v>
      </c>
      <c r="F2416" s="1">
        <f ca="1">IFERROR(__xludf.DUMMYFUNCTION("""COMPUTED_VALUE"""),63516417)</f>
        <v>63516417</v>
      </c>
    </row>
    <row r="2417" spans="1:6" x14ac:dyDescent="0.35">
      <c r="A2417" s="2">
        <f ca="1">IFERROR(__xludf.DUMMYFUNCTION("""COMPUTED_VALUE"""),45512.6666666666)</f>
        <v>45512.666666666599</v>
      </c>
      <c r="B2417" s="1">
        <f ca="1">IFERROR(__xludf.DUMMYFUNCTION("""COMPUTED_VALUE"""),213.11)</f>
        <v>213.11</v>
      </c>
      <c r="C2417" s="1">
        <f ca="1">IFERROR(__xludf.DUMMYFUNCTION("""COMPUTED_VALUE"""),214.2)</f>
        <v>214.2</v>
      </c>
      <c r="D2417" s="1">
        <f ca="1">IFERROR(__xludf.DUMMYFUNCTION("""COMPUTED_VALUE"""),208.83)</f>
        <v>208.83</v>
      </c>
      <c r="E2417" s="1">
        <f ca="1">IFERROR(__xludf.DUMMYFUNCTION("""COMPUTED_VALUE"""),213.31)</f>
        <v>213.31</v>
      </c>
      <c r="F2417" s="1">
        <f ca="1">IFERROR(__xludf.DUMMYFUNCTION("""COMPUTED_VALUE"""),47161149)</f>
        <v>47161149</v>
      </c>
    </row>
    <row r="2418" spans="1:6" x14ac:dyDescent="0.35">
      <c r="A2418" s="2">
        <f ca="1">IFERROR(__xludf.DUMMYFUNCTION("""COMPUTED_VALUE"""),45513.6666666666)</f>
        <v>45513.666666666599</v>
      </c>
      <c r="B2418" s="1">
        <f ca="1">IFERROR(__xludf.DUMMYFUNCTION("""COMPUTED_VALUE"""),212.1)</f>
        <v>212.1</v>
      </c>
      <c r="C2418" s="1">
        <f ca="1">IFERROR(__xludf.DUMMYFUNCTION("""COMPUTED_VALUE"""),216.78)</f>
        <v>216.78</v>
      </c>
      <c r="D2418" s="1">
        <f ca="1">IFERROR(__xludf.DUMMYFUNCTION("""COMPUTED_VALUE"""),211.97)</f>
        <v>211.97</v>
      </c>
      <c r="E2418" s="1">
        <f ca="1">IFERROR(__xludf.DUMMYFUNCTION("""COMPUTED_VALUE"""),216.24)</f>
        <v>216.24</v>
      </c>
      <c r="F2418" s="1">
        <f ca="1">IFERROR(__xludf.DUMMYFUNCTION("""COMPUTED_VALUE"""),42201646)</f>
        <v>42201646</v>
      </c>
    </row>
    <row r="2419" spans="1:6" x14ac:dyDescent="0.35">
      <c r="A2419" s="2">
        <f ca="1">IFERROR(__xludf.DUMMYFUNCTION("""COMPUTED_VALUE"""),45516.6666666666)</f>
        <v>45516.666666666599</v>
      </c>
      <c r="B2419" s="1">
        <f ca="1">IFERROR(__xludf.DUMMYFUNCTION("""COMPUTED_VALUE"""),216.07)</f>
        <v>216.07</v>
      </c>
      <c r="C2419" s="1">
        <f ca="1">IFERROR(__xludf.DUMMYFUNCTION("""COMPUTED_VALUE"""),219.51)</f>
        <v>219.51</v>
      </c>
      <c r="D2419" s="1">
        <f ca="1">IFERROR(__xludf.DUMMYFUNCTION("""COMPUTED_VALUE"""),215.6)</f>
        <v>215.6</v>
      </c>
      <c r="E2419" s="1">
        <f ca="1">IFERROR(__xludf.DUMMYFUNCTION("""COMPUTED_VALUE"""),217.53)</f>
        <v>217.53</v>
      </c>
      <c r="F2419" s="1">
        <f ca="1">IFERROR(__xludf.DUMMYFUNCTION("""COMPUTED_VALUE"""),38028092)</f>
        <v>38028092</v>
      </c>
    </row>
    <row r="2420" spans="1:6" x14ac:dyDescent="0.35">
      <c r="A2420" s="2">
        <f ca="1">IFERROR(__xludf.DUMMYFUNCTION("""COMPUTED_VALUE"""),45517.6666666666)</f>
        <v>45517.666666666599</v>
      </c>
      <c r="B2420" s="1">
        <f ca="1">IFERROR(__xludf.DUMMYFUNCTION("""COMPUTED_VALUE"""),219.01)</f>
        <v>219.01</v>
      </c>
      <c r="C2420" s="1">
        <f ca="1">IFERROR(__xludf.DUMMYFUNCTION("""COMPUTED_VALUE"""),221.89)</f>
        <v>221.89</v>
      </c>
      <c r="D2420" s="1">
        <f ca="1">IFERROR(__xludf.DUMMYFUNCTION("""COMPUTED_VALUE"""),219.01)</f>
        <v>219.01</v>
      </c>
      <c r="E2420" s="1">
        <f ca="1">IFERROR(__xludf.DUMMYFUNCTION("""COMPUTED_VALUE"""),221.27)</f>
        <v>221.27</v>
      </c>
      <c r="F2420" s="1">
        <f ca="1">IFERROR(__xludf.DUMMYFUNCTION("""COMPUTED_VALUE"""),44155331)</f>
        <v>44155331</v>
      </c>
    </row>
    <row r="2421" spans="1:6" x14ac:dyDescent="0.35">
      <c r="A2421" s="2">
        <f ca="1">IFERROR(__xludf.DUMMYFUNCTION("""COMPUTED_VALUE"""),45518.6666666666)</f>
        <v>45518.666666666599</v>
      </c>
      <c r="B2421" s="1">
        <f ca="1">IFERROR(__xludf.DUMMYFUNCTION("""COMPUTED_VALUE"""),220.57)</f>
        <v>220.57</v>
      </c>
      <c r="C2421" s="1">
        <f ca="1">IFERROR(__xludf.DUMMYFUNCTION("""COMPUTED_VALUE"""),223.03)</f>
        <v>223.03</v>
      </c>
      <c r="D2421" s="1">
        <f ca="1">IFERROR(__xludf.DUMMYFUNCTION("""COMPUTED_VALUE"""),219.7)</f>
        <v>219.7</v>
      </c>
      <c r="E2421" s="1">
        <f ca="1">IFERROR(__xludf.DUMMYFUNCTION("""COMPUTED_VALUE"""),221.72)</f>
        <v>221.72</v>
      </c>
      <c r="F2421" s="1">
        <f ca="1">IFERROR(__xludf.DUMMYFUNCTION("""COMPUTED_VALUE"""),41960574)</f>
        <v>41960574</v>
      </c>
    </row>
    <row r="2422" spans="1:6" x14ac:dyDescent="0.35">
      <c r="A2422" s="2">
        <f ca="1">IFERROR(__xludf.DUMMYFUNCTION("""COMPUTED_VALUE"""),45519.6666666666)</f>
        <v>45519.666666666599</v>
      </c>
      <c r="B2422" s="1">
        <f ca="1">IFERROR(__xludf.DUMMYFUNCTION("""COMPUTED_VALUE"""),224.6)</f>
        <v>224.6</v>
      </c>
      <c r="C2422" s="1">
        <f ca="1">IFERROR(__xludf.DUMMYFUNCTION("""COMPUTED_VALUE"""),225.35)</f>
        <v>225.35</v>
      </c>
      <c r="D2422" s="1">
        <f ca="1">IFERROR(__xludf.DUMMYFUNCTION("""COMPUTED_VALUE"""),222.76)</f>
        <v>222.76</v>
      </c>
      <c r="E2422" s="1">
        <f ca="1">IFERROR(__xludf.DUMMYFUNCTION("""COMPUTED_VALUE"""),224.72)</f>
        <v>224.72</v>
      </c>
      <c r="F2422" s="1">
        <f ca="1">IFERROR(__xludf.DUMMYFUNCTION("""COMPUTED_VALUE"""),46414013)</f>
        <v>46414013</v>
      </c>
    </row>
    <row r="2423" spans="1:6" x14ac:dyDescent="0.35">
      <c r="A2423" s="2">
        <f ca="1">IFERROR(__xludf.DUMMYFUNCTION("""COMPUTED_VALUE"""),45520.6666666666)</f>
        <v>45520.666666666599</v>
      </c>
      <c r="B2423" s="1">
        <f ca="1">IFERROR(__xludf.DUMMYFUNCTION("""COMPUTED_VALUE"""),223.92)</f>
        <v>223.92</v>
      </c>
      <c r="C2423" s="1">
        <f ca="1">IFERROR(__xludf.DUMMYFUNCTION("""COMPUTED_VALUE"""),226.83)</f>
        <v>226.83</v>
      </c>
      <c r="D2423" s="1">
        <f ca="1">IFERROR(__xludf.DUMMYFUNCTION("""COMPUTED_VALUE"""),223.65)</f>
        <v>223.65</v>
      </c>
      <c r="E2423" s="1">
        <f ca="1">IFERROR(__xludf.DUMMYFUNCTION("""COMPUTED_VALUE"""),226.05)</f>
        <v>226.05</v>
      </c>
      <c r="F2423" s="1">
        <f ca="1">IFERROR(__xludf.DUMMYFUNCTION("""COMPUTED_VALUE"""),44340240)</f>
        <v>44340240</v>
      </c>
    </row>
    <row r="2424" spans="1:6" x14ac:dyDescent="0.35">
      <c r="A2424" s="2">
        <f ca="1">IFERROR(__xludf.DUMMYFUNCTION("""COMPUTED_VALUE"""),45523.6666666666)</f>
        <v>45523.666666666599</v>
      </c>
      <c r="B2424" s="1">
        <f ca="1">IFERROR(__xludf.DUMMYFUNCTION("""COMPUTED_VALUE"""),225.72)</f>
        <v>225.72</v>
      </c>
      <c r="C2424" s="1">
        <f ca="1">IFERROR(__xludf.DUMMYFUNCTION("""COMPUTED_VALUE"""),225.99)</f>
        <v>225.99</v>
      </c>
      <c r="D2424" s="1">
        <f ca="1">IFERROR(__xludf.DUMMYFUNCTION("""COMPUTED_VALUE"""),223.04)</f>
        <v>223.04</v>
      </c>
      <c r="E2424" s="1">
        <f ca="1">IFERROR(__xludf.DUMMYFUNCTION("""COMPUTED_VALUE"""),225.89)</f>
        <v>225.89</v>
      </c>
      <c r="F2424" s="1">
        <f ca="1">IFERROR(__xludf.DUMMYFUNCTION("""COMPUTED_VALUE"""),40687813)</f>
        <v>40687813</v>
      </c>
    </row>
    <row r="2425" spans="1:6" x14ac:dyDescent="0.35">
      <c r="A2425" s="2">
        <f ca="1">IFERROR(__xludf.DUMMYFUNCTION("""COMPUTED_VALUE"""),45524.6666666666)</f>
        <v>45524.666666666599</v>
      </c>
      <c r="B2425" s="1">
        <f ca="1">IFERROR(__xludf.DUMMYFUNCTION("""COMPUTED_VALUE"""),225.77)</f>
        <v>225.77</v>
      </c>
      <c r="C2425" s="1">
        <f ca="1">IFERROR(__xludf.DUMMYFUNCTION("""COMPUTED_VALUE"""),227.17)</f>
        <v>227.17</v>
      </c>
      <c r="D2425" s="1">
        <f ca="1">IFERROR(__xludf.DUMMYFUNCTION("""COMPUTED_VALUE"""),225.45)</f>
        <v>225.45</v>
      </c>
      <c r="E2425" s="1">
        <f ca="1">IFERROR(__xludf.DUMMYFUNCTION("""COMPUTED_VALUE"""),226.51)</f>
        <v>226.51</v>
      </c>
      <c r="F2425" s="1">
        <f ca="1">IFERROR(__xludf.DUMMYFUNCTION("""COMPUTED_VALUE"""),30299033)</f>
        <v>30299033</v>
      </c>
    </row>
    <row r="2426" spans="1:6" x14ac:dyDescent="0.35">
      <c r="A2426" s="2">
        <f ca="1">IFERROR(__xludf.DUMMYFUNCTION("""COMPUTED_VALUE"""),45525.6666666666)</f>
        <v>45525.666666666599</v>
      </c>
      <c r="B2426" s="1">
        <f ca="1">IFERROR(__xludf.DUMMYFUNCTION("""COMPUTED_VALUE"""),226.52)</f>
        <v>226.52</v>
      </c>
      <c r="C2426" s="1">
        <f ca="1">IFERROR(__xludf.DUMMYFUNCTION("""COMPUTED_VALUE"""),227.98)</f>
        <v>227.98</v>
      </c>
      <c r="D2426" s="1">
        <f ca="1">IFERROR(__xludf.DUMMYFUNCTION("""COMPUTED_VALUE"""),225.05)</f>
        <v>225.05</v>
      </c>
      <c r="E2426" s="1">
        <f ca="1">IFERROR(__xludf.DUMMYFUNCTION("""COMPUTED_VALUE"""),226.4)</f>
        <v>226.4</v>
      </c>
      <c r="F2426" s="1">
        <f ca="1">IFERROR(__xludf.DUMMYFUNCTION("""COMPUTED_VALUE"""),34765480)</f>
        <v>34765480</v>
      </c>
    </row>
    <row r="2427" spans="1:6" x14ac:dyDescent="0.35">
      <c r="A2427" s="2">
        <f ca="1">IFERROR(__xludf.DUMMYFUNCTION("""COMPUTED_VALUE"""),45526.6666666666)</f>
        <v>45526.666666666599</v>
      </c>
      <c r="B2427" s="1">
        <f ca="1">IFERROR(__xludf.DUMMYFUNCTION("""COMPUTED_VALUE"""),227.79)</f>
        <v>227.79</v>
      </c>
      <c r="C2427" s="1">
        <f ca="1">IFERROR(__xludf.DUMMYFUNCTION("""COMPUTED_VALUE"""),228.34)</f>
        <v>228.34</v>
      </c>
      <c r="D2427" s="1">
        <f ca="1">IFERROR(__xludf.DUMMYFUNCTION("""COMPUTED_VALUE"""),223.9)</f>
        <v>223.9</v>
      </c>
      <c r="E2427" s="1">
        <f ca="1">IFERROR(__xludf.DUMMYFUNCTION("""COMPUTED_VALUE"""),224.53)</f>
        <v>224.53</v>
      </c>
      <c r="F2427" s="1">
        <f ca="1">IFERROR(__xludf.DUMMYFUNCTION("""COMPUTED_VALUE"""),43695321)</f>
        <v>43695321</v>
      </c>
    </row>
    <row r="2428" spans="1:6" x14ac:dyDescent="0.35">
      <c r="A2428" s="2">
        <f ca="1">IFERROR(__xludf.DUMMYFUNCTION("""COMPUTED_VALUE"""),45527.6666666666)</f>
        <v>45527.666666666599</v>
      </c>
      <c r="B2428" s="1">
        <f ca="1">IFERROR(__xludf.DUMMYFUNCTION("""COMPUTED_VALUE"""),225.66)</f>
        <v>225.66</v>
      </c>
      <c r="C2428" s="1">
        <f ca="1">IFERROR(__xludf.DUMMYFUNCTION("""COMPUTED_VALUE"""),228.22)</f>
        <v>228.22</v>
      </c>
      <c r="D2428" s="1">
        <f ca="1">IFERROR(__xludf.DUMMYFUNCTION("""COMPUTED_VALUE"""),224.33)</f>
        <v>224.33</v>
      </c>
      <c r="E2428" s="1">
        <f ca="1">IFERROR(__xludf.DUMMYFUNCTION("""COMPUTED_VALUE"""),226.84)</f>
        <v>226.84</v>
      </c>
      <c r="F2428" s="1">
        <f ca="1">IFERROR(__xludf.DUMMYFUNCTION("""COMPUTED_VALUE"""),38677250)</f>
        <v>38677250</v>
      </c>
    </row>
    <row r="2429" spans="1:6" x14ac:dyDescent="0.35">
      <c r="A2429" s="2">
        <f ca="1">IFERROR(__xludf.DUMMYFUNCTION("""COMPUTED_VALUE"""),45530.6666666666)</f>
        <v>45530.666666666599</v>
      </c>
      <c r="B2429" s="1">
        <f ca="1">IFERROR(__xludf.DUMMYFUNCTION("""COMPUTED_VALUE"""),226.76)</f>
        <v>226.76</v>
      </c>
      <c r="C2429" s="1">
        <f ca="1">IFERROR(__xludf.DUMMYFUNCTION("""COMPUTED_VALUE"""),227.28)</f>
        <v>227.28</v>
      </c>
      <c r="D2429" s="1">
        <f ca="1">IFERROR(__xludf.DUMMYFUNCTION("""COMPUTED_VALUE"""),223.89)</f>
        <v>223.89</v>
      </c>
      <c r="E2429" s="1">
        <f ca="1">IFERROR(__xludf.DUMMYFUNCTION("""COMPUTED_VALUE"""),227.18)</f>
        <v>227.18</v>
      </c>
      <c r="F2429" s="1">
        <f ca="1">IFERROR(__xludf.DUMMYFUNCTION("""COMPUTED_VALUE"""),30602208)</f>
        <v>30602208</v>
      </c>
    </row>
    <row r="2430" spans="1:6" x14ac:dyDescent="0.35">
      <c r="A2430" s="2">
        <f ca="1">IFERROR(__xludf.DUMMYFUNCTION("""COMPUTED_VALUE"""),45531.6666666666)</f>
        <v>45531.666666666599</v>
      </c>
      <c r="B2430" s="1">
        <f ca="1">IFERROR(__xludf.DUMMYFUNCTION("""COMPUTED_VALUE"""),226)</f>
        <v>226</v>
      </c>
      <c r="C2430" s="1">
        <f ca="1">IFERROR(__xludf.DUMMYFUNCTION("""COMPUTED_VALUE"""),228.85)</f>
        <v>228.85</v>
      </c>
      <c r="D2430" s="1">
        <f ca="1">IFERROR(__xludf.DUMMYFUNCTION("""COMPUTED_VALUE"""),224.89)</f>
        <v>224.89</v>
      </c>
      <c r="E2430" s="1">
        <f ca="1">IFERROR(__xludf.DUMMYFUNCTION("""COMPUTED_VALUE"""),228.03)</f>
        <v>228.03</v>
      </c>
      <c r="F2430" s="1">
        <f ca="1">IFERROR(__xludf.DUMMYFUNCTION("""COMPUTED_VALUE"""),35934559)</f>
        <v>35934559</v>
      </c>
    </row>
    <row r="2431" spans="1:6" x14ac:dyDescent="0.35">
      <c r="A2431" s="2">
        <f ca="1">IFERROR(__xludf.DUMMYFUNCTION("""COMPUTED_VALUE"""),45532.6666666666)</f>
        <v>45532.666666666599</v>
      </c>
      <c r="B2431" s="1">
        <f ca="1">IFERROR(__xludf.DUMMYFUNCTION("""COMPUTED_VALUE"""),227.92)</f>
        <v>227.92</v>
      </c>
      <c r="C2431" s="1">
        <f ca="1">IFERROR(__xludf.DUMMYFUNCTION("""COMPUTED_VALUE"""),229.86)</f>
        <v>229.86</v>
      </c>
      <c r="D2431" s="1">
        <f ca="1">IFERROR(__xludf.DUMMYFUNCTION("""COMPUTED_VALUE"""),225.68)</f>
        <v>225.68</v>
      </c>
      <c r="E2431" s="1">
        <f ca="1">IFERROR(__xludf.DUMMYFUNCTION("""COMPUTED_VALUE"""),226.49)</f>
        <v>226.49</v>
      </c>
      <c r="F2431" s="1">
        <f ca="1">IFERROR(__xludf.DUMMYFUNCTION("""COMPUTED_VALUE"""),38052167)</f>
        <v>38052167</v>
      </c>
    </row>
    <row r="2432" spans="1:6" x14ac:dyDescent="0.35">
      <c r="A2432" s="2">
        <f ca="1">IFERROR(__xludf.DUMMYFUNCTION("""COMPUTED_VALUE"""),45533.6666666666)</f>
        <v>45533.666666666599</v>
      </c>
      <c r="B2432" s="1">
        <f ca="1">IFERROR(__xludf.DUMMYFUNCTION("""COMPUTED_VALUE"""),230.1)</f>
        <v>230.1</v>
      </c>
      <c r="C2432" s="1">
        <f ca="1">IFERROR(__xludf.DUMMYFUNCTION("""COMPUTED_VALUE"""),232.92)</f>
        <v>232.92</v>
      </c>
      <c r="D2432" s="1">
        <f ca="1">IFERROR(__xludf.DUMMYFUNCTION("""COMPUTED_VALUE"""),228.88)</f>
        <v>228.88</v>
      </c>
      <c r="E2432" s="1">
        <f ca="1">IFERROR(__xludf.DUMMYFUNCTION("""COMPUTED_VALUE"""),229.79)</f>
        <v>229.79</v>
      </c>
      <c r="F2432" s="1">
        <f ca="1">IFERROR(__xludf.DUMMYFUNCTION("""COMPUTED_VALUE"""),51906297)</f>
        <v>51906297</v>
      </c>
    </row>
    <row r="2433" spans="1:6" x14ac:dyDescent="0.35">
      <c r="A2433" s="2">
        <f ca="1">IFERROR(__xludf.DUMMYFUNCTION("""COMPUTED_VALUE"""),45534.6666666666)</f>
        <v>45534.666666666599</v>
      </c>
      <c r="B2433" s="1">
        <f ca="1">IFERROR(__xludf.DUMMYFUNCTION("""COMPUTED_VALUE"""),230.19)</f>
        <v>230.19</v>
      </c>
      <c r="C2433" s="1">
        <f ca="1">IFERROR(__xludf.DUMMYFUNCTION("""COMPUTED_VALUE"""),230.4)</f>
        <v>230.4</v>
      </c>
      <c r="D2433" s="1">
        <f ca="1">IFERROR(__xludf.DUMMYFUNCTION("""COMPUTED_VALUE"""),227.48)</f>
        <v>227.48</v>
      </c>
      <c r="E2433" s="1">
        <f ca="1">IFERROR(__xludf.DUMMYFUNCTION("""COMPUTED_VALUE"""),229)</f>
        <v>229</v>
      </c>
      <c r="F2433" s="1">
        <f ca="1">IFERROR(__xludf.DUMMYFUNCTION("""COMPUTED_VALUE"""),52990770)</f>
        <v>52990770</v>
      </c>
    </row>
    <row r="2434" spans="1:6" x14ac:dyDescent="0.35">
      <c r="A2434" s="2">
        <f ca="1">IFERROR(__xludf.DUMMYFUNCTION("""COMPUTED_VALUE"""),45538.6666666666)</f>
        <v>45538.666666666599</v>
      </c>
      <c r="B2434" s="1">
        <f ca="1">IFERROR(__xludf.DUMMYFUNCTION("""COMPUTED_VALUE"""),228.55)</f>
        <v>228.55</v>
      </c>
      <c r="C2434" s="1">
        <f ca="1">IFERROR(__xludf.DUMMYFUNCTION("""COMPUTED_VALUE"""),229)</f>
        <v>229</v>
      </c>
      <c r="D2434" s="1">
        <f ca="1">IFERROR(__xludf.DUMMYFUNCTION("""COMPUTED_VALUE"""),221.17)</f>
        <v>221.17</v>
      </c>
      <c r="E2434" s="1">
        <f ca="1">IFERROR(__xludf.DUMMYFUNCTION("""COMPUTED_VALUE"""),222.77)</f>
        <v>222.77</v>
      </c>
      <c r="F2434" s="1">
        <f ca="1">IFERROR(__xludf.DUMMYFUNCTION("""COMPUTED_VALUE"""),50190574)</f>
        <v>50190574</v>
      </c>
    </row>
    <row r="2435" spans="1:6" x14ac:dyDescent="0.35">
      <c r="A2435" s="2">
        <f ca="1">IFERROR(__xludf.DUMMYFUNCTION("""COMPUTED_VALUE"""),45539.6666666666)</f>
        <v>45539.666666666599</v>
      </c>
      <c r="B2435" s="1">
        <f ca="1">IFERROR(__xludf.DUMMYFUNCTION("""COMPUTED_VALUE"""),221.66)</f>
        <v>221.66</v>
      </c>
      <c r="C2435" s="1">
        <f ca="1">IFERROR(__xludf.DUMMYFUNCTION("""COMPUTED_VALUE"""),221.78)</f>
        <v>221.78</v>
      </c>
      <c r="D2435" s="1">
        <f ca="1">IFERROR(__xludf.DUMMYFUNCTION("""COMPUTED_VALUE"""),217.48)</f>
        <v>217.48</v>
      </c>
      <c r="E2435" s="1">
        <f ca="1">IFERROR(__xludf.DUMMYFUNCTION("""COMPUTED_VALUE"""),220.85)</f>
        <v>220.85</v>
      </c>
      <c r="F2435" s="1">
        <f ca="1">IFERROR(__xludf.DUMMYFUNCTION("""COMPUTED_VALUE"""),43840196)</f>
        <v>43840196</v>
      </c>
    </row>
    <row r="2436" spans="1:6" x14ac:dyDescent="0.35">
      <c r="A2436" s="2">
        <f ca="1">IFERROR(__xludf.DUMMYFUNCTION("""COMPUTED_VALUE"""),45540.6666666666)</f>
        <v>45540.666666666599</v>
      </c>
      <c r="B2436" s="1">
        <f ca="1">IFERROR(__xludf.DUMMYFUNCTION("""COMPUTED_VALUE"""),221.63)</f>
        <v>221.63</v>
      </c>
      <c r="C2436" s="1">
        <f ca="1">IFERROR(__xludf.DUMMYFUNCTION("""COMPUTED_VALUE"""),225.48)</f>
        <v>225.48</v>
      </c>
      <c r="D2436" s="1">
        <f ca="1">IFERROR(__xludf.DUMMYFUNCTION("""COMPUTED_VALUE"""),221.52)</f>
        <v>221.52</v>
      </c>
      <c r="E2436" s="1">
        <f ca="1">IFERROR(__xludf.DUMMYFUNCTION("""COMPUTED_VALUE"""),222.38)</f>
        <v>222.38</v>
      </c>
      <c r="F2436" s="1">
        <f ca="1">IFERROR(__xludf.DUMMYFUNCTION("""COMPUTED_VALUE"""),36615398)</f>
        <v>36615398</v>
      </c>
    </row>
    <row r="2437" spans="1:6" x14ac:dyDescent="0.35">
      <c r="A2437" s="2">
        <f ca="1">IFERROR(__xludf.DUMMYFUNCTION("""COMPUTED_VALUE"""),45541.6666666666)</f>
        <v>45541.666666666599</v>
      </c>
      <c r="B2437" s="1">
        <f ca="1">IFERROR(__xludf.DUMMYFUNCTION("""COMPUTED_VALUE"""),223.95)</f>
        <v>223.95</v>
      </c>
      <c r="C2437" s="1">
        <f ca="1">IFERROR(__xludf.DUMMYFUNCTION("""COMPUTED_VALUE"""),225.24)</f>
        <v>225.24</v>
      </c>
      <c r="D2437" s="1">
        <f ca="1">IFERROR(__xludf.DUMMYFUNCTION("""COMPUTED_VALUE"""),219.77)</f>
        <v>219.77</v>
      </c>
      <c r="E2437" s="1">
        <f ca="1">IFERROR(__xludf.DUMMYFUNCTION("""COMPUTED_VALUE"""),220.82)</f>
        <v>220.82</v>
      </c>
      <c r="F2437" s="1">
        <f ca="1">IFERROR(__xludf.DUMMYFUNCTION("""COMPUTED_VALUE"""),48423011)</f>
        <v>48423011</v>
      </c>
    </row>
    <row r="2438" spans="1:6" x14ac:dyDescent="0.35">
      <c r="A2438" s="2">
        <f ca="1">IFERROR(__xludf.DUMMYFUNCTION("""COMPUTED_VALUE"""),45544.6666666666)</f>
        <v>45544.666666666599</v>
      </c>
      <c r="B2438" s="1">
        <f ca="1">IFERROR(__xludf.DUMMYFUNCTION("""COMPUTED_VALUE"""),220.82)</f>
        <v>220.82</v>
      </c>
      <c r="C2438" s="1">
        <f ca="1">IFERROR(__xludf.DUMMYFUNCTION("""COMPUTED_VALUE"""),221.27)</f>
        <v>221.27</v>
      </c>
      <c r="D2438" s="1">
        <f ca="1">IFERROR(__xludf.DUMMYFUNCTION("""COMPUTED_VALUE"""),216.71)</f>
        <v>216.71</v>
      </c>
      <c r="E2438" s="1">
        <f ca="1">IFERROR(__xludf.DUMMYFUNCTION("""COMPUTED_VALUE"""),220.91)</f>
        <v>220.91</v>
      </c>
      <c r="F2438" s="1">
        <f ca="1">IFERROR(__xludf.DUMMYFUNCTION("""COMPUTED_VALUE"""),67179965)</f>
        <v>67179965</v>
      </c>
    </row>
    <row r="2439" spans="1:6" x14ac:dyDescent="0.35">
      <c r="A2439" s="2">
        <f ca="1">IFERROR(__xludf.DUMMYFUNCTION("""COMPUTED_VALUE"""),45545.6666666666)</f>
        <v>45545.666666666599</v>
      </c>
      <c r="B2439" s="1">
        <f ca="1">IFERROR(__xludf.DUMMYFUNCTION("""COMPUTED_VALUE"""),218.92)</f>
        <v>218.92</v>
      </c>
      <c r="C2439" s="1">
        <f ca="1">IFERROR(__xludf.DUMMYFUNCTION("""COMPUTED_VALUE"""),221.48)</f>
        <v>221.48</v>
      </c>
      <c r="D2439" s="1">
        <f ca="1">IFERROR(__xludf.DUMMYFUNCTION("""COMPUTED_VALUE"""),216.73)</f>
        <v>216.73</v>
      </c>
      <c r="E2439" s="1">
        <f ca="1">IFERROR(__xludf.DUMMYFUNCTION("""COMPUTED_VALUE"""),220.11)</f>
        <v>220.11</v>
      </c>
      <c r="F2439" s="1">
        <f ca="1">IFERROR(__xludf.DUMMYFUNCTION("""COMPUTED_VALUE"""),51591033)</f>
        <v>51591033</v>
      </c>
    </row>
    <row r="2440" spans="1:6" x14ac:dyDescent="0.35">
      <c r="A2440" s="2">
        <f ca="1">IFERROR(__xludf.DUMMYFUNCTION("""COMPUTED_VALUE"""),45546.6666666666)</f>
        <v>45546.666666666599</v>
      </c>
      <c r="B2440" s="1">
        <f ca="1">IFERROR(__xludf.DUMMYFUNCTION("""COMPUTED_VALUE"""),221.46)</f>
        <v>221.46</v>
      </c>
      <c r="C2440" s="1">
        <f ca="1">IFERROR(__xludf.DUMMYFUNCTION("""COMPUTED_VALUE"""),223.09)</f>
        <v>223.09</v>
      </c>
      <c r="D2440" s="1">
        <f ca="1">IFERROR(__xludf.DUMMYFUNCTION("""COMPUTED_VALUE"""),217.89)</f>
        <v>217.89</v>
      </c>
      <c r="E2440" s="1">
        <f ca="1">IFERROR(__xludf.DUMMYFUNCTION("""COMPUTED_VALUE"""),222.66)</f>
        <v>222.66</v>
      </c>
      <c r="F2440" s="1">
        <f ca="1">IFERROR(__xludf.DUMMYFUNCTION("""COMPUTED_VALUE"""),44587072)</f>
        <v>44587072</v>
      </c>
    </row>
    <row r="2441" spans="1:6" x14ac:dyDescent="0.35">
      <c r="A2441" s="2">
        <f ca="1">IFERROR(__xludf.DUMMYFUNCTION("""COMPUTED_VALUE"""),45547.6666666666)</f>
        <v>45547.666666666599</v>
      </c>
      <c r="B2441" s="1">
        <f ca="1">IFERROR(__xludf.DUMMYFUNCTION("""COMPUTED_VALUE"""),222.5)</f>
        <v>222.5</v>
      </c>
      <c r="C2441" s="1">
        <f ca="1">IFERROR(__xludf.DUMMYFUNCTION("""COMPUTED_VALUE"""),223.55)</f>
        <v>223.55</v>
      </c>
      <c r="D2441" s="1">
        <f ca="1">IFERROR(__xludf.DUMMYFUNCTION("""COMPUTED_VALUE"""),219.82)</f>
        <v>219.82</v>
      </c>
      <c r="E2441" s="1">
        <f ca="1">IFERROR(__xludf.DUMMYFUNCTION("""COMPUTED_VALUE"""),222.77)</f>
        <v>222.77</v>
      </c>
      <c r="F2441" s="1">
        <f ca="1">IFERROR(__xludf.DUMMYFUNCTION("""COMPUTED_VALUE"""),37498225)</f>
        <v>37498225</v>
      </c>
    </row>
    <row r="2442" spans="1:6" x14ac:dyDescent="0.35">
      <c r="A2442" s="2">
        <f ca="1">IFERROR(__xludf.DUMMYFUNCTION("""COMPUTED_VALUE"""),45548.6666666666)</f>
        <v>45548.666666666599</v>
      </c>
      <c r="B2442" s="1">
        <f ca="1">IFERROR(__xludf.DUMMYFUNCTION("""COMPUTED_VALUE"""),223.58)</f>
        <v>223.58</v>
      </c>
      <c r="C2442" s="1">
        <f ca="1">IFERROR(__xludf.DUMMYFUNCTION("""COMPUTED_VALUE"""),224.04)</f>
        <v>224.04</v>
      </c>
      <c r="D2442" s="1">
        <f ca="1">IFERROR(__xludf.DUMMYFUNCTION("""COMPUTED_VALUE"""),221.91)</f>
        <v>221.91</v>
      </c>
      <c r="E2442" s="1">
        <f ca="1">IFERROR(__xludf.DUMMYFUNCTION("""COMPUTED_VALUE"""),222.5)</f>
        <v>222.5</v>
      </c>
      <c r="F2442" s="1">
        <f ca="1">IFERROR(__xludf.DUMMYFUNCTION("""COMPUTED_VALUE"""),36766619)</f>
        <v>36766619</v>
      </c>
    </row>
    <row r="2443" spans="1:6" x14ac:dyDescent="0.35">
      <c r="A2443" s="2">
        <f ca="1">IFERROR(__xludf.DUMMYFUNCTION("""COMPUTED_VALUE"""),45551.6666666666)</f>
        <v>45551.666666666599</v>
      </c>
      <c r="B2443" s="1">
        <f ca="1">IFERROR(__xludf.DUMMYFUNCTION("""COMPUTED_VALUE"""),216.54)</f>
        <v>216.54</v>
      </c>
      <c r="C2443" s="1">
        <f ca="1">IFERROR(__xludf.DUMMYFUNCTION("""COMPUTED_VALUE"""),217.22)</f>
        <v>217.22</v>
      </c>
      <c r="D2443" s="1">
        <f ca="1">IFERROR(__xludf.DUMMYFUNCTION("""COMPUTED_VALUE"""),213.92)</f>
        <v>213.92</v>
      </c>
      <c r="E2443" s="1">
        <f ca="1">IFERROR(__xludf.DUMMYFUNCTION("""COMPUTED_VALUE"""),216.32)</f>
        <v>216.32</v>
      </c>
      <c r="F2443" s="1">
        <f ca="1">IFERROR(__xludf.DUMMYFUNCTION("""COMPUTED_VALUE"""),59357427)</f>
        <v>59357427</v>
      </c>
    </row>
    <row r="2444" spans="1:6" x14ac:dyDescent="0.35">
      <c r="A2444" s="2">
        <f ca="1">IFERROR(__xludf.DUMMYFUNCTION("""COMPUTED_VALUE"""),45552.6666666666)</f>
        <v>45552.666666666599</v>
      </c>
      <c r="B2444" s="1">
        <f ca="1">IFERROR(__xludf.DUMMYFUNCTION("""COMPUTED_VALUE"""),215.75)</f>
        <v>215.75</v>
      </c>
      <c r="C2444" s="1">
        <f ca="1">IFERROR(__xludf.DUMMYFUNCTION("""COMPUTED_VALUE"""),216.9)</f>
        <v>216.9</v>
      </c>
      <c r="D2444" s="1">
        <f ca="1">IFERROR(__xludf.DUMMYFUNCTION("""COMPUTED_VALUE"""),214.5)</f>
        <v>214.5</v>
      </c>
      <c r="E2444" s="1">
        <f ca="1">IFERROR(__xludf.DUMMYFUNCTION("""COMPUTED_VALUE"""),216.79)</f>
        <v>216.79</v>
      </c>
      <c r="F2444" s="1">
        <f ca="1">IFERROR(__xludf.DUMMYFUNCTION("""COMPUTED_VALUE"""),45519339)</f>
        <v>45519339</v>
      </c>
    </row>
    <row r="2445" spans="1:6" x14ac:dyDescent="0.35">
      <c r="A2445" s="2">
        <f ca="1">IFERROR(__xludf.DUMMYFUNCTION("""COMPUTED_VALUE"""),45553.6666666666)</f>
        <v>45553.666666666599</v>
      </c>
      <c r="B2445" s="1">
        <f ca="1">IFERROR(__xludf.DUMMYFUNCTION("""COMPUTED_VALUE"""),217.55)</f>
        <v>217.55</v>
      </c>
      <c r="C2445" s="1">
        <f ca="1">IFERROR(__xludf.DUMMYFUNCTION("""COMPUTED_VALUE"""),222.71)</f>
        <v>222.71</v>
      </c>
      <c r="D2445" s="1">
        <f ca="1">IFERROR(__xludf.DUMMYFUNCTION("""COMPUTED_VALUE"""),217.54)</f>
        <v>217.54</v>
      </c>
      <c r="E2445" s="1">
        <f ca="1">IFERROR(__xludf.DUMMYFUNCTION("""COMPUTED_VALUE"""),220.69)</f>
        <v>220.69</v>
      </c>
      <c r="F2445" s="1">
        <f ca="1">IFERROR(__xludf.DUMMYFUNCTION("""COMPUTED_VALUE"""),59894928)</f>
        <v>59894928</v>
      </c>
    </row>
    <row r="2446" spans="1:6" x14ac:dyDescent="0.35">
      <c r="A2446" s="2">
        <f ca="1">IFERROR(__xludf.DUMMYFUNCTION("""COMPUTED_VALUE"""),45554.6666666666)</f>
        <v>45554.666666666599</v>
      </c>
      <c r="B2446" s="1">
        <f ca="1">IFERROR(__xludf.DUMMYFUNCTION("""COMPUTED_VALUE"""),224.99)</f>
        <v>224.99</v>
      </c>
      <c r="C2446" s="1">
        <f ca="1">IFERROR(__xludf.DUMMYFUNCTION("""COMPUTED_VALUE"""),229.82)</f>
        <v>229.82</v>
      </c>
      <c r="D2446" s="1">
        <f ca="1">IFERROR(__xludf.DUMMYFUNCTION("""COMPUTED_VALUE"""),224.63)</f>
        <v>224.63</v>
      </c>
      <c r="E2446" s="1">
        <f ca="1">IFERROR(__xludf.DUMMYFUNCTION("""COMPUTED_VALUE"""),228.87)</f>
        <v>228.87</v>
      </c>
      <c r="F2446" s="1">
        <f ca="1">IFERROR(__xludf.DUMMYFUNCTION("""COMPUTED_VALUE"""),66781315)</f>
        <v>66781315</v>
      </c>
    </row>
    <row r="2447" spans="1:6" x14ac:dyDescent="0.35">
      <c r="A2447" s="2">
        <f ca="1">IFERROR(__xludf.DUMMYFUNCTION("""COMPUTED_VALUE"""),45555.6666666666)</f>
        <v>45555.666666666599</v>
      </c>
      <c r="B2447" s="1">
        <f ca="1">IFERROR(__xludf.DUMMYFUNCTION("""COMPUTED_VALUE"""),229.97)</f>
        <v>229.97</v>
      </c>
      <c r="C2447" s="1">
        <f ca="1">IFERROR(__xludf.DUMMYFUNCTION("""COMPUTED_VALUE"""),233.09)</f>
        <v>233.09</v>
      </c>
      <c r="D2447" s="1">
        <f ca="1">IFERROR(__xludf.DUMMYFUNCTION("""COMPUTED_VALUE"""),227.62)</f>
        <v>227.62</v>
      </c>
      <c r="E2447" s="1">
        <f ca="1">IFERROR(__xludf.DUMMYFUNCTION("""COMPUTED_VALUE"""),228.2)</f>
        <v>228.2</v>
      </c>
      <c r="F2447" s="1">
        <f ca="1">IFERROR(__xludf.DUMMYFUNCTION("""COMPUTED_VALUE"""),318679888)</f>
        <v>318679888</v>
      </c>
    </row>
    <row r="2448" spans="1:6" x14ac:dyDescent="0.35">
      <c r="A2448" s="2">
        <f ca="1">IFERROR(__xludf.DUMMYFUNCTION("""COMPUTED_VALUE"""),45558.6666666666)</f>
        <v>45558.666666666599</v>
      </c>
      <c r="B2448" s="1">
        <f ca="1">IFERROR(__xludf.DUMMYFUNCTION("""COMPUTED_VALUE"""),227.34)</f>
        <v>227.34</v>
      </c>
      <c r="C2448" s="1">
        <f ca="1">IFERROR(__xludf.DUMMYFUNCTION("""COMPUTED_VALUE"""),229.45)</f>
        <v>229.45</v>
      </c>
      <c r="D2448" s="1">
        <f ca="1">IFERROR(__xludf.DUMMYFUNCTION("""COMPUTED_VALUE"""),225.81)</f>
        <v>225.81</v>
      </c>
      <c r="E2448" s="1">
        <f ca="1">IFERROR(__xludf.DUMMYFUNCTION("""COMPUTED_VALUE"""),226.47)</f>
        <v>226.47</v>
      </c>
      <c r="F2448" s="1">
        <f ca="1">IFERROR(__xludf.DUMMYFUNCTION("""COMPUTED_VALUE"""),54146023)</f>
        <v>54146023</v>
      </c>
    </row>
    <row r="2449" spans="1:6" x14ac:dyDescent="0.35">
      <c r="A2449" s="2">
        <f ca="1">IFERROR(__xludf.DUMMYFUNCTION("""COMPUTED_VALUE"""),45559.6666666666)</f>
        <v>45559.666666666599</v>
      </c>
      <c r="B2449" s="1">
        <f ca="1">IFERROR(__xludf.DUMMYFUNCTION("""COMPUTED_VALUE"""),228.65)</f>
        <v>228.65</v>
      </c>
      <c r="C2449" s="1">
        <f ca="1">IFERROR(__xludf.DUMMYFUNCTION("""COMPUTED_VALUE"""),229.35)</f>
        <v>229.35</v>
      </c>
      <c r="D2449" s="1">
        <f ca="1">IFERROR(__xludf.DUMMYFUNCTION("""COMPUTED_VALUE"""),225.73)</f>
        <v>225.73</v>
      </c>
      <c r="E2449" s="1">
        <f ca="1">IFERROR(__xludf.DUMMYFUNCTION("""COMPUTED_VALUE"""),227.37)</f>
        <v>227.37</v>
      </c>
      <c r="F2449" s="1">
        <f ca="1">IFERROR(__xludf.DUMMYFUNCTION("""COMPUTED_VALUE"""),43556068)</f>
        <v>43556068</v>
      </c>
    </row>
    <row r="2450" spans="1:6" x14ac:dyDescent="0.35">
      <c r="A2450" s="2">
        <f ca="1">IFERROR(__xludf.DUMMYFUNCTION("""COMPUTED_VALUE"""),45560.6666666666)</f>
        <v>45560.666666666599</v>
      </c>
      <c r="B2450" s="1">
        <f ca="1">IFERROR(__xludf.DUMMYFUNCTION("""COMPUTED_VALUE"""),224.93)</f>
        <v>224.93</v>
      </c>
      <c r="C2450" s="1">
        <f ca="1">IFERROR(__xludf.DUMMYFUNCTION("""COMPUTED_VALUE"""),227.29)</f>
        <v>227.29</v>
      </c>
      <c r="D2450" s="1">
        <f ca="1">IFERROR(__xludf.DUMMYFUNCTION("""COMPUTED_VALUE"""),224.02)</f>
        <v>224.02</v>
      </c>
      <c r="E2450" s="1">
        <f ca="1">IFERROR(__xludf.DUMMYFUNCTION("""COMPUTED_VALUE"""),226.37)</f>
        <v>226.37</v>
      </c>
      <c r="F2450" s="1">
        <f ca="1">IFERROR(__xludf.DUMMYFUNCTION("""COMPUTED_VALUE"""),42308715)</f>
        <v>42308715</v>
      </c>
    </row>
    <row r="2451" spans="1:6" x14ac:dyDescent="0.35">
      <c r="A2451" s="2">
        <f ca="1">IFERROR(__xludf.DUMMYFUNCTION("""COMPUTED_VALUE"""),45561.6666666666)</f>
        <v>45561.666666666599</v>
      </c>
      <c r="B2451" s="1">
        <f ca="1">IFERROR(__xludf.DUMMYFUNCTION("""COMPUTED_VALUE"""),227.3)</f>
        <v>227.3</v>
      </c>
      <c r="C2451" s="1">
        <f ca="1">IFERROR(__xludf.DUMMYFUNCTION("""COMPUTED_VALUE"""),228.5)</f>
        <v>228.5</v>
      </c>
      <c r="D2451" s="1">
        <f ca="1">IFERROR(__xludf.DUMMYFUNCTION("""COMPUTED_VALUE"""),225.41)</f>
        <v>225.41</v>
      </c>
      <c r="E2451" s="1">
        <f ca="1">IFERROR(__xludf.DUMMYFUNCTION("""COMPUTED_VALUE"""),227.52)</f>
        <v>227.52</v>
      </c>
      <c r="F2451" s="1">
        <f ca="1">IFERROR(__xludf.DUMMYFUNCTION("""COMPUTED_VALUE"""),36636707)</f>
        <v>36636707</v>
      </c>
    </row>
    <row r="2452" spans="1:6" x14ac:dyDescent="0.35">
      <c r="A2452" s="2">
        <f ca="1">IFERROR(__xludf.DUMMYFUNCTION("""COMPUTED_VALUE"""),45562.6666666666)</f>
        <v>45562.666666666599</v>
      </c>
      <c r="B2452" s="1">
        <f ca="1">IFERROR(__xludf.DUMMYFUNCTION("""COMPUTED_VALUE"""),228.46)</f>
        <v>228.46</v>
      </c>
      <c r="C2452" s="1">
        <f ca="1">IFERROR(__xludf.DUMMYFUNCTION("""COMPUTED_VALUE"""),229.52)</f>
        <v>229.52</v>
      </c>
      <c r="D2452" s="1">
        <f ca="1">IFERROR(__xludf.DUMMYFUNCTION("""COMPUTED_VALUE"""),227.3)</f>
        <v>227.3</v>
      </c>
      <c r="E2452" s="1">
        <f ca="1">IFERROR(__xludf.DUMMYFUNCTION("""COMPUTED_VALUE"""),227.79)</f>
        <v>227.79</v>
      </c>
      <c r="F2452" s="1">
        <f ca="1">IFERROR(__xludf.DUMMYFUNCTION("""COMPUTED_VALUE"""),34025967)</f>
        <v>34025967</v>
      </c>
    </row>
    <row r="2453" spans="1:6" x14ac:dyDescent="0.35">
      <c r="A2453" s="2">
        <f ca="1">IFERROR(__xludf.DUMMYFUNCTION("""COMPUTED_VALUE"""),45565.6666666666)</f>
        <v>45565.666666666599</v>
      </c>
      <c r="B2453" s="1">
        <f ca="1">IFERROR(__xludf.DUMMYFUNCTION("""COMPUTED_VALUE"""),230.04)</f>
        <v>230.04</v>
      </c>
      <c r="C2453" s="1">
        <f ca="1">IFERROR(__xludf.DUMMYFUNCTION("""COMPUTED_VALUE"""),233)</f>
        <v>233</v>
      </c>
      <c r="D2453" s="1">
        <f ca="1">IFERROR(__xludf.DUMMYFUNCTION("""COMPUTED_VALUE"""),229.65)</f>
        <v>229.65</v>
      </c>
      <c r="E2453" s="1">
        <f ca="1">IFERROR(__xludf.DUMMYFUNCTION("""COMPUTED_VALUE"""),233)</f>
        <v>233</v>
      </c>
      <c r="F2453" s="1">
        <f ca="1">IFERROR(__xludf.DUMMYFUNCTION("""COMPUTED_VALUE"""),54793391)</f>
        <v>54793391</v>
      </c>
    </row>
    <row r="2454" spans="1:6" x14ac:dyDescent="0.35">
      <c r="A2454" s="2">
        <f ca="1">IFERROR(__xludf.DUMMYFUNCTION("""COMPUTED_VALUE"""),45566.6666666666)</f>
        <v>45566.666666666599</v>
      </c>
      <c r="B2454" s="1">
        <f ca="1">IFERROR(__xludf.DUMMYFUNCTION("""COMPUTED_VALUE"""),229.52)</f>
        <v>229.52</v>
      </c>
      <c r="C2454" s="1">
        <f ca="1">IFERROR(__xludf.DUMMYFUNCTION("""COMPUTED_VALUE"""),229.65)</f>
        <v>229.65</v>
      </c>
      <c r="D2454" s="1">
        <f ca="1">IFERROR(__xludf.DUMMYFUNCTION("""COMPUTED_VALUE"""),223.74)</f>
        <v>223.74</v>
      </c>
      <c r="E2454" s="1">
        <f ca="1">IFERROR(__xludf.DUMMYFUNCTION("""COMPUTED_VALUE"""),226.21)</f>
        <v>226.21</v>
      </c>
      <c r="F2454" s="1">
        <f ca="1">IFERROR(__xludf.DUMMYFUNCTION("""COMPUTED_VALUE"""),63285048)</f>
        <v>63285048</v>
      </c>
    </row>
    <row r="2455" spans="1:6" x14ac:dyDescent="0.35">
      <c r="A2455" s="2">
        <f ca="1">IFERROR(__xludf.DUMMYFUNCTION("""COMPUTED_VALUE"""),45567.6666666666)</f>
        <v>45567.666666666599</v>
      </c>
      <c r="B2455" s="1">
        <f ca="1">IFERROR(__xludf.DUMMYFUNCTION("""COMPUTED_VALUE"""),225.89)</f>
        <v>225.89</v>
      </c>
      <c r="C2455" s="1">
        <f ca="1">IFERROR(__xludf.DUMMYFUNCTION("""COMPUTED_VALUE"""),227.37)</f>
        <v>227.37</v>
      </c>
      <c r="D2455" s="1">
        <f ca="1">IFERROR(__xludf.DUMMYFUNCTION("""COMPUTED_VALUE"""),223.02)</f>
        <v>223.02</v>
      </c>
      <c r="E2455" s="1">
        <f ca="1">IFERROR(__xludf.DUMMYFUNCTION("""COMPUTED_VALUE"""),226.78)</f>
        <v>226.78</v>
      </c>
      <c r="F2455" s="1">
        <f ca="1">IFERROR(__xludf.DUMMYFUNCTION("""COMPUTED_VALUE"""),32880605)</f>
        <v>32880605</v>
      </c>
    </row>
    <row r="2456" spans="1:6" x14ac:dyDescent="0.35">
      <c r="A2456" s="2">
        <f ca="1">IFERROR(__xludf.DUMMYFUNCTION("""COMPUTED_VALUE"""),45568.6666666666)</f>
        <v>45568.666666666599</v>
      </c>
      <c r="B2456" s="1">
        <f ca="1">IFERROR(__xludf.DUMMYFUNCTION("""COMPUTED_VALUE"""),225.14)</f>
        <v>225.14</v>
      </c>
      <c r="C2456" s="1">
        <f ca="1">IFERROR(__xludf.DUMMYFUNCTION("""COMPUTED_VALUE"""),226.81)</f>
        <v>226.81</v>
      </c>
      <c r="D2456" s="1">
        <f ca="1">IFERROR(__xludf.DUMMYFUNCTION("""COMPUTED_VALUE"""),223.32)</f>
        <v>223.32</v>
      </c>
      <c r="E2456" s="1">
        <f ca="1">IFERROR(__xludf.DUMMYFUNCTION("""COMPUTED_VALUE"""),225.67)</f>
        <v>225.67</v>
      </c>
      <c r="F2456" s="1">
        <f ca="1">IFERROR(__xludf.DUMMYFUNCTION("""COMPUTED_VALUE"""),34044158)</f>
        <v>34044158</v>
      </c>
    </row>
    <row r="2457" spans="1:6" x14ac:dyDescent="0.35">
      <c r="A2457" s="2">
        <f ca="1">IFERROR(__xludf.DUMMYFUNCTION("""COMPUTED_VALUE"""),45569.6666666666)</f>
        <v>45569.666666666599</v>
      </c>
      <c r="B2457" s="1">
        <f ca="1">IFERROR(__xludf.DUMMYFUNCTION("""COMPUTED_VALUE"""),227.9)</f>
        <v>227.9</v>
      </c>
      <c r="C2457" s="1">
        <f ca="1">IFERROR(__xludf.DUMMYFUNCTION("""COMPUTED_VALUE"""),228)</f>
        <v>228</v>
      </c>
      <c r="D2457" s="1">
        <f ca="1">IFERROR(__xludf.DUMMYFUNCTION("""COMPUTED_VALUE"""),224.13)</f>
        <v>224.13</v>
      </c>
      <c r="E2457" s="1">
        <f ca="1">IFERROR(__xludf.DUMMYFUNCTION("""COMPUTED_VALUE"""),226.8)</f>
        <v>226.8</v>
      </c>
      <c r="F2457" s="1">
        <f ca="1">IFERROR(__xludf.DUMMYFUNCTION("""COMPUTED_VALUE"""),37345098)</f>
        <v>37345098</v>
      </c>
    </row>
    <row r="2458" spans="1:6" x14ac:dyDescent="0.35">
      <c r="A2458" s="2">
        <f ca="1">IFERROR(__xludf.DUMMYFUNCTION("""COMPUTED_VALUE"""),45572.6666666666)</f>
        <v>45572.666666666599</v>
      </c>
      <c r="B2458" s="1">
        <f ca="1">IFERROR(__xludf.DUMMYFUNCTION("""COMPUTED_VALUE"""),224.5)</f>
        <v>224.5</v>
      </c>
      <c r="C2458" s="1">
        <f ca="1">IFERROR(__xludf.DUMMYFUNCTION("""COMPUTED_VALUE"""),225.69)</f>
        <v>225.69</v>
      </c>
      <c r="D2458" s="1">
        <f ca="1">IFERROR(__xludf.DUMMYFUNCTION("""COMPUTED_VALUE"""),221.33)</f>
        <v>221.33</v>
      </c>
      <c r="E2458" s="1">
        <f ca="1">IFERROR(__xludf.DUMMYFUNCTION("""COMPUTED_VALUE"""),221.69)</f>
        <v>221.69</v>
      </c>
      <c r="F2458" s="1">
        <f ca="1">IFERROR(__xludf.DUMMYFUNCTION("""COMPUTED_VALUE"""),39505354)</f>
        <v>39505354</v>
      </c>
    </row>
    <row r="2459" spans="1:6" x14ac:dyDescent="0.35">
      <c r="A2459" s="2">
        <f ca="1">IFERROR(__xludf.DUMMYFUNCTION("""COMPUTED_VALUE"""),45573.6666666666)</f>
        <v>45573.666666666599</v>
      </c>
      <c r="B2459" s="1">
        <f ca="1">IFERROR(__xludf.DUMMYFUNCTION("""COMPUTED_VALUE"""),224.3)</f>
        <v>224.3</v>
      </c>
      <c r="C2459" s="1">
        <f ca="1">IFERROR(__xludf.DUMMYFUNCTION("""COMPUTED_VALUE"""),225.98)</f>
        <v>225.98</v>
      </c>
      <c r="D2459" s="1">
        <f ca="1">IFERROR(__xludf.DUMMYFUNCTION("""COMPUTED_VALUE"""),223.25)</f>
        <v>223.25</v>
      </c>
      <c r="E2459" s="1">
        <f ca="1">IFERROR(__xludf.DUMMYFUNCTION("""COMPUTED_VALUE"""),225.77)</f>
        <v>225.77</v>
      </c>
      <c r="F2459" s="1">
        <f ca="1">IFERROR(__xludf.DUMMYFUNCTION("""COMPUTED_VALUE"""),31855693)</f>
        <v>31855693</v>
      </c>
    </row>
    <row r="2460" spans="1:6" x14ac:dyDescent="0.35">
      <c r="A2460" s="2">
        <f ca="1">IFERROR(__xludf.DUMMYFUNCTION("""COMPUTED_VALUE"""),45574.6666666666)</f>
        <v>45574.666666666599</v>
      </c>
      <c r="B2460" s="1">
        <f ca="1">IFERROR(__xludf.DUMMYFUNCTION("""COMPUTED_VALUE"""),225.23)</f>
        <v>225.23</v>
      </c>
      <c r="C2460" s="1">
        <f ca="1">IFERROR(__xludf.DUMMYFUNCTION("""COMPUTED_VALUE"""),229.75)</f>
        <v>229.75</v>
      </c>
      <c r="D2460" s="1">
        <f ca="1">IFERROR(__xludf.DUMMYFUNCTION("""COMPUTED_VALUE"""),224.83)</f>
        <v>224.83</v>
      </c>
      <c r="E2460" s="1">
        <f ca="1">IFERROR(__xludf.DUMMYFUNCTION("""COMPUTED_VALUE"""),229.54)</f>
        <v>229.54</v>
      </c>
      <c r="F2460" s="1">
        <f ca="1">IFERROR(__xludf.DUMMYFUNCTION("""COMPUTED_VALUE"""),33591091)</f>
        <v>33591091</v>
      </c>
    </row>
    <row r="2461" spans="1:6" x14ac:dyDescent="0.35">
      <c r="A2461" s="2">
        <f ca="1">IFERROR(__xludf.DUMMYFUNCTION("""COMPUTED_VALUE"""),45575.6666666666)</f>
        <v>45575.666666666599</v>
      </c>
      <c r="B2461" s="1">
        <f ca="1">IFERROR(__xludf.DUMMYFUNCTION("""COMPUTED_VALUE"""),227.78)</f>
        <v>227.78</v>
      </c>
      <c r="C2461" s="1">
        <f ca="1">IFERROR(__xludf.DUMMYFUNCTION("""COMPUTED_VALUE"""),229.5)</f>
        <v>229.5</v>
      </c>
      <c r="D2461" s="1">
        <f ca="1">IFERROR(__xludf.DUMMYFUNCTION("""COMPUTED_VALUE"""),227.17)</f>
        <v>227.17</v>
      </c>
      <c r="E2461" s="1">
        <f ca="1">IFERROR(__xludf.DUMMYFUNCTION("""COMPUTED_VALUE"""),229.04)</f>
        <v>229.04</v>
      </c>
      <c r="F2461" s="1">
        <f ca="1">IFERROR(__xludf.DUMMYFUNCTION("""COMPUTED_VALUE"""),28183544)</f>
        <v>28183544</v>
      </c>
    </row>
    <row r="2462" spans="1:6" x14ac:dyDescent="0.35">
      <c r="A2462" s="2">
        <f ca="1">IFERROR(__xludf.DUMMYFUNCTION("""COMPUTED_VALUE"""),45576.6666666666)</f>
        <v>45576.666666666599</v>
      </c>
      <c r="B2462" s="1">
        <f ca="1">IFERROR(__xludf.DUMMYFUNCTION("""COMPUTED_VALUE"""),229.3)</f>
        <v>229.3</v>
      </c>
      <c r="C2462" s="1">
        <f ca="1">IFERROR(__xludf.DUMMYFUNCTION("""COMPUTED_VALUE"""),229.41)</f>
        <v>229.41</v>
      </c>
      <c r="D2462" s="1">
        <f ca="1">IFERROR(__xludf.DUMMYFUNCTION("""COMPUTED_VALUE"""),227.34)</f>
        <v>227.34</v>
      </c>
      <c r="E2462" s="1">
        <f ca="1">IFERROR(__xludf.DUMMYFUNCTION("""COMPUTED_VALUE"""),227.55)</f>
        <v>227.55</v>
      </c>
      <c r="F2462" s="1">
        <f ca="1">IFERROR(__xludf.DUMMYFUNCTION("""COMPUTED_VALUE"""),31759188)</f>
        <v>31759188</v>
      </c>
    </row>
    <row r="2463" spans="1:6" x14ac:dyDescent="0.35">
      <c r="A2463" s="2">
        <f ca="1">IFERROR(__xludf.DUMMYFUNCTION("""COMPUTED_VALUE"""),45579.6666666666)</f>
        <v>45579.666666666599</v>
      </c>
      <c r="B2463" s="1">
        <f ca="1">IFERROR(__xludf.DUMMYFUNCTION("""COMPUTED_VALUE"""),228.7)</f>
        <v>228.7</v>
      </c>
      <c r="C2463" s="1">
        <f ca="1">IFERROR(__xludf.DUMMYFUNCTION("""COMPUTED_VALUE"""),231.73)</f>
        <v>231.73</v>
      </c>
      <c r="D2463" s="1">
        <f ca="1">IFERROR(__xludf.DUMMYFUNCTION("""COMPUTED_VALUE"""),228.6)</f>
        <v>228.6</v>
      </c>
      <c r="E2463" s="1">
        <f ca="1">IFERROR(__xludf.DUMMYFUNCTION("""COMPUTED_VALUE"""),231.3)</f>
        <v>231.3</v>
      </c>
      <c r="F2463" s="1">
        <f ca="1">IFERROR(__xludf.DUMMYFUNCTION("""COMPUTED_VALUE"""),39882085)</f>
        <v>39882085</v>
      </c>
    </row>
    <row r="2464" spans="1:6" x14ac:dyDescent="0.35">
      <c r="A2464" s="2">
        <f ca="1">IFERROR(__xludf.DUMMYFUNCTION("""COMPUTED_VALUE"""),45580.6666666666)</f>
        <v>45580.666666666599</v>
      </c>
      <c r="B2464" s="1">
        <f ca="1">IFERROR(__xludf.DUMMYFUNCTION("""COMPUTED_VALUE"""),233.61)</f>
        <v>233.61</v>
      </c>
      <c r="C2464" s="1">
        <f ca="1">IFERROR(__xludf.DUMMYFUNCTION("""COMPUTED_VALUE"""),237.49)</f>
        <v>237.49</v>
      </c>
      <c r="D2464" s="1">
        <f ca="1">IFERROR(__xludf.DUMMYFUNCTION("""COMPUTED_VALUE"""),232.37)</f>
        <v>232.37</v>
      </c>
      <c r="E2464" s="1">
        <f ca="1">IFERROR(__xludf.DUMMYFUNCTION("""COMPUTED_VALUE"""),233.85)</f>
        <v>233.85</v>
      </c>
      <c r="F2464" s="1">
        <f ca="1">IFERROR(__xludf.DUMMYFUNCTION("""COMPUTED_VALUE"""),64751367)</f>
        <v>64751367</v>
      </c>
    </row>
    <row r="2465" spans="1:6" x14ac:dyDescent="0.35">
      <c r="A2465" s="2">
        <f ca="1">IFERROR(__xludf.DUMMYFUNCTION("""COMPUTED_VALUE"""),45581.6666666666)</f>
        <v>45581.666666666599</v>
      </c>
      <c r="B2465" s="1">
        <f ca="1">IFERROR(__xludf.DUMMYFUNCTION("""COMPUTED_VALUE"""),231.6)</f>
        <v>231.6</v>
      </c>
      <c r="C2465" s="1">
        <f ca="1">IFERROR(__xludf.DUMMYFUNCTION("""COMPUTED_VALUE"""),232.12)</f>
        <v>232.12</v>
      </c>
      <c r="D2465" s="1">
        <f ca="1">IFERROR(__xludf.DUMMYFUNCTION("""COMPUTED_VALUE"""),229.84)</f>
        <v>229.84</v>
      </c>
      <c r="E2465" s="1">
        <f ca="1">IFERROR(__xludf.DUMMYFUNCTION("""COMPUTED_VALUE"""),231.78)</f>
        <v>231.78</v>
      </c>
      <c r="F2465" s="1">
        <f ca="1">IFERROR(__xludf.DUMMYFUNCTION("""COMPUTED_VALUE"""),34082240)</f>
        <v>34082240</v>
      </c>
    </row>
    <row r="2466" spans="1:6" x14ac:dyDescent="0.35">
      <c r="A2466" s="2">
        <f ca="1">IFERROR(__xludf.DUMMYFUNCTION("""COMPUTED_VALUE"""),45582.6666666666)</f>
        <v>45582.666666666599</v>
      </c>
      <c r="B2466" s="1">
        <f ca="1">IFERROR(__xludf.DUMMYFUNCTION("""COMPUTED_VALUE"""),233.43)</f>
        <v>233.43</v>
      </c>
      <c r="C2466" s="1">
        <f ca="1">IFERROR(__xludf.DUMMYFUNCTION("""COMPUTED_VALUE"""),233.85)</f>
        <v>233.85</v>
      </c>
      <c r="D2466" s="1">
        <f ca="1">IFERROR(__xludf.DUMMYFUNCTION("""COMPUTED_VALUE"""),230.52)</f>
        <v>230.52</v>
      </c>
      <c r="E2466" s="1">
        <f ca="1">IFERROR(__xludf.DUMMYFUNCTION("""COMPUTED_VALUE"""),232.15)</f>
        <v>232.15</v>
      </c>
      <c r="F2466" s="1">
        <f ca="1">IFERROR(__xludf.DUMMYFUNCTION("""COMPUTED_VALUE"""),32993810)</f>
        <v>32993810</v>
      </c>
    </row>
    <row r="2467" spans="1:6" x14ac:dyDescent="0.35">
      <c r="A2467" s="2">
        <f ca="1">IFERROR(__xludf.DUMMYFUNCTION("""COMPUTED_VALUE"""),45583.6666666666)</f>
        <v>45583.666666666599</v>
      </c>
      <c r="B2467" s="1">
        <f ca="1">IFERROR(__xludf.DUMMYFUNCTION("""COMPUTED_VALUE"""),236.18)</f>
        <v>236.18</v>
      </c>
      <c r="C2467" s="1">
        <f ca="1">IFERROR(__xludf.DUMMYFUNCTION("""COMPUTED_VALUE"""),236.18)</f>
        <v>236.18</v>
      </c>
      <c r="D2467" s="1">
        <f ca="1">IFERROR(__xludf.DUMMYFUNCTION("""COMPUTED_VALUE"""),234.01)</f>
        <v>234.01</v>
      </c>
      <c r="E2467" s="1">
        <f ca="1">IFERROR(__xludf.DUMMYFUNCTION("""COMPUTED_VALUE"""),235)</f>
        <v>235</v>
      </c>
      <c r="F2467" s="1">
        <f ca="1">IFERROR(__xludf.DUMMYFUNCTION("""COMPUTED_VALUE"""),46431472)</f>
        <v>46431472</v>
      </c>
    </row>
    <row r="2468" spans="1:6" x14ac:dyDescent="0.35">
      <c r="A2468" s="2">
        <f ca="1">IFERROR(__xludf.DUMMYFUNCTION("""COMPUTED_VALUE"""),45586.6666666666)</f>
        <v>45586.666666666599</v>
      </c>
      <c r="B2468" s="1">
        <f ca="1">IFERROR(__xludf.DUMMYFUNCTION("""COMPUTED_VALUE"""),234.45)</f>
        <v>234.45</v>
      </c>
      <c r="C2468" s="1">
        <f ca="1">IFERROR(__xludf.DUMMYFUNCTION("""COMPUTED_VALUE"""),236.85)</f>
        <v>236.85</v>
      </c>
      <c r="D2468" s="1">
        <f ca="1">IFERROR(__xludf.DUMMYFUNCTION("""COMPUTED_VALUE"""),234.45)</f>
        <v>234.45</v>
      </c>
      <c r="E2468" s="1">
        <f ca="1">IFERROR(__xludf.DUMMYFUNCTION("""COMPUTED_VALUE"""),236.48)</f>
        <v>236.48</v>
      </c>
      <c r="F2468" s="1">
        <f ca="1">IFERROR(__xludf.DUMMYFUNCTION("""COMPUTED_VALUE"""),36254470)</f>
        <v>36254470</v>
      </c>
    </row>
    <row r="2469" spans="1:6" x14ac:dyDescent="0.35">
      <c r="A2469" s="2">
        <f ca="1">IFERROR(__xludf.DUMMYFUNCTION("""COMPUTED_VALUE"""),45587.6666666666)</f>
        <v>45587.666666666599</v>
      </c>
      <c r="B2469" s="1">
        <f ca="1">IFERROR(__xludf.DUMMYFUNCTION("""COMPUTED_VALUE"""),233.89)</f>
        <v>233.89</v>
      </c>
      <c r="C2469" s="1">
        <f ca="1">IFERROR(__xludf.DUMMYFUNCTION("""COMPUTED_VALUE"""),236.22)</f>
        <v>236.22</v>
      </c>
      <c r="D2469" s="1">
        <f ca="1">IFERROR(__xludf.DUMMYFUNCTION("""COMPUTED_VALUE"""),232.6)</f>
        <v>232.6</v>
      </c>
      <c r="E2469" s="1">
        <f ca="1">IFERROR(__xludf.DUMMYFUNCTION("""COMPUTED_VALUE"""),235.86)</f>
        <v>235.86</v>
      </c>
      <c r="F2469" s="1">
        <f ca="1">IFERROR(__xludf.DUMMYFUNCTION("""COMPUTED_VALUE"""),38846578)</f>
        <v>38846578</v>
      </c>
    </row>
    <row r="2470" spans="1:6" x14ac:dyDescent="0.35">
      <c r="A2470" s="2">
        <f ca="1">IFERROR(__xludf.DUMMYFUNCTION("""COMPUTED_VALUE"""),45588.6666666666)</f>
        <v>45588.666666666599</v>
      </c>
      <c r="B2470" s="1">
        <f ca="1">IFERROR(__xludf.DUMMYFUNCTION("""COMPUTED_VALUE"""),234.08)</f>
        <v>234.08</v>
      </c>
      <c r="C2470" s="1">
        <f ca="1">IFERROR(__xludf.DUMMYFUNCTION("""COMPUTED_VALUE"""),235.14)</f>
        <v>235.14</v>
      </c>
      <c r="D2470" s="1">
        <f ca="1">IFERROR(__xludf.DUMMYFUNCTION("""COMPUTED_VALUE"""),227.76)</f>
        <v>227.76</v>
      </c>
      <c r="E2470" s="1">
        <f ca="1">IFERROR(__xludf.DUMMYFUNCTION("""COMPUTED_VALUE"""),230.76)</f>
        <v>230.76</v>
      </c>
      <c r="F2470" s="1">
        <f ca="1">IFERROR(__xludf.DUMMYFUNCTION("""COMPUTED_VALUE"""),52286979)</f>
        <v>52286979</v>
      </c>
    </row>
    <row r="2471" spans="1:6" x14ac:dyDescent="0.35">
      <c r="A2471" s="2">
        <f ca="1">IFERROR(__xludf.DUMMYFUNCTION("""COMPUTED_VALUE"""),45589.6666666666)</f>
        <v>45589.666666666599</v>
      </c>
      <c r="B2471" s="1">
        <f ca="1">IFERROR(__xludf.DUMMYFUNCTION("""COMPUTED_VALUE"""),229.98)</f>
        <v>229.98</v>
      </c>
      <c r="C2471" s="1">
        <f ca="1">IFERROR(__xludf.DUMMYFUNCTION("""COMPUTED_VALUE"""),230.82)</f>
        <v>230.82</v>
      </c>
      <c r="D2471" s="1">
        <f ca="1">IFERROR(__xludf.DUMMYFUNCTION("""COMPUTED_VALUE"""),228.41)</f>
        <v>228.41</v>
      </c>
      <c r="E2471" s="1">
        <f ca="1">IFERROR(__xludf.DUMMYFUNCTION("""COMPUTED_VALUE"""),230.57)</f>
        <v>230.57</v>
      </c>
      <c r="F2471" s="1">
        <f ca="1">IFERROR(__xludf.DUMMYFUNCTION("""COMPUTED_VALUE"""),31109503)</f>
        <v>31109503</v>
      </c>
    </row>
    <row r="2472" spans="1:6" x14ac:dyDescent="0.35">
      <c r="A2472" s="2">
        <f ca="1">IFERROR(__xludf.DUMMYFUNCTION("""COMPUTED_VALUE"""),45590.6666666666)</f>
        <v>45590.666666666599</v>
      </c>
      <c r="B2472" s="1">
        <f ca="1">IFERROR(__xludf.DUMMYFUNCTION("""COMPUTED_VALUE"""),229.74)</f>
        <v>229.74</v>
      </c>
      <c r="C2472" s="1">
        <f ca="1">IFERROR(__xludf.DUMMYFUNCTION("""COMPUTED_VALUE"""),233.22)</f>
        <v>233.22</v>
      </c>
      <c r="D2472" s="1">
        <f ca="1">IFERROR(__xludf.DUMMYFUNCTION("""COMPUTED_VALUE"""),229.57)</f>
        <v>229.57</v>
      </c>
      <c r="E2472" s="1">
        <f ca="1">IFERROR(__xludf.DUMMYFUNCTION("""COMPUTED_VALUE"""),231.41)</f>
        <v>231.41</v>
      </c>
      <c r="F2472" s="1">
        <f ca="1">IFERROR(__xludf.DUMMYFUNCTION("""COMPUTED_VALUE"""),38802304)</f>
        <v>38802304</v>
      </c>
    </row>
    <row r="2473" spans="1:6" x14ac:dyDescent="0.35">
      <c r="A2473" s="2">
        <f ca="1">IFERROR(__xludf.DUMMYFUNCTION("""COMPUTED_VALUE"""),45593.6666666666)</f>
        <v>45593.666666666599</v>
      </c>
      <c r="B2473" s="1">
        <f ca="1">IFERROR(__xludf.DUMMYFUNCTION("""COMPUTED_VALUE"""),233.32)</f>
        <v>233.32</v>
      </c>
      <c r="C2473" s="1">
        <f ca="1">IFERROR(__xludf.DUMMYFUNCTION("""COMPUTED_VALUE"""),234.73)</f>
        <v>234.73</v>
      </c>
      <c r="D2473" s="1">
        <f ca="1">IFERROR(__xludf.DUMMYFUNCTION("""COMPUTED_VALUE"""),232.55)</f>
        <v>232.55</v>
      </c>
      <c r="E2473" s="1">
        <f ca="1">IFERROR(__xludf.DUMMYFUNCTION("""COMPUTED_VALUE"""),233.4)</f>
        <v>233.4</v>
      </c>
      <c r="F2473" s="1">
        <f ca="1">IFERROR(__xludf.DUMMYFUNCTION("""COMPUTED_VALUE"""),36087134)</f>
        <v>36087134</v>
      </c>
    </row>
    <row r="2474" spans="1:6" x14ac:dyDescent="0.35">
      <c r="A2474" s="2">
        <f ca="1">IFERROR(__xludf.DUMMYFUNCTION("""COMPUTED_VALUE"""),45594.6666666666)</f>
        <v>45594.666666666599</v>
      </c>
      <c r="B2474" s="1">
        <f ca="1">IFERROR(__xludf.DUMMYFUNCTION("""COMPUTED_VALUE"""),233.1)</f>
        <v>233.1</v>
      </c>
      <c r="C2474" s="1">
        <f ca="1">IFERROR(__xludf.DUMMYFUNCTION("""COMPUTED_VALUE"""),234.33)</f>
        <v>234.33</v>
      </c>
      <c r="D2474" s="1">
        <f ca="1">IFERROR(__xludf.DUMMYFUNCTION("""COMPUTED_VALUE"""),232.32)</f>
        <v>232.32</v>
      </c>
      <c r="E2474" s="1">
        <f ca="1">IFERROR(__xludf.DUMMYFUNCTION("""COMPUTED_VALUE"""),233.67)</f>
        <v>233.67</v>
      </c>
      <c r="F2474" s="1">
        <f ca="1">IFERROR(__xludf.DUMMYFUNCTION("""COMPUTED_VALUE"""),35417247)</f>
        <v>35417247</v>
      </c>
    </row>
    <row r="2475" spans="1:6" x14ac:dyDescent="0.35">
      <c r="A2475" s="2">
        <f ca="1">IFERROR(__xludf.DUMMYFUNCTION("""COMPUTED_VALUE"""),45595.6666666666)</f>
        <v>45595.666666666599</v>
      </c>
      <c r="B2475" s="1">
        <f ca="1">IFERROR(__xludf.DUMMYFUNCTION("""COMPUTED_VALUE"""),232.61)</f>
        <v>232.61</v>
      </c>
      <c r="C2475" s="1">
        <f ca="1">IFERROR(__xludf.DUMMYFUNCTION("""COMPUTED_VALUE"""),233.47)</f>
        <v>233.47</v>
      </c>
      <c r="D2475" s="1">
        <f ca="1">IFERROR(__xludf.DUMMYFUNCTION("""COMPUTED_VALUE"""),229.55)</f>
        <v>229.55</v>
      </c>
      <c r="E2475" s="1">
        <f ca="1">IFERROR(__xludf.DUMMYFUNCTION("""COMPUTED_VALUE"""),230.1)</f>
        <v>230.1</v>
      </c>
      <c r="F2475" s="1">
        <f ca="1">IFERROR(__xludf.DUMMYFUNCTION("""COMPUTED_VALUE"""),47070907)</f>
        <v>47070907</v>
      </c>
    </row>
    <row r="2476" spans="1:6" x14ac:dyDescent="0.35">
      <c r="A2476" s="2">
        <f ca="1">IFERROR(__xludf.DUMMYFUNCTION("""COMPUTED_VALUE"""),45596.6666666666)</f>
        <v>45596.666666666599</v>
      </c>
      <c r="B2476" s="1">
        <f ca="1">IFERROR(__xludf.DUMMYFUNCTION("""COMPUTED_VALUE"""),229.34)</f>
        <v>229.34</v>
      </c>
      <c r="C2476" s="1">
        <f ca="1">IFERROR(__xludf.DUMMYFUNCTION("""COMPUTED_VALUE"""),229.83)</f>
        <v>229.83</v>
      </c>
      <c r="D2476" s="1">
        <f ca="1">IFERROR(__xludf.DUMMYFUNCTION("""COMPUTED_VALUE"""),225.37)</f>
        <v>225.37</v>
      </c>
      <c r="E2476" s="1">
        <f ca="1">IFERROR(__xludf.DUMMYFUNCTION("""COMPUTED_VALUE"""),225.91)</f>
        <v>225.91</v>
      </c>
      <c r="F2476" s="1">
        <f ca="1">IFERROR(__xludf.DUMMYFUNCTION("""COMPUTED_VALUE"""),64370086)</f>
        <v>64370086</v>
      </c>
    </row>
    <row r="2477" spans="1:6" x14ac:dyDescent="0.35">
      <c r="A2477" s="2">
        <f ca="1">IFERROR(__xludf.DUMMYFUNCTION("""COMPUTED_VALUE"""),45597.6666666666)</f>
        <v>45597.666666666599</v>
      </c>
      <c r="B2477" s="1">
        <f ca="1">IFERROR(__xludf.DUMMYFUNCTION("""COMPUTED_VALUE"""),220.97)</f>
        <v>220.97</v>
      </c>
      <c r="C2477" s="1">
        <f ca="1">IFERROR(__xludf.DUMMYFUNCTION("""COMPUTED_VALUE"""),225.35)</f>
        <v>225.35</v>
      </c>
      <c r="D2477" s="1">
        <f ca="1">IFERROR(__xludf.DUMMYFUNCTION("""COMPUTED_VALUE"""),220.27)</f>
        <v>220.27</v>
      </c>
      <c r="E2477" s="1">
        <f ca="1">IFERROR(__xludf.DUMMYFUNCTION("""COMPUTED_VALUE"""),222.91)</f>
        <v>222.91</v>
      </c>
      <c r="F2477" s="1">
        <f ca="1">IFERROR(__xludf.DUMMYFUNCTION("""COMPUTED_VALUE"""),65276741)</f>
        <v>65276741</v>
      </c>
    </row>
    <row r="2478" spans="1:6" x14ac:dyDescent="0.35">
      <c r="A2478" s="2">
        <f ca="1">IFERROR(__xludf.DUMMYFUNCTION("""COMPUTED_VALUE"""),45600.6666666666)</f>
        <v>45600.666666666599</v>
      </c>
      <c r="B2478" s="1">
        <f ca="1">IFERROR(__xludf.DUMMYFUNCTION("""COMPUTED_VALUE"""),220.99)</f>
        <v>220.99</v>
      </c>
      <c r="C2478" s="1">
        <f ca="1">IFERROR(__xludf.DUMMYFUNCTION("""COMPUTED_VALUE"""),222.79)</f>
        <v>222.79</v>
      </c>
      <c r="D2478" s="1">
        <f ca="1">IFERROR(__xludf.DUMMYFUNCTION("""COMPUTED_VALUE"""),219.71)</f>
        <v>219.71</v>
      </c>
      <c r="E2478" s="1">
        <f ca="1">IFERROR(__xludf.DUMMYFUNCTION("""COMPUTED_VALUE"""),222.01)</f>
        <v>222.01</v>
      </c>
      <c r="F2478" s="1">
        <f ca="1">IFERROR(__xludf.DUMMYFUNCTION("""COMPUTED_VALUE"""),44944468)</f>
        <v>44944468</v>
      </c>
    </row>
    <row r="2479" spans="1:6" x14ac:dyDescent="0.35">
      <c r="A2479" s="2">
        <f ca="1">IFERROR(__xludf.DUMMYFUNCTION("""COMPUTED_VALUE"""),45601.6666666666)</f>
        <v>45601.666666666599</v>
      </c>
      <c r="B2479" s="1">
        <f ca="1">IFERROR(__xludf.DUMMYFUNCTION("""COMPUTED_VALUE"""),221.8)</f>
        <v>221.8</v>
      </c>
      <c r="C2479" s="1">
        <f ca="1">IFERROR(__xludf.DUMMYFUNCTION("""COMPUTED_VALUE"""),223.95)</f>
        <v>223.95</v>
      </c>
      <c r="D2479" s="1">
        <f ca="1">IFERROR(__xludf.DUMMYFUNCTION("""COMPUTED_VALUE"""),221.14)</f>
        <v>221.14</v>
      </c>
      <c r="E2479" s="1">
        <f ca="1">IFERROR(__xludf.DUMMYFUNCTION("""COMPUTED_VALUE"""),223.45)</f>
        <v>223.45</v>
      </c>
      <c r="F2479" s="1">
        <f ca="1">IFERROR(__xludf.DUMMYFUNCTION("""COMPUTED_VALUE"""),28111338)</f>
        <v>28111338</v>
      </c>
    </row>
    <row r="2480" spans="1:6" x14ac:dyDescent="0.35">
      <c r="A2480" s="2">
        <f ca="1">IFERROR(__xludf.DUMMYFUNCTION("""COMPUTED_VALUE"""),45602.6666666666)</f>
        <v>45602.666666666599</v>
      </c>
      <c r="B2480" s="1">
        <f ca="1">IFERROR(__xludf.DUMMYFUNCTION("""COMPUTED_VALUE"""),222.61)</f>
        <v>222.61</v>
      </c>
      <c r="C2480" s="1">
        <f ca="1">IFERROR(__xludf.DUMMYFUNCTION("""COMPUTED_VALUE"""),226.07)</f>
        <v>226.07</v>
      </c>
      <c r="D2480" s="1">
        <f ca="1">IFERROR(__xludf.DUMMYFUNCTION("""COMPUTED_VALUE"""),221.19)</f>
        <v>221.19</v>
      </c>
      <c r="E2480" s="1">
        <f ca="1">IFERROR(__xludf.DUMMYFUNCTION("""COMPUTED_VALUE"""),222.72)</f>
        <v>222.72</v>
      </c>
      <c r="F2480" s="1">
        <f ca="1">IFERROR(__xludf.DUMMYFUNCTION("""COMPUTED_VALUE"""),54561121)</f>
        <v>54561121</v>
      </c>
    </row>
    <row r="2481" spans="1:6" x14ac:dyDescent="0.35">
      <c r="A2481" s="2">
        <f ca="1">IFERROR(__xludf.DUMMYFUNCTION("""COMPUTED_VALUE"""),45603.6666666666)</f>
        <v>45603.666666666599</v>
      </c>
      <c r="B2481" s="1">
        <f ca="1">IFERROR(__xludf.DUMMYFUNCTION("""COMPUTED_VALUE"""),224.63)</f>
        <v>224.63</v>
      </c>
      <c r="C2481" s="1">
        <f ca="1">IFERROR(__xludf.DUMMYFUNCTION("""COMPUTED_VALUE"""),227.88)</f>
        <v>227.88</v>
      </c>
      <c r="D2481" s="1">
        <f ca="1">IFERROR(__xludf.DUMMYFUNCTION("""COMPUTED_VALUE"""),224.57)</f>
        <v>224.57</v>
      </c>
      <c r="E2481" s="1">
        <f ca="1">IFERROR(__xludf.DUMMYFUNCTION("""COMPUTED_VALUE"""),227.48)</f>
        <v>227.48</v>
      </c>
      <c r="F2481" s="1">
        <f ca="1">IFERROR(__xludf.DUMMYFUNCTION("""COMPUTED_VALUE"""),42137691)</f>
        <v>42137691</v>
      </c>
    </row>
    <row r="2482" spans="1:6" x14ac:dyDescent="0.35">
      <c r="A2482" s="2">
        <f ca="1">IFERROR(__xludf.DUMMYFUNCTION("""COMPUTED_VALUE"""),45604.6666666666)</f>
        <v>45604.666666666599</v>
      </c>
      <c r="B2482" s="1">
        <f ca="1">IFERROR(__xludf.DUMMYFUNCTION("""COMPUTED_VALUE"""),227.17)</f>
        <v>227.17</v>
      </c>
      <c r="C2482" s="1">
        <f ca="1">IFERROR(__xludf.DUMMYFUNCTION("""COMPUTED_VALUE"""),228.66)</f>
        <v>228.66</v>
      </c>
      <c r="D2482" s="1">
        <f ca="1">IFERROR(__xludf.DUMMYFUNCTION("""COMPUTED_VALUE"""),226.41)</f>
        <v>226.41</v>
      </c>
      <c r="E2482" s="1">
        <f ca="1">IFERROR(__xludf.DUMMYFUNCTION("""COMPUTED_VALUE"""),226.96)</f>
        <v>226.96</v>
      </c>
      <c r="F2482" s="1">
        <f ca="1">IFERROR(__xludf.DUMMYFUNCTION("""COMPUTED_VALUE"""),38328824)</f>
        <v>38328824</v>
      </c>
    </row>
    <row r="2483" spans="1:6" x14ac:dyDescent="0.35">
      <c r="A2483" s="2">
        <f ca="1">IFERROR(__xludf.DUMMYFUNCTION("""COMPUTED_VALUE"""),45607.6666666666)</f>
        <v>45607.666666666599</v>
      </c>
      <c r="B2483" s="1">
        <f ca="1">IFERROR(__xludf.DUMMYFUNCTION("""COMPUTED_VALUE"""),225)</f>
        <v>225</v>
      </c>
      <c r="C2483" s="1">
        <f ca="1">IFERROR(__xludf.DUMMYFUNCTION("""COMPUTED_VALUE"""),225.7)</f>
        <v>225.7</v>
      </c>
      <c r="D2483" s="1">
        <f ca="1">IFERROR(__xludf.DUMMYFUNCTION("""COMPUTED_VALUE"""),221.5)</f>
        <v>221.5</v>
      </c>
      <c r="E2483" s="1">
        <f ca="1">IFERROR(__xludf.DUMMYFUNCTION("""COMPUTED_VALUE"""),224.23)</f>
        <v>224.23</v>
      </c>
      <c r="F2483" s="1">
        <f ca="1">IFERROR(__xludf.DUMMYFUNCTION("""COMPUTED_VALUE"""),42005602)</f>
        <v>42005602</v>
      </c>
    </row>
    <row r="2484" spans="1:6" x14ac:dyDescent="0.35">
      <c r="A2484" s="2">
        <f ca="1">IFERROR(__xludf.DUMMYFUNCTION("""COMPUTED_VALUE"""),45608.6666666666)</f>
        <v>45608.666666666599</v>
      </c>
      <c r="B2484" s="1">
        <f ca="1">IFERROR(__xludf.DUMMYFUNCTION("""COMPUTED_VALUE"""),224.55)</f>
        <v>224.55</v>
      </c>
      <c r="C2484" s="1">
        <f ca="1">IFERROR(__xludf.DUMMYFUNCTION("""COMPUTED_VALUE"""),225.59)</f>
        <v>225.59</v>
      </c>
      <c r="D2484" s="1">
        <f ca="1">IFERROR(__xludf.DUMMYFUNCTION("""COMPUTED_VALUE"""),223.36)</f>
        <v>223.36</v>
      </c>
      <c r="E2484" s="1">
        <f ca="1">IFERROR(__xludf.DUMMYFUNCTION("""COMPUTED_VALUE"""),224.23)</f>
        <v>224.23</v>
      </c>
      <c r="F2484" s="1">
        <f ca="1">IFERROR(__xludf.DUMMYFUNCTION("""COMPUTED_VALUE"""),40398299)</f>
        <v>40398299</v>
      </c>
    </row>
    <row r="2485" spans="1:6" x14ac:dyDescent="0.35">
      <c r="A2485" s="2">
        <f ca="1">IFERROR(__xludf.DUMMYFUNCTION("""COMPUTED_VALUE"""),45609.6666666666)</f>
        <v>45609.666666666599</v>
      </c>
      <c r="B2485" s="1">
        <f ca="1">IFERROR(__xludf.DUMMYFUNCTION("""COMPUTED_VALUE"""),224.01)</f>
        <v>224.01</v>
      </c>
      <c r="C2485" s="1">
        <f ca="1">IFERROR(__xludf.DUMMYFUNCTION("""COMPUTED_VALUE"""),226.65)</f>
        <v>226.65</v>
      </c>
      <c r="D2485" s="1">
        <f ca="1">IFERROR(__xludf.DUMMYFUNCTION("""COMPUTED_VALUE"""),222.76)</f>
        <v>222.76</v>
      </c>
      <c r="E2485" s="1">
        <f ca="1">IFERROR(__xludf.DUMMYFUNCTION("""COMPUTED_VALUE"""),225.12)</f>
        <v>225.12</v>
      </c>
      <c r="F2485" s="1">
        <f ca="1">IFERROR(__xludf.DUMMYFUNCTION("""COMPUTED_VALUE"""),48566217)</f>
        <v>48566217</v>
      </c>
    </row>
    <row r="2486" spans="1:6" x14ac:dyDescent="0.35">
      <c r="A2486" s="2">
        <f ca="1">IFERROR(__xludf.DUMMYFUNCTION("""COMPUTED_VALUE"""),45610.6666666666)</f>
        <v>45610.666666666599</v>
      </c>
      <c r="B2486" s="1">
        <f ca="1">IFERROR(__xludf.DUMMYFUNCTION("""COMPUTED_VALUE"""),225.02)</f>
        <v>225.02</v>
      </c>
      <c r="C2486" s="1">
        <f ca="1">IFERROR(__xludf.DUMMYFUNCTION("""COMPUTED_VALUE"""),228.87)</f>
        <v>228.87</v>
      </c>
      <c r="D2486" s="1">
        <f ca="1">IFERROR(__xludf.DUMMYFUNCTION("""COMPUTED_VALUE"""),225)</f>
        <v>225</v>
      </c>
      <c r="E2486" s="1">
        <f ca="1">IFERROR(__xludf.DUMMYFUNCTION("""COMPUTED_VALUE"""),228.22)</f>
        <v>228.22</v>
      </c>
      <c r="F2486" s="1">
        <f ca="1">IFERROR(__xludf.DUMMYFUNCTION("""COMPUTED_VALUE"""),44923941)</f>
        <v>44923941</v>
      </c>
    </row>
    <row r="2487" spans="1:6" x14ac:dyDescent="0.35">
      <c r="A2487" s="2">
        <f ca="1">IFERROR(__xludf.DUMMYFUNCTION("""COMPUTED_VALUE"""),45611.6666666666)</f>
        <v>45611.666666666599</v>
      </c>
      <c r="B2487" s="1">
        <f ca="1">IFERROR(__xludf.DUMMYFUNCTION("""COMPUTED_VALUE"""),226.4)</f>
        <v>226.4</v>
      </c>
      <c r="C2487" s="1">
        <f ca="1">IFERROR(__xludf.DUMMYFUNCTION("""COMPUTED_VALUE"""),226.92)</f>
        <v>226.92</v>
      </c>
      <c r="D2487" s="1">
        <f ca="1">IFERROR(__xludf.DUMMYFUNCTION("""COMPUTED_VALUE"""),224.27)</f>
        <v>224.27</v>
      </c>
      <c r="E2487" s="1">
        <f ca="1">IFERROR(__xludf.DUMMYFUNCTION("""COMPUTED_VALUE"""),225)</f>
        <v>225</v>
      </c>
      <c r="F2487" s="1">
        <f ca="1">IFERROR(__xludf.DUMMYFUNCTION("""COMPUTED_VALUE"""),47923696)</f>
        <v>47923696</v>
      </c>
    </row>
    <row r="2488" spans="1:6" x14ac:dyDescent="0.35">
      <c r="A2488" s="2">
        <f ca="1">IFERROR(__xludf.DUMMYFUNCTION("""COMPUTED_VALUE"""),45614.6666666666)</f>
        <v>45614.666666666599</v>
      </c>
      <c r="B2488" s="1">
        <f ca="1">IFERROR(__xludf.DUMMYFUNCTION("""COMPUTED_VALUE"""),225.25)</f>
        <v>225.25</v>
      </c>
      <c r="C2488" s="1">
        <f ca="1">IFERROR(__xludf.DUMMYFUNCTION("""COMPUTED_VALUE"""),229.74)</f>
        <v>229.74</v>
      </c>
      <c r="D2488" s="1">
        <f ca="1">IFERROR(__xludf.DUMMYFUNCTION("""COMPUTED_VALUE"""),225.17)</f>
        <v>225.17</v>
      </c>
      <c r="E2488" s="1">
        <f ca="1">IFERROR(__xludf.DUMMYFUNCTION("""COMPUTED_VALUE"""),228.02)</f>
        <v>228.02</v>
      </c>
      <c r="F2488" s="1">
        <f ca="1">IFERROR(__xludf.DUMMYFUNCTION("""COMPUTED_VALUE"""),44686020)</f>
        <v>44686020</v>
      </c>
    </row>
    <row r="2489" spans="1:6" x14ac:dyDescent="0.35">
      <c r="A2489" s="2">
        <f ca="1">IFERROR(__xludf.DUMMYFUNCTION("""COMPUTED_VALUE"""),45615.6666666666)</f>
        <v>45615.666666666599</v>
      </c>
      <c r="B2489" s="1">
        <f ca="1">IFERROR(__xludf.DUMMYFUNCTION("""COMPUTED_VALUE"""),226.98)</f>
        <v>226.98</v>
      </c>
      <c r="C2489" s="1">
        <f ca="1">IFERROR(__xludf.DUMMYFUNCTION("""COMPUTED_VALUE"""),230.16)</f>
        <v>230.16</v>
      </c>
      <c r="D2489" s="1">
        <f ca="1">IFERROR(__xludf.DUMMYFUNCTION("""COMPUTED_VALUE"""),226.66)</f>
        <v>226.66</v>
      </c>
      <c r="E2489" s="1">
        <f ca="1">IFERROR(__xludf.DUMMYFUNCTION("""COMPUTED_VALUE"""),228.28)</f>
        <v>228.28</v>
      </c>
      <c r="F2489" s="1">
        <f ca="1">IFERROR(__xludf.DUMMYFUNCTION("""COMPUTED_VALUE"""),36211774)</f>
        <v>36211774</v>
      </c>
    </row>
    <row r="2490" spans="1:6" x14ac:dyDescent="0.35">
      <c r="A2490" s="2">
        <f ca="1">IFERROR(__xludf.DUMMYFUNCTION("""COMPUTED_VALUE"""),45616.6666666666)</f>
        <v>45616.666666666599</v>
      </c>
      <c r="B2490" s="1">
        <f ca="1">IFERROR(__xludf.DUMMYFUNCTION("""COMPUTED_VALUE"""),228.06)</f>
        <v>228.06</v>
      </c>
      <c r="C2490" s="1">
        <f ca="1">IFERROR(__xludf.DUMMYFUNCTION("""COMPUTED_VALUE"""),229.93)</f>
        <v>229.93</v>
      </c>
      <c r="D2490" s="1">
        <f ca="1">IFERROR(__xludf.DUMMYFUNCTION("""COMPUTED_VALUE"""),225.89)</f>
        <v>225.89</v>
      </c>
      <c r="E2490" s="1">
        <f ca="1">IFERROR(__xludf.DUMMYFUNCTION("""COMPUTED_VALUE"""),229)</f>
        <v>229</v>
      </c>
      <c r="F2490" s="1">
        <f ca="1">IFERROR(__xludf.DUMMYFUNCTION("""COMPUTED_VALUE"""),35169566)</f>
        <v>35169566</v>
      </c>
    </row>
    <row r="2491" spans="1:6" x14ac:dyDescent="0.35">
      <c r="A2491" s="2">
        <f ca="1">IFERROR(__xludf.DUMMYFUNCTION("""COMPUTED_VALUE"""),45617.6666666666)</f>
        <v>45617.666666666599</v>
      </c>
      <c r="B2491" s="1">
        <f ca="1">IFERROR(__xludf.DUMMYFUNCTION("""COMPUTED_VALUE"""),228.88)</f>
        <v>228.88</v>
      </c>
      <c r="C2491" s="1">
        <f ca="1">IFERROR(__xludf.DUMMYFUNCTION("""COMPUTED_VALUE"""),230.16)</f>
        <v>230.16</v>
      </c>
      <c r="D2491" s="1">
        <f ca="1">IFERROR(__xludf.DUMMYFUNCTION("""COMPUTED_VALUE"""),225.71)</f>
        <v>225.71</v>
      </c>
      <c r="E2491" s="1">
        <f ca="1">IFERROR(__xludf.DUMMYFUNCTION("""COMPUTED_VALUE"""),228.52)</f>
        <v>228.52</v>
      </c>
      <c r="F2491" s="1">
        <f ca="1">IFERROR(__xludf.DUMMYFUNCTION("""COMPUTED_VALUE"""),42108327)</f>
        <v>42108327</v>
      </c>
    </row>
    <row r="2492" spans="1:6" x14ac:dyDescent="0.35">
      <c r="A2492" s="2">
        <f ca="1">IFERROR(__xludf.DUMMYFUNCTION("""COMPUTED_VALUE"""),45618.6666666666)</f>
        <v>45618.666666666599</v>
      </c>
      <c r="B2492" s="1">
        <f ca="1">IFERROR(__xludf.DUMMYFUNCTION("""COMPUTED_VALUE"""),228.06)</f>
        <v>228.06</v>
      </c>
      <c r="C2492" s="1">
        <f ca="1">IFERROR(__xludf.DUMMYFUNCTION("""COMPUTED_VALUE"""),230.72)</f>
        <v>230.72</v>
      </c>
      <c r="D2492" s="1">
        <f ca="1">IFERROR(__xludf.DUMMYFUNCTION("""COMPUTED_VALUE"""),228.06)</f>
        <v>228.06</v>
      </c>
      <c r="E2492" s="1">
        <f ca="1">IFERROR(__xludf.DUMMYFUNCTION("""COMPUTED_VALUE"""),229.87)</f>
        <v>229.87</v>
      </c>
      <c r="F2492" s="1">
        <f ca="1">IFERROR(__xludf.DUMMYFUNCTION("""COMPUTED_VALUE"""),38168252)</f>
        <v>38168252</v>
      </c>
    </row>
    <row r="2493" spans="1:6" x14ac:dyDescent="0.35">
      <c r="A2493" s="2">
        <f ca="1">IFERROR(__xludf.DUMMYFUNCTION("""COMPUTED_VALUE"""),45621.6666666666)</f>
        <v>45621.666666666599</v>
      </c>
      <c r="B2493" s="1">
        <f ca="1">IFERROR(__xludf.DUMMYFUNCTION("""COMPUTED_VALUE"""),231.46)</f>
        <v>231.46</v>
      </c>
      <c r="C2493" s="1">
        <f ca="1">IFERROR(__xludf.DUMMYFUNCTION("""COMPUTED_VALUE"""),233.25)</f>
        <v>233.25</v>
      </c>
      <c r="D2493" s="1">
        <f ca="1">IFERROR(__xludf.DUMMYFUNCTION("""COMPUTED_VALUE"""),229.74)</f>
        <v>229.74</v>
      </c>
      <c r="E2493" s="1">
        <f ca="1">IFERROR(__xludf.DUMMYFUNCTION("""COMPUTED_VALUE"""),232.87)</f>
        <v>232.87</v>
      </c>
      <c r="F2493" s="1">
        <f ca="1">IFERROR(__xludf.DUMMYFUNCTION("""COMPUTED_VALUE"""),90152832)</f>
        <v>90152832</v>
      </c>
    </row>
    <row r="2494" spans="1:6" x14ac:dyDescent="0.35">
      <c r="A2494" s="2">
        <f ca="1">IFERROR(__xludf.DUMMYFUNCTION("""COMPUTED_VALUE"""),45622.6666666666)</f>
        <v>45622.666666666599</v>
      </c>
      <c r="B2494" s="1">
        <f ca="1">IFERROR(__xludf.DUMMYFUNCTION("""COMPUTED_VALUE"""),233.33)</f>
        <v>233.33</v>
      </c>
      <c r="C2494" s="1">
        <f ca="1">IFERROR(__xludf.DUMMYFUNCTION("""COMPUTED_VALUE"""),235.57)</f>
        <v>235.57</v>
      </c>
      <c r="D2494" s="1">
        <f ca="1">IFERROR(__xludf.DUMMYFUNCTION("""COMPUTED_VALUE"""),233.33)</f>
        <v>233.33</v>
      </c>
      <c r="E2494" s="1">
        <f ca="1">IFERROR(__xludf.DUMMYFUNCTION("""COMPUTED_VALUE"""),235.06)</f>
        <v>235.06</v>
      </c>
      <c r="F2494" s="1">
        <f ca="1">IFERROR(__xludf.DUMMYFUNCTION("""COMPUTED_VALUE"""),45986189)</f>
        <v>45986189</v>
      </c>
    </row>
    <row r="2495" spans="1:6" x14ac:dyDescent="0.35">
      <c r="A2495" s="2">
        <f ca="1">IFERROR(__xludf.DUMMYFUNCTION("""COMPUTED_VALUE"""),45623.6666666666)</f>
        <v>45623.666666666599</v>
      </c>
      <c r="B2495" s="1">
        <f ca="1">IFERROR(__xludf.DUMMYFUNCTION("""COMPUTED_VALUE"""),234.47)</f>
        <v>234.47</v>
      </c>
      <c r="C2495" s="1">
        <f ca="1">IFERROR(__xludf.DUMMYFUNCTION("""COMPUTED_VALUE"""),235.69)</f>
        <v>235.69</v>
      </c>
      <c r="D2495" s="1">
        <f ca="1">IFERROR(__xludf.DUMMYFUNCTION("""COMPUTED_VALUE"""),233.81)</f>
        <v>233.81</v>
      </c>
      <c r="E2495" s="1">
        <f ca="1">IFERROR(__xludf.DUMMYFUNCTION("""COMPUTED_VALUE"""),234.93)</f>
        <v>234.93</v>
      </c>
      <c r="F2495" s="1">
        <f ca="1">IFERROR(__xludf.DUMMYFUNCTION("""COMPUTED_VALUE"""),33498439)</f>
        <v>33498439</v>
      </c>
    </row>
    <row r="2496" spans="1:6" x14ac:dyDescent="0.35">
      <c r="A2496" s="2">
        <f ca="1">IFERROR(__xludf.DUMMYFUNCTION("""COMPUTED_VALUE"""),45625.5451388888)</f>
        <v>45625.545138888803</v>
      </c>
      <c r="B2496" s="1">
        <f ca="1">IFERROR(__xludf.DUMMYFUNCTION("""COMPUTED_VALUE"""),234.81)</f>
        <v>234.81</v>
      </c>
      <c r="C2496" s="1">
        <f ca="1">IFERROR(__xludf.DUMMYFUNCTION("""COMPUTED_VALUE"""),237.81)</f>
        <v>237.81</v>
      </c>
      <c r="D2496" s="1">
        <f ca="1">IFERROR(__xludf.DUMMYFUNCTION("""COMPUTED_VALUE"""),233.97)</f>
        <v>233.97</v>
      </c>
      <c r="E2496" s="1">
        <f ca="1">IFERROR(__xludf.DUMMYFUNCTION("""COMPUTED_VALUE"""),237.33)</f>
        <v>237.33</v>
      </c>
      <c r="F2496" s="1">
        <f ca="1">IFERROR(__xludf.DUMMYFUNCTION("""COMPUTED_VALUE"""),28481377)</f>
        <v>28481377</v>
      </c>
    </row>
    <row r="2497" spans="1:6" x14ac:dyDescent="0.35">
      <c r="A2497" s="2">
        <f ca="1">IFERROR(__xludf.DUMMYFUNCTION("""COMPUTED_VALUE"""),45628.6666666666)</f>
        <v>45628.666666666599</v>
      </c>
      <c r="B2497" s="1">
        <f ca="1">IFERROR(__xludf.DUMMYFUNCTION("""COMPUTED_VALUE"""),237.27)</f>
        <v>237.27</v>
      </c>
      <c r="C2497" s="1">
        <f ca="1">IFERROR(__xludf.DUMMYFUNCTION("""COMPUTED_VALUE"""),240.79)</f>
        <v>240.79</v>
      </c>
      <c r="D2497" s="1">
        <f ca="1">IFERROR(__xludf.DUMMYFUNCTION("""COMPUTED_VALUE"""),237.16)</f>
        <v>237.16</v>
      </c>
      <c r="E2497" s="1">
        <f ca="1">IFERROR(__xludf.DUMMYFUNCTION("""COMPUTED_VALUE"""),239.59)</f>
        <v>239.59</v>
      </c>
      <c r="F2497" s="1">
        <f ca="1">IFERROR(__xludf.DUMMYFUNCTION("""COMPUTED_VALUE"""),48137103)</f>
        <v>48137103</v>
      </c>
    </row>
    <row r="2498" spans="1:6" x14ac:dyDescent="0.35">
      <c r="A2498" s="2">
        <f ca="1">IFERROR(__xludf.DUMMYFUNCTION("""COMPUTED_VALUE"""),45629.6666666666)</f>
        <v>45629.666666666599</v>
      </c>
      <c r="B2498" s="1">
        <f ca="1">IFERROR(__xludf.DUMMYFUNCTION("""COMPUTED_VALUE"""),239.81)</f>
        <v>239.81</v>
      </c>
      <c r="C2498" s="1">
        <f ca="1">IFERROR(__xludf.DUMMYFUNCTION("""COMPUTED_VALUE"""),242.76)</f>
        <v>242.76</v>
      </c>
      <c r="D2498" s="1">
        <f ca="1">IFERROR(__xludf.DUMMYFUNCTION("""COMPUTED_VALUE"""),238.9)</f>
        <v>238.9</v>
      </c>
      <c r="E2498" s="1">
        <f ca="1">IFERROR(__xludf.DUMMYFUNCTION("""COMPUTED_VALUE"""),242.65)</f>
        <v>242.65</v>
      </c>
      <c r="F2498" s="1">
        <f ca="1">IFERROR(__xludf.DUMMYFUNCTION("""COMPUTED_VALUE"""),38861017)</f>
        <v>38861017</v>
      </c>
    </row>
    <row r="2499" spans="1:6" x14ac:dyDescent="0.35">
      <c r="A2499" s="2">
        <f ca="1">IFERROR(__xludf.DUMMYFUNCTION("""COMPUTED_VALUE"""),45630.6666666666)</f>
        <v>45630.666666666599</v>
      </c>
      <c r="B2499" s="1">
        <f ca="1">IFERROR(__xludf.DUMMYFUNCTION("""COMPUTED_VALUE"""),242.87)</f>
        <v>242.87</v>
      </c>
      <c r="C2499" s="1">
        <f ca="1">IFERROR(__xludf.DUMMYFUNCTION("""COMPUTED_VALUE"""),244.11)</f>
        <v>244.11</v>
      </c>
      <c r="D2499" s="1">
        <f ca="1">IFERROR(__xludf.DUMMYFUNCTION("""COMPUTED_VALUE"""),241.25)</f>
        <v>241.25</v>
      </c>
      <c r="E2499" s="1">
        <f ca="1">IFERROR(__xludf.DUMMYFUNCTION("""COMPUTED_VALUE"""),243.01)</f>
        <v>243.01</v>
      </c>
      <c r="F2499" s="1">
        <f ca="1">IFERROR(__xludf.DUMMYFUNCTION("""COMPUTED_VALUE"""),44383935)</f>
        <v>44383935</v>
      </c>
    </row>
    <row r="2500" spans="1:6" x14ac:dyDescent="0.35">
      <c r="A2500" s="2">
        <f ca="1">IFERROR(__xludf.DUMMYFUNCTION("""COMPUTED_VALUE"""),45631.6666666666)</f>
        <v>45631.666666666599</v>
      </c>
      <c r="B2500" s="1">
        <f ca="1">IFERROR(__xludf.DUMMYFUNCTION("""COMPUTED_VALUE"""),243.99)</f>
        <v>243.99</v>
      </c>
      <c r="C2500" s="1">
        <f ca="1">IFERROR(__xludf.DUMMYFUNCTION("""COMPUTED_VALUE"""),244.54)</f>
        <v>244.54</v>
      </c>
      <c r="D2500" s="1">
        <f ca="1">IFERROR(__xludf.DUMMYFUNCTION("""COMPUTED_VALUE"""),242.13)</f>
        <v>242.13</v>
      </c>
      <c r="E2500" s="1">
        <f ca="1">IFERROR(__xludf.DUMMYFUNCTION("""COMPUTED_VALUE"""),243.04)</f>
        <v>243.04</v>
      </c>
      <c r="F2500" s="1">
        <f ca="1">IFERROR(__xludf.DUMMYFUNCTION("""COMPUTED_VALUE"""),40033878)</f>
        <v>40033878</v>
      </c>
    </row>
    <row r="2501" spans="1:6" x14ac:dyDescent="0.35">
      <c r="A2501" s="2">
        <f ca="1">IFERROR(__xludf.DUMMYFUNCTION("""COMPUTED_VALUE"""),45632.6666666666)</f>
        <v>45632.666666666599</v>
      </c>
      <c r="B2501" s="1">
        <f ca="1">IFERROR(__xludf.DUMMYFUNCTION("""COMPUTED_VALUE"""),242.91)</f>
        <v>242.91</v>
      </c>
      <c r="C2501" s="1">
        <f ca="1">IFERROR(__xludf.DUMMYFUNCTION("""COMPUTED_VALUE"""),244.63)</f>
        <v>244.63</v>
      </c>
      <c r="D2501" s="1">
        <f ca="1">IFERROR(__xludf.DUMMYFUNCTION("""COMPUTED_VALUE"""),242.08)</f>
        <v>242.08</v>
      </c>
      <c r="E2501" s="1">
        <f ca="1">IFERROR(__xludf.DUMMYFUNCTION("""COMPUTED_VALUE"""),242.84)</f>
        <v>242.84</v>
      </c>
      <c r="F2501" s="1">
        <f ca="1">IFERROR(__xludf.DUMMYFUNCTION("""COMPUTED_VALUE"""),36870619)</f>
        <v>36870619</v>
      </c>
    </row>
    <row r="2502" spans="1:6" x14ac:dyDescent="0.35">
      <c r="A2502" s="2">
        <f ca="1">IFERROR(__xludf.DUMMYFUNCTION("""COMPUTED_VALUE"""),45635.6666666666)</f>
        <v>45635.666666666599</v>
      </c>
      <c r="B2502" s="1">
        <f ca="1">IFERROR(__xludf.DUMMYFUNCTION("""COMPUTED_VALUE"""),241.83)</f>
        <v>241.83</v>
      </c>
      <c r="C2502" s="1">
        <f ca="1">IFERROR(__xludf.DUMMYFUNCTION("""COMPUTED_VALUE"""),247.24)</f>
        <v>247.24</v>
      </c>
      <c r="D2502" s="1">
        <f ca="1">IFERROR(__xludf.DUMMYFUNCTION("""COMPUTED_VALUE"""),241.75)</f>
        <v>241.75</v>
      </c>
      <c r="E2502" s="1">
        <f ca="1">IFERROR(__xludf.DUMMYFUNCTION("""COMPUTED_VALUE"""),246.75)</f>
        <v>246.75</v>
      </c>
      <c r="F2502" s="1">
        <f ca="1">IFERROR(__xludf.DUMMYFUNCTION("""COMPUTED_VALUE"""),44649232)</f>
        <v>44649232</v>
      </c>
    </row>
    <row r="2503" spans="1:6" x14ac:dyDescent="0.35">
      <c r="A2503" s="2">
        <f ca="1">IFERROR(__xludf.DUMMYFUNCTION("""COMPUTED_VALUE"""),45636.6666666666)</f>
        <v>45636.666666666599</v>
      </c>
      <c r="B2503" s="1">
        <f ca="1">IFERROR(__xludf.DUMMYFUNCTION("""COMPUTED_VALUE"""),246.89)</f>
        <v>246.89</v>
      </c>
      <c r="C2503" s="1">
        <f ca="1">IFERROR(__xludf.DUMMYFUNCTION("""COMPUTED_VALUE"""),248.21)</f>
        <v>248.21</v>
      </c>
      <c r="D2503" s="1">
        <f ca="1">IFERROR(__xludf.DUMMYFUNCTION("""COMPUTED_VALUE"""),245.34)</f>
        <v>245.34</v>
      </c>
      <c r="E2503" s="1">
        <f ca="1">IFERROR(__xludf.DUMMYFUNCTION("""COMPUTED_VALUE"""),247.77)</f>
        <v>247.77</v>
      </c>
      <c r="F2503" s="1">
        <f ca="1">IFERROR(__xludf.DUMMYFUNCTION("""COMPUTED_VALUE"""),36914806)</f>
        <v>36914806</v>
      </c>
    </row>
    <row r="2504" spans="1:6" x14ac:dyDescent="0.35">
      <c r="A2504" s="2">
        <f ca="1">IFERROR(__xludf.DUMMYFUNCTION("""COMPUTED_VALUE"""),45637.6666666666)</f>
        <v>45637.666666666599</v>
      </c>
      <c r="B2504" s="1">
        <f ca="1">IFERROR(__xludf.DUMMYFUNCTION("""COMPUTED_VALUE"""),247.96)</f>
        <v>247.96</v>
      </c>
      <c r="C2504" s="1">
        <f ca="1">IFERROR(__xludf.DUMMYFUNCTION("""COMPUTED_VALUE"""),250.8)</f>
        <v>250.8</v>
      </c>
      <c r="D2504" s="1">
        <f ca="1">IFERROR(__xludf.DUMMYFUNCTION("""COMPUTED_VALUE"""),246.26)</f>
        <v>246.26</v>
      </c>
      <c r="E2504" s="1">
        <f ca="1">IFERROR(__xludf.DUMMYFUNCTION("""COMPUTED_VALUE"""),246.49)</f>
        <v>246.49</v>
      </c>
      <c r="F2504" s="1">
        <f ca="1">IFERROR(__xludf.DUMMYFUNCTION("""COMPUTED_VALUE"""),45205814)</f>
        <v>45205814</v>
      </c>
    </row>
    <row r="2505" spans="1:6" x14ac:dyDescent="0.35">
      <c r="A2505" s="2">
        <f ca="1">IFERROR(__xludf.DUMMYFUNCTION("""COMPUTED_VALUE"""),45638.6666666666)</f>
        <v>45638.666666666599</v>
      </c>
      <c r="B2505" s="1">
        <f ca="1">IFERROR(__xludf.DUMMYFUNCTION("""COMPUTED_VALUE"""),246.89)</f>
        <v>246.89</v>
      </c>
      <c r="C2505" s="1">
        <f ca="1">IFERROR(__xludf.DUMMYFUNCTION("""COMPUTED_VALUE"""),248.74)</f>
        <v>248.74</v>
      </c>
      <c r="D2505" s="1">
        <f ca="1">IFERROR(__xludf.DUMMYFUNCTION("""COMPUTED_VALUE"""),245.68)</f>
        <v>245.68</v>
      </c>
      <c r="E2505" s="1">
        <f ca="1">IFERROR(__xludf.DUMMYFUNCTION("""COMPUTED_VALUE"""),247.96)</f>
        <v>247.96</v>
      </c>
      <c r="F2505" s="1">
        <f ca="1">IFERROR(__xludf.DUMMYFUNCTION("""COMPUTED_VALUE"""),32777532)</f>
        <v>32777532</v>
      </c>
    </row>
    <row r="2506" spans="1:6" x14ac:dyDescent="0.35">
      <c r="A2506" s="2">
        <f ca="1">IFERROR(__xludf.DUMMYFUNCTION("""COMPUTED_VALUE"""),45639.6666666666)</f>
        <v>45639.666666666599</v>
      </c>
      <c r="B2506" s="1">
        <f ca="1">IFERROR(__xludf.DUMMYFUNCTION("""COMPUTED_VALUE"""),247.82)</f>
        <v>247.82</v>
      </c>
      <c r="C2506" s="1">
        <f ca="1">IFERROR(__xludf.DUMMYFUNCTION("""COMPUTED_VALUE"""),249.29)</f>
        <v>249.29</v>
      </c>
      <c r="D2506" s="1">
        <f ca="1">IFERROR(__xludf.DUMMYFUNCTION("""COMPUTED_VALUE"""),246.24)</f>
        <v>246.24</v>
      </c>
      <c r="E2506" s="1">
        <f ca="1">IFERROR(__xludf.DUMMYFUNCTION("""COMPUTED_VALUE"""),248.13)</f>
        <v>248.13</v>
      </c>
      <c r="F2506" s="1">
        <f ca="1">IFERROR(__xludf.DUMMYFUNCTION("""COMPUTED_VALUE"""),33155290)</f>
        <v>33155290</v>
      </c>
    </row>
    <row r="2507" spans="1:6" x14ac:dyDescent="0.35">
      <c r="A2507" s="2">
        <f ca="1">IFERROR(__xludf.DUMMYFUNCTION("""COMPUTED_VALUE"""),45642.6666666666)</f>
        <v>45642.666666666599</v>
      </c>
      <c r="B2507" s="1">
        <f ca="1">IFERROR(__xludf.DUMMYFUNCTION("""COMPUTED_VALUE"""),247.99)</f>
        <v>247.99</v>
      </c>
      <c r="C2507" s="1">
        <f ca="1">IFERROR(__xludf.DUMMYFUNCTION("""COMPUTED_VALUE"""),251.38)</f>
        <v>251.38</v>
      </c>
      <c r="D2507" s="1">
        <f ca="1">IFERROR(__xludf.DUMMYFUNCTION("""COMPUTED_VALUE"""),247.65)</f>
        <v>247.65</v>
      </c>
      <c r="E2507" s="1">
        <f ca="1">IFERROR(__xludf.DUMMYFUNCTION("""COMPUTED_VALUE"""),251.04)</f>
        <v>251.04</v>
      </c>
      <c r="F2507" s="1">
        <f ca="1">IFERROR(__xludf.DUMMYFUNCTION("""COMPUTED_VALUE"""),51694753)</f>
        <v>51694753</v>
      </c>
    </row>
    <row r="2508" spans="1:6" x14ac:dyDescent="0.35">
      <c r="A2508" s="2">
        <f ca="1">IFERROR(__xludf.DUMMYFUNCTION("""COMPUTED_VALUE"""),45643.6666666666)</f>
        <v>45643.666666666599</v>
      </c>
      <c r="B2508" s="1">
        <f ca="1">IFERROR(__xludf.DUMMYFUNCTION("""COMPUTED_VALUE"""),250.08)</f>
        <v>250.08</v>
      </c>
      <c r="C2508" s="1">
        <f ca="1">IFERROR(__xludf.DUMMYFUNCTION("""COMPUTED_VALUE"""),253.83)</f>
        <v>253.83</v>
      </c>
      <c r="D2508" s="1">
        <f ca="1">IFERROR(__xludf.DUMMYFUNCTION("""COMPUTED_VALUE"""),249.78)</f>
        <v>249.78</v>
      </c>
      <c r="E2508" s="1">
        <f ca="1">IFERROR(__xludf.DUMMYFUNCTION("""COMPUTED_VALUE"""),253.48)</f>
        <v>253.48</v>
      </c>
      <c r="F2508" s="1">
        <f ca="1">IFERROR(__xludf.DUMMYFUNCTION("""COMPUTED_VALUE"""),51356360)</f>
        <v>51356360</v>
      </c>
    </row>
    <row r="2509" spans="1:6" x14ac:dyDescent="0.35">
      <c r="A2509" s="2">
        <f ca="1">IFERROR(__xludf.DUMMYFUNCTION("""COMPUTED_VALUE"""),45644.6666666666)</f>
        <v>45644.666666666599</v>
      </c>
      <c r="B2509" s="1">
        <f ca="1">IFERROR(__xludf.DUMMYFUNCTION("""COMPUTED_VALUE"""),252.16)</f>
        <v>252.16</v>
      </c>
      <c r="C2509" s="1">
        <f ca="1">IFERROR(__xludf.DUMMYFUNCTION("""COMPUTED_VALUE"""),254.28)</f>
        <v>254.28</v>
      </c>
      <c r="D2509" s="1">
        <f ca="1">IFERROR(__xludf.DUMMYFUNCTION("""COMPUTED_VALUE"""),247.74)</f>
        <v>247.74</v>
      </c>
      <c r="E2509" s="1">
        <f ca="1">IFERROR(__xludf.DUMMYFUNCTION("""COMPUTED_VALUE"""),248.05)</f>
        <v>248.05</v>
      </c>
      <c r="F2509" s="1">
        <f ca="1">IFERROR(__xludf.DUMMYFUNCTION("""COMPUTED_VALUE"""),56774101)</f>
        <v>56774101</v>
      </c>
    </row>
    <row r="2510" spans="1:6" x14ac:dyDescent="0.35">
      <c r="A2510" s="2">
        <f ca="1">IFERROR(__xludf.DUMMYFUNCTION("""COMPUTED_VALUE"""),45645.6666666666)</f>
        <v>45645.666666666599</v>
      </c>
      <c r="B2510" s="1">
        <f ca="1">IFERROR(__xludf.DUMMYFUNCTION("""COMPUTED_VALUE"""),247.5)</f>
        <v>247.5</v>
      </c>
      <c r="C2510" s="1">
        <f ca="1">IFERROR(__xludf.DUMMYFUNCTION("""COMPUTED_VALUE"""),252)</f>
        <v>252</v>
      </c>
      <c r="D2510" s="1">
        <f ca="1">IFERROR(__xludf.DUMMYFUNCTION("""COMPUTED_VALUE"""),247.09)</f>
        <v>247.09</v>
      </c>
      <c r="E2510" s="1">
        <f ca="1">IFERROR(__xludf.DUMMYFUNCTION("""COMPUTED_VALUE"""),249.79)</f>
        <v>249.79</v>
      </c>
      <c r="F2510" s="1">
        <f ca="1">IFERROR(__xludf.DUMMYFUNCTION("""COMPUTED_VALUE"""),60882264)</f>
        <v>60882264</v>
      </c>
    </row>
    <row r="2511" spans="1:6" x14ac:dyDescent="0.35">
      <c r="A2511" s="2">
        <f ca="1">IFERROR(__xludf.DUMMYFUNCTION("""COMPUTED_VALUE"""),45646.6666666666)</f>
        <v>45646.666666666599</v>
      </c>
      <c r="B2511" s="1">
        <f ca="1">IFERROR(__xludf.DUMMYFUNCTION("""COMPUTED_VALUE"""),248.04)</f>
        <v>248.04</v>
      </c>
      <c r="C2511" s="1">
        <f ca="1">IFERROR(__xludf.DUMMYFUNCTION("""COMPUTED_VALUE"""),255)</f>
        <v>255</v>
      </c>
      <c r="D2511" s="1">
        <f ca="1">IFERROR(__xludf.DUMMYFUNCTION("""COMPUTED_VALUE"""),245.69)</f>
        <v>245.69</v>
      </c>
      <c r="E2511" s="1">
        <f ca="1">IFERROR(__xludf.DUMMYFUNCTION("""COMPUTED_VALUE"""),254.49)</f>
        <v>254.49</v>
      </c>
      <c r="F2511" s="1">
        <f ca="1">IFERROR(__xludf.DUMMYFUNCTION("""COMPUTED_VALUE"""),147495267)</f>
        <v>147495267</v>
      </c>
    </row>
    <row r="2512" spans="1:6" x14ac:dyDescent="0.35">
      <c r="A2512" s="2">
        <f ca="1">IFERROR(__xludf.DUMMYFUNCTION("""COMPUTED_VALUE"""),45649.6666666666)</f>
        <v>45649.666666666599</v>
      </c>
      <c r="B2512" s="1">
        <f ca="1">IFERROR(__xludf.DUMMYFUNCTION("""COMPUTED_VALUE"""),254.77)</f>
        <v>254.77</v>
      </c>
      <c r="C2512" s="1">
        <f ca="1">IFERROR(__xludf.DUMMYFUNCTION("""COMPUTED_VALUE"""),255.65)</f>
        <v>255.65</v>
      </c>
      <c r="D2512" s="1">
        <f ca="1">IFERROR(__xludf.DUMMYFUNCTION("""COMPUTED_VALUE"""),253.45)</f>
        <v>253.45</v>
      </c>
      <c r="E2512" s="1">
        <f ca="1">IFERROR(__xludf.DUMMYFUNCTION("""COMPUTED_VALUE"""),255.27)</f>
        <v>255.27</v>
      </c>
      <c r="F2512" s="1">
        <f ca="1">IFERROR(__xludf.DUMMYFUNCTION("""COMPUTED_VALUE"""),40858774)</f>
        <v>40858774</v>
      </c>
    </row>
    <row r="2513" spans="1:6" x14ac:dyDescent="0.35">
      <c r="A2513" s="2">
        <f ca="1">IFERROR(__xludf.DUMMYFUNCTION("""COMPUTED_VALUE"""),45650.5451388888)</f>
        <v>45650.545138888803</v>
      </c>
      <c r="B2513" s="1">
        <f ca="1">IFERROR(__xludf.DUMMYFUNCTION("""COMPUTED_VALUE"""),255.49)</f>
        <v>255.49</v>
      </c>
      <c r="C2513" s="1">
        <f ca="1">IFERROR(__xludf.DUMMYFUNCTION("""COMPUTED_VALUE"""),258.21)</f>
        <v>258.20999999999998</v>
      </c>
      <c r="D2513" s="1">
        <f ca="1">IFERROR(__xludf.DUMMYFUNCTION("""COMPUTED_VALUE"""),255.29)</f>
        <v>255.29</v>
      </c>
      <c r="E2513" s="1">
        <f ca="1">IFERROR(__xludf.DUMMYFUNCTION("""COMPUTED_VALUE"""),258.2)</f>
        <v>258.2</v>
      </c>
      <c r="F2513" s="1">
        <f ca="1">IFERROR(__xludf.DUMMYFUNCTION("""COMPUTED_VALUE"""),23234705)</f>
        <v>23234705</v>
      </c>
    </row>
    <row r="2514" spans="1:6" x14ac:dyDescent="0.35">
      <c r="A2514" s="2">
        <f ca="1">IFERROR(__xludf.DUMMYFUNCTION("""COMPUTED_VALUE"""),45652.6666666666)</f>
        <v>45652.666666666599</v>
      </c>
      <c r="B2514" s="1">
        <f ca="1">IFERROR(__xludf.DUMMYFUNCTION("""COMPUTED_VALUE"""),258.19)</f>
        <v>258.19</v>
      </c>
      <c r="C2514" s="1">
        <f ca="1">IFERROR(__xludf.DUMMYFUNCTION("""COMPUTED_VALUE"""),260.1)</f>
        <v>260.10000000000002</v>
      </c>
      <c r="D2514" s="1">
        <f ca="1">IFERROR(__xludf.DUMMYFUNCTION("""COMPUTED_VALUE"""),257.63)</f>
        <v>257.63</v>
      </c>
      <c r="E2514" s="1">
        <f ca="1">IFERROR(__xludf.DUMMYFUNCTION("""COMPUTED_VALUE"""),259.02)</f>
        <v>259.02</v>
      </c>
      <c r="F2514" s="1">
        <f ca="1">IFERROR(__xludf.DUMMYFUNCTION("""COMPUTED_VALUE"""),27262983)</f>
        <v>27262983</v>
      </c>
    </row>
    <row r="2515" spans="1:6" x14ac:dyDescent="0.35">
      <c r="A2515" s="2">
        <f ca="1">IFERROR(__xludf.DUMMYFUNCTION("""COMPUTED_VALUE"""),45653.6666666666)</f>
        <v>45653.666666666599</v>
      </c>
      <c r="B2515" s="1">
        <f ca="1">IFERROR(__xludf.DUMMYFUNCTION("""COMPUTED_VALUE"""),257.83)</f>
        <v>257.83</v>
      </c>
      <c r="C2515" s="1">
        <f ca="1">IFERROR(__xludf.DUMMYFUNCTION("""COMPUTED_VALUE"""),258.7)</f>
        <v>258.7</v>
      </c>
      <c r="D2515" s="1">
        <f ca="1">IFERROR(__xludf.DUMMYFUNCTION("""COMPUTED_VALUE"""),253.06)</f>
        <v>253.06</v>
      </c>
      <c r="E2515" s="1">
        <f ca="1">IFERROR(__xludf.DUMMYFUNCTION("""COMPUTED_VALUE"""),255.59)</f>
        <v>255.59</v>
      </c>
      <c r="F2515" s="1">
        <f ca="1">IFERROR(__xludf.DUMMYFUNCTION("""COMPUTED_VALUE"""),42355321)</f>
        <v>42355321</v>
      </c>
    </row>
    <row r="2516" spans="1:6" x14ac:dyDescent="0.35">
      <c r="A2516" s="2">
        <f ca="1">IFERROR(__xludf.DUMMYFUNCTION("""COMPUTED_VALUE"""),45656.6666666666)</f>
        <v>45656.666666666599</v>
      </c>
      <c r="B2516" s="1">
        <f ca="1">IFERROR(__xludf.DUMMYFUNCTION("""COMPUTED_VALUE"""),252.23)</f>
        <v>252.23</v>
      </c>
      <c r="C2516" s="1">
        <f ca="1">IFERROR(__xludf.DUMMYFUNCTION("""COMPUTED_VALUE"""),253.5)</f>
        <v>253.5</v>
      </c>
      <c r="D2516" s="1">
        <f ca="1">IFERROR(__xludf.DUMMYFUNCTION("""COMPUTED_VALUE"""),250.75)</f>
        <v>250.75</v>
      </c>
      <c r="E2516" s="1">
        <f ca="1">IFERROR(__xludf.DUMMYFUNCTION("""COMPUTED_VALUE"""),252.2)</f>
        <v>252.2</v>
      </c>
      <c r="F2516" s="1">
        <f ca="1">IFERROR(__xludf.DUMMYFUNCTION("""COMPUTED_VALUE"""),35557542)</f>
        <v>35557542</v>
      </c>
    </row>
    <row r="2517" spans="1:6" x14ac:dyDescent="0.35">
      <c r="A2517" s="2">
        <f ca="1">IFERROR(__xludf.DUMMYFUNCTION("""COMPUTED_VALUE"""),45657.6666666666)</f>
        <v>45657.666666666599</v>
      </c>
      <c r="B2517" s="1">
        <f ca="1">IFERROR(__xludf.DUMMYFUNCTION("""COMPUTED_VALUE"""),252.44)</f>
        <v>252.44</v>
      </c>
      <c r="C2517" s="1">
        <f ca="1">IFERROR(__xludf.DUMMYFUNCTION("""COMPUTED_VALUE"""),253.28)</f>
        <v>253.28</v>
      </c>
      <c r="D2517" s="1">
        <f ca="1">IFERROR(__xludf.DUMMYFUNCTION("""COMPUTED_VALUE"""),249.43)</f>
        <v>249.43</v>
      </c>
      <c r="E2517" s="1">
        <f ca="1">IFERROR(__xludf.DUMMYFUNCTION("""COMPUTED_VALUE"""),250.42)</f>
        <v>250.42</v>
      </c>
      <c r="F2517" s="1">
        <f ca="1">IFERROR(__xludf.DUMMYFUNCTION("""COMPUTED_VALUE"""),39480718)</f>
        <v>39480718</v>
      </c>
    </row>
    <row r="2518" spans="1:6" x14ac:dyDescent="0.35">
      <c r="A2518" s="2">
        <f ca="1">IFERROR(__xludf.DUMMYFUNCTION("""COMPUTED_VALUE"""),45659.6666666666)</f>
        <v>45659.666666666599</v>
      </c>
      <c r="B2518" s="1">
        <f ca="1">IFERROR(__xludf.DUMMYFUNCTION("""COMPUTED_VALUE"""),248.93)</f>
        <v>248.93</v>
      </c>
      <c r="C2518" s="1">
        <f ca="1">IFERROR(__xludf.DUMMYFUNCTION("""COMPUTED_VALUE"""),249.1)</f>
        <v>249.1</v>
      </c>
      <c r="D2518" s="1">
        <f ca="1">IFERROR(__xludf.DUMMYFUNCTION("""COMPUTED_VALUE"""),241.82)</f>
        <v>241.82</v>
      </c>
      <c r="E2518" s="1">
        <f ca="1">IFERROR(__xludf.DUMMYFUNCTION("""COMPUTED_VALUE"""),243.85)</f>
        <v>243.85</v>
      </c>
      <c r="F2518" s="1">
        <f ca="1">IFERROR(__xludf.DUMMYFUNCTION("""COMPUTED_VALUE"""),55740731)</f>
        <v>55740731</v>
      </c>
    </row>
    <row r="2519" spans="1:6" x14ac:dyDescent="0.35">
      <c r="A2519" s="2">
        <f ca="1">IFERROR(__xludf.DUMMYFUNCTION("""COMPUTED_VALUE"""),45660.6666666666)</f>
        <v>45660.666666666599</v>
      </c>
      <c r="B2519" s="1">
        <f ca="1">IFERROR(__xludf.DUMMYFUNCTION("""COMPUTED_VALUE"""),243.36)</f>
        <v>243.36</v>
      </c>
      <c r="C2519" s="1">
        <f ca="1">IFERROR(__xludf.DUMMYFUNCTION("""COMPUTED_VALUE"""),244.18)</f>
        <v>244.18</v>
      </c>
      <c r="D2519" s="1">
        <f ca="1">IFERROR(__xludf.DUMMYFUNCTION("""COMPUTED_VALUE"""),241.89)</f>
        <v>241.89</v>
      </c>
      <c r="E2519" s="1">
        <f ca="1">IFERROR(__xludf.DUMMYFUNCTION("""COMPUTED_VALUE"""),243.36)</f>
        <v>243.36</v>
      </c>
      <c r="F2519" s="1">
        <f ca="1">IFERROR(__xludf.DUMMYFUNCTION("""COMPUTED_VALUE"""),40244114)</f>
        <v>40244114</v>
      </c>
    </row>
    <row r="2520" spans="1:6" x14ac:dyDescent="0.35">
      <c r="A2520" s="2">
        <f ca="1">IFERROR(__xludf.DUMMYFUNCTION("""COMPUTED_VALUE"""),45663.6666666666)</f>
        <v>45663.666666666599</v>
      </c>
      <c r="B2520" s="1">
        <f ca="1">IFERROR(__xludf.DUMMYFUNCTION("""COMPUTED_VALUE"""),244.31)</f>
        <v>244.31</v>
      </c>
      <c r="C2520" s="1">
        <f ca="1">IFERROR(__xludf.DUMMYFUNCTION("""COMPUTED_VALUE"""),247.33)</f>
        <v>247.33</v>
      </c>
      <c r="D2520" s="1">
        <f ca="1">IFERROR(__xludf.DUMMYFUNCTION("""COMPUTED_VALUE"""),243.2)</f>
        <v>243.2</v>
      </c>
      <c r="E2520" s="1">
        <f ca="1">IFERROR(__xludf.DUMMYFUNCTION("""COMPUTED_VALUE"""),245)</f>
        <v>245</v>
      </c>
      <c r="F2520" s="1">
        <f ca="1">IFERROR(__xludf.DUMMYFUNCTION("""COMPUTED_VALUE"""),45045571)</f>
        <v>45045571</v>
      </c>
    </row>
    <row r="2521" spans="1:6" x14ac:dyDescent="0.35">
      <c r="A2521" s="2">
        <f ca="1">IFERROR(__xludf.DUMMYFUNCTION("""COMPUTED_VALUE"""),45664.6666666666)</f>
        <v>45664.666666666599</v>
      </c>
      <c r="B2521" s="1">
        <f ca="1">IFERROR(__xludf.DUMMYFUNCTION("""COMPUTED_VALUE"""),242.98)</f>
        <v>242.98</v>
      </c>
      <c r="C2521" s="1">
        <f ca="1">IFERROR(__xludf.DUMMYFUNCTION("""COMPUTED_VALUE"""),245.55)</f>
        <v>245.55</v>
      </c>
      <c r="D2521" s="1">
        <f ca="1">IFERROR(__xludf.DUMMYFUNCTION("""COMPUTED_VALUE"""),241.35)</f>
        <v>241.35</v>
      </c>
      <c r="E2521" s="1">
        <f ca="1">IFERROR(__xludf.DUMMYFUNCTION("""COMPUTED_VALUE"""),242.21)</f>
        <v>242.21</v>
      </c>
      <c r="F2521" s="1">
        <f ca="1">IFERROR(__xludf.DUMMYFUNCTION("""COMPUTED_VALUE"""),40855960)</f>
        <v>40855960</v>
      </c>
    </row>
    <row r="2522" spans="1:6" x14ac:dyDescent="0.35">
      <c r="A2522" s="2">
        <f ca="1">IFERROR(__xludf.DUMMYFUNCTION("""COMPUTED_VALUE"""),45665.6666666666)</f>
        <v>45665.666666666599</v>
      </c>
      <c r="B2522" s="1">
        <f ca="1">IFERROR(__xludf.DUMMYFUNCTION("""COMPUTED_VALUE"""),241.92)</f>
        <v>241.92</v>
      </c>
      <c r="C2522" s="1">
        <f ca="1">IFERROR(__xludf.DUMMYFUNCTION("""COMPUTED_VALUE"""),243.71)</f>
        <v>243.71</v>
      </c>
      <c r="D2522" s="1">
        <f ca="1">IFERROR(__xludf.DUMMYFUNCTION("""COMPUTED_VALUE"""),240.05)</f>
        <v>240.05</v>
      </c>
      <c r="E2522" s="1">
        <f ca="1">IFERROR(__xludf.DUMMYFUNCTION("""COMPUTED_VALUE"""),242.7)</f>
        <v>242.7</v>
      </c>
      <c r="F2522" s="1">
        <f ca="1">IFERROR(__xludf.DUMMYFUNCTION("""COMPUTED_VALUE"""),37628940)</f>
        <v>37628940</v>
      </c>
    </row>
    <row r="2523" spans="1:6" x14ac:dyDescent="0.35">
      <c r="A2523" s="2">
        <f ca="1">IFERROR(__xludf.DUMMYFUNCTION("""COMPUTED_VALUE"""),45667.6666666666)</f>
        <v>45667.666666666599</v>
      </c>
      <c r="B2523" s="1">
        <f ca="1">IFERROR(__xludf.DUMMYFUNCTION("""COMPUTED_VALUE"""),240.01)</f>
        <v>240.01</v>
      </c>
      <c r="C2523" s="1">
        <f ca="1">IFERROR(__xludf.DUMMYFUNCTION("""COMPUTED_VALUE"""),240.16)</f>
        <v>240.16</v>
      </c>
      <c r="D2523" s="1">
        <f ca="1">IFERROR(__xludf.DUMMYFUNCTION("""COMPUTED_VALUE"""),233)</f>
        <v>233</v>
      </c>
      <c r="E2523" s="1">
        <f ca="1">IFERROR(__xludf.DUMMYFUNCTION("""COMPUTED_VALUE"""),236.85)</f>
        <v>236.85</v>
      </c>
      <c r="F2523" s="1">
        <f ca="1">IFERROR(__xludf.DUMMYFUNCTION("""COMPUTED_VALUE"""),61710856)</f>
        <v>61710856</v>
      </c>
    </row>
    <row r="2524" spans="1:6" x14ac:dyDescent="0.35">
      <c r="A2524" s="2">
        <f ca="1">IFERROR(__xludf.DUMMYFUNCTION("""COMPUTED_VALUE"""),45670.6666666666)</f>
        <v>45670.666666666599</v>
      </c>
      <c r="B2524" s="1">
        <f ca="1">IFERROR(__xludf.DUMMYFUNCTION("""COMPUTED_VALUE"""),233.53)</f>
        <v>233.53</v>
      </c>
      <c r="C2524" s="1">
        <f ca="1">IFERROR(__xludf.DUMMYFUNCTION("""COMPUTED_VALUE"""),234.67)</f>
        <v>234.67</v>
      </c>
      <c r="D2524" s="1">
        <f ca="1">IFERROR(__xludf.DUMMYFUNCTION("""COMPUTED_VALUE"""),229.72)</f>
        <v>229.72</v>
      </c>
      <c r="E2524" s="1">
        <f ca="1">IFERROR(__xludf.DUMMYFUNCTION("""COMPUTED_VALUE"""),234.4)</f>
        <v>234.4</v>
      </c>
      <c r="F2524" s="1">
        <f ca="1">IFERROR(__xludf.DUMMYFUNCTION("""COMPUTED_VALUE"""),49630725)</f>
        <v>49630725</v>
      </c>
    </row>
    <row r="2525" spans="1:6" x14ac:dyDescent="0.35">
      <c r="A2525" s="2">
        <f ca="1">IFERROR(__xludf.DUMMYFUNCTION("""COMPUTED_VALUE"""),45671.6666666666)</f>
        <v>45671.666666666599</v>
      </c>
      <c r="B2525" s="1">
        <f ca="1">IFERROR(__xludf.DUMMYFUNCTION("""COMPUTED_VALUE"""),234.75)</f>
        <v>234.75</v>
      </c>
      <c r="C2525" s="1">
        <f ca="1">IFERROR(__xludf.DUMMYFUNCTION("""COMPUTED_VALUE"""),236.12)</f>
        <v>236.12</v>
      </c>
      <c r="D2525" s="1">
        <f ca="1">IFERROR(__xludf.DUMMYFUNCTION("""COMPUTED_VALUE"""),232.47)</f>
        <v>232.47</v>
      </c>
      <c r="E2525" s="1">
        <f ca="1">IFERROR(__xludf.DUMMYFUNCTION("""COMPUTED_VALUE"""),233.28)</f>
        <v>233.28</v>
      </c>
      <c r="F2525" s="1">
        <f ca="1">IFERROR(__xludf.DUMMYFUNCTION("""COMPUTED_VALUE"""),39435294)</f>
        <v>39435294</v>
      </c>
    </row>
    <row r="2526" spans="1:6" x14ac:dyDescent="0.35">
      <c r="A2526" s="2">
        <f ca="1">IFERROR(__xludf.DUMMYFUNCTION("""COMPUTED_VALUE"""),45672.6666666666)</f>
        <v>45672.666666666599</v>
      </c>
      <c r="B2526" s="1">
        <f ca="1">IFERROR(__xludf.DUMMYFUNCTION("""COMPUTED_VALUE"""),234.64)</f>
        <v>234.64</v>
      </c>
      <c r="C2526" s="1">
        <f ca="1">IFERROR(__xludf.DUMMYFUNCTION("""COMPUTED_VALUE"""),238.96)</f>
        <v>238.96</v>
      </c>
      <c r="D2526" s="1">
        <f ca="1">IFERROR(__xludf.DUMMYFUNCTION("""COMPUTED_VALUE"""),234.43)</f>
        <v>234.43</v>
      </c>
      <c r="E2526" s="1">
        <f ca="1">IFERROR(__xludf.DUMMYFUNCTION("""COMPUTED_VALUE"""),237.87)</f>
        <v>237.87</v>
      </c>
      <c r="F2526" s="1">
        <f ca="1">IFERROR(__xludf.DUMMYFUNCTION("""COMPUTED_VALUE"""),39831969)</f>
        <v>39831969</v>
      </c>
    </row>
    <row r="2527" spans="1:6" x14ac:dyDescent="0.35">
      <c r="A2527" s="2">
        <f ca="1">IFERROR(__xludf.DUMMYFUNCTION("""COMPUTED_VALUE"""),45673.6666666666)</f>
        <v>45673.666666666599</v>
      </c>
      <c r="B2527" s="1">
        <f ca="1">IFERROR(__xludf.DUMMYFUNCTION("""COMPUTED_VALUE"""),237.35)</f>
        <v>237.35</v>
      </c>
      <c r="C2527" s="1">
        <f ca="1">IFERROR(__xludf.DUMMYFUNCTION("""COMPUTED_VALUE"""),238.01)</f>
        <v>238.01</v>
      </c>
      <c r="D2527" s="1">
        <f ca="1">IFERROR(__xludf.DUMMYFUNCTION("""COMPUTED_VALUE"""),228.03)</f>
        <v>228.03</v>
      </c>
      <c r="E2527" s="1">
        <f ca="1">IFERROR(__xludf.DUMMYFUNCTION("""COMPUTED_VALUE"""),228.26)</f>
        <v>228.26</v>
      </c>
      <c r="F2527" s="1">
        <f ca="1">IFERROR(__xludf.DUMMYFUNCTION("""COMPUTED_VALUE"""),71759052)</f>
        <v>71759052</v>
      </c>
    </row>
    <row r="2528" spans="1:6" x14ac:dyDescent="0.35">
      <c r="A2528" s="2">
        <f ca="1">IFERROR(__xludf.DUMMYFUNCTION("""COMPUTED_VALUE"""),45674.6666666666)</f>
        <v>45674.666666666599</v>
      </c>
      <c r="B2528" s="1">
        <f ca="1">IFERROR(__xludf.DUMMYFUNCTION("""COMPUTED_VALUE"""),232.12)</f>
        <v>232.12</v>
      </c>
      <c r="C2528" s="1">
        <f ca="1">IFERROR(__xludf.DUMMYFUNCTION("""COMPUTED_VALUE"""),232.29)</f>
        <v>232.29</v>
      </c>
      <c r="D2528" s="1">
        <f ca="1">IFERROR(__xludf.DUMMYFUNCTION("""COMPUTED_VALUE"""),228.48)</f>
        <v>228.48</v>
      </c>
      <c r="E2528" s="1">
        <f ca="1">IFERROR(__xludf.DUMMYFUNCTION("""COMPUTED_VALUE"""),229.98)</f>
        <v>229.98</v>
      </c>
      <c r="F2528" s="1">
        <f ca="1">IFERROR(__xludf.DUMMYFUNCTION("""COMPUTED_VALUE"""),68488301)</f>
        <v>68488301</v>
      </c>
    </row>
    <row r="2529" spans="1:6" x14ac:dyDescent="0.35">
      <c r="A2529" s="2">
        <f ca="1">IFERROR(__xludf.DUMMYFUNCTION("""COMPUTED_VALUE"""),45678.6666666666)</f>
        <v>45678.666666666599</v>
      </c>
      <c r="B2529" s="1">
        <f ca="1">IFERROR(__xludf.DUMMYFUNCTION("""COMPUTED_VALUE"""),224)</f>
        <v>224</v>
      </c>
      <c r="C2529" s="1">
        <f ca="1">IFERROR(__xludf.DUMMYFUNCTION("""COMPUTED_VALUE"""),224.42)</f>
        <v>224.42</v>
      </c>
      <c r="D2529" s="1">
        <f ca="1">IFERROR(__xludf.DUMMYFUNCTION("""COMPUTED_VALUE"""),219.38)</f>
        <v>219.38</v>
      </c>
      <c r="E2529" s="1">
        <f ca="1">IFERROR(__xludf.DUMMYFUNCTION("""COMPUTED_VALUE"""),222.64)</f>
        <v>222.64</v>
      </c>
      <c r="F2529" s="1">
        <f ca="1">IFERROR(__xludf.DUMMYFUNCTION("""COMPUTED_VALUE"""),98070429)</f>
        <v>98070429</v>
      </c>
    </row>
    <row r="2530" spans="1:6" x14ac:dyDescent="0.35">
      <c r="A2530" s="2">
        <f ca="1">IFERROR(__xludf.DUMMYFUNCTION("""COMPUTED_VALUE"""),45679.6666666666)</f>
        <v>45679.666666666599</v>
      </c>
      <c r="B2530" s="1">
        <f ca="1">IFERROR(__xludf.DUMMYFUNCTION("""COMPUTED_VALUE"""),219.79)</f>
        <v>219.79</v>
      </c>
      <c r="C2530" s="1">
        <f ca="1">IFERROR(__xludf.DUMMYFUNCTION("""COMPUTED_VALUE"""),224.12)</f>
        <v>224.12</v>
      </c>
      <c r="D2530" s="1">
        <f ca="1">IFERROR(__xludf.DUMMYFUNCTION("""COMPUTED_VALUE"""),219.79)</f>
        <v>219.79</v>
      </c>
      <c r="E2530" s="1">
        <f ca="1">IFERROR(__xludf.DUMMYFUNCTION("""COMPUTED_VALUE"""),223.83)</f>
        <v>223.83</v>
      </c>
      <c r="F2530" s="1">
        <f ca="1">IFERROR(__xludf.DUMMYFUNCTION("""COMPUTED_VALUE"""),64126500)</f>
        <v>64126500</v>
      </c>
    </row>
    <row r="2531" spans="1:6" x14ac:dyDescent="0.35">
      <c r="A2531" s="2">
        <f ca="1">IFERROR(__xludf.DUMMYFUNCTION("""COMPUTED_VALUE"""),45680.6666666666)</f>
        <v>45680.666666666599</v>
      </c>
      <c r="B2531" s="1">
        <f ca="1">IFERROR(__xludf.DUMMYFUNCTION("""COMPUTED_VALUE"""),224.74)</f>
        <v>224.74</v>
      </c>
      <c r="C2531" s="1">
        <f ca="1">IFERROR(__xludf.DUMMYFUNCTION("""COMPUTED_VALUE"""),227.03)</f>
        <v>227.03</v>
      </c>
      <c r="D2531" s="1">
        <f ca="1">IFERROR(__xludf.DUMMYFUNCTION("""COMPUTED_VALUE"""),222.3)</f>
        <v>222.3</v>
      </c>
      <c r="E2531" s="1">
        <f ca="1">IFERROR(__xludf.DUMMYFUNCTION("""COMPUTED_VALUE"""),223.66)</f>
        <v>223.66</v>
      </c>
      <c r="F2531" s="1">
        <f ca="1">IFERROR(__xludf.DUMMYFUNCTION("""COMPUTED_VALUE"""),60234760)</f>
        <v>60234760</v>
      </c>
    </row>
    <row r="2532" spans="1:6" x14ac:dyDescent="0.35">
      <c r="A2532" s="2">
        <f ca="1">IFERROR(__xludf.DUMMYFUNCTION("""COMPUTED_VALUE"""),45681.6666666666)</f>
        <v>45681.666666666599</v>
      </c>
      <c r="B2532" s="1">
        <f ca="1">IFERROR(__xludf.DUMMYFUNCTION("""COMPUTED_VALUE"""),224.78)</f>
        <v>224.78</v>
      </c>
      <c r="C2532" s="1">
        <f ca="1">IFERROR(__xludf.DUMMYFUNCTION("""COMPUTED_VALUE"""),225.63)</f>
        <v>225.63</v>
      </c>
      <c r="D2532" s="1">
        <f ca="1">IFERROR(__xludf.DUMMYFUNCTION("""COMPUTED_VALUE"""),221.41)</f>
        <v>221.41</v>
      </c>
      <c r="E2532" s="1">
        <f ca="1">IFERROR(__xludf.DUMMYFUNCTION("""COMPUTED_VALUE"""),222.78)</f>
        <v>222.78</v>
      </c>
      <c r="F2532" s="1">
        <f ca="1">IFERROR(__xludf.DUMMYFUNCTION("""COMPUTED_VALUE"""),54697907)</f>
        <v>54697907</v>
      </c>
    </row>
    <row r="2533" spans="1:6" x14ac:dyDescent="0.35">
      <c r="A2533" s="2">
        <f ca="1">IFERROR(__xludf.DUMMYFUNCTION("""COMPUTED_VALUE"""),45684.6666666666)</f>
        <v>45684.666666666599</v>
      </c>
      <c r="B2533" s="1">
        <f ca="1">IFERROR(__xludf.DUMMYFUNCTION("""COMPUTED_VALUE"""),224.02)</f>
        <v>224.02</v>
      </c>
      <c r="C2533" s="1">
        <f ca="1">IFERROR(__xludf.DUMMYFUNCTION("""COMPUTED_VALUE"""),232.15)</f>
        <v>232.15</v>
      </c>
      <c r="D2533" s="1">
        <f ca="1">IFERROR(__xludf.DUMMYFUNCTION("""COMPUTED_VALUE"""),223.98)</f>
        <v>223.98</v>
      </c>
      <c r="E2533" s="1">
        <f ca="1">IFERROR(__xludf.DUMMYFUNCTION("""COMPUTED_VALUE"""),229.86)</f>
        <v>229.86</v>
      </c>
      <c r="F2533" s="1">
        <f ca="1">IFERROR(__xludf.DUMMYFUNCTION("""COMPUTED_VALUE"""),94863418)</f>
        <v>94863418</v>
      </c>
    </row>
    <row r="2534" spans="1:6" x14ac:dyDescent="0.35">
      <c r="A2534" s="2">
        <f ca="1">IFERROR(__xludf.DUMMYFUNCTION("""COMPUTED_VALUE"""),45685.6666666666)</f>
        <v>45685.666666666599</v>
      </c>
      <c r="B2534" s="1">
        <f ca="1">IFERROR(__xludf.DUMMYFUNCTION("""COMPUTED_VALUE"""),230.85)</f>
        <v>230.85</v>
      </c>
      <c r="C2534" s="1">
        <f ca="1">IFERROR(__xludf.DUMMYFUNCTION("""COMPUTED_VALUE"""),240.19)</f>
        <v>240.19</v>
      </c>
      <c r="D2534" s="1">
        <f ca="1">IFERROR(__xludf.DUMMYFUNCTION("""COMPUTED_VALUE"""),230.81)</f>
        <v>230.81</v>
      </c>
      <c r="E2534" s="1">
        <f ca="1">IFERROR(__xludf.DUMMYFUNCTION("""COMPUTED_VALUE"""),238.26)</f>
        <v>238.26</v>
      </c>
      <c r="F2534" s="1">
        <f ca="1">IFERROR(__xludf.DUMMYFUNCTION("""COMPUTED_VALUE"""),75707569)</f>
        <v>75707569</v>
      </c>
    </row>
    <row r="2535" spans="1:6" x14ac:dyDescent="0.35">
      <c r="A2535" s="2">
        <f ca="1">IFERROR(__xludf.DUMMYFUNCTION("""COMPUTED_VALUE"""),45686.6666666666)</f>
        <v>45686.666666666599</v>
      </c>
      <c r="B2535" s="1">
        <f ca="1">IFERROR(__xludf.DUMMYFUNCTION("""COMPUTED_VALUE"""),234.12)</f>
        <v>234.12</v>
      </c>
      <c r="C2535" s="1">
        <f ca="1">IFERROR(__xludf.DUMMYFUNCTION("""COMPUTED_VALUE"""),239.86)</f>
        <v>239.86</v>
      </c>
      <c r="D2535" s="1">
        <f ca="1">IFERROR(__xludf.DUMMYFUNCTION("""COMPUTED_VALUE"""),234.01)</f>
        <v>234.01</v>
      </c>
      <c r="E2535" s="1">
        <f ca="1">IFERROR(__xludf.DUMMYFUNCTION("""COMPUTED_VALUE"""),239.36)</f>
        <v>239.36</v>
      </c>
      <c r="F2535" s="1">
        <f ca="1">IFERROR(__xludf.DUMMYFUNCTION("""COMPUTED_VALUE"""),45486100)</f>
        <v>45486100</v>
      </c>
    </row>
    <row r="2536" spans="1:6" x14ac:dyDescent="0.35">
      <c r="A2536" s="2">
        <f ca="1">IFERROR(__xludf.DUMMYFUNCTION("""COMPUTED_VALUE"""),45687.6666666666)</f>
        <v>45687.666666666599</v>
      </c>
      <c r="B2536" s="1">
        <f ca="1">IFERROR(__xludf.DUMMYFUNCTION("""COMPUTED_VALUE"""),238.67)</f>
        <v>238.67</v>
      </c>
      <c r="C2536" s="1">
        <f ca="1">IFERROR(__xludf.DUMMYFUNCTION("""COMPUTED_VALUE"""),240.79)</f>
        <v>240.79</v>
      </c>
      <c r="D2536" s="1">
        <f ca="1">IFERROR(__xludf.DUMMYFUNCTION("""COMPUTED_VALUE"""),237.21)</f>
        <v>237.21</v>
      </c>
      <c r="E2536" s="1">
        <f ca="1">IFERROR(__xludf.DUMMYFUNCTION("""COMPUTED_VALUE"""),237.59)</f>
        <v>237.59</v>
      </c>
      <c r="F2536" s="1">
        <f ca="1">IFERROR(__xludf.DUMMYFUNCTION("""COMPUTED_VALUE"""),55658279)</f>
        <v>55658279</v>
      </c>
    </row>
    <row r="2537" spans="1:6" x14ac:dyDescent="0.35">
      <c r="A2537" s="2">
        <f ca="1">IFERROR(__xludf.DUMMYFUNCTION("""COMPUTED_VALUE"""),45688.6666666666)</f>
        <v>45688.666666666599</v>
      </c>
      <c r="B2537" s="1">
        <f ca="1">IFERROR(__xludf.DUMMYFUNCTION("""COMPUTED_VALUE"""),247.19)</f>
        <v>247.19</v>
      </c>
      <c r="C2537" s="1">
        <f ca="1">IFERROR(__xludf.DUMMYFUNCTION("""COMPUTED_VALUE"""),247.19)</f>
        <v>247.19</v>
      </c>
      <c r="D2537" s="1">
        <f ca="1">IFERROR(__xludf.DUMMYFUNCTION("""COMPUTED_VALUE"""),233.44)</f>
        <v>233.44</v>
      </c>
      <c r="E2537" s="1">
        <f ca="1">IFERROR(__xludf.DUMMYFUNCTION("""COMPUTED_VALUE"""),236)</f>
        <v>236</v>
      </c>
      <c r="F2537" s="1">
        <f ca="1">IFERROR(__xludf.DUMMYFUNCTION("""COMPUTED_VALUE"""),101075128)</f>
        <v>101075128</v>
      </c>
    </row>
    <row r="2538" spans="1:6" x14ac:dyDescent="0.35">
      <c r="A2538" s="2">
        <f ca="1">IFERROR(__xludf.DUMMYFUNCTION("""COMPUTED_VALUE"""),45691.6666666666)</f>
        <v>45691.666666666599</v>
      </c>
      <c r="B2538" s="1">
        <f ca="1">IFERROR(__xludf.DUMMYFUNCTION("""COMPUTED_VALUE"""),229.99)</f>
        <v>229.99</v>
      </c>
      <c r="C2538" s="1">
        <f ca="1">IFERROR(__xludf.DUMMYFUNCTION("""COMPUTED_VALUE"""),231.83)</f>
        <v>231.83</v>
      </c>
      <c r="D2538" s="1">
        <f ca="1">IFERROR(__xludf.DUMMYFUNCTION("""COMPUTED_VALUE"""),225.7)</f>
        <v>225.7</v>
      </c>
      <c r="E2538" s="1">
        <f ca="1">IFERROR(__xludf.DUMMYFUNCTION("""COMPUTED_VALUE"""),228.01)</f>
        <v>228.01</v>
      </c>
      <c r="F2538" s="1">
        <f ca="1">IFERROR(__xludf.DUMMYFUNCTION("""COMPUTED_VALUE"""),73063301)</f>
        <v>73063301</v>
      </c>
    </row>
    <row r="2539" spans="1:6" x14ac:dyDescent="0.35">
      <c r="A2539" s="2">
        <f ca="1">IFERROR(__xludf.DUMMYFUNCTION("""COMPUTED_VALUE"""),45692.6666666666)</f>
        <v>45692.666666666599</v>
      </c>
      <c r="B2539" s="1">
        <f ca="1">IFERROR(__xludf.DUMMYFUNCTION("""COMPUTED_VALUE"""),227.25)</f>
        <v>227.25</v>
      </c>
      <c r="C2539" s="1">
        <f ca="1">IFERROR(__xludf.DUMMYFUNCTION("""COMPUTED_VALUE"""),233.13)</f>
        <v>233.13</v>
      </c>
      <c r="D2539" s="1">
        <f ca="1">IFERROR(__xludf.DUMMYFUNCTION("""COMPUTED_VALUE"""),226.65)</f>
        <v>226.65</v>
      </c>
      <c r="E2539" s="1">
        <f ca="1">IFERROR(__xludf.DUMMYFUNCTION("""COMPUTED_VALUE"""),232.8)</f>
        <v>232.8</v>
      </c>
      <c r="F2539" s="1">
        <f ca="1">IFERROR(__xludf.DUMMYFUNCTION("""COMPUTED_VALUE"""),45067301)</f>
        <v>45067301</v>
      </c>
    </row>
    <row r="2540" spans="1:6" x14ac:dyDescent="0.35">
      <c r="A2540" s="2">
        <f ca="1">IFERROR(__xludf.DUMMYFUNCTION("""COMPUTED_VALUE"""),45693.6666666666)</f>
        <v>45693.666666666599</v>
      </c>
      <c r="B2540" s="1">
        <f ca="1">IFERROR(__xludf.DUMMYFUNCTION("""COMPUTED_VALUE"""),228.53)</f>
        <v>228.53</v>
      </c>
      <c r="C2540" s="1">
        <f ca="1">IFERROR(__xludf.DUMMYFUNCTION("""COMPUTED_VALUE"""),232.67)</f>
        <v>232.67</v>
      </c>
      <c r="D2540" s="1">
        <f ca="1">IFERROR(__xludf.DUMMYFUNCTION("""COMPUTED_VALUE"""),228.27)</f>
        <v>228.27</v>
      </c>
      <c r="E2540" s="1">
        <f ca="1">IFERROR(__xludf.DUMMYFUNCTION("""COMPUTED_VALUE"""),232.47)</f>
        <v>232.47</v>
      </c>
      <c r="F2540" s="1">
        <f ca="1">IFERROR(__xludf.DUMMYFUNCTION("""COMPUTED_VALUE"""),39664989)</f>
        <v>39664989</v>
      </c>
    </row>
    <row r="2541" spans="1:6" x14ac:dyDescent="0.35">
      <c r="A2541" s="2">
        <f ca="1">IFERROR(__xludf.DUMMYFUNCTION("""COMPUTED_VALUE"""),45694.6666666666)</f>
        <v>45694.666666666599</v>
      </c>
      <c r="B2541" s="1">
        <f ca="1">IFERROR(__xludf.DUMMYFUNCTION("""COMPUTED_VALUE"""),231.29)</f>
        <v>231.29</v>
      </c>
      <c r="C2541" s="1">
        <f ca="1">IFERROR(__xludf.DUMMYFUNCTION("""COMPUTED_VALUE"""),233.8)</f>
        <v>233.8</v>
      </c>
      <c r="D2541" s="1">
        <f ca="1">IFERROR(__xludf.DUMMYFUNCTION("""COMPUTED_VALUE"""),230.43)</f>
        <v>230.43</v>
      </c>
      <c r="E2541" s="1">
        <f ca="1">IFERROR(__xludf.DUMMYFUNCTION("""COMPUTED_VALUE"""),233.22)</f>
        <v>233.22</v>
      </c>
      <c r="F2541" s="1">
        <f ca="1">IFERROR(__xludf.DUMMYFUNCTION("""COMPUTED_VALUE"""),29925349)</f>
        <v>29925349</v>
      </c>
    </row>
    <row r="2542" spans="1:6" x14ac:dyDescent="0.35">
      <c r="A2542" s="2">
        <f ca="1">IFERROR(__xludf.DUMMYFUNCTION("""COMPUTED_VALUE"""),45695.6666666666)</f>
        <v>45695.666666666599</v>
      </c>
      <c r="B2542" s="1">
        <f ca="1">IFERROR(__xludf.DUMMYFUNCTION("""COMPUTED_VALUE"""),232.6)</f>
        <v>232.6</v>
      </c>
      <c r="C2542" s="1">
        <f ca="1">IFERROR(__xludf.DUMMYFUNCTION("""COMPUTED_VALUE"""),234)</f>
        <v>234</v>
      </c>
      <c r="D2542" s="1">
        <f ca="1">IFERROR(__xludf.DUMMYFUNCTION("""COMPUTED_VALUE"""),227.26)</f>
        <v>227.26</v>
      </c>
      <c r="E2542" s="1">
        <f ca="1">IFERROR(__xludf.DUMMYFUNCTION("""COMPUTED_VALUE"""),227.63)</f>
        <v>227.63</v>
      </c>
      <c r="F2542" s="1">
        <f ca="1">IFERROR(__xludf.DUMMYFUNCTION("""COMPUTED_VALUE"""),39707224)</f>
        <v>39707224</v>
      </c>
    </row>
    <row r="2543" spans="1:6" x14ac:dyDescent="0.35">
      <c r="A2543" s="2">
        <f ca="1">IFERROR(__xludf.DUMMYFUNCTION("""COMPUTED_VALUE"""),45698.6666666666)</f>
        <v>45698.666666666599</v>
      </c>
      <c r="B2543" s="1">
        <f ca="1">IFERROR(__xludf.DUMMYFUNCTION("""COMPUTED_VALUE"""),229.57)</f>
        <v>229.57</v>
      </c>
      <c r="C2543" s="1">
        <f ca="1">IFERROR(__xludf.DUMMYFUNCTION("""COMPUTED_VALUE"""),230.59)</f>
        <v>230.59</v>
      </c>
      <c r="D2543" s="1">
        <f ca="1">IFERROR(__xludf.DUMMYFUNCTION("""COMPUTED_VALUE"""),227.2)</f>
        <v>227.2</v>
      </c>
      <c r="E2543" s="1">
        <f ca="1">IFERROR(__xludf.DUMMYFUNCTION("""COMPUTED_VALUE"""),227.65)</f>
        <v>227.65</v>
      </c>
      <c r="F2543" s="1">
        <f ca="1">IFERROR(__xludf.DUMMYFUNCTION("""COMPUTED_VALUE"""),33115645)</f>
        <v>33115645</v>
      </c>
    </row>
    <row r="2544" spans="1:6" x14ac:dyDescent="0.35">
      <c r="A2544" s="2">
        <f ca="1">IFERROR(__xludf.DUMMYFUNCTION("""COMPUTED_VALUE"""),45699.6666666666)</f>
        <v>45699.666666666599</v>
      </c>
      <c r="B2544" s="1">
        <f ca="1">IFERROR(__xludf.DUMMYFUNCTION("""COMPUTED_VALUE"""),228.2)</f>
        <v>228.2</v>
      </c>
      <c r="C2544" s="1">
        <f ca="1">IFERROR(__xludf.DUMMYFUNCTION("""COMPUTED_VALUE"""),235.23)</f>
        <v>235.23</v>
      </c>
      <c r="D2544" s="1">
        <f ca="1">IFERROR(__xludf.DUMMYFUNCTION("""COMPUTED_VALUE"""),228.13)</f>
        <v>228.13</v>
      </c>
      <c r="E2544" s="1">
        <f ca="1">IFERROR(__xludf.DUMMYFUNCTION("""COMPUTED_VALUE"""),232.62)</f>
        <v>232.62</v>
      </c>
      <c r="F2544" s="1">
        <f ca="1">IFERROR(__xludf.DUMMYFUNCTION("""COMPUTED_VALUE"""),53718362)</f>
        <v>53718362</v>
      </c>
    </row>
    <row r="2545" spans="1:6" x14ac:dyDescent="0.35">
      <c r="A2545" s="2">
        <f ca="1">IFERROR(__xludf.DUMMYFUNCTION("""COMPUTED_VALUE"""),45700.6666666666)</f>
        <v>45700.666666666599</v>
      </c>
      <c r="B2545" s="1">
        <f ca="1">IFERROR(__xludf.DUMMYFUNCTION("""COMPUTED_VALUE"""),231.2)</f>
        <v>231.2</v>
      </c>
      <c r="C2545" s="1">
        <f ca="1">IFERROR(__xludf.DUMMYFUNCTION("""COMPUTED_VALUE"""),236.96)</f>
        <v>236.96</v>
      </c>
      <c r="D2545" s="1">
        <f ca="1">IFERROR(__xludf.DUMMYFUNCTION("""COMPUTED_VALUE"""),230.68)</f>
        <v>230.68</v>
      </c>
      <c r="E2545" s="1">
        <f ca="1">IFERROR(__xludf.DUMMYFUNCTION("""COMPUTED_VALUE"""),236.87)</f>
        <v>236.87</v>
      </c>
      <c r="F2545" s="1">
        <f ca="1">IFERROR(__xludf.DUMMYFUNCTION("""COMPUTED_VALUE"""),45243292)</f>
        <v>45243292</v>
      </c>
    </row>
    <row r="2546" spans="1:6" x14ac:dyDescent="0.35">
      <c r="A2546" s="2">
        <f ca="1">IFERROR(__xludf.DUMMYFUNCTION("""COMPUTED_VALUE"""),45701.6666666666)</f>
        <v>45701.666666666599</v>
      </c>
      <c r="B2546" s="1">
        <f ca="1">IFERROR(__xludf.DUMMYFUNCTION("""COMPUTED_VALUE"""),236.91)</f>
        <v>236.91</v>
      </c>
      <c r="C2546" s="1">
        <f ca="1">IFERROR(__xludf.DUMMYFUNCTION("""COMPUTED_VALUE"""),242.34)</f>
        <v>242.34</v>
      </c>
      <c r="D2546" s="1">
        <f ca="1">IFERROR(__xludf.DUMMYFUNCTION("""COMPUTED_VALUE"""),235.57)</f>
        <v>235.57</v>
      </c>
      <c r="E2546" s="1">
        <f ca="1">IFERROR(__xludf.DUMMYFUNCTION("""COMPUTED_VALUE"""),241.53)</f>
        <v>241.53</v>
      </c>
      <c r="F2546" s="1">
        <f ca="1">IFERROR(__xludf.DUMMYFUNCTION("""COMPUTED_VALUE"""),53614054)</f>
        <v>53614054</v>
      </c>
    </row>
    <row r="2547" spans="1:6" x14ac:dyDescent="0.35">
      <c r="A2547" s="2">
        <f ca="1">IFERROR(__xludf.DUMMYFUNCTION("""COMPUTED_VALUE"""),45702.6666666666)</f>
        <v>45702.666666666599</v>
      </c>
      <c r="B2547" s="1">
        <f ca="1">IFERROR(__xludf.DUMMYFUNCTION("""COMPUTED_VALUE"""),241.25)</f>
        <v>241.25</v>
      </c>
      <c r="C2547" s="1">
        <f ca="1">IFERROR(__xludf.DUMMYFUNCTION("""COMPUTED_VALUE"""),245.55)</f>
        <v>245.55</v>
      </c>
      <c r="D2547" s="1">
        <f ca="1">IFERROR(__xludf.DUMMYFUNCTION("""COMPUTED_VALUE"""),240.99)</f>
        <v>240.99</v>
      </c>
      <c r="E2547" s="1">
        <f ca="1">IFERROR(__xludf.DUMMYFUNCTION("""COMPUTED_VALUE"""),244.6)</f>
        <v>244.6</v>
      </c>
      <c r="F2547" s="1">
        <f ca="1">IFERROR(__xludf.DUMMYFUNCTION("""COMPUTED_VALUE"""),40896227)</f>
        <v>40896227</v>
      </c>
    </row>
    <row r="2548" spans="1:6" x14ac:dyDescent="0.35">
      <c r="A2548" s="2">
        <f ca="1">IFERROR(__xludf.DUMMYFUNCTION("""COMPUTED_VALUE"""),45706.6666666666)</f>
        <v>45706.666666666599</v>
      </c>
      <c r="B2548" s="1">
        <f ca="1">IFERROR(__xludf.DUMMYFUNCTION("""COMPUTED_VALUE"""),244.15)</f>
        <v>244.15</v>
      </c>
      <c r="C2548" s="1">
        <f ca="1">IFERROR(__xludf.DUMMYFUNCTION("""COMPUTED_VALUE"""),245.18)</f>
        <v>245.18</v>
      </c>
      <c r="D2548" s="1">
        <f ca="1">IFERROR(__xludf.DUMMYFUNCTION("""COMPUTED_VALUE"""),241.84)</f>
        <v>241.84</v>
      </c>
      <c r="E2548" s="1">
        <f ca="1">IFERROR(__xludf.DUMMYFUNCTION("""COMPUTED_VALUE"""),244.47)</f>
        <v>244.47</v>
      </c>
      <c r="F2548" s="1">
        <f ca="1">IFERROR(__xludf.DUMMYFUNCTION("""COMPUTED_VALUE"""),48822491)</f>
        <v>48822491</v>
      </c>
    </row>
    <row r="2549" spans="1:6" x14ac:dyDescent="0.35">
      <c r="A2549" s="2">
        <f ca="1">IFERROR(__xludf.DUMMYFUNCTION("""COMPUTED_VALUE"""),45707.6666666666)</f>
        <v>45707.666666666599</v>
      </c>
      <c r="B2549" s="1">
        <f ca="1">IFERROR(__xludf.DUMMYFUNCTION("""COMPUTED_VALUE"""),244.66)</f>
        <v>244.66</v>
      </c>
      <c r="C2549" s="1">
        <f ca="1">IFERROR(__xludf.DUMMYFUNCTION("""COMPUTED_VALUE"""),246.01)</f>
        <v>246.01</v>
      </c>
      <c r="D2549" s="1">
        <f ca="1">IFERROR(__xludf.DUMMYFUNCTION("""COMPUTED_VALUE"""),243.16)</f>
        <v>243.16</v>
      </c>
      <c r="E2549" s="1">
        <f ca="1">IFERROR(__xludf.DUMMYFUNCTION("""COMPUTED_VALUE"""),244.87)</f>
        <v>244.87</v>
      </c>
      <c r="F2549" s="1">
        <f ca="1">IFERROR(__xludf.DUMMYFUNCTION("""COMPUTED_VALUE"""),32204215)</f>
        <v>32204215</v>
      </c>
    </row>
    <row r="2550" spans="1:6" x14ac:dyDescent="0.35">
      <c r="A2550" s="2">
        <f ca="1">IFERROR(__xludf.DUMMYFUNCTION("""COMPUTED_VALUE"""),45708.6666666666)</f>
        <v>45708.666666666599</v>
      </c>
      <c r="B2550" s="1">
        <f ca="1">IFERROR(__xludf.DUMMYFUNCTION("""COMPUTED_VALUE"""),244.94)</f>
        <v>244.94</v>
      </c>
      <c r="C2550" s="1">
        <f ca="1">IFERROR(__xludf.DUMMYFUNCTION("""COMPUTED_VALUE"""),246.78)</f>
        <v>246.78</v>
      </c>
      <c r="D2550" s="1">
        <f ca="1">IFERROR(__xludf.DUMMYFUNCTION("""COMPUTED_VALUE"""),244.29)</f>
        <v>244.29</v>
      </c>
      <c r="E2550" s="1">
        <f ca="1">IFERROR(__xludf.DUMMYFUNCTION("""COMPUTED_VALUE"""),245.83)</f>
        <v>245.83</v>
      </c>
      <c r="F2550" s="1">
        <f ca="1">IFERROR(__xludf.DUMMYFUNCTION("""COMPUTED_VALUE"""),32316907)</f>
        <v>32316907</v>
      </c>
    </row>
    <row r="2551" spans="1:6" x14ac:dyDescent="0.35">
      <c r="A2551" s="2">
        <f ca="1">IFERROR(__xludf.DUMMYFUNCTION("""COMPUTED_VALUE"""),45709.6666666666)</f>
        <v>45709.666666666599</v>
      </c>
      <c r="B2551" s="1">
        <f ca="1">IFERROR(__xludf.DUMMYFUNCTION("""COMPUTED_VALUE"""),245.95)</f>
        <v>245.95</v>
      </c>
      <c r="C2551" s="1">
        <f ca="1">IFERROR(__xludf.DUMMYFUNCTION("""COMPUTED_VALUE"""),248.69)</f>
        <v>248.69</v>
      </c>
      <c r="D2551" s="1">
        <f ca="1">IFERROR(__xludf.DUMMYFUNCTION("""COMPUTED_VALUE"""),245.22)</f>
        <v>245.22</v>
      </c>
      <c r="E2551" s="1">
        <f ca="1">IFERROR(__xludf.DUMMYFUNCTION("""COMPUTED_VALUE"""),245.55)</f>
        <v>245.55</v>
      </c>
      <c r="F2551" s="1">
        <f ca="1">IFERROR(__xludf.DUMMYFUNCTION("""COMPUTED_VALUE"""),53197431)</f>
        <v>53197431</v>
      </c>
    </row>
    <row r="2552" spans="1:6" x14ac:dyDescent="0.35">
      <c r="A2552" s="2">
        <f ca="1">IFERROR(__xludf.DUMMYFUNCTION("""COMPUTED_VALUE"""),45712.6666666666)</f>
        <v>45712.666666666599</v>
      </c>
      <c r="B2552" s="1">
        <f ca="1">IFERROR(__xludf.DUMMYFUNCTION("""COMPUTED_VALUE"""),244.93)</f>
        <v>244.93</v>
      </c>
      <c r="C2552" s="1">
        <f ca="1">IFERROR(__xludf.DUMMYFUNCTION("""COMPUTED_VALUE"""),248.86)</f>
        <v>248.86</v>
      </c>
      <c r="D2552" s="1">
        <f ca="1">IFERROR(__xludf.DUMMYFUNCTION("""COMPUTED_VALUE"""),244.42)</f>
        <v>244.42</v>
      </c>
      <c r="E2552" s="1">
        <f ca="1">IFERROR(__xludf.DUMMYFUNCTION("""COMPUTED_VALUE"""),247.1)</f>
        <v>247.1</v>
      </c>
      <c r="F2552" s="1">
        <f ca="1">IFERROR(__xludf.DUMMYFUNCTION("""COMPUTED_VALUE"""),51326396)</f>
        <v>51326396</v>
      </c>
    </row>
    <row r="2553" spans="1:6" x14ac:dyDescent="0.35">
      <c r="A2553" s="2">
        <f ca="1">IFERROR(__xludf.DUMMYFUNCTION("""COMPUTED_VALUE"""),45713.6666666666)</f>
        <v>45713.666666666599</v>
      </c>
      <c r="B2553" s="1">
        <f ca="1">IFERROR(__xludf.DUMMYFUNCTION("""COMPUTED_VALUE"""),248)</f>
        <v>248</v>
      </c>
      <c r="C2553" s="1">
        <f ca="1">IFERROR(__xludf.DUMMYFUNCTION("""COMPUTED_VALUE"""),250)</f>
        <v>250</v>
      </c>
      <c r="D2553" s="1">
        <f ca="1">IFERROR(__xludf.DUMMYFUNCTION("""COMPUTED_VALUE"""),244.91)</f>
        <v>244.91</v>
      </c>
      <c r="E2553" s="1">
        <f ca="1">IFERROR(__xludf.DUMMYFUNCTION("""COMPUTED_VALUE"""),247.04)</f>
        <v>247.04</v>
      </c>
      <c r="F2553" s="1">
        <f ca="1">IFERROR(__xludf.DUMMYFUNCTION("""COMPUTED_VALUE"""),48013272)</f>
        <v>48013272</v>
      </c>
    </row>
    <row r="2554" spans="1:6" x14ac:dyDescent="0.35">
      <c r="A2554" s="2">
        <f ca="1">IFERROR(__xludf.DUMMYFUNCTION("""COMPUTED_VALUE"""),45714.6666666666)</f>
        <v>45714.666666666599</v>
      </c>
      <c r="B2554" s="1">
        <f ca="1">IFERROR(__xludf.DUMMYFUNCTION("""COMPUTED_VALUE"""),244.33)</f>
        <v>244.33</v>
      </c>
      <c r="C2554" s="1">
        <f ca="1">IFERROR(__xludf.DUMMYFUNCTION("""COMPUTED_VALUE"""),244.98)</f>
        <v>244.98</v>
      </c>
      <c r="D2554" s="1">
        <f ca="1">IFERROR(__xludf.DUMMYFUNCTION("""COMPUTED_VALUE"""),239.13)</f>
        <v>239.13</v>
      </c>
      <c r="E2554" s="1">
        <f ca="1">IFERROR(__xludf.DUMMYFUNCTION("""COMPUTED_VALUE"""),240.36)</f>
        <v>240.36</v>
      </c>
      <c r="F2554" s="1">
        <f ca="1">IFERROR(__xludf.DUMMYFUNCTION("""COMPUTED_VALUE"""),44433564)</f>
        <v>44433564</v>
      </c>
    </row>
    <row r="2555" spans="1:6" x14ac:dyDescent="0.35">
      <c r="A2555" s="2">
        <f ca="1">IFERROR(__xludf.DUMMYFUNCTION("""COMPUTED_VALUE"""),45715.6666666666)</f>
        <v>45715.666666666599</v>
      </c>
      <c r="B2555" s="1">
        <f ca="1">IFERROR(__xludf.DUMMYFUNCTION("""COMPUTED_VALUE"""),239.41)</f>
        <v>239.41</v>
      </c>
      <c r="C2555" s="1">
        <f ca="1">IFERROR(__xludf.DUMMYFUNCTION("""COMPUTED_VALUE"""),242.46)</f>
        <v>242.46</v>
      </c>
      <c r="D2555" s="1">
        <f ca="1">IFERROR(__xludf.DUMMYFUNCTION("""COMPUTED_VALUE"""),237.06)</f>
        <v>237.06</v>
      </c>
      <c r="E2555" s="1">
        <f ca="1">IFERROR(__xludf.DUMMYFUNCTION("""COMPUTED_VALUE"""),237.3)</f>
        <v>237.3</v>
      </c>
      <c r="F2555" s="1">
        <f ca="1">IFERROR(__xludf.DUMMYFUNCTION("""COMPUTED_VALUE"""),41153639)</f>
        <v>41153639</v>
      </c>
    </row>
    <row r="2556" spans="1:6" x14ac:dyDescent="0.35">
      <c r="A2556" s="2">
        <f ca="1">IFERROR(__xludf.DUMMYFUNCTION("""COMPUTED_VALUE"""),45716.6666666666)</f>
        <v>45716.666666666599</v>
      </c>
      <c r="B2556" s="1">
        <f ca="1">IFERROR(__xludf.DUMMYFUNCTION("""COMPUTED_VALUE"""),236.95)</f>
        <v>236.95</v>
      </c>
      <c r="C2556" s="1">
        <f ca="1">IFERROR(__xludf.DUMMYFUNCTION("""COMPUTED_VALUE"""),242.09)</f>
        <v>242.09</v>
      </c>
      <c r="D2556" s="1">
        <f ca="1">IFERROR(__xludf.DUMMYFUNCTION("""COMPUTED_VALUE"""),230.2)</f>
        <v>230.2</v>
      </c>
      <c r="E2556" s="1">
        <f ca="1">IFERROR(__xludf.DUMMYFUNCTION("""COMPUTED_VALUE"""),241.84)</f>
        <v>241.84</v>
      </c>
      <c r="F2556" s="1">
        <f ca="1">IFERROR(__xludf.DUMMYFUNCTION("""COMPUTED_VALUE"""),56833360)</f>
        <v>56833360</v>
      </c>
    </row>
    <row r="2557" spans="1:6" x14ac:dyDescent="0.35">
      <c r="A2557" s="2">
        <f ca="1">IFERROR(__xludf.DUMMYFUNCTION("""COMPUTED_VALUE"""),45719.6666666666)</f>
        <v>45719.666666666599</v>
      </c>
      <c r="B2557" s="1">
        <f ca="1">IFERROR(__xludf.DUMMYFUNCTION("""COMPUTED_VALUE"""),241.79)</f>
        <v>241.79</v>
      </c>
      <c r="C2557" s="1">
        <f ca="1">IFERROR(__xludf.DUMMYFUNCTION("""COMPUTED_VALUE"""),244.03)</f>
        <v>244.03</v>
      </c>
      <c r="D2557" s="1">
        <f ca="1">IFERROR(__xludf.DUMMYFUNCTION("""COMPUTED_VALUE"""),236.11)</f>
        <v>236.11</v>
      </c>
      <c r="E2557" s="1">
        <f ca="1">IFERROR(__xludf.DUMMYFUNCTION("""COMPUTED_VALUE"""),238.03)</f>
        <v>238.03</v>
      </c>
      <c r="F2557" s="1">
        <f ca="1">IFERROR(__xludf.DUMMYFUNCTION("""COMPUTED_VALUE"""),47183985)</f>
        <v>47183985</v>
      </c>
    </row>
    <row r="2558" spans="1:6" x14ac:dyDescent="0.35">
      <c r="A2558" s="2">
        <f ca="1">IFERROR(__xludf.DUMMYFUNCTION("""COMPUTED_VALUE"""),45720.6666666666)</f>
        <v>45720.666666666599</v>
      </c>
      <c r="B2558" s="1">
        <f ca="1">IFERROR(__xludf.DUMMYFUNCTION("""COMPUTED_VALUE"""),237.71)</f>
        <v>237.71</v>
      </c>
      <c r="C2558" s="1">
        <f ca="1">IFERROR(__xludf.DUMMYFUNCTION("""COMPUTED_VALUE"""),240.07)</f>
        <v>240.07</v>
      </c>
      <c r="D2558" s="1">
        <f ca="1">IFERROR(__xludf.DUMMYFUNCTION("""COMPUTED_VALUE"""),234.68)</f>
        <v>234.68</v>
      </c>
      <c r="E2558" s="1">
        <f ca="1">IFERROR(__xludf.DUMMYFUNCTION("""COMPUTED_VALUE"""),235.93)</f>
        <v>235.93</v>
      </c>
      <c r="F2558" s="1">
        <f ca="1">IFERROR(__xludf.DUMMYFUNCTION("""COMPUTED_VALUE"""),53798062)</f>
        <v>53798062</v>
      </c>
    </row>
    <row r="2559" spans="1:6" x14ac:dyDescent="0.35">
      <c r="A2559" s="2">
        <f ca="1">IFERROR(__xludf.DUMMYFUNCTION("""COMPUTED_VALUE"""),45721.6666666666)</f>
        <v>45721.666666666599</v>
      </c>
      <c r="B2559" s="1">
        <f ca="1">IFERROR(__xludf.DUMMYFUNCTION("""COMPUTED_VALUE"""),235.42)</f>
        <v>235.42</v>
      </c>
      <c r="C2559" s="1">
        <f ca="1">IFERROR(__xludf.DUMMYFUNCTION("""COMPUTED_VALUE"""),236.55)</f>
        <v>236.55</v>
      </c>
      <c r="D2559" s="1">
        <f ca="1">IFERROR(__xludf.DUMMYFUNCTION("""COMPUTED_VALUE"""),229.23)</f>
        <v>229.23</v>
      </c>
      <c r="E2559" s="1">
        <f ca="1">IFERROR(__xludf.DUMMYFUNCTION("""COMPUTED_VALUE"""),235.74)</f>
        <v>235.74</v>
      </c>
      <c r="F2559" s="1">
        <f ca="1">IFERROR(__xludf.DUMMYFUNCTION("""COMPUTED_VALUE"""),47227643)</f>
        <v>47227643</v>
      </c>
    </row>
    <row r="2560" spans="1:6" x14ac:dyDescent="0.35">
      <c r="A2560" s="2">
        <f ca="1">IFERROR(__xludf.DUMMYFUNCTION("""COMPUTED_VALUE"""),45722.6666666666)</f>
        <v>45722.666666666599</v>
      </c>
      <c r="B2560" s="1">
        <f ca="1">IFERROR(__xludf.DUMMYFUNCTION("""COMPUTED_VALUE"""),234.44)</f>
        <v>234.44</v>
      </c>
      <c r="C2560" s="1">
        <f ca="1">IFERROR(__xludf.DUMMYFUNCTION("""COMPUTED_VALUE"""),237.86)</f>
        <v>237.86</v>
      </c>
      <c r="D2560" s="1">
        <f ca="1">IFERROR(__xludf.DUMMYFUNCTION("""COMPUTED_VALUE"""),233.16)</f>
        <v>233.16</v>
      </c>
      <c r="E2560" s="1">
        <f ca="1">IFERROR(__xludf.DUMMYFUNCTION("""COMPUTED_VALUE"""),235.33)</f>
        <v>235.33</v>
      </c>
      <c r="F2560" s="1">
        <f ca="1">IFERROR(__xludf.DUMMYFUNCTION("""COMPUTED_VALUE"""),45170419)</f>
        <v>45170419</v>
      </c>
    </row>
    <row r="2561" spans="1:6" x14ac:dyDescent="0.35">
      <c r="A2561" s="2">
        <f ca="1">IFERROR(__xludf.DUMMYFUNCTION("""COMPUTED_VALUE"""),45723.6666666666)</f>
        <v>45723.666666666599</v>
      </c>
      <c r="B2561" s="1">
        <f ca="1">IFERROR(__xludf.DUMMYFUNCTION("""COMPUTED_VALUE"""),235.11)</f>
        <v>235.11</v>
      </c>
      <c r="C2561" s="1">
        <f ca="1">IFERROR(__xludf.DUMMYFUNCTION("""COMPUTED_VALUE"""),241.37)</f>
        <v>241.37</v>
      </c>
      <c r="D2561" s="1">
        <f ca="1">IFERROR(__xludf.DUMMYFUNCTION("""COMPUTED_VALUE"""),234.76)</f>
        <v>234.76</v>
      </c>
      <c r="E2561" s="1">
        <f ca="1">IFERROR(__xludf.DUMMYFUNCTION("""COMPUTED_VALUE"""),239.07)</f>
        <v>239.07</v>
      </c>
      <c r="F2561" s="1">
        <f ca="1">IFERROR(__xludf.DUMMYFUNCTION("""COMPUTED_VALUE"""),46273565)</f>
        <v>46273565</v>
      </c>
    </row>
    <row r="2562" spans="1:6" x14ac:dyDescent="0.35">
      <c r="A2562" s="2">
        <f ca="1">IFERROR(__xludf.DUMMYFUNCTION("""COMPUTED_VALUE"""),45726.6666666666)</f>
        <v>45726.666666666599</v>
      </c>
      <c r="B2562" s="1">
        <f ca="1">IFERROR(__xludf.DUMMYFUNCTION("""COMPUTED_VALUE"""),235.54)</f>
        <v>235.54</v>
      </c>
      <c r="C2562" s="1">
        <f ca="1">IFERROR(__xludf.DUMMYFUNCTION("""COMPUTED_VALUE"""),236.16)</f>
        <v>236.16</v>
      </c>
      <c r="D2562" s="1">
        <f ca="1">IFERROR(__xludf.DUMMYFUNCTION("""COMPUTED_VALUE"""),224.22)</f>
        <v>224.22</v>
      </c>
      <c r="E2562" s="1">
        <f ca="1">IFERROR(__xludf.DUMMYFUNCTION("""COMPUTED_VALUE"""),227.48)</f>
        <v>227.48</v>
      </c>
      <c r="F2562" s="1">
        <f ca="1">IFERROR(__xludf.DUMMYFUNCTION("""COMPUTED_VALUE"""),72071197)</f>
        <v>72071197</v>
      </c>
    </row>
    <row r="2563" spans="1:6" x14ac:dyDescent="0.35">
      <c r="A2563" s="2">
        <f ca="1">IFERROR(__xludf.DUMMYFUNCTION("""COMPUTED_VALUE"""),45727.6666666666)</f>
        <v>45727.666666666599</v>
      </c>
      <c r="B2563" s="1">
        <f ca="1">IFERROR(__xludf.DUMMYFUNCTION("""COMPUTED_VALUE"""),223.81)</f>
        <v>223.81</v>
      </c>
      <c r="C2563" s="1">
        <f ca="1">IFERROR(__xludf.DUMMYFUNCTION("""COMPUTED_VALUE"""),225.84)</f>
        <v>225.84</v>
      </c>
      <c r="D2563" s="1">
        <f ca="1">IFERROR(__xludf.DUMMYFUNCTION("""COMPUTED_VALUE"""),217.45)</f>
        <v>217.45</v>
      </c>
      <c r="E2563" s="1">
        <f ca="1">IFERROR(__xludf.DUMMYFUNCTION("""COMPUTED_VALUE"""),220.84)</f>
        <v>220.84</v>
      </c>
      <c r="F2563" s="1">
        <f ca="1">IFERROR(__xludf.DUMMYFUNCTION("""COMPUTED_VALUE"""),76137410)</f>
        <v>76137410</v>
      </c>
    </row>
    <row r="2564" spans="1:6" x14ac:dyDescent="0.35">
      <c r="A2564" s="2">
        <f ca="1">IFERROR(__xludf.DUMMYFUNCTION("""COMPUTED_VALUE"""),45728.6666666666)</f>
        <v>45728.666666666599</v>
      </c>
      <c r="B2564" s="1">
        <f ca="1">IFERROR(__xludf.DUMMYFUNCTION("""COMPUTED_VALUE"""),220.14)</f>
        <v>220.14</v>
      </c>
      <c r="C2564" s="1">
        <f ca="1">IFERROR(__xludf.DUMMYFUNCTION("""COMPUTED_VALUE"""),221.75)</f>
        <v>221.75</v>
      </c>
      <c r="D2564" s="1">
        <f ca="1">IFERROR(__xludf.DUMMYFUNCTION("""COMPUTED_VALUE"""),214.91)</f>
        <v>214.91</v>
      </c>
      <c r="E2564" s="1">
        <f ca="1">IFERROR(__xludf.DUMMYFUNCTION("""COMPUTED_VALUE"""),216.98)</f>
        <v>216.98</v>
      </c>
      <c r="F2564" s="1">
        <f ca="1">IFERROR(__xludf.DUMMYFUNCTION("""COMPUTED_VALUE"""),62547467)</f>
        <v>62547467</v>
      </c>
    </row>
    <row r="2565" spans="1:6" x14ac:dyDescent="0.35">
      <c r="A2565" s="2">
        <f ca="1">IFERROR(__xludf.DUMMYFUNCTION("""COMPUTED_VALUE"""),45729.6666666666)</f>
        <v>45729.666666666599</v>
      </c>
      <c r="B2565" s="1">
        <f ca="1">IFERROR(__xludf.DUMMYFUNCTION("""COMPUTED_VALUE"""),215.95)</f>
        <v>215.95</v>
      </c>
      <c r="C2565" s="1">
        <f ca="1">IFERROR(__xludf.DUMMYFUNCTION("""COMPUTED_VALUE"""),216.84)</f>
        <v>216.84</v>
      </c>
      <c r="D2565" s="1">
        <f ca="1">IFERROR(__xludf.DUMMYFUNCTION("""COMPUTED_VALUE"""),208.42)</f>
        <v>208.42</v>
      </c>
      <c r="E2565" s="1">
        <f ca="1">IFERROR(__xludf.DUMMYFUNCTION("""COMPUTED_VALUE"""),209.68)</f>
        <v>209.68</v>
      </c>
      <c r="F2565" s="1">
        <f ca="1">IFERROR(__xludf.DUMMYFUNCTION("""COMPUTED_VALUE"""),61368330)</f>
        <v>61368330</v>
      </c>
    </row>
    <row r="2566" spans="1:6" x14ac:dyDescent="0.35">
      <c r="A2566" s="2">
        <f ca="1">IFERROR(__xludf.DUMMYFUNCTION("""COMPUTED_VALUE"""),45730.6666666666)</f>
        <v>45730.666666666599</v>
      </c>
      <c r="B2566" s="1">
        <f ca="1">IFERROR(__xludf.DUMMYFUNCTION("""COMPUTED_VALUE"""),211.25)</f>
        <v>211.25</v>
      </c>
      <c r="C2566" s="1">
        <f ca="1">IFERROR(__xludf.DUMMYFUNCTION("""COMPUTED_VALUE"""),213.95)</f>
        <v>213.95</v>
      </c>
      <c r="D2566" s="1">
        <f ca="1">IFERROR(__xludf.DUMMYFUNCTION("""COMPUTED_VALUE"""),209.58)</f>
        <v>209.58</v>
      </c>
      <c r="E2566" s="1">
        <f ca="1">IFERROR(__xludf.DUMMYFUNCTION("""COMPUTED_VALUE"""),213.49)</f>
        <v>213.49</v>
      </c>
      <c r="F2566" s="1">
        <f ca="1">IFERROR(__xludf.DUMMYFUNCTION("""COMPUTED_VALUE"""),60107582)</f>
        <v>60107582</v>
      </c>
    </row>
    <row r="2567" spans="1:6" x14ac:dyDescent="0.35">
      <c r="A2567" s="2">
        <f ca="1">IFERROR(__xludf.DUMMYFUNCTION("""COMPUTED_VALUE"""),45733.6666666666)</f>
        <v>45733.666666666599</v>
      </c>
      <c r="B2567" s="1">
        <f ca="1">IFERROR(__xludf.DUMMYFUNCTION("""COMPUTED_VALUE"""),213.31)</f>
        <v>213.31</v>
      </c>
      <c r="C2567" s="1">
        <f ca="1">IFERROR(__xludf.DUMMYFUNCTION("""COMPUTED_VALUE"""),215.22)</f>
        <v>215.22</v>
      </c>
      <c r="D2567" s="1">
        <f ca="1">IFERROR(__xludf.DUMMYFUNCTION("""COMPUTED_VALUE"""),209.97)</f>
        <v>209.97</v>
      </c>
      <c r="E2567" s="1">
        <f ca="1">IFERROR(__xludf.DUMMYFUNCTION("""COMPUTED_VALUE"""),214)</f>
        <v>214</v>
      </c>
      <c r="F2567" s="1">
        <f ca="1">IFERROR(__xludf.DUMMYFUNCTION("""COMPUTED_VALUE"""),48073426)</f>
        <v>48073426</v>
      </c>
    </row>
    <row r="2568" spans="1:6" x14ac:dyDescent="0.35">
      <c r="A2568" s="2">
        <f ca="1">IFERROR(__xludf.DUMMYFUNCTION("""COMPUTED_VALUE"""),45734.6666666666)</f>
        <v>45734.666666666599</v>
      </c>
      <c r="B2568" s="1">
        <f ca="1">IFERROR(__xludf.DUMMYFUNCTION("""COMPUTED_VALUE"""),214.16)</f>
        <v>214.16</v>
      </c>
      <c r="C2568" s="1">
        <f ca="1">IFERROR(__xludf.DUMMYFUNCTION("""COMPUTED_VALUE"""),215.15)</f>
        <v>215.15</v>
      </c>
      <c r="D2568" s="1">
        <f ca="1">IFERROR(__xludf.DUMMYFUNCTION("""COMPUTED_VALUE"""),211.49)</f>
        <v>211.49</v>
      </c>
      <c r="E2568" s="1">
        <f ca="1">IFERROR(__xludf.DUMMYFUNCTION("""COMPUTED_VALUE"""),212.69)</f>
        <v>212.69</v>
      </c>
      <c r="F2568" s="1">
        <f ca="1">IFERROR(__xludf.DUMMYFUNCTION("""COMPUTED_VALUE"""),42432426)</f>
        <v>42432426</v>
      </c>
    </row>
    <row r="2569" spans="1:6" x14ac:dyDescent="0.35">
      <c r="A2569" s="2">
        <f ca="1">IFERROR(__xludf.DUMMYFUNCTION("""COMPUTED_VALUE"""),45735.6666666666)</f>
        <v>45735.666666666599</v>
      </c>
      <c r="B2569" s="1">
        <f ca="1">IFERROR(__xludf.DUMMYFUNCTION("""COMPUTED_VALUE"""),214.22)</f>
        <v>214.22</v>
      </c>
      <c r="C2569" s="1">
        <f ca="1">IFERROR(__xludf.DUMMYFUNCTION("""COMPUTED_VALUE"""),218.76)</f>
        <v>218.76</v>
      </c>
      <c r="D2569" s="1">
        <f ca="1">IFERROR(__xludf.DUMMYFUNCTION("""COMPUTED_VALUE"""),213.75)</f>
        <v>213.75</v>
      </c>
      <c r="E2569" s="1">
        <f ca="1">IFERROR(__xludf.DUMMYFUNCTION("""COMPUTED_VALUE"""),215.24)</f>
        <v>215.24</v>
      </c>
      <c r="F2569" s="1">
        <f ca="1">IFERROR(__xludf.DUMMYFUNCTION("""COMPUTED_VALUE"""),54385391)</f>
        <v>54385391</v>
      </c>
    </row>
    <row r="2570" spans="1:6" x14ac:dyDescent="0.35">
      <c r="A2570" s="2">
        <f ca="1">IFERROR(__xludf.DUMMYFUNCTION("""COMPUTED_VALUE"""),45736.6666666666)</f>
        <v>45736.666666666599</v>
      </c>
      <c r="B2570" s="1">
        <f ca="1">IFERROR(__xludf.DUMMYFUNCTION("""COMPUTED_VALUE"""),213.99)</f>
        <v>213.99</v>
      </c>
      <c r="C2570" s="1">
        <f ca="1">IFERROR(__xludf.DUMMYFUNCTION("""COMPUTED_VALUE"""),217.49)</f>
        <v>217.49</v>
      </c>
      <c r="D2570" s="1">
        <f ca="1">IFERROR(__xludf.DUMMYFUNCTION("""COMPUTED_VALUE"""),212.22)</f>
        <v>212.22</v>
      </c>
      <c r="E2570" s="1">
        <f ca="1">IFERROR(__xludf.DUMMYFUNCTION("""COMPUTED_VALUE"""),214.1)</f>
        <v>214.1</v>
      </c>
      <c r="F2570" s="1">
        <f ca="1">IFERROR(__xludf.DUMMYFUNCTION("""COMPUTED_VALUE"""),48862947)</f>
        <v>48862947</v>
      </c>
    </row>
    <row r="2571" spans="1:6" x14ac:dyDescent="0.35">
      <c r="A2571" s="2">
        <f ca="1">IFERROR(__xludf.DUMMYFUNCTION("""COMPUTED_VALUE"""),45737.6666666666)</f>
        <v>45737.666666666599</v>
      </c>
      <c r="B2571" s="1">
        <f ca="1">IFERROR(__xludf.DUMMYFUNCTION("""COMPUTED_VALUE"""),211.56)</f>
        <v>211.56</v>
      </c>
      <c r="C2571" s="1">
        <f ca="1">IFERROR(__xludf.DUMMYFUNCTION("""COMPUTED_VALUE"""),218.84)</f>
        <v>218.84</v>
      </c>
      <c r="D2571" s="1">
        <f ca="1">IFERROR(__xludf.DUMMYFUNCTION("""COMPUTED_VALUE"""),211.28)</f>
        <v>211.28</v>
      </c>
      <c r="E2571" s="1">
        <f ca="1">IFERROR(__xludf.DUMMYFUNCTION("""COMPUTED_VALUE"""),218.27)</f>
        <v>218.27</v>
      </c>
      <c r="F2571" s="1">
        <f ca="1">IFERROR(__xludf.DUMMYFUNCTION("""COMPUTED_VALUE"""),94127768)</f>
        <v>94127768</v>
      </c>
    </row>
    <row r="2572" spans="1:6" x14ac:dyDescent="0.35">
      <c r="A2572" s="2">
        <f ca="1">IFERROR(__xludf.DUMMYFUNCTION("""COMPUTED_VALUE"""),45740.6666666666)</f>
        <v>45740.666666666599</v>
      </c>
      <c r="B2572" s="1">
        <f ca="1">IFERROR(__xludf.DUMMYFUNCTION("""COMPUTED_VALUE"""),221)</f>
        <v>221</v>
      </c>
      <c r="C2572" s="1">
        <f ca="1">IFERROR(__xludf.DUMMYFUNCTION("""COMPUTED_VALUE"""),221.48)</f>
        <v>221.48</v>
      </c>
      <c r="D2572" s="1">
        <f ca="1">IFERROR(__xludf.DUMMYFUNCTION("""COMPUTED_VALUE"""),218.58)</f>
        <v>218.58</v>
      </c>
      <c r="E2572" s="1">
        <f ca="1">IFERROR(__xludf.DUMMYFUNCTION("""COMPUTED_VALUE"""),220.73)</f>
        <v>220.73</v>
      </c>
      <c r="F2572" s="1">
        <f ca="1">IFERROR(__xludf.DUMMYFUNCTION("""COMPUTED_VALUE"""),44299483)</f>
        <v>44299483</v>
      </c>
    </row>
    <row r="2573" spans="1:6" x14ac:dyDescent="0.35">
      <c r="A2573" s="2">
        <f ca="1">IFERROR(__xludf.DUMMYFUNCTION("""COMPUTED_VALUE"""),45741.6666666666)</f>
        <v>45741.666666666599</v>
      </c>
      <c r="B2573" s="1">
        <f ca="1">IFERROR(__xludf.DUMMYFUNCTION("""COMPUTED_VALUE"""),220.77)</f>
        <v>220.77</v>
      </c>
      <c r="C2573" s="1">
        <f ca="1">IFERROR(__xludf.DUMMYFUNCTION("""COMPUTED_VALUE"""),224.1)</f>
        <v>224.1</v>
      </c>
      <c r="D2573" s="1">
        <f ca="1">IFERROR(__xludf.DUMMYFUNCTION("""COMPUTED_VALUE"""),220.08)</f>
        <v>220.08</v>
      </c>
      <c r="E2573" s="1">
        <f ca="1">IFERROR(__xludf.DUMMYFUNCTION("""COMPUTED_VALUE"""),223.75)</f>
        <v>223.75</v>
      </c>
      <c r="F2573" s="1">
        <f ca="1">IFERROR(__xludf.DUMMYFUNCTION("""COMPUTED_VALUE"""),34493583)</f>
        <v>34493583</v>
      </c>
    </row>
    <row r="2574" spans="1:6" x14ac:dyDescent="0.35">
      <c r="A2574" s="2">
        <f ca="1">IFERROR(__xludf.DUMMYFUNCTION("""COMPUTED_VALUE"""),45742.6666666666)</f>
        <v>45742.666666666599</v>
      </c>
      <c r="B2574" s="1">
        <f ca="1">IFERROR(__xludf.DUMMYFUNCTION("""COMPUTED_VALUE"""),223.51)</f>
        <v>223.51</v>
      </c>
      <c r="C2574" s="1">
        <f ca="1">IFERROR(__xludf.DUMMYFUNCTION("""COMPUTED_VALUE"""),225.02)</f>
        <v>225.02</v>
      </c>
      <c r="D2574" s="1">
        <f ca="1">IFERROR(__xludf.DUMMYFUNCTION("""COMPUTED_VALUE"""),220.47)</f>
        <v>220.47</v>
      </c>
      <c r="E2574" s="1">
        <f ca="1">IFERROR(__xludf.DUMMYFUNCTION("""COMPUTED_VALUE"""),221.53)</f>
        <v>221.53</v>
      </c>
      <c r="F2574" s="1">
        <f ca="1">IFERROR(__xludf.DUMMYFUNCTION("""COMPUTED_VALUE"""),34532656)</f>
        <v>34532656</v>
      </c>
    </row>
    <row r="2575" spans="1:6" x14ac:dyDescent="0.35">
      <c r="A2575" s="2">
        <f ca="1">IFERROR(__xludf.DUMMYFUNCTION("""COMPUTED_VALUE"""),45743.6666666666)</f>
        <v>45743.666666666599</v>
      </c>
      <c r="B2575" s="1">
        <f ca="1">IFERROR(__xludf.DUMMYFUNCTION("""COMPUTED_VALUE"""),221.39)</f>
        <v>221.39</v>
      </c>
      <c r="C2575" s="1">
        <f ca="1">IFERROR(__xludf.DUMMYFUNCTION("""COMPUTED_VALUE"""),224.99)</f>
        <v>224.99</v>
      </c>
      <c r="D2575" s="1">
        <f ca="1">IFERROR(__xludf.DUMMYFUNCTION("""COMPUTED_VALUE"""),220.56)</f>
        <v>220.56</v>
      </c>
      <c r="E2575" s="1">
        <f ca="1">IFERROR(__xludf.DUMMYFUNCTION("""COMPUTED_VALUE"""),223.85)</f>
        <v>223.85</v>
      </c>
      <c r="F2575" s="1">
        <f ca="1">IFERROR(__xludf.DUMMYFUNCTION("""COMPUTED_VALUE"""),37094774)</f>
        <v>37094774</v>
      </c>
    </row>
    <row r="2576" spans="1:6" x14ac:dyDescent="0.35">
      <c r="A2576" s="2">
        <f ca="1">IFERROR(__xludf.DUMMYFUNCTION("""COMPUTED_VALUE"""),45744.6666666666)</f>
        <v>45744.666666666599</v>
      </c>
      <c r="B2576" s="1">
        <f ca="1">IFERROR(__xludf.DUMMYFUNCTION("""COMPUTED_VALUE"""),221.67)</f>
        <v>221.67</v>
      </c>
      <c r="C2576" s="1">
        <f ca="1">IFERROR(__xludf.DUMMYFUNCTION("""COMPUTED_VALUE"""),223.81)</f>
        <v>223.81</v>
      </c>
      <c r="D2576" s="1">
        <f ca="1">IFERROR(__xludf.DUMMYFUNCTION("""COMPUTED_VALUE"""),217.68)</f>
        <v>217.68</v>
      </c>
      <c r="E2576" s="1">
        <f ca="1">IFERROR(__xludf.DUMMYFUNCTION("""COMPUTED_VALUE"""),217.9)</f>
        <v>217.9</v>
      </c>
      <c r="F2576" s="1">
        <f ca="1">IFERROR(__xludf.DUMMYFUNCTION("""COMPUTED_VALUE"""),39818617)</f>
        <v>39818617</v>
      </c>
    </row>
    <row r="2577" spans="1:6" x14ac:dyDescent="0.35">
      <c r="A2577" s="2">
        <f ca="1">IFERROR(__xludf.DUMMYFUNCTION("""COMPUTED_VALUE"""),45747.6666666666)</f>
        <v>45747.666666666599</v>
      </c>
      <c r="B2577" s="1">
        <f ca="1">IFERROR(__xludf.DUMMYFUNCTION("""COMPUTED_VALUE"""),217.01)</f>
        <v>217.01</v>
      </c>
      <c r="C2577" s="1">
        <f ca="1">IFERROR(__xludf.DUMMYFUNCTION("""COMPUTED_VALUE"""),225.62)</f>
        <v>225.62</v>
      </c>
      <c r="D2577" s="1">
        <f ca="1">IFERROR(__xludf.DUMMYFUNCTION("""COMPUTED_VALUE"""),216.23)</f>
        <v>216.23</v>
      </c>
      <c r="E2577" s="1">
        <f ca="1">IFERROR(__xludf.DUMMYFUNCTION("""COMPUTED_VALUE"""),222.13)</f>
        <v>222.13</v>
      </c>
      <c r="F2577" s="1">
        <f ca="1">IFERROR(__xludf.DUMMYFUNCTION("""COMPUTED_VALUE"""),65299321)</f>
        <v>65299321</v>
      </c>
    </row>
    <row r="2578" spans="1:6" x14ac:dyDescent="0.35">
      <c r="A2578" s="2">
        <f ca="1">IFERROR(__xludf.DUMMYFUNCTION("""COMPUTED_VALUE"""),45748.6666666666)</f>
        <v>45748.666666666599</v>
      </c>
      <c r="B2578" s="1">
        <f ca="1">IFERROR(__xludf.DUMMYFUNCTION("""COMPUTED_VALUE"""),219.81)</f>
        <v>219.81</v>
      </c>
      <c r="C2578" s="1">
        <f ca="1">IFERROR(__xludf.DUMMYFUNCTION("""COMPUTED_VALUE"""),223.68)</f>
        <v>223.68</v>
      </c>
      <c r="D2578" s="1">
        <f ca="1">IFERROR(__xludf.DUMMYFUNCTION("""COMPUTED_VALUE"""),218.9)</f>
        <v>218.9</v>
      </c>
      <c r="E2578" s="1">
        <f ca="1">IFERROR(__xludf.DUMMYFUNCTION("""COMPUTED_VALUE"""),223.19)</f>
        <v>223.19</v>
      </c>
      <c r="F2578" s="1">
        <f ca="1">IFERROR(__xludf.DUMMYFUNCTION("""COMPUTED_VALUE"""),36412740)</f>
        <v>36412740</v>
      </c>
    </row>
    <row r="2579" spans="1:6" x14ac:dyDescent="0.35">
      <c r="A2579" s="2">
        <f ca="1">IFERROR(__xludf.DUMMYFUNCTION("""COMPUTED_VALUE"""),45749.6666666666)</f>
        <v>45749.666666666599</v>
      </c>
      <c r="B2579" s="1">
        <f ca="1">IFERROR(__xludf.DUMMYFUNCTION("""COMPUTED_VALUE"""),221.32)</f>
        <v>221.32</v>
      </c>
      <c r="C2579" s="1">
        <f ca="1">IFERROR(__xludf.DUMMYFUNCTION("""COMPUTED_VALUE"""),225.19)</f>
        <v>225.19</v>
      </c>
      <c r="D2579" s="1">
        <f ca="1">IFERROR(__xludf.DUMMYFUNCTION("""COMPUTED_VALUE"""),221.02)</f>
        <v>221.02</v>
      </c>
      <c r="E2579" s="1">
        <f ca="1">IFERROR(__xludf.DUMMYFUNCTION("""COMPUTED_VALUE"""),223.89)</f>
        <v>223.89</v>
      </c>
      <c r="F2579" s="1">
        <f ca="1">IFERROR(__xludf.DUMMYFUNCTION("""COMPUTED_VALUE"""),35905904)</f>
        <v>35905904</v>
      </c>
    </row>
    <row r="2580" spans="1:6" x14ac:dyDescent="0.35">
      <c r="A2580" s="2">
        <f ca="1">IFERROR(__xludf.DUMMYFUNCTION("""COMPUTED_VALUE"""),45750.6666666666)</f>
        <v>45750.666666666599</v>
      </c>
      <c r="B2580" s="1">
        <f ca="1">IFERROR(__xludf.DUMMYFUNCTION("""COMPUTED_VALUE"""),205.54)</f>
        <v>205.54</v>
      </c>
      <c r="C2580" s="1">
        <f ca="1">IFERROR(__xludf.DUMMYFUNCTION("""COMPUTED_VALUE"""),207.49)</f>
        <v>207.49</v>
      </c>
      <c r="D2580" s="1">
        <f ca="1">IFERROR(__xludf.DUMMYFUNCTION("""COMPUTED_VALUE"""),201.25)</f>
        <v>201.25</v>
      </c>
      <c r="E2580" s="1">
        <f ca="1">IFERROR(__xludf.DUMMYFUNCTION("""COMPUTED_VALUE"""),203.19)</f>
        <v>203.19</v>
      </c>
      <c r="F2580" s="1">
        <f ca="1">IFERROR(__xludf.DUMMYFUNCTION("""COMPUTED_VALUE"""),103419006)</f>
        <v>103419006</v>
      </c>
    </row>
    <row r="2581" spans="1:6" x14ac:dyDescent="0.35">
      <c r="A2581" s="2">
        <f ca="1">IFERROR(__xludf.DUMMYFUNCTION("""COMPUTED_VALUE"""),45751.6666666666)</f>
        <v>45751.666666666599</v>
      </c>
      <c r="B2581" s="1">
        <f ca="1">IFERROR(__xludf.DUMMYFUNCTION("""COMPUTED_VALUE"""),193.89)</f>
        <v>193.89</v>
      </c>
      <c r="C2581" s="1">
        <f ca="1">IFERROR(__xludf.DUMMYFUNCTION("""COMPUTED_VALUE"""),199.88)</f>
        <v>199.88</v>
      </c>
      <c r="D2581" s="1">
        <f ca="1">IFERROR(__xludf.DUMMYFUNCTION("""COMPUTED_VALUE"""),187.34)</f>
        <v>187.34</v>
      </c>
      <c r="E2581" s="1">
        <f ca="1">IFERROR(__xludf.DUMMYFUNCTION("""COMPUTED_VALUE"""),188.38)</f>
        <v>188.38</v>
      </c>
      <c r="F2581" s="1">
        <f ca="1">IFERROR(__xludf.DUMMYFUNCTION("""COMPUTED_VALUE"""),125910913)</f>
        <v>125910913</v>
      </c>
    </row>
    <row r="2582" spans="1:6" x14ac:dyDescent="0.35">
      <c r="A2582" s="2">
        <f ca="1">IFERROR(__xludf.DUMMYFUNCTION("""COMPUTED_VALUE"""),45754.6666666666)</f>
        <v>45754.666666666599</v>
      </c>
      <c r="B2582" s="1">
        <f ca="1">IFERROR(__xludf.DUMMYFUNCTION("""COMPUTED_VALUE"""),177.2)</f>
        <v>177.2</v>
      </c>
      <c r="C2582" s="1">
        <f ca="1">IFERROR(__xludf.DUMMYFUNCTION("""COMPUTED_VALUE"""),194.15)</f>
        <v>194.15</v>
      </c>
      <c r="D2582" s="1">
        <f ca="1">IFERROR(__xludf.DUMMYFUNCTION("""COMPUTED_VALUE"""),174.62)</f>
        <v>174.62</v>
      </c>
      <c r="E2582" s="1">
        <f ca="1">IFERROR(__xludf.DUMMYFUNCTION("""COMPUTED_VALUE"""),181.46)</f>
        <v>181.46</v>
      </c>
      <c r="F2582" s="1">
        <f ca="1">IFERROR(__xludf.DUMMYFUNCTION("""COMPUTED_VALUE"""),160466286)</f>
        <v>160466286</v>
      </c>
    </row>
    <row r="2583" spans="1:6" x14ac:dyDescent="0.35">
      <c r="A2583" s="2">
        <f ca="1">IFERROR(__xludf.DUMMYFUNCTION("""COMPUTED_VALUE"""),45755.6666666666)</f>
        <v>45755.666666666599</v>
      </c>
      <c r="B2583" s="1">
        <f ca="1">IFERROR(__xludf.DUMMYFUNCTION("""COMPUTED_VALUE"""),186.7)</f>
        <v>186.7</v>
      </c>
      <c r="C2583" s="1">
        <f ca="1">IFERROR(__xludf.DUMMYFUNCTION("""COMPUTED_VALUE"""),190.34)</f>
        <v>190.34</v>
      </c>
      <c r="D2583" s="1">
        <f ca="1">IFERROR(__xludf.DUMMYFUNCTION("""COMPUTED_VALUE"""),169.21)</f>
        <v>169.21</v>
      </c>
      <c r="E2583" s="1">
        <f ca="1">IFERROR(__xludf.DUMMYFUNCTION("""COMPUTED_VALUE"""),172.42)</f>
        <v>172.42</v>
      </c>
      <c r="F2583" s="1">
        <f ca="1">IFERROR(__xludf.DUMMYFUNCTION("""COMPUTED_VALUE"""),120859491)</f>
        <v>120859491</v>
      </c>
    </row>
    <row r="2584" spans="1:6" x14ac:dyDescent="0.35">
      <c r="A2584" s="2">
        <f ca="1">IFERROR(__xludf.DUMMYFUNCTION("""COMPUTED_VALUE"""),45756.6666666666)</f>
        <v>45756.666666666599</v>
      </c>
      <c r="B2584" s="1">
        <f ca="1">IFERROR(__xludf.DUMMYFUNCTION("""COMPUTED_VALUE"""),171.95)</f>
        <v>171.95</v>
      </c>
      <c r="C2584" s="1">
        <f ca="1">IFERROR(__xludf.DUMMYFUNCTION("""COMPUTED_VALUE"""),200.61)</f>
        <v>200.61</v>
      </c>
      <c r="D2584" s="1">
        <f ca="1">IFERROR(__xludf.DUMMYFUNCTION("""COMPUTED_VALUE"""),171.89)</f>
        <v>171.89</v>
      </c>
      <c r="E2584" s="1">
        <f ca="1">IFERROR(__xludf.DUMMYFUNCTION("""COMPUTED_VALUE"""),198.85)</f>
        <v>198.85</v>
      </c>
      <c r="F2584" s="1">
        <f ca="1">IFERROR(__xludf.DUMMYFUNCTION("""COMPUTED_VALUE"""),184395885)</f>
        <v>184395885</v>
      </c>
    </row>
    <row r="2585" spans="1:6" x14ac:dyDescent="0.35">
      <c r="A2585" s="2">
        <f ca="1">IFERROR(__xludf.DUMMYFUNCTION("""COMPUTED_VALUE"""),45757.6666666666)</f>
        <v>45757.666666666599</v>
      </c>
      <c r="B2585" s="1">
        <f ca="1">IFERROR(__xludf.DUMMYFUNCTION("""COMPUTED_VALUE"""),189.07)</f>
        <v>189.07</v>
      </c>
      <c r="C2585" s="1">
        <f ca="1">IFERROR(__xludf.DUMMYFUNCTION("""COMPUTED_VALUE"""),194.78)</f>
        <v>194.78</v>
      </c>
      <c r="D2585" s="1">
        <f ca="1">IFERROR(__xludf.DUMMYFUNCTION("""COMPUTED_VALUE"""),183)</f>
        <v>183</v>
      </c>
      <c r="E2585" s="1">
        <f ca="1">IFERROR(__xludf.DUMMYFUNCTION("""COMPUTED_VALUE"""),190.42)</f>
        <v>190.42</v>
      </c>
      <c r="F2585" s="1">
        <f ca="1">IFERROR(__xludf.DUMMYFUNCTION("""COMPUTED_VALUE"""),121879981)</f>
        <v>121879981</v>
      </c>
    </row>
    <row r="2586" spans="1:6" x14ac:dyDescent="0.35">
      <c r="A2586" s="2">
        <f ca="1">IFERROR(__xludf.DUMMYFUNCTION("""COMPUTED_VALUE"""),45758.6666666666)</f>
        <v>45758.666666666599</v>
      </c>
      <c r="B2586" s="1">
        <f ca="1">IFERROR(__xludf.DUMMYFUNCTION("""COMPUTED_VALUE"""),186.1)</f>
        <v>186.1</v>
      </c>
      <c r="C2586" s="1">
        <f ca="1">IFERROR(__xludf.DUMMYFUNCTION("""COMPUTED_VALUE"""),199.54)</f>
        <v>199.54</v>
      </c>
      <c r="D2586" s="1">
        <f ca="1">IFERROR(__xludf.DUMMYFUNCTION("""COMPUTED_VALUE"""),186.06)</f>
        <v>186.06</v>
      </c>
      <c r="E2586" s="1">
        <f ca="1">IFERROR(__xludf.DUMMYFUNCTION("""COMPUTED_VALUE"""),198.15)</f>
        <v>198.15</v>
      </c>
      <c r="F2586" s="1">
        <f ca="1">IFERROR(__xludf.DUMMYFUNCTION("""COMPUTED_VALUE"""),87435915)</f>
        <v>87435915</v>
      </c>
    </row>
    <row r="2587" spans="1:6" x14ac:dyDescent="0.35">
      <c r="A2587" s="2">
        <f ca="1">IFERROR(__xludf.DUMMYFUNCTION("""COMPUTED_VALUE"""),45761.6666666666)</f>
        <v>45761.666666666599</v>
      </c>
      <c r="B2587" s="1">
        <f ca="1">IFERROR(__xludf.DUMMYFUNCTION("""COMPUTED_VALUE"""),211.44)</f>
        <v>211.44</v>
      </c>
      <c r="C2587" s="1">
        <f ca="1">IFERROR(__xludf.DUMMYFUNCTION("""COMPUTED_VALUE"""),212.94)</f>
        <v>212.94</v>
      </c>
      <c r="D2587" s="1">
        <f ca="1">IFERROR(__xludf.DUMMYFUNCTION("""COMPUTED_VALUE"""),201.16)</f>
        <v>201.16</v>
      </c>
      <c r="E2587" s="1">
        <f ca="1">IFERROR(__xludf.DUMMYFUNCTION("""COMPUTED_VALUE"""),202.52)</f>
        <v>202.52</v>
      </c>
      <c r="F2587" s="1">
        <f ca="1">IFERROR(__xludf.DUMMYFUNCTION("""COMPUTED_VALUE"""),101352911)</f>
        <v>101352911</v>
      </c>
    </row>
    <row r="2588" spans="1:6" x14ac:dyDescent="0.35">
      <c r="A2588" s="2">
        <f ca="1">IFERROR(__xludf.DUMMYFUNCTION("""COMPUTED_VALUE"""),45762.6666666666)</f>
        <v>45762.666666666599</v>
      </c>
      <c r="B2588" s="1">
        <f ca="1">IFERROR(__xludf.DUMMYFUNCTION("""COMPUTED_VALUE"""),201.86)</f>
        <v>201.86</v>
      </c>
      <c r="C2588" s="1">
        <f ca="1">IFERROR(__xludf.DUMMYFUNCTION("""COMPUTED_VALUE"""),203.51)</f>
        <v>203.51</v>
      </c>
      <c r="D2588" s="1">
        <f ca="1">IFERROR(__xludf.DUMMYFUNCTION("""COMPUTED_VALUE"""),199.8)</f>
        <v>199.8</v>
      </c>
      <c r="E2588" s="1">
        <f ca="1">IFERROR(__xludf.DUMMYFUNCTION("""COMPUTED_VALUE"""),202.14)</f>
        <v>202.14</v>
      </c>
      <c r="F2588" s="1">
        <f ca="1">IFERROR(__xludf.DUMMYFUNCTION("""COMPUTED_VALUE"""),51343872)</f>
        <v>51343872</v>
      </c>
    </row>
    <row r="2589" spans="1:6" x14ac:dyDescent="0.35">
      <c r="A2589" s="2">
        <f ca="1">IFERROR(__xludf.DUMMYFUNCTION("""COMPUTED_VALUE"""),45763.6666666666)</f>
        <v>45763.666666666599</v>
      </c>
      <c r="B2589" s="1">
        <f ca="1">IFERROR(__xludf.DUMMYFUNCTION("""COMPUTED_VALUE"""),198.36)</f>
        <v>198.36</v>
      </c>
      <c r="C2589" s="1">
        <f ca="1">IFERROR(__xludf.DUMMYFUNCTION("""COMPUTED_VALUE"""),200.7)</f>
        <v>200.7</v>
      </c>
      <c r="D2589" s="1">
        <f ca="1">IFERROR(__xludf.DUMMYFUNCTION("""COMPUTED_VALUE"""),192.37)</f>
        <v>192.37</v>
      </c>
      <c r="E2589" s="1">
        <f ca="1">IFERROR(__xludf.DUMMYFUNCTION("""COMPUTED_VALUE"""),194.27)</f>
        <v>194.27</v>
      </c>
      <c r="F2589" s="1">
        <f ca="1">IFERROR(__xludf.DUMMYFUNCTION("""COMPUTED_VALUE"""),59732423)</f>
        <v>59732423</v>
      </c>
    </row>
    <row r="2590" spans="1:6" x14ac:dyDescent="0.35">
      <c r="A2590" s="2">
        <f ca="1">IFERROR(__xludf.DUMMYFUNCTION("""COMPUTED_VALUE"""),45764.6666666666)</f>
        <v>45764.666666666599</v>
      </c>
      <c r="B2590" s="1">
        <f ca="1">IFERROR(__xludf.DUMMYFUNCTION("""COMPUTED_VALUE"""),197.2)</f>
        <v>197.2</v>
      </c>
      <c r="C2590" s="1">
        <f ca="1">IFERROR(__xludf.DUMMYFUNCTION("""COMPUTED_VALUE"""),198.83)</f>
        <v>198.83</v>
      </c>
      <c r="D2590" s="1">
        <f ca="1">IFERROR(__xludf.DUMMYFUNCTION("""COMPUTED_VALUE"""),194.42)</f>
        <v>194.42</v>
      </c>
      <c r="E2590" s="1">
        <f ca="1">IFERROR(__xludf.DUMMYFUNCTION("""COMPUTED_VALUE"""),196.98)</f>
        <v>196.98</v>
      </c>
      <c r="F2590" s="1">
        <f ca="1">IFERROR(__xludf.DUMMYFUNCTION("""COMPUTED_VALUE"""),52164675)</f>
        <v>52164675</v>
      </c>
    </row>
    <row r="2591" spans="1:6" x14ac:dyDescent="0.35">
      <c r="A2591" s="2">
        <f ca="1">IFERROR(__xludf.DUMMYFUNCTION("""COMPUTED_VALUE"""),45768.6666666666)</f>
        <v>45768.666666666599</v>
      </c>
      <c r="B2591" s="1">
        <f ca="1">IFERROR(__xludf.DUMMYFUNCTION("""COMPUTED_VALUE"""),193.27)</f>
        <v>193.27</v>
      </c>
      <c r="C2591" s="1">
        <f ca="1">IFERROR(__xludf.DUMMYFUNCTION("""COMPUTED_VALUE"""),193.8)</f>
        <v>193.8</v>
      </c>
      <c r="D2591" s="1">
        <f ca="1">IFERROR(__xludf.DUMMYFUNCTION("""COMPUTED_VALUE"""),189.81)</f>
        <v>189.81</v>
      </c>
      <c r="E2591" s="1">
        <f ca="1">IFERROR(__xludf.DUMMYFUNCTION("""COMPUTED_VALUE"""),193.16)</f>
        <v>193.16</v>
      </c>
      <c r="F2591" s="1">
        <f ca="1">IFERROR(__xludf.DUMMYFUNCTION("""COMPUTED_VALUE"""),46742537)</f>
        <v>46742537</v>
      </c>
    </row>
    <row r="2592" spans="1:6" x14ac:dyDescent="0.35">
      <c r="A2592" s="2">
        <f ca="1">IFERROR(__xludf.DUMMYFUNCTION("""COMPUTED_VALUE"""),45769.6666666666)</f>
        <v>45769.666666666599</v>
      </c>
      <c r="B2592" s="1">
        <f ca="1">IFERROR(__xludf.DUMMYFUNCTION("""COMPUTED_VALUE"""),196.12)</f>
        <v>196.12</v>
      </c>
      <c r="C2592" s="1">
        <f ca="1">IFERROR(__xludf.DUMMYFUNCTION("""COMPUTED_VALUE"""),201.59)</f>
        <v>201.59</v>
      </c>
      <c r="D2592" s="1">
        <f ca="1">IFERROR(__xludf.DUMMYFUNCTION("""COMPUTED_VALUE"""),195.97)</f>
        <v>195.97</v>
      </c>
      <c r="E2592" s="1">
        <f ca="1">IFERROR(__xludf.DUMMYFUNCTION("""COMPUTED_VALUE"""),199.74)</f>
        <v>199.74</v>
      </c>
      <c r="F2592" s="1">
        <f ca="1">IFERROR(__xludf.DUMMYFUNCTION("""COMPUTED_VALUE"""),52976371)</f>
        <v>52976371</v>
      </c>
    </row>
    <row r="2593" spans="1:6" x14ac:dyDescent="0.35">
      <c r="A2593" s="2">
        <f ca="1">IFERROR(__xludf.DUMMYFUNCTION("""COMPUTED_VALUE"""),45770.6666666666)</f>
        <v>45770.666666666599</v>
      </c>
      <c r="B2593" s="1">
        <f ca="1">IFERROR(__xludf.DUMMYFUNCTION("""COMPUTED_VALUE"""),206)</f>
        <v>206</v>
      </c>
      <c r="C2593" s="1">
        <f ca="1">IFERROR(__xludf.DUMMYFUNCTION("""COMPUTED_VALUE"""),208)</f>
        <v>208</v>
      </c>
      <c r="D2593" s="1">
        <f ca="1">IFERROR(__xludf.DUMMYFUNCTION("""COMPUTED_VALUE"""),202.8)</f>
        <v>202.8</v>
      </c>
      <c r="E2593" s="1">
        <f ca="1">IFERROR(__xludf.DUMMYFUNCTION("""COMPUTED_VALUE"""),204.6)</f>
        <v>204.6</v>
      </c>
      <c r="F2593" s="1">
        <f ca="1">IFERROR(__xludf.DUMMYFUNCTION("""COMPUTED_VALUE"""),52929165)</f>
        <v>52929165</v>
      </c>
    </row>
    <row r="2594" spans="1:6" x14ac:dyDescent="0.35">
      <c r="A2594" s="2">
        <f ca="1">IFERROR(__xludf.DUMMYFUNCTION("""COMPUTED_VALUE"""),45771.6666666666)</f>
        <v>45771.666666666599</v>
      </c>
      <c r="B2594" s="1">
        <f ca="1">IFERROR(__xludf.DUMMYFUNCTION("""COMPUTED_VALUE"""),204.89)</f>
        <v>204.89</v>
      </c>
      <c r="C2594" s="1">
        <f ca="1">IFERROR(__xludf.DUMMYFUNCTION("""COMPUTED_VALUE"""),208.83)</f>
        <v>208.83</v>
      </c>
      <c r="D2594" s="1">
        <f ca="1">IFERROR(__xludf.DUMMYFUNCTION("""COMPUTED_VALUE"""),202.94)</f>
        <v>202.94</v>
      </c>
      <c r="E2594" s="1">
        <f ca="1">IFERROR(__xludf.DUMMYFUNCTION("""COMPUTED_VALUE"""),208.37)</f>
        <v>208.37</v>
      </c>
      <c r="F2594" s="1">
        <f ca="1">IFERROR(__xludf.DUMMYFUNCTION("""COMPUTED_VALUE"""),47310989)</f>
        <v>47310989</v>
      </c>
    </row>
    <row r="2595" spans="1:6" x14ac:dyDescent="0.35">
      <c r="A2595" s="2">
        <f ca="1">IFERROR(__xludf.DUMMYFUNCTION("""COMPUTED_VALUE"""),45772.6666666666)</f>
        <v>45772.666666666599</v>
      </c>
      <c r="B2595" s="1">
        <f ca="1">IFERROR(__xludf.DUMMYFUNCTION("""COMPUTED_VALUE"""),206.37)</f>
        <v>206.37</v>
      </c>
      <c r="C2595" s="1">
        <f ca="1">IFERROR(__xludf.DUMMYFUNCTION("""COMPUTED_VALUE"""),209.75)</f>
        <v>209.75</v>
      </c>
      <c r="D2595" s="1">
        <f ca="1">IFERROR(__xludf.DUMMYFUNCTION("""COMPUTED_VALUE"""),206.2)</f>
        <v>206.2</v>
      </c>
      <c r="E2595" s="1">
        <f ca="1">IFERROR(__xludf.DUMMYFUNCTION("""COMPUTED_VALUE"""),209.28)</f>
        <v>209.28</v>
      </c>
      <c r="F2595" s="1">
        <f ca="1">IFERROR(__xludf.DUMMYFUNCTION("""COMPUTED_VALUE"""),38222258)</f>
        <v>38222258</v>
      </c>
    </row>
    <row r="2596" spans="1:6" x14ac:dyDescent="0.35">
      <c r="A2596" s="2">
        <f ca="1">IFERROR(__xludf.DUMMYFUNCTION("""COMPUTED_VALUE"""),45775.6666666666)</f>
        <v>45775.666666666599</v>
      </c>
      <c r="B2596" s="1">
        <f ca="1">IFERROR(__xludf.DUMMYFUNCTION("""COMPUTED_VALUE"""),210)</f>
        <v>210</v>
      </c>
      <c r="C2596" s="1">
        <f ca="1">IFERROR(__xludf.DUMMYFUNCTION("""COMPUTED_VALUE"""),211.5)</f>
        <v>211.5</v>
      </c>
      <c r="D2596" s="1">
        <f ca="1">IFERROR(__xludf.DUMMYFUNCTION("""COMPUTED_VALUE"""),207.46)</f>
        <v>207.46</v>
      </c>
      <c r="E2596" s="1">
        <f ca="1">IFERROR(__xludf.DUMMYFUNCTION("""COMPUTED_VALUE"""),210.14)</f>
        <v>210.14</v>
      </c>
      <c r="F2596" s="1">
        <f ca="1">IFERROR(__xludf.DUMMYFUNCTION("""COMPUTED_VALUE"""),38743074)</f>
        <v>38743074</v>
      </c>
    </row>
    <row r="2597" spans="1:6" x14ac:dyDescent="0.35">
      <c r="A2597" s="2">
        <f ca="1">IFERROR(__xludf.DUMMYFUNCTION("""COMPUTED_VALUE"""),45776.6666666666)</f>
        <v>45776.666666666599</v>
      </c>
      <c r="B2597" s="1">
        <f ca="1">IFERROR(__xludf.DUMMYFUNCTION("""COMPUTED_VALUE"""),208.69)</f>
        <v>208.69</v>
      </c>
      <c r="C2597" s="1">
        <f ca="1">IFERROR(__xludf.DUMMYFUNCTION("""COMPUTED_VALUE"""),212.24)</f>
        <v>212.24</v>
      </c>
      <c r="D2597" s="1">
        <f ca="1">IFERROR(__xludf.DUMMYFUNCTION("""COMPUTED_VALUE"""),208.37)</f>
        <v>208.37</v>
      </c>
      <c r="E2597" s="1">
        <f ca="1">IFERROR(__xludf.DUMMYFUNCTION("""COMPUTED_VALUE"""),211.21)</f>
        <v>211.21</v>
      </c>
      <c r="F2597" s="1">
        <f ca="1">IFERROR(__xludf.DUMMYFUNCTION("""COMPUTED_VALUE"""),36827633)</f>
        <v>36827633</v>
      </c>
    </row>
    <row r="2598" spans="1:6" x14ac:dyDescent="0.35">
      <c r="A2598" s="2">
        <f ca="1">IFERROR(__xludf.DUMMYFUNCTION("""COMPUTED_VALUE"""),45777.6666666666)</f>
        <v>45777.666666666599</v>
      </c>
      <c r="B2598" s="1">
        <f ca="1">IFERROR(__xludf.DUMMYFUNCTION("""COMPUTED_VALUE"""),209.3)</f>
        <v>209.3</v>
      </c>
      <c r="C2598" s="1">
        <f ca="1">IFERROR(__xludf.DUMMYFUNCTION("""COMPUTED_VALUE"""),213.58)</f>
        <v>213.58</v>
      </c>
      <c r="D2598" s="1">
        <f ca="1">IFERROR(__xludf.DUMMYFUNCTION("""COMPUTED_VALUE"""),206.67)</f>
        <v>206.67</v>
      </c>
      <c r="E2598" s="1">
        <f ca="1">IFERROR(__xludf.DUMMYFUNCTION("""COMPUTED_VALUE"""),212.5)</f>
        <v>212.5</v>
      </c>
      <c r="F2598" s="1">
        <f ca="1">IFERROR(__xludf.DUMMYFUNCTION("""COMPUTED_VALUE"""),52286454)</f>
        <v>52286454</v>
      </c>
    </row>
    <row r="2599" spans="1:6" x14ac:dyDescent="0.35">
      <c r="A2599" s="2">
        <f ca="1">IFERROR(__xludf.DUMMYFUNCTION("""COMPUTED_VALUE"""),45778.6666666666)</f>
        <v>45778.666666666599</v>
      </c>
      <c r="B2599" s="1">
        <f ca="1">IFERROR(__xludf.DUMMYFUNCTION("""COMPUTED_VALUE"""),209.08)</f>
        <v>209.08</v>
      </c>
      <c r="C2599" s="1">
        <f ca="1">IFERROR(__xludf.DUMMYFUNCTION("""COMPUTED_VALUE"""),214.56)</f>
        <v>214.56</v>
      </c>
      <c r="D2599" s="1">
        <f ca="1">IFERROR(__xludf.DUMMYFUNCTION("""COMPUTED_VALUE"""),208.9)</f>
        <v>208.9</v>
      </c>
      <c r="E2599" s="1">
        <f ca="1">IFERROR(__xludf.DUMMYFUNCTION("""COMPUTED_VALUE"""),213.32)</f>
        <v>213.32</v>
      </c>
      <c r="F2599" s="1">
        <f ca="1">IFERROR(__xludf.DUMMYFUNCTION("""COMPUTED_VALUE"""),57365675)</f>
        <v>57365675</v>
      </c>
    </row>
    <row r="2600" spans="1:6" x14ac:dyDescent="0.35">
      <c r="A2600" s="2">
        <f ca="1">IFERROR(__xludf.DUMMYFUNCTION("""COMPUTED_VALUE"""),45779.6666666666)</f>
        <v>45779.666666666599</v>
      </c>
      <c r="B2600" s="1">
        <f ca="1">IFERROR(__xludf.DUMMYFUNCTION("""COMPUTED_VALUE"""),206.09)</f>
        <v>206.09</v>
      </c>
      <c r="C2600" s="1">
        <f ca="1">IFERROR(__xludf.DUMMYFUNCTION("""COMPUTED_VALUE"""),206.99)</f>
        <v>206.99</v>
      </c>
      <c r="D2600" s="1">
        <f ca="1">IFERROR(__xludf.DUMMYFUNCTION("""COMPUTED_VALUE"""),202.16)</f>
        <v>202.16</v>
      </c>
      <c r="E2600" s="1">
        <f ca="1">IFERROR(__xludf.DUMMYFUNCTION("""COMPUTED_VALUE"""),205.35)</f>
        <v>205.35</v>
      </c>
      <c r="F2600" s="1">
        <f ca="1">IFERROR(__xludf.DUMMYFUNCTION("""COMPUTED_VALUE"""),101010621)</f>
        <v>101010621</v>
      </c>
    </row>
    <row r="2601" spans="1:6" x14ac:dyDescent="0.35">
      <c r="A2601" s="2">
        <f ca="1">IFERROR(__xludf.DUMMYFUNCTION("""COMPUTED_VALUE"""),45782.6666666666)</f>
        <v>45782.666666666599</v>
      </c>
      <c r="B2601" s="1">
        <f ca="1">IFERROR(__xludf.DUMMYFUNCTION("""COMPUTED_VALUE"""),203.1)</f>
        <v>203.1</v>
      </c>
      <c r="C2601" s="1">
        <f ca="1">IFERROR(__xludf.DUMMYFUNCTION("""COMPUTED_VALUE"""),204.1)</f>
        <v>204.1</v>
      </c>
      <c r="D2601" s="1">
        <f ca="1">IFERROR(__xludf.DUMMYFUNCTION("""COMPUTED_VALUE"""),198.21)</f>
        <v>198.21</v>
      </c>
      <c r="E2601" s="1">
        <f ca="1">IFERROR(__xludf.DUMMYFUNCTION("""COMPUTED_VALUE"""),198.89)</f>
        <v>198.89</v>
      </c>
      <c r="F2601" s="1">
        <f ca="1">IFERROR(__xludf.DUMMYFUNCTION("""COMPUTED_VALUE"""),69018452)</f>
        <v>69018452</v>
      </c>
    </row>
    <row r="2602" spans="1:6" x14ac:dyDescent="0.35">
      <c r="A2602" s="2">
        <f ca="1">IFERROR(__xludf.DUMMYFUNCTION("""COMPUTED_VALUE"""),45783.6666666666)</f>
        <v>45783.666666666599</v>
      </c>
      <c r="B2602" s="1">
        <f ca="1">IFERROR(__xludf.DUMMYFUNCTION("""COMPUTED_VALUE"""),198.21)</f>
        <v>198.21</v>
      </c>
      <c r="C2602" s="1">
        <f ca="1">IFERROR(__xludf.DUMMYFUNCTION("""COMPUTED_VALUE"""),200.65)</f>
        <v>200.65</v>
      </c>
      <c r="D2602" s="1">
        <f ca="1">IFERROR(__xludf.DUMMYFUNCTION("""COMPUTED_VALUE"""),197.02)</f>
        <v>197.02</v>
      </c>
      <c r="E2602" s="1">
        <f ca="1">IFERROR(__xludf.DUMMYFUNCTION("""COMPUTED_VALUE"""),198.51)</f>
        <v>198.51</v>
      </c>
      <c r="F2602" s="1">
        <f ca="1">IFERROR(__xludf.DUMMYFUNCTION("""COMPUTED_VALUE"""),51216482)</f>
        <v>51216482</v>
      </c>
    </row>
    <row r="2603" spans="1:6" x14ac:dyDescent="0.35">
      <c r="A2603" s="2">
        <f ca="1">IFERROR(__xludf.DUMMYFUNCTION("""COMPUTED_VALUE"""),45784.6666666666)</f>
        <v>45784.666666666599</v>
      </c>
      <c r="B2603" s="1">
        <f ca="1">IFERROR(__xludf.DUMMYFUNCTION("""COMPUTED_VALUE"""),199.17)</f>
        <v>199.17</v>
      </c>
      <c r="C2603" s="1">
        <f ca="1">IFERROR(__xludf.DUMMYFUNCTION("""COMPUTED_VALUE"""),199.44)</f>
        <v>199.44</v>
      </c>
      <c r="D2603" s="1">
        <f ca="1">IFERROR(__xludf.DUMMYFUNCTION("""COMPUTED_VALUE"""),193.25)</f>
        <v>193.25</v>
      </c>
      <c r="E2603" s="1">
        <f ca="1">IFERROR(__xludf.DUMMYFUNCTION("""COMPUTED_VALUE"""),196.25)</f>
        <v>196.25</v>
      </c>
      <c r="F2603" s="1">
        <f ca="1">IFERROR(__xludf.DUMMYFUNCTION("""COMPUTED_VALUE"""),68616943)</f>
        <v>68616943</v>
      </c>
    </row>
    <row r="2604" spans="1:6" x14ac:dyDescent="0.35">
      <c r="A2604" s="2">
        <f ca="1">IFERROR(__xludf.DUMMYFUNCTION("""COMPUTED_VALUE"""),45785.6666666666)</f>
        <v>45785.666666666599</v>
      </c>
      <c r="B2604" s="1">
        <f ca="1">IFERROR(__xludf.DUMMYFUNCTION("""COMPUTED_VALUE"""),197.72)</f>
        <v>197.72</v>
      </c>
      <c r="C2604" s="1">
        <f ca="1">IFERROR(__xludf.DUMMYFUNCTION("""COMPUTED_VALUE"""),200.05)</f>
        <v>200.05</v>
      </c>
      <c r="D2604" s="1">
        <f ca="1">IFERROR(__xludf.DUMMYFUNCTION("""COMPUTED_VALUE"""),194.68)</f>
        <v>194.68</v>
      </c>
      <c r="E2604" s="1">
        <f ca="1">IFERROR(__xludf.DUMMYFUNCTION("""COMPUTED_VALUE"""),197.49)</f>
        <v>197.49</v>
      </c>
      <c r="F2604" s="1">
        <f ca="1">IFERROR(__xludf.DUMMYFUNCTION("""COMPUTED_VALUE"""),50478872)</f>
        <v>50478872</v>
      </c>
    </row>
    <row r="2605" spans="1:6" x14ac:dyDescent="0.35">
      <c r="A2605" s="2">
        <f ca="1">IFERROR(__xludf.DUMMYFUNCTION("""COMPUTED_VALUE"""),45786.6666666666)</f>
        <v>45786.666666666599</v>
      </c>
      <c r="B2605" s="1">
        <f ca="1">IFERROR(__xludf.DUMMYFUNCTION("""COMPUTED_VALUE"""),199)</f>
        <v>199</v>
      </c>
      <c r="C2605" s="1">
        <f ca="1">IFERROR(__xludf.DUMMYFUNCTION("""COMPUTED_VALUE"""),200.54)</f>
        <v>200.54</v>
      </c>
      <c r="D2605" s="1">
        <f ca="1">IFERROR(__xludf.DUMMYFUNCTION("""COMPUTED_VALUE"""),197.54)</f>
        <v>197.54</v>
      </c>
      <c r="E2605" s="1">
        <f ca="1">IFERROR(__xludf.DUMMYFUNCTION("""COMPUTED_VALUE"""),198.53)</f>
        <v>198.53</v>
      </c>
      <c r="F2605" s="1">
        <f ca="1">IFERROR(__xludf.DUMMYFUNCTION("""COMPUTED_VALUE"""),36453923)</f>
        <v>36453923</v>
      </c>
    </row>
    <row r="2606" spans="1:6" x14ac:dyDescent="0.35">
      <c r="A2606" s="2">
        <f ca="1">IFERROR(__xludf.DUMMYFUNCTION("""COMPUTED_VALUE"""),45789.6666666666)</f>
        <v>45789.666666666599</v>
      </c>
      <c r="B2606" s="1">
        <f ca="1">IFERROR(__xludf.DUMMYFUNCTION("""COMPUTED_VALUE"""),210.97)</f>
        <v>210.97</v>
      </c>
      <c r="C2606" s="1">
        <f ca="1">IFERROR(__xludf.DUMMYFUNCTION("""COMPUTED_VALUE"""),211.27)</f>
        <v>211.27</v>
      </c>
      <c r="D2606" s="1">
        <f ca="1">IFERROR(__xludf.DUMMYFUNCTION("""COMPUTED_VALUE"""),206.75)</f>
        <v>206.75</v>
      </c>
      <c r="E2606" s="1">
        <f ca="1">IFERROR(__xludf.DUMMYFUNCTION("""COMPUTED_VALUE"""),210.79)</f>
        <v>210.79</v>
      </c>
      <c r="F2606" s="1">
        <f ca="1">IFERROR(__xludf.DUMMYFUNCTION("""COMPUTED_VALUE"""),63775814)</f>
        <v>63775814</v>
      </c>
    </row>
    <row r="2607" spans="1:6" x14ac:dyDescent="0.35">
      <c r="A2607" s="2">
        <f ca="1">IFERROR(__xludf.DUMMYFUNCTION("""COMPUTED_VALUE"""),45790.6666666666)</f>
        <v>45790.666666666599</v>
      </c>
      <c r="B2607" s="1">
        <f ca="1">IFERROR(__xludf.DUMMYFUNCTION("""COMPUTED_VALUE"""),210.43)</f>
        <v>210.43</v>
      </c>
      <c r="C2607" s="1">
        <f ca="1">IFERROR(__xludf.DUMMYFUNCTION("""COMPUTED_VALUE"""),213.4)</f>
        <v>213.4</v>
      </c>
      <c r="D2607" s="1">
        <f ca="1">IFERROR(__xludf.DUMMYFUNCTION("""COMPUTED_VALUE"""),209)</f>
        <v>209</v>
      </c>
      <c r="E2607" s="1">
        <f ca="1">IFERROR(__xludf.DUMMYFUNCTION("""COMPUTED_VALUE"""),212.93)</f>
        <v>212.93</v>
      </c>
      <c r="F2607" s="1">
        <f ca="1">IFERROR(__xludf.DUMMYFUNCTION("""COMPUTED_VALUE"""),51909332)</f>
        <v>51909332</v>
      </c>
    </row>
    <row r="2608" spans="1:6" x14ac:dyDescent="0.35">
      <c r="A2608" s="2">
        <f ca="1">IFERROR(__xludf.DUMMYFUNCTION("""COMPUTED_VALUE"""),45791.6666666666)</f>
        <v>45791.666666666599</v>
      </c>
      <c r="B2608" s="1">
        <f ca="1">IFERROR(__xludf.DUMMYFUNCTION("""COMPUTED_VALUE"""),212.43)</f>
        <v>212.43</v>
      </c>
      <c r="C2608" s="1">
        <f ca="1">IFERROR(__xludf.DUMMYFUNCTION("""COMPUTED_VALUE"""),213.94)</f>
        <v>213.94</v>
      </c>
      <c r="D2608" s="1">
        <f ca="1">IFERROR(__xludf.DUMMYFUNCTION("""COMPUTED_VALUE"""),210.58)</f>
        <v>210.58</v>
      </c>
      <c r="E2608" s="1">
        <f ca="1">IFERROR(__xludf.DUMMYFUNCTION("""COMPUTED_VALUE"""),212.33)</f>
        <v>212.33</v>
      </c>
      <c r="F2608" s="1">
        <f ca="1">IFERROR(__xludf.DUMMYFUNCTION("""COMPUTED_VALUE"""),49325825)</f>
        <v>49325825</v>
      </c>
    </row>
    <row r="2609" spans="1:6" x14ac:dyDescent="0.35">
      <c r="A2609" s="2">
        <f ca="1">IFERROR(__xludf.DUMMYFUNCTION("""COMPUTED_VALUE"""),45792.6666666666)</f>
        <v>45792.666666666599</v>
      </c>
      <c r="B2609" s="1">
        <f ca="1">IFERROR(__xludf.DUMMYFUNCTION("""COMPUTED_VALUE"""),210.95)</f>
        <v>210.95</v>
      </c>
      <c r="C2609" s="1">
        <f ca="1">IFERROR(__xludf.DUMMYFUNCTION("""COMPUTED_VALUE"""),212.96)</f>
        <v>212.96</v>
      </c>
      <c r="D2609" s="1">
        <f ca="1">IFERROR(__xludf.DUMMYFUNCTION("""COMPUTED_VALUE"""),209.54)</f>
        <v>209.54</v>
      </c>
      <c r="E2609" s="1">
        <f ca="1">IFERROR(__xludf.DUMMYFUNCTION("""COMPUTED_VALUE"""),211.45)</f>
        <v>211.45</v>
      </c>
      <c r="F2609" s="1">
        <f ca="1">IFERROR(__xludf.DUMMYFUNCTION("""COMPUTED_VALUE"""),45029473)</f>
        <v>45029473</v>
      </c>
    </row>
    <row r="2610" spans="1:6" x14ac:dyDescent="0.35">
      <c r="A2610" s="2">
        <f ca="1">IFERROR(__xludf.DUMMYFUNCTION("""COMPUTED_VALUE"""),45793.6666666666)</f>
        <v>45793.666666666599</v>
      </c>
      <c r="B2610" s="1">
        <f ca="1">IFERROR(__xludf.DUMMYFUNCTION("""COMPUTED_VALUE"""),212.36)</f>
        <v>212.36</v>
      </c>
      <c r="C2610" s="1">
        <f ca="1">IFERROR(__xludf.DUMMYFUNCTION("""COMPUTED_VALUE"""),212.57)</f>
        <v>212.57</v>
      </c>
      <c r="D2610" s="1">
        <f ca="1">IFERROR(__xludf.DUMMYFUNCTION("""COMPUTED_VALUE"""),209.77)</f>
        <v>209.77</v>
      </c>
      <c r="E2610" s="1">
        <f ca="1">IFERROR(__xludf.DUMMYFUNCTION("""COMPUTED_VALUE"""),211.26)</f>
        <v>211.26</v>
      </c>
      <c r="F2610" s="1">
        <f ca="1">IFERROR(__xludf.DUMMYFUNCTION("""COMPUTED_VALUE"""),54737850)</f>
        <v>54737850</v>
      </c>
    </row>
    <row r="2611" spans="1:6" x14ac:dyDescent="0.35">
      <c r="A2611" s="2">
        <f ca="1">IFERROR(__xludf.DUMMYFUNCTION("""COMPUTED_VALUE"""),45796.6666666666)</f>
        <v>45796.666666666599</v>
      </c>
      <c r="B2611" s="1">
        <f ca="1">IFERROR(__xludf.DUMMYFUNCTION("""COMPUTED_VALUE"""),207.91)</f>
        <v>207.91</v>
      </c>
      <c r="C2611" s="1">
        <f ca="1">IFERROR(__xludf.DUMMYFUNCTION("""COMPUTED_VALUE"""),209.48)</f>
        <v>209.48</v>
      </c>
      <c r="D2611" s="1">
        <f ca="1">IFERROR(__xludf.DUMMYFUNCTION("""COMPUTED_VALUE"""),204.26)</f>
        <v>204.26</v>
      </c>
      <c r="E2611" s="1">
        <f ca="1">IFERROR(__xludf.DUMMYFUNCTION("""COMPUTED_VALUE"""),208.78)</f>
        <v>208.78</v>
      </c>
      <c r="F2611" s="1">
        <f ca="1">IFERROR(__xludf.DUMMYFUNCTION("""COMPUTED_VALUE"""),46140527)</f>
        <v>46140527</v>
      </c>
    </row>
    <row r="2612" spans="1:6" x14ac:dyDescent="0.35">
      <c r="A2612" s="2">
        <f ca="1">IFERROR(__xludf.DUMMYFUNCTION("""COMPUTED_VALUE"""),45797.6666666666)</f>
        <v>45797.666666666599</v>
      </c>
      <c r="B2612" s="1">
        <f ca="1">IFERROR(__xludf.DUMMYFUNCTION("""COMPUTED_VALUE"""),207.67)</f>
        <v>207.67</v>
      </c>
      <c r="C2612" s="1">
        <f ca="1">IFERROR(__xludf.DUMMYFUNCTION("""COMPUTED_VALUE"""),208.47)</f>
        <v>208.47</v>
      </c>
      <c r="D2612" s="1">
        <f ca="1">IFERROR(__xludf.DUMMYFUNCTION("""COMPUTED_VALUE"""),205.03)</f>
        <v>205.03</v>
      </c>
      <c r="E2612" s="1">
        <f ca="1">IFERROR(__xludf.DUMMYFUNCTION("""COMPUTED_VALUE"""),206.86)</f>
        <v>206.86</v>
      </c>
      <c r="F2612" s="1">
        <f ca="1">IFERROR(__xludf.DUMMYFUNCTION("""COMPUTED_VALUE"""),42496635)</f>
        <v>42496635</v>
      </c>
    </row>
    <row r="2613" spans="1:6" x14ac:dyDescent="0.35">
      <c r="A2613" s="2">
        <f ca="1">IFERROR(__xludf.DUMMYFUNCTION("""COMPUTED_VALUE"""),45798.6666666666)</f>
        <v>45798.666666666599</v>
      </c>
      <c r="B2613" s="1">
        <f ca="1">IFERROR(__xludf.DUMMYFUNCTION("""COMPUTED_VALUE"""),205.17)</f>
        <v>205.17</v>
      </c>
      <c r="C2613" s="1">
        <f ca="1">IFERROR(__xludf.DUMMYFUNCTION("""COMPUTED_VALUE"""),207.04)</f>
        <v>207.04</v>
      </c>
      <c r="D2613" s="1">
        <f ca="1">IFERROR(__xludf.DUMMYFUNCTION("""COMPUTED_VALUE"""),200.71)</f>
        <v>200.71</v>
      </c>
      <c r="E2613" s="1">
        <f ca="1">IFERROR(__xludf.DUMMYFUNCTION("""COMPUTED_VALUE"""),202.09)</f>
        <v>202.09</v>
      </c>
      <c r="F2613" s="1">
        <f ca="1">IFERROR(__xludf.DUMMYFUNCTION("""COMPUTED_VALUE"""),59211774)</f>
        <v>59211774</v>
      </c>
    </row>
    <row r="2614" spans="1:6" x14ac:dyDescent="0.35">
      <c r="A2614" s="2">
        <f ca="1">IFERROR(__xludf.DUMMYFUNCTION("""COMPUTED_VALUE"""),45799.6666666666)</f>
        <v>45799.666666666599</v>
      </c>
      <c r="B2614" s="1">
        <f ca="1">IFERROR(__xludf.DUMMYFUNCTION("""COMPUTED_VALUE"""),205.17)</f>
        <v>205.17</v>
      </c>
      <c r="C2614" s="1">
        <f ca="1">IFERROR(__xludf.DUMMYFUNCTION("""COMPUTED_VALUE"""),207.04)</f>
        <v>207.04</v>
      </c>
      <c r="D2614" s="1">
        <f ca="1">IFERROR(__xludf.DUMMYFUNCTION("""COMPUTED_VALUE"""),200.71)</f>
        <v>200.71</v>
      </c>
      <c r="E2614" s="1">
        <f ca="1">IFERROR(__xludf.DUMMYFUNCTION("""COMPUTED_VALUE"""),202.09)</f>
        <v>202.09</v>
      </c>
      <c r="F2614" s="1">
        <f ca="1">IFERROR(__xludf.DUMMYFUNCTION("""COMPUTED_VALUE"""),1536434)</f>
        <v>1536434</v>
      </c>
    </row>
    <row r="2615" spans="1:6" x14ac:dyDescent="0.35">
      <c r="A2615" s="2">
        <f ca="1">IFERROR(__xludf.DUMMYFUNCTION("""COMPUTED_VALUE"""),45800.6666666666)</f>
        <v>45800.666666666599</v>
      </c>
      <c r="B2615" s="1">
        <f ca="1">IFERROR(__xludf.DUMMYFUNCTION("""COMPUTED_VALUE"""),193.67)</f>
        <v>193.67</v>
      </c>
      <c r="C2615" s="1">
        <f ca="1">IFERROR(__xludf.DUMMYFUNCTION("""COMPUTED_VALUE"""),197.7)</f>
        <v>197.7</v>
      </c>
      <c r="D2615" s="1">
        <f ca="1">IFERROR(__xludf.DUMMYFUNCTION("""COMPUTED_VALUE"""),193.46)</f>
        <v>193.46</v>
      </c>
      <c r="E2615" s="1">
        <f ca="1">IFERROR(__xludf.DUMMYFUNCTION("""COMPUTED_VALUE"""),195.27)</f>
        <v>195.27</v>
      </c>
      <c r="F2615" s="1">
        <f ca="1">IFERROR(__xludf.DUMMYFUNCTION("""COMPUTED_VALUE"""),78432918)</f>
        <v>78432918</v>
      </c>
    </row>
    <row r="2616" spans="1:6" x14ac:dyDescent="0.35">
      <c r="A2616" s="2">
        <f ca="1">IFERROR(__xludf.DUMMYFUNCTION("""COMPUTED_VALUE"""),45804.6666666666)</f>
        <v>45804.666666666599</v>
      </c>
      <c r="B2616" s="1">
        <f ca="1">IFERROR(__xludf.DUMMYFUNCTION("""COMPUTED_VALUE"""),198.3)</f>
        <v>198.3</v>
      </c>
      <c r="C2616" s="1">
        <f ca="1">IFERROR(__xludf.DUMMYFUNCTION("""COMPUTED_VALUE"""),200.74)</f>
        <v>200.74</v>
      </c>
      <c r="D2616" s="1">
        <f ca="1">IFERROR(__xludf.DUMMYFUNCTION("""COMPUTED_VALUE"""),197.43)</f>
        <v>197.43</v>
      </c>
      <c r="E2616" s="1">
        <f ca="1">IFERROR(__xludf.DUMMYFUNCTION("""COMPUTED_VALUE"""),200.21)</f>
        <v>200.21</v>
      </c>
      <c r="F2616" s="1">
        <f ca="1">IFERROR(__xludf.DUMMYFUNCTION("""COMPUTED_VALUE"""),56288475)</f>
        <v>56288475</v>
      </c>
    </row>
    <row r="2617" spans="1:6" x14ac:dyDescent="0.35">
      <c r="A2617" s="2">
        <f ca="1">IFERROR(__xludf.DUMMYFUNCTION("""COMPUTED_VALUE"""),45805.6666666666)</f>
        <v>45805.666666666599</v>
      </c>
      <c r="B2617" s="1">
        <f ca="1">IFERROR(__xludf.DUMMYFUNCTION("""COMPUTED_VALUE"""),200.59)</f>
        <v>200.59</v>
      </c>
      <c r="C2617" s="1">
        <f ca="1">IFERROR(__xludf.DUMMYFUNCTION("""COMPUTED_VALUE"""),202.73)</f>
        <v>202.73</v>
      </c>
      <c r="D2617" s="1">
        <f ca="1">IFERROR(__xludf.DUMMYFUNCTION("""COMPUTED_VALUE"""),199.9)</f>
        <v>199.9</v>
      </c>
      <c r="E2617" s="1">
        <f ca="1">IFERROR(__xludf.DUMMYFUNCTION("""COMPUTED_VALUE"""),200.42)</f>
        <v>200.42</v>
      </c>
      <c r="F2617" s="1">
        <f ca="1">IFERROR(__xludf.DUMMYFUNCTION("""COMPUTED_VALUE"""),45339678)</f>
        <v>45339678</v>
      </c>
    </row>
    <row r="2618" spans="1:6" x14ac:dyDescent="0.35">
      <c r="A2618" s="2">
        <f ca="1">IFERROR(__xludf.DUMMYFUNCTION("""COMPUTED_VALUE"""),45806.6666666666)</f>
        <v>45806.666666666599</v>
      </c>
      <c r="B2618" s="1">
        <f ca="1">IFERROR(__xludf.DUMMYFUNCTION("""COMPUTED_VALUE"""),203.58)</f>
        <v>203.58</v>
      </c>
      <c r="C2618" s="1">
        <f ca="1">IFERROR(__xludf.DUMMYFUNCTION("""COMPUTED_VALUE"""),203.81)</f>
        <v>203.81</v>
      </c>
      <c r="D2618" s="1">
        <f ca="1">IFERROR(__xludf.DUMMYFUNCTION("""COMPUTED_VALUE"""),198.51)</f>
        <v>198.51</v>
      </c>
      <c r="E2618" s="1">
        <f ca="1">IFERROR(__xludf.DUMMYFUNCTION("""COMPUTED_VALUE"""),199.95)</f>
        <v>199.95</v>
      </c>
      <c r="F2618" s="1">
        <f ca="1">IFERROR(__xludf.DUMMYFUNCTION("""COMPUTED_VALUE"""),51477938)</f>
        <v>51477938</v>
      </c>
    </row>
    <row r="2619" spans="1:6" x14ac:dyDescent="0.35">
      <c r="A2619" s="2">
        <f ca="1">IFERROR(__xludf.DUMMYFUNCTION("""COMPUTED_VALUE"""),45807.6666666666)</f>
        <v>45807.666666666599</v>
      </c>
      <c r="B2619" s="1">
        <f ca="1">IFERROR(__xludf.DUMMYFUNCTION("""COMPUTED_VALUE"""),199.37)</f>
        <v>199.37</v>
      </c>
      <c r="C2619" s="1">
        <f ca="1">IFERROR(__xludf.DUMMYFUNCTION("""COMPUTED_VALUE"""),201.96)</f>
        <v>201.96</v>
      </c>
      <c r="D2619" s="1">
        <f ca="1">IFERROR(__xludf.DUMMYFUNCTION("""COMPUTED_VALUE"""),196.78)</f>
        <v>196.78</v>
      </c>
      <c r="E2619" s="1">
        <f ca="1">IFERROR(__xludf.DUMMYFUNCTION("""COMPUTED_VALUE"""),200.85)</f>
        <v>200.85</v>
      </c>
      <c r="F2619" s="1">
        <f ca="1">IFERROR(__xludf.DUMMYFUNCTION("""COMPUTED_VALUE"""),70819942)</f>
        <v>70819942</v>
      </c>
    </row>
    <row r="2620" spans="1:6" x14ac:dyDescent="0.35">
      <c r="A2620" s="2">
        <f ca="1">IFERROR(__xludf.DUMMYFUNCTION("""COMPUTED_VALUE"""),45810.6666666666)</f>
        <v>45810.666666666599</v>
      </c>
      <c r="B2620" s="1">
        <f ca="1">IFERROR(__xludf.DUMMYFUNCTION("""COMPUTED_VALUE"""),200.28)</f>
        <v>200.28</v>
      </c>
      <c r="C2620" s="1">
        <f ca="1">IFERROR(__xludf.DUMMYFUNCTION("""COMPUTED_VALUE"""),202.13)</f>
        <v>202.13</v>
      </c>
      <c r="D2620" s="1">
        <f ca="1">IFERROR(__xludf.DUMMYFUNCTION("""COMPUTED_VALUE"""),200.12)</f>
        <v>200.12</v>
      </c>
      <c r="E2620" s="1">
        <f ca="1">IFERROR(__xludf.DUMMYFUNCTION("""COMPUTED_VALUE"""),201.7)</f>
        <v>201.7</v>
      </c>
      <c r="F2620" s="1">
        <f ca="1">IFERROR(__xludf.DUMMYFUNCTION("""COMPUTED_VALUE"""),35423294)</f>
        <v>35423294</v>
      </c>
    </row>
    <row r="2621" spans="1:6" x14ac:dyDescent="0.35">
      <c r="A2621" s="2">
        <f ca="1">IFERROR(__xludf.DUMMYFUNCTION("""COMPUTED_VALUE"""),45811.6666666666)</f>
        <v>45811.666666666599</v>
      </c>
      <c r="B2621" s="1">
        <f ca="1">IFERROR(__xludf.DUMMYFUNCTION("""COMPUTED_VALUE"""),201.35)</f>
        <v>201.35</v>
      </c>
      <c r="C2621" s="1">
        <f ca="1">IFERROR(__xludf.DUMMYFUNCTION("""COMPUTED_VALUE"""),203.77)</f>
        <v>203.77</v>
      </c>
      <c r="D2621" s="1">
        <f ca="1">IFERROR(__xludf.DUMMYFUNCTION("""COMPUTED_VALUE"""),200.96)</f>
        <v>200.96</v>
      </c>
      <c r="E2621" s="1">
        <f ca="1">IFERROR(__xludf.DUMMYFUNCTION("""COMPUTED_VALUE"""),203.27)</f>
        <v>203.27</v>
      </c>
      <c r="F2621" s="1">
        <f ca="1">IFERROR(__xludf.DUMMYFUNCTION("""COMPUTED_VALUE"""),46381567)</f>
        <v>46381567</v>
      </c>
    </row>
    <row r="2622" spans="1:6" x14ac:dyDescent="0.35">
      <c r="A2622" s="2">
        <f ca="1">IFERROR(__xludf.DUMMYFUNCTION("""COMPUTED_VALUE"""),45812.6666666666)</f>
        <v>45812.666666666599</v>
      </c>
      <c r="B2622" s="1">
        <f ca="1">IFERROR(__xludf.DUMMYFUNCTION("""COMPUTED_VALUE"""),202.91)</f>
        <v>202.91</v>
      </c>
      <c r="C2622" s="1">
        <f ca="1">IFERROR(__xludf.DUMMYFUNCTION("""COMPUTED_VALUE"""),206.24)</f>
        <v>206.24</v>
      </c>
      <c r="D2622" s="1">
        <f ca="1">IFERROR(__xludf.DUMMYFUNCTION("""COMPUTED_VALUE"""),202.1)</f>
        <v>202.1</v>
      </c>
      <c r="E2622" s="1">
        <f ca="1">IFERROR(__xludf.DUMMYFUNCTION("""COMPUTED_VALUE"""),202.82)</f>
        <v>202.82</v>
      </c>
      <c r="F2622" s="1">
        <f ca="1">IFERROR(__xludf.DUMMYFUNCTION("""COMPUTED_VALUE"""),43603985)</f>
        <v>43603985</v>
      </c>
    </row>
    <row r="2623" spans="1:6" x14ac:dyDescent="0.35">
      <c r="A2623" s="2">
        <f ca="1">IFERROR(__xludf.DUMMYFUNCTION("""COMPUTED_VALUE"""),45813.6666666666)</f>
        <v>45813.666666666599</v>
      </c>
      <c r="B2623" s="1">
        <f ca="1">IFERROR(__xludf.DUMMYFUNCTION("""COMPUTED_VALUE"""),203.5)</f>
        <v>203.5</v>
      </c>
      <c r="C2623" s="1">
        <f ca="1">IFERROR(__xludf.DUMMYFUNCTION("""COMPUTED_VALUE"""),204.75)</f>
        <v>204.75</v>
      </c>
      <c r="D2623" s="1">
        <f ca="1">IFERROR(__xludf.DUMMYFUNCTION("""COMPUTED_VALUE"""),200.15)</f>
        <v>200.15</v>
      </c>
      <c r="E2623" s="1">
        <f ca="1">IFERROR(__xludf.DUMMYFUNCTION("""COMPUTED_VALUE"""),200.63)</f>
        <v>200.63</v>
      </c>
      <c r="F2623" s="1">
        <f ca="1">IFERROR(__xludf.DUMMYFUNCTION("""COMPUTED_VALUE"""),55221235)</f>
        <v>55221235</v>
      </c>
    </row>
    <row r="2624" spans="1:6" x14ac:dyDescent="0.35">
      <c r="A2624" s="2">
        <f ca="1">IFERROR(__xludf.DUMMYFUNCTION("""COMPUTED_VALUE"""),45814.6666666666)</f>
        <v>45814.666666666599</v>
      </c>
      <c r="B2624" s="1">
        <f ca="1">IFERROR(__xludf.DUMMYFUNCTION("""COMPUTED_VALUE"""),203)</f>
        <v>203</v>
      </c>
      <c r="C2624" s="1">
        <f ca="1">IFERROR(__xludf.DUMMYFUNCTION("""COMPUTED_VALUE"""),205.7)</f>
        <v>205.7</v>
      </c>
      <c r="D2624" s="1">
        <f ca="1">IFERROR(__xludf.DUMMYFUNCTION("""COMPUTED_VALUE"""),202.05)</f>
        <v>202.05</v>
      </c>
      <c r="E2624" s="1">
        <f ca="1">IFERROR(__xludf.DUMMYFUNCTION("""COMPUTED_VALUE"""),203.92)</f>
        <v>203.92</v>
      </c>
      <c r="F2624" s="1">
        <f ca="1">IFERROR(__xludf.DUMMYFUNCTION("""COMPUTED_VALUE"""),46607693)</f>
        <v>46607693</v>
      </c>
    </row>
    <row r="2625" spans="1:6" x14ac:dyDescent="0.35">
      <c r="A2625" s="2">
        <f ca="1">IFERROR(__xludf.DUMMYFUNCTION("""COMPUTED_VALUE"""),45817.6666666666)</f>
        <v>45817.666666666599</v>
      </c>
      <c r="B2625" s="1">
        <f ca="1">IFERROR(__xludf.DUMMYFUNCTION("""COMPUTED_VALUE"""),204.39)</f>
        <v>204.39</v>
      </c>
      <c r="C2625" s="1">
        <f ca="1">IFERROR(__xludf.DUMMYFUNCTION("""COMPUTED_VALUE"""),206)</f>
        <v>206</v>
      </c>
      <c r="D2625" s="1">
        <f ca="1">IFERROR(__xludf.DUMMYFUNCTION("""COMPUTED_VALUE"""),200.02)</f>
        <v>200.02</v>
      </c>
      <c r="E2625" s="1">
        <f ca="1">IFERROR(__xludf.DUMMYFUNCTION("""COMPUTED_VALUE"""),201.45)</f>
        <v>201.45</v>
      </c>
      <c r="F2625" s="1">
        <f ca="1">IFERROR(__xludf.DUMMYFUNCTION("""COMPUTED_VALUE"""),72862557)</f>
        <v>72862557</v>
      </c>
    </row>
    <row r="2626" spans="1:6" x14ac:dyDescent="0.35">
      <c r="A2626" s="2">
        <f ca="1">IFERROR(__xludf.DUMMYFUNCTION("""COMPUTED_VALUE"""),45818.6666666666)</f>
        <v>45818.666666666599</v>
      </c>
      <c r="B2626" s="1">
        <f ca="1">IFERROR(__xludf.DUMMYFUNCTION("""COMPUTED_VALUE"""),200.6)</f>
        <v>200.6</v>
      </c>
      <c r="C2626" s="1">
        <f ca="1">IFERROR(__xludf.DUMMYFUNCTION("""COMPUTED_VALUE"""),204.35)</f>
        <v>204.35</v>
      </c>
      <c r="D2626" s="1">
        <f ca="1">IFERROR(__xludf.DUMMYFUNCTION("""COMPUTED_VALUE"""),200.57)</f>
        <v>200.57</v>
      </c>
      <c r="E2626" s="1">
        <f ca="1">IFERROR(__xludf.DUMMYFUNCTION("""COMPUTED_VALUE"""),202.67)</f>
        <v>202.67</v>
      </c>
      <c r="F2626" s="1">
        <f ca="1">IFERROR(__xludf.DUMMYFUNCTION("""COMPUTED_VALUE"""),54672608)</f>
        <v>54672608</v>
      </c>
    </row>
    <row r="2627" spans="1:6" x14ac:dyDescent="0.35">
      <c r="A2627" s="2">
        <f ca="1">IFERROR(__xludf.DUMMYFUNCTION("""COMPUTED_VALUE"""),45819.6666666666)</f>
        <v>45819.666666666599</v>
      </c>
      <c r="B2627" s="1">
        <f ca="1">IFERROR(__xludf.DUMMYFUNCTION("""COMPUTED_VALUE"""),203.5)</f>
        <v>203.5</v>
      </c>
      <c r="C2627" s="1">
        <f ca="1">IFERROR(__xludf.DUMMYFUNCTION("""COMPUTED_VALUE"""),204.5)</f>
        <v>204.5</v>
      </c>
      <c r="D2627" s="1">
        <f ca="1">IFERROR(__xludf.DUMMYFUNCTION("""COMPUTED_VALUE"""),198.41)</f>
        <v>198.41</v>
      </c>
      <c r="E2627" s="1">
        <f ca="1">IFERROR(__xludf.DUMMYFUNCTION("""COMPUTED_VALUE"""),198.78)</f>
        <v>198.78</v>
      </c>
      <c r="F2627" s="1">
        <f ca="1">IFERROR(__xludf.DUMMYFUNCTION("""COMPUTED_VALUE"""),60989857)</f>
        <v>60989857</v>
      </c>
    </row>
    <row r="2628" spans="1:6" x14ac:dyDescent="0.35">
      <c r="A2628" s="2">
        <f ca="1">IFERROR(__xludf.DUMMYFUNCTION("""COMPUTED_VALUE"""),45820.6666666666)</f>
        <v>45820.666666666599</v>
      </c>
      <c r="B2628" s="1">
        <f ca="1">IFERROR(__xludf.DUMMYFUNCTION("""COMPUTED_VALUE"""),199.08)</f>
        <v>199.08</v>
      </c>
      <c r="C2628" s="1">
        <f ca="1">IFERROR(__xludf.DUMMYFUNCTION("""COMPUTED_VALUE"""),199.68)</f>
        <v>199.68</v>
      </c>
      <c r="D2628" s="1">
        <f ca="1">IFERROR(__xludf.DUMMYFUNCTION("""COMPUTED_VALUE"""),197.36)</f>
        <v>197.36</v>
      </c>
      <c r="E2628" s="1">
        <f ca="1">IFERROR(__xludf.DUMMYFUNCTION("""COMPUTED_VALUE"""),199.2)</f>
        <v>199.2</v>
      </c>
      <c r="F2628" s="1">
        <f ca="1">IFERROR(__xludf.DUMMYFUNCTION("""COMPUTED_VALUE"""),43904635)</f>
        <v>43904635</v>
      </c>
    </row>
    <row r="2629" spans="1:6" x14ac:dyDescent="0.35">
      <c r="A2629" s="2">
        <f ca="1">IFERROR(__xludf.DUMMYFUNCTION("""COMPUTED_VALUE"""),45821.6666666666)</f>
        <v>45821.666666666599</v>
      </c>
      <c r="B2629" s="1">
        <f ca="1">IFERROR(__xludf.DUMMYFUNCTION("""COMPUTED_VALUE"""),199.73)</f>
        <v>199.73</v>
      </c>
      <c r="C2629" s="1">
        <f ca="1">IFERROR(__xludf.DUMMYFUNCTION("""COMPUTED_VALUE"""),200.37)</f>
        <v>200.37</v>
      </c>
      <c r="D2629" s="1">
        <f ca="1">IFERROR(__xludf.DUMMYFUNCTION("""COMPUTED_VALUE"""),195.7)</f>
        <v>195.7</v>
      </c>
      <c r="E2629" s="1">
        <f ca="1">IFERROR(__xludf.DUMMYFUNCTION("""COMPUTED_VALUE"""),196.45)</f>
        <v>196.45</v>
      </c>
      <c r="F2629" s="1">
        <f ca="1">IFERROR(__xludf.DUMMYFUNCTION("""COMPUTED_VALUE"""),51447349)</f>
        <v>51447349</v>
      </c>
    </row>
    <row r="2630" spans="1:6" x14ac:dyDescent="0.35">
      <c r="A2630" s="2">
        <f ca="1">IFERROR(__xludf.DUMMYFUNCTION("""COMPUTED_VALUE"""),45824.6666666666)</f>
        <v>45824.666666666599</v>
      </c>
      <c r="B2630" s="1">
        <f ca="1">IFERROR(__xludf.DUMMYFUNCTION("""COMPUTED_VALUE"""),197.3)</f>
        <v>197.3</v>
      </c>
      <c r="C2630" s="1">
        <f ca="1">IFERROR(__xludf.DUMMYFUNCTION("""COMPUTED_VALUE"""),198.69)</f>
        <v>198.69</v>
      </c>
      <c r="D2630" s="1">
        <f ca="1">IFERROR(__xludf.DUMMYFUNCTION("""COMPUTED_VALUE"""),196.56)</f>
        <v>196.56</v>
      </c>
      <c r="E2630" s="1">
        <f ca="1">IFERROR(__xludf.DUMMYFUNCTION("""COMPUTED_VALUE"""),198.42)</f>
        <v>198.42</v>
      </c>
      <c r="F2630" s="1">
        <f ca="1">IFERROR(__xludf.DUMMYFUNCTION("""COMPUTED_VALUE"""),43020691)</f>
        <v>43020691</v>
      </c>
    </row>
    <row r="2631" spans="1:6" x14ac:dyDescent="0.35">
      <c r="A2631" s="2">
        <f ca="1">IFERROR(__xludf.DUMMYFUNCTION("""COMPUTED_VALUE"""),45825.6666666666)</f>
        <v>45825.666666666599</v>
      </c>
      <c r="B2631" s="1">
        <f ca="1">IFERROR(__xludf.DUMMYFUNCTION("""COMPUTED_VALUE"""),197.2)</f>
        <v>197.2</v>
      </c>
      <c r="C2631" s="1">
        <f ca="1">IFERROR(__xludf.DUMMYFUNCTION("""COMPUTED_VALUE"""),198.39)</f>
        <v>198.39</v>
      </c>
      <c r="D2631" s="1">
        <f ca="1">IFERROR(__xludf.DUMMYFUNCTION("""COMPUTED_VALUE"""),195.21)</f>
        <v>195.21</v>
      </c>
      <c r="E2631" s="1">
        <f ca="1">IFERROR(__xludf.DUMMYFUNCTION("""COMPUTED_VALUE"""),195.64)</f>
        <v>195.64</v>
      </c>
      <c r="F2631" s="1">
        <f ca="1">IFERROR(__xludf.DUMMYFUNCTION("""COMPUTED_VALUE"""),38856152)</f>
        <v>38856152</v>
      </c>
    </row>
    <row r="2632" spans="1:6" x14ac:dyDescent="0.35">
      <c r="A2632" s="2">
        <f ca="1">IFERROR(__xludf.DUMMYFUNCTION("""COMPUTED_VALUE"""),45826.6666666666)</f>
        <v>45826.666666666599</v>
      </c>
      <c r="B2632" s="1">
        <f ca="1">IFERROR(__xludf.DUMMYFUNCTION("""COMPUTED_VALUE"""),195.94)</f>
        <v>195.94</v>
      </c>
      <c r="C2632" s="1">
        <f ca="1">IFERROR(__xludf.DUMMYFUNCTION("""COMPUTED_VALUE"""),197.57)</f>
        <v>197.57</v>
      </c>
      <c r="D2632" s="1">
        <f ca="1">IFERROR(__xludf.DUMMYFUNCTION("""COMPUTED_VALUE"""),195.07)</f>
        <v>195.07</v>
      </c>
      <c r="E2632" s="1">
        <f ca="1">IFERROR(__xludf.DUMMYFUNCTION("""COMPUTED_VALUE"""),196.58)</f>
        <v>196.58</v>
      </c>
      <c r="F2632" s="1">
        <f ca="1">IFERROR(__xludf.DUMMYFUNCTION("""COMPUTED_VALUE"""),45394689)</f>
        <v>45394689</v>
      </c>
    </row>
    <row r="2633" spans="1:6" x14ac:dyDescent="0.35">
      <c r="A2633" s="2">
        <f ca="1">IFERROR(__xludf.DUMMYFUNCTION("""COMPUTED_VALUE"""),45828.6666666666)</f>
        <v>45828.666666666599</v>
      </c>
      <c r="B2633" s="1">
        <f ca="1">IFERROR(__xludf.DUMMYFUNCTION("""COMPUTED_VALUE"""),198.24)</f>
        <v>198.24</v>
      </c>
      <c r="C2633" s="1">
        <f ca="1">IFERROR(__xludf.DUMMYFUNCTION("""COMPUTED_VALUE"""),201.7)</f>
        <v>201.7</v>
      </c>
      <c r="D2633" s="1">
        <f ca="1">IFERROR(__xludf.DUMMYFUNCTION("""COMPUTED_VALUE"""),196.86)</f>
        <v>196.86</v>
      </c>
      <c r="E2633" s="1">
        <f ca="1">IFERROR(__xludf.DUMMYFUNCTION("""COMPUTED_VALUE"""),201)</f>
        <v>201</v>
      </c>
      <c r="F2633" s="1">
        <f ca="1">IFERROR(__xludf.DUMMYFUNCTION("""COMPUTED_VALUE"""),96813542)</f>
        <v>96813542</v>
      </c>
    </row>
    <row r="2634" spans="1:6" x14ac:dyDescent="0.35">
      <c r="A2634" s="2">
        <f ca="1">IFERROR(__xludf.DUMMYFUNCTION("""COMPUTED_VALUE"""),45831.6666666666)</f>
        <v>45831.666666666599</v>
      </c>
      <c r="B2634" s="1">
        <f ca="1">IFERROR(__xludf.DUMMYFUNCTION("""COMPUTED_VALUE"""),201.63)</f>
        <v>201.63</v>
      </c>
      <c r="C2634" s="1">
        <f ca="1">IFERROR(__xludf.DUMMYFUNCTION("""COMPUTED_VALUE"""),202.3)</f>
        <v>202.3</v>
      </c>
      <c r="D2634" s="1">
        <f ca="1">IFERROR(__xludf.DUMMYFUNCTION("""COMPUTED_VALUE"""),198.96)</f>
        <v>198.96</v>
      </c>
      <c r="E2634" s="1">
        <f ca="1">IFERROR(__xludf.DUMMYFUNCTION("""COMPUTED_VALUE"""),201.5)</f>
        <v>201.5</v>
      </c>
      <c r="F2634" s="1">
        <f ca="1">IFERROR(__xludf.DUMMYFUNCTION("""COMPUTED_VALUE"""),55814272)</f>
        <v>55814272</v>
      </c>
    </row>
    <row r="2635" spans="1:6" x14ac:dyDescent="0.35">
      <c r="A2635" s="2">
        <f ca="1">IFERROR(__xludf.DUMMYFUNCTION("""COMPUTED_VALUE"""),45832.6666666666)</f>
        <v>45832.666666666599</v>
      </c>
      <c r="B2635" s="1">
        <f ca="1">IFERROR(__xludf.DUMMYFUNCTION("""COMPUTED_VALUE"""),202.59)</f>
        <v>202.59</v>
      </c>
      <c r="C2635" s="1">
        <f ca="1">IFERROR(__xludf.DUMMYFUNCTION("""COMPUTED_VALUE"""),203.44)</f>
        <v>203.44</v>
      </c>
      <c r="D2635" s="1">
        <f ca="1">IFERROR(__xludf.DUMMYFUNCTION("""COMPUTED_VALUE"""),200.2)</f>
        <v>200.2</v>
      </c>
      <c r="E2635" s="1">
        <f ca="1">IFERROR(__xludf.DUMMYFUNCTION("""COMPUTED_VALUE"""),200.3)</f>
        <v>200.3</v>
      </c>
      <c r="F2635" s="1">
        <f ca="1">IFERROR(__xludf.DUMMYFUNCTION("""COMPUTED_VALUE"""),54064033)</f>
        <v>54064033</v>
      </c>
    </row>
    <row r="2636" spans="1:6" x14ac:dyDescent="0.35">
      <c r="A2636" s="2">
        <f ca="1">IFERROR(__xludf.DUMMYFUNCTION("""COMPUTED_VALUE"""),45833.6666666666)</f>
        <v>45833.666666666599</v>
      </c>
      <c r="B2636" s="1">
        <f ca="1">IFERROR(__xludf.DUMMYFUNCTION("""COMPUTED_VALUE"""),201.45)</f>
        <v>201.45</v>
      </c>
      <c r="C2636" s="1">
        <f ca="1">IFERROR(__xludf.DUMMYFUNCTION("""COMPUTED_VALUE"""),203.67)</f>
        <v>203.67</v>
      </c>
      <c r="D2636" s="1">
        <f ca="1">IFERROR(__xludf.DUMMYFUNCTION("""COMPUTED_VALUE"""),200.62)</f>
        <v>200.62</v>
      </c>
      <c r="E2636" s="1">
        <f ca="1">IFERROR(__xludf.DUMMYFUNCTION("""COMPUTED_VALUE"""),201.56)</f>
        <v>201.56</v>
      </c>
      <c r="F2636" s="1">
        <f ca="1">IFERROR(__xludf.DUMMYFUNCTION("""COMPUTED_VALUE"""),39525730)</f>
        <v>39525730</v>
      </c>
    </row>
    <row r="2637" spans="1:6" x14ac:dyDescent="0.35">
      <c r="A2637" s="2">
        <f ca="1">IFERROR(__xludf.DUMMYFUNCTION("""COMPUTED_VALUE"""),45834.6666666666)</f>
        <v>45834.666666666599</v>
      </c>
      <c r="B2637" s="1">
        <f ca="1">IFERROR(__xludf.DUMMYFUNCTION("""COMPUTED_VALUE"""),201.43)</f>
        <v>201.43</v>
      </c>
      <c r="C2637" s="1">
        <f ca="1">IFERROR(__xludf.DUMMYFUNCTION("""COMPUTED_VALUE"""),202.64)</f>
        <v>202.64</v>
      </c>
      <c r="D2637" s="1">
        <f ca="1">IFERROR(__xludf.DUMMYFUNCTION("""COMPUTED_VALUE"""),199.46)</f>
        <v>199.46</v>
      </c>
      <c r="E2637" s="1">
        <f ca="1">IFERROR(__xludf.DUMMYFUNCTION("""COMPUTED_VALUE"""),201)</f>
        <v>201</v>
      </c>
      <c r="F2637" s="1">
        <f ca="1">IFERROR(__xludf.DUMMYFUNCTION("""COMPUTED_VALUE"""),50799121)</f>
        <v>50799121</v>
      </c>
    </row>
    <row r="2638" spans="1:6" x14ac:dyDescent="0.35">
      <c r="A2638" s="2">
        <f ca="1">IFERROR(__xludf.DUMMYFUNCTION("""COMPUTED_VALUE"""),45835.6666666666)</f>
        <v>45835.666666666599</v>
      </c>
      <c r="B2638" s="1">
        <f ca="1">IFERROR(__xludf.DUMMYFUNCTION("""COMPUTED_VALUE"""),201.89)</f>
        <v>201.89</v>
      </c>
      <c r="C2638" s="1">
        <f ca="1">IFERROR(__xludf.DUMMYFUNCTION("""COMPUTED_VALUE"""),203.22)</f>
        <v>203.22</v>
      </c>
      <c r="D2638" s="1">
        <f ca="1">IFERROR(__xludf.DUMMYFUNCTION("""COMPUTED_VALUE"""),200)</f>
        <v>200</v>
      </c>
      <c r="E2638" s="1">
        <f ca="1">IFERROR(__xludf.DUMMYFUNCTION("""COMPUTED_VALUE"""),201.08)</f>
        <v>201.08</v>
      </c>
      <c r="F2638" s="1">
        <f ca="1">IFERROR(__xludf.DUMMYFUNCTION("""COMPUTED_VALUE"""),73188571)</f>
        <v>73188571</v>
      </c>
    </row>
    <row r="2639" spans="1:6" x14ac:dyDescent="0.35">
      <c r="A2639" s="2">
        <f ca="1">IFERROR(__xludf.DUMMYFUNCTION("""COMPUTED_VALUE"""),45838.6666666666)</f>
        <v>45838.666666666599</v>
      </c>
      <c r="B2639" s="1">
        <f ca="1">IFERROR(__xludf.DUMMYFUNCTION("""COMPUTED_VALUE"""),202.01)</f>
        <v>202.01</v>
      </c>
      <c r="C2639" s="1">
        <f ca="1">IFERROR(__xludf.DUMMYFUNCTION("""COMPUTED_VALUE"""),207.39)</f>
        <v>207.39</v>
      </c>
      <c r="D2639" s="1">
        <f ca="1">IFERROR(__xludf.DUMMYFUNCTION("""COMPUTED_VALUE"""),199.26)</f>
        <v>199.26</v>
      </c>
      <c r="E2639" s="1">
        <f ca="1">IFERROR(__xludf.DUMMYFUNCTION("""COMPUTED_VALUE"""),205.17)</f>
        <v>205.17</v>
      </c>
      <c r="F2639" s="1">
        <f ca="1">IFERROR(__xludf.DUMMYFUNCTION("""COMPUTED_VALUE"""),91912816)</f>
        <v>91912816</v>
      </c>
    </row>
    <row r="2640" spans="1:6" x14ac:dyDescent="0.35">
      <c r="A2640" s="2">
        <f ca="1">IFERROR(__xludf.DUMMYFUNCTION("""COMPUTED_VALUE"""),45839.6666666666)</f>
        <v>45839.666666666599</v>
      </c>
      <c r="B2640" s="1">
        <f ca="1">IFERROR(__xludf.DUMMYFUNCTION("""COMPUTED_VALUE"""),206.67)</f>
        <v>206.67</v>
      </c>
      <c r="C2640" s="1">
        <f ca="1">IFERROR(__xludf.DUMMYFUNCTION("""COMPUTED_VALUE"""),210.19)</f>
        <v>210.19</v>
      </c>
      <c r="D2640" s="1">
        <f ca="1">IFERROR(__xludf.DUMMYFUNCTION("""COMPUTED_VALUE"""),206.14)</f>
        <v>206.14</v>
      </c>
      <c r="E2640" s="1">
        <f ca="1">IFERROR(__xludf.DUMMYFUNCTION("""COMPUTED_VALUE"""),207.82)</f>
        <v>207.82</v>
      </c>
      <c r="F2640" s="1">
        <f ca="1">IFERROR(__xludf.DUMMYFUNCTION("""COMPUTED_VALUE"""),78788867)</f>
        <v>78788867</v>
      </c>
    </row>
    <row r="2641" spans="1:6" x14ac:dyDescent="0.35">
      <c r="A2641" s="2">
        <f ca="1">IFERROR(__xludf.DUMMYFUNCTION("""COMPUTED_VALUE"""),45840.6666666666)</f>
        <v>45840.666666666599</v>
      </c>
      <c r="B2641" s="1">
        <f ca="1">IFERROR(__xludf.DUMMYFUNCTION("""COMPUTED_VALUE"""),208.91)</f>
        <v>208.91</v>
      </c>
      <c r="C2641" s="1">
        <f ca="1">IFERROR(__xludf.DUMMYFUNCTION("""COMPUTED_VALUE"""),213.34)</f>
        <v>213.34</v>
      </c>
      <c r="D2641" s="1">
        <f ca="1">IFERROR(__xludf.DUMMYFUNCTION("""COMPUTED_VALUE"""),208.14)</f>
        <v>208.14</v>
      </c>
      <c r="E2641" s="1">
        <f ca="1">IFERROR(__xludf.DUMMYFUNCTION("""COMPUTED_VALUE"""),212.44)</f>
        <v>212.44</v>
      </c>
      <c r="F2641" s="1">
        <f ca="1">IFERROR(__xludf.DUMMYFUNCTION("""COMPUTED_VALUE"""),67941811)</f>
        <v>67941811</v>
      </c>
    </row>
    <row r="2642" spans="1:6" x14ac:dyDescent="0.35">
      <c r="A2642" s="2">
        <f ca="1">IFERROR(__xludf.DUMMYFUNCTION("""COMPUTED_VALUE"""),45841.5451388888)</f>
        <v>45841.545138888803</v>
      </c>
      <c r="B2642" s="1">
        <f ca="1">IFERROR(__xludf.DUMMYFUNCTION("""COMPUTED_VALUE"""),212.15)</f>
        <v>212.15</v>
      </c>
      <c r="C2642" s="1">
        <f ca="1">IFERROR(__xludf.DUMMYFUNCTION("""COMPUTED_VALUE"""),214.65)</f>
        <v>214.65</v>
      </c>
      <c r="D2642" s="1">
        <f ca="1">IFERROR(__xludf.DUMMYFUNCTION("""COMPUTED_VALUE"""),211.81)</f>
        <v>211.81</v>
      </c>
      <c r="E2642" s="1">
        <f ca="1">IFERROR(__xludf.DUMMYFUNCTION("""COMPUTED_VALUE"""),213.55)</f>
        <v>213.55</v>
      </c>
      <c r="F2642" s="1">
        <f ca="1">IFERROR(__xludf.DUMMYFUNCTION("""COMPUTED_VALUE"""),34955836)</f>
        <v>34955836</v>
      </c>
    </row>
    <row r="2643" spans="1:6" x14ac:dyDescent="0.35">
      <c r="A2643" s="2">
        <f ca="1">IFERROR(__xludf.DUMMYFUNCTION("""COMPUTED_VALUE"""),45845.6666666666)</f>
        <v>45845.666666666599</v>
      </c>
      <c r="B2643" s="1">
        <f ca="1">IFERROR(__xludf.DUMMYFUNCTION("""COMPUTED_VALUE"""),212.68)</f>
        <v>212.68</v>
      </c>
      <c r="C2643" s="1">
        <f ca="1">IFERROR(__xludf.DUMMYFUNCTION("""COMPUTED_VALUE"""),216.23)</f>
        <v>216.23</v>
      </c>
      <c r="D2643" s="1">
        <f ca="1">IFERROR(__xludf.DUMMYFUNCTION("""COMPUTED_VALUE"""),208.8)</f>
        <v>208.8</v>
      </c>
      <c r="E2643" s="1">
        <f ca="1">IFERROR(__xludf.DUMMYFUNCTION("""COMPUTED_VALUE"""),209.95)</f>
        <v>209.95</v>
      </c>
      <c r="F2643" s="1">
        <f ca="1">IFERROR(__xludf.DUMMYFUNCTION("""COMPUTED_VALUE"""),50228984)</f>
        <v>50228984</v>
      </c>
    </row>
    <row r="2644" spans="1:6" x14ac:dyDescent="0.35">
      <c r="A2644" s="2">
        <f ca="1">IFERROR(__xludf.DUMMYFUNCTION("""COMPUTED_VALUE"""),45846.6666666666)</f>
        <v>45846.666666666599</v>
      </c>
      <c r="B2644" s="1">
        <f ca="1">IFERROR(__xludf.DUMMYFUNCTION("""COMPUTED_VALUE"""),210.1)</f>
        <v>210.1</v>
      </c>
      <c r="C2644" s="1">
        <f ca="1">IFERROR(__xludf.DUMMYFUNCTION("""COMPUTED_VALUE"""),211.43)</f>
        <v>211.43</v>
      </c>
      <c r="D2644" s="1">
        <f ca="1">IFERROR(__xludf.DUMMYFUNCTION("""COMPUTED_VALUE"""),208.45)</f>
        <v>208.45</v>
      </c>
      <c r="E2644" s="1">
        <f ca="1">IFERROR(__xludf.DUMMYFUNCTION("""COMPUTED_VALUE"""),210.01)</f>
        <v>210.01</v>
      </c>
      <c r="F2644" s="1">
        <f ca="1">IFERROR(__xludf.DUMMYFUNCTION("""COMPUTED_VALUE"""),42848928)</f>
        <v>42848928</v>
      </c>
    </row>
    <row r="2645" spans="1:6" x14ac:dyDescent="0.35">
      <c r="A2645" s="2">
        <f ca="1">IFERROR(__xludf.DUMMYFUNCTION("""COMPUTED_VALUE"""),45847.6666666666)</f>
        <v>45847.666666666599</v>
      </c>
      <c r="B2645" s="1">
        <f ca="1">IFERROR(__xludf.DUMMYFUNCTION("""COMPUTED_VALUE"""),209.53)</f>
        <v>209.53</v>
      </c>
      <c r="C2645" s="1">
        <f ca="1">IFERROR(__xludf.DUMMYFUNCTION("""COMPUTED_VALUE"""),211.33)</f>
        <v>211.33</v>
      </c>
      <c r="D2645" s="1">
        <f ca="1">IFERROR(__xludf.DUMMYFUNCTION("""COMPUTED_VALUE"""),207.22)</f>
        <v>207.22</v>
      </c>
      <c r="E2645" s="1">
        <f ca="1">IFERROR(__xludf.DUMMYFUNCTION("""COMPUTED_VALUE"""),211.14)</f>
        <v>211.14</v>
      </c>
      <c r="F2645" s="1">
        <f ca="1">IFERROR(__xludf.DUMMYFUNCTION("""COMPUTED_VALUE"""),48749367)</f>
        <v>48749367</v>
      </c>
    </row>
    <row r="2646" spans="1:6" x14ac:dyDescent="0.35">
      <c r="A2646" s="2">
        <f ca="1">IFERROR(__xludf.DUMMYFUNCTION("""COMPUTED_VALUE"""),45848.6666666666)</f>
        <v>45848.666666666599</v>
      </c>
      <c r="B2646" s="1">
        <f ca="1">IFERROR(__xludf.DUMMYFUNCTION("""COMPUTED_VALUE"""),210.51)</f>
        <v>210.51</v>
      </c>
      <c r="C2646" s="1">
        <f ca="1">IFERROR(__xludf.DUMMYFUNCTION("""COMPUTED_VALUE"""),213.48)</f>
        <v>213.48</v>
      </c>
      <c r="D2646" s="1">
        <f ca="1">IFERROR(__xludf.DUMMYFUNCTION("""COMPUTED_VALUE"""),210.03)</f>
        <v>210.03</v>
      </c>
      <c r="E2646" s="1">
        <f ca="1">IFERROR(__xludf.DUMMYFUNCTION("""COMPUTED_VALUE"""),212.41)</f>
        <v>212.41</v>
      </c>
      <c r="F2646" s="1">
        <f ca="1">IFERROR(__xludf.DUMMYFUNCTION("""COMPUTED_VALUE"""),44443635)</f>
        <v>44443635</v>
      </c>
    </row>
    <row r="2647" spans="1:6" x14ac:dyDescent="0.35">
      <c r="A2647" s="2">
        <f ca="1">IFERROR(__xludf.DUMMYFUNCTION("""COMPUTED_VALUE"""),45849.6666666666)</f>
        <v>45849.666666666599</v>
      </c>
      <c r="B2647" s="1">
        <f ca="1">IFERROR(__xludf.DUMMYFUNCTION("""COMPUTED_VALUE"""),210.57)</f>
        <v>210.57</v>
      </c>
      <c r="C2647" s="1">
        <f ca="1">IFERROR(__xludf.DUMMYFUNCTION("""COMPUTED_VALUE"""),212.13)</f>
        <v>212.13</v>
      </c>
      <c r="D2647" s="1">
        <f ca="1">IFERROR(__xludf.DUMMYFUNCTION("""COMPUTED_VALUE"""),209.86)</f>
        <v>209.86</v>
      </c>
      <c r="E2647" s="1">
        <f ca="1">IFERROR(__xludf.DUMMYFUNCTION("""COMPUTED_VALUE"""),211.16)</f>
        <v>211.16</v>
      </c>
      <c r="F2647" s="1">
        <f ca="1">IFERROR(__xludf.DUMMYFUNCTION("""COMPUTED_VALUE"""),39765812)</f>
        <v>39765812</v>
      </c>
    </row>
    <row r="2648" spans="1:6" x14ac:dyDescent="0.35">
      <c r="A2648" s="2">
        <f ca="1">IFERROR(__xludf.DUMMYFUNCTION("""COMPUTED_VALUE"""),45852.6666666666)</f>
        <v>45852.666666666599</v>
      </c>
      <c r="B2648" s="1">
        <f ca="1">IFERROR(__xludf.DUMMYFUNCTION("""COMPUTED_VALUE"""),209.93)</f>
        <v>209.93</v>
      </c>
      <c r="C2648" s="1">
        <f ca="1">IFERROR(__xludf.DUMMYFUNCTION("""COMPUTED_VALUE"""),210.91)</f>
        <v>210.91</v>
      </c>
      <c r="D2648" s="1">
        <f ca="1">IFERROR(__xludf.DUMMYFUNCTION("""COMPUTED_VALUE"""),207.54)</f>
        <v>207.54</v>
      </c>
      <c r="E2648" s="1">
        <f ca="1">IFERROR(__xludf.DUMMYFUNCTION("""COMPUTED_VALUE"""),208.62)</f>
        <v>208.62</v>
      </c>
      <c r="F2648" s="1">
        <f ca="1">IFERROR(__xludf.DUMMYFUNCTION("""COMPUTED_VALUE"""),38840111)</f>
        <v>38840111</v>
      </c>
    </row>
    <row r="2649" spans="1:6" x14ac:dyDescent="0.35">
      <c r="A2649" s="2">
        <f ca="1">IFERROR(__xludf.DUMMYFUNCTION("""COMPUTED_VALUE"""),45853.6666666666)</f>
        <v>45853.666666666599</v>
      </c>
      <c r="B2649" s="1">
        <f ca="1">IFERROR(__xludf.DUMMYFUNCTION("""COMPUTED_VALUE"""),209.22)</f>
        <v>209.22</v>
      </c>
      <c r="C2649" s="1">
        <f ca="1">IFERROR(__xludf.DUMMYFUNCTION("""COMPUTED_VALUE"""),211.89)</f>
        <v>211.89</v>
      </c>
      <c r="D2649" s="1">
        <f ca="1">IFERROR(__xludf.DUMMYFUNCTION("""COMPUTED_VALUE"""),208.92)</f>
        <v>208.92</v>
      </c>
      <c r="E2649" s="1">
        <f ca="1">IFERROR(__xludf.DUMMYFUNCTION("""COMPUTED_VALUE"""),209.11)</f>
        <v>209.11</v>
      </c>
      <c r="F2649" s="1">
        <f ca="1">IFERROR(__xludf.DUMMYFUNCTION("""COMPUTED_VALUE"""),42296339)</f>
        <v>42296339</v>
      </c>
    </row>
    <row r="2650" spans="1:6" x14ac:dyDescent="0.35">
      <c r="A2650" s="2">
        <f ca="1">IFERROR(__xludf.DUMMYFUNCTION("""COMPUTED_VALUE"""),45854.6666666666)</f>
        <v>45854.666666666599</v>
      </c>
      <c r="B2650" s="1">
        <f ca="1">IFERROR(__xludf.DUMMYFUNCTION("""COMPUTED_VALUE"""),210.3)</f>
        <v>210.3</v>
      </c>
      <c r="C2650" s="1">
        <f ca="1">IFERROR(__xludf.DUMMYFUNCTION("""COMPUTED_VALUE"""),212.4)</f>
        <v>212.4</v>
      </c>
      <c r="D2650" s="1">
        <f ca="1">IFERROR(__xludf.DUMMYFUNCTION("""COMPUTED_VALUE"""),208.64)</f>
        <v>208.64</v>
      </c>
      <c r="E2650" s="1">
        <f ca="1">IFERROR(__xludf.DUMMYFUNCTION("""COMPUTED_VALUE"""),210.16)</f>
        <v>210.16</v>
      </c>
      <c r="F2650" s="1">
        <f ca="1">IFERROR(__xludf.DUMMYFUNCTION("""COMPUTED_VALUE"""),47490532)</f>
        <v>47490532</v>
      </c>
    </row>
    <row r="2651" spans="1:6" x14ac:dyDescent="0.35">
      <c r="A2651" s="2">
        <f ca="1">IFERROR(__xludf.DUMMYFUNCTION("""COMPUTED_VALUE"""),45855.6666666666)</f>
        <v>45855.666666666599</v>
      </c>
      <c r="B2651" s="1">
        <f ca="1">IFERROR(__xludf.DUMMYFUNCTION("""COMPUTED_VALUE"""),210.57)</f>
        <v>210.57</v>
      </c>
      <c r="C2651" s="1">
        <f ca="1">IFERROR(__xludf.DUMMYFUNCTION("""COMPUTED_VALUE"""),211.8)</f>
        <v>211.8</v>
      </c>
      <c r="D2651" s="1">
        <f ca="1">IFERROR(__xludf.DUMMYFUNCTION("""COMPUTED_VALUE"""),209.59)</f>
        <v>209.59</v>
      </c>
      <c r="E2651" s="1">
        <f ca="1">IFERROR(__xludf.DUMMYFUNCTION("""COMPUTED_VALUE"""),210.02)</f>
        <v>210.02</v>
      </c>
      <c r="F2651" s="1">
        <f ca="1">IFERROR(__xludf.DUMMYFUNCTION("""COMPUTED_VALUE"""),48068141)</f>
        <v>48068141</v>
      </c>
    </row>
    <row r="2652" spans="1:6" x14ac:dyDescent="0.35">
      <c r="A2652" s="2">
        <f ca="1">IFERROR(__xludf.DUMMYFUNCTION("""COMPUTED_VALUE"""),45856.6666666666)</f>
        <v>45856.666666666599</v>
      </c>
      <c r="B2652" s="1">
        <f ca="1">IFERROR(__xludf.DUMMYFUNCTION("""COMPUTED_VALUE"""),210.87)</f>
        <v>210.87</v>
      </c>
      <c r="C2652" s="1">
        <f ca="1">IFERROR(__xludf.DUMMYFUNCTION("""COMPUTED_VALUE"""),211.79)</f>
        <v>211.79</v>
      </c>
      <c r="D2652" s="1">
        <f ca="1">IFERROR(__xludf.DUMMYFUNCTION("""COMPUTED_VALUE"""),209.7)</f>
        <v>209.7</v>
      </c>
      <c r="E2652" s="1">
        <f ca="1">IFERROR(__xludf.DUMMYFUNCTION("""COMPUTED_VALUE"""),211.18)</f>
        <v>211.18</v>
      </c>
      <c r="F2652" s="1">
        <f ca="1">IFERROR(__xludf.DUMMYFUNCTION("""COMPUTED_VALUE"""),48974591)</f>
        <v>48974591</v>
      </c>
    </row>
    <row r="2653" spans="1:6" x14ac:dyDescent="0.35">
      <c r="A2653" s="2">
        <f ca="1">IFERROR(__xludf.DUMMYFUNCTION("""COMPUTED_VALUE"""),45859.6666666666)</f>
        <v>45859.666666666599</v>
      </c>
      <c r="B2653" s="1">
        <f ca="1">IFERROR(__xludf.DUMMYFUNCTION("""COMPUTED_VALUE"""),212.1)</f>
        <v>212.1</v>
      </c>
      <c r="C2653" s="1">
        <f ca="1">IFERROR(__xludf.DUMMYFUNCTION("""COMPUTED_VALUE"""),215.78)</f>
        <v>215.78</v>
      </c>
      <c r="D2653" s="1">
        <f ca="1">IFERROR(__xludf.DUMMYFUNCTION("""COMPUTED_VALUE"""),211.63)</f>
        <v>211.63</v>
      </c>
      <c r="E2653" s="1">
        <f ca="1">IFERROR(__xludf.DUMMYFUNCTION("""COMPUTED_VALUE"""),212.48)</f>
        <v>212.48</v>
      </c>
      <c r="F2653" s="1">
        <f ca="1">IFERROR(__xludf.DUMMYFUNCTION("""COMPUTED_VALUE"""),51377434)</f>
        <v>51377434</v>
      </c>
    </row>
    <row r="2654" spans="1:6" x14ac:dyDescent="0.35">
      <c r="A2654" s="2">
        <f ca="1">IFERROR(__xludf.DUMMYFUNCTION("""COMPUTED_VALUE"""),45860.6666666666)</f>
        <v>45860.666666666599</v>
      </c>
      <c r="B2654" s="1">
        <f ca="1">IFERROR(__xludf.DUMMYFUNCTION("""COMPUTED_VALUE"""),213.14)</f>
        <v>213.14</v>
      </c>
      <c r="C2654" s="1">
        <f ca="1">IFERROR(__xludf.DUMMYFUNCTION("""COMPUTED_VALUE"""),214.95)</f>
        <v>214.95</v>
      </c>
      <c r="D2654" s="1">
        <f ca="1">IFERROR(__xludf.DUMMYFUNCTION("""COMPUTED_VALUE"""),212.23)</f>
        <v>212.23</v>
      </c>
      <c r="E2654" s="1">
        <f ca="1">IFERROR(__xludf.DUMMYFUNCTION("""COMPUTED_VALUE"""),214.4)</f>
        <v>214.4</v>
      </c>
      <c r="F2654" s="1">
        <f ca="1">IFERROR(__xludf.DUMMYFUNCTION("""COMPUTED_VALUE"""),46404072)</f>
        <v>46404072</v>
      </c>
    </row>
    <row r="2655" spans="1:6" x14ac:dyDescent="0.35">
      <c r="A2655" s="2">
        <f ca="1">IFERROR(__xludf.DUMMYFUNCTION("""COMPUTED_VALUE"""),45861.6666666666)</f>
        <v>45861.666666666599</v>
      </c>
      <c r="B2655" s="1">
        <f ca="1">IFERROR(__xludf.DUMMYFUNCTION("""COMPUTED_VALUE"""),215)</f>
        <v>215</v>
      </c>
      <c r="C2655" s="1">
        <f ca="1">IFERROR(__xludf.DUMMYFUNCTION("""COMPUTED_VALUE"""),215.15)</f>
        <v>215.15</v>
      </c>
      <c r="D2655" s="1">
        <f ca="1">IFERROR(__xludf.DUMMYFUNCTION("""COMPUTED_VALUE"""),212.41)</f>
        <v>212.41</v>
      </c>
      <c r="E2655" s="1">
        <f ca="1">IFERROR(__xludf.DUMMYFUNCTION("""COMPUTED_VALUE"""),214.15)</f>
        <v>214.15</v>
      </c>
      <c r="F2655" s="1">
        <f ca="1">IFERROR(__xludf.DUMMYFUNCTION("""COMPUTED_VALUE"""),46989301)</f>
        <v>46989301</v>
      </c>
    </row>
    <row r="2656" spans="1:6" x14ac:dyDescent="0.35">
      <c r="A2656" s="2">
        <f ca="1">IFERROR(__xludf.DUMMYFUNCTION("""COMPUTED_VALUE"""),45862.6666666666)</f>
        <v>45862.666666666599</v>
      </c>
      <c r="B2656" s="1">
        <f ca="1">IFERROR(__xludf.DUMMYFUNCTION("""COMPUTED_VALUE"""),213.9)</f>
        <v>213.9</v>
      </c>
      <c r="C2656" s="1">
        <f ca="1">IFERROR(__xludf.DUMMYFUNCTION("""COMPUTED_VALUE"""),215.69)</f>
        <v>215.69</v>
      </c>
      <c r="D2656" s="1">
        <f ca="1">IFERROR(__xludf.DUMMYFUNCTION("""COMPUTED_VALUE"""),213.53)</f>
        <v>213.53</v>
      </c>
      <c r="E2656" s="1">
        <f ca="1">IFERROR(__xludf.DUMMYFUNCTION("""COMPUTED_VALUE"""),213.76)</f>
        <v>213.76</v>
      </c>
      <c r="F2656" s="1">
        <f ca="1">IFERROR(__xludf.DUMMYFUNCTION("""COMPUTED_VALUE"""),46022620)</f>
        <v>46022620</v>
      </c>
    </row>
    <row r="2657" spans="1:6" x14ac:dyDescent="0.35">
      <c r="A2657" s="2">
        <f ca="1">IFERROR(__xludf.DUMMYFUNCTION("""COMPUTED_VALUE"""),45863.6666666666)</f>
        <v>45863.666666666599</v>
      </c>
      <c r="B2657" s="1">
        <f ca="1">IFERROR(__xludf.DUMMYFUNCTION("""COMPUTED_VALUE"""),214.7)</f>
        <v>214.7</v>
      </c>
      <c r="C2657" s="1">
        <f ca="1">IFERROR(__xludf.DUMMYFUNCTION("""COMPUTED_VALUE"""),215.24)</f>
        <v>215.24</v>
      </c>
      <c r="D2657" s="1">
        <f ca="1">IFERROR(__xludf.DUMMYFUNCTION("""COMPUTED_VALUE"""),213.4)</f>
        <v>213.4</v>
      </c>
      <c r="E2657" s="1">
        <f ca="1">IFERROR(__xludf.DUMMYFUNCTION("""COMPUTED_VALUE"""),213.88)</f>
        <v>213.88</v>
      </c>
      <c r="F2657" s="1">
        <f ca="1">IFERROR(__xludf.DUMMYFUNCTION("""COMPUTED_VALUE"""),40268781)</f>
        <v>40268781</v>
      </c>
    </row>
    <row r="2658" spans="1:6" x14ac:dyDescent="0.35">
      <c r="A2658" s="2">
        <f ca="1">IFERROR(__xludf.DUMMYFUNCTION("""COMPUTED_VALUE"""),45866.6666666666)</f>
        <v>45866.666666666599</v>
      </c>
      <c r="B2658" s="1">
        <f ca="1">IFERROR(__xludf.DUMMYFUNCTION("""COMPUTED_VALUE"""),214.03)</f>
        <v>214.03</v>
      </c>
      <c r="C2658" s="1">
        <f ca="1">IFERROR(__xludf.DUMMYFUNCTION("""COMPUTED_VALUE"""),214.85)</f>
        <v>214.85</v>
      </c>
      <c r="D2658" s="1">
        <f ca="1">IFERROR(__xludf.DUMMYFUNCTION("""COMPUTED_VALUE"""),213.06)</f>
        <v>213.06</v>
      </c>
      <c r="E2658" s="1">
        <f ca="1">IFERROR(__xludf.DUMMYFUNCTION("""COMPUTED_VALUE"""),214.05)</f>
        <v>214.05</v>
      </c>
      <c r="F2658" s="1">
        <f ca="1">IFERROR(__xludf.DUMMYFUNCTION("""COMPUTED_VALUE"""),37858017)</f>
        <v>37858017</v>
      </c>
    </row>
    <row r="2659" spans="1:6" x14ac:dyDescent="0.35">
      <c r="A2659" s="2">
        <f ca="1">IFERROR(__xludf.DUMMYFUNCTION("""COMPUTED_VALUE"""),45867.6666666666)</f>
        <v>45867.666666666599</v>
      </c>
      <c r="B2659" s="1">
        <f ca="1">IFERROR(__xludf.DUMMYFUNCTION("""COMPUTED_VALUE"""),214.18)</f>
        <v>214.18</v>
      </c>
      <c r="C2659" s="1">
        <f ca="1">IFERROR(__xludf.DUMMYFUNCTION("""COMPUTED_VALUE"""),214.81)</f>
        <v>214.81</v>
      </c>
      <c r="D2659" s="1">
        <f ca="1">IFERROR(__xludf.DUMMYFUNCTION("""COMPUTED_VALUE"""),210.82)</f>
        <v>210.82</v>
      </c>
      <c r="E2659" s="1">
        <f ca="1">IFERROR(__xludf.DUMMYFUNCTION("""COMPUTED_VALUE"""),211.27)</f>
        <v>211.27</v>
      </c>
      <c r="F2659" s="1">
        <f ca="1">IFERROR(__xludf.DUMMYFUNCTION("""COMPUTED_VALUE"""),51411723)</f>
        <v>51411723</v>
      </c>
    </row>
    <row r="2660" spans="1:6" x14ac:dyDescent="0.35">
      <c r="A2660" s="2">
        <f ca="1">IFERROR(__xludf.DUMMYFUNCTION("""COMPUTED_VALUE"""),45868.6666666666)</f>
        <v>45868.666666666599</v>
      </c>
      <c r="B2660" s="1">
        <f ca="1">IFERROR(__xludf.DUMMYFUNCTION("""COMPUTED_VALUE"""),211.9)</f>
        <v>211.9</v>
      </c>
      <c r="C2660" s="1">
        <f ca="1">IFERROR(__xludf.DUMMYFUNCTION("""COMPUTED_VALUE"""),212.39)</f>
        <v>212.39</v>
      </c>
      <c r="D2660" s="1">
        <f ca="1">IFERROR(__xludf.DUMMYFUNCTION("""COMPUTED_VALUE"""),207.72)</f>
        <v>207.72</v>
      </c>
      <c r="E2660" s="1">
        <f ca="1">IFERROR(__xludf.DUMMYFUNCTION("""COMPUTED_VALUE"""),209.05)</f>
        <v>209.05</v>
      </c>
      <c r="F2660" s="1">
        <f ca="1">IFERROR(__xludf.DUMMYFUNCTION("""COMPUTED_VALUE"""),45512514)</f>
        <v>45512514</v>
      </c>
    </row>
    <row r="2661" spans="1:6" x14ac:dyDescent="0.35">
      <c r="A2661" s="2">
        <f ca="1">IFERROR(__xludf.DUMMYFUNCTION("""COMPUTED_VALUE"""),45869.6666666666)</f>
        <v>45869.666666666599</v>
      </c>
      <c r="B2661" s="1">
        <f ca="1">IFERROR(__xludf.DUMMYFUNCTION("""COMPUTED_VALUE"""),208.49)</f>
        <v>208.49</v>
      </c>
      <c r="C2661" s="1">
        <f ca="1">IFERROR(__xludf.DUMMYFUNCTION("""COMPUTED_VALUE"""),209.84)</f>
        <v>209.84</v>
      </c>
      <c r="D2661" s="1">
        <f ca="1">IFERROR(__xludf.DUMMYFUNCTION("""COMPUTED_VALUE"""),207.16)</f>
        <v>207.16</v>
      </c>
      <c r="E2661" s="1">
        <f ca="1">IFERROR(__xludf.DUMMYFUNCTION("""COMPUTED_VALUE"""),207.57)</f>
        <v>207.57</v>
      </c>
      <c r="F2661" s="1">
        <f ca="1">IFERROR(__xludf.DUMMYFUNCTION("""COMPUTED_VALUE"""),80698431)</f>
        <v>80698431</v>
      </c>
    </row>
    <row r="2662" spans="1:6" x14ac:dyDescent="0.35">
      <c r="A2662" s="2">
        <f ca="1">IFERROR(__xludf.DUMMYFUNCTION("""COMPUTED_VALUE"""),45870.6666666666)</f>
        <v>45870.666666666599</v>
      </c>
      <c r="B2662" s="1">
        <f ca="1">IFERROR(__xludf.DUMMYFUNCTION("""COMPUTED_VALUE"""),210.87)</f>
        <v>210.87</v>
      </c>
      <c r="C2662" s="1">
        <f ca="1">IFERROR(__xludf.DUMMYFUNCTION("""COMPUTED_VALUE"""),213.58)</f>
        <v>213.58</v>
      </c>
      <c r="D2662" s="1">
        <f ca="1">IFERROR(__xludf.DUMMYFUNCTION("""COMPUTED_VALUE"""),201.5)</f>
        <v>201.5</v>
      </c>
      <c r="E2662" s="1">
        <f ca="1">IFERROR(__xludf.DUMMYFUNCTION("""COMPUTED_VALUE"""),202.38)</f>
        <v>202.38</v>
      </c>
      <c r="F2662" s="1">
        <f ca="1">IFERROR(__xludf.DUMMYFUNCTION("""COMPUTED_VALUE"""),104434473)</f>
        <v>104434473</v>
      </c>
    </row>
    <row r="2663" spans="1:6" x14ac:dyDescent="0.35">
      <c r="A2663" s="2">
        <f ca="1">IFERROR(__xludf.DUMMYFUNCTION("""COMPUTED_VALUE"""),45873.6666666666)</f>
        <v>45873.666666666599</v>
      </c>
      <c r="B2663" s="1">
        <f ca="1">IFERROR(__xludf.DUMMYFUNCTION("""COMPUTED_VALUE"""),204.51)</f>
        <v>204.51</v>
      </c>
      <c r="C2663" s="1">
        <f ca="1">IFERROR(__xludf.DUMMYFUNCTION("""COMPUTED_VALUE"""),207.88)</f>
        <v>207.88</v>
      </c>
      <c r="D2663" s="1">
        <f ca="1">IFERROR(__xludf.DUMMYFUNCTION("""COMPUTED_VALUE"""),201.68)</f>
        <v>201.68</v>
      </c>
      <c r="E2663" s="1">
        <f ca="1">IFERROR(__xludf.DUMMYFUNCTION("""COMPUTED_VALUE"""),203.35)</f>
        <v>203.35</v>
      </c>
      <c r="F2663" s="1">
        <f ca="1">IFERROR(__xludf.DUMMYFUNCTION("""COMPUTED_VALUE"""),75109298)</f>
        <v>75109298</v>
      </c>
    </row>
    <row r="2664" spans="1:6" x14ac:dyDescent="0.35">
      <c r="A2664" s="2">
        <f ca="1">IFERROR(__xludf.DUMMYFUNCTION("""COMPUTED_VALUE"""),45874.6666666666)</f>
        <v>45874.666666666599</v>
      </c>
      <c r="B2664" s="1">
        <f ca="1">IFERROR(__xludf.DUMMYFUNCTION("""COMPUTED_VALUE"""),203.4)</f>
        <v>203.4</v>
      </c>
      <c r="C2664" s="1">
        <f ca="1">IFERROR(__xludf.DUMMYFUNCTION("""COMPUTED_VALUE"""),205.34)</f>
        <v>205.34</v>
      </c>
      <c r="D2664" s="1">
        <f ca="1">IFERROR(__xludf.DUMMYFUNCTION("""COMPUTED_VALUE"""),202.16)</f>
        <v>202.16</v>
      </c>
      <c r="E2664" s="1">
        <f ca="1">IFERROR(__xludf.DUMMYFUNCTION("""COMPUTED_VALUE"""),202.92)</f>
        <v>202.92</v>
      </c>
      <c r="F2664" s="1">
        <f ca="1">IFERROR(__xludf.DUMMYFUNCTION("""COMPUTED_VALUE"""),44155079)</f>
        <v>44155079</v>
      </c>
    </row>
    <row r="2665" spans="1:6" x14ac:dyDescent="0.35">
      <c r="A2665" s="2">
        <f ca="1">IFERROR(__xludf.DUMMYFUNCTION("""COMPUTED_VALUE"""),45875.6666666666)</f>
        <v>45875.666666666599</v>
      </c>
      <c r="B2665" s="1">
        <f ca="1">IFERROR(__xludf.DUMMYFUNCTION("""COMPUTED_VALUE"""),205.63)</f>
        <v>205.63</v>
      </c>
      <c r="C2665" s="1">
        <f ca="1">IFERROR(__xludf.DUMMYFUNCTION("""COMPUTED_VALUE"""),215.38)</f>
        <v>215.38</v>
      </c>
      <c r="D2665" s="1">
        <f ca="1">IFERROR(__xludf.DUMMYFUNCTION("""COMPUTED_VALUE"""),205.59)</f>
        <v>205.59</v>
      </c>
      <c r="E2665" s="1">
        <f ca="1">IFERROR(__xludf.DUMMYFUNCTION("""COMPUTED_VALUE"""),213.25)</f>
        <v>213.25</v>
      </c>
      <c r="F2665" s="1">
        <f ca="1">IFERROR(__xludf.DUMMYFUNCTION("""COMPUTED_VALUE"""),108483103)</f>
        <v>108483103</v>
      </c>
    </row>
    <row r="2666" spans="1:6" x14ac:dyDescent="0.35">
      <c r="A2666" s="2">
        <f ca="1">IFERROR(__xludf.DUMMYFUNCTION("""COMPUTED_VALUE"""),45876.6666666666)</f>
        <v>45876.666666666599</v>
      </c>
      <c r="B2666" s="1">
        <f ca="1">IFERROR(__xludf.DUMMYFUNCTION("""COMPUTED_VALUE"""),218.88)</f>
        <v>218.88</v>
      </c>
      <c r="C2666" s="1">
        <f ca="1">IFERROR(__xludf.DUMMYFUNCTION("""COMPUTED_VALUE"""),220.85)</f>
        <v>220.85</v>
      </c>
      <c r="D2666" s="1">
        <f ca="1">IFERROR(__xludf.DUMMYFUNCTION("""COMPUTED_VALUE"""),216.58)</f>
        <v>216.58</v>
      </c>
      <c r="E2666" s="1">
        <f ca="1">IFERROR(__xludf.DUMMYFUNCTION("""COMPUTED_VALUE"""),220.03)</f>
        <v>220.03</v>
      </c>
      <c r="F2666" s="1">
        <f ca="1">IFERROR(__xludf.DUMMYFUNCTION("""COMPUTED_VALUE"""),90224834)</f>
        <v>90224834</v>
      </c>
    </row>
    <row r="2667" spans="1:6" x14ac:dyDescent="0.35">
      <c r="A2667" s="2">
        <f ca="1">IFERROR(__xludf.DUMMYFUNCTION("""COMPUTED_VALUE"""),45877.6666666666)</f>
        <v>45877.666666666599</v>
      </c>
      <c r="B2667" s="1">
        <f ca="1">IFERROR(__xludf.DUMMYFUNCTION("""COMPUTED_VALUE"""),220.83)</f>
        <v>220.83</v>
      </c>
      <c r="C2667" s="1">
        <f ca="1">IFERROR(__xludf.DUMMYFUNCTION("""COMPUTED_VALUE"""),231)</f>
        <v>231</v>
      </c>
      <c r="D2667" s="1">
        <f ca="1">IFERROR(__xludf.DUMMYFUNCTION("""COMPUTED_VALUE"""),219.25)</f>
        <v>219.25</v>
      </c>
      <c r="E2667" s="1">
        <f ca="1">IFERROR(__xludf.DUMMYFUNCTION("""COMPUTED_VALUE"""),229.35)</f>
        <v>229.35</v>
      </c>
      <c r="F2667" s="1">
        <f ca="1">IFERROR(__xludf.DUMMYFUNCTION("""COMPUTED_VALUE"""),113853967)</f>
        <v>113853967</v>
      </c>
    </row>
    <row r="2668" spans="1:6" x14ac:dyDescent="0.35">
      <c r="A2668" s="2">
        <f ca="1">IFERROR(__xludf.DUMMYFUNCTION("""COMPUTED_VALUE"""),45880.6666666666)</f>
        <v>45880.666666666599</v>
      </c>
      <c r="B2668" s="1">
        <f ca="1">IFERROR(__xludf.DUMMYFUNCTION("""COMPUTED_VALUE"""),227.92)</f>
        <v>227.92</v>
      </c>
      <c r="C2668" s="1">
        <f ca="1">IFERROR(__xludf.DUMMYFUNCTION("""COMPUTED_VALUE"""),229.56)</f>
        <v>229.56</v>
      </c>
      <c r="D2668" s="1">
        <f ca="1">IFERROR(__xludf.DUMMYFUNCTION("""COMPUTED_VALUE"""),224.76)</f>
        <v>224.76</v>
      </c>
      <c r="E2668" s="1">
        <f ca="1">IFERROR(__xludf.DUMMYFUNCTION("""COMPUTED_VALUE"""),227.18)</f>
        <v>227.18</v>
      </c>
      <c r="F2668" s="1">
        <f ca="1">IFERROR(__xludf.DUMMYFUNCTION("""COMPUTED_VALUE"""),61806132)</f>
        <v>61806132</v>
      </c>
    </row>
    <row r="2669" spans="1:6" x14ac:dyDescent="0.35">
      <c r="A2669" s="2">
        <f ca="1">IFERROR(__xludf.DUMMYFUNCTION("""COMPUTED_VALUE"""),45881.6666666666)</f>
        <v>45881.666666666599</v>
      </c>
      <c r="B2669" s="1">
        <f ca="1">IFERROR(__xludf.DUMMYFUNCTION("""COMPUTED_VALUE"""),228.01)</f>
        <v>228.01</v>
      </c>
      <c r="C2669" s="1">
        <f ca="1">IFERROR(__xludf.DUMMYFUNCTION("""COMPUTED_VALUE"""),230.8)</f>
        <v>230.8</v>
      </c>
      <c r="D2669" s="1">
        <f ca="1">IFERROR(__xludf.DUMMYFUNCTION("""COMPUTED_VALUE"""),227.07)</f>
        <v>227.07</v>
      </c>
      <c r="E2669" s="1">
        <f ca="1">IFERROR(__xludf.DUMMYFUNCTION("""COMPUTED_VALUE"""),229.65)</f>
        <v>229.65</v>
      </c>
      <c r="F2669" s="1">
        <f ca="1">IFERROR(__xludf.DUMMYFUNCTION("""COMPUTED_VALUE"""),55672301)</f>
        <v>55672301</v>
      </c>
    </row>
    <row r="2670" spans="1:6" x14ac:dyDescent="0.35">
      <c r="A2670" s="2">
        <f ca="1">IFERROR(__xludf.DUMMYFUNCTION("""COMPUTED_VALUE"""),45882.6666666666)</f>
        <v>45882.666666666599</v>
      </c>
      <c r="B2670" s="1">
        <f ca="1">IFERROR(__xludf.DUMMYFUNCTION("""COMPUTED_VALUE"""),231.07)</f>
        <v>231.07</v>
      </c>
      <c r="C2670" s="1">
        <f ca="1">IFERROR(__xludf.DUMMYFUNCTION("""COMPUTED_VALUE"""),235)</f>
        <v>235</v>
      </c>
      <c r="D2670" s="1">
        <f ca="1">IFERROR(__xludf.DUMMYFUNCTION("""COMPUTED_VALUE"""),230.43)</f>
        <v>230.43</v>
      </c>
      <c r="E2670" s="1">
        <f ca="1">IFERROR(__xludf.DUMMYFUNCTION("""COMPUTED_VALUE"""),233.33)</f>
        <v>233.33</v>
      </c>
      <c r="F2670" s="1">
        <f ca="1">IFERROR(__xludf.DUMMYFUNCTION("""COMPUTED_VALUE"""),69878546)</f>
        <v>69878546</v>
      </c>
    </row>
    <row r="2671" spans="1:6" x14ac:dyDescent="0.35">
      <c r="A2671" s="2">
        <f ca="1">IFERROR(__xludf.DUMMYFUNCTION("""COMPUTED_VALUE"""),45883.6666666666)</f>
        <v>45883.666666666599</v>
      </c>
      <c r="B2671" s="1">
        <f ca="1">IFERROR(__xludf.DUMMYFUNCTION("""COMPUTED_VALUE"""),234.06)</f>
        <v>234.06</v>
      </c>
      <c r="C2671" s="1">
        <f ca="1">IFERROR(__xludf.DUMMYFUNCTION("""COMPUTED_VALUE"""),235.12)</f>
        <v>235.12</v>
      </c>
      <c r="D2671" s="1">
        <f ca="1">IFERROR(__xludf.DUMMYFUNCTION("""COMPUTED_VALUE"""),230.85)</f>
        <v>230.85</v>
      </c>
      <c r="E2671" s="1">
        <f ca="1">IFERROR(__xludf.DUMMYFUNCTION("""COMPUTED_VALUE"""),232.78)</f>
        <v>232.78</v>
      </c>
      <c r="F2671" s="1">
        <f ca="1">IFERROR(__xludf.DUMMYFUNCTION("""COMPUTED_VALUE"""),51916275)</f>
        <v>51916275</v>
      </c>
    </row>
    <row r="2672" spans="1:6" x14ac:dyDescent="0.35">
      <c r="A2672" s="2">
        <f ca="1">IFERROR(__xludf.DUMMYFUNCTION("""COMPUTED_VALUE"""),45884.6666666666)</f>
        <v>45884.666666666599</v>
      </c>
      <c r="B2672" s="1">
        <f ca="1">IFERROR(__xludf.DUMMYFUNCTION("""COMPUTED_VALUE"""),234)</f>
        <v>234</v>
      </c>
      <c r="C2672" s="1">
        <f ca="1">IFERROR(__xludf.DUMMYFUNCTION("""COMPUTED_VALUE"""),234.28)</f>
        <v>234.28</v>
      </c>
      <c r="D2672" s="1">
        <f ca="1">IFERROR(__xludf.DUMMYFUNCTION("""COMPUTED_VALUE"""),229.34)</f>
        <v>229.34</v>
      </c>
      <c r="E2672" s="1">
        <f ca="1">IFERROR(__xludf.DUMMYFUNCTION("""COMPUTED_VALUE"""),231.59)</f>
        <v>231.59</v>
      </c>
      <c r="F2672" s="1">
        <f ca="1">IFERROR(__xludf.DUMMYFUNCTION("""COMPUTED_VALUE"""),56038657)</f>
        <v>56038657</v>
      </c>
    </row>
    <row r="2673" spans="1:6" x14ac:dyDescent="0.35">
      <c r="A2673" s="2">
        <f ca="1">IFERROR(__xludf.DUMMYFUNCTION("""COMPUTED_VALUE"""),45887.6666666666)</f>
        <v>45887.666666666599</v>
      </c>
      <c r="B2673" s="1">
        <f ca="1">IFERROR(__xludf.DUMMYFUNCTION("""COMPUTED_VALUE"""),231.7)</f>
        <v>231.7</v>
      </c>
      <c r="C2673" s="1">
        <f ca="1">IFERROR(__xludf.DUMMYFUNCTION("""COMPUTED_VALUE"""),233.12)</f>
        <v>233.12</v>
      </c>
      <c r="D2673" s="1">
        <f ca="1">IFERROR(__xludf.DUMMYFUNCTION("""COMPUTED_VALUE"""),230.11)</f>
        <v>230.11</v>
      </c>
      <c r="E2673" s="1">
        <f ca="1">IFERROR(__xludf.DUMMYFUNCTION("""COMPUTED_VALUE"""),230.89)</f>
        <v>230.89</v>
      </c>
      <c r="F2673" s="1">
        <f ca="1">IFERROR(__xludf.DUMMYFUNCTION("""COMPUTED_VALUE"""),37476188)</f>
        <v>37476188</v>
      </c>
    </row>
    <row r="2674" spans="1:6" x14ac:dyDescent="0.35">
      <c r="A2674" s="2">
        <f ca="1">IFERROR(__xludf.DUMMYFUNCTION("""COMPUTED_VALUE"""),45888.6666666666)</f>
        <v>45888.666666666599</v>
      </c>
      <c r="B2674" s="1">
        <f ca="1">IFERROR(__xludf.DUMMYFUNCTION("""COMPUTED_VALUE"""),231.28)</f>
        <v>231.28</v>
      </c>
      <c r="C2674" s="1">
        <f ca="1">IFERROR(__xludf.DUMMYFUNCTION("""COMPUTED_VALUE"""),232.87)</f>
        <v>232.87</v>
      </c>
      <c r="D2674" s="1">
        <f ca="1">IFERROR(__xludf.DUMMYFUNCTION("""COMPUTED_VALUE"""),229.35)</f>
        <v>229.35</v>
      </c>
      <c r="E2674" s="1">
        <f ca="1">IFERROR(__xludf.DUMMYFUNCTION("""COMPUTED_VALUE"""),230.56)</f>
        <v>230.56</v>
      </c>
      <c r="F2674" s="1">
        <f ca="1">IFERROR(__xludf.DUMMYFUNCTION("""COMPUTED_VALUE"""),39402564)</f>
        <v>39402564</v>
      </c>
    </row>
    <row r="2675" spans="1:6" x14ac:dyDescent="0.35">
      <c r="A2675" s="2">
        <f ca="1">IFERROR(__xludf.DUMMYFUNCTION("""COMPUTED_VALUE"""),45889.6666666666)</f>
        <v>45889.666666666599</v>
      </c>
      <c r="B2675" s="1">
        <f ca="1">IFERROR(__xludf.DUMMYFUNCTION("""COMPUTED_VALUE"""),229.98)</f>
        <v>229.98</v>
      </c>
      <c r="C2675" s="1">
        <f ca="1">IFERROR(__xludf.DUMMYFUNCTION("""COMPUTED_VALUE"""),230.47)</f>
        <v>230.47</v>
      </c>
      <c r="D2675" s="1">
        <f ca="1">IFERROR(__xludf.DUMMYFUNCTION("""COMPUTED_VALUE"""),225.77)</f>
        <v>225.77</v>
      </c>
      <c r="E2675" s="1">
        <f ca="1">IFERROR(__xludf.DUMMYFUNCTION("""COMPUTED_VALUE"""),226.01)</f>
        <v>226.01</v>
      </c>
      <c r="F2675" s="1">
        <f ca="1">IFERROR(__xludf.DUMMYFUNCTION("""COMPUTED_VALUE"""),42263865)</f>
        <v>42263865</v>
      </c>
    </row>
    <row r="2676" spans="1:6" x14ac:dyDescent="0.35">
      <c r="A2676" s="2">
        <f ca="1">IFERROR(__xludf.DUMMYFUNCTION("""COMPUTED_VALUE"""),45890.6666666666)</f>
        <v>45890.666666666599</v>
      </c>
      <c r="B2676" s="1">
        <f ca="1">IFERROR(__xludf.DUMMYFUNCTION("""COMPUTED_VALUE"""),226.27)</f>
        <v>226.27</v>
      </c>
      <c r="C2676" s="1">
        <f ca="1">IFERROR(__xludf.DUMMYFUNCTION("""COMPUTED_VALUE"""),226.52)</f>
        <v>226.52</v>
      </c>
      <c r="D2676" s="1">
        <f ca="1">IFERROR(__xludf.DUMMYFUNCTION("""COMPUTED_VALUE"""),223.78)</f>
        <v>223.78</v>
      </c>
      <c r="E2676" s="1">
        <f ca="1">IFERROR(__xludf.DUMMYFUNCTION("""COMPUTED_VALUE"""),224.9)</f>
        <v>224.9</v>
      </c>
      <c r="F2676" s="1">
        <f ca="1">IFERROR(__xludf.DUMMYFUNCTION("""COMPUTED_VALUE"""),30621249)</f>
        <v>30621249</v>
      </c>
    </row>
    <row r="2677" spans="1:6" x14ac:dyDescent="0.35">
      <c r="A2677" s="2">
        <f ca="1">IFERROR(__xludf.DUMMYFUNCTION("""COMPUTED_VALUE"""),45891.6666666666)</f>
        <v>45891.666666666599</v>
      </c>
      <c r="B2677" s="1">
        <f ca="1">IFERROR(__xludf.DUMMYFUNCTION("""COMPUTED_VALUE"""),226.17)</f>
        <v>226.17</v>
      </c>
      <c r="C2677" s="1">
        <f ca="1">IFERROR(__xludf.DUMMYFUNCTION("""COMPUTED_VALUE"""),229.09)</f>
        <v>229.09</v>
      </c>
      <c r="D2677" s="1">
        <f ca="1">IFERROR(__xludf.DUMMYFUNCTION("""COMPUTED_VALUE"""),225.41)</f>
        <v>225.41</v>
      </c>
      <c r="E2677" s="1">
        <f ca="1">IFERROR(__xludf.DUMMYFUNCTION("""COMPUTED_VALUE"""),227.76)</f>
        <v>227.76</v>
      </c>
      <c r="F2677" s="1">
        <f ca="1">IFERROR(__xludf.DUMMYFUNCTION("""COMPUTED_VALUE"""),42477811)</f>
        <v>42477811</v>
      </c>
    </row>
    <row r="2678" spans="1:6" x14ac:dyDescent="0.35">
      <c r="A2678" s="2">
        <f ca="1">IFERROR(__xludf.DUMMYFUNCTION("""COMPUTED_VALUE"""),45894.6666666666)</f>
        <v>45894.666666666599</v>
      </c>
      <c r="B2678" s="1">
        <f ca="1">IFERROR(__xludf.DUMMYFUNCTION("""COMPUTED_VALUE"""),226.48)</f>
        <v>226.48</v>
      </c>
      <c r="C2678" s="1">
        <f ca="1">IFERROR(__xludf.DUMMYFUNCTION("""COMPUTED_VALUE"""),229.3)</f>
        <v>229.3</v>
      </c>
      <c r="D2678" s="1">
        <f ca="1">IFERROR(__xludf.DUMMYFUNCTION("""COMPUTED_VALUE"""),226.23)</f>
        <v>226.23</v>
      </c>
      <c r="E2678" s="1">
        <f ca="1">IFERROR(__xludf.DUMMYFUNCTION("""COMPUTED_VALUE"""),227.16)</f>
        <v>227.16</v>
      </c>
      <c r="F2678" s="1">
        <f ca="1">IFERROR(__xludf.DUMMYFUNCTION("""COMPUTED_VALUE"""),30983133)</f>
        <v>30983133</v>
      </c>
    </row>
    <row r="2679" spans="1:6" x14ac:dyDescent="0.35">
      <c r="A2679" s="2">
        <f ca="1">IFERROR(__xludf.DUMMYFUNCTION("""COMPUTED_VALUE"""),45895.6666666666)</f>
        <v>45895.666666666599</v>
      </c>
      <c r="B2679" s="1">
        <f ca="1">IFERROR(__xludf.DUMMYFUNCTION("""COMPUTED_VALUE"""),226.87)</f>
        <v>226.87</v>
      </c>
      <c r="C2679" s="1">
        <f ca="1">IFERROR(__xludf.DUMMYFUNCTION("""COMPUTED_VALUE"""),229.49)</f>
        <v>229.49</v>
      </c>
      <c r="D2679" s="1">
        <f ca="1">IFERROR(__xludf.DUMMYFUNCTION("""COMPUTED_VALUE"""),224.69)</f>
        <v>224.69</v>
      </c>
      <c r="E2679" s="1">
        <f ca="1">IFERROR(__xludf.DUMMYFUNCTION("""COMPUTED_VALUE"""),229.31)</f>
        <v>229.31</v>
      </c>
      <c r="F2679" s="1">
        <f ca="1">IFERROR(__xludf.DUMMYFUNCTION("""COMPUTED_VALUE"""),54575107)</f>
        <v>54575107</v>
      </c>
    </row>
    <row r="2680" spans="1:6" x14ac:dyDescent="0.35">
      <c r="A2680" s="2">
        <f ca="1">IFERROR(__xludf.DUMMYFUNCTION("""COMPUTED_VALUE"""),45896.6666666666)</f>
        <v>45896.666666666599</v>
      </c>
      <c r="B2680" s="1">
        <f ca="1">IFERROR(__xludf.DUMMYFUNCTION("""COMPUTED_VALUE"""),228.61)</f>
        <v>228.61</v>
      </c>
      <c r="C2680" s="1">
        <f ca="1">IFERROR(__xludf.DUMMYFUNCTION("""COMPUTED_VALUE"""),230.9)</f>
        <v>230.9</v>
      </c>
      <c r="D2680" s="1">
        <f ca="1">IFERROR(__xludf.DUMMYFUNCTION("""COMPUTED_VALUE"""),228.26)</f>
        <v>228.26</v>
      </c>
      <c r="E2680" s="1">
        <f ca="1">IFERROR(__xludf.DUMMYFUNCTION("""COMPUTED_VALUE"""),230.49)</f>
        <v>230.49</v>
      </c>
      <c r="F2680" s="1">
        <f ca="1">IFERROR(__xludf.DUMMYFUNCTION("""COMPUTED_VALUE"""),31259513)</f>
        <v>31259513</v>
      </c>
    </row>
    <row r="2681" spans="1:6" x14ac:dyDescent="0.35">
      <c r="A2681" s="2">
        <f ca="1">IFERROR(__xludf.DUMMYFUNCTION("""COMPUTED_VALUE"""),45897.6666666666)</f>
        <v>45897.666666666599</v>
      </c>
      <c r="B2681" s="1">
        <f ca="1">IFERROR(__xludf.DUMMYFUNCTION("""COMPUTED_VALUE"""),230.82)</f>
        <v>230.82</v>
      </c>
      <c r="C2681" s="1">
        <f ca="1">IFERROR(__xludf.DUMMYFUNCTION("""COMPUTED_VALUE"""),233.41)</f>
        <v>233.41</v>
      </c>
      <c r="D2681" s="1">
        <f ca="1">IFERROR(__xludf.DUMMYFUNCTION("""COMPUTED_VALUE"""),229.34)</f>
        <v>229.34</v>
      </c>
      <c r="E2681" s="1">
        <f ca="1">IFERROR(__xludf.DUMMYFUNCTION("""COMPUTED_VALUE"""),232.56)</f>
        <v>232.56</v>
      </c>
      <c r="F2681" s="1">
        <f ca="1">IFERROR(__xludf.DUMMYFUNCTION("""COMPUTED_VALUE"""),38074700)</f>
        <v>38074700</v>
      </c>
    </row>
    <row r="2682" spans="1:6" x14ac:dyDescent="0.35">
      <c r="A2682" s="2">
        <f ca="1">IFERROR(__xludf.DUMMYFUNCTION("""COMPUTED_VALUE"""),45898.6666666666)</f>
        <v>45898.666666666599</v>
      </c>
      <c r="B2682" s="1">
        <f ca="1">IFERROR(__xludf.DUMMYFUNCTION("""COMPUTED_VALUE"""),232.51)</f>
        <v>232.51</v>
      </c>
      <c r="C2682" s="1">
        <f ca="1">IFERROR(__xludf.DUMMYFUNCTION("""COMPUTED_VALUE"""),233.38)</f>
        <v>233.38</v>
      </c>
      <c r="D2682" s="1">
        <f ca="1">IFERROR(__xludf.DUMMYFUNCTION("""COMPUTED_VALUE"""),231.37)</f>
        <v>231.37</v>
      </c>
      <c r="E2682" s="1">
        <f ca="1">IFERROR(__xludf.DUMMYFUNCTION("""COMPUTED_VALUE"""),232.14)</f>
        <v>232.14</v>
      </c>
      <c r="F2682" s="1">
        <f ca="1">IFERROR(__xludf.DUMMYFUNCTION("""COMPUTED_VALUE"""),39418437)</f>
        <v>39418437</v>
      </c>
    </row>
    <row r="2683" spans="1:6" x14ac:dyDescent="0.35">
      <c r="A2683" s="2">
        <f ca="1">IFERROR(__xludf.DUMMYFUNCTION("""COMPUTED_VALUE"""),45902.6666666666)</f>
        <v>45902.666666666599</v>
      </c>
      <c r="B2683" s="1">
        <f ca="1">IFERROR(__xludf.DUMMYFUNCTION("""COMPUTED_VALUE"""),229.25)</f>
        <v>229.25</v>
      </c>
      <c r="C2683" s="1">
        <f ca="1">IFERROR(__xludf.DUMMYFUNCTION("""COMPUTED_VALUE"""),230.85)</f>
        <v>230.85</v>
      </c>
      <c r="D2683" s="1">
        <f ca="1">IFERROR(__xludf.DUMMYFUNCTION("""COMPUTED_VALUE"""),226.97)</f>
        <v>226.97</v>
      </c>
      <c r="E2683" s="1">
        <f ca="1">IFERROR(__xludf.DUMMYFUNCTION("""COMPUTED_VALUE"""),229.72)</f>
        <v>229.72</v>
      </c>
      <c r="F2683" s="1">
        <f ca="1">IFERROR(__xludf.DUMMYFUNCTION("""COMPUTED_VALUE"""),44075638)</f>
        <v>44075638</v>
      </c>
    </row>
    <row r="2684" spans="1:6" x14ac:dyDescent="0.35">
      <c r="A2684" s="2">
        <f ca="1">IFERROR(__xludf.DUMMYFUNCTION("""COMPUTED_VALUE"""),45903.6666666666)</f>
        <v>45903.666666666599</v>
      </c>
      <c r="B2684" s="1">
        <f ca="1">IFERROR(__xludf.DUMMYFUNCTION("""COMPUTED_VALUE"""),237.21)</f>
        <v>237.21</v>
      </c>
      <c r="C2684" s="1">
        <f ca="1">IFERROR(__xludf.DUMMYFUNCTION("""COMPUTED_VALUE"""),238.85)</f>
        <v>238.85</v>
      </c>
      <c r="D2684" s="1">
        <f ca="1">IFERROR(__xludf.DUMMYFUNCTION("""COMPUTED_VALUE"""),234.36)</f>
        <v>234.36</v>
      </c>
      <c r="E2684" s="1">
        <f ca="1">IFERROR(__xludf.DUMMYFUNCTION("""COMPUTED_VALUE"""),238.47)</f>
        <v>238.47</v>
      </c>
      <c r="F2684" s="1">
        <f ca="1">IFERROR(__xludf.DUMMYFUNCTION("""COMPUTED_VALUE"""),66427835)</f>
        <v>66427835</v>
      </c>
    </row>
    <row r="2685" spans="1:6" x14ac:dyDescent="0.35">
      <c r="A2685" s="2">
        <f ca="1">IFERROR(__xludf.DUMMYFUNCTION("""COMPUTED_VALUE"""),45904.6666666666)</f>
        <v>45904.666666666599</v>
      </c>
      <c r="B2685" s="1">
        <f ca="1">IFERROR(__xludf.DUMMYFUNCTION("""COMPUTED_VALUE"""),238.45)</f>
        <v>238.45</v>
      </c>
      <c r="C2685" s="1">
        <f ca="1">IFERROR(__xludf.DUMMYFUNCTION("""COMPUTED_VALUE"""),239.9)</f>
        <v>239.9</v>
      </c>
      <c r="D2685" s="1">
        <f ca="1">IFERROR(__xludf.DUMMYFUNCTION("""COMPUTED_VALUE"""),236.74)</f>
        <v>236.74</v>
      </c>
      <c r="E2685" s="1">
        <f ca="1">IFERROR(__xludf.DUMMYFUNCTION("""COMPUTED_VALUE"""),239.78)</f>
        <v>239.78</v>
      </c>
      <c r="F2685" s="1">
        <f ca="1">IFERROR(__xludf.DUMMYFUNCTION("""COMPUTED_VALUE"""),47549429)</f>
        <v>47549429</v>
      </c>
    </row>
    <row r="2686" spans="1:6" x14ac:dyDescent="0.35">
      <c r="A2686" s="2">
        <f ca="1">IFERROR(__xludf.DUMMYFUNCTION("""COMPUTED_VALUE"""),45905.6666666666)</f>
        <v>45905.666666666599</v>
      </c>
      <c r="B2686" s="1">
        <f ca="1">IFERROR(__xludf.DUMMYFUNCTION("""COMPUTED_VALUE"""),240)</f>
        <v>240</v>
      </c>
      <c r="C2686" s="1">
        <f ca="1">IFERROR(__xludf.DUMMYFUNCTION("""COMPUTED_VALUE"""),241.32)</f>
        <v>241.32</v>
      </c>
      <c r="D2686" s="1">
        <f ca="1">IFERROR(__xludf.DUMMYFUNCTION("""COMPUTED_VALUE"""),238.49)</f>
        <v>238.49</v>
      </c>
      <c r="E2686" s="1">
        <f ca="1">IFERROR(__xludf.DUMMYFUNCTION("""COMPUTED_VALUE"""),239.69)</f>
        <v>239.69</v>
      </c>
      <c r="F2686" s="1">
        <f ca="1">IFERROR(__xludf.DUMMYFUNCTION("""COMPUTED_VALUE"""),54870397)</f>
        <v>54870397</v>
      </c>
    </row>
    <row r="2687" spans="1:6" x14ac:dyDescent="0.35">
      <c r="A2687" s="2">
        <f ca="1">IFERROR(__xludf.DUMMYFUNCTION("""COMPUTED_VALUE"""),45908.6666666666)</f>
        <v>45908.666666666599</v>
      </c>
      <c r="B2687" s="1">
        <f ca="1">IFERROR(__xludf.DUMMYFUNCTION("""COMPUTED_VALUE"""),239.3)</f>
        <v>239.3</v>
      </c>
      <c r="C2687" s="1">
        <f ca="1">IFERROR(__xludf.DUMMYFUNCTION("""COMPUTED_VALUE"""),240.15)</f>
        <v>240.15</v>
      </c>
      <c r="D2687" s="1">
        <f ca="1">IFERROR(__xludf.DUMMYFUNCTION("""COMPUTED_VALUE"""),236.34)</f>
        <v>236.34</v>
      </c>
      <c r="E2687" s="1">
        <f ca="1">IFERROR(__xludf.DUMMYFUNCTION("""COMPUTED_VALUE"""),237.88)</f>
        <v>237.88</v>
      </c>
      <c r="F2687" s="1">
        <f ca="1">IFERROR(__xludf.DUMMYFUNCTION("""COMPUTED_VALUE"""),48999495)</f>
        <v>48999495</v>
      </c>
    </row>
    <row r="2688" spans="1:6" x14ac:dyDescent="0.35">
      <c r="A2688" s="2">
        <f ca="1">IFERROR(__xludf.DUMMYFUNCTION("""COMPUTED_VALUE"""),45909.6666666666)</f>
        <v>45909.666666666599</v>
      </c>
      <c r="B2688" s="1">
        <f ca="1">IFERROR(__xludf.DUMMYFUNCTION("""COMPUTED_VALUE"""),237)</f>
        <v>237</v>
      </c>
      <c r="C2688" s="1">
        <f ca="1">IFERROR(__xludf.DUMMYFUNCTION("""COMPUTED_VALUE"""),238.78)</f>
        <v>238.78</v>
      </c>
      <c r="D2688" s="1">
        <f ca="1">IFERROR(__xludf.DUMMYFUNCTION("""COMPUTED_VALUE"""),233.36)</f>
        <v>233.36</v>
      </c>
      <c r="E2688" s="1">
        <f ca="1">IFERROR(__xludf.DUMMYFUNCTION("""COMPUTED_VALUE"""),234.35)</f>
        <v>234.35</v>
      </c>
      <c r="F2688" s="1">
        <f ca="1">IFERROR(__xludf.DUMMYFUNCTION("""COMPUTED_VALUE"""),66313918)</f>
        <v>66313918</v>
      </c>
    </row>
    <row r="2689" spans="1:6" x14ac:dyDescent="0.35">
      <c r="A2689" s="2">
        <f ca="1">IFERROR(__xludf.DUMMYFUNCTION("""COMPUTED_VALUE"""),45910.6666666666)</f>
        <v>45910.666666666599</v>
      </c>
      <c r="B2689" s="1">
        <f ca="1">IFERROR(__xludf.DUMMYFUNCTION("""COMPUTED_VALUE"""),232.19)</f>
        <v>232.19</v>
      </c>
      <c r="C2689" s="1">
        <f ca="1">IFERROR(__xludf.DUMMYFUNCTION("""COMPUTED_VALUE"""),232.42)</f>
        <v>232.42</v>
      </c>
      <c r="D2689" s="1">
        <f ca="1">IFERROR(__xludf.DUMMYFUNCTION("""COMPUTED_VALUE"""),225.95)</f>
        <v>225.95</v>
      </c>
      <c r="E2689" s="1">
        <f ca="1">IFERROR(__xludf.DUMMYFUNCTION("""COMPUTED_VALUE"""),226.79)</f>
        <v>226.79</v>
      </c>
      <c r="F2689" s="1">
        <f ca="1">IFERROR(__xludf.DUMMYFUNCTION("""COMPUTED_VALUE"""),83440810)</f>
        <v>83440810</v>
      </c>
    </row>
    <row r="2690" spans="1:6" x14ac:dyDescent="0.35">
      <c r="A2690" s="2">
        <f ca="1">IFERROR(__xludf.DUMMYFUNCTION("""COMPUTED_VALUE"""),45911.6666666666)</f>
        <v>45911.666666666599</v>
      </c>
      <c r="B2690" s="1">
        <f ca="1">IFERROR(__xludf.DUMMYFUNCTION("""COMPUTED_VALUE"""),226.88)</f>
        <v>226.88</v>
      </c>
      <c r="C2690" s="1">
        <f ca="1">IFERROR(__xludf.DUMMYFUNCTION("""COMPUTED_VALUE"""),230.45)</f>
        <v>230.45</v>
      </c>
      <c r="D2690" s="1">
        <f ca="1">IFERROR(__xludf.DUMMYFUNCTION("""COMPUTED_VALUE"""),226.65)</f>
        <v>226.65</v>
      </c>
      <c r="E2690" s="1">
        <f ca="1">IFERROR(__xludf.DUMMYFUNCTION("""COMPUTED_VALUE"""),230.03)</f>
        <v>230.03</v>
      </c>
      <c r="F2690" s="1">
        <f ca="1">IFERROR(__xludf.DUMMYFUNCTION("""COMPUTED_VALUE"""),50208578)</f>
        <v>50208578</v>
      </c>
    </row>
    <row r="2691" spans="1:6" x14ac:dyDescent="0.35">
      <c r="A2691" s="2">
        <f ca="1">IFERROR(__xludf.DUMMYFUNCTION("""COMPUTED_VALUE"""),45912.6666666666)</f>
        <v>45912.666666666599</v>
      </c>
      <c r="B2691" s="1">
        <f ca="1">IFERROR(__xludf.DUMMYFUNCTION("""COMPUTED_VALUE"""),229.22)</f>
        <v>229.22</v>
      </c>
      <c r="C2691" s="1">
        <f ca="1">IFERROR(__xludf.DUMMYFUNCTION("""COMPUTED_VALUE"""),234.51)</f>
        <v>234.51</v>
      </c>
      <c r="D2691" s="1">
        <f ca="1">IFERROR(__xludf.DUMMYFUNCTION("""COMPUTED_VALUE"""),229.02)</f>
        <v>229.02</v>
      </c>
      <c r="E2691" s="1">
        <f ca="1">IFERROR(__xludf.DUMMYFUNCTION("""COMPUTED_VALUE"""),234.07)</f>
        <v>234.07</v>
      </c>
      <c r="F2691" s="1">
        <f ca="1">IFERROR(__xludf.DUMMYFUNCTION("""COMPUTED_VALUE"""),55824216)</f>
        <v>55824216</v>
      </c>
    </row>
    <row r="2692" spans="1:6" x14ac:dyDescent="0.35">
      <c r="A2692" s="2">
        <f ca="1">IFERROR(__xludf.DUMMYFUNCTION("""COMPUTED_VALUE"""),45915.6666666666)</f>
        <v>45915.666666666599</v>
      </c>
      <c r="B2692" s="1">
        <f ca="1">IFERROR(__xludf.DUMMYFUNCTION("""COMPUTED_VALUE"""),237)</f>
        <v>237</v>
      </c>
      <c r="C2692" s="1">
        <f ca="1">IFERROR(__xludf.DUMMYFUNCTION("""COMPUTED_VALUE"""),238.19)</f>
        <v>238.19</v>
      </c>
      <c r="D2692" s="1">
        <f ca="1">IFERROR(__xludf.DUMMYFUNCTION("""COMPUTED_VALUE"""),235.03)</f>
        <v>235.03</v>
      </c>
      <c r="E2692" s="1">
        <f ca="1">IFERROR(__xludf.DUMMYFUNCTION("""COMPUTED_VALUE"""),236.7)</f>
        <v>236.7</v>
      </c>
      <c r="F2692" s="1">
        <f ca="1">IFERROR(__xludf.DUMMYFUNCTION("""COMPUTED_VALUE"""),42699524)</f>
        <v>42699524</v>
      </c>
    </row>
    <row r="2693" spans="1:6" x14ac:dyDescent="0.35">
      <c r="A2693" s="2">
        <f ca="1">IFERROR(__xludf.DUMMYFUNCTION("""COMPUTED_VALUE"""),45916.6666666666)</f>
        <v>45916.666666666599</v>
      </c>
      <c r="B2693" s="1">
        <f ca="1">IFERROR(__xludf.DUMMYFUNCTION("""COMPUTED_VALUE"""),237.18)</f>
        <v>237.18</v>
      </c>
      <c r="C2693" s="1">
        <f ca="1">IFERROR(__xludf.DUMMYFUNCTION("""COMPUTED_VALUE"""),241.22)</f>
        <v>241.22</v>
      </c>
      <c r="D2693" s="1">
        <f ca="1">IFERROR(__xludf.DUMMYFUNCTION("""COMPUTED_VALUE"""),236.32)</f>
        <v>236.32</v>
      </c>
      <c r="E2693" s="1">
        <f ca="1">IFERROR(__xludf.DUMMYFUNCTION("""COMPUTED_VALUE"""),238.15)</f>
        <v>238.15</v>
      </c>
      <c r="F2693" s="1">
        <f ca="1">IFERROR(__xludf.DUMMYFUNCTION("""COMPUTED_VALUE"""),63421099)</f>
        <v>63421099</v>
      </c>
    </row>
    <row r="2694" spans="1:6" x14ac:dyDescent="0.35">
      <c r="A2694" s="2">
        <f ca="1">IFERROR(__xludf.DUMMYFUNCTION("""COMPUTED_VALUE"""),45917.6666666666)</f>
        <v>45917.666666666599</v>
      </c>
      <c r="B2694" s="1">
        <f ca="1">IFERROR(__xludf.DUMMYFUNCTION("""COMPUTED_VALUE"""),238.97)</f>
        <v>238.97</v>
      </c>
      <c r="C2694" s="1">
        <f ca="1">IFERROR(__xludf.DUMMYFUNCTION("""COMPUTED_VALUE"""),240.1)</f>
        <v>240.1</v>
      </c>
      <c r="D2694" s="1">
        <f ca="1">IFERROR(__xludf.DUMMYFUNCTION("""COMPUTED_VALUE"""),237.73)</f>
        <v>237.73</v>
      </c>
      <c r="E2694" s="1">
        <f ca="1">IFERROR(__xludf.DUMMYFUNCTION("""COMPUTED_VALUE"""),238.99)</f>
        <v>238.99</v>
      </c>
      <c r="F2694" s="1">
        <f ca="1">IFERROR(__xludf.DUMMYFUNCTION("""COMPUTED_VALUE"""),46508017)</f>
        <v>46508017</v>
      </c>
    </row>
    <row r="2695" spans="1:6" x14ac:dyDescent="0.35">
      <c r="A2695" s="2">
        <f ca="1">IFERROR(__xludf.DUMMYFUNCTION("""COMPUTED_VALUE"""),45918.6666666666)</f>
        <v>45918.666666666599</v>
      </c>
      <c r="B2695" s="1">
        <f ca="1">IFERROR(__xludf.DUMMYFUNCTION("""COMPUTED_VALUE"""),239.97)</f>
        <v>239.97</v>
      </c>
      <c r="C2695" s="1">
        <f ca="1">IFERROR(__xludf.DUMMYFUNCTION("""COMPUTED_VALUE"""),241.2)</f>
        <v>241.2</v>
      </c>
      <c r="D2695" s="1">
        <f ca="1">IFERROR(__xludf.DUMMYFUNCTION("""COMPUTED_VALUE"""),236.65)</f>
        <v>236.65</v>
      </c>
      <c r="E2695" s="1">
        <f ca="1">IFERROR(__xludf.DUMMYFUNCTION("""COMPUTED_VALUE"""),237.88)</f>
        <v>237.88</v>
      </c>
      <c r="F2695" s="1">
        <f ca="1">IFERROR(__xludf.DUMMYFUNCTION("""COMPUTED_VALUE"""),44249576)</f>
        <v>44249576</v>
      </c>
    </row>
    <row r="2696" spans="1:6" x14ac:dyDescent="0.35">
      <c r="A2696" s="2">
        <f ca="1">IFERROR(__xludf.DUMMYFUNCTION("""COMPUTED_VALUE"""),45919.6666666666)</f>
        <v>45919.666666666599</v>
      </c>
      <c r="B2696" s="1">
        <f ca="1">IFERROR(__xludf.DUMMYFUNCTION("""COMPUTED_VALUE"""),241.23)</f>
        <v>241.23</v>
      </c>
      <c r="C2696" s="1">
        <f ca="1">IFERROR(__xludf.DUMMYFUNCTION("""COMPUTED_VALUE"""),246.3)</f>
        <v>246.3</v>
      </c>
      <c r="D2696" s="1">
        <f ca="1">IFERROR(__xludf.DUMMYFUNCTION("""COMPUTED_VALUE"""),240.21)</f>
        <v>240.21</v>
      </c>
      <c r="E2696" s="1">
        <f ca="1">IFERROR(__xludf.DUMMYFUNCTION("""COMPUTED_VALUE"""),245.5)</f>
        <v>245.5</v>
      </c>
      <c r="F2696" s="1">
        <f ca="1">IFERROR(__xludf.DUMMYFUNCTION("""COMPUTED_VALUE"""),163741314)</f>
        <v>163741314</v>
      </c>
    </row>
    <row r="2697" spans="1:6" x14ac:dyDescent="0.35">
      <c r="A2697" s="2">
        <f ca="1">IFERROR(__xludf.DUMMYFUNCTION("""COMPUTED_VALUE"""),45922.6666666666)</f>
        <v>45922.666666666599</v>
      </c>
      <c r="B2697" s="1">
        <f ca="1">IFERROR(__xludf.DUMMYFUNCTION("""COMPUTED_VALUE"""),248.3)</f>
        <v>248.3</v>
      </c>
      <c r="C2697" s="1">
        <f ca="1">IFERROR(__xludf.DUMMYFUNCTION("""COMPUTED_VALUE"""),256.64)</f>
        <v>256.64</v>
      </c>
      <c r="D2697" s="1">
        <f ca="1">IFERROR(__xludf.DUMMYFUNCTION("""COMPUTED_VALUE"""),248.12)</f>
        <v>248.12</v>
      </c>
      <c r="E2697" s="1">
        <f ca="1">IFERROR(__xludf.DUMMYFUNCTION("""COMPUTED_VALUE"""),256.08)</f>
        <v>256.08</v>
      </c>
      <c r="F2697" s="1">
        <f ca="1">IFERROR(__xludf.DUMMYFUNCTION("""COMPUTED_VALUE"""),105517416)</f>
        <v>105517416</v>
      </c>
    </row>
    <row r="2698" spans="1:6" x14ac:dyDescent="0.35">
      <c r="A2698" s="2">
        <f ca="1">IFERROR(__xludf.DUMMYFUNCTION("""COMPUTED_VALUE"""),45923.6666666666)</f>
        <v>45923.666666666599</v>
      </c>
      <c r="B2698" s="1">
        <f ca="1">IFERROR(__xludf.DUMMYFUNCTION("""COMPUTED_VALUE"""),255.88)</f>
        <v>255.88</v>
      </c>
      <c r="C2698" s="1">
        <f ca="1">IFERROR(__xludf.DUMMYFUNCTION("""COMPUTED_VALUE"""),257.34)</f>
        <v>257.33999999999997</v>
      </c>
      <c r="D2698" s="1">
        <f ca="1">IFERROR(__xludf.DUMMYFUNCTION("""COMPUTED_VALUE"""),253.58)</f>
        <v>253.58</v>
      </c>
      <c r="E2698" s="1">
        <f ca="1">IFERROR(__xludf.DUMMYFUNCTION("""COMPUTED_VALUE"""),254.43)</f>
        <v>254.43</v>
      </c>
      <c r="F2698" s="1">
        <f ca="1">IFERROR(__xludf.DUMMYFUNCTION("""COMPUTED_VALUE"""),60275187)</f>
        <v>60275187</v>
      </c>
    </row>
    <row r="2699" spans="1:6" x14ac:dyDescent="0.35">
      <c r="A2699" s="2">
        <f ca="1">IFERROR(__xludf.DUMMYFUNCTION("""COMPUTED_VALUE"""),45924.6666666666)</f>
        <v>45924.666666666599</v>
      </c>
      <c r="B2699" s="1">
        <f ca="1">IFERROR(__xludf.DUMMYFUNCTION("""COMPUTED_VALUE"""),255.22)</f>
        <v>255.22</v>
      </c>
      <c r="C2699" s="1">
        <f ca="1">IFERROR(__xludf.DUMMYFUNCTION("""COMPUTED_VALUE"""),255.74)</f>
        <v>255.74</v>
      </c>
      <c r="D2699" s="1">
        <f ca="1">IFERROR(__xludf.DUMMYFUNCTION("""COMPUTED_VALUE"""),251.04)</f>
        <v>251.04</v>
      </c>
      <c r="E2699" s="1">
        <f ca="1">IFERROR(__xludf.DUMMYFUNCTION("""COMPUTED_VALUE"""),252.31)</f>
        <v>252.31</v>
      </c>
      <c r="F2699" s="1">
        <f ca="1">IFERROR(__xludf.DUMMYFUNCTION("""COMPUTED_VALUE"""),42303710)</f>
        <v>42303710</v>
      </c>
    </row>
    <row r="2700" spans="1:6" x14ac:dyDescent="0.35">
      <c r="A2700" s="2">
        <f ca="1">IFERROR(__xludf.DUMMYFUNCTION("""COMPUTED_VALUE"""),45925.6666666666)</f>
        <v>45925.666666666599</v>
      </c>
      <c r="B2700" s="1">
        <f ca="1">IFERROR(__xludf.DUMMYFUNCTION("""COMPUTED_VALUE"""),253.21)</f>
        <v>253.21</v>
      </c>
      <c r="C2700" s="1">
        <f ca="1">IFERROR(__xludf.DUMMYFUNCTION("""COMPUTED_VALUE"""),257.17)</f>
        <v>257.17</v>
      </c>
      <c r="D2700" s="1">
        <f ca="1">IFERROR(__xludf.DUMMYFUNCTION("""COMPUTED_VALUE"""),251.71)</f>
        <v>251.71</v>
      </c>
      <c r="E2700" s="1">
        <f ca="1">IFERROR(__xludf.DUMMYFUNCTION("""COMPUTED_VALUE"""),256.87)</f>
        <v>256.87</v>
      </c>
      <c r="F2700" s="1">
        <f ca="1">IFERROR(__xludf.DUMMYFUNCTION("""COMPUTED_VALUE"""),55202075)</f>
        <v>55202075</v>
      </c>
    </row>
    <row r="2701" spans="1:6" x14ac:dyDescent="0.35">
      <c r="A2701" s="2">
        <f ca="1">IFERROR(__xludf.DUMMYFUNCTION("""COMPUTED_VALUE"""),45926.6666666666)</f>
        <v>45926.666666666599</v>
      </c>
      <c r="B2701" s="1">
        <f ca="1">IFERROR(__xludf.DUMMYFUNCTION("""COMPUTED_VALUE"""),254.1)</f>
        <v>254.1</v>
      </c>
      <c r="C2701" s="1">
        <f ca="1">IFERROR(__xludf.DUMMYFUNCTION("""COMPUTED_VALUE"""),257.6)</f>
        <v>257.60000000000002</v>
      </c>
      <c r="D2701" s="1">
        <f ca="1">IFERROR(__xludf.DUMMYFUNCTION("""COMPUTED_VALUE"""),253.78)</f>
        <v>253.78</v>
      </c>
      <c r="E2701" s="1">
        <f ca="1">IFERROR(__xludf.DUMMYFUNCTION("""COMPUTED_VALUE"""),255.46)</f>
        <v>255.46</v>
      </c>
      <c r="F2701" s="1">
        <f ca="1">IFERROR(__xludf.DUMMYFUNCTION("""COMPUTED_VALUE"""),46076258)</f>
        <v>46076258</v>
      </c>
    </row>
    <row r="2702" spans="1:6" x14ac:dyDescent="0.35">
      <c r="A2702" s="2">
        <f ca="1">IFERROR(__xludf.DUMMYFUNCTION("""COMPUTED_VALUE"""),45929.6666666666)</f>
        <v>45929.666666666599</v>
      </c>
      <c r="B2702" s="1">
        <f ca="1">IFERROR(__xludf.DUMMYFUNCTION("""COMPUTED_VALUE"""),254.56)</f>
        <v>254.56</v>
      </c>
      <c r="C2702" s="1">
        <f ca="1">IFERROR(__xludf.DUMMYFUNCTION("""COMPUTED_VALUE"""),255)</f>
        <v>255</v>
      </c>
      <c r="D2702" s="1">
        <f ca="1">IFERROR(__xludf.DUMMYFUNCTION("""COMPUTED_VALUE"""),253.01)</f>
        <v>253.01</v>
      </c>
      <c r="E2702" s="1">
        <f ca="1">IFERROR(__xludf.DUMMYFUNCTION("""COMPUTED_VALUE"""),254.43)</f>
        <v>254.43</v>
      </c>
      <c r="F2702" s="1">
        <f ca="1">IFERROR(__xludf.DUMMYFUNCTION("""COMPUTED_VALUE"""),40127687)</f>
        <v>40127687</v>
      </c>
    </row>
    <row r="2703" spans="1:6" x14ac:dyDescent="0.35">
      <c r="A2703" s="2">
        <f ca="1">IFERROR(__xludf.DUMMYFUNCTION("""COMPUTED_VALUE"""),45930.6666666666)</f>
        <v>45930.666666666599</v>
      </c>
      <c r="B2703" s="1">
        <f ca="1">IFERROR(__xludf.DUMMYFUNCTION("""COMPUTED_VALUE"""),254.86)</f>
        <v>254.86</v>
      </c>
      <c r="C2703" s="1">
        <f ca="1">IFERROR(__xludf.DUMMYFUNCTION("""COMPUTED_VALUE"""),255.92)</f>
        <v>255.92</v>
      </c>
      <c r="D2703" s="1">
        <f ca="1">IFERROR(__xludf.DUMMYFUNCTION("""COMPUTED_VALUE"""),253.11)</f>
        <v>253.11</v>
      </c>
      <c r="E2703" s="1">
        <f ca="1">IFERROR(__xludf.DUMMYFUNCTION("""COMPUTED_VALUE"""),254.63)</f>
        <v>254.63</v>
      </c>
      <c r="F2703" s="1">
        <f ca="1">IFERROR(__xludf.DUMMYFUNCTION("""COMPUTED_VALUE"""),37704259)</f>
        <v>37704259</v>
      </c>
    </row>
    <row r="2704" spans="1:6" x14ac:dyDescent="0.35">
      <c r="A2704" s="2">
        <f ca="1">IFERROR(__xludf.DUMMYFUNCTION("""COMPUTED_VALUE"""),45931.6666666666)</f>
        <v>45931.666666666599</v>
      </c>
      <c r="B2704" s="1">
        <f ca="1">IFERROR(__xludf.DUMMYFUNCTION("""COMPUTED_VALUE"""),255.04)</f>
        <v>255.04</v>
      </c>
      <c r="C2704" s="1">
        <f ca="1">IFERROR(__xludf.DUMMYFUNCTION("""COMPUTED_VALUE"""),258.79)</f>
        <v>258.79000000000002</v>
      </c>
      <c r="D2704" s="1">
        <f ca="1">IFERROR(__xludf.DUMMYFUNCTION("""COMPUTED_VALUE"""),254.93)</f>
        <v>254.93</v>
      </c>
      <c r="E2704" s="1">
        <f ca="1">IFERROR(__xludf.DUMMYFUNCTION("""COMPUTED_VALUE"""),255.45)</f>
        <v>255.45</v>
      </c>
      <c r="F2704" s="1">
        <f ca="1">IFERROR(__xludf.DUMMYFUNCTION("""COMPUTED_VALUE"""),48713940)</f>
        <v>48713940</v>
      </c>
    </row>
    <row r="2705" spans="1:6" x14ac:dyDescent="0.35">
      <c r="A2705" s="2">
        <f ca="1">IFERROR(__xludf.DUMMYFUNCTION("""COMPUTED_VALUE"""),45932.6666666666)</f>
        <v>45932.666666666599</v>
      </c>
      <c r="B2705" s="1">
        <f ca="1">IFERROR(__xludf.DUMMYFUNCTION("""COMPUTED_VALUE"""),256.58)</f>
        <v>256.58</v>
      </c>
      <c r="C2705" s="1">
        <f ca="1">IFERROR(__xludf.DUMMYFUNCTION("""COMPUTED_VALUE"""),258.18)</f>
        <v>258.18</v>
      </c>
      <c r="D2705" s="1">
        <f ca="1">IFERROR(__xludf.DUMMYFUNCTION("""COMPUTED_VALUE"""),254.15)</f>
        <v>254.15</v>
      </c>
      <c r="E2705" s="1">
        <f ca="1">IFERROR(__xludf.DUMMYFUNCTION("""COMPUTED_VALUE"""),257.13)</f>
        <v>257.13</v>
      </c>
      <c r="F2705" s="1">
        <f ca="1">IFERROR(__xludf.DUMMYFUNCTION("""COMPUTED_VALUE"""),42630239)</f>
        <v>42630239</v>
      </c>
    </row>
    <row r="2706" spans="1:6" x14ac:dyDescent="0.35">
      <c r="A2706" s="2">
        <f ca="1">IFERROR(__xludf.DUMMYFUNCTION("""COMPUTED_VALUE"""),45933.6666666666)</f>
        <v>45933.666666666599</v>
      </c>
      <c r="B2706" s="1">
        <f ca="1">IFERROR(__xludf.DUMMYFUNCTION("""COMPUTED_VALUE"""),254.67)</f>
        <v>254.67</v>
      </c>
      <c r="C2706" s="1">
        <f ca="1">IFERROR(__xludf.DUMMYFUNCTION("""COMPUTED_VALUE"""),259.24)</f>
        <v>259.24</v>
      </c>
      <c r="D2706" s="1">
        <f ca="1">IFERROR(__xludf.DUMMYFUNCTION("""COMPUTED_VALUE"""),253.95)</f>
        <v>253.95</v>
      </c>
      <c r="E2706" s="1">
        <f ca="1">IFERROR(__xludf.DUMMYFUNCTION("""COMPUTED_VALUE"""),258.02)</f>
        <v>258.02</v>
      </c>
      <c r="F2706" s="1">
        <f ca="1">IFERROR(__xludf.DUMMYFUNCTION("""COMPUTED_VALUE"""),49155614)</f>
        <v>49155614</v>
      </c>
    </row>
    <row r="2707" spans="1:6" x14ac:dyDescent="0.35">
      <c r="A2707" s="2">
        <f ca="1">IFERROR(__xludf.DUMMYFUNCTION("""COMPUTED_VALUE"""),45936.6666666666)</f>
        <v>45936.666666666599</v>
      </c>
      <c r="B2707" s="1">
        <f ca="1">IFERROR(__xludf.DUMMYFUNCTION("""COMPUTED_VALUE"""),257.99)</f>
        <v>257.99</v>
      </c>
      <c r="C2707" s="1">
        <f ca="1">IFERROR(__xludf.DUMMYFUNCTION("""COMPUTED_VALUE"""),259.07)</f>
        <v>259.07</v>
      </c>
      <c r="D2707" s="1">
        <f ca="1">IFERROR(__xludf.DUMMYFUNCTION("""COMPUTED_VALUE"""),255.05)</f>
        <v>255.05</v>
      </c>
      <c r="E2707" s="1">
        <f ca="1">IFERROR(__xludf.DUMMYFUNCTION("""COMPUTED_VALUE"""),256.69)</f>
        <v>256.69</v>
      </c>
      <c r="F2707" s="1">
        <f ca="1">IFERROR(__xludf.DUMMYFUNCTION("""COMPUTED_VALUE"""),44664118)</f>
        <v>44664118</v>
      </c>
    </row>
    <row r="2708" spans="1:6" x14ac:dyDescent="0.35">
      <c r="A2708" s="2">
        <f ca="1">IFERROR(__xludf.DUMMYFUNCTION("""COMPUTED_VALUE"""),45937.6666666666)</f>
        <v>45937.666666666599</v>
      </c>
      <c r="B2708" s="1">
        <f ca="1">IFERROR(__xludf.DUMMYFUNCTION("""COMPUTED_VALUE"""),256.81)</f>
        <v>256.81</v>
      </c>
      <c r="C2708" s="1">
        <f ca="1">IFERROR(__xludf.DUMMYFUNCTION("""COMPUTED_VALUE"""),257.4)</f>
        <v>257.39999999999998</v>
      </c>
      <c r="D2708" s="1">
        <f ca="1">IFERROR(__xludf.DUMMYFUNCTION("""COMPUTED_VALUE"""),255.43)</f>
        <v>255.43</v>
      </c>
      <c r="E2708" s="1">
        <f ca="1">IFERROR(__xludf.DUMMYFUNCTION("""COMPUTED_VALUE"""),256.48)</f>
        <v>256.48</v>
      </c>
      <c r="F2708" s="1">
        <f ca="1">IFERROR(__xludf.DUMMYFUNCTION("""COMPUTED_VALUE"""),31955776)</f>
        <v>31955776</v>
      </c>
    </row>
    <row r="2709" spans="1:6" x14ac:dyDescent="0.35">
      <c r="A2709" s="2">
        <f ca="1">IFERROR(__xludf.DUMMYFUNCTION("""COMPUTED_VALUE"""),45938.6666666666)</f>
        <v>45938.666666666599</v>
      </c>
      <c r="B2709" s="1">
        <f ca="1">IFERROR(__xludf.DUMMYFUNCTION("""COMPUTED_VALUE"""),256.52)</f>
        <v>256.52</v>
      </c>
      <c r="C2709" s="1">
        <f ca="1">IFERROR(__xludf.DUMMYFUNCTION("""COMPUTED_VALUE"""),258.52)</f>
        <v>258.52</v>
      </c>
      <c r="D2709" s="1">
        <f ca="1">IFERROR(__xludf.DUMMYFUNCTION("""COMPUTED_VALUE"""),256.11)</f>
        <v>256.11</v>
      </c>
      <c r="E2709" s="1">
        <f ca="1">IFERROR(__xludf.DUMMYFUNCTION("""COMPUTED_VALUE"""),258.06)</f>
        <v>258.06</v>
      </c>
      <c r="F2709" s="1">
        <f ca="1">IFERROR(__xludf.DUMMYFUNCTION("""COMPUTED_VALUE"""),36496895)</f>
        <v>36496895</v>
      </c>
    </row>
    <row r="2710" spans="1:6" x14ac:dyDescent="0.35">
      <c r="A2710" s="2">
        <f ca="1">IFERROR(__xludf.DUMMYFUNCTION("""COMPUTED_VALUE"""),45939.6666666666)</f>
        <v>45939.666666666599</v>
      </c>
      <c r="B2710" s="1">
        <f ca="1">IFERROR(__xludf.DUMMYFUNCTION("""COMPUTED_VALUE"""),257.81)</f>
        <v>257.81</v>
      </c>
      <c r="C2710" s="1">
        <f ca="1">IFERROR(__xludf.DUMMYFUNCTION("""COMPUTED_VALUE"""),258)</f>
        <v>258</v>
      </c>
      <c r="D2710" s="1">
        <f ca="1">IFERROR(__xludf.DUMMYFUNCTION("""COMPUTED_VALUE"""),253.14)</f>
        <v>253.14</v>
      </c>
      <c r="E2710" s="1">
        <f ca="1">IFERROR(__xludf.DUMMYFUNCTION("""COMPUTED_VALUE"""),254.04)</f>
        <v>254.04</v>
      </c>
      <c r="F2710" s="1">
        <f ca="1">IFERROR(__xludf.DUMMYFUNCTION("""COMPUTED_VALUE"""),38322012)</f>
        <v>38322012</v>
      </c>
    </row>
    <row r="2711" spans="1:6" x14ac:dyDescent="0.35">
      <c r="A2711" s="2">
        <f ca="1">IFERROR(__xludf.DUMMYFUNCTION("""COMPUTED_VALUE"""),45940.6666666666)</f>
        <v>45940.666666666599</v>
      </c>
      <c r="B2711" s="1">
        <f ca="1">IFERROR(__xludf.DUMMYFUNCTION("""COMPUTED_VALUE"""),254.94)</f>
        <v>254.94</v>
      </c>
      <c r="C2711" s="1">
        <f ca="1">IFERROR(__xludf.DUMMYFUNCTION("""COMPUTED_VALUE"""),256.38)</f>
        <v>256.38</v>
      </c>
      <c r="D2711" s="1">
        <f ca="1">IFERROR(__xludf.DUMMYFUNCTION("""COMPUTED_VALUE"""),244)</f>
        <v>244</v>
      </c>
      <c r="E2711" s="1">
        <f ca="1">IFERROR(__xludf.DUMMYFUNCTION("""COMPUTED_VALUE"""),245.27)</f>
        <v>245.27</v>
      </c>
      <c r="F2711" s="1">
        <f ca="1">IFERROR(__xludf.DUMMYFUNCTION("""COMPUTED_VALUE"""),61999098)</f>
        <v>61999098</v>
      </c>
    </row>
    <row r="2712" spans="1:6" x14ac:dyDescent="0.35">
      <c r="A2712" s="2">
        <f ca="1">IFERROR(__xludf.DUMMYFUNCTION("""COMPUTED_VALUE"""),45943.6666666666)</f>
        <v>45943.666666666599</v>
      </c>
      <c r="B2712" s="1">
        <f ca="1">IFERROR(__xludf.DUMMYFUNCTION("""COMPUTED_VALUE"""),249.38)</f>
        <v>249.38</v>
      </c>
      <c r="C2712" s="1">
        <f ca="1">IFERROR(__xludf.DUMMYFUNCTION("""COMPUTED_VALUE"""),249.69)</f>
        <v>249.69</v>
      </c>
      <c r="D2712" s="1">
        <f ca="1">IFERROR(__xludf.DUMMYFUNCTION("""COMPUTED_VALUE"""),245.56)</f>
        <v>245.56</v>
      </c>
      <c r="E2712" s="1">
        <f ca="1">IFERROR(__xludf.DUMMYFUNCTION("""COMPUTED_VALUE"""),247.66)</f>
        <v>247.66</v>
      </c>
      <c r="F2712" s="1">
        <f ca="1">IFERROR(__xludf.DUMMYFUNCTION("""COMPUTED_VALUE"""),38142942)</f>
        <v>38142942</v>
      </c>
    </row>
    <row r="2713" spans="1:6" x14ac:dyDescent="0.35">
      <c r="A2713" s="2">
        <f ca="1">IFERROR(__xludf.DUMMYFUNCTION("""COMPUTED_VALUE"""),45944.6666666666)</f>
        <v>45944.666666666599</v>
      </c>
      <c r="B2713" s="1">
        <f ca="1">IFERROR(__xludf.DUMMYFUNCTION("""COMPUTED_VALUE"""),246.6)</f>
        <v>246.6</v>
      </c>
      <c r="C2713" s="1">
        <f ca="1">IFERROR(__xludf.DUMMYFUNCTION("""COMPUTED_VALUE"""),248.85)</f>
        <v>248.85</v>
      </c>
      <c r="D2713" s="1">
        <f ca="1">IFERROR(__xludf.DUMMYFUNCTION("""COMPUTED_VALUE"""),244.7)</f>
        <v>244.7</v>
      </c>
      <c r="E2713" s="1">
        <f ca="1">IFERROR(__xludf.DUMMYFUNCTION("""COMPUTED_VALUE"""),247.77)</f>
        <v>247.77</v>
      </c>
      <c r="F2713" s="1">
        <f ca="1">IFERROR(__xludf.DUMMYFUNCTION("""COMPUTED_VALUE"""),35477986)</f>
        <v>35477986</v>
      </c>
    </row>
    <row r="2714" spans="1:6" x14ac:dyDescent="0.35">
      <c r="A2714" s="2">
        <f ca="1">IFERROR(__xludf.DUMMYFUNCTION("""COMPUTED_VALUE"""),45945.6666666666)</f>
        <v>45945.666666666599</v>
      </c>
      <c r="B2714" s="1">
        <f ca="1">IFERROR(__xludf.DUMMYFUNCTION("""COMPUTED_VALUE"""),249.49)</f>
        <v>249.49</v>
      </c>
      <c r="C2714" s="1">
        <f ca="1">IFERROR(__xludf.DUMMYFUNCTION("""COMPUTED_VALUE"""),251.82)</f>
        <v>251.82</v>
      </c>
      <c r="D2714" s="1">
        <f ca="1">IFERROR(__xludf.DUMMYFUNCTION("""COMPUTED_VALUE"""),247.47)</f>
        <v>247.47</v>
      </c>
      <c r="E2714" s="1">
        <f ca="1">IFERROR(__xludf.DUMMYFUNCTION("""COMPUTED_VALUE"""),249.34)</f>
        <v>249.34</v>
      </c>
      <c r="F2714" s="1">
        <f ca="1">IFERROR(__xludf.DUMMYFUNCTION("""COMPUTED_VALUE"""),33893611)</f>
        <v>33893611</v>
      </c>
    </row>
    <row r="2715" spans="1:6" x14ac:dyDescent="0.35">
      <c r="A2715" s="2">
        <f ca="1">IFERROR(__xludf.DUMMYFUNCTION("""COMPUTED_VALUE"""),45946.6666666666)</f>
        <v>45946.666666666599</v>
      </c>
      <c r="B2715" s="1">
        <f ca="1">IFERROR(__xludf.DUMMYFUNCTION("""COMPUTED_VALUE"""),248.25)</f>
        <v>248.25</v>
      </c>
      <c r="C2715" s="1">
        <f ca="1">IFERROR(__xludf.DUMMYFUNCTION("""COMPUTED_VALUE"""),249.04)</f>
        <v>249.04</v>
      </c>
      <c r="D2715" s="1">
        <f ca="1">IFERROR(__xludf.DUMMYFUNCTION("""COMPUTED_VALUE"""),245.13)</f>
        <v>245.13</v>
      </c>
      <c r="E2715" s="1">
        <f ca="1">IFERROR(__xludf.DUMMYFUNCTION("""COMPUTED_VALUE"""),247.45)</f>
        <v>247.45</v>
      </c>
      <c r="F2715" s="1">
        <f ca="1">IFERROR(__xludf.DUMMYFUNCTION("""COMPUTED_VALUE"""),39776974)</f>
        <v>39776974</v>
      </c>
    </row>
    <row r="2716" spans="1:6" x14ac:dyDescent="0.35">
      <c r="A2716" s="2">
        <f ca="1">IFERROR(__xludf.DUMMYFUNCTION("""COMPUTED_VALUE"""),45947.6666666666)</f>
        <v>45947.666666666599</v>
      </c>
      <c r="B2716" s="1">
        <f ca="1">IFERROR(__xludf.DUMMYFUNCTION("""COMPUTED_VALUE"""),248.02)</f>
        <v>248.02</v>
      </c>
      <c r="C2716" s="1">
        <f ca="1">IFERROR(__xludf.DUMMYFUNCTION("""COMPUTED_VALUE"""),253.38)</f>
        <v>253.38</v>
      </c>
      <c r="D2716" s="1">
        <f ca="1">IFERROR(__xludf.DUMMYFUNCTION("""COMPUTED_VALUE"""),247.27)</f>
        <v>247.27</v>
      </c>
      <c r="E2716" s="1">
        <f ca="1">IFERROR(__xludf.DUMMYFUNCTION("""COMPUTED_VALUE"""),252.29)</f>
        <v>252.29</v>
      </c>
      <c r="F2716" s="1">
        <f ca="1">IFERROR(__xludf.DUMMYFUNCTION("""COMPUTED_VALUE"""),49146961)</f>
        <v>49146961</v>
      </c>
    </row>
    <row r="2717" spans="1:6" x14ac:dyDescent="0.35">
      <c r="A2717" s="2">
        <f ca="1">IFERROR(__xludf.DUMMYFUNCTION("""COMPUTED_VALUE"""),45950.6666666666)</f>
        <v>45950.666666666599</v>
      </c>
      <c r="B2717" s="1">
        <f ca="1">IFERROR(__xludf.DUMMYFUNCTION("""COMPUTED_VALUE"""),255.89)</f>
        <v>255.89</v>
      </c>
      <c r="C2717" s="1">
        <f ca="1">IFERROR(__xludf.DUMMYFUNCTION("""COMPUTED_VALUE"""),264.38)</f>
        <v>264.38</v>
      </c>
      <c r="D2717" s="1">
        <f ca="1">IFERROR(__xludf.DUMMYFUNCTION("""COMPUTED_VALUE"""),255.63)</f>
        <v>255.63</v>
      </c>
      <c r="E2717" s="1">
        <f ca="1">IFERROR(__xludf.DUMMYFUNCTION("""COMPUTED_VALUE"""),262.24)</f>
        <v>262.24</v>
      </c>
      <c r="F2717" s="1">
        <f ca="1">IFERROR(__xludf.DUMMYFUNCTION("""COMPUTED_VALUE"""),90483029)</f>
        <v>90483029</v>
      </c>
    </row>
    <row r="2718" spans="1:6" x14ac:dyDescent="0.35">
      <c r="A2718" s="2">
        <f ca="1">IFERROR(__xludf.DUMMYFUNCTION("""COMPUTED_VALUE"""),45951.6666666666)</f>
        <v>45951.666666666599</v>
      </c>
      <c r="B2718" s="1">
        <f ca="1">IFERROR(__xludf.DUMMYFUNCTION("""COMPUTED_VALUE"""),261.88)</f>
        <v>261.88</v>
      </c>
      <c r="C2718" s="1">
        <f ca="1">IFERROR(__xludf.DUMMYFUNCTION("""COMPUTED_VALUE"""),265.29)</f>
        <v>265.29000000000002</v>
      </c>
      <c r="D2718" s="1">
        <f ca="1">IFERROR(__xludf.DUMMYFUNCTION("""COMPUTED_VALUE"""),261.83)</f>
        <v>261.83</v>
      </c>
      <c r="E2718" s="1">
        <f ca="1">IFERROR(__xludf.DUMMYFUNCTION("""COMPUTED_VALUE"""),262.77)</f>
        <v>262.77</v>
      </c>
      <c r="F2718" s="1">
        <f ca="1">IFERROR(__xludf.DUMMYFUNCTION("""COMPUTED_VALUE"""),46695948)</f>
        <v>46695948</v>
      </c>
    </row>
    <row r="2719" spans="1:6" x14ac:dyDescent="0.35">
      <c r="A2719" s="2">
        <f ca="1">IFERROR(__xludf.DUMMYFUNCTION("""COMPUTED_VALUE"""),45952.6666666666)</f>
        <v>45952.666666666599</v>
      </c>
      <c r="B2719" s="1">
        <f ca="1">IFERROR(__xludf.DUMMYFUNCTION("""COMPUTED_VALUE"""),262.65)</f>
        <v>262.64999999999998</v>
      </c>
      <c r="C2719" s="1">
        <f ca="1">IFERROR(__xludf.DUMMYFUNCTION("""COMPUTED_VALUE"""),262.85)</f>
        <v>262.85000000000002</v>
      </c>
      <c r="D2719" s="1">
        <f ca="1">IFERROR(__xludf.DUMMYFUNCTION("""COMPUTED_VALUE"""),255.43)</f>
        <v>255.43</v>
      </c>
      <c r="E2719" s="1">
        <f ca="1">IFERROR(__xludf.DUMMYFUNCTION("""COMPUTED_VALUE"""),258.45)</f>
        <v>258.45</v>
      </c>
      <c r="F2719" s="1">
        <f ca="1">IFERROR(__xludf.DUMMYFUNCTION("""COMPUTED_VALUE"""),45015254)</f>
        <v>45015254</v>
      </c>
    </row>
    <row r="2720" spans="1:6" x14ac:dyDescent="0.35">
      <c r="A2720" s="2">
        <f ca="1">IFERROR(__xludf.DUMMYFUNCTION("""COMPUTED_VALUE"""),45953.6666666666)</f>
        <v>45953.666666666599</v>
      </c>
      <c r="B2720" s="1">
        <f ca="1">IFERROR(__xludf.DUMMYFUNCTION("""COMPUTED_VALUE"""),259.94)</f>
        <v>259.94</v>
      </c>
      <c r="C2720" s="1">
        <f ca="1">IFERROR(__xludf.DUMMYFUNCTION("""COMPUTED_VALUE"""),260.62)</f>
        <v>260.62</v>
      </c>
      <c r="D2720" s="1">
        <f ca="1">IFERROR(__xludf.DUMMYFUNCTION("""COMPUTED_VALUE"""),258.01)</f>
        <v>258.01</v>
      </c>
      <c r="E2720" s="1">
        <f ca="1">IFERROR(__xludf.DUMMYFUNCTION("""COMPUTED_VALUE"""),259.58)</f>
        <v>259.58</v>
      </c>
      <c r="F2720" s="1">
        <f ca="1">IFERROR(__xludf.DUMMYFUNCTION("""COMPUTED_VALUE"""),32754941)</f>
        <v>32754941</v>
      </c>
    </row>
    <row r="2721" spans="1:6" x14ac:dyDescent="0.35">
      <c r="A2721" s="2">
        <f ca="1">IFERROR(__xludf.DUMMYFUNCTION("""COMPUTED_VALUE"""),45954.6666666666)</f>
        <v>45954.666666666599</v>
      </c>
      <c r="B2721" s="1">
        <f ca="1">IFERROR(__xludf.DUMMYFUNCTION("""COMPUTED_VALUE"""),261.19)</f>
        <v>261.19</v>
      </c>
      <c r="C2721" s="1">
        <f ca="1">IFERROR(__xludf.DUMMYFUNCTION("""COMPUTED_VALUE"""),264.13)</f>
        <v>264.13</v>
      </c>
      <c r="D2721" s="1">
        <f ca="1">IFERROR(__xludf.DUMMYFUNCTION("""COMPUTED_VALUE"""),259.18)</f>
        <v>259.18</v>
      </c>
      <c r="E2721" s="1">
        <f ca="1">IFERROR(__xludf.DUMMYFUNCTION("""COMPUTED_VALUE"""),262.82)</f>
        <v>262.82</v>
      </c>
      <c r="F2721" s="1">
        <f ca="1">IFERROR(__xludf.DUMMYFUNCTION("""COMPUTED_VALUE"""),38253717)</f>
        <v>38253717</v>
      </c>
    </row>
    <row r="2722" spans="1:6" x14ac:dyDescent="0.35">
      <c r="A2722" s="2">
        <f ca="1">IFERROR(__xludf.DUMMYFUNCTION("""COMPUTED_VALUE"""),45957.6666666666)</f>
        <v>45957.666666666599</v>
      </c>
      <c r="B2722" s="1">
        <f ca="1">IFERROR(__xludf.DUMMYFUNCTION("""COMPUTED_VALUE"""),264.88)</f>
        <v>264.88</v>
      </c>
      <c r="C2722" s="1">
        <f ca="1">IFERROR(__xludf.DUMMYFUNCTION("""COMPUTED_VALUE"""),269.12)</f>
        <v>269.12</v>
      </c>
      <c r="D2722" s="1">
        <f ca="1">IFERROR(__xludf.DUMMYFUNCTION("""COMPUTED_VALUE"""),264.65)</f>
        <v>264.64999999999998</v>
      </c>
      <c r="E2722" s="1">
        <f ca="1">IFERROR(__xludf.DUMMYFUNCTION("""COMPUTED_VALUE"""),268.81)</f>
        <v>268.81</v>
      </c>
      <c r="F2722" s="1">
        <f ca="1">IFERROR(__xludf.DUMMYFUNCTION("""COMPUTED_VALUE"""),44888152)</f>
        <v>44888152</v>
      </c>
    </row>
    <row r="2723" spans="1:6" x14ac:dyDescent="0.35">
      <c r="A2723" s="2">
        <f ca="1">IFERROR(__xludf.DUMMYFUNCTION("""COMPUTED_VALUE"""),45958.6666666666)</f>
        <v>45958.666666666599</v>
      </c>
      <c r="B2723" s="1">
        <f ca="1">IFERROR(__xludf.DUMMYFUNCTION("""COMPUTED_VALUE"""),268.99)</f>
        <v>268.99</v>
      </c>
      <c r="C2723" s="1">
        <f ca="1">IFERROR(__xludf.DUMMYFUNCTION("""COMPUTED_VALUE"""),269.89)</f>
        <v>269.89</v>
      </c>
      <c r="D2723" s="1">
        <f ca="1">IFERROR(__xludf.DUMMYFUNCTION("""COMPUTED_VALUE"""),268.15)</f>
        <v>268.14999999999998</v>
      </c>
      <c r="E2723" s="1">
        <f ca="1">IFERROR(__xludf.DUMMYFUNCTION("""COMPUTED_VALUE"""),269)</f>
        <v>269</v>
      </c>
      <c r="F2723" s="1">
        <f ca="1">IFERROR(__xludf.DUMMYFUNCTION("""COMPUTED_VALUE"""),41534759)</f>
        <v>41534759</v>
      </c>
    </row>
    <row r="2724" spans="1:6" x14ac:dyDescent="0.35">
      <c r="A2724" s="2">
        <f ca="1">IFERROR(__xludf.DUMMYFUNCTION("""COMPUTED_VALUE"""),45959.6666666666)</f>
        <v>45959.666666666599</v>
      </c>
      <c r="B2724" s="1">
        <f ca="1">IFERROR(__xludf.DUMMYFUNCTION("""COMPUTED_VALUE"""),269.27)</f>
        <v>269.27</v>
      </c>
      <c r="C2724" s="1">
        <f ca="1">IFERROR(__xludf.DUMMYFUNCTION("""COMPUTED_VALUE"""),271.41)</f>
        <v>271.41000000000003</v>
      </c>
      <c r="D2724" s="1">
        <f ca="1">IFERROR(__xludf.DUMMYFUNCTION("""COMPUTED_VALUE"""),267.11)</f>
        <v>267.11</v>
      </c>
      <c r="E2724" s="1">
        <f ca="1">IFERROR(__xludf.DUMMYFUNCTION("""COMPUTED_VALUE"""),269.7)</f>
        <v>269.7</v>
      </c>
      <c r="F2724" s="1">
        <f ca="1">IFERROR(__xludf.DUMMYFUNCTION("""COMPUTED_VALUE"""),51086742)</f>
        <v>51086742</v>
      </c>
    </row>
    <row r="2725" spans="1:6" x14ac:dyDescent="0.35">
      <c r="A2725" s="2">
        <f ca="1">IFERROR(__xludf.DUMMYFUNCTION("""COMPUTED_VALUE"""),45960.6666666666)</f>
        <v>45960.666666666599</v>
      </c>
      <c r="B2725" s="1">
        <f ca="1">IFERROR(__xludf.DUMMYFUNCTION("""COMPUTED_VALUE"""),271.99)</f>
        <v>271.99</v>
      </c>
      <c r="C2725" s="1">
        <f ca="1">IFERROR(__xludf.DUMMYFUNCTION("""COMPUTED_VALUE"""),274.14)</f>
        <v>274.14</v>
      </c>
      <c r="D2725" s="1">
        <f ca="1">IFERROR(__xludf.DUMMYFUNCTION("""COMPUTED_VALUE"""),268.48)</f>
        <v>268.48</v>
      </c>
      <c r="E2725" s="1">
        <f ca="1">IFERROR(__xludf.DUMMYFUNCTION("""COMPUTED_VALUE"""),271.4)</f>
        <v>271.39999999999998</v>
      </c>
      <c r="F2725" s="1">
        <f ca="1">IFERROR(__xludf.DUMMYFUNCTION("""COMPUTED_VALUE"""),69886534)</f>
        <v>69886534</v>
      </c>
    </row>
    <row r="2726" spans="1:6" x14ac:dyDescent="0.35">
      <c r="A2726" s="2">
        <f ca="1">IFERROR(__xludf.DUMMYFUNCTION("""COMPUTED_VALUE"""),45961.6666666666)</f>
        <v>45961.666666666599</v>
      </c>
      <c r="B2726" s="1">
        <f ca="1">IFERROR(__xludf.DUMMYFUNCTION("""COMPUTED_VALUE"""),276.99)</f>
        <v>276.99</v>
      </c>
      <c r="C2726" s="1">
        <f ca="1">IFERROR(__xludf.DUMMYFUNCTION("""COMPUTED_VALUE"""),277.32)</f>
        <v>277.32</v>
      </c>
      <c r="D2726" s="1">
        <f ca="1">IFERROR(__xludf.DUMMYFUNCTION("""COMPUTED_VALUE"""),269.16)</f>
        <v>269.16000000000003</v>
      </c>
      <c r="E2726" s="1">
        <f ca="1">IFERROR(__xludf.DUMMYFUNCTION("""COMPUTED_VALUE"""),270.37)</f>
        <v>270.37</v>
      </c>
      <c r="F2726" s="1">
        <f ca="1">IFERROR(__xludf.DUMMYFUNCTION("""COMPUTED_VALUE"""),86167123)</f>
        <v>86167123</v>
      </c>
    </row>
    <row r="2727" spans="1:6" x14ac:dyDescent="0.35">
      <c r="A2727" s="2">
        <f ca="1">IFERROR(__xludf.DUMMYFUNCTION("""COMPUTED_VALUE"""),45964.6666666666)</f>
        <v>45964.666666666599</v>
      </c>
      <c r="B2727" s="1">
        <f ca="1">IFERROR(__xludf.DUMMYFUNCTION("""COMPUTED_VALUE"""),270.42)</f>
        <v>270.42</v>
      </c>
      <c r="C2727" s="1">
        <f ca="1">IFERROR(__xludf.DUMMYFUNCTION("""COMPUTED_VALUE"""),270.85)</f>
        <v>270.85000000000002</v>
      </c>
      <c r="D2727" s="1">
        <f ca="1">IFERROR(__xludf.DUMMYFUNCTION("""COMPUTED_VALUE"""),266.25)</f>
        <v>266.25</v>
      </c>
      <c r="E2727" s="1">
        <f ca="1">IFERROR(__xludf.DUMMYFUNCTION("""COMPUTED_VALUE"""),269.05)</f>
        <v>269.05</v>
      </c>
      <c r="F2727" s="1">
        <f ca="1">IFERROR(__xludf.DUMMYFUNCTION("""COMPUTED_VALUE"""),50194583)</f>
        <v>50194583</v>
      </c>
    </row>
    <row r="2728" spans="1:6" x14ac:dyDescent="0.35">
      <c r="A2728" s="2">
        <f ca="1">IFERROR(__xludf.DUMMYFUNCTION("""COMPUTED_VALUE"""),45965.6666666666)</f>
        <v>45965.666666666599</v>
      </c>
      <c r="B2728" s="1">
        <f ca="1">IFERROR(__xludf.DUMMYFUNCTION("""COMPUTED_VALUE"""),268.33)</f>
        <v>268.33</v>
      </c>
      <c r="C2728" s="1">
        <f ca="1">IFERROR(__xludf.DUMMYFUNCTION("""COMPUTED_VALUE"""),271.49)</f>
        <v>271.49</v>
      </c>
      <c r="D2728" s="1">
        <f ca="1">IFERROR(__xludf.DUMMYFUNCTION("""COMPUTED_VALUE"""),267.62)</f>
        <v>267.62</v>
      </c>
      <c r="E2728" s="1">
        <f ca="1">IFERROR(__xludf.DUMMYFUNCTION("""COMPUTED_VALUE"""),270.04)</f>
        <v>270.04000000000002</v>
      </c>
      <c r="F2728" s="1">
        <f ca="1">IFERROR(__xludf.DUMMYFUNCTION("""COMPUTED_VALUE"""),49274846)</f>
        <v>49274846</v>
      </c>
    </row>
    <row r="2729" spans="1:6" x14ac:dyDescent="0.35">
      <c r="A2729" s="2">
        <f ca="1">IFERROR(__xludf.DUMMYFUNCTION("""COMPUTED_VALUE"""),45966.6666666666)</f>
        <v>45966.666666666599</v>
      </c>
      <c r="B2729" s="1">
        <f ca="1">IFERROR(__xludf.DUMMYFUNCTION("""COMPUTED_VALUE"""),268.61)</f>
        <v>268.61</v>
      </c>
      <c r="C2729" s="1">
        <f ca="1">IFERROR(__xludf.DUMMYFUNCTION("""COMPUTED_VALUE"""),271.7)</f>
        <v>271.7</v>
      </c>
      <c r="D2729" s="1">
        <f ca="1">IFERROR(__xludf.DUMMYFUNCTION("""COMPUTED_VALUE"""),266.93)</f>
        <v>266.93</v>
      </c>
      <c r="E2729" s="1">
        <f ca="1">IFERROR(__xludf.DUMMYFUNCTION("""COMPUTED_VALUE"""),270.14)</f>
        <v>270.14</v>
      </c>
      <c r="F2729" s="1">
        <f ca="1">IFERROR(__xludf.DUMMYFUNCTION("""COMPUTED_VALUE"""),43683072)</f>
        <v>43683072</v>
      </c>
    </row>
    <row r="2730" spans="1:6" x14ac:dyDescent="0.35">
      <c r="A2730" s="2">
        <f ca="1">IFERROR(__xludf.DUMMYFUNCTION("""COMPUTED_VALUE"""),45967.6666666666)</f>
        <v>45967.666666666599</v>
      </c>
      <c r="B2730" s="1">
        <f ca="1">IFERROR(__xludf.DUMMYFUNCTION("""COMPUTED_VALUE"""),267.89)</f>
        <v>267.89</v>
      </c>
      <c r="C2730" s="1">
        <f ca="1">IFERROR(__xludf.DUMMYFUNCTION("""COMPUTED_VALUE"""),273.4)</f>
        <v>273.39999999999998</v>
      </c>
      <c r="D2730" s="1">
        <f ca="1">IFERROR(__xludf.DUMMYFUNCTION("""COMPUTED_VALUE"""),267.89)</f>
        <v>267.89</v>
      </c>
      <c r="E2730" s="1">
        <f ca="1">IFERROR(__xludf.DUMMYFUNCTION("""COMPUTED_VALUE"""),269.77)</f>
        <v>269.77</v>
      </c>
      <c r="F2730" s="1">
        <f ca="1">IFERROR(__xludf.DUMMYFUNCTION("""COMPUTED_VALUE"""),51204045)</f>
        <v>51204045</v>
      </c>
    </row>
    <row r="2731" spans="1:6" x14ac:dyDescent="0.35">
      <c r="A2731" s="2">
        <f ca="1">IFERROR(__xludf.DUMMYFUNCTION("""COMPUTED_VALUE"""),45968.6666666666)</f>
        <v>45968.666666666599</v>
      </c>
      <c r="B2731" s="1">
        <f ca="1">IFERROR(__xludf.DUMMYFUNCTION("""COMPUTED_VALUE"""),269.8)</f>
        <v>269.8</v>
      </c>
      <c r="C2731" s="1">
        <f ca="1">IFERROR(__xludf.DUMMYFUNCTION("""COMPUTED_VALUE"""),272.29)</f>
        <v>272.29000000000002</v>
      </c>
      <c r="D2731" s="1">
        <f ca="1">IFERROR(__xludf.DUMMYFUNCTION("""COMPUTED_VALUE"""),266.77)</f>
        <v>266.77</v>
      </c>
      <c r="E2731" s="1">
        <f ca="1">IFERROR(__xludf.DUMMYFUNCTION("""COMPUTED_VALUE"""),268.47)</f>
        <v>268.47000000000003</v>
      </c>
      <c r="F2731" s="1">
        <f ca="1">IFERROR(__xludf.DUMMYFUNCTION("""COMPUTED_VALUE"""),48227365)</f>
        <v>48227365</v>
      </c>
    </row>
    <row r="2732" spans="1:6" x14ac:dyDescent="0.35">
      <c r="A2732" s="2">
        <f ca="1">IFERROR(__xludf.DUMMYFUNCTION("""COMPUTED_VALUE"""),45971.6666666666)</f>
        <v>45971.666666666599</v>
      </c>
      <c r="B2732" s="1">
        <f ca="1">IFERROR(__xludf.DUMMYFUNCTION("""COMPUTED_VALUE"""),268.96)</f>
        <v>268.95999999999998</v>
      </c>
      <c r="C2732" s="1">
        <f ca="1">IFERROR(__xludf.DUMMYFUNCTION("""COMPUTED_VALUE"""),273.73)</f>
        <v>273.73</v>
      </c>
      <c r="D2732" s="1">
        <f ca="1">IFERROR(__xludf.DUMMYFUNCTION("""COMPUTED_VALUE"""),267.46)</f>
        <v>267.45999999999998</v>
      </c>
      <c r="E2732" s="1">
        <f ca="1">IFERROR(__xludf.DUMMYFUNCTION("""COMPUTED_VALUE"""),269.43)</f>
        <v>269.43</v>
      </c>
      <c r="F2732" s="1">
        <f ca="1">IFERROR(__xludf.DUMMYFUNCTION("""COMPUTED_VALUE"""),41312412)</f>
        <v>41312412</v>
      </c>
    </row>
    <row r="2733" spans="1:6" x14ac:dyDescent="0.35">
      <c r="A2733" s="2">
        <f ca="1">IFERROR(__xludf.DUMMYFUNCTION("""COMPUTED_VALUE"""),45972.6666666666)</f>
        <v>45972.666666666599</v>
      </c>
      <c r="B2733" s="1">
        <f ca="1">IFERROR(__xludf.DUMMYFUNCTION("""COMPUTED_VALUE"""),269.81)</f>
        <v>269.81</v>
      </c>
      <c r="C2733" s="1">
        <f ca="1">IFERROR(__xludf.DUMMYFUNCTION("""COMPUTED_VALUE"""),275.91)</f>
        <v>275.91000000000003</v>
      </c>
      <c r="D2733" s="1">
        <f ca="1">IFERROR(__xludf.DUMMYFUNCTION("""COMPUTED_VALUE"""),269.8)</f>
        <v>269.8</v>
      </c>
      <c r="E2733" s="1">
        <f ca="1">IFERROR(__xludf.DUMMYFUNCTION("""COMPUTED_VALUE"""),275.25)</f>
        <v>275.25</v>
      </c>
      <c r="F2733" s="1">
        <f ca="1">IFERROR(__xludf.DUMMYFUNCTION("""COMPUTED_VALUE"""),46208318)</f>
        <v>46208318</v>
      </c>
    </row>
    <row r="2734" spans="1:6" x14ac:dyDescent="0.35">
      <c r="A2734" s="2">
        <f ca="1">IFERROR(__xludf.DUMMYFUNCTION("""COMPUTED_VALUE"""),45973.6666666666)</f>
        <v>45973.666666666599</v>
      </c>
      <c r="B2734" s="1">
        <f ca="1">IFERROR(__xludf.DUMMYFUNCTION("""COMPUTED_VALUE"""),275)</f>
        <v>275</v>
      </c>
      <c r="C2734" s="1">
        <f ca="1">IFERROR(__xludf.DUMMYFUNCTION("""COMPUTED_VALUE"""),275.73)</f>
        <v>275.73</v>
      </c>
      <c r="D2734" s="1">
        <f ca="1">IFERROR(__xludf.DUMMYFUNCTION("""COMPUTED_VALUE"""),271.7)</f>
        <v>271.7</v>
      </c>
      <c r="E2734" s="1">
        <f ca="1">IFERROR(__xludf.DUMMYFUNCTION("""COMPUTED_VALUE"""),273.47)</f>
        <v>273.47000000000003</v>
      </c>
      <c r="F2734" s="1">
        <f ca="1">IFERROR(__xludf.DUMMYFUNCTION("""COMPUTED_VALUE"""),48397982)</f>
        <v>48397982</v>
      </c>
    </row>
    <row r="2735" spans="1:6" x14ac:dyDescent="0.35">
      <c r="A2735" s="2">
        <f ca="1">IFERROR(__xludf.DUMMYFUNCTION("""COMPUTED_VALUE"""),45974.6666666666)</f>
        <v>45974.666666666599</v>
      </c>
      <c r="B2735" s="1">
        <f ca="1">IFERROR(__xludf.DUMMYFUNCTION("""COMPUTED_VALUE"""),274.11)</f>
        <v>274.11</v>
      </c>
      <c r="C2735" s="1">
        <f ca="1">IFERROR(__xludf.DUMMYFUNCTION("""COMPUTED_VALUE"""),276.7)</f>
        <v>276.7</v>
      </c>
      <c r="D2735" s="1">
        <f ca="1">IFERROR(__xludf.DUMMYFUNCTION("""COMPUTED_VALUE"""),272.09)</f>
        <v>272.08999999999997</v>
      </c>
      <c r="E2735" s="1">
        <f ca="1">IFERROR(__xludf.DUMMYFUNCTION("""COMPUTED_VALUE"""),272.95)</f>
        <v>272.95</v>
      </c>
      <c r="F2735" s="1">
        <f ca="1">IFERROR(__xludf.DUMMYFUNCTION("""COMPUTED_VALUE"""),49602794)</f>
        <v>49602794</v>
      </c>
    </row>
    <row r="2736" spans="1:6" x14ac:dyDescent="0.35">
      <c r="A2736" s="2">
        <f ca="1">IFERROR(__xludf.DUMMYFUNCTION("""COMPUTED_VALUE"""),45975.6666666666)</f>
        <v>45975.666666666599</v>
      </c>
      <c r="B2736" s="1">
        <f ca="1">IFERROR(__xludf.DUMMYFUNCTION("""COMPUTED_VALUE"""),271.05)</f>
        <v>271.05</v>
      </c>
      <c r="C2736" s="1">
        <f ca="1">IFERROR(__xludf.DUMMYFUNCTION("""COMPUTED_VALUE"""),275.96)</f>
        <v>275.95999999999998</v>
      </c>
      <c r="D2736" s="1">
        <f ca="1">IFERROR(__xludf.DUMMYFUNCTION("""COMPUTED_VALUE"""),269.6)</f>
        <v>269.60000000000002</v>
      </c>
      <c r="E2736" s="1">
        <f ca="1">IFERROR(__xludf.DUMMYFUNCTION("""COMPUTED_VALUE"""),272.41)</f>
        <v>272.41000000000003</v>
      </c>
      <c r="F2736" s="1">
        <f ca="1">IFERROR(__xludf.DUMMYFUNCTION("""COMPUTED_VALUE"""),47431331)</f>
        <v>47431331</v>
      </c>
    </row>
    <row r="2737" spans="1:6" x14ac:dyDescent="0.35">
      <c r="A2737" s="2">
        <f ca="1">IFERROR(__xludf.DUMMYFUNCTION("""COMPUTED_VALUE"""),45978.6666666666)</f>
        <v>45978.666666666599</v>
      </c>
      <c r="B2737" s="1">
        <f ca="1">IFERROR(__xludf.DUMMYFUNCTION("""COMPUTED_VALUE"""),268.82)</f>
        <v>268.82</v>
      </c>
      <c r="C2737" s="1">
        <f ca="1">IFERROR(__xludf.DUMMYFUNCTION("""COMPUTED_VALUE"""),270.49)</f>
        <v>270.49</v>
      </c>
      <c r="D2737" s="1">
        <f ca="1">IFERROR(__xludf.DUMMYFUNCTION("""COMPUTED_VALUE"""),265.73)</f>
        <v>265.73</v>
      </c>
      <c r="E2737" s="1">
        <f ca="1">IFERROR(__xludf.DUMMYFUNCTION("""COMPUTED_VALUE"""),267.46)</f>
        <v>267.45999999999998</v>
      </c>
      <c r="F2737" s="1">
        <f ca="1">IFERROR(__xludf.DUMMYFUNCTION("""COMPUTED_VALUE"""),45018260)</f>
        <v>45018260</v>
      </c>
    </row>
    <row r="2738" spans="1:6" x14ac:dyDescent="0.35">
      <c r="A2738" s="2">
        <f ca="1">IFERROR(__xludf.DUMMYFUNCTION("""COMPUTED_VALUE"""),45979.6666666666)</f>
        <v>45979.666666666599</v>
      </c>
      <c r="B2738" s="1">
        <f ca="1">IFERROR(__xludf.DUMMYFUNCTION("""COMPUTED_VALUE"""),269.99)</f>
        <v>269.99</v>
      </c>
      <c r="C2738" s="1">
        <f ca="1">IFERROR(__xludf.DUMMYFUNCTION("""COMPUTED_VALUE"""),270.71)</f>
        <v>270.70999999999998</v>
      </c>
      <c r="D2738" s="1">
        <f ca="1">IFERROR(__xludf.DUMMYFUNCTION("""COMPUTED_VALUE"""),265.32)</f>
        <v>265.32</v>
      </c>
      <c r="E2738" s="1">
        <f ca="1">IFERROR(__xludf.DUMMYFUNCTION("""COMPUTED_VALUE"""),267.44)</f>
        <v>267.44</v>
      </c>
      <c r="F2738" s="1">
        <f ca="1">IFERROR(__xludf.DUMMYFUNCTION("""COMPUTED_VALUE"""),45677278)</f>
        <v>45677278</v>
      </c>
    </row>
    <row r="2739" spans="1:6" x14ac:dyDescent="0.35">
      <c r="A2739" s="2">
        <f ca="1">IFERROR(__xludf.DUMMYFUNCTION("""COMPUTED_VALUE"""),45980.6666666666)</f>
        <v>45980.666666666599</v>
      </c>
      <c r="B2739" s="1">
        <f ca="1">IFERROR(__xludf.DUMMYFUNCTION("""COMPUTED_VALUE"""),265.52)</f>
        <v>265.52</v>
      </c>
      <c r="C2739" s="1">
        <f ca="1">IFERROR(__xludf.DUMMYFUNCTION("""COMPUTED_VALUE"""),272.21)</f>
        <v>272.20999999999998</v>
      </c>
      <c r="D2739" s="1">
        <f ca="1">IFERROR(__xludf.DUMMYFUNCTION("""COMPUTED_VALUE"""),265.5)</f>
        <v>265.5</v>
      </c>
      <c r="E2739" s="1">
        <f ca="1">IFERROR(__xludf.DUMMYFUNCTION("""COMPUTED_VALUE"""),268.56)</f>
        <v>268.56</v>
      </c>
      <c r="F2739" s="1">
        <f ca="1">IFERROR(__xludf.DUMMYFUNCTION("""COMPUTED_VALUE"""),40424492)</f>
        <v>40424492</v>
      </c>
    </row>
    <row r="2740" spans="1:6" x14ac:dyDescent="0.35">
      <c r="A2740" s="2">
        <f ca="1">IFERROR(__xludf.DUMMYFUNCTION("""COMPUTED_VALUE"""),45981.6666666666)</f>
        <v>45981.666666666599</v>
      </c>
      <c r="B2740" s="1">
        <f ca="1">IFERROR(__xludf.DUMMYFUNCTION("""COMPUTED_VALUE"""),270.83)</f>
        <v>270.83</v>
      </c>
      <c r="C2740" s="1">
        <f ca="1">IFERROR(__xludf.DUMMYFUNCTION("""COMPUTED_VALUE"""),275.43)</f>
        <v>275.43</v>
      </c>
      <c r="D2740" s="1">
        <f ca="1">IFERROR(__xludf.DUMMYFUNCTION("""COMPUTED_VALUE"""),265.92)</f>
        <v>265.92</v>
      </c>
      <c r="E2740" s="1">
        <f ca="1">IFERROR(__xludf.DUMMYFUNCTION("""COMPUTED_VALUE"""),266.25)</f>
        <v>266.25</v>
      </c>
      <c r="F2740" s="1">
        <f ca="1">IFERROR(__xludf.DUMMYFUNCTION("""COMPUTED_VALUE"""),45823568)</f>
        <v>45823568</v>
      </c>
    </row>
    <row r="2741" spans="1:6" x14ac:dyDescent="0.35">
      <c r="A2741" s="2">
        <f ca="1">IFERROR(__xludf.DUMMYFUNCTION("""COMPUTED_VALUE"""),45982.6666666666)</f>
        <v>45982.666666666599</v>
      </c>
      <c r="B2741" s="1">
        <f ca="1">IFERROR(__xludf.DUMMYFUNCTION("""COMPUTED_VALUE"""),265.95)</f>
        <v>265.95</v>
      </c>
      <c r="C2741" s="1">
        <f ca="1">IFERROR(__xludf.DUMMYFUNCTION("""COMPUTED_VALUE"""),273.33)</f>
        <v>273.33</v>
      </c>
      <c r="D2741" s="1">
        <f ca="1">IFERROR(__xludf.DUMMYFUNCTION("""COMPUTED_VALUE"""),265.67)</f>
        <v>265.67</v>
      </c>
      <c r="E2741" s="1">
        <f ca="1">IFERROR(__xludf.DUMMYFUNCTION("""COMPUTED_VALUE"""),271.49)</f>
        <v>271.49</v>
      </c>
      <c r="F2741" s="1">
        <f ca="1">IFERROR(__xludf.DUMMYFUNCTION("""COMPUTED_VALUE"""),59030832)</f>
        <v>59030832</v>
      </c>
    </row>
    <row r="2742" spans="1:6" x14ac:dyDescent="0.35">
      <c r="A2742" s="2">
        <f ca="1">IFERROR(__xludf.DUMMYFUNCTION("""COMPUTED_VALUE"""),45985.6666666666)</f>
        <v>45985.666666666599</v>
      </c>
      <c r="B2742" s="1">
        <f ca="1">IFERROR(__xludf.DUMMYFUNCTION("""COMPUTED_VALUE"""),270.9)</f>
        <v>270.89999999999998</v>
      </c>
      <c r="C2742" s="1">
        <f ca="1">IFERROR(__xludf.DUMMYFUNCTION("""COMPUTED_VALUE"""),277)</f>
        <v>277</v>
      </c>
      <c r="D2742" s="1">
        <f ca="1">IFERROR(__xludf.DUMMYFUNCTION("""COMPUTED_VALUE"""),270.9)</f>
        <v>270.89999999999998</v>
      </c>
      <c r="E2742" s="1">
        <f ca="1">IFERROR(__xludf.DUMMYFUNCTION("""COMPUTED_VALUE"""),275.92)</f>
        <v>275.92</v>
      </c>
      <c r="F2742" s="1">
        <f ca="1">IFERROR(__xludf.DUMMYFUNCTION("""COMPUTED_VALUE"""),61884801)</f>
        <v>61884801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740"/>
  <sheetViews>
    <sheetView workbookViewId="0"/>
  </sheetViews>
  <sheetFormatPr defaultColWidth="12.59765625" defaultRowHeight="15.75" customHeight="1" x14ac:dyDescent="0.35"/>
  <cols>
    <col min="1" max="1" width="18.33203125" bestFit="1" customWidth="1"/>
  </cols>
  <sheetData>
    <row r="1" spans="1:6" x14ac:dyDescent="0.35">
      <c r="A1" s="1" t="str">
        <f ca="1">IFERROR(__xludf.DUMMYFUNCTION("GOOGLEFINANCE(""AMZN"",""all"",DATE(2015,1,1),TODAY())"),"Date")</f>
        <v>Date</v>
      </c>
      <c r="B1" s="1" t="str">
        <f ca="1">IFERROR(__xludf.DUMMYFUNCTION("""COMPUTED_VALUE"""),"Open")</f>
        <v>Open</v>
      </c>
      <c r="C1" s="1" t="str">
        <f ca="1">IFERROR(__xludf.DUMMYFUNCTION("""COMPUTED_VALUE"""),"High")</f>
        <v>High</v>
      </c>
      <c r="D1" s="1" t="str">
        <f ca="1">IFERROR(__xludf.DUMMYFUNCTION("""COMPUTED_VALUE"""),"Low")</f>
        <v>Low</v>
      </c>
      <c r="E1" s="1" t="str">
        <f ca="1">IFERROR(__xludf.DUMMYFUNCTION("""COMPUTED_VALUE"""),"Close")</f>
        <v>Close</v>
      </c>
      <c r="F1" s="1" t="str">
        <f ca="1">IFERROR(__xludf.DUMMYFUNCTION("""COMPUTED_VALUE"""),"Volume")</f>
        <v>Volume</v>
      </c>
    </row>
    <row r="2" spans="1:6" x14ac:dyDescent="0.35">
      <c r="A2" s="2">
        <f ca="1">IFERROR(__xludf.DUMMYFUNCTION("""COMPUTED_VALUE"""),42006.6666666666)</f>
        <v>42006.666666666599</v>
      </c>
      <c r="B2" s="1">
        <f ca="1">IFERROR(__xludf.DUMMYFUNCTION("""COMPUTED_VALUE"""),15.63)</f>
        <v>15.63</v>
      </c>
      <c r="C2" s="1">
        <f ca="1">IFERROR(__xludf.DUMMYFUNCTION("""COMPUTED_VALUE"""),15.74)</f>
        <v>15.74</v>
      </c>
      <c r="D2" s="1">
        <f ca="1">IFERROR(__xludf.DUMMYFUNCTION("""COMPUTED_VALUE"""),15.35)</f>
        <v>15.35</v>
      </c>
      <c r="E2" s="1">
        <f ca="1">IFERROR(__xludf.DUMMYFUNCTION("""COMPUTED_VALUE"""),15.43)</f>
        <v>15.43</v>
      </c>
      <c r="F2" s="1">
        <f ca="1">IFERROR(__xludf.DUMMYFUNCTION("""COMPUTED_VALUE"""),2788101)</f>
        <v>2788101</v>
      </c>
    </row>
    <row r="3" spans="1:6" x14ac:dyDescent="0.35">
      <c r="A3" s="2">
        <f ca="1">IFERROR(__xludf.DUMMYFUNCTION("""COMPUTED_VALUE"""),42009.6666666666)</f>
        <v>42009.666666666599</v>
      </c>
      <c r="B3" s="1">
        <f ca="1">IFERROR(__xludf.DUMMYFUNCTION("""COMPUTED_VALUE"""),15.35)</f>
        <v>15.35</v>
      </c>
      <c r="C3" s="1">
        <f ca="1">IFERROR(__xludf.DUMMYFUNCTION("""COMPUTED_VALUE"""),15.42)</f>
        <v>15.42</v>
      </c>
      <c r="D3" s="1">
        <f ca="1">IFERROR(__xludf.DUMMYFUNCTION("""COMPUTED_VALUE"""),15.04)</f>
        <v>15.04</v>
      </c>
      <c r="E3" s="1">
        <f ca="1">IFERROR(__xludf.DUMMYFUNCTION("""COMPUTED_VALUE"""),15.11)</f>
        <v>15.11</v>
      </c>
      <c r="F3" s="1">
        <f ca="1">IFERROR(__xludf.DUMMYFUNCTION("""COMPUTED_VALUE"""),2774231)</f>
        <v>2774231</v>
      </c>
    </row>
    <row r="4" spans="1:6" x14ac:dyDescent="0.35">
      <c r="A4" s="2">
        <f ca="1">IFERROR(__xludf.DUMMYFUNCTION("""COMPUTED_VALUE"""),42010.6666666666)</f>
        <v>42010.666666666599</v>
      </c>
      <c r="B4" s="1">
        <f ca="1">IFERROR(__xludf.DUMMYFUNCTION("""COMPUTED_VALUE"""),15.11)</f>
        <v>15.11</v>
      </c>
      <c r="C4" s="1">
        <f ca="1">IFERROR(__xludf.DUMMYFUNCTION("""COMPUTED_VALUE"""),15.15)</f>
        <v>15.15</v>
      </c>
      <c r="D4" s="1">
        <f ca="1">IFERROR(__xludf.DUMMYFUNCTION("""COMPUTED_VALUE"""),14.62)</f>
        <v>14.62</v>
      </c>
      <c r="E4" s="1">
        <f ca="1">IFERROR(__xludf.DUMMYFUNCTION("""COMPUTED_VALUE"""),14.76)</f>
        <v>14.76</v>
      </c>
      <c r="F4" s="1">
        <f ca="1">IFERROR(__xludf.DUMMYFUNCTION("""COMPUTED_VALUE"""),3519034)</f>
        <v>3519034</v>
      </c>
    </row>
    <row r="5" spans="1:6" x14ac:dyDescent="0.35">
      <c r="A5" s="2">
        <f ca="1">IFERROR(__xludf.DUMMYFUNCTION("""COMPUTED_VALUE"""),42011.6666666666)</f>
        <v>42011.666666666599</v>
      </c>
      <c r="B5" s="1">
        <f ca="1">IFERROR(__xludf.DUMMYFUNCTION("""COMPUTED_VALUE"""),14.88)</f>
        <v>14.88</v>
      </c>
      <c r="C5" s="1">
        <f ca="1">IFERROR(__xludf.DUMMYFUNCTION("""COMPUTED_VALUE"""),15.06)</f>
        <v>15.06</v>
      </c>
      <c r="D5" s="1">
        <f ca="1">IFERROR(__xludf.DUMMYFUNCTION("""COMPUTED_VALUE"""),14.77)</f>
        <v>14.77</v>
      </c>
      <c r="E5" s="1">
        <f ca="1">IFERROR(__xludf.DUMMYFUNCTION("""COMPUTED_VALUE"""),14.92)</f>
        <v>14.92</v>
      </c>
      <c r="F5" s="1">
        <f ca="1">IFERROR(__xludf.DUMMYFUNCTION("""COMPUTED_VALUE"""),2640349)</f>
        <v>2640349</v>
      </c>
    </row>
    <row r="6" spans="1:6" x14ac:dyDescent="0.35">
      <c r="A6" s="2">
        <f ca="1">IFERROR(__xludf.DUMMYFUNCTION("""COMPUTED_VALUE"""),42012.6666666666)</f>
        <v>42012.666666666599</v>
      </c>
      <c r="B6" s="1">
        <f ca="1">IFERROR(__xludf.DUMMYFUNCTION("""COMPUTED_VALUE"""),15.03)</f>
        <v>15.03</v>
      </c>
      <c r="C6" s="1">
        <f ca="1">IFERROR(__xludf.DUMMYFUNCTION("""COMPUTED_VALUE"""),15.16)</f>
        <v>15.16</v>
      </c>
      <c r="D6" s="1">
        <f ca="1">IFERROR(__xludf.DUMMYFUNCTION("""COMPUTED_VALUE"""),14.81)</f>
        <v>14.81</v>
      </c>
      <c r="E6" s="1">
        <f ca="1">IFERROR(__xludf.DUMMYFUNCTION("""COMPUTED_VALUE"""),15.02)</f>
        <v>15.02</v>
      </c>
      <c r="F6" s="1">
        <f ca="1">IFERROR(__xludf.DUMMYFUNCTION("""COMPUTED_VALUE"""),3088398)</f>
        <v>3088398</v>
      </c>
    </row>
    <row r="7" spans="1:6" x14ac:dyDescent="0.35">
      <c r="A7" s="2">
        <f ca="1">IFERROR(__xludf.DUMMYFUNCTION("""COMPUTED_VALUE"""),42013.6666666666)</f>
        <v>42013.666666666599</v>
      </c>
      <c r="B7" s="1">
        <f ca="1">IFERROR(__xludf.DUMMYFUNCTION("""COMPUTED_VALUE"""),15.08)</f>
        <v>15.08</v>
      </c>
      <c r="C7" s="1">
        <f ca="1">IFERROR(__xludf.DUMMYFUNCTION("""COMPUTED_VALUE"""),15.14)</f>
        <v>15.14</v>
      </c>
      <c r="D7" s="1">
        <f ca="1">IFERROR(__xludf.DUMMYFUNCTION("""COMPUTED_VALUE"""),14.83)</f>
        <v>14.83</v>
      </c>
      <c r="E7" s="1">
        <f ca="1">IFERROR(__xludf.DUMMYFUNCTION("""COMPUTED_VALUE"""),14.85)</f>
        <v>14.85</v>
      </c>
      <c r="F7" s="1">
        <f ca="1">IFERROR(__xludf.DUMMYFUNCTION("""COMPUTED_VALUE"""),2592360)</f>
        <v>2592360</v>
      </c>
    </row>
    <row r="8" spans="1:6" x14ac:dyDescent="0.35">
      <c r="A8" s="2">
        <f ca="1">IFERROR(__xludf.DUMMYFUNCTION("""COMPUTED_VALUE"""),42016.6666666666)</f>
        <v>42016.666666666599</v>
      </c>
      <c r="B8" s="1">
        <f ca="1">IFERROR(__xludf.DUMMYFUNCTION("""COMPUTED_VALUE"""),14.9)</f>
        <v>14.9</v>
      </c>
      <c r="C8" s="1">
        <f ca="1">IFERROR(__xludf.DUMMYFUNCTION("""COMPUTED_VALUE"""),14.93)</f>
        <v>14.93</v>
      </c>
      <c r="D8" s="1">
        <f ca="1">IFERROR(__xludf.DUMMYFUNCTION("""COMPUTED_VALUE"""),14.46)</f>
        <v>14.46</v>
      </c>
      <c r="E8" s="1">
        <f ca="1">IFERROR(__xludf.DUMMYFUNCTION("""COMPUTED_VALUE"""),14.57)</f>
        <v>14.57</v>
      </c>
      <c r="F8" s="1">
        <f ca="1">IFERROR(__xludf.DUMMYFUNCTION("""COMPUTED_VALUE"""),3421392)</f>
        <v>3421392</v>
      </c>
    </row>
    <row r="9" spans="1:6" x14ac:dyDescent="0.35">
      <c r="A9" s="2">
        <f ca="1">IFERROR(__xludf.DUMMYFUNCTION("""COMPUTED_VALUE"""),42017.6666666666)</f>
        <v>42017.666666666599</v>
      </c>
      <c r="B9" s="1">
        <f ca="1">IFERROR(__xludf.DUMMYFUNCTION("""COMPUTED_VALUE"""),14.87)</f>
        <v>14.87</v>
      </c>
      <c r="C9" s="1">
        <f ca="1">IFERROR(__xludf.DUMMYFUNCTION("""COMPUTED_VALUE"""),15.07)</f>
        <v>15.07</v>
      </c>
      <c r="D9" s="1">
        <f ca="1">IFERROR(__xludf.DUMMYFUNCTION("""COMPUTED_VALUE"""),14.66)</f>
        <v>14.66</v>
      </c>
      <c r="E9" s="1">
        <f ca="1">IFERROR(__xludf.DUMMYFUNCTION("""COMPUTED_VALUE"""),14.74)</f>
        <v>14.74</v>
      </c>
      <c r="F9" s="1">
        <f ca="1">IFERROR(__xludf.DUMMYFUNCTION("""COMPUTED_VALUE"""),4136442)</f>
        <v>4136442</v>
      </c>
    </row>
    <row r="10" spans="1:6" x14ac:dyDescent="0.35">
      <c r="A10" s="2">
        <f ca="1">IFERROR(__xludf.DUMMYFUNCTION("""COMPUTED_VALUE"""),42018.6666666666)</f>
        <v>42018.666666666599</v>
      </c>
      <c r="B10" s="1">
        <f ca="1">IFERROR(__xludf.DUMMYFUNCTION("""COMPUTED_VALUE"""),14.6)</f>
        <v>14.6</v>
      </c>
      <c r="C10" s="1">
        <f ca="1">IFERROR(__xludf.DUMMYFUNCTION("""COMPUTED_VALUE"""),14.8)</f>
        <v>14.8</v>
      </c>
      <c r="D10" s="1">
        <f ca="1">IFERROR(__xludf.DUMMYFUNCTION("""COMPUTED_VALUE"""),14.33)</f>
        <v>14.33</v>
      </c>
      <c r="E10" s="1">
        <f ca="1">IFERROR(__xludf.DUMMYFUNCTION("""COMPUTED_VALUE"""),14.66)</f>
        <v>14.66</v>
      </c>
      <c r="F10" s="1">
        <f ca="1">IFERROR(__xludf.DUMMYFUNCTION("""COMPUTED_VALUE"""),5538666)</f>
        <v>5538666</v>
      </c>
    </row>
    <row r="11" spans="1:6" x14ac:dyDescent="0.35">
      <c r="A11" s="2">
        <f ca="1">IFERROR(__xludf.DUMMYFUNCTION("""COMPUTED_VALUE"""),42019.6666666666)</f>
        <v>42019.666666666599</v>
      </c>
      <c r="B11" s="1">
        <f ca="1">IFERROR(__xludf.DUMMYFUNCTION("""COMPUTED_VALUE"""),14.7)</f>
        <v>14.7</v>
      </c>
      <c r="C11" s="1">
        <f ca="1">IFERROR(__xludf.DUMMYFUNCTION("""COMPUTED_VALUE"""),14.8)</f>
        <v>14.8</v>
      </c>
      <c r="D11" s="1">
        <f ca="1">IFERROR(__xludf.DUMMYFUNCTION("""COMPUTED_VALUE"""),14.34)</f>
        <v>14.34</v>
      </c>
      <c r="E11" s="1">
        <f ca="1">IFERROR(__xludf.DUMMYFUNCTION("""COMPUTED_VALUE"""),14.35)</f>
        <v>14.35</v>
      </c>
      <c r="F11" s="1">
        <f ca="1">IFERROR(__xludf.DUMMYFUNCTION("""COMPUTED_VALUE"""),4419196)</f>
        <v>4419196</v>
      </c>
    </row>
    <row r="12" spans="1:6" x14ac:dyDescent="0.35">
      <c r="A12" s="2">
        <f ca="1">IFERROR(__xludf.DUMMYFUNCTION("""COMPUTED_VALUE"""),42020.6666666666)</f>
        <v>42020.666666666599</v>
      </c>
      <c r="B12" s="1">
        <f ca="1">IFERROR(__xludf.DUMMYFUNCTION("""COMPUTED_VALUE"""),14.31)</f>
        <v>14.31</v>
      </c>
      <c r="C12" s="1">
        <f ca="1">IFERROR(__xludf.DUMMYFUNCTION("""COMPUTED_VALUE"""),14.54)</f>
        <v>14.54</v>
      </c>
      <c r="D12" s="1">
        <f ca="1">IFERROR(__xludf.DUMMYFUNCTION("""COMPUTED_VALUE"""),14.26)</f>
        <v>14.26</v>
      </c>
      <c r="E12" s="1">
        <f ca="1">IFERROR(__xludf.DUMMYFUNCTION("""COMPUTED_VALUE"""),14.54)</f>
        <v>14.54</v>
      </c>
      <c r="F12" s="1">
        <f ca="1">IFERROR(__xludf.DUMMYFUNCTION("""COMPUTED_VALUE"""),3478176)</f>
        <v>3478176</v>
      </c>
    </row>
    <row r="13" spans="1:6" x14ac:dyDescent="0.35">
      <c r="A13" s="2">
        <f ca="1">IFERROR(__xludf.DUMMYFUNCTION("""COMPUTED_VALUE"""),42024.6666666666)</f>
        <v>42024.666666666599</v>
      </c>
      <c r="B13" s="1">
        <f ca="1">IFERROR(__xludf.DUMMYFUNCTION("""COMPUTED_VALUE"""),14.63)</f>
        <v>14.63</v>
      </c>
      <c r="C13" s="1">
        <f ca="1">IFERROR(__xludf.DUMMYFUNCTION("""COMPUTED_VALUE"""),14.67)</f>
        <v>14.67</v>
      </c>
      <c r="D13" s="1">
        <f ca="1">IFERROR(__xludf.DUMMYFUNCTION("""COMPUTED_VALUE"""),14.32)</f>
        <v>14.32</v>
      </c>
      <c r="E13" s="1">
        <f ca="1">IFERROR(__xludf.DUMMYFUNCTION("""COMPUTED_VALUE"""),14.47)</f>
        <v>14.47</v>
      </c>
      <c r="F13" s="1">
        <f ca="1">IFERROR(__xludf.DUMMYFUNCTION("""COMPUTED_VALUE"""),3075081)</f>
        <v>3075081</v>
      </c>
    </row>
    <row r="14" spans="1:6" x14ac:dyDescent="0.35">
      <c r="A14" s="2">
        <f ca="1">IFERROR(__xludf.DUMMYFUNCTION("""COMPUTED_VALUE"""),42025.6666666666)</f>
        <v>42025.666666666599</v>
      </c>
      <c r="B14" s="1">
        <f ca="1">IFERROR(__xludf.DUMMYFUNCTION("""COMPUTED_VALUE"""),14.48)</f>
        <v>14.48</v>
      </c>
      <c r="C14" s="1">
        <f ca="1">IFERROR(__xludf.DUMMYFUNCTION("""COMPUTED_VALUE"""),15.3)</f>
        <v>15.3</v>
      </c>
      <c r="D14" s="1">
        <f ca="1">IFERROR(__xludf.DUMMYFUNCTION("""COMPUTED_VALUE"""),14.36)</f>
        <v>14.36</v>
      </c>
      <c r="E14" s="1">
        <f ca="1">IFERROR(__xludf.DUMMYFUNCTION("""COMPUTED_VALUE"""),14.86)</f>
        <v>14.86</v>
      </c>
      <c r="F14" s="1">
        <f ca="1">IFERROR(__xludf.DUMMYFUNCTION("""COMPUTED_VALUE"""),10065076)</f>
        <v>10065076</v>
      </c>
    </row>
    <row r="15" spans="1:6" x14ac:dyDescent="0.35">
      <c r="A15" s="2">
        <f ca="1">IFERROR(__xludf.DUMMYFUNCTION("""COMPUTED_VALUE"""),42026.6666666666)</f>
        <v>42026.666666666599</v>
      </c>
      <c r="B15" s="1">
        <f ca="1">IFERROR(__xludf.DUMMYFUNCTION("""COMPUTED_VALUE"""),15)</f>
        <v>15</v>
      </c>
      <c r="C15" s="1">
        <f ca="1">IFERROR(__xludf.DUMMYFUNCTION("""COMPUTED_VALUE"""),15.61)</f>
        <v>15.61</v>
      </c>
      <c r="D15" s="1">
        <f ca="1">IFERROR(__xludf.DUMMYFUNCTION("""COMPUTED_VALUE"""),15)</f>
        <v>15</v>
      </c>
      <c r="E15" s="1">
        <f ca="1">IFERROR(__xludf.DUMMYFUNCTION("""COMPUTED_VALUE"""),15.52)</f>
        <v>15.52</v>
      </c>
      <c r="F15" s="1">
        <f ca="1">IFERROR(__xludf.DUMMYFUNCTION("""COMPUTED_VALUE"""),5362640)</f>
        <v>5362640</v>
      </c>
    </row>
    <row r="16" spans="1:6" x14ac:dyDescent="0.35">
      <c r="A16" s="2">
        <f ca="1">IFERROR(__xludf.DUMMYFUNCTION("""COMPUTED_VALUE"""),42027.6666666666)</f>
        <v>42027.666666666599</v>
      </c>
      <c r="B16" s="1">
        <f ca="1">IFERROR(__xludf.DUMMYFUNCTION("""COMPUTED_VALUE"""),15.4)</f>
        <v>15.4</v>
      </c>
      <c r="C16" s="1">
        <f ca="1">IFERROR(__xludf.DUMMYFUNCTION("""COMPUTED_VALUE"""),15.85)</f>
        <v>15.85</v>
      </c>
      <c r="D16" s="1">
        <f ca="1">IFERROR(__xludf.DUMMYFUNCTION("""COMPUTED_VALUE"""),15.39)</f>
        <v>15.39</v>
      </c>
      <c r="E16" s="1">
        <f ca="1">IFERROR(__xludf.DUMMYFUNCTION("""COMPUTED_VALUE"""),15.62)</f>
        <v>15.62</v>
      </c>
      <c r="F16" s="1">
        <f ca="1">IFERROR(__xludf.DUMMYFUNCTION("""COMPUTED_VALUE"""),4496419)</f>
        <v>4496419</v>
      </c>
    </row>
    <row r="17" spans="1:6" x14ac:dyDescent="0.35">
      <c r="A17" s="2">
        <f ca="1">IFERROR(__xludf.DUMMYFUNCTION("""COMPUTED_VALUE"""),42030.6666666666)</f>
        <v>42030.666666666599</v>
      </c>
      <c r="B17" s="1">
        <f ca="1">IFERROR(__xludf.DUMMYFUNCTION("""COMPUTED_VALUE"""),15.6)</f>
        <v>15.6</v>
      </c>
      <c r="C17" s="1">
        <f ca="1">IFERROR(__xludf.DUMMYFUNCTION("""COMPUTED_VALUE"""),15.65)</f>
        <v>15.65</v>
      </c>
      <c r="D17" s="1">
        <f ca="1">IFERROR(__xludf.DUMMYFUNCTION("""COMPUTED_VALUE"""),15.38)</f>
        <v>15.38</v>
      </c>
      <c r="E17" s="1">
        <f ca="1">IFERROR(__xludf.DUMMYFUNCTION("""COMPUTED_VALUE"""),15.48)</f>
        <v>15.48</v>
      </c>
      <c r="F17" s="1">
        <f ca="1">IFERROR(__xludf.DUMMYFUNCTION("""COMPUTED_VALUE"""),3169665)</f>
        <v>3169665</v>
      </c>
    </row>
    <row r="18" spans="1:6" x14ac:dyDescent="0.35">
      <c r="A18" s="2">
        <f ca="1">IFERROR(__xludf.DUMMYFUNCTION("""COMPUTED_VALUE"""),42031.6666666666)</f>
        <v>42031.666666666599</v>
      </c>
      <c r="B18" s="1">
        <f ca="1">IFERROR(__xludf.DUMMYFUNCTION("""COMPUTED_VALUE"""),15.32)</f>
        <v>15.32</v>
      </c>
      <c r="C18" s="1">
        <f ca="1">IFERROR(__xludf.DUMMYFUNCTION("""COMPUTED_VALUE"""),15.51)</f>
        <v>15.51</v>
      </c>
      <c r="D18" s="1">
        <f ca="1">IFERROR(__xludf.DUMMYFUNCTION("""COMPUTED_VALUE"""),15.13)</f>
        <v>15.13</v>
      </c>
      <c r="E18" s="1">
        <f ca="1">IFERROR(__xludf.DUMMYFUNCTION("""COMPUTED_VALUE"""),15.34)</f>
        <v>15.34</v>
      </c>
      <c r="F18" s="1">
        <f ca="1">IFERROR(__xludf.DUMMYFUNCTION("""COMPUTED_VALUE"""),2920315)</f>
        <v>2920315</v>
      </c>
    </row>
    <row r="19" spans="1:6" x14ac:dyDescent="0.35">
      <c r="A19" s="2">
        <f ca="1">IFERROR(__xludf.DUMMYFUNCTION("""COMPUTED_VALUE"""),42032.6666666666)</f>
        <v>42032.666666666599</v>
      </c>
      <c r="B19" s="1">
        <f ca="1">IFERROR(__xludf.DUMMYFUNCTION("""COMPUTED_VALUE"""),15.48)</f>
        <v>15.48</v>
      </c>
      <c r="C19" s="1">
        <f ca="1">IFERROR(__xludf.DUMMYFUNCTION("""COMPUTED_VALUE"""),15.58)</f>
        <v>15.58</v>
      </c>
      <c r="D19" s="1">
        <f ca="1">IFERROR(__xludf.DUMMYFUNCTION("""COMPUTED_VALUE"""),15.19)</f>
        <v>15.19</v>
      </c>
      <c r="E19" s="1">
        <f ca="1">IFERROR(__xludf.DUMMYFUNCTION("""COMPUTED_VALUE"""),15.2)</f>
        <v>15.2</v>
      </c>
      <c r="F19" s="1">
        <f ca="1">IFERROR(__xludf.DUMMYFUNCTION("""COMPUTED_VALUE"""),3063774)</f>
        <v>3063774</v>
      </c>
    </row>
    <row r="20" spans="1:6" x14ac:dyDescent="0.35">
      <c r="A20" s="2">
        <f ca="1">IFERROR(__xludf.DUMMYFUNCTION("""COMPUTED_VALUE"""),42033.6666666666)</f>
        <v>42033.666666666599</v>
      </c>
      <c r="B20" s="1">
        <f ca="1">IFERROR(__xludf.DUMMYFUNCTION("""COMPUTED_VALUE"""),15.24)</f>
        <v>15.24</v>
      </c>
      <c r="C20" s="1">
        <f ca="1">IFERROR(__xludf.DUMMYFUNCTION("""COMPUTED_VALUE"""),15.64)</f>
        <v>15.64</v>
      </c>
      <c r="D20" s="1">
        <f ca="1">IFERROR(__xludf.DUMMYFUNCTION("""COMPUTED_VALUE"""),14.97)</f>
        <v>14.97</v>
      </c>
      <c r="E20" s="1">
        <f ca="1">IFERROR(__xludf.DUMMYFUNCTION("""COMPUTED_VALUE"""),15.59)</f>
        <v>15.59</v>
      </c>
      <c r="F20" s="1">
        <f ca="1">IFERROR(__xludf.DUMMYFUNCTION("""COMPUTED_VALUE"""),8656567)</f>
        <v>8656567</v>
      </c>
    </row>
    <row r="21" spans="1:6" x14ac:dyDescent="0.35">
      <c r="A21" s="2">
        <f ca="1">IFERROR(__xludf.DUMMYFUNCTION("""COMPUTED_VALUE"""),42034.6666666666)</f>
        <v>42034.666666666599</v>
      </c>
      <c r="B21" s="1">
        <f ca="1">IFERROR(__xludf.DUMMYFUNCTION("""COMPUTED_VALUE"""),17.32)</f>
        <v>17.32</v>
      </c>
      <c r="C21" s="1">
        <f ca="1">IFERROR(__xludf.DUMMYFUNCTION("""COMPUTED_VALUE"""),17.98)</f>
        <v>17.98</v>
      </c>
      <c r="D21" s="1">
        <f ca="1">IFERROR(__xludf.DUMMYFUNCTION("""COMPUTED_VALUE"""),17.04)</f>
        <v>17.04</v>
      </c>
      <c r="E21" s="1">
        <f ca="1">IFERROR(__xludf.DUMMYFUNCTION("""COMPUTED_VALUE"""),17.73)</f>
        <v>17.73</v>
      </c>
      <c r="F21" s="1">
        <f ca="1">IFERROR(__xludf.DUMMYFUNCTION("""COMPUTED_VALUE"""),23856060)</f>
        <v>23856060</v>
      </c>
    </row>
    <row r="22" spans="1:6" x14ac:dyDescent="0.35">
      <c r="A22" s="2">
        <f ca="1">IFERROR(__xludf.DUMMYFUNCTION("""COMPUTED_VALUE"""),42037.6666666666)</f>
        <v>42037.666666666599</v>
      </c>
      <c r="B22" s="1">
        <f ca="1">IFERROR(__xludf.DUMMYFUNCTION("""COMPUTED_VALUE"""),17.5)</f>
        <v>17.5</v>
      </c>
      <c r="C22" s="1">
        <f ca="1">IFERROR(__xludf.DUMMYFUNCTION("""COMPUTED_VALUE"""),18.25)</f>
        <v>18.25</v>
      </c>
      <c r="D22" s="1">
        <f ca="1">IFERROR(__xludf.DUMMYFUNCTION("""COMPUTED_VALUE"""),17.5)</f>
        <v>17.5</v>
      </c>
      <c r="E22" s="1">
        <f ca="1">IFERROR(__xludf.DUMMYFUNCTION("""COMPUTED_VALUE"""),18.22)</f>
        <v>18.22</v>
      </c>
      <c r="F22" s="1">
        <f ca="1">IFERROR(__xludf.DUMMYFUNCTION("""COMPUTED_VALUE"""),10231914)</f>
        <v>10231914</v>
      </c>
    </row>
    <row r="23" spans="1:6" x14ac:dyDescent="0.35">
      <c r="A23" s="2">
        <f ca="1">IFERROR(__xludf.DUMMYFUNCTION("""COMPUTED_VALUE"""),42038.6666666666)</f>
        <v>42038.666666666599</v>
      </c>
      <c r="B23" s="1">
        <f ca="1">IFERROR(__xludf.DUMMYFUNCTION("""COMPUTED_VALUE"""),18.01)</f>
        <v>18.010000000000002</v>
      </c>
      <c r="C23" s="1">
        <f ca="1">IFERROR(__xludf.DUMMYFUNCTION("""COMPUTED_VALUE"""),18.39)</f>
        <v>18.39</v>
      </c>
      <c r="D23" s="1">
        <f ca="1">IFERROR(__xludf.DUMMYFUNCTION("""COMPUTED_VALUE"""),18.01)</f>
        <v>18.010000000000002</v>
      </c>
      <c r="E23" s="1">
        <f ca="1">IFERROR(__xludf.DUMMYFUNCTION("""COMPUTED_VALUE"""),18.18)</f>
        <v>18.18</v>
      </c>
      <c r="F23" s="1">
        <f ca="1">IFERROR(__xludf.DUMMYFUNCTION("""COMPUTED_VALUE"""),6212565)</f>
        <v>6212565</v>
      </c>
    </row>
    <row r="24" spans="1:6" x14ac:dyDescent="0.35">
      <c r="A24" s="2">
        <f ca="1">IFERROR(__xludf.DUMMYFUNCTION("""COMPUTED_VALUE"""),42039.6666666666)</f>
        <v>42039.666666666599</v>
      </c>
      <c r="B24" s="1">
        <f ca="1">IFERROR(__xludf.DUMMYFUNCTION("""COMPUTED_VALUE"""),17.92)</f>
        <v>17.920000000000002</v>
      </c>
      <c r="C24" s="1">
        <f ca="1">IFERROR(__xludf.DUMMYFUNCTION("""COMPUTED_VALUE"""),18.38)</f>
        <v>18.38</v>
      </c>
      <c r="D24" s="1">
        <f ca="1">IFERROR(__xludf.DUMMYFUNCTION("""COMPUTED_VALUE"""),17.91)</f>
        <v>17.91</v>
      </c>
      <c r="E24" s="1">
        <f ca="1">IFERROR(__xludf.DUMMYFUNCTION("""COMPUTED_VALUE"""),18.24)</f>
        <v>18.239999999999998</v>
      </c>
      <c r="F24" s="1">
        <f ca="1">IFERROR(__xludf.DUMMYFUNCTION("""COMPUTED_VALUE"""),4169927)</f>
        <v>4169927</v>
      </c>
    </row>
    <row r="25" spans="1:6" x14ac:dyDescent="0.35">
      <c r="A25" s="2">
        <f ca="1">IFERROR(__xludf.DUMMYFUNCTION("""COMPUTED_VALUE"""),42040.6666666666)</f>
        <v>42040.666666666599</v>
      </c>
      <c r="B25" s="1">
        <f ca="1">IFERROR(__xludf.DUMMYFUNCTION("""COMPUTED_VALUE"""),18.3)</f>
        <v>18.3</v>
      </c>
      <c r="C25" s="1">
        <f ca="1">IFERROR(__xludf.DUMMYFUNCTION("""COMPUTED_VALUE"""),18.94)</f>
        <v>18.940000000000001</v>
      </c>
      <c r="D25" s="1">
        <f ca="1">IFERROR(__xludf.DUMMYFUNCTION("""COMPUTED_VALUE"""),18.3)</f>
        <v>18.3</v>
      </c>
      <c r="E25" s="1">
        <f ca="1">IFERROR(__xludf.DUMMYFUNCTION("""COMPUTED_VALUE"""),18.69)</f>
        <v>18.690000000000001</v>
      </c>
      <c r="F25" s="1">
        <f ca="1">IFERROR(__xludf.DUMMYFUNCTION("""COMPUTED_VALUE"""),7247605)</f>
        <v>7247605</v>
      </c>
    </row>
    <row r="26" spans="1:6" x14ac:dyDescent="0.35">
      <c r="A26" s="2">
        <f ca="1">IFERROR(__xludf.DUMMYFUNCTION("""COMPUTED_VALUE"""),42041.6666666666)</f>
        <v>42041.666666666599</v>
      </c>
      <c r="B26" s="1">
        <f ca="1">IFERROR(__xludf.DUMMYFUNCTION("""COMPUTED_VALUE"""),18.74)</f>
        <v>18.739999999999998</v>
      </c>
      <c r="C26" s="1">
        <f ca="1">IFERROR(__xludf.DUMMYFUNCTION("""COMPUTED_VALUE"""),18.8)</f>
        <v>18.8</v>
      </c>
      <c r="D26" s="1">
        <f ca="1">IFERROR(__xludf.DUMMYFUNCTION("""COMPUTED_VALUE"""),18.55)</f>
        <v>18.55</v>
      </c>
      <c r="E26" s="1">
        <f ca="1">IFERROR(__xludf.DUMMYFUNCTION("""COMPUTED_VALUE"""),18.71)</f>
        <v>18.71</v>
      </c>
      <c r="F26" s="1">
        <f ca="1">IFERROR(__xludf.DUMMYFUNCTION("""COMPUTED_VALUE"""),3892382)</f>
        <v>3892382</v>
      </c>
    </row>
    <row r="27" spans="1:6" x14ac:dyDescent="0.35">
      <c r="A27" s="2">
        <f ca="1">IFERROR(__xludf.DUMMYFUNCTION("""COMPUTED_VALUE"""),42044.6666666666)</f>
        <v>42044.666666666599</v>
      </c>
      <c r="B27" s="1">
        <f ca="1">IFERROR(__xludf.DUMMYFUNCTION("""COMPUTED_VALUE"""),18.55)</f>
        <v>18.55</v>
      </c>
      <c r="C27" s="1">
        <f ca="1">IFERROR(__xludf.DUMMYFUNCTION("""COMPUTED_VALUE"""),18.72)</f>
        <v>18.72</v>
      </c>
      <c r="D27" s="1">
        <f ca="1">IFERROR(__xludf.DUMMYFUNCTION("""COMPUTED_VALUE"""),18.36)</f>
        <v>18.36</v>
      </c>
      <c r="E27" s="1">
        <f ca="1">IFERROR(__xludf.DUMMYFUNCTION("""COMPUTED_VALUE"""),18.53)</f>
        <v>18.53</v>
      </c>
      <c r="F27" s="1">
        <f ca="1">IFERROR(__xludf.DUMMYFUNCTION("""COMPUTED_VALUE"""),2724630)</f>
        <v>2724630</v>
      </c>
    </row>
    <row r="28" spans="1:6" x14ac:dyDescent="0.35">
      <c r="A28" s="2">
        <f ca="1">IFERROR(__xludf.DUMMYFUNCTION("""COMPUTED_VALUE"""),42045.6666666666)</f>
        <v>42045.666666666599</v>
      </c>
      <c r="B28" s="1">
        <f ca="1">IFERROR(__xludf.DUMMYFUNCTION("""COMPUTED_VALUE"""),18.56)</f>
        <v>18.559999999999999</v>
      </c>
      <c r="C28" s="1">
        <f ca="1">IFERROR(__xludf.DUMMYFUNCTION("""COMPUTED_VALUE"""),18.72)</f>
        <v>18.72</v>
      </c>
      <c r="D28" s="1">
        <f ca="1">IFERROR(__xludf.DUMMYFUNCTION("""COMPUTED_VALUE"""),18.43)</f>
        <v>18.43</v>
      </c>
      <c r="E28" s="1">
        <f ca="1">IFERROR(__xludf.DUMMYFUNCTION("""COMPUTED_VALUE"""),18.65)</f>
        <v>18.649999999999999</v>
      </c>
      <c r="F28" s="1">
        <f ca="1">IFERROR(__xludf.DUMMYFUNCTION("""COMPUTED_VALUE"""),2287232)</f>
        <v>2287232</v>
      </c>
    </row>
    <row r="29" spans="1:6" x14ac:dyDescent="0.35">
      <c r="A29" s="2">
        <f ca="1">IFERROR(__xludf.DUMMYFUNCTION("""COMPUTED_VALUE"""),42046.6666666666)</f>
        <v>42046.666666666599</v>
      </c>
      <c r="B29" s="1">
        <f ca="1">IFERROR(__xludf.DUMMYFUNCTION("""COMPUTED_VALUE"""),18.56)</f>
        <v>18.559999999999999</v>
      </c>
      <c r="C29" s="1">
        <f ca="1">IFERROR(__xludf.DUMMYFUNCTION("""COMPUTED_VALUE"""),18.86)</f>
        <v>18.86</v>
      </c>
      <c r="D29" s="1">
        <f ca="1">IFERROR(__xludf.DUMMYFUNCTION("""COMPUTED_VALUE"""),18.56)</f>
        <v>18.559999999999999</v>
      </c>
      <c r="E29" s="1">
        <f ca="1">IFERROR(__xludf.DUMMYFUNCTION("""COMPUTED_VALUE"""),18.76)</f>
        <v>18.760000000000002</v>
      </c>
      <c r="F29" s="1">
        <f ca="1">IFERROR(__xludf.DUMMYFUNCTION("""COMPUTED_VALUE"""),2786523)</f>
        <v>2786523</v>
      </c>
    </row>
    <row r="30" spans="1:6" x14ac:dyDescent="0.35">
      <c r="A30" s="2">
        <f ca="1">IFERROR(__xludf.DUMMYFUNCTION("""COMPUTED_VALUE"""),42047.6666666666)</f>
        <v>42047.666666666599</v>
      </c>
      <c r="B30" s="1">
        <f ca="1">IFERROR(__xludf.DUMMYFUNCTION("""COMPUTED_VALUE"""),18.75)</f>
        <v>18.75</v>
      </c>
      <c r="C30" s="1">
        <f ca="1">IFERROR(__xludf.DUMMYFUNCTION("""COMPUTED_VALUE"""),18.93)</f>
        <v>18.93</v>
      </c>
      <c r="D30" s="1">
        <f ca="1">IFERROR(__xludf.DUMMYFUNCTION("""COMPUTED_VALUE"""),18.66)</f>
        <v>18.66</v>
      </c>
      <c r="E30" s="1">
        <f ca="1">IFERROR(__xludf.DUMMYFUNCTION("""COMPUTED_VALUE"""),18.86)</f>
        <v>18.86</v>
      </c>
      <c r="F30" s="1">
        <f ca="1">IFERROR(__xludf.DUMMYFUNCTION("""COMPUTED_VALUE"""),2791050)</f>
        <v>2791050</v>
      </c>
    </row>
    <row r="31" spans="1:6" x14ac:dyDescent="0.35">
      <c r="A31" s="2">
        <f ca="1">IFERROR(__xludf.DUMMYFUNCTION("""COMPUTED_VALUE"""),42048.6666666666)</f>
        <v>42048.666666666599</v>
      </c>
      <c r="B31" s="1">
        <f ca="1">IFERROR(__xludf.DUMMYFUNCTION("""COMPUTED_VALUE"""),18.92)</f>
        <v>18.920000000000002</v>
      </c>
      <c r="C31" s="1">
        <f ca="1">IFERROR(__xludf.DUMMYFUNCTION("""COMPUTED_VALUE"""),19.15)</f>
        <v>19.149999999999999</v>
      </c>
      <c r="D31" s="1">
        <f ca="1">IFERROR(__xludf.DUMMYFUNCTION("""COMPUTED_VALUE"""),18.85)</f>
        <v>18.850000000000001</v>
      </c>
      <c r="E31" s="1">
        <f ca="1">IFERROR(__xludf.DUMMYFUNCTION("""COMPUTED_VALUE"""),19.09)</f>
        <v>19.09</v>
      </c>
      <c r="F31" s="1">
        <f ca="1">IFERROR(__xludf.DUMMYFUNCTION("""COMPUTED_VALUE"""),3475069)</f>
        <v>3475069</v>
      </c>
    </row>
    <row r="32" spans="1:6" x14ac:dyDescent="0.35">
      <c r="A32" s="2">
        <f ca="1">IFERROR(__xludf.DUMMYFUNCTION("""COMPUTED_VALUE"""),42052.6666666666)</f>
        <v>42052.666666666599</v>
      </c>
      <c r="B32" s="1">
        <f ca="1">IFERROR(__xludf.DUMMYFUNCTION("""COMPUTED_VALUE"""),18.94)</f>
        <v>18.940000000000001</v>
      </c>
      <c r="C32" s="1">
        <f ca="1">IFERROR(__xludf.DUMMYFUNCTION("""COMPUTED_VALUE"""),19)</f>
        <v>19</v>
      </c>
      <c r="D32" s="1">
        <f ca="1">IFERROR(__xludf.DUMMYFUNCTION("""COMPUTED_VALUE"""),18.63)</f>
        <v>18.63</v>
      </c>
      <c r="E32" s="1">
        <f ca="1">IFERROR(__xludf.DUMMYFUNCTION("""COMPUTED_VALUE"""),18.77)</f>
        <v>18.77</v>
      </c>
      <c r="F32" s="1">
        <f ca="1">IFERROR(__xludf.DUMMYFUNCTION("""COMPUTED_VALUE"""),3673208)</f>
        <v>3673208</v>
      </c>
    </row>
    <row r="33" spans="1:6" x14ac:dyDescent="0.35">
      <c r="A33" s="2">
        <f ca="1">IFERROR(__xludf.DUMMYFUNCTION("""COMPUTED_VALUE"""),42053.6666666666)</f>
        <v>42053.666666666599</v>
      </c>
      <c r="B33" s="1">
        <f ca="1">IFERROR(__xludf.DUMMYFUNCTION("""COMPUTED_VALUE"""),18.69)</f>
        <v>18.690000000000001</v>
      </c>
      <c r="C33" s="1">
        <f ca="1">IFERROR(__xludf.DUMMYFUNCTION("""COMPUTED_VALUE"""),18.84)</f>
        <v>18.84</v>
      </c>
      <c r="D33" s="1">
        <f ca="1">IFERROR(__xludf.DUMMYFUNCTION("""COMPUTED_VALUE"""),18.64)</f>
        <v>18.64</v>
      </c>
      <c r="E33" s="1">
        <f ca="1">IFERROR(__xludf.DUMMYFUNCTION("""COMPUTED_VALUE"""),18.67)</f>
        <v>18.670000000000002</v>
      </c>
      <c r="F33" s="1">
        <f ca="1">IFERROR(__xludf.DUMMYFUNCTION("""COMPUTED_VALUE"""),2650610)</f>
        <v>2650610</v>
      </c>
    </row>
    <row r="34" spans="1:6" x14ac:dyDescent="0.35">
      <c r="A34" s="2">
        <f ca="1">IFERROR(__xludf.DUMMYFUNCTION("""COMPUTED_VALUE"""),42054.6666666666)</f>
        <v>42054.666666666599</v>
      </c>
      <c r="B34" s="1">
        <f ca="1">IFERROR(__xludf.DUMMYFUNCTION("""COMPUTED_VALUE"""),18.67)</f>
        <v>18.670000000000002</v>
      </c>
      <c r="C34" s="1">
        <f ca="1">IFERROR(__xludf.DUMMYFUNCTION("""COMPUTED_VALUE"""),19.09)</f>
        <v>19.09</v>
      </c>
      <c r="D34" s="1">
        <f ca="1">IFERROR(__xludf.DUMMYFUNCTION("""COMPUTED_VALUE"""),18.67)</f>
        <v>18.670000000000002</v>
      </c>
      <c r="E34" s="1">
        <f ca="1">IFERROR(__xludf.DUMMYFUNCTION("""COMPUTED_VALUE"""),18.95)</f>
        <v>18.95</v>
      </c>
      <c r="F34" s="1">
        <f ca="1">IFERROR(__xludf.DUMMYFUNCTION("""COMPUTED_VALUE"""),2953752)</f>
        <v>2953752</v>
      </c>
    </row>
    <row r="35" spans="1:6" x14ac:dyDescent="0.35">
      <c r="A35" s="2">
        <f ca="1">IFERROR(__xludf.DUMMYFUNCTION("""COMPUTED_VALUE"""),42055.6666666666)</f>
        <v>42055.666666666599</v>
      </c>
      <c r="B35" s="1">
        <f ca="1">IFERROR(__xludf.DUMMYFUNCTION("""COMPUTED_VALUE"""),18.93)</f>
        <v>18.93</v>
      </c>
      <c r="C35" s="1">
        <f ca="1">IFERROR(__xludf.DUMMYFUNCTION("""COMPUTED_VALUE"""),19.18)</f>
        <v>19.18</v>
      </c>
      <c r="D35" s="1">
        <f ca="1">IFERROR(__xludf.DUMMYFUNCTION("""COMPUTED_VALUE"""),18.79)</f>
        <v>18.79</v>
      </c>
      <c r="E35" s="1">
        <f ca="1">IFERROR(__xludf.DUMMYFUNCTION("""COMPUTED_VALUE"""),19.18)</f>
        <v>19.18</v>
      </c>
      <c r="F35" s="1">
        <f ca="1">IFERROR(__xludf.DUMMYFUNCTION("""COMPUTED_VALUE"""),3258023)</f>
        <v>3258023</v>
      </c>
    </row>
    <row r="36" spans="1:6" x14ac:dyDescent="0.35">
      <c r="A36" s="2">
        <f ca="1">IFERROR(__xludf.DUMMYFUNCTION("""COMPUTED_VALUE"""),42058.6666666666)</f>
        <v>42058.666666666599</v>
      </c>
      <c r="B36" s="1">
        <f ca="1">IFERROR(__xludf.DUMMYFUNCTION("""COMPUTED_VALUE"""),19.17)</f>
        <v>19.170000000000002</v>
      </c>
      <c r="C36" s="1">
        <f ca="1">IFERROR(__xludf.DUMMYFUNCTION("""COMPUTED_VALUE"""),19.23)</f>
        <v>19.23</v>
      </c>
      <c r="D36" s="1">
        <f ca="1">IFERROR(__xludf.DUMMYFUNCTION("""COMPUTED_VALUE"""),18.9)</f>
        <v>18.899999999999999</v>
      </c>
      <c r="E36" s="1">
        <f ca="1">IFERROR(__xludf.DUMMYFUNCTION("""COMPUTED_VALUE"""),19.01)</f>
        <v>19.010000000000002</v>
      </c>
      <c r="F36" s="1">
        <f ca="1">IFERROR(__xludf.DUMMYFUNCTION("""COMPUTED_VALUE"""),2176989)</f>
        <v>2176989</v>
      </c>
    </row>
    <row r="37" spans="1:6" x14ac:dyDescent="0.35">
      <c r="A37" s="2">
        <f ca="1">IFERROR(__xludf.DUMMYFUNCTION("""COMPUTED_VALUE"""),42059.6666666666)</f>
        <v>42059.666666666599</v>
      </c>
      <c r="B37" s="1">
        <f ca="1">IFERROR(__xludf.DUMMYFUNCTION("""COMPUTED_VALUE"""),18.93)</f>
        <v>18.93</v>
      </c>
      <c r="C37" s="1">
        <f ca="1">IFERROR(__xludf.DUMMYFUNCTION("""COMPUTED_VALUE"""),19.02)</f>
        <v>19.02</v>
      </c>
      <c r="D37" s="1">
        <f ca="1">IFERROR(__xludf.DUMMYFUNCTION("""COMPUTED_VALUE"""),18.81)</f>
        <v>18.809999999999999</v>
      </c>
      <c r="E37" s="1">
        <f ca="1">IFERROR(__xludf.DUMMYFUNCTION("""COMPUTED_VALUE"""),18.93)</f>
        <v>18.93</v>
      </c>
      <c r="F37" s="1">
        <f ca="1">IFERROR(__xludf.DUMMYFUNCTION("""COMPUTED_VALUE"""),1921850)</f>
        <v>1921850</v>
      </c>
    </row>
    <row r="38" spans="1:6" x14ac:dyDescent="0.35">
      <c r="A38" s="2">
        <f ca="1">IFERROR(__xludf.DUMMYFUNCTION("""COMPUTED_VALUE"""),42060.6666666666)</f>
        <v>42060.666666666599</v>
      </c>
      <c r="B38" s="1">
        <f ca="1">IFERROR(__xludf.DUMMYFUNCTION("""COMPUTED_VALUE"""),18.85)</f>
        <v>18.850000000000001</v>
      </c>
      <c r="C38" s="1">
        <f ca="1">IFERROR(__xludf.DUMMYFUNCTION("""COMPUTED_VALUE"""),19.39)</f>
        <v>19.39</v>
      </c>
      <c r="D38" s="1">
        <f ca="1">IFERROR(__xludf.DUMMYFUNCTION("""COMPUTED_VALUE"""),18.83)</f>
        <v>18.829999999999998</v>
      </c>
      <c r="E38" s="1">
        <f ca="1">IFERROR(__xludf.DUMMYFUNCTION("""COMPUTED_VALUE"""),19.27)</f>
        <v>19.27</v>
      </c>
      <c r="F38" s="1">
        <f ca="1">IFERROR(__xludf.DUMMYFUNCTION("""COMPUTED_VALUE"""),3174495)</f>
        <v>3174495</v>
      </c>
    </row>
    <row r="39" spans="1:6" x14ac:dyDescent="0.35">
      <c r="A39" s="2">
        <f ca="1">IFERROR(__xludf.DUMMYFUNCTION("""COMPUTED_VALUE"""),42061.6666666666)</f>
        <v>42061.666666666599</v>
      </c>
      <c r="B39" s="1">
        <f ca="1">IFERROR(__xludf.DUMMYFUNCTION("""COMPUTED_VALUE"""),19.2)</f>
        <v>19.2</v>
      </c>
      <c r="C39" s="1">
        <f ca="1">IFERROR(__xludf.DUMMYFUNCTION("""COMPUTED_VALUE"""),19.47)</f>
        <v>19.47</v>
      </c>
      <c r="D39" s="1">
        <f ca="1">IFERROR(__xludf.DUMMYFUNCTION("""COMPUTED_VALUE"""),19.16)</f>
        <v>19.16</v>
      </c>
      <c r="E39" s="1">
        <f ca="1">IFERROR(__xludf.DUMMYFUNCTION("""COMPUTED_VALUE"""),19.24)</f>
        <v>19.239999999999998</v>
      </c>
      <c r="F39" s="1">
        <f ca="1">IFERROR(__xludf.DUMMYFUNCTION("""COMPUTED_VALUE"""),2687107)</f>
        <v>2687107</v>
      </c>
    </row>
    <row r="40" spans="1:6" x14ac:dyDescent="0.35">
      <c r="A40" s="2">
        <f ca="1">IFERROR(__xludf.DUMMYFUNCTION("""COMPUTED_VALUE"""),42062.6666666666)</f>
        <v>42062.666666666599</v>
      </c>
      <c r="B40" s="1">
        <f ca="1">IFERROR(__xludf.DUMMYFUNCTION("""COMPUTED_VALUE"""),19.2)</f>
        <v>19.2</v>
      </c>
      <c r="C40" s="1">
        <f ca="1">IFERROR(__xludf.DUMMYFUNCTION("""COMPUTED_VALUE"""),19.3)</f>
        <v>19.3</v>
      </c>
      <c r="D40" s="1">
        <f ca="1">IFERROR(__xludf.DUMMYFUNCTION("""COMPUTED_VALUE"""),18.99)</f>
        <v>18.989999999999998</v>
      </c>
      <c r="E40" s="1">
        <f ca="1">IFERROR(__xludf.DUMMYFUNCTION("""COMPUTED_VALUE"""),19.01)</f>
        <v>19.010000000000002</v>
      </c>
      <c r="F40" s="1">
        <f ca="1">IFERROR(__xludf.DUMMYFUNCTION("""COMPUTED_VALUE"""),2532309)</f>
        <v>2532309</v>
      </c>
    </row>
    <row r="41" spans="1:6" x14ac:dyDescent="0.35">
      <c r="A41" s="2">
        <f ca="1">IFERROR(__xludf.DUMMYFUNCTION("""COMPUTED_VALUE"""),42065.6666666666)</f>
        <v>42065.666666666599</v>
      </c>
      <c r="B41" s="1">
        <f ca="1">IFERROR(__xludf.DUMMYFUNCTION("""COMPUTED_VALUE"""),19.04)</f>
        <v>19.04</v>
      </c>
      <c r="C41" s="1">
        <f ca="1">IFERROR(__xludf.DUMMYFUNCTION("""COMPUTED_VALUE"""),19.3)</f>
        <v>19.3</v>
      </c>
      <c r="D41" s="1">
        <f ca="1">IFERROR(__xludf.DUMMYFUNCTION("""COMPUTED_VALUE"""),18.97)</f>
        <v>18.97</v>
      </c>
      <c r="E41" s="1">
        <f ca="1">IFERROR(__xludf.DUMMYFUNCTION("""COMPUTED_VALUE"""),19.28)</f>
        <v>19.28</v>
      </c>
      <c r="F41" s="1">
        <f ca="1">IFERROR(__xludf.DUMMYFUNCTION("""COMPUTED_VALUE"""),2139205)</f>
        <v>2139205</v>
      </c>
    </row>
    <row r="42" spans="1:6" x14ac:dyDescent="0.35">
      <c r="A42" s="2">
        <f ca="1">IFERROR(__xludf.DUMMYFUNCTION("""COMPUTED_VALUE"""),42066.6666666666)</f>
        <v>42066.666666666599</v>
      </c>
      <c r="B42" s="1">
        <f ca="1">IFERROR(__xludf.DUMMYFUNCTION("""COMPUTED_VALUE"""),19.2)</f>
        <v>19.2</v>
      </c>
      <c r="C42" s="1">
        <f ca="1">IFERROR(__xludf.DUMMYFUNCTION("""COMPUTED_VALUE"""),19.31)</f>
        <v>19.309999999999999</v>
      </c>
      <c r="D42" s="1">
        <f ca="1">IFERROR(__xludf.DUMMYFUNCTION("""COMPUTED_VALUE"""),19.08)</f>
        <v>19.079999999999998</v>
      </c>
      <c r="E42" s="1">
        <f ca="1">IFERROR(__xludf.DUMMYFUNCTION("""COMPUTED_VALUE"""),19.23)</f>
        <v>19.23</v>
      </c>
      <c r="F42" s="1">
        <f ca="1">IFERROR(__xludf.DUMMYFUNCTION("""COMPUTED_VALUE"""),1946498)</f>
        <v>1946498</v>
      </c>
    </row>
    <row r="43" spans="1:6" x14ac:dyDescent="0.35">
      <c r="A43" s="2">
        <f ca="1">IFERROR(__xludf.DUMMYFUNCTION("""COMPUTED_VALUE"""),42067.6666666666)</f>
        <v>42067.666666666599</v>
      </c>
      <c r="B43" s="1">
        <f ca="1">IFERROR(__xludf.DUMMYFUNCTION("""COMPUTED_VALUE"""),19.29)</f>
        <v>19.29</v>
      </c>
      <c r="C43" s="1">
        <f ca="1">IFERROR(__xludf.DUMMYFUNCTION("""COMPUTED_VALUE"""),19.4)</f>
        <v>19.399999999999999</v>
      </c>
      <c r="D43" s="1">
        <f ca="1">IFERROR(__xludf.DUMMYFUNCTION("""COMPUTED_VALUE"""),19.11)</f>
        <v>19.11</v>
      </c>
      <c r="E43" s="1">
        <f ca="1">IFERROR(__xludf.DUMMYFUNCTION("""COMPUTED_VALUE"""),19.14)</f>
        <v>19.14</v>
      </c>
      <c r="F43" s="1">
        <f ca="1">IFERROR(__xludf.DUMMYFUNCTION("""COMPUTED_VALUE"""),2259141)</f>
        <v>2259141</v>
      </c>
    </row>
    <row r="44" spans="1:6" x14ac:dyDescent="0.35">
      <c r="A44" s="2">
        <f ca="1">IFERROR(__xludf.DUMMYFUNCTION("""COMPUTED_VALUE"""),42068.6666666666)</f>
        <v>42068.666666666599</v>
      </c>
      <c r="B44" s="1">
        <f ca="1">IFERROR(__xludf.DUMMYFUNCTION("""COMPUTED_VALUE"""),19.27)</f>
        <v>19.27</v>
      </c>
      <c r="C44" s="1">
        <f ca="1">IFERROR(__xludf.DUMMYFUNCTION("""COMPUTED_VALUE"""),19.42)</f>
        <v>19.420000000000002</v>
      </c>
      <c r="D44" s="1">
        <f ca="1">IFERROR(__xludf.DUMMYFUNCTION("""COMPUTED_VALUE"""),19.19)</f>
        <v>19.190000000000001</v>
      </c>
      <c r="E44" s="1">
        <f ca="1">IFERROR(__xludf.DUMMYFUNCTION("""COMPUTED_VALUE"""),19.39)</f>
        <v>19.39</v>
      </c>
      <c r="F44" s="1">
        <f ca="1">IFERROR(__xludf.DUMMYFUNCTION("""COMPUTED_VALUE"""),2693518)</f>
        <v>2693518</v>
      </c>
    </row>
    <row r="45" spans="1:6" x14ac:dyDescent="0.35">
      <c r="A45" s="2">
        <f ca="1">IFERROR(__xludf.DUMMYFUNCTION("""COMPUTED_VALUE"""),42069.6666666666)</f>
        <v>42069.666666666599</v>
      </c>
      <c r="B45" s="1">
        <f ca="1">IFERROR(__xludf.DUMMYFUNCTION("""COMPUTED_VALUE"""),19.28)</f>
        <v>19.28</v>
      </c>
      <c r="C45" s="1">
        <f ca="1">IFERROR(__xludf.DUMMYFUNCTION("""COMPUTED_VALUE"""),19.35)</f>
        <v>19.350000000000001</v>
      </c>
      <c r="D45" s="1">
        <f ca="1">IFERROR(__xludf.DUMMYFUNCTION("""COMPUTED_VALUE"""),18.94)</f>
        <v>18.940000000000001</v>
      </c>
      <c r="E45" s="1">
        <f ca="1">IFERROR(__xludf.DUMMYFUNCTION("""COMPUTED_VALUE"""),19)</f>
        <v>19</v>
      </c>
      <c r="F45" s="1">
        <f ca="1">IFERROR(__xludf.DUMMYFUNCTION("""COMPUTED_VALUE"""),2627042)</f>
        <v>2627042</v>
      </c>
    </row>
    <row r="46" spans="1:6" x14ac:dyDescent="0.35">
      <c r="A46" s="2">
        <f ca="1">IFERROR(__xludf.DUMMYFUNCTION("""COMPUTED_VALUE"""),42072.6666666666)</f>
        <v>42072.666666666599</v>
      </c>
      <c r="B46" s="1">
        <f ca="1">IFERROR(__xludf.DUMMYFUNCTION("""COMPUTED_VALUE"""),18.92)</f>
        <v>18.920000000000002</v>
      </c>
      <c r="C46" s="1">
        <f ca="1">IFERROR(__xludf.DUMMYFUNCTION("""COMPUTED_VALUE"""),18.97)</f>
        <v>18.97</v>
      </c>
      <c r="D46" s="1">
        <f ca="1">IFERROR(__xludf.DUMMYFUNCTION("""COMPUTED_VALUE"""),18.76)</f>
        <v>18.760000000000002</v>
      </c>
      <c r="E46" s="1">
        <f ca="1">IFERROR(__xludf.DUMMYFUNCTION("""COMPUTED_VALUE"""),18.93)</f>
        <v>18.93</v>
      </c>
      <c r="F46" s="1">
        <f ca="1">IFERROR(__xludf.DUMMYFUNCTION("""COMPUTED_VALUE"""),2311390)</f>
        <v>2311390</v>
      </c>
    </row>
    <row r="47" spans="1:6" x14ac:dyDescent="0.35">
      <c r="A47" s="2">
        <f ca="1">IFERROR(__xludf.DUMMYFUNCTION("""COMPUTED_VALUE"""),42073.6666666666)</f>
        <v>42073.666666666599</v>
      </c>
      <c r="B47" s="1">
        <f ca="1">IFERROR(__xludf.DUMMYFUNCTION("""COMPUTED_VALUE"""),18.86)</f>
        <v>18.86</v>
      </c>
      <c r="C47" s="1">
        <f ca="1">IFERROR(__xludf.DUMMYFUNCTION("""COMPUTED_VALUE"""),18.89)</f>
        <v>18.89</v>
      </c>
      <c r="D47" s="1">
        <f ca="1">IFERROR(__xludf.DUMMYFUNCTION("""COMPUTED_VALUE"""),18.46)</f>
        <v>18.46</v>
      </c>
      <c r="E47" s="1">
        <f ca="1">IFERROR(__xludf.DUMMYFUNCTION("""COMPUTED_VALUE"""),18.48)</f>
        <v>18.48</v>
      </c>
      <c r="F47" s="1">
        <f ca="1">IFERROR(__xludf.DUMMYFUNCTION("""COMPUTED_VALUE"""),3120972)</f>
        <v>3120972</v>
      </c>
    </row>
    <row r="48" spans="1:6" x14ac:dyDescent="0.35">
      <c r="A48" s="2">
        <f ca="1">IFERROR(__xludf.DUMMYFUNCTION("""COMPUTED_VALUE"""),42074.6666666666)</f>
        <v>42074.666666666599</v>
      </c>
      <c r="B48" s="1">
        <f ca="1">IFERROR(__xludf.DUMMYFUNCTION("""COMPUTED_VALUE"""),18.52)</f>
        <v>18.52</v>
      </c>
      <c r="C48" s="1">
        <f ca="1">IFERROR(__xludf.DUMMYFUNCTION("""COMPUTED_VALUE"""),18.67)</f>
        <v>18.670000000000002</v>
      </c>
      <c r="D48" s="1">
        <f ca="1">IFERROR(__xludf.DUMMYFUNCTION("""COMPUTED_VALUE"""),18.31)</f>
        <v>18.309999999999999</v>
      </c>
      <c r="E48" s="1">
        <f ca="1">IFERROR(__xludf.DUMMYFUNCTION("""COMPUTED_VALUE"""),18.32)</f>
        <v>18.32</v>
      </c>
      <c r="F48" s="1">
        <f ca="1">IFERROR(__xludf.DUMMYFUNCTION("""COMPUTED_VALUE"""),2495097)</f>
        <v>2495097</v>
      </c>
    </row>
    <row r="49" spans="1:6" x14ac:dyDescent="0.35">
      <c r="A49" s="2">
        <f ca="1">IFERROR(__xludf.DUMMYFUNCTION("""COMPUTED_VALUE"""),42075.6666666666)</f>
        <v>42075.666666666599</v>
      </c>
      <c r="B49" s="1">
        <f ca="1">IFERROR(__xludf.DUMMYFUNCTION("""COMPUTED_VALUE"""),18.44)</f>
        <v>18.440000000000001</v>
      </c>
      <c r="C49" s="1">
        <f ca="1">IFERROR(__xludf.DUMMYFUNCTION("""COMPUTED_VALUE"""),18.77)</f>
        <v>18.77</v>
      </c>
      <c r="D49" s="1">
        <f ca="1">IFERROR(__xludf.DUMMYFUNCTION("""COMPUTED_VALUE"""),18.38)</f>
        <v>18.38</v>
      </c>
      <c r="E49" s="1">
        <f ca="1">IFERROR(__xludf.DUMMYFUNCTION("""COMPUTED_VALUE"""),18.71)</f>
        <v>18.71</v>
      </c>
      <c r="F49" s="1">
        <f ca="1">IFERROR(__xludf.DUMMYFUNCTION("""COMPUTED_VALUE"""),2810001)</f>
        <v>2810001</v>
      </c>
    </row>
    <row r="50" spans="1:6" x14ac:dyDescent="0.35">
      <c r="A50" s="2">
        <f ca="1">IFERROR(__xludf.DUMMYFUNCTION("""COMPUTED_VALUE"""),42076.6666666666)</f>
        <v>42076.666666666599</v>
      </c>
      <c r="B50" s="1">
        <f ca="1">IFERROR(__xludf.DUMMYFUNCTION("""COMPUTED_VALUE"""),18.58)</f>
        <v>18.579999999999998</v>
      </c>
      <c r="C50" s="1">
        <f ca="1">IFERROR(__xludf.DUMMYFUNCTION("""COMPUTED_VALUE"""),18.7)</f>
        <v>18.7</v>
      </c>
      <c r="D50" s="1">
        <f ca="1">IFERROR(__xludf.DUMMYFUNCTION("""COMPUTED_VALUE"""),18.33)</f>
        <v>18.329999999999998</v>
      </c>
      <c r="E50" s="1">
        <f ca="1">IFERROR(__xludf.DUMMYFUNCTION("""COMPUTED_VALUE"""),18.53)</f>
        <v>18.53</v>
      </c>
      <c r="F50" s="1">
        <f ca="1">IFERROR(__xludf.DUMMYFUNCTION("""COMPUTED_VALUE"""),2611658)</f>
        <v>2611658</v>
      </c>
    </row>
    <row r="51" spans="1:6" x14ac:dyDescent="0.35">
      <c r="A51" s="2">
        <f ca="1">IFERROR(__xludf.DUMMYFUNCTION("""COMPUTED_VALUE"""),42079.6666666666)</f>
        <v>42079.666666666599</v>
      </c>
      <c r="B51" s="1">
        <f ca="1">IFERROR(__xludf.DUMMYFUNCTION("""COMPUTED_VALUE"""),18.52)</f>
        <v>18.52</v>
      </c>
      <c r="C51" s="1">
        <f ca="1">IFERROR(__xludf.DUMMYFUNCTION("""COMPUTED_VALUE"""),18.7)</f>
        <v>18.7</v>
      </c>
      <c r="D51" s="1">
        <f ca="1">IFERROR(__xludf.DUMMYFUNCTION("""COMPUTED_VALUE"""),18.34)</f>
        <v>18.34</v>
      </c>
      <c r="E51" s="1">
        <f ca="1">IFERROR(__xludf.DUMMYFUNCTION("""COMPUTED_VALUE"""),18.67)</f>
        <v>18.670000000000002</v>
      </c>
      <c r="F51" s="1">
        <f ca="1">IFERROR(__xludf.DUMMYFUNCTION("""COMPUTED_VALUE"""),2354059)</f>
        <v>2354059</v>
      </c>
    </row>
    <row r="52" spans="1:6" x14ac:dyDescent="0.35">
      <c r="A52" s="2">
        <f ca="1">IFERROR(__xludf.DUMMYFUNCTION("""COMPUTED_VALUE"""),42080.6666666666)</f>
        <v>42080.666666666599</v>
      </c>
      <c r="B52" s="1">
        <f ca="1">IFERROR(__xludf.DUMMYFUNCTION("""COMPUTED_VALUE"""),18.56)</f>
        <v>18.559999999999999</v>
      </c>
      <c r="C52" s="1">
        <f ca="1">IFERROR(__xludf.DUMMYFUNCTION("""COMPUTED_VALUE"""),18.73)</f>
        <v>18.73</v>
      </c>
      <c r="D52" s="1">
        <f ca="1">IFERROR(__xludf.DUMMYFUNCTION("""COMPUTED_VALUE"""),18.48)</f>
        <v>18.48</v>
      </c>
      <c r="E52" s="1">
        <f ca="1">IFERROR(__xludf.DUMMYFUNCTION("""COMPUTED_VALUE"""),18.6)</f>
        <v>18.600000000000001</v>
      </c>
      <c r="F52" s="1">
        <f ca="1">IFERROR(__xludf.DUMMYFUNCTION("""COMPUTED_VALUE"""),2036961)</f>
        <v>2036961</v>
      </c>
    </row>
    <row r="53" spans="1:6" x14ac:dyDescent="0.35">
      <c r="A53" s="2">
        <f ca="1">IFERROR(__xludf.DUMMYFUNCTION("""COMPUTED_VALUE"""),42081.6666666666)</f>
        <v>42081.666666666599</v>
      </c>
      <c r="B53" s="1">
        <f ca="1">IFERROR(__xludf.DUMMYFUNCTION("""COMPUTED_VALUE"""),18.5)</f>
        <v>18.5</v>
      </c>
      <c r="C53" s="1">
        <f ca="1">IFERROR(__xludf.DUMMYFUNCTION("""COMPUTED_VALUE"""),18.8)</f>
        <v>18.8</v>
      </c>
      <c r="D53" s="1">
        <f ca="1">IFERROR(__xludf.DUMMYFUNCTION("""COMPUTED_VALUE"""),18.34)</f>
        <v>18.34</v>
      </c>
      <c r="E53" s="1">
        <f ca="1">IFERROR(__xludf.DUMMYFUNCTION("""COMPUTED_VALUE"""),18.76)</f>
        <v>18.760000000000002</v>
      </c>
      <c r="F53" s="1">
        <f ca="1">IFERROR(__xludf.DUMMYFUNCTION("""COMPUTED_VALUE"""),2654135)</f>
        <v>2654135</v>
      </c>
    </row>
    <row r="54" spans="1:6" x14ac:dyDescent="0.35">
      <c r="A54" s="2">
        <f ca="1">IFERROR(__xludf.DUMMYFUNCTION("""COMPUTED_VALUE"""),42082.6666666666)</f>
        <v>42082.666666666599</v>
      </c>
      <c r="B54" s="1">
        <f ca="1">IFERROR(__xludf.DUMMYFUNCTION("""COMPUTED_VALUE"""),18.71)</f>
        <v>18.71</v>
      </c>
      <c r="C54" s="1">
        <f ca="1">IFERROR(__xludf.DUMMYFUNCTION("""COMPUTED_VALUE"""),18.86)</f>
        <v>18.86</v>
      </c>
      <c r="D54" s="1">
        <f ca="1">IFERROR(__xludf.DUMMYFUNCTION("""COMPUTED_VALUE"""),18.61)</f>
        <v>18.61</v>
      </c>
      <c r="E54" s="1">
        <f ca="1">IFERROR(__xludf.DUMMYFUNCTION("""COMPUTED_VALUE"""),18.66)</f>
        <v>18.66</v>
      </c>
      <c r="F54" s="1">
        <f ca="1">IFERROR(__xludf.DUMMYFUNCTION("""COMPUTED_VALUE"""),1915671)</f>
        <v>1915671</v>
      </c>
    </row>
    <row r="55" spans="1:6" x14ac:dyDescent="0.35">
      <c r="A55" s="2">
        <f ca="1">IFERROR(__xludf.DUMMYFUNCTION("""COMPUTED_VALUE"""),42083.6666666666)</f>
        <v>42083.666666666599</v>
      </c>
      <c r="B55" s="1">
        <f ca="1">IFERROR(__xludf.DUMMYFUNCTION("""COMPUTED_VALUE"""),18.81)</f>
        <v>18.809999999999999</v>
      </c>
      <c r="C55" s="1">
        <f ca="1">IFERROR(__xludf.DUMMYFUNCTION("""COMPUTED_VALUE"""),18.97)</f>
        <v>18.97</v>
      </c>
      <c r="D55" s="1">
        <f ca="1">IFERROR(__xludf.DUMMYFUNCTION("""COMPUTED_VALUE"""),18.8)</f>
        <v>18.8</v>
      </c>
      <c r="E55" s="1">
        <f ca="1">IFERROR(__xludf.DUMMYFUNCTION("""COMPUTED_VALUE"""),18.92)</f>
        <v>18.920000000000002</v>
      </c>
      <c r="F55" s="1">
        <f ca="1">IFERROR(__xludf.DUMMYFUNCTION("""COMPUTED_VALUE"""),3763553)</f>
        <v>3763553</v>
      </c>
    </row>
    <row r="56" spans="1:6" x14ac:dyDescent="0.35">
      <c r="A56" s="2">
        <f ca="1">IFERROR(__xludf.DUMMYFUNCTION("""COMPUTED_VALUE"""),42086.6666666666)</f>
        <v>42086.666666666599</v>
      </c>
      <c r="B56" s="1">
        <f ca="1">IFERROR(__xludf.DUMMYFUNCTION("""COMPUTED_VALUE"""),18.9)</f>
        <v>18.899999999999999</v>
      </c>
      <c r="C56" s="1">
        <f ca="1">IFERROR(__xludf.DUMMYFUNCTION("""COMPUTED_VALUE"""),19.09)</f>
        <v>19.09</v>
      </c>
      <c r="D56" s="1">
        <f ca="1">IFERROR(__xludf.DUMMYFUNCTION("""COMPUTED_VALUE"""),18.75)</f>
        <v>18.75</v>
      </c>
      <c r="E56" s="1">
        <f ca="1">IFERROR(__xludf.DUMMYFUNCTION("""COMPUTED_VALUE"""),18.76)</f>
        <v>18.760000000000002</v>
      </c>
      <c r="F56" s="1">
        <f ca="1">IFERROR(__xludf.DUMMYFUNCTION("""COMPUTED_VALUE"""),2239343)</f>
        <v>2239343</v>
      </c>
    </row>
    <row r="57" spans="1:6" x14ac:dyDescent="0.35">
      <c r="A57" s="2">
        <f ca="1">IFERROR(__xludf.DUMMYFUNCTION("""COMPUTED_VALUE"""),42087.6666666666)</f>
        <v>42087.666666666599</v>
      </c>
      <c r="B57" s="1">
        <f ca="1">IFERROR(__xludf.DUMMYFUNCTION("""COMPUTED_VALUE"""),18.7)</f>
        <v>18.7</v>
      </c>
      <c r="C57" s="1">
        <f ca="1">IFERROR(__xludf.DUMMYFUNCTION("""COMPUTED_VALUE"""),18.76)</f>
        <v>18.760000000000002</v>
      </c>
      <c r="D57" s="1">
        <f ca="1">IFERROR(__xludf.DUMMYFUNCTION("""COMPUTED_VALUE"""),18.61)</f>
        <v>18.61</v>
      </c>
      <c r="E57" s="1">
        <f ca="1">IFERROR(__xludf.DUMMYFUNCTION("""COMPUTED_VALUE"""),18.7)</f>
        <v>18.7</v>
      </c>
      <c r="F57" s="1">
        <f ca="1">IFERROR(__xludf.DUMMYFUNCTION("""COMPUTED_VALUE"""),2228214)</f>
        <v>2228214</v>
      </c>
    </row>
    <row r="58" spans="1:6" x14ac:dyDescent="0.35">
      <c r="A58" s="2">
        <f ca="1">IFERROR(__xludf.DUMMYFUNCTION("""COMPUTED_VALUE"""),42088.6666666666)</f>
        <v>42088.666666666599</v>
      </c>
      <c r="B58" s="1">
        <f ca="1">IFERROR(__xludf.DUMMYFUNCTION("""COMPUTED_VALUE"""),18.78)</f>
        <v>18.78</v>
      </c>
      <c r="C58" s="1">
        <f ca="1">IFERROR(__xludf.DUMMYFUNCTION("""COMPUTED_VALUE"""),19.02)</f>
        <v>19.02</v>
      </c>
      <c r="D58" s="1">
        <f ca="1">IFERROR(__xludf.DUMMYFUNCTION("""COMPUTED_VALUE"""),18.51)</f>
        <v>18.510000000000002</v>
      </c>
      <c r="E58" s="1">
        <f ca="1">IFERROR(__xludf.DUMMYFUNCTION("""COMPUTED_VALUE"""),18.55)</f>
        <v>18.55</v>
      </c>
      <c r="F58" s="1">
        <f ca="1">IFERROR(__xludf.DUMMYFUNCTION("""COMPUTED_VALUE"""),3429497)</f>
        <v>3429497</v>
      </c>
    </row>
    <row r="59" spans="1:6" x14ac:dyDescent="0.35">
      <c r="A59" s="2">
        <f ca="1">IFERROR(__xludf.DUMMYFUNCTION("""COMPUTED_VALUE"""),42089.6666666666)</f>
        <v>42089.666666666599</v>
      </c>
      <c r="B59" s="1">
        <f ca="1">IFERROR(__xludf.DUMMYFUNCTION("""COMPUTED_VALUE"""),18.45)</f>
        <v>18.45</v>
      </c>
      <c r="C59" s="1">
        <f ca="1">IFERROR(__xludf.DUMMYFUNCTION("""COMPUTED_VALUE"""),18.57)</f>
        <v>18.57</v>
      </c>
      <c r="D59" s="1">
        <f ca="1">IFERROR(__xludf.DUMMYFUNCTION("""COMPUTED_VALUE"""),18.28)</f>
        <v>18.28</v>
      </c>
      <c r="E59" s="1">
        <f ca="1">IFERROR(__xludf.DUMMYFUNCTION("""COMPUTED_VALUE"""),18.37)</f>
        <v>18.37</v>
      </c>
      <c r="F59" s="1">
        <f ca="1">IFERROR(__xludf.DUMMYFUNCTION("""COMPUTED_VALUE"""),2929962)</f>
        <v>2929962</v>
      </c>
    </row>
    <row r="60" spans="1:6" x14ac:dyDescent="0.35">
      <c r="A60" s="2">
        <f ca="1">IFERROR(__xludf.DUMMYFUNCTION("""COMPUTED_VALUE"""),42090.6666666666)</f>
        <v>42090.666666666599</v>
      </c>
      <c r="B60" s="1">
        <f ca="1">IFERROR(__xludf.DUMMYFUNCTION("""COMPUTED_VALUE"""),18.35)</f>
        <v>18.350000000000001</v>
      </c>
      <c r="C60" s="1">
        <f ca="1">IFERROR(__xludf.DUMMYFUNCTION("""COMPUTED_VALUE"""),18.66)</f>
        <v>18.66</v>
      </c>
      <c r="D60" s="1">
        <f ca="1">IFERROR(__xludf.DUMMYFUNCTION("""COMPUTED_VALUE"""),18.33)</f>
        <v>18.329999999999998</v>
      </c>
      <c r="E60" s="1">
        <f ca="1">IFERROR(__xludf.DUMMYFUNCTION("""COMPUTED_VALUE"""),18.53)</f>
        <v>18.53</v>
      </c>
      <c r="F60" s="1">
        <f ca="1">IFERROR(__xludf.DUMMYFUNCTION("""COMPUTED_VALUE"""),2609774)</f>
        <v>2609774</v>
      </c>
    </row>
    <row r="61" spans="1:6" x14ac:dyDescent="0.35">
      <c r="A61" s="2">
        <f ca="1">IFERROR(__xludf.DUMMYFUNCTION("""COMPUTED_VALUE"""),42093.6666666666)</f>
        <v>42093.666666666599</v>
      </c>
      <c r="B61" s="1">
        <f ca="1">IFERROR(__xludf.DUMMYFUNCTION("""COMPUTED_VALUE"""),18.59)</f>
        <v>18.59</v>
      </c>
      <c r="C61" s="1">
        <f ca="1">IFERROR(__xludf.DUMMYFUNCTION("""COMPUTED_VALUE"""),18.81)</f>
        <v>18.809999999999999</v>
      </c>
      <c r="D61" s="1">
        <f ca="1">IFERROR(__xludf.DUMMYFUNCTION("""COMPUTED_VALUE"""),18.58)</f>
        <v>18.579999999999998</v>
      </c>
      <c r="E61" s="1">
        <f ca="1">IFERROR(__xludf.DUMMYFUNCTION("""COMPUTED_VALUE"""),18.73)</f>
        <v>18.73</v>
      </c>
      <c r="F61" s="1">
        <f ca="1">IFERROR(__xludf.DUMMYFUNCTION("""COMPUTED_VALUE"""),1820933)</f>
        <v>1820933</v>
      </c>
    </row>
    <row r="62" spans="1:6" x14ac:dyDescent="0.35">
      <c r="A62" s="2">
        <f ca="1">IFERROR(__xludf.DUMMYFUNCTION("""COMPUTED_VALUE"""),42094.6666666666)</f>
        <v>42094.666666666599</v>
      </c>
      <c r="B62" s="1">
        <f ca="1">IFERROR(__xludf.DUMMYFUNCTION("""COMPUTED_VALUE"""),18.65)</f>
        <v>18.649999999999999</v>
      </c>
      <c r="C62" s="1">
        <f ca="1">IFERROR(__xludf.DUMMYFUNCTION("""COMPUTED_VALUE"""),18.89)</f>
        <v>18.89</v>
      </c>
      <c r="D62" s="1">
        <f ca="1">IFERROR(__xludf.DUMMYFUNCTION("""COMPUTED_VALUE"""),18.58)</f>
        <v>18.579999999999998</v>
      </c>
      <c r="E62" s="1">
        <f ca="1">IFERROR(__xludf.DUMMYFUNCTION("""COMPUTED_VALUE"""),18.61)</f>
        <v>18.61</v>
      </c>
      <c r="F62" s="1">
        <f ca="1">IFERROR(__xludf.DUMMYFUNCTION("""COMPUTED_VALUE"""),2506122)</f>
        <v>2506122</v>
      </c>
    </row>
    <row r="63" spans="1:6" x14ac:dyDescent="0.35">
      <c r="A63" s="2">
        <f ca="1">IFERROR(__xludf.DUMMYFUNCTION("""COMPUTED_VALUE"""),42095.6666666666)</f>
        <v>42095.666666666599</v>
      </c>
      <c r="B63" s="1">
        <f ca="1">IFERROR(__xludf.DUMMYFUNCTION("""COMPUTED_VALUE"""),18.61)</f>
        <v>18.61</v>
      </c>
      <c r="C63" s="1">
        <f ca="1">IFERROR(__xludf.DUMMYFUNCTION("""COMPUTED_VALUE"""),18.66)</f>
        <v>18.66</v>
      </c>
      <c r="D63" s="1">
        <f ca="1">IFERROR(__xludf.DUMMYFUNCTION("""COMPUTED_VALUE"""),18.42)</f>
        <v>18.420000000000002</v>
      </c>
      <c r="E63" s="1">
        <f ca="1">IFERROR(__xludf.DUMMYFUNCTION("""COMPUTED_VALUE"""),18.51)</f>
        <v>18.510000000000002</v>
      </c>
      <c r="F63" s="1">
        <f ca="1">IFERROR(__xludf.DUMMYFUNCTION("""COMPUTED_VALUE"""),2458095)</f>
        <v>2458095</v>
      </c>
    </row>
    <row r="64" spans="1:6" x14ac:dyDescent="0.35">
      <c r="A64" s="2">
        <f ca="1">IFERROR(__xludf.DUMMYFUNCTION("""COMPUTED_VALUE"""),42096.6666666666)</f>
        <v>42096.666666666599</v>
      </c>
      <c r="B64" s="1">
        <f ca="1">IFERROR(__xludf.DUMMYFUNCTION("""COMPUTED_VALUE"""),18.5)</f>
        <v>18.5</v>
      </c>
      <c r="C64" s="1">
        <f ca="1">IFERROR(__xludf.DUMMYFUNCTION("""COMPUTED_VALUE"""),18.66)</f>
        <v>18.66</v>
      </c>
      <c r="D64" s="1">
        <f ca="1">IFERROR(__xludf.DUMMYFUNCTION("""COMPUTED_VALUE"""),18.45)</f>
        <v>18.45</v>
      </c>
      <c r="E64" s="1">
        <f ca="1">IFERROR(__xludf.DUMMYFUNCTION("""COMPUTED_VALUE"""),18.61)</f>
        <v>18.61</v>
      </c>
      <c r="F64" s="1">
        <f ca="1">IFERROR(__xludf.DUMMYFUNCTION("""COMPUTED_VALUE"""),1875279)</f>
        <v>1875279</v>
      </c>
    </row>
    <row r="65" spans="1:6" x14ac:dyDescent="0.35">
      <c r="A65" s="2">
        <f ca="1">IFERROR(__xludf.DUMMYFUNCTION("""COMPUTED_VALUE"""),42100.6666666666)</f>
        <v>42100.666666666599</v>
      </c>
      <c r="B65" s="1">
        <f ca="1">IFERROR(__xludf.DUMMYFUNCTION("""COMPUTED_VALUE"""),18.51)</f>
        <v>18.510000000000002</v>
      </c>
      <c r="C65" s="1">
        <f ca="1">IFERROR(__xludf.DUMMYFUNCTION("""COMPUTED_VALUE"""),19.01)</f>
        <v>19.010000000000002</v>
      </c>
      <c r="D65" s="1">
        <f ca="1">IFERROR(__xludf.DUMMYFUNCTION("""COMPUTED_VALUE"""),18.47)</f>
        <v>18.47</v>
      </c>
      <c r="E65" s="1">
        <f ca="1">IFERROR(__xludf.DUMMYFUNCTION("""COMPUTED_VALUE"""),18.85)</f>
        <v>18.850000000000001</v>
      </c>
      <c r="F65" s="1">
        <f ca="1">IFERROR(__xludf.DUMMYFUNCTION("""COMPUTED_VALUE"""),3050709)</f>
        <v>3050709</v>
      </c>
    </row>
    <row r="66" spans="1:6" x14ac:dyDescent="0.35">
      <c r="A66" s="2">
        <f ca="1">IFERROR(__xludf.DUMMYFUNCTION("""COMPUTED_VALUE"""),42101.6666666666)</f>
        <v>42101.666666666599</v>
      </c>
      <c r="B66" s="1">
        <f ca="1">IFERROR(__xludf.DUMMYFUNCTION("""COMPUTED_VALUE"""),18.8)</f>
        <v>18.8</v>
      </c>
      <c r="C66" s="1">
        <f ca="1">IFERROR(__xludf.DUMMYFUNCTION("""COMPUTED_VALUE"""),18.97)</f>
        <v>18.97</v>
      </c>
      <c r="D66" s="1">
        <f ca="1">IFERROR(__xludf.DUMMYFUNCTION("""COMPUTED_VALUE"""),18.7)</f>
        <v>18.7</v>
      </c>
      <c r="E66" s="1">
        <f ca="1">IFERROR(__xludf.DUMMYFUNCTION("""COMPUTED_VALUE"""),18.72)</f>
        <v>18.72</v>
      </c>
      <c r="F66" s="1">
        <f ca="1">IFERROR(__xludf.DUMMYFUNCTION("""COMPUTED_VALUE"""),1954902)</f>
        <v>1954902</v>
      </c>
    </row>
    <row r="67" spans="1:6" x14ac:dyDescent="0.35">
      <c r="A67" s="2">
        <f ca="1">IFERROR(__xludf.DUMMYFUNCTION("""COMPUTED_VALUE"""),42102.6666666666)</f>
        <v>42102.666666666599</v>
      </c>
      <c r="B67" s="1">
        <f ca="1">IFERROR(__xludf.DUMMYFUNCTION("""COMPUTED_VALUE"""),18.73)</f>
        <v>18.73</v>
      </c>
      <c r="C67" s="1">
        <f ca="1">IFERROR(__xludf.DUMMYFUNCTION("""COMPUTED_VALUE"""),19.08)</f>
        <v>19.079999999999998</v>
      </c>
      <c r="D67" s="1">
        <f ca="1">IFERROR(__xludf.DUMMYFUNCTION("""COMPUTED_VALUE"""),18.73)</f>
        <v>18.73</v>
      </c>
      <c r="E67" s="1">
        <f ca="1">IFERROR(__xludf.DUMMYFUNCTION("""COMPUTED_VALUE"""),19.06)</f>
        <v>19.059999999999999</v>
      </c>
      <c r="F67" s="1">
        <f ca="1">IFERROR(__xludf.DUMMYFUNCTION("""COMPUTED_VALUE"""),2636434)</f>
        <v>2636434</v>
      </c>
    </row>
    <row r="68" spans="1:6" x14ac:dyDescent="0.35">
      <c r="A68" s="2">
        <f ca="1">IFERROR(__xludf.DUMMYFUNCTION("""COMPUTED_VALUE"""),42103.6666666666)</f>
        <v>42103.666666666599</v>
      </c>
      <c r="B68" s="1">
        <f ca="1">IFERROR(__xludf.DUMMYFUNCTION("""COMPUTED_VALUE"""),19.04)</f>
        <v>19.04</v>
      </c>
      <c r="C68" s="1">
        <f ca="1">IFERROR(__xludf.DUMMYFUNCTION("""COMPUTED_VALUE"""),19.22)</f>
        <v>19.22</v>
      </c>
      <c r="D68" s="1">
        <f ca="1">IFERROR(__xludf.DUMMYFUNCTION("""COMPUTED_VALUE"""),18.94)</f>
        <v>18.940000000000001</v>
      </c>
      <c r="E68" s="1">
        <f ca="1">IFERROR(__xludf.DUMMYFUNCTION("""COMPUTED_VALUE"""),19.18)</f>
        <v>19.18</v>
      </c>
      <c r="F68" s="1">
        <f ca="1">IFERROR(__xludf.DUMMYFUNCTION("""COMPUTED_VALUE"""),2392328)</f>
        <v>2392328</v>
      </c>
    </row>
    <row r="69" spans="1:6" x14ac:dyDescent="0.35">
      <c r="A69" s="2">
        <f ca="1">IFERROR(__xludf.DUMMYFUNCTION("""COMPUTED_VALUE"""),42104.6666666666)</f>
        <v>42104.666666666599</v>
      </c>
      <c r="B69" s="1">
        <f ca="1">IFERROR(__xludf.DUMMYFUNCTION("""COMPUTED_VALUE"""),19.21)</f>
        <v>19.21</v>
      </c>
      <c r="C69" s="1">
        <f ca="1">IFERROR(__xludf.DUMMYFUNCTION("""COMPUTED_VALUE"""),19.36)</f>
        <v>19.36</v>
      </c>
      <c r="D69" s="1">
        <f ca="1">IFERROR(__xludf.DUMMYFUNCTION("""COMPUTED_VALUE"""),19.07)</f>
        <v>19.07</v>
      </c>
      <c r="E69" s="1">
        <f ca="1">IFERROR(__xludf.DUMMYFUNCTION("""COMPUTED_VALUE"""),19.13)</f>
        <v>19.13</v>
      </c>
      <c r="F69" s="1">
        <f ca="1">IFERROR(__xludf.DUMMYFUNCTION("""COMPUTED_VALUE"""),2573519)</f>
        <v>2573519</v>
      </c>
    </row>
    <row r="70" spans="1:6" x14ac:dyDescent="0.35">
      <c r="A70" s="2">
        <f ca="1">IFERROR(__xludf.DUMMYFUNCTION("""COMPUTED_VALUE"""),42107.6666666666)</f>
        <v>42107.666666666599</v>
      </c>
      <c r="B70" s="1">
        <f ca="1">IFERROR(__xludf.DUMMYFUNCTION("""COMPUTED_VALUE"""),19.18)</f>
        <v>19.18</v>
      </c>
      <c r="C70" s="1">
        <f ca="1">IFERROR(__xludf.DUMMYFUNCTION("""COMPUTED_VALUE"""),19.26)</f>
        <v>19.260000000000002</v>
      </c>
      <c r="D70" s="1">
        <f ca="1">IFERROR(__xludf.DUMMYFUNCTION("""COMPUTED_VALUE"""),19.01)</f>
        <v>19.010000000000002</v>
      </c>
      <c r="E70" s="1">
        <f ca="1">IFERROR(__xludf.DUMMYFUNCTION("""COMPUTED_VALUE"""),19.12)</f>
        <v>19.12</v>
      </c>
      <c r="F70" s="1">
        <f ca="1">IFERROR(__xludf.DUMMYFUNCTION("""COMPUTED_VALUE"""),1894453)</f>
        <v>1894453</v>
      </c>
    </row>
    <row r="71" spans="1:6" x14ac:dyDescent="0.35">
      <c r="A71" s="2">
        <f ca="1">IFERROR(__xludf.DUMMYFUNCTION("""COMPUTED_VALUE"""),42108.6666666666)</f>
        <v>42108.666666666599</v>
      </c>
      <c r="B71" s="1">
        <f ca="1">IFERROR(__xludf.DUMMYFUNCTION("""COMPUTED_VALUE"""),19.17)</f>
        <v>19.170000000000002</v>
      </c>
      <c r="C71" s="1">
        <f ca="1">IFERROR(__xludf.DUMMYFUNCTION("""COMPUTED_VALUE"""),19.39)</f>
        <v>19.39</v>
      </c>
      <c r="D71" s="1">
        <f ca="1">IFERROR(__xludf.DUMMYFUNCTION("""COMPUTED_VALUE"""),19.06)</f>
        <v>19.059999999999999</v>
      </c>
      <c r="E71" s="1">
        <f ca="1">IFERROR(__xludf.DUMMYFUNCTION("""COMPUTED_VALUE"""),19.26)</f>
        <v>19.260000000000002</v>
      </c>
      <c r="F71" s="1">
        <f ca="1">IFERROR(__xludf.DUMMYFUNCTION("""COMPUTED_VALUE"""),2583575)</f>
        <v>2583575</v>
      </c>
    </row>
    <row r="72" spans="1:6" x14ac:dyDescent="0.35">
      <c r="A72" s="2">
        <f ca="1">IFERROR(__xludf.DUMMYFUNCTION("""COMPUTED_VALUE"""),42109.6666666666)</f>
        <v>42109.666666666599</v>
      </c>
      <c r="B72" s="1">
        <f ca="1">IFERROR(__xludf.DUMMYFUNCTION("""COMPUTED_VALUE"""),19.25)</f>
        <v>19.25</v>
      </c>
      <c r="C72" s="1">
        <f ca="1">IFERROR(__xludf.DUMMYFUNCTION("""COMPUTED_VALUE"""),19.29)</f>
        <v>19.29</v>
      </c>
      <c r="D72" s="1">
        <f ca="1">IFERROR(__xludf.DUMMYFUNCTION("""COMPUTED_VALUE"""),19.08)</f>
        <v>19.079999999999998</v>
      </c>
      <c r="E72" s="1">
        <f ca="1">IFERROR(__xludf.DUMMYFUNCTION("""COMPUTED_VALUE"""),19.17)</f>
        <v>19.170000000000002</v>
      </c>
      <c r="F72" s="1">
        <f ca="1">IFERROR(__xludf.DUMMYFUNCTION("""COMPUTED_VALUE"""),1933229)</f>
        <v>1933229</v>
      </c>
    </row>
    <row r="73" spans="1:6" x14ac:dyDescent="0.35">
      <c r="A73" s="2">
        <f ca="1">IFERROR(__xludf.DUMMYFUNCTION("""COMPUTED_VALUE"""),42110.6666666666)</f>
        <v>42110.666666666599</v>
      </c>
      <c r="B73" s="1">
        <f ca="1">IFERROR(__xludf.DUMMYFUNCTION("""COMPUTED_VALUE"""),19.18)</f>
        <v>19.18</v>
      </c>
      <c r="C73" s="1">
        <f ca="1">IFERROR(__xludf.DUMMYFUNCTION("""COMPUTED_VALUE"""),19.37)</f>
        <v>19.37</v>
      </c>
      <c r="D73" s="1">
        <f ca="1">IFERROR(__xludf.DUMMYFUNCTION("""COMPUTED_VALUE"""),19.18)</f>
        <v>19.18</v>
      </c>
      <c r="E73" s="1">
        <f ca="1">IFERROR(__xludf.DUMMYFUNCTION("""COMPUTED_VALUE"""),19.3)</f>
        <v>19.3</v>
      </c>
      <c r="F73" s="1">
        <f ca="1">IFERROR(__xludf.DUMMYFUNCTION("""COMPUTED_VALUE"""),2080418)</f>
        <v>2080418</v>
      </c>
    </row>
    <row r="74" spans="1:6" x14ac:dyDescent="0.35">
      <c r="A74" s="2">
        <f ca="1">IFERROR(__xludf.DUMMYFUNCTION("""COMPUTED_VALUE"""),42111.6666666666)</f>
        <v>42111.666666666599</v>
      </c>
      <c r="B74" s="1">
        <f ca="1">IFERROR(__xludf.DUMMYFUNCTION("""COMPUTED_VALUE"""),19.13)</f>
        <v>19.13</v>
      </c>
      <c r="C74" s="1">
        <f ca="1">IFERROR(__xludf.DUMMYFUNCTION("""COMPUTED_VALUE"""),19.18)</f>
        <v>19.18</v>
      </c>
      <c r="D74" s="1">
        <f ca="1">IFERROR(__xludf.DUMMYFUNCTION("""COMPUTED_VALUE"""),18.72)</f>
        <v>18.72</v>
      </c>
      <c r="E74" s="1">
        <f ca="1">IFERROR(__xludf.DUMMYFUNCTION("""COMPUTED_VALUE"""),18.78)</f>
        <v>18.78</v>
      </c>
      <c r="F74" s="1">
        <f ca="1">IFERROR(__xludf.DUMMYFUNCTION("""COMPUTED_VALUE"""),3839664)</f>
        <v>3839664</v>
      </c>
    </row>
    <row r="75" spans="1:6" x14ac:dyDescent="0.35">
      <c r="A75" s="2">
        <f ca="1">IFERROR(__xludf.DUMMYFUNCTION("""COMPUTED_VALUE"""),42114.6666666666)</f>
        <v>42114.666666666599</v>
      </c>
      <c r="B75" s="1">
        <f ca="1">IFERROR(__xludf.DUMMYFUNCTION("""COMPUTED_VALUE"""),18.93)</f>
        <v>18.93</v>
      </c>
      <c r="C75" s="1">
        <f ca="1">IFERROR(__xludf.DUMMYFUNCTION("""COMPUTED_VALUE"""),19.6)</f>
        <v>19.600000000000001</v>
      </c>
      <c r="D75" s="1">
        <f ca="1">IFERROR(__xludf.DUMMYFUNCTION("""COMPUTED_VALUE"""),18.85)</f>
        <v>18.850000000000001</v>
      </c>
      <c r="E75" s="1">
        <f ca="1">IFERROR(__xludf.DUMMYFUNCTION("""COMPUTED_VALUE"""),19.48)</f>
        <v>19.48</v>
      </c>
      <c r="F75" s="1">
        <f ca="1">IFERROR(__xludf.DUMMYFUNCTION("""COMPUTED_VALUE"""),5016148)</f>
        <v>5016148</v>
      </c>
    </row>
    <row r="76" spans="1:6" x14ac:dyDescent="0.35">
      <c r="A76" s="2">
        <f ca="1">IFERROR(__xludf.DUMMYFUNCTION("""COMPUTED_VALUE"""),42115.6666666666)</f>
        <v>42115.666666666599</v>
      </c>
      <c r="B76" s="1">
        <f ca="1">IFERROR(__xludf.DUMMYFUNCTION("""COMPUTED_VALUE"""),19.55)</f>
        <v>19.55</v>
      </c>
      <c r="C76" s="1">
        <f ca="1">IFERROR(__xludf.DUMMYFUNCTION("""COMPUTED_VALUE"""),19.73)</f>
        <v>19.73</v>
      </c>
      <c r="D76" s="1">
        <f ca="1">IFERROR(__xludf.DUMMYFUNCTION("""COMPUTED_VALUE"""),19.34)</f>
        <v>19.34</v>
      </c>
      <c r="E76" s="1">
        <f ca="1">IFERROR(__xludf.DUMMYFUNCTION("""COMPUTED_VALUE"""),19.56)</f>
        <v>19.559999999999999</v>
      </c>
      <c r="F76" s="1">
        <f ca="1">IFERROR(__xludf.DUMMYFUNCTION("""COMPUTED_VALUE"""),4643524)</f>
        <v>4643524</v>
      </c>
    </row>
    <row r="77" spans="1:6" x14ac:dyDescent="0.35">
      <c r="A77" s="2">
        <f ca="1">IFERROR(__xludf.DUMMYFUNCTION("""COMPUTED_VALUE"""),42116.6666666666)</f>
        <v>42116.666666666599</v>
      </c>
      <c r="B77" s="1">
        <f ca="1">IFERROR(__xludf.DUMMYFUNCTION("""COMPUTED_VALUE"""),19.6)</f>
        <v>19.600000000000001</v>
      </c>
      <c r="C77" s="1">
        <f ca="1">IFERROR(__xludf.DUMMYFUNCTION("""COMPUTED_VALUE"""),19.71)</f>
        <v>19.71</v>
      </c>
      <c r="D77" s="1">
        <f ca="1">IFERROR(__xludf.DUMMYFUNCTION("""COMPUTED_VALUE"""),19.4)</f>
        <v>19.399999999999999</v>
      </c>
      <c r="E77" s="1">
        <f ca="1">IFERROR(__xludf.DUMMYFUNCTION("""COMPUTED_VALUE"""),19.49)</f>
        <v>19.489999999999998</v>
      </c>
      <c r="F77" s="1">
        <f ca="1">IFERROR(__xludf.DUMMYFUNCTION("""COMPUTED_VALUE"""),3474724)</f>
        <v>3474724</v>
      </c>
    </row>
    <row r="78" spans="1:6" x14ac:dyDescent="0.35">
      <c r="A78" s="2">
        <f ca="1">IFERROR(__xludf.DUMMYFUNCTION("""COMPUTED_VALUE"""),42117.6666666666)</f>
        <v>42117.666666666599</v>
      </c>
      <c r="B78" s="1">
        <f ca="1">IFERROR(__xludf.DUMMYFUNCTION("""COMPUTED_VALUE"""),19.51)</f>
        <v>19.510000000000002</v>
      </c>
      <c r="C78" s="1">
        <f ca="1">IFERROR(__xludf.DUMMYFUNCTION("""COMPUTED_VALUE"""),19.59)</f>
        <v>19.59</v>
      </c>
      <c r="D78" s="1">
        <f ca="1">IFERROR(__xludf.DUMMYFUNCTION("""COMPUTED_VALUE"""),19.31)</f>
        <v>19.309999999999999</v>
      </c>
      <c r="E78" s="1">
        <f ca="1">IFERROR(__xludf.DUMMYFUNCTION("""COMPUTED_VALUE"""),19.5)</f>
        <v>19.5</v>
      </c>
      <c r="F78" s="1">
        <f ca="1">IFERROR(__xludf.DUMMYFUNCTION("""COMPUTED_VALUE"""),7979985)</f>
        <v>7979985</v>
      </c>
    </row>
    <row r="79" spans="1:6" x14ac:dyDescent="0.35">
      <c r="A79" s="2">
        <f ca="1">IFERROR(__xludf.DUMMYFUNCTION("""COMPUTED_VALUE"""),42118.6666666666)</f>
        <v>42118.666666666599</v>
      </c>
      <c r="B79" s="1">
        <f ca="1">IFERROR(__xludf.DUMMYFUNCTION("""COMPUTED_VALUE"""),21.95)</f>
        <v>21.95</v>
      </c>
      <c r="C79" s="1">
        <f ca="1">IFERROR(__xludf.DUMMYFUNCTION("""COMPUTED_VALUE"""),22.63)</f>
        <v>22.63</v>
      </c>
      <c r="D79" s="1">
        <f ca="1">IFERROR(__xludf.DUMMYFUNCTION("""COMPUTED_VALUE"""),21.95)</f>
        <v>21.95</v>
      </c>
      <c r="E79" s="1">
        <f ca="1">IFERROR(__xludf.DUMMYFUNCTION("""COMPUTED_VALUE"""),22.26)</f>
        <v>22.26</v>
      </c>
      <c r="F79" s="1">
        <f ca="1">IFERROR(__xludf.DUMMYFUNCTION("""COMPUTED_VALUE"""),17176904)</f>
        <v>17176904</v>
      </c>
    </row>
    <row r="80" spans="1:6" x14ac:dyDescent="0.35">
      <c r="A80" s="2">
        <f ca="1">IFERROR(__xludf.DUMMYFUNCTION("""COMPUTED_VALUE"""),42121.6666666666)</f>
        <v>42121.666666666599</v>
      </c>
      <c r="B80" s="1">
        <f ca="1">IFERROR(__xludf.DUMMYFUNCTION("""COMPUTED_VALUE"""),22.2)</f>
        <v>22.2</v>
      </c>
      <c r="C80" s="1">
        <f ca="1">IFERROR(__xludf.DUMMYFUNCTION("""COMPUTED_VALUE"""),22.35)</f>
        <v>22.35</v>
      </c>
      <c r="D80" s="1">
        <f ca="1">IFERROR(__xludf.DUMMYFUNCTION("""COMPUTED_VALUE"""),21.87)</f>
        <v>21.87</v>
      </c>
      <c r="E80" s="1">
        <f ca="1">IFERROR(__xludf.DUMMYFUNCTION("""COMPUTED_VALUE"""),21.93)</f>
        <v>21.93</v>
      </c>
      <c r="F80" s="1">
        <f ca="1">IFERROR(__xludf.DUMMYFUNCTION("""COMPUTED_VALUE"""),5430949)</f>
        <v>5430949</v>
      </c>
    </row>
    <row r="81" spans="1:6" x14ac:dyDescent="0.35">
      <c r="A81" s="2">
        <f ca="1">IFERROR(__xludf.DUMMYFUNCTION("""COMPUTED_VALUE"""),42122.6666666666)</f>
        <v>42122.666666666599</v>
      </c>
      <c r="B81" s="1">
        <f ca="1">IFERROR(__xludf.DUMMYFUNCTION("""COMPUTED_VALUE"""),21.93)</f>
        <v>21.93</v>
      </c>
      <c r="C81" s="1">
        <f ca="1">IFERROR(__xludf.DUMMYFUNCTION("""COMPUTED_VALUE"""),21.95)</f>
        <v>21.95</v>
      </c>
      <c r="D81" s="1">
        <f ca="1">IFERROR(__xludf.DUMMYFUNCTION("""COMPUTED_VALUE"""),21.4)</f>
        <v>21.4</v>
      </c>
      <c r="E81" s="1">
        <f ca="1">IFERROR(__xludf.DUMMYFUNCTION("""COMPUTED_VALUE"""),21.47)</f>
        <v>21.47</v>
      </c>
      <c r="F81" s="1">
        <f ca="1">IFERROR(__xludf.DUMMYFUNCTION("""COMPUTED_VALUE"""),4140483)</f>
        <v>4140483</v>
      </c>
    </row>
    <row r="82" spans="1:6" x14ac:dyDescent="0.35">
      <c r="A82" s="2">
        <f ca="1">IFERROR(__xludf.DUMMYFUNCTION("""COMPUTED_VALUE"""),42123.6666666666)</f>
        <v>42123.666666666599</v>
      </c>
      <c r="B82" s="1">
        <f ca="1">IFERROR(__xludf.DUMMYFUNCTION("""COMPUTED_VALUE"""),21.34)</f>
        <v>21.34</v>
      </c>
      <c r="C82" s="1">
        <f ca="1">IFERROR(__xludf.DUMMYFUNCTION("""COMPUTED_VALUE"""),21.71)</f>
        <v>21.71</v>
      </c>
      <c r="D82" s="1">
        <f ca="1">IFERROR(__xludf.DUMMYFUNCTION("""COMPUTED_VALUE"""),21.3)</f>
        <v>21.3</v>
      </c>
      <c r="E82" s="1">
        <f ca="1">IFERROR(__xludf.DUMMYFUNCTION("""COMPUTED_VALUE"""),21.47)</f>
        <v>21.47</v>
      </c>
      <c r="F82" s="1">
        <f ca="1">IFERROR(__xludf.DUMMYFUNCTION("""COMPUTED_VALUE"""),3621688)</f>
        <v>3621688</v>
      </c>
    </row>
    <row r="83" spans="1:6" x14ac:dyDescent="0.35">
      <c r="A83" s="2">
        <f ca="1">IFERROR(__xludf.DUMMYFUNCTION("""COMPUTED_VALUE"""),42124.6666666666)</f>
        <v>42124.666666666599</v>
      </c>
      <c r="B83" s="1">
        <f ca="1">IFERROR(__xludf.DUMMYFUNCTION("""COMPUTED_VALUE"""),21.36)</f>
        <v>21.36</v>
      </c>
      <c r="C83" s="1">
        <f ca="1">IFERROR(__xludf.DUMMYFUNCTION("""COMPUTED_VALUE"""),21.59)</f>
        <v>21.59</v>
      </c>
      <c r="D83" s="1">
        <f ca="1">IFERROR(__xludf.DUMMYFUNCTION("""COMPUTED_VALUE"""),20.96)</f>
        <v>20.96</v>
      </c>
      <c r="E83" s="1">
        <f ca="1">IFERROR(__xludf.DUMMYFUNCTION("""COMPUTED_VALUE"""),21.09)</f>
        <v>21.09</v>
      </c>
      <c r="F83" s="1">
        <f ca="1">IFERROR(__xludf.DUMMYFUNCTION("""COMPUTED_VALUE"""),3647877)</f>
        <v>3647877</v>
      </c>
    </row>
    <row r="84" spans="1:6" x14ac:dyDescent="0.35">
      <c r="A84" s="2">
        <f ca="1">IFERROR(__xludf.DUMMYFUNCTION("""COMPUTED_VALUE"""),42125.6666666666)</f>
        <v>42125.666666666599</v>
      </c>
      <c r="B84" s="1">
        <f ca="1">IFERROR(__xludf.DUMMYFUNCTION("""COMPUTED_VALUE"""),21.2)</f>
        <v>21.2</v>
      </c>
      <c r="C84" s="1">
        <f ca="1">IFERROR(__xludf.DUMMYFUNCTION("""COMPUTED_VALUE"""),21.28)</f>
        <v>21.28</v>
      </c>
      <c r="D84" s="1">
        <f ca="1">IFERROR(__xludf.DUMMYFUNCTION("""COMPUTED_VALUE"""),20.8)</f>
        <v>20.8</v>
      </c>
      <c r="E84" s="1">
        <f ca="1">IFERROR(__xludf.DUMMYFUNCTION("""COMPUTED_VALUE"""),21.14)</f>
        <v>21.14</v>
      </c>
      <c r="F84" s="1">
        <f ca="1">IFERROR(__xludf.DUMMYFUNCTION("""COMPUTED_VALUE"""),3565824)</f>
        <v>3565824</v>
      </c>
    </row>
    <row r="85" spans="1:6" x14ac:dyDescent="0.35">
      <c r="A85" s="2">
        <f ca="1">IFERROR(__xludf.DUMMYFUNCTION("""COMPUTED_VALUE"""),42128.6666666666)</f>
        <v>42128.666666666599</v>
      </c>
      <c r="B85" s="1">
        <f ca="1">IFERROR(__xludf.DUMMYFUNCTION("""COMPUTED_VALUE"""),21.24)</f>
        <v>21.24</v>
      </c>
      <c r="C85" s="1">
        <f ca="1">IFERROR(__xludf.DUMMYFUNCTION("""COMPUTED_VALUE"""),21.49)</f>
        <v>21.49</v>
      </c>
      <c r="D85" s="1">
        <f ca="1">IFERROR(__xludf.DUMMYFUNCTION("""COMPUTED_VALUE"""),21.12)</f>
        <v>21.12</v>
      </c>
      <c r="E85" s="1">
        <f ca="1">IFERROR(__xludf.DUMMYFUNCTION("""COMPUTED_VALUE"""),21.15)</f>
        <v>21.15</v>
      </c>
      <c r="F85" s="1">
        <f ca="1">IFERROR(__xludf.DUMMYFUNCTION("""COMPUTED_VALUE"""),2270448)</f>
        <v>2270448</v>
      </c>
    </row>
    <row r="86" spans="1:6" x14ac:dyDescent="0.35">
      <c r="A86" s="2">
        <f ca="1">IFERROR(__xludf.DUMMYFUNCTION("""COMPUTED_VALUE"""),42129.6666666666)</f>
        <v>42129.666666666599</v>
      </c>
      <c r="B86" s="1">
        <f ca="1">IFERROR(__xludf.DUMMYFUNCTION("""COMPUTED_VALUE"""),21.14)</f>
        <v>21.14</v>
      </c>
      <c r="C86" s="1">
        <f ca="1">IFERROR(__xludf.DUMMYFUNCTION("""COMPUTED_VALUE"""),21.38)</f>
        <v>21.38</v>
      </c>
      <c r="D86" s="1">
        <f ca="1">IFERROR(__xludf.DUMMYFUNCTION("""COMPUTED_VALUE"""),21.05)</f>
        <v>21.05</v>
      </c>
      <c r="E86" s="1">
        <f ca="1">IFERROR(__xludf.DUMMYFUNCTION("""COMPUTED_VALUE"""),21.06)</f>
        <v>21.06</v>
      </c>
      <c r="F86" s="1">
        <f ca="1">IFERROR(__xludf.DUMMYFUNCTION("""COMPUTED_VALUE"""),2856386)</f>
        <v>2856386</v>
      </c>
    </row>
    <row r="87" spans="1:6" x14ac:dyDescent="0.35">
      <c r="A87" s="2">
        <f ca="1">IFERROR(__xludf.DUMMYFUNCTION("""COMPUTED_VALUE"""),42130.6666666666)</f>
        <v>42130.666666666599</v>
      </c>
      <c r="B87" s="1">
        <f ca="1">IFERROR(__xludf.DUMMYFUNCTION("""COMPUTED_VALUE"""),21.1)</f>
        <v>21.1</v>
      </c>
      <c r="C87" s="1">
        <f ca="1">IFERROR(__xludf.DUMMYFUNCTION("""COMPUTED_VALUE"""),21.14)</f>
        <v>21.14</v>
      </c>
      <c r="D87" s="1">
        <f ca="1">IFERROR(__xludf.DUMMYFUNCTION("""COMPUTED_VALUE"""),20.73)</f>
        <v>20.73</v>
      </c>
      <c r="E87" s="1">
        <f ca="1">IFERROR(__xludf.DUMMYFUNCTION("""COMPUTED_VALUE"""),20.96)</f>
        <v>20.96</v>
      </c>
      <c r="F87" s="1">
        <f ca="1">IFERROR(__xludf.DUMMYFUNCTION("""COMPUTED_VALUE"""),2552474)</f>
        <v>2552474</v>
      </c>
    </row>
    <row r="88" spans="1:6" x14ac:dyDescent="0.35">
      <c r="A88" s="2">
        <f ca="1">IFERROR(__xludf.DUMMYFUNCTION("""COMPUTED_VALUE"""),42131.6666666666)</f>
        <v>42131.666666666599</v>
      </c>
      <c r="B88" s="1">
        <f ca="1">IFERROR(__xludf.DUMMYFUNCTION("""COMPUTED_VALUE"""),21.2)</f>
        <v>21.2</v>
      </c>
      <c r="C88" s="1">
        <f ca="1">IFERROR(__xludf.DUMMYFUNCTION("""COMPUTED_VALUE"""),21.43)</f>
        <v>21.43</v>
      </c>
      <c r="D88" s="1">
        <f ca="1">IFERROR(__xludf.DUMMYFUNCTION("""COMPUTED_VALUE"""),21.14)</f>
        <v>21.14</v>
      </c>
      <c r="E88" s="1">
        <f ca="1">IFERROR(__xludf.DUMMYFUNCTION("""COMPUTED_VALUE"""),21.34)</f>
        <v>21.34</v>
      </c>
      <c r="F88" s="1">
        <f ca="1">IFERROR(__xludf.DUMMYFUNCTION("""COMPUTED_VALUE"""),2766132)</f>
        <v>2766132</v>
      </c>
    </row>
    <row r="89" spans="1:6" x14ac:dyDescent="0.35">
      <c r="A89" s="2">
        <f ca="1">IFERROR(__xludf.DUMMYFUNCTION("""COMPUTED_VALUE"""),42132.6666666666)</f>
        <v>42132.666666666599</v>
      </c>
      <c r="B89" s="1">
        <f ca="1">IFERROR(__xludf.DUMMYFUNCTION("""COMPUTED_VALUE"""),21.54)</f>
        <v>21.54</v>
      </c>
      <c r="C89" s="1">
        <f ca="1">IFERROR(__xludf.DUMMYFUNCTION("""COMPUTED_VALUE"""),21.76)</f>
        <v>21.76</v>
      </c>
      <c r="D89" s="1">
        <f ca="1">IFERROR(__xludf.DUMMYFUNCTION("""COMPUTED_VALUE"""),21.51)</f>
        <v>21.51</v>
      </c>
      <c r="E89" s="1">
        <f ca="1">IFERROR(__xludf.DUMMYFUNCTION("""COMPUTED_VALUE"""),21.68)</f>
        <v>21.68</v>
      </c>
      <c r="F89" s="1">
        <f ca="1">IFERROR(__xludf.DUMMYFUNCTION("""COMPUTED_VALUE"""),2908838)</f>
        <v>2908838</v>
      </c>
    </row>
    <row r="90" spans="1:6" x14ac:dyDescent="0.35">
      <c r="A90" s="2">
        <f ca="1">IFERROR(__xludf.DUMMYFUNCTION("""COMPUTED_VALUE"""),42135.6666666666)</f>
        <v>42135.666666666599</v>
      </c>
      <c r="B90" s="1">
        <f ca="1">IFERROR(__xludf.DUMMYFUNCTION("""COMPUTED_VALUE"""),21.63)</f>
        <v>21.63</v>
      </c>
      <c r="C90" s="1">
        <f ca="1">IFERROR(__xludf.DUMMYFUNCTION("""COMPUTED_VALUE"""),21.95)</f>
        <v>21.95</v>
      </c>
      <c r="D90" s="1">
        <f ca="1">IFERROR(__xludf.DUMMYFUNCTION("""COMPUTED_VALUE"""),21.57)</f>
        <v>21.57</v>
      </c>
      <c r="E90" s="1">
        <f ca="1">IFERROR(__xludf.DUMMYFUNCTION("""COMPUTED_VALUE"""),21.64)</f>
        <v>21.64</v>
      </c>
      <c r="F90" s="1">
        <f ca="1">IFERROR(__xludf.DUMMYFUNCTION("""COMPUTED_VALUE"""),2393737)</f>
        <v>2393737</v>
      </c>
    </row>
    <row r="91" spans="1:6" x14ac:dyDescent="0.35">
      <c r="A91" s="2">
        <f ca="1">IFERROR(__xludf.DUMMYFUNCTION("""COMPUTED_VALUE"""),42136.6666666666)</f>
        <v>42136.666666666599</v>
      </c>
      <c r="B91" s="1">
        <f ca="1">IFERROR(__xludf.DUMMYFUNCTION("""COMPUTED_VALUE"""),21.55)</f>
        <v>21.55</v>
      </c>
      <c r="C91" s="1">
        <f ca="1">IFERROR(__xludf.DUMMYFUNCTION("""COMPUTED_VALUE"""),21.66)</f>
        <v>21.66</v>
      </c>
      <c r="D91" s="1">
        <f ca="1">IFERROR(__xludf.DUMMYFUNCTION("""COMPUTED_VALUE"""),21.34)</f>
        <v>21.34</v>
      </c>
      <c r="E91" s="1">
        <f ca="1">IFERROR(__xludf.DUMMYFUNCTION("""COMPUTED_VALUE"""),21.55)</f>
        <v>21.55</v>
      </c>
      <c r="F91" s="1">
        <f ca="1">IFERROR(__xludf.DUMMYFUNCTION("""COMPUTED_VALUE"""),1947822)</f>
        <v>1947822</v>
      </c>
    </row>
    <row r="92" spans="1:6" x14ac:dyDescent="0.35">
      <c r="A92" s="2">
        <f ca="1">IFERROR(__xludf.DUMMYFUNCTION("""COMPUTED_VALUE"""),42137.6666666666)</f>
        <v>42137.666666666599</v>
      </c>
      <c r="B92" s="1">
        <f ca="1">IFERROR(__xludf.DUMMYFUNCTION("""COMPUTED_VALUE"""),21.48)</f>
        <v>21.48</v>
      </c>
      <c r="C92" s="1">
        <f ca="1">IFERROR(__xludf.DUMMYFUNCTION("""COMPUTED_VALUE"""),21.68)</f>
        <v>21.68</v>
      </c>
      <c r="D92" s="1">
        <f ca="1">IFERROR(__xludf.DUMMYFUNCTION("""COMPUTED_VALUE"""),21.29)</f>
        <v>21.29</v>
      </c>
      <c r="E92" s="1">
        <f ca="1">IFERROR(__xludf.DUMMYFUNCTION("""COMPUTED_VALUE"""),21.34)</f>
        <v>21.34</v>
      </c>
      <c r="F92" s="1">
        <f ca="1">IFERROR(__xludf.DUMMYFUNCTION("""COMPUTED_VALUE"""),1996328)</f>
        <v>1996328</v>
      </c>
    </row>
    <row r="93" spans="1:6" x14ac:dyDescent="0.35">
      <c r="A93" s="2">
        <f ca="1">IFERROR(__xludf.DUMMYFUNCTION("""COMPUTED_VALUE"""),42138.6666666666)</f>
        <v>42138.666666666599</v>
      </c>
      <c r="B93" s="1">
        <f ca="1">IFERROR(__xludf.DUMMYFUNCTION("""COMPUTED_VALUE"""),21.46)</f>
        <v>21.46</v>
      </c>
      <c r="C93" s="1">
        <f ca="1">IFERROR(__xludf.DUMMYFUNCTION("""COMPUTED_VALUE"""),21.65)</f>
        <v>21.65</v>
      </c>
      <c r="D93" s="1">
        <f ca="1">IFERROR(__xludf.DUMMYFUNCTION("""COMPUTED_VALUE"""),21.35)</f>
        <v>21.35</v>
      </c>
      <c r="E93" s="1">
        <f ca="1">IFERROR(__xludf.DUMMYFUNCTION("""COMPUTED_VALUE"""),21.61)</f>
        <v>21.61</v>
      </c>
      <c r="F93" s="1">
        <f ca="1">IFERROR(__xludf.DUMMYFUNCTION("""COMPUTED_VALUE"""),1888477)</f>
        <v>1888477</v>
      </c>
    </row>
    <row r="94" spans="1:6" x14ac:dyDescent="0.35">
      <c r="A94" s="2">
        <f ca="1">IFERROR(__xludf.DUMMYFUNCTION("""COMPUTED_VALUE"""),42139.6666666666)</f>
        <v>42139.666666666599</v>
      </c>
      <c r="B94" s="1">
        <f ca="1">IFERROR(__xludf.DUMMYFUNCTION("""COMPUTED_VALUE"""),21.4)</f>
        <v>21.4</v>
      </c>
      <c r="C94" s="1">
        <f ca="1">IFERROR(__xludf.DUMMYFUNCTION("""COMPUTED_VALUE"""),21.52)</f>
        <v>21.52</v>
      </c>
      <c r="D94" s="1">
        <f ca="1">IFERROR(__xludf.DUMMYFUNCTION("""COMPUTED_VALUE"""),21.22)</f>
        <v>21.22</v>
      </c>
      <c r="E94" s="1">
        <f ca="1">IFERROR(__xludf.DUMMYFUNCTION("""COMPUTED_VALUE"""),21.3)</f>
        <v>21.3</v>
      </c>
      <c r="F94" s="1">
        <f ca="1">IFERROR(__xludf.DUMMYFUNCTION("""COMPUTED_VALUE"""),4240306)</f>
        <v>4240306</v>
      </c>
    </row>
    <row r="95" spans="1:6" x14ac:dyDescent="0.35">
      <c r="A95" s="2">
        <f ca="1">IFERROR(__xludf.DUMMYFUNCTION("""COMPUTED_VALUE"""),42142.6666666666)</f>
        <v>42142.666666666599</v>
      </c>
      <c r="B95" s="1">
        <f ca="1">IFERROR(__xludf.DUMMYFUNCTION("""COMPUTED_VALUE"""),21.29)</f>
        <v>21.29</v>
      </c>
      <c r="C95" s="1">
        <f ca="1">IFERROR(__xludf.DUMMYFUNCTION("""COMPUTED_VALUE"""),21.36)</f>
        <v>21.36</v>
      </c>
      <c r="D95" s="1">
        <f ca="1">IFERROR(__xludf.DUMMYFUNCTION("""COMPUTED_VALUE"""),21.07)</f>
        <v>21.07</v>
      </c>
      <c r="E95" s="1">
        <f ca="1">IFERROR(__xludf.DUMMYFUNCTION("""COMPUTED_VALUE"""),21.26)</f>
        <v>21.26</v>
      </c>
      <c r="F95" s="1">
        <f ca="1">IFERROR(__xludf.DUMMYFUNCTION("""COMPUTED_VALUE"""),2390229)</f>
        <v>2390229</v>
      </c>
    </row>
    <row r="96" spans="1:6" x14ac:dyDescent="0.35">
      <c r="A96" s="2">
        <f ca="1">IFERROR(__xludf.DUMMYFUNCTION("""COMPUTED_VALUE"""),42143.6666666666)</f>
        <v>42143.666666666599</v>
      </c>
      <c r="B96" s="1">
        <f ca="1">IFERROR(__xludf.DUMMYFUNCTION("""COMPUTED_VALUE"""),21.25)</f>
        <v>21.25</v>
      </c>
      <c r="C96" s="1">
        <f ca="1">IFERROR(__xludf.DUMMYFUNCTION("""COMPUTED_VALUE"""),21.41)</f>
        <v>21.41</v>
      </c>
      <c r="D96" s="1">
        <f ca="1">IFERROR(__xludf.DUMMYFUNCTION("""COMPUTED_VALUE"""),21.03)</f>
        <v>21.03</v>
      </c>
      <c r="E96" s="1">
        <f ca="1">IFERROR(__xludf.DUMMYFUNCTION("""COMPUTED_VALUE"""),21.09)</f>
        <v>21.09</v>
      </c>
      <c r="F96" s="1">
        <f ca="1">IFERROR(__xludf.DUMMYFUNCTION("""COMPUTED_VALUE"""),2465240)</f>
        <v>2465240</v>
      </c>
    </row>
    <row r="97" spans="1:6" x14ac:dyDescent="0.35">
      <c r="A97" s="2">
        <f ca="1">IFERROR(__xludf.DUMMYFUNCTION("""COMPUTED_VALUE"""),42144.6666666666)</f>
        <v>42144.666666666599</v>
      </c>
      <c r="B97" s="1">
        <f ca="1">IFERROR(__xludf.DUMMYFUNCTION("""COMPUTED_VALUE"""),21.03)</f>
        <v>21.03</v>
      </c>
      <c r="C97" s="1">
        <f ca="1">IFERROR(__xludf.DUMMYFUNCTION("""COMPUTED_VALUE"""),21.36)</f>
        <v>21.36</v>
      </c>
      <c r="D97" s="1">
        <f ca="1">IFERROR(__xludf.DUMMYFUNCTION("""COMPUTED_VALUE"""),20.92)</f>
        <v>20.92</v>
      </c>
      <c r="E97" s="1">
        <f ca="1">IFERROR(__xludf.DUMMYFUNCTION("""COMPUTED_VALUE"""),21.19)</f>
        <v>21.19</v>
      </c>
      <c r="F97" s="1">
        <f ca="1">IFERROR(__xludf.DUMMYFUNCTION("""COMPUTED_VALUE"""),2196159)</f>
        <v>2196159</v>
      </c>
    </row>
    <row r="98" spans="1:6" x14ac:dyDescent="0.35">
      <c r="A98" s="2">
        <f ca="1">IFERROR(__xludf.DUMMYFUNCTION("""COMPUTED_VALUE"""),42145.6666666666)</f>
        <v>42145.666666666599</v>
      </c>
      <c r="B98" s="1">
        <f ca="1">IFERROR(__xludf.DUMMYFUNCTION("""COMPUTED_VALUE"""),21.4)</f>
        <v>21.4</v>
      </c>
      <c r="C98" s="1">
        <f ca="1">IFERROR(__xludf.DUMMYFUNCTION("""COMPUTED_VALUE"""),21.85)</f>
        <v>21.85</v>
      </c>
      <c r="D98" s="1">
        <f ca="1">IFERROR(__xludf.DUMMYFUNCTION("""COMPUTED_VALUE"""),21.4)</f>
        <v>21.4</v>
      </c>
      <c r="E98" s="1">
        <f ca="1">IFERROR(__xludf.DUMMYFUNCTION("""COMPUTED_VALUE"""),21.58)</f>
        <v>21.58</v>
      </c>
      <c r="F98" s="1">
        <f ca="1">IFERROR(__xludf.DUMMYFUNCTION("""COMPUTED_VALUE"""),4121401)</f>
        <v>4121401</v>
      </c>
    </row>
    <row r="99" spans="1:6" x14ac:dyDescent="0.35">
      <c r="A99" s="2">
        <f ca="1">IFERROR(__xludf.DUMMYFUNCTION("""COMPUTED_VALUE"""),42146.6666666666)</f>
        <v>42146.666666666599</v>
      </c>
      <c r="B99" s="1">
        <f ca="1">IFERROR(__xludf.DUMMYFUNCTION("""COMPUTED_VALUE"""),21.58)</f>
        <v>21.58</v>
      </c>
      <c r="C99" s="1">
        <f ca="1">IFERROR(__xludf.DUMMYFUNCTION("""COMPUTED_VALUE"""),21.62)</f>
        <v>21.62</v>
      </c>
      <c r="D99" s="1">
        <f ca="1">IFERROR(__xludf.DUMMYFUNCTION("""COMPUTED_VALUE"""),21.38)</f>
        <v>21.38</v>
      </c>
      <c r="E99" s="1">
        <f ca="1">IFERROR(__xludf.DUMMYFUNCTION("""COMPUTED_VALUE"""),21.38)</f>
        <v>21.38</v>
      </c>
      <c r="F99" s="1">
        <f ca="1">IFERROR(__xludf.DUMMYFUNCTION("""COMPUTED_VALUE"""),2020629)</f>
        <v>2020629</v>
      </c>
    </row>
    <row r="100" spans="1:6" x14ac:dyDescent="0.35">
      <c r="A100" s="2">
        <f ca="1">IFERROR(__xludf.DUMMYFUNCTION("""COMPUTED_VALUE"""),42150.6666666666)</f>
        <v>42150.666666666599</v>
      </c>
      <c r="B100" s="1">
        <f ca="1">IFERROR(__xludf.DUMMYFUNCTION("""COMPUTED_VALUE"""),21.32)</f>
        <v>21.32</v>
      </c>
      <c r="C100" s="1">
        <f ca="1">IFERROR(__xludf.DUMMYFUNCTION("""COMPUTED_VALUE"""),21.35)</f>
        <v>21.35</v>
      </c>
      <c r="D100" s="1">
        <f ca="1">IFERROR(__xludf.DUMMYFUNCTION("""COMPUTED_VALUE"""),21.1)</f>
        <v>21.1</v>
      </c>
      <c r="E100" s="1">
        <f ca="1">IFERROR(__xludf.DUMMYFUNCTION("""COMPUTED_VALUE"""),21.27)</f>
        <v>21.27</v>
      </c>
      <c r="F100" s="1">
        <f ca="1">IFERROR(__xludf.DUMMYFUNCTION("""COMPUTED_VALUE"""),2244185)</f>
        <v>2244185</v>
      </c>
    </row>
    <row r="101" spans="1:6" x14ac:dyDescent="0.35">
      <c r="A101" s="2">
        <f ca="1">IFERROR(__xludf.DUMMYFUNCTION("""COMPUTED_VALUE"""),42151.6666666666)</f>
        <v>42151.666666666599</v>
      </c>
      <c r="B101" s="1">
        <f ca="1">IFERROR(__xludf.DUMMYFUNCTION("""COMPUTED_VALUE"""),21.38)</f>
        <v>21.38</v>
      </c>
      <c r="C101" s="1">
        <f ca="1">IFERROR(__xludf.DUMMYFUNCTION("""COMPUTED_VALUE"""),21.59)</f>
        <v>21.59</v>
      </c>
      <c r="D101" s="1">
        <f ca="1">IFERROR(__xludf.DUMMYFUNCTION("""COMPUTED_VALUE"""),21.25)</f>
        <v>21.25</v>
      </c>
      <c r="E101" s="1">
        <f ca="1">IFERROR(__xludf.DUMMYFUNCTION("""COMPUTED_VALUE"""),21.57)</f>
        <v>21.57</v>
      </c>
      <c r="F101" s="1">
        <f ca="1">IFERROR(__xludf.DUMMYFUNCTION("""COMPUTED_VALUE"""),2231088)</f>
        <v>2231088</v>
      </c>
    </row>
    <row r="102" spans="1:6" x14ac:dyDescent="0.35">
      <c r="A102" s="2">
        <f ca="1">IFERROR(__xludf.DUMMYFUNCTION("""COMPUTED_VALUE"""),42152.6666666666)</f>
        <v>42152.666666666599</v>
      </c>
      <c r="B102" s="1">
        <f ca="1">IFERROR(__xludf.DUMMYFUNCTION("""COMPUTED_VALUE"""),21.49)</f>
        <v>21.49</v>
      </c>
      <c r="C102" s="1">
        <f ca="1">IFERROR(__xludf.DUMMYFUNCTION("""COMPUTED_VALUE"""),21.57)</f>
        <v>21.57</v>
      </c>
      <c r="D102" s="1">
        <f ca="1">IFERROR(__xludf.DUMMYFUNCTION("""COMPUTED_VALUE"""),21.27)</f>
        <v>21.27</v>
      </c>
      <c r="E102" s="1">
        <f ca="1">IFERROR(__xludf.DUMMYFUNCTION("""COMPUTED_VALUE"""),21.33)</f>
        <v>21.33</v>
      </c>
      <c r="F102" s="1">
        <f ca="1">IFERROR(__xludf.DUMMYFUNCTION("""COMPUTED_VALUE"""),1912436)</f>
        <v>1912436</v>
      </c>
    </row>
    <row r="103" spans="1:6" x14ac:dyDescent="0.35">
      <c r="A103" s="2">
        <f ca="1">IFERROR(__xludf.DUMMYFUNCTION("""COMPUTED_VALUE"""),42153.6666666666)</f>
        <v>42153.666666666599</v>
      </c>
      <c r="B103" s="1">
        <f ca="1">IFERROR(__xludf.DUMMYFUNCTION("""COMPUTED_VALUE"""),21.37)</f>
        <v>21.37</v>
      </c>
      <c r="C103" s="1">
        <f ca="1">IFERROR(__xludf.DUMMYFUNCTION("""COMPUTED_VALUE"""),21.63)</f>
        <v>21.63</v>
      </c>
      <c r="D103" s="1">
        <f ca="1">IFERROR(__xludf.DUMMYFUNCTION("""COMPUTED_VALUE"""),21.36)</f>
        <v>21.36</v>
      </c>
      <c r="E103" s="1">
        <f ca="1">IFERROR(__xludf.DUMMYFUNCTION("""COMPUTED_VALUE"""),21.46)</f>
        <v>21.46</v>
      </c>
      <c r="F103" s="1">
        <f ca="1">IFERROR(__xludf.DUMMYFUNCTION("""COMPUTED_VALUE"""),3016060)</f>
        <v>3016060</v>
      </c>
    </row>
    <row r="104" spans="1:6" x14ac:dyDescent="0.35">
      <c r="A104" s="2">
        <f ca="1">IFERROR(__xludf.DUMMYFUNCTION("""COMPUTED_VALUE"""),42156.6666666666)</f>
        <v>42156.666666666599</v>
      </c>
      <c r="B104" s="1">
        <f ca="1">IFERROR(__xludf.DUMMYFUNCTION("""COMPUTED_VALUE"""),21.52)</f>
        <v>21.52</v>
      </c>
      <c r="C104" s="1">
        <f ca="1">IFERROR(__xludf.DUMMYFUNCTION("""COMPUTED_VALUE"""),21.66)</f>
        <v>21.66</v>
      </c>
      <c r="D104" s="1">
        <f ca="1">IFERROR(__xludf.DUMMYFUNCTION("""COMPUTED_VALUE"""),21.31)</f>
        <v>21.31</v>
      </c>
      <c r="E104" s="1">
        <f ca="1">IFERROR(__xludf.DUMMYFUNCTION("""COMPUTED_VALUE"""),21.55)</f>
        <v>21.55</v>
      </c>
      <c r="F104" s="1">
        <f ca="1">IFERROR(__xludf.DUMMYFUNCTION("""COMPUTED_VALUE"""),2253264)</f>
        <v>2253264</v>
      </c>
    </row>
    <row r="105" spans="1:6" x14ac:dyDescent="0.35">
      <c r="A105" s="2">
        <f ca="1">IFERROR(__xludf.DUMMYFUNCTION("""COMPUTED_VALUE"""),42157.6666666666)</f>
        <v>42157.666666666599</v>
      </c>
      <c r="B105" s="1">
        <f ca="1">IFERROR(__xludf.DUMMYFUNCTION("""COMPUTED_VALUE"""),21.5)</f>
        <v>21.5</v>
      </c>
      <c r="C105" s="1">
        <f ca="1">IFERROR(__xludf.DUMMYFUNCTION("""COMPUTED_VALUE"""),21.66)</f>
        <v>21.66</v>
      </c>
      <c r="D105" s="1">
        <f ca="1">IFERROR(__xludf.DUMMYFUNCTION("""COMPUTED_VALUE"""),21.31)</f>
        <v>21.31</v>
      </c>
      <c r="E105" s="1">
        <f ca="1">IFERROR(__xludf.DUMMYFUNCTION("""COMPUTED_VALUE"""),21.55)</f>
        <v>21.55</v>
      </c>
      <c r="F105" s="1">
        <f ca="1">IFERROR(__xludf.DUMMYFUNCTION("""COMPUTED_VALUE"""),1669845)</f>
        <v>1669845</v>
      </c>
    </row>
    <row r="106" spans="1:6" x14ac:dyDescent="0.35">
      <c r="A106" s="2">
        <f ca="1">IFERROR(__xludf.DUMMYFUNCTION("""COMPUTED_VALUE"""),42158.6666666666)</f>
        <v>42158.666666666599</v>
      </c>
      <c r="B106" s="1">
        <f ca="1">IFERROR(__xludf.DUMMYFUNCTION("""COMPUTED_VALUE"""),21.72)</f>
        <v>21.72</v>
      </c>
      <c r="C106" s="1">
        <f ca="1">IFERROR(__xludf.DUMMYFUNCTION("""COMPUTED_VALUE"""),21.92)</f>
        <v>21.92</v>
      </c>
      <c r="D106" s="1">
        <f ca="1">IFERROR(__xludf.DUMMYFUNCTION("""COMPUTED_VALUE"""),21.64)</f>
        <v>21.64</v>
      </c>
      <c r="E106" s="1">
        <f ca="1">IFERROR(__xludf.DUMMYFUNCTION("""COMPUTED_VALUE"""),21.83)</f>
        <v>21.83</v>
      </c>
      <c r="F106" s="1">
        <f ca="1">IFERROR(__xludf.DUMMYFUNCTION("""COMPUTED_VALUE"""),2727914)</f>
        <v>2727914</v>
      </c>
    </row>
    <row r="107" spans="1:6" x14ac:dyDescent="0.35">
      <c r="A107" s="2">
        <f ca="1">IFERROR(__xludf.DUMMYFUNCTION("""COMPUTED_VALUE"""),42159.6666666666)</f>
        <v>42159.666666666599</v>
      </c>
      <c r="B107" s="1">
        <f ca="1">IFERROR(__xludf.DUMMYFUNCTION("""COMPUTED_VALUE"""),21.72)</f>
        <v>21.72</v>
      </c>
      <c r="C107" s="1">
        <f ca="1">IFERROR(__xludf.DUMMYFUNCTION("""COMPUTED_VALUE"""),21.84)</f>
        <v>21.84</v>
      </c>
      <c r="D107" s="1">
        <f ca="1">IFERROR(__xludf.DUMMYFUNCTION("""COMPUTED_VALUE"""),21.46)</f>
        <v>21.46</v>
      </c>
      <c r="E107" s="1">
        <f ca="1">IFERROR(__xludf.DUMMYFUNCTION("""COMPUTED_VALUE"""),21.54)</f>
        <v>21.54</v>
      </c>
      <c r="F107" s="1">
        <f ca="1">IFERROR(__xludf.DUMMYFUNCTION("""COMPUTED_VALUE"""),2510761)</f>
        <v>2510761</v>
      </c>
    </row>
    <row r="108" spans="1:6" x14ac:dyDescent="0.35">
      <c r="A108" s="2">
        <f ca="1">IFERROR(__xludf.DUMMYFUNCTION("""COMPUTED_VALUE"""),42160.6666666666)</f>
        <v>42160.666666666599</v>
      </c>
      <c r="B108" s="1">
        <f ca="1">IFERROR(__xludf.DUMMYFUNCTION("""COMPUTED_VALUE"""),21.47)</f>
        <v>21.47</v>
      </c>
      <c r="C108" s="1">
        <f ca="1">IFERROR(__xludf.DUMMYFUNCTION("""COMPUTED_VALUE"""),21.54)</f>
        <v>21.54</v>
      </c>
      <c r="D108" s="1">
        <f ca="1">IFERROR(__xludf.DUMMYFUNCTION("""COMPUTED_VALUE"""),21.33)</f>
        <v>21.33</v>
      </c>
      <c r="E108" s="1">
        <f ca="1">IFERROR(__xludf.DUMMYFUNCTION("""COMPUTED_VALUE"""),21.35)</f>
        <v>21.35</v>
      </c>
      <c r="F108" s="1">
        <f ca="1">IFERROR(__xludf.DUMMYFUNCTION("""COMPUTED_VALUE"""),1907855)</f>
        <v>1907855</v>
      </c>
    </row>
    <row r="109" spans="1:6" x14ac:dyDescent="0.35">
      <c r="A109" s="2">
        <f ca="1">IFERROR(__xludf.DUMMYFUNCTION("""COMPUTED_VALUE"""),42163.6666666666)</f>
        <v>42163.666666666599</v>
      </c>
      <c r="B109" s="1">
        <f ca="1">IFERROR(__xludf.DUMMYFUNCTION("""COMPUTED_VALUE"""),21.28)</f>
        <v>21.28</v>
      </c>
      <c r="C109" s="1">
        <f ca="1">IFERROR(__xludf.DUMMYFUNCTION("""COMPUTED_VALUE"""),21.34)</f>
        <v>21.34</v>
      </c>
      <c r="D109" s="1">
        <f ca="1">IFERROR(__xludf.DUMMYFUNCTION("""COMPUTED_VALUE"""),21.07)</f>
        <v>21.07</v>
      </c>
      <c r="E109" s="1">
        <f ca="1">IFERROR(__xludf.DUMMYFUNCTION("""COMPUTED_VALUE"""),21.18)</f>
        <v>21.18</v>
      </c>
      <c r="F109" s="1">
        <f ca="1">IFERROR(__xludf.DUMMYFUNCTION("""COMPUTED_VALUE"""),2172525)</f>
        <v>2172525</v>
      </c>
    </row>
    <row r="110" spans="1:6" x14ac:dyDescent="0.35">
      <c r="A110" s="2">
        <f ca="1">IFERROR(__xludf.DUMMYFUNCTION("""COMPUTED_VALUE"""),42164.6666666666)</f>
        <v>42164.666666666599</v>
      </c>
      <c r="B110" s="1">
        <f ca="1">IFERROR(__xludf.DUMMYFUNCTION("""COMPUTED_VALUE"""),21.12)</f>
        <v>21.12</v>
      </c>
      <c r="C110" s="1">
        <f ca="1">IFERROR(__xludf.DUMMYFUNCTION("""COMPUTED_VALUE"""),21.37)</f>
        <v>21.37</v>
      </c>
      <c r="D110" s="1">
        <f ca="1">IFERROR(__xludf.DUMMYFUNCTION("""COMPUTED_VALUE"""),20.96)</f>
        <v>20.96</v>
      </c>
      <c r="E110" s="1">
        <f ca="1">IFERROR(__xludf.DUMMYFUNCTION("""COMPUTED_VALUE"""),21.27)</f>
        <v>21.27</v>
      </c>
      <c r="F110" s="1">
        <f ca="1">IFERROR(__xludf.DUMMYFUNCTION("""COMPUTED_VALUE"""),2288663)</f>
        <v>2288663</v>
      </c>
    </row>
    <row r="111" spans="1:6" x14ac:dyDescent="0.35">
      <c r="A111" s="2">
        <f ca="1">IFERROR(__xludf.DUMMYFUNCTION("""COMPUTED_VALUE"""),42165.6666666666)</f>
        <v>42165.666666666599</v>
      </c>
      <c r="B111" s="1">
        <f ca="1">IFERROR(__xludf.DUMMYFUNCTION("""COMPUTED_VALUE"""),21.32)</f>
        <v>21.32</v>
      </c>
      <c r="C111" s="1">
        <f ca="1">IFERROR(__xludf.DUMMYFUNCTION("""COMPUTED_VALUE"""),21.61)</f>
        <v>21.61</v>
      </c>
      <c r="D111" s="1">
        <f ca="1">IFERROR(__xludf.DUMMYFUNCTION("""COMPUTED_VALUE"""),21.28)</f>
        <v>21.28</v>
      </c>
      <c r="E111" s="1">
        <f ca="1">IFERROR(__xludf.DUMMYFUNCTION("""COMPUTED_VALUE"""),21.54)</f>
        <v>21.54</v>
      </c>
      <c r="F111" s="1">
        <f ca="1">IFERROR(__xludf.DUMMYFUNCTION("""COMPUTED_VALUE"""),2172333)</f>
        <v>2172333</v>
      </c>
    </row>
    <row r="112" spans="1:6" x14ac:dyDescent="0.35">
      <c r="A112" s="2">
        <f ca="1">IFERROR(__xludf.DUMMYFUNCTION("""COMPUTED_VALUE"""),42166.6666666666)</f>
        <v>42166.666666666599</v>
      </c>
      <c r="B112" s="1">
        <f ca="1">IFERROR(__xludf.DUMMYFUNCTION("""COMPUTED_VALUE"""),21.61)</f>
        <v>21.61</v>
      </c>
      <c r="C112" s="1">
        <f ca="1">IFERROR(__xludf.DUMMYFUNCTION("""COMPUTED_VALUE"""),21.94)</f>
        <v>21.94</v>
      </c>
      <c r="D112" s="1">
        <f ca="1">IFERROR(__xludf.DUMMYFUNCTION("""COMPUTED_VALUE"""),21.57)</f>
        <v>21.57</v>
      </c>
      <c r="E112" s="1">
        <f ca="1">IFERROR(__xludf.DUMMYFUNCTION("""COMPUTED_VALUE"""),21.65)</f>
        <v>21.65</v>
      </c>
      <c r="F112" s="1">
        <f ca="1">IFERROR(__xludf.DUMMYFUNCTION("""COMPUTED_VALUE"""),2922459)</f>
        <v>2922459</v>
      </c>
    </row>
    <row r="113" spans="1:6" x14ac:dyDescent="0.35">
      <c r="A113" s="2">
        <f ca="1">IFERROR(__xludf.DUMMYFUNCTION("""COMPUTED_VALUE"""),42167.6666666666)</f>
        <v>42167.666666666599</v>
      </c>
      <c r="B113" s="1">
        <f ca="1">IFERROR(__xludf.DUMMYFUNCTION("""COMPUTED_VALUE"""),21.55)</f>
        <v>21.55</v>
      </c>
      <c r="C113" s="1">
        <f ca="1">IFERROR(__xludf.DUMMYFUNCTION("""COMPUTED_VALUE"""),21.62)</f>
        <v>21.62</v>
      </c>
      <c r="D113" s="1">
        <f ca="1">IFERROR(__xludf.DUMMYFUNCTION("""COMPUTED_VALUE"""),21.41)</f>
        <v>21.41</v>
      </c>
      <c r="E113" s="1">
        <f ca="1">IFERROR(__xludf.DUMMYFUNCTION("""COMPUTED_VALUE"""),21.5)</f>
        <v>21.5</v>
      </c>
      <c r="F113" s="1">
        <f ca="1">IFERROR(__xludf.DUMMYFUNCTION("""COMPUTED_VALUE"""),2054385)</f>
        <v>2054385</v>
      </c>
    </row>
    <row r="114" spans="1:6" x14ac:dyDescent="0.35">
      <c r="A114" s="2">
        <f ca="1">IFERROR(__xludf.DUMMYFUNCTION("""COMPUTED_VALUE"""),42170.6666666666)</f>
        <v>42170.666666666599</v>
      </c>
      <c r="B114" s="1">
        <f ca="1">IFERROR(__xludf.DUMMYFUNCTION("""COMPUTED_VALUE"""),21.38)</f>
        <v>21.38</v>
      </c>
      <c r="C114" s="1">
        <f ca="1">IFERROR(__xludf.DUMMYFUNCTION("""COMPUTED_VALUE"""),21.4)</f>
        <v>21.4</v>
      </c>
      <c r="D114" s="1">
        <f ca="1">IFERROR(__xludf.DUMMYFUNCTION("""COMPUTED_VALUE"""),21.13)</f>
        <v>21.13</v>
      </c>
      <c r="E114" s="1">
        <f ca="1">IFERROR(__xludf.DUMMYFUNCTION("""COMPUTED_VALUE"""),21.18)</f>
        <v>21.18</v>
      </c>
      <c r="F114" s="1">
        <f ca="1">IFERROR(__xludf.DUMMYFUNCTION("""COMPUTED_VALUE"""),2050987)</f>
        <v>2050987</v>
      </c>
    </row>
    <row r="115" spans="1:6" x14ac:dyDescent="0.35">
      <c r="A115" s="2">
        <f ca="1">IFERROR(__xludf.DUMMYFUNCTION("""COMPUTED_VALUE"""),42171.6666666666)</f>
        <v>42171.666666666599</v>
      </c>
      <c r="B115" s="1">
        <f ca="1">IFERROR(__xludf.DUMMYFUNCTION("""COMPUTED_VALUE"""),21.18)</f>
        <v>21.18</v>
      </c>
      <c r="C115" s="1">
        <f ca="1">IFERROR(__xludf.DUMMYFUNCTION("""COMPUTED_VALUE"""),21.4)</f>
        <v>21.4</v>
      </c>
      <c r="D115" s="1">
        <f ca="1">IFERROR(__xludf.DUMMYFUNCTION("""COMPUTED_VALUE"""),21.13)</f>
        <v>21.13</v>
      </c>
      <c r="E115" s="1">
        <f ca="1">IFERROR(__xludf.DUMMYFUNCTION("""COMPUTED_VALUE"""),21.36)</f>
        <v>21.36</v>
      </c>
      <c r="F115" s="1">
        <f ca="1">IFERROR(__xludf.DUMMYFUNCTION("""COMPUTED_VALUE"""),2297469)</f>
        <v>2297469</v>
      </c>
    </row>
    <row r="116" spans="1:6" x14ac:dyDescent="0.35">
      <c r="A116" s="2">
        <f ca="1">IFERROR(__xludf.DUMMYFUNCTION("""COMPUTED_VALUE"""),42172.6666666666)</f>
        <v>42172.666666666599</v>
      </c>
      <c r="B116" s="1">
        <f ca="1">IFERROR(__xludf.DUMMYFUNCTION("""COMPUTED_VALUE"""),21.42)</f>
        <v>21.42</v>
      </c>
      <c r="C116" s="1">
        <f ca="1">IFERROR(__xludf.DUMMYFUNCTION("""COMPUTED_VALUE"""),21.57)</f>
        <v>21.57</v>
      </c>
      <c r="D116" s="1">
        <f ca="1">IFERROR(__xludf.DUMMYFUNCTION("""COMPUTED_VALUE"""),21.24)</f>
        <v>21.24</v>
      </c>
      <c r="E116" s="1">
        <f ca="1">IFERROR(__xludf.DUMMYFUNCTION("""COMPUTED_VALUE"""),21.39)</f>
        <v>21.39</v>
      </c>
      <c r="F116" s="1">
        <f ca="1">IFERROR(__xludf.DUMMYFUNCTION("""COMPUTED_VALUE"""),2185869)</f>
        <v>2185869</v>
      </c>
    </row>
    <row r="117" spans="1:6" x14ac:dyDescent="0.35">
      <c r="A117" s="2">
        <f ca="1">IFERROR(__xludf.DUMMYFUNCTION("""COMPUTED_VALUE"""),42173.6666666666)</f>
        <v>42173.666666666599</v>
      </c>
      <c r="B117" s="1">
        <f ca="1">IFERROR(__xludf.DUMMYFUNCTION("""COMPUTED_VALUE"""),21.52)</f>
        <v>21.52</v>
      </c>
      <c r="C117" s="1">
        <f ca="1">IFERROR(__xludf.DUMMYFUNCTION("""COMPUTED_VALUE"""),21.99)</f>
        <v>21.99</v>
      </c>
      <c r="D117" s="1">
        <f ca="1">IFERROR(__xludf.DUMMYFUNCTION("""COMPUTED_VALUE"""),21.47)</f>
        <v>21.47</v>
      </c>
      <c r="E117" s="1">
        <f ca="1">IFERROR(__xludf.DUMMYFUNCTION("""COMPUTED_VALUE"""),21.97)</f>
        <v>21.97</v>
      </c>
      <c r="F117" s="1">
        <f ca="1">IFERROR(__xludf.DUMMYFUNCTION("""COMPUTED_VALUE"""),3378360)</f>
        <v>3378360</v>
      </c>
    </row>
    <row r="118" spans="1:6" x14ac:dyDescent="0.35">
      <c r="A118" s="2">
        <f ca="1">IFERROR(__xludf.DUMMYFUNCTION("""COMPUTED_VALUE"""),42174.6666666666)</f>
        <v>42174.666666666599</v>
      </c>
      <c r="B118" s="1">
        <f ca="1">IFERROR(__xludf.DUMMYFUNCTION("""COMPUTED_VALUE"""),22.02)</f>
        <v>22.02</v>
      </c>
      <c r="C118" s="1">
        <f ca="1">IFERROR(__xludf.DUMMYFUNCTION("""COMPUTED_VALUE"""),22.25)</f>
        <v>22.25</v>
      </c>
      <c r="D118" s="1">
        <f ca="1">IFERROR(__xludf.DUMMYFUNCTION("""COMPUTED_VALUE"""),21.66)</f>
        <v>21.66</v>
      </c>
      <c r="E118" s="1">
        <f ca="1">IFERROR(__xludf.DUMMYFUNCTION("""COMPUTED_VALUE"""),21.75)</f>
        <v>21.75</v>
      </c>
      <c r="F118" s="1">
        <f ca="1">IFERROR(__xludf.DUMMYFUNCTION("""COMPUTED_VALUE"""),4495087)</f>
        <v>4495087</v>
      </c>
    </row>
    <row r="119" spans="1:6" x14ac:dyDescent="0.35">
      <c r="A119" s="2">
        <f ca="1">IFERROR(__xludf.DUMMYFUNCTION("""COMPUTED_VALUE"""),42177.6666666666)</f>
        <v>42177.666666666599</v>
      </c>
      <c r="B119" s="1">
        <f ca="1">IFERROR(__xludf.DUMMYFUNCTION("""COMPUTED_VALUE"""),21.85)</f>
        <v>21.85</v>
      </c>
      <c r="C119" s="1">
        <f ca="1">IFERROR(__xludf.DUMMYFUNCTION("""COMPUTED_VALUE"""),21.96)</f>
        <v>21.96</v>
      </c>
      <c r="D119" s="1">
        <f ca="1">IFERROR(__xludf.DUMMYFUNCTION("""COMPUTED_VALUE"""),21.71)</f>
        <v>21.71</v>
      </c>
      <c r="E119" s="1">
        <f ca="1">IFERROR(__xludf.DUMMYFUNCTION("""COMPUTED_VALUE"""),21.81)</f>
        <v>21.81</v>
      </c>
      <c r="F119" s="1">
        <f ca="1">IFERROR(__xludf.DUMMYFUNCTION("""COMPUTED_VALUE"""),1823572)</f>
        <v>1823572</v>
      </c>
    </row>
    <row r="120" spans="1:6" x14ac:dyDescent="0.35">
      <c r="A120" s="2">
        <f ca="1">IFERROR(__xludf.DUMMYFUNCTION("""COMPUTED_VALUE"""),42178.6666666666)</f>
        <v>42178.666666666599</v>
      </c>
      <c r="B120" s="1">
        <f ca="1">IFERROR(__xludf.DUMMYFUNCTION("""COMPUTED_VALUE"""),21.78)</f>
        <v>21.78</v>
      </c>
      <c r="C120" s="1">
        <f ca="1">IFERROR(__xludf.DUMMYFUNCTION("""COMPUTED_VALUE"""),22.35)</f>
        <v>22.35</v>
      </c>
      <c r="D120" s="1">
        <f ca="1">IFERROR(__xludf.DUMMYFUNCTION("""COMPUTED_VALUE"""),21.68)</f>
        <v>21.68</v>
      </c>
      <c r="E120" s="1">
        <f ca="1">IFERROR(__xludf.DUMMYFUNCTION("""COMPUTED_VALUE"""),22.3)</f>
        <v>22.3</v>
      </c>
      <c r="F120" s="1">
        <f ca="1">IFERROR(__xludf.DUMMYFUNCTION("""COMPUTED_VALUE"""),3245049)</f>
        <v>3245049</v>
      </c>
    </row>
    <row r="121" spans="1:6" x14ac:dyDescent="0.35">
      <c r="A121" s="2">
        <f ca="1">IFERROR(__xludf.DUMMYFUNCTION("""COMPUTED_VALUE"""),42179.6666666666)</f>
        <v>42179.666666666599</v>
      </c>
      <c r="B121" s="1">
        <f ca="1">IFERROR(__xludf.DUMMYFUNCTION("""COMPUTED_VALUE"""),22.25)</f>
        <v>22.25</v>
      </c>
      <c r="C121" s="1">
        <f ca="1">IFERROR(__xludf.DUMMYFUNCTION("""COMPUTED_VALUE"""),22.32)</f>
        <v>22.32</v>
      </c>
      <c r="D121" s="1">
        <f ca="1">IFERROR(__xludf.DUMMYFUNCTION("""COMPUTED_VALUE"""),22.01)</f>
        <v>22.01</v>
      </c>
      <c r="E121" s="1">
        <f ca="1">IFERROR(__xludf.DUMMYFUNCTION("""COMPUTED_VALUE"""),22.04)</f>
        <v>22.04</v>
      </c>
      <c r="F121" s="1">
        <f ca="1">IFERROR(__xludf.DUMMYFUNCTION("""COMPUTED_VALUE"""),2620827)</f>
        <v>2620827</v>
      </c>
    </row>
    <row r="122" spans="1:6" x14ac:dyDescent="0.35">
      <c r="A122" s="2">
        <f ca="1">IFERROR(__xludf.DUMMYFUNCTION("""COMPUTED_VALUE"""),42180.6666666666)</f>
        <v>42180.666666666599</v>
      </c>
      <c r="B122" s="1">
        <f ca="1">IFERROR(__xludf.DUMMYFUNCTION("""COMPUTED_VALUE"""),21.91)</f>
        <v>21.91</v>
      </c>
      <c r="C122" s="1">
        <f ca="1">IFERROR(__xludf.DUMMYFUNCTION("""COMPUTED_VALUE"""),22.17)</f>
        <v>22.17</v>
      </c>
      <c r="D122" s="1">
        <f ca="1">IFERROR(__xludf.DUMMYFUNCTION("""COMPUTED_VALUE"""),21.82)</f>
        <v>21.82</v>
      </c>
      <c r="E122" s="1">
        <f ca="1">IFERROR(__xludf.DUMMYFUNCTION("""COMPUTED_VALUE"""),22.01)</f>
        <v>22.01</v>
      </c>
      <c r="F122" s="1">
        <f ca="1">IFERROR(__xludf.DUMMYFUNCTION("""COMPUTED_VALUE"""),2237458)</f>
        <v>2237458</v>
      </c>
    </row>
    <row r="123" spans="1:6" x14ac:dyDescent="0.35">
      <c r="A123" s="2">
        <f ca="1">IFERROR(__xludf.DUMMYFUNCTION("""COMPUTED_VALUE"""),42181.6666666666)</f>
        <v>42181.666666666599</v>
      </c>
      <c r="B123" s="1">
        <f ca="1">IFERROR(__xludf.DUMMYFUNCTION("""COMPUTED_VALUE"""),22.11)</f>
        <v>22.11</v>
      </c>
      <c r="C123" s="1">
        <f ca="1">IFERROR(__xludf.DUMMYFUNCTION("""COMPUTED_VALUE"""),22.17)</f>
        <v>22.17</v>
      </c>
      <c r="D123" s="1">
        <f ca="1">IFERROR(__xludf.DUMMYFUNCTION("""COMPUTED_VALUE"""),21.75)</f>
        <v>21.75</v>
      </c>
      <c r="E123" s="1">
        <f ca="1">IFERROR(__xludf.DUMMYFUNCTION("""COMPUTED_VALUE"""),21.91)</f>
        <v>21.91</v>
      </c>
      <c r="F123" s="1">
        <f ca="1">IFERROR(__xludf.DUMMYFUNCTION("""COMPUTED_VALUE"""),2624479)</f>
        <v>2624479</v>
      </c>
    </row>
    <row r="124" spans="1:6" x14ac:dyDescent="0.35">
      <c r="A124" s="2">
        <f ca="1">IFERROR(__xludf.DUMMYFUNCTION("""COMPUTED_VALUE"""),42184.6666666666)</f>
        <v>42184.666666666599</v>
      </c>
      <c r="B124" s="1">
        <f ca="1">IFERROR(__xludf.DUMMYFUNCTION("""COMPUTED_VALUE"""),21.74)</f>
        <v>21.74</v>
      </c>
      <c r="C124" s="1">
        <f ca="1">IFERROR(__xludf.DUMMYFUNCTION("""COMPUTED_VALUE"""),21.85)</f>
        <v>21.85</v>
      </c>
      <c r="D124" s="1">
        <f ca="1">IFERROR(__xludf.DUMMYFUNCTION("""COMPUTED_VALUE"""),21.45)</f>
        <v>21.45</v>
      </c>
      <c r="E124" s="1">
        <f ca="1">IFERROR(__xludf.DUMMYFUNCTION("""COMPUTED_VALUE"""),21.49)</f>
        <v>21.49</v>
      </c>
      <c r="F124" s="1">
        <f ca="1">IFERROR(__xludf.DUMMYFUNCTION("""COMPUTED_VALUE"""),2753193)</f>
        <v>2753193</v>
      </c>
    </row>
    <row r="125" spans="1:6" x14ac:dyDescent="0.35">
      <c r="A125" s="2">
        <f ca="1">IFERROR(__xludf.DUMMYFUNCTION("""COMPUTED_VALUE"""),42185.6666666666)</f>
        <v>42185.666666666599</v>
      </c>
      <c r="B125" s="1">
        <f ca="1">IFERROR(__xludf.DUMMYFUNCTION("""COMPUTED_VALUE"""),21.71)</f>
        <v>21.71</v>
      </c>
      <c r="C125" s="1">
        <f ca="1">IFERROR(__xludf.DUMMYFUNCTION("""COMPUTED_VALUE"""),21.78)</f>
        <v>21.78</v>
      </c>
      <c r="D125" s="1">
        <f ca="1">IFERROR(__xludf.DUMMYFUNCTION("""COMPUTED_VALUE"""),21.52)</f>
        <v>21.52</v>
      </c>
      <c r="E125" s="1">
        <f ca="1">IFERROR(__xludf.DUMMYFUNCTION("""COMPUTED_VALUE"""),21.7)</f>
        <v>21.7</v>
      </c>
      <c r="F125" s="1">
        <f ca="1">IFERROR(__xludf.DUMMYFUNCTION("""COMPUTED_VALUE"""),2596873)</f>
        <v>2596873</v>
      </c>
    </row>
    <row r="126" spans="1:6" x14ac:dyDescent="0.35">
      <c r="A126" s="2">
        <f ca="1">IFERROR(__xludf.DUMMYFUNCTION("""COMPUTED_VALUE"""),42186.6666666666)</f>
        <v>42186.666666666599</v>
      </c>
      <c r="B126" s="1">
        <f ca="1">IFERROR(__xludf.DUMMYFUNCTION("""COMPUTED_VALUE"""),21.95)</f>
        <v>21.95</v>
      </c>
      <c r="C126" s="1">
        <f ca="1">IFERROR(__xludf.DUMMYFUNCTION("""COMPUTED_VALUE"""),22)</f>
        <v>22</v>
      </c>
      <c r="D126" s="1">
        <f ca="1">IFERROR(__xludf.DUMMYFUNCTION("""COMPUTED_VALUE"""),21.78)</f>
        <v>21.78</v>
      </c>
      <c r="E126" s="1">
        <f ca="1">IFERROR(__xludf.DUMMYFUNCTION("""COMPUTED_VALUE"""),21.87)</f>
        <v>21.87</v>
      </c>
      <c r="F126" s="1">
        <f ca="1">IFERROR(__xludf.DUMMYFUNCTION("""COMPUTED_VALUE"""),1987076)</f>
        <v>1987076</v>
      </c>
    </row>
    <row r="127" spans="1:6" x14ac:dyDescent="0.35">
      <c r="A127" s="2">
        <f ca="1">IFERROR(__xludf.DUMMYFUNCTION("""COMPUTED_VALUE"""),42187.6666666666)</f>
        <v>42187.666666666599</v>
      </c>
      <c r="B127" s="1">
        <f ca="1">IFERROR(__xludf.DUMMYFUNCTION("""COMPUTED_VALUE"""),21.87)</f>
        <v>21.87</v>
      </c>
      <c r="C127" s="1">
        <f ca="1">IFERROR(__xludf.DUMMYFUNCTION("""COMPUTED_VALUE"""),21.91)</f>
        <v>21.91</v>
      </c>
      <c r="D127" s="1">
        <f ca="1">IFERROR(__xludf.DUMMYFUNCTION("""COMPUTED_VALUE"""),21.67)</f>
        <v>21.67</v>
      </c>
      <c r="E127" s="1">
        <f ca="1">IFERROR(__xludf.DUMMYFUNCTION("""COMPUTED_VALUE"""),21.89)</f>
        <v>21.89</v>
      </c>
      <c r="F127" s="1">
        <f ca="1">IFERROR(__xludf.DUMMYFUNCTION("""COMPUTED_VALUE"""),1343397)</f>
        <v>1343397</v>
      </c>
    </row>
    <row r="128" spans="1:6" x14ac:dyDescent="0.35">
      <c r="A128" s="2">
        <f ca="1">IFERROR(__xludf.DUMMYFUNCTION("""COMPUTED_VALUE"""),42191.6666666666)</f>
        <v>42191.666666666599</v>
      </c>
      <c r="B128" s="1">
        <f ca="1">IFERROR(__xludf.DUMMYFUNCTION("""COMPUTED_VALUE"""),21.76)</f>
        <v>21.76</v>
      </c>
      <c r="C128" s="1">
        <f ca="1">IFERROR(__xludf.DUMMYFUNCTION("""COMPUTED_VALUE"""),21.99)</f>
        <v>21.99</v>
      </c>
      <c r="D128" s="1">
        <f ca="1">IFERROR(__xludf.DUMMYFUNCTION("""COMPUTED_VALUE"""),21.68)</f>
        <v>21.68</v>
      </c>
      <c r="E128" s="1">
        <f ca="1">IFERROR(__xludf.DUMMYFUNCTION("""COMPUTED_VALUE"""),21.8)</f>
        <v>21.8</v>
      </c>
      <c r="F128" s="1">
        <f ca="1">IFERROR(__xludf.DUMMYFUNCTION("""COMPUTED_VALUE"""),1903161)</f>
        <v>1903161</v>
      </c>
    </row>
    <row r="129" spans="1:6" x14ac:dyDescent="0.35">
      <c r="A129" s="2">
        <f ca="1">IFERROR(__xludf.DUMMYFUNCTION("""COMPUTED_VALUE"""),42192.6666666666)</f>
        <v>42192.666666666599</v>
      </c>
      <c r="B129" s="1">
        <f ca="1">IFERROR(__xludf.DUMMYFUNCTION("""COMPUTED_VALUE"""),21.78)</f>
        <v>21.78</v>
      </c>
      <c r="C129" s="1">
        <f ca="1">IFERROR(__xludf.DUMMYFUNCTION("""COMPUTED_VALUE"""),21.89)</f>
        <v>21.89</v>
      </c>
      <c r="D129" s="1">
        <f ca="1">IFERROR(__xludf.DUMMYFUNCTION("""COMPUTED_VALUE"""),21.28)</f>
        <v>21.28</v>
      </c>
      <c r="E129" s="1">
        <f ca="1">IFERROR(__xludf.DUMMYFUNCTION("""COMPUTED_VALUE"""),21.84)</f>
        <v>21.84</v>
      </c>
      <c r="F129" s="1">
        <f ca="1">IFERROR(__xludf.DUMMYFUNCTION("""COMPUTED_VALUE"""),3454248)</f>
        <v>3454248</v>
      </c>
    </row>
    <row r="130" spans="1:6" x14ac:dyDescent="0.35">
      <c r="A130" s="2">
        <f ca="1">IFERROR(__xludf.DUMMYFUNCTION("""COMPUTED_VALUE"""),42193.6666666666)</f>
        <v>42193.666666666599</v>
      </c>
      <c r="B130" s="1">
        <f ca="1">IFERROR(__xludf.DUMMYFUNCTION("""COMPUTED_VALUE"""),21.72)</f>
        <v>21.72</v>
      </c>
      <c r="C130" s="1">
        <f ca="1">IFERROR(__xludf.DUMMYFUNCTION("""COMPUTED_VALUE"""),21.8)</f>
        <v>21.8</v>
      </c>
      <c r="D130" s="1">
        <f ca="1">IFERROR(__xludf.DUMMYFUNCTION("""COMPUTED_VALUE"""),21.44)</f>
        <v>21.44</v>
      </c>
      <c r="E130" s="1">
        <f ca="1">IFERROR(__xludf.DUMMYFUNCTION("""COMPUTED_VALUE"""),21.49)</f>
        <v>21.49</v>
      </c>
      <c r="F130" s="1">
        <f ca="1">IFERROR(__xludf.DUMMYFUNCTION("""COMPUTED_VALUE"""),2383130)</f>
        <v>2383130</v>
      </c>
    </row>
    <row r="131" spans="1:6" x14ac:dyDescent="0.35">
      <c r="A131" s="2">
        <f ca="1">IFERROR(__xludf.DUMMYFUNCTION("""COMPUTED_VALUE"""),42194.6666666666)</f>
        <v>42194.666666666599</v>
      </c>
      <c r="B131" s="1">
        <f ca="1">IFERROR(__xludf.DUMMYFUNCTION("""COMPUTED_VALUE"""),21.75)</f>
        <v>21.75</v>
      </c>
      <c r="C131" s="1">
        <f ca="1">IFERROR(__xludf.DUMMYFUNCTION("""COMPUTED_VALUE"""),21.94)</f>
        <v>21.94</v>
      </c>
      <c r="D131" s="1">
        <f ca="1">IFERROR(__xludf.DUMMYFUNCTION("""COMPUTED_VALUE"""),21.71)</f>
        <v>21.71</v>
      </c>
      <c r="E131" s="1">
        <f ca="1">IFERROR(__xludf.DUMMYFUNCTION("""COMPUTED_VALUE"""),21.72)</f>
        <v>21.72</v>
      </c>
      <c r="F131" s="1">
        <f ca="1">IFERROR(__xludf.DUMMYFUNCTION("""COMPUTED_VALUE"""),2271395)</f>
        <v>2271395</v>
      </c>
    </row>
    <row r="132" spans="1:6" x14ac:dyDescent="0.35">
      <c r="A132" s="2">
        <f ca="1">IFERROR(__xludf.DUMMYFUNCTION("""COMPUTED_VALUE"""),42195.6666666666)</f>
        <v>42195.666666666599</v>
      </c>
      <c r="B132" s="1">
        <f ca="1">IFERROR(__xludf.DUMMYFUNCTION("""COMPUTED_VALUE"""),22.02)</f>
        <v>22.02</v>
      </c>
      <c r="C132" s="1">
        <f ca="1">IFERROR(__xludf.DUMMYFUNCTION("""COMPUTED_VALUE"""),22.24)</f>
        <v>22.24</v>
      </c>
      <c r="D132" s="1">
        <f ca="1">IFERROR(__xludf.DUMMYFUNCTION("""COMPUTED_VALUE"""),21.95)</f>
        <v>21.95</v>
      </c>
      <c r="E132" s="1">
        <f ca="1">IFERROR(__xludf.DUMMYFUNCTION("""COMPUTED_VALUE"""),22.18)</f>
        <v>22.18</v>
      </c>
      <c r="F132" s="1">
        <f ca="1">IFERROR(__xludf.DUMMYFUNCTION("""COMPUTED_VALUE"""),2400981)</f>
        <v>2400981</v>
      </c>
    </row>
    <row r="133" spans="1:6" x14ac:dyDescent="0.35">
      <c r="A133" s="2">
        <f ca="1">IFERROR(__xludf.DUMMYFUNCTION("""COMPUTED_VALUE"""),42198.6666666666)</f>
        <v>42198.666666666599</v>
      </c>
      <c r="B133" s="1">
        <f ca="1">IFERROR(__xludf.DUMMYFUNCTION("""COMPUTED_VALUE"""),22.41)</f>
        <v>22.41</v>
      </c>
      <c r="C133" s="1">
        <f ca="1">IFERROR(__xludf.DUMMYFUNCTION("""COMPUTED_VALUE"""),22.89)</f>
        <v>22.89</v>
      </c>
      <c r="D133" s="1">
        <f ca="1">IFERROR(__xludf.DUMMYFUNCTION("""COMPUTED_VALUE"""),22.38)</f>
        <v>22.38</v>
      </c>
      <c r="E133" s="1">
        <f ca="1">IFERROR(__xludf.DUMMYFUNCTION("""COMPUTED_VALUE"""),22.78)</f>
        <v>22.78</v>
      </c>
      <c r="F133" s="1">
        <f ca="1">IFERROR(__xludf.DUMMYFUNCTION("""COMPUTED_VALUE"""),3956802)</f>
        <v>3956802</v>
      </c>
    </row>
    <row r="134" spans="1:6" x14ac:dyDescent="0.35">
      <c r="A134" s="2">
        <f ca="1">IFERROR(__xludf.DUMMYFUNCTION("""COMPUTED_VALUE"""),42199.6666666666)</f>
        <v>42199.666666666599</v>
      </c>
      <c r="B134" s="1">
        <f ca="1">IFERROR(__xludf.DUMMYFUNCTION("""COMPUTED_VALUE"""),23.12)</f>
        <v>23.12</v>
      </c>
      <c r="C134" s="1">
        <f ca="1">IFERROR(__xludf.DUMMYFUNCTION("""COMPUTED_VALUE"""),23.48)</f>
        <v>23.48</v>
      </c>
      <c r="D134" s="1">
        <f ca="1">IFERROR(__xludf.DUMMYFUNCTION("""COMPUTED_VALUE"""),22.91)</f>
        <v>22.91</v>
      </c>
      <c r="E134" s="1">
        <f ca="1">IFERROR(__xludf.DUMMYFUNCTION("""COMPUTED_VALUE"""),23.28)</f>
        <v>23.28</v>
      </c>
      <c r="F134" s="1">
        <f ca="1">IFERROR(__xludf.DUMMYFUNCTION("""COMPUTED_VALUE"""),4736215)</f>
        <v>4736215</v>
      </c>
    </row>
    <row r="135" spans="1:6" x14ac:dyDescent="0.35">
      <c r="A135" s="2">
        <f ca="1">IFERROR(__xludf.DUMMYFUNCTION("""COMPUTED_VALUE"""),42200.6666666666)</f>
        <v>42200.666666666599</v>
      </c>
      <c r="B135" s="1">
        <f ca="1">IFERROR(__xludf.DUMMYFUNCTION("""COMPUTED_VALUE"""),23.15)</f>
        <v>23.15</v>
      </c>
      <c r="C135" s="1">
        <f ca="1">IFERROR(__xludf.DUMMYFUNCTION("""COMPUTED_VALUE"""),23.24)</f>
        <v>23.24</v>
      </c>
      <c r="D135" s="1">
        <f ca="1">IFERROR(__xludf.DUMMYFUNCTION("""COMPUTED_VALUE"""),23.01)</f>
        <v>23.01</v>
      </c>
      <c r="E135" s="1">
        <f ca="1">IFERROR(__xludf.DUMMYFUNCTION("""COMPUTED_VALUE"""),23.06)</f>
        <v>23.06</v>
      </c>
      <c r="F135" s="1">
        <f ca="1">IFERROR(__xludf.DUMMYFUNCTION("""COMPUTED_VALUE"""),2987399)</f>
        <v>2987399</v>
      </c>
    </row>
    <row r="136" spans="1:6" x14ac:dyDescent="0.35">
      <c r="A136" s="2">
        <f ca="1">IFERROR(__xludf.DUMMYFUNCTION("""COMPUTED_VALUE"""),42201.6666666666)</f>
        <v>42201.666666666599</v>
      </c>
      <c r="B136" s="1">
        <f ca="1">IFERROR(__xludf.DUMMYFUNCTION("""COMPUTED_VALUE"""),23.28)</f>
        <v>23.28</v>
      </c>
      <c r="C136" s="1">
        <f ca="1">IFERROR(__xludf.DUMMYFUNCTION("""COMPUTED_VALUE"""),23.79)</f>
        <v>23.79</v>
      </c>
      <c r="D136" s="1">
        <f ca="1">IFERROR(__xludf.DUMMYFUNCTION("""COMPUTED_VALUE"""),23.24)</f>
        <v>23.24</v>
      </c>
      <c r="E136" s="1">
        <f ca="1">IFERROR(__xludf.DUMMYFUNCTION("""COMPUTED_VALUE"""),23.77)</f>
        <v>23.77</v>
      </c>
      <c r="F136" s="1">
        <f ca="1">IFERROR(__xludf.DUMMYFUNCTION("""COMPUTED_VALUE"""),4095581)</f>
        <v>4095581</v>
      </c>
    </row>
    <row r="137" spans="1:6" x14ac:dyDescent="0.35">
      <c r="A137" s="2">
        <f ca="1">IFERROR(__xludf.DUMMYFUNCTION("""COMPUTED_VALUE"""),42202.6666666666)</f>
        <v>42202.666666666599</v>
      </c>
      <c r="B137" s="1">
        <f ca="1">IFERROR(__xludf.DUMMYFUNCTION("""COMPUTED_VALUE"""),23.89)</f>
        <v>23.89</v>
      </c>
      <c r="C137" s="1">
        <f ca="1">IFERROR(__xludf.DUMMYFUNCTION("""COMPUTED_VALUE"""),24.27)</f>
        <v>24.27</v>
      </c>
      <c r="D137" s="1">
        <f ca="1">IFERROR(__xludf.DUMMYFUNCTION("""COMPUTED_VALUE"""),23.86)</f>
        <v>23.86</v>
      </c>
      <c r="E137" s="1">
        <f ca="1">IFERROR(__xludf.DUMMYFUNCTION("""COMPUTED_VALUE"""),24.15)</f>
        <v>24.15</v>
      </c>
      <c r="F137" s="1">
        <f ca="1">IFERROR(__xludf.DUMMYFUNCTION("""COMPUTED_VALUE"""),4932176)</f>
        <v>4932176</v>
      </c>
    </row>
    <row r="138" spans="1:6" x14ac:dyDescent="0.35">
      <c r="A138" s="2">
        <f ca="1">IFERROR(__xludf.DUMMYFUNCTION("""COMPUTED_VALUE"""),42205.6666666666)</f>
        <v>42205.666666666599</v>
      </c>
      <c r="B138" s="1">
        <f ca="1">IFERROR(__xludf.DUMMYFUNCTION("""COMPUTED_VALUE"""),24.63)</f>
        <v>24.63</v>
      </c>
      <c r="C138" s="1">
        <f ca="1">IFERROR(__xludf.DUMMYFUNCTION("""COMPUTED_VALUE"""),24.66)</f>
        <v>24.66</v>
      </c>
      <c r="D138" s="1">
        <f ca="1">IFERROR(__xludf.DUMMYFUNCTION("""COMPUTED_VALUE"""),24.27)</f>
        <v>24.27</v>
      </c>
      <c r="E138" s="1">
        <f ca="1">IFERROR(__xludf.DUMMYFUNCTION("""COMPUTED_VALUE"""),24.41)</f>
        <v>24.41</v>
      </c>
      <c r="F138" s="1">
        <f ca="1">IFERROR(__xludf.DUMMYFUNCTION("""COMPUTED_VALUE"""),4752491)</f>
        <v>4752491</v>
      </c>
    </row>
    <row r="139" spans="1:6" x14ac:dyDescent="0.35">
      <c r="A139" s="2">
        <f ca="1">IFERROR(__xludf.DUMMYFUNCTION("""COMPUTED_VALUE"""),42206.6666666666)</f>
        <v>42206.666666666599</v>
      </c>
      <c r="B139" s="1">
        <f ca="1">IFERROR(__xludf.DUMMYFUNCTION("""COMPUTED_VALUE"""),24.4)</f>
        <v>24.4</v>
      </c>
      <c r="C139" s="1">
        <f ca="1">IFERROR(__xludf.DUMMYFUNCTION("""COMPUTED_VALUE"""),24.44)</f>
        <v>24.44</v>
      </c>
      <c r="D139" s="1">
        <f ca="1">IFERROR(__xludf.DUMMYFUNCTION("""COMPUTED_VALUE"""),24.13)</f>
        <v>24.13</v>
      </c>
      <c r="E139" s="1">
        <f ca="1">IFERROR(__xludf.DUMMYFUNCTION("""COMPUTED_VALUE"""),24.4)</f>
        <v>24.4</v>
      </c>
      <c r="F139" s="1">
        <f ca="1">IFERROR(__xludf.DUMMYFUNCTION("""COMPUTED_VALUE"""),3181831)</f>
        <v>3181831</v>
      </c>
    </row>
    <row r="140" spans="1:6" x14ac:dyDescent="0.35">
      <c r="A140" s="2">
        <f ca="1">IFERROR(__xludf.DUMMYFUNCTION("""COMPUTED_VALUE"""),42207.6666666666)</f>
        <v>42207.666666666599</v>
      </c>
      <c r="B140" s="1">
        <f ca="1">IFERROR(__xludf.DUMMYFUNCTION("""COMPUTED_VALUE"""),24.3)</f>
        <v>24.3</v>
      </c>
      <c r="C140" s="1">
        <f ca="1">IFERROR(__xludf.DUMMYFUNCTION("""COMPUTED_VALUE"""),24.63)</f>
        <v>24.63</v>
      </c>
      <c r="D140" s="1">
        <f ca="1">IFERROR(__xludf.DUMMYFUNCTION("""COMPUTED_VALUE"""),24.25)</f>
        <v>24.25</v>
      </c>
      <c r="E140" s="1">
        <f ca="1">IFERROR(__xludf.DUMMYFUNCTION("""COMPUTED_VALUE"""),24.41)</f>
        <v>24.41</v>
      </c>
      <c r="F140" s="1">
        <f ca="1">IFERROR(__xludf.DUMMYFUNCTION("""COMPUTED_VALUE"""),3114898)</f>
        <v>3114898</v>
      </c>
    </row>
    <row r="141" spans="1:6" x14ac:dyDescent="0.35">
      <c r="A141" s="2">
        <f ca="1">IFERROR(__xludf.DUMMYFUNCTION("""COMPUTED_VALUE"""),42208.6666666666)</f>
        <v>42208.666666666599</v>
      </c>
      <c r="B141" s="1">
        <f ca="1">IFERROR(__xludf.DUMMYFUNCTION("""COMPUTED_VALUE"""),24.58)</f>
        <v>24.58</v>
      </c>
      <c r="C141" s="1">
        <f ca="1">IFERROR(__xludf.DUMMYFUNCTION("""COMPUTED_VALUE"""),24.58)</f>
        <v>24.58</v>
      </c>
      <c r="D141" s="1">
        <f ca="1">IFERROR(__xludf.DUMMYFUNCTION("""COMPUTED_VALUE"""),23.79)</f>
        <v>23.79</v>
      </c>
      <c r="E141" s="1">
        <f ca="1">IFERROR(__xludf.DUMMYFUNCTION("""COMPUTED_VALUE"""),24.11)</f>
        <v>24.11</v>
      </c>
      <c r="F141" s="1">
        <f ca="1">IFERROR(__xludf.DUMMYFUNCTION("""COMPUTED_VALUE"""),9374431)</f>
        <v>9374431</v>
      </c>
    </row>
    <row r="142" spans="1:6" x14ac:dyDescent="0.35">
      <c r="A142" s="2">
        <f ca="1">IFERROR(__xludf.DUMMYFUNCTION("""COMPUTED_VALUE"""),42209.6666666666)</f>
        <v>42209.666666666599</v>
      </c>
      <c r="B142" s="1">
        <f ca="1">IFERROR(__xludf.DUMMYFUNCTION("""COMPUTED_VALUE"""),28.95)</f>
        <v>28.95</v>
      </c>
      <c r="C142" s="1">
        <f ca="1">IFERROR(__xludf.DUMMYFUNCTION("""COMPUTED_VALUE"""),29.03)</f>
        <v>29.03</v>
      </c>
      <c r="D142" s="1">
        <f ca="1">IFERROR(__xludf.DUMMYFUNCTION("""COMPUTED_VALUE"""),26.47)</f>
        <v>26.47</v>
      </c>
      <c r="E142" s="1">
        <f ca="1">IFERROR(__xludf.DUMMYFUNCTION("""COMPUTED_VALUE"""),26.47)</f>
        <v>26.47</v>
      </c>
      <c r="F142" s="1">
        <f ca="1">IFERROR(__xludf.DUMMYFUNCTION("""COMPUTED_VALUE"""),21909381)</f>
        <v>21909381</v>
      </c>
    </row>
    <row r="143" spans="1:6" x14ac:dyDescent="0.35">
      <c r="A143" s="2">
        <f ca="1">IFERROR(__xludf.DUMMYFUNCTION("""COMPUTED_VALUE"""),42212.6666666666)</f>
        <v>42212.666666666599</v>
      </c>
      <c r="B143" s="1">
        <f ca="1">IFERROR(__xludf.DUMMYFUNCTION("""COMPUTED_VALUE"""),26.39)</f>
        <v>26.39</v>
      </c>
      <c r="C143" s="1">
        <f ca="1">IFERROR(__xludf.DUMMYFUNCTION("""COMPUTED_VALUE"""),27.25)</f>
        <v>27.25</v>
      </c>
      <c r="D143" s="1">
        <f ca="1">IFERROR(__xludf.DUMMYFUNCTION("""COMPUTED_VALUE"""),26.33)</f>
        <v>26.33</v>
      </c>
      <c r="E143" s="1">
        <f ca="1">IFERROR(__xludf.DUMMYFUNCTION("""COMPUTED_VALUE"""),26.57)</f>
        <v>26.57</v>
      </c>
      <c r="F143" s="1">
        <f ca="1">IFERROR(__xludf.DUMMYFUNCTION("""COMPUTED_VALUE"""),7490960)</f>
        <v>7490960</v>
      </c>
    </row>
    <row r="144" spans="1:6" x14ac:dyDescent="0.35">
      <c r="A144" s="2">
        <f ca="1">IFERROR(__xludf.DUMMYFUNCTION("""COMPUTED_VALUE"""),42213.6666666666)</f>
        <v>42213.666666666599</v>
      </c>
      <c r="B144" s="1">
        <f ca="1">IFERROR(__xludf.DUMMYFUNCTION("""COMPUTED_VALUE"""),26.8)</f>
        <v>26.8</v>
      </c>
      <c r="C144" s="1">
        <f ca="1">IFERROR(__xludf.DUMMYFUNCTION("""COMPUTED_VALUE"""),26.82)</f>
        <v>26.82</v>
      </c>
      <c r="D144" s="1">
        <f ca="1">IFERROR(__xludf.DUMMYFUNCTION("""COMPUTED_VALUE"""),26.16)</f>
        <v>26.16</v>
      </c>
      <c r="E144" s="1">
        <f ca="1">IFERROR(__xludf.DUMMYFUNCTION("""COMPUTED_VALUE"""),26.3)</f>
        <v>26.3</v>
      </c>
      <c r="F144" s="1">
        <f ca="1">IFERROR(__xludf.DUMMYFUNCTION("""COMPUTED_VALUE"""),5273092)</f>
        <v>5273092</v>
      </c>
    </row>
    <row r="145" spans="1:6" x14ac:dyDescent="0.35">
      <c r="A145" s="2">
        <f ca="1">IFERROR(__xludf.DUMMYFUNCTION("""COMPUTED_VALUE"""),42214.6666666666)</f>
        <v>42214.666666666599</v>
      </c>
      <c r="B145" s="1">
        <f ca="1">IFERROR(__xludf.DUMMYFUNCTION("""COMPUTED_VALUE"""),26.55)</f>
        <v>26.55</v>
      </c>
      <c r="C145" s="1">
        <f ca="1">IFERROR(__xludf.DUMMYFUNCTION("""COMPUTED_VALUE"""),26.65)</f>
        <v>26.65</v>
      </c>
      <c r="D145" s="1">
        <f ca="1">IFERROR(__xludf.DUMMYFUNCTION("""COMPUTED_VALUE"""),26.25)</f>
        <v>26.25</v>
      </c>
      <c r="E145" s="1">
        <f ca="1">IFERROR(__xludf.DUMMYFUNCTION("""COMPUTED_VALUE"""),26.45)</f>
        <v>26.45</v>
      </c>
      <c r="F145" s="1">
        <f ca="1">IFERROR(__xludf.DUMMYFUNCTION("""COMPUTED_VALUE"""),3752634)</f>
        <v>3752634</v>
      </c>
    </row>
    <row r="146" spans="1:6" x14ac:dyDescent="0.35">
      <c r="A146" s="2">
        <f ca="1">IFERROR(__xludf.DUMMYFUNCTION("""COMPUTED_VALUE"""),42215.6666666666)</f>
        <v>42215.666666666599</v>
      </c>
      <c r="B146" s="1">
        <f ca="1">IFERROR(__xludf.DUMMYFUNCTION("""COMPUTED_VALUE"""),26.38)</f>
        <v>26.38</v>
      </c>
      <c r="C146" s="1">
        <f ca="1">IFERROR(__xludf.DUMMYFUNCTION("""COMPUTED_VALUE"""),26.96)</f>
        <v>26.96</v>
      </c>
      <c r="D146" s="1">
        <f ca="1">IFERROR(__xludf.DUMMYFUNCTION("""COMPUTED_VALUE"""),26.21)</f>
        <v>26.21</v>
      </c>
      <c r="E146" s="1">
        <f ca="1">IFERROR(__xludf.DUMMYFUNCTION("""COMPUTED_VALUE"""),26.84)</f>
        <v>26.84</v>
      </c>
      <c r="F146" s="1">
        <f ca="1">IFERROR(__xludf.DUMMYFUNCTION("""COMPUTED_VALUE"""),3743065)</f>
        <v>3743065</v>
      </c>
    </row>
    <row r="147" spans="1:6" x14ac:dyDescent="0.35">
      <c r="A147" s="2">
        <f ca="1">IFERROR(__xludf.DUMMYFUNCTION("""COMPUTED_VALUE"""),42216.6666666666)</f>
        <v>42216.666666666599</v>
      </c>
      <c r="B147" s="1">
        <f ca="1">IFERROR(__xludf.DUMMYFUNCTION("""COMPUTED_VALUE"""),26.95)</f>
        <v>26.95</v>
      </c>
      <c r="C147" s="1">
        <f ca="1">IFERROR(__xludf.DUMMYFUNCTION("""COMPUTED_VALUE"""),27.14)</f>
        <v>27.14</v>
      </c>
      <c r="D147" s="1">
        <f ca="1">IFERROR(__xludf.DUMMYFUNCTION("""COMPUTED_VALUE"""),26.73)</f>
        <v>26.73</v>
      </c>
      <c r="E147" s="1">
        <f ca="1">IFERROR(__xludf.DUMMYFUNCTION("""COMPUTED_VALUE"""),26.81)</f>
        <v>26.81</v>
      </c>
      <c r="F147" s="1">
        <f ca="1">IFERROR(__xludf.DUMMYFUNCTION("""COMPUTED_VALUE"""),3025598)</f>
        <v>3025598</v>
      </c>
    </row>
    <row r="148" spans="1:6" x14ac:dyDescent="0.35">
      <c r="A148" s="2">
        <f ca="1">IFERROR(__xludf.DUMMYFUNCTION("""COMPUTED_VALUE"""),42219.6666666666)</f>
        <v>42219.666666666599</v>
      </c>
      <c r="B148" s="1">
        <f ca="1">IFERROR(__xludf.DUMMYFUNCTION("""COMPUTED_VALUE"""),26.87)</f>
        <v>26.87</v>
      </c>
      <c r="C148" s="1">
        <f ca="1">IFERROR(__xludf.DUMMYFUNCTION("""COMPUTED_VALUE"""),27.02)</f>
        <v>27.02</v>
      </c>
      <c r="D148" s="1">
        <f ca="1">IFERROR(__xludf.DUMMYFUNCTION("""COMPUTED_VALUE"""),26.47)</f>
        <v>26.47</v>
      </c>
      <c r="E148" s="1">
        <f ca="1">IFERROR(__xludf.DUMMYFUNCTION("""COMPUTED_VALUE"""),26.75)</f>
        <v>26.75</v>
      </c>
      <c r="F148" s="1">
        <f ca="1">IFERROR(__xludf.DUMMYFUNCTION("""COMPUTED_VALUE"""),3014236)</f>
        <v>3014236</v>
      </c>
    </row>
    <row r="149" spans="1:6" x14ac:dyDescent="0.35">
      <c r="A149" s="2">
        <f ca="1">IFERROR(__xludf.DUMMYFUNCTION("""COMPUTED_VALUE"""),42220.6666666666)</f>
        <v>42220.666666666599</v>
      </c>
      <c r="B149" s="1">
        <f ca="1">IFERROR(__xludf.DUMMYFUNCTION("""COMPUTED_VALUE"""),26.48)</f>
        <v>26.48</v>
      </c>
      <c r="C149" s="1">
        <f ca="1">IFERROR(__xludf.DUMMYFUNCTION("""COMPUTED_VALUE"""),26.85)</f>
        <v>26.85</v>
      </c>
      <c r="D149" s="1">
        <f ca="1">IFERROR(__xludf.DUMMYFUNCTION("""COMPUTED_VALUE"""),26.46)</f>
        <v>26.46</v>
      </c>
      <c r="E149" s="1">
        <f ca="1">IFERROR(__xludf.DUMMYFUNCTION("""COMPUTED_VALUE"""),26.6)</f>
        <v>26.6</v>
      </c>
      <c r="F149" s="1">
        <f ca="1">IFERROR(__xludf.DUMMYFUNCTION("""COMPUTED_VALUE"""),2934590)</f>
        <v>2934590</v>
      </c>
    </row>
    <row r="150" spans="1:6" x14ac:dyDescent="0.35">
      <c r="A150" s="2">
        <f ca="1">IFERROR(__xludf.DUMMYFUNCTION("""COMPUTED_VALUE"""),42221.6666666666)</f>
        <v>42221.666666666599</v>
      </c>
      <c r="B150" s="1">
        <f ca="1">IFERROR(__xludf.DUMMYFUNCTION("""COMPUTED_VALUE"""),26.94)</f>
        <v>26.94</v>
      </c>
      <c r="C150" s="1">
        <f ca="1">IFERROR(__xludf.DUMMYFUNCTION("""COMPUTED_VALUE"""),26.96)</f>
        <v>26.96</v>
      </c>
      <c r="D150" s="1">
        <f ca="1">IFERROR(__xludf.DUMMYFUNCTION("""COMPUTED_VALUE"""),26.71)</f>
        <v>26.71</v>
      </c>
      <c r="E150" s="1">
        <f ca="1">IFERROR(__xludf.DUMMYFUNCTION("""COMPUTED_VALUE"""),26.85)</f>
        <v>26.85</v>
      </c>
      <c r="F150" s="1">
        <f ca="1">IFERROR(__xludf.DUMMYFUNCTION("""COMPUTED_VALUE"""),2889350)</f>
        <v>2889350</v>
      </c>
    </row>
    <row r="151" spans="1:6" x14ac:dyDescent="0.35">
      <c r="A151" s="2">
        <f ca="1">IFERROR(__xludf.DUMMYFUNCTION("""COMPUTED_VALUE"""),42222.6666666666)</f>
        <v>42222.666666666599</v>
      </c>
      <c r="B151" s="1">
        <f ca="1">IFERROR(__xludf.DUMMYFUNCTION("""COMPUTED_VALUE"""),26.97)</f>
        <v>26.97</v>
      </c>
      <c r="C151" s="1">
        <f ca="1">IFERROR(__xludf.DUMMYFUNCTION("""COMPUTED_VALUE"""),27.14)</f>
        <v>27.14</v>
      </c>
      <c r="D151" s="1">
        <f ca="1">IFERROR(__xludf.DUMMYFUNCTION("""COMPUTED_VALUE"""),26.38)</f>
        <v>26.38</v>
      </c>
      <c r="E151" s="1">
        <f ca="1">IFERROR(__xludf.DUMMYFUNCTION("""COMPUTED_VALUE"""),26.47)</f>
        <v>26.47</v>
      </c>
      <c r="F151" s="1">
        <f ca="1">IFERROR(__xludf.DUMMYFUNCTION("""COMPUTED_VALUE"""),3820453)</f>
        <v>3820453</v>
      </c>
    </row>
    <row r="152" spans="1:6" x14ac:dyDescent="0.35">
      <c r="A152" s="2">
        <f ca="1">IFERROR(__xludf.DUMMYFUNCTION("""COMPUTED_VALUE"""),42223.6666666666)</f>
        <v>42223.666666666599</v>
      </c>
      <c r="B152" s="1">
        <f ca="1">IFERROR(__xludf.DUMMYFUNCTION("""COMPUTED_VALUE"""),26.46)</f>
        <v>26.46</v>
      </c>
      <c r="C152" s="1">
        <f ca="1">IFERROR(__xludf.DUMMYFUNCTION("""COMPUTED_VALUE"""),26.47)</f>
        <v>26.47</v>
      </c>
      <c r="D152" s="1">
        <f ca="1">IFERROR(__xludf.DUMMYFUNCTION("""COMPUTED_VALUE"""),25.91)</f>
        <v>25.91</v>
      </c>
      <c r="E152" s="1">
        <f ca="1">IFERROR(__xludf.DUMMYFUNCTION("""COMPUTED_VALUE"""),26.13)</f>
        <v>26.13</v>
      </c>
      <c r="F152" s="1">
        <f ca="1">IFERROR(__xludf.DUMMYFUNCTION("""COMPUTED_VALUE"""),3969215)</f>
        <v>3969215</v>
      </c>
    </row>
    <row r="153" spans="1:6" x14ac:dyDescent="0.35">
      <c r="A153" s="2">
        <f ca="1">IFERROR(__xludf.DUMMYFUNCTION("""COMPUTED_VALUE"""),42226.6666666666)</f>
        <v>42226.666666666599</v>
      </c>
      <c r="B153" s="1">
        <f ca="1">IFERROR(__xludf.DUMMYFUNCTION("""COMPUTED_VALUE"""),26.43)</f>
        <v>26.43</v>
      </c>
      <c r="C153" s="1">
        <f ca="1">IFERROR(__xludf.DUMMYFUNCTION("""COMPUTED_VALUE"""),26.61)</f>
        <v>26.61</v>
      </c>
      <c r="D153" s="1">
        <f ca="1">IFERROR(__xludf.DUMMYFUNCTION("""COMPUTED_VALUE"""),26.15)</f>
        <v>26.15</v>
      </c>
      <c r="E153" s="1">
        <f ca="1">IFERROR(__xludf.DUMMYFUNCTION("""COMPUTED_VALUE"""),26.2)</f>
        <v>26.2</v>
      </c>
      <c r="F153" s="1">
        <f ca="1">IFERROR(__xludf.DUMMYFUNCTION("""COMPUTED_VALUE"""),2615926)</f>
        <v>2615926</v>
      </c>
    </row>
    <row r="154" spans="1:6" x14ac:dyDescent="0.35">
      <c r="A154" s="2">
        <f ca="1">IFERROR(__xludf.DUMMYFUNCTION("""COMPUTED_VALUE"""),42227.6666666666)</f>
        <v>42227.666666666599</v>
      </c>
      <c r="B154" s="1">
        <f ca="1">IFERROR(__xludf.DUMMYFUNCTION("""COMPUTED_VALUE"""),26.18)</f>
        <v>26.18</v>
      </c>
      <c r="C154" s="1">
        <f ca="1">IFERROR(__xludf.DUMMYFUNCTION("""COMPUTED_VALUE"""),26.45)</f>
        <v>26.45</v>
      </c>
      <c r="D154" s="1">
        <f ca="1">IFERROR(__xludf.DUMMYFUNCTION("""COMPUTED_VALUE"""),26.1)</f>
        <v>26.1</v>
      </c>
      <c r="E154" s="1">
        <f ca="1">IFERROR(__xludf.DUMMYFUNCTION("""COMPUTED_VALUE"""),26.37)</f>
        <v>26.37</v>
      </c>
      <c r="F154" s="1">
        <f ca="1">IFERROR(__xludf.DUMMYFUNCTION("""COMPUTED_VALUE"""),2676600)</f>
        <v>2676600</v>
      </c>
    </row>
    <row r="155" spans="1:6" x14ac:dyDescent="0.35">
      <c r="A155" s="2">
        <f ca="1">IFERROR(__xludf.DUMMYFUNCTION("""COMPUTED_VALUE"""),42228.6666666666)</f>
        <v>42228.666666666599</v>
      </c>
      <c r="B155" s="1">
        <f ca="1">IFERROR(__xludf.DUMMYFUNCTION("""COMPUTED_VALUE"""),26.19)</f>
        <v>26.19</v>
      </c>
      <c r="C155" s="1">
        <f ca="1">IFERROR(__xludf.DUMMYFUNCTION("""COMPUTED_VALUE"""),26.38)</f>
        <v>26.38</v>
      </c>
      <c r="D155" s="1">
        <f ca="1">IFERROR(__xludf.DUMMYFUNCTION("""COMPUTED_VALUE"""),25.65)</f>
        <v>25.65</v>
      </c>
      <c r="E155" s="1">
        <f ca="1">IFERROR(__xludf.DUMMYFUNCTION("""COMPUTED_VALUE"""),26.3)</f>
        <v>26.3</v>
      </c>
      <c r="F155" s="1">
        <f ca="1">IFERROR(__xludf.DUMMYFUNCTION("""COMPUTED_VALUE"""),4014684)</f>
        <v>4014684</v>
      </c>
    </row>
    <row r="156" spans="1:6" x14ac:dyDescent="0.35">
      <c r="A156" s="2">
        <f ca="1">IFERROR(__xludf.DUMMYFUNCTION("""COMPUTED_VALUE"""),42229.6666666666)</f>
        <v>42229.666666666599</v>
      </c>
      <c r="B156" s="1">
        <f ca="1">IFERROR(__xludf.DUMMYFUNCTION("""COMPUTED_VALUE"""),26.37)</f>
        <v>26.37</v>
      </c>
      <c r="C156" s="1">
        <f ca="1">IFERROR(__xludf.DUMMYFUNCTION("""COMPUTED_VALUE"""),26.73)</f>
        <v>26.73</v>
      </c>
      <c r="D156" s="1">
        <f ca="1">IFERROR(__xludf.DUMMYFUNCTION("""COMPUTED_VALUE"""),26.27)</f>
        <v>26.27</v>
      </c>
      <c r="E156" s="1">
        <f ca="1">IFERROR(__xludf.DUMMYFUNCTION("""COMPUTED_VALUE"""),26.48)</f>
        <v>26.48</v>
      </c>
      <c r="F156" s="1">
        <f ca="1">IFERROR(__xludf.DUMMYFUNCTION("""COMPUTED_VALUE"""),2895238)</f>
        <v>2895238</v>
      </c>
    </row>
    <row r="157" spans="1:6" x14ac:dyDescent="0.35">
      <c r="A157" s="2">
        <f ca="1">IFERROR(__xludf.DUMMYFUNCTION("""COMPUTED_VALUE"""),42230.6666666666)</f>
        <v>42230.666666666599</v>
      </c>
      <c r="B157" s="1">
        <f ca="1">IFERROR(__xludf.DUMMYFUNCTION("""COMPUTED_VALUE"""),26.41)</f>
        <v>26.41</v>
      </c>
      <c r="C157" s="1">
        <f ca="1">IFERROR(__xludf.DUMMYFUNCTION("""COMPUTED_VALUE"""),26.71)</f>
        <v>26.71</v>
      </c>
      <c r="D157" s="1">
        <f ca="1">IFERROR(__xludf.DUMMYFUNCTION("""COMPUTED_VALUE"""),26.41)</f>
        <v>26.41</v>
      </c>
      <c r="E157" s="1">
        <f ca="1">IFERROR(__xludf.DUMMYFUNCTION("""COMPUTED_VALUE"""),26.58)</f>
        <v>26.58</v>
      </c>
      <c r="F157" s="1">
        <f ca="1">IFERROR(__xludf.DUMMYFUNCTION("""COMPUTED_VALUE"""),1994799)</f>
        <v>1994799</v>
      </c>
    </row>
    <row r="158" spans="1:6" x14ac:dyDescent="0.35">
      <c r="A158" s="2">
        <f ca="1">IFERROR(__xludf.DUMMYFUNCTION("""COMPUTED_VALUE"""),42233.6666666666)</f>
        <v>42233.666666666599</v>
      </c>
      <c r="B158" s="1">
        <f ca="1">IFERROR(__xludf.DUMMYFUNCTION("""COMPUTED_VALUE"""),26.56)</f>
        <v>26.56</v>
      </c>
      <c r="C158" s="1">
        <f ca="1">IFERROR(__xludf.DUMMYFUNCTION("""COMPUTED_VALUE"""),26.94)</f>
        <v>26.94</v>
      </c>
      <c r="D158" s="1">
        <f ca="1">IFERROR(__xludf.DUMMYFUNCTION("""COMPUTED_VALUE"""),26.36)</f>
        <v>26.36</v>
      </c>
      <c r="E158" s="1">
        <f ca="1">IFERROR(__xludf.DUMMYFUNCTION("""COMPUTED_VALUE"""),26.76)</f>
        <v>26.76</v>
      </c>
      <c r="F158" s="1">
        <f ca="1">IFERROR(__xludf.DUMMYFUNCTION("""COMPUTED_VALUE"""),2581680)</f>
        <v>2581680</v>
      </c>
    </row>
    <row r="159" spans="1:6" x14ac:dyDescent="0.35">
      <c r="A159" s="2">
        <f ca="1">IFERROR(__xludf.DUMMYFUNCTION("""COMPUTED_VALUE"""),42234.6666666666)</f>
        <v>42234.666666666599</v>
      </c>
      <c r="B159" s="1">
        <f ca="1">IFERROR(__xludf.DUMMYFUNCTION("""COMPUTED_VALUE"""),26.75)</f>
        <v>26.75</v>
      </c>
      <c r="C159" s="1">
        <f ca="1">IFERROR(__xludf.DUMMYFUNCTION("""COMPUTED_VALUE"""),26.97)</f>
        <v>26.97</v>
      </c>
      <c r="D159" s="1">
        <f ca="1">IFERROR(__xludf.DUMMYFUNCTION("""COMPUTED_VALUE"""),26.65)</f>
        <v>26.65</v>
      </c>
      <c r="E159" s="1">
        <f ca="1">IFERROR(__xludf.DUMMYFUNCTION("""COMPUTED_VALUE"""),26.75)</f>
        <v>26.75</v>
      </c>
      <c r="F159" s="1">
        <f ca="1">IFERROR(__xludf.DUMMYFUNCTION("""COMPUTED_VALUE"""),2071342)</f>
        <v>2071342</v>
      </c>
    </row>
    <row r="160" spans="1:6" x14ac:dyDescent="0.35">
      <c r="A160" s="2">
        <f ca="1">IFERROR(__xludf.DUMMYFUNCTION("""COMPUTED_VALUE"""),42235.6666666666)</f>
        <v>42235.666666666599</v>
      </c>
      <c r="B160" s="1">
        <f ca="1">IFERROR(__xludf.DUMMYFUNCTION("""COMPUTED_VALUE"""),26.69)</f>
        <v>26.69</v>
      </c>
      <c r="C160" s="1">
        <f ca="1">IFERROR(__xludf.DUMMYFUNCTION("""COMPUTED_VALUE"""),26.86)</f>
        <v>26.86</v>
      </c>
      <c r="D160" s="1">
        <f ca="1">IFERROR(__xludf.DUMMYFUNCTION("""COMPUTED_VALUE"""),26.45)</f>
        <v>26.45</v>
      </c>
      <c r="E160" s="1">
        <f ca="1">IFERROR(__xludf.DUMMYFUNCTION("""COMPUTED_VALUE"""),26.65)</f>
        <v>26.65</v>
      </c>
      <c r="F160" s="1">
        <f ca="1">IFERROR(__xludf.DUMMYFUNCTION("""COMPUTED_VALUE"""),2324040)</f>
        <v>2324040</v>
      </c>
    </row>
    <row r="161" spans="1:6" x14ac:dyDescent="0.35">
      <c r="A161" s="2">
        <f ca="1">IFERROR(__xludf.DUMMYFUNCTION("""COMPUTED_VALUE"""),42236.6666666666)</f>
        <v>42236.666666666599</v>
      </c>
      <c r="B161" s="1">
        <f ca="1">IFERROR(__xludf.DUMMYFUNCTION("""COMPUTED_VALUE"""),26.52)</f>
        <v>26.52</v>
      </c>
      <c r="C161" s="1">
        <f ca="1">IFERROR(__xludf.DUMMYFUNCTION("""COMPUTED_VALUE"""),26.66)</f>
        <v>26.66</v>
      </c>
      <c r="D161" s="1">
        <f ca="1">IFERROR(__xludf.DUMMYFUNCTION("""COMPUTED_VALUE"""),25.79)</f>
        <v>25.79</v>
      </c>
      <c r="E161" s="1">
        <f ca="1">IFERROR(__xludf.DUMMYFUNCTION("""COMPUTED_VALUE"""),25.79)</f>
        <v>25.79</v>
      </c>
      <c r="F161" s="1">
        <f ca="1">IFERROR(__xludf.DUMMYFUNCTION("""COMPUTED_VALUE"""),4407990)</f>
        <v>4407990</v>
      </c>
    </row>
    <row r="162" spans="1:6" x14ac:dyDescent="0.35">
      <c r="A162" s="2">
        <f ca="1">IFERROR(__xludf.DUMMYFUNCTION("""COMPUTED_VALUE"""),42237.6666666666)</f>
        <v>42237.666666666599</v>
      </c>
      <c r="B162" s="1">
        <f ca="1">IFERROR(__xludf.DUMMYFUNCTION("""COMPUTED_VALUE"""),25.37)</f>
        <v>25.37</v>
      </c>
      <c r="C162" s="1">
        <f ca="1">IFERROR(__xludf.DUMMYFUNCTION("""COMPUTED_VALUE"""),25.62)</f>
        <v>25.62</v>
      </c>
      <c r="D162" s="1">
        <f ca="1">IFERROR(__xludf.DUMMYFUNCTION("""COMPUTED_VALUE"""),24.72)</f>
        <v>24.72</v>
      </c>
      <c r="E162" s="1">
        <f ca="1">IFERROR(__xludf.DUMMYFUNCTION("""COMPUTED_VALUE"""),24.72)</f>
        <v>24.72</v>
      </c>
      <c r="F162" s="1">
        <f ca="1">IFERROR(__xludf.DUMMYFUNCTION("""COMPUTED_VALUE"""),6706466)</f>
        <v>6706466</v>
      </c>
    </row>
    <row r="163" spans="1:6" x14ac:dyDescent="0.35">
      <c r="A163" s="2">
        <f ca="1">IFERROR(__xludf.DUMMYFUNCTION("""COMPUTED_VALUE"""),42240.6666666666)</f>
        <v>42240.666666666599</v>
      </c>
      <c r="B163" s="1">
        <f ca="1">IFERROR(__xludf.DUMMYFUNCTION("""COMPUTED_VALUE"""),23.18)</f>
        <v>23.18</v>
      </c>
      <c r="C163" s="1">
        <f ca="1">IFERROR(__xludf.DUMMYFUNCTION("""COMPUTED_VALUE"""),24.49)</f>
        <v>24.49</v>
      </c>
      <c r="D163" s="1">
        <f ca="1">IFERROR(__xludf.DUMMYFUNCTION("""COMPUTED_VALUE"""),22.55)</f>
        <v>22.55</v>
      </c>
      <c r="E163" s="1">
        <f ca="1">IFERROR(__xludf.DUMMYFUNCTION("""COMPUTED_VALUE"""),23.17)</f>
        <v>23.17</v>
      </c>
      <c r="F163" s="1">
        <f ca="1">IFERROR(__xludf.DUMMYFUNCTION("""COMPUTED_VALUE"""),10097601)</f>
        <v>10097601</v>
      </c>
    </row>
    <row r="164" spans="1:6" x14ac:dyDescent="0.35">
      <c r="A164" s="2">
        <f ca="1">IFERROR(__xludf.DUMMYFUNCTION("""COMPUTED_VALUE"""),42241.6666666666)</f>
        <v>42241.666666666599</v>
      </c>
      <c r="B164" s="1">
        <f ca="1">IFERROR(__xludf.DUMMYFUNCTION("""COMPUTED_VALUE"""),24.37)</f>
        <v>24.37</v>
      </c>
      <c r="C164" s="1">
        <f ca="1">IFERROR(__xludf.DUMMYFUNCTION("""COMPUTED_VALUE"""),24.47)</f>
        <v>24.47</v>
      </c>
      <c r="D164" s="1">
        <f ca="1">IFERROR(__xludf.DUMMYFUNCTION("""COMPUTED_VALUE"""),23.31)</f>
        <v>23.31</v>
      </c>
      <c r="E164" s="1">
        <f ca="1">IFERROR(__xludf.DUMMYFUNCTION("""COMPUTED_VALUE"""),23.32)</f>
        <v>23.32</v>
      </c>
      <c r="F164" s="1">
        <f ca="1">IFERROR(__xludf.DUMMYFUNCTION("""COMPUTED_VALUE"""),5679329)</f>
        <v>5679329</v>
      </c>
    </row>
    <row r="165" spans="1:6" x14ac:dyDescent="0.35">
      <c r="A165" s="2">
        <f ca="1">IFERROR(__xludf.DUMMYFUNCTION("""COMPUTED_VALUE"""),42242.6666666666)</f>
        <v>42242.666666666599</v>
      </c>
      <c r="B165" s="1">
        <f ca="1">IFERROR(__xludf.DUMMYFUNCTION("""COMPUTED_VALUE"""),24.2)</f>
        <v>24.2</v>
      </c>
      <c r="C165" s="1">
        <f ca="1">IFERROR(__xludf.DUMMYFUNCTION("""COMPUTED_VALUE"""),25.19)</f>
        <v>25.19</v>
      </c>
      <c r="D165" s="1">
        <f ca="1">IFERROR(__xludf.DUMMYFUNCTION("""COMPUTED_VALUE"""),23.94)</f>
        <v>23.94</v>
      </c>
      <c r="E165" s="1">
        <f ca="1">IFERROR(__xludf.DUMMYFUNCTION("""COMPUTED_VALUE"""),25.04)</f>
        <v>25.04</v>
      </c>
      <c r="F165" s="1">
        <f ca="1">IFERROR(__xludf.DUMMYFUNCTION("""COMPUTED_VALUE"""),6358639)</f>
        <v>6358639</v>
      </c>
    </row>
    <row r="166" spans="1:6" x14ac:dyDescent="0.35">
      <c r="A166" s="2">
        <f ca="1">IFERROR(__xludf.DUMMYFUNCTION("""COMPUTED_VALUE"""),42243.6666666666)</f>
        <v>42243.666666666599</v>
      </c>
      <c r="B166" s="1">
        <f ca="1">IFERROR(__xludf.DUMMYFUNCTION("""COMPUTED_VALUE"""),25.69)</f>
        <v>25.69</v>
      </c>
      <c r="C166" s="1">
        <f ca="1">IFERROR(__xludf.DUMMYFUNCTION("""COMPUTED_VALUE"""),26.13)</f>
        <v>26.13</v>
      </c>
      <c r="D166" s="1">
        <f ca="1">IFERROR(__xludf.DUMMYFUNCTION("""COMPUTED_VALUE"""),25.36)</f>
        <v>25.36</v>
      </c>
      <c r="E166" s="1">
        <f ca="1">IFERROR(__xludf.DUMMYFUNCTION("""COMPUTED_VALUE"""),25.92)</f>
        <v>25.92</v>
      </c>
      <c r="F166" s="1">
        <f ca="1">IFERROR(__xludf.DUMMYFUNCTION("""COMPUTED_VALUE"""),6114506)</f>
        <v>6114506</v>
      </c>
    </row>
    <row r="167" spans="1:6" x14ac:dyDescent="0.35">
      <c r="A167" s="2">
        <f ca="1">IFERROR(__xludf.DUMMYFUNCTION("""COMPUTED_VALUE"""),42244.6666666666)</f>
        <v>42244.666666666599</v>
      </c>
      <c r="B167" s="1">
        <f ca="1">IFERROR(__xludf.DUMMYFUNCTION("""COMPUTED_VALUE"""),25.88)</f>
        <v>25.88</v>
      </c>
      <c r="C167" s="1">
        <f ca="1">IFERROR(__xludf.DUMMYFUNCTION("""COMPUTED_VALUE"""),26.08)</f>
        <v>26.08</v>
      </c>
      <c r="D167" s="1">
        <f ca="1">IFERROR(__xludf.DUMMYFUNCTION("""COMPUTED_VALUE"""),25.65)</f>
        <v>25.65</v>
      </c>
      <c r="E167" s="1">
        <f ca="1">IFERROR(__xludf.DUMMYFUNCTION("""COMPUTED_VALUE"""),25.9)</f>
        <v>25.9</v>
      </c>
      <c r="F167" s="1">
        <f ca="1">IFERROR(__xludf.DUMMYFUNCTION("""COMPUTED_VALUE"""),2746708)</f>
        <v>2746708</v>
      </c>
    </row>
    <row r="168" spans="1:6" x14ac:dyDescent="0.35">
      <c r="A168" s="2">
        <f ca="1">IFERROR(__xludf.DUMMYFUNCTION("""COMPUTED_VALUE"""),42247.6666666666)</f>
        <v>42247.666666666599</v>
      </c>
      <c r="B168" s="1">
        <f ca="1">IFERROR(__xludf.DUMMYFUNCTION("""COMPUTED_VALUE"""),25.82)</f>
        <v>25.82</v>
      </c>
      <c r="C168" s="1">
        <f ca="1">IFERROR(__xludf.DUMMYFUNCTION("""COMPUTED_VALUE"""),25.97)</f>
        <v>25.97</v>
      </c>
      <c r="D168" s="1">
        <f ca="1">IFERROR(__xludf.DUMMYFUNCTION("""COMPUTED_VALUE"""),25.45)</f>
        <v>25.45</v>
      </c>
      <c r="E168" s="1">
        <f ca="1">IFERROR(__xludf.DUMMYFUNCTION("""COMPUTED_VALUE"""),25.64)</f>
        <v>25.64</v>
      </c>
      <c r="F168" s="1">
        <f ca="1">IFERROR(__xludf.DUMMYFUNCTION("""COMPUTED_VALUE"""),3002293)</f>
        <v>3002293</v>
      </c>
    </row>
    <row r="169" spans="1:6" x14ac:dyDescent="0.35">
      <c r="A169" s="2">
        <f ca="1">IFERROR(__xludf.DUMMYFUNCTION("""COMPUTED_VALUE"""),42248.6666666666)</f>
        <v>42248.666666666599</v>
      </c>
      <c r="B169" s="1">
        <f ca="1">IFERROR(__xludf.DUMMYFUNCTION("""COMPUTED_VALUE"""),24.96)</f>
        <v>24.96</v>
      </c>
      <c r="C169" s="1">
        <f ca="1">IFERROR(__xludf.DUMMYFUNCTION("""COMPUTED_VALUE"""),25.5)</f>
        <v>25.5</v>
      </c>
      <c r="D169" s="1">
        <f ca="1">IFERROR(__xludf.DUMMYFUNCTION("""COMPUTED_VALUE"""),24.67)</f>
        <v>24.67</v>
      </c>
      <c r="E169" s="1">
        <f ca="1">IFERROR(__xludf.DUMMYFUNCTION("""COMPUTED_VALUE"""),24.83)</f>
        <v>24.83</v>
      </c>
      <c r="F169" s="1">
        <f ca="1">IFERROR(__xludf.DUMMYFUNCTION("""COMPUTED_VALUE"""),3864514)</f>
        <v>3864514</v>
      </c>
    </row>
    <row r="170" spans="1:6" x14ac:dyDescent="0.35">
      <c r="A170" s="2">
        <f ca="1">IFERROR(__xludf.DUMMYFUNCTION("""COMPUTED_VALUE"""),42249.6666666666)</f>
        <v>42249.666666666599</v>
      </c>
      <c r="B170" s="1">
        <f ca="1">IFERROR(__xludf.DUMMYFUNCTION("""COMPUTED_VALUE"""),25.25)</f>
        <v>25.25</v>
      </c>
      <c r="C170" s="1">
        <f ca="1">IFERROR(__xludf.DUMMYFUNCTION("""COMPUTED_VALUE"""),25.54)</f>
        <v>25.54</v>
      </c>
      <c r="D170" s="1">
        <f ca="1">IFERROR(__xludf.DUMMYFUNCTION("""COMPUTED_VALUE"""),24.89)</f>
        <v>24.89</v>
      </c>
      <c r="E170" s="1">
        <f ca="1">IFERROR(__xludf.DUMMYFUNCTION("""COMPUTED_VALUE"""),25.53)</f>
        <v>25.53</v>
      </c>
      <c r="F170" s="1">
        <f ca="1">IFERROR(__xludf.DUMMYFUNCTION("""COMPUTED_VALUE"""),3707116)</f>
        <v>3707116</v>
      </c>
    </row>
    <row r="171" spans="1:6" x14ac:dyDescent="0.35">
      <c r="A171" s="2">
        <f ca="1">IFERROR(__xludf.DUMMYFUNCTION("""COMPUTED_VALUE"""),42250.6666666666)</f>
        <v>42250.666666666599</v>
      </c>
      <c r="B171" s="1">
        <f ca="1">IFERROR(__xludf.DUMMYFUNCTION("""COMPUTED_VALUE"""),25.73)</f>
        <v>25.73</v>
      </c>
      <c r="C171" s="1">
        <f ca="1">IFERROR(__xludf.DUMMYFUNCTION("""COMPUTED_VALUE"""),25.79)</f>
        <v>25.79</v>
      </c>
      <c r="D171" s="1">
        <f ca="1">IFERROR(__xludf.DUMMYFUNCTION("""COMPUTED_VALUE"""),25.13)</f>
        <v>25.13</v>
      </c>
      <c r="E171" s="1">
        <f ca="1">IFERROR(__xludf.DUMMYFUNCTION("""COMPUTED_VALUE"""),25.24)</f>
        <v>25.24</v>
      </c>
      <c r="F171" s="1">
        <f ca="1">IFERROR(__xludf.DUMMYFUNCTION("""COMPUTED_VALUE"""),3149694)</f>
        <v>3149694</v>
      </c>
    </row>
    <row r="172" spans="1:6" x14ac:dyDescent="0.35">
      <c r="A172" s="2">
        <f ca="1">IFERROR(__xludf.DUMMYFUNCTION("""COMPUTED_VALUE"""),42251.6666666666)</f>
        <v>42251.666666666599</v>
      </c>
      <c r="B172" s="1">
        <f ca="1">IFERROR(__xludf.DUMMYFUNCTION("""COMPUTED_VALUE"""),24.88)</f>
        <v>24.88</v>
      </c>
      <c r="C172" s="1">
        <f ca="1">IFERROR(__xludf.DUMMYFUNCTION("""COMPUTED_VALUE"""),25.14)</f>
        <v>25.14</v>
      </c>
      <c r="D172" s="1">
        <f ca="1">IFERROR(__xludf.DUMMYFUNCTION("""COMPUTED_VALUE"""),24.78)</f>
        <v>24.78</v>
      </c>
      <c r="E172" s="1">
        <f ca="1">IFERROR(__xludf.DUMMYFUNCTION("""COMPUTED_VALUE"""),24.95)</f>
        <v>24.95</v>
      </c>
      <c r="F172" s="1">
        <f ca="1">IFERROR(__xludf.DUMMYFUNCTION("""COMPUTED_VALUE"""),2692510)</f>
        <v>2692510</v>
      </c>
    </row>
    <row r="173" spans="1:6" x14ac:dyDescent="0.35">
      <c r="A173" s="2">
        <f ca="1">IFERROR(__xludf.DUMMYFUNCTION("""COMPUTED_VALUE"""),42255.6666666666)</f>
        <v>42255.666666666599</v>
      </c>
      <c r="B173" s="1">
        <f ca="1">IFERROR(__xludf.DUMMYFUNCTION("""COMPUTED_VALUE"""),25.43)</f>
        <v>25.43</v>
      </c>
      <c r="C173" s="1">
        <f ca="1">IFERROR(__xludf.DUMMYFUNCTION("""COMPUTED_VALUE"""),25.92)</f>
        <v>25.92</v>
      </c>
      <c r="D173" s="1">
        <f ca="1">IFERROR(__xludf.DUMMYFUNCTION("""COMPUTED_VALUE"""),25.43)</f>
        <v>25.43</v>
      </c>
      <c r="E173" s="1">
        <f ca="1">IFERROR(__xludf.DUMMYFUNCTION("""COMPUTED_VALUE"""),25.88)</f>
        <v>25.88</v>
      </c>
      <c r="F173" s="1">
        <f ca="1">IFERROR(__xludf.DUMMYFUNCTION("""COMPUTED_VALUE"""),3810653)</f>
        <v>3810653</v>
      </c>
    </row>
    <row r="174" spans="1:6" x14ac:dyDescent="0.35">
      <c r="A174" s="2">
        <f ca="1">IFERROR(__xludf.DUMMYFUNCTION("""COMPUTED_VALUE"""),42256.6666666666)</f>
        <v>42256.666666666599</v>
      </c>
      <c r="B174" s="1">
        <f ca="1">IFERROR(__xludf.DUMMYFUNCTION("""COMPUTED_VALUE"""),26.2)</f>
        <v>26.2</v>
      </c>
      <c r="C174" s="1">
        <f ca="1">IFERROR(__xludf.DUMMYFUNCTION("""COMPUTED_VALUE"""),26.5)</f>
        <v>26.5</v>
      </c>
      <c r="D174" s="1">
        <f ca="1">IFERROR(__xludf.DUMMYFUNCTION("""COMPUTED_VALUE"""),25.75)</f>
        <v>25.75</v>
      </c>
      <c r="E174" s="1">
        <f ca="1">IFERROR(__xludf.DUMMYFUNCTION("""COMPUTED_VALUE"""),25.84)</f>
        <v>25.84</v>
      </c>
      <c r="F174" s="1">
        <f ca="1">IFERROR(__xludf.DUMMYFUNCTION("""COMPUTED_VALUE"""),4370657)</f>
        <v>4370657</v>
      </c>
    </row>
    <row r="175" spans="1:6" x14ac:dyDescent="0.35">
      <c r="A175" s="2">
        <f ca="1">IFERROR(__xludf.DUMMYFUNCTION("""COMPUTED_VALUE"""),42257.6666666666)</f>
        <v>42257.666666666599</v>
      </c>
      <c r="B175" s="1">
        <f ca="1">IFERROR(__xludf.DUMMYFUNCTION("""COMPUTED_VALUE"""),25.76)</f>
        <v>25.76</v>
      </c>
      <c r="C175" s="1">
        <f ca="1">IFERROR(__xludf.DUMMYFUNCTION("""COMPUTED_VALUE"""),26.31)</f>
        <v>26.31</v>
      </c>
      <c r="D175" s="1">
        <f ca="1">IFERROR(__xludf.DUMMYFUNCTION("""COMPUTED_VALUE"""),25.74)</f>
        <v>25.74</v>
      </c>
      <c r="E175" s="1">
        <f ca="1">IFERROR(__xludf.DUMMYFUNCTION("""COMPUTED_VALUE"""),26.11)</f>
        <v>26.11</v>
      </c>
      <c r="F175" s="1">
        <f ca="1">IFERROR(__xludf.DUMMYFUNCTION("""COMPUTED_VALUE"""),2575982)</f>
        <v>2575982</v>
      </c>
    </row>
    <row r="176" spans="1:6" x14ac:dyDescent="0.35">
      <c r="A176" s="2">
        <f ca="1">IFERROR(__xludf.DUMMYFUNCTION("""COMPUTED_VALUE"""),42258.6666666666)</f>
        <v>42258.666666666599</v>
      </c>
      <c r="B176" s="1">
        <f ca="1">IFERROR(__xludf.DUMMYFUNCTION("""COMPUTED_VALUE"""),26.05)</f>
        <v>26.05</v>
      </c>
      <c r="C176" s="1">
        <f ca="1">IFERROR(__xludf.DUMMYFUNCTION("""COMPUTED_VALUE"""),26.47)</f>
        <v>26.47</v>
      </c>
      <c r="D176" s="1">
        <f ca="1">IFERROR(__xludf.DUMMYFUNCTION("""COMPUTED_VALUE"""),26.03)</f>
        <v>26.03</v>
      </c>
      <c r="E176" s="1">
        <f ca="1">IFERROR(__xludf.DUMMYFUNCTION("""COMPUTED_VALUE"""),26.47)</f>
        <v>26.47</v>
      </c>
      <c r="F176" s="1">
        <f ca="1">IFERROR(__xludf.DUMMYFUNCTION("""COMPUTED_VALUE"""),3227862)</f>
        <v>3227862</v>
      </c>
    </row>
    <row r="177" spans="1:6" x14ac:dyDescent="0.35">
      <c r="A177" s="2">
        <f ca="1">IFERROR(__xludf.DUMMYFUNCTION("""COMPUTED_VALUE"""),42261.6666666666)</f>
        <v>42261.666666666599</v>
      </c>
      <c r="B177" s="1">
        <f ca="1">IFERROR(__xludf.DUMMYFUNCTION("""COMPUTED_VALUE"""),26.47)</f>
        <v>26.47</v>
      </c>
      <c r="C177" s="1">
        <f ca="1">IFERROR(__xludf.DUMMYFUNCTION("""COMPUTED_VALUE"""),26.62)</f>
        <v>26.62</v>
      </c>
      <c r="D177" s="1">
        <f ca="1">IFERROR(__xludf.DUMMYFUNCTION("""COMPUTED_VALUE"""),25.93)</f>
        <v>25.93</v>
      </c>
      <c r="E177" s="1">
        <f ca="1">IFERROR(__xludf.DUMMYFUNCTION("""COMPUTED_VALUE"""),26.07)</f>
        <v>26.07</v>
      </c>
      <c r="F177" s="1">
        <f ca="1">IFERROR(__xludf.DUMMYFUNCTION("""COMPUTED_VALUE"""),3130241)</f>
        <v>3130241</v>
      </c>
    </row>
    <row r="178" spans="1:6" x14ac:dyDescent="0.35">
      <c r="A178" s="2">
        <f ca="1">IFERROR(__xludf.DUMMYFUNCTION("""COMPUTED_VALUE"""),42262.6666666666)</f>
        <v>42262.666666666599</v>
      </c>
      <c r="B178" s="1">
        <f ca="1">IFERROR(__xludf.DUMMYFUNCTION("""COMPUTED_VALUE"""),26.16)</f>
        <v>26.16</v>
      </c>
      <c r="C178" s="1">
        <f ca="1">IFERROR(__xludf.DUMMYFUNCTION("""COMPUTED_VALUE"""),26.4)</f>
        <v>26.4</v>
      </c>
      <c r="D178" s="1">
        <f ca="1">IFERROR(__xludf.DUMMYFUNCTION("""COMPUTED_VALUE"""),25.86)</f>
        <v>25.86</v>
      </c>
      <c r="E178" s="1">
        <f ca="1">IFERROR(__xludf.DUMMYFUNCTION("""COMPUTED_VALUE"""),26.12)</f>
        <v>26.12</v>
      </c>
      <c r="F178" s="1">
        <f ca="1">IFERROR(__xludf.DUMMYFUNCTION("""COMPUTED_VALUE"""),2865933)</f>
        <v>2865933</v>
      </c>
    </row>
    <row r="179" spans="1:6" x14ac:dyDescent="0.35">
      <c r="A179" s="2">
        <f ca="1">IFERROR(__xludf.DUMMYFUNCTION("""COMPUTED_VALUE"""),42263.6666666666)</f>
        <v>42263.666666666599</v>
      </c>
      <c r="B179" s="1">
        <f ca="1">IFERROR(__xludf.DUMMYFUNCTION("""COMPUTED_VALUE"""),26.1)</f>
        <v>26.1</v>
      </c>
      <c r="C179" s="1">
        <f ca="1">IFERROR(__xludf.DUMMYFUNCTION("""COMPUTED_VALUE"""),26.42)</f>
        <v>26.42</v>
      </c>
      <c r="D179" s="1">
        <f ca="1">IFERROR(__xludf.DUMMYFUNCTION("""COMPUTED_VALUE"""),25.93)</f>
        <v>25.93</v>
      </c>
      <c r="E179" s="1">
        <f ca="1">IFERROR(__xludf.DUMMYFUNCTION("""COMPUTED_VALUE"""),26.37)</f>
        <v>26.37</v>
      </c>
      <c r="F179" s="1">
        <f ca="1">IFERROR(__xludf.DUMMYFUNCTION("""COMPUTED_VALUE"""),2252790)</f>
        <v>2252790</v>
      </c>
    </row>
    <row r="180" spans="1:6" x14ac:dyDescent="0.35">
      <c r="A180" s="2">
        <f ca="1">IFERROR(__xludf.DUMMYFUNCTION("""COMPUTED_VALUE"""),42264.6666666666)</f>
        <v>42264.666666666599</v>
      </c>
      <c r="B180" s="1">
        <f ca="1">IFERROR(__xludf.DUMMYFUNCTION("""COMPUTED_VALUE"""),26.35)</f>
        <v>26.35</v>
      </c>
      <c r="C180" s="1">
        <f ca="1">IFERROR(__xludf.DUMMYFUNCTION("""COMPUTED_VALUE"""),27.35)</f>
        <v>27.35</v>
      </c>
      <c r="D180" s="1">
        <f ca="1">IFERROR(__xludf.DUMMYFUNCTION("""COMPUTED_VALUE"""),26.33)</f>
        <v>26.33</v>
      </c>
      <c r="E180" s="1">
        <f ca="1">IFERROR(__xludf.DUMMYFUNCTION("""COMPUTED_VALUE"""),26.94)</f>
        <v>26.94</v>
      </c>
      <c r="F180" s="1">
        <f ca="1">IFERROR(__xludf.DUMMYFUNCTION("""COMPUTED_VALUE"""),4169484)</f>
        <v>4169484</v>
      </c>
    </row>
    <row r="181" spans="1:6" x14ac:dyDescent="0.35">
      <c r="A181" s="2">
        <f ca="1">IFERROR(__xludf.DUMMYFUNCTION("""COMPUTED_VALUE"""),42265.6666666666)</f>
        <v>42265.666666666599</v>
      </c>
      <c r="B181" s="1">
        <f ca="1">IFERROR(__xludf.DUMMYFUNCTION("""COMPUTED_VALUE"""),26.73)</f>
        <v>26.73</v>
      </c>
      <c r="C181" s="1">
        <f ca="1">IFERROR(__xludf.DUMMYFUNCTION("""COMPUTED_VALUE"""),27.31)</f>
        <v>27.31</v>
      </c>
      <c r="D181" s="1">
        <f ca="1">IFERROR(__xludf.DUMMYFUNCTION("""COMPUTED_VALUE"""),26.57)</f>
        <v>26.57</v>
      </c>
      <c r="E181" s="1">
        <f ca="1">IFERROR(__xludf.DUMMYFUNCTION("""COMPUTED_VALUE"""),27.01)</f>
        <v>27.01</v>
      </c>
      <c r="F181" s="1">
        <f ca="1">IFERROR(__xludf.DUMMYFUNCTION("""COMPUTED_VALUE"""),6160075)</f>
        <v>6160075</v>
      </c>
    </row>
    <row r="182" spans="1:6" x14ac:dyDescent="0.35">
      <c r="A182" s="2">
        <f ca="1">IFERROR(__xludf.DUMMYFUNCTION("""COMPUTED_VALUE"""),42268.6666666666)</f>
        <v>42268.666666666599</v>
      </c>
      <c r="B182" s="1">
        <f ca="1">IFERROR(__xludf.DUMMYFUNCTION("""COMPUTED_VALUE"""),27.22)</f>
        <v>27.22</v>
      </c>
      <c r="C182" s="1">
        <f ca="1">IFERROR(__xludf.DUMMYFUNCTION("""COMPUTED_VALUE"""),27.49)</f>
        <v>27.49</v>
      </c>
      <c r="D182" s="1">
        <f ca="1">IFERROR(__xludf.DUMMYFUNCTION("""COMPUTED_VALUE"""),26.98)</f>
        <v>26.98</v>
      </c>
      <c r="E182" s="1">
        <f ca="1">IFERROR(__xludf.DUMMYFUNCTION("""COMPUTED_VALUE"""),27.42)</f>
        <v>27.42</v>
      </c>
      <c r="F182" s="1">
        <f ca="1">IFERROR(__xludf.DUMMYFUNCTION("""COMPUTED_VALUE"""),3283313)</f>
        <v>3283313</v>
      </c>
    </row>
    <row r="183" spans="1:6" x14ac:dyDescent="0.35">
      <c r="A183" s="2">
        <f ca="1">IFERROR(__xludf.DUMMYFUNCTION("""COMPUTED_VALUE"""),42269.6666666666)</f>
        <v>42269.666666666599</v>
      </c>
      <c r="B183" s="1">
        <f ca="1">IFERROR(__xludf.DUMMYFUNCTION("""COMPUTED_VALUE"""),26.99)</f>
        <v>26.99</v>
      </c>
      <c r="C183" s="1">
        <f ca="1">IFERROR(__xludf.DUMMYFUNCTION("""COMPUTED_VALUE"""),27.18)</f>
        <v>27.18</v>
      </c>
      <c r="D183" s="1">
        <f ca="1">IFERROR(__xludf.DUMMYFUNCTION("""COMPUTED_VALUE"""),26.63)</f>
        <v>26.63</v>
      </c>
      <c r="E183" s="1">
        <f ca="1">IFERROR(__xludf.DUMMYFUNCTION("""COMPUTED_VALUE"""),26.92)</f>
        <v>26.92</v>
      </c>
      <c r="F183" s="1">
        <f ca="1">IFERROR(__xludf.DUMMYFUNCTION("""COMPUTED_VALUE"""),3841748)</f>
        <v>3841748</v>
      </c>
    </row>
    <row r="184" spans="1:6" x14ac:dyDescent="0.35">
      <c r="A184" s="2">
        <f ca="1">IFERROR(__xludf.DUMMYFUNCTION("""COMPUTED_VALUE"""),42270.6666666666)</f>
        <v>42270.666666666599</v>
      </c>
      <c r="B184" s="1">
        <f ca="1">IFERROR(__xludf.DUMMYFUNCTION("""COMPUTED_VALUE"""),26.92)</f>
        <v>26.92</v>
      </c>
      <c r="C184" s="1">
        <f ca="1">IFERROR(__xludf.DUMMYFUNCTION("""COMPUTED_VALUE"""),27.06)</f>
        <v>27.06</v>
      </c>
      <c r="D184" s="1">
        <f ca="1">IFERROR(__xludf.DUMMYFUNCTION("""COMPUTED_VALUE"""),26.7)</f>
        <v>26.7</v>
      </c>
      <c r="E184" s="1">
        <f ca="1">IFERROR(__xludf.DUMMYFUNCTION("""COMPUTED_VALUE"""),26.8)</f>
        <v>26.8</v>
      </c>
      <c r="F184" s="1">
        <f ca="1">IFERROR(__xludf.DUMMYFUNCTION("""COMPUTED_VALUE"""),2237571)</f>
        <v>2237571</v>
      </c>
    </row>
    <row r="185" spans="1:6" x14ac:dyDescent="0.35">
      <c r="A185" s="2">
        <f ca="1">IFERROR(__xludf.DUMMYFUNCTION("""COMPUTED_VALUE"""),42271.6666666666)</f>
        <v>42271.666666666599</v>
      </c>
      <c r="B185" s="1">
        <f ca="1">IFERROR(__xludf.DUMMYFUNCTION("""COMPUTED_VALUE"""),26.53)</f>
        <v>26.53</v>
      </c>
      <c r="C185" s="1">
        <f ca="1">IFERROR(__xludf.DUMMYFUNCTION("""COMPUTED_VALUE"""),26.73)</f>
        <v>26.73</v>
      </c>
      <c r="D185" s="1">
        <f ca="1">IFERROR(__xludf.DUMMYFUNCTION("""COMPUTED_VALUE"""),26.14)</f>
        <v>26.14</v>
      </c>
      <c r="E185" s="1">
        <f ca="1">IFERROR(__xludf.DUMMYFUNCTION("""COMPUTED_VALUE"""),26.69)</f>
        <v>26.69</v>
      </c>
      <c r="F185" s="1">
        <f ca="1">IFERROR(__xludf.DUMMYFUNCTION("""COMPUTED_VALUE"""),3500964)</f>
        <v>3500964</v>
      </c>
    </row>
    <row r="186" spans="1:6" x14ac:dyDescent="0.35">
      <c r="A186" s="2">
        <f ca="1">IFERROR(__xludf.DUMMYFUNCTION("""COMPUTED_VALUE"""),42272.6666666666)</f>
        <v>42272.666666666599</v>
      </c>
      <c r="B186" s="1">
        <f ca="1">IFERROR(__xludf.DUMMYFUNCTION("""COMPUTED_VALUE"""),27.13)</f>
        <v>27.13</v>
      </c>
      <c r="C186" s="1">
        <f ca="1">IFERROR(__xludf.DUMMYFUNCTION("""COMPUTED_VALUE"""),27.14)</f>
        <v>27.14</v>
      </c>
      <c r="D186" s="1">
        <f ca="1">IFERROR(__xludf.DUMMYFUNCTION("""COMPUTED_VALUE"""),26.07)</f>
        <v>26.07</v>
      </c>
      <c r="E186" s="1">
        <f ca="1">IFERROR(__xludf.DUMMYFUNCTION("""COMPUTED_VALUE"""),26.21)</f>
        <v>26.21</v>
      </c>
      <c r="F186" s="1">
        <f ca="1">IFERROR(__xludf.DUMMYFUNCTION("""COMPUTED_VALUE"""),4030998)</f>
        <v>4030998</v>
      </c>
    </row>
    <row r="187" spans="1:6" x14ac:dyDescent="0.35">
      <c r="A187" s="2">
        <f ca="1">IFERROR(__xludf.DUMMYFUNCTION("""COMPUTED_VALUE"""),42275.6666666666)</f>
        <v>42275.666666666599</v>
      </c>
      <c r="B187" s="1">
        <f ca="1">IFERROR(__xludf.DUMMYFUNCTION("""COMPUTED_VALUE"""),26)</f>
        <v>26</v>
      </c>
      <c r="C187" s="1">
        <f ca="1">IFERROR(__xludf.DUMMYFUNCTION("""COMPUTED_VALUE"""),26.01)</f>
        <v>26.01</v>
      </c>
      <c r="D187" s="1">
        <f ca="1">IFERROR(__xludf.DUMMYFUNCTION("""COMPUTED_VALUE"""),24.72)</f>
        <v>24.72</v>
      </c>
      <c r="E187" s="1">
        <f ca="1">IFERROR(__xludf.DUMMYFUNCTION("""COMPUTED_VALUE"""),25.2)</f>
        <v>25.2</v>
      </c>
      <c r="F187" s="1">
        <f ca="1">IFERROR(__xludf.DUMMYFUNCTION("""COMPUTED_VALUE"""),5434532)</f>
        <v>5434532</v>
      </c>
    </row>
    <row r="188" spans="1:6" x14ac:dyDescent="0.35">
      <c r="A188" s="2">
        <f ca="1">IFERROR(__xludf.DUMMYFUNCTION("""COMPUTED_VALUE"""),42276.6666666666)</f>
        <v>42276.666666666599</v>
      </c>
      <c r="B188" s="1">
        <f ca="1">IFERROR(__xludf.DUMMYFUNCTION("""COMPUTED_VALUE"""),25.3)</f>
        <v>25.3</v>
      </c>
      <c r="C188" s="1">
        <f ca="1">IFERROR(__xludf.DUMMYFUNCTION("""COMPUTED_VALUE"""),25.57)</f>
        <v>25.57</v>
      </c>
      <c r="D188" s="1">
        <f ca="1">IFERROR(__xludf.DUMMYFUNCTION("""COMPUTED_VALUE"""),24.53)</f>
        <v>24.53</v>
      </c>
      <c r="E188" s="1">
        <f ca="1">IFERROR(__xludf.DUMMYFUNCTION("""COMPUTED_VALUE"""),24.8)</f>
        <v>24.8</v>
      </c>
      <c r="F188" s="1">
        <f ca="1">IFERROR(__xludf.DUMMYFUNCTION("""COMPUTED_VALUE"""),4457532)</f>
        <v>4457532</v>
      </c>
    </row>
    <row r="189" spans="1:6" x14ac:dyDescent="0.35">
      <c r="A189" s="2">
        <f ca="1">IFERROR(__xludf.DUMMYFUNCTION("""COMPUTED_VALUE"""),42277.6666666666)</f>
        <v>42277.666666666599</v>
      </c>
      <c r="B189" s="1">
        <f ca="1">IFERROR(__xludf.DUMMYFUNCTION("""COMPUTED_VALUE"""),25.27)</f>
        <v>25.27</v>
      </c>
      <c r="C189" s="1">
        <f ca="1">IFERROR(__xludf.DUMMYFUNCTION("""COMPUTED_VALUE"""),25.64)</f>
        <v>25.64</v>
      </c>
      <c r="D189" s="1">
        <f ca="1">IFERROR(__xludf.DUMMYFUNCTION("""COMPUTED_VALUE"""),25.08)</f>
        <v>25.08</v>
      </c>
      <c r="E189" s="1">
        <f ca="1">IFERROR(__xludf.DUMMYFUNCTION("""COMPUTED_VALUE"""),25.59)</f>
        <v>25.59</v>
      </c>
      <c r="F189" s="1">
        <f ca="1">IFERROR(__xludf.DUMMYFUNCTION("""COMPUTED_VALUE"""),4004681)</f>
        <v>4004681</v>
      </c>
    </row>
    <row r="190" spans="1:6" x14ac:dyDescent="0.35">
      <c r="A190" s="2">
        <f ca="1">IFERROR(__xludf.DUMMYFUNCTION("""COMPUTED_VALUE"""),42278.6666666666)</f>
        <v>42278.666666666599</v>
      </c>
      <c r="B190" s="1">
        <f ca="1">IFERROR(__xludf.DUMMYFUNCTION("""COMPUTED_VALUE"""),25.55)</f>
        <v>25.55</v>
      </c>
      <c r="C190" s="1">
        <f ca="1">IFERROR(__xludf.DUMMYFUNCTION("""COMPUTED_VALUE"""),26.04)</f>
        <v>26.04</v>
      </c>
      <c r="D190" s="1">
        <f ca="1">IFERROR(__xludf.DUMMYFUNCTION("""COMPUTED_VALUE"""),25.3)</f>
        <v>25.3</v>
      </c>
      <c r="E190" s="1">
        <f ca="1">IFERROR(__xludf.DUMMYFUNCTION("""COMPUTED_VALUE"""),26.04)</f>
        <v>26.04</v>
      </c>
      <c r="F190" s="1">
        <f ca="1">IFERROR(__xludf.DUMMYFUNCTION("""COMPUTED_VALUE"""),3768483)</f>
        <v>3768483</v>
      </c>
    </row>
    <row r="191" spans="1:6" x14ac:dyDescent="0.35">
      <c r="A191" s="2">
        <f ca="1">IFERROR(__xludf.DUMMYFUNCTION("""COMPUTED_VALUE"""),42279.6666666666)</f>
        <v>42279.666666666599</v>
      </c>
      <c r="B191" s="1">
        <f ca="1">IFERROR(__xludf.DUMMYFUNCTION("""COMPUTED_VALUE"""),25.65)</f>
        <v>25.65</v>
      </c>
      <c r="C191" s="1">
        <f ca="1">IFERROR(__xludf.DUMMYFUNCTION("""COMPUTED_VALUE"""),26.63)</f>
        <v>26.63</v>
      </c>
      <c r="D191" s="1">
        <f ca="1">IFERROR(__xludf.DUMMYFUNCTION("""COMPUTED_VALUE"""),25.41)</f>
        <v>25.41</v>
      </c>
      <c r="E191" s="1">
        <f ca="1">IFERROR(__xludf.DUMMYFUNCTION("""COMPUTED_VALUE"""),26.63)</f>
        <v>26.63</v>
      </c>
      <c r="F191" s="1">
        <f ca="1">IFERROR(__xludf.DUMMYFUNCTION("""COMPUTED_VALUE"""),4597795)</f>
        <v>4597795</v>
      </c>
    </row>
    <row r="192" spans="1:6" x14ac:dyDescent="0.35">
      <c r="A192" s="2">
        <f ca="1">IFERROR(__xludf.DUMMYFUNCTION("""COMPUTED_VALUE"""),42282.6666666666)</f>
        <v>42282.666666666599</v>
      </c>
      <c r="B192" s="1">
        <f ca="1">IFERROR(__xludf.DUMMYFUNCTION("""COMPUTED_VALUE"""),26.85)</f>
        <v>26.85</v>
      </c>
      <c r="C192" s="1">
        <f ca="1">IFERROR(__xludf.DUMMYFUNCTION("""COMPUTED_VALUE"""),27.3)</f>
        <v>27.3</v>
      </c>
      <c r="D192" s="1">
        <f ca="1">IFERROR(__xludf.DUMMYFUNCTION("""COMPUTED_VALUE"""),26.8)</f>
        <v>26.8</v>
      </c>
      <c r="E192" s="1">
        <f ca="1">IFERROR(__xludf.DUMMYFUNCTION("""COMPUTED_VALUE"""),27.18)</f>
        <v>27.18</v>
      </c>
      <c r="F192" s="1">
        <f ca="1">IFERROR(__xludf.DUMMYFUNCTION("""COMPUTED_VALUE"""),3391359)</f>
        <v>3391359</v>
      </c>
    </row>
    <row r="193" spans="1:6" x14ac:dyDescent="0.35">
      <c r="A193" s="2">
        <f ca="1">IFERROR(__xludf.DUMMYFUNCTION("""COMPUTED_VALUE"""),42283.6666666666)</f>
        <v>42283.666666666599</v>
      </c>
      <c r="B193" s="1">
        <f ca="1">IFERROR(__xludf.DUMMYFUNCTION("""COMPUTED_VALUE"""),27.28)</f>
        <v>27.28</v>
      </c>
      <c r="C193" s="1">
        <f ca="1">IFERROR(__xludf.DUMMYFUNCTION("""COMPUTED_VALUE"""),27.58)</f>
        <v>27.58</v>
      </c>
      <c r="D193" s="1">
        <f ca="1">IFERROR(__xludf.DUMMYFUNCTION("""COMPUTED_VALUE"""),26.67)</f>
        <v>26.67</v>
      </c>
      <c r="E193" s="1">
        <f ca="1">IFERROR(__xludf.DUMMYFUNCTION("""COMPUTED_VALUE"""),26.87)</f>
        <v>26.87</v>
      </c>
      <c r="F193" s="1">
        <f ca="1">IFERROR(__xludf.DUMMYFUNCTION("""COMPUTED_VALUE"""),4547519)</f>
        <v>4547519</v>
      </c>
    </row>
    <row r="194" spans="1:6" x14ac:dyDescent="0.35">
      <c r="A194" s="2">
        <f ca="1">IFERROR(__xludf.DUMMYFUNCTION("""COMPUTED_VALUE"""),42284.6666666666)</f>
        <v>42284.666666666599</v>
      </c>
      <c r="B194" s="1">
        <f ca="1">IFERROR(__xludf.DUMMYFUNCTION("""COMPUTED_VALUE"""),27.09)</f>
        <v>27.09</v>
      </c>
      <c r="C194" s="1">
        <f ca="1">IFERROR(__xludf.DUMMYFUNCTION("""COMPUTED_VALUE"""),27.1)</f>
        <v>27.1</v>
      </c>
      <c r="D194" s="1">
        <f ca="1">IFERROR(__xludf.DUMMYFUNCTION("""COMPUTED_VALUE"""),26.45)</f>
        <v>26.45</v>
      </c>
      <c r="E194" s="1">
        <f ca="1">IFERROR(__xludf.DUMMYFUNCTION("""COMPUTED_VALUE"""),27.1)</f>
        <v>27.1</v>
      </c>
      <c r="F194" s="1">
        <f ca="1">IFERROR(__xludf.DUMMYFUNCTION("""COMPUTED_VALUE"""),3812087)</f>
        <v>3812087</v>
      </c>
    </row>
    <row r="195" spans="1:6" x14ac:dyDescent="0.35">
      <c r="A195" s="2">
        <f ca="1">IFERROR(__xludf.DUMMYFUNCTION("""COMPUTED_VALUE"""),42285.6666666666)</f>
        <v>42285.666666666599</v>
      </c>
      <c r="B195" s="1">
        <f ca="1">IFERROR(__xludf.DUMMYFUNCTION("""COMPUTED_VALUE"""),26.84)</f>
        <v>26.84</v>
      </c>
      <c r="C195" s="1">
        <f ca="1">IFERROR(__xludf.DUMMYFUNCTION("""COMPUTED_VALUE"""),26.97)</f>
        <v>26.97</v>
      </c>
      <c r="D195" s="1">
        <f ca="1">IFERROR(__xludf.DUMMYFUNCTION("""COMPUTED_VALUE"""),25.99)</f>
        <v>25.99</v>
      </c>
      <c r="E195" s="1">
        <f ca="1">IFERROR(__xludf.DUMMYFUNCTION("""COMPUTED_VALUE"""),26.66)</f>
        <v>26.66</v>
      </c>
      <c r="F195" s="1">
        <f ca="1">IFERROR(__xludf.DUMMYFUNCTION("""COMPUTED_VALUE"""),4676440)</f>
        <v>4676440</v>
      </c>
    </row>
    <row r="196" spans="1:6" x14ac:dyDescent="0.35">
      <c r="A196" s="2">
        <f ca="1">IFERROR(__xludf.DUMMYFUNCTION("""COMPUTED_VALUE"""),42286.6666666666)</f>
        <v>42286.666666666599</v>
      </c>
      <c r="B196" s="1">
        <f ca="1">IFERROR(__xludf.DUMMYFUNCTION("""COMPUTED_VALUE"""),26.72)</f>
        <v>26.72</v>
      </c>
      <c r="C196" s="1">
        <f ca="1">IFERROR(__xludf.DUMMYFUNCTION("""COMPUTED_VALUE"""),27.09)</f>
        <v>27.09</v>
      </c>
      <c r="D196" s="1">
        <f ca="1">IFERROR(__xludf.DUMMYFUNCTION("""COMPUTED_VALUE"""),26.51)</f>
        <v>26.51</v>
      </c>
      <c r="E196" s="1">
        <f ca="1">IFERROR(__xludf.DUMMYFUNCTION("""COMPUTED_VALUE"""),26.99)</f>
        <v>26.99</v>
      </c>
      <c r="F196" s="1">
        <f ca="1">IFERROR(__xludf.DUMMYFUNCTION("""COMPUTED_VALUE"""),3537364)</f>
        <v>3537364</v>
      </c>
    </row>
    <row r="197" spans="1:6" x14ac:dyDescent="0.35">
      <c r="A197" s="2">
        <f ca="1">IFERROR(__xludf.DUMMYFUNCTION("""COMPUTED_VALUE"""),42289.6666666666)</f>
        <v>42289.666666666599</v>
      </c>
      <c r="B197" s="1">
        <f ca="1">IFERROR(__xludf.DUMMYFUNCTION("""COMPUTED_VALUE"""),27)</f>
        <v>27</v>
      </c>
      <c r="C197" s="1">
        <f ca="1">IFERROR(__xludf.DUMMYFUNCTION("""COMPUTED_VALUE"""),27.54)</f>
        <v>27.54</v>
      </c>
      <c r="D197" s="1">
        <f ca="1">IFERROR(__xludf.DUMMYFUNCTION("""COMPUTED_VALUE"""),26.99)</f>
        <v>26.99</v>
      </c>
      <c r="E197" s="1">
        <f ca="1">IFERROR(__xludf.DUMMYFUNCTION("""COMPUTED_VALUE"""),27.51)</f>
        <v>27.51</v>
      </c>
      <c r="F197" s="1">
        <f ca="1">IFERROR(__xludf.DUMMYFUNCTION("""COMPUTED_VALUE"""),2776103)</f>
        <v>2776103</v>
      </c>
    </row>
    <row r="198" spans="1:6" x14ac:dyDescent="0.35">
      <c r="A198" s="2">
        <f ca="1">IFERROR(__xludf.DUMMYFUNCTION("""COMPUTED_VALUE"""),42290.6666666666)</f>
        <v>42290.666666666599</v>
      </c>
      <c r="B198" s="1">
        <f ca="1">IFERROR(__xludf.DUMMYFUNCTION("""COMPUTED_VALUE"""),27.31)</f>
        <v>27.31</v>
      </c>
      <c r="C198" s="1">
        <f ca="1">IFERROR(__xludf.DUMMYFUNCTION("""COMPUTED_VALUE"""),27.66)</f>
        <v>27.66</v>
      </c>
      <c r="D198" s="1">
        <f ca="1">IFERROR(__xludf.DUMMYFUNCTION("""COMPUTED_VALUE"""),27.16)</f>
        <v>27.16</v>
      </c>
      <c r="E198" s="1">
        <f ca="1">IFERROR(__xludf.DUMMYFUNCTION("""COMPUTED_VALUE"""),27.45)</f>
        <v>27.45</v>
      </c>
      <c r="F198" s="1">
        <f ca="1">IFERROR(__xludf.DUMMYFUNCTION("""COMPUTED_VALUE"""),2938044)</f>
        <v>2938044</v>
      </c>
    </row>
    <row r="199" spans="1:6" x14ac:dyDescent="0.35">
      <c r="A199" s="2">
        <f ca="1">IFERROR(__xludf.DUMMYFUNCTION("""COMPUTED_VALUE"""),42291.6666666666)</f>
        <v>42291.666666666599</v>
      </c>
      <c r="B199" s="1">
        <f ca="1">IFERROR(__xludf.DUMMYFUNCTION("""COMPUTED_VALUE"""),27.57)</f>
        <v>27.57</v>
      </c>
      <c r="C199" s="1">
        <f ca="1">IFERROR(__xludf.DUMMYFUNCTION("""COMPUTED_VALUE"""),27.61)</f>
        <v>27.61</v>
      </c>
      <c r="D199" s="1">
        <f ca="1">IFERROR(__xludf.DUMMYFUNCTION("""COMPUTED_VALUE"""),26.98)</f>
        <v>26.98</v>
      </c>
      <c r="E199" s="1">
        <f ca="1">IFERROR(__xludf.DUMMYFUNCTION("""COMPUTED_VALUE"""),27.24)</f>
        <v>27.24</v>
      </c>
      <c r="F199" s="1">
        <f ca="1">IFERROR(__xludf.DUMMYFUNCTION("""COMPUTED_VALUE"""),3582060)</f>
        <v>3582060</v>
      </c>
    </row>
    <row r="200" spans="1:6" x14ac:dyDescent="0.35">
      <c r="A200" s="2">
        <f ca="1">IFERROR(__xludf.DUMMYFUNCTION("""COMPUTED_VALUE"""),42292.6666666666)</f>
        <v>42292.666666666599</v>
      </c>
      <c r="B200" s="1">
        <f ca="1">IFERROR(__xludf.DUMMYFUNCTION("""COMPUTED_VALUE"""),27.39)</f>
        <v>27.39</v>
      </c>
      <c r="C200" s="1">
        <f ca="1">IFERROR(__xludf.DUMMYFUNCTION("""COMPUTED_VALUE"""),28.15)</f>
        <v>28.15</v>
      </c>
      <c r="D200" s="1">
        <f ca="1">IFERROR(__xludf.DUMMYFUNCTION("""COMPUTED_VALUE"""),27.35)</f>
        <v>27.35</v>
      </c>
      <c r="E200" s="1">
        <f ca="1">IFERROR(__xludf.DUMMYFUNCTION("""COMPUTED_VALUE"""),28.12)</f>
        <v>28.12</v>
      </c>
      <c r="F200" s="1">
        <f ca="1">IFERROR(__xludf.DUMMYFUNCTION("""COMPUTED_VALUE"""),4937034)</f>
        <v>4937034</v>
      </c>
    </row>
    <row r="201" spans="1:6" x14ac:dyDescent="0.35">
      <c r="A201" s="2">
        <f ca="1">IFERROR(__xludf.DUMMYFUNCTION("""COMPUTED_VALUE"""),42293.6666666666)</f>
        <v>42293.666666666599</v>
      </c>
      <c r="B201" s="1">
        <f ca="1">IFERROR(__xludf.DUMMYFUNCTION("""COMPUTED_VALUE"""),28.26)</f>
        <v>28.26</v>
      </c>
      <c r="C201" s="1">
        <f ca="1">IFERROR(__xludf.DUMMYFUNCTION("""COMPUTED_VALUE"""),28.55)</f>
        <v>28.55</v>
      </c>
      <c r="D201" s="1">
        <f ca="1">IFERROR(__xludf.DUMMYFUNCTION("""COMPUTED_VALUE"""),28.02)</f>
        <v>28.02</v>
      </c>
      <c r="E201" s="1">
        <f ca="1">IFERROR(__xludf.DUMMYFUNCTION("""COMPUTED_VALUE"""),28.54)</f>
        <v>28.54</v>
      </c>
      <c r="F201" s="1">
        <f ca="1">IFERROR(__xludf.DUMMYFUNCTION("""COMPUTED_VALUE"""),4315792)</f>
        <v>4315792</v>
      </c>
    </row>
    <row r="202" spans="1:6" x14ac:dyDescent="0.35">
      <c r="A202" s="2">
        <f ca="1">IFERROR(__xludf.DUMMYFUNCTION("""COMPUTED_VALUE"""),42296.6666666666)</f>
        <v>42296.666666666599</v>
      </c>
      <c r="B202" s="1">
        <f ca="1">IFERROR(__xludf.DUMMYFUNCTION("""COMPUTED_VALUE"""),28.54)</f>
        <v>28.54</v>
      </c>
      <c r="C202" s="1">
        <f ca="1">IFERROR(__xludf.DUMMYFUNCTION("""COMPUTED_VALUE"""),28.95)</f>
        <v>28.95</v>
      </c>
      <c r="D202" s="1">
        <f ca="1">IFERROR(__xludf.DUMMYFUNCTION("""COMPUTED_VALUE"""),28.37)</f>
        <v>28.37</v>
      </c>
      <c r="E202" s="1">
        <f ca="1">IFERROR(__xludf.DUMMYFUNCTION("""COMPUTED_VALUE"""),28.66)</f>
        <v>28.66</v>
      </c>
      <c r="F202" s="1">
        <f ca="1">IFERROR(__xludf.DUMMYFUNCTION("""COMPUTED_VALUE"""),4375420)</f>
        <v>4375420</v>
      </c>
    </row>
    <row r="203" spans="1:6" x14ac:dyDescent="0.35">
      <c r="A203" s="2">
        <f ca="1">IFERROR(__xludf.DUMMYFUNCTION("""COMPUTED_VALUE"""),42297.6666666666)</f>
        <v>42297.666666666599</v>
      </c>
      <c r="B203" s="1">
        <f ca="1">IFERROR(__xludf.DUMMYFUNCTION("""COMPUTED_VALUE"""),28.6)</f>
        <v>28.6</v>
      </c>
      <c r="C203" s="1">
        <f ca="1">IFERROR(__xludf.DUMMYFUNCTION("""COMPUTED_VALUE"""),28.65)</f>
        <v>28.65</v>
      </c>
      <c r="D203" s="1">
        <f ca="1">IFERROR(__xludf.DUMMYFUNCTION("""COMPUTED_VALUE"""),27.76)</f>
        <v>27.76</v>
      </c>
      <c r="E203" s="1">
        <f ca="1">IFERROR(__xludf.DUMMYFUNCTION("""COMPUTED_VALUE"""),28.04)</f>
        <v>28.04</v>
      </c>
      <c r="F203" s="1">
        <f ca="1">IFERROR(__xludf.DUMMYFUNCTION("""COMPUTED_VALUE"""),4346209)</f>
        <v>4346209</v>
      </c>
    </row>
    <row r="204" spans="1:6" x14ac:dyDescent="0.35">
      <c r="A204" s="2">
        <f ca="1">IFERROR(__xludf.DUMMYFUNCTION("""COMPUTED_VALUE"""),42298.6666666666)</f>
        <v>42298.666666666599</v>
      </c>
      <c r="B204" s="1">
        <f ca="1">IFERROR(__xludf.DUMMYFUNCTION("""COMPUTED_VALUE"""),28.19)</f>
        <v>28.19</v>
      </c>
      <c r="C204" s="1">
        <f ca="1">IFERROR(__xludf.DUMMYFUNCTION("""COMPUTED_VALUE"""),28.26)</f>
        <v>28.26</v>
      </c>
      <c r="D204" s="1">
        <f ca="1">IFERROR(__xludf.DUMMYFUNCTION("""COMPUTED_VALUE"""),27.63)</f>
        <v>27.63</v>
      </c>
      <c r="E204" s="1">
        <f ca="1">IFERROR(__xludf.DUMMYFUNCTION("""COMPUTED_VALUE"""),27.79)</f>
        <v>27.79</v>
      </c>
      <c r="F204" s="1">
        <f ca="1">IFERROR(__xludf.DUMMYFUNCTION("""COMPUTED_VALUE"""),3361655)</f>
        <v>3361655</v>
      </c>
    </row>
    <row r="205" spans="1:6" x14ac:dyDescent="0.35">
      <c r="A205" s="2">
        <f ca="1">IFERROR(__xludf.DUMMYFUNCTION("""COMPUTED_VALUE"""),42299.6666666666)</f>
        <v>42299.666666666599</v>
      </c>
      <c r="B205" s="1">
        <f ca="1">IFERROR(__xludf.DUMMYFUNCTION("""COMPUTED_VALUE"""),28.14)</f>
        <v>28.14</v>
      </c>
      <c r="C205" s="1">
        <f ca="1">IFERROR(__xludf.DUMMYFUNCTION("""COMPUTED_VALUE"""),28.46)</f>
        <v>28.46</v>
      </c>
      <c r="D205" s="1">
        <f ca="1">IFERROR(__xludf.DUMMYFUNCTION("""COMPUTED_VALUE"""),27.83)</f>
        <v>27.83</v>
      </c>
      <c r="E205" s="1">
        <f ca="1">IFERROR(__xludf.DUMMYFUNCTION("""COMPUTED_VALUE"""),28.2)</f>
        <v>28.2</v>
      </c>
      <c r="F205" s="1">
        <f ca="1">IFERROR(__xludf.DUMMYFUNCTION("""COMPUTED_VALUE"""),7779372)</f>
        <v>7779372</v>
      </c>
    </row>
    <row r="206" spans="1:6" x14ac:dyDescent="0.35">
      <c r="A206" s="2">
        <f ca="1">IFERROR(__xludf.DUMMYFUNCTION("""COMPUTED_VALUE"""),42300.6666666666)</f>
        <v>42300.666666666599</v>
      </c>
      <c r="B206" s="1">
        <f ca="1">IFERROR(__xludf.DUMMYFUNCTION("""COMPUTED_VALUE"""),30.88)</f>
        <v>30.88</v>
      </c>
      <c r="C206" s="1">
        <f ca="1">IFERROR(__xludf.DUMMYFUNCTION("""COMPUTED_VALUE"""),30.97)</f>
        <v>30.97</v>
      </c>
      <c r="D206" s="1">
        <f ca="1">IFERROR(__xludf.DUMMYFUNCTION("""COMPUTED_VALUE"""),29.77)</f>
        <v>29.77</v>
      </c>
      <c r="E206" s="1">
        <f ca="1">IFERROR(__xludf.DUMMYFUNCTION("""COMPUTED_VALUE"""),29.95)</f>
        <v>29.95</v>
      </c>
      <c r="F206" s="1">
        <f ca="1">IFERROR(__xludf.DUMMYFUNCTION("""COMPUTED_VALUE"""),10692667)</f>
        <v>10692667</v>
      </c>
    </row>
    <row r="207" spans="1:6" x14ac:dyDescent="0.35">
      <c r="A207" s="2">
        <f ca="1">IFERROR(__xludf.DUMMYFUNCTION("""COMPUTED_VALUE"""),42303.6666666666)</f>
        <v>42303.666666666599</v>
      </c>
      <c r="B207" s="1">
        <f ca="1">IFERROR(__xludf.DUMMYFUNCTION("""COMPUTED_VALUE"""),30.12)</f>
        <v>30.12</v>
      </c>
      <c r="C207" s="1">
        <f ca="1">IFERROR(__xludf.DUMMYFUNCTION("""COMPUTED_VALUE"""),30.49)</f>
        <v>30.49</v>
      </c>
      <c r="D207" s="1">
        <f ca="1">IFERROR(__xludf.DUMMYFUNCTION("""COMPUTED_VALUE"""),29.81)</f>
        <v>29.81</v>
      </c>
      <c r="E207" s="1">
        <f ca="1">IFERROR(__xludf.DUMMYFUNCTION("""COMPUTED_VALUE"""),30.43)</f>
        <v>30.43</v>
      </c>
      <c r="F207" s="1">
        <f ca="1">IFERROR(__xludf.DUMMYFUNCTION("""COMPUTED_VALUE"""),4269715)</f>
        <v>4269715</v>
      </c>
    </row>
    <row r="208" spans="1:6" x14ac:dyDescent="0.35">
      <c r="A208" s="2">
        <f ca="1">IFERROR(__xludf.DUMMYFUNCTION("""COMPUTED_VALUE"""),42304.6666666666)</f>
        <v>42304.666666666599</v>
      </c>
      <c r="B208" s="1">
        <f ca="1">IFERROR(__xludf.DUMMYFUNCTION("""COMPUTED_VALUE"""),30.43)</f>
        <v>30.43</v>
      </c>
      <c r="C208" s="1">
        <f ca="1">IFERROR(__xludf.DUMMYFUNCTION("""COMPUTED_VALUE"""),30.74)</f>
        <v>30.74</v>
      </c>
      <c r="D208" s="1">
        <f ca="1">IFERROR(__xludf.DUMMYFUNCTION("""COMPUTED_VALUE"""),30.28)</f>
        <v>30.28</v>
      </c>
      <c r="E208" s="1">
        <f ca="1">IFERROR(__xludf.DUMMYFUNCTION("""COMPUTED_VALUE"""),30.55)</f>
        <v>30.55</v>
      </c>
      <c r="F208" s="1">
        <f ca="1">IFERROR(__xludf.DUMMYFUNCTION("""COMPUTED_VALUE"""),3787136)</f>
        <v>3787136</v>
      </c>
    </row>
    <row r="209" spans="1:6" x14ac:dyDescent="0.35">
      <c r="A209" s="2">
        <f ca="1">IFERROR(__xludf.DUMMYFUNCTION("""COMPUTED_VALUE"""),42305.6666666666)</f>
        <v>42305.666666666599</v>
      </c>
      <c r="B209" s="1">
        <f ca="1">IFERROR(__xludf.DUMMYFUNCTION("""COMPUTED_VALUE"""),30.62)</f>
        <v>30.62</v>
      </c>
      <c r="C209" s="1">
        <f ca="1">IFERROR(__xludf.DUMMYFUNCTION("""COMPUTED_VALUE"""),30.86)</f>
        <v>30.86</v>
      </c>
      <c r="D209" s="1">
        <f ca="1">IFERROR(__xludf.DUMMYFUNCTION("""COMPUTED_VALUE"""),30.48)</f>
        <v>30.48</v>
      </c>
      <c r="E209" s="1">
        <f ca="1">IFERROR(__xludf.DUMMYFUNCTION("""COMPUTED_VALUE"""),30.86)</f>
        <v>30.86</v>
      </c>
      <c r="F209" s="1">
        <f ca="1">IFERROR(__xludf.DUMMYFUNCTION("""COMPUTED_VALUE"""),3926200)</f>
        <v>3926200</v>
      </c>
    </row>
    <row r="210" spans="1:6" x14ac:dyDescent="0.35">
      <c r="A210" s="2">
        <f ca="1">IFERROR(__xludf.DUMMYFUNCTION("""COMPUTED_VALUE"""),42306.6666666666)</f>
        <v>42306.666666666599</v>
      </c>
      <c r="B210" s="1">
        <f ca="1">IFERROR(__xludf.DUMMYFUNCTION("""COMPUTED_VALUE"""),30.89)</f>
        <v>30.89</v>
      </c>
      <c r="C210" s="1">
        <f ca="1">IFERROR(__xludf.DUMMYFUNCTION("""COMPUTED_VALUE"""),31.38)</f>
        <v>31.38</v>
      </c>
      <c r="D210" s="1">
        <f ca="1">IFERROR(__xludf.DUMMYFUNCTION("""COMPUTED_VALUE"""),30.77)</f>
        <v>30.77</v>
      </c>
      <c r="E210" s="1">
        <f ca="1">IFERROR(__xludf.DUMMYFUNCTION("""COMPUTED_VALUE"""),31.33)</f>
        <v>31.33</v>
      </c>
      <c r="F210" s="1">
        <f ca="1">IFERROR(__xludf.DUMMYFUNCTION("""COMPUTED_VALUE"""),3896026)</f>
        <v>3896026</v>
      </c>
    </row>
    <row r="211" spans="1:6" x14ac:dyDescent="0.35">
      <c r="A211" s="2">
        <f ca="1">IFERROR(__xludf.DUMMYFUNCTION("""COMPUTED_VALUE"""),42307.6666666666)</f>
        <v>42307.666666666599</v>
      </c>
      <c r="B211" s="1">
        <f ca="1">IFERROR(__xludf.DUMMYFUNCTION("""COMPUTED_VALUE"""),31.3)</f>
        <v>31.3</v>
      </c>
      <c r="C211" s="1">
        <f ca="1">IFERROR(__xludf.DUMMYFUNCTION("""COMPUTED_VALUE"""),31.54)</f>
        <v>31.54</v>
      </c>
      <c r="D211" s="1">
        <f ca="1">IFERROR(__xludf.DUMMYFUNCTION("""COMPUTED_VALUE"""),31.26)</f>
        <v>31.26</v>
      </c>
      <c r="E211" s="1">
        <f ca="1">IFERROR(__xludf.DUMMYFUNCTION("""COMPUTED_VALUE"""),31.3)</f>
        <v>31.3</v>
      </c>
      <c r="F211" s="1">
        <f ca="1">IFERROR(__xludf.DUMMYFUNCTION("""COMPUTED_VALUE"""),3874363)</f>
        <v>3874363</v>
      </c>
    </row>
    <row r="212" spans="1:6" x14ac:dyDescent="0.35">
      <c r="A212" s="2">
        <f ca="1">IFERROR(__xludf.DUMMYFUNCTION("""COMPUTED_VALUE"""),42310.6666666666)</f>
        <v>42310.666666666599</v>
      </c>
      <c r="B212" s="1">
        <f ca="1">IFERROR(__xludf.DUMMYFUNCTION("""COMPUTED_VALUE"""),31.36)</f>
        <v>31.36</v>
      </c>
      <c r="C212" s="1">
        <f ca="1">IFERROR(__xludf.DUMMYFUNCTION("""COMPUTED_VALUE"""),31.43)</f>
        <v>31.43</v>
      </c>
      <c r="D212" s="1">
        <f ca="1">IFERROR(__xludf.DUMMYFUNCTION("""COMPUTED_VALUE"""),31.02)</f>
        <v>31.02</v>
      </c>
      <c r="E212" s="1">
        <f ca="1">IFERROR(__xludf.DUMMYFUNCTION("""COMPUTED_VALUE"""),31.42)</f>
        <v>31.42</v>
      </c>
      <c r="F212" s="1">
        <f ca="1">IFERROR(__xludf.DUMMYFUNCTION("""COMPUTED_VALUE"""),2816479)</f>
        <v>2816479</v>
      </c>
    </row>
    <row r="213" spans="1:6" x14ac:dyDescent="0.35">
      <c r="A213" s="2">
        <f ca="1">IFERROR(__xludf.DUMMYFUNCTION("""COMPUTED_VALUE"""),42311.6666666666)</f>
        <v>42311.666666666599</v>
      </c>
      <c r="B213" s="1">
        <f ca="1">IFERROR(__xludf.DUMMYFUNCTION("""COMPUTED_VALUE"""),31.48)</f>
        <v>31.48</v>
      </c>
      <c r="C213" s="1">
        <f ca="1">IFERROR(__xludf.DUMMYFUNCTION("""COMPUTED_VALUE"""),31.49)</f>
        <v>31.49</v>
      </c>
      <c r="D213" s="1">
        <f ca="1">IFERROR(__xludf.DUMMYFUNCTION("""COMPUTED_VALUE"""),31.1)</f>
        <v>31.1</v>
      </c>
      <c r="E213" s="1">
        <f ca="1">IFERROR(__xludf.DUMMYFUNCTION("""COMPUTED_VALUE"""),31.27)</f>
        <v>31.27</v>
      </c>
      <c r="F213" s="1">
        <f ca="1">IFERROR(__xludf.DUMMYFUNCTION("""COMPUTED_VALUE"""),3246910)</f>
        <v>3246910</v>
      </c>
    </row>
    <row r="214" spans="1:6" x14ac:dyDescent="0.35">
      <c r="A214" s="2">
        <f ca="1">IFERROR(__xludf.DUMMYFUNCTION("""COMPUTED_VALUE"""),42312.6666666666)</f>
        <v>42312.666666666599</v>
      </c>
      <c r="B214" s="1">
        <f ca="1">IFERROR(__xludf.DUMMYFUNCTION("""COMPUTED_VALUE"""),31.39)</f>
        <v>31.39</v>
      </c>
      <c r="C214" s="1">
        <f ca="1">IFERROR(__xludf.DUMMYFUNCTION("""COMPUTED_VALUE"""),32.3)</f>
        <v>32.299999999999997</v>
      </c>
      <c r="D214" s="1">
        <f ca="1">IFERROR(__xludf.DUMMYFUNCTION("""COMPUTED_VALUE"""),31.37)</f>
        <v>31.37</v>
      </c>
      <c r="E214" s="1">
        <f ca="1">IFERROR(__xludf.DUMMYFUNCTION("""COMPUTED_VALUE"""),32.05)</f>
        <v>32.049999999999997</v>
      </c>
      <c r="F214" s="1">
        <f ca="1">IFERROR(__xludf.DUMMYFUNCTION("""COMPUTED_VALUE"""),4840501)</f>
        <v>4840501</v>
      </c>
    </row>
    <row r="215" spans="1:6" x14ac:dyDescent="0.35">
      <c r="A215" s="2">
        <f ca="1">IFERROR(__xludf.DUMMYFUNCTION("""COMPUTED_VALUE"""),42313.6666666666)</f>
        <v>42313.666666666599</v>
      </c>
      <c r="B215" s="1">
        <f ca="1">IFERROR(__xludf.DUMMYFUNCTION("""COMPUTED_VALUE"""),32.35)</f>
        <v>32.35</v>
      </c>
      <c r="C215" s="1">
        <f ca="1">IFERROR(__xludf.DUMMYFUNCTION("""COMPUTED_VALUE"""),32.85)</f>
        <v>32.85</v>
      </c>
      <c r="D215" s="1">
        <f ca="1">IFERROR(__xludf.DUMMYFUNCTION("""COMPUTED_VALUE"""),32.15)</f>
        <v>32.15</v>
      </c>
      <c r="E215" s="1">
        <f ca="1">IFERROR(__xludf.DUMMYFUNCTION("""COMPUTED_VALUE"""),32.78)</f>
        <v>32.78</v>
      </c>
      <c r="F215" s="1">
        <f ca="1">IFERROR(__xludf.DUMMYFUNCTION("""COMPUTED_VALUE"""),4723825)</f>
        <v>4723825</v>
      </c>
    </row>
    <row r="216" spans="1:6" x14ac:dyDescent="0.35">
      <c r="A216" s="2">
        <f ca="1">IFERROR(__xludf.DUMMYFUNCTION("""COMPUTED_VALUE"""),42314.6666666666)</f>
        <v>42314.666666666599</v>
      </c>
      <c r="B216" s="1">
        <f ca="1">IFERROR(__xludf.DUMMYFUNCTION("""COMPUTED_VALUE"""),32.75)</f>
        <v>32.75</v>
      </c>
      <c r="C216" s="1">
        <f ca="1">IFERROR(__xludf.DUMMYFUNCTION("""COMPUTED_VALUE"""),33.11)</f>
        <v>33.11</v>
      </c>
      <c r="D216" s="1">
        <f ca="1">IFERROR(__xludf.DUMMYFUNCTION("""COMPUTED_VALUE"""),32.6)</f>
        <v>32.6</v>
      </c>
      <c r="E216" s="1">
        <f ca="1">IFERROR(__xludf.DUMMYFUNCTION("""COMPUTED_VALUE"""),32.97)</f>
        <v>32.97</v>
      </c>
      <c r="F216" s="1">
        <f ca="1">IFERROR(__xludf.DUMMYFUNCTION("""COMPUTED_VALUE"""),4092165)</f>
        <v>4092165</v>
      </c>
    </row>
    <row r="217" spans="1:6" x14ac:dyDescent="0.35">
      <c r="A217" s="2">
        <f ca="1">IFERROR(__xludf.DUMMYFUNCTION("""COMPUTED_VALUE"""),42317.6666666666)</f>
        <v>42317.666666666599</v>
      </c>
      <c r="B217" s="1">
        <f ca="1">IFERROR(__xludf.DUMMYFUNCTION("""COMPUTED_VALUE"""),32.93)</f>
        <v>32.93</v>
      </c>
      <c r="C217" s="1">
        <f ca="1">IFERROR(__xludf.DUMMYFUNCTION("""COMPUTED_VALUE"""),33.1)</f>
        <v>33.1</v>
      </c>
      <c r="D217" s="1">
        <f ca="1">IFERROR(__xludf.DUMMYFUNCTION("""COMPUTED_VALUE"""),32.39)</f>
        <v>32.39</v>
      </c>
      <c r="E217" s="1">
        <f ca="1">IFERROR(__xludf.DUMMYFUNCTION("""COMPUTED_VALUE"""),32.77)</f>
        <v>32.770000000000003</v>
      </c>
      <c r="F217" s="1">
        <f ca="1">IFERROR(__xludf.DUMMYFUNCTION("""COMPUTED_VALUE"""),4048823)</f>
        <v>4048823</v>
      </c>
    </row>
    <row r="218" spans="1:6" x14ac:dyDescent="0.35">
      <c r="A218" s="2">
        <f ca="1">IFERROR(__xludf.DUMMYFUNCTION("""COMPUTED_VALUE"""),42318.6666666666)</f>
        <v>42318.666666666599</v>
      </c>
      <c r="B218" s="1">
        <f ca="1">IFERROR(__xludf.DUMMYFUNCTION("""COMPUTED_VALUE"""),32.55)</f>
        <v>32.549999999999997</v>
      </c>
      <c r="C218" s="1">
        <f ca="1">IFERROR(__xludf.DUMMYFUNCTION("""COMPUTED_VALUE"""),33)</f>
        <v>33</v>
      </c>
      <c r="D218" s="1">
        <f ca="1">IFERROR(__xludf.DUMMYFUNCTION("""COMPUTED_VALUE"""),32.36)</f>
        <v>32.36</v>
      </c>
      <c r="E218" s="1">
        <f ca="1">IFERROR(__xludf.DUMMYFUNCTION("""COMPUTED_VALUE"""),32.98)</f>
        <v>32.979999999999997</v>
      </c>
      <c r="F218" s="1">
        <f ca="1">IFERROR(__xludf.DUMMYFUNCTION("""COMPUTED_VALUE"""),3489483)</f>
        <v>3489483</v>
      </c>
    </row>
    <row r="219" spans="1:6" x14ac:dyDescent="0.35">
      <c r="A219" s="2">
        <f ca="1">IFERROR(__xludf.DUMMYFUNCTION("""COMPUTED_VALUE"""),42319.6666666666)</f>
        <v>42319.666666666599</v>
      </c>
      <c r="B219" s="1">
        <f ca="1">IFERROR(__xludf.DUMMYFUNCTION("""COMPUTED_VALUE"""),33.16)</f>
        <v>33.159999999999997</v>
      </c>
      <c r="C219" s="1">
        <f ca="1">IFERROR(__xludf.DUMMYFUNCTION("""COMPUTED_VALUE"""),33.8)</f>
        <v>33.799999999999997</v>
      </c>
      <c r="D219" s="1">
        <f ca="1">IFERROR(__xludf.DUMMYFUNCTION("""COMPUTED_VALUE"""),33.16)</f>
        <v>33.159999999999997</v>
      </c>
      <c r="E219" s="1">
        <f ca="1">IFERROR(__xludf.DUMMYFUNCTION("""COMPUTED_VALUE"""),33.66)</f>
        <v>33.659999999999997</v>
      </c>
      <c r="F219" s="1">
        <f ca="1">IFERROR(__xludf.DUMMYFUNCTION("""COMPUTED_VALUE"""),5387309)</f>
        <v>5387309</v>
      </c>
    </row>
    <row r="220" spans="1:6" x14ac:dyDescent="0.35">
      <c r="A220" s="2">
        <f ca="1">IFERROR(__xludf.DUMMYFUNCTION("""COMPUTED_VALUE"""),42320.6666666666)</f>
        <v>42320.666666666599</v>
      </c>
      <c r="B220" s="1">
        <f ca="1">IFERROR(__xludf.DUMMYFUNCTION("""COMPUTED_VALUE"""),33.65)</f>
        <v>33.65</v>
      </c>
      <c r="C220" s="1">
        <f ca="1">IFERROR(__xludf.DUMMYFUNCTION("""COMPUTED_VALUE"""),33.78)</f>
        <v>33.78</v>
      </c>
      <c r="D220" s="1">
        <f ca="1">IFERROR(__xludf.DUMMYFUNCTION("""COMPUTED_VALUE"""),33.21)</f>
        <v>33.21</v>
      </c>
      <c r="E220" s="1">
        <f ca="1">IFERROR(__xludf.DUMMYFUNCTION("""COMPUTED_VALUE"""),33.28)</f>
        <v>33.28</v>
      </c>
      <c r="F220" s="1">
        <f ca="1">IFERROR(__xludf.DUMMYFUNCTION("""COMPUTED_VALUE"""),4284678)</f>
        <v>4284678</v>
      </c>
    </row>
    <row r="221" spans="1:6" x14ac:dyDescent="0.35">
      <c r="A221" s="2">
        <f ca="1">IFERROR(__xludf.DUMMYFUNCTION("""COMPUTED_VALUE"""),42321.6666666666)</f>
        <v>42321.666666666599</v>
      </c>
      <c r="B221" s="1">
        <f ca="1">IFERROR(__xludf.DUMMYFUNCTION("""COMPUTED_VALUE"""),33.18)</f>
        <v>33.18</v>
      </c>
      <c r="C221" s="1">
        <f ca="1">IFERROR(__xludf.DUMMYFUNCTION("""COMPUTED_VALUE"""),33.35)</f>
        <v>33.35</v>
      </c>
      <c r="D221" s="1">
        <f ca="1">IFERROR(__xludf.DUMMYFUNCTION("""COMPUTED_VALUE"""),32.02)</f>
        <v>32.020000000000003</v>
      </c>
      <c r="E221" s="1">
        <f ca="1">IFERROR(__xludf.DUMMYFUNCTION("""COMPUTED_VALUE"""),32.12)</f>
        <v>32.119999999999997</v>
      </c>
      <c r="F221" s="1">
        <f ca="1">IFERROR(__xludf.DUMMYFUNCTION("""COMPUTED_VALUE"""),6261076)</f>
        <v>6261076</v>
      </c>
    </row>
    <row r="222" spans="1:6" x14ac:dyDescent="0.35">
      <c r="A222" s="2">
        <f ca="1">IFERROR(__xludf.DUMMYFUNCTION("""COMPUTED_VALUE"""),42324.6666666666)</f>
        <v>42324.666666666599</v>
      </c>
      <c r="B222" s="1">
        <f ca="1">IFERROR(__xludf.DUMMYFUNCTION("""COMPUTED_VALUE"""),32.05)</f>
        <v>32.049999999999997</v>
      </c>
      <c r="C222" s="1">
        <f ca="1">IFERROR(__xludf.DUMMYFUNCTION("""COMPUTED_VALUE"""),32.5)</f>
        <v>32.5</v>
      </c>
      <c r="D222" s="1">
        <f ca="1">IFERROR(__xludf.DUMMYFUNCTION("""COMPUTED_VALUE"""),31.11)</f>
        <v>31.11</v>
      </c>
      <c r="E222" s="1">
        <f ca="1">IFERROR(__xludf.DUMMYFUNCTION("""COMPUTED_VALUE"""),32.39)</f>
        <v>32.39</v>
      </c>
      <c r="F222" s="1">
        <f ca="1">IFERROR(__xludf.DUMMYFUNCTION("""COMPUTED_VALUE"""),7435934)</f>
        <v>7435934</v>
      </c>
    </row>
    <row r="223" spans="1:6" x14ac:dyDescent="0.35">
      <c r="A223" s="2">
        <f ca="1">IFERROR(__xludf.DUMMYFUNCTION("""COMPUTED_VALUE"""),42325.6666666666)</f>
        <v>42325.666666666599</v>
      </c>
      <c r="B223" s="1">
        <f ca="1">IFERROR(__xludf.DUMMYFUNCTION("""COMPUTED_VALUE"""),32.53)</f>
        <v>32.53</v>
      </c>
      <c r="C223" s="1">
        <f ca="1">IFERROR(__xludf.DUMMYFUNCTION("""COMPUTED_VALUE"""),32.66)</f>
        <v>32.659999999999997</v>
      </c>
      <c r="D223" s="1">
        <f ca="1">IFERROR(__xludf.DUMMYFUNCTION("""COMPUTED_VALUE"""),32.05)</f>
        <v>32.049999999999997</v>
      </c>
      <c r="E223" s="1">
        <f ca="1">IFERROR(__xludf.DUMMYFUNCTION("""COMPUTED_VALUE"""),32.17)</f>
        <v>32.17</v>
      </c>
      <c r="F223" s="1">
        <f ca="1">IFERROR(__xludf.DUMMYFUNCTION("""COMPUTED_VALUE"""),4320177)</f>
        <v>4320177</v>
      </c>
    </row>
    <row r="224" spans="1:6" x14ac:dyDescent="0.35">
      <c r="A224" s="2">
        <f ca="1">IFERROR(__xludf.DUMMYFUNCTION("""COMPUTED_VALUE"""),42326.6666666666)</f>
        <v>42326.666666666599</v>
      </c>
      <c r="B224" s="1">
        <f ca="1">IFERROR(__xludf.DUMMYFUNCTION("""COMPUTED_VALUE"""),32.33)</f>
        <v>32.33</v>
      </c>
      <c r="C224" s="1">
        <f ca="1">IFERROR(__xludf.DUMMYFUNCTION("""COMPUTED_VALUE"""),33.24)</f>
        <v>33.24</v>
      </c>
      <c r="D224" s="1">
        <f ca="1">IFERROR(__xludf.DUMMYFUNCTION("""COMPUTED_VALUE"""),32.32)</f>
        <v>32.32</v>
      </c>
      <c r="E224" s="1">
        <f ca="1">IFERROR(__xludf.DUMMYFUNCTION("""COMPUTED_VALUE"""),33.18)</f>
        <v>33.18</v>
      </c>
      <c r="F224" s="1">
        <f ca="1">IFERROR(__xludf.DUMMYFUNCTION("""COMPUTED_VALUE"""),4469769)</f>
        <v>4469769</v>
      </c>
    </row>
    <row r="225" spans="1:6" x14ac:dyDescent="0.35">
      <c r="A225" s="2">
        <f ca="1">IFERROR(__xludf.DUMMYFUNCTION("""COMPUTED_VALUE"""),42327.6666666666)</f>
        <v>42327.666666666599</v>
      </c>
      <c r="B225" s="1">
        <f ca="1">IFERROR(__xludf.DUMMYFUNCTION("""COMPUTED_VALUE"""),33.25)</f>
        <v>33.25</v>
      </c>
      <c r="C225" s="1">
        <f ca="1">IFERROR(__xludf.DUMMYFUNCTION("""COMPUTED_VALUE"""),33.64)</f>
        <v>33.64</v>
      </c>
      <c r="D225" s="1">
        <f ca="1">IFERROR(__xludf.DUMMYFUNCTION("""COMPUTED_VALUE"""),32.95)</f>
        <v>32.950000000000003</v>
      </c>
      <c r="E225" s="1">
        <f ca="1">IFERROR(__xludf.DUMMYFUNCTION("""COMPUTED_VALUE"""),33.06)</f>
        <v>33.06</v>
      </c>
      <c r="F225" s="1">
        <f ca="1">IFERROR(__xludf.DUMMYFUNCTION("""COMPUTED_VALUE"""),4705237)</f>
        <v>4705237</v>
      </c>
    </row>
    <row r="226" spans="1:6" x14ac:dyDescent="0.35">
      <c r="A226" s="2">
        <f ca="1">IFERROR(__xludf.DUMMYFUNCTION("""COMPUTED_VALUE"""),42328.6666666666)</f>
        <v>42328.666666666599</v>
      </c>
      <c r="B226" s="1">
        <f ca="1">IFERROR(__xludf.DUMMYFUNCTION("""COMPUTED_VALUE"""),33.4)</f>
        <v>33.4</v>
      </c>
      <c r="C226" s="1">
        <f ca="1">IFERROR(__xludf.DUMMYFUNCTION("""COMPUTED_VALUE"""),33.44)</f>
        <v>33.44</v>
      </c>
      <c r="D226" s="1">
        <f ca="1">IFERROR(__xludf.DUMMYFUNCTION("""COMPUTED_VALUE"""),32.88)</f>
        <v>32.880000000000003</v>
      </c>
      <c r="E226" s="1">
        <f ca="1">IFERROR(__xludf.DUMMYFUNCTION("""COMPUTED_VALUE"""),33.42)</f>
        <v>33.42</v>
      </c>
      <c r="F226" s="1">
        <f ca="1">IFERROR(__xludf.DUMMYFUNCTION("""COMPUTED_VALUE"""),3896135)</f>
        <v>3896135</v>
      </c>
    </row>
    <row r="227" spans="1:6" x14ac:dyDescent="0.35">
      <c r="A227" s="2">
        <f ca="1">IFERROR(__xludf.DUMMYFUNCTION("""COMPUTED_VALUE"""),42331.6666666666)</f>
        <v>42331.666666666599</v>
      </c>
      <c r="B227" s="1">
        <f ca="1">IFERROR(__xludf.DUMMYFUNCTION("""COMPUTED_VALUE"""),33.58)</f>
        <v>33.58</v>
      </c>
      <c r="C227" s="1">
        <f ca="1">IFERROR(__xludf.DUMMYFUNCTION("""COMPUTED_VALUE"""),34.14)</f>
        <v>34.14</v>
      </c>
      <c r="D227" s="1">
        <f ca="1">IFERROR(__xludf.DUMMYFUNCTION("""COMPUTED_VALUE"""),33.42)</f>
        <v>33.42</v>
      </c>
      <c r="E227" s="1">
        <f ca="1">IFERROR(__xludf.DUMMYFUNCTION("""COMPUTED_VALUE"""),33.95)</f>
        <v>33.950000000000003</v>
      </c>
      <c r="F227" s="1">
        <f ca="1">IFERROR(__xludf.DUMMYFUNCTION("""COMPUTED_VALUE"""),4385057)</f>
        <v>4385057</v>
      </c>
    </row>
    <row r="228" spans="1:6" x14ac:dyDescent="0.35">
      <c r="A228" s="2">
        <f ca="1">IFERROR(__xludf.DUMMYFUNCTION("""COMPUTED_VALUE"""),42332.6666666666)</f>
        <v>42332.666666666599</v>
      </c>
      <c r="B228" s="1">
        <f ca="1">IFERROR(__xludf.DUMMYFUNCTION("""COMPUTED_VALUE"""),33.71)</f>
        <v>33.71</v>
      </c>
      <c r="C228" s="1">
        <f ca="1">IFERROR(__xludf.DUMMYFUNCTION("""COMPUTED_VALUE"""),33.79)</f>
        <v>33.79</v>
      </c>
      <c r="D228" s="1">
        <f ca="1">IFERROR(__xludf.DUMMYFUNCTION("""COMPUTED_VALUE"""),33.06)</f>
        <v>33.06</v>
      </c>
      <c r="E228" s="1">
        <f ca="1">IFERROR(__xludf.DUMMYFUNCTION("""COMPUTED_VALUE"""),33.56)</f>
        <v>33.56</v>
      </c>
      <c r="F228" s="1">
        <f ca="1">IFERROR(__xludf.DUMMYFUNCTION("""COMPUTED_VALUE"""),4543417)</f>
        <v>4543417</v>
      </c>
    </row>
    <row r="229" spans="1:6" x14ac:dyDescent="0.35">
      <c r="A229" s="2">
        <f ca="1">IFERROR(__xludf.DUMMYFUNCTION("""COMPUTED_VALUE"""),42333.6666666666)</f>
        <v>42333.666666666599</v>
      </c>
      <c r="B229" s="1">
        <f ca="1">IFERROR(__xludf.DUMMYFUNCTION("""COMPUTED_VALUE"""),33.75)</f>
        <v>33.75</v>
      </c>
      <c r="C229" s="1">
        <f ca="1">IFERROR(__xludf.DUMMYFUNCTION("""COMPUTED_VALUE"""),33.99)</f>
        <v>33.99</v>
      </c>
      <c r="D229" s="1">
        <f ca="1">IFERROR(__xludf.DUMMYFUNCTION("""COMPUTED_VALUE"""),33.56)</f>
        <v>33.56</v>
      </c>
      <c r="E229" s="1">
        <f ca="1">IFERROR(__xludf.DUMMYFUNCTION("""COMPUTED_VALUE"""),33.77)</f>
        <v>33.770000000000003</v>
      </c>
      <c r="F229" s="1">
        <f ca="1">IFERROR(__xludf.DUMMYFUNCTION("""COMPUTED_VALUE"""),2697889)</f>
        <v>2697889</v>
      </c>
    </row>
    <row r="230" spans="1:6" x14ac:dyDescent="0.35">
      <c r="A230" s="2">
        <f ca="1">IFERROR(__xludf.DUMMYFUNCTION("""COMPUTED_VALUE"""),42335.6666666666)</f>
        <v>42335.666666666599</v>
      </c>
      <c r="B230" s="1">
        <f ca="1">IFERROR(__xludf.DUMMYFUNCTION("""COMPUTED_VALUE"""),34.04)</f>
        <v>34.04</v>
      </c>
      <c r="C230" s="1">
        <f ca="1">IFERROR(__xludf.DUMMYFUNCTION("""COMPUTED_VALUE"""),34.05)</f>
        <v>34.049999999999997</v>
      </c>
      <c r="D230" s="1">
        <f ca="1">IFERROR(__xludf.DUMMYFUNCTION("""COMPUTED_VALUE"""),33.6)</f>
        <v>33.6</v>
      </c>
      <c r="E230" s="1">
        <f ca="1">IFERROR(__xludf.DUMMYFUNCTION("""COMPUTED_VALUE"""),33.66)</f>
        <v>33.659999999999997</v>
      </c>
      <c r="F230" s="1">
        <f ca="1">IFERROR(__xludf.DUMMYFUNCTION("""COMPUTED_VALUE"""),1966801)</f>
        <v>1966801</v>
      </c>
    </row>
    <row r="231" spans="1:6" x14ac:dyDescent="0.35">
      <c r="A231" s="2">
        <f ca="1">IFERROR(__xludf.DUMMYFUNCTION("""COMPUTED_VALUE"""),42338.6666666666)</f>
        <v>42338.666666666599</v>
      </c>
      <c r="B231" s="1">
        <f ca="1">IFERROR(__xludf.DUMMYFUNCTION("""COMPUTED_VALUE"""),33.8)</f>
        <v>33.799999999999997</v>
      </c>
      <c r="C231" s="1">
        <f ca="1">IFERROR(__xludf.DUMMYFUNCTION("""COMPUTED_VALUE"""),34.06)</f>
        <v>34.06</v>
      </c>
      <c r="D231" s="1">
        <f ca="1">IFERROR(__xludf.DUMMYFUNCTION("""COMPUTED_VALUE"""),33.23)</f>
        <v>33.229999999999997</v>
      </c>
      <c r="E231" s="1">
        <f ca="1">IFERROR(__xludf.DUMMYFUNCTION("""COMPUTED_VALUE"""),33.24)</f>
        <v>33.24</v>
      </c>
      <c r="F231" s="1">
        <f ca="1">IFERROR(__xludf.DUMMYFUNCTION("""COMPUTED_VALUE"""),5693172)</f>
        <v>5693172</v>
      </c>
    </row>
    <row r="232" spans="1:6" x14ac:dyDescent="0.35">
      <c r="A232" s="2">
        <f ca="1">IFERROR(__xludf.DUMMYFUNCTION("""COMPUTED_VALUE"""),42339.6666666666)</f>
        <v>42339.666666666599</v>
      </c>
      <c r="B232" s="1">
        <f ca="1">IFERROR(__xludf.DUMMYFUNCTION("""COMPUTED_VALUE"""),33.69)</f>
        <v>33.69</v>
      </c>
      <c r="C232" s="1">
        <f ca="1">IFERROR(__xludf.DUMMYFUNCTION("""COMPUTED_VALUE"""),34.05)</f>
        <v>34.049999999999997</v>
      </c>
      <c r="D232" s="1">
        <f ca="1">IFERROR(__xludf.DUMMYFUNCTION("""COMPUTED_VALUE"""),33.39)</f>
        <v>33.39</v>
      </c>
      <c r="E232" s="1">
        <f ca="1">IFERROR(__xludf.DUMMYFUNCTION("""COMPUTED_VALUE"""),33.95)</f>
        <v>33.950000000000003</v>
      </c>
      <c r="F232" s="1">
        <f ca="1">IFERROR(__xludf.DUMMYFUNCTION("""COMPUTED_VALUE"""),4751152)</f>
        <v>4751152</v>
      </c>
    </row>
    <row r="233" spans="1:6" x14ac:dyDescent="0.35">
      <c r="A233" s="2">
        <f ca="1">IFERROR(__xludf.DUMMYFUNCTION("""COMPUTED_VALUE"""),42340.6666666666)</f>
        <v>42340.666666666599</v>
      </c>
      <c r="B233" s="1">
        <f ca="1">IFERROR(__xludf.DUMMYFUNCTION("""COMPUTED_VALUE"""),34.05)</f>
        <v>34.049999999999997</v>
      </c>
      <c r="C233" s="1">
        <f ca="1">IFERROR(__xludf.DUMMYFUNCTION("""COMPUTED_VALUE"""),34.24)</f>
        <v>34.24</v>
      </c>
      <c r="D233" s="1">
        <f ca="1">IFERROR(__xludf.DUMMYFUNCTION("""COMPUTED_VALUE"""),33.71)</f>
        <v>33.71</v>
      </c>
      <c r="E233" s="1">
        <f ca="1">IFERROR(__xludf.DUMMYFUNCTION("""COMPUTED_VALUE"""),33.8)</f>
        <v>33.799999999999997</v>
      </c>
      <c r="F233" s="1">
        <f ca="1">IFERROR(__xludf.DUMMYFUNCTION("""COMPUTED_VALUE"""),4273526)</f>
        <v>4273526</v>
      </c>
    </row>
    <row r="234" spans="1:6" x14ac:dyDescent="0.35">
      <c r="A234" s="2">
        <f ca="1">IFERROR(__xludf.DUMMYFUNCTION("""COMPUTED_VALUE"""),42341.6666666666)</f>
        <v>42341.666666666599</v>
      </c>
      <c r="B234" s="1">
        <f ca="1">IFERROR(__xludf.DUMMYFUNCTION("""COMPUTED_VALUE"""),33.97)</f>
        <v>33.97</v>
      </c>
      <c r="C234" s="1">
        <f ca="1">IFERROR(__xludf.DUMMYFUNCTION("""COMPUTED_VALUE"""),34.14)</f>
        <v>34.14</v>
      </c>
      <c r="D234" s="1">
        <f ca="1">IFERROR(__xludf.DUMMYFUNCTION("""COMPUTED_VALUE"""),33.07)</f>
        <v>33.07</v>
      </c>
      <c r="E234" s="1">
        <f ca="1">IFERROR(__xludf.DUMMYFUNCTION("""COMPUTED_VALUE"""),33.31)</f>
        <v>33.31</v>
      </c>
      <c r="F234" s="1">
        <f ca="1">IFERROR(__xludf.DUMMYFUNCTION("""COMPUTED_VALUE"""),5064736)</f>
        <v>5064736</v>
      </c>
    </row>
    <row r="235" spans="1:6" x14ac:dyDescent="0.35">
      <c r="A235" s="2">
        <f ca="1">IFERROR(__xludf.DUMMYFUNCTION("""COMPUTED_VALUE"""),42342.6666666666)</f>
        <v>42342.666666666599</v>
      </c>
      <c r="B235" s="1">
        <f ca="1">IFERROR(__xludf.DUMMYFUNCTION("""COMPUTED_VALUE"""),33.3)</f>
        <v>33.299999999999997</v>
      </c>
      <c r="C235" s="1">
        <f ca="1">IFERROR(__xludf.DUMMYFUNCTION("""COMPUTED_VALUE"""),33.74)</f>
        <v>33.74</v>
      </c>
      <c r="D235" s="1">
        <f ca="1">IFERROR(__xludf.DUMMYFUNCTION("""COMPUTED_VALUE"""),33.07)</f>
        <v>33.07</v>
      </c>
      <c r="E235" s="1">
        <f ca="1">IFERROR(__xludf.DUMMYFUNCTION("""COMPUTED_VALUE"""),33.63)</f>
        <v>33.630000000000003</v>
      </c>
      <c r="F235" s="1">
        <f ca="1">IFERROR(__xludf.DUMMYFUNCTION("""COMPUTED_VALUE"""),4534796)</f>
        <v>4534796</v>
      </c>
    </row>
    <row r="236" spans="1:6" x14ac:dyDescent="0.35">
      <c r="A236" s="2">
        <f ca="1">IFERROR(__xludf.DUMMYFUNCTION("""COMPUTED_VALUE"""),42345.6666666666)</f>
        <v>42345.666666666599</v>
      </c>
      <c r="B236" s="1">
        <f ca="1">IFERROR(__xludf.DUMMYFUNCTION("""COMPUTED_VALUE"""),33.74)</f>
        <v>33.74</v>
      </c>
      <c r="C236" s="1">
        <f ca="1">IFERROR(__xludf.DUMMYFUNCTION("""COMPUTED_VALUE"""),33.77)</f>
        <v>33.770000000000003</v>
      </c>
      <c r="D236" s="1">
        <f ca="1">IFERROR(__xludf.DUMMYFUNCTION("""COMPUTED_VALUE"""),33.03)</f>
        <v>33.03</v>
      </c>
      <c r="E236" s="1">
        <f ca="1">IFERROR(__xludf.DUMMYFUNCTION("""COMPUTED_VALUE"""),33.49)</f>
        <v>33.49</v>
      </c>
      <c r="F236" s="1">
        <f ca="1">IFERROR(__xludf.DUMMYFUNCTION("""COMPUTED_VALUE"""),3732814)</f>
        <v>3732814</v>
      </c>
    </row>
    <row r="237" spans="1:6" x14ac:dyDescent="0.35">
      <c r="A237" s="2">
        <f ca="1">IFERROR(__xludf.DUMMYFUNCTION("""COMPUTED_VALUE"""),42346.6666666666)</f>
        <v>42346.666666666599</v>
      </c>
      <c r="B237" s="1">
        <f ca="1">IFERROR(__xludf.DUMMYFUNCTION("""COMPUTED_VALUE"""),33.16)</f>
        <v>33.159999999999997</v>
      </c>
      <c r="C237" s="1">
        <f ca="1">IFERROR(__xludf.DUMMYFUNCTION("""COMPUTED_VALUE"""),34)</f>
        <v>34</v>
      </c>
      <c r="D237" s="1">
        <f ca="1">IFERROR(__xludf.DUMMYFUNCTION("""COMPUTED_VALUE"""),32.99)</f>
        <v>32.99</v>
      </c>
      <c r="E237" s="1">
        <f ca="1">IFERROR(__xludf.DUMMYFUNCTION("""COMPUTED_VALUE"""),33.87)</f>
        <v>33.869999999999997</v>
      </c>
      <c r="F237" s="1">
        <f ca="1">IFERROR(__xludf.DUMMYFUNCTION("""COMPUTED_VALUE"""),3651908)</f>
        <v>3651908</v>
      </c>
    </row>
    <row r="238" spans="1:6" x14ac:dyDescent="0.35">
      <c r="A238" s="2">
        <f ca="1">IFERROR(__xludf.DUMMYFUNCTION("""COMPUTED_VALUE"""),42347.6666666666)</f>
        <v>42347.666666666599</v>
      </c>
      <c r="B238" s="1">
        <f ca="1">IFERROR(__xludf.DUMMYFUNCTION("""COMPUTED_VALUE"""),33.9)</f>
        <v>33.9</v>
      </c>
      <c r="C238" s="1">
        <f ca="1">IFERROR(__xludf.DUMMYFUNCTION("""COMPUTED_VALUE"""),33.95)</f>
        <v>33.950000000000003</v>
      </c>
      <c r="D238" s="1">
        <f ca="1">IFERROR(__xludf.DUMMYFUNCTION("""COMPUTED_VALUE"""),32.78)</f>
        <v>32.78</v>
      </c>
      <c r="E238" s="1">
        <f ca="1">IFERROR(__xludf.DUMMYFUNCTION("""COMPUTED_VALUE"""),33.24)</f>
        <v>33.24</v>
      </c>
      <c r="F238" s="1">
        <f ca="1">IFERROR(__xludf.DUMMYFUNCTION("""COMPUTED_VALUE"""),5158172)</f>
        <v>5158172</v>
      </c>
    </row>
    <row r="239" spans="1:6" x14ac:dyDescent="0.35">
      <c r="A239" s="2">
        <f ca="1">IFERROR(__xludf.DUMMYFUNCTION("""COMPUTED_VALUE"""),42348.6666666666)</f>
        <v>42348.666666666599</v>
      </c>
      <c r="B239" s="1">
        <f ca="1">IFERROR(__xludf.DUMMYFUNCTION("""COMPUTED_VALUE"""),33.28)</f>
        <v>33.28</v>
      </c>
      <c r="C239" s="1">
        <f ca="1">IFERROR(__xludf.DUMMYFUNCTION("""COMPUTED_VALUE"""),33.43)</f>
        <v>33.43</v>
      </c>
      <c r="D239" s="1">
        <f ca="1">IFERROR(__xludf.DUMMYFUNCTION("""COMPUTED_VALUE"""),32.98)</f>
        <v>32.979999999999997</v>
      </c>
      <c r="E239" s="1">
        <f ca="1">IFERROR(__xludf.DUMMYFUNCTION("""COMPUTED_VALUE"""),33.12)</f>
        <v>33.119999999999997</v>
      </c>
      <c r="F239" s="1">
        <f ca="1">IFERROR(__xludf.DUMMYFUNCTION("""COMPUTED_VALUE"""),3455472)</f>
        <v>3455472</v>
      </c>
    </row>
    <row r="240" spans="1:6" x14ac:dyDescent="0.35">
      <c r="A240" s="2">
        <f ca="1">IFERROR(__xludf.DUMMYFUNCTION("""COMPUTED_VALUE"""),42349.6666666666)</f>
        <v>42349.666666666599</v>
      </c>
      <c r="B240" s="1">
        <f ca="1">IFERROR(__xludf.DUMMYFUNCTION("""COMPUTED_VALUE"""),32.56)</f>
        <v>32.56</v>
      </c>
      <c r="C240" s="1">
        <f ca="1">IFERROR(__xludf.DUMMYFUNCTION("""COMPUTED_VALUE"""),32.89)</f>
        <v>32.89</v>
      </c>
      <c r="D240" s="1">
        <f ca="1">IFERROR(__xludf.DUMMYFUNCTION("""COMPUTED_VALUE"""),31.98)</f>
        <v>31.98</v>
      </c>
      <c r="E240" s="1">
        <f ca="1">IFERROR(__xludf.DUMMYFUNCTION("""COMPUTED_VALUE"""),32.01)</f>
        <v>32.01</v>
      </c>
      <c r="F240" s="1">
        <f ca="1">IFERROR(__xludf.DUMMYFUNCTION("""COMPUTED_VALUE"""),5474420)</f>
        <v>5474420</v>
      </c>
    </row>
    <row r="241" spans="1:6" x14ac:dyDescent="0.35">
      <c r="A241" s="2">
        <f ca="1">IFERROR(__xludf.DUMMYFUNCTION("""COMPUTED_VALUE"""),42352.6666666666)</f>
        <v>42352.666666666599</v>
      </c>
      <c r="B241" s="1">
        <f ca="1">IFERROR(__xludf.DUMMYFUNCTION("""COMPUTED_VALUE"""),32.09)</f>
        <v>32.090000000000003</v>
      </c>
      <c r="C241" s="1">
        <f ca="1">IFERROR(__xludf.DUMMYFUNCTION("""COMPUTED_VALUE"""),32.93)</f>
        <v>32.93</v>
      </c>
      <c r="D241" s="1">
        <f ca="1">IFERROR(__xludf.DUMMYFUNCTION("""COMPUTED_VALUE"""),31.76)</f>
        <v>31.76</v>
      </c>
      <c r="E241" s="1">
        <f ca="1">IFERROR(__xludf.DUMMYFUNCTION("""COMPUTED_VALUE"""),32.9)</f>
        <v>32.9</v>
      </c>
      <c r="F241" s="1">
        <f ca="1">IFERROR(__xludf.DUMMYFUNCTION("""COMPUTED_VALUE"""),4361273)</f>
        <v>4361273</v>
      </c>
    </row>
    <row r="242" spans="1:6" x14ac:dyDescent="0.35">
      <c r="A242" s="2">
        <f ca="1">IFERROR(__xludf.DUMMYFUNCTION("""COMPUTED_VALUE"""),42353.6666666666)</f>
        <v>42353.666666666599</v>
      </c>
      <c r="B242" s="1">
        <f ca="1">IFERROR(__xludf.DUMMYFUNCTION("""COMPUTED_VALUE"""),33.25)</f>
        <v>33.25</v>
      </c>
      <c r="C242" s="1">
        <f ca="1">IFERROR(__xludf.DUMMYFUNCTION("""COMPUTED_VALUE"""),33.58)</f>
        <v>33.58</v>
      </c>
      <c r="D242" s="1">
        <f ca="1">IFERROR(__xludf.DUMMYFUNCTION("""COMPUTED_VALUE"""),32.87)</f>
        <v>32.869999999999997</v>
      </c>
      <c r="E242" s="1">
        <f ca="1">IFERROR(__xludf.DUMMYFUNCTION("""COMPUTED_VALUE"""),32.93)</f>
        <v>32.93</v>
      </c>
      <c r="F242" s="1">
        <f ca="1">IFERROR(__xludf.DUMMYFUNCTION("""COMPUTED_VALUE"""),4753415)</f>
        <v>4753415</v>
      </c>
    </row>
    <row r="243" spans="1:6" x14ac:dyDescent="0.35">
      <c r="A243" s="2">
        <f ca="1">IFERROR(__xludf.DUMMYFUNCTION("""COMPUTED_VALUE"""),42354.6666666666)</f>
        <v>42354.666666666599</v>
      </c>
      <c r="B243" s="1">
        <f ca="1">IFERROR(__xludf.DUMMYFUNCTION("""COMPUTED_VALUE"""),33.18)</f>
        <v>33.18</v>
      </c>
      <c r="C243" s="1">
        <f ca="1">IFERROR(__xludf.DUMMYFUNCTION("""COMPUTED_VALUE"""),33.87)</f>
        <v>33.869999999999997</v>
      </c>
      <c r="D243" s="1">
        <f ca="1">IFERROR(__xludf.DUMMYFUNCTION("""COMPUTED_VALUE"""),32.97)</f>
        <v>32.97</v>
      </c>
      <c r="E243" s="1">
        <f ca="1">IFERROR(__xludf.DUMMYFUNCTION("""COMPUTED_VALUE"""),33.79)</f>
        <v>33.79</v>
      </c>
      <c r="F243" s="1">
        <f ca="1">IFERROR(__xludf.DUMMYFUNCTION("""COMPUTED_VALUE"""),3964470)</f>
        <v>3964470</v>
      </c>
    </row>
    <row r="244" spans="1:6" x14ac:dyDescent="0.35">
      <c r="A244" s="2">
        <f ca="1">IFERROR(__xludf.DUMMYFUNCTION("""COMPUTED_VALUE"""),42355.6666666666)</f>
        <v>42355.666666666599</v>
      </c>
      <c r="B244" s="1">
        <f ca="1">IFERROR(__xludf.DUMMYFUNCTION("""COMPUTED_VALUE"""),34)</f>
        <v>34</v>
      </c>
      <c r="C244" s="1">
        <f ca="1">IFERROR(__xludf.DUMMYFUNCTION("""COMPUTED_VALUE"""),34.13)</f>
        <v>34.130000000000003</v>
      </c>
      <c r="D244" s="1">
        <f ca="1">IFERROR(__xludf.DUMMYFUNCTION("""COMPUTED_VALUE"""),33.53)</f>
        <v>33.53</v>
      </c>
      <c r="E244" s="1">
        <f ca="1">IFERROR(__xludf.DUMMYFUNCTION("""COMPUTED_VALUE"""),33.53)</f>
        <v>33.53</v>
      </c>
      <c r="F244" s="1">
        <f ca="1">IFERROR(__xludf.DUMMYFUNCTION("""COMPUTED_VALUE"""),3681645)</f>
        <v>3681645</v>
      </c>
    </row>
    <row r="245" spans="1:6" x14ac:dyDescent="0.35">
      <c r="A245" s="2">
        <f ca="1">IFERROR(__xludf.DUMMYFUNCTION("""COMPUTED_VALUE"""),42356.6666666666)</f>
        <v>42356.666666666599</v>
      </c>
      <c r="B245" s="1">
        <f ca="1">IFERROR(__xludf.DUMMYFUNCTION("""COMPUTED_VALUE"""),33.43)</f>
        <v>33.43</v>
      </c>
      <c r="C245" s="1">
        <f ca="1">IFERROR(__xludf.DUMMYFUNCTION("""COMPUTED_VALUE"""),33.84)</f>
        <v>33.840000000000003</v>
      </c>
      <c r="D245" s="1">
        <f ca="1">IFERROR(__xludf.DUMMYFUNCTION("""COMPUTED_VALUE"""),33.21)</f>
        <v>33.21</v>
      </c>
      <c r="E245" s="1">
        <f ca="1">IFERROR(__xludf.DUMMYFUNCTION("""COMPUTED_VALUE"""),33.21)</f>
        <v>33.21</v>
      </c>
      <c r="F245" s="1">
        <f ca="1">IFERROR(__xludf.DUMMYFUNCTION("""COMPUTED_VALUE"""),6841304)</f>
        <v>6841304</v>
      </c>
    </row>
    <row r="246" spans="1:6" x14ac:dyDescent="0.35">
      <c r="A246" s="2">
        <f ca="1">IFERROR(__xludf.DUMMYFUNCTION("""COMPUTED_VALUE"""),42359.6666666666)</f>
        <v>42359.666666666599</v>
      </c>
      <c r="B246" s="1">
        <f ca="1">IFERROR(__xludf.DUMMYFUNCTION("""COMPUTED_VALUE"""),33.42)</f>
        <v>33.42</v>
      </c>
      <c r="C246" s="1">
        <f ca="1">IFERROR(__xludf.DUMMYFUNCTION("""COMPUTED_VALUE"""),33.49)</f>
        <v>33.49</v>
      </c>
      <c r="D246" s="1">
        <f ca="1">IFERROR(__xludf.DUMMYFUNCTION("""COMPUTED_VALUE"""),32.95)</f>
        <v>32.950000000000003</v>
      </c>
      <c r="E246" s="1">
        <f ca="1">IFERROR(__xludf.DUMMYFUNCTION("""COMPUTED_VALUE"""),33.23)</f>
        <v>33.229999999999997</v>
      </c>
      <c r="F246" s="1">
        <f ca="1">IFERROR(__xludf.DUMMYFUNCTION("""COMPUTED_VALUE"""),3250900)</f>
        <v>3250900</v>
      </c>
    </row>
    <row r="247" spans="1:6" x14ac:dyDescent="0.35">
      <c r="A247" s="2">
        <f ca="1">IFERROR(__xludf.DUMMYFUNCTION("""COMPUTED_VALUE"""),42360.6666666666)</f>
        <v>42360.666666666599</v>
      </c>
      <c r="B247" s="1">
        <f ca="1">IFERROR(__xludf.DUMMYFUNCTION("""COMPUTED_VALUE"""),33.34)</f>
        <v>33.340000000000003</v>
      </c>
      <c r="C247" s="1">
        <f ca="1">IFERROR(__xludf.DUMMYFUNCTION("""COMPUTED_VALUE"""),33.42)</f>
        <v>33.42</v>
      </c>
      <c r="D247" s="1">
        <f ca="1">IFERROR(__xludf.DUMMYFUNCTION("""COMPUTED_VALUE"""),32.96)</f>
        <v>32.96</v>
      </c>
      <c r="E247" s="1">
        <f ca="1">IFERROR(__xludf.DUMMYFUNCTION("""COMPUTED_VALUE"""),33.16)</f>
        <v>33.159999999999997</v>
      </c>
      <c r="F247" s="1">
        <f ca="1">IFERROR(__xludf.DUMMYFUNCTION("""COMPUTED_VALUE"""),2667795)</f>
        <v>2667795</v>
      </c>
    </row>
    <row r="248" spans="1:6" x14ac:dyDescent="0.35">
      <c r="A248" s="2">
        <f ca="1">IFERROR(__xludf.DUMMYFUNCTION("""COMPUTED_VALUE"""),42361.6666666666)</f>
        <v>42361.666666666599</v>
      </c>
      <c r="B248" s="1">
        <f ca="1">IFERROR(__xludf.DUMMYFUNCTION("""COMPUTED_VALUE"""),33.33)</f>
        <v>33.33</v>
      </c>
      <c r="C248" s="1">
        <f ca="1">IFERROR(__xludf.DUMMYFUNCTION("""COMPUTED_VALUE"""),33.33)</f>
        <v>33.33</v>
      </c>
      <c r="D248" s="1">
        <f ca="1">IFERROR(__xludf.DUMMYFUNCTION("""COMPUTED_VALUE"""),32.83)</f>
        <v>32.83</v>
      </c>
      <c r="E248" s="1">
        <f ca="1">IFERROR(__xludf.DUMMYFUNCTION("""COMPUTED_VALUE"""),33.19)</f>
        <v>33.19</v>
      </c>
      <c r="F248" s="1">
        <f ca="1">IFERROR(__xludf.DUMMYFUNCTION("""COMPUTED_VALUE"""),2722922)</f>
        <v>2722922</v>
      </c>
    </row>
    <row r="249" spans="1:6" x14ac:dyDescent="0.35">
      <c r="A249" s="2">
        <f ca="1">IFERROR(__xludf.DUMMYFUNCTION("""COMPUTED_VALUE"""),42362.6666666666)</f>
        <v>42362.666666666599</v>
      </c>
      <c r="B249" s="1">
        <f ca="1">IFERROR(__xludf.DUMMYFUNCTION("""COMPUTED_VALUE"""),33.17)</f>
        <v>33.17</v>
      </c>
      <c r="C249" s="1">
        <f ca="1">IFERROR(__xludf.DUMMYFUNCTION("""COMPUTED_VALUE"""),33.23)</f>
        <v>33.229999999999997</v>
      </c>
      <c r="D249" s="1">
        <f ca="1">IFERROR(__xludf.DUMMYFUNCTION("""COMPUTED_VALUE"""),33.03)</f>
        <v>33.03</v>
      </c>
      <c r="E249" s="1">
        <f ca="1">IFERROR(__xludf.DUMMYFUNCTION("""COMPUTED_VALUE"""),33.14)</f>
        <v>33.14</v>
      </c>
      <c r="F249" s="1">
        <f ca="1">IFERROR(__xludf.DUMMYFUNCTION("""COMPUTED_VALUE"""),1092970)</f>
        <v>1092970</v>
      </c>
    </row>
    <row r="250" spans="1:6" x14ac:dyDescent="0.35">
      <c r="A250" s="2">
        <f ca="1">IFERROR(__xludf.DUMMYFUNCTION("""COMPUTED_VALUE"""),42366.6666666666)</f>
        <v>42366.666666666599</v>
      </c>
      <c r="B250" s="1">
        <f ca="1">IFERROR(__xludf.DUMMYFUNCTION("""COMPUTED_VALUE"""),33.28)</f>
        <v>33.28</v>
      </c>
      <c r="C250" s="1">
        <f ca="1">IFERROR(__xludf.DUMMYFUNCTION("""COMPUTED_VALUE"""),33.78)</f>
        <v>33.78</v>
      </c>
      <c r="D250" s="1">
        <f ca="1">IFERROR(__xludf.DUMMYFUNCTION("""COMPUTED_VALUE"""),33.28)</f>
        <v>33.28</v>
      </c>
      <c r="E250" s="1">
        <f ca="1">IFERROR(__xludf.DUMMYFUNCTION("""COMPUTED_VALUE"""),33.76)</f>
        <v>33.76</v>
      </c>
      <c r="F250" s="1">
        <f ca="1">IFERROR(__xludf.DUMMYFUNCTION("""COMPUTED_VALUE"""),3783555)</f>
        <v>3783555</v>
      </c>
    </row>
    <row r="251" spans="1:6" x14ac:dyDescent="0.35">
      <c r="A251" s="2">
        <f ca="1">IFERROR(__xludf.DUMMYFUNCTION("""COMPUTED_VALUE"""),42367.6666666666)</f>
        <v>42367.666666666599</v>
      </c>
      <c r="B251" s="1">
        <f ca="1">IFERROR(__xludf.DUMMYFUNCTION("""COMPUTED_VALUE"""),33.9)</f>
        <v>33.9</v>
      </c>
      <c r="C251" s="1">
        <f ca="1">IFERROR(__xludf.DUMMYFUNCTION("""COMPUTED_VALUE"""),34.82)</f>
        <v>34.82</v>
      </c>
      <c r="D251" s="1">
        <f ca="1">IFERROR(__xludf.DUMMYFUNCTION("""COMPUTED_VALUE"""),33.89)</f>
        <v>33.89</v>
      </c>
      <c r="E251" s="1">
        <f ca="1">IFERROR(__xludf.DUMMYFUNCTION("""COMPUTED_VALUE"""),34.7)</f>
        <v>34.700000000000003</v>
      </c>
      <c r="F251" s="1">
        <f ca="1">IFERROR(__xludf.DUMMYFUNCTION("""COMPUTED_VALUE"""),5734996)</f>
        <v>5734996</v>
      </c>
    </row>
    <row r="252" spans="1:6" x14ac:dyDescent="0.35">
      <c r="A252" s="2">
        <f ca="1">IFERROR(__xludf.DUMMYFUNCTION("""COMPUTED_VALUE"""),42368.6666666666)</f>
        <v>42368.666666666599</v>
      </c>
      <c r="B252" s="1">
        <f ca="1">IFERROR(__xludf.DUMMYFUNCTION("""COMPUTED_VALUE"""),34.59)</f>
        <v>34.590000000000003</v>
      </c>
      <c r="C252" s="1">
        <f ca="1">IFERROR(__xludf.DUMMYFUNCTION("""COMPUTED_VALUE"""),34.77)</f>
        <v>34.770000000000003</v>
      </c>
      <c r="D252" s="1">
        <f ca="1">IFERROR(__xludf.DUMMYFUNCTION("""COMPUTED_VALUE"""),34.32)</f>
        <v>34.32</v>
      </c>
      <c r="E252" s="1">
        <f ca="1">IFERROR(__xludf.DUMMYFUNCTION("""COMPUTED_VALUE"""),34.45)</f>
        <v>34.450000000000003</v>
      </c>
      <c r="F252" s="1">
        <f ca="1">IFERROR(__xludf.DUMMYFUNCTION("""COMPUTED_VALUE"""),3519003)</f>
        <v>3519003</v>
      </c>
    </row>
    <row r="253" spans="1:6" x14ac:dyDescent="0.35">
      <c r="A253" s="2">
        <f ca="1">IFERROR(__xludf.DUMMYFUNCTION("""COMPUTED_VALUE"""),42369.6666666666)</f>
        <v>42369.666666666599</v>
      </c>
      <c r="B253" s="1">
        <f ca="1">IFERROR(__xludf.DUMMYFUNCTION("""COMPUTED_VALUE"""),34.3)</f>
        <v>34.299999999999997</v>
      </c>
      <c r="C253" s="1">
        <f ca="1">IFERROR(__xludf.DUMMYFUNCTION("""COMPUTED_VALUE"""),34.39)</f>
        <v>34.39</v>
      </c>
      <c r="D253" s="1">
        <f ca="1">IFERROR(__xludf.DUMMYFUNCTION("""COMPUTED_VALUE"""),33.79)</f>
        <v>33.79</v>
      </c>
      <c r="E253" s="1">
        <f ca="1">IFERROR(__xludf.DUMMYFUNCTION("""COMPUTED_VALUE"""),33.79)</f>
        <v>33.79</v>
      </c>
      <c r="F253" s="1">
        <f ca="1">IFERROR(__xludf.DUMMYFUNCTION("""COMPUTED_VALUE"""),3749560)</f>
        <v>3749560</v>
      </c>
    </row>
    <row r="254" spans="1:6" x14ac:dyDescent="0.35">
      <c r="A254" s="2">
        <f ca="1">IFERROR(__xludf.DUMMYFUNCTION("""COMPUTED_VALUE"""),42373.6666666666)</f>
        <v>42373.666666666599</v>
      </c>
      <c r="B254" s="1">
        <f ca="1">IFERROR(__xludf.DUMMYFUNCTION("""COMPUTED_VALUE"""),32.81)</f>
        <v>32.81</v>
      </c>
      <c r="C254" s="1">
        <f ca="1">IFERROR(__xludf.DUMMYFUNCTION("""COMPUTED_VALUE"""),32.89)</f>
        <v>32.89</v>
      </c>
      <c r="D254" s="1">
        <f ca="1">IFERROR(__xludf.DUMMYFUNCTION("""COMPUTED_VALUE"""),31.38)</f>
        <v>31.38</v>
      </c>
      <c r="E254" s="1">
        <f ca="1">IFERROR(__xludf.DUMMYFUNCTION("""COMPUTED_VALUE"""),31.85)</f>
        <v>31.85</v>
      </c>
      <c r="F254" s="1">
        <f ca="1">IFERROR(__xludf.DUMMYFUNCTION("""COMPUTED_VALUE"""),9314519)</f>
        <v>9314519</v>
      </c>
    </row>
    <row r="255" spans="1:6" x14ac:dyDescent="0.35">
      <c r="A255" s="2">
        <f ca="1">IFERROR(__xludf.DUMMYFUNCTION("""COMPUTED_VALUE"""),42374.6666666666)</f>
        <v>42374.666666666599</v>
      </c>
      <c r="B255" s="1">
        <f ca="1">IFERROR(__xludf.DUMMYFUNCTION("""COMPUTED_VALUE"""),32.34)</f>
        <v>32.340000000000003</v>
      </c>
      <c r="C255" s="1">
        <f ca="1">IFERROR(__xludf.DUMMYFUNCTION("""COMPUTED_VALUE"""),32.35)</f>
        <v>32.35</v>
      </c>
      <c r="D255" s="1">
        <f ca="1">IFERROR(__xludf.DUMMYFUNCTION("""COMPUTED_VALUE"""),31.38)</f>
        <v>31.38</v>
      </c>
      <c r="E255" s="1">
        <f ca="1">IFERROR(__xludf.DUMMYFUNCTION("""COMPUTED_VALUE"""),31.69)</f>
        <v>31.69</v>
      </c>
      <c r="F255" s="1">
        <f ca="1">IFERROR(__xludf.DUMMYFUNCTION("""COMPUTED_VALUE"""),5822603)</f>
        <v>5822603</v>
      </c>
    </row>
    <row r="256" spans="1:6" x14ac:dyDescent="0.35">
      <c r="A256" s="2">
        <f ca="1">IFERROR(__xludf.DUMMYFUNCTION("""COMPUTED_VALUE"""),42375.6666666666)</f>
        <v>42375.666666666599</v>
      </c>
      <c r="B256" s="1">
        <f ca="1">IFERROR(__xludf.DUMMYFUNCTION("""COMPUTED_VALUE"""),31.1)</f>
        <v>31.1</v>
      </c>
      <c r="C256" s="1">
        <f ca="1">IFERROR(__xludf.DUMMYFUNCTION("""COMPUTED_VALUE"""),31.99)</f>
        <v>31.99</v>
      </c>
      <c r="D256" s="1">
        <f ca="1">IFERROR(__xludf.DUMMYFUNCTION("""COMPUTED_VALUE"""),31.02)</f>
        <v>31.02</v>
      </c>
      <c r="E256" s="1">
        <f ca="1">IFERROR(__xludf.DUMMYFUNCTION("""COMPUTED_VALUE"""),31.63)</f>
        <v>31.63</v>
      </c>
      <c r="F256" s="1">
        <f ca="1">IFERROR(__xludf.DUMMYFUNCTION("""COMPUTED_VALUE"""),5329197)</f>
        <v>5329197</v>
      </c>
    </row>
    <row r="257" spans="1:6" x14ac:dyDescent="0.35">
      <c r="A257" s="2">
        <f ca="1">IFERROR(__xludf.DUMMYFUNCTION("""COMPUTED_VALUE"""),42376.6666666666)</f>
        <v>42376.666666666599</v>
      </c>
      <c r="B257" s="1">
        <f ca="1">IFERROR(__xludf.DUMMYFUNCTION("""COMPUTED_VALUE"""),31.09)</f>
        <v>31.09</v>
      </c>
      <c r="C257" s="1">
        <f ca="1">IFERROR(__xludf.DUMMYFUNCTION("""COMPUTED_VALUE"""),31.5)</f>
        <v>31.5</v>
      </c>
      <c r="D257" s="1">
        <f ca="1">IFERROR(__xludf.DUMMYFUNCTION("""COMPUTED_VALUE"""),30.26)</f>
        <v>30.26</v>
      </c>
      <c r="E257" s="1">
        <f ca="1">IFERROR(__xludf.DUMMYFUNCTION("""COMPUTED_VALUE"""),30.4)</f>
        <v>30.4</v>
      </c>
      <c r="F257" s="1">
        <f ca="1">IFERROR(__xludf.DUMMYFUNCTION("""COMPUTED_VALUE"""),7074915)</f>
        <v>7074915</v>
      </c>
    </row>
    <row r="258" spans="1:6" x14ac:dyDescent="0.35">
      <c r="A258" s="2">
        <f ca="1">IFERROR(__xludf.DUMMYFUNCTION("""COMPUTED_VALUE"""),42377.6666666666)</f>
        <v>42377.666666666599</v>
      </c>
      <c r="B258" s="1">
        <f ca="1">IFERROR(__xludf.DUMMYFUNCTION("""COMPUTED_VALUE"""),30.98)</f>
        <v>30.98</v>
      </c>
      <c r="C258" s="1">
        <f ca="1">IFERROR(__xludf.DUMMYFUNCTION("""COMPUTED_VALUE"""),31.21)</f>
        <v>31.21</v>
      </c>
      <c r="D258" s="1">
        <f ca="1">IFERROR(__xludf.DUMMYFUNCTION("""COMPUTED_VALUE"""),30.3)</f>
        <v>30.3</v>
      </c>
      <c r="E258" s="1">
        <f ca="1">IFERROR(__xludf.DUMMYFUNCTION("""COMPUTED_VALUE"""),30.35)</f>
        <v>30.35</v>
      </c>
      <c r="F258" s="1">
        <f ca="1">IFERROR(__xludf.DUMMYFUNCTION("""COMPUTED_VALUE"""),5512915)</f>
        <v>5512915</v>
      </c>
    </row>
    <row r="259" spans="1:6" x14ac:dyDescent="0.35">
      <c r="A259" s="2">
        <f ca="1">IFERROR(__xludf.DUMMYFUNCTION("""COMPUTED_VALUE"""),42380.6666666666)</f>
        <v>42380.666666666599</v>
      </c>
      <c r="B259" s="1">
        <f ca="1">IFERROR(__xludf.DUMMYFUNCTION("""COMPUTED_VALUE"""),30.62)</f>
        <v>30.62</v>
      </c>
      <c r="C259" s="1">
        <f ca="1">IFERROR(__xludf.DUMMYFUNCTION("""COMPUTED_VALUE"""),30.99)</f>
        <v>30.99</v>
      </c>
      <c r="D259" s="1">
        <f ca="1">IFERROR(__xludf.DUMMYFUNCTION("""COMPUTED_VALUE"""),29.93)</f>
        <v>29.93</v>
      </c>
      <c r="E259" s="1">
        <f ca="1">IFERROR(__xludf.DUMMYFUNCTION("""COMPUTED_VALUE"""),30.89)</f>
        <v>30.89</v>
      </c>
      <c r="F259" s="1">
        <f ca="1">IFERROR(__xludf.DUMMYFUNCTION("""COMPUTED_VALUE"""),4891551)</f>
        <v>4891551</v>
      </c>
    </row>
    <row r="260" spans="1:6" x14ac:dyDescent="0.35">
      <c r="A260" s="2">
        <f ca="1">IFERROR(__xludf.DUMMYFUNCTION("""COMPUTED_VALUE"""),42381.6666666666)</f>
        <v>42381.666666666599</v>
      </c>
      <c r="B260" s="1">
        <f ca="1">IFERROR(__xludf.DUMMYFUNCTION("""COMPUTED_VALUE"""),31.26)</f>
        <v>31.26</v>
      </c>
      <c r="C260" s="1">
        <f ca="1">IFERROR(__xludf.DUMMYFUNCTION("""COMPUTED_VALUE"""),31.3)</f>
        <v>31.3</v>
      </c>
      <c r="D260" s="1">
        <f ca="1">IFERROR(__xludf.DUMMYFUNCTION("""COMPUTED_VALUE"""),30.61)</f>
        <v>30.61</v>
      </c>
      <c r="E260" s="1">
        <f ca="1">IFERROR(__xludf.DUMMYFUNCTION("""COMPUTED_VALUE"""),30.89)</f>
        <v>30.89</v>
      </c>
      <c r="F260" s="1">
        <f ca="1">IFERROR(__xludf.DUMMYFUNCTION("""COMPUTED_VALUE"""),4724100)</f>
        <v>4724100</v>
      </c>
    </row>
    <row r="261" spans="1:6" x14ac:dyDescent="0.35">
      <c r="A261" s="2">
        <f ca="1">IFERROR(__xludf.DUMMYFUNCTION("""COMPUTED_VALUE"""),42382.6666666666)</f>
        <v>42382.666666666599</v>
      </c>
      <c r="B261" s="1">
        <f ca="1">IFERROR(__xludf.DUMMYFUNCTION("""COMPUTED_VALUE"""),31.04)</f>
        <v>31.04</v>
      </c>
      <c r="C261" s="1">
        <f ca="1">IFERROR(__xludf.DUMMYFUNCTION("""COMPUTED_VALUE"""),31.04)</f>
        <v>31.04</v>
      </c>
      <c r="D261" s="1">
        <f ca="1">IFERROR(__xludf.DUMMYFUNCTION("""COMPUTED_VALUE"""),28.96)</f>
        <v>28.96</v>
      </c>
      <c r="E261" s="1">
        <f ca="1">IFERROR(__xludf.DUMMYFUNCTION("""COMPUTED_VALUE"""),29.09)</f>
        <v>29.09</v>
      </c>
      <c r="F261" s="1">
        <f ca="1">IFERROR(__xludf.DUMMYFUNCTION("""COMPUTED_VALUE"""),7655239)</f>
        <v>7655239</v>
      </c>
    </row>
    <row r="262" spans="1:6" x14ac:dyDescent="0.35">
      <c r="A262" s="2">
        <f ca="1">IFERROR(__xludf.DUMMYFUNCTION("""COMPUTED_VALUE"""),42383.6666666666)</f>
        <v>42383.666666666599</v>
      </c>
      <c r="B262" s="1">
        <f ca="1">IFERROR(__xludf.DUMMYFUNCTION("""COMPUTED_VALUE"""),29.01)</f>
        <v>29.01</v>
      </c>
      <c r="C262" s="1">
        <f ca="1">IFERROR(__xludf.DUMMYFUNCTION("""COMPUTED_VALUE"""),30.11)</f>
        <v>30.11</v>
      </c>
      <c r="D262" s="1">
        <f ca="1">IFERROR(__xludf.DUMMYFUNCTION("""COMPUTED_VALUE"""),28.49)</f>
        <v>28.49</v>
      </c>
      <c r="E262" s="1">
        <f ca="1">IFERROR(__xludf.DUMMYFUNCTION("""COMPUTED_VALUE"""),29.65)</f>
        <v>29.65</v>
      </c>
      <c r="F262" s="1">
        <f ca="1">IFERROR(__xludf.DUMMYFUNCTION("""COMPUTED_VALUE"""),7237978)</f>
        <v>7237978</v>
      </c>
    </row>
    <row r="263" spans="1:6" x14ac:dyDescent="0.35">
      <c r="A263" s="2">
        <f ca="1">IFERROR(__xludf.DUMMYFUNCTION("""COMPUTED_VALUE"""),42384.6666666666)</f>
        <v>42384.666666666599</v>
      </c>
      <c r="B263" s="1">
        <f ca="1">IFERROR(__xludf.DUMMYFUNCTION("""COMPUTED_VALUE"""),28.61)</f>
        <v>28.61</v>
      </c>
      <c r="C263" s="1">
        <f ca="1">IFERROR(__xludf.DUMMYFUNCTION("""COMPUTED_VALUE"""),29.23)</f>
        <v>29.23</v>
      </c>
      <c r="D263" s="1">
        <f ca="1">IFERROR(__xludf.DUMMYFUNCTION("""COMPUTED_VALUE"""),28.27)</f>
        <v>28.27</v>
      </c>
      <c r="E263" s="1">
        <f ca="1">IFERROR(__xludf.DUMMYFUNCTION("""COMPUTED_VALUE"""),28.51)</f>
        <v>28.51</v>
      </c>
      <c r="F263" s="1">
        <f ca="1">IFERROR(__xludf.DUMMYFUNCTION("""COMPUTED_VALUE"""),7784523)</f>
        <v>7784523</v>
      </c>
    </row>
    <row r="264" spans="1:6" x14ac:dyDescent="0.35">
      <c r="A264" s="2">
        <f ca="1">IFERROR(__xludf.DUMMYFUNCTION("""COMPUTED_VALUE"""),42388.6666666666)</f>
        <v>42388.666666666599</v>
      </c>
      <c r="B264" s="1">
        <f ca="1">IFERROR(__xludf.DUMMYFUNCTION("""COMPUTED_VALUE"""),28.85)</f>
        <v>28.85</v>
      </c>
      <c r="C264" s="1">
        <f ca="1">IFERROR(__xludf.DUMMYFUNCTION("""COMPUTED_VALUE"""),29.2)</f>
        <v>29.2</v>
      </c>
      <c r="D264" s="1">
        <f ca="1">IFERROR(__xludf.DUMMYFUNCTION("""COMPUTED_VALUE"""),28.32)</f>
        <v>28.32</v>
      </c>
      <c r="E264" s="1">
        <f ca="1">IFERROR(__xludf.DUMMYFUNCTION("""COMPUTED_VALUE"""),28.72)</f>
        <v>28.72</v>
      </c>
      <c r="F264" s="1">
        <f ca="1">IFERROR(__xludf.DUMMYFUNCTION("""COMPUTED_VALUE"""),4807165)</f>
        <v>4807165</v>
      </c>
    </row>
    <row r="265" spans="1:6" x14ac:dyDescent="0.35">
      <c r="A265" s="2">
        <f ca="1">IFERROR(__xludf.DUMMYFUNCTION("""COMPUTED_VALUE"""),42389.6666666666)</f>
        <v>42389.666666666599</v>
      </c>
      <c r="B265" s="1">
        <f ca="1">IFERROR(__xludf.DUMMYFUNCTION("""COMPUTED_VALUE"""),28.22)</f>
        <v>28.22</v>
      </c>
      <c r="C265" s="1">
        <f ca="1">IFERROR(__xludf.DUMMYFUNCTION("""COMPUTED_VALUE"""),28.92)</f>
        <v>28.92</v>
      </c>
      <c r="D265" s="1">
        <f ca="1">IFERROR(__xludf.DUMMYFUNCTION("""COMPUTED_VALUE"""),27.36)</f>
        <v>27.36</v>
      </c>
      <c r="E265" s="1">
        <f ca="1">IFERROR(__xludf.DUMMYFUNCTION("""COMPUTED_VALUE"""),28.59)</f>
        <v>28.59</v>
      </c>
      <c r="F265" s="1">
        <f ca="1">IFERROR(__xludf.DUMMYFUNCTION("""COMPUTED_VALUE"""),7966406)</f>
        <v>7966406</v>
      </c>
    </row>
    <row r="266" spans="1:6" x14ac:dyDescent="0.35">
      <c r="A266" s="2">
        <f ca="1">IFERROR(__xludf.DUMMYFUNCTION("""COMPUTED_VALUE"""),42390.6666666666)</f>
        <v>42390.666666666599</v>
      </c>
      <c r="B266" s="1">
        <f ca="1">IFERROR(__xludf.DUMMYFUNCTION("""COMPUTED_VALUE"""),28.68)</f>
        <v>28.68</v>
      </c>
      <c r="C266" s="1">
        <f ca="1">IFERROR(__xludf.DUMMYFUNCTION("""COMPUTED_VALUE"""),29.44)</f>
        <v>29.44</v>
      </c>
      <c r="D266" s="1">
        <f ca="1">IFERROR(__xludf.DUMMYFUNCTION("""COMPUTED_VALUE"""),28.41)</f>
        <v>28.41</v>
      </c>
      <c r="E266" s="1">
        <f ca="1">IFERROR(__xludf.DUMMYFUNCTION("""COMPUTED_VALUE"""),28.75)</f>
        <v>28.75</v>
      </c>
      <c r="F266" s="1">
        <f ca="1">IFERROR(__xludf.DUMMYFUNCTION("""COMPUTED_VALUE"""),4952217)</f>
        <v>4952217</v>
      </c>
    </row>
    <row r="267" spans="1:6" x14ac:dyDescent="0.35">
      <c r="A267" s="2">
        <f ca="1">IFERROR(__xludf.DUMMYFUNCTION("""COMPUTED_VALUE"""),42391.6666666666)</f>
        <v>42391.666666666599</v>
      </c>
      <c r="B267" s="1">
        <f ca="1">IFERROR(__xludf.DUMMYFUNCTION("""COMPUTED_VALUE"""),29.44)</f>
        <v>29.44</v>
      </c>
      <c r="C267" s="1">
        <f ca="1">IFERROR(__xludf.DUMMYFUNCTION("""COMPUTED_VALUE"""),30.01)</f>
        <v>30.01</v>
      </c>
      <c r="D267" s="1">
        <f ca="1">IFERROR(__xludf.DUMMYFUNCTION("""COMPUTED_VALUE"""),29.21)</f>
        <v>29.21</v>
      </c>
      <c r="E267" s="1">
        <f ca="1">IFERROR(__xludf.DUMMYFUNCTION("""COMPUTED_VALUE"""),29.82)</f>
        <v>29.82</v>
      </c>
      <c r="F267" s="1">
        <f ca="1">IFERROR(__xludf.DUMMYFUNCTION("""COMPUTED_VALUE"""),5120144)</f>
        <v>5120144</v>
      </c>
    </row>
    <row r="268" spans="1:6" x14ac:dyDescent="0.35">
      <c r="A268" s="2">
        <f ca="1">IFERROR(__xludf.DUMMYFUNCTION("""COMPUTED_VALUE"""),42394.6666666666)</f>
        <v>42394.666666666599</v>
      </c>
      <c r="B268" s="1">
        <f ca="1">IFERROR(__xludf.DUMMYFUNCTION("""COMPUTED_VALUE"""),29.9)</f>
        <v>29.9</v>
      </c>
      <c r="C268" s="1">
        <f ca="1">IFERROR(__xludf.DUMMYFUNCTION("""COMPUTED_VALUE"""),30.43)</f>
        <v>30.43</v>
      </c>
      <c r="D268" s="1">
        <f ca="1">IFERROR(__xludf.DUMMYFUNCTION("""COMPUTED_VALUE"""),29.73)</f>
        <v>29.73</v>
      </c>
      <c r="E268" s="1">
        <f ca="1">IFERROR(__xludf.DUMMYFUNCTION("""COMPUTED_VALUE"""),29.83)</f>
        <v>29.83</v>
      </c>
      <c r="F268" s="1">
        <f ca="1">IFERROR(__xludf.DUMMYFUNCTION("""COMPUTED_VALUE"""),4396079)</f>
        <v>4396079</v>
      </c>
    </row>
    <row r="269" spans="1:6" x14ac:dyDescent="0.35">
      <c r="A269" s="2">
        <f ca="1">IFERROR(__xludf.DUMMYFUNCTION("""COMPUTED_VALUE"""),42395.6666666666)</f>
        <v>42395.666666666599</v>
      </c>
      <c r="B269" s="1">
        <f ca="1">IFERROR(__xludf.DUMMYFUNCTION("""COMPUTED_VALUE"""),30.17)</f>
        <v>30.17</v>
      </c>
      <c r="C269" s="1">
        <f ca="1">IFERROR(__xludf.DUMMYFUNCTION("""COMPUTED_VALUE"""),30.23)</f>
        <v>30.23</v>
      </c>
      <c r="D269" s="1">
        <f ca="1">IFERROR(__xludf.DUMMYFUNCTION("""COMPUTED_VALUE"""),29.52)</f>
        <v>29.52</v>
      </c>
      <c r="E269" s="1">
        <f ca="1">IFERROR(__xludf.DUMMYFUNCTION("""COMPUTED_VALUE"""),30.06)</f>
        <v>30.06</v>
      </c>
      <c r="F269" s="1">
        <f ca="1">IFERROR(__xludf.DUMMYFUNCTION("""COMPUTED_VALUE"""),3765655)</f>
        <v>3765655</v>
      </c>
    </row>
    <row r="270" spans="1:6" x14ac:dyDescent="0.35">
      <c r="A270" s="2">
        <f ca="1">IFERROR(__xludf.DUMMYFUNCTION("""COMPUTED_VALUE"""),42396.6666666666)</f>
        <v>42396.666666666599</v>
      </c>
      <c r="B270" s="1">
        <f ca="1">IFERROR(__xludf.DUMMYFUNCTION("""COMPUTED_VALUE"""),30.1)</f>
        <v>30.1</v>
      </c>
      <c r="C270" s="1">
        <f ca="1">IFERROR(__xludf.DUMMYFUNCTION("""COMPUTED_VALUE"""),30.17)</f>
        <v>30.17</v>
      </c>
      <c r="D270" s="1">
        <f ca="1">IFERROR(__xludf.DUMMYFUNCTION("""COMPUTED_VALUE"""),28.94)</f>
        <v>28.94</v>
      </c>
      <c r="E270" s="1">
        <f ca="1">IFERROR(__xludf.DUMMYFUNCTION("""COMPUTED_VALUE"""),29.17)</f>
        <v>29.17</v>
      </c>
      <c r="F270" s="1">
        <f ca="1">IFERROR(__xludf.DUMMYFUNCTION("""COMPUTED_VALUE"""),5152853)</f>
        <v>5152853</v>
      </c>
    </row>
    <row r="271" spans="1:6" x14ac:dyDescent="0.35">
      <c r="A271" s="2">
        <f ca="1">IFERROR(__xludf.DUMMYFUNCTION("""COMPUTED_VALUE"""),42397.6666666666)</f>
        <v>42397.666666666599</v>
      </c>
      <c r="B271" s="1">
        <f ca="1">IFERROR(__xludf.DUMMYFUNCTION("""COMPUTED_VALUE"""),30.42)</f>
        <v>30.42</v>
      </c>
      <c r="C271" s="1">
        <f ca="1">IFERROR(__xludf.DUMMYFUNCTION("""COMPUTED_VALUE"""),31.9)</f>
        <v>31.9</v>
      </c>
      <c r="D271" s="1">
        <f ca="1">IFERROR(__xludf.DUMMYFUNCTION("""COMPUTED_VALUE"""),29.88)</f>
        <v>29.88</v>
      </c>
      <c r="E271" s="1">
        <f ca="1">IFERROR(__xludf.DUMMYFUNCTION("""COMPUTED_VALUE"""),31.77)</f>
        <v>31.77</v>
      </c>
      <c r="F271" s="1">
        <f ca="1">IFERROR(__xludf.DUMMYFUNCTION("""COMPUTED_VALUE"""),14015171)</f>
        <v>14015171</v>
      </c>
    </row>
    <row r="272" spans="1:6" x14ac:dyDescent="0.35">
      <c r="A272" s="2">
        <f ca="1">IFERROR(__xludf.DUMMYFUNCTION("""COMPUTED_VALUE"""),42398.6666666666)</f>
        <v>42398.666666666599</v>
      </c>
      <c r="B272" s="1">
        <f ca="1">IFERROR(__xludf.DUMMYFUNCTION("""COMPUTED_VALUE"""),28.6)</f>
        <v>28.6</v>
      </c>
      <c r="C272" s="1">
        <f ca="1">IFERROR(__xludf.DUMMYFUNCTION("""COMPUTED_VALUE"""),29.65)</f>
        <v>29.65</v>
      </c>
      <c r="D272" s="1">
        <f ca="1">IFERROR(__xludf.DUMMYFUNCTION("""COMPUTED_VALUE"""),28.5)</f>
        <v>28.5</v>
      </c>
      <c r="E272" s="1">
        <f ca="1">IFERROR(__xludf.DUMMYFUNCTION("""COMPUTED_VALUE"""),29.35)</f>
        <v>29.35</v>
      </c>
      <c r="F272" s="1">
        <f ca="1">IFERROR(__xludf.DUMMYFUNCTION("""COMPUTED_VALUE"""),14677550)</f>
        <v>14677550</v>
      </c>
    </row>
    <row r="273" spans="1:6" x14ac:dyDescent="0.35">
      <c r="A273" s="2">
        <f ca="1">IFERROR(__xludf.DUMMYFUNCTION("""COMPUTED_VALUE"""),42401.6666666666)</f>
        <v>42401.666666666599</v>
      </c>
      <c r="B273" s="1">
        <f ca="1">IFERROR(__xludf.DUMMYFUNCTION("""COMPUTED_VALUE"""),28.91)</f>
        <v>28.91</v>
      </c>
      <c r="C273" s="1">
        <f ca="1">IFERROR(__xludf.DUMMYFUNCTION("""COMPUTED_VALUE"""),29.09)</f>
        <v>29.09</v>
      </c>
      <c r="D273" s="1">
        <f ca="1">IFERROR(__xludf.DUMMYFUNCTION("""COMPUTED_VALUE"""),28.52)</f>
        <v>28.52</v>
      </c>
      <c r="E273" s="1">
        <f ca="1">IFERROR(__xludf.DUMMYFUNCTION("""COMPUTED_VALUE"""),28.74)</f>
        <v>28.74</v>
      </c>
      <c r="F273" s="1">
        <f ca="1">IFERROR(__xludf.DUMMYFUNCTION("""COMPUTED_VALUE"""),6355123)</f>
        <v>6355123</v>
      </c>
    </row>
    <row r="274" spans="1:6" x14ac:dyDescent="0.35">
      <c r="A274" s="2">
        <f ca="1">IFERROR(__xludf.DUMMYFUNCTION("""COMPUTED_VALUE"""),42402.6666666666)</f>
        <v>42402.666666666599</v>
      </c>
      <c r="B274" s="1">
        <f ca="1">IFERROR(__xludf.DUMMYFUNCTION("""COMPUTED_VALUE"""),28.5)</f>
        <v>28.5</v>
      </c>
      <c r="C274" s="1">
        <f ca="1">IFERROR(__xludf.DUMMYFUNCTION("""COMPUTED_VALUE"""),28.58)</f>
        <v>28.58</v>
      </c>
      <c r="D274" s="1">
        <f ca="1">IFERROR(__xludf.DUMMYFUNCTION("""COMPUTED_VALUE"""),27.5)</f>
        <v>27.5</v>
      </c>
      <c r="E274" s="1">
        <f ca="1">IFERROR(__xludf.DUMMYFUNCTION("""COMPUTED_VALUE"""),27.61)</f>
        <v>27.61</v>
      </c>
      <c r="F274" s="1">
        <f ca="1">IFERROR(__xludf.DUMMYFUNCTION("""COMPUTED_VALUE"""),6312045)</f>
        <v>6312045</v>
      </c>
    </row>
    <row r="275" spans="1:6" x14ac:dyDescent="0.35">
      <c r="A275" s="2">
        <f ca="1">IFERROR(__xludf.DUMMYFUNCTION("""COMPUTED_VALUE"""),42403.6666666666)</f>
        <v>42403.666666666599</v>
      </c>
      <c r="B275" s="1">
        <f ca="1">IFERROR(__xludf.DUMMYFUNCTION("""COMPUTED_VALUE"""),27.68)</f>
        <v>27.68</v>
      </c>
      <c r="C275" s="1">
        <f ca="1">IFERROR(__xludf.DUMMYFUNCTION("""COMPUTED_VALUE"""),27.8)</f>
        <v>27.8</v>
      </c>
      <c r="D275" s="1">
        <f ca="1">IFERROR(__xludf.DUMMYFUNCTION("""COMPUTED_VALUE"""),26.1)</f>
        <v>26.1</v>
      </c>
      <c r="E275" s="1">
        <f ca="1">IFERROR(__xludf.DUMMYFUNCTION("""COMPUTED_VALUE"""),26.55)</f>
        <v>26.55</v>
      </c>
      <c r="F275" s="1">
        <f ca="1">IFERROR(__xludf.DUMMYFUNCTION("""COMPUTED_VALUE"""),10048709)</f>
        <v>10048709</v>
      </c>
    </row>
    <row r="276" spans="1:6" x14ac:dyDescent="0.35">
      <c r="A276" s="2">
        <f ca="1">IFERROR(__xludf.DUMMYFUNCTION("""COMPUTED_VALUE"""),42404.6666666666)</f>
        <v>42404.666666666599</v>
      </c>
      <c r="B276" s="1">
        <f ca="1">IFERROR(__xludf.DUMMYFUNCTION("""COMPUTED_VALUE"""),26.25)</f>
        <v>26.25</v>
      </c>
      <c r="C276" s="1">
        <f ca="1">IFERROR(__xludf.DUMMYFUNCTION("""COMPUTED_VALUE"""),26.95)</f>
        <v>26.95</v>
      </c>
      <c r="D276" s="1">
        <f ca="1">IFERROR(__xludf.DUMMYFUNCTION("""COMPUTED_VALUE"""),25.96)</f>
        <v>25.96</v>
      </c>
      <c r="E276" s="1">
        <f ca="1">IFERROR(__xludf.DUMMYFUNCTION("""COMPUTED_VALUE"""),26.81)</f>
        <v>26.81</v>
      </c>
      <c r="F276" s="1">
        <f ca="1">IFERROR(__xludf.DUMMYFUNCTION("""COMPUTED_VALUE"""),6199070)</f>
        <v>6199070</v>
      </c>
    </row>
    <row r="277" spans="1:6" x14ac:dyDescent="0.35">
      <c r="A277" s="2">
        <f ca="1">IFERROR(__xludf.DUMMYFUNCTION("""COMPUTED_VALUE"""),42405.6666666666)</f>
        <v>42405.666666666599</v>
      </c>
      <c r="B277" s="1">
        <f ca="1">IFERROR(__xludf.DUMMYFUNCTION("""COMPUTED_VALUE"""),26.46)</f>
        <v>26.46</v>
      </c>
      <c r="C277" s="1">
        <f ca="1">IFERROR(__xludf.DUMMYFUNCTION("""COMPUTED_VALUE"""),26.47)</f>
        <v>26.47</v>
      </c>
      <c r="D277" s="1">
        <f ca="1">IFERROR(__xludf.DUMMYFUNCTION("""COMPUTED_VALUE"""),24.96)</f>
        <v>24.96</v>
      </c>
      <c r="E277" s="1">
        <f ca="1">IFERROR(__xludf.DUMMYFUNCTION("""COMPUTED_VALUE"""),25.11)</f>
        <v>25.11</v>
      </c>
      <c r="F277" s="1">
        <f ca="1">IFERROR(__xludf.DUMMYFUNCTION("""COMPUTED_VALUE"""),9708929)</f>
        <v>9708929</v>
      </c>
    </row>
    <row r="278" spans="1:6" x14ac:dyDescent="0.35">
      <c r="A278" s="2">
        <f ca="1">IFERROR(__xludf.DUMMYFUNCTION("""COMPUTED_VALUE"""),42408.6666666666)</f>
        <v>42408.666666666599</v>
      </c>
      <c r="B278" s="1">
        <f ca="1">IFERROR(__xludf.DUMMYFUNCTION("""COMPUTED_VALUE"""),24.32)</f>
        <v>24.32</v>
      </c>
      <c r="C278" s="1">
        <f ca="1">IFERROR(__xludf.DUMMYFUNCTION("""COMPUTED_VALUE"""),24.68)</f>
        <v>24.68</v>
      </c>
      <c r="D278" s="1">
        <f ca="1">IFERROR(__xludf.DUMMYFUNCTION("""COMPUTED_VALUE"""),23.76)</f>
        <v>23.76</v>
      </c>
      <c r="E278" s="1">
        <f ca="1">IFERROR(__xludf.DUMMYFUNCTION("""COMPUTED_VALUE"""),24.41)</f>
        <v>24.41</v>
      </c>
      <c r="F278" s="1">
        <f ca="1">IFERROR(__xludf.DUMMYFUNCTION("""COMPUTED_VALUE"""),9825509)</f>
        <v>9825509</v>
      </c>
    </row>
    <row r="279" spans="1:6" x14ac:dyDescent="0.35">
      <c r="A279" s="2">
        <f ca="1">IFERROR(__xludf.DUMMYFUNCTION("""COMPUTED_VALUE"""),42409.6666666666)</f>
        <v>42409.666666666599</v>
      </c>
      <c r="B279" s="1">
        <f ca="1">IFERROR(__xludf.DUMMYFUNCTION("""COMPUTED_VALUE"""),23.9)</f>
        <v>23.9</v>
      </c>
      <c r="C279" s="1">
        <f ca="1">IFERROR(__xludf.DUMMYFUNCTION("""COMPUTED_VALUE"""),24.92)</f>
        <v>24.92</v>
      </c>
      <c r="D279" s="1">
        <f ca="1">IFERROR(__xludf.DUMMYFUNCTION("""COMPUTED_VALUE"""),23.7)</f>
        <v>23.7</v>
      </c>
      <c r="E279" s="1">
        <f ca="1">IFERROR(__xludf.DUMMYFUNCTION("""COMPUTED_VALUE"""),24.1)</f>
        <v>24.1</v>
      </c>
      <c r="F279" s="1">
        <f ca="1">IFERROR(__xludf.DUMMYFUNCTION("""COMPUTED_VALUE"""),7077915)</f>
        <v>7077915</v>
      </c>
    </row>
    <row r="280" spans="1:6" x14ac:dyDescent="0.35">
      <c r="A280" s="2">
        <f ca="1">IFERROR(__xludf.DUMMYFUNCTION("""COMPUTED_VALUE"""),42410.6666666666)</f>
        <v>42410.666666666599</v>
      </c>
      <c r="B280" s="1">
        <f ca="1">IFERROR(__xludf.DUMMYFUNCTION("""COMPUTED_VALUE"""),24.59)</f>
        <v>24.59</v>
      </c>
      <c r="C280" s="1">
        <f ca="1">IFERROR(__xludf.DUMMYFUNCTION("""COMPUTED_VALUE"""),25.23)</f>
        <v>25.23</v>
      </c>
      <c r="D280" s="1">
        <f ca="1">IFERROR(__xludf.DUMMYFUNCTION("""COMPUTED_VALUE"""),24.3)</f>
        <v>24.3</v>
      </c>
      <c r="E280" s="1">
        <f ca="1">IFERROR(__xludf.DUMMYFUNCTION("""COMPUTED_VALUE"""),24.52)</f>
        <v>24.52</v>
      </c>
      <c r="F280" s="1">
        <f ca="1">IFERROR(__xludf.DUMMYFUNCTION("""COMPUTED_VALUE"""),6786181)</f>
        <v>6786181</v>
      </c>
    </row>
    <row r="281" spans="1:6" x14ac:dyDescent="0.35">
      <c r="A281" s="2">
        <f ca="1">IFERROR(__xludf.DUMMYFUNCTION("""COMPUTED_VALUE"""),42411.6666666666)</f>
        <v>42411.666666666599</v>
      </c>
      <c r="B281" s="1">
        <f ca="1">IFERROR(__xludf.DUMMYFUNCTION("""COMPUTED_VALUE"""),24.56)</f>
        <v>24.56</v>
      </c>
      <c r="C281" s="1">
        <f ca="1">IFERROR(__xludf.DUMMYFUNCTION("""COMPUTED_VALUE"""),25.47)</f>
        <v>25.47</v>
      </c>
      <c r="D281" s="1">
        <f ca="1">IFERROR(__xludf.DUMMYFUNCTION("""COMPUTED_VALUE"""),24.2)</f>
        <v>24.2</v>
      </c>
      <c r="E281" s="1">
        <f ca="1">IFERROR(__xludf.DUMMYFUNCTION("""COMPUTED_VALUE"""),25.19)</f>
        <v>25.19</v>
      </c>
      <c r="F281" s="1">
        <f ca="1">IFERROR(__xludf.DUMMYFUNCTION("""COMPUTED_VALUE"""),7397393)</f>
        <v>7397393</v>
      </c>
    </row>
    <row r="282" spans="1:6" x14ac:dyDescent="0.35">
      <c r="A282" s="2">
        <f ca="1">IFERROR(__xludf.DUMMYFUNCTION("""COMPUTED_VALUE"""),42412.6666666666)</f>
        <v>42412.666666666599</v>
      </c>
      <c r="B282" s="1">
        <f ca="1">IFERROR(__xludf.DUMMYFUNCTION("""COMPUTED_VALUE"""),25.54)</f>
        <v>25.54</v>
      </c>
      <c r="C282" s="1">
        <f ca="1">IFERROR(__xludf.DUMMYFUNCTION("""COMPUTED_VALUE"""),25.84)</f>
        <v>25.84</v>
      </c>
      <c r="D282" s="1">
        <f ca="1">IFERROR(__xludf.DUMMYFUNCTION("""COMPUTED_VALUE"""),25.07)</f>
        <v>25.07</v>
      </c>
      <c r="E282" s="1">
        <f ca="1">IFERROR(__xludf.DUMMYFUNCTION("""COMPUTED_VALUE"""),25.35)</f>
        <v>25.35</v>
      </c>
      <c r="F282" s="1">
        <f ca="1">IFERROR(__xludf.DUMMYFUNCTION("""COMPUTED_VALUE"""),5384787)</f>
        <v>5384787</v>
      </c>
    </row>
    <row r="283" spans="1:6" x14ac:dyDescent="0.35">
      <c r="A283" s="2">
        <f ca="1">IFERROR(__xludf.DUMMYFUNCTION("""COMPUTED_VALUE"""),42416.6666666666)</f>
        <v>42416.666666666599</v>
      </c>
      <c r="B283" s="1">
        <f ca="1">IFERROR(__xludf.DUMMYFUNCTION("""COMPUTED_VALUE"""),25.97)</f>
        <v>25.97</v>
      </c>
      <c r="C283" s="1">
        <f ca="1">IFERROR(__xludf.DUMMYFUNCTION("""COMPUTED_VALUE"""),26.22)</f>
        <v>26.22</v>
      </c>
      <c r="D283" s="1">
        <f ca="1">IFERROR(__xludf.DUMMYFUNCTION("""COMPUTED_VALUE"""),25.58)</f>
        <v>25.58</v>
      </c>
      <c r="E283" s="1">
        <f ca="1">IFERROR(__xludf.DUMMYFUNCTION("""COMPUTED_VALUE"""),26.06)</f>
        <v>26.06</v>
      </c>
      <c r="F283" s="1">
        <f ca="1">IFERROR(__xludf.DUMMYFUNCTION("""COMPUTED_VALUE"""),5118500)</f>
        <v>5118500</v>
      </c>
    </row>
    <row r="284" spans="1:6" x14ac:dyDescent="0.35">
      <c r="A284" s="2">
        <f ca="1">IFERROR(__xludf.DUMMYFUNCTION("""COMPUTED_VALUE"""),42417.6666666666)</f>
        <v>42417.666666666599</v>
      </c>
      <c r="B284" s="1">
        <f ca="1">IFERROR(__xludf.DUMMYFUNCTION("""COMPUTED_VALUE"""),26.44)</f>
        <v>26.44</v>
      </c>
      <c r="C284" s="1">
        <f ca="1">IFERROR(__xludf.DUMMYFUNCTION("""COMPUTED_VALUE"""),26.87)</f>
        <v>26.87</v>
      </c>
      <c r="D284" s="1">
        <f ca="1">IFERROR(__xludf.DUMMYFUNCTION("""COMPUTED_VALUE"""),25.97)</f>
        <v>25.97</v>
      </c>
      <c r="E284" s="1">
        <f ca="1">IFERROR(__xludf.DUMMYFUNCTION("""COMPUTED_VALUE"""),26.71)</f>
        <v>26.71</v>
      </c>
      <c r="F284" s="1">
        <f ca="1">IFERROR(__xludf.DUMMYFUNCTION("""COMPUTED_VALUE"""),4824002)</f>
        <v>4824002</v>
      </c>
    </row>
    <row r="285" spans="1:6" x14ac:dyDescent="0.35">
      <c r="A285" s="2">
        <f ca="1">IFERROR(__xludf.DUMMYFUNCTION("""COMPUTED_VALUE"""),42418.6666666666)</f>
        <v>42418.666666666599</v>
      </c>
      <c r="B285" s="1">
        <f ca="1">IFERROR(__xludf.DUMMYFUNCTION("""COMPUTED_VALUE"""),27.06)</f>
        <v>27.06</v>
      </c>
      <c r="C285" s="1">
        <f ca="1">IFERROR(__xludf.DUMMYFUNCTION("""COMPUTED_VALUE"""),27.06)</f>
        <v>27.06</v>
      </c>
      <c r="D285" s="1">
        <f ca="1">IFERROR(__xludf.DUMMYFUNCTION("""COMPUTED_VALUE"""),26.19)</f>
        <v>26.19</v>
      </c>
      <c r="E285" s="1">
        <f ca="1">IFERROR(__xludf.DUMMYFUNCTION("""COMPUTED_VALUE"""),26.25)</f>
        <v>26.25</v>
      </c>
      <c r="F285" s="1">
        <f ca="1">IFERROR(__xludf.DUMMYFUNCTION("""COMPUTED_VALUE"""),4735008)</f>
        <v>4735008</v>
      </c>
    </row>
    <row r="286" spans="1:6" x14ac:dyDescent="0.35">
      <c r="A286" s="2">
        <f ca="1">IFERROR(__xludf.DUMMYFUNCTION("""COMPUTED_VALUE"""),42419.6666666666)</f>
        <v>42419.666666666599</v>
      </c>
      <c r="B286" s="1">
        <f ca="1">IFERROR(__xludf.DUMMYFUNCTION("""COMPUTED_VALUE"""),26.04)</f>
        <v>26.04</v>
      </c>
      <c r="C286" s="1">
        <f ca="1">IFERROR(__xludf.DUMMYFUNCTION("""COMPUTED_VALUE"""),26.8)</f>
        <v>26.8</v>
      </c>
      <c r="D286" s="1">
        <f ca="1">IFERROR(__xludf.DUMMYFUNCTION("""COMPUTED_VALUE"""),25.77)</f>
        <v>25.77</v>
      </c>
      <c r="E286" s="1">
        <f ca="1">IFERROR(__xludf.DUMMYFUNCTION("""COMPUTED_VALUE"""),26.75)</f>
        <v>26.75</v>
      </c>
      <c r="F286" s="1">
        <f ca="1">IFERROR(__xludf.DUMMYFUNCTION("""COMPUTED_VALUE"""),4974717)</f>
        <v>4974717</v>
      </c>
    </row>
    <row r="287" spans="1:6" x14ac:dyDescent="0.35">
      <c r="A287" s="2">
        <f ca="1">IFERROR(__xludf.DUMMYFUNCTION("""COMPUTED_VALUE"""),42422.6666666666)</f>
        <v>42422.666666666599</v>
      </c>
      <c r="B287" s="1">
        <f ca="1">IFERROR(__xludf.DUMMYFUNCTION("""COMPUTED_VALUE"""),27.11)</f>
        <v>27.11</v>
      </c>
      <c r="C287" s="1">
        <f ca="1">IFERROR(__xludf.DUMMYFUNCTION("""COMPUTED_VALUE"""),28.03)</f>
        <v>28.03</v>
      </c>
      <c r="D287" s="1">
        <f ca="1">IFERROR(__xludf.DUMMYFUNCTION("""COMPUTED_VALUE"""),27.05)</f>
        <v>27.05</v>
      </c>
      <c r="E287" s="1">
        <f ca="1">IFERROR(__xludf.DUMMYFUNCTION("""COMPUTED_VALUE"""),27.98)</f>
        <v>27.98</v>
      </c>
      <c r="F287" s="1">
        <f ca="1">IFERROR(__xludf.DUMMYFUNCTION("""COMPUTED_VALUE"""),5566553)</f>
        <v>5566553</v>
      </c>
    </row>
    <row r="288" spans="1:6" x14ac:dyDescent="0.35">
      <c r="A288" s="2">
        <f ca="1">IFERROR(__xludf.DUMMYFUNCTION("""COMPUTED_VALUE"""),42423.6666666666)</f>
        <v>42423.666666666599</v>
      </c>
      <c r="B288" s="1">
        <f ca="1">IFERROR(__xludf.DUMMYFUNCTION("""COMPUTED_VALUE"""),27.78)</f>
        <v>27.78</v>
      </c>
      <c r="C288" s="1">
        <f ca="1">IFERROR(__xludf.DUMMYFUNCTION("""COMPUTED_VALUE"""),27.85)</f>
        <v>27.85</v>
      </c>
      <c r="D288" s="1">
        <f ca="1">IFERROR(__xludf.DUMMYFUNCTION("""COMPUTED_VALUE"""),27.27)</f>
        <v>27.27</v>
      </c>
      <c r="E288" s="1">
        <f ca="1">IFERROR(__xludf.DUMMYFUNCTION("""COMPUTED_VALUE"""),27.65)</f>
        <v>27.65</v>
      </c>
      <c r="F288" s="1">
        <f ca="1">IFERROR(__xludf.DUMMYFUNCTION("""COMPUTED_VALUE"""),4050790)</f>
        <v>4050790</v>
      </c>
    </row>
    <row r="289" spans="1:6" x14ac:dyDescent="0.35">
      <c r="A289" s="2">
        <f ca="1">IFERROR(__xludf.DUMMYFUNCTION("""COMPUTED_VALUE"""),42424.6666666666)</f>
        <v>42424.666666666599</v>
      </c>
      <c r="B289" s="1">
        <f ca="1">IFERROR(__xludf.DUMMYFUNCTION("""COMPUTED_VALUE"""),27.29)</f>
        <v>27.29</v>
      </c>
      <c r="C289" s="1">
        <f ca="1">IFERROR(__xludf.DUMMYFUNCTION("""COMPUTED_VALUE"""),27.71)</f>
        <v>27.71</v>
      </c>
      <c r="D289" s="1">
        <f ca="1">IFERROR(__xludf.DUMMYFUNCTION("""COMPUTED_VALUE"""),26.66)</f>
        <v>26.66</v>
      </c>
      <c r="E289" s="1">
        <f ca="1">IFERROR(__xludf.DUMMYFUNCTION("""COMPUTED_VALUE"""),27.7)</f>
        <v>27.7</v>
      </c>
      <c r="F289" s="1">
        <f ca="1">IFERROR(__xludf.DUMMYFUNCTION("""COMPUTED_VALUE"""),6231668)</f>
        <v>6231668</v>
      </c>
    </row>
    <row r="290" spans="1:6" x14ac:dyDescent="0.35">
      <c r="A290" s="2">
        <f ca="1">IFERROR(__xludf.DUMMYFUNCTION("""COMPUTED_VALUE"""),42425.6666666666)</f>
        <v>42425.666666666599</v>
      </c>
      <c r="B290" s="1">
        <f ca="1">IFERROR(__xludf.DUMMYFUNCTION("""COMPUTED_VALUE"""),27.78)</f>
        <v>27.78</v>
      </c>
      <c r="C290" s="1">
        <f ca="1">IFERROR(__xludf.DUMMYFUNCTION("""COMPUTED_VALUE"""),27.97)</f>
        <v>27.97</v>
      </c>
      <c r="D290" s="1">
        <f ca="1">IFERROR(__xludf.DUMMYFUNCTION("""COMPUTED_VALUE"""),27.26)</f>
        <v>27.26</v>
      </c>
      <c r="E290" s="1">
        <f ca="1">IFERROR(__xludf.DUMMYFUNCTION("""COMPUTED_VALUE"""),27.76)</f>
        <v>27.76</v>
      </c>
      <c r="F290" s="1">
        <f ca="1">IFERROR(__xludf.DUMMYFUNCTION("""COMPUTED_VALUE"""),4525463)</f>
        <v>4525463</v>
      </c>
    </row>
    <row r="291" spans="1:6" x14ac:dyDescent="0.35">
      <c r="A291" s="2">
        <f ca="1">IFERROR(__xludf.DUMMYFUNCTION("""COMPUTED_VALUE"""),42426.6666666666)</f>
        <v>42426.666666666599</v>
      </c>
      <c r="B291" s="1">
        <f ca="1">IFERROR(__xludf.DUMMYFUNCTION("""COMPUTED_VALUE"""),28.01)</f>
        <v>28.01</v>
      </c>
      <c r="C291" s="1">
        <f ca="1">IFERROR(__xludf.DUMMYFUNCTION("""COMPUTED_VALUE"""),28.13)</f>
        <v>28.13</v>
      </c>
      <c r="D291" s="1">
        <f ca="1">IFERROR(__xludf.DUMMYFUNCTION("""COMPUTED_VALUE"""),27.66)</f>
        <v>27.66</v>
      </c>
      <c r="E291" s="1">
        <f ca="1">IFERROR(__xludf.DUMMYFUNCTION("""COMPUTED_VALUE"""),27.76)</f>
        <v>27.76</v>
      </c>
      <c r="F291" s="1">
        <f ca="1">IFERROR(__xludf.DUMMYFUNCTION("""COMPUTED_VALUE"""),4877039)</f>
        <v>4877039</v>
      </c>
    </row>
    <row r="292" spans="1:6" x14ac:dyDescent="0.35">
      <c r="A292" s="2">
        <f ca="1">IFERROR(__xludf.DUMMYFUNCTION("""COMPUTED_VALUE"""),42429.6666666666)</f>
        <v>42429.666666666599</v>
      </c>
      <c r="B292" s="1">
        <f ca="1">IFERROR(__xludf.DUMMYFUNCTION("""COMPUTED_VALUE"""),27.7)</f>
        <v>27.7</v>
      </c>
      <c r="C292" s="1">
        <f ca="1">IFERROR(__xludf.DUMMYFUNCTION("""COMPUTED_VALUE"""),28.24)</f>
        <v>28.24</v>
      </c>
      <c r="D292" s="1">
        <f ca="1">IFERROR(__xludf.DUMMYFUNCTION("""COMPUTED_VALUE"""),27.63)</f>
        <v>27.63</v>
      </c>
      <c r="E292" s="1">
        <f ca="1">IFERROR(__xludf.DUMMYFUNCTION("""COMPUTED_VALUE"""),27.63)</f>
        <v>27.63</v>
      </c>
      <c r="F292" s="1">
        <f ca="1">IFERROR(__xludf.DUMMYFUNCTION("""COMPUTED_VALUE"""),4145396)</f>
        <v>4145396</v>
      </c>
    </row>
    <row r="293" spans="1:6" x14ac:dyDescent="0.35">
      <c r="A293" s="2">
        <f ca="1">IFERROR(__xludf.DUMMYFUNCTION("""COMPUTED_VALUE"""),42430.6666666666)</f>
        <v>42430.666666666599</v>
      </c>
      <c r="B293" s="1">
        <f ca="1">IFERROR(__xludf.DUMMYFUNCTION("""COMPUTED_VALUE"""),27.81)</f>
        <v>27.81</v>
      </c>
      <c r="C293" s="1">
        <f ca="1">IFERROR(__xludf.DUMMYFUNCTION("""COMPUTED_VALUE"""),28.96)</f>
        <v>28.96</v>
      </c>
      <c r="D293" s="1">
        <f ca="1">IFERROR(__xludf.DUMMYFUNCTION("""COMPUTED_VALUE"""),27.8)</f>
        <v>27.8</v>
      </c>
      <c r="E293" s="1">
        <f ca="1">IFERROR(__xludf.DUMMYFUNCTION("""COMPUTED_VALUE"""),28.95)</f>
        <v>28.95</v>
      </c>
      <c r="F293" s="1">
        <f ca="1">IFERROR(__xludf.DUMMYFUNCTION("""COMPUTED_VALUE"""),5038452)</f>
        <v>5038452</v>
      </c>
    </row>
    <row r="294" spans="1:6" x14ac:dyDescent="0.35">
      <c r="A294" s="2">
        <f ca="1">IFERROR(__xludf.DUMMYFUNCTION("""COMPUTED_VALUE"""),42431.6666666666)</f>
        <v>42431.666666666599</v>
      </c>
      <c r="B294" s="1">
        <f ca="1">IFERROR(__xludf.DUMMYFUNCTION("""COMPUTED_VALUE"""),29.09)</f>
        <v>29.09</v>
      </c>
      <c r="C294" s="1">
        <f ca="1">IFERROR(__xludf.DUMMYFUNCTION("""COMPUTED_VALUE"""),29.25)</f>
        <v>29.25</v>
      </c>
      <c r="D294" s="1">
        <f ca="1">IFERROR(__xludf.DUMMYFUNCTION("""COMPUTED_VALUE"""),28.69)</f>
        <v>28.69</v>
      </c>
      <c r="E294" s="1">
        <f ca="1">IFERROR(__xludf.DUMMYFUNCTION("""COMPUTED_VALUE"""),29.01)</f>
        <v>29.01</v>
      </c>
      <c r="F294" s="1">
        <f ca="1">IFERROR(__xludf.DUMMYFUNCTION("""COMPUTED_VALUE"""),4582170)</f>
        <v>4582170</v>
      </c>
    </row>
    <row r="295" spans="1:6" x14ac:dyDescent="0.35">
      <c r="A295" s="2">
        <f ca="1">IFERROR(__xludf.DUMMYFUNCTION("""COMPUTED_VALUE"""),42432.6666666666)</f>
        <v>42432.666666666599</v>
      </c>
      <c r="B295" s="1">
        <f ca="1">IFERROR(__xludf.DUMMYFUNCTION("""COMPUTED_VALUE"""),28.9)</f>
        <v>28.9</v>
      </c>
      <c r="C295" s="1">
        <f ca="1">IFERROR(__xludf.DUMMYFUNCTION("""COMPUTED_VALUE"""),28.99)</f>
        <v>28.99</v>
      </c>
      <c r="D295" s="1">
        <f ca="1">IFERROR(__xludf.DUMMYFUNCTION("""COMPUTED_VALUE"""),28.66)</f>
        <v>28.66</v>
      </c>
      <c r="E295" s="1">
        <f ca="1">IFERROR(__xludf.DUMMYFUNCTION("""COMPUTED_VALUE"""),28.87)</f>
        <v>28.87</v>
      </c>
      <c r="F295" s="1">
        <f ca="1">IFERROR(__xludf.DUMMYFUNCTION("""COMPUTED_VALUE"""),2741292)</f>
        <v>2741292</v>
      </c>
    </row>
    <row r="296" spans="1:6" x14ac:dyDescent="0.35">
      <c r="A296" s="2">
        <f ca="1">IFERROR(__xludf.DUMMYFUNCTION("""COMPUTED_VALUE"""),42433.6666666666)</f>
        <v>42433.666666666599</v>
      </c>
      <c r="B296" s="1">
        <f ca="1">IFERROR(__xludf.DUMMYFUNCTION("""COMPUTED_VALUE"""),29.05)</f>
        <v>29.05</v>
      </c>
      <c r="C296" s="1">
        <f ca="1">IFERROR(__xludf.DUMMYFUNCTION("""COMPUTED_VALUE"""),29.07)</f>
        <v>29.07</v>
      </c>
      <c r="D296" s="1">
        <f ca="1">IFERROR(__xludf.DUMMYFUNCTION("""COMPUTED_VALUE"""),28.55)</f>
        <v>28.55</v>
      </c>
      <c r="E296" s="1">
        <f ca="1">IFERROR(__xludf.DUMMYFUNCTION("""COMPUTED_VALUE"""),28.76)</f>
        <v>28.76</v>
      </c>
      <c r="F296" s="1">
        <f ca="1">IFERROR(__xludf.DUMMYFUNCTION("""COMPUTED_VALUE"""),3416545)</f>
        <v>3416545</v>
      </c>
    </row>
    <row r="297" spans="1:6" x14ac:dyDescent="0.35">
      <c r="A297" s="2">
        <f ca="1">IFERROR(__xludf.DUMMYFUNCTION("""COMPUTED_VALUE"""),42436.6666666666)</f>
        <v>42436.666666666599</v>
      </c>
      <c r="B297" s="1">
        <f ca="1">IFERROR(__xludf.DUMMYFUNCTION("""COMPUTED_VALUE"""),28.68)</f>
        <v>28.68</v>
      </c>
      <c r="C297" s="1">
        <f ca="1">IFERROR(__xludf.DUMMYFUNCTION("""COMPUTED_VALUE"""),28.68)</f>
        <v>28.68</v>
      </c>
      <c r="D297" s="1">
        <f ca="1">IFERROR(__xludf.DUMMYFUNCTION("""COMPUTED_VALUE"""),27.78)</f>
        <v>27.78</v>
      </c>
      <c r="E297" s="1">
        <f ca="1">IFERROR(__xludf.DUMMYFUNCTION("""COMPUTED_VALUE"""),28.14)</f>
        <v>28.14</v>
      </c>
      <c r="F297" s="1">
        <f ca="1">IFERROR(__xludf.DUMMYFUNCTION("""COMPUTED_VALUE"""),4932527)</f>
        <v>4932527</v>
      </c>
    </row>
    <row r="298" spans="1:6" x14ac:dyDescent="0.35">
      <c r="A298" s="2">
        <f ca="1">IFERROR(__xludf.DUMMYFUNCTION("""COMPUTED_VALUE"""),42437.6666666666)</f>
        <v>42437.666666666599</v>
      </c>
      <c r="B298" s="1">
        <f ca="1">IFERROR(__xludf.DUMMYFUNCTION("""COMPUTED_VALUE"""),27.89)</f>
        <v>27.89</v>
      </c>
      <c r="C298" s="1">
        <f ca="1">IFERROR(__xludf.DUMMYFUNCTION("""COMPUTED_VALUE"""),28.57)</f>
        <v>28.57</v>
      </c>
      <c r="D298" s="1">
        <f ca="1">IFERROR(__xludf.DUMMYFUNCTION("""COMPUTED_VALUE"""),27.74)</f>
        <v>27.74</v>
      </c>
      <c r="E298" s="1">
        <f ca="1">IFERROR(__xludf.DUMMYFUNCTION("""COMPUTED_VALUE"""),28.01)</f>
        <v>28.01</v>
      </c>
      <c r="F298" s="1">
        <f ca="1">IFERROR(__xludf.DUMMYFUNCTION("""COMPUTED_VALUE"""),4729952)</f>
        <v>4729952</v>
      </c>
    </row>
    <row r="299" spans="1:6" x14ac:dyDescent="0.35">
      <c r="A299" s="2">
        <f ca="1">IFERROR(__xludf.DUMMYFUNCTION("""COMPUTED_VALUE"""),42438.6666666666)</f>
        <v>42438.666666666599</v>
      </c>
      <c r="B299" s="1">
        <f ca="1">IFERROR(__xludf.DUMMYFUNCTION("""COMPUTED_VALUE"""),27.98)</f>
        <v>27.98</v>
      </c>
      <c r="C299" s="1">
        <f ca="1">IFERROR(__xludf.DUMMYFUNCTION("""COMPUTED_VALUE"""),28.02)</f>
        <v>28.02</v>
      </c>
      <c r="D299" s="1">
        <f ca="1">IFERROR(__xludf.DUMMYFUNCTION("""COMPUTED_VALUE"""),27.51)</f>
        <v>27.51</v>
      </c>
      <c r="E299" s="1">
        <f ca="1">IFERROR(__xludf.DUMMYFUNCTION("""COMPUTED_VALUE"""),27.97)</f>
        <v>27.97</v>
      </c>
      <c r="F299" s="1">
        <f ca="1">IFERROR(__xludf.DUMMYFUNCTION("""COMPUTED_VALUE"""),4377283)</f>
        <v>4377283</v>
      </c>
    </row>
    <row r="300" spans="1:6" x14ac:dyDescent="0.35">
      <c r="A300" s="2">
        <f ca="1">IFERROR(__xludf.DUMMYFUNCTION("""COMPUTED_VALUE"""),42439.6666666666)</f>
        <v>42439.666666666599</v>
      </c>
      <c r="B300" s="1">
        <f ca="1">IFERROR(__xludf.DUMMYFUNCTION("""COMPUTED_VALUE"""),28.34)</f>
        <v>28.34</v>
      </c>
      <c r="C300" s="1">
        <f ca="1">IFERROR(__xludf.DUMMYFUNCTION("""COMPUTED_VALUE"""),28.35)</f>
        <v>28.35</v>
      </c>
      <c r="D300" s="1">
        <f ca="1">IFERROR(__xludf.DUMMYFUNCTION("""COMPUTED_VALUE"""),27.4)</f>
        <v>27.4</v>
      </c>
      <c r="E300" s="1">
        <f ca="1">IFERROR(__xludf.DUMMYFUNCTION("""COMPUTED_VALUE"""),27.95)</f>
        <v>27.95</v>
      </c>
      <c r="F300" s="1">
        <f ca="1">IFERROR(__xludf.DUMMYFUNCTION("""COMPUTED_VALUE"""),3919892)</f>
        <v>3919892</v>
      </c>
    </row>
    <row r="301" spans="1:6" x14ac:dyDescent="0.35">
      <c r="A301" s="2">
        <f ca="1">IFERROR(__xludf.DUMMYFUNCTION("""COMPUTED_VALUE"""),42440.6666666666)</f>
        <v>42440.666666666599</v>
      </c>
      <c r="B301" s="1">
        <f ca="1">IFERROR(__xludf.DUMMYFUNCTION("""COMPUTED_VALUE"""),28.35)</f>
        <v>28.35</v>
      </c>
      <c r="C301" s="1">
        <f ca="1">IFERROR(__xludf.DUMMYFUNCTION("""COMPUTED_VALUE"""),28.5)</f>
        <v>28.5</v>
      </c>
      <c r="D301" s="1">
        <f ca="1">IFERROR(__xludf.DUMMYFUNCTION("""COMPUTED_VALUE"""),28.14)</f>
        <v>28.14</v>
      </c>
      <c r="E301" s="1">
        <f ca="1">IFERROR(__xludf.DUMMYFUNCTION("""COMPUTED_VALUE"""),28.48)</f>
        <v>28.48</v>
      </c>
      <c r="F301" s="1">
        <f ca="1">IFERROR(__xludf.DUMMYFUNCTION("""COMPUTED_VALUE"""),3771310)</f>
        <v>3771310</v>
      </c>
    </row>
    <row r="302" spans="1:6" x14ac:dyDescent="0.35">
      <c r="A302" s="2">
        <f ca="1">IFERROR(__xludf.DUMMYFUNCTION("""COMPUTED_VALUE"""),42443.6666666666)</f>
        <v>42443.666666666599</v>
      </c>
      <c r="B302" s="1">
        <f ca="1">IFERROR(__xludf.DUMMYFUNCTION("""COMPUTED_VALUE"""),28.35)</f>
        <v>28.35</v>
      </c>
      <c r="C302" s="1">
        <f ca="1">IFERROR(__xludf.DUMMYFUNCTION("""COMPUTED_VALUE"""),28.84)</f>
        <v>28.84</v>
      </c>
      <c r="D302" s="1">
        <f ca="1">IFERROR(__xludf.DUMMYFUNCTION("""COMPUTED_VALUE"""),28.15)</f>
        <v>28.15</v>
      </c>
      <c r="E302" s="1">
        <f ca="1">IFERROR(__xludf.DUMMYFUNCTION("""COMPUTED_VALUE"""),28.67)</f>
        <v>28.67</v>
      </c>
      <c r="F302" s="1">
        <f ca="1">IFERROR(__xludf.DUMMYFUNCTION("""COMPUTED_VALUE"""),3454152)</f>
        <v>3454152</v>
      </c>
    </row>
    <row r="303" spans="1:6" x14ac:dyDescent="0.35">
      <c r="A303" s="2">
        <f ca="1">IFERROR(__xludf.DUMMYFUNCTION("""COMPUTED_VALUE"""),42444.6666666666)</f>
        <v>42444.666666666599</v>
      </c>
      <c r="B303" s="1">
        <f ca="1">IFERROR(__xludf.DUMMYFUNCTION("""COMPUTED_VALUE"""),28.55)</f>
        <v>28.55</v>
      </c>
      <c r="C303" s="1">
        <f ca="1">IFERROR(__xludf.DUMMYFUNCTION("""COMPUTED_VALUE"""),29.08)</f>
        <v>29.08</v>
      </c>
      <c r="D303" s="1">
        <f ca="1">IFERROR(__xludf.DUMMYFUNCTION("""COMPUTED_VALUE"""),28.35)</f>
        <v>28.35</v>
      </c>
      <c r="E303" s="1">
        <f ca="1">IFERROR(__xludf.DUMMYFUNCTION("""COMPUTED_VALUE"""),28.85)</f>
        <v>28.85</v>
      </c>
      <c r="F303" s="1">
        <f ca="1">IFERROR(__xludf.DUMMYFUNCTION("""COMPUTED_VALUE"""),3876821)</f>
        <v>3876821</v>
      </c>
    </row>
    <row r="304" spans="1:6" x14ac:dyDescent="0.35">
      <c r="A304" s="2">
        <f ca="1">IFERROR(__xludf.DUMMYFUNCTION("""COMPUTED_VALUE"""),42445.6666666666)</f>
        <v>42445.666666666599</v>
      </c>
      <c r="B304" s="1">
        <f ca="1">IFERROR(__xludf.DUMMYFUNCTION("""COMPUTED_VALUE"""),28.83)</f>
        <v>28.83</v>
      </c>
      <c r="C304" s="1">
        <f ca="1">IFERROR(__xludf.DUMMYFUNCTION("""COMPUTED_VALUE"""),29.07)</f>
        <v>29.07</v>
      </c>
      <c r="D304" s="1">
        <f ca="1">IFERROR(__xludf.DUMMYFUNCTION("""COMPUTED_VALUE"""),28.56)</f>
        <v>28.56</v>
      </c>
      <c r="E304" s="1">
        <f ca="1">IFERROR(__xludf.DUMMYFUNCTION("""COMPUTED_VALUE"""),28.71)</f>
        <v>28.71</v>
      </c>
      <c r="F304" s="1">
        <f ca="1">IFERROR(__xludf.DUMMYFUNCTION("""COMPUTED_VALUE"""),3537669)</f>
        <v>3537669</v>
      </c>
    </row>
    <row r="305" spans="1:6" x14ac:dyDescent="0.35">
      <c r="A305" s="2">
        <f ca="1">IFERROR(__xludf.DUMMYFUNCTION("""COMPUTED_VALUE"""),42446.6666666666)</f>
        <v>42446.666666666599</v>
      </c>
      <c r="B305" s="1">
        <f ca="1">IFERROR(__xludf.DUMMYFUNCTION("""COMPUTED_VALUE"""),28.48)</f>
        <v>28.48</v>
      </c>
      <c r="C305" s="1">
        <f ca="1">IFERROR(__xludf.DUMMYFUNCTION("""COMPUTED_VALUE"""),28.57)</f>
        <v>28.57</v>
      </c>
      <c r="D305" s="1">
        <f ca="1">IFERROR(__xludf.DUMMYFUNCTION("""COMPUTED_VALUE"""),27.75)</f>
        <v>27.75</v>
      </c>
      <c r="E305" s="1">
        <f ca="1">IFERROR(__xludf.DUMMYFUNCTION("""COMPUTED_VALUE"""),27.97)</f>
        <v>27.97</v>
      </c>
      <c r="F305" s="1">
        <f ca="1">IFERROR(__xludf.DUMMYFUNCTION("""COMPUTED_VALUE"""),1836751)</f>
        <v>1836751</v>
      </c>
    </row>
    <row r="306" spans="1:6" x14ac:dyDescent="0.35">
      <c r="A306" s="2">
        <f ca="1">IFERROR(__xludf.DUMMYFUNCTION("""COMPUTED_VALUE"""),42447.6666666666)</f>
        <v>42447.666666666599</v>
      </c>
      <c r="B306" s="1">
        <f ca="1">IFERROR(__xludf.DUMMYFUNCTION("""COMPUTED_VALUE"""),28.05)</f>
        <v>28.05</v>
      </c>
      <c r="C306" s="1">
        <f ca="1">IFERROR(__xludf.DUMMYFUNCTION("""COMPUTED_VALUE"""),28.12)</f>
        <v>28.12</v>
      </c>
      <c r="D306" s="1">
        <f ca="1">IFERROR(__xludf.DUMMYFUNCTION("""COMPUTED_VALUE"""),27.3)</f>
        <v>27.3</v>
      </c>
      <c r="E306" s="1">
        <f ca="1">IFERROR(__xludf.DUMMYFUNCTION("""COMPUTED_VALUE"""),27.6)</f>
        <v>27.6</v>
      </c>
      <c r="F306" s="1">
        <f ca="1">IFERROR(__xludf.DUMMYFUNCTION("""COMPUTED_VALUE"""),7296885)</f>
        <v>7296885</v>
      </c>
    </row>
    <row r="307" spans="1:6" x14ac:dyDescent="0.35">
      <c r="A307" s="2">
        <f ca="1">IFERROR(__xludf.DUMMYFUNCTION("""COMPUTED_VALUE"""),42450.6666666666)</f>
        <v>42450.666666666599</v>
      </c>
      <c r="B307" s="1">
        <f ca="1">IFERROR(__xludf.DUMMYFUNCTION("""COMPUTED_VALUE"""),27.45)</f>
        <v>27.45</v>
      </c>
      <c r="C307" s="1">
        <f ca="1">IFERROR(__xludf.DUMMYFUNCTION("""COMPUTED_VALUE"""),27.76)</f>
        <v>27.76</v>
      </c>
      <c r="D307" s="1">
        <f ca="1">IFERROR(__xludf.DUMMYFUNCTION("""COMPUTED_VALUE"""),26.93)</f>
        <v>26.93</v>
      </c>
      <c r="E307" s="1">
        <f ca="1">IFERROR(__xludf.DUMMYFUNCTION("""COMPUTED_VALUE"""),27.7)</f>
        <v>27.7</v>
      </c>
      <c r="F307" s="1">
        <f ca="1">IFERROR(__xludf.DUMMYFUNCTION("""COMPUTED_VALUE"""),5155732)</f>
        <v>5155732</v>
      </c>
    </row>
    <row r="308" spans="1:6" x14ac:dyDescent="0.35">
      <c r="A308" s="2">
        <f ca="1">IFERROR(__xludf.DUMMYFUNCTION("""COMPUTED_VALUE"""),42451.6666666666)</f>
        <v>42451.666666666599</v>
      </c>
      <c r="B308" s="1">
        <f ca="1">IFERROR(__xludf.DUMMYFUNCTION("""COMPUTED_VALUE"""),27.26)</f>
        <v>27.26</v>
      </c>
      <c r="C308" s="1">
        <f ca="1">IFERROR(__xludf.DUMMYFUNCTION("""COMPUTED_VALUE"""),28.14)</f>
        <v>28.14</v>
      </c>
      <c r="D308" s="1">
        <f ca="1">IFERROR(__xludf.DUMMYFUNCTION("""COMPUTED_VALUE"""),27.25)</f>
        <v>27.25</v>
      </c>
      <c r="E308" s="1">
        <f ca="1">IFERROR(__xludf.DUMMYFUNCTION("""COMPUTED_VALUE"""),28.02)</f>
        <v>28.02</v>
      </c>
      <c r="F308" s="1">
        <f ca="1">IFERROR(__xludf.DUMMYFUNCTION("""COMPUTED_VALUE"""),4000564)</f>
        <v>4000564</v>
      </c>
    </row>
    <row r="309" spans="1:6" x14ac:dyDescent="0.35">
      <c r="A309" s="2">
        <f ca="1">IFERROR(__xludf.DUMMYFUNCTION("""COMPUTED_VALUE"""),42452.6666666666)</f>
        <v>42452.666666666599</v>
      </c>
      <c r="B309" s="1">
        <f ca="1">IFERROR(__xludf.DUMMYFUNCTION("""COMPUTED_VALUE"""),28.05)</f>
        <v>28.05</v>
      </c>
      <c r="C309" s="1">
        <f ca="1">IFERROR(__xludf.DUMMYFUNCTION("""COMPUTED_VALUE"""),28.62)</f>
        <v>28.62</v>
      </c>
      <c r="D309" s="1">
        <f ca="1">IFERROR(__xludf.DUMMYFUNCTION("""COMPUTED_VALUE"""),27.91)</f>
        <v>27.91</v>
      </c>
      <c r="E309" s="1">
        <f ca="1">IFERROR(__xludf.DUMMYFUNCTION("""COMPUTED_VALUE"""),28.48)</f>
        <v>28.48</v>
      </c>
      <c r="F309" s="1">
        <f ca="1">IFERROR(__xludf.DUMMYFUNCTION("""COMPUTED_VALUE"""),3983720)</f>
        <v>3983720</v>
      </c>
    </row>
    <row r="310" spans="1:6" x14ac:dyDescent="0.35">
      <c r="A310" s="2">
        <f ca="1">IFERROR(__xludf.DUMMYFUNCTION("""COMPUTED_VALUE"""),42453.6666666666)</f>
        <v>42453.666666666599</v>
      </c>
      <c r="B310" s="1">
        <f ca="1">IFERROR(__xludf.DUMMYFUNCTION("""COMPUTED_VALUE"""),28.36)</f>
        <v>28.36</v>
      </c>
      <c r="C310" s="1">
        <f ca="1">IFERROR(__xludf.DUMMYFUNCTION("""COMPUTED_VALUE"""),29.18)</f>
        <v>29.18</v>
      </c>
      <c r="D310" s="1">
        <f ca="1">IFERROR(__xludf.DUMMYFUNCTION("""COMPUTED_VALUE"""),28.35)</f>
        <v>28.35</v>
      </c>
      <c r="E310" s="1">
        <f ca="1">IFERROR(__xludf.DUMMYFUNCTION("""COMPUTED_VALUE"""),29.15)</f>
        <v>29.15</v>
      </c>
      <c r="F310" s="1">
        <f ca="1">IFERROR(__xludf.DUMMYFUNCTION("""COMPUTED_VALUE"""),5185539)</f>
        <v>5185539</v>
      </c>
    </row>
    <row r="311" spans="1:6" x14ac:dyDescent="0.35">
      <c r="A311" s="2">
        <f ca="1">IFERROR(__xludf.DUMMYFUNCTION("""COMPUTED_VALUE"""),42457.6666666666)</f>
        <v>42457.666666666599</v>
      </c>
      <c r="B311" s="1">
        <f ca="1">IFERROR(__xludf.DUMMYFUNCTION("""COMPUTED_VALUE"""),29.22)</f>
        <v>29.22</v>
      </c>
      <c r="C311" s="1">
        <f ca="1">IFERROR(__xludf.DUMMYFUNCTION("""COMPUTED_VALUE"""),29.24)</f>
        <v>29.24</v>
      </c>
      <c r="D311" s="1">
        <f ca="1">IFERROR(__xludf.DUMMYFUNCTION("""COMPUTED_VALUE"""),28.78)</f>
        <v>28.78</v>
      </c>
      <c r="E311" s="1">
        <f ca="1">IFERROR(__xludf.DUMMYFUNCTION("""COMPUTED_VALUE"""),28.99)</f>
        <v>28.99</v>
      </c>
      <c r="F311" s="1">
        <f ca="1">IFERROR(__xludf.DUMMYFUNCTION("""COMPUTED_VALUE"""),3121522)</f>
        <v>3121522</v>
      </c>
    </row>
    <row r="312" spans="1:6" x14ac:dyDescent="0.35">
      <c r="A312" s="2">
        <f ca="1">IFERROR(__xludf.DUMMYFUNCTION("""COMPUTED_VALUE"""),42458.6666666666)</f>
        <v>42458.666666666599</v>
      </c>
      <c r="B312" s="1">
        <f ca="1">IFERROR(__xludf.DUMMYFUNCTION("""COMPUTED_VALUE"""),29.01)</f>
        <v>29.01</v>
      </c>
      <c r="C312" s="1">
        <f ca="1">IFERROR(__xludf.DUMMYFUNCTION("""COMPUTED_VALUE"""),29.79)</f>
        <v>29.79</v>
      </c>
      <c r="D312" s="1">
        <f ca="1">IFERROR(__xludf.DUMMYFUNCTION("""COMPUTED_VALUE"""),28.83)</f>
        <v>28.83</v>
      </c>
      <c r="E312" s="1">
        <f ca="1">IFERROR(__xludf.DUMMYFUNCTION("""COMPUTED_VALUE"""),29.69)</f>
        <v>29.69</v>
      </c>
      <c r="F312" s="1">
        <f ca="1">IFERROR(__xludf.DUMMYFUNCTION("""COMPUTED_VALUE"""),4392567)</f>
        <v>4392567</v>
      </c>
    </row>
    <row r="313" spans="1:6" x14ac:dyDescent="0.35">
      <c r="A313" s="2">
        <f ca="1">IFERROR(__xludf.DUMMYFUNCTION("""COMPUTED_VALUE"""),42459.6666666666)</f>
        <v>42459.666666666599</v>
      </c>
      <c r="B313" s="1">
        <f ca="1">IFERROR(__xludf.DUMMYFUNCTION("""COMPUTED_VALUE"""),29.84)</f>
        <v>29.84</v>
      </c>
      <c r="C313" s="1">
        <f ca="1">IFERROR(__xludf.DUMMYFUNCTION("""COMPUTED_VALUE"""),30.16)</f>
        <v>30.16</v>
      </c>
      <c r="D313" s="1">
        <f ca="1">IFERROR(__xludf.DUMMYFUNCTION("""COMPUTED_VALUE"""),29.75)</f>
        <v>29.75</v>
      </c>
      <c r="E313" s="1">
        <f ca="1">IFERROR(__xludf.DUMMYFUNCTION("""COMPUTED_VALUE"""),29.93)</f>
        <v>29.93</v>
      </c>
      <c r="F313" s="1">
        <f ca="1">IFERROR(__xludf.DUMMYFUNCTION("""COMPUTED_VALUE"""),3890461)</f>
        <v>3890461</v>
      </c>
    </row>
    <row r="314" spans="1:6" x14ac:dyDescent="0.35">
      <c r="A314" s="2">
        <f ca="1">IFERROR(__xludf.DUMMYFUNCTION("""COMPUTED_VALUE"""),42460.6666666666)</f>
        <v>42460.666666666599</v>
      </c>
      <c r="B314" s="1">
        <f ca="1">IFERROR(__xludf.DUMMYFUNCTION("""COMPUTED_VALUE"""),29.96)</f>
        <v>29.96</v>
      </c>
      <c r="C314" s="1">
        <f ca="1">IFERROR(__xludf.DUMMYFUNCTION("""COMPUTED_VALUE"""),30.04)</f>
        <v>30.04</v>
      </c>
      <c r="D314" s="1">
        <f ca="1">IFERROR(__xludf.DUMMYFUNCTION("""COMPUTED_VALUE"""),29.61)</f>
        <v>29.61</v>
      </c>
      <c r="E314" s="1">
        <f ca="1">IFERROR(__xludf.DUMMYFUNCTION("""COMPUTED_VALUE"""),29.68)</f>
        <v>29.68</v>
      </c>
      <c r="F314" s="1">
        <f ca="1">IFERROR(__xludf.DUMMYFUNCTION("""COMPUTED_VALUE"""),2681811)</f>
        <v>2681811</v>
      </c>
    </row>
    <row r="315" spans="1:6" x14ac:dyDescent="0.35">
      <c r="A315" s="2">
        <f ca="1">IFERROR(__xludf.DUMMYFUNCTION("""COMPUTED_VALUE"""),42461.6666666666)</f>
        <v>42461.666666666599</v>
      </c>
      <c r="B315" s="1">
        <f ca="1">IFERROR(__xludf.DUMMYFUNCTION("""COMPUTED_VALUE"""),29.52)</f>
        <v>29.52</v>
      </c>
      <c r="C315" s="1">
        <f ca="1">IFERROR(__xludf.DUMMYFUNCTION("""COMPUTED_VALUE"""),29.95)</f>
        <v>29.95</v>
      </c>
      <c r="D315" s="1">
        <f ca="1">IFERROR(__xludf.DUMMYFUNCTION("""COMPUTED_VALUE"""),29.42)</f>
        <v>29.42</v>
      </c>
      <c r="E315" s="1">
        <f ca="1">IFERROR(__xludf.DUMMYFUNCTION("""COMPUTED_VALUE"""),29.93)</f>
        <v>29.93</v>
      </c>
      <c r="F315" s="1">
        <f ca="1">IFERROR(__xludf.DUMMYFUNCTION("""COMPUTED_VALUE"""),2917386)</f>
        <v>2917386</v>
      </c>
    </row>
    <row r="316" spans="1:6" x14ac:dyDescent="0.35">
      <c r="A316" s="2">
        <f ca="1">IFERROR(__xludf.DUMMYFUNCTION("""COMPUTED_VALUE"""),42464.6666666666)</f>
        <v>42464.666666666599</v>
      </c>
      <c r="B316" s="1">
        <f ca="1">IFERROR(__xludf.DUMMYFUNCTION("""COMPUTED_VALUE"""),29.95)</f>
        <v>29.95</v>
      </c>
      <c r="C316" s="1">
        <f ca="1">IFERROR(__xludf.DUMMYFUNCTION("""COMPUTED_VALUE"""),29.98)</f>
        <v>29.98</v>
      </c>
      <c r="D316" s="1">
        <f ca="1">IFERROR(__xludf.DUMMYFUNCTION("""COMPUTED_VALUE"""),29.53)</f>
        <v>29.53</v>
      </c>
      <c r="E316" s="1">
        <f ca="1">IFERROR(__xludf.DUMMYFUNCTION("""COMPUTED_VALUE"""),29.66)</f>
        <v>29.66</v>
      </c>
      <c r="F316" s="1">
        <f ca="1">IFERROR(__xludf.DUMMYFUNCTION("""COMPUTED_VALUE"""),2470825)</f>
        <v>2470825</v>
      </c>
    </row>
    <row r="317" spans="1:6" x14ac:dyDescent="0.35">
      <c r="A317" s="2">
        <f ca="1">IFERROR(__xludf.DUMMYFUNCTION("""COMPUTED_VALUE"""),42465.6666666666)</f>
        <v>42465.666666666599</v>
      </c>
      <c r="B317" s="1">
        <f ca="1">IFERROR(__xludf.DUMMYFUNCTION("""COMPUTED_VALUE"""),29.54)</f>
        <v>29.54</v>
      </c>
      <c r="C317" s="1">
        <f ca="1">IFERROR(__xludf.DUMMYFUNCTION("""COMPUTED_VALUE"""),29.67)</f>
        <v>29.67</v>
      </c>
      <c r="D317" s="1">
        <f ca="1">IFERROR(__xludf.DUMMYFUNCTION("""COMPUTED_VALUE"""),29.26)</f>
        <v>29.26</v>
      </c>
      <c r="E317" s="1">
        <f ca="1">IFERROR(__xludf.DUMMYFUNCTION("""COMPUTED_VALUE"""),29.31)</f>
        <v>29.31</v>
      </c>
      <c r="F317" s="1">
        <f ca="1">IFERROR(__xludf.DUMMYFUNCTION("""COMPUTED_VALUE"""),2308884)</f>
        <v>2308884</v>
      </c>
    </row>
    <row r="318" spans="1:6" x14ac:dyDescent="0.35">
      <c r="A318" s="2">
        <f ca="1">IFERROR(__xludf.DUMMYFUNCTION("""COMPUTED_VALUE"""),42466.6666666666)</f>
        <v>42466.666666666599</v>
      </c>
      <c r="B318" s="1">
        <f ca="1">IFERROR(__xludf.DUMMYFUNCTION("""COMPUTED_VALUE"""),29.38)</f>
        <v>29.38</v>
      </c>
      <c r="C318" s="1">
        <f ca="1">IFERROR(__xludf.DUMMYFUNCTION("""COMPUTED_VALUE"""),30.12)</f>
        <v>30.12</v>
      </c>
      <c r="D318" s="1">
        <f ca="1">IFERROR(__xludf.DUMMYFUNCTION("""COMPUTED_VALUE"""),29.38)</f>
        <v>29.38</v>
      </c>
      <c r="E318" s="1">
        <f ca="1">IFERROR(__xludf.DUMMYFUNCTION("""COMPUTED_VALUE"""),30.1)</f>
        <v>30.1</v>
      </c>
      <c r="F318" s="1">
        <f ca="1">IFERROR(__xludf.DUMMYFUNCTION("""COMPUTED_VALUE"""),2849909)</f>
        <v>2849909</v>
      </c>
    </row>
    <row r="319" spans="1:6" x14ac:dyDescent="0.35">
      <c r="A319" s="2">
        <f ca="1">IFERROR(__xludf.DUMMYFUNCTION("""COMPUTED_VALUE"""),42467.6666666666)</f>
        <v>42467.666666666599</v>
      </c>
      <c r="B319" s="1">
        <f ca="1">IFERROR(__xludf.DUMMYFUNCTION("""COMPUTED_VALUE"""),29.94)</f>
        <v>29.94</v>
      </c>
      <c r="C319" s="1">
        <f ca="1">IFERROR(__xludf.DUMMYFUNCTION("""COMPUTED_VALUE"""),29.98)</f>
        <v>29.98</v>
      </c>
      <c r="D319" s="1">
        <f ca="1">IFERROR(__xludf.DUMMYFUNCTION("""COMPUTED_VALUE"""),29.45)</f>
        <v>29.45</v>
      </c>
      <c r="E319" s="1">
        <f ca="1">IFERROR(__xludf.DUMMYFUNCTION("""COMPUTED_VALUE"""),29.57)</f>
        <v>29.57</v>
      </c>
      <c r="F319" s="1">
        <f ca="1">IFERROR(__xludf.DUMMYFUNCTION("""COMPUTED_VALUE"""),3189037)</f>
        <v>3189037</v>
      </c>
    </row>
    <row r="320" spans="1:6" x14ac:dyDescent="0.35">
      <c r="A320" s="2">
        <f ca="1">IFERROR(__xludf.DUMMYFUNCTION("""COMPUTED_VALUE"""),42468.6666666666)</f>
        <v>42468.666666666599</v>
      </c>
      <c r="B320" s="1">
        <f ca="1">IFERROR(__xludf.DUMMYFUNCTION("""COMPUTED_VALUE"""),29.72)</f>
        <v>29.72</v>
      </c>
      <c r="C320" s="1">
        <f ca="1">IFERROR(__xludf.DUMMYFUNCTION("""COMPUTED_VALUE"""),29.89)</f>
        <v>29.89</v>
      </c>
      <c r="D320" s="1">
        <f ca="1">IFERROR(__xludf.DUMMYFUNCTION("""COMPUTED_VALUE"""),29.45)</f>
        <v>29.45</v>
      </c>
      <c r="E320" s="1">
        <f ca="1">IFERROR(__xludf.DUMMYFUNCTION("""COMPUTED_VALUE"""),29.73)</f>
        <v>29.73</v>
      </c>
      <c r="F320" s="1">
        <f ca="1">IFERROR(__xludf.DUMMYFUNCTION("""COMPUTED_VALUE"""),2591936)</f>
        <v>2591936</v>
      </c>
    </row>
    <row r="321" spans="1:6" x14ac:dyDescent="0.35">
      <c r="A321" s="2">
        <f ca="1">IFERROR(__xludf.DUMMYFUNCTION("""COMPUTED_VALUE"""),42471.6666666666)</f>
        <v>42471.666666666599</v>
      </c>
      <c r="B321" s="1">
        <f ca="1">IFERROR(__xludf.DUMMYFUNCTION("""COMPUTED_VALUE"""),29.81)</f>
        <v>29.81</v>
      </c>
      <c r="C321" s="1">
        <f ca="1">IFERROR(__xludf.DUMMYFUNCTION("""COMPUTED_VALUE"""),30.2)</f>
        <v>30.2</v>
      </c>
      <c r="D321" s="1">
        <f ca="1">IFERROR(__xludf.DUMMYFUNCTION("""COMPUTED_VALUE"""),29.75)</f>
        <v>29.75</v>
      </c>
      <c r="E321" s="1">
        <f ca="1">IFERROR(__xludf.DUMMYFUNCTION("""COMPUTED_VALUE"""),29.8)</f>
        <v>29.8</v>
      </c>
      <c r="F321" s="1">
        <f ca="1">IFERROR(__xludf.DUMMYFUNCTION("""COMPUTED_VALUE"""),2704267)</f>
        <v>2704267</v>
      </c>
    </row>
    <row r="322" spans="1:6" x14ac:dyDescent="0.35">
      <c r="A322" s="2">
        <f ca="1">IFERROR(__xludf.DUMMYFUNCTION("""COMPUTED_VALUE"""),42472.6666666666)</f>
        <v>42472.666666666599</v>
      </c>
      <c r="B322" s="1">
        <f ca="1">IFERROR(__xludf.DUMMYFUNCTION("""COMPUTED_VALUE"""),29.92)</f>
        <v>29.92</v>
      </c>
      <c r="C322" s="1">
        <f ca="1">IFERROR(__xludf.DUMMYFUNCTION("""COMPUTED_VALUE"""),30.2)</f>
        <v>30.2</v>
      </c>
      <c r="D322" s="1">
        <f ca="1">IFERROR(__xludf.DUMMYFUNCTION("""COMPUTED_VALUE"""),29.62)</f>
        <v>29.62</v>
      </c>
      <c r="E322" s="1">
        <f ca="1">IFERROR(__xludf.DUMMYFUNCTION("""COMPUTED_VALUE"""),30.16)</f>
        <v>30.16</v>
      </c>
      <c r="F322" s="1">
        <f ca="1">IFERROR(__xludf.DUMMYFUNCTION("""COMPUTED_VALUE"""),2641062)</f>
        <v>2641062</v>
      </c>
    </row>
    <row r="323" spans="1:6" x14ac:dyDescent="0.35">
      <c r="A323" s="2">
        <f ca="1">IFERROR(__xludf.DUMMYFUNCTION("""COMPUTED_VALUE"""),42473.6666666666)</f>
        <v>42473.666666666599</v>
      </c>
      <c r="B323" s="1">
        <f ca="1">IFERROR(__xludf.DUMMYFUNCTION("""COMPUTED_VALUE"""),30.38)</f>
        <v>30.38</v>
      </c>
      <c r="C323" s="1">
        <f ca="1">IFERROR(__xludf.DUMMYFUNCTION("""COMPUTED_VALUE"""),30.84)</f>
        <v>30.84</v>
      </c>
      <c r="D323" s="1">
        <f ca="1">IFERROR(__xludf.DUMMYFUNCTION("""COMPUTED_VALUE"""),30.26)</f>
        <v>30.26</v>
      </c>
      <c r="E323" s="1">
        <f ca="1">IFERROR(__xludf.DUMMYFUNCTION("""COMPUTED_VALUE"""),30.74)</f>
        <v>30.74</v>
      </c>
      <c r="F323" s="1">
        <f ca="1">IFERROR(__xludf.DUMMYFUNCTION("""COMPUTED_VALUE"""),4228349)</f>
        <v>4228349</v>
      </c>
    </row>
    <row r="324" spans="1:6" x14ac:dyDescent="0.35">
      <c r="A324" s="2">
        <f ca="1">IFERROR(__xludf.DUMMYFUNCTION("""COMPUTED_VALUE"""),42474.6666666666)</f>
        <v>42474.666666666599</v>
      </c>
      <c r="B324" s="1">
        <f ca="1">IFERROR(__xludf.DUMMYFUNCTION("""COMPUTED_VALUE"""),30.75)</f>
        <v>30.75</v>
      </c>
      <c r="C324" s="1">
        <f ca="1">IFERROR(__xludf.DUMMYFUNCTION("""COMPUTED_VALUE"""),31.22)</f>
        <v>31.22</v>
      </c>
      <c r="D324" s="1">
        <f ca="1">IFERROR(__xludf.DUMMYFUNCTION("""COMPUTED_VALUE"""),30.75)</f>
        <v>30.75</v>
      </c>
      <c r="E324" s="1">
        <f ca="1">IFERROR(__xludf.DUMMYFUNCTION("""COMPUTED_VALUE"""),31.04)</f>
        <v>31.04</v>
      </c>
      <c r="F324" s="1">
        <f ca="1">IFERROR(__xludf.DUMMYFUNCTION("""COMPUTED_VALUE"""),3512136)</f>
        <v>3512136</v>
      </c>
    </row>
    <row r="325" spans="1:6" x14ac:dyDescent="0.35">
      <c r="A325" s="2">
        <f ca="1">IFERROR(__xludf.DUMMYFUNCTION("""COMPUTED_VALUE"""),42475.6666666666)</f>
        <v>42475.666666666599</v>
      </c>
      <c r="B325" s="1">
        <f ca="1">IFERROR(__xludf.DUMMYFUNCTION("""COMPUTED_VALUE"""),31.1)</f>
        <v>31.1</v>
      </c>
      <c r="C325" s="1">
        <f ca="1">IFERROR(__xludf.DUMMYFUNCTION("""COMPUTED_VALUE"""),31.34)</f>
        <v>31.34</v>
      </c>
      <c r="D325" s="1">
        <f ca="1">IFERROR(__xludf.DUMMYFUNCTION("""COMPUTED_VALUE"""),30.91)</f>
        <v>30.91</v>
      </c>
      <c r="E325" s="1">
        <f ca="1">IFERROR(__xludf.DUMMYFUNCTION("""COMPUTED_VALUE"""),31.29)</f>
        <v>31.29</v>
      </c>
      <c r="F325" s="1">
        <f ca="1">IFERROR(__xludf.DUMMYFUNCTION("""COMPUTED_VALUE"""),2887681)</f>
        <v>2887681</v>
      </c>
    </row>
    <row r="326" spans="1:6" x14ac:dyDescent="0.35">
      <c r="A326" s="2">
        <f ca="1">IFERROR(__xludf.DUMMYFUNCTION("""COMPUTED_VALUE"""),42478.6666666666)</f>
        <v>42478.666666666599</v>
      </c>
      <c r="B326" s="1">
        <f ca="1">IFERROR(__xludf.DUMMYFUNCTION("""COMPUTED_VALUE"""),31.27)</f>
        <v>31.27</v>
      </c>
      <c r="C326" s="1">
        <f ca="1">IFERROR(__xludf.DUMMYFUNCTION("""COMPUTED_VALUE"""),31.88)</f>
        <v>31.88</v>
      </c>
      <c r="D326" s="1">
        <f ca="1">IFERROR(__xludf.DUMMYFUNCTION("""COMPUTED_VALUE"""),31.25)</f>
        <v>31.25</v>
      </c>
      <c r="E326" s="1">
        <f ca="1">IFERROR(__xludf.DUMMYFUNCTION("""COMPUTED_VALUE"""),31.77)</f>
        <v>31.77</v>
      </c>
      <c r="F326" s="1">
        <f ca="1">IFERROR(__xludf.DUMMYFUNCTION("""COMPUTED_VALUE"""),4360883)</f>
        <v>4360883</v>
      </c>
    </row>
    <row r="327" spans="1:6" x14ac:dyDescent="0.35">
      <c r="A327" s="2">
        <f ca="1">IFERROR(__xludf.DUMMYFUNCTION("""COMPUTED_VALUE"""),42479.6666666666)</f>
        <v>42479.666666666599</v>
      </c>
      <c r="B327" s="1">
        <f ca="1">IFERROR(__xludf.DUMMYFUNCTION("""COMPUTED_VALUE"""),31.86)</f>
        <v>31.86</v>
      </c>
      <c r="C327" s="1">
        <f ca="1">IFERROR(__xludf.DUMMYFUNCTION("""COMPUTED_VALUE"""),31.9)</f>
        <v>31.9</v>
      </c>
      <c r="D327" s="1">
        <f ca="1">IFERROR(__xludf.DUMMYFUNCTION("""COMPUTED_VALUE"""),31.04)</f>
        <v>31.04</v>
      </c>
      <c r="E327" s="1">
        <f ca="1">IFERROR(__xludf.DUMMYFUNCTION("""COMPUTED_VALUE"""),31.4)</f>
        <v>31.4</v>
      </c>
      <c r="F327" s="1">
        <f ca="1">IFERROR(__xludf.DUMMYFUNCTION("""COMPUTED_VALUE"""),4055870)</f>
        <v>4055870</v>
      </c>
    </row>
    <row r="328" spans="1:6" x14ac:dyDescent="0.35">
      <c r="A328" s="2">
        <f ca="1">IFERROR(__xludf.DUMMYFUNCTION("""COMPUTED_VALUE"""),42480.6666666666)</f>
        <v>42480.666666666599</v>
      </c>
      <c r="B328" s="1">
        <f ca="1">IFERROR(__xludf.DUMMYFUNCTION("""COMPUTED_VALUE"""),31.5)</f>
        <v>31.5</v>
      </c>
      <c r="C328" s="1">
        <f ca="1">IFERROR(__xludf.DUMMYFUNCTION("""COMPUTED_VALUE"""),31.83)</f>
        <v>31.83</v>
      </c>
      <c r="D328" s="1">
        <f ca="1">IFERROR(__xludf.DUMMYFUNCTION("""COMPUTED_VALUE"""),31.15)</f>
        <v>31.15</v>
      </c>
      <c r="E328" s="1">
        <f ca="1">IFERROR(__xludf.DUMMYFUNCTION("""COMPUTED_VALUE"""),31.65)</f>
        <v>31.65</v>
      </c>
      <c r="F328" s="1">
        <f ca="1">IFERROR(__xludf.DUMMYFUNCTION("""COMPUTED_VALUE"""),2609425)</f>
        <v>2609425</v>
      </c>
    </row>
    <row r="329" spans="1:6" x14ac:dyDescent="0.35">
      <c r="A329" s="2">
        <f ca="1">IFERROR(__xludf.DUMMYFUNCTION("""COMPUTED_VALUE"""),42481.6666666666)</f>
        <v>42481.666666666599</v>
      </c>
      <c r="B329" s="1">
        <f ca="1">IFERROR(__xludf.DUMMYFUNCTION("""COMPUTED_VALUE"""),31.55)</f>
        <v>31.55</v>
      </c>
      <c r="C329" s="1">
        <f ca="1">IFERROR(__xludf.DUMMYFUNCTION("""COMPUTED_VALUE"""),31.89)</f>
        <v>31.89</v>
      </c>
      <c r="D329" s="1">
        <f ca="1">IFERROR(__xludf.DUMMYFUNCTION("""COMPUTED_VALUE"""),31.43)</f>
        <v>31.43</v>
      </c>
      <c r="E329" s="1">
        <f ca="1">IFERROR(__xludf.DUMMYFUNCTION("""COMPUTED_VALUE"""),31.55)</f>
        <v>31.55</v>
      </c>
      <c r="F329" s="1">
        <f ca="1">IFERROR(__xludf.DUMMYFUNCTION("""COMPUTED_VALUE"""),2596298)</f>
        <v>2596298</v>
      </c>
    </row>
    <row r="330" spans="1:6" x14ac:dyDescent="0.35">
      <c r="A330" s="2">
        <f ca="1">IFERROR(__xludf.DUMMYFUNCTION("""COMPUTED_VALUE"""),42482.6666666666)</f>
        <v>42482.666666666599</v>
      </c>
      <c r="B330" s="1">
        <f ca="1">IFERROR(__xludf.DUMMYFUNCTION("""COMPUTED_VALUE"""),31.22)</f>
        <v>31.22</v>
      </c>
      <c r="C330" s="1">
        <f ca="1">IFERROR(__xludf.DUMMYFUNCTION("""COMPUTED_VALUE"""),31.41)</f>
        <v>31.41</v>
      </c>
      <c r="D330" s="1">
        <f ca="1">IFERROR(__xludf.DUMMYFUNCTION("""COMPUTED_VALUE"""),30.58)</f>
        <v>30.58</v>
      </c>
      <c r="E330" s="1">
        <f ca="1">IFERROR(__xludf.DUMMYFUNCTION("""COMPUTED_VALUE"""),31.03)</f>
        <v>31.03</v>
      </c>
      <c r="F330" s="1">
        <f ca="1">IFERROR(__xludf.DUMMYFUNCTION("""COMPUTED_VALUE"""),5083904)</f>
        <v>5083904</v>
      </c>
    </row>
    <row r="331" spans="1:6" x14ac:dyDescent="0.35">
      <c r="A331" s="2">
        <f ca="1">IFERROR(__xludf.DUMMYFUNCTION("""COMPUTED_VALUE"""),42485.6666666666)</f>
        <v>42485.666666666599</v>
      </c>
      <c r="B331" s="1">
        <f ca="1">IFERROR(__xludf.DUMMYFUNCTION("""COMPUTED_VALUE"""),30.83)</f>
        <v>30.83</v>
      </c>
      <c r="C331" s="1">
        <f ca="1">IFERROR(__xludf.DUMMYFUNCTION("""COMPUTED_VALUE"""),31.35)</f>
        <v>31.35</v>
      </c>
      <c r="D331" s="1">
        <f ca="1">IFERROR(__xludf.DUMMYFUNCTION("""COMPUTED_VALUE"""),30.81)</f>
        <v>30.81</v>
      </c>
      <c r="E331" s="1">
        <f ca="1">IFERROR(__xludf.DUMMYFUNCTION("""COMPUTED_VALUE"""),31.31)</f>
        <v>31.31</v>
      </c>
      <c r="F331" s="1">
        <f ca="1">IFERROR(__xludf.DUMMYFUNCTION("""COMPUTED_VALUE"""),2682924)</f>
        <v>2682924</v>
      </c>
    </row>
    <row r="332" spans="1:6" x14ac:dyDescent="0.35">
      <c r="A332" s="2">
        <f ca="1">IFERROR(__xludf.DUMMYFUNCTION("""COMPUTED_VALUE"""),42486.6666666666)</f>
        <v>42486.666666666599</v>
      </c>
      <c r="B332" s="1">
        <f ca="1">IFERROR(__xludf.DUMMYFUNCTION("""COMPUTED_VALUE"""),31.31)</f>
        <v>31.31</v>
      </c>
      <c r="C332" s="1">
        <f ca="1">IFERROR(__xludf.DUMMYFUNCTION("""COMPUTED_VALUE"""),31.34)</f>
        <v>31.34</v>
      </c>
      <c r="D332" s="1">
        <f ca="1">IFERROR(__xludf.DUMMYFUNCTION("""COMPUTED_VALUE"""),30.74)</f>
        <v>30.74</v>
      </c>
      <c r="E332" s="1">
        <f ca="1">IFERROR(__xludf.DUMMYFUNCTION("""COMPUTED_VALUE"""),30.84)</f>
        <v>30.84</v>
      </c>
      <c r="F332" s="1">
        <f ca="1">IFERROR(__xludf.DUMMYFUNCTION("""COMPUTED_VALUE"""),2521433)</f>
        <v>2521433</v>
      </c>
    </row>
    <row r="333" spans="1:6" x14ac:dyDescent="0.35">
      <c r="A333" s="2">
        <f ca="1">IFERROR(__xludf.DUMMYFUNCTION("""COMPUTED_VALUE"""),42487.6666666666)</f>
        <v>42487.666666666599</v>
      </c>
      <c r="B333" s="1">
        <f ca="1">IFERROR(__xludf.DUMMYFUNCTION("""COMPUTED_VALUE"""),30.59)</f>
        <v>30.59</v>
      </c>
      <c r="C333" s="1">
        <f ca="1">IFERROR(__xludf.DUMMYFUNCTION("""COMPUTED_VALUE"""),30.8)</f>
        <v>30.8</v>
      </c>
      <c r="D333" s="1">
        <f ca="1">IFERROR(__xludf.DUMMYFUNCTION("""COMPUTED_VALUE"""),30.06)</f>
        <v>30.06</v>
      </c>
      <c r="E333" s="1">
        <f ca="1">IFERROR(__xludf.DUMMYFUNCTION("""COMPUTED_VALUE"""),30.33)</f>
        <v>30.33</v>
      </c>
      <c r="F333" s="1">
        <f ca="1">IFERROR(__xludf.DUMMYFUNCTION("""COMPUTED_VALUE"""),4068767)</f>
        <v>4068767</v>
      </c>
    </row>
    <row r="334" spans="1:6" x14ac:dyDescent="0.35">
      <c r="A334" s="2">
        <f ca="1">IFERROR(__xludf.DUMMYFUNCTION("""COMPUTED_VALUE"""),42488.6666666666)</f>
        <v>42488.666666666599</v>
      </c>
      <c r="B334" s="1">
        <f ca="1">IFERROR(__xludf.DUMMYFUNCTION("""COMPUTED_VALUE"""),30.78)</f>
        <v>30.78</v>
      </c>
      <c r="C334" s="1">
        <f ca="1">IFERROR(__xludf.DUMMYFUNCTION("""COMPUTED_VALUE"""),31.34)</f>
        <v>31.34</v>
      </c>
      <c r="D334" s="1">
        <f ca="1">IFERROR(__xludf.DUMMYFUNCTION("""COMPUTED_VALUE"""),29.96)</f>
        <v>29.96</v>
      </c>
      <c r="E334" s="1">
        <f ca="1">IFERROR(__xludf.DUMMYFUNCTION("""COMPUTED_VALUE"""),30.1)</f>
        <v>30.1</v>
      </c>
      <c r="F334" s="1">
        <f ca="1">IFERROR(__xludf.DUMMYFUNCTION("""COMPUTED_VALUE"""),7872605)</f>
        <v>7872605</v>
      </c>
    </row>
    <row r="335" spans="1:6" x14ac:dyDescent="0.35">
      <c r="A335" s="2">
        <f ca="1">IFERROR(__xludf.DUMMYFUNCTION("""COMPUTED_VALUE"""),42489.6666666666)</f>
        <v>42489.666666666599</v>
      </c>
      <c r="B335" s="1">
        <f ca="1">IFERROR(__xludf.DUMMYFUNCTION("""COMPUTED_VALUE"""),33.3)</f>
        <v>33.299999999999997</v>
      </c>
      <c r="C335" s="1">
        <f ca="1">IFERROR(__xludf.DUMMYFUNCTION("""COMPUTED_VALUE"""),33.5)</f>
        <v>33.5</v>
      </c>
      <c r="D335" s="1">
        <f ca="1">IFERROR(__xludf.DUMMYFUNCTION("""COMPUTED_VALUE"""),32.7)</f>
        <v>32.700000000000003</v>
      </c>
      <c r="E335" s="1">
        <f ca="1">IFERROR(__xludf.DUMMYFUNCTION("""COMPUTED_VALUE"""),32.98)</f>
        <v>32.979999999999997</v>
      </c>
      <c r="F335" s="1">
        <f ca="1">IFERROR(__xludf.DUMMYFUNCTION("""COMPUTED_VALUE"""),10310739)</f>
        <v>10310739</v>
      </c>
    </row>
    <row r="336" spans="1:6" x14ac:dyDescent="0.35">
      <c r="A336" s="2">
        <f ca="1">IFERROR(__xludf.DUMMYFUNCTION("""COMPUTED_VALUE"""),42492.6666666666)</f>
        <v>42492.666666666599</v>
      </c>
      <c r="B336" s="1">
        <f ca="1">IFERROR(__xludf.DUMMYFUNCTION("""COMPUTED_VALUE"""),33.2)</f>
        <v>33.200000000000003</v>
      </c>
      <c r="C336" s="1">
        <f ca="1">IFERROR(__xludf.DUMMYFUNCTION("""COMPUTED_VALUE"""),34.28)</f>
        <v>34.28</v>
      </c>
      <c r="D336" s="1">
        <f ca="1">IFERROR(__xludf.DUMMYFUNCTION("""COMPUTED_VALUE"""),33.1)</f>
        <v>33.1</v>
      </c>
      <c r="E336" s="1">
        <f ca="1">IFERROR(__xludf.DUMMYFUNCTION("""COMPUTED_VALUE"""),34.19)</f>
        <v>34.19</v>
      </c>
      <c r="F336" s="1">
        <f ca="1">IFERROR(__xludf.DUMMYFUNCTION("""COMPUTED_VALUE"""),6578517)</f>
        <v>6578517</v>
      </c>
    </row>
    <row r="337" spans="1:6" x14ac:dyDescent="0.35">
      <c r="A337" s="2">
        <f ca="1">IFERROR(__xludf.DUMMYFUNCTION("""COMPUTED_VALUE"""),42493.6666666666)</f>
        <v>42493.666666666599</v>
      </c>
      <c r="B337" s="1">
        <f ca="1">IFERROR(__xludf.DUMMYFUNCTION("""COMPUTED_VALUE"""),33.87)</f>
        <v>33.869999999999997</v>
      </c>
      <c r="C337" s="1">
        <f ca="1">IFERROR(__xludf.DUMMYFUNCTION("""COMPUTED_VALUE"""),34.02)</f>
        <v>34.020000000000003</v>
      </c>
      <c r="D337" s="1">
        <f ca="1">IFERROR(__xludf.DUMMYFUNCTION("""COMPUTED_VALUE"""),33.52)</f>
        <v>33.520000000000003</v>
      </c>
      <c r="E337" s="1">
        <f ca="1">IFERROR(__xludf.DUMMYFUNCTION("""COMPUTED_VALUE"""),33.57)</f>
        <v>33.57</v>
      </c>
      <c r="F337" s="1">
        <f ca="1">IFERROR(__xludf.DUMMYFUNCTION("""COMPUTED_VALUE"""),4923351)</f>
        <v>4923351</v>
      </c>
    </row>
    <row r="338" spans="1:6" x14ac:dyDescent="0.35">
      <c r="A338" s="2">
        <f ca="1">IFERROR(__xludf.DUMMYFUNCTION("""COMPUTED_VALUE"""),42494.6666666666)</f>
        <v>42494.666666666599</v>
      </c>
      <c r="B338" s="1">
        <f ca="1">IFERROR(__xludf.DUMMYFUNCTION("""COMPUTED_VALUE"""),33.13)</f>
        <v>33.130000000000003</v>
      </c>
      <c r="C338" s="1">
        <f ca="1">IFERROR(__xludf.DUMMYFUNCTION("""COMPUTED_VALUE"""),33.7)</f>
        <v>33.700000000000003</v>
      </c>
      <c r="D338" s="1">
        <f ca="1">IFERROR(__xludf.DUMMYFUNCTION("""COMPUTED_VALUE"""),33.11)</f>
        <v>33.11</v>
      </c>
      <c r="E338" s="1">
        <f ca="1">IFERROR(__xludf.DUMMYFUNCTION("""COMPUTED_VALUE"""),33.55)</f>
        <v>33.549999999999997</v>
      </c>
      <c r="F338" s="1">
        <f ca="1">IFERROR(__xludf.DUMMYFUNCTION("""COMPUTED_VALUE"""),4635462)</f>
        <v>4635462</v>
      </c>
    </row>
    <row r="339" spans="1:6" x14ac:dyDescent="0.35">
      <c r="A339" s="2">
        <f ca="1">IFERROR(__xludf.DUMMYFUNCTION("""COMPUTED_VALUE"""),42495.6666666666)</f>
        <v>42495.666666666599</v>
      </c>
      <c r="B339" s="1">
        <f ca="1">IFERROR(__xludf.DUMMYFUNCTION("""COMPUTED_VALUE"""),33.67)</f>
        <v>33.67</v>
      </c>
      <c r="C339" s="1">
        <f ca="1">IFERROR(__xludf.DUMMYFUNCTION("""COMPUTED_VALUE"""),33.82)</f>
        <v>33.82</v>
      </c>
      <c r="D339" s="1">
        <f ca="1">IFERROR(__xludf.DUMMYFUNCTION("""COMPUTED_VALUE"""),32.8)</f>
        <v>32.799999999999997</v>
      </c>
      <c r="E339" s="1">
        <f ca="1">IFERROR(__xludf.DUMMYFUNCTION("""COMPUTED_VALUE"""),32.95)</f>
        <v>32.950000000000003</v>
      </c>
      <c r="F339" s="1">
        <f ca="1">IFERROR(__xludf.DUMMYFUNCTION("""COMPUTED_VALUE"""),4884114)</f>
        <v>4884114</v>
      </c>
    </row>
    <row r="340" spans="1:6" x14ac:dyDescent="0.35">
      <c r="A340" s="2">
        <f ca="1">IFERROR(__xludf.DUMMYFUNCTION("""COMPUTED_VALUE"""),42496.6666666666)</f>
        <v>42496.666666666599</v>
      </c>
      <c r="B340" s="1">
        <f ca="1">IFERROR(__xludf.DUMMYFUNCTION("""COMPUTED_VALUE"""),32.8)</f>
        <v>32.799999999999997</v>
      </c>
      <c r="C340" s="1">
        <f ca="1">IFERROR(__xludf.DUMMYFUNCTION("""COMPUTED_VALUE"""),33.85)</f>
        <v>33.85</v>
      </c>
      <c r="D340" s="1">
        <f ca="1">IFERROR(__xludf.DUMMYFUNCTION("""COMPUTED_VALUE"""),32.8)</f>
        <v>32.799999999999997</v>
      </c>
      <c r="E340" s="1">
        <f ca="1">IFERROR(__xludf.DUMMYFUNCTION("""COMPUTED_VALUE"""),33.7)</f>
        <v>33.700000000000003</v>
      </c>
      <c r="F340" s="1">
        <f ca="1">IFERROR(__xludf.DUMMYFUNCTION("""COMPUTED_VALUE"""),4365345)</f>
        <v>4365345</v>
      </c>
    </row>
    <row r="341" spans="1:6" x14ac:dyDescent="0.35">
      <c r="A341" s="2">
        <f ca="1">IFERROR(__xludf.DUMMYFUNCTION("""COMPUTED_VALUE"""),42499.6666666666)</f>
        <v>42499.666666666599</v>
      </c>
      <c r="B341" s="1">
        <f ca="1">IFERROR(__xludf.DUMMYFUNCTION("""COMPUTED_VALUE"""),33.7)</f>
        <v>33.700000000000003</v>
      </c>
      <c r="C341" s="1">
        <f ca="1">IFERROR(__xludf.DUMMYFUNCTION("""COMPUTED_VALUE"""),34.35)</f>
        <v>34.35</v>
      </c>
      <c r="D341" s="1">
        <f ca="1">IFERROR(__xludf.DUMMYFUNCTION("""COMPUTED_VALUE"""),33.57)</f>
        <v>33.57</v>
      </c>
      <c r="E341" s="1">
        <f ca="1">IFERROR(__xludf.DUMMYFUNCTION("""COMPUTED_VALUE"""),33.99)</f>
        <v>33.99</v>
      </c>
      <c r="F341" s="1">
        <f ca="1">IFERROR(__xludf.DUMMYFUNCTION("""COMPUTED_VALUE"""),3982161)</f>
        <v>3982161</v>
      </c>
    </row>
    <row r="342" spans="1:6" x14ac:dyDescent="0.35">
      <c r="A342" s="2">
        <f ca="1">IFERROR(__xludf.DUMMYFUNCTION("""COMPUTED_VALUE"""),42500.6666666666)</f>
        <v>42500.666666666599</v>
      </c>
      <c r="B342" s="1">
        <f ca="1">IFERROR(__xludf.DUMMYFUNCTION("""COMPUTED_VALUE"""),34.7)</f>
        <v>34.700000000000003</v>
      </c>
      <c r="C342" s="1">
        <f ca="1">IFERROR(__xludf.DUMMYFUNCTION("""COMPUTED_VALUE"""),35.23)</f>
        <v>35.229999999999997</v>
      </c>
      <c r="D342" s="1">
        <f ca="1">IFERROR(__xludf.DUMMYFUNCTION("""COMPUTED_VALUE"""),34.67)</f>
        <v>34.67</v>
      </c>
      <c r="E342" s="1">
        <f ca="1">IFERROR(__xludf.DUMMYFUNCTION("""COMPUTED_VALUE"""),35.15)</f>
        <v>35.15</v>
      </c>
      <c r="F342" s="1">
        <f ca="1">IFERROR(__xludf.DUMMYFUNCTION("""COMPUTED_VALUE"""),6105570)</f>
        <v>6105570</v>
      </c>
    </row>
    <row r="343" spans="1:6" x14ac:dyDescent="0.35">
      <c r="A343" s="2">
        <f ca="1">IFERROR(__xludf.DUMMYFUNCTION("""COMPUTED_VALUE"""),42501.6666666666)</f>
        <v>42501.666666666599</v>
      </c>
      <c r="B343" s="1">
        <f ca="1">IFERROR(__xludf.DUMMYFUNCTION("""COMPUTED_VALUE"""),35.29)</f>
        <v>35.29</v>
      </c>
      <c r="C343" s="1">
        <f ca="1">IFERROR(__xludf.DUMMYFUNCTION("""COMPUTED_VALUE"""),35.95)</f>
        <v>35.950000000000003</v>
      </c>
      <c r="D343" s="1">
        <f ca="1">IFERROR(__xludf.DUMMYFUNCTION("""COMPUTED_VALUE"""),35.08)</f>
        <v>35.08</v>
      </c>
      <c r="E343" s="1">
        <f ca="1">IFERROR(__xludf.DUMMYFUNCTION("""COMPUTED_VALUE"""),35.66)</f>
        <v>35.659999999999997</v>
      </c>
      <c r="F343" s="1">
        <f ca="1">IFERROR(__xludf.DUMMYFUNCTION("""COMPUTED_VALUE"""),7338196)</f>
        <v>7338196</v>
      </c>
    </row>
    <row r="344" spans="1:6" x14ac:dyDescent="0.35">
      <c r="A344" s="2">
        <f ca="1">IFERROR(__xludf.DUMMYFUNCTION("""COMPUTED_VALUE"""),42502.6666666666)</f>
        <v>42502.666666666599</v>
      </c>
      <c r="B344" s="1">
        <f ca="1">IFERROR(__xludf.DUMMYFUNCTION("""COMPUTED_VALUE"""),35.87)</f>
        <v>35.869999999999997</v>
      </c>
      <c r="C344" s="1">
        <f ca="1">IFERROR(__xludf.DUMMYFUNCTION("""COMPUTED_VALUE"""),36.12)</f>
        <v>36.119999999999997</v>
      </c>
      <c r="D344" s="1">
        <f ca="1">IFERROR(__xludf.DUMMYFUNCTION("""COMPUTED_VALUE"""),35.58)</f>
        <v>35.58</v>
      </c>
      <c r="E344" s="1">
        <f ca="1">IFERROR(__xludf.DUMMYFUNCTION("""COMPUTED_VALUE"""),35.9)</f>
        <v>35.9</v>
      </c>
      <c r="F344" s="1">
        <f ca="1">IFERROR(__xludf.DUMMYFUNCTION("""COMPUTED_VALUE"""),5048150)</f>
        <v>5048150</v>
      </c>
    </row>
    <row r="345" spans="1:6" x14ac:dyDescent="0.35">
      <c r="A345" s="2">
        <f ca="1">IFERROR(__xludf.DUMMYFUNCTION("""COMPUTED_VALUE"""),42503.6666666666)</f>
        <v>42503.666666666599</v>
      </c>
      <c r="B345" s="1">
        <f ca="1">IFERROR(__xludf.DUMMYFUNCTION("""COMPUTED_VALUE"""),35.73)</f>
        <v>35.729999999999997</v>
      </c>
      <c r="C345" s="1">
        <f ca="1">IFERROR(__xludf.DUMMYFUNCTION("""COMPUTED_VALUE"""),35.96)</f>
        <v>35.96</v>
      </c>
      <c r="D345" s="1">
        <f ca="1">IFERROR(__xludf.DUMMYFUNCTION("""COMPUTED_VALUE"""),35.33)</f>
        <v>35.33</v>
      </c>
      <c r="E345" s="1">
        <f ca="1">IFERROR(__xludf.DUMMYFUNCTION("""COMPUTED_VALUE"""),35.5)</f>
        <v>35.5</v>
      </c>
      <c r="F345" s="1">
        <f ca="1">IFERROR(__xludf.DUMMYFUNCTION("""COMPUTED_VALUE"""),4763419)</f>
        <v>4763419</v>
      </c>
    </row>
    <row r="346" spans="1:6" x14ac:dyDescent="0.35">
      <c r="A346" s="2">
        <f ca="1">IFERROR(__xludf.DUMMYFUNCTION("""COMPUTED_VALUE"""),42506.6666666666)</f>
        <v>42506.666666666599</v>
      </c>
      <c r="B346" s="1">
        <f ca="1">IFERROR(__xludf.DUMMYFUNCTION("""COMPUTED_VALUE"""),35.51)</f>
        <v>35.51</v>
      </c>
      <c r="C346" s="1">
        <f ca="1">IFERROR(__xludf.DUMMYFUNCTION("""COMPUTED_VALUE"""),35.66)</f>
        <v>35.659999999999997</v>
      </c>
      <c r="D346" s="1">
        <f ca="1">IFERROR(__xludf.DUMMYFUNCTION("""COMPUTED_VALUE"""),35.01)</f>
        <v>35.01</v>
      </c>
      <c r="E346" s="1">
        <f ca="1">IFERROR(__xludf.DUMMYFUNCTION("""COMPUTED_VALUE"""),35.53)</f>
        <v>35.53</v>
      </c>
      <c r="F346" s="1">
        <f ca="1">IFERROR(__xludf.DUMMYFUNCTION("""COMPUTED_VALUE"""),5432920)</f>
        <v>5432920</v>
      </c>
    </row>
    <row r="347" spans="1:6" x14ac:dyDescent="0.35">
      <c r="A347" s="2">
        <f ca="1">IFERROR(__xludf.DUMMYFUNCTION("""COMPUTED_VALUE"""),42507.6666666666)</f>
        <v>42507.666666666599</v>
      </c>
      <c r="B347" s="1">
        <f ca="1">IFERROR(__xludf.DUMMYFUNCTION("""COMPUTED_VALUE"""),35.49)</f>
        <v>35.49</v>
      </c>
      <c r="C347" s="1">
        <f ca="1">IFERROR(__xludf.DUMMYFUNCTION("""COMPUTED_VALUE"""),35.72)</f>
        <v>35.72</v>
      </c>
      <c r="D347" s="1">
        <f ca="1">IFERROR(__xludf.DUMMYFUNCTION("""COMPUTED_VALUE"""),34.7)</f>
        <v>34.700000000000003</v>
      </c>
      <c r="E347" s="1">
        <f ca="1">IFERROR(__xludf.DUMMYFUNCTION("""COMPUTED_VALUE"""),34.76)</f>
        <v>34.76</v>
      </c>
      <c r="F347" s="1">
        <f ca="1">IFERROR(__xludf.DUMMYFUNCTION("""COMPUTED_VALUE"""),5121357)</f>
        <v>5121357</v>
      </c>
    </row>
    <row r="348" spans="1:6" x14ac:dyDescent="0.35">
      <c r="A348" s="2">
        <f ca="1">IFERROR(__xludf.DUMMYFUNCTION("""COMPUTED_VALUE"""),42508.6666666666)</f>
        <v>42508.666666666599</v>
      </c>
      <c r="B348" s="1">
        <f ca="1">IFERROR(__xludf.DUMMYFUNCTION("""COMPUTED_VALUE"""),34.48)</f>
        <v>34.479999999999997</v>
      </c>
      <c r="C348" s="1">
        <f ca="1">IFERROR(__xludf.DUMMYFUNCTION("""COMPUTED_VALUE"""),35.13)</f>
        <v>35.130000000000003</v>
      </c>
      <c r="D348" s="1">
        <f ca="1">IFERROR(__xludf.DUMMYFUNCTION("""COMPUTED_VALUE"""),34.44)</f>
        <v>34.44</v>
      </c>
      <c r="E348" s="1">
        <f ca="1">IFERROR(__xludf.DUMMYFUNCTION("""COMPUTED_VALUE"""),34.87)</f>
        <v>34.869999999999997</v>
      </c>
      <c r="F348" s="1">
        <f ca="1">IFERROR(__xludf.DUMMYFUNCTION("""COMPUTED_VALUE"""),4283189)</f>
        <v>4283189</v>
      </c>
    </row>
    <row r="349" spans="1:6" x14ac:dyDescent="0.35">
      <c r="A349" s="2">
        <f ca="1">IFERROR(__xludf.DUMMYFUNCTION("""COMPUTED_VALUE"""),42509.6666666666)</f>
        <v>42509.666666666599</v>
      </c>
      <c r="B349" s="1">
        <f ca="1">IFERROR(__xludf.DUMMYFUNCTION("""COMPUTED_VALUE"""),34.59)</f>
        <v>34.590000000000003</v>
      </c>
      <c r="C349" s="1">
        <f ca="1">IFERROR(__xludf.DUMMYFUNCTION("""COMPUTED_VALUE"""),34.97)</f>
        <v>34.97</v>
      </c>
      <c r="D349" s="1">
        <f ca="1">IFERROR(__xludf.DUMMYFUNCTION("""COMPUTED_VALUE"""),34.48)</f>
        <v>34.479999999999997</v>
      </c>
      <c r="E349" s="1">
        <f ca="1">IFERROR(__xludf.DUMMYFUNCTION("""COMPUTED_VALUE"""),34.93)</f>
        <v>34.93</v>
      </c>
      <c r="F349" s="1">
        <f ca="1">IFERROR(__xludf.DUMMYFUNCTION("""COMPUTED_VALUE"""),3025566)</f>
        <v>3025566</v>
      </c>
    </row>
    <row r="350" spans="1:6" x14ac:dyDescent="0.35">
      <c r="A350" s="2">
        <f ca="1">IFERROR(__xludf.DUMMYFUNCTION("""COMPUTED_VALUE"""),42510.6666666666)</f>
        <v>42510.666666666599</v>
      </c>
      <c r="B350" s="1">
        <f ca="1">IFERROR(__xludf.DUMMYFUNCTION("""COMPUTED_VALUE"""),35.05)</f>
        <v>35.049999999999997</v>
      </c>
      <c r="C350" s="1">
        <f ca="1">IFERROR(__xludf.DUMMYFUNCTION("""COMPUTED_VALUE"""),35.36)</f>
        <v>35.36</v>
      </c>
      <c r="D350" s="1">
        <f ca="1">IFERROR(__xludf.DUMMYFUNCTION("""COMPUTED_VALUE"""),35)</f>
        <v>35</v>
      </c>
      <c r="E350" s="1">
        <f ca="1">IFERROR(__xludf.DUMMYFUNCTION("""COMPUTED_VALUE"""),35.14)</f>
        <v>35.14</v>
      </c>
      <c r="F350" s="1">
        <f ca="1">IFERROR(__xludf.DUMMYFUNCTION("""COMPUTED_VALUE"""),2916165)</f>
        <v>2916165</v>
      </c>
    </row>
    <row r="351" spans="1:6" x14ac:dyDescent="0.35">
      <c r="A351" s="2">
        <f ca="1">IFERROR(__xludf.DUMMYFUNCTION("""COMPUTED_VALUE"""),42513.6666666666)</f>
        <v>42513.666666666599</v>
      </c>
      <c r="B351" s="1">
        <f ca="1">IFERROR(__xludf.DUMMYFUNCTION("""COMPUTED_VALUE"""),35.21)</f>
        <v>35.21</v>
      </c>
      <c r="C351" s="1">
        <f ca="1">IFERROR(__xludf.DUMMYFUNCTION("""COMPUTED_VALUE"""),35.3)</f>
        <v>35.299999999999997</v>
      </c>
      <c r="D351" s="1">
        <f ca="1">IFERROR(__xludf.DUMMYFUNCTION("""COMPUTED_VALUE"""),34.82)</f>
        <v>34.82</v>
      </c>
      <c r="E351" s="1">
        <f ca="1">IFERROR(__xludf.DUMMYFUNCTION("""COMPUTED_VALUE"""),34.84)</f>
        <v>34.840000000000003</v>
      </c>
      <c r="F351" s="1">
        <f ca="1">IFERROR(__xludf.DUMMYFUNCTION("""COMPUTED_VALUE"""),2595082)</f>
        <v>2595082</v>
      </c>
    </row>
    <row r="352" spans="1:6" x14ac:dyDescent="0.35">
      <c r="A352" s="2">
        <f ca="1">IFERROR(__xludf.DUMMYFUNCTION("""COMPUTED_VALUE"""),42514.6666666666)</f>
        <v>42514.666666666599</v>
      </c>
      <c r="B352" s="1">
        <f ca="1">IFERROR(__xludf.DUMMYFUNCTION("""COMPUTED_VALUE"""),34.9)</f>
        <v>34.9</v>
      </c>
      <c r="C352" s="1">
        <f ca="1">IFERROR(__xludf.DUMMYFUNCTION("""COMPUTED_VALUE"""),35.38)</f>
        <v>35.380000000000003</v>
      </c>
      <c r="D352" s="1">
        <f ca="1">IFERROR(__xludf.DUMMYFUNCTION("""COMPUTED_VALUE"""),34.9)</f>
        <v>34.9</v>
      </c>
      <c r="E352" s="1">
        <f ca="1">IFERROR(__xludf.DUMMYFUNCTION("""COMPUTED_VALUE"""),35.21)</f>
        <v>35.21</v>
      </c>
      <c r="F352" s="1">
        <f ca="1">IFERROR(__xludf.DUMMYFUNCTION("""COMPUTED_VALUE"""),3033782)</f>
        <v>3033782</v>
      </c>
    </row>
    <row r="353" spans="1:6" x14ac:dyDescent="0.35">
      <c r="A353" s="2">
        <f ca="1">IFERROR(__xludf.DUMMYFUNCTION("""COMPUTED_VALUE"""),42515.6666666666)</f>
        <v>42515.666666666599</v>
      </c>
      <c r="B353" s="1">
        <f ca="1">IFERROR(__xludf.DUMMYFUNCTION("""COMPUTED_VALUE"""),35.4)</f>
        <v>35.4</v>
      </c>
      <c r="C353" s="1">
        <f ca="1">IFERROR(__xludf.DUMMYFUNCTION("""COMPUTED_VALUE"""),35.54)</f>
        <v>35.54</v>
      </c>
      <c r="D353" s="1">
        <f ca="1">IFERROR(__xludf.DUMMYFUNCTION("""COMPUTED_VALUE"""),35.28)</f>
        <v>35.28</v>
      </c>
      <c r="E353" s="1">
        <f ca="1">IFERROR(__xludf.DUMMYFUNCTION("""COMPUTED_VALUE"""),35.42)</f>
        <v>35.42</v>
      </c>
      <c r="F353" s="1">
        <f ca="1">IFERROR(__xludf.DUMMYFUNCTION("""COMPUTED_VALUE"""),3276631)</f>
        <v>3276631</v>
      </c>
    </row>
    <row r="354" spans="1:6" x14ac:dyDescent="0.35">
      <c r="A354" s="2">
        <f ca="1">IFERROR(__xludf.DUMMYFUNCTION("""COMPUTED_VALUE"""),42516.6666666666)</f>
        <v>42516.666666666599</v>
      </c>
      <c r="B354" s="1">
        <f ca="1">IFERROR(__xludf.DUMMYFUNCTION("""COMPUTED_VALUE"""),35.42)</f>
        <v>35.42</v>
      </c>
      <c r="C354" s="1">
        <f ca="1">IFERROR(__xludf.DUMMYFUNCTION("""COMPUTED_VALUE"""),35.75)</f>
        <v>35.75</v>
      </c>
      <c r="D354" s="1">
        <f ca="1">IFERROR(__xludf.DUMMYFUNCTION("""COMPUTED_VALUE"""),35.36)</f>
        <v>35.36</v>
      </c>
      <c r="E354" s="1">
        <f ca="1">IFERROR(__xludf.DUMMYFUNCTION("""COMPUTED_VALUE"""),35.75)</f>
        <v>35.75</v>
      </c>
      <c r="F354" s="1">
        <f ca="1">IFERROR(__xludf.DUMMYFUNCTION("""COMPUTED_VALUE"""),2446681)</f>
        <v>2446681</v>
      </c>
    </row>
    <row r="355" spans="1:6" x14ac:dyDescent="0.35">
      <c r="A355" s="2">
        <f ca="1">IFERROR(__xludf.DUMMYFUNCTION("""COMPUTED_VALUE"""),42517.6666666666)</f>
        <v>42517.666666666599</v>
      </c>
      <c r="B355" s="1">
        <f ca="1">IFERROR(__xludf.DUMMYFUNCTION("""COMPUTED_VALUE"""),35.75)</f>
        <v>35.75</v>
      </c>
      <c r="C355" s="1">
        <f ca="1">IFERROR(__xludf.DUMMYFUNCTION("""COMPUTED_VALUE"""),35.83)</f>
        <v>35.83</v>
      </c>
      <c r="D355" s="1">
        <f ca="1">IFERROR(__xludf.DUMMYFUNCTION("""COMPUTED_VALUE"""),35.56)</f>
        <v>35.56</v>
      </c>
      <c r="E355" s="1">
        <f ca="1">IFERROR(__xludf.DUMMYFUNCTION("""COMPUTED_VALUE"""),35.61)</f>
        <v>35.61</v>
      </c>
      <c r="F355" s="1">
        <f ca="1">IFERROR(__xludf.DUMMYFUNCTION("""COMPUTED_VALUE"""),2249164)</f>
        <v>2249164</v>
      </c>
    </row>
    <row r="356" spans="1:6" x14ac:dyDescent="0.35">
      <c r="A356" s="2">
        <f ca="1">IFERROR(__xludf.DUMMYFUNCTION("""COMPUTED_VALUE"""),42521.6666666666)</f>
        <v>42521.666666666599</v>
      </c>
      <c r="B356" s="1">
        <f ca="1">IFERROR(__xludf.DUMMYFUNCTION("""COMPUTED_VALUE"""),35.62)</f>
        <v>35.619999999999997</v>
      </c>
      <c r="C356" s="1">
        <f ca="1">IFERROR(__xludf.DUMMYFUNCTION("""COMPUTED_VALUE"""),36.21)</f>
        <v>36.21</v>
      </c>
      <c r="D356" s="1">
        <f ca="1">IFERROR(__xludf.DUMMYFUNCTION("""COMPUTED_VALUE"""),35.57)</f>
        <v>35.57</v>
      </c>
      <c r="E356" s="1">
        <f ca="1">IFERROR(__xludf.DUMMYFUNCTION("""COMPUTED_VALUE"""),36.14)</f>
        <v>36.14</v>
      </c>
      <c r="F356" s="1">
        <f ca="1">IFERROR(__xludf.DUMMYFUNCTION("""COMPUTED_VALUE"""),3618323)</f>
        <v>3618323</v>
      </c>
    </row>
    <row r="357" spans="1:6" x14ac:dyDescent="0.35">
      <c r="A357" s="2">
        <f ca="1">IFERROR(__xludf.DUMMYFUNCTION("""COMPUTED_VALUE"""),42522.6666666666)</f>
        <v>42522.666666666599</v>
      </c>
      <c r="B357" s="1">
        <f ca="1">IFERROR(__xludf.DUMMYFUNCTION("""COMPUTED_VALUE"""),36.05)</f>
        <v>36.049999999999997</v>
      </c>
      <c r="C357" s="1">
        <f ca="1">IFERROR(__xludf.DUMMYFUNCTION("""COMPUTED_VALUE"""),36.32)</f>
        <v>36.32</v>
      </c>
      <c r="D357" s="1">
        <f ca="1">IFERROR(__xludf.DUMMYFUNCTION("""COMPUTED_VALUE"""),35.91)</f>
        <v>35.909999999999997</v>
      </c>
      <c r="E357" s="1">
        <f ca="1">IFERROR(__xludf.DUMMYFUNCTION("""COMPUTED_VALUE"""),35.97)</f>
        <v>35.97</v>
      </c>
      <c r="F357" s="1">
        <f ca="1">IFERROR(__xludf.DUMMYFUNCTION("""COMPUTED_VALUE"""),3263107)</f>
        <v>3263107</v>
      </c>
    </row>
    <row r="358" spans="1:6" x14ac:dyDescent="0.35">
      <c r="A358" s="2">
        <f ca="1">IFERROR(__xludf.DUMMYFUNCTION("""COMPUTED_VALUE"""),42523.6666666666)</f>
        <v>42523.666666666599</v>
      </c>
      <c r="B358" s="1">
        <f ca="1">IFERROR(__xludf.DUMMYFUNCTION("""COMPUTED_VALUE"""),36.05)</f>
        <v>36.049999999999997</v>
      </c>
      <c r="C358" s="1">
        <f ca="1">IFERROR(__xludf.DUMMYFUNCTION("""COMPUTED_VALUE"""),36.41)</f>
        <v>36.409999999999997</v>
      </c>
      <c r="D358" s="1">
        <f ca="1">IFERROR(__xludf.DUMMYFUNCTION("""COMPUTED_VALUE"""),35.78)</f>
        <v>35.78</v>
      </c>
      <c r="E358" s="1">
        <f ca="1">IFERROR(__xludf.DUMMYFUNCTION("""COMPUTED_VALUE"""),36.41)</f>
        <v>36.409999999999997</v>
      </c>
      <c r="F358" s="1">
        <f ca="1">IFERROR(__xludf.DUMMYFUNCTION("""COMPUTED_VALUE"""),3026583)</f>
        <v>3026583</v>
      </c>
    </row>
    <row r="359" spans="1:6" x14ac:dyDescent="0.35">
      <c r="A359" s="2">
        <f ca="1">IFERROR(__xludf.DUMMYFUNCTION("""COMPUTED_VALUE"""),42524.6666666666)</f>
        <v>42524.666666666599</v>
      </c>
      <c r="B359" s="1">
        <f ca="1">IFERROR(__xludf.DUMMYFUNCTION("""COMPUTED_VALUE"""),36.34)</f>
        <v>36.340000000000003</v>
      </c>
      <c r="C359" s="1">
        <f ca="1">IFERROR(__xludf.DUMMYFUNCTION("""COMPUTED_VALUE"""),36.35)</f>
        <v>36.35</v>
      </c>
      <c r="D359" s="1">
        <f ca="1">IFERROR(__xludf.DUMMYFUNCTION("""COMPUTED_VALUE"""),35.92)</f>
        <v>35.92</v>
      </c>
      <c r="E359" s="1">
        <f ca="1">IFERROR(__xludf.DUMMYFUNCTION("""COMPUTED_VALUE"""),36.28)</f>
        <v>36.28</v>
      </c>
      <c r="F359" s="1">
        <f ca="1">IFERROR(__xludf.DUMMYFUNCTION("""COMPUTED_VALUE"""),3367306)</f>
        <v>3367306</v>
      </c>
    </row>
    <row r="360" spans="1:6" x14ac:dyDescent="0.35">
      <c r="A360" s="2">
        <f ca="1">IFERROR(__xludf.DUMMYFUNCTION("""COMPUTED_VALUE"""),42527.6666666666)</f>
        <v>42527.666666666599</v>
      </c>
      <c r="B360" s="1">
        <f ca="1">IFERROR(__xludf.DUMMYFUNCTION("""COMPUTED_VALUE"""),36.33)</f>
        <v>36.33</v>
      </c>
      <c r="C360" s="1">
        <f ca="1">IFERROR(__xludf.DUMMYFUNCTION("""COMPUTED_VALUE"""),36.58)</f>
        <v>36.58</v>
      </c>
      <c r="D360" s="1">
        <f ca="1">IFERROR(__xludf.DUMMYFUNCTION("""COMPUTED_VALUE"""),36.22)</f>
        <v>36.22</v>
      </c>
      <c r="E360" s="1">
        <f ca="1">IFERROR(__xludf.DUMMYFUNCTION("""COMPUTED_VALUE"""),36.34)</f>
        <v>36.340000000000003</v>
      </c>
      <c r="F360" s="1">
        <f ca="1">IFERROR(__xludf.DUMMYFUNCTION("""COMPUTED_VALUE"""),2704806)</f>
        <v>2704806</v>
      </c>
    </row>
    <row r="361" spans="1:6" x14ac:dyDescent="0.35">
      <c r="A361" s="2">
        <f ca="1">IFERROR(__xludf.DUMMYFUNCTION("""COMPUTED_VALUE"""),42528.6666666666)</f>
        <v>42528.666666666599</v>
      </c>
      <c r="B361" s="1">
        <f ca="1">IFERROR(__xludf.DUMMYFUNCTION("""COMPUTED_VALUE"""),36.49)</f>
        <v>36.49</v>
      </c>
      <c r="C361" s="1">
        <f ca="1">IFERROR(__xludf.DUMMYFUNCTION("""COMPUTED_VALUE"""),36.5)</f>
        <v>36.5</v>
      </c>
      <c r="D361" s="1">
        <f ca="1">IFERROR(__xludf.DUMMYFUNCTION("""COMPUTED_VALUE"""),36.03)</f>
        <v>36.03</v>
      </c>
      <c r="E361" s="1">
        <f ca="1">IFERROR(__xludf.DUMMYFUNCTION("""COMPUTED_VALUE"""),36.19)</f>
        <v>36.19</v>
      </c>
      <c r="F361" s="1">
        <f ca="1">IFERROR(__xludf.DUMMYFUNCTION("""COMPUTED_VALUE"""),2732463)</f>
        <v>2732463</v>
      </c>
    </row>
    <row r="362" spans="1:6" x14ac:dyDescent="0.35">
      <c r="A362" s="2">
        <f ca="1">IFERROR(__xludf.DUMMYFUNCTION("""COMPUTED_VALUE"""),42529.6666666666)</f>
        <v>42529.666666666599</v>
      </c>
      <c r="B362" s="1">
        <f ca="1">IFERROR(__xludf.DUMMYFUNCTION("""COMPUTED_VALUE"""),36.32)</f>
        <v>36.32</v>
      </c>
      <c r="C362" s="1">
        <f ca="1">IFERROR(__xludf.DUMMYFUNCTION("""COMPUTED_VALUE"""),36.47)</f>
        <v>36.47</v>
      </c>
      <c r="D362" s="1">
        <f ca="1">IFERROR(__xludf.DUMMYFUNCTION("""COMPUTED_VALUE"""),36.08)</f>
        <v>36.08</v>
      </c>
      <c r="E362" s="1">
        <f ca="1">IFERROR(__xludf.DUMMYFUNCTION("""COMPUTED_VALUE"""),36.33)</f>
        <v>36.33</v>
      </c>
      <c r="F362" s="1">
        <f ca="1">IFERROR(__xludf.DUMMYFUNCTION("""COMPUTED_VALUE"""),2223366)</f>
        <v>2223366</v>
      </c>
    </row>
    <row r="363" spans="1:6" x14ac:dyDescent="0.35">
      <c r="A363" s="2">
        <f ca="1">IFERROR(__xludf.DUMMYFUNCTION("""COMPUTED_VALUE"""),42530.6666666666)</f>
        <v>42530.666666666599</v>
      </c>
      <c r="B363" s="1">
        <f ca="1">IFERROR(__xludf.DUMMYFUNCTION("""COMPUTED_VALUE"""),36.16)</f>
        <v>36.159999999999997</v>
      </c>
      <c r="C363" s="1">
        <f ca="1">IFERROR(__xludf.DUMMYFUNCTION("""COMPUTED_VALUE"""),36.45)</f>
        <v>36.450000000000003</v>
      </c>
      <c r="D363" s="1">
        <f ca="1">IFERROR(__xludf.DUMMYFUNCTION("""COMPUTED_VALUE"""),36.12)</f>
        <v>36.119999999999997</v>
      </c>
      <c r="E363" s="1">
        <f ca="1">IFERROR(__xludf.DUMMYFUNCTION("""COMPUTED_VALUE"""),36.38)</f>
        <v>36.380000000000003</v>
      </c>
      <c r="F363" s="1">
        <f ca="1">IFERROR(__xludf.DUMMYFUNCTION("""COMPUTED_VALUE"""),2170318)</f>
        <v>2170318</v>
      </c>
    </row>
    <row r="364" spans="1:6" x14ac:dyDescent="0.35">
      <c r="A364" s="2">
        <f ca="1">IFERROR(__xludf.DUMMYFUNCTION("""COMPUTED_VALUE"""),42531.6666666666)</f>
        <v>42531.666666666599</v>
      </c>
      <c r="B364" s="1">
        <f ca="1">IFERROR(__xludf.DUMMYFUNCTION("""COMPUTED_VALUE"""),36.12)</f>
        <v>36.119999999999997</v>
      </c>
      <c r="C364" s="1">
        <f ca="1">IFERROR(__xludf.DUMMYFUNCTION("""COMPUTED_VALUE"""),36.25)</f>
        <v>36.25</v>
      </c>
      <c r="D364" s="1">
        <f ca="1">IFERROR(__xludf.DUMMYFUNCTION("""COMPUTED_VALUE"""),35.71)</f>
        <v>35.71</v>
      </c>
      <c r="E364" s="1">
        <f ca="1">IFERROR(__xludf.DUMMYFUNCTION("""COMPUTED_VALUE"""),35.9)</f>
        <v>35.9</v>
      </c>
      <c r="F364" s="1">
        <f ca="1">IFERROR(__xludf.DUMMYFUNCTION("""COMPUTED_VALUE"""),3425718)</f>
        <v>3425718</v>
      </c>
    </row>
    <row r="365" spans="1:6" x14ac:dyDescent="0.35">
      <c r="A365" s="2">
        <f ca="1">IFERROR(__xludf.DUMMYFUNCTION("""COMPUTED_VALUE"""),42534.6666666666)</f>
        <v>42534.666666666599</v>
      </c>
      <c r="B365" s="1">
        <f ca="1">IFERROR(__xludf.DUMMYFUNCTION("""COMPUTED_VALUE"""),35.7)</f>
        <v>35.700000000000003</v>
      </c>
      <c r="C365" s="1">
        <f ca="1">IFERROR(__xludf.DUMMYFUNCTION("""COMPUTED_VALUE"""),36.1)</f>
        <v>36.1</v>
      </c>
      <c r="D365" s="1">
        <f ca="1">IFERROR(__xludf.DUMMYFUNCTION("""COMPUTED_VALUE"""),35.56)</f>
        <v>35.56</v>
      </c>
      <c r="E365" s="1">
        <f ca="1">IFERROR(__xludf.DUMMYFUNCTION("""COMPUTED_VALUE"""),35.76)</f>
        <v>35.76</v>
      </c>
      <c r="F365" s="1">
        <f ca="1">IFERROR(__xludf.DUMMYFUNCTION("""COMPUTED_VALUE"""),3352201)</f>
        <v>3352201</v>
      </c>
    </row>
    <row r="366" spans="1:6" x14ac:dyDescent="0.35">
      <c r="A366" s="2">
        <f ca="1">IFERROR(__xludf.DUMMYFUNCTION("""COMPUTED_VALUE"""),42535.6666666666)</f>
        <v>42535.666666666599</v>
      </c>
      <c r="B366" s="1">
        <f ca="1">IFERROR(__xludf.DUMMYFUNCTION("""COMPUTED_VALUE"""),35.62)</f>
        <v>35.619999999999997</v>
      </c>
      <c r="C366" s="1">
        <f ca="1">IFERROR(__xludf.DUMMYFUNCTION("""COMPUTED_VALUE"""),36.04)</f>
        <v>36.04</v>
      </c>
      <c r="D366" s="1">
        <f ca="1">IFERROR(__xludf.DUMMYFUNCTION("""COMPUTED_VALUE"""),35.61)</f>
        <v>35.61</v>
      </c>
      <c r="E366" s="1">
        <f ca="1">IFERROR(__xludf.DUMMYFUNCTION("""COMPUTED_VALUE"""),35.97)</f>
        <v>35.97</v>
      </c>
      <c r="F366" s="1">
        <f ca="1">IFERROR(__xludf.DUMMYFUNCTION("""COMPUTED_VALUE"""),2506922)</f>
        <v>2506922</v>
      </c>
    </row>
    <row r="367" spans="1:6" x14ac:dyDescent="0.35">
      <c r="A367" s="2">
        <f ca="1">IFERROR(__xludf.DUMMYFUNCTION("""COMPUTED_VALUE"""),42536.6666666666)</f>
        <v>42536.666666666599</v>
      </c>
      <c r="B367" s="1">
        <f ca="1">IFERROR(__xludf.DUMMYFUNCTION("""COMPUTED_VALUE"""),36.1)</f>
        <v>36.1</v>
      </c>
      <c r="C367" s="1">
        <f ca="1">IFERROR(__xludf.DUMMYFUNCTION("""COMPUTED_VALUE"""),36.13)</f>
        <v>36.130000000000003</v>
      </c>
      <c r="D367" s="1">
        <f ca="1">IFERROR(__xludf.DUMMYFUNCTION("""COMPUTED_VALUE"""),35.67)</f>
        <v>35.67</v>
      </c>
      <c r="E367" s="1">
        <f ca="1">IFERROR(__xludf.DUMMYFUNCTION("""COMPUTED_VALUE"""),35.71)</f>
        <v>35.71</v>
      </c>
      <c r="F367" s="1">
        <f ca="1">IFERROR(__xludf.DUMMYFUNCTION("""COMPUTED_VALUE"""),2709447)</f>
        <v>2709447</v>
      </c>
    </row>
    <row r="368" spans="1:6" x14ac:dyDescent="0.35">
      <c r="A368" s="2">
        <f ca="1">IFERROR(__xludf.DUMMYFUNCTION("""COMPUTED_VALUE"""),42537.6666666666)</f>
        <v>42537.666666666599</v>
      </c>
      <c r="B368" s="1">
        <f ca="1">IFERROR(__xludf.DUMMYFUNCTION("""COMPUTED_VALUE"""),35.6)</f>
        <v>35.6</v>
      </c>
      <c r="C368" s="1">
        <f ca="1">IFERROR(__xludf.DUMMYFUNCTION("""COMPUTED_VALUE"""),35.9)</f>
        <v>35.9</v>
      </c>
      <c r="D368" s="1">
        <f ca="1">IFERROR(__xludf.DUMMYFUNCTION("""COMPUTED_VALUE"""),35.27)</f>
        <v>35.270000000000003</v>
      </c>
      <c r="E368" s="1">
        <f ca="1">IFERROR(__xludf.DUMMYFUNCTION("""COMPUTED_VALUE"""),35.88)</f>
        <v>35.880000000000003</v>
      </c>
      <c r="F368" s="1">
        <f ca="1">IFERROR(__xludf.DUMMYFUNCTION("""COMPUTED_VALUE"""),3097961)</f>
        <v>3097961</v>
      </c>
    </row>
    <row r="369" spans="1:6" x14ac:dyDescent="0.35">
      <c r="A369" s="2">
        <f ca="1">IFERROR(__xludf.DUMMYFUNCTION("""COMPUTED_VALUE"""),42538.6666666666)</f>
        <v>42538.666666666599</v>
      </c>
      <c r="B369" s="1">
        <f ca="1">IFERROR(__xludf.DUMMYFUNCTION("""COMPUTED_VALUE"""),35.91)</f>
        <v>35.909999999999997</v>
      </c>
      <c r="C369" s="1">
        <f ca="1">IFERROR(__xludf.DUMMYFUNCTION("""COMPUTED_VALUE"""),35.91)</f>
        <v>35.909999999999997</v>
      </c>
      <c r="D369" s="1">
        <f ca="1">IFERROR(__xludf.DUMMYFUNCTION("""COMPUTED_VALUE"""),34.96)</f>
        <v>34.96</v>
      </c>
      <c r="E369" s="1">
        <f ca="1">IFERROR(__xludf.DUMMYFUNCTION("""COMPUTED_VALUE"""),35.32)</f>
        <v>35.32</v>
      </c>
      <c r="F369" s="1">
        <f ca="1">IFERROR(__xludf.DUMMYFUNCTION("""COMPUTED_VALUE"""),5897788)</f>
        <v>5897788</v>
      </c>
    </row>
    <row r="370" spans="1:6" x14ac:dyDescent="0.35">
      <c r="A370" s="2">
        <f ca="1">IFERROR(__xludf.DUMMYFUNCTION("""COMPUTED_VALUE"""),42541.6666666666)</f>
        <v>42541.666666666599</v>
      </c>
      <c r="B370" s="1">
        <f ca="1">IFERROR(__xludf.DUMMYFUNCTION("""COMPUTED_VALUE"""),35.67)</f>
        <v>35.67</v>
      </c>
      <c r="C370" s="1">
        <f ca="1">IFERROR(__xludf.DUMMYFUNCTION("""COMPUTED_VALUE"""),36.07)</f>
        <v>36.07</v>
      </c>
      <c r="D370" s="1">
        <f ca="1">IFERROR(__xludf.DUMMYFUNCTION("""COMPUTED_VALUE"""),35.54)</f>
        <v>35.54</v>
      </c>
      <c r="E370" s="1">
        <f ca="1">IFERROR(__xludf.DUMMYFUNCTION("""COMPUTED_VALUE"""),35.7)</f>
        <v>35.700000000000003</v>
      </c>
      <c r="F370" s="1">
        <f ca="1">IFERROR(__xludf.DUMMYFUNCTION("""COMPUTED_VALUE"""),3677162)</f>
        <v>3677162</v>
      </c>
    </row>
    <row r="371" spans="1:6" x14ac:dyDescent="0.35">
      <c r="A371" s="2">
        <f ca="1">IFERROR(__xludf.DUMMYFUNCTION("""COMPUTED_VALUE"""),42542.6666666666)</f>
        <v>42542.666666666599</v>
      </c>
      <c r="B371" s="1">
        <f ca="1">IFERROR(__xludf.DUMMYFUNCTION("""COMPUTED_VALUE"""),35.79)</f>
        <v>35.79</v>
      </c>
      <c r="C371" s="1">
        <f ca="1">IFERROR(__xludf.DUMMYFUNCTION("""COMPUTED_VALUE"""),35.92)</f>
        <v>35.92</v>
      </c>
      <c r="D371" s="1">
        <f ca="1">IFERROR(__xludf.DUMMYFUNCTION("""COMPUTED_VALUE"""),35.64)</f>
        <v>35.64</v>
      </c>
      <c r="E371" s="1">
        <f ca="1">IFERROR(__xludf.DUMMYFUNCTION("""COMPUTED_VALUE"""),35.79)</f>
        <v>35.79</v>
      </c>
      <c r="F371" s="1">
        <f ca="1">IFERROR(__xludf.DUMMYFUNCTION("""COMPUTED_VALUE"""),2137534)</f>
        <v>2137534</v>
      </c>
    </row>
    <row r="372" spans="1:6" x14ac:dyDescent="0.35">
      <c r="A372" s="2">
        <f ca="1">IFERROR(__xludf.DUMMYFUNCTION("""COMPUTED_VALUE"""),42543.6666666666)</f>
        <v>42543.666666666599</v>
      </c>
      <c r="B372" s="1">
        <f ca="1">IFERROR(__xludf.DUMMYFUNCTION("""COMPUTED_VALUE"""),35.83)</f>
        <v>35.83</v>
      </c>
      <c r="C372" s="1">
        <f ca="1">IFERROR(__xludf.DUMMYFUNCTION("""COMPUTED_VALUE"""),35.85)</f>
        <v>35.85</v>
      </c>
      <c r="D372" s="1">
        <f ca="1">IFERROR(__xludf.DUMMYFUNCTION("""COMPUTED_VALUE"""),35.38)</f>
        <v>35.380000000000003</v>
      </c>
      <c r="E372" s="1">
        <f ca="1">IFERROR(__xludf.DUMMYFUNCTION("""COMPUTED_VALUE"""),35.53)</f>
        <v>35.53</v>
      </c>
      <c r="F372" s="1">
        <f ca="1">IFERROR(__xludf.DUMMYFUNCTION("""COMPUTED_VALUE"""),2260454)</f>
        <v>2260454</v>
      </c>
    </row>
    <row r="373" spans="1:6" x14ac:dyDescent="0.35">
      <c r="A373" s="2">
        <f ca="1">IFERROR(__xludf.DUMMYFUNCTION("""COMPUTED_VALUE"""),42544.6666666666)</f>
        <v>42544.666666666599</v>
      </c>
      <c r="B373" s="1">
        <f ca="1">IFERROR(__xludf.DUMMYFUNCTION("""COMPUTED_VALUE"""),35.78)</f>
        <v>35.78</v>
      </c>
      <c r="C373" s="1">
        <f ca="1">IFERROR(__xludf.DUMMYFUNCTION("""COMPUTED_VALUE"""),36.11)</f>
        <v>36.11</v>
      </c>
      <c r="D373" s="1">
        <f ca="1">IFERROR(__xludf.DUMMYFUNCTION("""COMPUTED_VALUE"""),35.63)</f>
        <v>35.630000000000003</v>
      </c>
      <c r="E373" s="1">
        <f ca="1">IFERROR(__xludf.DUMMYFUNCTION("""COMPUTED_VALUE"""),36.1)</f>
        <v>36.1</v>
      </c>
      <c r="F373" s="1">
        <f ca="1">IFERROR(__xludf.DUMMYFUNCTION("""COMPUTED_VALUE"""),2824974)</f>
        <v>2824974</v>
      </c>
    </row>
    <row r="374" spans="1:6" x14ac:dyDescent="0.35">
      <c r="A374" s="2">
        <f ca="1">IFERROR(__xludf.DUMMYFUNCTION("""COMPUTED_VALUE"""),42545.6666666666)</f>
        <v>42545.666666666599</v>
      </c>
      <c r="B374" s="1">
        <f ca="1">IFERROR(__xludf.DUMMYFUNCTION("""COMPUTED_VALUE"""),34.65)</f>
        <v>34.65</v>
      </c>
      <c r="C374" s="1">
        <f ca="1">IFERROR(__xludf.DUMMYFUNCTION("""COMPUTED_VALUE"""),35.63)</f>
        <v>35.630000000000003</v>
      </c>
      <c r="D374" s="1">
        <f ca="1">IFERROR(__xludf.DUMMYFUNCTION("""COMPUTED_VALUE"""),34.61)</f>
        <v>34.61</v>
      </c>
      <c r="E374" s="1">
        <f ca="1">IFERROR(__xludf.DUMMYFUNCTION("""COMPUTED_VALUE"""),34.95)</f>
        <v>34.950000000000003</v>
      </c>
      <c r="F374" s="1">
        <f ca="1">IFERROR(__xludf.DUMMYFUNCTION("""COMPUTED_VALUE"""),7632511)</f>
        <v>7632511</v>
      </c>
    </row>
    <row r="375" spans="1:6" x14ac:dyDescent="0.35">
      <c r="A375" s="2">
        <f ca="1">IFERROR(__xludf.DUMMYFUNCTION("""COMPUTED_VALUE"""),42548.6666666666)</f>
        <v>42548.666666666599</v>
      </c>
      <c r="B375" s="1">
        <f ca="1">IFERROR(__xludf.DUMMYFUNCTION("""COMPUTED_VALUE"""),34.6)</f>
        <v>34.6</v>
      </c>
      <c r="C375" s="1">
        <f ca="1">IFERROR(__xludf.DUMMYFUNCTION("""COMPUTED_VALUE"""),34.84)</f>
        <v>34.840000000000003</v>
      </c>
      <c r="D375" s="1">
        <f ca="1">IFERROR(__xludf.DUMMYFUNCTION("""COMPUTED_VALUE"""),34.11)</f>
        <v>34.11</v>
      </c>
      <c r="E375" s="1">
        <f ca="1">IFERROR(__xludf.DUMMYFUNCTION("""COMPUTED_VALUE"""),34.57)</f>
        <v>34.57</v>
      </c>
      <c r="F375" s="1">
        <f ca="1">IFERROR(__xludf.DUMMYFUNCTION("""COMPUTED_VALUE"""),5584037)</f>
        <v>5584037</v>
      </c>
    </row>
    <row r="376" spans="1:6" x14ac:dyDescent="0.35">
      <c r="A376" s="2">
        <f ca="1">IFERROR(__xludf.DUMMYFUNCTION("""COMPUTED_VALUE"""),42549.6666666666)</f>
        <v>42549.666666666599</v>
      </c>
      <c r="B376" s="1">
        <f ca="1">IFERROR(__xludf.DUMMYFUNCTION("""COMPUTED_VALUE"""),35)</f>
        <v>35</v>
      </c>
      <c r="C376" s="1">
        <f ca="1">IFERROR(__xludf.DUMMYFUNCTION("""COMPUTED_VALUE"""),35.4)</f>
        <v>35.4</v>
      </c>
      <c r="D376" s="1">
        <f ca="1">IFERROR(__xludf.DUMMYFUNCTION("""COMPUTED_VALUE"""),34.91)</f>
        <v>34.909999999999997</v>
      </c>
      <c r="E376" s="1">
        <f ca="1">IFERROR(__xludf.DUMMYFUNCTION("""COMPUTED_VALUE"""),35.4)</f>
        <v>35.4</v>
      </c>
      <c r="F376" s="1">
        <f ca="1">IFERROR(__xludf.DUMMYFUNCTION("""COMPUTED_VALUE"""),4036957)</f>
        <v>4036957</v>
      </c>
    </row>
    <row r="377" spans="1:6" x14ac:dyDescent="0.35">
      <c r="A377" s="2">
        <f ca="1">IFERROR(__xludf.DUMMYFUNCTION("""COMPUTED_VALUE"""),42550.6666666666)</f>
        <v>42550.666666666599</v>
      </c>
      <c r="B377" s="1">
        <f ca="1">IFERROR(__xludf.DUMMYFUNCTION("""COMPUTED_VALUE"""),35.79)</f>
        <v>35.79</v>
      </c>
      <c r="C377" s="1">
        <f ca="1">IFERROR(__xludf.DUMMYFUNCTION("""COMPUTED_VALUE"""),35.98)</f>
        <v>35.979999999999997</v>
      </c>
      <c r="D377" s="1">
        <f ca="1">IFERROR(__xludf.DUMMYFUNCTION("""COMPUTED_VALUE"""),35.68)</f>
        <v>35.68</v>
      </c>
      <c r="E377" s="1">
        <f ca="1">IFERROR(__xludf.DUMMYFUNCTION("""COMPUTED_VALUE"""),35.78)</f>
        <v>35.78</v>
      </c>
      <c r="F377" s="1">
        <f ca="1">IFERROR(__xludf.DUMMYFUNCTION("""COMPUTED_VALUE"""),3070052)</f>
        <v>3070052</v>
      </c>
    </row>
    <row r="378" spans="1:6" x14ac:dyDescent="0.35">
      <c r="A378" s="2">
        <f ca="1">IFERROR(__xludf.DUMMYFUNCTION("""COMPUTED_VALUE"""),42551.6666666666)</f>
        <v>42551.666666666599</v>
      </c>
      <c r="B378" s="1">
        <f ca="1">IFERROR(__xludf.DUMMYFUNCTION("""COMPUTED_VALUE"""),35.86)</f>
        <v>35.86</v>
      </c>
      <c r="C378" s="1">
        <f ca="1">IFERROR(__xludf.DUMMYFUNCTION("""COMPUTED_VALUE"""),35.97)</f>
        <v>35.97</v>
      </c>
      <c r="D378" s="1">
        <f ca="1">IFERROR(__xludf.DUMMYFUNCTION("""COMPUTED_VALUE"""),35.63)</f>
        <v>35.630000000000003</v>
      </c>
      <c r="E378" s="1">
        <f ca="1">IFERROR(__xludf.DUMMYFUNCTION("""COMPUTED_VALUE"""),35.78)</f>
        <v>35.78</v>
      </c>
      <c r="F378" s="1">
        <f ca="1">IFERROR(__xludf.DUMMYFUNCTION("""COMPUTED_VALUE"""),2855142)</f>
        <v>2855142</v>
      </c>
    </row>
    <row r="379" spans="1:6" x14ac:dyDescent="0.35">
      <c r="A379" s="2">
        <f ca="1">IFERROR(__xludf.DUMMYFUNCTION("""COMPUTED_VALUE"""),42552.6666666666)</f>
        <v>42552.666666666599</v>
      </c>
      <c r="B379" s="1">
        <f ca="1">IFERROR(__xludf.DUMMYFUNCTION("""COMPUTED_VALUE"""),35.87)</f>
        <v>35.869999999999997</v>
      </c>
      <c r="C379" s="1">
        <f ca="1">IFERROR(__xludf.DUMMYFUNCTION("""COMPUTED_VALUE"""),36.4)</f>
        <v>36.4</v>
      </c>
      <c r="D379" s="1">
        <f ca="1">IFERROR(__xludf.DUMMYFUNCTION("""COMPUTED_VALUE"""),35.83)</f>
        <v>35.83</v>
      </c>
      <c r="E379" s="1">
        <f ca="1">IFERROR(__xludf.DUMMYFUNCTION("""COMPUTED_VALUE"""),36.28)</f>
        <v>36.28</v>
      </c>
      <c r="F379" s="1">
        <f ca="1">IFERROR(__xludf.DUMMYFUNCTION("""COMPUTED_VALUE"""),2920423)</f>
        <v>2920423</v>
      </c>
    </row>
    <row r="380" spans="1:6" x14ac:dyDescent="0.35">
      <c r="A380" s="2">
        <f ca="1">IFERROR(__xludf.DUMMYFUNCTION("""COMPUTED_VALUE"""),42556.6666666666)</f>
        <v>42556.666666666599</v>
      </c>
      <c r="B380" s="1">
        <f ca="1">IFERROR(__xludf.DUMMYFUNCTION("""COMPUTED_VALUE"""),36.14)</f>
        <v>36.14</v>
      </c>
      <c r="C380" s="1">
        <f ca="1">IFERROR(__xludf.DUMMYFUNCTION("""COMPUTED_VALUE"""),36.41)</f>
        <v>36.409999999999997</v>
      </c>
      <c r="D380" s="1">
        <f ca="1">IFERROR(__xludf.DUMMYFUNCTION("""COMPUTED_VALUE"""),35.98)</f>
        <v>35.979999999999997</v>
      </c>
      <c r="E380" s="1">
        <f ca="1">IFERROR(__xludf.DUMMYFUNCTION("""COMPUTED_VALUE"""),36.41)</f>
        <v>36.409999999999997</v>
      </c>
      <c r="F380" s="1">
        <f ca="1">IFERROR(__xludf.DUMMYFUNCTION("""COMPUTED_VALUE"""),2431431)</f>
        <v>2431431</v>
      </c>
    </row>
    <row r="381" spans="1:6" x14ac:dyDescent="0.35">
      <c r="A381" s="2">
        <f ca="1">IFERROR(__xludf.DUMMYFUNCTION("""COMPUTED_VALUE"""),42557.6666666666)</f>
        <v>42557.666666666599</v>
      </c>
      <c r="B381" s="1">
        <f ca="1">IFERROR(__xludf.DUMMYFUNCTION("""COMPUTED_VALUE"""),36.29)</f>
        <v>36.29</v>
      </c>
      <c r="C381" s="1">
        <f ca="1">IFERROR(__xludf.DUMMYFUNCTION("""COMPUTED_VALUE"""),36.89)</f>
        <v>36.89</v>
      </c>
      <c r="D381" s="1">
        <f ca="1">IFERROR(__xludf.DUMMYFUNCTION("""COMPUTED_VALUE"""),36.13)</f>
        <v>36.130000000000003</v>
      </c>
      <c r="E381" s="1">
        <f ca="1">IFERROR(__xludf.DUMMYFUNCTION("""COMPUTED_VALUE"""),36.88)</f>
        <v>36.880000000000003</v>
      </c>
      <c r="F381" s="1">
        <f ca="1">IFERROR(__xludf.DUMMYFUNCTION("""COMPUTED_VALUE"""),3938249)</f>
        <v>3938249</v>
      </c>
    </row>
    <row r="382" spans="1:6" x14ac:dyDescent="0.35">
      <c r="A382" s="2">
        <f ca="1">IFERROR(__xludf.DUMMYFUNCTION("""COMPUTED_VALUE"""),42558.6666666666)</f>
        <v>42558.666666666599</v>
      </c>
      <c r="B382" s="1">
        <f ca="1">IFERROR(__xludf.DUMMYFUNCTION("""COMPUTED_VALUE"""),36.97)</f>
        <v>36.97</v>
      </c>
      <c r="C382" s="1">
        <f ca="1">IFERROR(__xludf.DUMMYFUNCTION("""COMPUTED_VALUE"""),36.98)</f>
        <v>36.979999999999997</v>
      </c>
      <c r="D382" s="1">
        <f ca="1">IFERROR(__xludf.DUMMYFUNCTION("""COMPUTED_VALUE"""),36.58)</f>
        <v>36.58</v>
      </c>
      <c r="E382" s="1">
        <f ca="1">IFERROR(__xludf.DUMMYFUNCTION("""COMPUTED_VALUE"""),36.83)</f>
        <v>36.83</v>
      </c>
      <c r="F382" s="1">
        <f ca="1">IFERROR(__xludf.DUMMYFUNCTION("""COMPUTED_VALUE"""),2945783)</f>
        <v>2945783</v>
      </c>
    </row>
    <row r="383" spans="1:6" x14ac:dyDescent="0.35">
      <c r="A383" s="2">
        <f ca="1">IFERROR(__xludf.DUMMYFUNCTION("""COMPUTED_VALUE"""),42559.6666666666)</f>
        <v>42559.666666666599</v>
      </c>
      <c r="B383" s="1">
        <f ca="1">IFERROR(__xludf.DUMMYFUNCTION("""COMPUTED_VALUE"""),37.01)</f>
        <v>37.01</v>
      </c>
      <c r="C383" s="1">
        <f ca="1">IFERROR(__xludf.DUMMYFUNCTION("""COMPUTED_VALUE"""),37.31)</f>
        <v>37.31</v>
      </c>
      <c r="D383" s="1">
        <f ca="1">IFERROR(__xludf.DUMMYFUNCTION("""COMPUTED_VALUE"""),36.9)</f>
        <v>36.9</v>
      </c>
      <c r="E383" s="1">
        <f ca="1">IFERROR(__xludf.DUMMYFUNCTION("""COMPUTED_VALUE"""),37.29)</f>
        <v>37.29</v>
      </c>
      <c r="F383" s="1">
        <f ca="1">IFERROR(__xludf.DUMMYFUNCTION("""COMPUTED_VALUE"""),3429217)</f>
        <v>3429217</v>
      </c>
    </row>
    <row r="384" spans="1:6" x14ac:dyDescent="0.35">
      <c r="A384" s="2">
        <f ca="1">IFERROR(__xludf.DUMMYFUNCTION("""COMPUTED_VALUE"""),42562.6666666666)</f>
        <v>42562.666666666599</v>
      </c>
      <c r="B384" s="1">
        <f ca="1">IFERROR(__xludf.DUMMYFUNCTION("""COMPUTED_VALUE"""),37.5)</f>
        <v>37.5</v>
      </c>
      <c r="C384" s="1">
        <f ca="1">IFERROR(__xludf.DUMMYFUNCTION("""COMPUTED_VALUE"""),37.8)</f>
        <v>37.799999999999997</v>
      </c>
      <c r="D384" s="1">
        <f ca="1">IFERROR(__xludf.DUMMYFUNCTION("""COMPUTED_VALUE"""),37.35)</f>
        <v>37.35</v>
      </c>
      <c r="E384" s="1">
        <f ca="1">IFERROR(__xludf.DUMMYFUNCTION("""COMPUTED_VALUE"""),37.69)</f>
        <v>37.69</v>
      </c>
      <c r="F384" s="1">
        <f ca="1">IFERROR(__xludf.DUMMYFUNCTION("""COMPUTED_VALUE"""),3195272)</f>
        <v>3195272</v>
      </c>
    </row>
    <row r="385" spans="1:6" x14ac:dyDescent="0.35">
      <c r="A385" s="2">
        <f ca="1">IFERROR(__xludf.DUMMYFUNCTION("""COMPUTED_VALUE"""),42563.6666666666)</f>
        <v>42563.666666666599</v>
      </c>
      <c r="B385" s="1">
        <f ca="1">IFERROR(__xludf.DUMMYFUNCTION("""COMPUTED_VALUE"""),37.84)</f>
        <v>37.840000000000003</v>
      </c>
      <c r="C385" s="1">
        <f ca="1">IFERROR(__xludf.DUMMYFUNCTION("""COMPUTED_VALUE"""),37.87)</f>
        <v>37.869999999999997</v>
      </c>
      <c r="D385" s="1">
        <f ca="1">IFERROR(__xludf.DUMMYFUNCTION("""COMPUTED_VALUE"""),37.02)</f>
        <v>37.020000000000003</v>
      </c>
      <c r="E385" s="1">
        <f ca="1">IFERROR(__xludf.DUMMYFUNCTION("""COMPUTED_VALUE"""),37.41)</f>
        <v>37.409999999999997</v>
      </c>
      <c r="F385" s="1">
        <f ca="1">IFERROR(__xludf.DUMMYFUNCTION("""COMPUTED_VALUE"""),5623657)</f>
        <v>5623657</v>
      </c>
    </row>
    <row r="386" spans="1:6" x14ac:dyDescent="0.35">
      <c r="A386" s="2">
        <f ca="1">IFERROR(__xludf.DUMMYFUNCTION("""COMPUTED_VALUE"""),42564.6666666666)</f>
        <v>42564.666666666599</v>
      </c>
      <c r="B386" s="1">
        <f ca="1">IFERROR(__xludf.DUMMYFUNCTION("""COMPUTED_VALUE"""),37.34)</f>
        <v>37.340000000000003</v>
      </c>
      <c r="C386" s="1">
        <f ca="1">IFERROR(__xludf.DUMMYFUNCTION("""COMPUTED_VALUE"""),37.84)</f>
        <v>37.840000000000003</v>
      </c>
      <c r="D386" s="1">
        <f ca="1">IFERROR(__xludf.DUMMYFUNCTION("""COMPUTED_VALUE"""),37.06)</f>
        <v>37.06</v>
      </c>
      <c r="E386" s="1">
        <f ca="1">IFERROR(__xludf.DUMMYFUNCTION("""COMPUTED_VALUE"""),37.13)</f>
        <v>37.130000000000003</v>
      </c>
      <c r="F386" s="1">
        <f ca="1">IFERROR(__xludf.DUMMYFUNCTION("""COMPUTED_VALUE"""),4142265)</f>
        <v>4142265</v>
      </c>
    </row>
    <row r="387" spans="1:6" x14ac:dyDescent="0.35">
      <c r="A387" s="2">
        <f ca="1">IFERROR(__xludf.DUMMYFUNCTION("""COMPUTED_VALUE"""),42565.6666666666)</f>
        <v>42565.666666666599</v>
      </c>
      <c r="B387" s="1">
        <f ca="1">IFERROR(__xludf.DUMMYFUNCTION("""COMPUTED_VALUE"""),37.44)</f>
        <v>37.44</v>
      </c>
      <c r="C387" s="1">
        <f ca="1">IFERROR(__xludf.DUMMYFUNCTION("""COMPUTED_VALUE"""),37.45)</f>
        <v>37.450000000000003</v>
      </c>
      <c r="D387" s="1">
        <f ca="1">IFERROR(__xludf.DUMMYFUNCTION("""COMPUTED_VALUE"""),36.95)</f>
        <v>36.950000000000003</v>
      </c>
      <c r="E387" s="1">
        <f ca="1">IFERROR(__xludf.DUMMYFUNCTION("""COMPUTED_VALUE"""),37.06)</f>
        <v>37.06</v>
      </c>
      <c r="F387" s="1">
        <f ca="1">IFERROR(__xludf.DUMMYFUNCTION("""COMPUTED_VALUE"""),2390472)</f>
        <v>2390472</v>
      </c>
    </row>
    <row r="388" spans="1:6" x14ac:dyDescent="0.35">
      <c r="A388" s="2">
        <f ca="1">IFERROR(__xludf.DUMMYFUNCTION("""COMPUTED_VALUE"""),42566.6666666666)</f>
        <v>42566.666666666599</v>
      </c>
      <c r="B388" s="1">
        <f ca="1">IFERROR(__xludf.DUMMYFUNCTION("""COMPUTED_VALUE"""),37.33)</f>
        <v>37.33</v>
      </c>
      <c r="C388" s="1">
        <f ca="1">IFERROR(__xludf.DUMMYFUNCTION("""COMPUTED_VALUE"""),37.33)</f>
        <v>37.33</v>
      </c>
      <c r="D388" s="1">
        <f ca="1">IFERROR(__xludf.DUMMYFUNCTION("""COMPUTED_VALUE"""),36.7)</f>
        <v>36.700000000000003</v>
      </c>
      <c r="E388" s="1">
        <f ca="1">IFERROR(__xludf.DUMMYFUNCTION("""COMPUTED_VALUE"""),36.77)</f>
        <v>36.770000000000003</v>
      </c>
      <c r="F388" s="1">
        <f ca="1">IFERROR(__xludf.DUMMYFUNCTION("""COMPUTED_VALUE"""),3121385)</f>
        <v>3121385</v>
      </c>
    </row>
    <row r="389" spans="1:6" x14ac:dyDescent="0.35">
      <c r="A389" s="2">
        <f ca="1">IFERROR(__xludf.DUMMYFUNCTION("""COMPUTED_VALUE"""),42569.6666666666)</f>
        <v>42569.666666666599</v>
      </c>
      <c r="B389" s="1">
        <f ca="1">IFERROR(__xludf.DUMMYFUNCTION("""COMPUTED_VALUE"""),36.77)</f>
        <v>36.770000000000003</v>
      </c>
      <c r="C389" s="1">
        <f ca="1">IFERROR(__xludf.DUMMYFUNCTION("""COMPUTED_VALUE"""),37.08)</f>
        <v>37.08</v>
      </c>
      <c r="D389" s="1">
        <f ca="1">IFERROR(__xludf.DUMMYFUNCTION("""COMPUTED_VALUE"""),36.44)</f>
        <v>36.44</v>
      </c>
      <c r="E389" s="1">
        <f ca="1">IFERROR(__xludf.DUMMYFUNCTION("""COMPUTED_VALUE"""),36.8)</f>
        <v>36.799999999999997</v>
      </c>
      <c r="F389" s="1">
        <f ca="1">IFERROR(__xludf.DUMMYFUNCTION("""COMPUTED_VALUE"""),2954914)</f>
        <v>2954914</v>
      </c>
    </row>
    <row r="390" spans="1:6" x14ac:dyDescent="0.35">
      <c r="A390" s="2">
        <f ca="1">IFERROR(__xludf.DUMMYFUNCTION("""COMPUTED_VALUE"""),42570.6666666666)</f>
        <v>42570.666666666599</v>
      </c>
      <c r="B390" s="1">
        <f ca="1">IFERROR(__xludf.DUMMYFUNCTION("""COMPUTED_VALUE"""),36.63)</f>
        <v>36.630000000000003</v>
      </c>
      <c r="C390" s="1">
        <f ca="1">IFERROR(__xludf.DUMMYFUNCTION("""COMPUTED_VALUE"""),37.17)</f>
        <v>37.17</v>
      </c>
      <c r="D390" s="1">
        <f ca="1">IFERROR(__xludf.DUMMYFUNCTION("""COMPUTED_VALUE"""),36.62)</f>
        <v>36.619999999999997</v>
      </c>
      <c r="E390" s="1">
        <f ca="1">IFERROR(__xludf.DUMMYFUNCTION("""COMPUTED_VALUE"""),37)</f>
        <v>37</v>
      </c>
      <c r="F390" s="1">
        <f ca="1">IFERROR(__xludf.DUMMYFUNCTION("""COMPUTED_VALUE"""),2216820)</f>
        <v>2216820</v>
      </c>
    </row>
    <row r="391" spans="1:6" x14ac:dyDescent="0.35">
      <c r="A391" s="2">
        <f ca="1">IFERROR(__xludf.DUMMYFUNCTION("""COMPUTED_VALUE"""),42571.6666666666)</f>
        <v>42571.666666666599</v>
      </c>
      <c r="B391" s="1">
        <f ca="1">IFERROR(__xludf.DUMMYFUNCTION("""COMPUTED_VALUE"""),37.2)</f>
        <v>37.200000000000003</v>
      </c>
      <c r="C391" s="1">
        <f ca="1">IFERROR(__xludf.DUMMYFUNCTION("""COMPUTED_VALUE"""),37.31)</f>
        <v>37.31</v>
      </c>
      <c r="D391" s="1">
        <f ca="1">IFERROR(__xludf.DUMMYFUNCTION("""COMPUTED_VALUE"""),37.03)</f>
        <v>37.03</v>
      </c>
      <c r="E391" s="1">
        <f ca="1">IFERROR(__xludf.DUMMYFUNCTION("""COMPUTED_VALUE"""),37.29)</f>
        <v>37.29</v>
      </c>
      <c r="F391" s="1">
        <f ca="1">IFERROR(__xludf.DUMMYFUNCTION("""COMPUTED_VALUE"""),2214023)</f>
        <v>2214023</v>
      </c>
    </row>
    <row r="392" spans="1:6" x14ac:dyDescent="0.35">
      <c r="A392" s="2">
        <f ca="1">IFERROR(__xludf.DUMMYFUNCTION("""COMPUTED_VALUE"""),42572.6666666666)</f>
        <v>42572.666666666599</v>
      </c>
      <c r="B392" s="1">
        <f ca="1">IFERROR(__xludf.DUMMYFUNCTION("""COMPUTED_VALUE"""),37.38)</f>
        <v>37.380000000000003</v>
      </c>
      <c r="C392" s="1">
        <f ca="1">IFERROR(__xludf.DUMMYFUNCTION("""COMPUTED_VALUE"""),37.47)</f>
        <v>37.47</v>
      </c>
      <c r="D392" s="1">
        <f ca="1">IFERROR(__xludf.DUMMYFUNCTION("""COMPUTED_VALUE"""),37.14)</f>
        <v>37.14</v>
      </c>
      <c r="E392" s="1">
        <f ca="1">IFERROR(__xludf.DUMMYFUNCTION("""COMPUTED_VALUE"""),37.22)</f>
        <v>37.22</v>
      </c>
      <c r="F392" s="1">
        <f ca="1">IFERROR(__xludf.DUMMYFUNCTION("""COMPUTED_VALUE"""),2317072)</f>
        <v>2317072</v>
      </c>
    </row>
    <row r="393" spans="1:6" x14ac:dyDescent="0.35">
      <c r="A393" s="2">
        <f ca="1">IFERROR(__xludf.DUMMYFUNCTION("""COMPUTED_VALUE"""),42573.6666666666)</f>
        <v>42573.666666666599</v>
      </c>
      <c r="B393" s="1">
        <f ca="1">IFERROR(__xludf.DUMMYFUNCTION("""COMPUTED_VALUE"""),37.39)</f>
        <v>37.39</v>
      </c>
      <c r="C393" s="1">
        <f ca="1">IFERROR(__xludf.DUMMYFUNCTION("""COMPUTED_VALUE"""),37.56)</f>
        <v>37.56</v>
      </c>
      <c r="D393" s="1">
        <f ca="1">IFERROR(__xludf.DUMMYFUNCTION("""COMPUTED_VALUE"""),37.18)</f>
        <v>37.18</v>
      </c>
      <c r="E393" s="1">
        <f ca="1">IFERROR(__xludf.DUMMYFUNCTION("""COMPUTED_VALUE"""),37.24)</f>
        <v>37.24</v>
      </c>
      <c r="F393" s="1">
        <f ca="1">IFERROR(__xludf.DUMMYFUNCTION("""COMPUTED_VALUE"""),2277711)</f>
        <v>2277711</v>
      </c>
    </row>
    <row r="394" spans="1:6" x14ac:dyDescent="0.35">
      <c r="A394" s="2">
        <f ca="1">IFERROR(__xludf.DUMMYFUNCTION("""COMPUTED_VALUE"""),42576.6666666666)</f>
        <v>42576.666666666599</v>
      </c>
      <c r="B394" s="1">
        <f ca="1">IFERROR(__xludf.DUMMYFUNCTION("""COMPUTED_VALUE"""),37.33)</f>
        <v>37.33</v>
      </c>
      <c r="C394" s="1">
        <f ca="1">IFERROR(__xludf.DUMMYFUNCTION("""COMPUTED_VALUE"""),37.42)</f>
        <v>37.42</v>
      </c>
      <c r="D394" s="1">
        <f ca="1">IFERROR(__xludf.DUMMYFUNCTION("""COMPUTED_VALUE"""),36.77)</f>
        <v>36.770000000000003</v>
      </c>
      <c r="E394" s="1">
        <f ca="1">IFERROR(__xludf.DUMMYFUNCTION("""COMPUTED_VALUE"""),36.98)</f>
        <v>36.979999999999997</v>
      </c>
      <c r="F394" s="1">
        <f ca="1">IFERROR(__xludf.DUMMYFUNCTION("""COMPUTED_VALUE"""),2679290)</f>
        <v>2679290</v>
      </c>
    </row>
    <row r="395" spans="1:6" x14ac:dyDescent="0.35">
      <c r="A395" s="2">
        <f ca="1">IFERROR(__xludf.DUMMYFUNCTION("""COMPUTED_VALUE"""),42577.6666666666)</f>
        <v>42577.666666666599</v>
      </c>
      <c r="B395" s="1">
        <f ca="1">IFERROR(__xludf.DUMMYFUNCTION("""COMPUTED_VALUE"""),37.14)</f>
        <v>37.14</v>
      </c>
      <c r="C395" s="1">
        <f ca="1">IFERROR(__xludf.DUMMYFUNCTION("""COMPUTED_VALUE"""),37.16)</f>
        <v>37.159999999999997</v>
      </c>
      <c r="D395" s="1">
        <f ca="1">IFERROR(__xludf.DUMMYFUNCTION("""COMPUTED_VALUE"""),36.64)</f>
        <v>36.64</v>
      </c>
      <c r="E395" s="1">
        <f ca="1">IFERROR(__xludf.DUMMYFUNCTION("""COMPUTED_VALUE"""),36.78)</f>
        <v>36.78</v>
      </c>
      <c r="F395" s="1">
        <f ca="1">IFERROR(__xludf.DUMMYFUNCTION("""COMPUTED_VALUE"""),2529692)</f>
        <v>2529692</v>
      </c>
    </row>
    <row r="396" spans="1:6" x14ac:dyDescent="0.35">
      <c r="A396" s="2">
        <f ca="1">IFERROR(__xludf.DUMMYFUNCTION("""COMPUTED_VALUE"""),42578.6666666666)</f>
        <v>42578.666666666599</v>
      </c>
      <c r="B396" s="1">
        <f ca="1">IFERROR(__xludf.DUMMYFUNCTION("""COMPUTED_VALUE"""),36.9)</f>
        <v>36.9</v>
      </c>
      <c r="C396" s="1">
        <f ca="1">IFERROR(__xludf.DUMMYFUNCTION("""COMPUTED_VALUE"""),37.05)</f>
        <v>37.049999999999997</v>
      </c>
      <c r="D396" s="1">
        <f ca="1">IFERROR(__xludf.DUMMYFUNCTION("""COMPUTED_VALUE"""),36.69)</f>
        <v>36.69</v>
      </c>
      <c r="E396" s="1">
        <f ca="1">IFERROR(__xludf.DUMMYFUNCTION("""COMPUTED_VALUE"""),36.83)</f>
        <v>36.83</v>
      </c>
      <c r="F396" s="1">
        <f ca="1">IFERROR(__xludf.DUMMYFUNCTION("""COMPUTED_VALUE"""),2913134)</f>
        <v>2913134</v>
      </c>
    </row>
    <row r="397" spans="1:6" x14ac:dyDescent="0.35">
      <c r="A397" s="2">
        <f ca="1">IFERROR(__xludf.DUMMYFUNCTION("""COMPUTED_VALUE"""),42579.6666666666)</f>
        <v>42579.666666666599</v>
      </c>
      <c r="B397" s="1">
        <f ca="1">IFERROR(__xludf.DUMMYFUNCTION("""COMPUTED_VALUE"""),37.3)</f>
        <v>37.299999999999997</v>
      </c>
      <c r="C397" s="1">
        <f ca="1">IFERROR(__xludf.DUMMYFUNCTION("""COMPUTED_VALUE"""),37.67)</f>
        <v>37.67</v>
      </c>
      <c r="D397" s="1">
        <f ca="1">IFERROR(__xludf.DUMMYFUNCTION("""COMPUTED_VALUE"""),36.99)</f>
        <v>36.99</v>
      </c>
      <c r="E397" s="1">
        <f ca="1">IFERROR(__xludf.DUMMYFUNCTION("""COMPUTED_VALUE"""),37.63)</f>
        <v>37.630000000000003</v>
      </c>
      <c r="F397" s="1">
        <f ca="1">IFERROR(__xludf.DUMMYFUNCTION("""COMPUTED_VALUE"""),7617580)</f>
        <v>7617580</v>
      </c>
    </row>
    <row r="398" spans="1:6" x14ac:dyDescent="0.35">
      <c r="A398" s="2">
        <f ca="1">IFERROR(__xludf.DUMMYFUNCTION("""COMPUTED_VALUE"""),42580.6666666666)</f>
        <v>42580.666666666599</v>
      </c>
      <c r="B398" s="1">
        <f ca="1">IFERROR(__xludf.DUMMYFUNCTION("""COMPUTED_VALUE"""),38.25)</f>
        <v>38.25</v>
      </c>
      <c r="C398" s="1">
        <f ca="1">IFERROR(__xludf.DUMMYFUNCTION("""COMPUTED_VALUE"""),38.3)</f>
        <v>38.299999999999997</v>
      </c>
      <c r="D398" s="1">
        <f ca="1">IFERROR(__xludf.DUMMYFUNCTION("""COMPUTED_VALUE"""),37.75)</f>
        <v>37.75</v>
      </c>
      <c r="E398" s="1">
        <f ca="1">IFERROR(__xludf.DUMMYFUNCTION("""COMPUTED_VALUE"""),37.94)</f>
        <v>37.94</v>
      </c>
      <c r="F398" s="1">
        <f ca="1">IFERROR(__xludf.DUMMYFUNCTION("""COMPUTED_VALUE"""),6777050)</f>
        <v>6777050</v>
      </c>
    </row>
    <row r="399" spans="1:6" x14ac:dyDescent="0.35">
      <c r="A399" s="2">
        <f ca="1">IFERROR(__xludf.DUMMYFUNCTION("""COMPUTED_VALUE"""),42583.6666666666)</f>
        <v>42583.666666666599</v>
      </c>
      <c r="B399" s="1">
        <f ca="1">IFERROR(__xludf.DUMMYFUNCTION("""COMPUTED_VALUE"""),37.99)</f>
        <v>37.99</v>
      </c>
      <c r="C399" s="1">
        <f ca="1">IFERROR(__xludf.DUMMYFUNCTION("""COMPUTED_VALUE"""),38.53)</f>
        <v>38.53</v>
      </c>
      <c r="D399" s="1">
        <f ca="1">IFERROR(__xludf.DUMMYFUNCTION("""COMPUTED_VALUE"""),37.85)</f>
        <v>37.85</v>
      </c>
      <c r="E399" s="1">
        <f ca="1">IFERROR(__xludf.DUMMYFUNCTION("""COMPUTED_VALUE"""),38.39)</f>
        <v>38.39</v>
      </c>
      <c r="F399" s="1">
        <f ca="1">IFERROR(__xludf.DUMMYFUNCTION("""COMPUTED_VALUE"""),3578205)</f>
        <v>3578205</v>
      </c>
    </row>
    <row r="400" spans="1:6" x14ac:dyDescent="0.35">
      <c r="A400" s="2">
        <f ca="1">IFERROR(__xludf.DUMMYFUNCTION("""COMPUTED_VALUE"""),42584.6666666666)</f>
        <v>42584.666666666599</v>
      </c>
      <c r="B400" s="1">
        <f ca="1">IFERROR(__xludf.DUMMYFUNCTION("""COMPUTED_VALUE"""),38.19)</f>
        <v>38.19</v>
      </c>
      <c r="C400" s="1">
        <f ca="1">IFERROR(__xludf.DUMMYFUNCTION("""COMPUTED_VALUE"""),38.25)</f>
        <v>38.25</v>
      </c>
      <c r="D400" s="1">
        <f ca="1">IFERROR(__xludf.DUMMYFUNCTION("""COMPUTED_VALUE"""),37.85)</f>
        <v>37.85</v>
      </c>
      <c r="E400" s="1">
        <f ca="1">IFERROR(__xludf.DUMMYFUNCTION("""COMPUTED_VALUE"""),38.03)</f>
        <v>38.03</v>
      </c>
      <c r="F400" s="1">
        <f ca="1">IFERROR(__xludf.DUMMYFUNCTION("""COMPUTED_VALUE"""),3603280)</f>
        <v>3603280</v>
      </c>
    </row>
    <row r="401" spans="1:6" x14ac:dyDescent="0.35">
      <c r="A401" s="2">
        <f ca="1">IFERROR(__xludf.DUMMYFUNCTION("""COMPUTED_VALUE"""),42585.6666666666)</f>
        <v>42585.666666666599</v>
      </c>
      <c r="B401" s="1">
        <f ca="1">IFERROR(__xludf.DUMMYFUNCTION("""COMPUTED_VALUE"""),37.85)</f>
        <v>37.85</v>
      </c>
      <c r="C401" s="1">
        <f ca="1">IFERROR(__xludf.DUMMYFUNCTION("""COMPUTED_VALUE"""),37.94)</f>
        <v>37.94</v>
      </c>
      <c r="D401" s="1">
        <f ca="1">IFERROR(__xludf.DUMMYFUNCTION("""COMPUTED_VALUE"""),37.61)</f>
        <v>37.61</v>
      </c>
      <c r="E401" s="1">
        <f ca="1">IFERROR(__xludf.DUMMYFUNCTION("""COMPUTED_VALUE"""),37.73)</f>
        <v>37.729999999999997</v>
      </c>
      <c r="F401" s="1">
        <f ca="1">IFERROR(__xludf.DUMMYFUNCTION("""COMPUTED_VALUE"""),3581525)</f>
        <v>3581525</v>
      </c>
    </row>
    <row r="402" spans="1:6" x14ac:dyDescent="0.35">
      <c r="A402" s="2">
        <f ca="1">IFERROR(__xludf.DUMMYFUNCTION("""COMPUTED_VALUE"""),42586.6666666666)</f>
        <v>42586.666666666599</v>
      </c>
      <c r="B402" s="1">
        <f ca="1">IFERROR(__xludf.DUMMYFUNCTION("""COMPUTED_VALUE"""),37.69)</f>
        <v>37.69</v>
      </c>
      <c r="C402" s="1">
        <f ca="1">IFERROR(__xludf.DUMMYFUNCTION("""COMPUTED_VALUE"""),38.25)</f>
        <v>38.25</v>
      </c>
      <c r="D402" s="1">
        <f ca="1">IFERROR(__xludf.DUMMYFUNCTION("""COMPUTED_VALUE"""),37.52)</f>
        <v>37.520000000000003</v>
      </c>
      <c r="E402" s="1">
        <f ca="1">IFERROR(__xludf.DUMMYFUNCTION("""COMPUTED_VALUE"""),38.04)</f>
        <v>38.04</v>
      </c>
      <c r="F402" s="1">
        <f ca="1">IFERROR(__xludf.DUMMYFUNCTION("""COMPUTED_VALUE"""),3178208)</f>
        <v>3178208</v>
      </c>
    </row>
    <row r="403" spans="1:6" x14ac:dyDescent="0.35">
      <c r="A403" s="2">
        <f ca="1">IFERROR(__xludf.DUMMYFUNCTION("""COMPUTED_VALUE"""),42587.6666666666)</f>
        <v>42587.666666666599</v>
      </c>
      <c r="B403" s="1">
        <f ca="1">IFERROR(__xludf.DUMMYFUNCTION("""COMPUTED_VALUE"""),38.24)</f>
        <v>38.24</v>
      </c>
      <c r="C403" s="1">
        <f ca="1">IFERROR(__xludf.DUMMYFUNCTION("""COMPUTED_VALUE"""),38.42)</f>
        <v>38.42</v>
      </c>
      <c r="D403" s="1">
        <f ca="1">IFERROR(__xludf.DUMMYFUNCTION("""COMPUTED_VALUE"""),38.15)</f>
        <v>38.15</v>
      </c>
      <c r="E403" s="1">
        <f ca="1">IFERROR(__xludf.DUMMYFUNCTION("""COMPUTED_VALUE"""),38.3)</f>
        <v>38.299999999999997</v>
      </c>
      <c r="F403" s="1">
        <f ca="1">IFERROR(__xludf.DUMMYFUNCTION("""COMPUTED_VALUE"""),2704391)</f>
        <v>2704391</v>
      </c>
    </row>
    <row r="404" spans="1:6" x14ac:dyDescent="0.35">
      <c r="A404" s="2">
        <f ca="1">IFERROR(__xludf.DUMMYFUNCTION("""COMPUTED_VALUE"""),42590.6666666666)</f>
        <v>42590.666666666599</v>
      </c>
      <c r="B404" s="1">
        <f ca="1">IFERROR(__xludf.DUMMYFUNCTION("""COMPUTED_VALUE"""),38.34)</f>
        <v>38.340000000000003</v>
      </c>
      <c r="C404" s="1">
        <f ca="1">IFERROR(__xludf.DUMMYFUNCTION("""COMPUTED_VALUE"""),38.35)</f>
        <v>38.35</v>
      </c>
      <c r="D404" s="1">
        <f ca="1">IFERROR(__xludf.DUMMYFUNCTION("""COMPUTED_VALUE"""),38.05)</f>
        <v>38.049999999999997</v>
      </c>
      <c r="E404" s="1">
        <f ca="1">IFERROR(__xludf.DUMMYFUNCTION("""COMPUTED_VALUE"""),38.33)</f>
        <v>38.33</v>
      </c>
      <c r="F404" s="1">
        <f ca="1">IFERROR(__xludf.DUMMYFUNCTION("""COMPUTED_VALUE"""),1986272)</f>
        <v>1986272</v>
      </c>
    </row>
    <row r="405" spans="1:6" x14ac:dyDescent="0.35">
      <c r="A405" s="2">
        <f ca="1">IFERROR(__xludf.DUMMYFUNCTION("""COMPUTED_VALUE"""),42591.6666666666)</f>
        <v>42591.666666666599</v>
      </c>
      <c r="B405" s="1">
        <f ca="1">IFERROR(__xludf.DUMMYFUNCTION("""COMPUTED_VALUE"""),38.37)</f>
        <v>38.369999999999997</v>
      </c>
      <c r="C405" s="1">
        <f ca="1">IFERROR(__xludf.DUMMYFUNCTION("""COMPUTED_VALUE"""),38.63)</f>
        <v>38.630000000000003</v>
      </c>
      <c r="D405" s="1">
        <f ca="1">IFERROR(__xludf.DUMMYFUNCTION("""COMPUTED_VALUE"""),38.35)</f>
        <v>38.35</v>
      </c>
      <c r="E405" s="1">
        <f ca="1">IFERROR(__xludf.DUMMYFUNCTION("""COMPUTED_VALUE"""),38.42)</f>
        <v>38.42</v>
      </c>
      <c r="F405" s="1">
        <f ca="1">IFERROR(__xludf.DUMMYFUNCTION("""COMPUTED_VALUE"""),1876091)</f>
        <v>1876091</v>
      </c>
    </row>
    <row r="406" spans="1:6" x14ac:dyDescent="0.35">
      <c r="A406" s="2">
        <f ca="1">IFERROR(__xludf.DUMMYFUNCTION("""COMPUTED_VALUE"""),42592.6666666666)</f>
        <v>42592.666666666599</v>
      </c>
      <c r="B406" s="1">
        <f ca="1">IFERROR(__xludf.DUMMYFUNCTION("""COMPUTED_VALUE"""),38.49)</f>
        <v>38.49</v>
      </c>
      <c r="C406" s="1">
        <f ca="1">IFERROR(__xludf.DUMMYFUNCTION("""COMPUTED_VALUE"""),38.6)</f>
        <v>38.6</v>
      </c>
      <c r="D406" s="1">
        <f ca="1">IFERROR(__xludf.DUMMYFUNCTION("""COMPUTED_VALUE"""),38.31)</f>
        <v>38.31</v>
      </c>
      <c r="E406" s="1">
        <f ca="1">IFERROR(__xludf.DUMMYFUNCTION("""COMPUTED_VALUE"""),38.43)</f>
        <v>38.43</v>
      </c>
      <c r="F406" s="1">
        <f ca="1">IFERROR(__xludf.DUMMYFUNCTION("""COMPUTED_VALUE"""),1604280)</f>
        <v>1604280</v>
      </c>
    </row>
    <row r="407" spans="1:6" x14ac:dyDescent="0.35">
      <c r="A407" s="2">
        <f ca="1">IFERROR(__xludf.DUMMYFUNCTION("""COMPUTED_VALUE"""),42593.6666666666)</f>
        <v>42593.666666666599</v>
      </c>
      <c r="B407" s="1">
        <f ca="1">IFERROR(__xludf.DUMMYFUNCTION("""COMPUTED_VALUE"""),38.5)</f>
        <v>38.5</v>
      </c>
      <c r="C407" s="1">
        <f ca="1">IFERROR(__xludf.DUMMYFUNCTION("""COMPUTED_VALUE"""),38.69)</f>
        <v>38.69</v>
      </c>
      <c r="D407" s="1">
        <f ca="1">IFERROR(__xludf.DUMMYFUNCTION("""COMPUTED_VALUE"""),38.46)</f>
        <v>38.46</v>
      </c>
      <c r="E407" s="1">
        <f ca="1">IFERROR(__xludf.DUMMYFUNCTION("""COMPUTED_VALUE"""),38.56)</f>
        <v>38.56</v>
      </c>
      <c r="F407" s="1">
        <f ca="1">IFERROR(__xludf.DUMMYFUNCTION("""COMPUTED_VALUE"""),2019740)</f>
        <v>2019740</v>
      </c>
    </row>
    <row r="408" spans="1:6" x14ac:dyDescent="0.35">
      <c r="A408" s="2">
        <f ca="1">IFERROR(__xludf.DUMMYFUNCTION("""COMPUTED_VALUE"""),42594.6666666666)</f>
        <v>42594.666666666599</v>
      </c>
      <c r="B408" s="1">
        <f ca="1">IFERROR(__xludf.DUMMYFUNCTION("""COMPUTED_VALUE"""),38.42)</f>
        <v>38.42</v>
      </c>
      <c r="C408" s="1">
        <f ca="1">IFERROR(__xludf.DUMMYFUNCTION("""COMPUTED_VALUE"""),38.66)</f>
        <v>38.659999999999997</v>
      </c>
      <c r="D408" s="1">
        <f ca="1">IFERROR(__xludf.DUMMYFUNCTION("""COMPUTED_VALUE"""),38.42)</f>
        <v>38.42</v>
      </c>
      <c r="E408" s="1">
        <f ca="1">IFERROR(__xludf.DUMMYFUNCTION("""COMPUTED_VALUE"""),38.63)</f>
        <v>38.630000000000003</v>
      </c>
      <c r="F408" s="1">
        <f ca="1">IFERROR(__xludf.DUMMYFUNCTION("""COMPUTED_VALUE"""),1563318)</f>
        <v>1563318</v>
      </c>
    </row>
    <row r="409" spans="1:6" x14ac:dyDescent="0.35">
      <c r="A409" s="2">
        <f ca="1">IFERROR(__xludf.DUMMYFUNCTION("""COMPUTED_VALUE"""),42597.6666666666)</f>
        <v>42597.666666666599</v>
      </c>
      <c r="B409" s="1">
        <f ca="1">IFERROR(__xludf.DUMMYFUNCTION("""COMPUTED_VALUE"""),38.6)</f>
        <v>38.6</v>
      </c>
      <c r="C409" s="1">
        <f ca="1">IFERROR(__xludf.DUMMYFUNCTION("""COMPUTED_VALUE"""),38.6)</f>
        <v>38.6</v>
      </c>
      <c r="D409" s="1">
        <f ca="1">IFERROR(__xludf.DUMMYFUNCTION("""COMPUTED_VALUE"""),38.39)</f>
        <v>38.39</v>
      </c>
      <c r="E409" s="1">
        <f ca="1">IFERROR(__xludf.DUMMYFUNCTION("""COMPUTED_VALUE"""),38.42)</f>
        <v>38.42</v>
      </c>
      <c r="F409" s="1">
        <f ca="1">IFERROR(__xludf.DUMMYFUNCTION("""COMPUTED_VALUE"""),2118521)</f>
        <v>2118521</v>
      </c>
    </row>
    <row r="410" spans="1:6" x14ac:dyDescent="0.35">
      <c r="A410" s="2">
        <f ca="1">IFERROR(__xludf.DUMMYFUNCTION("""COMPUTED_VALUE"""),42598.6666666666)</f>
        <v>42598.666666666599</v>
      </c>
      <c r="B410" s="1">
        <f ca="1">IFERROR(__xludf.DUMMYFUNCTION("""COMPUTED_VALUE"""),38.43)</f>
        <v>38.43</v>
      </c>
      <c r="C410" s="1">
        <f ca="1">IFERROR(__xludf.DUMMYFUNCTION("""COMPUTED_VALUE"""),38.44)</f>
        <v>38.44</v>
      </c>
      <c r="D410" s="1">
        <f ca="1">IFERROR(__xludf.DUMMYFUNCTION("""COMPUTED_VALUE"""),38.19)</f>
        <v>38.19</v>
      </c>
      <c r="E410" s="1">
        <f ca="1">IFERROR(__xludf.DUMMYFUNCTION("""COMPUTED_VALUE"""),38.2)</f>
        <v>38.200000000000003</v>
      </c>
      <c r="F410" s="1">
        <f ca="1">IFERROR(__xludf.DUMMYFUNCTION("""COMPUTED_VALUE"""),1604561)</f>
        <v>1604561</v>
      </c>
    </row>
    <row r="411" spans="1:6" x14ac:dyDescent="0.35">
      <c r="A411" s="2">
        <f ca="1">IFERROR(__xludf.DUMMYFUNCTION("""COMPUTED_VALUE"""),42599.6666666666)</f>
        <v>42599.666666666599</v>
      </c>
      <c r="B411" s="1">
        <f ca="1">IFERROR(__xludf.DUMMYFUNCTION("""COMPUTED_VALUE"""),38.22)</f>
        <v>38.22</v>
      </c>
      <c r="C411" s="1">
        <f ca="1">IFERROR(__xludf.DUMMYFUNCTION("""COMPUTED_VALUE"""),38.26)</f>
        <v>38.26</v>
      </c>
      <c r="D411" s="1">
        <f ca="1">IFERROR(__xludf.DUMMYFUNCTION("""COMPUTED_VALUE"""),37.96)</f>
        <v>37.96</v>
      </c>
      <c r="E411" s="1">
        <f ca="1">IFERROR(__xludf.DUMMYFUNCTION("""COMPUTED_VALUE"""),38.23)</f>
        <v>38.229999999999997</v>
      </c>
      <c r="F411" s="1">
        <f ca="1">IFERROR(__xludf.DUMMYFUNCTION("""COMPUTED_VALUE"""),1891116)</f>
        <v>1891116</v>
      </c>
    </row>
    <row r="412" spans="1:6" x14ac:dyDescent="0.35">
      <c r="A412" s="2">
        <f ca="1">IFERROR(__xludf.DUMMYFUNCTION("""COMPUTED_VALUE"""),42600.6666666666)</f>
        <v>42600.666666666599</v>
      </c>
      <c r="B412" s="1">
        <f ca="1">IFERROR(__xludf.DUMMYFUNCTION("""COMPUTED_VALUE"""),38.2)</f>
        <v>38.200000000000003</v>
      </c>
      <c r="C412" s="1">
        <f ca="1">IFERROR(__xludf.DUMMYFUNCTION("""COMPUTED_VALUE"""),38.26)</f>
        <v>38.26</v>
      </c>
      <c r="D412" s="1">
        <f ca="1">IFERROR(__xludf.DUMMYFUNCTION("""COMPUTED_VALUE"""),38.03)</f>
        <v>38.03</v>
      </c>
      <c r="E412" s="1">
        <f ca="1">IFERROR(__xludf.DUMMYFUNCTION("""COMPUTED_VALUE"""),38.22)</f>
        <v>38.22</v>
      </c>
      <c r="F412" s="1">
        <f ca="1">IFERROR(__xludf.DUMMYFUNCTION("""COMPUTED_VALUE"""),1458834)</f>
        <v>1458834</v>
      </c>
    </row>
    <row r="413" spans="1:6" x14ac:dyDescent="0.35">
      <c r="A413" s="2">
        <f ca="1">IFERROR(__xludf.DUMMYFUNCTION("""COMPUTED_VALUE"""),42601.6666666666)</f>
        <v>42601.666666666599</v>
      </c>
      <c r="B413" s="1">
        <f ca="1">IFERROR(__xludf.DUMMYFUNCTION("""COMPUTED_VALUE"""),38.1)</f>
        <v>38.1</v>
      </c>
      <c r="C413" s="1">
        <f ca="1">IFERROR(__xludf.DUMMYFUNCTION("""COMPUTED_VALUE"""),38.12)</f>
        <v>38.119999999999997</v>
      </c>
      <c r="D413" s="1">
        <f ca="1">IFERROR(__xludf.DUMMYFUNCTION("""COMPUTED_VALUE"""),37.84)</f>
        <v>37.840000000000003</v>
      </c>
      <c r="E413" s="1">
        <f ca="1">IFERROR(__xludf.DUMMYFUNCTION("""COMPUTED_VALUE"""),37.87)</f>
        <v>37.869999999999997</v>
      </c>
      <c r="F413" s="1">
        <f ca="1">IFERROR(__xludf.DUMMYFUNCTION("""COMPUTED_VALUE"""),2343237)</f>
        <v>2343237</v>
      </c>
    </row>
    <row r="414" spans="1:6" x14ac:dyDescent="0.35">
      <c r="A414" s="2">
        <f ca="1">IFERROR(__xludf.DUMMYFUNCTION("""COMPUTED_VALUE"""),42604.6666666666)</f>
        <v>42604.666666666599</v>
      </c>
      <c r="B414" s="1">
        <f ca="1">IFERROR(__xludf.DUMMYFUNCTION("""COMPUTED_VALUE"""),37.88)</f>
        <v>37.880000000000003</v>
      </c>
      <c r="C414" s="1">
        <f ca="1">IFERROR(__xludf.DUMMYFUNCTION("""COMPUTED_VALUE"""),37.99)</f>
        <v>37.99</v>
      </c>
      <c r="D414" s="1">
        <f ca="1">IFERROR(__xludf.DUMMYFUNCTION("""COMPUTED_VALUE"""),37.6)</f>
        <v>37.6</v>
      </c>
      <c r="E414" s="1">
        <f ca="1">IFERROR(__xludf.DUMMYFUNCTION("""COMPUTED_VALUE"""),37.97)</f>
        <v>37.97</v>
      </c>
      <c r="F414" s="1">
        <f ca="1">IFERROR(__xludf.DUMMYFUNCTION("""COMPUTED_VALUE"""),1679251)</f>
        <v>1679251</v>
      </c>
    </row>
    <row r="415" spans="1:6" x14ac:dyDescent="0.35">
      <c r="A415" s="2">
        <f ca="1">IFERROR(__xludf.DUMMYFUNCTION("""COMPUTED_VALUE"""),42605.6666666666)</f>
        <v>42605.666666666599</v>
      </c>
      <c r="B415" s="1">
        <f ca="1">IFERROR(__xludf.DUMMYFUNCTION("""COMPUTED_VALUE"""),38.17)</f>
        <v>38.17</v>
      </c>
      <c r="C415" s="1">
        <f ca="1">IFERROR(__xludf.DUMMYFUNCTION("""COMPUTED_VALUE"""),38.24)</f>
        <v>38.24</v>
      </c>
      <c r="D415" s="1">
        <f ca="1">IFERROR(__xludf.DUMMYFUNCTION("""COMPUTED_VALUE"""),38.05)</f>
        <v>38.049999999999997</v>
      </c>
      <c r="E415" s="1">
        <f ca="1">IFERROR(__xludf.DUMMYFUNCTION("""COMPUTED_VALUE"""),38.12)</f>
        <v>38.119999999999997</v>
      </c>
      <c r="F415" s="1">
        <f ca="1">IFERROR(__xludf.DUMMYFUNCTION("""COMPUTED_VALUE"""),1524131)</f>
        <v>1524131</v>
      </c>
    </row>
    <row r="416" spans="1:6" x14ac:dyDescent="0.35">
      <c r="A416" s="2">
        <f ca="1">IFERROR(__xludf.DUMMYFUNCTION("""COMPUTED_VALUE"""),42606.6666666666)</f>
        <v>42606.666666666599</v>
      </c>
      <c r="B416" s="1">
        <f ca="1">IFERROR(__xludf.DUMMYFUNCTION("""COMPUTED_VALUE"""),38.15)</f>
        <v>38.15</v>
      </c>
      <c r="C416" s="1">
        <f ca="1">IFERROR(__xludf.DUMMYFUNCTION("""COMPUTED_VALUE"""),38.17)</f>
        <v>38.17</v>
      </c>
      <c r="D416" s="1">
        <f ca="1">IFERROR(__xludf.DUMMYFUNCTION("""COMPUTED_VALUE"""),37.77)</f>
        <v>37.770000000000003</v>
      </c>
      <c r="E416" s="1">
        <f ca="1">IFERROR(__xludf.DUMMYFUNCTION("""COMPUTED_VALUE"""),37.86)</f>
        <v>37.86</v>
      </c>
      <c r="F416" s="1">
        <f ca="1">IFERROR(__xludf.DUMMYFUNCTION("""COMPUTED_VALUE"""),1744107)</f>
        <v>1744107</v>
      </c>
    </row>
    <row r="417" spans="1:6" x14ac:dyDescent="0.35">
      <c r="A417" s="2">
        <f ca="1">IFERROR(__xludf.DUMMYFUNCTION("""COMPUTED_VALUE"""),42607.6666666666)</f>
        <v>42607.666666666599</v>
      </c>
      <c r="B417" s="1">
        <f ca="1">IFERROR(__xludf.DUMMYFUNCTION("""COMPUTED_VALUE"""),37.8)</f>
        <v>37.799999999999997</v>
      </c>
      <c r="C417" s="1">
        <f ca="1">IFERROR(__xludf.DUMMYFUNCTION("""COMPUTED_VALUE"""),38.03)</f>
        <v>38.03</v>
      </c>
      <c r="D417" s="1">
        <f ca="1">IFERROR(__xludf.DUMMYFUNCTION("""COMPUTED_VALUE"""),37.74)</f>
        <v>37.74</v>
      </c>
      <c r="E417" s="1">
        <f ca="1">IFERROR(__xludf.DUMMYFUNCTION("""COMPUTED_VALUE"""),37.96)</f>
        <v>37.96</v>
      </c>
      <c r="F417" s="1">
        <f ca="1">IFERROR(__xludf.DUMMYFUNCTION("""COMPUTED_VALUE"""),1622992)</f>
        <v>1622992</v>
      </c>
    </row>
    <row r="418" spans="1:6" x14ac:dyDescent="0.35">
      <c r="A418" s="2">
        <f ca="1">IFERROR(__xludf.DUMMYFUNCTION("""COMPUTED_VALUE"""),42608.6666666666)</f>
        <v>42608.666666666599</v>
      </c>
      <c r="B418" s="1">
        <f ca="1">IFERROR(__xludf.DUMMYFUNCTION("""COMPUTED_VALUE"""),38)</f>
        <v>38</v>
      </c>
      <c r="C418" s="1">
        <f ca="1">IFERROR(__xludf.DUMMYFUNCTION("""COMPUTED_VALUE"""),38.5)</f>
        <v>38.5</v>
      </c>
      <c r="D418" s="1">
        <f ca="1">IFERROR(__xludf.DUMMYFUNCTION("""COMPUTED_VALUE"""),37.99)</f>
        <v>37.99</v>
      </c>
      <c r="E418" s="1">
        <f ca="1">IFERROR(__xludf.DUMMYFUNCTION("""COMPUTED_VALUE"""),38.45)</f>
        <v>38.450000000000003</v>
      </c>
      <c r="F418" s="1">
        <f ca="1">IFERROR(__xludf.DUMMYFUNCTION("""COMPUTED_VALUE"""),2776830)</f>
        <v>2776830</v>
      </c>
    </row>
    <row r="419" spans="1:6" x14ac:dyDescent="0.35">
      <c r="A419" s="2">
        <f ca="1">IFERROR(__xludf.DUMMYFUNCTION("""COMPUTED_VALUE"""),42611.6666666666)</f>
        <v>42611.666666666599</v>
      </c>
      <c r="B419" s="1">
        <f ca="1">IFERROR(__xludf.DUMMYFUNCTION("""COMPUTED_VALUE"""),38.44)</f>
        <v>38.44</v>
      </c>
      <c r="C419" s="1">
        <f ca="1">IFERROR(__xludf.DUMMYFUNCTION("""COMPUTED_VALUE"""),38.75)</f>
        <v>38.75</v>
      </c>
      <c r="D419" s="1">
        <f ca="1">IFERROR(__xludf.DUMMYFUNCTION("""COMPUTED_VALUE"""),38.43)</f>
        <v>38.43</v>
      </c>
      <c r="E419" s="1">
        <f ca="1">IFERROR(__xludf.DUMMYFUNCTION("""COMPUTED_VALUE"""),38.56)</f>
        <v>38.56</v>
      </c>
      <c r="F419" s="1">
        <f ca="1">IFERROR(__xludf.DUMMYFUNCTION("""COMPUTED_VALUE"""),2198560)</f>
        <v>2198560</v>
      </c>
    </row>
    <row r="420" spans="1:6" x14ac:dyDescent="0.35">
      <c r="A420" s="2">
        <f ca="1">IFERROR(__xludf.DUMMYFUNCTION("""COMPUTED_VALUE"""),42612.6666666666)</f>
        <v>42612.666666666599</v>
      </c>
      <c r="B420" s="1">
        <f ca="1">IFERROR(__xludf.DUMMYFUNCTION("""COMPUTED_VALUE"""),38.55)</f>
        <v>38.549999999999997</v>
      </c>
      <c r="C420" s="1">
        <f ca="1">IFERROR(__xludf.DUMMYFUNCTION("""COMPUTED_VALUE"""),38.59)</f>
        <v>38.590000000000003</v>
      </c>
      <c r="D420" s="1">
        <f ca="1">IFERROR(__xludf.DUMMYFUNCTION("""COMPUTED_VALUE"""),38.28)</f>
        <v>38.28</v>
      </c>
      <c r="E420" s="1">
        <f ca="1">IFERROR(__xludf.DUMMYFUNCTION("""COMPUTED_VALUE"""),38.38)</f>
        <v>38.380000000000003</v>
      </c>
      <c r="F420" s="1">
        <f ca="1">IFERROR(__xludf.DUMMYFUNCTION("""COMPUTED_VALUE"""),1709158)</f>
        <v>1709158</v>
      </c>
    </row>
    <row r="421" spans="1:6" x14ac:dyDescent="0.35">
      <c r="A421" s="2">
        <f ca="1">IFERROR(__xludf.DUMMYFUNCTION("""COMPUTED_VALUE"""),42613.6666666666)</f>
        <v>42613.666666666599</v>
      </c>
      <c r="B421" s="1">
        <f ca="1">IFERROR(__xludf.DUMMYFUNCTION("""COMPUTED_VALUE"""),38.33)</f>
        <v>38.33</v>
      </c>
      <c r="C421" s="1">
        <f ca="1">IFERROR(__xludf.DUMMYFUNCTION("""COMPUTED_VALUE"""),38.48)</f>
        <v>38.479999999999997</v>
      </c>
      <c r="D421" s="1">
        <f ca="1">IFERROR(__xludf.DUMMYFUNCTION("""COMPUTED_VALUE"""),38.2)</f>
        <v>38.200000000000003</v>
      </c>
      <c r="E421" s="1">
        <f ca="1">IFERROR(__xludf.DUMMYFUNCTION("""COMPUTED_VALUE"""),38.46)</f>
        <v>38.46</v>
      </c>
      <c r="F421" s="1">
        <f ca="1">IFERROR(__xludf.DUMMYFUNCTION("""COMPUTED_VALUE"""),1633789)</f>
        <v>1633789</v>
      </c>
    </row>
    <row r="422" spans="1:6" x14ac:dyDescent="0.35">
      <c r="A422" s="2">
        <f ca="1">IFERROR(__xludf.DUMMYFUNCTION("""COMPUTED_VALUE"""),42614.6666666666)</f>
        <v>42614.666666666599</v>
      </c>
      <c r="B422" s="1">
        <f ca="1">IFERROR(__xludf.DUMMYFUNCTION("""COMPUTED_VALUE"""),38.55)</f>
        <v>38.549999999999997</v>
      </c>
      <c r="C422" s="1">
        <f ca="1">IFERROR(__xludf.DUMMYFUNCTION("""COMPUTED_VALUE"""),38.6)</f>
        <v>38.6</v>
      </c>
      <c r="D422" s="1">
        <f ca="1">IFERROR(__xludf.DUMMYFUNCTION("""COMPUTED_VALUE"""),38.34)</f>
        <v>38.340000000000003</v>
      </c>
      <c r="E422" s="1">
        <f ca="1">IFERROR(__xludf.DUMMYFUNCTION("""COMPUTED_VALUE"""),38.53)</f>
        <v>38.53</v>
      </c>
      <c r="F422" s="1">
        <f ca="1">IFERROR(__xludf.DUMMYFUNCTION("""COMPUTED_VALUE"""),1792271)</f>
        <v>1792271</v>
      </c>
    </row>
    <row r="423" spans="1:6" x14ac:dyDescent="0.35">
      <c r="A423" s="2">
        <f ca="1">IFERROR(__xludf.DUMMYFUNCTION("""COMPUTED_VALUE"""),42615.6666666666)</f>
        <v>42615.666666666599</v>
      </c>
      <c r="B423" s="1">
        <f ca="1">IFERROR(__xludf.DUMMYFUNCTION("""COMPUTED_VALUE"""),38.71)</f>
        <v>38.71</v>
      </c>
      <c r="C423" s="1">
        <f ca="1">IFERROR(__xludf.DUMMYFUNCTION("""COMPUTED_VALUE"""),38.8)</f>
        <v>38.799999999999997</v>
      </c>
      <c r="D423" s="1">
        <f ca="1">IFERROR(__xludf.DUMMYFUNCTION("""COMPUTED_VALUE"""),38.59)</f>
        <v>38.590000000000003</v>
      </c>
      <c r="E423" s="1">
        <f ca="1">IFERROR(__xludf.DUMMYFUNCTION("""COMPUTED_VALUE"""),38.62)</f>
        <v>38.619999999999997</v>
      </c>
      <c r="F423" s="1">
        <f ca="1">IFERROR(__xludf.DUMMYFUNCTION("""COMPUTED_VALUE"""),2181792)</f>
        <v>2181792</v>
      </c>
    </row>
    <row r="424" spans="1:6" x14ac:dyDescent="0.35">
      <c r="A424" s="2">
        <f ca="1">IFERROR(__xludf.DUMMYFUNCTION("""COMPUTED_VALUE"""),42619.6666666666)</f>
        <v>42619.666666666599</v>
      </c>
      <c r="B424" s="1">
        <f ca="1">IFERROR(__xludf.DUMMYFUNCTION("""COMPUTED_VALUE"""),38.7)</f>
        <v>38.700000000000003</v>
      </c>
      <c r="C424" s="1">
        <f ca="1">IFERROR(__xludf.DUMMYFUNCTION("""COMPUTED_VALUE"""),39.47)</f>
        <v>39.47</v>
      </c>
      <c r="D424" s="1">
        <f ca="1">IFERROR(__xludf.DUMMYFUNCTION("""COMPUTED_VALUE"""),38.51)</f>
        <v>38.51</v>
      </c>
      <c r="E424" s="1">
        <f ca="1">IFERROR(__xludf.DUMMYFUNCTION("""COMPUTED_VALUE"""),39.44)</f>
        <v>39.44</v>
      </c>
      <c r="F424" s="1">
        <f ca="1">IFERROR(__xludf.DUMMYFUNCTION("""COMPUTED_VALUE"""),3719788)</f>
        <v>3719788</v>
      </c>
    </row>
    <row r="425" spans="1:6" x14ac:dyDescent="0.35">
      <c r="A425" s="2">
        <f ca="1">IFERROR(__xludf.DUMMYFUNCTION("""COMPUTED_VALUE"""),42620.6666666666)</f>
        <v>42620.666666666599</v>
      </c>
      <c r="B425" s="1">
        <f ca="1">IFERROR(__xludf.DUMMYFUNCTION("""COMPUTED_VALUE"""),39.48)</f>
        <v>39.479999999999997</v>
      </c>
      <c r="C425" s="1">
        <f ca="1">IFERROR(__xludf.DUMMYFUNCTION("""COMPUTED_VALUE"""),39.54)</f>
        <v>39.54</v>
      </c>
      <c r="D425" s="1">
        <f ca="1">IFERROR(__xludf.DUMMYFUNCTION("""COMPUTED_VALUE"""),39.22)</f>
        <v>39.22</v>
      </c>
      <c r="E425" s="1">
        <f ca="1">IFERROR(__xludf.DUMMYFUNCTION("""COMPUTED_VALUE"""),39.22)</f>
        <v>39.22</v>
      </c>
      <c r="F425" s="1">
        <f ca="1">IFERROR(__xludf.DUMMYFUNCTION("""COMPUTED_VALUE"""),2424622)</f>
        <v>2424622</v>
      </c>
    </row>
    <row r="426" spans="1:6" x14ac:dyDescent="0.35">
      <c r="A426" s="2">
        <f ca="1">IFERROR(__xludf.DUMMYFUNCTION("""COMPUTED_VALUE"""),42621.6666666666)</f>
        <v>42621.666666666599</v>
      </c>
      <c r="B426" s="1">
        <f ca="1">IFERROR(__xludf.DUMMYFUNCTION("""COMPUTED_VALUE"""),39.19)</f>
        <v>39.19</v>
      </c>
      <c r="C426" s="1">
        <f ca="1">IFERROR(__xludf.DUMMYFUNCTION("""COMPUTED_VALUE"""),39.33)</f>
        <v>39.33</v>
      </c>
      <c r="D426" s="1">
        <f ca="1">IFERROR(__xludf.DUMMYFUNCTION("""COMPUTED_VALUE"""),39.07)</f>
        <v>39.07</v>
      </c>
      <c r="E426" s="1">
        <f ca="1">IFERROR(__xludf.DUMMYFUNCTION("""COMPUTED_VALUE"""),39.2)</f>
        <v>39.200000000000003</v>
      </c>
      <c r="F426" s="1">
        <f ca="1">IFERROR(__xludf.DUMMYFUNCTION("""COMPUTED_VALUE"""),2030511)</f>
        <v>2030511</v>
      </c>
    </row>
    <row r="427" spans="1:6" x14ac:dyDescent="0.35">
      <c r="A427" s="2">
        <f ca="1">IFERROR(__xludf.DUMMYFUNCTION("""COMPUTED_VALUE"""),42622.6666666666)</f>
        <v>42622.666666666599</v>
      </c>
      <c r="B427" s="1">
        <f ca="1">IFERROR(__xludf.DUMMYFUNCTION("""COMPUTED_VALUE"""),38.97)</f>
        <v>38.97</v>
      </c>
      <c r="C427" s="1">
        <f ca="1">IFERROR(__xludf.DUMMYFUNCTION("""COMPUTED_VALUE"""),39.05)</f>
        <v>39.049999999999997</v>
      </c>
      <c r="D427" s="1">
        <f ca="1">IFERROR(__xludf.DUMMYFUNCTION("""COMPUTED_VALUE"""),38.01)</f>
        <v>38.01</v>
      </c>
      <c r="E427" s="1">
        <f ca="1">IFERROR(__xludf.DUMMYFUNCTION("""COMPUTED_VALUE"""),38.01)</f>
        <v>38.01</v>
      </c>
      <c r="F427" s="1">
        <f ca="1">IFERROR(__xludf.DUMMYFUNCTION("""COMPUTED_VALUE"""),4257344)</f>
        <v>4257344</v>
      </c>
    </row>
    <row r="428" spans="1:6" x14ac:dyDescent="0.35">
      <c r="A428" s="2">
        <f ca="1">IFERROR(__xludf.DUMMYFUNCTION("""COMPUTED_VALUE"""),42625.6666666666)</f>
        <v>42625.666666666599</v>
      </c>
      <c r="B428" s="1">
        <f ca="1">IFERROR(__xludf.DUMMYFUNCTION("""COMPUTED_VALUE"""),37.87)</f>
        <v>37.869999999999997</v>
      </c>
      <c r="C428" s="1">
        <f ca="1">IFERROR(__xludf.DUMMYFUNCTION("""COMPUTED_VALUE"""),38.63)</f>
        <v>38.630000000000003</v>
      </c>
      <c r="D428" s="1">
        <f ca="1">IFERROR(__xludf.DUMMYFUNCTION("""COMPUTED_VALUE"""),37.8)</f>
        <v>37.799999999999997</v>
      </c>
      <c r="E428" s="1">
        <f ca="1">IFERROR(__xludf.DUMMYFUNCTION("""COMPUTED_VALUE"""),38.57)</f>
        <v>38.57</v>
      </c>
      <c r="F428" s="1">
        <f ca="1">IFERROR(__xludf.DUMMYFUNCTION("""COMPUTED_VALUE"""),3124704)</f>
        <v>3124704</v>
      </c>
    </row>
    <row r="429" spans="1:6" x14ac:dyDescent="0.35">
      <c r="A429" s="2">
        <f ca="1">IFERROR(__xludf.DUMMYFUNCTION("""COMPUTED_VALUE"""),42626.6666666666)</f>
        <v>42626.666666666599</v>
      </c>
      <c r="B429" s="1">
        <f ca="1">IFERROR(__xludf.DUMMYFUNCTION("""COMPUTED_VALUE"""),38.44)</f>
        <v>38.44</v>
      </c>
      <c r="C429" s="1">
        <f ca="1">IFERROR(__xludf.DUMMYFUNCTION("""COMPUTED_VALUE"""),38.49)</f>
        <v>38.49</v>
      </c>
      <c r="D429" s="1">
        <f ca="1">IFERROR(__xludf.DUMMYFUNCTION("""COMPUTED_VALUE"""),37.95)</f>
        <v>37.950000000000003</v>
      </c>
      <c r="E429" s="1">
        <f ca="1">IFERROR(__xludf.DUMMYFUNCTION("""COMPUTED_VALUE"""),38.05)</f>
        <v>38.049999999999997</v>
      </c>
      <c r="F429" s="1">
        <f ca="1">IFERROR(__xludf.DUMMYFUNCTION("""COMPUTED_VALUE"""),3117224)</f>
        <v>3117224</v>
      </c>
    </row>
    <row r="430" spans="1:6" x14ac:dyDescent="0.35">
      <c r="A430" s="2">
        <f ca="1">IFERROR(__xludf.DUMMYFUNCTION("""COMPUTED_VALUE"""),42627.6666666666)</f>
        <v>42627.666666666599</v>
      </c>
      <c r="B430" s="1">
        <f ca="1">IFERROR(__xludf.DUMMYFUNCTION("""COMPUTED_VALUE"""),38.11)</f>
        <v>38.11</v>
      </c>
      <c r="C430" s="1">
        <f ca="1">IFERROR(__xludf.DUMMYFUNCTION("""COMPUTED_VALUE"""),38.38)</f>
        <v>38.380000000000003</v>
      </c>
      <c r="D430" s="1">
        <f ca="1">IFERROR(__xludf.DUMMYFUNCTION("""COMPUTED_VALUE"""),37.94)</f>
        <v>37.94</v>
      </c>
      <c r="E430" s="1">
        <f ca="1">IFERROR(__xludf.DUMMYFUNCTION("""COMPUTED_VALUE"""),38.05)</f>
        <v>38.049999999999997</v>
      </c>
      <c r="F430" s="1">
        <f ca="1">IFERROR(__xludf.DUMMYFUNCTION("""COMPUTED_VALUE"""),2531822)</f>
        <v>2531822</v>
      </c>
    </row>
    <row r="431" spans="1:6" x14ac:dyDescent="0.35">
      <c r="A431" s="2">
        <f ca="1">IFERROR(__xludf.DUMMYFUNCTION("""COMPUTED_VALUE"""),42628.6666666666)</f>
        <v>42628.666666666599</v>
      </c>
      <c r="B431" s="1">
        <f ca="1">IFERROR(__xludf.DUMMYFUNCTION("""COMPUTED_VALUE"""),38.1)</f>
        <v>38.1</v>
      </c>
      <c r="C431" s="1">
        <f ca="1">IFERROR(__xludf.DUMMYFUNCTION("""COMPUTED_VALUE"""),38.54)</f>
        <v>38.54</v>
      </c>
      <c r="D431" s="1">
        <f ca="1">IFERROR(__xludf.DUMMYFUNCTION("""COMPUTED_VALUE"""),37.88)</f>
        <v>37.880000000000003</v>
      </c>
      <c r="E431" s="1">
        <f ca="1">IFERROR(__xludf.DUMMYFUNCTION("""COMPUTED_VALUE"""),38.48)</f>
        <v>38.479999999999997</v>
      </c>
      <c r="F431" s="1">
        <f ca="1">IFERROR(__xludf.DUMMYFUNCTION("""COMPUTED_VALUE"""),3043534)</f>
        <v>3043534</v>
      </c>
    </row>
    <row r="432" spans="1:6" x14ac:dyDescent="0.35">
      <c r="A432" s="2">
        <f ca="1">IFERROR(__xludf.DUMMYFUNCTION("""COMPUTED_VALUE"""),42629.6666666666)</f>
        <v>42629.666666666599</v>
      </c>
      <c r="B432" s="1">
        <f ca="1">IFERROR(__xludf.DUMMYFUNCTION("""COMPUTED_VALUE"""),38.66)</f>
        <v>38.659999999999997</v>
      </c>
      <c r="C432" s="1">
        <f ca="1">IFERROR(__xludf.DUMMYFUNCTION("""COMPUTED_VALUE"""),39.02)</f>
        <v>39.020000000000003</v>
      </c>
      <c r="D432" s="1">
        <f ca="1">IFERROR(__xludf.DUMMYFUNCTION("""COMPUTED_VALUE"""),38.58)</f>
        <v>38.58</v>
      </c>
      <c r="E432" s="1">
        <f ca="1">IFERROR(__xludf.DUMMYFUNCTION("""COMPUTED_VALUE"""),38.93)</f>
        <v>38.93</v>
      </c>
      <c r="F432" s="1">
        <f ca="1">IFERROR(__xludf.DUMMYFUNCTION("""COMPUTED_VALUE"""),5499182)</f>
        <v>5499182</v>
      </c>
    </row>
    <row r="433" spans="1:6" x14ac:dyDescent="0.35">
      <c r="A433" s="2">
        <f ca="1">IFERROR(__xludf.DUMMYFUNCTION("""COMPUTED_VALUE"""),42632.6666666666)</f>
        <v>42632.666666666599</v>
      </c>
      <c r="B433" s="1">
        <f ca="1">IFERROR(__xludf.DUMMYFUNCTION("""COMPUTED_VALUE"""),39)</f>
        <v>39</v>
      </c>
      <c r="C433" s="1">
        <f ca="1">IFERROR(__xludf.DUMMYFUNCTION("""COMPUTED_VALUE"""),39.1)</f>
        <v>39.1</v>
      </c>
      <c r="D433" s="1">
        <f ca="1">IFERROR(__xludf.DUMMYFUNCTION("""COMPUTED_VALUE"""),38.55)</f>
        <v>38.549999999999997</v>
      </c>
      <c r="E433" s="1">
        <f ca="1">IFERROR(__xludf.DUMMYFUNCTION("""COMPUTED_VALUE"""),38.76)</f>
        <v>38.76</v>
      </c>
      <c r="F433" s="1">
        <f ca="1">IFERROR(__xludf.DUMMYFUNCTION("""COMPUTED_VALUE"""),2297221)</f>
        <v>2297221</v>
      </c>
    </row>
    <row r="434" spans="1:6" x14ac:dyDescent="0.35">
      <c r="A434" s="2">
        <f ca="1">IFERROR(__xludf.DUMMYFUNCTION("""COMPUTED_VALUE"""),42633.6666666666)</f>
        <v>42633.666666666599</v>
      </c>
      <c r="B434" s="1">
        <f ca="1">IFERROR(__xludf.DUMMYFUNCTION("""COMPUTED_VALUE"""),38.8)</f>
        <v>38.799999999999997</v>
      </c>
      <c r="C434" s="1">
        <f ca="1">IFERROR(__xludf.DUMMYFUNCTION("""COMPUTED_VALUE"""),39.07)</f>
        <v>39.07</v>
      </c>
      <c r="D434" s="1">
        <f ca="1">IFERROR(__xludf.DUMMYFUNCTION("""COMPUTED_VALUE"""),38.8)</f>
        <v>38.799999999999997</v>
      </c>
      <c r="E434" s="1">
        <f ca="1">IFERROR(__xludf.DUMMYFUNCTION("""COMPUTED_VALUE"""),39.01)</f>
        <v>39.01</v>
      </c>
      <c r="F434" s="1">
        <f ca="1">IFERROR(__xludf.DUMMYFUNCTION("""COMPUTED_VALUE"""),1937164)</f>
        <v>1937164</v>
      </c>
    </row>
    <row r="435" spans="1:6" x14ac:dyDescent="0.35">
      <c r="A435" s="2">
        <f ca="1">IFERROR(__xludf.DUMMYFUNCTION("""COMPUTED_VALUE"""),42634.6666666666)</f>
        <v>42634.666666666599</v>
      </c>
      <c r="B435" s="1">
        <f ca="1">IFERROR(__xludf.DUMMYFUNCTION("""COMPUTED_VALUE"""),39.16)</f>
        <v>39.159999999999997</v>
      </c>
      <c r="C435" s="1">
        <f ca="1">IFERROR(__xludf.DUMMYFUNCTION("""COMPUTED_VALUE"""),39.53)</f>
        <v>39.53</v>
      </c>
      <c r="D435" s="1">
        <f ca="1">IFERROR(__xludf.DUMMYFUNCTION("""COMPUTED_VALUE"""),38.95)</f>
        <v>38.950000000000003</v>
      </c>
      <c r="E435" s="1">
        <f ca="1">IFERROR(__xludf.DUMMYFUNCTION("""COMPUTED_VALUE"""),39.49)</f>
        <v>39.49</v>
      </c>
      <c r="F435" s="1">
        <f ca="1">IFERROR(__xludf.DUMMYFUNCTION("""COMPUTED_VALUE"""),2718644)</f>
        <v>2718644</v>
      </c>
    </row>
    <row r="436" spans="1:6" x14ac:dyDescent="0.35">
      <c r="A436" s="2">
        <f ca="1">IFERROR(__xludf.DUMMYFUNCTION("""COMPUTED_VALUE"""),42635.6666666666)</f>
        <v>42635.666666666599</v>
      </c>
      <c r="B436" s="1">
        <f ca="1">IFERROR(__xludf.DUMMYFUNCTION("""COMPUTED_VALUE"""),39.71)</f>
        <v>39.71</v>
      </c>
      <c r="C436" s="1">
        <f ca="1">IFERROR(__xludf.DUMMYFUNCTION("""COMPUTED_VALUE"""),40.29)</f>
        <v>40.29</v>
      </c>
      <c r="D436" s="1">
        <f ca="1">IFERROR(__xludf.DUMMYFUNCTION("""COMPUTED_VALUE"""),39.71)</f>
        <v>39.71</v>
      </c>
      <c r="E436" s="1">
        <f ca="1">IFERROR(__xludf.DUMMYFUNCTION("""COMPUTED_VALUE"""),40.24)</f>
        <v>40.24</v>
      </c>
      <c r="F436" s="1">
        <f ca="1">IFERROR(__xludf.DUMMYFUNCTION("""COMPUTED_VALUE"""),4078910)</f>
        <v>4078910</v>
      </c>
    </row>
    <row r="437" spans="1:6" x14ac:dyDescent="0.35">
      <c r="A437" s="2">
        <f ca="1">IFERROR(__xludf.DUMMYFUNCTION("""COMPUTED_VALUE"""),42636.6666666666)</f>
        <v>42636.666666666599</v>
      </c>
      <c r="B437" s="1">
        <f ca="1">IFERROR(__xludf.DUMMYFUNCTION("""COMPUTED_VALUE"""),40.16)</f>
        <v>40.159999999999997</v>
      </c>
      <c r="C437" s="1">
        <f ca="1">IFERROR(__xludf.DUMMYFUNCTION("""COMPUTED_VALUE"""),40.39)</f>
        <v>40.39</v>
      </c>
      <c r="D437" s="1">
        <f ca="1">IFERROR(__xludf.DUMMYFUNCTION("""COMPUTED_VALUE"""),40.11)</f>
        <v>40.11</v>
      </c>
      <c r="E437" s="1">
        <f ca="1">IFERROR(__xludf.DUMMYFUNCTION("""COMPUTED_VALUE"""),40.29)</f>
        <v>40.29</v>
      </c>
      <c r="F437" s="1">
        <f ca="1">IFERROR(__xludf.DUMMYFUNCTION("""COMPUTED_VALUE"""),2353511)</f>
        <v>2353511</v>
      </c>
    </row>
    <row r="438" spans="1:6" x14ac:dyDescent="0.35">
      <c r="A438" s="2">
        <f ca="1">IFERROR(__xludf.DUMMYFUNCTION("""COMPUTED_VALUE"""),42639.6666666666)</f>
        <v>42639.666666666599</v>
      </c>
      <c r="B438" s="1">
        <f ca="1">IFERROR(__xludf.DUMMYFUNCTION("""COMPUTED_VALUE"""),40.09)</f>
        <v>40.090000000000003</v>
      </c>
      <c r="C438" s="1">
        <f ca="1">IFERROR(__xludf.DUMMYFUNCTION("""COMPUTED_VALUE"""),40.3)</f>
        <v>40.299999999999997</v>
      </c>
      <c r="D438" s="1">
        <f ca="1">IFERROR(__xludf.DUMMYFUNCTION("""COMPUTED_VALUE"""),39.86)</f>
        <v>39.86</v>
      </c>
      <c r="E438" s="1">
        <f ca="1">IFERROR(__xludf.DUMMYFUNCTION("""COMPUTED_VALUE"""),39.96)</f>
        <v>39.96</v>
      </c>
      <c r="F438" s="1">
        <f ca="1">IFERROR(__xludf.DUMMYFUNCTION("""COMPUTED_VALUE"""),2651397)</f>
        <v>2651397</v>
      </c>
    </row>
    <row r="439" spans="1:6" x14ac:dyDescent="0.35">
      <c r="A439" s="2">
        <f ca="1">IFERROR(__xludf.DUMMYFUNCTION("""COMPUTED_VALUE"""),42640.6666666666)</f>
        <v>42640.666666666599</v>
      </c>
      <c r="B439" s="1">
        <f ca="1">IFERROR(__xludf.DUMMYFUNCTION("""COMPUTED_VALUE"""),40.09)</f>
        <v>40.090000000000003</v>
      </c>
      <c r="C439" s="1">
        <f ca="1">IFERROR(__xludf.DUMMYFUNCTION("""COMPUTED_VALUE"""),40.83)</f>
        <v>40.83</v>
      </c>
      <c r="D439" s="1">
        <f ca="1">IFERROR(__xludf.DUMMYFUNCTION("""COMPUTED_VALUE"""),40.06)</f>
        <v>40.06</v>
      </c>
      <c r="E439" s="1">
        <f ca="1">IFERROR(__xludf.DUMMYFUNCTION("""COMPUTED_VALUE"""),40.81)</f>
        <v>40.81</v>
      </c>
      <c r="F439" s="1">
        <f ca="1">IFERROR(__xludf.DUMMYFUNCTION("""COMPUTED_VALUE"""),3819600)</f>
        <v>3819600</v>
      </c>
    </row>
    <row r="440" spans="1:6" x14ac:dyDescent="0.35">
      <c r="A440" s="2">
        <f ca="1">IFERROR(__xludf.DUMMYFUNCTION("""COMPUTED_VALUE"""),42641.6666666666)</f>
        <v>42641.666666666599</v>
      </c>
      <c r="B440" s="1">
        <f ca="1">IFERROR(__xludf.DUMMYFUNCTION("""COMPUTED_VALUE"""),40.9)</f>
        <v>40.9</v>
      </c>
      <c r="C440" s="1">
        <f ca="1">IFERROR(__xludf.DUMMYFUNCTION("""COMPUTED_VALUE"""),41.51)</f>
        <v>41.51</v>
      </c>
      <c r="D440" s="1">
        <f ca="1">IFERROR(__xludf.DUMMYFUNCTION("""COMPUTED_VALUE"""),40.85)</f>
        <v>40.85</v>
      </c>
      <c r="E440" s="1">
        <f ca="1">IFERROR(__xludf.DUMMYFUNCTION("""COMPUTED_VALUE"""),41.44)</f>
        <v>41.44</v>
      </c>
      <c r="F440" s="1">
        <f ca="1">IFERROR(__xludf.DUMMYFUNCTION("""COMPUTED_VALUE"""),4422078)</f>
        <v>4422078</v>
      </c>
    </row>
    <row r="441" spans="1:6" x14ac:dyDescent="0.35">
      <c r="A441" s="2">
        <f ca="1">IFERROR(__xludf.DUMMYFUNCTION("""COMPUTED_VALUE"""),42642.6666666666)</f>
        <v>42642.666666666599</v>
      </c>
      <c r="B441" s="1">
        <f ca="1">IFERROR(__xludf.DUMMYFUNCTION("""COMPUTED_VALUE"""),41.41)</f>
        <v>41.41</v>
      </c>
      <c r="C441" s="1">
        <f ca="1">IFERROR(__xludf.DUMMYFUNCTION("""COMPUTED_VALUE"""),41.88)</f>
        <v>41.88</v>
      </c>
      <c r="D441" s="1">
        <f ca="1">IFERROR(__xludf.DUMMYFUNCTION("""COMPUTED_VALUE"""),41.23)</f>
        <v>41.23</v>
      </c>
      <c r="E441" s="1">
        <f ca="1">IFERROR(__xludf.DUMMYFUNCTION("""COMPUTED_VALUE"""),41.45)</f>
        <v>41.45</v>
      </c>
      <c r="F441" s="1">
        <f ca="1">IFERROR(__xludf.DUMMYFUNCTION("""COMPUTED_VALUE"""),4922248)</f>
        <v>4922248</v>
      </c>
    </row>
    <row r="442" spans="1:6" x14ac:dyDescent="0.35">
      <c r="A442" s="2">
        <f ca="1">IFERROR(__xludf.DUMMYFUNCTION("""COMPUTED_VALUE"""),42643.6666666666)</f>
        <v>42643.666666666599</v>
      </c>
      <c r="B442" s="1">
        <f ca="1">IFERROR(__xludf.DUMMYFUNCTION("""COMPUTED_VALUE"""),41.63)</f>
        <v>41.63</v>
      </c>
      <c r="C442" s="1">
        <f ca="1">IFERROR(__xludf.DUMMYFUNCTION("""COMPUTED_VALUE"""),42)</f>
        <v>42</v>
      </c>
      <c r="D442" s="1">
        <f ca="1">IFERROR(__xludf.DUMMYFUNCTION("""COMPUTED_VALUE"""),41.62)</f>
        <v>41.62</v>
      </c>
      <c r="E442" s="1">
        <f ca="1">IFERROR(__xludf.DUMMYFUNCTION("""COMPUTED_VALUE"""),41.87)</f>
        <v>41.87</v>
      </c>
      <c r="F442" s="1">
        <f ca="1">IFERROR(__xludf.DUMMYFUNCTION("""COMPUTED_VALUE"""),4430566)</f>
        <v>4430566</v>
      </c>
    </row>
    <row r="443" spans="1:6" x14ac:dyDescent="0.35">
      <c r="A443" s="2">
        <f ca="1">IFERROR(__xludf.DUMMYFUNCTION("""COMPUTED_VALUE"""),42646.6666666666)</f>
        <v>42646.666666666599</v>
      </c>
      <c r="B443" s="1">
        <f ca="1">IFERROR(__xludf.DUMMYFUNCTION("""COMPUTED_VALUE"""),41.8)</f>
        <v>41.8</v>
      </c>
      <c r="C443" s="1">
        <f ca="1">IFERROR(__xludf.DUMMYFUNCTION("""COMPUTED_VALUE"""),41.99)</f>
        <v>41.99</v>
      </c>
      <c r="D443" s="1">
        <f ca="1">IFERROR(__xludf.DUMMYFUNCTION("""COMPUTED_VALUE"""),41.56)</f>
        <v>41.56</v>
      </c>
      <c r="E443" s="1">
        <f ca="1">IFERROR(__xludf.DUMMYFUNCTION("""COMPUTED_VALUE"""),41.84)</f>
        <v>41.84</v>
      </c>
      <c r="F443" s="1">
        <f ca="1">IFERROR(__xludf.DUMMYFUNCTION("""COMPUTED_VALUE"""),2769448)</f>
        <v>2769448</v>
      </c>
    </row>
    <row r="444" spans="1:6" x14ac:dyDescent="0.35">
      <c r="A444" s="2">
        <f ca="1">IFERROR(__xludf.DUMMYFUNCTION("""COMPUTED_VALUE"""),42647.6666666666)</f>
        <v>42647.666666666599</v>
      </c>
      <c r="B444" s="1">
        <f ca="1">IFERROR(__xludf.DUMMYFUNCTION("""COMPUTED_VALUE"""),42.05)</f>
        <v>42.05</v>
      </c>
      <c r="C444" s="1">
        <f ca="1">IFERROR(__xludf.DUMMYFUNCTION("""COMPUTED_VALUE"""),42.12)</f>
        <v>42.12</v>
      </c>
      <c r="D444" s="1">
        <f ca="1">IFERROR(__xludf.DUMMYFUNCTION("""COMPUTED_VALUE"""),41.51)</f>
        <v>41.51</v>
      </c>
      <c r="E444" s="1">
        <f ca="1">IFERROR(__xludf.DUMMYFUNCTION("""COMPUTED_VALUE"""),41.7)</f>
        <v>41.7</v>
      </c>
      <c r="F444" s="1">
        <f ca="1">IFERROR(__xludf.DUMMYFUNCTION("""COMPUTED_VALUE"""),2950314)</f>
        <v>2950314</v>
      </c>
    </row>
    <row r="445" spans="1:6" x14ac:dyDescent="0.35">
      <c r="A445" s="2">
        <f ca="1">IFERROR(__xludf.DUMMYFUNCTION("""COMPUTED_VALUE"""),42648.6666666666)</f>
        <v>42648.666666666599</v>
      </c>
      <c r="B445" s="1">
        <f ca="1">IFERROR(__xludf.DUMMYFUNCTION("""COMPUTED_VALUE"""),41.9)</f>
        <v>41.9</v>
      </c>
      <c r="C445" s="1">
        <f ca="1">IFERROR(__xludf.DUMMYFUNCTION("""COMPUTED_VALUE"""),42.28)</f>
        <v>42.28</v>
      </c>
      <c r="D445" s="1">
        <f ca="1">IFERROR(__xludf.DUMMYFUNCTION("""COMPUTED_VALUE"""),41.81)</f>
        <v>41.81</v>
      </c>
      <c r="E445" s="1">
        <f ca="1">IFERROR(__xludf.DUMMYFUNCTION("""COMPUTED_VALUE"""),42.22)</f>
        <v>42.22</v>
      </c>
      <c r="F445" s="1">
        <f ca="1">IFERROR(__xludf.DUMMYFUNCTION("""COMPUTED_VALUE"""),3469055)</f>
        <v>3469055</v>
      </c>
    </row>
    <row r="446" spans="1:6" x14ac:dyDescent="0.35">
      <c r="A446" s="2">
        <f ca="1">IFERROR(__xludf.DUMMYFUNCTION("""COMPUTED_VALUE"""),42649.6666666666)</f>
        <v>42649.666666666599</v>
      </c>
      <c r="B446" s="1">
        <f ca="1">IFERROR(__xludf.DUMMYFUNCTION("""COMPUTED_VALUE"""),42.19)</f>
        <v>42.19</v>
      </c>
      <c r="C446" s="1">
        <f ca="1">IFERROR(__xludf.DUMMYFUNCTION("""COMPUTED_VALUE"""),42.36)</f>
        <v>42.36</v>
      </c>
      <c r="D446" s="1">
        <f ca="1">IFERROR(__xludf.DUMMYFUNCTION("""COMPUTED_VALUE"""),42.03)</f>
        <v>42.03</v>
      </c>
      <c r="E446" s="1">
        <f ca="1">IFERROR(__xludf.DUMMYFUNCTION("""COMPUTED_VALUE"""),42.08)</f>
        <v>42.08</v>
      </c>
      <c r="F446" s="1">
        <f ca="1">IFERROR(__xludf.DUMMYFUNCTION("""COMPUTED_VALUE"""),2684013)</f>
        <v>2684013</v>
      </c>
    </row>
    <row r="447" spans="1:6" x14ac:dyDescent="0.35">
      <c r="A447" s="2">
        <f ca="1">IFERROR(__xludf.DUMMYFUNCTION("""COMPUTED_VALUE"""),42650.6666666666)</f>
        <v>42650.666666666599</v>
      </c>
      <c r="B447" s="1">
        <f ca="1">IFERROR(__xludf.DUMMYFUNCTION("""COMPUTED_VALUE"""),42.29)</f>
        <v>42.29</v>
      </c>
      <c r="C447" s="1">
        <f ca="1">IFERROR(__xludf.DUMMYFUNCTION("""COMPUTED_VALUE"""),42.3)</f>
        <v>42.3</v>
      </c>
      <c r="D447" s="1">
        <f ca="1">IFERROR(__xludf.DUMMYFUNCTION("""COMPUTED_VALUE"""),41.87)</f>
        <v>41.87</v>
      </c>
      <c r="E447" s="1">
        <f ca="1">IFERROR(__xludf.DUMMYFUNCTION("""COMPUTED_VALUE"""),41.97)</f>
        <v>41.97</v>
      </c>
      <c r="F447" s="1">
        <f ca="1">IFERROR(__xludf.DUMMYFUNCTION("""COMPUTED_VALUE"""),2426228)</f>
        <v>2426228</v>
      </c>
    </row>
    <row r="448" spans="1:6" x14ac:dyDescent="0.35">
      <c r="A448" s="2">
        <f ca="1">IFERROR(__xludf.DUMMYFUNCTION("""COMPUTED_VALUE"""),42653.6666666666)</f>
        <v>42653.666666666599</v>
      </c>
      <c r="B448" s="1">
        <f ca="1">IFERROR(__xludf.DUMMYFUNCTION("""COMPUTED_VALUE"""),42.16)</f>
        <v>42.16</v>
      </c>
      <c r="C448" s="1">
        <f ca="1">IFERROR(__xludf.DUMMYFUNCTION("""COMPUTED_VALUE"""),42.26)</f>
        <v>42.26</v>
      </c>
      <c r="D448" s="1">
        <f ca="1">IFERROR(__xludf.DUMMYFUNCTION("""COMPUTED_VALUE"""),42.01)</f>
        <v>42.01</v>
      </c>
      <c r="E448" s="1">
        <f ca="1">IFERROR(__xludf.DUMMYFUNCTION("""COMPUTED_VALUE"""),42.09)</f>
        <v>42.09</v>
      </c>
      <c r="F448" s="1">
        <f ca="1">IFERROR(__xludf.DUMMYFUNCTION("""COMPUTED_VALUE"""),1827143)</f>
        <v>1827143</v>
      </c>
    </row>
    <row r="449" spans="1:6" x14ac:dyDescent="0.35">
      <c r="A449" s="2">
        <f ca="1">IFERROR(__xludf.DUMMYFUNCTION("""COMPUTED_VALUE"""),42654.6666666666)</f>
        <v>42654.666666666599</v>
      </c>
      <c r="B449" s="1">
        <f ca="1">IFERROR(__xludf.DUMMYFUNCTION("""COMPUTED_VALUE"""),42.05)</f>
        <v>42.05</v>
      </c>
      <c r="C449" s="1">
        <f ca="1">IFERROR(__xludf.DUMMYFUNCTION("""COMPUTED_VALUE"""),42.06)</f>
        <v>42.06</v>
      </c>
      <c r="D449" s="1">
        <f ca="1">IFERROR(__xludf.DUMMYFUNCTION("""COMPUTED_VALUE"""),41.42)</f>
        <v>41.42</v>
      </c>
      <c r="E449" s="1">
        <f ca="1">IFERROR(__xludf.DUMMYFUNCTION("""COMPUTED_VALUE"""),41.55)</f>
        <v>41.55</v>
      </c>
      <c r="F449" s="1">
        <f ca="1">IFERROR(__xludf.DUMMYFUNCTION("""COMPUTED_VALUE"""),3588180)</f>
        <v>3588180</v>
      </c>
    </row>
    <row r="450" spans="1:6" x14ac:dyDescent="0.35">
      <c r="A450" s="2">
        <f ca="1">IFERROR(__xludf.DUMMYFUNCTION("""COMPUTED_VALUE"""),42655.6666666666)</f>
        <v>42655.666666666599</v>
      </c>
      <c r="B450" s="1">
        <f ca="1">IFERROR(__xludf.DUMMYFUNCTION("""COMPUTED_VALUE"""),41.7)</f>
        <v>41.7</v>
      </c>
      <c r="C450" s="1">
        <f ca="1">IFERROR(__xludf.DUMMYFUNCTION("""COMPUTED_VALUE"""),41.88)</f>
        <v>41.88</v>
      </c>
      <c r="D450" s="1">
        <f ca="1">IFERROR(__xludf.DUMMYFUNCTION("""COMPUTED_VALUE"""),41.51)</f>
        <v>41.51</v>
      </c>
      <c r="E450" s="1">
        <f ca="1">IFERROR(__xludf.DUMMYFUNCTION("""COMPUTED_VALUE"""),41.7)</f>
        <v>41.7</v>
      </c>
      <c r="F450" s="1">
        <f ca="1">IFERROR(__xludf.DUMMYFUNCTION("""COMPUTED_VALUE"""),2380416)</f>
        <v>2380416</v>
      </c>
    </row>
    <row r="451" spans="1:6" x14ac:dyDescent="0.35">
      <c r="A451" s="2">
        <f ca="1">IFERROR(__xludf.DUMMYFUNCTION("""COMPUTED_VALUE"""),42656.6666666666)</f>
        <v>42656.666666666599</v>
      </c>
      <c r="B451" s="1">
        <f ca="1">IFERROR(__xludf.DUMMYFUNCTION("""COMPUTED_VALUE"""),41.45)</f>
        <v>41.45</v>
      </c>
      <c r="C451" s="1">
        <f ca="1">IFERROR(__xludf.DUMMYFUNCTION("""COMPUTED_VALUE"""),41.59)</f>
        <v>41.59</v>
      </c>
      <c r="D451" s="1">
        <f ca="1">IFERROR(__xludf.DUMMYFUNCTION("""COMPUTED_VALUE"""),41.06)</f>
        <v>41.06</v>
      </c>
      <c r="E451" s="1">
        <f ca="1">IFERROR(__xludf.DUMMYFUNCTION("""COMPUTED_VALUE"""),41.46)</f>
        <v>41.46</v>
      </c>
      <c r="F451" s="1">
        <f ca="1">IFERROR(__xludf.DUMMYFUNCTION("""COMPUTED_VALUE"""),3091387)</f>
        <v>3091387</v>
      </c>
    </row>
    <row r="452" spans="1:6" x14ac:dyDescent="0.35">
      <c r="A452" s="2">
        <f ca="1">IFERROR(__xludf.DUMMYFUNCTION("""COMPUTED_VALUE"""),42657.6666666666)</f>
        <v>42657.666666666599</v>
      </c>
      <c r="B452" s="1">
        <f ca="1">IFERROR(__xludf.DUMMYFUNCTION("""COMPUTED_VALUE"""),41.75)</f>
        <v>41.75</v>
      </c>
      <c r="C452" s="1">
        <f ca="1">IFERROR(__xludf.DUMMYFUNCTION("""COMPUTED_VALUE"""),41.79)</f>
        <v>41.79</v>
      </c>
      <c r="D452" s="1">
        <f ca="1">IFERROR(__xludf.DUMMYFUNCTION("""COMPUTED_VALUE"""),41.15)</f>
        <v>41.15</v>
      </c>
      <c r="E452" s="1">
        <f ca="1">IFERROR(__xludf.DUMMYFUNCTION("""COMPUTED_VALUE"""),41.15)</f>
        <v>41.15</v>
      </c>
      <c r="F452" s="1">
        <f ca="1">IFERROR(__xludf.DUMMYFUNCTION("""COMPUTED_VALUE"""),2999814)</f>
        <v>2999814</v>
      </c>
    </row>
    <row r="453" spans="1:6" x14ac:dyDescent="0.35">
      <c r="A453" s="2">
        <f ca="1">IFERROR(__xludf.DUMMYFUNCTION("""COMPUTED_VALUE"""),42660.6666666666)</f>
        <v>42660.666666666599</v>
      </c>
      <c r="B453" s="1">
        <f ca="1">IFERROR(__xludf.DUMMYFUNCTION("""COMPUTED_VALUE"""),41.08)</f>
        <v>41.08</v>
      </c>
      <c r="C453" s="1">
        <f ca="1">IFERROR(__xludf.DUMMYFUNCTION("""COMPUTED_VALUE"""),41.1)</f>
        <v>41.1</v>
      </c>
      <c r="D453" s="1">
        <f ca="1">IFERROR(__xludf.DUMMYFUNCTION("""COMPUTED_VALUE"""),40.58)</f>
        <v>40.58</v>
      </c>
      <c r="E453" s="1">
        <f ca="1">IFERROR(__xludf.DUMMYFUNCTION("""COMPUTED_VALUE"""),40.65)</f>
        <v>40.65</v>
      </c>
      <c r="F453" s="1">
        <f ca="1">IFERROR(__xludf.DUMMYFUNCTION("""COMPUTED_VALUE"""),3361492)</f>
        <v>3361492</v>
      </c>
    </row>
    <row r="454" spans="1:6" x14ac:dyDescent="0.35">
      <c r="A454" s="2">
        <f ca="1">IFERROR(__xludf.DUMMYFUNCTION("""COMPUTED_VALUE"""),42661.6666666666)</f>
        <v>42661.666666666599</v>
      </c>
      <c r="B454" s="1">
        <f ca="1">IFERROR(__xludf.DUMMYFUNCTION("""COMPUTED_VALUE"""),41.11)</f>
        <v>41.11</v>
      </c>
      <c r="C454" s="1">
        <f ca="1">IFERROR(__xludf.DUMMYFUNCTION("""COMPUTED_VALUE"""),41.16)</f>
        <v>41.16</v>
      </c>
      <c r="D454" s="1">
        <f ca="1">IFERROR(__xludf.DUMMYFUNCTION("""COMPUTED_VALUE"""),40.75)</f>
        <v>40.75</v>
      </c>
      <c r="E454" s="1">
        <f ca="1">IFERROR(__xludf.DUMMYFUNCTION("""COMPUTED_VALUE"""),40.88)</f>
        <v>40.880000000000003</v>
      </c>
      <c r="F454" s="1">
        <f ca="1">IFERROR(__xludf.DUMMYFUNCTION("""COMPUTED_VALUE"""),2512504)</f>
        <v>2512504</v>
      </c>
    </row>
    <row r="455" spans="1:6" x14ac:dyDescent="0.35">
      <c r="A455" s="2">
        <f ca="1">IFERROR(__xludf.DUMMYFUNCTION("""COMPUTED_VALUE"""),42662.6666666666)</f>
        <v>42662.666666666599</v>
      </c>
      <c r="B455" s="1">
        <f ca="1">IFERROR(__xludf.DUMMYFUNCTION("""COMPUTED_VALUE"""),41.02)</f>
        <v>41.02</v>
      </c>
      <c r="C455" s="1">
        <f ca="1">IFERROR(__xludf.DUMMYFUNCTION("""COMPUTED_VALUE"""),41.03)</f>
        <v>41.03</v>
      </c>
      <c r="D455" s="1">
        <f ca="1">IFERROR(__xludf.DUMMYFUNCTION("""COMPUTED_VALUE"""),40.76)</f>
        <v>40.76</v>
      </c>
      <c r="E455" s="1">
        <f ca="1">IFERROR(__xludf.DUMMYFUNCTION("""COMPUTED_VALUE"""),40.88)</f>
        <v>40.880000000000003</v>
      </c>
      <c r="F455" s="1">
        <f ca="1">IFERROR(__xludf.DUMMYFUNCTION("""COMPUTED_VALUE"""),2090706)</f>
        <v>2090706</v>
      </c>
    </row>
    <row r="456" spans="1:6" x14ac:dyDescent="0.35">
      <c r="A456" s="2">
        <f ca="1">IFERROR(__xludf.DUMMYFUNCTION("""COMPUTED_VALUE"""),42663.6666666666)</f>
        <v>42663.666666666599</v>
      </c>
      <c r="B456" s="1">
        <f ca="1">IFERROR(__xludf.DUMMYFUNCTION("""COMPUTED_VALUE"""),40.7)</f>
        <v>40.700000000000003</v>
      </c>
      <c r="C456" s="1">
        <f ca="1">IFERROR(__xludf.DUMMYFUNCTION("""COMPUTED_VALUE"""),40.79)</f>
        <v>40.79</v>
      </c>
      <c r="D456" s="1">
        <f ca="1">IFERROR(__xludf.DUMMYFUNCTION("""COMPUTED_VALUE"""),40.16)</f>
        <v>40.159999999999997</v>
      </c>
      <c r="E456" s="1">
        <f ca="1">IFERROR(__xludf.DUMMYFUNCTION("""COMPUTED_VALUE"""),40.52)</f>
        <v>40.520000000000003</v>
      </c>
      <c r="F456" s="1">
        <f ca="1">IFERROR(__xludf.DUMMYFUNCTION("""COMPUTED_VALUE"""),3151954)</f>
        <v>3151954</v>
      </c>
    </row>
    <row r="457" spans="1:6" x14ac:dyDescent="0.35">
      <c r="A457" s="2">
        <f ca="1">IFERROR(__xludf.DUMMYFUNCTION("""COMPUTED_VALUE"""),42664.6666666666)</f>
        <v>42664.666666666599</v>
      </c>
      <c r="B457" s="1">
        <f ca="1">IFERROR(__xludf.DUMMYFUNCTION("""COMPUTED_VALUE"""),40.47)</f>
        <v>40.47</v>
      </c>
      <c r="C457" s="1">
        <f ca="1">IFERROR(__xludf.DUMMYFUNCTION("""COMPUTED_VALUE"""),40.97)</f>
        <v>40.97</v>
      </c>
      <c r="D457" s="1">
        <f ca="1">IFERROR(__xludf.DUMMYFUNCTION("""COMPUTED_VALUE"""),40.45)</f>
        <v>40.450000000000003</v>
      </c>
      <c r="E457" s="1">
        <f ca="1">IFERROR(__xludf.DUMMYFUNCTION("""COMPUTED_VALUE"""),40.95)</f>
        <v>40.950000000000003</v>
      </c>
      <c r="F457" s="1">
        <f ca="1">IFERROR(__xludf.DUMMYFUNCTION("""COMPUTED_VALUE"""),2793015)</f>
        <v>2793015</v>
      </c>
    </row>
    <row r="458" spans="1:6" x14ac:dyDescent="0.35">
      <c r="A458" s="2">
        <f ca="1">IFERROR(__xludf.DUMMYFUNCTION("""COMPUTED_VALUE"""),42667.6666666666)</f>
        <v>42667.666666666599</v>
      </c>
      <c r="B458" s="1">
        <f ca="1">IFERROR(__xludf.DUMMYFUNCTION("""COMPUTED_VALUE"""),41.25)</f>
        <v>41.25</v>
      </c>
      <c r="C458" s="1">
        <f ca="1">IFERROR(__xludf.DUMMYFUNCTION("""COMPUTED_VALUE"""),41.92)</f>
        <v>41.92</v>
      </c>
      <c r="D458" s="1">
        <f ca="1">IFERROR(__xludf.DUMMYFUNCTION("""COMPUTED_VALUE"""),41.11)</f>
        <v>41.11</v>
      </c>
      <c r="E458" s="1">
        <f ca="1">IFERROR(__xludf.DUMMYFUNCTION("""COMPUTED_VALUE"""),41.9)</f>
        <v>41.9</v>
      </c>
      <c r="F458" s="1">
        <f ca="1">IFERROR(__xludf.DUMMYFUNCTION("""COMPUTED_VALUE"""),4060899)</f>
        <v>4060899</v>
      </c>
    </row>
    <row r="459" spans="1:6" x14ac:dyDescent="0.35">
      <c r="A459" s="2">
        <f ca="1">IFERROR(__xludf.DUMMYFUNCTION("""COMPUTED_VALUE"""),42668.6666666666)</f>
        <v>42668.666666666599</v>
      </c>
      <c r="B459" s="1">
        <f ca="1">IFERROR(__xludf.DUMMYFUNCTION("""COMPUTED_VALUE"""),41.97)</f>
        <v>41.97</v>
      </c>
      <c r="C459" s="1">
        <f ca="1">IFERROR(__xludf.DUMMYFUNCTION("""COMPUTED_VALUE"""),42.15)</f>
        <v>42.15</v>
      </c>
      <c r="D459" s="1">
        <f ca="1">IFERROR(__xludf.DUMMYFUNCTION("""COMPUTED_VALUE"""),41.66)</f>
        <v>41.66</v>
      </c>
      <c r="E459" s="1">
        <f ca="1">IFERROR(__xludf.DUMMYFUNCTION("""COMPUTED_VALUE"""),41.76)</f>
        <v>41.76</v>
      </c>
      <c r="F459" s="1">
        <f ca="1">IFERROR(__xludf.DUMMYFUNCTION("""COMPUTED_VALUE"""),3248358)</f>
        <v>3248358</v>
      </c>
    </row>
    <row r="460" spans="1:6" x14ac:dyDescent="0.35">
      <c r="A460" s="2">
        <f ca="1">IFERROR(__xludf.DUMMYFUNCTION("""COMPUTED_VALUE"""),42669.6666666666)</f>
        <v>42669.666666666599</v>
      </c>
      <c r="B460" s="1">
        <f ca="1">IFERROR(__xludf.DUMMYFUNCTION("""COMPUTED_VALUE"""),41.64)</f>
        <v>41.64</v>
      </c>
      <c r="C460" s="1">
        <f ca="1">IFERROR(__xludf.DUMMYFUNCTION("""COMPUTED_VALUE"""),41.67)</f>
        <v>41.67</v>
      </c>
      <c r="D460" s="1">
        <f ca="1">IFERROR(__xludf.DUMMYFUNCTION("""COMPUTED_VALUE"""),41)</f>
        <v>41</v>
      </c>
      <c r="E460" s="1">
        <f ca="1">IFERROR(__xludf.DUMMYFUNCTION("""COMPUTED_VALUE"""),41.13)</f>
        <v>41.13</v>
      </c>
      <c r="F460" s="1">
        <f ca="1">IFERROR(__xludf.DUMMYFUNCTION("""COMPUTED_VALUE"""),3998102)</f>
        <v>3998102</v>
      </c>
    </row>
    <row r="461" spans="1:6" x14ac:dyDescent="0.35">
      <c r="A461" s="2">
        <f ca="1">IFERROR(__xludf.DUMMYFUNCTION("""COMPUTED_VALUE"""),42670.6666666666)</f>
        <v>42670.666666666599</v>
      </c>
      <c r="B461" s="1">
        <f ca="1">IFERROR(__xludf.DUMMYFUNCTION("""COMPUTED_VALUE"""),41.56)</f>
        <v>41.56</v>
      </c>
      <c r="C461" s="1">
        <f ca="1">IFERROR(__xludf.DUMMYFUNCTION("""COMPUTED_VALUE"""),41.59)</f>
        <v>41.59</v>
      </c>
      <c r="D461" s="1">
        <f ca="1">IFERROR(__xludf.DUMMYFUNCTION("""COMPUTED_VALUE"""),40.77)</f>
        <v>40.770000000000003</v>
      </c>
      <c r="E461" s="1">
        <f ca="1">IFERROR(__xludf.DUMMYFUNCTION("""COMPUTED_VALUE"""),40.92)</f>
        <v>40.92</v>
      </c>
      <c r="F461" s="1">
        <f ca="1">IFERROR(__xludf.DUMMYFUNCTION("""COMPUTED_VALUE"""),7406385)</f>
        <v>7406385</v>
      </c>
    </row>
    <row r="462" spans="1:6" x14ac:dyDescent="0.35">
      <c r="A462" s="2">
        <f ca="1">IFERROR(__xludf.DUMMYFUNCTION("""COMPUTED_VALUE"""),42671.6666666666)</f>
        <v>42671.666666666599</v>
      </c>
      <c r="B462" s="1">
        <f ca="1">IFERROR(__xludf.DUMMYFUNCTION("""COMPUTED_VALUE"""),39.1)</f>
        <v>39.1</v>
      </c>
      <c r="C462" s="1">
        <f ca="1">IFERROR(__xludf.DUMMYFUNCTION("""COMPUTED_VALUE"""),39.47)</f>
        <v>39.47</v>
      </c>
      <c r="D462" s="1">
        <f ca="1">IFERROR(__xludf.DUMMYFUNCTION("""COMPUTED_VALUE"""),38.73)</f>
        <v>38.729999999999997</v>
      </c>
      <c r="E462" s="1">
        <f ca="1">IFERROR(__xludf.DUMMYFUNCTION("""COMPUTED_VALUE"""),38.82)</f>
        <v>38.82</v>
      </c>
      <c r="F462" s="1">
        <f ca="1">IFERROR(__xludf.DUMMYFUNCTION("""COMPUTED_VALUE"""),10841073)</f>
        <v>10841073</v>
      </c>
    </row>
    <row r="463" spans="1:6" x14ac:dyDescent="0.35">
      <c r="A463" s="2">
        <f ca="1">IFERROR(__xludf.DUMMYFUNCTION("""COMPUTED_VALUE"""),42674.6666666666)</f>
        <v>42674.666666666599</v>
      </c>
      <c r="B463" s="1">
        <f ca="1">IFERROR(__xludf.DUMMYFUNCTION("""COMPUTED_VALUE"""),39.05)</f>
        <v>39.049999999999997</v>
      </c>
      <c r="C463" s="1">
        <f ca="1">IFERROR(__xludf.DUMMYFUNCTION("""COMPUTED_VALUE"""),39.69)</f>
        <v>39.69</v>
      </c>
      <c r="D463" s="1">
        <f ca="1">IFERROR(__xludf.DUMMYFUNCTION("""COMPUTED_VALUE"""),39.01)</f>
        <v>39.01</v>
      </c>
      <c r="E463" s="1">
        <f ca="1">IFERROR(__xludf.DUMMYFUNCTION("""COMPUTED_VALUE"""),39.49)</f>
        <v>39.49</v>
      </c>
      <c r="F463" s="1">
        <f ca="1">IFERROR(__xludf.DUMMYFUNCTION("""COMPUTED_VALUE"""),5413326)</f>
        <v>5413326</v>
      </c>
    </row>
    <row r="464" spans="1:6" x14ac:dyDescent="0.35">
      <c r="A464" s="2">
        <f ca="1">IFERROR(__xludf.DUMMYFUNCTION("""COMPUTED_VALUE"""),42675.6666666666)</f>
        <v>42675.666666666599</v>
      </c>
      <c r="B464" s="1">
        <f ca="1">IFERROR(__xludf.DUMMYFUNCTION("""COMPUTED_VALUE"""),39.95)</f>
        <v>39.950000000000003</v>
      </c>
      <c r="C464" s="1">
        <f ca="1">IFERROR(__xludf.DUMMYFUNCTION("""COMPUTED_VALUE"""),40.04)</f>
        <v>40.04</v>
      </c>
      <c r="D464" s="1">
        <f ca="1">IFERROR(__xludf.DUMMYFUNCTION("""COMPUTED_VALUE"""),38.84)</f>
        <v>38.840000000000003</v>
      </c>
      <c r="E464" s="1">
        <f ca="1">IFERROR(__xludf.DUMMYFUNCTION("""COMPUTED_VALUE"""),39.27)</f>
        <v>39.270000000000003</v>
      </c>
      <c r="F464" s="1">
        <f ca="1">IFERROR(__xludf.DUMMYFUNCTION("""COMPUTED_VALUE"""),5305428)</f>
        <v>5305428</v>
      </c>
    </row>
    <row r="465" spans="1:6" x14ac:dyDescent="0.35">
      <c r="A465" s="2">
        <f ca="1">IFERROR(__xludf.DUMMYFUNCTION("""COMPUTED_VALUE"""),42676.6666666666)</f>
        <v>42676.666666666599</v>
      </c>
      <c r="B465" s="1">
        <f ca="1">IFERROR(__xludf.DUMMYFUNCTION("""COMPUTED_VALUE"""),39.2)</f>
        <v>39.200000000000003</v>
      </c>
      <c r="C465" s="1">
        <f ca="1">IFERROR(__xludf.DUMMYFUNCTION("""COMPUTED_VALUE"""),39.24)</f>
        <v>39.24</v>
      </c>
      <c r="D465" s="1">
        <f ca="1">IFERROR(__xludf.DUMMYFUNCTION("""COMPUTED_VALUE"""),38.18)</f>
        <v>38.18</v>
      </c>
      <c r="E465" s="1">
        <f ca="1">IFERROR(__xludf.DUMMYFUNCTION("""COMPUTED_VALUE"""),38.28)</f>
        <v>38.28</v>
      </c>
      <c r="F465" s="1">
        <f ca="1">IFERROR(__xludf.DUMMYFUNCTION("""COMPUTED_VALUE"""),5026504)</f>
        <v>5026504</v>
      </c>
    </row>
    <row r="466" spans="1:6" x14ac:dyDescent="0.35">
      <c r="A466" s="2">
        <f ca="1">IFERROR(__xludf.DUMMYFUNCTION("""COMPUTED_VALUE"""),42677.6666666666)</f>
        <v>42677.666666666599</v>
      </c>
      <c r="B466" s="1">
        <f ca="1">IFERROR(__xludf.DUMMYFUNCTION("""COMPUTED_VALUE"""),38.25)</f>
        <v>38.25</v>
      </c>
      <c r="C466" s="1">
        <f ca="1">IFERROR(__xludf.DUMMYFUNCTION("""COMPUTED_VALUE"""),38.85)</f>
        <v>38.85</v>
      </c>
      <c r="D466" s="1">
        <f ca="1">IFERROR(__xludf.DUMMYFUNCTION("""COMPUTED_VALUE"""),38.2)</f>
        <v>38.200000000000003</v>
      </c>
      <c r="E466" s="1">
        <f ca="1">IFERROR(__xludf.DUMMYFUNCTION("""COMPUTED_VALUE"""),38.35)</f>
        <v>38.35</v>
      </c>
      <c r="F466" s="1">
        <f ca="1">IFERROR(__xludf.DUMMYFUNCTION("""COMPUTED_VALUE"""),3872496)</f>
        <v>3872496</v>
      </c>
    </row>
    <row r="467" spans="1:6" x14ac:dyDescent="0.35">
      <c r="A467" s="2">
        <f ca="1">IFERROR(__xludf.DUMMYFUNCTION("""COMPUTED_VALUE"""),42678.6666666666)</f>
        <v>42678.666666666599</v>
      </c>
      <c r="B467" s="1">
        <f ca="1">IFERROR(__xludf.DUMMYFUNCTION("""COMPUTED_VALUE"""),38.14)</f>
        <v>38.14</v>
      </c>
      <c r="C467" s="1">
        <f ca="1">IFERROR(__xludf.DUMMYFUNCTION("""COMPUTED_VALUE"""),38.3)</f>
        <v>38.299999999999997</v>
      </c>
      <c r="D467" s="1">
        <f ca="1">IFERROR(__xludf.DUMMYFUNCTION("""COMPUTED_VALUE"""),37.66)</f>
        <v>37.659999999999997</v>
      </c>
      <c r="E467" s="1">
        <f ca="1">IFERROR(__xludf.DUMMYFUNCTION("""COMPUTED_VALUE"""),37.75)</f>
        <v>37.75</v>
      </c>
      <c r="F467" s="1">
        <f ca="1">IFERROR(__xludf.DUMMYFUNCTION("""COMPUTED_VALUE"""),5122103)</f>
        <v>5122103</v>
      </c>
    </row>
    <row r="468" spans="1:6" x14ac:dyDescent="0.35">
      <c r="A468" s="2">
        <f ca="1">IFERROR(__xludf.DUMMYFUNCTION("""COMPUTED_VALUE"""),42681.6666666666)</f>
        <v>42681.666666666599</v>
      </c>
      <c r="B468" s="1">
        <f ca="1">IFERROR(__xludf.DUMMYFUNCTION("""COMPUTED_VALUE"""),38.58)</f>
        <v>38.58</v>
      </c>
      <c r="C468" s="1">
        <f ca="1">IFERROR(__xludf.DUMMYFUNCTION("""COMPUTED_VALUE"""),39.39)</f>
        <v>39.39</v>
      </c>
      <c r="D468" s="1">
        <f ca="1">IFERROR(__xludf.DUMMYFUNCTION("""COMPUTED_VALUE"""),38.55)</f>
        <v>38.549999999999997</v>
      </c>
      <c r="E468" s="1">
        <f ca="1">IFERROR(__xludf.DUMMYFUNCTION("""COMPUTED_VALUE"""),39.25)</f>
        <v>39.25</v>
      </c>
      <c r="F468" s="1">
        <f ca="1">IFERROR(__xludf.DUMMYFUNCTION("""COMPUTED_VALUE"""),5984354)</f>
        <v>5984354</v>
      </c>
    </row>
    <row r="469" spans="1:6" x14ac:dyDescent="0.35">
      <c r="A469" s="2">
        <f ca="1">IFERROR(__xludf.DUMMYFUNCTION("""COMPUTED_VALUE"""),42682.6666666666)</f>
        <v>42682.666666666599</v>
      </c>
      <c r="B469" s="1">
        <f ca="1">IFERROR(__xludf.DUMMYFUNCTION("""COMPUTED_VALUE"""),39.25)</f>
        <v>39.25</v>
      </c>
      <c r="C469" s="1">
        <f ca="1">IFERROR(__xludf.DUMMYFUNCTION("""COMPUTED_VALUE"""),39.59)</f>
        <v>39.590000000000003</v>
      </c>
      <c r="D469" s="1">
        <f ca="1">IFERROR(__xludf.DUMMYFUNCTION("""COMPUTED_VALUE"""),38.96)</f>
        <v>38.96</v>
      </c>
      <c r="E469" s="1">
        <f ca="1">IFERROR(__xludf.DUMMYFUNCTION("""COMPUTED_VALUE"""),39.39)</f>
        <v>39.39</v>
      </c>
      <c r="F469" s="1">
        <f ca="1">IFERROR(__xludf.DUMMYFUNCTION("""COMPUTED_VALUE"""),3412629)</f>
        <v>3412629</v>
      </c>
    </row>
    <row r="470" spans="1:6" x14ac:dyDescent="0.35">
      <c r="A470" s="2">
        <f ca="1">IFERROR(__xludf.DUMMYFUNCTION("""COMPUTED_VALUE"""),42683.6666666666)</f>
        <v>42683.666666666599</v>
      </c>
      <c r="B470" s="1">
        <f ca="1">IFERROR(__xludf.DUMMYFUNCTION("""COMPUTED_VALUE"""),38.2)</f>
        <v>38.200000000000003</v>
      </c>
      <c r="C470" s="1">
        <f ca="1">IFERROR(__xludf.DUMMYFUNCTION("""COMPUTED_VALUE"""),38.88)</f>
        <v>38.880000000000003</v>
      </c>
      <c r="D470" s="1">
        <f ca="1">IFERROR(__xludf.DUMMYFUNCTION("""COMPUTED_VALUE"""),38)</f>
        <v>38</v>
      </c>
      <c r="E470" s="1">
        <f ca="1">IFERROR(__xludf.DUMMYFUNCTION("""COMPUTED_VALUE"""),38.59)</f>
        <v>38.590000000000003</v>
      </c>
      <c r="F470" s="1">
        <f ca="1">IFERROR(__xludf.DUMMYFUNCTION("""COMPUTED_VALUE"""),8562892)</f>
        <v>8562892</v>
      </c>
    </row>
    <row r="471" spans="1:6" x14ac:dyDescent="0.35">
      <c r="A471" s="2">
        <f ca="1">IFERROR(__xludf.DUMMYFUNCTION("""COMPUTED_VALUE"""),42684.6666666666)</f>
        <v>42684.666666666599</v>
      </c>
      <c r="B471" s="1">
        <f ca="1">IFERROR(__xludf.DUMMYFUNCTION("""COMPUTED_VALUE"""),38.94)</f>
        <v>38.94</v>
      </c>
      <c r="C471" s="1">
        <f ca="1">IFERROR(__xludf.DUMMYFUNCTION("""COMPUTED_VALUE"""),38.94)</f>
        <v>38.94</v>
      </c>
      <c r="D471" s="1">
        <f ca="1">IFERROR(__xludf.DUMMYFUNCTION("""COMPUTED_VALUE"""),35.89)</f>
        <v>35.89</v>
      </c>
      <c r="E471" s="1">
        <f ca="1">IFERROR(__xludf.DUMMYFUNCTION("""COMPUTED_VALUE"""),37.12)</f>
        <v>37.119999999999997</v>
      </c>
      <c r="F471" s="1">
        <f ca="1">IFERROR(__xludf.DUMMYFUNCTION("""COMPUTED_VALUE"""),12746994)</f>
        <v>12746994</v>
      </c>
    </row>
    <row r="472" spans="1:6" x14ac:dyDescent="0.35">
      <c r="A472" s="2">
        <f ca="1">IFERROR(__xludf.DUMMYFUNCTION("""COMPUTED_VALUE"""),42685.6666666666)</f>
        <v>42685.666666666599</v>
      </c>
      <c r="B472" s="1">
        <f ca="1">IFERROR(__xludf.DUMMYFUNCTION("""COMPUTED_VALUE"""),36.79)</f>
        <v>36.79</v>
      </c>
      <c r="C472" s="1">
        <f ca="1">IFERROR(__xludf.DUMMYFUNCTION("""COMPUTED_VALUE"""),37.16)</f>
        <v>37.159999999999997</v>
      </c>
      <c r="D472" s="1">
        <f ca="1">IFERROR(__xludf.DUMMYFUNCTION("""COMPUTED_VALUE"""),36.45)</f>
        <v>36.450000000000003</v>
      </c>
      <c r="E472" s="1">
        <f ca="1">IFERROR(__xludf.DUMMYFUNCTION("""COMPUTED_VALUE"""),36.95)</f>
        <v>36.950000000000003</v>
      </c>
      <c r="F472" s="1">
        <f ca="1">IFERROR(__xludf.DUMMYFUNCTION("""COMPUTED_VALUE"""),6622784)</f>
        <v>6622784</v>
      </c>
    </row>
    <row r="473" spans="1:6" x14ac:dyDescent="0.35">
      <c r="A473" s="2">
        <f ca="1">IFERROR(__xludf.DUMMYFUNCTION("""COMPUTED_VALUE"""),42688.6666666666)</f>
        <v>42688.666666666599</v>
      </c>
      <c r="B473" s="1">
        <f ca="1">IFERROR(__xludf.DUMMYFUNCTION("""COMPUTED_VALUE"""),37.28)</f>
        <v>37.28</v>
      </c>
      <c r="C473" s="1">
        <f ca="1">IFERROR(__xludf.DUMMYFUNCTION("""COMPUTED_VALUE"""),37.3)</f>
        <v>37.299999999999997</v>
      </c>
      <c r="D473" s="1">
        <f ca="1">IFERROR(__xludf.DUMMYFUNCTION("""COMPUTED_VALUE"""),35.51)</f>
        <v>35.51</v>
      </c>
      <c r="E473" s="1">
        <f ca="1">IFERROR(__xludf.DUMMYFUNCTION("""COMPUTED_VALUE"""),35.95)</f>
        <v>35.950000000000003</v>
      </c>
      <c r="F473" s="1">
        <f ca="1">IFERROR(__xludf.DUMMYFUNCTION("""COMPUTED_VALUE"""),7321344)</f>
        <v>7321344</v>
      </c>
    </row>
    <row r="474" spans="1:6" x14ac:dyDescent="0.35">
      <c r="A474" s="2">
        <f ca="1">IFERROR(__xludf.DUMMYFUNCTION("""COMPUTED_VALUE"""),42689.6666666666)</f>
        <v>42689.666666666599</v>
      </c>
      <c r="B474" s="1">
        <f ca="1">IFERROR(__xludf.DUMMYFUNCTION("""COMPUTED_VALUE"""),36.5)</f>
        <v>36.5</v>
      </c>
      <c r="C474" s="1">
        <f ca="1">IFERROR(__xludf.DUMMYFUNCTION("""COMPUTED_VALUE"""),37.34)</f>
        <v>37.340000000000003</v>
      </c>
      <c r="D474" s="1">
        <f ca="1">IFERROR(__xludf.DUMMYFUNCTION("""COMPUTED_VALUE"""),36.3)</f>
        <v>36.299999999999997</v>
      </c>
      <c r="E474" s="1">
        <f ca="1">IFERROR(__xludf.DUMMYFUNCTION("""COMPUTED_VALUE"""),37.16)</f>
        <v>37.159999999999997</v>
      </c>
      <c r="F474" s="1">
        <f ca="1">IFERROR(__xludf.DUMMYFUNCTION("""COMPUTED_VALUE"""),6755785)</f>
        <v>6755785</v>
      </c>
    </row>
    <row r="475" spans="1:6" x14ac:dyDescent="0.35">
      <c r="A475" s="2">
        <f ca="1">IFERROR(__xludf.DUMMYFUNCTION("""COMPUTED_VALUE"""),42690.6666666666)</f>
        <v>42690.666666666599</v>
      </c>
      <c r="B475" s="1">
        <f ca="1">IFERROR(__xludf.DUMMYFUNCTION("""COMPUTED_VALUE"""),36.99)</f>
        <v>36.99</v>
      </c>
      <c r="C475" s="1">
        <f ca="1">IFERROR(__xludf.DUMMYFUNCTION("""COMPUTED_VALUE"""),37.49)</f>
        <v>37.49</v>
      </c>
      <c r="D475" s="1">
        <f ca="1">IFERROR(__xludf.DUMMYFUNCTION("""COMPUTED_VALUE"""),36.78)</f>
        <v>36.78</v>
      </c>
      <c r="E475" s="1">
        <f ca="1">IFERROR(__xludf.DUMMYFUNCTION("""COMPUTED_VALUE"""),37.32)</f>
        <v>37.32</v>
      </c>
      <c r="F475" s="1">
        <f ca="1">IFERROR(__xludf.DUMMYFUNCTION("""COMPUTED_VALUE"""),3648791)</f>
        <v>3648791</v>
      </c>
    </row>
    <row r="476" spans="1:6" x14ac:dyDescent="0.35">
      <c r="A476" s="2">
        <f ca="1">IFERROR(__xludf.DUMMYFUNCTION("""COMPUTED_VALUE"""),42691.6666666666)</f>
        <v>42691.666666666599</v>
      </c>
      <c r="B476" s="1">
        <f ca="1">IFERROR(__xludf.DUMMYFUNCTION("""COMPUTED_VALUE"""),37.47)</f>
        <v>37.47</v>
      </c>
      <c r="C476" s="1">
        <f ca="1">IFERROR(__xludf.DUMMYFUNCTION("""COMPUTED_VALUE"""),37.88)</f>
        <v>37.880000000000003</v>
      </c>
      <c r="D476" s="1">
        <f ca="1">IFERROR(__xludf.DUMMYFUNCTION("""COMPUTED_VALUE"""),37.4)</f>
        <v>37.4</v>
      </c>
      <c r="E476" s="1">
        <f ca="1">IFERROR(__xludf.DUMMYFUNCTION("""COMPUTED_VALUE"""),37.82)</f>
        <v>37.82</v>
      </c>
      <c r="F476" s="1">
        <f ca="1">IFERROR(__xludf.DUMMYFUNCTION("""COMPUTED_VALUE"""),3690112)</f>
        <v>3690112</v>
      </c>
    </row>
    <row r="477" spans="1:6" x14ac:dyDescent="0.35">
      <c r="A477" s="2">
        <f ca="1">IFERROR(__xludf.DUMMYFUNCTION("""COMPUTED_VALUE"""),42692.6666666666)</f>
        <v>42692.666666666599</v>
      </c>
      <c r="B477" s="1">
        <f ca="1">IFERROR(__xludf.DUMMYFUNCTION("""COMPUTED_VALUE"""),38.05)</f>
        <v>38.049999999999997</v>
      </c>
      <c r="C477" s="1">
        <f ca="1">IFERROR(__xludf.DUMMYFUNCTION("""COMPUTED_VALUE"""),38.39)</f>
        <v>38.39</v>
      </c>
      <c r="D477" s="1">
        <f ca="1">IFERROR(__xludf.DUMMYFUNCTION("""COMPUTED_VALUE"""),37.88)</f>
        <v>37.880000000000003</v>
      </c>
      <c r="E477" s="1">
        <f ca="1">IFERROR(__xludf.DUMMYFUNCTION("""COMPUTED_VALUE"""),38.01)</f>
        <v>38.01</v>
      </c>
      <c r="F477" s="1">
        <f ca="1">IFERROR(__xludf.DUMMYFUNCTION("""COMPUTED_VALUE"""),4373408)</f>
        <v>4373408</v>
      </c>
    </row>
    <row r="478" spans="1:6" x14ac:dyDescent="0.35">
      <c r="A478" s="2">
        <f ca="1">IFERROR(__xludf.DUMMYFUNCTION("""COMPUTED_VALUE"""),42695.6666666666)</f>
        <v>42695.666666666599</v>
      </c>
      <c r="B478" s="1">
        <f ca="1">IFERROR(__xludf.DUMMYFUNCTION("""COMPUTED_VALUE"""),38.3)</f>
        <v>38.299999999999997</v>
      </c>
      <c r="C478" s="1">
        <f ca="1">IFERROR(__xludf.DUMMYFUNCTION("""COMPUTED_VALUE"""),39.02)</f>
        <v>39.020000000000003</v>
      </c>
      <c r="D478" s="1">
        <f ca="1">IFERROR(__xludf.DUMMYFUNCTION("""COMPUTED_VALUE"""),38.26)</f>
        <v>38.26</v>
      </c>
      <c r="E478" s="1">
        <f ca="1">IFERROR(__xludf.DUMMYFUNCTION("""COMPUTED_VALUE"""),39)</f>
        <v>39</v>
      </c>
      <c r="F478" s="1">
        <f ca="1">IFERROR(__xludf.DUMMYFUNCTION("""COMPUTED_VALUE"""),4614574)</f>
        <v>4614574</v>
      </c>
    </row>
    <row r="479" spans="1:6" x14ac:dyDescent="0.35">
      <c r="A479" s="2">
        <f ca="1">IFERROR(__xludf.DUMMYFUNCTION("""COMPUTED_VALUE"""),42696.6666666666)</f>
        <v>42696.666666666599</v>
      </c>
      <c r="B479" s="1">
        <f ca="1">IFERROR(__xludf.DUMMYFUNCTION("""COMPUTED_VALUE"""),39.41)</f>
        <v>39.409999999999997</v>
      </c>
      <c r="C479" s="1">
        <f ca="1">IFERROR(__xludf.DUMMYFUNCTION("""COMPUTED_VALUE"""),39.62)</f>
        <v>39.619999999999997</v>
      </c>
      <c r="D479" s="1">
        <f ca="1">IFERROR(__xludf.DUMMYFUNCTION("""COMPUTED_VALUE"""),39.05)</f>
        <v>39.049999999999997</v>
      </c>
      <c r="E479" s="1">
        <f ca="1">IFERROR(__xludf.DUMMYFUNCTION("""COMPUTED_VALUE"""),39.27)</f>
        <v>39.270000000000003</v>
      </c>
      <c r="F479" s="1">
        <f ca="1">IFERROR(__xludf.DUMMYFUNCTION("""COMPUTED_VALUE"""),5311320)</f>
        <v>5311320</v>
      </c>
    </row>
    <row r="480" spans="1:6" x14ac:dyDescent="0.35">
      <c r="A480" s="2">
        <f ca="1">IFERROR(__xludf.DUMMYFUNCTION("""COMPUTED_VALUE"""),42697.6666666666)</f>
        <v>42697.666666666599</v>
      </c>
      <c r="B480" s="1">
        <f ca="1">IFERROR(__xludf.DUMMYFUNCTION("""COMPUTED_VALUE"""),39.09)</f>
        <v>39.090000000000003</v>
      </c>
      <c r="C480" s="1">
        <f ca="1">IFERROR(__xludf.DUMMYFUNCTION("""COMPUTED_VALUE"""),39.09)</f>
        <v>39.090000000000003</v>
      </c>
      <c r="D480" s="1">
        <f ca="1">IFERROR(__xludf.DUMMYFUNCTION("""COMPUTED_VALUE"""),38.66)</f>
        <v>38.659999999999997</v>
      </c>
      <c r="E480" s="1">
        <f ca="1">IFERROR(__xludf.DUMMYFUNCTION("""COMPUTED_VALUE"""),39.01)</f>
        <v>39.01</v>
      </c>
      <c r="F480" s="1">
        <f ca="1">IFERROR(__xludf.DUMMYFUNCTION("""COMPUTED_VALUE"""),3540263)</f>
        <v>3540263</v>
      </c>
    </row>
    <row r="481" spans="1:6" x14ac:dyDescent="0.35">
      <c r="A481" s="2">
        <f ca="1">IFERROR(__xludf.DUMMYFUNCTION("""COMPUTED_VALUE"""),42699.6666666666)</f>
        <v>42699.666666666599</v>
      </c>
      <c r="B481" s="1">
        <f ca="1">IFERROR(__xludf.DUMMYFUNCTION("""COMPUTED_VALUE"""),39.33)</f>
        <v>39.33</v>
      </c>
      <c r="C481" s="1">
        <f ca="1">IFERROR(__xludf.DUMMYFUNCTION("""COMPUTED_VALUE"""),39.34)</f>
        <v>39.340000000000003</v>
      </c>
      <c r="D481" s="1">
        <f ca="1">IFERROR(__xludf.DUMMYFUNCTION("""COMPUTED_VALUE"""),38.9)</f>
        <v>38.9</v>
      </c>
      <c r="E481" s="1">
        <f ca="1">IFERROR(__xludf.DUMMYFUNCTION("""COMPUTED_VALUE"""),39.02)</f>
        <v>39.020000000000003</v>
      </c>
      <c r="F481" s="1">
        <f ca="1">IFERROR(__xludf.DUMMYFUNCTION("""COMPUTED_VALUE"""),1837068)</f>
        <v>1837068</v>
      </c>
    </row>
    <row r="482" spans="1:6" x14ac:dyDescent="0.35">
      <c r="A482" s="2">
        <f ca="1">IFERROR(__xludf.DUMMYFUNCTION("""COMPUTED_VALUE"""),42702.6666666666)</f>
        <v>42702.666666666599</v>
      </c>
      <c r="B482" s="1">
        <f ca="1">IFERROR(__xludf.DUMMYFUNCTION("""COMPUTED_VALUE"""),38.85)</f>
        <v>38.85</v>
      </c>
      <c r="C482" s="1">
        <f ca="1">IFERROR(__xludf.DUMMYFUNCTION("""COMPUTED_VALUE"""),38.85)</f>
        <v>38.85</v>
      </c>
      <c r="D482" s="1">
        <f ca="1">IFERROR(__xludf.DUMMYFUNCTION("""COMPUTED_VALUE"""),38.21)</f>
        <v>38.21</v>
      </c>
      <c r="E482" s="1">
        <f ca="1">IFERROR(__xludf.DUMMYFUNCTION("""COMPUTED_VALUE"""),38.34)</f>
        <v>38.340000000000003</v>
      </c>
      <c r="F482" s="1">
        <f ca="1">IFERROR(__xludf.DUMMYFUNCTION("""COMPUTED_VALUE"""),4438828)</f>
        <v>4438828</v>
      </c>
    </row>
    <row r="483" spans="1:6" x14ac:dyDescent="0.35">
      <c r="A483" s="2">
        <f ca="1">IFERROR(__xludf.DUMMYFUNCTION("""COMPUTED_VALUE"""),42703.6666666666)</f>
        <v>42703.666666666599</v>
      </c>
      <c r="B483" s="1">
        <f ca="1">IFERROR(__xludf.DUMMYFUNCTION("""COMPUTED_VALUE"""),38.4)</f>
        <v>38.4</v>
      </c>
      <c r="C483" s="1">
        <f ca="1">IFERROR(__xludf.DUMMYFUNCTION("""COMPUTED_VALUE"""),38.49)</f>
        <v>38.49</v>
      </c>
      <c r="D483" s="1">
        <f ca="1">IFERROR(__xludf.DUMMYFUNCTION("""COMPUTED_VALUE"""),38.07)</f>
        <v>38.07</v>
      </c>
      <c r="E483" s="1">
        <f ca="1">IFERROR(__xludf.DUMMYFUNCTION("""COMPUTED_VALUE"""),38.13)</f>
        <v>38.130000000000003</v>
      </c>
      <c r="F483" s="1">
        <f ca="1">IFERROR(__xludf.DUMMYFUNCTION("""COMPUTED_VALUE"""),3272344)</f>
        <v>3272344</v>
      </c>
    </row>
    <row r="484" spans="1:6" x14ac:dyDescent="0.35">
      <c r="A484" s="2">
        <f ca="1">IFERROR(__xludf.DUMMYFUNCTION("""COMPUTED_VALUE"""),42704.6666666666)</f>
        <v>42704.666666666599</v>
      </c>
      <c r="B484" s="1">
        <f ca="1">IFERROR(__xludf.DUMMYFUNCTION("""COMPUTED_VALUE"""),38.1)</f>
        <v>38.1</v>
      </c>
      <c r="C484" s="1">
        <f ca="1">IFERROR(__xludf.DUMMYFUNCTION("""COMPUTED_VALUE"""),38.4)</f>
        <v>38.4</v>
      </c>
      <c r="D484" s="1">
        <f ca="1">IFERROR(__xludf.DUMMYFUNCTION("""COMPUTED_VALUE"""),37.51)</f>
        <v>37.51</v>
      </c>
      <c r="E484" s="1">
        <f ca="1">IFERROR(__xludf.DUMMYFUNCTION("""COMPUTED_VALUE"""),37.53)</f>
        <v>37.53</v>
      </c>
      <c r="F484" s="1">
        <f ca="1">IFERROR(__xludf.DUMMYFUNCTION("""COMPUTED_VALUE"""),4625946)</f>
        <v>4625946</v>
      </c>
    </row>
    <row r="485" spans="1:6" x14ac:dyDescent="0.35">
      <c r="A485" s="2">
        <f ca="1">IFERROR(__xludf.DUMMYFUNCTION("""COMPUTED_VALUE"""),42705.6666666666)</f>
        <v>42705.666666666599</v>
      </c>
      <c r="B485" s="1">
        <f ca="1">IFERROR(__xludf.DUMMYFUNCTION("""COMPUTED_VALUE"""),37.62)</f>
        <v>37.619999999999997</v>
      </c>
      <c r="C485" s="1">
        <f ca="1">IFERROR(__xludf.DUMMYFUNCTION("""COMPUTED_VALUE"""),37.67)</f>
        <v>37.67</v>
      </c>
      <c r="D485" s="1">
        <f ca="1">IFERROR(__xludf.DUMMYFUNCTION("""COMPUTED_VALUE"""),36.9)</f>
        <v>36.9</v>
      </c>
      <c r="E485" s="1">
        <f ca="1">IFERROR(__xludf.DUMMYFUNCTION("""COMPUTED_VALUE"""),37.18)</f>
        <v>37.18</v>
      </c>
      <c r="F485" s="1">
        <f ca="1">IFERROR(__xludf.DUMMYFUNCTION("""COMPUTED_VALUE"""),4665993)</f>
        <v>4665993</v>
      </c>
    </row>
    <row r="486" spans="1:6" x14ac:dyDescent="0.35">
      <c r="A486" s="2">
        <f ca="1">IFERROR(__xludf.DUMMYFUNCTION("""COMPUTED_VALUE"""),42706.6666666666)</f>
        <v>42706.666666666599</v>
      </c>
      <c r="B486" s="1">
        <f ca="1">IFERROR(__xludf.DUMMYFUNCTION("""COMPUTED_VALUE"""),37.17)</f>
        <v>37.17</v>
      </c>
      <c r="C486" s="1">
        <f ca="1">IFERROR(__xludf.DUMMYFUNCTION("""COMPUTED_VALUE"""),37.42)</f>
        <v>37.42</v>
      </c>
      <c r="D486" s="1">
        <f ca="1">IFERROR(__xludf.DUMMYFUNCTION("""COMPUTED_VALUE"""),36.84)</f>
        <v>36.840000000000003</v>
      </c>
      <c r="E486" s="1">
        <f ca="1">IFERROR(__xludf.DUMMYFUNCTION("""COMPUTED_VALUE"""),37.02)</f>
        <v>37.020000000000003</v>
      </c>
      <c r="F486" s="1">
        <f ca="1">IFERROR(__xludf.DUMMYFUNCTION("""COMPUTED_VALUE"""),3561307)</f>
        <v>3561307</v>
      </c>
    </row>
    <row r="487" spans="1:6" x14ac:dyDescent="0.35">
      <c r="A487" s="2">
        <f ca="1">IFERROR(__xludf.DUMMYFUNCTION("""COMPUTED_VALUE"""),42709.6666666666)</f>
        <v>42709.666666666599</v>
      </c>
      <c r="B487" s="1">
        <f ca="1">IFERROR(__xludf.DUMMYFUNCTION("""COMPUTED_VALUE"""),37.25)</f>
        <v>37.25</v>
      </c>
      <c r="C487" s="1">
        <f ca="1">IFERROR(__xludf.DUMMYFUNCTION("""COMPUTED_VALUE"""),38.07)</f>
        <v>38.07</v>
      </c>
      <c r="D487" s="1">
        <f ca="1">IFERROR(__xludf.DUMMYFUNCTION("""COMPUTED_VALUE"""),37.1)</f>
        <v>37.1</v>
      </c>
      <c r="E487" s="1">
        <f ca="1">IFERROR(__xludf.DUMMYFUNCTION("""COMPUTED_VALUE"""),37.97)</f>
        <v>37.97</v>
      </c>
      <c r="F487" s="1">
        <f ca="1">IFERROR(__xludf.DUMMYFUNCTION("""COMPUTED_VALUE"""),4314723)</f>
        <v>4314723</v>
      </c>
    </row>
    <row r="488" spans="1:6" x14ac:dyDescent="0.35">
      <c r="A488" s="2">
        <f ca="1">IFERROR(__xludf.DUMMYFUNCTION("""COMPUTED_VALUE"""),42710.6666666666)</f>
        <v>42710.666666666599</v>
      </c>
      <c r="B488" s="1">
        <f ca="1">IFERROR(__xludf.DUMMYFUNCTION("""COMPUTED_VALUE"""),38.2)</f>
        <v>38.200000000000003</v>
      </c>
      <c r="C488" s="1">
        <f ca="1">IFERROR(__xludf.DUMMYFUNCTION("""COMPUTED_VALUE"""),38.41)</f>
        <v>38.409999999999997</v>
      </c>
      <c r="D488" s="1">
        <f ca="1">IFERROR(__xludf.DUMMYFUNCTION("""COMPUTED_VALUE"""),37.86)</f>
        <v>37.86</v>
      </c>
      <c r="E488" s="1">
        <f ca="1">IFERROR(__xludf.DUMMYFUNCTION("""COMPUTED_VALUE"""),38.24)</f>
        <v>38.24</v>
      </c>
      <c r="F488" s="1">
        <f ca="1">IFERROR(__xludf.DUMMYFUNCTION("""COMPUTED_VALUE"""),3794746)</f>
        <v>3794746</v>
      </c>
    </row>
    <row r="489" spans="1:6" x14ac:dyDescent="0.35">
      <c r="A489" s="2">
        <f ca="1">IFERROR(__xludf.DUMMYFUNCTION("""COMPUTED_VALUE"""),42711.6666666666)</f>
        <v>42711.666666666599</v>
      </c>
      <c r="B489" s="1">
        <f ca="1">IFERROR(__xludf.DUMMYFUNCTION("""COMPUTED_VALUE"""),38.23)</f>
        <v>38.229999999999997</v>
      </c>
      <c r="C489" s="1">
        <f ca="1">IFERROR(__xludf.DUMMYFUNCTION("""COMPUTED_VALUE"""),38.52)</f>
        <v>38.520000000000003</v>
      </c>
      <c r="D489" s="1">
        <f ca="1">IFERROR(__xludf.DUMMYFUNCTION("""COMPUTED_VALUE"""),37.79)</f>
        <v>37.79</v>
      </c>
      <c r="E489" s="1">
        <f ca="1">IFERROR(__xludf.DUMMYFUNCTION("""COMPUTED_VALUE"""),38.52)</f>
        <v>38.520000000000003</v>
      </c>
      <c r="F489" s="1">
        <f ca="1">IFERROR(__xludf.DUMMYFUNCTION("""COMPUTED_VALUE"""),3684906)</f>
        <v>3684906</v>
      </c>
    </row>
    <row r="490" spans="1:6" x14ac:dyDescent="0.35">
      <c r="A490" s="2">
        <f ca="1">IFERROR(__xludf.DUMMYFUNCTION("""COMPUTED_VALUE"""),42712.6666666666)</f>
        <v>42712.666666666599</v>
      </c>
      <c r="B490" s="1">
        <f ca="1">IFERROR(__xludf.DUMMYFUNCTION("""COMPUTED_VALUE"""),38.59)</f>
        <v>38.590000000000003</v>
      </c>
      <c r="C490" s="1">
        <f ca="1">IFERROR(__xludf.DUMMYFUNCTION("""COMPUTED_VALUE"""),38.69)</f>
        <v>38.69</v>
      </c>
      <c r="D490" s="1">
        <f ca="1">IFERROR(__xludf.DUMMYFUNCTION("""COMPUTED_VALUE"""),38.26)</f>
        <v>38.26</v>
      </c>
      <c r="E490" s="1">
        <f ca="1">IFERROR(__xludf.DUMMYFUNCTION("""COMPUTED_VALUE"""),38.37)</f>
        <v>38.369999999999997</v>
      </c>
      <c r="F490" s="1">
        <f ca="1">IFERROR(__xludf.DUMMYFUNCTION("""COMPUTED_VALUE"""),3189608)</f>
        <v>3189608</v>
      </c>
    </row>
    <row r="491" spans="1:6" x14ac:dyDescent="0.35">
      <c r="A491" s="2">
        <f ca="1">IFERROR(__xludf.DUMMYFUNCTION("""COMPUTED_VALUE"""),42713.6666666666)</f>
        <v>42713.666666666599</v>
      </c>
      <c r="B491" s="1">
        <f ca="1">IFERROR(__xludf.DUMMYFUNCTION("""COMPUTED_VALUE"""),38.5)</f>
        <v>38.5</v>
      </c>
      <c r="C491" s="1">
        <f ca="1">IFERROR(__xludf.DUMMYFUNCTION("""COMPUTED_VALUE"""),38.51)</f>
        <v>38.51</v>
      </c>
      <c r="D491" s="1">
        <f ca="1">IFERROR(__xludf.DUMMYFUNCTION("""COMPUTED_VALUE"""),38.27)</f>
        <v>38.270000000000003</v>
      </c>
      <c r="E491" s="1">
        <f ca="1">IFERROR(__xludf.DUMMYFUNCTION("""COMPUTED_VALUE"""),38.43)</f>
        <v>38.43</v>
      </c>
      <c r="F491" s="1">
        <f ca="1">IFERROR(__xludf.DUMMYFUNCTION("""COMPUTED_VALUE"""),2470923)</f>
        <v>2470923</v>
      </c>
    </row>
    <row r="492" spans="1:6" x14ac:dyDescent="0.35">
      <c r="A492" s="2">
        <f ca="1">IFERROR(__xludf.DUMMYFUNCTION("""COMPUTED_VALUE"""),42716.6666666666)</f>
        <v>42716.666666666599</v>
      </c>
      <c r="B492" s="1">
        <f ca="1">IFERROR(__xludf.DUMMYFUNCTION("""COMPUTED_VALUE"""),38.32)</f>
        <v>38.32</v>
      </c>
      <c r="C492" s="1">
        <f ca="1">IFERROR(__xludf.DUMMYFUNCTION("""COMPUTED_VALUE"""),38.34)</f>
        <v>38.340000000000003</v>
      </c>
      <c r="D492" s="1">
        <f ca="1">IFERROR(__xludf.DUMMYFUNCTION("""COMPUTED_VALUE"""),37.86)</f>
        <v>37.86</v>
      </c>
      <c r="E492" s="1">
        <f ca="1">IFERROR(__xludf.DUMMYFUNCTION("""COMPUTED_VALUE"""),38.01)</f>
        <v>38.01</v>
      </c>
      <c r="F492" s="1">
        <f ca="1">IFERROR(__xludf.DUMMYFUNCTION("""COMPUTED_VALUE"""),2963945)</f>
        <v>2963945</v>
      </c>
    </row>
    <row r="493" spans="1:6" x14ac:dyDescent="0.35">
      <c r="A493" s="2">
        <f ca="1">IFERROR(__xludf.DUMMYFUNCTION("""COMPUTED_VALUE"""),42717.6666666666)</f>
        <v>42717.666666666599</v>
      </c>
      <c r="B493" s="1">
        <f ca="1">IFERROR(__xludf.DUMMYFUNCTION("""COMPUTED_VALUE"""),38.25)</f>
        <v>38.25</v>
      </c>
      <c r="C493" s="1">
        <f ca="1">IFERROR(__xludf.DUMMYFUNCTION("""COMPUTED_VALUE"""),39.12)</f>
        <v>39.119999999999997</v>
      </c>
      <c r="D493" s="1">
        <f ca="1">IFERROR(__xludf.DUMMYFUNCTION("""COMPUTED_VALUE"""),38.1)</f>
        <v>38.1</v>
      </c>
      <c r="E493" s="1">
        <f ca="1">IFERROR(__xludf.DUMMYFUNCTION("""COMPUTED_VALUE"""),38.72)</f>
        <v>38.72</v>
      </c>
      <c r="F493" s="1">
        <f ca="1">IFERROR(__xludf.DUMMYFUNCTION("""COMPUTED_VALUE"""),5285288)</f>
        <v>5285288</v>
      </c>
    </row>
    <row r="494" spans="1:6" x14ac:dyDescent="0.35">
      <c r="A494" s="2">
        <f ca="1">IFERROR(__xludf.DUMMYFUNCTION("""COMPUTED_VALUE"""),42718.6666666666)</f>
        <v>42718.666666666599</v>
      </c>
      <c r="B494" s="1">
        <f ca="1">IFERROR(__xludf.DUMMYFUNCTION("""COMPUTED_VALUE"""),38.91)</f>
        <v>38.909999999999997</v>
      </c>
      <c r="C494" s="1">
        <f ca="1">IFERROR(__xludf.DUMMYFUNCTION("""COMPUTED_VALUE"""),39.04)</f>
        <v>39.04</v>
      </c>
      <c r="D494" s="1">
        <f ca="1">IFERROR(__xludf.DUMMYFUNCTION("""COMPUTED_VALUE"""),38.14)</f>
        <v>38.14</v>
      </c>
      <c r="E494" s="1">
        <f ca="1">IFERROR(__xludf.DUMMYFUNCTION("""COMPUTED_VALUE"""),38.44)</f>
        <v>38.44</v>
      </c>
      <c r="F494" s="1">
        <f ca="1">IFERROR(__xludf.DUMMYFUNCTION("""COMPUTED_VALUE"""),5454836)</f>
        <v>5454836</v>
      </c>
    </row>
    <row r="495" spans="1:6" x14ac:dyDescent="0.35">
      <c r="A495" s="2">
        <f ca="1">IFERROR(__xludf.DUMMYFUNCTION("""COMPUTED_VALUE"""),42719.6666666666)</f>
        <v>42719.666666666599</v>
      </c>
      <c r="B495" s="1">
        <f ca="1">IFERROR(__xludf.DUMMYFUNCTION("""COMPUTED_VALUE"""),38.31)</f>
        <v>38.31</v>
      </c>
      <c r="C495" s="1">
        <f ca="1">IFERROR(__xludf.DUMMYFUNCTION("""COMPUTED_VALUE"""),38.46)</f>
        <v>38.46</v>
      </c>
      <c r="D495" s="1">
        <f ca="1">IFERROR(__xludf.DUMMYFUNCTION("""COMPUTED_VALUE"""),38.02)</f>
        <v>38.020000000000003</v>
      </c>
      <c r="E495" s="1">
        <f ca="1">IFERROR(__xludf.DUMMYFUNCTION("""COMPUTED_VALUE"""),38.05)</f>
        <v>38.049999999999997</v>
      </c>
      <c r="F495" s="1">
        <f ca="1">IFERROR(__xludf.DUMMYFUNCTION("""COMPUTED_VALUE"""),3801927)</f>
        <v>3801927</v>
      </c>
    </row>
    <row r="496" spans="1:6" x14ac:dyDescent="0.35">
      <c r="A496" s="2">
        <f ca="1">IFERROR(__xludf.DUMMYFUNCTION("""COMPUTED_VALUE"""),42720.6666666666)</f>
        <v>42720.666666666599</v>
      </c>
      <c r="B496" s="1">
        <f ca="1">IFERROR(__xludf.DUMMYFUNCTION("""COMPUTED_VALUE"""),38.25)</f>
        <v>38.25</v>
      </c>
      <c r="C496" s="1">
        <f ca="1">IFERROR(__xludf.DUMMYFUNCTION("""COMPUTED_VALUE"""),38.26)</f>
        <v>38.26</v>
      </c>
      <c r="D496" s="1">
        <f ca="1">IFERROR(__xludf.DUMMYFUNCTION("""COMPUTED_VALUE"""),37.7)</f>
        <v>37.700000000000003</v>
      </c>
      <c r="E496" s="1">
        <f ca="1">IFERROR(__xludf.DUMMYFUNCTION("""COMPUTED_VALUE"""),37.89)</f>
        <v>37.89</v>
      </c>
      <c r="F496" s="1">
        <f ca="1">IFERROR(__xludf.DUMMYFUNCTION("""COMPUTED_VALUE"""),4848219)</f>
        <v>4848219</v>
      </c>
    </row>
    <row r="497" spans="1:6" x14ac:dyDescent="0.35">
      <c r="A497" s="2">
        <f ca="1">IFERROR(__xludf.DUMMYFUNCTION("""COMPUTED_VALUE"""),42723.6666666666)</f>
        <v>42723.666666666599</v>
      </c>
      <c r="B497" s="1">
        <f ca="1">IFERROR(__xludf.DUMMYFUNCTION("""COMPUTED_VALUE"""),37.94)</f>
        <v>37.94</v>
      </c>
      <c r="C497" s="1">
        <f ca="1">IFERROR(__xludf.DUMMYFUNCTION("""COMPUTED_VALUE"""),38.53)</f>
        <v>38.53</v>
      </c>
      <c r="D497" s="1">
        <f ca="1">IFERROR(__xludf.DUMMYFUNCTION("""COMPUTED_VALUE"""),37.81)</f>
        <v>37.81</v>
      </c>
      <c r="E497" s="1">
        <f ca="1">IFERROR(__xludf.DUMMYFUNCTION("""COMPUTED_VALUE"""),38.3)</f>
        <v>38.299999999999997</v>
      </c>
      <c r="F497" s="1">
        <f ca="1">IFERROR(__xludf.DUMMYFUNCTION("""COMPUTED_VALUE"""),3113240)</f>
        <v>3113240</v>
      </c>
    </row>
    <row r="498" spans="1:6" x14ac:dyDescent="0.35">
      <c r="A498" s="2">
        <f ca="1">IFERROR(__xludf.DUMMYFUNCTION("""COMPUTED_VALUE"""),42724.6666666666)</f>
        <v>42724.666666666599</v>
      </c>
      <c r="B498" s="1">
        <f ca="1">IFERROR(__xludf.DUMMYFUNCTION("""COMPUTED_VALUE"""),38.43)</f>
        <v>38.43</v>
      </c>
      <c r="C498" s="1">
        <f ca="1">IFERROR(__xludf.DUMMYFUNCTION("""COMPUTED_VALUE"""),38.72)</f>
        <v>38.72</v>
      </c>
      <c r="D498" s="1">
        <f ca="1">IFERROR(__xludf.DUMMYFUNCTION("""COMPUTED_VALUE"""),38.39)</f>
        <v>38.39</v>
      </c>
      <c r="E498" s="1">
        <f ca="1">IFERROR(__xludf.DUMMYFUNCTION("""COMPUTED_VALUE"""),38.56)</f>
        <v>38.56</v>
      </c>
      <c r="F498" s="1">
        <f ca="1">IFERROR(__xludf.DUMMYFUNCTION("""COMPUTED_VALUE"""),2703629)</f>
        <v>2703629</v>
      </c>
    </row>
    <row r="499" spans="1:6" x14ac:dyDescent="0.35">
      <c r="A499" s="2">
        <f ca="1">IFERROR(__xludf.DUMMYFUNCTION("""COMPUTED_VALUE"""),42725.6666666666)</f>
        <v>42725.666666666599</v>
      </c>
      <c r="B499" s="1">
        <f ca="1">IFERROR(__xludf.DUMMYFUNCTION("""COMPUTED_VALUE"""),38.5)</f>
        <v>38.5</v>
      </c>
      <c r="C499" s="1">
        <f ca="1">IFERROR(__xludf.DUMMYFUNCTION("""COMPUTED_VALUE"""),38.56)</f>
        <v>38.56</v>
      </c>
      <c r="D499" s="1">
        <f ca="1">IFERROR(__xludf.DUMMYFUNCTION("""COMPUTED_VALUE"""),38.28)</f>
        <v>38.28</v>
      </c>
      <c r="E499" s="1">
        <f ca="1">IFERROR(__xludf.DUMMYFUNCTION("""COMPUTED_VALUE"""),38.53)</f>
        <v>38.53</v>
      </c>
      <c r="F499" s="1">
        <f ca="1">IFERROR(__xludf.DUMMYFUNCTION("""COMPUTED_VALUE"""),2044629)</f>
        <v>2044629</v>
      </c>
    </row>
    <row r="500" spans="1:6" x14ac:dyDescent="0.35">
      <c r="A500" s="2">
        <f ca="1">IFERROR(__xludf.DUMMYFUNCTION("""COMPUTED_VALUE"""),42726.6666666666)</f>
        <v>42726.666666666599</v>
      </c>
      <c r="B500" s="1">
        <f ca="1">IFERROR(__xludf.DUMMYFUNCTION("""COMPUTED_VALUE"""),38.41)</f>
        <v>38.409999999999997</v>
      </c>
      <c r="C500" s="1">
        <f ca="1">IFERROR(__xludf.DUMMYFUNCTION("""COMPUTED_VALUE"""),38.56)</f>
        <v>38.56</v>
      </c>
      <c r="D500" s="1">
        <f ca="1">IFERROR(__xludf.DUMMYFUNCTION("""COMPUTED_VALUE"""),38.15)</f>
        <v>38.15</v>
      </c>
      <c r="E500" s="1">
        <f ca="1">IFERROR(__xludf.DUMMYFUNCTION("""COMPUTED_VALUE"""),38.32)</f>
        <v>38.32</v>
      </c>
      <c r="F500" s="1">
        <f ca="1">IFERROR(__xludf.DUMMYFUNCTION("""COMPUTED_VALUE"""),2543551)</f>
        <v>2543551</v>
      </c>
    </row>
    <row r="501" spans="1:6" x14ac:dyDescent="0.35">
      <c r="A501" s="2">
        <f ca="1">IFERROR(__xludf.DUMMYFUNCTION("""COMPUTED_VALUE"""),42727.6666666666)</f>
        <v>42727.666666666599</v>
      </c>
      <c r="B501" s="1">
        <f ca="1">IFERROR(__xludf.DUMMYFUNCTION("""COMPUTED_VALUE"""),38.23)</f>
        <v>38.229999999999997</v>
      </c>
      <c r="C501" s="1">
        <f ca="1">IFERROR(__xludf.DUMMYFUNCTION("""COMPUTED_VALUE"""),38.33)</f>
        <v>38.33</v>
      </c>
      <c r="D501" s="1">
        <f ca="1">IFERROR(__xludf.DUMMYFUNCTION("""COMPUTED_VALUE"""),37.9)</f>
        <v>37.9</v>
      </c>
      <c r="E501" s="1">
        <f ca="1">IFERROR(__xludf.DUMMYFUNCTION("""COMPUTED_VALUE"""),38.03)</f>
        <v>38.03</v>
      </c>
      <c r="F501" s="1">
        <f ca="1">IFERROR(__xludf.DUMMYFUNCTION("""COMPUTED_VALUE"""),1981616)</f>
        <v>1981616</v>
      </c>
    </row>
    <row r="502" spans="1:6" x14ac:dyDescent="0.35">
      <c r="A502" s="2">
        <f ca="1">IFERROR(__xludf.DUMMYFUNCTION("""COMPUTED_VALUE"""),42731.6666666666)</f>
        <v>42731.666666666599</v>
      </c>
      <c r="B502" s="1">
        <f ca="1">IFERROR(__xludf.DUMMYFUNCTION("""COMPUTED_VALUE"""),38.17)</f>
        <v>38.17</v>
      </c>
      <c r="C502" s="1">
        <f ca="1">IFERROR(__xludf.DUMMYFUNCTION("""COMPUTED_VALUE"""),38.73)</f>
        <v>38.729999999999997</v>
      </c>
      <c r="D502" s="1">
        <f ca="1">IFERROR(__xludf.DUMMYFUNCTION("""COMPUTED_VALUE"""),38.06)</f>
        <v>38.06</v>
      </c>
      <c r="E502" s="1">
        <f ca="1">IFERROR(__xludf.DUMMYFUNCTION("""COMPUTED_VALUE"""),38.57)</f>
        <v>38.57</v>
      </c>
      <c r="F502" s="1">
        <f ca="1">IFERROR(__xludf.DUMMYFUNCTION("""COMPUTED_VALUE"""),2638725)</f>
        <v>2638725</v>
      </c>
    </row>
    <row r="503" spans="1:6" x14ac:dyDescent="0.35">
      <c r="A503" s="2">
        <f ca="1">IFERROR(__xludf.DUMMYFUNCTION("""COMPUTED_VALUE"""),42732.6666666666)</f>
        <v>42732.666666666599</v>
      </c>
      <c r="B503" s="1">
        <f ca="1">IFERROR(__xludf.DUMMYFUNCTION("""COMPUTED_VALUE"""),38.81)</f>
        <v>38.81</v>
      </c>
      <c r="C503" s="1">
        <f ca="1">IFERROR(__xludf.DUMMYFUNCTION("""COMPUTED_VALUE"""),39)</f>
        <v>39</v>
      </c>
      <c r="D503" s="1">
        <f ca="1">IFERROR(__xludf.DUMMYFUNCTION("""COMPUTED_VALUE"""),38.53)</f>
        <v>38.53</v>
      </c>
      <c r="E503" s="1">
        <f ca="1">IFERROR(__xludf.DUMMYFUNCTION("""COMPUTED_VALUE"""),38.61)</f>
        <v>38.61</v>
      </c>
      <c r="F503" s="1">
        <f ca="1">IFERROR(__xludf.DUMMYFUNCTION("""COMPUTED_VALUE"""),3301025)</f>
        <v>3301025</v>
      </c>
    </row>
    <row r="504" spans="1:6" x14ac:dyDescent="0.35">
      <c r="A504" s="2">
        <f ca="1">IFERROR(__xludf.DUMMYFUNCTION("""COMPUTED_VALUE"""),42733.6666666666)</f>
        <v>42733.666666666599</v>
      </c>
      <c r="B504" s="1">
        <f ca="1">IFERROR(__xludf.DUMMYFUNCTION("""COMPUTED_VALUE"""),38.62)</f>
        <v>38.619999999999997</v>
      </c>
      <c r="C504" s="1">
        <f ca="1">IFERROR(__xludf.DUMMYFUNCTION("""COMPUTED_VALUE"""),38.67)</f>
        <v>38.67</v>
      </c>
      <c r="D504" s="1">
        <f ca="1">IFERROR(__xludf.DUMMYFUNCTION("""COMPUTED_VALUE"""),38.04)</f>
        <v>38.04</v>
      </c>
      <c r="E504" s="1">
        <f ca="1">IFERROR(__xludf.DUMMYFUNCTION("""COMPUTED_VALUE"""),38.26)</f>
        <v>38.26</v>
      </c>
      <c r="F504" s="1">
        <f ca="1">IFERROR(__xludf.DUMMYFUNCTION("""COMPUTED_VALUE"""),3158299)</f>
        <v>3158299</v>
      </c>
    </row>
    <row r="505" spans="1:6" x14ac:dyDescent="0.35">
      <c r="A505" s="2">
        <f ca="1">IFERROR(__xludf.DUMMYFUNCTION("""COMPUTED_VALUE"""),42734.6666666666)</f>
        <v>42734.666666666599</v>
      </c>
      <c r="B505" s="1">
        <f ca="1">IFERROR(__xludf.DUMMYFUNCTION("""COMPUTED_VALUE"""),38.32)</f>
        <v>38.32</v>
      </c>
      <c r="C505" s="1">
        <f ca="1">IFERROR(__xludf.DUMMYFUNCTION("""COMPUTED_VALUE"""),38.37)</f>
        <v>38.369999999999997</v>
      </c>
      <c r="D505" s="1">
        <f ca="1">IFERROR(__xludf.DUMMYFUNCTION("""COMPUTED_VALUE"""),37.41)</f>
        <v>37.409999999999997</v>
      </c>
      <c r="E505" s="1">
        <f ca="1">IFERROR(__xludf.DUMMYFUNCTION("""COMPUTED_VALUE"""),37.49)</f>
        <v>37.49</v>
      </c>
      <c r="F505" s="1">
        <f ca="1">IFERROR(__xludf.DUMMYFUNCTION("""COMPUTED_VALUE"""),4139449)</f>
        <v>4139449</v>
      </c>
    </row>
    <row r="506" spans="1:6" x14ac:dyDescent="0.35">
      <c r="A506" s="2">
        <f ca="1">IFERROR(__xludf.DUMMYFUNCTION("""COMPUTED_VALUE"""),42738.6666666666)</f>
        <v>42738.666666666599</v>
      </c>
      <c r="B506" s="1">
        <f ca="1">IFERROR(__xludf.DUMMYFUNCTION("""COMPUTED_VALUE"""),37.9)</f>
        <v>37.9</v>
      </c>
      <c r="C506" s="1">
        <f ca="1">IFERROR(__xludf.DUMMYFUNCTION("""COMPUTED_VALUE"""),37.94)</f>
        <v>37.94</v>
      </c>
      <c r="D506" s="1">
        <f ca="1">IFERROR(__xludf.DUMMYFUNCTION("""COMPUTED_VALUE"""),37.39)</f>
        <v>37.39</v>
      </c>
      <c r="E506" s="1">
        <f ca="1">IFERROR(__xludf.DUMMYFUNCTION("""COMPUTED_VALUE"""),37.68)</f>
        <v>37.68</v>
      </c>
      <c r="F506" s="1">
        <f ca="1">IFERROR(__xludf.DUMMYFUNCTION("""COMPUTED_VALUE"""),3521066)</f>
        <v>3521066</v>
      </c>
    </row>
    <row r="507" spans="1:6" x14ac:dyDescent="0.35">
      <c r="A507" s="2">
        <f ca="1">IFERROR(__xludf.DUMMYFUNCTION("""COMPUTED_VALUE"""),42739.6666666666)</f>
        <v>42739.666666666599</v>
      </c>
      <c r="B507" s="1">
        <f ca="1">IFERROR(__xludf.DUMMYFUNCTION("""COMPUTED_VALUE"""),37.92)</f>
        <v>37.92</v>
      </c>
      <c r="C507" s="1">
        <f ca="1">IFERROR(__xludf.DUMMYFUNCTION("""COMPUTED_VALUE"""),37.98)</f>
        <v>37.979999999999997</v>
      </c>
      <c r="D507" s="1">
        <f ca="1">IFERROR(__xludf.DUMMYFUNCTION("""COMPUTED_VALUE"""),37.71)</f>
        <v>37.71</v>
      </c>
      <c r="E507" s="1">
        <f ca="1">IFERROR(__xludf.DUMMYFUNCTION("""COMPUTED_VALUE"""),37.86)</f>
        <v>37.86</v>
      </c>
      <c r="F507" s="1">
        <f ca="1">IFERROR(__xludf.DUMMYFUNCTION("""COMPUTED_VALUE"""),2510526)</f>
        <v>2510526</v>
      </c>
    </row>
    <row r="508" spans="1:6" x14ac:dyDescent="0.35">
      <c r="A508" s="2">
        <f ca="1">IFERROR(__xludf.DUMMYFUNCTION("""COMPUTED_VALUE"""),42740.6666666666)</f>
        <v>42740.666666666599</v>
      </c>
      <c r="B508" s="1">
        <f ca="1">IFERROR(__xludf.DUMMYFUNCTION("""COMPUTED_VALUE"""),38.08)</f>
        <v>38.08</v>
      </c>
      <c r="C508" s="1">
        <f ca="1">IFERROR(__xludf.DUMMYFUNCTION("""COMPUTED_VALUE"""),39.12)</f>
        <v>39.119999999999997</v>
      </c>
      <c r="D508" s="1">
        <f ca="1">IFERROR(__xludf.DUMMYFUNCTION("""COMPUTED_VALUE"""),38.01)</f>
        <v>38.01</v>
      </c>
      <c r="E508" s="1">
        <f ca="1">IFERROR(__xludf.DUMMYFUNCTION("""COMPUTED_VALUE"""),39.02)</f>
        <v>39.020000000000003</v>
      </c>
      <c r="F508" s="1">
        <f ca="1">IFERROR(__xludf.DUMMYFUNCTION("""COMPUTED_VALUE"""),5830068)</f>
        <v>5830068</v>
      </c>
    </row>
    <row r="509" spans="1:6" x14ac:dyDescent="0.35">
      <c r="A509" s="2">
        <f ca="1">IFERROR(__xludf.DUMMYFUNCTION("""COMPUTED_VALUE"""),42741.6666666666)</f>
        <v>42741.666666666599</v>
      </c>
      <c r="B509" s="1">
        <f ca="1">IFERROR(__xludf.DUMMYFUNCTION("""COMPUTED_VALUE"""),39.12)</f>
        <v>39.119999999999997</v>
      </c>
      <c r="C509" s="1">
        <f ca="1">IFERROR(__xludf.DUMMYFUNCTION("""COMPUTED_VALUE"""),39.97)</f>
        <v>39.97</v>
      </c>
      <c r="D509" s="1">
        <f ca="1">IFERROR(__xludf.DUMMYFUNCTION("""COMPUTED_VALUE"""),38.92)</f>
        <v>38.92</v>
      </c>
      <c r="E509" s="1">
        <f ca="1">IFERROR(__xludf.DUMMYFUNCTION("""COMPUTED_VALUE"""),39.8)</f>
        <v>39.799999999999997</v>
      </c>
      <c r="F509" s="1">
        <f ca="1">IFERROR(__xludf.DUMMYFUNCTION("""COMPUTED_VALUE"""),5986234)</f>
        <v>5986234</v>
      </c>
    </row>
    <row r="510" spans="1:6" x14ac:dyDescent="0.35">
      <c r="A510" s="2">
        <f ca="1">IFERROR(__xludf.DUMMYFUNCTION("""COMPUTED_VALUE"""),42744.6666666666)</f>
        <v>42744.666666666599</v>
      </c>
      <c r="B510" s="1">
        <f ca="1">IFERROR(__xludf.DUMMYFUNCTION("""COMPUTED_VALUE"""),39.9)</f>
        <v>39.9</v>
      </c>
      <c r="C510" s="1">
        <f ca="1">IFERROR(__xludf.DUMMYFUNCTION("""COMPUTED_VALUE"""),40.09)</f>
        <v>40.090000000000003</v>
      </c>
      <c r="D510" s="1">
        <f ca="1">IFERROR(__xludf.DUMMYFUNCTION("""COMPUTED_VALUE"""),39.59)</f>
        <v>39.590000000000003</v>
      </c>
      <c r="E510" s="1">
        <f ca="1">IFERROR(__xludf.DUMMYFUNCTION("""COMPUTED_VALUE"""),39.85)</f>
        <v>39.85</v>
      </c>
      <c r="F510" s="1">
        <f ca="1">IFERROR(__xludf.DUMMYFUNCTION("""COMPUTED_VALUE"""),3446109)</f>
        <v>3446109</v>
      </c>
    </row>
    <row r="511" spans="1:6" x14ac:dyDescent="0.35">
      <c r="A511" s="2">
        <f ca="1">IFERROR(__xludf.DUMMYFUNCTION("""COMPUTED_VALUE"""),42745.6666666666)</f>
        <v>42745.666666666599</v>
      </c>
      <c r="B511" s="1">
        <f ca="1">IFERROR(__xludf.DUMMYFUNCTION("""COMPUTED_VALUE"""),39.83)</f>
        <v>39.83</v>
      </c>
      <c r="C511" s="1">
        <f ca="1">IFERROR(__xludf.DUMMYFUNCTION("""COMPUTED_VALUE"""),39.9)</f>
        <v>39.9</v>
      </c>
      <c r="D511" s="1">
        <f ca="1">IFERROR(__xludf.DUMMYFUNCTION("""COMPUTED_VALUE"""),39.48)</f>
        <v>39.479999999999997</v>
      </c>
      <c r="E511" s="1">
        <f ca="1">IFERROR(__xludf.DUMMYFUNCTION("""COMPUTED_VALUE"""),39.8)</f>
        <v>39.799999999999997</v>
      </c>
      <c r="F511" s="1">
        <f ca="1">IFERROR(__xludf.DUMMYFUNCTION("""COMPUTED_VALUE"""),2558369)</f>
        <v>2558369</v>
      </c>
    </row>
    <row r="512" spans="1:6" x14ac:dyDescent="0.35">
      <c r="A512" s="2">
        <f ca="1">IFERROR(__xludf.DUMMYFUNCTION("""COMPUTED_VALUE"""),42746.6666666666)</f>
        <v>42746.666666666599</v>
      </c>
      <c r="B512" s="1">
        <f ca="1">IFERROR(__xludf.DUMMYFUNCTION("""COMPUTED_VALUE"""),39.68)</f>
        <v>39.68</v>
      </c>
      <c r="C512" s="1">
        <f ca="1">IFERROR(__xludf.DUMMYFUNCTION("""COMPUTED_VALUE"""),39.98)</f>
        <v>39.979999999999997</v>
      </c>
      <c r="D512" s="1">
        <f ca="1">IFERROR(__xludf.DUMMYFUNCTION("""COMPUTED_VALUE"""),39.48)</f>
        <v>39.479999999999997</v>
      </c>
      <c r="E512" s="1">
        <f ca="1">IFERROR(__xludf.DUMMYFUNCTION("""COMPUTED_VALUE"""),39.95)</f>
        <v>39.950000000000003</v>
      </c>
      <c r="F512" s="1">
        <f ca="1">IFERROR(__xludf.DUMMYFUNCTION("""COMPUTED_VALUE"""),2992791)</f>
        <v>2992791</v>
      </c>
    </row>
    <row r="513" spans="1:6" x14ac:dyDescent="0.35">
      <c r="A513" s="2">
        <f ca="1">IFERROR(__xludf.DUMMYFUNCTION("""COMPUTED_VALUE"""),42747.6666666666)</f>
        <v>42747.666666666599</v>
      </c>
      <c r="B513" s="1">
        <f ca="1">IFERROR(__xludf.DUMMYFUNCTION("""COMPUTED_VALUE"""),40.02)</f>
        <v>40.020000000000003</v>
      </c>
      <c r="C513" s="1">
        <f ca="1">IFERROR(__xludf.DUMMYFUNCTION("""COMPUTED_VALUE"""),40.71)</f>
        <v>40.71</v>
      </c>
      <c r="D513" s="1">
        <f ca="1">IFERROR(__xludf.DUMMYFUNCTION("""COMPUTED_VALUE"""),39.98)</f>
        <v>39.979999999999997</v>
      </c>
      <c r="E513" s="1">
        <f ca="1">IFERROR(__xludf.DUMMYFUNCTION("""COMPUTED_VALUE"""),40.68)</f>
        <v>40.68</v>
      </c>
      <c r="F513" s="1">
        <f ca="1">IFERROR(__xludf.DUMMYFUNCTION("""COMPUTED_VALUE"""),4873922)</f>
        <v>4873922</v>
      </c>
    </row>
    <row r="514" spans="1:6" x14ac:dyDescent="0.35">
      <c r="A514" s="2">
        <f ca="1">IFERROR(__xludf.DUMMYFUNCTION("""COMPUTED_VALUE"""),42748.6666666666)</f>
        <v>42748.666666666599</v>
      </c>
      <c r="B514" s="1">
        <f ca="1">IFERROR(__xludf.DUMMYFUNCTION("""COMPUTED_VALUE"""),40.72)</f>
        <v>40.72</v>
      </c>
      <c r="C514" s="1">
        <f ca="1">IFERROR(__xludf.DUMMYFUNCTION("""COMPUTED_VALUE"""),41.08)</f>
        <v>41.08</v>
      </c>
      <c r="D514" s="1">
        <f ca="1">IFERROR(__xludf.DUMMYFUNCTION("""COMPUTED_VALUE"""),40.57)</f>
        <v>40.57</v>
      </c>
      <c r="E514" s="1">
        <f ca="1">IFERROR(__xludf.DUMMYFUNCTION("""COMPUTED_VALUE"""),40.86)</f>
        <v>40.86</v>
      </c>
      <c r="F514" s="1">
        <f ca="1">IFERROR(__xludf.DUMMYFUNCTION("""COMPUTED_VALUE"""),3791945)</f>
        <v>3791945</v>
      </c>
    </row>
    <row r="515" spans="1:6" x14ac:dyDescent="0.35">
      <c r="A515" s="2">
        <f ca="1">IFERROR(__xludf.DUMMYFUNCTION("""COMPUTED_VALUE"""),42752.6666666666)</f>
        <v>42752.666666666599</v>
      </c>
      <c r="B515" s="1">
        <f ca="1">IFERROR(__xludf.DUMMYFUNCTION("""COMPUTED_VALUE"""),40.78)</f>
        <v>40.78</v>
      </c>
      <c r="C515" s="1">
        <f ca="1">IFERROR(__xludf.DUMMYFUNCTION("""COMPUTED_VALUE"""),40.8)</f>
        <v>40.799999999999997</v>
      </c>
      <c r="D515" s="1">
        <f ca="1">IFERROR(__xludf.DUMMYFUNCTION("""COMPUTED_VALUE"""),40.17)</f>
        <v>40.17</v>
      </c>
      <c r="E515" s="1">
        <f ca="1">IFERROR(__xludf.DUMMYFUNCTION("""COMPUTED_VALUE"""),40.49)</f>
        <v>40.49</v>
      </c>
      <c r="F515" s="1">
        <f ca="1">IFERROR(__xludf.DUMMYFUNCTION("""COMPUTED_VALUE"""),3670529)</f>
        <v>3670529</v>
      </c>
    </row>
    <row r="516" spans="1:6" x14ac:dyDescent="0.35">
      <c r="A516" s="2">
        <f ca="1">IFERROR(__xludf.DUMMYFUNCTION("""COMPUTED_VALUE"""),42753.6666666666)</f>
        <v>42753.666666666599</v>
      </c>
      <c r="B516" s="1">
        <f ca="1">IFERROR(__xludf.DUMMYFUNCTION("""COMPUTED_VALUE"""),40.48)</f>
        <v>40.479999999999997</v>
      </c>
      <c r="C516" s="1">
        <f ca="1">IFERROR(__xludf.DUMMYFUNCTION("""COMPUTED_VALUE"""),40.59)</f>
        <v>40.590000000000003</v>
      </c>
      <c r="D516" s="1">
        <f ca="1">IFERROR(__xludf.DUMMYFUNCTION("""COMPUTED_VALUE"""),40.21)</f>
        <v>40.21</v>
      </c>
      <c r="E516" s="1">
        <f ca="1">IFERROR(__xludf.DUMMYFUNCTION("""COMPUTED_VALUE"""),40.37)</f>
        <v>40.369999999999997</v>
      </c>
      <c r="F516" s="1">
        <f ca="1">IFERROR(__xludf.DUMMYFUNCTION("""COMPUTED_VALUE"""),2354201)</f>
        <v>2354201</v>
      </c>
    </row>
    <row r="517" spans="1:6" x14ac:dyDescent="0.35">
      <c r="A517" s="2">
        <f ca="1">IFERROR(__xludf.DUMMYFUNCTION("""COMPUTED_VALUE"""),42754.6666666666)</f>
        <v>42754.666666666599</v>
      </c>
      <c r="B517" s="1">
        <f ca="1">IFERROR(__xludf.DUMMYFUNCTION("""COMPUTED_VALUE"""),40.5)</f>
        <v>40.5</v>
      </c>
      <c r="C517" s="1">
        <f ca="1">IFERROR(__xludf.DUMMYFUNCTION("""COMPUTED_VALUE"""),40.68)</f>
        <v>40.68</v>
      </c>
      <c r="D517" s="1">
        <f ca="1">IFERROR(__xludf.DUMMYFUNCTION("""COMPUTED_VALUE"""),40.37)</f>
        <v>40.369999999999997</v>
      </c>
      <c r="E517" s="1">
        <f ca="1">IFERROR(__xludf.DUMMYFUNCTION("""COMPUTED_VALUE"""),40.45)</f>
        <v>40.450000000000003</v>
      </c>
      <c r="F517" s="1">
        <f ca="1">IFERROR(__xludf.DUMMYFUNCTION("""COMPUTED_VALUE"""),2540784)</f>
        <v>2540784</v>
      </c>
    </row>
    <row r="518" spans="1:6" x14ac:dyDescent="0.35">
      <c r="A518" s="2">
        <f ca="1">IFERROR(__xludf.DUMMYFUNCTION("""COMPUTED_VALUE"""),42755.6666666666)</f>
        <v>42755.666666666599</v>
      </c>
      <c r="B518" s="1">
        <f ca="1">IFERROR(__xludf.DUMMYFUNCTION("""COMPUTED_VALUE"""),40.76)</f>
        <v>40.76</v>
      </c>
      <c r="C518" s="1">
        <f ca="1">IFERROR(__xludf.DUMMYFUNCTION("""COMPUTED_VALUE"""),40.8)</f>
        <v>40.799999999999997</v>
      </c>
      <c r="D518" s="1">
        <f ca="1">IFERROR(__xludf.DUMMYFUNCTION("""COMPUTED_VALUE"""),40.31)</f>
        <v>40.31</v>
      </c>
      <c r="E518" s="1">
        <f ca="1">IFERROR(__xludf.DUMMYFUNCTION("""COMPUTED_VALUE"""),40.42)</f>
        <v>40.42</v>
      </c>
      <c r="F518" s="1">
        <f ca="1">IFERROR(__xludf.DUMMYFUNCTION("""COMPUTED_VALUE"""),3376196)</f>
        <v>3376196</v>
      </c>
    </row>
    <row r="519" spans="1:6" x14ac:dyDescent="0.35">
      <c r="A519" s="2">
        <f ca="1">IFERROR(__xludf.DUMMYFUNCTION("""COMPUTED_VALUE"""),42758.6666666666)</f>
        <v>42758.666666666599</v>
      </c>
      <c r="B519" s="1">
        <f ca="1">IFERROR(__xludf.DUMMYFUNCTION("""COMPUTED_VALUE"""),40.34)</f>
        <v>40.340000000000003</v>
      </c>
      <c r="C519" s="1">
        <f ca="1">IFERROR(__xludf.DUMMYFUNCTION("""COMPUTED_VALUE"""),40.92)</f>
        <v>40.92</v>
      </c>
      <c r="D519" s="1">
        <f ca="1">IFERROR(__xludf.DUMMYFUNCTION("""COMPUTED_VALUE"""),40.25)</f>
        <v>40.25</v>
      </c>
      <c r="E519" s="1">
        <f ca="1">IFERROR(__xludf.DUMMYFUNCTION("""COMPUTED_VALUE"""),40.89)</f>
        <v>40.89</v>
      </c>
      <c r="F519" s="1">
        <f ca="1">IFERROR(__xludf.DUMMYFUNCTION("""COMPUTED_VALUE"""),2797474)</f>
        <v>2797474</v>
      </c>
    </row>
    <row r="520" spans="1:6" x14ac:dyDescent="0.35">
      <c r="A520" s="2">
        <f ca="1">IFERROR(__xludf.DUMMYFUNCTION("""COMPUTED_VALUE"""),42759.6666666666)</f>
        <v>42759.666666666599</v>
      </c>
      <c r="B520" s="1">
        <f ca="1">IFERROR(__xludf.DUMMYFUNCTION("""COMPUTED_VALUE"""),41.1)</f>
        <v>41.1</v>
      </c>
      <c r="C520" s="1">
        <f ca="1">IFERROR(__xludf.DUMMYFUNCTION("""COMPUTED_VALUE"""),41.2)</f>
        <v>41.2</v>
      </c>
      <c r="D520" s="1">
        <f ca="1">IFERROR(__xludf.DUMMYFUNCTION("""COMPUTED_VALUE"""),40.73)</f>
        <v>40.729999999999997</v>
      </c>
      <c r="E520" s="1">
        <f ca="1">IFERROR(__xludf.DUMMYFUNCTION("""COMPUTED_VALUE"""),41.12)</f>
        <v>41.12</v>
      </c>
      <c r="F520" s="1">
        <f ca="1">IFERROR(__xludf.DUMMYFUNCTION("""COMPUTED_VALUE"""),2971740)</f>
        <v>2971740</v>
      </c>
    </row>
    <row r="521" spans="1:6" x14ac:dyDescent="0.35">
      <c r="A521" s="2">
        <f ca="1">IFERROR(__xludf.DUMMYFUNCTION("""COMPUTED_VALUE"""),42760.6666666666)</f>
        <v>42760.666666666599</v>
      </c>
      <c r="B521" s="1">
        <f ca="1">IFERROR(__xludf.DUMMYFUNCTION("""COMPUTED_VALUE"""),41.29)</f>
        <v>41.29</v>
      </c>
      <c r="C521" s="1">
        <f ca="1">IFERROR(__xludf.DUMMYFUNCTION("""COMPUTED_VALUE"""),41.87)</f>
        <v>41.87</v>
      </c>
      <c r="D521" s="1">
        <f ca="1">IFERROR(__xludf.DUMMYFUNCTION("""COMPUTED_VALUE"""),41.26)</f>
        <v>41.26</v>
      </c>
      <c r="E521" s="1">
        <f ca="1">IFERROR(__xludf.DUMMYFUNCTION("""COMPUTED_VALUE"""),41.83)</f>
        <v>41.83</v>
      </c>
      <c r="F521" s="1">
        <f ca="1">IFERROR(__xludf.DUMMYFUNCTION("""COMPUTED_VALUE"""),4023078)</f>
        <v>4023078</v>
      </c>
    </row>
    <row r="522" spans="1:6" x14ac:dyDescent="0.35">
      <c r="A522" s="2">
        <f ca="1">IFERROR(__xludf.DUMMYFUNCTION("""COMPUTED_VALUE"""),42761.6666666666)</f>
        <v>42761.666666666599</v>
      </c>
      <c r="B522" s="1">
        <f ca="1">IFERROR(__xludf.DUMMYFUNCTION("""COMPUTED_VALUE"""),41.78)</f>
        <v>41.78</v>
      </c>
      <c r="C522" s="1">
        <f ca="1">IFERROR(__xludf.DUMMYFUNCTION("""COMPUTED_VALUE"""),42.19)</f>
        <v>42.19</v>
      </c>
      <c r="D522" s="1">
        <f ca="1">IFERROR(__xludf.DUMMYFUNCTION("""COMPUTED_VALUE"""),41.65)</f>
        <v>41.65</v>
      </c>
      <c r="E522" s="1">
        <f ca="1">IFERROR(__xludf.DUMMYFUNCTION("""COMPUTED_VALUE"""),41.96)</f>
        <v>41.96</v>
      </c>
      <c r="F522" s="1">
        <f ca="1">IFERROR(__xludf.DUMMYFUNCTION("""COMPUTED_VALUE"""),3586323)</f>
        <v>3586323</v>
      </c>
    </row>
    <row r="523" spans="1:6" x14ac:dyDescent="0.35">
      <c r="A523" s="2">
        <f ca="1">IFERROR(__xludf.DUMMYFUNCTION("""COMPUTED_VALUE"""),42762.6666666666)</f>
        <v>42762.666666666599</v>
      </c>
      <c r="B523" s="1">
        <f ca="1">IFERROR(__xludf.DUMMYFUNCTION("""COMPUTED_VALUE"""),41.95)</f>
        <v>41.95</v>
      </c>
      <c r="C523" s="1">
        <f ca="1">IFERROR(__xludf.DUMMYFUNCTION("""COMPUTED_VALUE"""),41.99)</f>
        <v>41.99</v>
      </c>
      <c r="D523" s="1">
        <f ca="1">IFERROR(__xludf.DUMMYFUNCTION("""COMPUTED_VALUE"""),41.47)</f>
        <v>41.47</v>
      </c>
      <c r="E523" s="1">
        <f ca="1">IFERROR(__xludf.DUMMYFUNCTION("""COMPUTED_VALUE"""),41.79)</f>
        <v>41.79</v>
      </c>
      <c r="F523" s="1">
        <f ca="1">IFERROR(__xludf.DUMMYFUNCTION("""COMPUTED_VALUE"""),2998700)</f>
        <v>2998700</v>
      </c>
    </row>
    <row r="524" spans="1:6" x14ac:dyDescent="0.35">
      <c r="A524" s="2">
        <f ca="1">IFERROR(__xludf.DUMMYFUNCTION("""COMPUTED_VALUE"""),42765.6666666666)</f>
        <v>42765.666666666599</v>
      </c>
      <c r="B524" s="1">
        <f ca="1">IFERROR(__xludf.DUMMYFUNCTION("""COMPUTED_VALUE"""),41.65)</f>
        <v>41.65</v>
      </c>
      <c r="C524" s="1">
        <f ca="1">IFERROR(__xludf.DUMMYFUNCTION("""COMPUTED_VALUE"""),41.68)</f>
        <v>41.68</v>
      </c>
      <c r="D524" s="1">
        <f ca="1">IFERROR(__xludf.DUMMYFUNCTION("""COMPUTED_VALUE"""),40.82)</f>
        <v>40.82</v>
      </c>
      <c r="E524" s="1">
        <f ca="1">IFERROR(__xludf.DUMMYFUNCTION("""COMPUTED_VALUE"""),41.52)</f>
        <v>41.52</v>
      </c>
      <c r="F524" s="1">
        <f ca="1">IFERROR(__xludf.DUMMYFUNCTION("""COMPUTED_VALUE"""),3747336)</f>
        <v>3747336</v>
      </c>
    </row>
    <row r="525" spans="1:6" x14ac:dyDescent="0.35">
      <c r="A525" s="2">
        <f ca="1">IFERROR(__xludf.DUMMYFUNCTION("""COMPUTED_VALUE"""),42766.6666666666)</f>
        <v>42766.666666666599</v>
      </c>
      <c r="B525" s="1">
        <f ca="1">IFERROR(__xludf.DUMMYFUNCTION("""COMPUTED_VALUE"""),41.19)</f>
        <v>41.19</v>
      </c>
      <c r="C525" s="1">
        <f ca="1">IFERROR(__xludf.DUMMYFUNCTION("""COMPUTED_VALUE"""),41.35)</f>
        <v>41.35</v>
      </c>
      <c r="D525" s="1">
        <f ca="1">IFERROR(__xludf.DUMMYFUNCTION("""COMPUTED_VALUE"""),40.98)</f>
        <v>40.98</v>
      </c>
      <c r="E525" s="1">
        <f ca="1">IFERROR(__xludf.DUMMYFUNCTION("""COMPUTED_VALUE"""),41.17)</f>
        <v>41.17</v>
      </c>
      <c r="F525" s="1">
        <f ca="1">IFERROR(__xludf.DUMMYFUNCTION("""COMPUTED_VALUE"""),3137196)</f>
        <v>3137196</v>
      </c>
    </row>
    <row r="526" spans="1:6" x14ac:dyDescent="0.35">
      <c r="A526" s="2">
        <f ca="1">IFERROR(__xludf.DUMMYFUNCTION("""COMPUTED_VALUE"""),42767.6666666666)</f>
        <v>42767.666666666599</v>
      </c>
      <c r="B526" s="1">
        <f ca="1">IFERROR(__xludf.DUMMYFUNCTION("""COMPUTED_VALUE"""),41.46)</f>
        <v>41.46</v>
      </c>
      <c r="C526" s="1">
        <f ca="1">IFERROR(__xludf.DUMMYFUNCTION("""COMPUTED_VALUE"""),41.69)</f>
        <v>41.69</v>
      </c>
      <c r="D526" s="1">
        <f ca="1">IFERROR(__xludf.DUMMYFUNCTION("""COMPUTED_VALUE"""),41.25)</f>
        <v>41.25</v>
      </c>
      <c r="E526" s="1">
        <f ca="1">IFERROR(__xludf.DUMMYFUNCTION("""COMPUTED_VALUE"""),41.62)</f>
        <v>41.62</v>
      </c>
      <c r="F526" s="1">
        <f ca="1">IFERROR(__xludf.DUMMYFUNCTION("""COMPUTED_VALUE"""),3850181)</f>
        <v>3850181</v>
      </c>
    </row>
    <row r="527" spans="1:6" x14ac:dyDescent="0.35">
      <c r="A527" s="2">
        <f ca="1">IFERROR(__xludf.DUMMYFUNCTION("""COMPUTED_VALUE"""),42768.6666666666)</f>
        <v>42768.666666666599</v>
      </c>
      <c r="B527" s="1">
        <f ca="1">IFERROR(__xludf.DUMMYFUNCTION("""COMPUTED_VALUE"""),41.83)</f>
        <v>41.83</v>
      </c>
      <c r="C527" s="1">
        <f ca="1">IFERROR(__xludf.DUMMYFUNCTION("""COMPUTED_VALUE"""),42.12)</f>
        <v>42.12</v>
      </c>
      <c r="D527" s="1">
        <f ca="1">IFERROR(__xludf.DUMMYFUNCTION("""COMPUTED_VALUE"""),41.41)</f>
        <v>41.41</v>
      </c>
      <c r="E527" s="1">
        <f ca="1">IFERROR(__xludf.DUMMYFUNCTION("""COMPUTED_VALUE"""),42)</f>
        <v>42</v>
      </c>
      <c r="F527" s="1">
        <f ca="1">IFERROR(__xludf.DUMMYFUNCTION("""COMPUTED_VALUE"""),7350492)</f>
        <v>7350492</v>
      </c>
    </row>
    <row r="528" spans="1:6" x14ac:dyDescent="0.35">
      <c r="A528" s="2">
        <f ca="1">IFERROR(__xludf.DUMMYFUNCTION("""COMPUTED_VALUE"""),42769.6666666666)</f>
        <v>42769.666666666599</v>
      </c>
      <c r="B528" s="1">
        <f ca="1">IFERROR(__xludf.DUMMYFUNCTION("""COMPUTED_VALUE"""),40.34)</f>
        <v>40.340000000000003</v>
      </c>
      <c r="C528" s="1">
        <f ca="1">IFERROR(__xludf.DUMMYFUNCTION("""COMPUTED_VALUE"""),40.92)</f>
        <v>40.92</v>
      </c>
      <c r="D528" s="1">
        <f ca="1">IFERROR(__xludf.DUMMYFUNCTION("""COMPUTED_VALUE"""),40.2)</f>
        <v>40.200000000000003</v>
      </c>
      <c r="E528" s="1">
        <f ca="1">IFERROR(__xludf.DUMMYFUNCTION("""COMPUTED_VALUE"""),40.51)</f>
        <v>40.51</v>
      </c>
      <c r="F528" s="1">
        <f ca="1">IFERROR(__xludf.DUMMYFUNCTION("""COMPUTED_VALUE"""),10868773)</f>
        <v>10868773</v>
      </c>
    </row>
    <row r="529" spans="1:6" x14ac:dyDescent="0.35">
      <c r="A529" s="2">
        <f ca="1">IFERROR(__xludf.DUMMYFUNCTION("""COMPUTED_VALUE"""),42772.6666666666)</f>
        <v>42772.666666666599</v>
      </c>
      <c r="B529" s="1">
        <f ca="1">IFERROR(__xludf.DUMMYFUNCTION("""COMPUTED_VALUE"""),40.49)</f>
        <v>40.49</v>
      </c>
      <c r="C529" s="1">
        <f ca="1">IFERROR(__xludf.DUMMYFUNCTION("""COMPUTED_VALUE"""),40.54)</f>
        <v>40.54</v>
      </c>
      <c r="D529" s="1">
        <f ca="1">IFERROR(__xludf.DUMMYFUNCTION("""COMPUTED_VALUE"""),40.15)</f>
        <v>40.15</v>
      </c>
      <c r="E529" s="1">
        <f ca="1">IFERROR(__xludf.DUMMYFUNCTION("""COMPUTED_VALUE"""),40.38)</f>
        <v>40.380000000000003</v>
      </c>
      <c r="F529" s="1">
        <f ca="1">IFERROR(__xludf.DUMMYFUNCTION("""COMPUTED_VALUE"""),3897301)</f>
        <v>3897301</v>
      </c>
    </row>
    <row r="530" spans="1:6" x14ac:dyDescent="0.35">
      <c r="A530" s="2">
        <f ca="1">IFERROR(__xludf.DUMMYFUNCTION("""COMPUTED_VALUE"""),42773.6666666666)</f>
        <v>42773.666666666599</v>
      </c>
      <c r="B530" s="1">
        <f ca="1">IFERROR(__xludf.DUMMYFUNCTION("""COMPUTED_VALUE"""),40.47)</f>
        <v>40.47</v>
      </c>
      <c r="C530" s="1">
        <f ca="1">IFERROR(__xludf.DUMMYFUNCTION("""COMPUTED_VALUE"""),40.81)</f>
        <v>40.81</v>
      </c>
      <c r="D530" s="1">
        <f ca="1">IFERROR(__xludf.DUMMYFUNCTION("""COMPUTED_VALUE"""),40.38)</f>
        <v>40.380000000000003</v>
      </c>
      <c r="E530" s="1">
        <f ca="1">IFERROR(__xludf.DUMMYFUNCTION("""COMPUTED_VALUE"""),40.63)</f>
        <v>40.630000000000003</v>
      </c>
      <c r="F530" s="1">
        <f ca="1">IFERROR(__xludf.DUMMYFUNCTION("""COMPUTED_VALUE"""),3466091)</f>
        <v>3466091</v>
      </c>
    </row>
    <row r="531" spans="1:6" x14ac:dyDescent="0.35">
      <c r="A531" s="2">
        <f ca="1">IFERROR(__xludf.DUMMYFUNCTION("""COMPUTED_VALUE"""),42774.6666666666)</f>
        <v>42774.666666666599</v>
      </c>
      <c r="B531" s="1">
        <f ca="1">IFERROR(__xludf.DUMMYFUNCTION("""COMPUTED_VALUE"""),40.63)</f>
        <v>40.630000000000003</v>
      </c>
      <c r="C531" s="1">
        <f ca="1">IFERROR(__xludf.DUMMYFUNCTION("""COMPUTED_VALUE"""),41.07)</f>
        <v>41.07</v>
      </c>
      <c r="D531" s="1">
        <f ca="1">IFERROR(__xludf.DUMMYFUNCTION("""COMPUTED_VALUE"""),40.63)</f>
        <v>40.630000000000003</v>
      </c>
      <c r="E531" s="1">
        <f ca="1">IFERROR(__xludf.DUMMYFUNCTION("""COMPUTED_VALUE"""),40.99)</f>
        <v>40.99</v>
      </c>
      <c r="F531" s="1">
        <f ca="1">IFERROR(__xludf.DUMMYFUNCTION("""COMPUTED_VALUE"""),2857985)</f>
        <v>2857985</v>
      </c>
    </row>
    <row r="532" spans="1:6" x14ac:dyDescent="0.35">
      <c r="A532" s="2">
        <f ca="1">IFERROR(__xludf.DUMMYFUNCTION("""COMPUTED_VALUE"""),42775.6666666666)</f>
        <v>42775.666666666599</v>
      </c>
      <c r="B532" s="1">
        <f ca="1">IFERROR(__xludf.DUMMYFUNCTION("""COMPUTED_VALUE"""),41.08)</f>
        <v>41.08</v>
      </c>
      <c r="C532" s="1">
        <f ca="1">IFERROR(__xludf.DUMMYFUNCTION("""COMPUTED_VALUE"""),41.25)</f>
        <v>41.25</v>
      </c>
      <c r="D532" s="1">
        <f ca="1">IFERROR(__xludf.DUMMYFUNCTION("""COMPUTED_VALUE"""),40.99)</f>
        <v>40.99</v>
      </c>
      <c r="E532" s="1">
        <f ca="1">IFERROR(__xludf.DUMMYFUNCTION("""COMPUTED_VALUE"""),41.07)</f>
        <v>41.07</v>
      </c>
      <c r="F532" s="1">
        <f ca="1">IFERROR(__xludf.DUMMYFUNCTION("""COMPUTED_VALUE"""),2484948)</f>
        <v>2484948</v>
      </c>
    </row>
    <row r="533" spans="1:6" x14ac:dyDescent="0.35">
      <c r="A533" s="2">
        <f ca="1">IFERROR(__xludf.DUMMYFUNCTION("""COMPUTED_VALUE"""),42776.6666666666)</f>
        <v>42776.666666666599</v>
      </c>
      <c r="B533" s="1">
        <f ca="1">IFERROR(__xludf.DUMMYFUNCTION("""COMPUTED_VALUE"""),41.19)</f>
        <v>41.19</v>
      </c>
      <c r="C533" s="1">
        <f ca="1">IFERROR(__xludf.DUMMYFUNCTION("""COMPUTED_VALUE"""),41.4)</f>
        <v>41.4</v>
      </c>
      <c r="D533" s="1">
        <f ca="1">IFERROR(__xludf.DUMMYFUNCTION("""COMPUTED_VALUE"""),41.14)</f>
        <v>41.14</v>
      </c>
      <c r="E533" s="1">
        <f ca="1">IFERROR(__xludf.DUMMYFUNCTION("""COMPUTED_VALUE"""),41.37)</f>
        <v>41.37</v>
      </c>
      <c r="F533" s="1">
        <f ca="1">IFERROR(__xludf.DUMMYFUNCTION("""COMPUTED_VALUE"""),2429609)</f>
        <v>2429609</v>
      </c>
    </row>
    <row r="534" spans="1:6" x14ac:dyDescent="0.35">
      <c r="A534" s="2">
        <f ca="1">IFERROR(__xludf.DUMMYFUNCTION("""COMPUTED_VALUE"""),42779.6666666666)</f>
        <v>42779.666666666599</v>
      </c>
      <c r="B534" s="1">
        <f ca="1">IFERROR(__xludf.DUMMYFUNCTION("""COMPUTED_VALUE"""),41.58)</f>
        <v>41.58</v>
      </c>
      <c r="C534" s="1">
        <f ca="1">IFERROR(__xludf.DUMMYFUNCTION("""COMPUTED_VALUE"""),42.15)</f>
        <v>42.15</v>
      </c>
      <c r="D534" s="1">
        <f ca="1">IFERROR(__xludf.DUMMYFUNCTION("""COMPUTED_VALUE"""),41.43)</f>
        <v>41.43</v>
      </c>
      <c r="E534" s="1">
        <f ca="1">IFERROR(__xludf.DUMMYFUNCTION("""COMPUTED_VALUE"""),41.83)</f>
        <v>41.83</v>
      </c>
      <c r="F534" s="1">
        <f ca="1">IFERROR(__xludf.DUMMYFUNCTION("""COMPUTED_VALUE"""),4172618)</f>
        <v>4172618</v>
      </c>
    </row>
    <row r="535" spans="1:6" x14ac:dyDescent="0.35">
      <c r="A535" s="2">
        <f ca="1">IFERROR(__xludf.DUMMYFUNCTION("""COMPUTED_VALUE"""),42780.6666666666)</f>
        <v>42780.666666666599</v>
      </c>
      <c r="B535" s="1">
        <f ca="1">IFERROR(__xludf.DUMMYFUNCTION("""COMPUTED_VALUE"""),41.85)</f>
        <v>41.85</v>
      </c>
      <c r="C535" s="1">
        <f ca="1">IFERROR(__xludf.DUMMYFUNCTION("""COMPUTED_VALUE"""),41.92)</f>
        <v>41.92</v>
      </c>
      <c r="D535" s="1">
        <f ca="1">IFERROR(__xludf.DUMMYFUNCTION("""COMPUTED_VALUE"""),41.57)</f>
        <v>41.57</v>
      </c>
      <c r="E535" s="1">
        <f ca="1">IFERROR(__xludf.DUMMYFUNCTION("""COMPUTED_VALUE"""),41.82)</f>
        <v>41.82</v>
      </c>
      <c r="F535" s="1">
        <f ca="1">IFERROR(__xludf.DUMMYFUNCTION("""COMPUTED_VALUE"""),2792442)</f>
        <v>2792442</v>
      </c>
    </row>
    <row r="536" spans="1:6" x14ac:dyDescent="0.35">
      <c r="A536" s="2">
        <f ca="1">IFERROR(__xludf.DUMMYFUNCTION("""COMPUTED_VALUE"""),42781.6666666666)</f>
        <v>42781.666666666599</v>
      </c>
      <c r="B536" s="1">
        <f ca="1">IFERROR(__xludf.DUMMYFUNCTION("""COMPUTED_VALUE"""),41.7)</f>
        <v>41.7</v>
      </c>
      <c r="C536" s="1">
        <f ca="1">IFERROR(__xludf.DUMMYFUNCTION("""COMPUTED_VALUE"""),42.14)</f>
        <v>42.14</v>
      </c>
      <c r="D536" s="1">
        <f ca="1">IFERROR(__xludf.DUMMYFUNCTION("""COMPUTED_VALUE"""),41.64)</f>
        <v>41.64</v>
      </c>
      <c r="E536" s="1">
        <f ca="1">IFERROR(__xludf.DUMMYFUNCTION("""COMPUTED_VALUE"""),42.14)</f>
        <v>42.14</v>
      </c>
      <c r="F536" s="1">
        <f ca="1">IFERROR(__xludf.DUMMYFUNCTION("""COMPUTED_VALUE"""),2968853)</f>
        <v>2968853</v>
      </c>
    </row>
    <row r="537" spans="1:6" x14ac:dyDescent="0.35">
      <c r="A537" s="2">
        <f ca="1">IFERROR(__xludf.DUMMYFUNCTION("""COMPUTED_VALUE"""),42782.6666666666)</f>
        <v>42782.666666666599</v>
      </c>
      <c r="B537" s="1">
        <f ca="1">IFERROR(__xludf.DUMMYFUNCTION("""COMPUTED_VALUE"""),42.09)</f>
        <v>42.09</v>
      </c>
      <c r="C537" s="1">
        <f ca="1">IFERROR(__xludf.DUMMYFUNCTION("""COMPUTED_VALUE"""),42.25)</f>
        <v>42.25</v>
      </c>
      <c r="D537" s="1">
        <f ca="1">IFERROR(__xludf.DUMMYFUNCTION("""COMPUTED_VALUE"""),41.97)</f>
        <v>41.97</v>
      </c>
      <c r="E537" s="1">
        <f ca="1">IFERROR(__xludf.DUMMYFUNCTION("""COMPUTED_VALUE"""),42.21)</f>
        <v>42.21</v>
      </c>
      <c r="F537" s="1">
        <f ca="1">IFERROR(__xludf.DUMMYFUNCTION("""COMPUTED_VALUE"""),2714667)</f>
        <v>2714667</v>
      </c>
    </row>
    <row r="538" spans="1:6" x14ac:dyDescent="0.35">
      <c r="A538" s="2">
        <f ca="1">IFERROR(__xludf.DUMMYFUNCTION("""COMPUTED_VALUE"""),42783.6666666666)</f>
        <v>42783.666666666599</v>
      </c>
      <c r="B538" s="1">
        <f ca="1">IFERROR(__xludf.DUMMYFUNCTION("""COMPUTED_VALUE"""),42.1)</f>
        <v>42.1</v>
      </c>
      <c r="C538" s="1">
        <f ca="1">IFERROR(__xludf.DUMMYFUNCTION("""COMPUTED_VALUE"""),42.36)</f>
        <v>42.36</v>
      </c>
      <c r="D538" s="1">
        <f ca="1">IFERROR(__xludf.DUMMYFUNCTION("""COMPUTED_VALUE"""),42.04)</f>
        <v>42.04</v>
      </c>
      <c r="E538" s="1">
        <f ca="1">IFERROR(__xludf.DUMMYFUNCTION("""COMPUTED_VALUE"""),42.25)</f>
        <v>42.25</v>
      </c>
      <c r="F538" s="1">
        <f ca="1">IFERROR(__xludf.DUMMYFUNCTION("""COMPUTED_VALUE"""),3112275)</f>
        <v>3112275</v>
      </c>
    </row>
    <row r="539" spans="1:6" x14ac:dyDescent="0.35">
      <c r="A539" s="2">
        <f ca="1">IFERROR(__xludf.DUMMYFUNCTION("""COMPUTED_VALUE"""),42787.6666666666)</f>
        <v>42787.666666666599</v>
      </c>
      <c r="B539" s="1">
        <f ca="1">IFERROR(__xludf.DUMMYFUNCTION("""COMPUTED_VALUE"""),42.44)</f>
        <v>42.44</v>
      </c>
      <c r="C539" s="1">
        <f ca="1">IFERROR(__xludf.DUMMYFUNCTION("""COMPUTED_VALUE"""),42.9)</f>
        <v>42.9</v>
      </c>
      <c r="D539" s="1">
        <f ca="1">IFERROR(__xludf.DUMMYFUNCTION("""COMPUTED_VALUE"""),42.36)</f>
        <v>42.36</v>
      </c>
      <c r="E539" s="1">
        <f ca="1">IFERROR(__xludf.DUMMYFUNCTION("""COMPUTED_VALUE"""),42.82)</f>
        <v>42.82</v>
      </c>
      <c r="F539" s="1">
        <f ca="1">IFERROR(__xludf.DUMMYFUNCTION("""COMPUTED_VALUE"""),3507742)</f>
        <v>3507742</v>
      </c>
    </row>
    <row r="540" spans="1:6" x14ac:dyDescent="0.35">
      <c r="A540" s="2">
        <f ca="1">IFERROR(__xludf.DUMMYFUNCTION("""COMPUTED_VALUE"""),42788.6666666666)</f>
        <v>42788.666666666599</v>
      </c>
      <c r="B540" s="1">
        <f ca="1">IFERROR(__xludf.DUMMYFUNCTION("""COMPUTED_VALUE"""),42.85)</f>
        <v>42.85</v>
      </c>
      <c r="C540" s="1">
        <f ca="1">IFERROR(__xludf.DUMMYFUNCTION("""COMPUTED_VALUE"""),42.92)</f>
        <v>42.92</v>
      </c>
      <c r="D540" s="1">
        <f ca="1">IFERROR(__xludf.DUMMYFUNCTION("""COMPUTED_VALUE"""),42.61)</f>
        <v>42.61</v>
      </c>
      <c r="E540" s="1">
        <f ca="1">IFERROR(__xludf.DUMMYFUNCTION("""COMPUTED_VALUE"""),42.78)</f>
        <v>42.78</v>
      </c>
      <c r="F540" s="1">
        <f ca="1">IFERROR(__xludf.DUMMYFUNCTION("""COMPUTED_VALUE"""),2616971)</f>
        <v>2616971</v>
      </c>
    </row>
    <row r="541" spans="1:6" x14ac:dyDescent="0.35">
      <c r="A541" s="2">
        <f ca="1">IFERROR(__xludf.DUMMYFUNCTION("""COMPUTED_VALUE"""),42789.6666666666)</f>
        <v>42789.666666666599</v>
      </c>
      <c r="B541" s="1">
        <f ca="1">IFERROR(__xludf.DUMMYFUNCTION("""COMPUTED_VALUE"""),42.88)</f>
        <v>42.88</v>
      </c>
      <c r="C541" s="1">
        <f ca="1">IFERROR(__xludf.DUMMYFUNCTION("""COMPUTED_VALUE"""),43.04)</f>
        <v>43.04</v>
      </c>
      <c r="D541" s="1">
        <f ca="1">IFERROR(__xludf.DUMMYFUNCTION("""COMPUTED_VALUE"""),42.4)</f>
        <v>42.4</v>
      </c>
      <c r="E541" s="1">
        <f ca="1">IFERROR(__xludf.DUMMYFUNCTION("""COMPUTED_VALUE"""),42.61)</f>
        <v>42.61</v>
      </c>
      <c r="F541" s="1">
        <f ca="1">IFERROR(__xludf.DUMMYFUNCTION("""COMPUTED_VALUE"""),3461984)</f>
        <v>3461984</v>
      </c>
    </row>
    <row r="542" spans="1:6" x14ac:dyDescent="0.35">
      <c r="A542" s="2">
        <f ca="1">IFERROR(__xludf.DUMMYFUNCTION("""COMPUTED_VALUE"""),42790.6666666666)</f>
        <v>42790.666666666599</v>
      </c>
      <c r="B542" s="1">
        <f ca="1">IFERROR(__xludf.DUMMYFUNCTION("""COMPUTED_VALUE"""),42.23)</f>
        <v>42.23</v>
      </c>
      <c r="C542" s="1">
        <f ca="1">IFERROR(__xludf.DUMMYFUNCTION("""COMPUTED_VALUE"""),42.29)</f>
        <v>42.29</v>
      </c>
      <c r="D542" s="1">
        <f ca="1">IFERROR(__xludf.DUMMYFUNCTION("""COMPUTED_VALUE"""),41.89)</f>
        <v>41.89</v>
      </c>
      <c r="E542" s="1">
        <f ca="1">IFERROR(__xludf.DUMMYFUNCTION("""COMPUTED_VALUE"""),42.26)</f>
        <v>42.26</v>
      </c>
      <c r="F542" s="1">
        <f ca="1">IFERROR(__xludf.DUMMYFUNCTION("""COMPUTED_VALUE"""),3687963)</f>
        <v>3687963</v>
      </c>
    </row>
    <row r="543" spans="1:6" x14ac:dyDescent="0.35">
      <c r="A543" s="2">
        <f ca="1">IFERROR(__xludf.DUMMYFUNCTION("""COMPUTED_VALUE"""),42793.6666666666)</f>
        <v>42793.666666666599</v>
      </c>
      <c r="B543" s="1">
        <f ca="1">IFERROR(__xludf.DUMMYFUNCTION("""COMPUTED_VALUE"""),42.12)</f>
        <v>42.12</v>
      </c>
      <c r="C543" s="1">
        <f ca="1">IFERROR(__xludf.DUMMYFUNCTION("""COMPUTED_VALUE"""),42.63)</f>
        <v>42.63</v>
      </c>
      <c r="D543" s="1">
        <f ca="1">IFERROR(__xludf.DUMMYFUNCTION("""COMPUTED_VALUE"""),41.98)</f>
        <v>41.98</v>
      </c>
      <c r="E543" s="1">
        <f ca="1">IFERROR(__xludf.DUMMYFUNCTION("""COMPUTED_VALUE"""),42.43)</f>
        <v>42.43</v>
      </c>
      <c r="F543" s="1">
        <f ca="1">IFERROR(__xludf.DUMMYFUNCTION("""COMPUTED_VALUE"""),2713627)</f>
        <v>2713627</v>
      </c>
    </row>
    <row r="544" spans="1:6" x14ac:dyDescent="0.35">
      <c r="A544" s="2">
        <f ca="1">IFERROR(__xludf.DUMMYFUNCTION("""COMPUTED_VALUE"""),42794.6666666666)</f>
        <v>42794.666666666599</v>
      </c>
      <c r="B544" s="1">
        <f ca="1">IFERROR(__xludf.DUMMYFUNCTION("""COMPUTED_VALUE"""),42.57)</f>
        <v>42.57</v>
      </c>
      <c r="C544" s="1">
        <f ca="1">IFERROR(__xludf.DUMMYFUNCTION("""COMPUTED_VALUE"""),42.7)</f>
        <v>42.7</v>
      </c>
      <c r="D544" s="1">
        <f ca="1">IFERROR(__xludf.DUMMYFUNCTION("""COMPUTED_VALUE"""),42.1)</f>
        <v>42.1</v>
      </c>
      <c r="E544" s="1">
        <f ca="1">IFERROR(__xludf.DUMMYFUNCTION("""COMPUTED_VALUE"""),42.25)</f>
        <v>42.25</v>
      </c>
      <c r="F544" s="1">
        <f ca="1">IFERROR(__xludf.DUMMYFUNCTION("""COMPUTED_VALUE"""),2793709)</f>
        <v>2793709</v>
      </c>
    </row>
    <row r="545" spans="1:6" x14ac:dyDescent="0.35">
      <c r="A545" s="2">
        <f ca="1">IFERROR(__xludf.DUMMYFUNCTION("""COMPUTED_VALUE"""),42795.6666666666)</f>
        <v>42795.666666666599</v>
      </c>
      <c r="B545" s="1">
        <f ca="1">IFERROR(__xludf.DUMMYFUNCTION("""COMPUTED_VALUE"""),42.65)</f>
        <v>42.65</v>
      </c>
      <c r="C545" s="1">
        <f ca="1">IFERROR(__xludf.DUMMYFUNCTION("""COMPUTED_VALUE"""),42.74)</f>
        <v>42.74</v>
      </c>
      <c r="D545" s="1">
        <f ca="1">IFERROR(__xludf.DUMMYFUNCTION("""COMPUTED_VALUE"""),42.45)</f>
        <v>42.45</v>
      </c>
      <c r="E545" s="1">
        <f ca="1">IFERROR(__xludf.DUMMYFUNCTION("""COMPUTED_VALUE"""),42.65)</f>
        <v>42.65</v>
      </c>
      <c r="F545" s="1">
        <f ca="1">IFERROR(__xludf.DUMMYFUNCTION("""COMPUTED_VALUE"""),2760083)</f>
        <v>2760083</v>
      </c>
    </row>
    <row r="546" spans="1:6" x14ac:dyDescent="0.35">
      <c r="A546" s="2">
        <f ca="1">IFERROR(__xludf.DUMMYFUNCTION("""COMPUTED_VALUE"""),42796.6666666666)</f>
        <v>42796.666666666599</v>
      </c>
      <c r="B546" s="1">
        <f ca="1">IFERROR(__xludf.DUMMYFUNCTION("""COMPUTED_VALUE"""),42.65)</f>
        <v>42.65</v>
      </c>
      <c r="C546" s="1">
        <f ca="1">IFERROR(__xludf.DUMMYFUNCTION("""COMPUTED_VALUE"""),42.74)</f>
        <v>42.74</v>
      </c>
      <c r="D546" s="1">
        <f ca="1">IFERROR(__xludf.DUMMYFUNCTION("""COMPUTED_VALUE"""),42.36)</f>
        <v>42.36</v>
      </c>
      <c r="E546" s="1">
        <f ca="1">IFERROR(__xludf.DUMMYFUNCTION("""COMPUTED_VALUE"""),42.45)</f>
        <v>42.45</v>
      </c>
      <c r="F546" s="1">
        <f ca="1">IFERROR(__xludf.DUMMYFUNCTION("""COMPUTED_VALUE"""),2132098)</f>
        <v>2132098</v>
      </c>
    </row>
    <row r="547" spans="1:6" x14ac:dyDescent="0.35">
      <c r="A547" s="2">
        <f ca="1">IFERROR(__xludf.DUMMYFUNCTION("""COMPUTED_VALUE"""),42797.6666666666)</f>
        <v>42797.666666666599</v>
      </c>
      <c r="B547" s="1">
        <f ca="1">IFERROR(__xludf.DUMMYFUNCTION("""COMPUTED_VALUE"""),42.36)</f>
        <v>42.36</v>
      </c>
      <c r="C547" s="1">
        <f ca="1">IFERROR(__xludf.DUMMYFUNCTION("""COMPUTED_VALUE"""),42.6)</f>
        <v>42.6</v>
      </c>
      <c r="D547" s="1">
        <f ca="1">IFERROR(__xludf.DUMMYFUNCTION("""COMPUTED_VALUE"""),42.31)</f>
        <v>42.31</v>
      </c>
      <c r="E547" s="1">
        <f ca="1">IFERROR(__xludf.DUMMYFUNCTION("""COMPUTED_VALUE"""),42.49)</f>
        <v>42.49</v>
      </c>
      <c r="F547" s="1">
        <f ca="1">IFERROR(__xludf.DUMMYFUNCTION("""COMPUTED_VALUE"""),1951575)</f>
        <v>1951575</v>
      </c>
    </row>
    <row r="548" spans="1:6" x14ac:dyDescent="0.35">
      <c r="A548" s="2">
        <f ca="1">IFERROR(__xludf.DUMMYFUNCTION("""COMPUTED_VALUE"""),42800.6666666666)</f>
        <v>42800.666666666599</v>
      </c>
      <c r="B548" s="1">
        <f ca="1">IFERROR(__xludf.DUMMYFUNCTION("""COMPUTED_VALUE"""),42.26)</f>
        <v>42.26</v>
      </c>
      <c r="C548" s="1">
        <f ca="1">IFERROR(__xludf.DUMMYFUNCTION("""COMPUTED_VALUE"""),42.42)</f>
        <v>42.42</v>
      </c>
      <c r="D548" s="1">
        <f ca="1">IFERROR(__xludf.DUMMYFUNCTION("""COMPUTED_VALUE"""),42.06)</f>
        <v>42.06</v>
      </c>
      <c r="E548" s="1">
        <f ca="1">IFERROR(__xludf.DUMMYFUNCTION("""COMPUTED_VALUE"""),42.33)</f>
        <v>42.33</v>
      </c>
      <c r="F548" s="1">
        <f ca="1">IFERROR(__xludf.DUMMYFUNCTION("""COMPUTED_VALUE"""),2610370)</f>
        <v>2610370</v>
      </c>
    </row>
    <row r="549" spans="1:6" x14ac:dyDescent="0.35">
      <c r="A549" s="2">
        <f ca="1">IFERROR(__xludf.DUMMYFUNCTION("""COMPUTED_VALUE"""),42801.6666666666)</f>
        <v>42801.666666666599</v>
      </c>
      <c r="B549" s="1">
        <f ca="1">IFERROR(__xludf.DUMMYFUNCTION("""COMPUTED_VALUE"""),42.27)</f>
        <v>42.27</v>
      </c>
      <c r="C549" s="1">
        <f ca="1">IFERROR(__xludf.DUMMYFUNCTION("""COMPUTED_VALUE"""),42.42)</f>
        <v>42.42</v>
      </c>
      <c r="D549" s="1">
        <f ca="1">IFERROR(__xludf.DUMMYFUNCTION("""COMPUTED_VALUE"""),42.19)</f>
        <v>42.19</v>
      </c>
      <c r="E549" s="1">
        <f ca="1">IFERROR(__xludf.DUMMYFUNCTION("""COMPUTED_VALUE"""),42.3)</f>
        <v>42.3</v>
      </c>
      <c r="F549" s="1">
        <f ca="1">IFERROR(__xludf.DUMMYFUNCTION("""COMPUTED_VALUE"""),2247554)</f>
        <v>2247554</v>
      </c>
    </row>
    <row r="550" spans="1:6" x14ac:dyDescent="0.35">
      <c r="A550" s="2">
        <f ca="1">IFERROR(__xludf.DUMMYFUNCTION("""COMPUTED_VALUE"""),42802.6666666666)</f>
        <v>42802.666666666599</v>
      </c>
      <c r="B550" s="1">
        <f ca="1">IFERROR(__xludf.DUMMYFUNCTION("""COMPUTED_VALUE"""),42.4)</f>
        <v>42.4</v>
      </c>
      <c r="C550" s="1">
        <f ca="1">IFERROR(__xludf.DUMMYFUNCTION("""COMPUTED_VALUE"""),42.65)</f>
        <v>42.65</v>
      </c>
      <c r="D550" s="1">
        <f ca="1">IFERROR(__xludf.DUMMYFUNCTION("""COMPUTED_VALUE"""),42.34)</f>
        <v>42.34</v>
      </c>
      <c r="E550" s="1">
        <f ca="1">IFERROR(__xludf.DUMMYFUNCTION("""COMPUTED_VALUE"""),42.53)</f>
        <v>42.53</v>
      </c>
      <c r="F550" s="1">
        <f ca="1">IFERROR(__xludf.DUMMYFUNCTION("""COMPUTED_VALUE"""),2288317)</f>
        <v>2288317</v>
      </c>
    </row>
    <row r="551" spans="1:6" x14ac:dyDescent="0.35">
      <c r="A551" s="2">
        <f ca="1">IFERROR(__xludf.DUMMYFUNCTION("""COMPUTED_VALUE"""),42803.6666666666)</f>
        <v>42803.666666666599</v>
      </c>
      <c r="B551" s="1">
        <f ca="1">IFERROR(__xludf.DUMMYFUNCTION("""COMPUTED_VALUE"""),42.55)</f>
        <v>42.55</v>
      </c>
      <c r="C551" s="1">
        <f ca="1">IFERROR(__xludf.DUMMYFUNCTION("""COMPUTED_VALUE"""),42.82)</f>
        <v>42.82</v>
      </c>
      <c r="D551" s="1">
        <f ca="1">IFERROR(__xludf.DUMMYFUNCTION("""COMPUTED_VALUE"""),42.52)</f>
        <v>42.52</v>
      </c>
      <c r="E551" s="1">
        <f ca="1">IFERROR(__xludf.DUMMYFUNCTION("""COMPUTED_VALUE"""),42.65)</f>
        <v>42.65</v>
      </c>
      <c r="F551" s="1">
        <f ca="1">IFERROR(__xludf.DUMMYFUNCTION("""COMPUTED_VALUE"""),2048187)</f>
        <v>2048187</v>
      </c>
    </row>
    <row r="552" spans="1:6" x14ac:dyDescent="0.35">
      <c r="A552" s="2">
        <f ca="1">IFERROR(__xludf.DUMMYFUNCTION("""COMPUTED_VALUE"""),42804.6666666666)</f>
        <v>42804.666666666599</v>
      </c>
      <c r="B552" s="1">
        <f ca="1">IFERROR(__xludf.DUMMYFUNCTION("""COMPUTED_VALUE"""),42.85)</f>
        <v>42.85</v>
      </c>
      <c r="C552" s="1">
        <f ca="1">IFERROR(__xludf.DUMMYFUNCTION("""COMPUTED_VALUE"""),42.87)</f>
        <v>42.87</v>
      </c>
      <c r="D552" s="1">
        <f ca="1">IFERROR(__xludf.DUMMYFUNCTION("""COMPUTED_VALUE"""),42.59)</f>
        <v>42.59</v>
      </c>
      <c r="E552" s="1">
        <f ca="1">IFERROR(__xludf.DUMMYFUNCTION("""COMPUTED_VALUE"""),42.62)</f>
        <v>42.62</v>
      </c>
      <c r="F552" s="1">
        <f ca="1">IFERROR(__xludf.DUMMYFUNCTION("""COMPUTED_VALUE"""),2436434)</f>
        <v>2436434</v>
      </c>
    </row>
    <row r="553" spans="1:6" x14ac:dyDescent="0.35">
      <c r="A553" s="2">
        <f ca="1">IFERROR(__xludf.DUMMYFUNCTION("""COMPUTED_VALUE"""),42807.6666666666)</f>
        <v>42807.666666666599</v>
      </c>
      <c r="B553" s="1">
        <f ca="1">IFERROR(__xludf.DUMMYFUNCTION("""COMPUTED_VALUE"""),42.66)</f>
        <v>42.66</v>
      </c>
      <c r="C553" s="1">
        <f ca="1">IFERROR(__xludf.DUMMYFUNCTION("""COMPUTED_VALUE"""),42.78)</f>
        <v>42.78</v>
      </c>
      <c r="D553" s="1">
        <f ca="1">IFERROR(__xludf.DUMMYFUNCTION("""COMPUTED_VALUE"""),42.59)</f>
        <v>42.59</v>
      </c>
      <c r="E553" s="1">
        <f ca="1">IFERROR(__xludf.DUMMYFUNCTION("""COMPUTED_VALUE"""),42.73)</f>
        <v>42.73</v>
      </c>
      <c r="F553" s="1">
        <f ca="1">IFERROR(__xludf.DUMMYFUNCTION("""COMPUTED_VALUE"""),1909672)</f>
        <v>1909672</v>
      </c>
    </row>
    <row r="554" spans="1:6" x14ac:dyDescent="0.35">
      <c r="A554" s="2">
        <f ca="1">IFERROR(__xludf.DUMMYFUNCTION("""COMPUTED_VALUE"""),42808.6666666666)</f>
        <v>42808.666666666599</v>
      </c>
      <c r="B554" s="1">
        <f ca="1">IFERROR(__xludf.DUMMYFUNCTION("""COMPUTED_VALUE"""),42.68)</f>
        <v>42.68</v>
      </c>
      <c r="C554" s="1">
        <f ca="1">IFERROR(__xludf.DUMMYFUNCTION("""COMPUTED_VALUE"""),42.69)</f>
        <v>42.69</v>
      </c>
      <c r="D554" s="1">
        <f ca="1">IFERROR(__xludf.DUMMYFUNCTION("""COMPUTED_VALUE"""),42.38)</f>
        <v>42.38</v>
      </c>
      <c r="E554" s="1">
        <f ca="1">IFERROR(__xludf.DUMMYFUNCTION("""COMPUTED_VALUE"""),42.63)</f>
        <v>42.63</v>
      </c>
      <c r="F554" s="1">
        <f ca="1">IFERROR(__xludf.DUMMYFUNCTION("""COMPUTED_VALUE"""),2130586)</f>
        <v>2130586</v>
      </c>
    </row>
    <row r="555" spans="1:6" x14ac:dyDescent="0.35">
      <c r="A555" s="2">
        <f ca="1">IFERROR(__xludf.DUMMYFUNCTION("""COMPUTED_VALUE"""),42809.6666666666)</f>
        <v>42809.666666666599</v>
      </c>
      <c r="B555" s="1">
        <f ca="1">IFERROR(__xludf.DUMMYFUNCTION("""COMPUTED_VALUE"""),42.72)</f>
        <v>42.72</v>
      </c>
      <c r="C555" s="1">
        <f ca="1">IFERROR(__xludf.DUMMYFUNCTION("""COMPUTED_VALUE"""),42.72)</f>
        <v>42.72</v>
      </c>
      <c r="D555" s="1">
        <f ca="1">IFERROR(__xludf.DUMMYFUNCTION("""COMPUTED_VALUE"""),42.36)</f>
        <v>42.36</v>
      </c>
      <c r="E555" s="1">
        <f ca="1">IFERROR(__xludf.DUMMYFUNCTION("""COMPUTED_VALUE"""),42.65)</f>
        <v>42.65</v>
      </c>
      <c r="F555" s="1">
        <f ca="1">IFERROR(__xludf.DUMMYFUNCTION("""COMPUTED_VALUE"""),2562176)</f>
        <v>2562176</v>
      </c>
    </row>
    <row r="556" spans="1:6" x14ac:dyDescent="0.35">
      <c r="A556" s="2">
        <f ca="1">IFERROR(__xludf.DUMMYFUNCTION("""COMPUTED_VALUE"""),42810.6666666666)</f>
        <v>42810.666666666599</v>
      </c>
      <c r="B556" s="1">
        <f ca="1">IFERROR(__xludf.DUMMYFUNCTION("""COMPUTED_VALUE"""),42.77)</f>
        <v>42.77</v>
      </c>
      <c r="C556" s="1">
        <f ca="1">IFERROR(__xludf.DUMMYFUNCTION("""COMPUTED_VALUE"""),42.78)</f>
        <v>42.78</v>
      </c>
      <c r="D556" s="1">
        <f ca="1">IFERROR(__xludf.DUMMYFUNCTION("""COMPUTED_VALUE"""),42.53)</f>
        <v>42.53</v>
      </c>
      <c r="E556" s="1">
        <f ca="1">IFERROR(__xludf.DUMMYFUNCTION("""COMPUTED_VALUE"""),42.67)</f>
        <v>42.67</v>
      </c>
      <c r="F556" s="1">
        <f ca="1">IFERROR(__xludf.DUMMYFUNCTION("""COMPUTED_VALUE"""),1842296)</f>
        <v>1842296</v>
      </c>
    </row>
    <row r="557" spans="1:6" x14ac:dyDescent="0.35">
      <c r="A557" s="2">
        <f ca="1">IFERROR(__xludf.DUMMYFUNCTION("""COMPUTED_VALUE"""),42811.6666666666)</f>
        <v>42811.666666666599</v>
      </c>
      <c r="B557" s="1">
        <f ca="1">IFERROR(__xludf.DUMMYFUNCTION("""COMPUTED_VALUE"""),42.67)</f>
        <v>42.67</v>
      </c>
      <c r="C557" s="1">
        <f ca="1">IFERROR(__xludf.DUMMYFUNCTION("""COMPUTED_VALUE"""),42.69)</f>
        <v>42.69</v>
      </c>
      <c r="D557" s="1">
        <f ca="1">IFERROR(__xludf.DUMMYFUNCTION("""COMPUTED_VALUE"""),42.53)</f>
        <v>42.53</v>
      </c>
      <c r="E557" s="1">
        <f ca="1">IFERROR(__xludf.DUMMYFUNCTION("""COMPUTED_VALUE"""),42.62)</f>
        <v>42.62</v>
      </c>
      <c r="F557" s="1">
        <f ca="1">IFERROR(__xludf.DUMMYFUNCTION("""COMPUTED_VALUE"""),3384403)</f>
        <v>3384403</v>
      </c>
    </row>
    <row r="558" spans="1:6" x14ac:dyDescent="0.35">
      <c r="A558" s="2">
        <f ca="1">IFERROR(__xludf.DUMMYFUNCTION("""COMPUTED_VALUE"""),42814.6666666666)</f>
        <v>42814.666666666599</v>
      </c>
      <c r="B558" s="1">
        <f ca="1">IFERROR(__xludf.DUMMYFUNCTION("""COMPUTED_VALUE"""),42.58)</f>
        <v>42.58</v>
      </c>
      <c r="C558" s="1">
        <f ca="1">IFERROR(__xludf.DUMMYFUNCTION("""COMPUTED_VALUE"""),42.89)</f>
        <v>42.89</v>
      </c>
      <c r="D558" s="1">
        <f ca="1">IFERROR(__xludf.DUMMYFUNCTION("""COMPUTED_VALUE"""),42.55)</f>
        <v>42.55</v>
      </c>
      <c r="E558" s="1">
        <f ca="1">IFERROR(__xludf.DUMMYFUNCTION("""COMPUTED_VALUE"""),42.85)</f>
        <v>42.85</v>
      </c>
      <c r="F558" s="1">
        <f ca="1">IFERROR(__xludf.DUMMYFUNCTION("""COMPUTED_VALUE"""),2282727)</f>
        <v>2282727</v>
      </c>
    </row>
    <row r="559" spans="1:6" x14ac:dyDescent="0.35">
      <c r="A559" s="2">
        <f ca="1">IFERROR(__xludf.DUMMYFUNCTION("""COMPUTED_VALUE"""),42815.6666666666)</f>
        <v>42815.666666666599</v>
      </c>
      <c r="B559" s="1">
        <f ca="1">IFERROR(__xludf.DUMMYFUNCTION("""COMPUTED_VALUE"""),42.94)</f>
        <v>42.94</v>
      </c>
      <c r="C559" s="1">
        <f ca="1">IFERROR(__xludf.DUMMYFUNCTION("""COMPUTED_VALUE"""),43.14)</f>
        <v>43.14</v>
      </c>
      <c r="D559" s="1">
        <f ca="1">IFERROR(__xludf.DUMMYFUNCTION("""COMPUTED_VALUE"""),42.07)</f>
        <v>42.07</v>
      </c>
      <c r="E559" s="1">
        <f ca="1">IFERROR(__xludf.DUMMYFUNCTION("""COMPUTED_VALUE"""),42.16)</f>
        <v>42.16</v>
      </c>
      <c r="F559" s="1">
        <f ca="1">IFERROR(__xludf.DUMMYFUNCTION("""COMPUTED_VALUE"""),4382852)</f>
        <v>4382852</v>
      </c>
    </row>
    <row r="560" spans="1:6" x14ac:dyDescent="0.35">
      <c r="A560" s="2">
        <f ca="1">IFERROR(__xludf.DUMMYFUNCTION("""COMPUTED_VALUE"""),42816.6666666666)</f>
        <v>42816.666666666599</v>
      </c>
      <c r="B560" s="1">
        <f ca="1">IFERROR(__xludf.DUMMYFUNCTION("""COMPUTED_VALUE"""),42.02)</f>
        <v>42.02</v>
      </c>
      <c r="C560" s="1">
        <f ca="1">IFERROR(__xludf.DUMMYFUNCTION("""COMPUTED_VALUE"""),42.47)</f>
        <v>42.47</v>
      </c>
      <c r="D560" s="1">
        <f ca="1">IFERROR(__xludf.DUMMYFUNCTION("""COMPUTED_VALUE"""),41.95)</f>
        <v>41.95</v>
      </c>
      <c r="E560" s="1">
        <f ca="1">IFERROR(__xludf.DUMMYFUNCTION("""COMPUTED_VALUE"""),42.4)</f>
        <v>42.4</v>
      </c>
      <c r="F560" s="1">
        <f ca="1">IFERROR(__xludf.DUMMYFUNCTION("""COMPUTED_VALUE"""),2658669)</f>
        <v>2658669</v>
      </c>
    </row>
    <row r="561" spans="1:6" x14ac:dyDescent="0.35">
      <c r="A561" s="2">
        <f ca="1">IFERROR(__xludf.DUMMYFUNCTION("""COMPUTED_VALUE"""),42817.6666666666)</f>
        <v>42817.666666666599</v>
      </c>
      <c r="B561" s="1">
        <f ca="1">IFERROR(__xludf.DUMMYFUNCTION("""COMPUTED_VALUE"""),42.41)</f>
        <v>42.41</v>
      </c>
      <c r="C561" s="1">
        <f ca="1">IFERROR(__xludf.DUMMYFUNCTION("""COMPUTED_VALUE"""),42.54)</f>
        <v>42.54</v>
      </c>
      <c r="D561" s="1">
        <f ca="1">IFERROR(__xludf.DUMMYFUNCTION("""COMPUTED_VALUE"""),42.24)</f>
        <v>42.24</v>
      </c>
      <c r="E561" s="1">
        <f ca="1">IFERROR(__xludf.DUMMYFUNCTION("""COMPUTED_VALUE"""),42.37)</f>
        <v>42.37</v>
      </c>
      <c r="F561" s="1">
        <f ca="1">IFERROR(__xludf.DUMMYFUNCTION("""COMPUTED_VALUE"""),1952964)</f>
        <v>1952964</v>
      </c>
    </row>
    <row r="562" spans="1:6" x14ac:dyDescent="0.35">
      <c r="A562" s="2">
        <f ca="1">IFERROR(__xludf.DUMMYFUNCTION("""COMPUTED_VALUE"""),42818.6666666666)</f>
        <v>42818.666666666599</v>
      </c>
      <c r="B562" s="1">
        <f ca="1">IFERROR(__xludf.DUMMYFUNCTION("""COMPUTED_VALUE"""),42.58)</f>
        <v>42.58</v>
      </c>
      <c r="C562" s="1">
        <f ca="1">IFERROR(__xludf.DUMMYFUNCTION("""COMPUTED_VALUE"""),42.59)</f>
        <v>42.59</v>
      </c>
      <c r="D562" s="1">
        <f ca="1">IFERROR(__xludf.DUMMYFUNCTION("""COMPUTED_VALUE"""),42.18)</f>
        <v>42.18</v>
      </c>
      <c r="E562" s="1">
        <f ca="1">IFERROR(__xludf.DUMMYFUNCTION("""COMPUTED_VALUE"""),42.28)</f>
        <v>42.28</v>
      </c>
      <c r="F562" s="1">
        <f ca="1">IFERROR(__xludf.DUMMYFUNCTION("""COMPUTED_VALUE"""),2138269)</f>
        <v>2138269</v>
      </c>
    </row>
    <row r="563" spans="1:6" x14ac:dyDescent="0.35">
      <c r="A563" s="2">
        <f ca="1">IFERROR(__xludf.DUMMYFUNCTION("""COMPUTED_VALUE"""),42821.6666666666)</f>
        <v>42821.666666666599</v>
      </c>
      <c r="B563" s="1">
        <f ca="1">IFERROR(__xludf.DUMMYFUNCTION("""COMPUTED_VALUE"""),41.9)</f>
        <v>41.9</v>
      </c>
      <c r="C563" s="1">
        <f ca="1">IFERROR(__xludf.DUMMYFUNCTION("""COMPUTED_VALUE"""),42.52)</f>
        <v>42.52</v>
      </c>
      <c r="D563" s="1">
        <f ca="1">IFERROR(__xludf.DUMMYFUNCTION("""COMPUTED_VALUE"""),41.68)</f>
        <v>41.68</v>
      </c>
      <c r="E563" s="1">
        <f ca="1">IFERROR(__xludf.DUMMYFUNCTION("""COMPUTED_VALUE"""),42.34)</f>
        <v>42.34</v>
      </c>
      <c r="F563" s="1">
        <f ca="1">IFERROR(__xludf.DUMMYFUNCTION("""COMPUTED_VALUE"""),2755775)</f>
        <v>2755775</v>
      </c>
    </row>
    <row r="564" spans="1:6" x14ac:dyDescent="0.35">
      <c r="A564" s="2">
        <f ca="1">IFERROR(__xludf.DUMMYFUNCTION("""COMPUTED_VALUE"""),42822.6666666666)</f>
        <v>42822.666666666599</v>
      </c>
      <c r="B564" s="1">
        <f ca="1">IFERROR(__xludf.DUMMYFUNCTION("""COMPUTED_VALUE"""),42.59)</f>
        <v>42.59</v>
      </c>
      <c r="C564" s="1">
        <f ca="1">IFERROR(__xludf.DUMMYFUNCTION("""COMPUTED_VALUE"""),42.92)</f>
        <v>42.92</v>
      </c>
      <c r="D564" s="1">
        <f ca="1">IFERROR(__xludf.DUMMYFUNCTION("""COMPUTED_VALUE"""),42.51)</f>
        <v>42.51</v>
      </c>
      <c r="E564" s="1">
        <f ca="1">IFERROR(__xludf.DUMMYFUNCTION("""COMPUTED_VALUE"""),42.8)</f>
        <v>42.8</v>
      </c>
      <c r="F564" s="1">
        <f ca="1">IFERROR(__xludf.DUMMYFUNCTION("""COMPUTED_VALUE"""),3041633)</f>
        <v>3041633</v>
      </c>
    </row>
    <row r="565" spans="1:6" x14ac:dyDescent="0.35">
      <c r="A565" s="2">
        <f ca="1">IFERROR(__xludf.DUMMYFUNCTION("""COMPUTED_VALUE"""),42823.6666666666)</f>
        <v>42823.666666666599</v>
      </c>
      <c r="B565" s="1">
        <f ca="1">IFERROR(__xludf.DUMMYFUNCTION("""COMPUTED_VALUE"""),42.95)</f>
        <v>42.95</v>
      </c>
      <c r="C565" s="1">
        <f ca="1">IFERROR(__xludf.DUMMYFUNCTION("""COMPUTED_VALUE"""),43.82)</f>
        <v>43.82</v>
      </c>
      <c r="D565" s="1">
        <f ca="1">IFERROR(__xludf.DUMMYFUNCTION("""COMPUTED_VALUE"""),42.95)</f>
        <v>42.95</v>
      </c>
      <c r="E565" s="1">
        <f ca="1">IFERROR(__xludf.DUMMYFUNCTION("""COMPUTED_VALUE"""),43.72)</f>
        <v>43.72</v>
      </c>
      <c r="F565" s="1">
        <f ca="1">IFERROR(__xludf.DUMMYFUNCTION("""COMPUTED_VALUE"""),4485770)</f>
        <v>4485770</v>
      </c>
    </row>
    <row r="566" spans="1:6" x14ac:dyDescent="0.35">
      <c r="A566" s="2">
        <f ca="1">IFERROR(__xludf.DUMMYFUNCTION("""COMPUTED_VALUE"""),42824.6666666666)</f>
        <v>42824.666666666599</v>
      </c>
      <c r="B566" s="1">
        <f ca="1">IFERROR(__xludf.DUMMYFUNCTION("""COMPUTED_VALUE"""),43.75)</f>
        <v>43.75</v>
      </c>
      <c r="C566" s="1">
        <f ca="1">IFERROR(__xludf.DUMMYFUNCTION("""COMPUTED_VALUE"""),43.85)</f>
        <v>43.85</v>
      </c>
      <c r="D566" s="1">
        <f ca="1">IFERROR(__xludf.DUMMYFUNCTION("""COMPUTED_VALUE"""),43.58)</f>
        <v>43.58</v>
      </c>
      <c r="E566" s="1">
        <f ca="1">IFERROR(__xludf.DUMMYFUNCTION("""COMPUTED_VALUE"""),43.82)</f>
        <v>43.82</v>
      </c>
      <c r="F566" s="1">
        <f ca="1">IFERROR(__xludf.DUMMYFUNCTION("""COMPUTED_VALUE"""),2762730)</f>
        <v>2762730</v>
      </c>
    </row>
    <row r="567" spans="1:6" x14ac:dyDescent="0.35">
      <c r="A567" s="2">
        <f ca="1">IFERROR(__xludf.DUMMYFUNCTION("""COMPUTED_VALUE"""),42825.6666666666)</f>
        <v>42825.666666666599</v>
      </c>
      <c r="B567" s="1">
        <f ca="1">IFERROR(__xludf.DUMMYFUNCTION("""COMPUTED_VALUE"""),43.85)</f>
        <v>43.85</v>
      </c>
      <c r="C567" s="1">
        <f ca="1">IFERROR(__xludf.DUMMYFUNCTION("""COMPUTED_VALUE"""),44.52)</f>
        <v>44.52</v>
      </c>
      <c r="D567" s="1">
        <f ca="1">IFERROR(__xludf.DUMMYFUNCTION("""COMPUTED_VALUE"""),43.83)</f>
        <v>43.83</v>
      </c>
      <c r="E567" s="1">
        <f ca="1">IFERROR(__xludf.DUMMYFUNCTION("""COMPUTED_VALUE"""),44.33)</f>
        <v>44.33</v>
      </c>
      <c r="F567" s="1">
        <f ca="1">IFERROR(__xludf.DUMMYFUNCTION("""COMPUTED_VALUE"""),3957612)</f>
        <v>3957612</v>
      </c>
    </row>
    <row r="568" spans="1:6" x14ac:dyDescent="0.35">
      <c r="A568" s="2">
        <f ca="1">IFERROR(__xludf.DUMMYFUNCTION("""COMPUTED_VALUE"""),42828.6666666666)</f>
        <v>42828.666666666599</v>
      </c>
      <c r="B568" s="1">
        <f ca="1">IFERROR(__xludf.DUMMYFUNCTION("""COMPUTED_VALUE"""),44.4)</f>
        <v>44.4</v>
      </c>
      <c r="C568" s="1">
        <f ca="1">IFERROR(__xludf.DUMMYFUNCTION("""COMPUTED_VALUE"""),44.67)</f>
        <v>44.67</v>
      </c>
      <c r="D568" s="1">
        <f ca="1">IFERROR(__xludf.DUMMYFUNCTION("""COMPUTED_VALUE"""),44.27)</f>
        <v>44.27</v>
      </c>
      <c r="E568" s="1">
        <f ca="1">IFERROR(__xludf.DUMMYFUNCTION("""COMPUTED_VALUE"""),44.58)</f>
        <v>44.58</v>
      </c>
      <c r="F568" s="1">
        <f ca="1">IFERROR(__xludf.DUMMYFUNCTION("""COMPUTED_VALUE"""),3422328)</f>
        <v>3422328</v>
      </c>
    </row>
    <row r="569" spans="1:6" x14ac:dyDescent="0.35">
      <c r="A569" s="2">
        <f ca="1">IFERROR(__xludf.DUMMYFUNCTION("""COMPUTED_VALUE"""),42829.6666666666)</f>
        <v>42829.666666666599</v>
      </c>
      <c r="B569" s="1">
        <f ca="1">IFERROR(__xludf.DUMMYFUNCTION("""COMPUTED_VALUE"""),44.58)</f>
        <v>44.58</v>
      </c>
      <c r="C569" s="1">
        <f ca="1">IFERROR(__xludf.DUMMYFUNCTION("""COMPUTED_VALUE"""),45.43)</f>
        <v>45.43</v>
      </c>
      <c r="D569" s="1">
        <f ca="1">IFERROR(__xludf.DUMMYFUNCTION("""COMPUTED_VALUE"""),44.51)</f>
        <v>44.51</v>
      </c>
      <c r="E569" s="1">
        <f ca="1">IFERROR(__xludf.DUMMYFUNCTION("""COMPUTED_VALUE"""),45.34)</f>
        <v>45.34</v>
      </c>
      <c r="F569" s="1">
        <f ca="1">IFERROR(__xludf.DUMMYFUNCTION("""COMPUTED_VALUE"""),4984656)</f>
        <v>4984656</v>
      </c>
    </row>
    <row r="570" spans="1:6" x14ac:dyDescent="0.35">
      <c r="A570" s="2">
        <f ca="1">IFERROR(__xludf.DUMMYFUNCTION("""COMPUTED_VALUE"""),42830.6666666666)</f>
        <v>42830.666666666599</v>
      </c>
      <c r="B570" s="1">
        <f ca="1">IFERROR(__xludf.DUMMYFUNCTION("""COMPUTED_VALUE"""),45.54)</f>
        <v>45.54</v>
      </c>
      <c r="C570" s="1">
        <f ca="1">IFERROR(__xludf.DUMMYFUNCTION("""COMPUTED_VALUE"""),46.19)</f>
        <v>46.19</v>
      </c>
      <c r="D570" s="1">
        <f ca="1">IFERROR(__xludf.DUMMYFUNCTION("""COMPUTED_VALUE"""),45.28)</f>
        <v>45.28</v>
      </c>
      <c r="E570" s="1">
        <f ca="1">IFERROR(__xludf.DUMMYFUNCTION("""COMPUTED_VALUE"""),45.46)</f>
        <v>45.46</v>
      </c>
      <c r="F570" s="1">
        <f ca="1">IFERROR(__xludf.DUMMYFUNCTION("""COMPUTED_VALUE"""),7508370)</f>
        <v>7508370</v>
      </c>
    </row>
    <row r="571" spans="1:6" x14ac:dyDescent="0.35">
      <c r="A571" s="2">
        <f ca="1">IFERROR(__xludf.DUMMYFUNCTION("""COMPUTED_VALUE"""),42831.6666666666)</f>
        <v>42831.666666666599</v>
      </c>
      <c r="B571" s="1">
        <f ca="1">IFERROR(__xludf.DUMMYFUNCTION("""COMPUTED_VALUE"""),45.69)</f>
        <v>45.69</v>
      </c>
      <c r="C571" s="1">
        <f ca="1">IFERROR(__xludf.DUMMYFUNCTION("""COMPUTED_VALUE"""),45.86)</f>
        <v>45.86</v>
      </c>
      <c r="D571" s="1">
        <f ca="1">IFERROR(__xludf.DUMMYFUNCTION("""COMPUTED_VALUE"""),44.72)</f>
        <v>44.72</v>
      </c>
      <c r="E571" s="1">
        <f ca="1">IFERROR(__xludf.DUMMYFUNCTION("""COMPUTED_VALUE"""),44.91)</f>
        <v>44.91</v>
      </c>
      <c r="F571" s="1">
        <f ca="1">IFERROR(__xludf.DUMMYFUNCTION("""COMPUTED_VALUE"""),6344065)</f>
        <v>6344065</v>
      </c>
    </row>
    <row r="572" spans="1:6" x14ac:dyDescent="0.35">
      <c r="A572" s="2">
        <f ca="1">IFERROR(__xludf.DUMMYFUNCTION("""COMPUTED_VALUE"""),42832.6666666666)</f>
        <v>42832.666666666599</v>
      </c>
      <c r="B572" s="1">
        <f ca="1">IFERROR(__xludf.DUMMYFUNCTION("""COMPUTED_VALUE"""),44.98)</f>
        <v>44.98</v>
      </c>
      <c r="C572" s="1">
        <f ca="1">IFERROR(__xludf.DUMMYFUNCTION("""COMPUTED_VALUE"""),45)</f>
        <v>45</v>
      </c>
      <c r="D572" s="1">
        <f ca="1">IFERROR(__xludf.DUMMYFUNCTION("""COMPUTED_VALUE"""),44.47)</f>
        <v>44.47</v>
      </c>
      <c r="E572" s="1">
        <f ca="1">IFERROR(__xludf.DUMMYFUNCTION("""COMPUTED_VALUE"""),44.74)</f>
        <v>44.74</v>
      </c>
      <c r="F572" s="1">
        <f ca="1">IFERROR(__xludf.DUMMYFUNCTION("""COMPUTED_VALUE"""),3710922)</f>
        <v>3710922</v>
      </c>
    </row>
    <row r="573" spans="1:6" x14ac:dyDescent="0.35">
      <c r="A573" s="2">
        <f ca="1">IFERROR(__xludf.DUMMYFUNCTION("""COMPUTED_VALUE"""),42835.6666666666)</f>
        <v>42835.666666666599</v>
      </c>
      <c r="B573" s="1">
        <f ca="1">IFERROR(__xludf.DUMMYFUNCTION("""COMPUTED_VALUE"""),44.98)</f>
        <v>44.98</v>
      </c>
      <c r="C573" s="1">
        <f ca="1">IFERROR(__xludf.DUMMYFUNCTION("""COMPUTED_VALUE"""),45.43)</f>
        <v>45.43</v>
      </c>
      <c r="D573" s="1">
        <f ca="1">IFERROR(__xludf.DUMMYFUNCTION("""COMPUTED_VALUE"""),44.95)</f>
        <v>44.95</v>
      </c>
      <c r="E573" s="1">
        <f ca="1">IFERROR(__xludf.DUMMYFUNCTION("""COMPUTED_VALUE"""),45.35)</f>
        <v>45.35</v>
      </c>
      <c r="F573" s="1">
        <f ca="1">IFERROR(__xludf.DUMMYFUNCTION("""COMPUTED_VALUE"""),3184301)</f>
        <v>3184301</v>
      </c>
    </row>
    <row r="574" spans="1:6" x14ac:dyDescent="0.35">
      <c r="A574" s="2">
        <f ca="1">IFERROR(__xludf.DUMMYFUNCTION("""COMPUTED_VALUE"""),42836.6666666666)</f>
        <v>42836.666666666599</v>
      </c>
      <c r="B574" s="1">
        <f ca="1">IFERROR(__xludf.DUMMYFUNCTION("""COMPUTED_VALUE"""),45.35)</f>
        <v>45.35</v>
      </c>
      <c r="C574" s="1">
        <f ca="1">IFERROR(__xludf.DUMMYFUNCTION("""COMPUTED_VALUE"""),45.56)</f>
        <v>45.56</v>
      </c>
      <c r="D574" s="1">
        <f ca="1">IFERROR(__xludf.DUMMYFUNCTION("""COMPUTED_VALUE"""),44.88)</f>
        <v>44.88</v>
      </c>
      <c r="E574" s="1">
        <f ca="1">IFERROR(__xludf.DUMMYFUNCTION("""COMPUTED_VALUE"""),45.12)</f>
        <v>45.12</v>
      </c>
      <c r="F574" s="1">
        <f ca="1">IFERROR(__xludf.DUMMYFUNCTION("""COMPUTED_VALUE"""),3012743)</f>
        <v>3012743</v>
      </c>
    </row>
    <row r="575" spans="1:6" x14ac:dyDescent="0.35">
      <c r="A575" s="2">
        <f ca="1">IFERROR(__xludf.DUMMYFUNCTION("""COMPUTED_VALUE"""),42837.6666666666)</f>
        <v>42837.666666666599</v>
      </c>
      <c r="B575" s="1">
        <f ca="1">IFERROR(__xludf.DUMMYFUNCTION("""COMPUTED_VALUE"""),45.15)</f>
        <v>45.15</v>
      </c>
      <c r="C575" s="1">
        <f ca="1">IFERROR(__xludf.DUMMYFUNCTION("""COMPUTED_VALUE"""),45.2)</f>
        <v>45.2</v>
      </c>
      <c r="D575" s="1">
        <f ca="1">IFERROR(__xludf.DUMMYFUNCTION("""COMPUTED_VALUE"""),44.76)</f>
        <v>44.76</v>
      </c>
      <c r="E575" s="1">
        <f ca="1">IFERROR(__xludf.DUMMYFUNCTION("""COMPUTED_VALUE"""),44.81)</f>
        <v>44.81</v>
      </c>
      <c r="F575" s="1">
        <f ca="1">IFERROR(__xludf.DUMMYFUNCTION("""COMPUTED_VALUE"""),2456140)</f>
        <v>2456140</v>
      </c>
    </row>
    <row r="576" spans="1:6" x14ac:dyDescent="0.35">
      <c r="A576" s="2">
        <f ca="1">IFERROR(__xludf.DUMMYFUNCTION("""COMPUTED_VALUE"""),42838.6666666666)</f>
        <v>42838.666666666599</v>
      </c>
      <c r="B576" s="1">
        <f ca="1">IFERROR(__xludf.DUMMYFUNCTION("""COMPUTED_VALUE"""),44.57)</f>
        <v>44.57</v>
      </c>
      <c r="C576" s="1">
        <f ca="1">IFERROR(__xludf.DUMMYFUNCTION("""COMPUTED_VALUE"""),44.75)</f>
        <v>44.75</v>
      </c>
      <c r="D576" s="1">
        <f ca="1">IFERROR(__xludf.DUMMYFUNCTION("""COMPUTED_VALUE"""),44.22)</f>
        <v>44.22</v>
      </c>
      <c r="E576" s="1">
        <f ca="1">IFERROR(__xludf.DUMMYFUNCTION("""COMPUTED_VALUE"""),44.23)</f>
        <v>44.23</v>
      </c>
      <c r="F576" s="1">
        <f ca="1">IFERROR(__xludf.DUMMYFUNCTION("""COMPUTED_VALUE"""),3174583)</f>
        <v>3174583</v>
      </c>
    </row>
    <row r="577" spans="1:6" x14ac:dyDescent="0.35">
      <c r="A577" s="2">
        <f ca="1">IFERROR(__xludf.DUMMYFUNCTION("""COMPUTED_VALUE"""),42842.6666666666)</f>
        <v>42842.666666666599</v>
      </c>
      <c r="B577" s="1">
        <f ca="1">IFERROR(__xludf.DUMMYFUNCTION("""COMPUTED_VALUE"""),44.38)</f>
        <v>44.38</v>
      </c>
      <c r="C577" s="1">
        <f ca="1">IFERROR(__xludf.DUMMYFUNCTION("""COMPUTED_VALUE"""),45.12)</f>
        <v>45.12</v>
      </c>
      <c r="D577" s="1">
        <f ca="1">IFERROR(__xludf.DUMMYFUNCTION("""COMPUTED_VALUE"""),44.38)</f>
        <v>44.38</v>
      </c>
      <c r="E577" s="1">
        <f ca="1">IFERROR(__xludf.DUMMYFUNCTION("""COMPUTED_VALUE"""),45.1)</f>
        <v>45.1</v>
      </c>
      <c r="F577" s="1">
        <f ca="1">IFERROR(__xludf.DUMMYFUNCTION("""COMPUTED_VALUE"""),2854673)</f>
        <v>2854673</v>
      </c>
    </row>
    <row r="578" spans="1:6" x14ac:dyDescent="0.35">
      <c r="A578" s="2">
        <f ca="1">IFERROR(__xludf.DUMMYFUNCTION("""COMPUTED_VALUE"""),42843.6666666666)</f>
        <v>42843.666666666599</v>
      </c>
      <c r="B578" s="1">
        <f ca="1">IFERROR(__xludf.DUMMYFUNCTION("""COMPUTED_VALUE"""),45.05)</f>
        <v>45.05</v>
      </c>
      <c r="C578" s="1">
        <f ca="1">IFERROR(__xludf.DUMMYFUNCTION("""COMPUTED_VALUE"""),45.48)</f>
        <v>45.48</v>
      </c>
      <c r="D578" s="1">
        <f ca="1">IFERROR(__xludf.DUMMYFUNCTION("""COMPUTED_VALUE"""),45.04)</f>
        <v>45.04</v>
      </c>
      <c r="E578" s="1">
        <f ca="1">IFERROR(__xludf.DUMMYFUNCTION("""COMPUTED_VALUE"""),45.19)</f>
        <v>45.19</v>
      </c>
      <c r="F578" s="1">
        <f ca="1">IFERROR(__xludf.DUMMYFUNCTION("""COMPUTED_VALUE"""),2999238)</f>
        <v>2999238</v>
      </c>
    </row>
    <row r="579" spans="1:6" x14ac:dyDescent="0.35">
      <c r="A579" s="2">
        <f ca="1">IFERROR(__xludf.DUMMYFUNCTION("""COMPUTED_VALUE"""),42844.6666666666)</f>
        <v>42844.666666666599</v>
      </c>
      <c r="B579" s="1">
        <f ca="1">IFERROR(__xludf.DUMMYFUNCTION("""COMPUTED_VALUE"""),45.39)</f>
        <v>45.39</v>
      </c>
      <c r="C579" s="1">
        <f ca="1">IFERROR(__xludf.DUMMYFUNCTION("""COMPUTED_VALUE"""),45.53)</f>
        <v>45.53</v>
      </c>
      <c r="D579" s="1">
        <f ca="1">IFERROR(__xludf.DUMMYFUNCTION("""COMPUTED_VALUE"""),44.87)</f>
        <v>44.87</v>
      </c>
      <c r="E579" s="1">
        <f ca="1">IFERROR(__xludf.DUMMYFUNCTION("""COMPUTED_VALUE"""),44.96)</f>
        <v>44.96</v>
      </c>
      <c r="F579" s="1">
        <f ca="1">IFERROR(__xludf.DUMMYFUNCTION("""COMPUTED_VALUE"""),2870242)</f>
        <v>2870242</v>
      </c>
    </row>
    <row r="580" spans="1:6" x14ac:dyDescent="0.35">
      <c r="A580" s="2">
        <f ca="1">IFERROR(__xludf.DUMMYFUNCTION("""COMPUTED_VALUE"""),42845.6666666666)</f>
        <v>42845.666666666599</v>
      </c>
      <c r="B580" s="1">
        <f ca="1">IFERROR(__xludf.DUMMYFUNCTION("""COMPUTED_VALUE"""),44.99)</f>
        <v>44.99</v>
      </c>
      <c r="C580" s="1">
        <f ca="1">IFERROR(__xludf.DUMMYFUNCTION("""COMPUTED_VALUE"""),45.27)</f>
        <v>45.27</v>
      </c>
      <c r="D580" s="1">
        <f ca="1">IFERROR(__xludf.DUMMYFUNCTION("""COMPUTED_VALUE"""),44.81)</f>
        <v>44.81</v>
      </c>
      <c r="E580" s="1">
        <f ca="1">IFERROR(__xludf.DUMMYFUNCTION("""COMPUTED_VALUE"""),45.1)</f>
        <v>45.1</v>
      </c>
      <c r="F580" s="1">
        <f ca="1">IFERROR(__xludf.DUMMYFUNCTION("""COMPUTED_VALUE"""),2814441)</f>
        <v>2814441</v>
      </c>
    </row>
    <row r="581" spans="1:6" x14ac:dyDescent="0.35">
      <c r="A581" s="2">
        <f ca="1">IFERROR(__xludf.DUMMYFUNCTION("""COMPUTED_VALUE"""),42846.6666666666)</f>
        <v>42846.666666666599</v>
      </c>
      <c r="B581" s="1">
        <f ca="1">IFERROR(__xludf.DUMMYFUNCTION("""COMPUTED_VALUE"""),45.13)</f>
        <v>45.13</v>
      </c>
      <c r="C581" s="1">
        <f ca="1">IFERROR(__xludf.DUMMYFUNCTION("""COMPUTED_VALUE"""),45.18)</f>
        <v>45.18</v>
      </c>
      <c r="D581" s="1">
        <f ca="1">IFERROR(__xludf.DUMMYFUNCTION("""COMPUTED_VALUE"""),44.84)</f>
        <v>44.84</v>
      </c>
      <c r="E581" s="1">
        <f ca="1">IFERROR(__xludf.DUMMYFUNCTION("""COMPUTED_VALUE"""),44.93)</f>
        <v>44.93</v>
      </c>
      <c r="F581" s="1">
        <f ca="1">IFERROR(__xludf.DUMMYFUNCTION("""COMPUTED_VALUE"""),2420494)</f>
        <v>2420494</v>
      </c>
    </row>
    <row r="582" spans="1:6" x14ac:dyDescent="0.35">
      <c r="A582" s="2">
        <f ca="1">IFERROR(__xludf.DUMMYFUNCTION("""COMPUTED_VALUE"""),42849.6666666666)</f>
        <v>42849.666666666599</v>
      </c>
      <c r="B582" s="1">
        <f ca="1">IFERROR(__xludf.DUMMYFUNCTION("""COMPUTED_VALUE"""),45.43)</f>
        <v>45.43</v>
      </c>
      <c r="C582" s="1">
        <f ca="1">IFERROR(__xludf.DUMMYFUNCTION("""COMPUTED_VALUE"""),45.5)</f>
        <v>45.5</v>
      </c>
      <c r="D582" s="1">
        <f ca="1">IFERROR(__xludf.DUMMYFUNCTION("""COMPUTED_VALUE"""),45.19)</f>
        <v>45.19</v>
      </c>
      <c r="E582" s="1">
        <f ca="1">IFERROR(__xludf.DUMMYFUNCTION("""COMPUTED_VALUE"""),45.37)</f>
        <v>45.37</v>
      </c>
      <c r="F582" s="1">
        <f ca="1">IFERROR(__xludf.DUMMYFUNCTION("""COMPUTED_VALUE"""),3122893)</f>
        <v>3122893</v>
      </c>
    </row>
    <row r="583" spans="1:6" x14ac:dyDescent="0.35">
      <c r="A583" s="2">
        <f ca="1">IFERROR(__xludf.DUMMYFUNCTION("""COMPUTED_VALUE"""),42850.6666666666)</f>
        <v>42850.666666666599</v>
      </c>
      <c r="B583" s="1">
        <f ca="1">IFERROR(__xludf.DUMMYFUNCTION("""COMPUTED_VALUE"""),45.35)</f>
        <v>45.35</v>
      </c>
      <c r="C583" s="1">
        <f ca="1">IFERROR(__xludf.DUMMYFUNCTION("""COMPUTED_VALUE"""),45.47)</f>
        <v>45.47</v>
      </c>
      <c r="D583" s="1">
        <f ca="1">IFERROR(__xludf.DUMMYFUNCTION("""COMPUTED_VALUE"""),45.15)</f>
        <v>45.15</v>
      </c>
      <c r="E583" s="1">
        <f ca="1">IFERROR(__xludf.DUMMYFUNCTION("""COMPUTED_VALUE"""),45.38)</f>
        <v>45.38</v>
      </c>
      <c r="F583" s="1">
        <f ca="1">IFERROR(__xludf.DUMMYFUNCTION("""COMPUTED_VALUE"""),3380639)</f>
        <v>3380639</v>
      </c>
    </row>
    <row r="584" spans="1:6" x14ac:dyDescent="0.35">
      <c r="A584" s="2">
        <f ca="1">IFERROR(__xludf.DUMMYFUNCTION("""COMPUTED_VALUE"""),42851.6666666666)</f>
        <v>42851.666666666599</v>
      </c>
      <c r="B584" s="1">
        <f ca="1">IFERROR(__xludf.DUMMYFUNCTION("""COMPUTED_VALUE"""),45.52)</f>
        <v>45.52</v>
      </c>
      <c r="C584" s="1">
        <f ca="1">IFERROR(__xludf.DUMMYFUNCTION("""COMPUTED_VALUE"""),45.79)</f>
        <v>45.79</v>
      </c>
      <c r="D584" s="1">
        <f ca="1">IFERROR(__xludf.DUMMYFUNCTION("""COMPUTED_VALUE"""),45.38)</f>
        <v>45.38</v>
      </c>
      <c r="E584" s="1">
        <f ca="1">IFERROR(__xludf.DUMMYFUNCTION("""COMPUTED_VALUE"""),45.46)</f>
        <v>45.46</v>
      </c>
      <c r="F584" s="1">
        <f ca="1">IFERROR(__xludf.DUMMYFUNCTION("""COMPUTED_VALUE"""),2608948)</f>
        <v>2608948</v>
      </c>
    </row>
    <row r="585" spans="1:6" x14ac:dyDescent="0.35">
      <c r="A585" s="2">
        <f ca="1">IFERROR(__xludf.DUMMYFUNCTION("""COMPUTED_VALUE"""),42852.6666666666)</f>
        <v>42852.666666666599</v>
      </c>
      <c r="B585" s="1">
        <f ca="1">IFERROR(__xludf.DUMMYFUNCTION("""COMPUTED_VALUE"""),45.72)</f>
        <v>45.72</v>
      </c>
      <c r="C585" s="1">
        <f ca="1">IFERROR(__xludf.DUMMYFUNCTION("""COMPUTED_VALUE"""),46.09)</f>
        <v>46.09</v>
      </c>
      <c r="D585" s="1">
        <f ca="1">IFERROR(__xludf.DUMMYFUNCTION("""COMPUTED_VALUE"""),45.61)</f>
        <v>45.61</v>
      </c>
      <c r="E585" s="1">
        <f ca="1">IFERROR(__xludf.DUMMYFUNCTION("""COMPUTED_VALUE"""),45.92)</f>
        <v>45.92</v>
      </c>
      <c r="F585" s="1">
        <f ca="1">IFERROR(__xludf.DUMMYFUNCTION("""COMPUTED_VALUE"""),5305543)</f>
        <v>5305543</v>
      </c>
    </row>
    <row r="586" spans="1:6" x14ac:dyDescent="0.35">
      <c r="A586" s="2">
        <f ca="1">IFERROR(__xludf.DUMMYFUNCTION("""COMPUTED_VALUE"""),42853.6666666666)</f>
        <v>42853.666666666599</v>
      </c>
      <c r="B586" s="1">
        <f ca="1">IFERROR(__xludf.DUMMYFUNCTION("""COMPUTED_VALUE"""),47.44)</f>
        <v>47.44</v>
      </c>
      <c r="C586" s="1">
        <f ca="1">IFERROR(__xludf.DUMMYFUNCTION("""COMPUTED_VALUE"""),47.48)</f>
        <v>47.48</v>
      </c>
      <c r="D586" s="1">
        <f ca="1">IFERROR(__xludf.DUMMYFUNCTION("""COMPUTED_VALUE"""),46.22)</f>
        <v>46.22</v>
      </c>
      <c r="E586" s="1">
        <f ca="1">IFERROR(__xludf.DUMMYFUNCTION("""COMPUTED_VALUE"""),46.25)</f>
        <v>46.25</v>
      </c>
      <c r="F586" s="1">
        <f ca="1">IFERROR(__xludf.DUMMYFUNCTION("""COMPUTED_VALUE"""),7364681)</f>
        <v>7364681</v>
      </c>
    </row>
    <row r="587" spans="1:6" x14ac:dyDescent="0.35">
      <c r="A587" s="2">
        <f ca="1">IFERROR(__xludf.DUMMYFUNCTION("""COMPUTED_VALUE"""),42856.6666666666)</f>
        <v>42856.666666666599</v>
      </c>
      <c r="B587" s="1">
        <f ca="1">IFERROR(__xludf.DUMMYFUNCTION("""COMPUTED_VALUE"""),46.39)</f>
        <v>46.39</v>
      </c>
      <c r="C587" s="1">
        <f ca="1">IFERROR(__xludf.DUMMYFUNCTION("""COMPUTED_VALUE"""),47.72)</f>
        <v>47.72</v>
      </c>
      <c r="D587" s="1">
        <f ca="1">IFERROR(__xludf.DUMMYFUNCTION("""COMPUTED_VALUE"""),46.39)</f>
        <v>46.39</v>
      </c>
      <c r="E587" s="1">
        <f ca="1">IFERROR(__xludf.DUMMYFUNCTION("""COMPUTED_VALUE"""),47.41)</f>
        <v>47.41</v>
      </c>
      <c r="F587" s="1">
        <f ca="1">IFERROR(__xludf.DUMMYFUNCTION("""COMPUTED_VALUE"""),5466544)</f>
        <v>5466544</v>
      </c>
    </row>
    <row r="588" spans="1:6" x14ac:dyDescent="0.35">
      <c r="A588" s="2">
        <f ca="1">IFERROR(__xludf.DUMMYFUNCTION("""COMPUTED_VALUE"""),42857.6666666666)</f>
        <v>42857.666666666599</v>
      </c>
      <c r="B588" s="1">
        <f ca="1">IFERROR(__xludf.DUMMYFUNCTION("""COMPUTED_VALUE"""),47.33)</f>
        <v>47.33</v>
      </c>
      <c r="C588" s="1">
        <f ca="1">IFERROR(__xludf.DUMMYFUNCTION("""COMPUTED_VALUE"""),47.51)</f>
        <v>47.51</v>
      </c>
      <c r="D588" s="1">
        <f ca="1">IFERROR(__xludf.DUMMYFUNCTION("""COMPUTED_VALUE"""),47.07)</f>
        <v>47.07</v>
      </c>
      <c r="E588" s="1">
        <f ca="1">IFERROR(__xludf.DUMMYFUNCTION("""COMPUTED_VALUE"""),47.35)</f>
        <v>47.35</v>
      </c>
      <c r="F588" s="1">
        <f ca="1">IFERROR(__xludf.DUMMYFUNCTION("""COMPUTED_VALUE"""),3848835)</f>
        <v>3848835</v>
      </c>
    </row>
    <row r="589" spans="1:6" x14ac:dyDescent="0.35">
      <c r="A589" s="2">
        <f ca="1">IFERROR(__xludf.DUMMYFUNCTION("""COMPUTED_VALUE"""),42858.6666666666)</f>
        <v>42858.666666666599</v>
      </c>
      <c r="B589" s="1">
        <f ca="1">IFERROR(__xludf.DUMMYFUNCTION("""COMPUTED_VALUE"""),47.3)</f>
        <v>47.3</v>
      </c>
      <c r="C589" s="1">
        <f ca="1">IFERROR(__xludf.DUMMYFUNCTION("""COMPUTED_VALUE"""),47.3)</f>
        <v>47.3</v>
      </c>
      <c r="D589" s="1">
        <f ca="1">IFERROR(__xludf.DUMMYFUNCTION("""COMPUTED_VALUE"""),46.8)</f>
        <v>46.8</v>
      </c>
      <c r="E589" s="1">
        <f ca="1">IFERROR(__xludf.DUMMYFUNCTION("""COMPUTED_VALUE"""),47.05)</f>
        <v>47.05</v>
      </c>
      <c r="F589" s="1">
        <f ca="1">IFERROR(__xludf.DUMMYFUNCTION("""COMPUTED_VALUE"""),3582686)</f>
        <v>3582686</v>
      </c>
    </row>
    <row r="590" spans="1:6" x14ac:dyDescent="0.35">
      <c r="A590" s="2">
        <f ca="1">IFERROR(__xludf.DUMMYFUNCTION("""COMPUTED_VALUE"""),42859.6666666666)</f>
        <v>42859.666666666599</v>
      </c>
      <c r="B590" s="1">
        <f ca="1">IFERROR(__xludf.DUMMYFUNCTION("""COMPUTED_VALUE"""),47.24)</f>
        <v>47.24</v>
      </c>
      <c r="C590" s="1">
        <f ca="1">IFERROR(__xludf.DUMMYFUNCTION("""COMPUTED_VALUE"""),47.25)</f>
        <v>47.25</v>
      </c>
      <c r="D590" s="1">
        <f ca="1">IFERROR(__xludf.DUMMYFUNCTION("""COMPUTED_VALUE"""),46.71)</f>
        <v>46.71</v>
      </c>
      <c r="E590" s="1">
        <f ca="1">IFERROR(__xludf.DUMMYFUNCTION("""COMPUTED_VALUE"""),46.88)</f>
        <v>46.88</v>
      </c>
      <c r="F590" s="1">
        <f ca="1">IFERROR(__xludf.DUMMYFUNCTION("""COMPUTED_VALUE"""),2418381)</f>
        <v>2418381</v>
      </c>
    </row>
    <row r="591" spans="1:6" x14ac:dyDescent="0.35">
      <c r="A591" s="2">
        <f ca="1">IFERROR(__xludf.DUMMYFUNCTION("""COMPUTED_VALUE"""),42860.6666666666)</f>
        <v>42860.666666666599</v>
      </c>
      <c r="B591" s="1">
        <f ca="1">IFERROR(__xludf.DUMMYFUNCTION("""COMPUTED_VALUE"""),47.03)</f>
        <v>47.03</v>
      </c>
      <c r="C591" s="1">
        <f ca="1">IFERROR(__xludf.DUMMYFUNCTION("""COMPUTED_VALUE"""),47.04)</f>
        <v>47.04</v>
      </c>
      <c r="D591" s="1">
        <f ca="1">IFERROR(__xludf.DUMMYFUNCTION("""COMPUTED_VALUE"""),46.52)</f>
        <v>46.52</v>
      </c>
      <c r="E591" s="1">
        <f ca="1">IFERROR(__xludf.DUMMYFUNCTION("""COMPUTED_VALUE"""),46.71)</f>
        <v>46.71</v>
      </c>
      <c r="F591" s="1">
        <f ca="1">IFERROR(__xludf.DUMMYFUNCTION("""COMPUTED_VALUE"""),2866397)</f>
        <v>2866397</v>
      </c>
    </row>
    <row r="592" spans="1:6" x14ac:dyDescent="0.35">
      <c r="A592" s="2">
        <f ca="1">IFERROR(__xludf.DUMMYFUNCTION("""COMPUTED_VALUE"""),42863.6666666666)</f>
        <v>42863.666666666599</v>
      </c>
      <c r="B592" s="1">
        <f ca="1">IFERROR(__xludf.DUMMYFUNCTION("""COMPUTED_VALUE"""),47.05)</f>
        <v>47.05</v>
      </c>
      <c r="C592" s="1">
        <f ca="1">IFERROR(__xludf.DUMMYFUNCTION("""COMPUTED_VALUE"""),47.45)</f>
        <v>47.45</v>
      </c>
      <c r="D592" s="1">
        <f ca="1">IFERROR(__xludf.DUMMYFUNCTION("""COMPUTED_VALUE"""),46.96)</f>
        <v>46.96</v>
      </c>
      <c r="E592" s="1">
        <f ca="1">IFERROR(__xludf.DUMMYFUNCTION("""COMPUTED_VALUE"""),47.45)</f>
        <v>47.45</v>
      </c>
      <c r="F592" s="1">
        <f ca="1">IFERROR(__xludf.DUMMYFUNCTION("""COMPUTED_VALUE"""),3415731)</f>
        <v>3415731</v>
      </c>
    </row>
    <row r="593" spans="1:6" x14ac:dyDescent="0.35">
      <c r="A593" s="2">
        <f ca="1">IFERROR(__xludf.DUMMYFUNCTION("""COMPUTED_VALUE"""),42864.6666666666)</f>
        <v>42864.666666666599</v>
      </c>
      <c r="B593" s="1">
        <f ca="1">IFERROR(__xludf.DUMMYFUNCTION("""COMPUTED_VALUE"""),47.64)</f>
        <v>47.64</v>
      </c>
      <c r="C593" s="1">
        <f ca="1">IFERROR(__xludf.DUMMYFUNCTION("""COMPUTED_VALUE"""),47.89)</f>
        <v>47.89</v>
      </c>
      <c r="D593" s="1">
        <f ca="1">IFERROR(__xludf.DUMMYFUNCTION("""COMPUTED_VALUE"""),47.51)</f>
        <v>47.51</v>
      </c>
      <c r="E593" s="1">
        <f ca="1">IFERROR(__xludf.DUMMYFUNCTION("""COMPUTED_VALUE"""),47.64)</f>
        <v>47.64</v>
      </c>
      <c r="F593" s="1">
        <f ca="1">IFERROR(__xludf.DUMMYFUNCTION("""COMPUTED_VALUE"""),3262113)</f>
        <v>3262113</v>
      </c>
    </row>
    <row r="594" spans="1:6" x14ac:dyDescent="0.35">
      <c r="A594" s="2">
        <f ca="1">IFERROR(__xludf.DUMMYFUNCTION("""COMPUTED_VALUE"""),42865.6666666666)</f>
        <v>42865.666666666599</v>
      </c>
      <c r="B594" s="1">
        <f ca="1">IFERROR(__xludf.DUMMYFUNCTION("""COMPUTED_VALUE"""),47.68)</f>
        <v>47.68</v>
      </c>
      <c r="C594" s="1">
        <f ca="1">IFERROR(__xludf.DUMMYFUNCTION("""COMPUTED_VALUE"""),47.69)</f>
        <v>47.69</v>
      </c>
      <c r="D594" s="1">
        <f ca="1">IFERROR(__xludf.DUMMYFUNCTION("""COMPUTED_VALUE"""),47.25)</f>
        <v>47.25</v>
      </c>
      <c r="E594" s="1">
        <f ca="1">IFERROR(__xludf.DUMMYFUNCTION("""COMPUTED_VALUE"""),47.45)</f>
        <v>47.45</v>
      </c>
      <c r="F594" s="1">
        <f ca="1">IFERROR(__xludf.DUMMYFUNCTION("""COMPUTED_VALUE"""),2096512)</f>
        <v>2096512</v>
      </c>
    </row>
    <row r="595" spans="1:6" x14ac:dyDescent="0.35">
      <c r="A595" s="2">
        <f ca="1">IFERROR(__xludf.DUMMYFUNCTION("""COMPUTED_VALUE"""),42866.6666666666)</f>
        <v>42866.666666666599</v>
      </c>
      <c r="B595" s="1">
        <f ca="1">IFERROR(__xludf.DUMMYFUNCTION("""COMPUTED_VALUE"""),47.26)</f>
        <v>47.26</v>
      </c>
      <c r="C595" s="1">
        <f ca="1">IFERROR(__xludf.DUMMYFUNCTION("""COMPUTED_VALUE"""),47.51)</f>
        <v>47.51</v>
      </c>
      <c r="D595" s="1">
        <f ca="1">IFERROR(__xludf.DUMMYFUNCTION("""COMPUTED_VALUE"""),47.04)</f>
        <v>47.04</v>
      </c>
      <c r="E595" s="1">
        <f ca="1">IFERROR(__xludf.DUMMYFUNCTION("""COMPUTED_VALUE"""),47.38)</f>
        <v>47.38</v>
      </c>
      <c r="F595" s="1">
        <f ca="1">IFERROR(__xludf.DUMMYFUNCTION("""COMPUTED_VALUE"""),2194070)</f>
        <v>2194070</v>
      </c>
    </row>
    <row r="596" spans="1:6" x14ac:dyDescent="0.35">
      <c r="A596" s="2">
        <f ca="1">IFERROR(__xludf.DUMMYFUNCTION("""COMPUTED_VALUE"""),42867.6666666666)</f>
        <v>42867.666666666599</v>
      </c>
      <c r="B596" s="1">
        <f ca="1">IFERROR(__xludf.DUMMYFUNCTION("""COMPUTED_VALUE"""),47.73)</f>
        <v>47.73</v>
      </c>
      <c r="C596" s="1">
        <f ca="1">IFERROR(__xludf.DUMMYFUNCTION("""COMPUTED_VALUE"""),48.14)</f>
        <v>48.14</v>
      </c>
      <c r="D596" s="1">
        <f ca="1">IFERROR(__xludf.DUMMYFUNCTION("""COMPUTED_VALUE"""),47.58)</f>
        <v>47.58</v>
      </c>
      <c r="E596" s="1">
        <f ca="1">IFERROR(__xludf.DUMMYFUNCTION("""COMPUTED_VALUE"""),48.07)</f>
        <v>48.07</v>
      </c>
      <c r="F596" s="1">
        <f ca="1">IFERROR(__xludf.DUMMYFUNCTION("""COMPUTED_VALUE"""),3625857)</f>
        <v>3625857</v>
      </c>
    </row>
    <row r="597" spans="1:6" x14ac:dyDescent="0.35">
      <c r="A597" s="2">
        <f ca="1">IFERROR(__xludf.DUMMYFUNCTION("""COMPUTED_VALUE"""),42870.6666666666)</f>
        <v>42870.666666666599</v>
      </c>
      <c r="B597" s="1">
        <f ca="1">IFERROR(__xludf.DUMMYFUNCTION("""COMPUTED_VALUE"""),47.94)</f>
        <v>47.94</v>
      </c>
      <c r="C597" s="1">
        <f ca="1">IFERROR(__xludf.DUMMYFUNCTION("""COMPUTED_VALUE"""),48.16)</f>
        <v>48.16</v>
      </c>
      <c r="D597" s="1">
        <f ca="1">IFERROR(__xludf.DUMMYFUNCTION("""COMPUTED_VALUE"""),47.8)</f>
        <v>47.8</v>
      </c>
      <c r="E597" s="1">
        <f ca="1">IFERROR(__xludf.DUMMYFUNCTION("""COMPUTED_VALUE"""),47.9)</f>
        <v>47.9</v>
      </c>
      <c r="F597" s="1">
        <f ca="1">IFERROR(__xludf.DUMMYFUNCTION("""COMPUTED_VALUE"""),4270625)</f>
        <v>4270625</v>
      </c>
    </row>
    <row r="598" spans="1:6" x14ac:dyDescent="0.35">
      <c r="A598" s="2">
        <f ca="1">IFERROR(__xludf.DUMMYFUNCTION("""COMPUTED_VALUE"""),42871.6666666666)</f>
        <v>42871.666666666599</v>
      </c>
      <c r="B598" s="1">
        <f ca="1">IFERROR(__xludf.DUMMYFUNCTION("""COMPUTED_VALUE"""),48.05)</f>
        <v>48.05</v>
      </c>
      <c r="C598" s="1">
        <f ca="1">IFERROR(__xludf.DUMMYFUNCTION("""COMPUTED_VALUE"""),48.5)</f>
        <v>48.5</v>
      </c>
      <c r="D598" s="1">
        <f ca="1">IFERROR(__xludf.DUMMYFUNCTION("""COMPUTED_VALUE"""),48.05)</f>
        <v>48.05</v>
      </c>
      <c r="E598" s="1">
        <f ca="1">IFERROR(__xludf.DUMMYFUNCTION("""COMPUTED_VALUE"""),48.3)</f>
        <v>48.3</v>
      </c>
      <c r="F598" s="1">
        <f ca="1">IFERROR(__xludf.DUMMYFUNCTION("""COMPUTED_VALUE"""),3126051)</f>
        <v>3126051</v>
      </c>
    </row>
    <row r="599" spans="1:6" x14ac:dyDescent="0.35">
      <c r="A599" s="2">
        <f ca="1">IFERROR(__xludf.DUMMYFUNCTION("""COMPUTED_VALUE"""),42872.6666666666)</f>
        <v>42872.666666666599</v>
      </c>
      <c r="B599" s="1">
        <f ca="1">IFERROR(__xludf.DUMMYFUNCTION("""COMPUTED_VALUE"""),47.74)</f>
        <v>47.74</v>
      </c>
      <c r="C599" s="1">
        <f ca="1">IFERROR(__xludf.DUMMYFUNCTION("""COMPUTED_VALUE"""),48.02)</f>
        <v>48.02</v>
      </c>
      <c r="D599" s="1">
        <f ca="1">IFERROR(__xludf.DUMMYFUNCTION("""COMPUTED_VALUE"""),47.21)</f>
        <v>47.21</v>
      </c>
      <c r="E599" s="1">
        <f ca="1">IFERROR(__xludf.DUMMYFUNCTION("""COMPUTED_VALUE"""),47.24)</f>
        <v>47.24</v>
      </c>
      <c r="F599" s="1">
        <f ca="1">IFERROR(__xludf.DUMMYFUNCTION("""COMPUTED_VALUE"""),5145578)</f>
        <v>5145578</v>
      </c>
    </row>
    <row r="600" spans="1:6" x14ac:dyDescent="0.35">
      <c r="A600" s="2">
        <f ca="1">IFERROR(__xludf.DUMMYFUNCTION("""COMPUTED_VALUE"""),42873.6666666666)</f>
        <v>42873.666666666599</v>
      </c>
      <c r="B600" s="1">
        <f ca="1">IFERROR(__xludf.DUMMYFUNCTION("""COMPUTED_VALUE"""),47.24)</f>
        <v>47.24</v>
      </c>
      <c r="C600" s="1">
        <f ca="1">IFERROR(__xludf.DUMMYFUNCTION("""COMPUTED_VALUE"""),48.14)</f>
        <v>48.14</v>
      </c>
      <c r="D600" s="1">
        <f ca="1">IFERROR(__xludf.DUMMYFUNCTION("""COMPUTED_VALUE"""),47.24)</f>
        <v>47.24</v>
      </c>
      <c r="E600" s="1">
        <f ca="1">IFERROR(__xludf.DUMMYFUNCTION("""COMPUTED_VALUE"""),47.92)</f>
        <v>47.92</v>
      </c>
      <c r="F600" s="1">
        <f ca="1">IFERROR(__xludf.DUMMYFUNCTION("""COMPUTED_VALUE"""),3939347)</f>
        <v>3939347</v>
      </c>
    </row>
    <row r="601" spans="1:6" x14ac:dyDescent="0.35">
      <c r="A601" s="2">
        <f ca="1">IFERROR(__xludf.DUMMYFUNCTION("""COMPUTED_VALUE"""),42874.6666666666)</f>
        <v>42874.666666666599</v>
      </c>
      <c r="B601" s="1">
        <f ca="1">IFERROR(__xludf.DUMMYFUNCTION("""COMPUTED_VALUE"""),48.14)</f>
        <v>48.14</v>
      </c>
      <c r="C601" s="1">
        <f ca="1">IFERROR(__xludf.DUMMYFUNCTION("""COMPUTED_VALUE"""),48.45)</f>
        <v>48.45</v>
      </c>
      <c r="D601" s="1">
        <f ca="1">IFERROR(__xludf.DUMMYFUNCTION("""COMPUTED_VALUE"""),47.99)</f>
        <v>47.99</v>
      </c>
      <c r="E601" s="1">
        <f ca="1">IFERROR(__xludf.DUMMYFUNCTION("""COMPUTED_VALUE"""),47.99)</f>
        <v>47.99</v>
      </c>
      <c r="F601" s="1">
        <f ca="1">IFERROR(__xludf.DUMMYFUNCTION("""COMPUTED_VALUE"""),3972089)</f>
        <v>3972089</v>
      </c>
    </row>
    <row r="602" spans="1:6" x14ac:dyDescent="0.35">
      <c r="A602" s="2">
        <f ca="1">IFERROR(__xludf.DUMMYFUNCTION("""COMPUTED_VALUE"""),42877.6666666666)</f>
        <v>42877.666666666599</v>
      </c>
      <c r="B602" s="1">
        <f ca="1">IFERROR(__xludf.DUMMYFUNCTION("""COMPUTED_VALUE"""),48.2)</f>
        <v>48.2</v>
      </c>
      <c r="C602" s="1">
        <f ca="1">IFERROR(__xludf.DUMMYFUNCTION("""COMPUTED_VALUE"""),48.57)</f>
        <v>48.57</v>
      </c>
      <c r="D602" s="1">
        <f ca="1">IFERROR(__xludf.DUMMYFUNCTION("""COMPUTED_VALUE"""),48.15)</f>
        <v>48.15</v>
      </c>
      <c r="E602" s="1">
        <f ca="1">IFERROR(__xludf.DUMMYFUNCTION("""COMPUTED_VALUE"""),48.53)</f>
        <v>48.53</v>
      </c>
      <c r="F602" s="1">
        <f ca="1">IFERROR(__xludf.DUMMYFUNCTION("""COMPUTED_VALUE"""),2642217)</f>
        <v>2642217</v>
      </c>
    </row>
    <row r="603" spans="1:6" x14ac:dyDescent="0.35">
      <c r="A603" s="2">
        <f ca="1">IFERROR(__xludf.DUMMYFUNCTION("""COMPUTED_VALUE"""),42878.6666666666)</f>
        <v>42878.666666666599</v>
      </c>
      <c r="B603" s="1">
        <f ca="1">IFERROR(__xludf.DUMMYFUNCTION("""COMPUTED_VALUE"""),48.75)</f>
        <v>48.75</v>
      </c>
      <c r="C603" s="1">
        <f ca="1">IFERROR(__xludf.DUMMYFUNCTION("""COMPUTED_VALUE"""),48.76)</f>
        <v>48.76</v>
      </c>
      <c r="D603" s="1">
        <f ca="1">IFERROR(__xludf.DUMMYFUNCTION("""COMPUTED_VALUE"""),48.34)</f>
        <v>48.34</v>
      </c>
      <c r="E603" s="1">
        <f ca="1">IFERROR(__xludf.DUMMYFUNCTION("""COMPUTED_VALUE"""),48.58)</f>
        <v>48.58</v>
      </c>
      <c r="F603" s="1">
        <f ca="1">IFERROR(__xludf.DUMMYFUNCTION("""COMPUTED_VALUE"""),2415594)</f>
        <v>2415594</v>
      </c>
    </row>
    <row r="604" spans="1:6" x14ac:dyDescent="0.35">
      <c r="A604" s="2">
        <f ca="1">IFERROR(__xludf.DUMMYFUNCTION("""COMPUTED_VALUE"""),42879.6666666666)</f>
        <v>42879.666666666599</v>
      </c>
      <c r="B604" s="1">
        <f ca="1">IFERROR(__xludf.DUMMYFUNCTION("""COMPUTED_VALUE"""),48.8)</f>
        <v>48.8</v>
      </c>
      <c r="C604" s="1">
        <f ca="1">IFERROR(__xludf.DUMMYFUNCTION("""COMPUTED_VALUE"""),49.05)</f>
        <v>49.05</v>
      </c>
      <c r="D604" s="1">
        <f ca="1">IFERROR(__xludf.DUMMYFUNCTION("""COMPUTED_VALUE"""),48.51)</f>
        <v>48.51</v>
      </c>
      <c r="E604" s="1">
        <f ca="1">IFERROR(__xludf.DUMMYFUNCTION("""COMPUTED_VALUE"""),49.02)</f>
        <v>49.02</v>
      </c>
      <c r="F604" s="1">
        <f ca="1">IFERROR(__xludf.DUMMYFUNCTION("""COMPUTED_VALUE"""),2463052)</f>
        <v>2463052</v>
      </c>
    </row>
    <row r="605" spans="1:6" x14ac:dyDescent="0.35">
      <c r="A605" s="2">
        <f ca="1">IFERROR(__xludf.DUMMYFUNCTION("""COMPUTED_VALUE"""),42880.6666666666)</f>
        <v>42880.666666666599</v>
      </c>
      <c r="B605" s="1">
        <f ca="1">IFERROR(__xludf.DUMMYFUNCTION("""COMPUTED_VALUE"""),49.24)</f>
        <v>49.24</v>
      </c>
      <c r="C605" s="1">
        <f ca="1">IFERROR(__xludf.DUMMYFUNCTION("""COMPUTED_VALUE"""),49.95)</f>
        <v>49.95</v>
      </c>
      <c r="D605" s="1">
        <f ca="1">IFERROR(__xludf.DUMMYFUNCTION("""COMPUTED_VALUE"""),49.11)</f>
        <v>49.11</v>
      </c>
      <c r="E605" s="1">
        <f ca="1">IFERROR(__xludf.DUMMYFUNCTION("""COMPUTED_VALUE"""),49.67)</f>
        <v>49.67</v>
      </c>
      <c r="F605" s="1">
        <f ca="1">IFERROR(__xludf.DUMMYFUNCTION("""COMPUTED_VALUE"""),4822032)</f>
        <v>4822032</v>
      </c>
    </row>
    <row r="606" spans="1:6" x14ac:dyDescent="0.35">
      <c r="A606" s="2">
        <f ca="1">IFERROR(__xludf.DUMMYFUNCTION("""COMPUTED_VALUE"""),42881.6666666666)</f>
        <v>42881.666666666599</v>
      </c>
      <c r="B606" s="1">
        <f ca="1">IFERROR(__xludf.DUMMYFUNCTION("""COMPUTED_VALUE"""),49.75)</f>
        <v>49.75</v>
      </c>
      <c r="C606" s="1">
        <f ca="1">IFERROR(__xludf.DUMMYFUNCTION("""COMPUTED_VALUE"""),49.93)</f>
        <v>49.93</v>
      </c>
      <c r="D606" s="1">
        <f ca="1">IFERROR(__xludf.DUMMYFUNCTION("""COMPUTED_VALUE"""),49.46)</f>
        <v>49.46</v>
      </c>
      <c r="E606" s="1">
        <f ca="1">IFERROR(__xludf.DUMMYFUNCTION("""COMPUTED_VALUE"""),49.79)</f>
        <v>49.79</v>
      </c>
      <c r="F606" s="1">
        <f ca="1">IFERROR(__xludf.DUMMYFUNCTION("""COMPUTED_VALUE"""),3469154)</f>
        <v>3469154</v>
      </c>
    </row>
    <row r="607" spans="1:6" x14ac:dyDescent="0.35">
      <c r="A607" s="2">
        <f ca="1">IFERROR(__xludf.DUMMYFUNCTION("""COMPUTED_VALUE"""),42885.6666666666)</f>
        <v>42885.666666666599</v>
      </c>
      <c r="B607" s="1">
        <f ca="1">IFERROR(__xludf.DUMMYFUNCTION("""COMPUTED_VALUE"""),49.83)</f>
        <v>49.83</v>
      </c>
      <c r="C607" s="1">
        <f ca="1">IFERROR(__xludf.DUMMYFUNCTION("""COMPUTED_VALUE"""),50.06)</f>
        <v>50.06</v>
      </c>
      <c r="D607" s="1">
        <f ca="1">IFERROR(__xludf.DUMMYFUNCTION("""COMPUTED_VALUE"""),49.78)</f>
        <v>49.78</v>
      </c>
      <c r="E607" s="1">
        <f ca="1">IFERROR(__xludf.DUMMYFUNCTION("""COMPUTED_VALUE"""),49.84)</f>
        <v>49.84</v>
      </c>
      <c r="F607" s="1">
        <f ca="1">IFERROR(__xludf.DUMMYFUNCTION("""COMPUTED_VALUE"""),3263069)</f>
        <v>3263069</v>
      </c>
    </row>
    <row r="608" spans="1:6" x14ac:dyDescent="0.35">
      <c r="A608" s="2">
        <f ca="1">IFERROR(__xludf.DUMMYFUNCTION("""COMPUTED_VALUE"""),42886.6666666666)</f>
        <v>42886.666666666599</v>
      </c>
      <c r="B608" s="1">
        <f ca="1">IFERROR(__xludf.DUMMYFUNCTION("""COMPUTED_VALUE"""),50)</f>
        <v>50</v>
      </c>
      <c r="C608" s="1">
        <f ca="1">IFERROR(__xludf.DUMMYFUNCTION("""COMPUTED_VALUE"""),50.01)</f>
        <v>50.01</v>
      </c>
      <c r="D608" s="1">
        <f ca="1">IFERROR(__xludf.DUMMYFUNCTION("""COMPUTED_VALUE"""),49.11)</f>
        <v>49.11</v>
      </c>
      <c r="E608" s="1">
        <f ca="1">IFERROR(__xludf.DUMMYFUNCTION("""COMPUTED_VALUE"""),49.73)</f>
        <v>49.73</v>
      </c>
      <c r="F608" s="1">
        <f ca="1">IFERROR(__xludf.DUMMYFUNCTION("""COMPUTED_VALUE"""),3913115)</f>
        <v>3913115</v>
      </c>
    </row>
    <row r="609" spans="1:6" x14ac:dyDescent="0.35">
      <c r="A609" s="2">
        <f ca="1">IFERROR(__xludf.DUMMYFUNCTION("""COMPUTED_VALUE"""),42887.6666666666)</f>
        <v>42887.666666666599</v>
      </c>
      <c r="B609" s="1">
        <f ca="1">IFERROR(__xludf.DUMMYFUNCTION("""COMPUTED_VALUE"""),49.93)</f>
        <v>49.93</v>
      </c>
      <c r="C609" s="1">
        <f ca="1">IFERROR(__xludf.DUMMYFUNCTION("""COMPUTED_VALUE"""),49.95)</f>
        <v>49.95</v>
      </c>
      <c r="D609" s="1">
        <f ca="1">IFERROR(__xludf.DUMMYFUNCTION("""COMPUTED_VALUE"""),49.57)</f>
        <v>49.57</v>
      </c>
      <c r="E609" s="1">
        <f ca="1">IFERROR(__xludf.DUMMYFUNCTION("""COMPUTED_VALUE"""),49.8)</f>
        <v>49.8</v>
      </c>
      <c r="F609" s="1">
        <f ca="1">IFERROR(__xludf.DUMMYFUNCTION("""COMPUTED_VALUE"""),2454841)</f>
        <v>2454841</v>
      </c>
    </row>
    <row r="610" spans="1:6" x14ac:dyDescent="0.35">
      <c r="A610" s="2">
        <f ca="1">IFERROR(__xludf.DUMMYFUNCTION("""COMPUTED_VALUE"""),42888.6666666666)</f>
        <v>42888.666666666599</v>
      </c>
      <c r="B610" s="1">
        <f ca="1">IFERROR(__xludf.DUMMYFUNCTION("""COMPUTED_VALUE"""),49.95)</f>
        <v>49.95</v>
      </c>
      <c r="C610" s="1">
        <f ca="1">IFERROR(__xludf.DUMMYFUNCTION("""COMPUTED_VALUE"""),50.42)</f>
        <v>50.42</v>
      </c>
      <c r="D610" s="1">
        <f ca="1">IFERROR(__xludf.DUMMYFUNCTION("""COMPUTED_VALUE"""),49.78)</f>
        <v>49.78</v>
      </c>
      <c r="E610" s="1">
        <f ca="1">IFERROR(__xludf.DUMMYFUNCTION("""COMPUTED_VALUE"""),50.34)</f>
        <v>50.34</v>
      </c>
      <c r="F610" s="1">
        <f ca="1">IFERROR(__xludf.DUMMYFUNCTION("""COMPUTED_VALUE"""),3752328)</f>
        <v>3752328</v>
      </c>
    </row>
    <row r="611" spans="1:6" x14ac:dyDescent="0.35">
      <c r="A611" s="2">
        <f ca="1">IFERROR(__xludf.DUMMYFUNCTION("""COMPUTED_VALUE"""),42891.6666666666)</f>
        <v>42891.666666666599</v>
      </c>
      <c r="B611" s="1">
        <f ca="1">IFERROR(__xludf.DUMMYFUNCTION("""COMPUTED_VALUE"""),50.36)</f>
        <v>50.36</v>
      </c>
      <c r="C611" s="1">
        <f ca="1">IFERROR(__xludf.DUMMYFUNCTION("""COMPUTED_VALUE"""),50.66)</f>
        <v>50.66</v>
      </c>
      <c r="D611" s="1">
        <f ca="1">IFERROR(__xludf.DUMMYFUNCTION("""COMPUTED_VALUE"""),50.18)</f>
        <v>50.18</v>
      </c>
      <c r="E611" s="1">
        <f ca="1">IFERROR(__xludf.DUMMYFUNCTION("""COMPUTED_VALUE"""),50.57)</f>
        <v>50.57</v>
      </c>
      <c r="F611" s="1">
        <f ca="1">IFERROR(__xludf.DUMMYFUNCTION("""COMPUTED_VALUE"""),2719859)</f>
        <v>2719859</v>
      </c>
    </row>
    <row r="612" spans="1:6" x14ac:dyDescent="0.35">
      <c r="A612" s="2">
        <f ca="1">IFERROR(__xludf.DUMMYFUNCTION("""COMPUTED_VALUE"""),42892.6666666666)</f>
        <v>42892.666666666599</v>
      </c>
      <c r="B612" s="1">
        <f ca="1">IFERROR(__xludf.DUMMYFUNCTION("""COMPUTED_VALUE"""),50.6)</f>
        <v>50.6</v>
      </c>
      <c r="C612" s="1">
        <f ca="1">IFERROR(__xludf.DUMMYFUNCTION("""COMPUTED_VALUE"""),50.83)</f>
        <v>50.83</v>
      </c>
      <c r="D612" s="1">
        <f ca="1">IFERROR(__xludf.DUMMYFUNCTION("""COMPUTED_VALUE"""),50.06)</f>
        <v>50.06</v>
      </c>
      <c r="E612" s="1">
        <f ca="1">IFERROR(__xludf.DUMMYFUNCTION("""COMPUTED_VALUE"""),50.15)</f>
        <v>50.15</v>
      </c>
      <c r="F612" s="1">
        <f ca="1">IFERROR(__xludf.DUMMYFUNCTION("""COMPUTED_VALUE"""),3346432)</f>
        <v>3346432</v>
      </c>
    </row>
    <row r="613" spans="1:6" x14ac:dyDescent="0.35">
      <c r="A613" s="2">
        <f ca="1">IFERROR(__xludf.DUMMYFUNCTION("""COMPUTED_VALUE"""),42893.6666666666)</f>
        <v>42893.666666666599</v>
      </c>
      <c r="B613" s="1">
        <f ca="1">IFERROR(__xludf.DUMMYFUNCTION("""COMPUTED_VALUE"""),50.3)</f>
        <v>50.3</v>
      </c>
      <c r="C613" s="1">
        <f ca="1">IFERROR(__xludf.DUMMYFUNCTION("""COMPUTED_VALUE"""),50.51)</f>
        <v>50.51</v>
      </c>
      <c r="D613" s="1">
        <f ca="1">IFERROR(__xludf.DUMMYFUNCTION("""COMPUTED_VALUE"""),50.1)</f>
        <v>50.1</v>
      </c>
      <c r="E613" s="1">
        <f ca="1">IFERROR(__xludf.DUMMYFUNCTION("""COMPUTED_VALUE"""),50.5)</f>
        <v>50.5</v>
      </c>
      <c r="F613" s="1">
        <f ca="1">IFERROR(__xludf.DUMMYFUNCTION("""COMPUTED_VALUE"""),2823041)</f>
        <v>2823041</v>
      </c>
    </row>
    <row r="614" spans="1:6" x14ac:dyDescent="0.35">
      <c r="A614" s="2">
        <f ca="1">IFERROR(__xludf.DUMMYFUNCTION("""COMPUTED_VALUE"""),42894.6666666666)</f>
        <v>42894.666666666599</v>
      </c>
      <c r="B614" s="1">
        <f ca="1">IFERROR(__xludf.DUMMYFUNCTION("""COMPUTED_VALUE"""),50.6)</f>
        <v>50.6</v>
      </c>
      <c r="C614" s="1">
        <f ca="1">IFERROR(__xludf.DUMMYFUNCTION("""COMPUTED_VALUE"""),50.68)</f>
        <v>50.68</v>
      </c>
      <c r="D614" s="1">
        <f ca="1">IFERROR(__xludf.DUMMYFUNCTION("""COMPUTED_VALUE"""),50.31)</f>
        <v>50.31</v>
      </c>
      <c r="E614" s="1">
        <f ca="1">IFERROR(__xludf.DUMMYFUNCTION("""COMPUTED_VALUE"""),50.51)</f>
        <v>50.51</v>
      </c>
      <c r="F614" s="1">
        <f ca="1">IFERROR(__xludf.DUMMYFUNCTION("""COMPUTED_VALUE"""),2767857)</f>
        <v>2767857</v>
      </c>
    </row>
    <row r="615" spans="1:6" x14ac:dyDescent="0.35">
      <c r="A615" s="2">
        <f ca="1">IFERROR(__xludf.DUMMYFUNCTION("""COMPUTED_VALUE"""),42895.6666666666)</f>
        <v>42895.666666666599</v>
      </c>
      <c r="B615" s="1">
        <f ca="1">IFERROR(__xludf.DUMMYFUNCTION("""COMPUTED_VALUE"""),50.63)</f>
        <v>50.63</v>
      </c>
      <c r="C615" s="1">
        <f ca="1">IFERROR(__xludf.DUMMYFUNCTION("""COMPUTED_VALUE"""),50.65)</f>
        <v>50.65</v>
      </c>
      <c r="D615" s="1">
        <f ca="1">IFERROR(__xludf.DUMMYFUNCTION("""COMPUTED_VALUE"""),46.35)</f>
        <v>46.35</v>
      </c>
      <c r="E615" s="1">
        <f ca="1">IFERROR(__xludf.DUMMYFUNCTION("""COMPUTED_VALUE"""),48.92)</f>
        <v>48.92</v>
      </c>
      <c r="F615" s="1">
        <f ca="1">IFERROR(__xludf.DUMMYFUNCTION("""COMPUTED_VALUE"""),7647692)</f>
        <v>7647692</v>
      </c>
    </row>
    <row r="616" spans="1:6" x14ac:dyDescent="0.35">
      <c r="A616" s="2">
        <f ca="1">IFERROR(__xludf.DUMMYFUNCTION("""COMPUTED_VALUE"""),42898.6666666666)</f>
        <v>42898.666666666599</v>
      </c>
      <c r="B616" s="1">
        <f ca="1">IFERROR(__xludf.DUMMYFUNCTION("""COMPUTED_VALUE"""),48.35)</f>
        <v>48.35</v>
      </c>
      <c r="C616" s="1">
        <f ca="1">IFERROR(__xludf.DUMMYFUNCTION("""COMPUTED_VALUE"""),48.8)</f>
        <v>48.8</v>
      </c>
      <c r="D616" s="1">
        <f ca="1">IFERROR(__xludf.DUMMYFUNCTION("""COMPUTED_VALUE"""),47.25)</f>
        <v>47.25</v>
      </c>
      <c r="E616" s="1">
        <f ca="1">IFERROR(__xludf.DUMMYFUNCTION("""COMPUTED_VALUE"""),48.25)</f>
        <v>48.25</v>
      </c>
      <c r="F616" s="1">
        <f ca="1">IFERROR(__xludf.DUMMYFUNCTION("""COMPUTED_VALUE"""),9447233)</f>
        <v>9447233</v>
      </c>
    </row>
    <row r="617" spans="1:6" x14ac:dyDescent="0.35">
      <c r="A617" s="2">
        <f ca="1">IFERROR(__xludf.DUMMYFUNCTION("""COMPUTED_VALUE"""),42899.6666666666)</f>
        <v>42899.666666666599</v>
      </c>
      <c r="B617" s="1">
        <f ca="1">IFERROR(__xludf.DUMMYFUNCTION("""COMPUTED_VALUE"""),48.9)</f>
        <v>48.9</v>
      </c>
      <c r="C617" s="1">
        <f ca="1">IFERROR(__xludf.DUMMYFUNCTION("""COMPUTED_VALUE"""),49.23)</f>
        <v>49.23</v>
      </c>
      <c r="D617" s="1">
        <f ca="1">IFERROR(__xludf.DUMMYFUNCTION("""COMPUTED_VALUE"""),48.31)</f>
        <v>48.31</v>
      </c>
      <c r="E617" s="1">
        <f ca="1">IFERROR(__xludf.DUMMYFUNCTION("""COMPUTED_VALUE"""),49.04)</f>
        <v>49.04</v>
      </c>
      <c r="F617" s="1">
        <f ca="1">IFERROR(__xludf.DUMMYFUNCTION("""COMPUTED_VALUE"""),4580011)</f>
        <v>4580011</v>
      </c>
    </row>
    <row r="618" spans="1:6" x14ac:dyDescent="0.35">
      <c r="A618" s="2">
        <f ca="1">IFERROR(__xludf.DUMMYFUNCTION("""COMPUTED_VALUE"""),42900.6666666666)</f>
        <v>42900.666666666599</v>
      </c>
      <c r="B618" s="1">
        <f ca="1">IFERROR(__xludf.DUMMYFUNCTION("""COMPUTED_VALUE"""),49.43)</f>
        <v>49.43</v>
      </c>
      <c r="C618" s="1">
        <f ca="1">IFERROR(__xludf.DUMMYFUNCTION("""COMPUTED_VALUE"""),49.52)</f>
        <v>49.52</v>
      </c>
      <c r="D618" s="1">
        <f ca="1">IFERROR(__xludf.DUMMYFUNCTION("""COMPUTED_VALUE"""),48.34)</f>
        <v>48.34</v>
      </c>
      <c r="E618" s="1">
        <f ca="1">IFERROR(__xludf.DUMMYFUNCTION("""COMPUTED_VALUE"""),48.82)</f>
        <v>48.82</v>
      </c>
      <c r="F618" s="1">
        <f ca="1">IFERROR(__xludf.DUMMYFUNCTION("""COMPUTED_VALUE"""),3974900)</f>
        <v>3974900</v>
      </c>
    </row>
    <row r="619" spans="1:6" x14ac:dyDescent="0.35">
      <c r="A619" s="2">
        <f ca="1">IFERROR(__xludf.DUMMYFUNCTION("""COMPUTED_VALUE"""),42901.6666666666)</f>
        <v>42901.666666666599</v>
      </c>
      <c r="B619" s="1">
        <f ca="1">IFERROR(__xludf.DUMMYFUNCTION("""COMPUTED_VALUE"""),47.94)</f>
        <v>47.94</v>
      </c>
      <c r="C619" s="1">
        <f ca="1">IFERROR(__xludf.DUMMYFUNCTION("""COMPUTED_VALUE"""),48.29)</f>
        <v>48.29</v>
      </c>
      <c r="D619" s="1">
        <f ca="1">IFERROR(__xludf.DUMMYFUNCTION("""COMPUTED_VALUE"""),47.54)</f>
        <v>47.54</v>
      </c>
      <c r="E619" s="1">
        <f ca="1">IFERROR(__xludf.DUMMYFUNCTION("""COMPUTED_VALUE"""),48.21)</f>
        <v>48.21</v>
      </c>
      <c r="F619" s="1">
        <f ca="1">IFERROR(__xludf.DUMMYFUNCTION("""COMPUTED_VALUE"""),5373865)</f>
        <v>5373865</v>
      </c>
    </row>
    <row r="620" spans="1:6" x14ac:dyDescent="0.35">
      <c r="A620" s="2">
        <f ca="1">IFERROR(__xludf.DUMMYFUNCTION("""COMPUTED_VALUE"""),42902.6666666666)</f>
        <v>42902.666666666599</v>
      </c>
      <c r="B620" s="1">
        <f ca="1">IFERROR(__xludf.DUMMYFUNCTION("""COMPUTED_VALUE"""),49.8)</f>
        <v>49.8</v>
      </c>
      <c r="C620" s="1">
        <f ca="1">IFERROR(__xludf.DUMMYFUNCTION("""COMPUTED_VALUE"""),49.99)</f>
        <v>49.99</v>
      </c>
      <c r="D620" s="1">
        <f ca="1">IFERROR(__xludf.DUMMYFUNCTION("""COMPUTED_VALUE"""),49.1)</f>
        <v>49.1</v>
      </c>
      <c r="E620" s="1">
        <f ca="1">IFERROR(__xludf.DUMMYFUNCTION("""COMPUTED_VALUE"""),49.39)</f>
        <v>49.39</v>
      </c>
      <c r="F620" s="1">
        <f ca="1">IFERROR(__xludf.DUMMYFUNCTION("""COMPUTED_VALUE"""),11472662)</f>
        <v>11472662</v>
      </c>
    </row>
    <row r="621" spans="1:6" x14ac:dyDescent="0.35">
      <c r="A621" s="2">
        <f ca="1">IFERROR(__xludf.DUMMYFUNCTION("""COMPUTED_VALUE"""),42905.6666666666)</f>
        <v>42905.666666666599</v>
      </c>
      <c r="B621" s="1">
        <f ca="1">IFERROR(__xludf.DUMMYFUNCTION("""COMPUTED_VALUE"""),50.85)</f>
        <v>50.85</v>
      </c>
      <c r="C621" s="1">
        <f ca="1">IFERROR(__xludf.DUMMYFUNCTION("""COMPUTED_VALUE"""),50.85)</f>
        <v>50.85</v>
      </c>
      <c r="D621" s="1">
        <f ca="1">IFERROR(__xludf.DUMMYFUNCTION("""COMPUTED_VALUE"""),49.5)</f>
        <v>49.5</v>
      </c>
      <c r="E621" s="1">
        <f ca="1">IFERROR(__xludf.DUMMYFUNCTION("""COMPUTED_VALUE"""),49.76)</f>
        <v>49.76</v>
      </c>
      <c r="F621" s="1">
        <f ca="1">IFERROR(__xludf.DUMMYFUNCTION("""COMPUTED_VALUE"""),5043408)</f>
        <v>5043408</v>
      </c>
    </row>
    <row r="622" spans="1:6" x14ac:dyDescent="0.35">
      <c r="A622" s="2">
        <f ca="1">IFERROR(__xludf.DUMMYFUNCTION("""COMPUTED_VALUE"""),42906.6666666666)</f>
        <v>42906.666666666599</v>
      </c>
      <c r="B622" s="1">
        <f ca="1">IFERROR(__xludf.DUMMYFUNCTION("""COMPUTED_VALUE"""),49.9)</f>
        <v>49.9</v>
      </c>
      <c r="C622" s="1">
        <f ca="1">IFERROR(__xludf.DUMMYFUNCTION("""COMPUTED_VALUE"""),50.24)</f>
        <v>50.24</v>
      </c>
      <c r="D622" s="1">
        <f ca="1">IFERROR(__xludf.DUMMYFUNCTION("""COMPUTED_VALUE"""),49.6)</f>
        <v>49.6</v>
      </c>
      <c r="E622" s="1">
        <f ca="1">IFERROR(__xludf.DUMMYFUNCTION("""COMPUTED_VALUE"""),49.63)</f>
        <v>49.63</v>
      </c>
      <c r="F622" s="1">
        <f ca="1">IFERROR(__xludf.DUMMYFUNCTION("""COMPUTED_VALUE"""),4076828)</f>
        <v>4076828</v>
      </c>
    </row>
    <row r="623" spans="1:6" x14ac:dyDescent="0.35">
      <c r="A623" s="2">
        <f ca="1">IFERROR(__xludf.DUMMYFUNCTION("""COMPUTED_VALUE"""),42907.6666666666)</f>
        <v>42907.666666666599</v>
      </c>
      <c r="B623" s="1">
        <f ca="1">IFERROR(__xludf.DUMMYFUNCTION("""COMPUTED_VALUE"""),49.94)</f>
        <v>49.94</v>
      </c>
      <c r="C623" s="1">
        <f ca="1">IFERROR(__xludf.DUMMYFUNCTION("""COMPUTED_VALUE"""),50.14)</f>
        <v>50.14</v>
      </c>
      <c r="D623" s="1">
        <f ca="1">IFERROR(__xludf.DUMMYFUNCTION("""COMPUTED_VALUE"""),49.63)</f>
        <v>49.63</v>
      </c>
      <c r="E623" s="1">
        <f ca="1">IFERROR(__xludf.DUMMYFUNCTION("""COMPUTED_VALUE"""),50.11)</f>
        <v>50.11</v>
      </c>
      <c r="F623" s="1">
        <f ca="1">IFERROR(__xludf.DUMMYFUNCTION("""COMPUTED_VALUE"""),2922473)</f>
        <v>2922473</v>
      </c>
    </row>
    <row r="624" spans="1:6" x14ac:dyDescent="0.35">
      <c r="A624" s="2">
        <f ca="1">IFERROR(__xludf.DUMMYFUNCTION("""COMPUTED_VALUE"""),42908.6666666666)</f>
        <v>42908.666666666599</v>
      </c>
      <c r="B624" s="1">
        <f ca="1">IFERROR(__xludf.DUMMYFUNCTION("""COMPUTED_VALUE"""),50.11)</f>
        <v>50.11</v>
      </c>
      <c r="C624" s="1">
        <f ca="1">IFERROR(__xludf.DUMMYFUNCTION("""COMPUTED_VALUE"""),50.35)</f>
        <v>50.35</v>
      </c>
      <c r="D624" s="1">
        <f ca="1">IFERROR(__xludf.DUMMYFUNCTION("""COMPUTED_VALUE"""),49.86)</f>
        <v>49.86</v>
      </c>
      <c r="E624" s="1">
        <f ca="1">IFERROR(__xludf.DUMMYFUNCTION("""COMPUTED_VALUE"""),50.07)</f>
        <v>50.07</v>
      </c>
      <c r="F624" s="1">
        <f ca="1">IFERROR(__xludf.DUMMYFUNCTION("""COMPUTED_VALUE"""),2253433)</f>
        <v>2253433</v>
      </c>
    </row>
    <row r="625" spans="1:6" x14ac:dyDescent="0.35">
      <c r="A625" s="2">
        <f ca="1">IFERROR(__xludf.DUMMYFUNCTION("""COMPUTED_VALUE"""),42909.6666666666)</f>
        <v>42909.666666666599</v>
      </c>
      <c r="B625" s="1">
        <f ca="1">IFERROR(__xludf.DUMMYFUNCTION("""COMPUTED_VALUE"""),50.13)</f>
        <v>50.13</v>
      </c>
      <c r="C625" s="1">
        <f ca="1">IFERROR(__xludf.DUMMYFUNCTION("""COMPUTED_VALUE"""),50.23)</f>
        <v>50.23</v>
      </c>
      <c r="D625" s="1">
        <f ca="1">IFERROR(__xludf.DUMMYFUNCTION("""COMPUTED_VALUE"""),49.9)</f>
        <v>49.9</v>
      </c>
      <c r="E625" s="1">
        <f ca="1">IFERROR(__xludf.DUMMYFUNCTION("""COMPUTED_VALUE"""),50.19)</f>
        <v>50.19</v>
      </c>
      <c r="F625" s="1">
        <f ca="1">IFERROR(__xludf.DUMMYFUNCTION("""COMPUTED_VALUE"""),2879145)</f>
        <v>2879145</v>
      </c>
    </row>
    <row r="626" spans="1:6" x14ac:dyDescent="0.35">
      <c r="A626" s="2">
        <f ca="1">IFERROR(__xludf.DUMMYFUNCTION("""COMPUTED_VALUE"""),42912.6666666666)</f>
        <v>42912.666666666599</v>
      </c>
      <c r="B626" s="1">
        <f ca="1">IFERROR(__xludf.DUMMYFUNCTION("""COMPUTED_VALUE"""),50.43)</f>
        <v>50.43</v>
      </c>
      <c r="C626" s="1">
        <f ca="1">IFERROR(__xludf.DUMMYFUNCTION("""COMPUTED_VALUE"""),50.49)</f>
        <v>50.49</v>
      </c>
      <c r="D626" s="1">
        <f ca="1">IFERROR(__xludf.DUMMYFUNCTION("""COMPUTED_VALUE"""),49.6)</f>
        <v>49.6</v>
      </c>
      <c r="E626" s="1">
        <f ca="1">IFERROR(__xludf.DUMMYFUNCTION("""COMPUTED_VALUE"""),49.7)</f>
        <v>49.7</v>
      </c>
      <c r="F626" s="1">
        <f ca="1">IFERROR(__xludf.DUMMYFUNCTION("""COMPUTED_VALUE"""),3386157)</f>
        <v>3386157</v>
      </c>
    </row>
    <row r="627" spans="1:6" x14ac:dyDescent="0.35">
      <c r="A627" s="2">
        <f ca="1">IFERROR(__xludf.DUMMYFUNCTION("""COMPUTED_VALUE"""),42913.6666666666)</f>
        <v>42913.666666666599</v>
      </c>
      <c r="B627" s="1">
        <f ca="1">IFERROR(__xludf.DUMMYFUNCTION("""COMPUTED_VALUE"""),49.53)</f>
        <v>49.53</v>
      </c>
      <c r="C627" s="1">
        <f ca="1">IFERROR(__xludf.DUMMYFUNCTION("""COMPUTED_VALUE"""),49.94)</f>
        <v>49.94</v>
      </c>
      <c r="D627" s="1">
        <f ca="1">IFERROR(__xludf.DUMMYFUNCTION("""COMPUTED_VALUE"""),48.8)</f>
        <v>48.8</v>
      </c>
      <c r="E627" s="1">
        <f ca="1">IFERROR(__xludf.DUMMYFUNCTION("""COMPUTED_VALUE"""),48.84)</f>
        <v>48.84</v>
      </c>
      <c r="F627" s="1">
        <f ca="1">IFERROR(__xludf.DUMMYFUNCTION("""COMPUTED_VALUE"""),3782389)</f>
        <v>3782389</v>
      </c>
    </row>
    <row r="628" spans="1:6" x14ac:dyDescent="0.35">
      <c r="A628" s="2">
        <f ca="1">IFERROR(__xludf.DUMMYFUNCTION("""COMPUTED_VALUE"""),42914.6666666666)</f>
        <v>42914.666666666599</v>
      </c>
      <c r="B628" s="1">
        <f ca="1">IFERROR(__xludf.DUMMYFUNCTION("""COMPUTED_VALUE"""),48.93)</f>
        <v>48.93</v>
      </c>
      <c r="C628" s="1">
        <f ca="1">IFERROR(__xludf.DUMMYFUNCTION("""COMPUTED_VALUE"""),49.53)</f>
        <v>49.53</v>
      </c>
      <c r="D628" s="1">
        <f ca="1">IFERROR(__xludf.DUMMYFUNCTION("""COMPUTED_VALUE"""),48.46)</f>
        <v>48.46</v>
      </c>
      <c r="E628" s="1">
        <f ca="1">IFERROR(__xludf.DUMMYFUNCTION("""COMPUTED_VALUE"""),49.52)</f>
        <v>49.52</v>
      </c>
      <c r="F628" s="1">
        <f ca="1">IFERROR(__xludf.DUMMYFUNCTION("""COMPUTED_VALUE"""),3737567)</f>
        <v>3737567</v>
      </c>
    </row>
    <row r="629" spans="1:6" x14ac:dyDescent="0.35">
      <c r="A629" s="2">
        <f ca="1">IFERROR(__xludf.DUMMYFUNCTION("""COMPUTED_VALUE"""),42915.6666666666)</f>
        <v>42915.666666666599</v>
      </c>
      <c r="B629" s="1">
        <f ca="1">IFERROR(__xludf.DUMMYFUNCTION("""COMPUTED_VALUE"""),48.95)</f>
        <v>48.95</v>
      </c>
      <c r="C629" s="1">
        <f ca="1">IFERROR(__xludf.DUMMYFUNCTION("""COMPUTED_VALUE"""),49.38)</f>
        <v>49.38</v>
      </c>
      <c r="D629" s="1">
        <f ca="1">IFERROR(__xludf.DUMMYFUNCTION("""COMPUTED_VALUE"""),48.26)</f>
        <v>48.26</v>
      </c>
      <c r="E629" s="1">
        <f ca="1">IFERROR(__xludf.DUMMYFUNCTION("""COMPUTED_VALUE"""),48.8)</f>
        <v>48.8</v>
      </c>
      <c r="F629" s="1">
        <f ca="1">IFERROR(__xludf.DUMMYFUNCTION("""COMPUTED_VALUE"""),4302968)</f>
        <v>4302968</v>
      </c>
    </row>
    <row r="630" spans="1:6" x14ac:dyDescent="0.35">
      <c r="A630" s="2">
        <f ca="1">IFERROR(__xludf.DUMMYFUNCTION("""COMPUTED_VALUE"""),42916.6666666666)</f>
        <v>42916.666666666599</v>
      </c>
      <c r="B630" s="1">
        <f ca="1">IFERROR(__xludf.DUMMYFUNCTION("""COMPUTED_VALUE"""),49.01)</f>
        <v>49.01</v>
      </c>
      <c r="C630" s="1">
        <f ca="1">IFERROR(__xludf.DUMMYFUNCTION("""COMPUTED_VALUE"""),49.17)</f>
        <v>49.17</v>
      </c>
      <c r="D630" s="1">
        <f ca="1">IFERROR(__xludf.DUMMYFUNCTION("""COMPUTED_VALUE"""),48.38)</f>
        <v>48.38</v>
      </c>
      <c r="E630" s="1">
        <f ca="1">IFERROR(__xludf.DUMMYFUNCTION("""COMPUTED_VALUE"""),48.4)</f>
        <v>48.4</v>
      </c>
      <c r="F630" s="1">
        <f ca="1">IFERROR(__xludf.DUMMYFUNCTION("""COMPUTED_VALUE"""),3390345)</f>
        <v>3390345</v>
      </c>
    </row>
    <row r="631" spans="1:6" x14ac:dyDescent="0.35">
      <c r="A631" s="2">
        <f ca="1">IFERROR(__xludf.DUMMYFUNCTION("""COMPUTED_VALUE"""),42919.6666666666)</f>
        <v>42919.666666666599</v>
      </c>
      <c r="B631" s="1">
        <f ca="1">IFERROR(__xludf.DUMMYFUNCTION("""COMPUTED_VALUE"""),48.64)</f>
        <v>48.64</v>
      </c>
      <c r="C631" s="1">
        <f ca="1">IFERROR(__xludf.DUMMYFUNCTION("""COMPUTED_VALUE"""),48.72)</f>
        <v>48.72</v>
      </c>
      <c r="D631" s="1">
        <f ca="1">IFERROR(__xludf.DUMMYFUNCTION("""COMPUTED_VALUE"""),47.55)</f>
        <v>47.55</v>
      </c>
      <c r="E631" s="1">
        <f ca="1">IFERROR(__xludf.DUMMYFUNCTION("""COMPUTED_VALUE"""),47.68)</f>
        <v>47.68</v>
      </c>
      <c r="F631" s="1">
        <f ca="1">IFERROR(__xludf.DUMMYFUNCTION("""COMPUTED_VALUE"""),2909108)</f>
        <v>2909108</v>
      </c>
    </row>
    <row r="632" spans="1:6" x14ac:dyDescent="0.35">
      <c r="A632" s="2">
        <f ca="1">IFERROR(__xludf.DUMMYFUNCTION("""COMPUTED_VALUE"""),42921.6666666666)</f>
        <v>42921.666666666599</v>
      </c>
      <c r="B632" s="1">
        <f ca="1">IFERROR(__xludf.DUMMYFUNCTION("""COMPUTED_VALUE"""),48.08)</f>
        <v>48.08</v>
      </c>
      <c r="C632" s="1">
        <f ca="1">IFERROR(__xludf.DUMMYFUNCTION("""COMPUTED_VALUE"""),48.75)</f>
        <v>48.75</v>
      </c>
      <c r="D632" s="1">
        <f ca="1">IFERROR(__xludf.DUMMYFUNCTION("""COMPUTED_VALUE"""),47.76)</f>
        <v>47.76</v>
      </c>
      <c r="E632" s="1">
        <f ca="1">IFERROR(__xludf.DUMMYFUNCTION("""COMPUTED_VALUE"""),48.57)</f>
        <v>48.57</v>
      </c>
      <c r="F632" s="1">
        <f ca="1">IFERROR(__xludf.DUMMYFUNCTION("""COMPUTED_VALUE"""),3652955)</f>
        <v>3652955</v>
      </c>
    </row>
    <row r="633" spans="1:6" x14ac:dyDescent="0.35">
      <c r="A633" s="2">
        <f ca="1">IFERROR(__xludf.DUMMYFUNCTION("""COMPUTED_VALUE"""),42922.6666666666)</f>
        <v>42922.666666666599</v>
      </c>
      <c r="B633" s="1">
        <f ca="1">IFERROR(__xludf.DUMMYFUNCTION("""COMPUTED_VALUE"""),48.23)</f>
        <v>48.23</v>
      </c>
      <c r="C633" s="1">
        <f ca="1">IFERROR(__xludf.DUMMYFUNCTION("""COMPUTED_VALUE"""),48.72)</f>
        <v>48.72</v>
      </c>
      <c r="D633" s="1">
        <f ca="1">IFERROR(__xludf.DUMMYFUNCTION("""COMPUTED_VALUE"""),47.95)</f>
        <v>47.95</v>
      </c>
      <c r="E633" s="1">
        <f ca="1">IFERROR(__xludf.DUMMYFUNCTION("""COMPUTED_VALUE"""),48.26)</f>
        <v>48.26</v>
      </c>
      <c r="F633" s="1">
        <f ca="1">IFERROR(__xludf.DUMMYFUNCTION("""COMPUTED_VALUE"""),3259613)</f>
        <v>3259613</v>
      </c>
    </row>
    <row r="634" spans="1:6" x14ac:dyDescent="0.35">
      <c r="A634" s="2">
        <f ca="1">IFERROR(__xludf.DUMMYFUNCTION("""COMPUTED_VALUE"""),42923.6666666666)</f>
        <v>42923.666666666599</v>
      </c>
      <c r="B634" s="1">
        <f ca="1">IFERROR(__xludf.DUMMYFUNCTION("""COMPUTED_VALUE"""),48.48)</f>
        <v>48.48</v>
      </c>
      <c r="C634" s="1">
        <f ca="1">IFERROR(__xludf.DUMMYFUNCTION("""COMPUTED_VALUE"""),49.01)</f>
        <v>49.01</v>
      </c>
      <c r="D634" s="1">
        <f ca="1">IFERROR(__xludf.DUMMYFUNCTION("""COMPUTED_VALUE"""),48.46)</f>
        <v>48.46</v>
      </c>
      <c r="E634" s="1">
        <f ca="1">IFERROR(__xludf.DUMMYFUNCTION("""COMPUTED_VALUE"""),48.94)</f>
        <v>48.94</v>
      </c>
      <c r="F634" s="1">
        <f ca="1">IFERROR(__xludf.DUMMYFUNCTION("""COMPUTED_VALUE"""),2643387)</f>
        <v>2643387</v>
      </c>
    </row>
    <row r="635" spans="1:6" x14ac:dyDescent="0.35">
      <c r="A635" s="2">
        <f ca="1">IFERROR(__xludf.DUMMYFUNCTION("""COMPUTED_VALUE"""),42926.6666666666)</f>
        <v>42926.666666666599</v>
      </c>
      <c r="B635" s="1">
        <f ca="1">IFERROR(__xludf.DUMMYFUNCTION("""COMPUTED_VALUE"""),49.25)</f>
        <v>49.25</v>
      </c>
      <c r="C635" s="1">
        <f ca="1">IFERROR(__xludf.DUMMYFUNCTION("""COMPUTED_VALUE"""),49.97)</f>
        <v>49.97</v>
      </c>
      <c r="D635" s="1">
        <f ca="1">IFERROR(__xludf.DUMMYFUNCTION("""COMPUTED_VALUE"""),49.18)</f>
        <v>49.18</v>
      </c>
      <c r="E635" s="1">
        <f ca="1">IFERROR(__xludf.DUMMYFUNCTION("""COMPUTED_VALUE"""),49.82)</f>
        <v>49.82</v>
      </c>
      <c r="F635" s="1">
        <f ca="1">IFERROR(__xludf.DUMMYFUNCTION("""COMPUTED_VALUE"""),3546268)</f>
        <v>3546268</v>
      </c>
    </row>
    <row r="636" spans="1:6" x14ac:dyDescent="0.35">
      <c r="A636" s="2">
        <f ca="1">IFERROR(__xludf.DUMMYFUNCTION("""COMPUTED_VALUE"""),42927.6666666666)</f>
        <v>42927.666666666599</v>
      </c>
      <c r="B636" s="1">
        <f ca="1">IFERROR(__xludf.DUMMYFUNCTION("""COMPUTED_VALUE"""),49.65)</f>
        <v>49.65</v>
      </c>
      <c r="C636" s="1">
        <f ca="1">IFERROR(__xludf.DUMMYFUNCTION("""COMPUTED_VALUE"""),49.8)</f>
        <v>49.8</v>
      </c>
      <c r="D636" s="1">
        <f ca="1">IFERROR(__xludf.DUMMYFUNCTION("""COMPUTED_VALUE"""),49.19)</f>
        <v>49.19</v>
      </c>
      <c r="E636" s="1">
        <f ca="1">IFERROR(__xludf.DUMMYFUNCTION("""COMPUTED_VALUE"""),49.71)</f>
        <v>49.71</v>
      </c>
      <c r="F636" s="1">
        <f ca="1">IFERROR(__xludf.DUMMYFUNCTION("""COMPUTED_VALUE"""),2982726)</f>
        <v>2982726</v>
      </c>
    </row>
    <row r="637" spans="1:6" x14ac:dyDescent="0.35">
      <c r="A637" s="2">
        <f ca="1">IFERROR(__xludf.DUMMYFUNCTION("""COMPUTED_VALUE"""),42928.6666666666)</f>
        <v>42928.666666666599</v>
      </c>
      <c r="B637" s="1">
        <f ca="1">IFERROR(__xludf.DUMMYFUNCTION("""COMPUTED_VALUE"""),50.03)</f>
        <v>50.03</v>
      </c>
      <c r="C637" s="1">
        <f ca="1">IFERROR(__xludf.DUMMYFUNCTION("""COMPUTED_VALUE"""),50.43)</f>
        <v>50.43</v>
      </c>
      <c r="D637" s="1">
        <f ca="1">IFERROR(__xludf.DUMMYFUNCTION("""COMPUTED_VALUE"""),49.91)</f>
        <v>49.91</v>
      </c>
      <c r="E637" s="1">
        <f ca="1">IFERROR(__xludf.DUMMYFUNCTION("""COMPUTED_VALUE"""),50.33)</f>
        <v>50.33</v>
      </c>
      <c r="F637" s="1">
        <f ca="1">IFERROR(__xludf.DUMMYFUNCTION("""COMPUTED_VALUE"""),3608574)</f>
        <v>3608574</v>
      </c>
    </row>
    <row r="638" spans="1:6" x14ac:dyDescent="0.35">
      <c r="A638" s="2">
        <f ca="1">IFERROR(__xludf.DUMMYFUNCTION("""COMPUTED_VALUE"""),42929.6666666666)</f>
        <v>42929.666666666599</v>
      </c>
      <c r="B638" s="1">
        <f ca="1">IFERROR(__xludf.DUMMYFUNCTION("""COMPUTED_VALUE"""),50.23)</f>
        <v>50.23</v>
      </c>
      <c r="C638" s="1">
        <f ca="1">IFERROR(__xludf.DUMMYFUNCTION("""COMPUTED_VALUE"""),50.34)</f>
        <v>50.34</v>
      </c>
      <c r="D638" s="1">
        <f ca="1">IFERROR(__xludf.DUMMYFUNCTION("""COMPUTED_VALUE"""),49.8)</f>
        <v>49.8</v>
      </c>
      <c r="E638" s="1">
        <f ca="1">IFERROR(__xludf.DUMMYFUNCTION("""COMPUTED_VALUE"""),50.03)</f>
        <v>50.03</v>
      </c>
      <c r="F638" s="1">
        <f ca="1">IFERROR(__xludf.DUMMYFUNCTION("""COMPUTED_VALUE"""),2880769)</f>
        <v>2880769</v>
      </c>
    </row>
    <row r="639" spans="1:6" x14ac:dyDescent="0.35">
      <c r="A639" s="2">
        <f ca="1">IFERROR(__xludf.DUMMYFUNCTION("""COMPUTED_VALUE"""),42930.6666666666)</f>
        <v>42930.666666666599</v>
      </c>
      <c r="B639" s="1">
        <f ca="1">IFERROR(__xludf.DUMMYFUNCTION("""COMPUTED_VALUE"""),50.12)</f>
        <v>50.12</v>
      </c>
      <c r="C639" s="1">
        <f ca="1">IFERROR(__xludf.DUMMYFUNCTION("""COMPUTED_VALUE"""),50.22)</f>
        <v>50.22</v>
      </c>
      <c r="D639" s="1">
        <f ca="1">IFERROR(__xludf.DUMMYFUNCTION("""COMPUTED_VALUE"""),49.84)</f>
        <v>49.84</v>
      </c>
      <c r="E639" s="1">
        <f ca="1">IFERROR(__xludf.DUMMYFUNCTION("""COMPUTED_VALUE"""),50.09)</f>
        <v>50.09</v>
      </c>
      <c r="F639" s="1">
        <f ca="1">IFERROR(__xludf.DUMMYFUNCTION("""COMPUTED_VALUE"""),2102469)</f>
        <v>2102469</v>
      </c>
    </row>
    <row r="640" spans="1:6" x14ac:dyDescent="0.35">
      <c r="A640" s="2">
        <f ca="1">IFERROR(__xludf.DUMMYFUNCTION("""COMPUTED_VALUE"""),42933.6666666666)</f>
        <v>42933.666666666599</v>
      </c>
      <c r="B640" s="1">
        <f ca="1">IFERROR(__xludf.DUMMYFUNCTION("""COMPUTED_VALUE"""),50.23)</f>
        <v>50.23</v>
      </c>
      <c r="C640" s="1">
        <f ca="1">IFERROR(__xludf.DUMMYFUNCTION("""COMPUTED_VALUE"""),50.74)</f>
        <v>50.74</v>
      </c>
      <c r="D640" s="1">
        <f ca="1">IFERROR(__xludf.DUMMYFUNCTION("""COMPUTED_VALUE"""),50.19)</f>
        <v>50.19</v>
      </c>
      <c r="E640" s="1">
        <f ca="1">IFERROR(__xludf.DUMMYFUNCTION("""COMPUTED_VALUE"""),50.5)</f>
        <v>50.5</v>
      </c>
      <c r="F640" s="1">
        <f ca="1">IFERROR(__xludf.DUMMYFUNCTION("""COMPUTED_VALUE"""),3712587)</f>
        <v>3712587</v>
      </c>
    </row>
    <row r="641" spans="1:6" x14ac:dyDescent="0.35">
      <c r="A641" s="2">
        <f ca="1">IFERROR(__xludf.DUMMYFUNCTION("""COMPUTED_VALUE"""),42934.6666666666)</f>
        <v>42934.666666666599</v>
      </c>
      <c r="B641" s="1">
        <f ca="1">IFERROR(__xludf.DUMMYFUNCTION("""COMPUTED_VALUE"""),50.3)</f>
        <v>50.3</v>
      </c>
      <c r="C641" s="1">
        <f ca="1">IFERROR(__xludf.DUMMYFUNCTION("""COMPUTED_VALUE"""),51.3)</f>
        <v>51.3</v>
      </c>
      <c r="D641" s="1">
        <f ca="1">IFERROR(__xludf.DUMMYFUNCTION("""COMPUTED_VALUE"""),50.2)</f>
        <v>50.2</v>
      </c>
      <c r="E641" s="1">
        <f ca="1">IFERROR(__xludf.DUMMYFUNCTION("""COMPUTED_VALUE"""),51.22)</f>
        <v>51.22</v>
      </c>
      <c r="F641" s="1">
        <f ca="1">IFERROR(__xludf.DUMMYFUNCTION("""COMPUTED_VALUE"""),4007624)</f>
        <v>4007624</v>
      </c>
    </row>
    <row r="642" spans="1:6" x14ac:dyDescent="0.35">
      <c r="A642" s="2">
        <f ca="1">IFERROR(__xludf.DUMMYFUNCTION("""COMPUTED_VALUE"""),42935.6666666666)</f>
        <v>42935.666666666599</v>
      </c>
      <c r="B642" s="1">
        <f ca="1">IFERROR(__xludf.DUMMYFUNCTION("""COMPUTED_VALUE"""),51.25)</f>
        <v>51.25</v>
      </c>
      <c r="C642" s="1">
        <f ca="1">IFERROR(__xludf.DUMMYFUNCTION("""COMPUTED_VALUE"""),51.58)</f>
        <v>51.58</v>
      </c>
      <c r="D642" s="1">
        <f ca="1">IFERROR(__xludf.DUMMYFUNCTION("""COMPUTED_VALUE"""),51.13)</f>
        <v>51.13</v>
      </c>
      <c r="E642" s="1">
        <f ca="1">IFERROR(__xludf.DUMMYFUNCTION("""COMPUTED_VALUE"""),51.34)</f>
        <v>51.34</v>
      </c>
      <c r="F642" s="1">
        <f ca="1">IFERROR(__xludf.DUMMYFUNCTION("""COMPUTED_VALUE"""),2963964)</f>
        <v>2963964</v>
      </c>
    </row>
    <row r="643" spans="1:6" x14ac:dyDescent="0.35">
      <c r="A643" s="2">
        <f ca="1">IFERROR(__xludf.DUMMYFUNCTION("""COMPUTED_VALUE"""),42936.6666666666)</f>
        <v>42936.666666666599</v>
      </c>
      <c r="B643" s="1">
        <f ca="1">IFERROR(__xludf.DUMMYFUNCTION("""COMPUTED_VALUE"""),51.58)</f>
        <v>51.58</v>
      </c>
      <c r="C643" s="1">
        <f ca="1">IFERROR(__xludf.DUMMYFUNCTION("""COMPUTED_VALUE"""),51.75)</f>
        <v>51.75</v>
      </c>
      <c r="D643" s="1">
        <f ca="1">IFERROR(__xludf.DUMMYFUNCTION("""COMPUTED_VALUE"""),51.13)</f>
        <v>51.13</v>
      </c>
      <c r="E643" s="1">
        <f ca="1">IFERROR(__xludf.DUMMYFUNCTION("""COMPUTED_VALUE"""),51.44)</f>
        <v>51.44</v>
      </c>
      <c r="F643" s="1">
        <f ca="1">IFERROR(__xludf.DUMMYFUNCTION("""COMPUTED_VALUE"""),3097487)</f>
        <v>3097487</v>
      </c>
    </row>
    <row r="644" spans="1:6" x14ac:dyDescent="0.35">
      <c r="A644" s="2">
        <f ca="1">IFERROR(__xludf.DUMMYFUNCTION("""COMPUTED_VALUE"""),42937.6666666666)</f>
        <v>42937.666666666599</v>
      </c>
      <c r="B644" s="1">
        <f ca="1">IFERROR(__xludf.DUMMYFUNCTION("""COMPUTED_VALUE"""),51.06)</f>
        <v>51.06</v>
      </c>
      <c r="C644" s="1">
        <f ca="1">IFERROR(__xludf.DUMMYFUNCTION("""COMPUTED_VALUE"""),51.31)</f>
        <v>51.31</v>
      </c>
      <c r="D644" s="1">
        <f ca="1">IFERROR(__xludf.DUMMYFUNCTION("""COMPUTED_VALUE"""),50.55)</f>
        <v>50.55</v>
      </c>
      <c r="E644" s="1">
        <f ca="1">IFERROR(__xludf.DUMMYFUNCTION("""COMPUTED_VALUE"""),51.28)</f>
        <v>51.28</v>
      </c>
      <c r="F644" s="1">
        <f ca="1">IFERROR(__xludf.DUMMYFUNCTION("""COMPUTED_VALUE"""),2734577)</f>
        <v>2734577</v>
      </c>
    </row>
    <row r="645" spans="1:6" x14ac:dyDescent="0.35">
      <c r="A645" s="2">
        <f ca="1">IFERROR(__xludf.DUMMYFUNCTION("""COMPUTED_VALUE"""),42940.6666666666)</f>
        <v>42940.666666666599</v>
      </c>
      <c r="B645" s="1">
        <f ca="1">IFERROR(__xludf.DUMMYFUNCTION("""COMPUTED_VALUE"""),51.42)</f>
        <v>51.42</v>
      </c>
      <c r="C645" s="1">
        <f ca="1">IFERROR(__xludf.DUMMYFUNCTION("""COMPUTED_VALUE"""),52.15)</f>
        <v>52.15</v>
      </c>
      <c r="D645" s="1">
        <f ca="1">IFERROR(__xludf.DUMMYFUNCTION("""COMPUTED_VALUE"""),51.37)</f>
        <v>51.37</v>
      </c>
      <c r="E645" s="1">
        <f ca="1">IFERROR(__xludf.DUMMYFUNCTION("""COMPUTED_VALUE"""),51.95)</f>
        <v>51.95</v>
      </c>
      <c r="F645" s="1">
        <f ca="1">IFERROR(__xludf.DUMMYFUNCTION("""COMPUTED_VALUE"""),3288020)</f>
        <v>3288020</v>
      </c>
    </row>
    <row r="646" spans="1:6" x14ac:dyDescent="0.35">
      <c r="A646" s="2">
        <f ca="1">IFERROR(__xludf.DUMMYFUNCTION("""COMPUTED_VALUE"""),42941.6666666666)</f>
        <v>42941.666666666599</v>
      </c>
      <c r="B646" s="1">
        <f ca="1">IFERROR(__xludf.DUMMYFUNCTION("""COMPUTED_VALUE"""),51.9)</f>
        <v>51.9</v>
      </c>
      <c r="C646" s="1">
        <f ca="1">IFERROR(__xludf.DUMMYFUNCTION("""COMPUTED_VALUE"""),52.17)</f>
        <v>52.17</v>
      </c>
      <c r="D646" s="1">
        <f ca="1">IFERROR(__xludf.DUMMYFUNCTION("""COMPUTED_VALUE"""),51.62)</f>
        <v>51.62</v>
      </c>
      <c r="E646" s="1">
        <f ca="1">IFERROR(__xludf.DUMMYFUNCTION("""COMPUTED_VALUE"""),51.99)</f>
        <v>51.99</v>
      </c>
      <c r="F646" s="1">
        <f ca="1">IFERROR(__xludf.DUMMYFUNCTION("""COMPUTED_VALUE"""),2447629)</f>
        <v>2447629</v>
      </c>
    </row>
    <row r="647" spans="1:6" x14ac:dyDescent="0.35">
      <c r="A647" s="2">
        <f ca="1">IFERROR(__xludf.DUMMYFUNCTION("""COMPUTED_VALUE"""),42942.6666666666)</f>
        <v>42942.666666666599</v>
      </c>
      <c r="B647" s="1">
        <f ca="1">IFERROR(__xludf.DUMMYFUNCTION("""COMPUTED_VALUE"""),52.16)</f>
        <v>52.16</v>
      </c>
      <c r="C647" s="1">
        <f ca="1">IFERROR(__xludf.DUMMYFUNCTION("""COMPUTED_VALUE"""),52.66)</f>
        <v>52.66</v>
      </c>
      <c r="D647" s="1">
        <f ca="1">IFERROR(__xludf.DUMMYFUNCTION("""COMPUTED_VALUE"""),52.16)</f>
        <v>52.16</v>
      </c>
      <c r="E647" s="1">
        <f ca="1">IFERROR(__xludf.DUMMYFUNCTION("""COMPUTED_VALUE"""),52.64)</f>
        <v>52.64</v>
      </c>
      <c r="F647" s="1">
        <f ca="1">IFERROR(__xludf.DUMMYFUNCTION("""COMPUTED_VALUE"""),2921253)</f>
        <v>2921253</v>
      </c>
    </row>
    <row r="648" spans="1:6" x14ac:dyDescent="0.35">
      <c r="A648" s="2">
        <f ca="1">IFERROR(__xludf.DUMMYFUNCTION("""COMPUTED_VALUE"""),42943.6666666666)</f>
        <v>42943.666666666599</v>
      </c>
      <c r="B648" s="1">
        <f ca="1">IFERROR(__xludf.DUMMYFUNCTION("""COMPUTED_VALUE"""),53.48)</f>
        <v>53.48</v>
      </c>
      <c r="C648" s="1">
        <f ca="1">IFERROR(__xludf.DUMMYFUNCTION("""COMPUTED_VALUE"""),54.17)</f>
        <v>54.17</v>
      </c>
      <c r="D648" s="1">
        <f ca="1">IFERROR(__xludf.DUMMYFUNCTION("""COMPUTED_VALUE"""),52.01)</f>
        <v>52.01</v>
      </c>
      <c r="E648" s="1">
        <f ca="1">IFERROR(__xludf.DUMMYFUNCTION("""COMPUTED_VALUE"""),52.3)</f>
        <v>52.3</v>
      </c>
      <c r="F648" s="1">
        <f ca="1">IFERROR(__xludf.DUMMYFUNCTION("""COMPUTED_VALUE"""),10991715)</f>
        <v>10991715</v>
      </c>
    </row>
    <row r="649" spans="1:6" x14ac:dyDescent="0.35">
      <c r="A649" s="2">
        <f ca="1">IFERROR(__xludf.DUMMYFUNCTION("""COMPUTED_VALUE"""),42944.6666666666)</f>
        <v>42944.666666666599</v>
      </c>
      <c r="B649" s="1">
        <f ca="1">IFERROR(__xludf.DUMMYFUNCTION("""COMPUTED_VALUE"""),50.61)</f>
        <v>50.61</v>
      </c>
      <c r="C649" s="1">
        <f ca="1">IFERROR(__xludf.DUMMYFUNCTION("""COMPUTED_VALUE"""),51.64)</f>
        <v>51.64</v>
      </c>
      <c r="D649" s="1">
        <f ca="1">IFERROR(__xludf.DUMMYFUNCTION("""COMPUTED_VALUE"""),50.05)</f>
        <v>50.05</v>
      </c>
      <c r="E649" s="1">
        <f ca="1">IFERROR(__xludf.DUMMYFUNCTION("""COMPUTED_VALUE"""),51)</f>
        <v>51</v>
      </c>
      <c r="F649" s="1">
        <f ca="1">IFERROR(__xludf.DUMMYFUNCTION("""COMPUTED_VALUE"""),7709420)</f>
        <v>7709420</v>
      </c>
    </row>
    <row r="650" spans="1:6" x14ac:dyDescent="0.35">
      <c r="A650" s="2">
        <f ca="1">IFERROR(__xludf.DUMMYFUNCTION("""COMPUTED_VALUE"""),42947.6666666666)</f>
        <v>42947.666666666599</v>
      </c>
      <c r="B650" s="1">
        <f ca="1">IFERROR(__xludf.DUMMYFUNCTION("""COMPUTED_VALUE"""),50.95)</f>
        <v>50.95</v>
      </c>
      <c r="C650" s="1">
        <f ca="1">IFERROR(__xludf.DUMMYFUNCTION("""COMPUTED_VALUE"""),50.95)</f>
        <v>50.95</v>
      </c>
      <c r="D650" s="1">
        <f ca="1">IFERROR(__xludf.DUMMYFUNCTION("""COMPUTED_VALUE"""),49.35)</f>
        <v>49.35</v>
      </c>
      <c r="E650" s="1">
        <f ca="1">IFERROR(__xludf.DUMMYFUNCTION("""COMPUTED_VALUE"""),49.39)</f>
        <v>49.39</v>
      </c>
      <c r="F650" s="1">
        <f ca="1">IFERROR(__xludf.DUMMYFUNCTION("""COMPUTED_VALUE"""),7352063)</f>
        <v>7352063</v>
      </c>
    </row>
    <row r="651" spans="1:6" x14ac:dyDescent="0.35">
      <c r="A651" s="2">
        <f ca="1">IFERROR(__xludf.DUMMYFUNCTION("""COMPUTED_VALUE"""),42948.6666666666)</f>
        <v>42948.666666666599</v>
      </c>
      <c r="B651" s="1">
        <f ca="1">IFERROR(__xludf.DUMMYFUNCTION("""COMPUTED_VALUE"""),49.81)</f>
        <v>49.81</v>
      </c>
      <c r="C651" s="1">
        <f ca="1">IFERROR(__xludf.DUMMYFUNCTION("""COMPUTED_VALUE"""),50.32)</f>
        <v>50.32</v>
      </c>
      <c r="D651" s="1">
        <f ca="1">IFERROR(__xludf.DUMMYFUNCTION("""COMPUTED_VALUE"""),49.58)</f>
        <v>49.58</v>
      </c>
      <c r="E651" s="1">
        <f ca="1">IFERROR(__xludf.DUMMYFUNCTION("""COMPUTED_VALUE"""),49.81)</f>
        <v>49.81</v>
      </c>
      <c r="F651" s="1">
        <f ca="1">IFERROR(__xludf.DUMMYFUNCTION("""COMPUTED_VALUE"""),4572576)</f>
        <v>4572576</v>
      </c>
    </row>
    <row r="652" spans="1:6" x14ac:dyDescent="0.35">
      <c r="A652" s="2">
        <f ca="1">IFERROR(__xludf.DUMMYFUNCTION("""COMPUTED_VALUE"""),42949.6666666666)</f>
        <v>42949.666666666599</v>
      </c>
      <c r="B652" s="1">
        <f ca="1">IFERROR(__xludf.DUMMYFUNCTION("""COMPUTED_VALUE"""),50.09)</f>
        <v>50.09</v>
      </c>
      <c r="C652" s="1">
        <f ca="1">IFERROR(__xludf.DUMMYFUNCTION("""COMPUTED_VALUE"""),50.16)</f>
        <v>50.16</v>
      </c>
      <c r="D652" s="1">
        <f ca="1">IFERROR(__xludf.DUMMYFUNCTION("""COMPUTED_VALUE"""),49.09)</f>
        <v>49.09</v>
      </c>
      <c r="E652" s="1">
        <f ca="1">IFERROR(__xludf.DUMMYFUNCTION("""COMPUTED_VALUE"""),49.79)</f>
        <v>49.79</v>
      </c>
      <c r="F652" s="1">
        <f ca="1">IFERROR(__xludf.DUMMYFUNCTION("""COMPUTED_VALUE"""),4069993)</f>
        <v>4069993</v>
      </c>
    </row>
    <row r="653" spans="1:6" x14ac:dyDescent="0.35">
      <c r="A653" s="2">
        <f ca="1">IFERROR(__xludf.DUMMYFUNCTION("""COMPUTED_VALUE"""),42950.6666666666)</f>
        <v>42950.666666666599</v>
      </c>
      <c r="B653" s="1">
        <f ca="1">IFERROR(__xludf.DUMMYFUNCTION("""COMPUTED_VALUE"""),49.97)</f>
        <v>49.97</v>
      </c>
      <c r="C653" s="1">
        <f ca="1">IFERROR(__xludf.DUMMYFUNCTION("""COMPUTED_VALUE"""),49.98)</f>
        <v>49.98</v>
      </c>
      <c r="D653" s="1">
        <f ca="1">IFERROR(__xludf.DUMMYFUNCTION("""COMPUTED_VALUE"""),49.23)</f>
        <v>49.23</v>
      </c>
      <c r="E653" s="1">
        <f ca="1">IFERROR(__xludf.DUMMYFUNCTION("""COMPUTED_VALUE"""),49.35)</f>
        <v>49.35</v>
      </c>
      <c r="F653" s="1">
        <f ca="1">IFERROR(__xludf.DUMMYFUNCTION("""COMPUTED_VALUE"""),3255764)</f>
        <v>3255764</v>
      </c>
    </row>
    <row r="654" spans="1:6" x14ac:dyDescent="0.35">
      <c r="A654" s="2">
        <f ca="1">IFERROR(__xludf.DUMMYFUNCTION("""COMPUTED_VALUE"""),42951.6666666666)</f>
        <v>42951.666666666599</v>
      </c>
      <c r="B654" s="1">
        <f ca="1">IFERROR(__xludf.DUMMYFUNCTION("""COMPUTED_VALUE"""),49.48)</f>
        <v>49.48</v>
      </c>
      <c r="C654" s="1">
        <f ca="1">IFERROR(__xludf.DUMMYFUNCTION("""COMPUTED_VALUE"""),49.58)</f>
        <v>49.58</v>
      </c>
      <c r="D654" s="1">
        <f ca="1">IFERROR(__xludf.DUMMYFUNCTION("""COMPUTED_VALUE"""),49.1)</f>
        <v>49.1</v>
      </c>
      <c r="E654" s="1">
        <f ca="1">IFERROR(__xludf.DUMMYFUNCTION("""COMPUTED_VALUE"""),49.38)</f>
        <v>49.38</v>
      </c>
      <c r="F654" s="1">
        <f ca="1">IFERROR(__xludf.DUMMYFUNCTION("""COMPUTED_VALUE"""),2730308)</f>
        <v>2730308</v>
      </c>
    </row>
    <row r="655" spans="1:6" x14ac:dyDescent="0.35">
      <c r="A655" s="2">
        <f ca="1">IFERROR(__xludf.DUMMYFUNCTION("""COMPUTED_VALUE"""),42954.6666666666)</f>
        <v>42954.666666666599</v>
      </c>
      <c r="B655" s="1">
        <f ca="1">IFERROR(__xludf.DUMMYFUNCTION("""COMPUTED_VALUE"""),49.53)</f>
        <v>49.53</v>
      </c>
      <c r="C655" s="1">
        <f ca="1">IFERROR(__xludf.DUMMYFUNCTION("""COMPUTED_VALUE"""),49.75)</f>
        <v>49.75</v>
      </c>
      <c r="D655" s="1">
        <f ca="1">IFERROR(__xludf.DUMMYFUNCTION("""COMPUTED_VALUE"""),49.36)</f>
        <v>49.36</v>
      </c>
      <c r="E655" s="1">
        <f ca="1">IFERROR(__xludf.DUMMYFUNCTION("""COMPUTED_VALUE"""),49.61)</f>
        <v>49.61</v>
      </c>
      <c r="F655" s="1">
        <f ca="1">IFERROR(__xludf.DUMMYFUNCTION("""COMPUTED_VALUE"""),2676607)</f>
        <v>2676607</v>
      </c>
    </row>
    <row r="656" spans="1:6" x14ac:dyDescent="0.35">
      <c r="A656" s="2">
        <f ca="1">IFERROR(__xludf.DUMMYFUNCTION("""COMPUTED_VALUE"""),42955.6666666666)</f>
        <v>42955.666666666599</v>
      </c>
      <c r="B656" s="1">
        <f ca="1">IFERROR(__xludf.DUMMYFUNCTION("""COMPUTED_VALUE"""),49.72)</f>
        <v>49.72</v>
      </c>
      <c r="C656" s="1">
        <f ca="1">IFERROR(__xludf.DUMMYFUNCTION("""COMPUTED_VALUE"""),49.81)</f>
        <v>49.81</v>
      </c>
      <c r="D656" s="1">
        <f ca="1">IFERROR(__xludf.DUMMYFUNCTION("""COMPUTED_VALUE"""),49.29)</f>
        <v>49.29</v>
      </c>
      <c r="E656" s="1">
        <f ca="1">IFERROR(__xludf.DUMMYFUNCTION("""COMPUTED_VALUE"""),49.49)</f>
        <v>49.49</v>
      </c>
      <c r="F656" s="1">
        <f ca="1">IFERROR(__xludf.DUMMYFUNCTION("""COMPUTED_VALUE"""),2902815)</f>
        <v>2902815</v>
      </c>
    </row>
    <row r="657" spans="1:6" x14ac:dyDescent="0.35">
      <c r="A657" s="2">
        <f ca="1">IFERROR(__xludf.DUMMYFUNCTION("""COMPUTED_VALUE"""),42956.6666666666)</f>
        <v>42956.666666666599</v>
      </c>
      <c r="B657" s="1">
        <f ca="1">IFERROR(__xludf.DUMMYFUNCTION("""COMPUTED_VALUE"""),49.13)</f>
        <v>49.13</v>
      </c>
      <c r="C657" s="1">
        <f ca="1">IFERROR(__xludf.DUMMYFUNCTION("""COMPUTED_VALUE"""),49.4)</f>
        <v>49.4</v>
      </c>
      <c r="D657" s="1">
        <f ca="1">IFERROR(__xludf.DUMMYFUNCTION("""COMPUTED_VALUE"""),48.76)</f>
        <v>48.76</v>
      </c>
      <c r="E657" s="1">
        <f ca="1">IFERROR(__xludf.DUMMYFUNCTION("""COMPUTED_VALUE"""),49.1)</f>
        <v>49.1</v>
      </c>
      <c r="F657" s="1">
        <f ca="1">IFERROR(__xludf.DUMMYFUNCTION("""COMPUTED_VALUE"""),3569731)</f>
        <v>3569731</v>
      </c>
    </row>
    <row r="658" spans="1:6" x14ac:dyDescent="0.35">
      <c r="A658" s="2">
        <f ca="1">IFERROR(__xludf.DUMMYFUNCTION("""COMPUTED_VALUE"""),42957.6666666666)</f>
        <v>42957.666666666599</v>
      </c>
      <c r="B658" s="1">
        <f ca="1">IFERROR(__xludf.DUMMYFUNCTION("""COMPUTED_VALUE"""),48.81)</f>
        <v>48.81</v>
      </c>
      <c r="C658" s="1">
        <f ca="1">IFERROR(__xludf.DUMMYFUNCTION("""COMPUTED_VALUE"""),48.99)</f>
        <v>48.99</v>
      </c>
      <c r="D658" s="1">
        <f ca="1">IFERROR(__xludf.DUMMYFUNCTION("""COMPUTED_VALUE"""),47.73)</f>
        <v>47.73</v>
      </c>
      <c r="E658" s="1">
        <f ca="1">IFERROR(__xludf.DUMMYFUNCTION("""COMPUTED_VALUE"""),47.85)</f>
        <v>47.85</v>
      </c>
      <c r="F658" s="1">
        <f ca="1">IFERROR(__xludf.DUMMYFUNCTION("""COMPUTED_VALUE"""),5684068)</f>
        <v>5684068</v>
      </c>
    </row>
    <row r="659" spans="1:6" x14ac:dyDescent="0.35">
      <c r="A659" s="2">
        <f ca="1">IFERROR(__xludf.DUMMYFUNCTION("""COMPUTED_VALUE"""),42958.6666666666)</f>
        <v>42958.666666666599</v>
      </c>
      <c r="B659" s="1">
        <f ca="1">IFERROR(__xludf.DUMMYFUNCTION("""COMPUTED_VALUE"""),48)</f>
        <v>48</v>
      </c>
      <c r="C659" s="1">
        <f ca="1">IFERROR(__xludf.DUMMYFUNCTION("""COMPUTED_VALUE"""),48.52)</f>
        <v>48.52</v>
      </c>
      <c r="D659" s="1">
        <f ca="1">IFERROR(__xludf.DUMMYFUNCTION("""COMPUTED_VALUE"""),47.57)</f>
        <v>47.57</v>
      </c>
      <c r="E659" s="1">
        <f ca="1">IFERROR(__xludf.DUMMYFUNCTION("""COMPUTED_VALUE"""),48.4)</f>
        <v>48.4</v>
      </c>
      <c r="F659" s="1">
        <f ca="1">IFERROR(__xludf.DUMMYFUNCTION("""COMPUTED_VALUE"""),3468017)</f>
        <v>3468017</v>
      </c>
    </row>
    <row r="660" spans="1:6" x14ac:dyDescent="0.35">
      <c r="A660" s="2">
        <f ca="1">IFERROR(__xludf.DUMMYFUNCTION("""COMPUTED_VALUE"""),42961.6666666666)</f>
        <v>42961.666666666599</v>
      </c>
      <c r="B660" s="1">
        <f ca="1">IFERROR(__xludf.DUMMYFUNCTION("""COMPUTED_VALUE"""),48.92)</f>
        <v>48.92</v>
      </c>
      <c r="C660" s="1">
        <f ca="1">IFERROR(__xludf.DUMMYFUNCTION("""COMPUTED_VALUE"""),49.28)</f>
        <v>49.28</v>
      </c>
      <c r="D660" s="1">
        <f ca="1">IFERROR(__xludf.DUMMYFUNCTION("""COMPUTED_VALUE"""),48.81)</f>
        <v>48.81</v>
      </c>
      <c r="E660" s="1">
        <f ca="1">IFERROR(__xludf.DUMMYFUNCTION("""COMPUTED_VALUE"""),49.17)</f>
        <v>49.17</v>
      </c>
      <c r="F660" s="1">
        <f ca="1">IFERROR(__xludf.DUMMYFUNCTION("""COMPUTED_VALUE"""),3172892)</f>
        <v>3172892</v>
      </c>
    </row>
    <row r="661" spans="1:6" x14ac:dyDescent="0.35">
      <c r="A661" s="2">
        <f ca="1">IFERROR(__xludf.DUMMYFUNCTION("""COMPUTED_VALUE"""),42962.6666666666)</f>
        <v>42962.666666666599</v>
      </c>
      <c r="B661" s="1">
        <f ca="1">IFERROR(__xludf.DUMMYFUNCTION("""COMPUTED_VALUE"""),49.45)</f>
        <v>49.45</v>
      </c>
      <c r="C661" s="1">
        <f ca="1">IFERROR(__xludf.DUMMYFUNCTION("""COMPUTED_VALUE"""),49.59)</f>
        <v>49.59</v>
      </c>
      <c r="D661" s="1">
        <f ca="1">IFERROR(__xludf.DUMMYFUNCTION("""COMPUTED_VALUE"""),49.1)</f>
        <v>49.1</v>
      </c>
      <c r="E661" s="1">
        <f ca="1">IFERROR(__xludf.DUMMYFUNCTION("""COMPUTED_VALUE"""),49.14)</f>
        <v>49.14</v>
      </c>
      <c r="F661" s="1">
        <f ca="1">IFERROR(__xludf.DUMMYFUNCTION("""COMPUTED_VALUE"""),2549295)</f>
        <v>2549295</v>
      </c>
    </row>
    <row r="662" spans="1:6" x14ac:dyDescent="0.35">
      <c r="A662" s="2">
        <f ca="1">IFERROR(__xludf.DUMMYFUNCTION("""COMPUTED_VALUE"""),42963.6666666666)</f>
        <v>42963.666666666599</v>
      </c>
      <c r="B662" s="1">
        <f ca="1">IFERROR(__xludf.DUMMYFUNCTION("""COMPUTED_VALUE"""),49.08)</f>
        <v>49.08</v>
      </c>
      <c r="C662" s="1">
        <f ca="1">IFERROR(__xludf.DUMMYFUNCTION("""COMPUTED_VALUE"""),49.32)</f>
        <v>49.32</v>
      </c>
      <c r="D662" s="1">
        <f ca="1">IFERROR(__xludf.DUMMYFUNCTION("""COMPUTED_VALUE"""),48.66)</f>
        <v>48.66</v>
      </c>
      <c r="E662" s="1">
        <f ca="1">IFERROR(__xludf.DUMMYFUNCTION("""COMPUTED_VALUE"""),48.91)</f>
        <v>48.91</v>
      </c>
      <c r="F662" s="1">
        <f ca="1">IFERROR(__xludf.DUMMYFUNCTION("""COMPUTED_VALUE"""),3132066)</f>
        <v>3132066</v>
      </c>
    </row>
    <row r="663" spans="1:6" x14ac:dyDescent="0.35">
      <c r="A663" s="2">
        <f ca="1">IFERROR(__xludf.DUMMYFUNCTION("""COMPUTED_VALUE"""),42964.6666666666)</f>
        <v>42964.666666666599</v>
      </c>
      <c r="B663" s="1">
        <f ca="1">IFERROR(__xludf.DUMMYFUNCTION("""COMPUTED_VALUE"""),48.89)</f>
        <v>48.89</v>
      </c>
      <c r="C663" s="1">
        <f ca="1">IFERROR(__xludf.DUMMYFUNCTION("""COMPUTED_VALUE"""),48.89)</f>
        <v>48.89</v>
      </c>
      <c r="D663" s="1">
        <f ca="1">IFERROR(__xludf.DUMMYFUNCTION("""COMPUTED_VALUE"""),48.02)</f>
        <v>48.02</v>
      </c>
      <c r="E663" s="1">
        <f ca="1">IFERROR(__xludf.DUMMYFUNCTION("""COMPUTED_VALUE"""),48.03)</f>
        <v>48.03</v>
      </c>
      <c r="F663" s="1">
        <f ca="1">IFERROR(__xludf.DUMMYFUNCTION("""COMPUTED_VALUE"""),3512397)</f>
        <v>3512397</v>
      </c>
    </row>
    <row r="664" spans="1:6" x14ac:dyDescent="0.35">
      <c r="A664" s="2">
        <f ca="1">IFERROR(__xludf.DUMMYFUNCTION("""COMPUTED_VALUE"""),42965.6666666666)</f>
        <v>42965.666666666599</v>
      </c>
      <c r="B664" s="1">
        <f ca="1">IFERROR(__xludf.DUMMYFUNCTION("""COMPUTED_VALUE"""),48.07)</f>
        <v>48.07</v>
      </c>
      <c r="C664" s="1">
        <f ca="1">IFERROR(__xludf.DUMMYFUNCTION("""COMPUTED_VALUE"""),48.27)</f>
        <v>48.27</v>
      </c>
      <c r="D664" s="1">
        <f ca="1">IFERROR(__xludf.DUMMYFUNCTION("""COMPUTED_VALUE"""),47.73)</f>
        <v>47.73</v>
      </c>
      <c r="E664" s="1">
        <f ca="1">IFERROR(__xludf.DUMMYFUNCTION("""COMPUTED_VALUE"""),47.92)</f>
        <v>47.92</v>
      </c>
      <c r="F664" s="1">
        <f ca="1">IFERROR(__xludf.DUMMYFUNCTION("""COMPUTED_VALUE"""),3284821)</f>
        <v>3284821</v>
      </c>
    </row>
    <row r="665" spans="1:6" x14ac:dyDescent="0.35">
      <c r="A665" s="2">
        <f ca="1">IFERROR(__xludf.DUMMYFUNCTION("""COMPUTED_VALUE"""),42968.6666666666)</f>
        <v>42968.666666666599</v>
      </c>
      <c r="B665" s="1">
        <f ca="1">IFERROR(__xludf.DUMMYFUNCTION("""COMPUTED_VALUE"""),47.88)</f>
        <v>47.88</v>
      </c>
      <c r="C665" s="1">
        <f ca="1">IFERROR(__xludf.DUMMYFUNCTION("""COMPUTED_VALUE"""),48.06)</f>
        <v>48.06</v>
      </c>
      <c r="D665" s="1">
        <f ca="1">IFERROR(__xludf.DUMMYFUNCTION("""COMPUTED_VALUE"""),47.27)</f>
        <v>47.27</v>
      </c>
      <c r="E665" s="1">
        <f ca="1">IFERROR(__xludf.DUMMYFUNCTION("""COMPUTED_VALUE"""),47.66)</f>
        <v>47.66</v>
      </c>
      <c r="F665" s="1">
        <f ca="1">IFERROR(__xludf.DUMMYFUNCTION("""COMPUTED_VALUE"""),3164483)</f>
        <v>3164483</v>
      </c>
    </row>
    <row r="666" spans="1:6" x14ac:dyDescent="0.35">
      <c r="A666" s="2">
        <f ca="1">IFERROR(__xludf.DUMMYFUNCTION("""COMPUTED_VALUE"""),42969.6666666666)</f>
        <v>42969.666666666599</v>
      </c>
      <c r="B666" s="1">
        <f ca="1">IFERROR(__xludf.DUMMYFUNCTION("""COMPUTED_VALUE"""),47.78)</f>
        <v>47.78</v>
      </c>
      <c r="C666" s="1">
        <f ca="1">IFERROR(__xludf.DUMMYFUNCTION("""COMPUTED_VALUE"""),48.4)</f>
        <v>48.4</v>
      </c>
      <c r="D666" s="1">
        <f ca="1">IFERROR(__xludf.DUMMYFUNCTION("""COMPUTED_VALUE"""),47.77)</f>
        <v>47.77</v>
      </c>
      <c r="E666" s="1">
        <f ca="1">IFERROR(__xludf.DUMMYFUNCTION("""COMPUTED_VALUE"""),48.35)</f>
        <v>48.35</v>
      </c>
      <c r="F666" s="1">
        <f ca="1">IFERROR(__xludf.DUMMYFUNCTION("""COMPUTED_VALUE"""),2749970)</f>
        <v>2749970</v>
      </c>
    </row>
    <row r="667" spans="1:6" x14ac:dyDescent="0.35">
      <c r="A667" s="2">
        <f ca="1">IFERROR(__xludf.DUMMYFUNCTION("""COMPUTED_VALUE"""),42970.6666666666)</f>
        <v>42970.666666666599</v>
      </c>
      <c r="B667" s="1">
        <f ca="1">IFERROR(__xludf.DUMMYFUNCTION("""COMPUTED_VALUE"""),47.97)</f>
        <v>47.97</v>
      </c>
      <c r="C667" s="1">
        <f ca="1">IFERROR(__xludf.DUMMYFUNCTION("""COMPUTED_VALUE"""),48.1)</f>
        <v>48.1</v>
      </c>
      <c r="D667" s="1">
        <f ca="1">IFERROR(__xludf.DUMMYFUNCTION("""COMPUTED_VALUE"""),47.71)</f>
        <v>47.71</v>
      </c>
      <c r="E667" s="1">
        <f ca="1">IFERROR(__xludf.DUMMYFUNCTION("""COMPUTED_VALUE"""),47.9)</f>
        <v>47.9</v>
      </c>
      <c r="F667" s="1">
        <f ca="1">IFERROR(__xludf.DUMMYFUNCTION("""COMPUTED_VALUE"""),2668264)</f>
        <v>2668264</v>
      </c>
    </row>
    <row r="668" spans="1:6" x14ac:dyDescent="0.35">
      <c r="A668" s="2">
        <f ca="1">IFERROR(__xludf.DUMMYFUNCTION("""COMPUTED_VALUE"""),42971.6666666666)</f>
        <v>42971.666666666599</v>
      </c>
      <c r="B668" s="1">
        <f ca="1">IFERROR(__xludf.DUMMYFUNCTION("""COMPUTED_VALUE"""),47.87)</f>
        <v>47.87</v>
      </c>
      <c r="C668" s="1">
        <f ca="1">IFERROR(__xludf.DUMMYFUNCTION("""COMPUTED_VALUE"""),47.95)</f>
        <v>47.95</v>
      </c>
      <c r="D668" s="1">
        <f ca="1">IFERROR(__xludf.DUMMYFUNCTION("""COMPUTED_VALUE"""),47.06)</f>
        <v>47.06</v>
      </c>
      <c r="E668" s="1">
        <f ca="1">IFERROR(__xludf.DUMMYFUNCTION("""COMPUTED_VALUE"""),47.62)</f>
        <v>47.62</v>
      </c>
      <c r="F668" s="1">
        <f ca="1">IFERROR(__xludf.DUMMYFUNCTION("""COMPUTED_VALUE"""),5195726)</f>
        <v>5195726</v>
      </c>
    </row>
    <row r="669" spans="1:6" x14ac:dyDescent="0.35">
      <c r="A669" s="2">
        <f ca="1">IFERROR(__xludf.DUMMYFUNCTION("""COMPUTED_VALUE"""),42972.6666666666)</f>
        <v>42972.666666666599</v>
      </c>
      <c r="B669" s="1">
        <f ca="1">IFERROR(__xludf.DUMMYFUNCTION("""COMPUTED_VALUE"""),47.8)</f>
        <v>47.8</v>
      </c>
      <c r="C669" s="1">
        <f ca="1">IFERROR(__xludf.DUMMYFUNCTION("""COMPUTED_VALUE"""),47.88)</f>
        <v>47.88</v>
      </c>
      <c r="D669" s="1">
        <f ca="1">IFERROR(__xludf.DUMMYFUNCTION("""COMPUTED_VALUE"""),47.21)</f>
        <v>47.21</v>
      </c>
      <c r="E669" s="1">
        <f ca="1">IFERROR(__xludf.DUMMYFUNCTION("""COMPUTED_VALUE"""),47.26)</f>
        <v>47.26</v>
      </c>
      <c r="F669" s="1">
        <f ca="1">IFERROR(__xludf.DUMMYFUNCTION("""COMPUTED_VALUE"""),3324791)</f>
        <v>3324791</v>
      </c>
    </row>
    <row r="670" spans="1:6" x14ac:dyDescent="0.35">
      <c r="A670" s="2">
        <f ca="1">IFERROR(__xludf.DUMMYFUNCTION("""COMPUTED_VALUE"""),42975.6666666666)</f>
        <v>42975.666666666599</v>
      </c>
      <c r="B670" s="1">
        <f ca="1">IFERROR(__xludf.DUMMYFUNCTION("""COMPUTED_VALUE"""),47.33)</f>
        <v>47.33</v>
      </c>
      <c r="C670" s="1">
        <f ca="1">IFERROR(__xludf.DUMMYFUNCTION("""COMPUTED_VALUE"""),47.65)</f>
        <v>47.65</v>
      </c>
      <c r="D670" s="1">
        <f ca="1">IFERROR(__xludf.DUMMYFUNCTION("""COMPUTED_VALUE"""),47.11)</f>
        <v>47.11</v>
      </c>
      <c r="E670" s="1">
        <f ca="1">IFERROR(__xludf.DUMMYFUNCTION("""COMPUTED_VALUE"""),47.3)</f>
        <v>47.3</v>
      </c>
      <c r="F670" s="1">
        <f ca="1">IFERROR(__xludf.DUMMYFUNCTION("""COMPUTED_VALUE"""),2596737)</f>
        <v>2596737</v>
      </c>
    </row>
    <row r="671" spans="1:6" x14ac:dyDescent="0.35">
      <c r="A671" s="2">
        <f ca="1">IFERROR(__xludf.DUMMYFUNCTION("""COMPUTED_VALUE"""),42976.6666666666)</f>
        <v>42976.666666666599</v>
      </c>
      <c r="B671" s="1">
        <f ca="1">IFERROR(__xludf.DUMMYFUNCTION("""COMPUTED_VALUE"""),47)</f>
        <v>47</v>
      </c>
      <c r="C671" s="1">
        <f ca="1">IFERROR(__xludf.DUMMYFUNCTION("""COMPUTED_VALUE"""),47.8)</f>
        <v>47.8</v>
      </c>
      <c r="D671" s="1">
        <f ca="1">IFERROR(__xludf.DUMMYFUNCTION("""COMPUTED_VALUE"""),46.82)</f>
        <v>46.82</v>
      </c>
      <c r="E671" s="1">
        <f ca="1">IFERROR(__xludf.DUMMYFUNCTION("""COMPUTED_VALUE"""),47.7)</f>
        <v>47.7</v>
      </c>
      <c r="F671" s="1">
        <f ca="1">IFERROR(__xludf.DUMMYFUNCTION("""COMPUTED_VALUE"""),2874299)</f>
        <v>2874299</v>
      </c>
    </row>
    <row r="672" spans="1:6" x14ac:dyDescent="0.35">
      <c r="A672" s="2">
        <f ca="1">IFERROR(__xludf.DUMMYFUNCTION("""COMPUTED_VALUE"""),42977.6666666666)</f>
        <v>42977.666666666599</v>
      </c>
      <c r="B672" s="1">
        <f ca="1">IFERROR(__xludf.DUMMYFUNCTION("""COMPUTED_VALUE"""),47.92)</f>
        <v>47.92</v>
      </c>
      <c r="C672" s="1">
        <f ca="1">IFERROR(__xludf.DUMMYFUNCTION("""COMPUTED_VALUE"""),48.47)</f>
        <v>48.47</v>
      </c>
      <c r="D672" s="1">
        <f ca="1">IFERROR(__xludf.DUMMYFUNCTION("""COMPUTED_VALUE"""),47.85)</f>
        <v>47.85</v>
      </c>
      <c r="E672" s="1">
        <f ca="1">IFERROR(__xludf.DUMMYFUNCTION("""COMPUTED_VALUE"""),48.38)</f>
        <v>48.38</v>
      </c>
      <c r="F672" s="1">
        <f ca="1">IFERROR(__xludf.DUMMYFUNCTION("""COMPUTED_VALUE"""),2904604)</f>
        <v>2904604</v>
      </c>
    </row>
    <row r="673" spans="1:6" x14ac:dyDescent="0.35">
      <c r="A673" s="2">
        <f ca="1">IFERROR(__xludf.DUMMYFUNCTION("""COMPUTED_VALUE"""),42978.6666666666)</f>
        <v>42978.666666666599</v>
      </c>
      <c r="B673" s="1">
        <f ca="1">IFERROR(__xludf.DUMMYFUNCTION("""COMPUTED_VALUE"""),48.74)</f>
        <v>48.74</v>
      </c>
      <c r="C673" s="1">
        <f ca="1">IFERROR(__xludf.DUMMYFUNCTION("""COMPUTED_VALUE"""),49.05)</f>
        <v>49.05</v>
      </c>
      <c r="D673" s="1">
        <f ca="1">IFERROR(__xludf.DUMMYFUNCTION("""COMPUTED_VALUE"""),48.64)</f>
        <v>48.64</v>
      </c>
      <c r="E673" s="1">
        <f ca="1">IFERROR(__xludf.DUMMYFUNCTION("""COMPUTED_VALUE"""),49.03)</f>
        <v>49.03</v>
      </c>
      <c r="F673" s="1">
        <f ca="1">IFERROR(__xludf.DUMMYFUNCTION("""COMPUTED_VALUE"""),3331488)</f>
        <v>3331488</v>
      </c>
    </row>
    <row r="674" spans="1:6" x14ac:dyDescent="0.35">
      <c r="A674" s="2">
        <f ca="1">IFERROR(__xludf.DUMMYFUNCTION("""COMPUTED_VALUE"""),42979.6666666666)</f>
        <v>42979.666666666599</v>
      </c>
      <c r="B674" s="1">
        <f ca="1">IFERROR(__xludf.DUMMYFUNCTION("""COMPUTED_VALUE"""),49.21)</f>
        <v>49.21</v>
      </c>
      <c r="C674" s="1">
        <f ca="1">IFERROR(__xludf.DUMMYFUNCTION("""COMPUTED_VALUE"""),49.23)</f>
        <v>49.23</v>
      </c>
      <c r="D674" s="1">
        <f ca="1">IFERROR(__xludf.DUMMYFUNCTION("""COMPUTED_VALUE"""),48.84)</f>
        <v>48.84</v>
      </c>
      <c r="E674" s="1">
        <f ca="1">IFERROR(__xludf.DUMMYFUNCTION("""COMPUTED_VALUE"""),48.91)</f>
        <v>48.91</v>
      </c>
      <c r="F674" s="1">
        <f ca="1">IFERROR(__xludf.DUMMYFUNCTION("""COMPUTED_VALUE"""),2535917)</f>
        <v>2535917</v>
      </c>
    </row>
    <row r="675" spans="1:6" x14ac:dyDescent="0.35">
      <c r="A675" s="2">
        <f ca="1">IFERROR(__xludf.DUMMYFUNCTION("""COMPUTED_VALUE"""),42983.6666666666)</f>
        <v>42983.666666666599</v>
      </c>
      <c r="B675" s="1">
        <f ca="1">IFERROR(__xludf.DUMMYFUNCTION("""COMPUTED_VALUE"""),48.77)</f>
        <v>48.77</v>
      </c>
      <c r="C675" s="1">
        <f ca="1">IFERROR(__xludf.DUMMYFUNCTION("""COMPUTED_VALUE"""),48.84)</f>
        <v>48.84</v>
      </c>
      <c r="D675" s="1">
        <f ca="1">IFERROR(__xludf.DUMMYFUNCTION("""COMPUTED_VALUE"""),48.02)</f>
        <v>48.02</v>
      </c>
      <c r="E675" s="1">
        <f ca="1">IFERROR(__xludf.DUMMYFUNCTION("""COMPUTED_VALUE"""),48.26)</f>
        <v>48.26</v>
      </c>
      <c r="F675" s="1">
        <f ca="1">IFERROR(__xludf.DUMMYFUNCTION("""COMPUTED_VALUE"""),2998649)</f>
        <v>2998649</v>
      </c>
    </row>
    <row r="676" spans="1:6" x14ac:dyDescent="0.35">
      <c r="A676" s="2">
        <f ca="1">IFERROR(__xludf.DUMMYFUNCTION("""COMPUTED_VALUE"""),42984.6666666666)</f>
        <v>42984.666666666599</v>
      </c>
      <c r="B676" s="1">
        <f ca="1">IFERROR(__xludf.DUMMYFUNCTION("""COMPUTED_VALUE"""),48.42)</f>
        <v>48.42</v>
      </c>
      <c r="C676" s="1">
        <f ca="1">IFERROR(__xludf.DUMMYFUNCTION("""COMPUTED_VALUE"""),48.59)</f>
        <v>48.59</v>
      </c>
      <c r="D676" s="1">
        <f ca="1">IFERROR(__xludf.DUMMYFUNCTION("""COMPUTED_VALUE"""),48.03)</f>
        <v>48.03</v>
      </c>
      <c r="E676" s="1">
        <f ca="1">IFERROR(__xludf.DUMMYFUNCTION("""COMPUTED_VALUE"""),48.39)</f>
        <v>48.39</v>
      </c>
      <c r="F676" s="1">
        <f ca="1">IFERROR(__xludf.DUMMYFUNCTION("""COMPUTED_VALUE"""),2129861)</f>
        <v>2129861</v>
      </c>
    </row>
    <row r="677" spans="1:6" x14ac:dyDescent="0.35">
      <c r="A677" s="2">
        <f ca="1">IFERROR(__xludf.DUMMYFUNCTION("""COMPUTED_VALUE"""),42985.6666666666)</f>
        <v>42985.666666666599</v>
      </c>
      <c r="B677" s="1">
        <f ca="1">IFERROR(__xludf.DUMMYFUNCTION("""COMPUTED_VALUE"""),48.7)</f>
        <v>48.7</v>
      </c>
      <c r="C677" s="1">
        <f ca="1">IFERROR(__xludf.DUMMYFUNCTION("""COMPUTED_VALUE"""),49.03)</f>
        <v>49.03</v>
      </c>
      <c r="D677" s="1">
        <f ca="1">IFERROR(__xludf.DUMMYFUNCTION("""COMPUTED_VALUE"""),48.63)</f>
        <v>48.63</v>
      </c>
      <c r="E677" s="1">
        <f ca="1">IFERROR(__xludf.DUMMYFUNCTION("""COMPUTED_VALUE"""),48.97)</f>
        <v>48.97</v>
      </c>
      <c r="F677" s="1">
        <f ca="1">IFERROR(__xludf.DUMMYFUNCTION("""COMPUTED_VALUE"""),2566794)</f>
        <v>2566794</v>
      </c>
    </row>
    <row r="678" spans="1:6" x14ac:dyDescent="0.35">
      <c r="A678" s="2">
        <f ca="1">IFERROR(__xludf.DUMMYFUNCTION("""COMPUTED_VALUE"""),42986.6666666666)</f>
        <v>42986.666666666599</v>
      </c>
      <c r="B678" s="1">
        <f ca="1">IFERROR(__xludf.DUMMYFUNCTION("""COMPUTED_VALUE"""),48.96)</f>
        <v>48.96</v>
      </c>
      <c r="C678" s="1">
        <f ca="1">IFERROR(__xludf.DUMMYFUNCTION("""COMPUTED_VALUE"""),48.99)</f>
        <v>48.99</v>
      </c>
      <c r="D678" s="1">
        <f ca="1">IFERROR(__xludf.DUMMYFUNCTION("""COMPUTED_VALUE"""),48.17)</f>
        <v>48.17</v>
      </c>
      <c r="E678" s="1">
        <f ca="1">IFERROR(__xludf.DUMMYFUNCTION("""COMPUTED_VALUE"""),48.3)</f>
        <v>48.3</v>
      </c>
      <c r="F678" s="1">
        <f ca="1">IFERROR(__xludf.DUMMYFUNCTION("""COMPUTED_VALUE"""),2605322)</f>
        <v>2605322</v>
      </c>
    </row>
    <row r="679" spans="1:6" x14ac:dyDescent="0.35">
      <c r="A679" s="2">
        <f ca="1">IFERROR(__xludf.DUMMYFUNCTION("""COMPUTED_VALUE"""),42989.6666666666)</f>
        <v>42989.666666666599</v>
      </c>
      <c r="B679" s="1">
        <f ca="1">IFERROR(__xludf.DUMMYFUNCTION("""COMPUTED_VALUE"""),48.72)</f>
        <v>48.72</v>
      </c>
      <c r="C679" s="1">
        <f ca="1">IFERROR(__xludf.DUMMYFUNCTION("""COMPUTED_VALUE"""),49.1)</f>
        <v>49.1</v>
      </c>
      <c r="D679" s="1">
        <f ca="1">IFERROR(__xludf.DUMMYFUNCTION("""COMPUTED_VALUE"""),48.71)</f>
        <v>48.71</v>
      </c>
      <c r="E679" s="1">
        <f ca="1">IFERROR(__xludf.DUMMYFUNCTION("""COMPUTED_VALUE"""),48.9)</f>
        <v>48.9</v>
      </c>
      <c r="F679" s="1">
        <f ca="1">IFERROR(__xludf.DUMMYFUNCTION("""COMPUTED_VALUE"""),2186666)</f>
        <v>2186666</v>
      </c>
    </row>
    <row r="680" spans="1:6" x14ac:dyDescent="0.35">
      <c r="A680" s="2">
        <f ca="1">IFERROR(__xludf.DUMMYFUNCTION("""COMPUTED_VALUE"""),42990.6666666666)</f>
        <v>42990.666666666599</v>
      </c>
      <c r="B680" s="1">
        <f ca="1">IFERROR(__xludf.DUMMYFUNCTION("""COMPUTED_VALUE"""),49.16)</f>
        <v>49.16</v>
      </c>
      <c r="C680" s="1">
        <f ca="1">IFERROR(__xludf.DUMMYFUNCTION("""COMPUTED_VALUE"""),49.23)</f>
        <v>49.23</v>
      </c>
      <c r="D680" s="1">
        <f ca="1">IFERROR(__xludf.DUMMYFUNCTION("""COMPUTED_VALUE"""),48.78)</f>
        <v>48.78</v>
      </c>
      <c r="E680" s="1">
        <f ca="1">IFERROR(__xludf.DUMMYFUNCTION("""COMPUTED_VALUE"""),49.13)</f>
        <v>49.13</v>
      </c>
      <c r="F680" s="1">
        <f ca="1">IFERROR(__xludf.DUMMYFUNCTION("""COMPUTED_VALUE"""),2481066)</f>
        <v>2481066</v>
      </c>
    </row>
    <row r="681" spans="1:6" x14ac:dyDescent="0.35">
      <c r="A681" s="2">
        <f ca="1">IFERROR(__xludf.DUMMYFUNCTION("""COMPUTED_VALUE"""),42991.6666666666)</f>
        <v>42991.666666666599</v>
      </c>
      <c r="B681" s="1">
        <f ca="1">IFERROR(__xludf.DUMMYFUNCTION("""COMPUTED_VALUE"""),49.2)</f>
        <v>49.2</v>
      </c>
      <c r="C681" s="1">
        <f ca="1">IFERROR(__xludf.DUMMYFUNCTION("""COMPUTED_VALUE"""),50)</f>
        <v>50</v>
      </c>
      <c r="D681" s="1">
        <f ca="1">IFERROR(__xludf.DUMMYFUNCTION("""COMPUTED_VALUE"""),48.97)</f>
        <v>48.97</v>
      </c>
      <c r="E681" s="1">
        <f ca="1">IFERROR(__xludf.DUMMYFUNCTION("""COMPUTED_VALUE"""),49.98)</f>
        <v>49.98</v>
      </c>
      <c r="F681" s="1">
        <f ca="1">IFERROR(__xludf.DUMMYFUNCTION("""COMPUTED_VALUE"""),3374650)</f>
        <v>3374650</v>
      </c>
    </row>
    <row r="682" spans="1:6" x14ac:dyDescent="0.35">
      <c r="A682" s="2">
        <f ca="1">IFERROR(__xludf.DUMMYFUNCTION("""COMPUTED_VALUE"""),42992.6666666666)</f>
        <v>42992.666666666599</v>
      </c>
      <c r="B682" s="1">
        <f ca="1">IFERROR(__xludf.DUMMYFUNCTION("""COMPUTED_VALUE"""),49.84)</f>
        <v>49.84</v>
      </c>
      <c r="C682" s="1">
        <f ca="1">IFERROR(__xludf.DUMMYFUNCTION("""COMPUTED_VALUE"""),49.93)</f>
        <v>49.93</v>
      </c>
      <c r="D682" s="1">
        <f ca="1">IFERROR(__xludf.DUMMYFUNCTION("""COMPUTED_VALUE"""),49.39)</f>
        <v>49.39</v>
      </c>
      <c r="E682" s="1">
        <f ca="1">IFERROR(__xludf.DUMMYFUNCTION("""COMPUTED_VALUE"""),49.61)</f>
        <v>49.61</v>
      </c>
      <c r="F682" s="1">
        <f ca="1">IFERROR(__xludf.DUMMYFUNCTION("""COMPUTED_VALUE"""),3913263)</f>
        <v>3913263</v>
      </c>
    </row>
    <row r="683" spans="1:6" x14ac:dyDescent="0.35">
      <c r="A683" s="2">
        <f ca="1">IFERROR(__xludf.DUMMYFUNCTION("""COMPUTED_VALUE"""),42993.6666666666)</f>
        <v>42993.666666666599</v>
      </c>
      <c r="B683" s="1">
        <f ca="1">IFERROR(__xludf.DUMMYFUNCTION("""COMPUTED_VALUE"""),49.65)</f>
        <v>49.65</v>
      </c>
      <c r="C683" s="1">
        <f ca="1">IFERROR(__xludf.DUMMYFUNCTION("""COMPUTED_VALUE"""),49.81)</f>
        <v>49.81</v>
      </c>
      <c r="D683" s="1">
        <f ca="1">IFERROR(__xludf.DUMMYFUNCTION("""COMPUTED_VALUE"""),49.2)</f>
        <v>49.2</v>
      </c>
      <c r="E683" s="1">
        <f ca="1">IFERROR(__xludf.DUMMYFUNCTION("""COMPUTED_VALUE"""),49.34)</f>
        <v>49.34</v>
      </c>
      <c r="F683" s="1">
        <f ca="1">IFERROR(__xludf.DUMMYFUNCTION("""COMPUTED_VALUE"""),3760183)</f>
        <v>3760183</v>
      </c>
    </row>
    <row r="684" spans="1:6" x14ac:dyDescent="0.35">
      <c r="A684" s="2">
        <f ca="1">IFERROR(__xludf.DUMMYFUNCTION("""COMPUTED_VALUE"""),42996.6666666666)</f>
        <v>42996.666666666599</v>
      </c>
      <c r="B684" s="1">
        <f ca="1">IFERROR(__xludf.DUMMYFUNCTION("""COMPUTED_VALUE"""),49.52)</f>
        <v>49.52</v>
      </c>
      <c r="C684" s="1">
        <f ca="1">IFERROR(__xludf.DUMMYFUNCTION("""COMPUTED_VALUE"""),49.64)</f>
        <v>49.64</v>
      </c>
      <c r="D684" s="1">
        <f ca="1">IFERROR(__xludf.DUMMYFUNCTION("""COMPUTED_VALUE"""),48.41)</f>
        <v>48.41</v>
      </c>
      <c r="E684" s="1">
        <f ca="1">IFERROR(__xludf.DUMMYFUNCTION("""COMPUTED_VALUE"""),48.71)</f>
        <v>48.71</v>
      </c>
      <c r="F684" s="1">
        <f ca="1">IFERROR(__xludf.DUMMYFUNCTION("""COMPUTED_VALUE"""),3411324)</f>
        <v>3411324</v>
      </c>
    </row>
    <row r="685" spans="1:6" x14ac:dyDescent="0.35">
      <c r="A685" s="2">
        <f ca="1">IFERROR(__xludf.DUMMYFUNCTION("""COMPUTED_VALUE"""),42997.6666666666)</f>
        <v>42997.666666666599</v>
      </c>
      <c r="B685" s="1">
        <f ca="1">IFERROR(__xludf.DUMMYFUNCTION("""COMPUTED_VALUE"""),48.86)</f>
        <v>48.86</v>
      </c>
      <c r="C685" s="1">
        <f ca="1">IFERROR(__xludf.DUMMYFUNCTION("""COMPUTED_VALUE"""),48.91)</f>
        <v>48.91</v>
      </c>
      <c r="D685" s="1">
        <f ca="1">IFERROR(__xludf.DUMMYFUNCTION("""COMPUTED_VALUE"""),48.37)</f>
        <v>48.37</v>
      </c>
      <c r="E685" s="1">
        <f ca="1">IFERROR(__xludf.DUMMYFUNCTION("""COMPUTED_VALUE"""),48.49)</f>
        <v>48.49</v>
      </c>
      <c r="F685" s="1">
        <f ca="1">IFERROR(__xludf.DUMMYFUNCTION("""COMPUTED_VALUE"""),2671054)</f>
        <v>2671054</v>
      </c>
    </row>
    <row r="686" spans="1:6" x14ac:dyDescent="0.35">
      <c r="A686" s="2">
        <f ca="1">IFERROR(__xludf.DUMMYFUNCTION("""COMPUTED_VALUE"""),42998.6666666666)</f>
        <v>42998.666666666599</v>
      </c>
      <c r="B686" s="1">
        <f ca="1">IFERROR(__xludf.DUMMYFUNCTION("""COMPUTED_VALUE"""),48.59)</f>
        <v>48.59</v>
      </c>
      <c r="C686" s="1">
        <f ca="1">IFERROR(__xludf.DUMMYFUNCTION("""COMPUTED_VALUE"""),48.74)</f>
        <v>48.74</v>
      </c>
      <c r="D686" s="1">
        <f ca="1">IFERROR(__xludf.DUMMYFUNCTION("""COMPUTED_VALUE"""),48.11)</f>
        <v>48.11</v>
      </c>
      <c r="E686" s="1">
        <f ca="1">IFERROR(__xludf.DUMMYFUNCTION("""COMPUTED_VALUE"""),48.66)</f>
        <v>48.66</v>
      </c>
      <c r="F686" s="1">
        <f ca="1">IFERROR(__xludf.DUMMYFUNCTION("""COMPUTED_VALUE"""),2888795)</f>
        <v>2888795</v>
      </c>
    </row>
    <row r="687" spans="1:6" x14ac:dyDescent="0.35">
      <c r="A687" s="2">
        <f ca="1">IFERROR(__xludf.DUMMYFUNCTION("""COMPUTED_VALUE"""),42999.6666666666)</f>
        <v>42999.666666666599</v>
      </c>
      <c r="B687" s="1">
        <f ca="1">IFERROR(__xludf.DUMMYFUNCTION("""COMPUTED_VALUE"""),48.57)</f>
        <v>48.57</v>
      </c>
      <c r="C687" s="1">
        <f ca="1">IFERROR(__xludf.DUMMYFUNCTION("""COMPUTED_VALUE"""),48.59)</f>
        <v>48.59</v>
      </c>
      <c r="D687" s="1">
        <f ca="1">IFERROR(__xludf.DUMMYFUNCTION("""COMPUTED_VALUE"""),48.1)</f>
        <v>48.1</v>
      </c>
      <c r="E687" s="1">
        <f ca="1">IFERROR(__xludf.DUMMYFUNCTION("""COMPUTED_VALUE"""),48.23)</f>
        <v>48.23</v>
      </c>
      <c r="F687" s="1">
        <f ca="1">IFERROR(__xludf.DUMMYFUNCTION("""COMPUTED_VALUE"""),2337576)</f>
        <v>2337576</v>
      </c>
    </row>
    <row r="688" spans="1:6" x14ac:dyDescent="0.35">
      <c r="A688" s="2">
        <f ca="1">IFERROR(__xludf.DUMMYFUNCTION("""COMPUTED_VALUE"""),43000.6666666666)</f>
        <v>43000.666666666599</v>
      </c>
      <c r="B688" s="1">
        <f ca="1">IFERROR(__xludf.DUMMYFUNCTION("""COMPUTED_VALUE"""),48.05)</f>
        <v>48.05</v>
      </c>
      <c r="C688" s="1">
        <f ca="1">IFERROR(__xludf.DUMMYFUNCTION("""COMPUTED_VALUE"""),48.28)</f>
        <v>48.28</v>
      </c>
      <c r="D688" s="1">
        <f ca="1">IFERROR(__xludf.DUMMYFUNCTION("""COMPUTED_VALUE"""),47.72)</f>
        <v>47.72</v>
      </c>
      <c r="E688" s="1">
        <f ca="1">IFERROR(__xludf.DUMMYFUNCTION("""COMPUTED_VALUE"""),47.76)</f>
        <v>47.76</v>
      </c>
      <c r="F688" s="1">
        <f ca="1">IFERROR(__xludf.DUMMYFUNCTION("""COMPUTED_VALUE"""),2641787)</f>
        <v>2641787</v>
      </c>
    </row>
    <row r="689" spans="1:6" x14ac:dyDescent="0.35">
      <c r="A689" s="2">
        <f ca="1">IFERROR(__xludf.DUMMYFUNCTION("""COMPUTED_VALUE"""),43003.6666666666)</f>
        <v>43003.666666666599</v>
      </c>
      <c r="B689" s="1">
        <f ca="1">IFERROR(__xludf.DUMMYFUNCTION("""COMPUTED_VALUE"""),47.47)</f>
        <v>47.47</v>
      </c>
      <c r="C689" s="1">
        <f ca="1">IFERROR(__xludf.DUMMYFUNCTION("""COMPUTED_VALUE"""),47.47)</f>
        <v>47.47</v>
      </c>
      <c r="D689" s="1">
        <f ca="1">IFERROR(__xludf.DUMMYFUNCTION("""COMPUTED_VALUE"""),46.64)</f>
        <v>46.64</v>
      </c>
      <c r="E689" s="1">
        <f ca="1">IFERROR(__xludf.DUMMYFUNCTION("""COMPUTED_VALUE"""),46.99)</f>
        <v>46.99</v>
      </c>
      <c r="F689" s="1">
        <f ca="1">IFERROR(__xludf.DUMMYFUNCTION("""COMPUTED_VALUE"""),5123997)</f>
        <v>5123997</v>
      </c>
    </row>
    <row r="690" spans="1:6" x14ac:dyDescent="0.35">
      <c r="A690" s="2">
        <f ca="1">IFERROR(__xludf.DUMMYFUNCTION("""COMPUTED_VALUE"""),43004.6666666666)</f>
        <v>43004.666666666599</v>
      </c>
      <c r="B690" s="1">
        <f ca="1">IFERROR(__xludf.DUMMYFUNCTION("""COMPUTED_VALUE"""),47.27)</f>
        <v>47.27</v>
      </c>
      <c r="C690" s="1">
        <f ca="1">IFERROR(__xludf.DUMMYFUNCTION("""COMPUTED_VALUE"""),47.43)</f>
        <v>47.43</v>
      </c>
      <c r="D690" s="1">
        <f ca="1">IFERROR(__xludf.DUMMYFUNCTION("""COMPUTED_VALUE"""),46.59)</f>
        <v>46.59</v>
      </c>
      <c r="E690" s="1">
        <f ca="1">IFERROR(__xludf.DUMMYFUNCTION("""COMPUTED_VALUE"""),46.93)</f>
        <v>46.93</v>
      </c>
      <c r="F690" s="1">
        <f ca="1">IFERROR(__xludf.DUMMYFUNCTION("""COMPUTED_VALUE"""),3564848)</f>
        <v>3564848</v>
      </c>
    </row>
    <row r="691" spans="1:6" x14ac:dyDescent="0.35">
      <c r="A691" s="2">
        <f ca="1">IFERROR(__xludf.DUMMYFUNCTION("""COMPUTED_VALUE"""),43005.6666666666)</f>
        <v>43005.666666666599</v>
      </c>
      <c r="B691" s="1">
        <f ca="1">IFERROR(__xludf.DUMMYFUNCTION("""COMPUTED_VALUE"""),47.4)</f>
        <v>47.4</v>
      </c>
      <c r="C691" s="1">
        <f ca="1">IFERROR(__xludf.DUMMYFUNCTION("""COMPUTED_VALUE"""),47.77)</f>
        <v>47.77</v>
      </c>
      <c r="D691" s="1">
        <f ca="1">IFERROR(__xludf.DUMMYFUNCTION("""COMPUTED_VALUE"""),47.17)</f>
        <v>47.17</v>
      </c>
      <c r="E691" s="1">
        <f ca="1">IFERROR(__xludf.DUMMYFUNCTION("""COMPUTED_VALUE"""),47.54)</f>
        <v>47.54</v>
      </c>
      <c r="F691" s="1">
        <f ca="1">IFERROR(__xludf.DUMMYFUNCTION("""COMPUTED_VALUE"""),3148933)</f>
        <v>3148933</v>
      </c>
    </row>
    <row r="692" spans="1:6" x14ac:dyDescent="0.35">
      <c r="A692" s="2">
        <f ca="1">IFERROR(__xludf.DUMMYFUNCTION("""COMPUTED_VALUE"""),43006.6666666666)</f>
        <v>43006.666666666599</v>
      </c>
      <c r="B692" s="1">
        <f ca="1">IFERROR(__xludf.DUMMYFUNCTION("""COMPUTED_VALUE"""),47.59)</f>
        <v>47.59</v>
      </c>
      <c r="C692" s="1">
        <f ca="1">IFERROR(__xludf.DUMMYFUNCTION("""COMPUTED_VALUE"""),47.99)</f>
        <v>47.99</v>
      </c>
      <c r="D692" s="1">
        <f ca="1">IFERROR(__xludf.DUMMYFUNCTION("""COMPUTED_VALUE"""),47.51)</f>
        <v>47.51</v>
      </c>
      <c r="E692" s="1">
        <f ca="1">IFERROR(__xludf.DUMMYFUNCTION("""COMPUTED_VALUE"""),47.82)</f>
        <v>47.82</v>
      </c>
      <c r="F692" s="1">
        <f ca="1">IFERROR(__xludf.DUMMYFUNCTION("""COMPUTED_VALUE"""),2522567)</f>
        <v>2522567</v>
      </c>
    </row>
    <row r="693" spans="1:6" x14ac:dyDescent="0.35">
      <c r="A693" s="2">
        <f ca="1">IFERROR(__xludf.DUMMYFUNCTION("""COMPUTED_VALUE"""),43007.6666666666)</f>
        <v>43007.666666666599</v>
      </c>
      <c r="B693" s="1">
        <f ca="1">IFERROR(__xludf.DUMMYFUNCTION("""COMPUTED_VALUE"""),48.01)</f>
        <v>48.01</v>
      </c>
      <c r="C693" s="1">
        <f ca="1">IFERROR(__xludf.DUMMYFUNCTION("""COMPUTED_VALUE"""),48.24)</f>
        <v>48.24</v>
      </c>
      <c r="D693" s="1">
        <f ca="1">IFERROR(__xludf.DUMMYFUNCTION("""COMPUTED_VALUE"""),47.92)</f>
        <v>47.92</v>
      </c>
      <c r="E693" s="1">
        <f ca="1">IFERROR(__xludf.DUMMYFUNCTION("""COMPUTED_VALUE"""),48.07)</f>
        <v>48.07</v>
      </c>
      <c r="F693" s="1">
        <f ca="1">IFERROR(__xludf.DUMMYFUNCTION("""COMPUTED_VALUE"""),2543759)</f>
        <v>2543759</v>
      </c>
    </row>
    <row r="694" spans="1:6" x14ac:dyDescent="0.35">
      <c r="A694" s="2">
        <f ca="1">IFERROR(__xludf.DUMMYFUNCTION("""COMPUTED_VALUE"""),43010.6666666666)</f>
        <v>43010.666666666599</v>
      </c>
      <c r="B694" s="1">
        <f ca="1">IFERROR(__xludf.DUMMYFUNCTION("""COMPUTED_VALUE"""),48.2)</f>
        <v>48.2</v>
      </c>
      <c r="C694" s="1">
        <f ca="1">IFERROR(__xludf.DUMMYFUNCTION("""COMPUTED_VALUE"""),48.37)</f>
        <v>48.37</v>
      </c>
      <c r="D694" s="1">
        <f ca="1">IFERROR(__xludf.DUMMYFUNCTION("""COMPUTED_VALUE"""),47.61)</f>
        <v>47.61</v>
      </c>
      <c r="E694" s="1">
        <f ca="1">IFERROR(__xludf.DUMMYFUNCTION("""COMPUTED_VALUE"""),47.96)</f>
        <v>47.96</v>
      </c>
      <c r="F694" s="1">
        <f ca="1">IFERROR(__xludf.DUMMYFUNCTION("""COMPUTED_VALUE"""),2442937)</f>
        <v>2442937</v>
      </c>
    </row>
    <row r="695" spans="1:6" x14ac:dyDescent="0.35">
      <c r="A695" s="2">
        <f ca="1">IFERROR(__xludf.DUMMYFUNCTION("""COMPUTED_VALUE"""),43011.6666666666)</f>
        <v>43011.666666666599</v>
      </c>
      <c r="B695" s="1">
        <f ca="1">IFERROR(__xludf.DUMMYFUNCTION("""COMPUTED_VALUE"""),47.9)</f>
        <v>47.9</v>
      </c>
      <c r="C695" s="1">
        <f ca="1">IFERROR(__xludf.DUMMYFUNCTION("""COMPUTED_VALUE"""),48.18)</f>
        <v>48.18</v>
      </c>
      <c r="D695" s="1">
        <f ca="1">IFERROR(__xludf.DUMMYFUNCTION("""COMPUTED_VALUE"""),47.52)</f>
        <v>47.52</v>
      </c>
      <c r="E695" s="1">
        <f ca="1">IFERROR(__xludf.DUMMYFUNCTION("""COMPUTED_VALUE"""),47.86)</f>
        <v>47.86</v>
      </c>
      <c r="F695" s="1">
        <f ca="1">IFERROR(__xludf.DUMMYFUNCTION("""COMPUTED_VALUE"""),2666574)</f>
        <v>2666574</v>
      </c>
    </row>
    <row r="696" spans="1:6" x14ac:dyDescent="0.35">
      <c r="A696" s="2">
        <f ca="1">IFERROR(__xludf.DUMMYFUNCTION("""COMPUTED_VALUE"""),43012.6666666666)</f>
        <v>43012.666666666599</v>
      </c>
      <c r="B696" s="1">
        <f ca="1">IFERROR(__xludf.DUMMYFUNCTION("""COMPUTED_VALUE"""),47.71)</f>
        <v>47.71</v>
      </c>
      <c r="C696" s="1">
        <f ca="1">IFERROR(__xludf.DUMMYFUNCTION("""COMPUTED_VALUE"""),48.39)</f>
        <v>48.39</v>
      </c>
      <c r="D696" s="1">
        <f ca="1">IFERROR(__xludf.DUMMYFUNCTION("""COMPUTED_VALUE"""),47.7)</f>
        <v>47.7</v>
      </c>
      <c r="E696" s="1">
        <f ca="1">IFERROR(__xludf.DUMMYFUNCTION("""COMPUTED_VALUE"""),48.27)</f>
        <v>48.27</v>
      </c>
      <c r="F696" s="1">
        <f ca="1">IFERROR(__xludf.DUMMYFUNCTION("""COMPUTED_VALUE"""),2527352)</f>
        <v>2527352</v>
      </c>
    </row>
    <row r="697" spans="1:6" x14ac:dyDescent="0.35">
      <c r="A697" s="2">
        <f ca="1">IFERROR(__xludf.DUMMYFUNCTION("""COMPUTED_VALUE"""),43013.6666666666)</f>
        <v>43013.666666666599</v>
      </c>
      <c r="B697" s="1">
        <f ca="1">IFERROR(__xludf.DUMMYFUNCTION("""COMPUTED_VALUE"""),48.5)</f>
        <v>48.5</v>
      </c>
      <c r="C697" s="1">
        <f ca="1">IFERROR(__xludf.DUMMYFUNCTION("""COMPUTED_VALUE"""),49.08)</f>
        <v>49.08</v>
      </c>
      <c r="D697" s="1">
        <f ca="1">IFERROR(__xludf.DUMMYFUNCTION("""COMPUTED_VALUE"""),48.48)</f>
        <v>48.48</v>
      </c>
      <c r="E697" s="1">
        <f ca="1">IFERROR(__xludf.DUMMYFUNCTION("""COMPUTED_VALUE"""),49.04)</f>
        <v>49.04</v>
      </c>
      <c r="F697" s="1">
        <f ca="1">IFERROR(__xludf.DUMMYFUNCTION("""COMPUTED_VALUE"""),3229224)</f>
        <v>3229224</v>
      </c>
    </row>
    <row r="698" spans="1:6" x14ac:dyDescent="0.35">
      <c r="A698" s="2">
        <f ca="1">IFERROR(__xludf.DUMMYFUNCTION("""COMPUTED_VALUE"""),43014.6666666666)</f>
        <v>43014.666666666599</v>
      </c>
      <c r="B698" s="1">
        <f ca="1">IFERROR(__xludf.DUMMYFUNCTION("""COMPUTED_VALUE"""),48.78)</f>
        <v>48.78</v>
      </c>
      <c r="C698" s="1">
        <f ca="1">IFERROR(__xludf.DUMMYFUNCTION("""COMPUTED_VALUE"""),49.79)</f>
        <v>49.79</v>
      </c>
      <c r="D698" s="1">
        <f ca="1">IFERROR(__xludf.DUMMYFUNCTION("""COMPUTED_VALUE"""),48.78)</f>
        <v>48.78</v>
      </c>
      <c r="E698" s="1">
        <f ca="1">IFERROR(__xludf.DUMMYFUNCTION("""COMPUTED_VALUE"""),49.48)</f>
        <v>49.48</v>
      </c>
      <c r="F698" s="1">
        <f ca="1">IFERROR(__xludf.DUMMYFUNCTION("""COMPUTED_VALUE"""),3782067)</f>
        <v>3782067</v>
      </c>
    </row>
    <row r="699" spans="1:6" x14ac:dyDescent="0.35">
      <c r="A699" s="2">
        <f ca="1">IFERROR(__xludf.DUMMYFUNCTION("""COMPUTED_VALUE"""),43017.6666666666)</f>
        <v>43017.666666666599</v>
      </c>
      <c r="B699" s="1">
        <f ca="1">IFERROR(__xludf.DUMMYFUNCTION("""COMPUTED_VALUE"""),49.66)</f>
        <v>49.66</v>
      </c>
      <c r="C699" s="1">
        <f ca="1">IFERROR(__xludf.DUMMYFUNCTION("""COMPUTED_VALUE"""),49.93)</f>
        <v>49.93</v>
      </c>
      <c r="D699" s="1">
        <f ca="1">IFERROR(__xludf.DUMMYFUNCTION("""COMPUTED_VALUE"""),49.38)</f>
        <v>49.38</v>
      </c>
      <c r="E699" s="1">
        <f ca="1">IFERROR(__xludf.DUMMYFUNCTION("""COMPUTED_VALUE"""),49.55)</f>
        <v>49.55</v>
      </c>
      <c r="F699" s="1">
        <f ca="1">IFERROR(__xludf.DUMMYFUNCTION("""COMPUTED_VALUE"""),2938586)</f>
        <v>2938586</v>
      </c>
    </row>
    <row r="700" spans="1:6" x14ac:dyDescent="0.35">
      <c r="A700" s="2">
        <f ca="1">IFERROR(__xludf.DUMMYFUNCTION("""COMPUTED_VALUE"""),43018.6666666666)</f>
        <v>43018.666666666599</v>
      </c>
      <c r="B700" s="1">
        <f ca="1">IFERROR(__xludf.DUMMYFUNCTION("""COMPUTED_VALUE"""),49.83)</f>
        <v>49.83</v>
      </c>
      <c r="C700" s="1">
        <f ca="1">IFERROR(__xludf.DUMMYFUNCTION("""COMPUTED_VALUE"""),49.9)</f>
        <v>49.9</v>
      </c>
      <c r="D700" s="1">
        <f ca="1">IFERROR(__xludf.DUMMYFUNCTION("""COMPUTED_VALUE"""),49)</f>
        <v>49</v>
      </c>
      <c r="E700" s="1">
        <f ca="1">IFERROR(__xludf.DUMMYFUNCTION("""COMPUTED_VALUE"""),49.36)</f>
        <v>49.36</v>
      </c>
      <c r="F700" s="1">
        <f ca="1">IFERROR(__xludf.DUMMYFUNCTION("""COMPUTED_VALUE"""),3084921)</f>
        <v>3084921</v>
      </c>
    </row>
    <row r="701" spans="1:6" x14ac:dyDescent="0.35">
      <c r="A701" s="2">
        <f ca="1">IFERROR(__xludf.DUMMYFUNCTION("""COMPUTED_VALUE"""),43019.6666666666)</f>
        <v>43019.666666666599</v>
      </c>
      <c r="B701" s="1">
        <f ca="1">IFERROR(__xludf.DUMMYFUNCTION("""COMPUTED_VALUE"""),49.56)</f>
        <v>49.56</v>
      </c>
      <c r="C701" s="1">
        <f ca="1">IFERROR(__xludf.DUMMYFUNCTION("""COMPUTED_VALUE"""),49.78)</f>
        <v>49.78</v>
      </c>
      <c r="D701" s="1">
        <f ca="1">IFERROR(__xludf.DUMMYFUNCTION("""COMPUTED_VALUE"""),49.33)</f>
        <v>49.33</v>
      </c>
      <c r="E701" s="1">
        <f ca="1">IFERROR(__xludf.DUMMYFUNCTION("""COMPUTED_VALUE"""),49.75)</f>
        <v>49.75</v>
      </c>
      <c r="F701" s="1">
        <f ca="1">IFERROR(__xludf.DUMMYFUNCTION("""COMPUTED_VALUE"""),2337113)</f>
        <v>2337113</v>
      </c>
    </row>
    <row r="702" spans="1:6" x14ac:dyDescent="0.35">
      <c r="A702" s="2">
        <f ca="1">IFERROR(__xludf.DUMMYFUNCTION("""COMPUTED_VALUE"""),43020.6666666666)</f>
        <v>43020.666666666599</v>
      </c>
      <c r="B702" s="1">
        <f ca="1">IFERROR(__xludf.DUMMYFUNCTION("""COMPUTED_VALUE"""),49.84)</f>
        <v>49.84</v>
      </c>
      <c r="C702" s="1">
        <f ca="1">IFERROR(__xludf.DUMMYFUNCTION("""COMPUTED_VALUE"""),50.42)</f>
        <v>50.42</v>
      </c>
      <c r="D702" s="1">
        <f ca="1">IFERROR(__xludf.DUMMYFUNCTION("""COMPUTED_VALUE"""),49.62)</f>
        <v>49.62</v>
      </c>
      <c r="E702" s="1">
        <f ca="1">IFERROR(__xludf.DUMMYFUNCTION("""COMPUTED_VALUE"""),50.05)</f>
        <v>50.05</v>
      </c>
      <c r="F702" s="1">
        <f ca="1">IFERROR(__xludf.DUMMYFUNCTION("""COMPUTED_VALUE"""),4067317)</f>
        <v>4067317</v>
      </c>
    </row>
    <row r="703" spans="1:6" x14ac:dyDescent="0.35">
      <c r="A703" s="2">
        <f ca="1">IFERROR(__xludf.DUMMYFUNCTION("""COMPUTED_VALUE"""),43021.6666666666)</f>
        <v>43021.666666666599</v>
      </c>
      <c r="B703" s="1">
        <f ca="1">IFERROR(__xludf.DUMMYFUNCTION("""COMPUTED_VALUE"""),50.35)</f>
        <v>50.35</v>
      </c>
      <c r="C703" s="1">
        <f ca="1">IFERROR(__xludf.DUMMYFUNCTION("""COMPUTED_VALUE"""),50.39)</f>
        <v>50.39</v>
      </c>
      <c r="D703" s="1">
        <f ca="1">IFERROR(__xludf.DUMMYFUNCTION("""COMPUTED_VALUE"""),50.05)</f>
        <v>50.05</v>
      </c>
      <c r="E703" s="1">
        <f ca="1">IFERROR(__xludf.DUMMYFUNCTION("""COMPUTED_VALUE"""),50.15)</f>
        <v>50.15</v>
      </c>
      <c r="F703" s="1">
        <f ca="1">IFERROR(__xludf.DUMMYFUNCTION("""COMPUTED_VALUE"""),2431462)</f>
        <v>2431462</v>
      </c>
    </row>
    <row r="704" spans="1:6" x14ac:dyDescent="0.35">
      <c r="A704" s="2">
        <f ca="1">IFERROR(__xludf.DUMMYFUNCTION("""COMPUTED_VALUE"""),43024.6666666666)</f>
        <v>43024.666666666599</v>
      </c>
      <c r="B704" s="1">
        <f ca="1">IFERROR(__xludf.DUMMYFUNCTION("""COMPUTED_VALUE"""),50.42)</f>
        <v>50.42</v>
      </c>
      <c r="C704" s="1">
        <f ca="1">IFERROR(__xludf.DUMMYFUNCTION("""COMPUTED_VALUE"""),50.48)</f>
        <v>50.48</v>
      </c>
      <c r="D704" s="1">
        <f ca="1">IFERROR(__xludf.DUMMYFUNCTION("""COMPUTED_VALUE"""),50.05)</f>
        <v>50.05</v>
      </c>
      <c r="E704" s="1">
        <f ca="1">IFERROR(__xludf.DUMMYFUNCTION("""COMPUTED_VALUE"""),50.32)</f>
        <v>50.32</v>
      </c>
      <c r="F704" s="1">
        <f ca="1">IFERROR(__xludf.DUMMYFUNCTION("""COMPUTED_VALUE"""),2008908)</f>
        <v>2008908</v>
      </c>
    </row>
    <row r="705" spans="1:6" x14ac:dyDescent="0.35">
      <c r="A705" s="2">
        <f ca="1">IFERROR(__xludf.DUMMYFUNCTION("""COMPUTED_VALUE"""),43025.6666666666)</f>
        <v>43025.666666666599</v>
      </c>
      <c r="B705" s="1">
        <f ca="1">IFERROR(__xludf.DUMMYFUNCTION("""COMPUTED_VALUE"""),50.28)</f>
        <v>50.28</v>
      </c>
      <c r="C705" s="1">
        <f ca="1">IFERROR(__xludf.DUMMYFUNCTION("""COMPUTED_VALUE"""),50.57)</f>
        <v>50.57</v>
      </c>
      <c r="D705" s="1">
        <f ca="1">IFERROR(__xludf.DUMMYFUNCTION("""COMPUTED_VALUE"""),50.22)</f>
        <v>50.22</v>
      </c>
      <c r="E705" s="1">
        <f ca="1">IFERROR(__xludf.DUMMYFUNCTION("""COMPUTED_VALUE"""),50.46)</f>
        <v>50.46</v>
      </c>
      <c r="F705" s="1">
        <f ca="1">IFERROR(__xludf.DUMMYFUNCTION("""COMPUTED_VALUE"""),2319742)</f>
        <v>2319742</v>
      </c>
    </row>
    <row r="706" spans="1:6" x14ac:dyDescent="0.35">
      <c r="A706" s="2">
        <f ca="1">IFERROR(__xludf.DUMMYFUNCTION("""COMPUTED_VALUE"""),43026.6666666666)</f>
        <v>43026.666666666599</v>
      </c>
      <c r="B706" s="1">
        <f ca="1">IFERROR(__xludf.DUMMYFUNCTION("""COMPUTED_VALUE"""),50.46)</f>
        <v>50.46</v>
      </c>
      <c r="C706" s="1">
        <f ca="1">IFERROR(__xludf.DUMMYFUNCTION("""COMPUTED_VALUE"""),51.12)</f>
        <v>51.12</v>
      </c>
      <c r="D706" s="1">
        <f ca="1">IFERROR(__xludf.DUMMYFUNCTION("""COMPUTED_VALUE"""),49.83)</f>
        <v>49.83</v>
      </c>
      <c r="E706" s="1">
        <f ca="1">IFERROR(__xludf.DUMMYFUNCTION("""COMPUTED_VALUE"""),49.85)</f>
        <v>49.85</v>
      </c>
      <c r="F706" s="1">
        <f ca="1">IFERROR(__xludf.DUMMYFUNCTION("""COMPUTED_VALUE"""),2499681)</f>
        <v>2499681</v>
      </c>
    </row>
    <row r="707" spans="1:6" x14ac:dyDescent="0.35">
      <c r="A707" s="2">
        <f ca="1">IFERROR(__xludf.DUMMYFUNCTION("""COMPUTED_VALUE"""),43027.6666666666)</f>
        <v>43027.666666666599</v>
      </c>
      <c r="B707" s="1">
        <f ca="1">IFERROR(__xludf.DUMMYFUNCTION("""COMPUTED_VALUE"""),49.5)</f>
        <v>49.5</v>
      </c>
      <c r="C707" s="1">
        <f ca="1">IFERROR(__xludf.DUMMYFUNCTION("""COMPUTED_VALUE"""),49.55)</f>
        <v>49.55</v>
      </c>
      <c r="D707" s="1">
        <f ca="1">IFERROR(__xludf.DUMMYFUNCTION("""COMPUTED_VALUE"""),49.01)</f>
        <v>49.01</v>
      </c>
      <c r="E707" s="1">
        <f ca="1">IFERROR(__xludf.DUMMYFUNCTION("""COMPUTED_VALUE"""),49.33)</f>
        <v>49.33</v>
      </c>
      <c r="F707" s="1">
        <f ca="1">IFERROR(__xludf.DUMMYFUNCTION("""COMPUTED_VALUE"""),3108197)</f>
        <v>3108197</v>
      </c>
    </row>
    <row r="708" spans="1:6" x14ac:dyDescent="0.35">
      <c r="A708" s="2">
        <f ca="1">IFERROR(__xludf.DUMMYFUNCTION("""COMPUTED_VALUE"""),43028.6666666666)</f>
        <v>43028.666666666599</v>
      </c>
      <c r="B708" s="1">
        <f ca="1">IFERROR(__xludf.DUMMYFUNCTION("""COMPUTED_VALUE"""),49.68)</f>
        <v>49.68</v>
      </c>
      <c r="C708" s="1">
        <f ca="1">IFERROR(__xludf.DUMMYFUNCTION("""COMPUTED_VALUE"""),49.73)</f>
        <v>49.73</v>
      </c>
      <c r="D708" s="1">
        <f ca="1">IFERROR(__xludf.DUMMYFUNCTION("""COMPUTED_VALUE"""),49.1)</f>
        <v>49.1</v>
      </c>
      <c r="E708" s="1">
        <f ca="1">IFERROR(__xludf.DUMMYFUNCTION("""COMPUTED_VALUE"""),49.15)</f>
        <v>49.15</v>
      </c>
      <c r="F708" s="1">
        <f ca="1">IFERROR(__xludf.DUMMYFUNCTION("""COMPUTED_VALUE"""),2365122)</f>
        <v>2365122</v>
      </c>
    </row>
    <row r="709" spans="1:6" x14ac:dyDescent="0.35">
      <c r="A709" s="2">
        <f ca="1">IFERROR(__xludf.DUMMYFUNCTION("""COMPUTED_VALUE"""),43031.6666666666)</f>
        <v>43031.666666666599</v>
      </c>
      <c r="B709" s="1">
        <f ca="1">IFERROR(__xludf.DUMMYFUNCTION("""COMPUTED_VALUE"""),49.34)</f>
        <v>49.34</v>
      </c>
      <c r="C709" s="1">
        <f ca="1">IFERROR(__xludf.DUMMYFUNCTION("""COMPUTED_VALUE"""),49.34)</f>
        <v>49.34</v>
      </c>
      <c r="D709" s="1">
        <f ca="1">IFERROR(__xludf.DUMMYFUNCTION("""COMPUTED_VALUE"""),48.13)</f>
        <v>48.13</v>
      </c>
      <c r="E709" s="1">
        <f ca="1">IFERROR(__xludf.DUMMYFUNCTION("""COMPUTED_VALUE"""),48.32)</f>
        <v>48.32</v>
      </c>
      <c r="F709" s="1">
        <f ca="1">IFERROR(__xludf.DUMMYFUNCTION("""COMPUTED_VALUE"""),3494100)</f>
        <v>3494100</v>
      </c>
    </row>
    <row r="710" spans="1:6" x14ac:dyDescent="0.35">
      <c r="A710" s="2">
        <f ca="1">IFERROR(__xludf.DUMMYFUNCTION("""COMPUTED_VALUE"""),43032.6666666666)</f>
        <v>43032.666666666599</v>
      </c>
      <c r="B710" s="1">
        <f ca="1">IFERROR(__xludf.DUMMYFUNCTION("""COMPUTED_VALUE"""),48.45)</f>
        <v>48.45</v>
      </c>
      <c r="C710" s="1">
        <f ca="1">IFERROR(__xludf.DUMMYFUNCTION("""COMPUTED_VALUE"""),48.99)</f>
        <v>48.99</v>
      </c>
      <c r="D710" s="1">
        <f ca="1">IFERROR(__xludf.DUMMYFUNCTION("""COMPUTED_VALUE"""),48.25)</f>
        <v>48.25</v>
      </c>
      <c r="E710" s="1">
        <f ca="1">IFERROR(__xludf.DUMMYFUNCTION("""COMPUTED_VALUE"""),48.8)</f>
        <v>48.8</v>
      </c>
      <c r="F710" s="1">
        <f ca="1">IFERROR(__xludf.DUMMYFUNCTION("""COMPUTED_VALUE"""),2723935)</f>
        <v>2723935</v>
      </c>
    </row>
    <row r="711" spans="1:6" x14ac:dyDescent="0.35">
      <c r="A711" s="2">
        <f ca="1">IFERROR(__xludf.DUMMYFUNCTION("""COMPUTED_VALUE"""),43033.6666666666)</f>
        <v>43033.666666666599</v>
      </c>
      <c r="B711" s="1">
        <f ca="1">IFERROR(__xludf.DUMMYFUNCTION("""COMPUTED_VALUE"""),48.9)</f>
        <v>48.9</v>
      </c>
      <c r="C711" s="1">
        <f ca="1">IFERROR(__xludf.DUMMYFUNCTION("""COMPUTED_VALUE"""),49.22)</f>
        <v>49.22</v>
      </c>
      <c r="D711" s="1">
        <f ca="1">IFERROR(__xludf.DUMMYFUNCTION("""COMPUTED_VALUE"""),48.31)</f>
        <v>48.31</v>
      </c>
      <c r="E711" s="1">
        <f ca="1">IFERROR(__xludf.DUMMYFUNCTION("""COMPUTED_VALUE"""),48.65)</f>
        <v>48.65</v>
      </c>
      <c r="F711" s="1">
        <f ca="1">IFERROR(__xludf.DUMMYFUNCTION("""COMPUTED_VALUE"""),3033113)</f>
        <v>3033113</v>
      </c>
    </row>
    <row r="712" spans="1:6" x14ac:dyDescent="0.35">
      <c r="A712" s="2">
        <f ca="1">IFERROR(__xludf.DUMMYFUNCTION("""COMPUTED_VALUE"""),43034.6666666666)</f>
        <v>43034.666666666599</v>
      </c>
      <c r="B712" s="1">
        <f ca="1">IFERROR(__xludf.DUMMYFUNCTION("""COMPUTED_VALUE"""),49.02)</f>
        <v>49.02</v>
      </c>
      <c r="C712" s="1">
        <f ca="1">IFERROR(__xludf.DUMMYFUNCTION("""COMPUTED_VALUE"""),49.15)</f>
        <v>49.15</v>
      </c>
      <c r="D712" s="1">
        <f ca="1">IFERROR(__xludf.DUMMYFUNCTION("""COMPUTED_VALUE"""),48.43)</f>
        <v>48.43</v>
      </c>
      <c r="E712" s="1">
        <f ca="1">IFERROR(__xludf.DUMMYFUNCTION("""COMPUTED_VALUE"""),48.62)</f>
        <v>48.62</v>
      </c>
      <c r="F712" s="1">
        <f ca="1">IFERROR(__xludf.DUMMYFUNCTION("""COMPUTED_VALUE"""),5618675)</f>
        <v>5618675</v>
      </c>
    </row>
    <row r="713" spans="1:6" x14ac:dyDescent="0.35">
      <c r="A713" s="2">
        <f ca="1">IFERROR(__xludf.DUMMYFUNCTION("""COMPUTED_VALUE"""),43035.6666666666)</f>
        <v>43035.666666666599</v>
      </c>
      <c r="B713" s="1">
        <f ca="1">IFERROR(__xludf.DUMMYFUNCTION("""COMPUTED_VALUE"""),52.91)</f>
        <v>52.91</v>
      </c>
      <c r="C713" s="1">
        <f ca="1">IFERROR(__xludf.DUMMYFUNCTION("""COMPUTED_VALUE"""),55.28)</f>
        <v>55.28</v>
      </c>
      <c r="D713" s="1">
        <f ca="1">IFERROR(__xludf.DUMMYFUNCTION("""COMPUTED_VALUE"""),52.53)</f>
        <v>52.53</v>
      </c>
      <c r="E713" s="1">
        <f ca="1">IFERROR(__xludf.DUMMYFUNCTION("""COMPUTED_VALUE"""),55.05)</f>
        <v>55.05</v>
      </c>
      <c r="F713" s="1">
        <f ca="1">IFERROR(__xludf.DUMMYFUNCTION("""COMPUTED_VALUE"""),16565021)</f>
        <v>16565021</v>
      </c>
    </row>
    <row r="714" spans="1:6" x14ac:dyDescent="0.35">
      <c r="A714" s="2">
        <f ca="1">IFERROR(__xludf.DUMMYFUNCTION("""COMPUTED_VALUE"""),43038.6666666666)</f>
        <v>43038.666666666599</v>
      </c>
      <c r="B714" s="1">
        <f ca="1">IFERROR(__xludf.DUMMYFUNCTION("""COMPUTED_VALUE"""),54.75)</f>
        <v>54.75</v>
      </c>
      <c r="C714" s="1">
        <f ca="1">IFERROR(__xludf.DUMMYFUNCTION("""COMPUTED_VALUE"""),56.14)</f>
        <v>56.14</v>
      </c>
      <c r="D714" s="1">
        <f ca="1">IFERROR(__xludf.DUMMYFUNCTION("""COMPUTED_VALUE"""),54.68)</f>
        <v>54.68</v>
      </c>
      <c r="E714" s="1">
        <f ca="1">IFERROR(__xludf.DUMMYFUNCTION("""COMPUTED_VALUE"""),55.54)</f>
        <v>55.54</v>
      </c>
      <c r="F714" s="1">
        <f ca="1">IFERROR(__xludf.DUMMYFUNCTION("""COMPUTED_VALUE"""),6613064)</f>
        <v>6613064</v>
      </c>
    </row>
    <row r="715" spans="1:6" x14ac:dyDescent="0.35">
      <c r="A715" s="2">
        <f ca="1">IFERROR(__xludf.DUMMYFUNCTION("""COMPUTED_VALUE"""),43039.6666666666)</f>
        <v>43039.666666666599</v>
      </c>
      <c r="B715" s="1">
        <f ca="1">IFERROR(__xludf.DUMMYFUNCTION("""COMPUTED_VALUE"""),55.45)</f>
        <v>55.45</v>
      </c>
      <c r="C715" s="1">
        <f ca="1">IFERROR(__xludf.DUMMYFUNCTION("""COMPUTED_VALUE"""),55.53)</f>
        <v>55.53</v>
      </c>
      <c r="D715" s="1">
        <f ca="1">IFERROR(__xludf.DUMMYFUNCTION("""COMPUTED_VALUE"""),55.06)</f>
        <v>55.06</v>
      </c>
      <c r="E715" s="1">
        <f ca="1">IFERROR(__xludf.DUMMYFUNCTION("""COMPUTED_VALUE"""),55.26)</f>
        <v>55.26</v>
      </c>
      <c r="F715" s="1">
        <f ca="1">IFERROR(__xludf.DUMMYFUNCTION("""COMPUTED_VALUE"""),3476967)</f>
        <v>3476967</v>
      </c>
    </row>
    <row r="716" spans="1:6" x14ac:dyDescent="0.35">
      <c r="A716" s="2">
        <f ca="1">IFERROR(__xludf.DUMMYFUNCTION("""COMPUTED_VALUE"""),43040.6666666666)</f>
        <v>43040.666666666599</v>
      </c>
      <c r="B716" s="1">
        <f ca="1">IFERROR(__xludf.DUMMYFUNCTION("""COMPUTED_VALUE"""),55.27)</f>
        <v>55.27</v>
      </c>
      <c r="C716" s="1">
        <f ca="1">IFERROR(__xludf.DUMMYFUNCTION("""COMPUTED_VALUE"""),55.45)</f>
        <v>55.45</v>
      </c>
      <c r="D716" s="1">
        <f ca="1">IFERROR(__xludf.DUMMYFUNCTION("""COMPUTED_VALUE"""),54.84)</f>
        <v>54.84</v>
      </c>
      <c r="E716" s="1">
        <f ca="1">IFERROR(__xludf.DUMMYFUNCTION("""COMPUTED_VALUE"""),55.18)</f>
        <v>55.18</v>
      </c>
      <c r="F716" s="1">
        <f ca="1">IFERROR(__xludf.DUMMYFUNCTION("""COMPUTED_VALUE"""),3755511)</f>
        <v>3755511</v>
      </c>
    </row>
    <row r="717" spans="1:6" x14ac:dyDescent="0.35">
      <c r="A717" s="2">
        <f ca="1">IFERROR(__xludf.DUMMYFUNCTION("""COMPUTED_VALUE"""),43041.6666666666)</f>
        <v>43041.666666666599</v>
      </c>
      <c r="B717" s="1">
        <f ca="1">IFERROR(__xludf.DUMMYFUNCTION("""COMPUTED_VALUE"""),54.89)</f>
        <v>54.89</v>
      </c>
      <c r="C717" s="1">
        <f ca="1">IFERROR(__xludf.DUMMYFUNCTION("""COMPUTED_VALUE"""),55.1)</f>
        <v>55.1</v>
      </c>
      <c r="D717" s="1">
        <f ca="1">IFERROR(__xludf.DUMMYFUNCTION("""COMPUTED_VALUE"""),54.34)</f>
        <v>54.34</v>
      </c>
      <c r="E717" s="1">
        <f ca="1">IFERROR(__xludf.DUMMYFUNCTION("""COMPUTED_VALUE"""),54.71)</f>
        <v>54.71</v>
      </c>
      <c r="F717" s="1">
        <f ca="1">IFERROR(__xludf.DUMMYFUNCTION("""COMPUTED_VALUE"""),3684876)</f>
        <v>3684876</v>
      </c>
    </row>
    <row r="718" spans="1:6" x14ac:dyDescent="0.35">
      <c r="A718" s="2">
        <f ca="1">IFERROR(__xludf.DUMMYFUNCTION("""COMPUTED_VALUE"""),43042.6666666666)</f>
        <v>43042.666666666599</v>
      </c>
      <c r="B718" s="1">
        <f ca="1">IFERROR(__xludf.DUMMYFUNCTION("""COMPUTED_VALUE"""),54.56)</f>
        <v>54.56</v>
      </c>
      <c r="C718" s="1">
        <f ca="1">IFERROR(__xludf.DUMMYFUNCTION("""COMPUTED_VALUE"""),55.63)</f>
        <v>55.63</v>
      </c>
      <c r="D718" s="1">
        <f ca="1">IFERROR(__xludf.DUMMYFUNCTION("""COMPUTED_VALUE"""),54.43)</f>
        <v>54.43</v>
      </c>
      <c r="E718" s="1">
        <f ca="1">IFERROR(__xludf.DUMMYFUNCTION("""COMPUTED_VALUE"""),55.58)</f>
        <v>55.58</v>
      </c>
      <c r="F718" s="1">
        <f ca="1">IFERROR(__xludf.DUMMYFUNCTION("""COMPUTED_VALUE"""),3751480)</f>
        <v>3751480</v>
      </c>
    </row>
    <row r="719" spans="1:6" x14ac:dyDescent="0.35">
      <c r="A719" s="2">
        <f ca="1">IFERROR(__xludf.DUMMYFUNCTION("""COMPUTED_VALUE"""),43045.6666666666)</f>
        <v>43045.666666666599</v>
      </c>
      <c r="B719" s="1">
        <f ca="1">IFERROR(__xludf.DUMMYFUNCTION("""COMPUTED_VALUE"""),55.46)</f>
        <v>55.46</v>
      </c>
      <c r="C719" s="1">
        <f ca="1">IFERROR(__xludf.DUMMYFUNCTION("""COMPUTED_VALUE"""),56.27)</f>
        <v>56.27</v>
      </c>
      <c r="D719" s="1">
        <f ca="1">IFERROR(__xludf.DUMMYFUNCTION("""COMPUTED_VALUE"""),55.44)</f>
        <v>55.44</v>
      </c>
      <c r="E719" s="1">
        <f ca="1">IFERROR(__xludf.DUMMYFUNCTION("""COMPUTED_VALUE"""),56.03)</f>
        <v>56.03</v>
      </c>
      <c r="F719" s="1">
        <f ca="1">IFERROR(__xludf.DUMMYFUNCTION("""COMPUTED_VALUE"""),3381138)</f>
        <v>3381138</v>
      </c>
    </row>
    <row r="720" spans="1:6" x14ac:dyDescent="0.35">
      <c r="A720" s="2">
        <f ca="1">IFERROR(__xludf.DUMMYFUNCTION("""COMPUTED_VALUE"""),43046.6666666666)</f>
        <v>43046.666666666599</v>
      </c>
      <c r="B720" s="1">
        <f ca="1">IFERROR(__xludf.DUMMYFUNCTION("""COMPUTED_VALUE"""),56.24)</f>
        <v>56.24</v>
      </c>
      <c r="C720" s="1">
        <f ca="1">IFERROR(__xludf.DUMMYFUNCTION("""COMPUTED_VALUE"""),56.53)</f>
        <v>56.53</v>
      </c>
      <c r="D720" s="1">
        <f ca="1">IFERROR(__xludf.DUMMYFUNCTION("""COMPUTED_VALUE"""),55.88)</f>
        <v>55.88</v>
      </c>
      <c r="E720" s="1">
        <f ca="1">IFERROR(__xludf.DUMMYFUNCTION("""COMPUTED_VALUE"""),56.16)</f>
        <v>56.16</v>
      </c>
      <c r="F720" s="1">
        <f ca="1">IFERROR(__xludf.DUMMYFUNCTION("""COMPUTED_VALUE"""),2688977)</f>
        <v>2688977</v>
      </c>
    </row>
    <row r="721" spans="1:6" x14ac:dyDescent="0.35">
      <c r="A721" s="2">
        <f ca="1">IFERROR(__xludf.DUMMYFUNCTION("""COMPUTED_VALUE"""),43047.6666666666)</f>
        <v>43047.666666666599</v>
      </c>
      <c r="B721" s="1">
        <f ca="1">IFERROR(__xludf.DUMMYFUNCTION("""COMPUTED_VALUE"""),56.14)</f>
        <v>56.14</v>
      </c>
      <c r="C721" s="1">
        <f ca="1">IFERROR(__xludf.DUMMYFUNCTION("""COMPUTED_VALUE"""),56.78)</f>
        <v>56.78</v>
      </c>
      <c r="D721" s="1">
        <f ca="1">IFERROR(__xludf.DUMMYFUNCTION("""COMPUTED_VALUE"""),55.96)</f>
        <v>55.96</v>
      </c>
      <c r="E721" s="1">
        <f ca="1">IFERROR(__xludf.DUMMYFUNCTION("""COMPUTED_VALUE"""),56.64)</f>
        <v>56.64</v>
      </c>
      <c r="F721" s="1">
        <f ca="1">IFERROR(__xludf.DUMMYFUNCTION("""COMPUTED_VALUE"""),2581451)</f>
        <v>2581451</v>
      </c>
    </row>
    <row r="722" spans="1:6" x14ac:dyDescent="0.35">
      <c r="A722" s="2">
        <f ca="1">IFERROR(__xludf.DUMMYFUNCTION("""COMPUTED_VALUE"""),43048.6666666666)</f>
        <v>43048.666666666599</v>
      </c>
      <c r="B722" s="1">
        <f ca="1">IFERROR(__xludf.DUMMYFUNCTION("""COMPUTED_VALUE"""),56.3)</f>
        <v>56.3</v>
      </c>
      <c r="C722" s="1">
        <f ca="1">IFERROR(__xludf.DUMMYFUNCTION("""COMPUTED_VALUE"""),56.48)</f>
        <v>56.48</v>
      </c>
      <c r="D722" s="1">
        <f ca="1">IFERROR(__xludf.DUMMYFUNCTION("""COMPUTED_VALUE"""),55.79)</f>
        <v>55.79</v>
      </c>
      <c r="E722" s="1">
        <f ca="1">IFERROR(__xludf.DUMMYFUNCTION("""COMPUTED_VALUE"""),56.46)</f>
        <v>56.46</v>
      </c>
      <c r="F722" s="1">
        <f ca="1">IFERROR(__xludf.DUMMYFUNCTION("""COMPUTED_VALUE"""),3732732)</f>
        <v>3732732</v>
      </c>
    </row>
    <row r="723" spans="1:6" x14ac:dyDescent="0.35">
      <c r="A723" s="2">
        <f ca="1">IFERROR(__xludf.DUMMYFUNCTION("""COMPUTED_VALUE"""),43049.6666666666)</f>
        <v>43049.666666666599</v>
      </c>
      <c r="B723" s="1">
        <f ca="1">IFERROR(__xludf.DUMMYFUNCTION("""COMPUTED_VALUE"""),56.31)</f>
        <v>56.31</v>
      </c>
      <c r="C723" s="1">
        <f ca="1">IFERROR(__xludf.DUMMYFUNCTION("""COMPUTED_VALUE"""),56.59)</f>
        <v>56.59</v>
      </c>
      <c r="D723" s="1">
        <f ca="1">IFERROR(__xludf.DUMMYFUNCTION("""COMPUTED_VALUE"""),56.2)</f>
        <v>56.2</v>
      </c>
      <c r="E723" s="1">
        <f ca="1">IFERROR(__xludf.DUMMYFUNCTION("""COMPUTED_VALUE"""),56.27)</f>
        <v>56.27</v>
      </c>
      <c r="F723" s="1">
        <f ca="1">IFERROR(__xludf.DUMMYFUNCTION("""COMPUTED_VALUE"""),2179937)</f>
        <v>2179937</v>
      </c>
    </row>
    <row r="724" spans="1:6" x14ac:dyDescent="0.35">
      <c r="A724" s="2">
        <f ca="1">IFERROR(__xludf.DUMMYFUNCTION("""COMPUTED_VALUE"""),43052.6666666666)</f>
        <v>43052.666666666599</v>
      </c>
      <c r="B724" s="1">
        <f ca="1">IFERROR(__xludf.DUMMYFUNCTION("""COMPUTED_VALUE"""),56.15)</f>
        <v>56.15</v>
      </c>
      <c r="C724" s="1">
        <f ca="1">IFERROR(__xludf.DUMMYFUNCTION("""COMPUTED_VALUE"""),57)</f>
        <v>57</v>
      </c>
      <c r="D724" s="1">
        <f ca="1">IFERROR(__xludf.DUMMYFUNCTION("""COMPUTED_VALUE"""),56.12)</f>
        <v>56.12</v>
      </c>
      <c r="E724" s="1">
        <f ca="1">IFERROR(__xludf.DUMMYFUNCTION("""COMPUTED_VALUE"""),56.46)</f>
        <v>56.46</v>
      </c>
      <c r="F724" s="1">
        <f ca="1">IFERROR(__xludf.DUMMYFUNCTION("""COMPUTED_VALUE"""),2918439)</f>
        <v>2918439</v>
      </c>
    </row>
    <row r="725" spans="1:6" x14ac:dyDescent="0.35">
      <c r="A725" s="2">
        <f ca="1">IFERROR(__xludf.DUMMYFUNCTION("""COMPUTED_VALUE"""),43053.6666666666)</f>
        <v>43053.666666666599</v>
      </c>
      <c r="B725" s="1">
        <f ca="1">IFERROR(__xludf.DUMMYFUNCTION("""COMPUTED_VALUE"""),56.51)</f>
        <v>56.51</v>
      </c>
      <c r="C725" s="1">
        <f ca="1">IFERROR(__xludf.DUMMYFUNCTION("""COMPUTED_VALUE"""),56.9)</f>
        <v>56.9</v>
      </c>
      <c r="D725" s="1">
        <f ca="1">IFERROR(__xludf.DUMMYFUNCTION("""COMPUTED_VALUE"""),56.19)</f>
        <v>56.19</v>
      </c>
      <c r="E725" s="1">
        <f ca="1">IFERROR(__xludf.DUMMYFUNCTION("""COMPUTED_VALUE"""),56.84)</f>
        <v>56.84</v>
      </c>
      <c r="F725" s="1">
        <f ca="1">IFERROR(__xludf.DUMMYFUNCTION("""COMPUTED_VALUE"""),3138423)</f>
        <v>3138423</v>
      </c>
    </row>
    <row r="726" spans="1:6" x14ac:dyDescent="0.35">
      <c r="A726" s="2">
        <f ca="1">IFERROR(__xludf.DUMMYFUNCTION("""COMPUTED_VALUE"""),43054.6666666666)</f>
        <v>43054.666666666599</v>
      </c>
      <c r="B726" s="1">
        <f ca="1">IFERROR(__xludf.DUMMYFUNCTION("""COMPUTED_VALUE"""),56.35)</f>
        <v>56.35</v>
      </c>
      <c r="C726" s="1">
        <f ca="1">IFERROR(__xludf.DUMMYFUNCTION("""COMPUTED_VALUE"""),56.59)</f>
        <v>56.59</v>
      </c>
      <c r="D726" s="1">
        <f ca="1">IFERROR(__xludf.DUMMYFUNCTION("""COMPUTED_VALUE"""),56.08)</f>
        <v>56.08</v>
      </c>
      <c r="E726" s="1">
        <f ca="1">IFERROR(__xludf.DUMMYFUNCTION("""COMPUTED_VALUE"""),56.33)</f>
        <v>56.33</v>
      </c>
      <c r="F726" s="1">
        <f ca="1">IFERROR(__xludf.DUMMYFUNCTION("""COMPUTED_VALUE"""),3928680)</f>
        <v>3928680</v>
      </c>
    </row>
    <row r="727" spans="1:6" x14ac:dyDescent="0.35">
      <c r="A727" s="2">
        <f ca="1">IFERROR(__xludf.DUMMYFUNCTION("""COMPUTED_VALUE"""),43055.6666666666)</f>
        <v>43055.666666666599</v>
      </c>
      <c r="B727" s="1">
        <f ca="1">IFERROR(__xludf.DUMMYFUNCTION("""COMPUTED_VALUE"""),56.51)</f>
        <v>56.51</v>
      </c>
      <c r="C727" s="1">
        <f ca="1">IFERROR(__xludf.DUMMYFUNCTION("""COMPUTED_VALUE"""),56.91)</f>
        <v>56.91</v>
      </c>
      <c r="D727" s="1">
        <f ca="1">IFERROR(__xludf.DUMMYFUNCTION("""COMPUTED_VALUE"""),56.5)</f>
        <v>56.5</v>
      </c>
      <c r="E727" s="1">
        <f ca="1">IFERROR(__xludf.DUMMYFUNCTION("""COMPUTED_VALUE"""),56.86)</f>
        <v>56.86</v>
      </c>
      <c r="F727" s="1">
        <f ca="1">IFERROR(__xludf.DUMMYFUNCTION("""COMPUTED_VALUE"""),2213322)</f>
        <v>2213322</v>
      </c>
    </row>
    <row r="728" spans="1:6" x14ac:dyDescent="0.35">
      <c r="A728" s="2">
        <f ca="1">IFERROR(__xludf.DUMMYFUNCTION("""COMPUTED_VALUE"""),43056.6666666666)</f>
        <v>43056.666666666599</v>
      </c>
      <c r="B728" s="1">
        <f ca="1">IFERROR(__xludf.DUMMYFUNCTION("""COMPUTED_VALUE"""),56.91)</f>
        <v>56.91</v>
      </c>
      <c r="C728" s="1">
        <f ca="1">IFERROR(__xludf.DUMMYFUNCTION("""COMPUTED_VALUE"""),56.94)</f>
        <v>56.94</v>
      </c>
      <c r="D728" s="1">
        <f ca="1">IFERROR(__xludf.DUMMYFUNCTION("""COMPUTED_VALUE"""),56.29)</f>
        <v>56.29</v>
      </c>
      <c r="E728" s="1">
        <f ca="1">IFERROR(__xludf.DUMMYFUNCTION("""COMPUTED_VALUE"""),56.49)</f>
        <v>56.49</v>
      </c>
      <c r="F728" s="1">
        <f ca="1">IFERROR(__xludf.DUMMYFUNCTION("""COMPUTED_VALUE"""),2413388)</f>
        <v>2413388</v>
      </c>
    </row>
    <row r="729" spans="1:6" x14ac:dyDescent="0.35">
      <c r="A729" s="2">
        <f ca="1">IFERROR(__xludf.DUMMYFUNCTION("""COMPUTED_VALUE"""),43059.6666666666)</f>
        <v>43059.666666666599</v>
      </c>
      <c r="B729" s="1">
        <f ca="1">IFERROR(__xludf.DUMMYFUNCTION("""COMPUTED_VALUE"""),56.49)</f>
        <v>56.49</v>
      </c>
      <c r="C729" s="1">
        <f ca="1">IFERROR(__xludf.DUMMYFUNCTION("""COMPUTED_VALUE"""),56.67)</f>
        <v>56.67</v>
      </c>
      <c r="D729" s="1">
        <f ca="1">IFERROR(__xludf.DUMMYFUNCTION("""COMPUTED_VALUE"""),56.13)</f>
        <v>56.13</v>
      </c>
      <c r="E729" s="1">
        <f ca="1">IFERROR(__xludf.DUMMYFUNCTION("""COMPUTED_VALUE"""),56.32)</f>
        <v>56.32</v>
      </c>
      <c r="F729" s="1">
        <f ca="1">IFERROR(__xludf.DUMMYFUNCTION("""COMPUTED_VALUE"""),2163855)</f>
        <v>2163855</v>
      </c>
    </row>
    <row r="730" spans="1:6" x14ac:dyDescent="0.35">
      <c r="A730" s="2">
        <f ca="1">IFERROR(__xludf.DUMMYFUNCTION("""COMPUTED_VALUE"""),43060.6666666666)</f>
        <v>43060.666666666599</v>
      </c>
      <c r="B730" s="1">
        <f ca="1">IFERROR(__xludf.DUMMYFUNCTION("""COMPUTED_VALUE"""),56.64)</f>
        <v>56.64</v>
      </c>
      <c r="C730" s="1">
        <f ca="1">IFERROR(__xludf.DUMMYFUNCTION("""COMPUTED_VALUE"""),57)</f>
        <v>57</v>
      </c>
      <c r="D730" s="1">
        <f ca="1">IFERROR(__xludf.DUMMYFUNCTION("""COMPUTED_VALUE"""),56.41)</f>
        <v>56.41</v>
      </c>
      <c r="E730" s="1">
        <f ca="1">IFERROR(__xludf.DUMMYFUNCTION("""COMPUTED_VALUE"""),56.97)</f>
        <v>56.97</v>
      </c>
      <c r="F730" s="1">
        <f ca="1">IFERROR(__xludf.DUMMYFUNCTION("""COMPUTED_VALUE"""),2479397)</f>
        <v>2479397</v>
      </c>
    </row>
    <row r="731" spans="1:6" x14ac:dyDescent="0.35">
      <c r="A731" s="2">
        <f ca="1">IFERROR(__xludf.DUMMYFUNCTION("""COMPUTED_VALUE"""),43061.6666666666)</f>
        <v>43061.666666666599</v>
      </c>
      <c r="B731" s="1">
        <f ca="1">IFERROR(__xludf.DUMMYFUNCTION("""COMPUTED_VALUE"""),57.05)</f>
        <v>57.05</v>
      </c>
      <c r="C731" s="1">
        <f ca="1">IFERROR(__xludf.DUMMYFUNCTION("""COMPUTED_VALUE"""),58.01)</f>
        <v>58.01</v>
      </c>
      <c r="D731" s="1">
        <f ca="1">IFERROR(__xludf.DUMMYFUNCTION("""COMPUTED_VALUE"""),57.05)</f>
        <v>57.05</v>
      </c>
      <c r="E731" s="1">
        <f ca="1">IFERROR(__xludf.DUMMYFUNCTION("""COMPUTED_VALUE"""),57.81)</f>
        <v>57.81</v>
      </c>
      <c r="F731" s="1">
        <f ca="1">IFERROR(__xludf.DUMMYFUNCTION("""COMPUTED_VALUE"""),3555273)</f>
        <v>3555273</v>
      </c>
    </row>
    <row r="732" spans="1:6" x14ac:dyDescent="0.35">
      <c r="A732" s="2">
        <f ca="1">IFERROR(__xludf.DUMMYFUNCTION("""COMPUTED_VALUE"""),43063.5416666666)</f>
        <v>43063.541666666599</v>
      </c>
      <c r="B732" s="1">
        <f ca="1">IFERROR(__xludf.DUMMYFUNCTION("""COMPUTED_VALUE"""),58.04)</f>
        <v>58.04</v>
      </c>
      <c r="C732" s="1">
        <f ca="1">IFERROR(__xludf.DUMMYFUNCTION("""COMPUTED_VALUE"""),59.34)</f>
        <v>59.34</v>
      </c>
      <c r="D732" s="1">
        <f ca="1">IFERROR(__xludf.DUMMYFUNCTION("""COMPUTED_VALUE"""),58.04)</f>
        <v>58.04</v>
      </c>
      <c r="E732" s="1">
        <f ca="1">IFERROR(__xludf.DUMMYFUNCTION("""COMPUTED_VALUE"""),59.3)</f>
        <v>59.3</v>
      </c>
      <c r="F732" s="1">
        <f ca="1">IFERROR(__xludf.DUMMYFUNCTION("""COMPUTED_VALUE"""),3528011)</f>
        <v>3528011</v>
      </c>
    </row>
    <row r="733" spans="1:6" x14ac:dyDescent="0.35">
      <c r="A733" s="2">
        <f ca="1">IFERROR(__xludf.DUMMYFUNCTION("""COMPUTED_VALUE"""),43066.6666666666)</f>
        <v>43066.666666666599</v>
      </c>
      <c r="B733" s="1">
        <f ca="1">IFERROR(__xludf.DUMMYFUNCTION("""COMPUTED_VALUE"""),60.13)</f>
        <v>60.13</v>
      </c>
      <c r="C733" s="1">
        <f ca="1">IFERROR(__xludf.DUMMYFUNCTION("""COMPUTED_VALUE"""),60.67)</f>
        <v>60.67</v>
      </c>
      <c r="D733" s="1">
        <f ca="1">IFERROR(__xludf.DUMMYFUNCTION("""COMPUTED_VALUE"""),59.56)</f>
        <v>59.56</v>
      </c>
      <c r="E733" s="1">
        <f ca="1">IFERROR(__xludf.DUMMYFUNCTION("""COMPUTED_VALUE"""),59.79)</f>
        <v>59.79</v>
      </c>
      <c r="F733" s="1">
        <f ca="1">IFERROR(__xludf.DUMMYFUNCTION("""COMPUTED_VALUE"""),6744045)</f>
        <v>6744045</v>
      </c>
    </row>
    <row r="734" spans="1:6" x14ac:dyDescent="0.35">
      <c r="A734" s="2">
        <f ca="1">IFERROR(__xludf.DUMMYFUNCTION("""COMPUTED_VALUE"""),43067.6666666666)</f>
        <v>43067.666666666599</v>
      </c>
      <c r="B734" s="1">
        <f ca="1">IFERROR(__xludf.DUMMYFUNCTION("""COMPUTED_VALUE"""),60.24)</f>
        <v>60.24</v>
      </c>
      <c r="C734" s="1">
        <f ca="1">IFERROR(__xludf.DUMMYFUNCTION("""COMPUTED_VALUE"""),60.27)</f>
        <v>60.27</v>
      </c>
      <c r="D734" s="1">
        <f ca="1">IFERROR(__xludf.DUMMYFUNCTION("""COMPUTED_VALUE"""),59.43)</f>
        <v>59.43</v>
      </c>
      <c r="E734" s="1">
        <f ca="1">IFERROR(__xludf.DUMMYFUNCTION("""COMPUTED_VALUE"""),59.68)</f>
        <v>59.68</v>
      </c>
      <c r="F734" s="1">
        <f ca="1">IFERROR(__xludf.DUMMYFUNCTION("""COMPUTED_VALUE"""),4559449)</f>
        <v>4559449</v>
      </c>
    </row>
    <row r="735" spans="1:6" x14ac:dyDescent="0.35">
      <c r="A735" s="2">
        <f ca="1">IFERROR(__xludf.DUMMYFUNCTION("""COMPUTED_VALUE"""),43068.6666666666)</f>
        <v>43068.666666666599</v>
      </c>
      <c r="B735" s="1">
        <f ca="1">IFERROR(__xludf.DUMMYFUNCTION("""COMPUTED_VALUE"""),59.74)</f>
        <v>59.74</v>
      </c>
      <c r="C735" s="1">
        <f ca="1">IFERROR(__xludf.DUMMYFUNCTION("""COMPUTED_VALUE"""),59.74)</f>
        <v>59.74</v>
      </c>
      <c r="D735" s="1">
        <f ca="1">IFERROR(__xludf.DUMMYFUNCTION("""COMPUTED_VALUE"""),57.26)</f>
        <v>57.26</v>
      </c>
      <c r="E735" s="1">
        <f ca="1">IFERROR(__xludf.DUMMYFUNCTION("""COMPUTED_VALUE"""),58.06)</f>
        <v>58.06</v>
      </c>
      <c r="F735" s="1">
        <f ca="1">IFERROR(__xludf.DUMMYFUNCTION("""COMPUTED_VALUE"""),9257512)</f>
        <v>9257512</v>
      </c>
    </row>
    <row r="736" spans="1:6" x14ac:dyDescent="0.35">
      <c r="A736" s="2">
        <f ca="1">IFERROR(__xludf.DUMMYFUNCTION("""COMPUTED_VALUE"""),43069.6666666666)</f>
        <v>43069.666666666599</v>
      </c>
      <c r="B736" s="1">
        <f ca="1">IFERROR(__xludf.DUMMYFUNCTION("""COMPUTED_VALUE"""),58.36)</f>
        <v>58.36</v>
      </c>
      <c r="C736" s="1">
        <f ca="1">IFERROR(__xludf.DUMMYFUNCTION("""COMPUTED_VALUE"""),58.93)</f>
        <v>58.93</v>
      </c>
      <c r="D736" s="1">
        <f ca="1">IFERROR(__xludf.DUMMYFUNCTION("""COMPUTED_VALUE"""),58)</f>
        <v>58</v>
      </c>
      <c r="E736" s="1">
        <f ca="1">IFERROR(__xludf.DUMMYFUNCTION("""COMPUTED_VALUE"""),58.84)</f>
        <v>58.84</v>
      </c>
      <c r="F736" s="1">
        <f ca="1">IFERROR(__xludf.DUMMYFUNCTION("""COMPUTED_VALUE"""),4509208)</f>
        <v>4509208</v>
      </c>
    </row>
    <row r="737" spans="1:6" x14ac:dyDescent="0.35">
      <c r="A737" s="2">
        <f ca="1">IFERROR(__xludf.DUMMYFUNCTION("""COMPUTED_VALUE"""),43070.6666666666)</f>
        <v>43070.666666666599</v>
      </c>
      <c r="B737" s="1">
        <f ca="1">IFERROR(__xludf.DUMMYFUNCTION("""COMPUTED_VALUE"""),58.6)</f>
        <v>58.6</v>
      </c>
      <c r="C737" s="1">
        <f ca="1">IFERROR(__xludf.DUMMYFUNCTION("""COMPUTED_VALUE"""),58.98)</f>
        <v>58.98</v>
      </c>
      <c r="D737" s="1">
        <f ca="1">IFERROR(__xludf.DUMMYFUNCTION("""COMPUTED_VALUE"""),57.6)</f>
        <v>57.6</v>
      </c>
      <c r="E737" s="1">
        <f ca="1">IFERROR(__xludf.DUMMYFUNCTION("""COMPUTED_VALUE"""),58.12)</f>
        <v>58.12</v>
      </c>
      <c r="F737" s="1">
        <f ca="1">IFERROR(__xludf.DUMMYFUNCTION("""COMPUTED_VALUE"""),4107094)</f>
        <v>4107094</v>
      </c>
    </row>
    <row r="738" spans="1:6" x14ac:dyDescent="0.35">
      <c r="A738" s="2">
        <f ca="1">IFERROR(__xludf.DUMMYFUNCTION("""COMPUTED_VALUE"""),43073.6666666666)</f>
        <v>43073.666666666599</v>
      </c>
      <c r="B738" s="1">
        <f ca="1">IFERROR(__xludf.DUMMYFUNCTION("""COMPUTED_VALUE"""),58.69)</f>
        <v>58.69</v>
      </c>
      <c r="C738" s="1">
        <f ca="1">IFERROR(__xludf.DUMMYFUNCTION("""COMPUTED_VALUE"""),58.76)</f>
        <v>58.76</v>
      </c>
      <c r="D738" s="1">
        <f ca="1">IFERROR(__xludf.DUMMYFUNCTION("""COMPUTED_VALUE"""),56.4)</f>
        <v>56.4</v>
      </c>
      <c r="E738" s="1">
        <f ca="1">IFERROR(__xludf.DUMMYFUNCTION("""COMPUTED_VALUE"""),56.7)</f>
        <v>56.7</v>
      </c>
      <c r="F738" s="1">
        <f ca="1">IFERROR(__xludf.DUMMYFUNCTION("""COMPUTED_VALUE"""),5931915)</f>
        <v>5931915</v>
      </c>
    </row>
    <row r="739" spans="1:6" x14ac:dyDescent="0.35">
      <c r="A739" s="2">
        <f ca="1">IFERROR(__xludf.DUMMYFUNCTION("""COMPUTED_VALUE"""),43074.6666666666)</f>
        <v>43074.666666666599</v>
      </c>
      <c r="B739" s="1">
        <f ca="1">IFERROR(__xludf.DUMMYFUNCTION("""COMPUTED_VALUE"""),56.41)</f>
        <v>56.41</v>
      </c>
      <c r="C739" s="1">
        <f ca="1">IFERROR(__xludf.DUMMYFUNCTION("""COMPUTED_VALUE"""),57.96)</f>
        <v>57.96</v>
      </c>
      <c r="D739" s="1">
        <f ca="1">IFERROR(__xludf.DUMMYFUNCTION("""COMPUTED_VALUE"""),56.24)</f>
        <v>56.24</v>
      </c>
      <c r="E739" s="1">
        <f ca="1">IFERROR(__xludf.DUMMYFUNCTION("""COMPUTED_VALUE"""),57.08)</f>
        <v>57.08</v>
      </c>
      <c r="F739" s="1">
        <f ca="1">IFERROR(__xludf.DUMMYFUNCTION("""COMPUTED_VALUE"""),4079774)</f>
        <v>4079774</v>
      </c>
    </row>
    <row r="740" spans="1:6" x14ac:dyDescent="0.35">
      <c r="A740" s="2">
        <f ca="1">IFERROR(__xludf.DUMMYFUNCTION("""COMPUTED_VALUE"""),43075.6666666666)</f>
        <v>43075.666666666599</v>
      </c>
      <c r="B740" s="1">
        <f ca="1">IFERROR(__xludf.DUMMYFUNCTION("""COMPUTED_VALUE"""),56.9)</f>
        <v>56.9</v>
      </c>
      <c r="C740" s="1">
        <f ca="1">IFERROR(__xludf.DUMMYFUNCTION("""COMPUTED_VALUE"""),57.79)</f>
        <v>57.79</v>
      </c>
      <c r="D740" s="1">
        <f ca="1">IFERROR(__xludf.DUMMYFUNCTION("""COMPUTED_VALUE"""),56.8)</f>
        <v>56.8</v>
      </c>
      <c r="E740" s="1">
        <f ca="1">IFERROR(__xludf.DUMMYFUNCTION("""COMPUTED_VALUE"""),57.62)</f>
        <v>57.62</v>
      </c>
      <c r="F740" s="1">
        <f ca="1">IFERROR(__xludf.DUMMYFUNCTION("""COMPUTED_VALUE"""),2853316)</f>
        <v>2853316</v>
      </c>
    </row>
    <row r="741" spans="1:6" x14ac:dyDescent="0.35">
      <c r="A741" s="2">
        <f ca="1">IFERROR(__xludf.DUMMYFUNCTION("""COMPUTED_VALUE"""),43076.6666666666)</f>
        <v>43076.666666666599</v>
      </c>
      <c r="B741" s="1">
        <f ca="1">IFERROR(__xludf.DUMMYFUNCTION("""COMPUTED_VALUE"""),57.83)</f>
        <v>57.83</v>
      </c>
      <c r="C741" s="1">
        <f ca="1">IFERROR(__xludf.DUMMYFUNCTION("""COMPUTED_VALUE"""),58.16)</f>
        <v>58.16</v>
      </c>
      <c r="D741" s="1">
        <f ca="1">IFERROR(__xludf.DUMMYFUNCTION("""COMPUTED_VALUE"""),57.55)</f>
        <v>57.55</v>
      </c>
      <c r="E741" s="1">
        <f ca="1">IFERROR(__xludf.DUMMYFUNCTION("""COMPUTED_VALUE"""),57.99)</f>
        <v>57.99</v>
      </c>
      <c r="F741" s="1">
        <f ca="1">IFERROR(__xludf.DUMMYFUNCTION("""COMPUTED_VALUE"""),2511569)</f>
        <v>2511569</v>
      </c>
    </row>
    <row r="742" spans="1:6" x14ac:dyDescent="0.35">
      <c r="A742" s="2">
        <f ca="1">IFERROR(__xludf.DUMMYFUNCTION("""COMPUTED_VALUE"""),43077.6666666666)</f>
        <v>43077.666666666599</v>
      </c>
      <c r="B742" s="1">
        <f ca="1">IFERROR(__xludf.DUMMYFUNCTION("""COMPUTED_VALUE"""),58.52)</f>
        <v>58.52</v>
      </c>
      <c r="C742" s="1">
        <f ca="1">IFERROR(__xludf.DUMMYFUNCTION("""COMPUTED_VALUE"""),58.64)</f>
        <v>58.64</v>
      </c>
      <c r="D742" s="1">
        <f ca="1">IFERROR(__xludf.DUMMYFUNCTION("""COMPUTED_VALUE"""),57.86)</f>
        <v>57.86</v>
      </c>
      <c r="E742" s="1">
        <f ca="1">IFERROR(__xludf.DUMMYFUNCTION("""COMPUTED_VALUE"""),58.1)</f>
        <v>58.1</v>
      </c>
      <c r="F742" s="1">
        <f ca="1">IFERROR(__xludf.DUMMYFUNCTION("""COMPUTED_VALUE"""),3050074)</f>
        <v>3050074</v>
      </c>
    </row>
    <row r="743" spans="1:6" x14ac:dyDescent="0.35">
      <c r="A743" s="2">
        <f ca="1">IFERROR(__xludf.DUMMYFUNCTION("""COMPUTED_VALUE"""),43080.6666666666)</f>
        <v>43080.666666666599</v>
      </c>
      <c r="B743" s="1">
        <f ca="1">IFERROR(__xludf.DUMMYFUNCTION("""COMPUTED_VALUE"""),58.23)</f>
        <v>58.23</v>
      </c>
      <c r="C743" s="1">
        <f ca="1">IFERROR(__xludf.DUMMYFUNCTION("""COMPUTED_VALUE"""),58.5)</f>
        <v>58.5</v>
      </c>
      <c r="D743" s="1">
        <f ca="1">IFERROR(__xludf.DUMMYFUNCTION("""COMPUTED_VALUE"""),57.85)</f>
        <v>57.85</v>
      </c>
      <c r="E743" s="1">
        <f ca="1">IFERROR(__xludf.DUMMYFUNCTION("""COMPUTED_VALUE"""),58.45)</f>
        <v>58.45</v>
      </c>
      <c r="F743" s="1">
        <f ca="1">IFERROR(__xludf.DUMMYFUNCTION("""COMPUTED_VALUE"""),2363473)</f>
        <v>2363473</v>
      </c>
    </row>
    <row r="744" spans="1:6" x14ac:dyDescent="0.35">
      <c r="A744" s="2">
        <f ca="1">IFERROR(__xludf.DUMMYFUNCTION("""COMPUTED_VALUE"""),43081.6666666666)</f>
        <v>43081.666666666599</v>
      </c>
      <c r="B744" s="1">
        <f ca="1">IFERROR(__xludf.DUMMYFUNCTION("""COMPUTED_VALUE"""),58.33)</f>
        <v>58.33</v>
      </c>
      <c r="C744" s="1">
        <f ca="1">IFERROR(__xludf.DUMMYFUNCTION("""COMPUTED_VALUE"""),58.68)</f>
        <v>58.68</v>
      </c>
      <c r="D744" s="1">
        <f ca="1">IFERROR(__xludf.DUMMYFUNCTION("""COMPUTED_VALUE"""),58.08)</f>
        <v>58.08</v>
      </c>
      <c r="E744" s="1">
        <f ca="1">IFERROR(__xludf.DUMMYFUNCTION("""COMPUTED_VALUE"""),58.25)</f>
        <v>58.25</v>
      </c>
      <c r="F744" s="1">
        <f ca="1">IFERROR(__xludf.DUMMYFUNCTION("""COMPUTED_VALUE"""),2235892)</f>
        <v>2235892</v>
      </c>
    </row>
    <row r="745" spans="1:6" x14ac:dyDescent="0.35">
      <c r="A745" s="2">
        <f ca="1">IFERROR(__xludf.DUMMYFUNCTION("""COMPUTED_VALUE"""),43082.6666666666)</f>
        <v>43082.666666666599</v>
      </c>
      <c r="B745" s="1">
        <f ca="1">IFERROR(__xludf.DUMMYFUNCTION("""COMPUTED_VALUE"""),58.5)</f>
        <v>58.5</v>
      </c>
      <c r="C745" s="1">
        <f ca="1">IFERROR(__xludf.DUMMYFUNCTION("""COMPUTED_VALUE"""),58.54)</f>
        <v>58.54</v>
      </c>
      <c r="D745" s="1">
        <f ca="1">IFERROR(__xludf.DUMMYFUNCTION("""COMPUTED_VALUE"""),58.01)</f>
        <v>58.01</v>
      </c>
      <c r="E745" s="1">
        <f ca="1">IFERROR(__xludf.DUMMYFUNCTION("""COMPUTED_VALUE"""),58.21)</f>
        <v>58.21</v>
      </c>
      <c r="F745" s="1">
        <f ca="1">IFERROR(__xludf.DUMMYFUNCTION("""COMPUTED_VALUE"""),2616760)</f>
        <v>2616760</v>
      </c>
    </row>
    <row r="746" spans="1:6" x14ac:dyDescent="0.35">
      <c r="A746" s="2">
        <f ca="1">IFERROR(__xludf.DUMMYFUNCTION("""COMPUTED_VALUE"""),43083.6666666666)</f>
        <v>43083.666666666599</v>
      </c>
      <c r="B746" s="1">
        <f ca="1">IFERROR(__xludf.DUMMYFUNCTION("""COMPUTED_VALUE"""),58.19)</f>
        <v>58.19</v>
      </c>
      <c r="C746" s="1">
        <f ca="1">IFERROR(__xludf.DUMMYFUNCTION("""COMPUTED_VALUE"""),58.9)</f>
        <v>58.9</v>
      </c>
      <c r="D746" s="1">
        <f ca="1">IFERROR(__xludf.DUMMYFUNCTION("""COMPUTED_VALUE"""),58.12)</f>
        <v>58.12</v>
      </c>
      <c r="E746" s="1">
        <f ca="1">IFERROR(__xludf.DUMMYFUNCTION("""COMPUTED_VALUE"""),58.71)</f>
        <v>58.71</v>
      </c>
      <c r="F746" s="1">
        <f ca="1">IFERROR(__xludf.DUMMYFUNCTION("""COMPUTED_VALUE"""),3214337)</f>
        <v>3214337</v>
      </c>
    </row>
    <row r="747" spans="1:6" x14ac:dyDescent="0.35">
      <c r="A747" s="2">
        <f ca="1">IFERROR(__xludf.DUMMYFUNCTION("""COMPUTED_VALUE"""),43084.6666666666)</f>
        <v>43084.666666666599</v>
      </c>
      <c r="B747" s="1">
        <f ca="1">IFERROR(__xludf.DUMMYFUNCTION("""COMPUTED_VALUE"""),58.95)</f>
        <v>58.95</v>
      </c>
      <c r="C747" s="1">
        <f ca="1">IFERROR(__xludf.DUMMYFUNCTION("""COMPUTED_VALUE"""),59.14)</f>
        <v>59.14</v>
      </c>
      <c r="D747" s="1">
        <f ca="1">IFERROR(__xludf.DUMMYFUNCTION("""COMPUTED_VALUE"""),58.47)</f>
        <v>58.47</v>
      </c>
      <c r="E747" s="1">
        <f ca="1">IFERROR(__xludf.DUMMYFUNCTION("""COMPUTED_VALUE"""),58.96)</f>
        <v>58.96</v>
      </c>
      <c r="F747" s="1">
        <f ca="1">IFERROR(__xludf.DUMMYFUNCTION("""COMPUTED_VALUE"""),4778621)</f>
        <v>4778621</v>
      </c>
    </row>
    <row r="748" spans="1:6" x14ac:dyDescent="0.35">
      <c r="A748" s="2">
        <f ca="1">IFERROR(__xludf.DUMMYFUNCTION("""COMPUTED_VALUE"""),43087.6666666666)</f>
        <v>43087.666666666599</v>
      </c>
      <c r="B748" s="1">
        <f ca="1">IFERROR(__xludf.DUMMYFUNCTION("""COMPUTED_VALUE"""),59.37)</f>
        <v>59.37</v>
      </c>
      <c r="C748" s="1">
        <f ca="1">IFERROR(__xludf.DUMMYFUNCTION("""COMPUTED_VALUE"""),59.74)</f>
        <v>59.74</v>
      </c>
      <c r="D748" s="1">
        <f ca="1">IFERROR(__xludf.DUMMYFUNCTION("""COMPUTED_VALUE"""),59.05)</f>
        <v>59.05</v>
      </c>
      <c r="E748" s="1">
        <f ca="1">IFERROR(__xludf.DUMMYFUNCTION("""COMPUTED_VALUE"""),59.53)</f>
        <v>59.53</v>
      </c>
      <c r="F748" s="1">
        <f ca="1">IFERROR(__xludf.DUMMYFUNCTION("""COMPUTED_VALUE"""),2947625)</f>
        <v>2947625</v>
      </c>
    </row>
    <row r="749" spans="1:6" x14ac:dyDescent="0.35">
      <c r="A749" s="2">
        <f ca="1">IFERROR(__xludf.DUMMYFUNCTION("""COMPUTED_VALUE"""),43088.6666666666)</f>
        <v>43088.666666666599</v>
      </c>
      <c r="B749" s="1">
        <f ca="1">IFERROR(__xludf.DUMMYFUNCTION("""COMPUTED_VALUE"""),59.46)</f>
        <v>59.46</v>
      </c>
      <c r="C749" s="1">
        <f ca="1">IFERROR(__xludf.DUMMYFUNCTION("""COMPUTED_VALUE"""),59.65)</f>
        <v>59.65</v>
      </c>
      <c r="D749" s="1">
        <f ca="1">IFERROR(__xludf.DUMMYFUNCTION("""COMPUTED_VALUE"""),58.96)</f>
        <v>58.96</v>
      </c>
      <c r="E749" s="1">
        <f ca="1">IFERROR(__xludf.DUMMYFUNCTION("""COMPUTED_VALUE"""),59.37)</f>
        <v>59.37</v>
      </c>
      <c r="F749" s="1">
        <f ca="1">IFERROR(__xludf.DUMMYFUNCTION("""COMPUTED_VALUE"""),2587792)</f>
        <v>2587792</v>
      </c>
    </row>
    <row r="750" spans="1:6" x14ac:dyDescent="0.35">
      <c r="A750" s="2">
        <f ca="1">IFERROR(__xludf.DUMMYFUNCTION("""COMPUTED_VALUE"""),43089.6666666666)</f>
        <v>43089.666666666599</v>
      </c>
      <c r="B750" s="1">
        <f ca="1">IFERROR(__xludf.DUMMYFUNCTION("""COMPUTED_VALUE"""),59.53)</f>
        <v>59.53</v>
      </c>
      <c r="C750" s="1">
        <f ca="1">IFERROR(__xludf.DUMMYFUNCTION("""COMPUTED_VALUE"""),59.55)</f>
        <v>59.55</v>
      </c>
      <c r="D750" s="1">
        <f ca="1">IFERROR(__xludf.DUMMYFUNCTION("""COMPUTED_VALUE"""),58.8)</f>
        <v>58.8</v>
      </c>
      <c r="E750" s="1">
        <f ca="1">IFERROR(__xludf.DUMMYFUNCTION("""COMPUTED_VALUE"""),58.88)</f>
        <v>58.88</v>
      </c>
      <c r="F750" s="1">
        <f ca="1">IFERROR(__xludf.DUMMYFUNCTION("""COMPUTED_VALUE"""),2371166)</f>
        <v>2371166</v>
      </c>
    </row>
    <row r="751" spans="1:6" x14ac:dyDescent="0.35">
      <c r="A751" s="2">
        <f ca="1">IFERROR(__xludf.DUMMYFUNCTION("""COMPUTED_VALUE"""),43090.6666666666)</f>
        <v>43090.666666666599</v>
      </c>
      <c r="B751" s="1">
        <f ca="1">IFERROR(__xludf.DUMMYFUNCTION("""COMPUTED_VALUE"""),58.8)</f>
        <v>58.8</v>
      </c>
      <c r="C751" s="1">
        <f ca="1">IFERROR(__xludf.DUMMYFUNCTION("""COMPUTED_VALUE"""),58.96)</f>
        <v>58.96</v>
      </c>
      <c r="D751" s="1">
        <f ca="1">IFERROR(__xludf.DUMMYFUNCTION("""COMPUTED_VALUE"""),58.38)</f>
        <v>58.38</v>
      </c>
      <c r="E751" s="1">
        <f ca="1">IFERROR(__xludf.DUMMYFUNCTION("""COMPUTED_VALUE"""),58.74)</f>
        <v>58.74</v>
      </c>
      <c r="F751" s="1">
        <f ca="1">IFERROR(__xludf.DUMMYFUNCTION("""COMPUTED_VALUE"""),2123117)</f>
        <v>2123117</v>
      </c>
    </row>
    <row r="752" spans="1:6" x14ac:dyDescent="0.35">
      <c r="A752" s="2">
        <f ca="1">IFERROR(__xludf.DUMMYFUNCTION("""COMPUTED_VALUE"""),43091.6666666666)</f>
        <v>43091.666666666599</v>
      </c>
      <c r="B752" s="1">
        <f ca="1">IFERROR(__xludf.DUMMYFUNCTION("""COMPUTED_VALUE"""),58.6)</f>
        <v>58.6</v>
      </c>
      <c r="C752" s="1">
        <f ca="1">IFERROR(__xludf.DUMMYFUNCTION("""COMPUTED_VALUE"""),58.73)</f>
        <v>58.73</v>
      </c>
      <c r="D752" s="1">
        <f ca="1">IFERROR(__xludf.DUMMYFUNCTION("""COMPUTED_VALUE"""),58.39)</f>
        <v>58.39</v>
      </c>
      <c r="E752" s="1">
        <f ca="1">IFERROR(__xludf.DUMMYFUNCTION("""COMPUTED_VALUE"""),58.42)</f>
        <v>58.42</v>
      </c>
      <c r="F752" s="1">
        <f ca="1">IFERROR(__xludf.DUMMYFUNCTION("""COMPUTED_VALUE"""),1585054)</f>
        <v>1585054</v>
      </c>
    </row>
    <row r="753" spans="1:6" x14ac:dyDescent="0.35">
      <c r="A753" s="2">
        <f ca="1">IFERROR(__xludf.DUMMYFUNCTION("""COMPUTED_VALUE"""),43095.6666666666)</f>
        <v>43095.666666666599</v>
      </c>
      <c r="B753" s="1">
        <f ca="1">IFERROR(__xludf.DUMMYFUNCTION("""COMPUTED_VALUE"""),58.42)</f>
        <v>58.42</v>
      </c>
      <c r="C753" s="1">
        <f ca="1">IFERROR(__xludf.DUMMYFUNCTION("""COMPUTED_VALUE"""),58.92)</f>
        <v>58.92</v>
      </c>
      <c r="D753" s="1">
        <f ca="1">IFERROR(__xludf.DUMMYFUNCTION("""COMPUTED_VALUE"""),58.03)</f>
        <v>58.03</v>
      </c>
      <c r="E753" s="1">
        <f ca="1">IFERROR(__xludf.DUMMYFUNCTION("""COMPUTED_VALUE"""),58.84)</f>
        <v>58.84</v>
      </c>
      <c r="F753" s="1">
        <f ca="1">IFERROR(__xludf.DUMMYFUNCTION("""COMPUTED_VALUE"""),2005187)</f>
        <v>2005187</v>
      </c>
    </row>
    <row r="754" spans="1:6" x14ac:dyDescent="0.35">
      <c r="A754" s="2">
        <f ca="1">IFERROR(__xludf.DUMMYFUNCTION("""COMPUTED_VALUE"""),43096.6666666666)</f>
        <v>43096.666666666599</v>
      </c>
      <c r="B754" s="1">
        <f ca="1">IFERROR(__xludf.DUMMYFUNCTION("""COMPUTED_VALUE"""),59)</f>
        <v>59</v>
      </c>
      <c r="C754" s="1">
        <f ca="1">IFERROR(__xludf.DUMMYFUNCTION("""COMPUTED_VALUE"""),59.36)</f>
        <v>59.36</v>
      </c>
      <c r="D754" s="1">
        <f ca="1">IFERROR(__xludf.DUMMYFUNCTION("""COMPUTED_VALUE"""),58.78)</f>
        <v>58.78</v>
      </c>
      <c r="E754" s="1">
        <f ca="1">IFERROR(__xludf.DUMMYFUNCTION("""COMPUTED_VALUE"""),59.11)</f>
        <v>59.11</v>
      </c>
      <c r="F754" s="1">
        <f ca="1">IFERROR(__xludf.DUMMYFUNCTION("""COMPUTED_VALUE"""),1867208)</f>
        <v>1867208</v>
      </c>
    </row>
    <row r="755" spans="1:6" x14ac:dyDescent="0.35">
      <c r="A755" s="2">
        <f ca="1">IFERROR(__xludf.DUMMYFUNCTION("""COMPUTED_VALUE"""),43097.6666666666)</f>
        <v>43097.666666666599</v>
      </c>
      <c r="B755" s="1">
        <f ca="1">IFERROR(__xludf.DUMMYFUNCTION("""COMPUTED_VALUE"""),59.45)</f>
        <v>59.45</v>
      </c>
      <c r="C755" s="1">
        <f ca="1">IFERROR(__xludf.DUMMYFUNCTION("""COMPUTED_VALUE"""),59.51)</f>
        <v>59.51</v>
      </c>
      <c r="D755" s="1">
        <f ca="1">IFERROR(__xludf.DUMMYFUNCTION("""COMPUTED_VALUE"""),59.22)</f>
        <v>59.22</v>
      </c>
      <c r="E755" s="1">
        <f ca="1">IFERROR(__xludf.DUMMYFUNCTION("""COMPUTED_VALUE"""),59.31)</f>
        <v>59.31</v>
      </c>
      <c r="F755" s="1">
        <f ca="1">IFERROR(__xludf.DUMMYFUNCTION("""COMPUTED_VALUE"""),1841676)</f>
        <v>1841676</v>
      </c>
    </row>
    <row r="756" spans="1:6" x14ac:dyDescent="0.35">
      <c r="A756" s="2">
        <f ca="1">IFERROR(__xludf.DUMMYFUNCTION("""COMPUTED_VALUE"""),43098.6666666666)</f>
        <v>43098.666666666599</v>
      </c>
      <c r="B756" s="1">
        <f ca="1">IFERROR(__xludf.DUMMYFUNCTION("""COMPUTED_VALUE"""),59.12)</f>
        <v>59.12</v>
      </c>
      <c r="C756" s="1">
        <f ca="1">IFERROR(__xludf.DUMMYFUNCTION("""COMPUTED_VALUE"""),59.2)</f>
        <v>59.2</v>
      </c>
      <c r="D756" s="1">
        <f ca="1">IFERROR(__xludf.DUMMYFUNCTION("""COMPUTED_VALUE"""),58.38)</f>
        <v>58.38</v>
      </c>
      <c r="E756" s="1">
        <f ca="1">IFERROR(__xludf.DUMMYFUNCTION("""COMPUTED_VALUE"""),58.47)</f>
        <v>58.47</v>
      </c>
      <c r="F756" s="1">
        <f ca="1">IFERROR(__xludf.DUMMYFUNCTION("""COMPUTED_VALUE"""),2688391)</f>
        <v>2688391</v>
      </c>
    </row>
    <row r="757" spans="1:6" x14ac:dyDescent="0.35">
      <c r="A757" s="2">
        <f ca="1">IFERROR(__xludf.DUMMYFUNCTION("""COMPUTED_VALUE"""),43102.6666666666)</f>
        <v>43102.666666666599</v>
      </c>
      <c r="B757" s="1">
        <f ca="1">IFERROR(__xludf.DUMMYFUNCTION("""COMPUTED_VALUE"""),58.6)</f>
        <v>58.6</v>
      </c>
      <c r="C757" s="1">
        <f ca="1">IFERROR(__xludf.DUMMYFUNCTION("""COMPUTED_VALUE"""),59.5)</f>
        <v>59.5</v>
      </c>
      <c r="D757" s="1">
        <f ca="1">IFERROR(__xludf.DUMMYFUNCTION("""COMPUTED_VALUE"""),58.53)</f>
        <v>58.53</v>
      </c>
      <c r="E757" s="1">
        <f ca="1">IFERROR(__xludf.DUMMYFUNCTION("""COMPUTED_VALUE"""),59.45)</f>
        <v>59.45</v>
      </c>
      <c r="F757" s="1">
        <f ca="1">IFERROR(__xludf.DUMMYFUNCTION("""COMPUTED_VALUE"""),2694494)</f>
        <v>2694494</v>
      </c>
    </row>
    <row r="758" spans="1:6" x14ac:dyDescent="0.35">
      <c r="A758" s="2">
        <f ca="1">IFERROR(__xludf.DUMMYFUNCTION("""COMPUTED_VALUE"""),43103.6666666666)</f>
        <v>43103.666666666599</v>
      </c>
      <c r="B758" s="1">
        <f ca="1">IFERROR(__xludf.DUMMYFUNCTION("""COMPUTED_VALUE"""),59.42)</f>
        <v>59.42</v>
      </c>
      <c r="C758" s="1">
        <f ca="1">IFERROR(__xludf.DUMMYFUNCTION("""COMPUTED_VALUE"""),60.27)</f>
        <v>60.27</v>
      </c>
      <c r="D758" s="1">
        <f ca="1">IFERROR(__xludf.DUMMYFUNCTION("""COMPUTED_VALUE"""),59.42)</f>
        <v>59.42</v>
      </c>
      <c r="E758" s="1">
        <f ca="1">IFERROR(__xludf.DUMMYFUNCTION("""COMPUTED_VALUE"""),60.21)</f>
        <v>60.21</v>
      </c>
      <c r="F758" s="1">
        <f ca="1">IFERROR(__xludf.DUMMYFUNCTION("""COMPUTED_VALUE"""),3108793)</f>
        <v>3108793</v>
      </c>
    </row>
    <row r="759" spans="1:6" x14ac:dyDescent="0.35">
      <c r="A759" s="2">
        <f ca="1">IFERROR(__xludf.DUMMYFUNCTION("""COMPUTED_VALUE"""),43104.6666666666)</f>
        <v>43104.666666666599</v>
      </c>
      <c r="B759" s="1">
        <f ca="1">IFERROR(__xludf.DUMMYFUNCTION("""COMPUTED_VALUE"""),60.25)</f>
        <v>60.25</v>
      </c>
      <c r="C759" s="1">
        <f ca="1">IFERROR(__xludf.DUMMYFUNCTION("""COMPUTED_VALUE"""),60.79)</f>
        <v>60.79</v>
      </c>
      <c r="D759" s="1">
        <f ca="1">IFERROR(__xludf.DUMMYFUNCTION("""COMPUTED_VALUE"""),60.23)</f>
        <v>60.23</v>
      </c>
      <c r="E759" s="1">
        <f ca="1">IFERROR(__xludf.DUMMYFUNCTION("""COMPUTED_VALUE"""),60.48)</f>
        <v>60.48</v>
      </c>
      <c r="F759" s="1">
        <f ca="1">IFERROR(__xludf.DUMMYFUNCTION("""COMPUTED_VALUE"""),3022089)</f>
        <v>3022089</v>
      </c>
    </row>
    <row r="760" spans="1:6" x14ac:dyDescent="0.35">
      <c r="A760" s="2">
        <f ca="1">IFERROR(__xludf.DUMMYFUNCTION("""COMPUTED_VALUE"""),43105.6666666666)</f>
        <v>43105.666666666599</v>
      </c>
      <c r="B760" s="1">
        <f ca="1">IFERROR(__xludf.DUMMYFUNCTION("""COMPUTED_VALUE"""),60.88)</f>
        <v>60.88</v>
      </c>
      <c r="C760" s="1">
        <f ca="1">IFERROR(__xludf.DUMMYFUNCTION("""COMPUTED_VALUE"""),61.46)</f>
        <v>61.46</v>
      </c>
      <c r="D760" s="1">
        <f ca="1">IFERROR(__xludf.DUMMYFUNCTION("""COMPUTED_VALUE"""),60.5)</f>
        <v>60.5</v>
      </c>
      <c r="E760" s="1">
        <f ca="1">IFERROR(__xludf.DUMMYFUNCTION("""COMPUTED_VALUE"""),61.46)</f>
        <v>61.46</v>
      </c>
      <c r="F760" s="1">
        <f ca="1">IFERROR(__xludf.DUMMYFUNCTION("""COMPUTED_VALUE"""),3544743)</f>
        <v>3544743</v>
      </c>
    </row>
    <row r="761" spans="1:6" x14ac:dyDescent="0.35">
      <c r="A761" s="2">
        <f ca="1">IFERROR(__xludf.DUMMYFUNCTION("""COMPUTED_VALUE"""),43108.6666666666)</f>
        <v>43108.666666666599</v>
      </c>
      <c r="B761" s="1">
        <f ca="1">IFERROR(__xludf.DUMMYFUNCTION("""COMPUTED_VALUE"""),61.8)</f>
        <v>61.8</v>
      </c>
      <c r="C761" s="1">
        <f ca="1">IFERROR(__xludf.DUMMYFUNCTION("""COMPUTED_VALUE"""),62.65)</f>
        <v>62.65</v>
      </c>
      <c r="D761" s="1">
        <f ca="1">IFERROR(__xludf.DUMMYFUNCTION("""COMPUTED_VALUE"""),61.6)</f>
        <v>61.6</v>
      </c>
      <c r="E761" s="1">
        <f ca="1">IFERROR(__xludf.DUMMYFUNCTION("""COMPUTED_VALUE"""),62.34)</f>
        <v>62.34</v>
      </c>
      <c r="F761" s="1">
        <f ca="1">IFERROR(__xludf.DUMMYFUNCTION("""COMPUTED_VALUE"""),4279475)</f>
        <v>4279475</v>
      </c>
    </row>
    <row r="762" spans="1:6" x14ac:dyDescent="0.35">
      <c r="A762" s="2">
        <f ca="1">IFERROR(__xludf.DUMMYFUNCTION("""COMPUTED_VALUE"""),43109.6666666666)</f>
        <v>43109.666666666599</v>
      </c>
      <c r="B762" s="1">
        <f ca="1">IFERROR(__xludf.DUMMYFUNCTION("""COMPUTED_VALUE"""),62.85)</f>
        <v>62.85</v>
      </c>
      <c r="C762" s="1">
        <f ca="1">IFERROR(__xludf.DUMMYFUNCTION("""COMPUTED_VALUE"""),62.97)</f>
        <v>62.97</v>
      </c>
      <c r="D762" s="1">
        <f ca="1">IFERROR(__xludf.DUMMYFUNCTION("""COMPUTED_VALUE"""),62.09)</f>
        <v>62.09</v>
      </c>
      <c r="E762" s="1">
        <f ca="1">IFERROR(__xludf.DUMMYFUNCTION("""COMPUTED_VALUE"""),62.64)</f>
        <v>62.64</v>
      </c>
      <c r="F762" s="1">
        <f ca="1">IFERROR(__xludf.DUMMYFUNCTION("""COMPUTED_VALUE"""),3661316)</f>
        <v>3661316</v>
      </c>
    </row>
    <row r="763" spans="1:6" x14ac:dyDescent="0.35">
      <c r="A763" s="2">
        <f ca="1">IFERROR(__xludf.DUMMYFUNCTION("""COMPUTED_VALUE"""),43110.6666666666)</f>
        <v>43110.666666666599</v>
      </c>
      <c r="B763" s="1">
        <f ca="1">IFERROR(__xludf.DUMMYFUNCTION("""COMPUTED_VALUE"""),62.26)</f>
        <v>62.26</v>
      </c>
      <c r="C763" s="1">
        <f ca="1">IFERROR(__xludf.DUMMYFUNCTION("""COMPUTED_VALUE"""),62.72)</f>
        <v>62.72</v>
      </c>
      <c r="D763" s="1">
        <f ca="1">IFERROR(__xludf.DUMMYFUNCTION("""COMPUTED_VALUE"""),61.86)</f>
        <v>61.86</v>
      </c>
      <c r="E763" s="1">
        <f ca="1">IFERROR(__xludf.DUMMYFUNCTION("""COMPUTED_VALUE"""),62.72)</f>
        <v>62.72</v>
      </c>
      <c r="F763" s="1">
        <f ca="1">IFERROR(__xludf.DUMMYFUNCTION("""COMPUTED_VALUE"""),2686017)</f>
        <v>2686017</v>
      </c>
    </row>
    <row r="764" spans="1:6" x14ac:dyDescent="0.35">
      <c r="A764" s="2">
        <f ca="1">IFERROR(__xludf.DUMMYFUNCTION("""COMPUTED_VALUE"""),43111.6666666666)</f>
        <v>43111.666666666599</v>
      </c>
      <c r="B764" s="1">
        <f ca="1">IFERROR(__xludf.DUMMYFUNCTION("""COMPUTED_VALUE"""),62.99)</f>
        <v>62.99</v>
      </c>
      <c r="C764" s="1">
        <f ca="1">IFERROR(__xludf.DUMMYFUNCTION("""COMPUTED_VALUE"""),63.84)</f>
        <v>63.84</v>
      </c>
      <c r="D764" s="1">
        <f ca="1">IFERROR(__xludf.DUMMYFUNCTION("""COMPUTED_VALUE"""),62.82)</f>
        <v>62.82</v>
      </c>
      <c r="E764" s="1">
        <f ca="1">IFERROR(__xludf.DUMMYFUNCTION("""COMPUTED_VALUE"""),63.83)</f>
        <v>63.83</v>
      </c>
      <c r="F764" s="1">
        <f ca="1">IFERROR(__xludf.DUMMYFUNCTION("""COMPUTED_VALUE"""),3125048)</f>
        <v>3125048</v>
      </c>
    </row>
    <row r="765" spans="1:6" x14ac:dyDescent="0.35">
      <c r="A765" s="2">
        <f ca="1">IFERROR(__xludf.DUMMYFUNCTION("""COMPUTED_VALUE"""),43112.6666666666)</f>
        <v>43112.666666666599</v>
      </c>
      <c r="B765" s="1">
        <f ca="1">IFERROR(__xludf.DUMMYFUNCTION("""COMPUTED_VALUE"""),63.67)</f>
        <v>63.67</v>
      </c>
      <c r="C765" s="1">
        <f ca="1">IFERROR(__xludf.DUMMYFUNCTION("""COMPUTED_VALUE"""),65.29)</f>
        <v>65.290000000000006</v>
      </c>
      <c r="D765" s="1">
        <f ca="1">IFERROR(__xludf.DUMMYFUNCTION("""COMPUTED_VALUE"""),63.67)</f>
        <v>63.67</v>
      </c>
      <c r="E765" s="1">
        <f ca="1">IFERROR(__xludf.DUMMYFUNCTION("""COMPUTED_VALUE"""),65.26)</f>
        <v>65.260000000000005</v>
      </c>
      <c r="F765" s="1">
        <f ca="1">IFERROR(__xludf.DUMMYFUNCTION("""COMPUTED_VALUE"""),5443730)</f>
        <v>5443730</v>
      </c>
    </row>
    <row r="766" spans="1:6" x14ac:dyDescent="0.35">
      <c r="A766" s="2">
        <f ca="1">IFERROR(__xludf.DUMMYFUNCTION("""COMPUTED_VALUE"""),43116.6666666666)</f>
        <v>43116.666666666599</v>
      </c>
      <c r="B766" s="1">
        <f ca="1">IFERROR(__xludf.DUMMYFUNCTION("""COMPUTED_VALUE"""),66.15)</f>
        <v>66.150000000000006</v>
      </c>
      <c r="C766" s="1">
        <f ca="1">IFERROR(__xludf.DUMMYFUNCTION("""COMPUTED_VALUE"""),67)</f>
        <v>67</v>
      </c>
      <c r="D766" s="1">
        <f ca="1">IFERROR(__xludf.DUMMYFUNCTION("""COMPUTED_VALUE"""),64.61)</f>
        <v>64.61</v>
      </c>
      <c r="E766" s="1">
        <f ca="1">IFERROR(__xludf.DUMMYFUNCTION("""COMPUTED_VALUE"""),65.24)</f>
        <v>65.239999999999995</v>
      </c>
      <c r="F766" s="1">
        <f ca="1">IFERROR(__xludf.DUMMYFUNCTION("""COMPUTED_VALUE"""),7220701)</f>
        <v>7220701</v>
      </c>
    </row>
    <row r="767" spans="1:6" x14ac:dyDescent="0.35">
      <c r="A767" s="2">
        <f ca="1">IFERROR(__xludf.DUMMYFUNCTION("""COMPUTED_VALUE"""),43117.6666666666)</f>
        <v>43117.666666666599</v>
      </c>
      <c r="B767" s="1">
        <f ca="1">IFERROR(__xludf.DUMMYFUNCTION("""COMPUTED_VALUE"""),65.61)</f>
        <v>65.61</v>
      </c>
      <c r="C767" s="1">
        <f ca="1">IFERROR(__xludf.DUMMYFUNCTION("""COMPUTED_VALUE"""),65.7)</f>
        <v>65.7</v>
      </c>
      <c r="D767" s="1">
        <f ca="1">IFERROR(__xludf.DUMMYFUNCTION("""COMPUTED_VALUE"""),64.04)</f>
        <v>64.040000000000006</v>
      </c>
      <c r="E767" s="1">
        <f ca="1">IFERROR(__xludf.DUMMYFUNCTION("""COMPUTED_VALUE"""),64.75)</f>
        <v>64.75</v>
      </c>
      <c r="F767" s="1">
        <f ca="1">IFERROR(__xludf.DUMMYFUNCTION("""COMPUTED_VALUE"""),5253754)</f>
        <v>5253754</v>
      </c>
    </row>
    <row r="768" spans="1:6" x14ac:dyDescent="0.35">
      <c r="A768" s="2">
        <f ca="1">IFERROR(__xludf.DUMMYFUNCTION("""COMPUTED_VALUE"""),43118.6666666666)</f>
        <v>43118.666666666599</v>
      </c>
      <c r="B768" s="1">
        <f ca="1">IFERROR(__xludf.DUMMYFUNCTION("""COMPUTED_VALUE"""),64.7)</f>
        <v>64.7</v>
      </c>
      <c r="C768" s="1">
        <f ca="1">IFERROR(__xludf.DUMMYFUNCTION("""COMPUTED_VALUE"""),65.23)</f>
        <v>65.23</v>
      </c>
      <c r="D768" s="1">
        <f ca="1">IFERROR(__xludf.DUMMYFUNCTION("""COMPUTED_VALUE"""),64.2)</f>
        <v>64.2</v>
      </c>
      <c r="E768" s="1">
        <f ca="1">IFERROR(__xludf.DUMMYFUNCTION("""COMPUTED_VALUE"""),64.67)</f>
        <v>64.67</v>
      </c>
      <c r="F768" s="1">
        <f ca="1">IFERROR(__xludf.DUMMYFUNCTION("""COMPUTED_VALUE"""),4026915)</f>
        <v>4026915</v>
      </c>
    </row>
    <row r="769" spans="1:6" x14ac:dyDescent="0.35">
      <c r="A769" s="2">
        <f ca="1">IFERROR(__xludf.DUMMYFUNCTION("""COMPUTED_VALUE"""),43119.6666666666)</f>
        <v>43119.666666666599</v>
      </c>
      <c r="B769" s="1">
        <f ca="1">IFERROR(__xludf.DUMMYFUNCTION("""COMPUTED_VALUE"""),65.6)</f>
        <v>65.599999999999994</v>
      </c>
      <c r="C769" s="1">
        <f ca="1">IFERROR(__xludf.DUMMYFUNCTION("""COMPUTED_VALUE"""),65.65)</f>
        <v>65.650000000000006</v>
      </c>
      <c r="D769" s="1">
        <f ca="1">IFERROR(__xludf.DUMMYFUNCTION("""COMPUTED_VALUE"""),64.65)</f>
        <v>64.650000000000006</v>
      </c>
      <c r="E769" s="1">
        <f ca="1">IFERROR(__xludf.DUMMYFUNCTION("""COMPUTED_VALUE"""),64.73)</f>
        <v>64.73</v>
      </c>
      <c r="F769" s="1">
        <f ca="1">IFERROR(__xludf.DUMMYFUNCTION("""COMPUTED_VALUE"""),4578536)</f>
        <v>4578536</v>
      </c>
    </row>
    <row r="770" spans="1:6" x14ac:dyDescent="0.35">
      <c r="A770" s="2">
        <f ca="1">IFERROR(__xludf.DUMMYFUNCTION("""COMPUTED_VALUE"""),43122.6666666666)</f>
        <v>43122.666666666599</v>
      </c>
      <c r="B770" s="1">
        <f ca="1">IFERROR(__xludf.DUMMYFUNCTION("""COMPUTED_VALUE"""),64.86)</f>
        <v>64.86</v>
      </c>
      <c r="C770" s="1">
        <f ca="1">IFERROR(__xludf.DUMMYFUNCTION("""COMPUTED_VALUE"""),66.37)</f>
        <v>66.37</v>
      </c>
      <c r="D770" s="1">
        <f ca="1">IFERROR(__xludf.DUMMYFUNCTION("""COMPUTED_VALUE"""),64.83)</f>
        <v>64.83</v>
      </c>
      <c r="E770" s="1">
        <f ca="1">IFERROR(__xludf.DUMMYFUNCTION("""COMPUTED_VALUE"""),66.37)</f>
        <v>66.37</v>
      </c>
      <c r="F770" s="1">
        <f ca="1">IFERROR(__xludf.DUMMYFUNCTION("""COMPUTED_VALUE"""),4140061)</f>
        <v>4140061</v>
      </c>
    </row>
    <row r="771" spans="1:6" x14ac:dyDescent="0.35">
      <c r="A771" s="2">
        <f ca="1">IFERROR(__xludf.DUMMYFUNCTION("""COMPUTED_VALUE"""),43123.6666666666)</f>
        <v>43123.666666666599</v>
      </c>
      <c r="B771" s="1">
        <f ca="1">IFERROR(__xludf.DUMMYFUNCTION("""COMPUTED_VALUE"""),66.9)</f>
        <v>66.900000000000006</v>
      </c>
      <c r="C771" s="1">
        <f ca="1">IFERROR(__xludf.DUMMYFUNCTION("""COMPUTED_VALUE"""),68.25)</f>
        <v>68.25</v>
      </c>
      <c r="D771" s="1">
        <f ca="1">IFERROR(__xludf.DUMMYFUNCTION("""COMPUTED_VALUE"""),66.87)</f>
        <v>66.87</v>
      </c>
      <c r="E771" s="1">
        <f ca="1">IFERROR(__xludf.DUMMYFUNCTION("""COMPUTED_VALUE"""),68.13)</f>
        <v>68.13</v>
      </c>
      <c r="F771" s="1">
        <f ca="1">IFERROR(__xludf.DUMMYFUNCTION("""COMPUTED_VALUE"""),5169306)</f>
        <v>5169306</v>
      </c>
    </row>
    <row r="772" spans="1:6" x14ac:dyDescent="0.35">
      <c r="A772" s="2">
        <f ca="1">IFERROR(__xludf.DUMMYFUNCTION("""COMPUTED_VALUE"""),43124.6666666666)</f>
        <v>43124.666666666599</v>
      </c>
      <c r="B772" s="1">
        <f ca="1">IFERROR(__xludf.DUMMYFUNCTION("""COMPUTED_VALUE"""),68.74)</f>
        <v>68.739999999999995</v>
      </c>
      <c r="C772" s="1">
        <f ca="1">IFERROR(__xludf.DUMMYFUNCTION("""COMPUTED_VALUE"""),69.41)</f>
        <v>69.41</v>
      </c>
      <c r="D772" s="1">
        <f ca="1">IFERROR(__xludf.DUMMYFUNCTION("""COMPUTED_VALUE"""),66.9)</f>
        <v>66.900000000000006</v>
      </c>
      <c r="E772" s="1">
        <f ca="1">IFERROR(__xludf.DUMMYFUNCTION("""COMPUTED_VALUE"""),67.88)</f>
        <v>67.88</v>
      </c>
      <c r="F772" s="1">
        <f ca="1">IFERROR(__xludf.DUMMYFUNCTION("""COMPUTED_VALUE"""),6807457)</f>
        <v>6807457</v>
      </c>
    </row>
    <row r="773" spans="1:6" x14ac:dyDescent="0.35">
      <c r="A773" s="2">
        <f ca="1">IFERROR(__xludf.DUMMYFUNCTION("""COMPUTED_VALUE"""),43125.6666666666)</f>
        <v>43125.666666666599</v>
      </c>
      <c r="B773" s="1">
        <f ca="1">IFERROR(__xludf.DUMMYFUNCTION("""COMPUTED_VALUE"""),68.4)</f>
        <v>68.400000000000006</v>
      </c>
      <c r="C773" s="1">
        <f ca="1">IFERROR(__xludf.DUMMYFUNCTION("""COMPUTED_VALUE"""),68.92)</f>
        <v>68.92</v>
      </c>
      <c r="D773" s="1">
        <f ca="1">IFERROR(__xludf.DUMMYFUNCTION("""COMPUTED_VALUE"""),67.88)</f>
        <v>67.88</v>
      </c>
      <c r="E773" s="1">
        <f ca="1">IFERROR(__xludf.DUMMYFUNCTION("""COMPUTED_VALUE"""),68.9)</f>
        <v>68.900000000000006</v>
      </c>
      <c r="F773" s="1">
        <f ca="1">IFERROR(__xludf.DUMMYFUNCTION("""COMPUTED_VALUE"""),4753012)</f>
        <v>4753012</v>
      </c>
    </row>
    <row r="774" spans="1:6" x14ac:dyDescent="0.35">
      <c r="A774" s="2">
        <f ca="1">IFERROR(__xludf.DUMMYFUNCTION("""COMPUTED_VALUE"""),43126.6666666666)</f>
        <v>43126.666666666599</v>
      </c>
      <c r="B774" s="1">
        <f ca="1">IFERROR(__xludf.DUMMYFUNCTION("""COMPUTED_VALUE"""),69.6)</f>
        <v>69.599999999999994</v>
      </c>
      <c r="C774" s="1">
        <f ca="1">IFERROR(__xludf.DUMMYFUNCTION("""COMPUTED_VALUE"""),70.13)</f>
        <v>70.13</v>
      </c>
      <c r="D774" s="1">
        <f ca="1">IFERROR(__xludf.DUMMYFUNCTION("""COMPUTED_VALUE"""),69.05)</f>
        <v>69.05</v>
      </c>
      <c r="E774" s="1">
        <f ca="1">IFERROR(__xludf.DUMMYFUNCTION("""COMPUTED_VALUE"""),70.1)</f>
        <v>70.099999999999994</v>
      </c>
      <c r="F774" s="1">
        <f ca="1">IFERROR(__xludf.DUMMYFUNCTION("""COMPUTED_VALUE"""),4857310)</f>
        <v>4857310</v>
      </c>
    </row>
    <row r="775" spans="1:6" x14ac:dyDescent="0.35">
      <c r="A775" s="2">
        <f ca="1">IFERROR(__xludf.DUMMYFUNCTION("""COMPUTED_VALUE"""),43129.6666666666)</f>
        <v>43129.666666666599</v>
      </c>
      <c r="B775" s="1">
        <f ca="1">IFERROR(__xludf.DUMMYFUNCTION("""COMPUTED_VALUE"""),70.46)</f>
        <v>70.459999999999994</v>
      </c>
      <c r="C775" s="1">
        <f ca="1">IFERROR(__xludf.DUMMYFUNCTION("""COMPUTED_VALUE"""),71.57)</f>
        <v>71.569999999999993</v>
      </c>
      <c r="D775" s="1">
        <f ca="1">IFERROR(__xludf.DUMMYFUNCTION("""COMPUTED_VALUE"""),70.02)</f>
        <v>70.02</v>
      </c>
      <c r="E775" s="1">
        <f ca="1">IFERROR(__xludf.DUMMYFUNCTION("""COMPUTED_VALUE"""),70.88)</f>
        <v>70.88</v>
      </c>
      <c r="F775" s="1">
        <f ca="1">IFERROR(__xludf.DUMMYFUNCTION("""COMPUTED_VALUE"""),5701898)</f>
        <v>5701898</v>
      </c>
    </row>
    <row r="776" spans="1:6" x14ac:dyDescent="0.35">
      <c r="A776" s="2">
        <f ca="1">IFERROR(__xludf.DUMMYFUNCTION("""COMPUTED_VALUE"""),43130.6666666666)</f>
        <v>43130.666666666599</v>
      </c>
      <c r="B776" s="1">
        <f ca="1">IFERROR(__xludf.DUMMYFUNCTION("""COMPUTED_VALUE"""),70.16)</f>
        <v>70.16</v>
      </c>
      <c r="C776" s="1">
        <f ca="1">IFERROR(__xludf.DUMMYFUNCTION("""COMPUTED_VALUE"""),71.96)</f>
        <v>71.959999999999994</v>
      </c>
      <c r="D776" s="1">
        <f ca="1">IFERROR(__xludf.DUMMYFUNCTION("""COMPUTED_VALUE"""),69.6)</f>
        <v>69.599999999999994</v>
      </c>
      <c r="E776" s="1">
        <f ca="1">IFERROR(__xludf.DUMMYFUNCTION("""COMPUTED_VALUE"""),71.89)</f>
        <v>71.89</v>
      </c>
      <c r="F776" s="1">
        <f ca="1">IFERROR(__xludf.DUMMYFUNCTION("""COMPUTED_VALUE"""),5871942)</f>
        <v>5871942</v>
      </c>
    </row>
    <row r="777" spans="1:6" x14ac:dyDescent="0.35">
      <c r="A777" s="2">
        <f ca="1">IFERROR(__xludf.DUMMYFUNCTION("""COMPUTED_VALUE"""),43131.6666666666)</f>
        <v>43131.666666666599</v>
      </c>
      <c r="B777" s="1">
        <f ca="1">IFERROR(__xludf.DUMMYFUNCTION("""COMPUTED_VALUE"""),72.57)</f>
        <v>72.569999999999993</v>
      </c>
      <c r="C777" s="1">
        <f ca="1">IFERROR(__xludf.DUMMYFUNCTION("""COMPUTED_VALUE"""),73.63)</f>
        <v>73.63</v>
      </c>
      <c r="D777" s="1">
        <f ca="1">IFERROR(__xludf.DUMMYFUNCTION("""COMPUTED_VALUE"""),72.5)</f>
        <v>72.5</v>
      </c>
      <c r="E777" s="1">
        <f ca="1">IFERROR(__xludf.DUMMYFUNCTION("""COMPUTED_VALUE"""),72.54)</f>
        <v>72.540000000000006</v>
      </c>
      <c r="F777" s="1">
        <f ca="1">IFERROR(__xludf.DUMMYFUNCTION("""COMPUTED_VALUE"""),6424693)</f>
        <v>6424693</v>
      </c>
    </row>
    <row r="778" spans="1:6" x14ac:dyDescent="0.35">
      <c r="A778" s="2">
        <f ca="1">IFERROR(__xludf.DUMMYFUNCTION("""COMPUTED_VALUE"""),43132.6666666666)</f>
        <v>43132.666666666599</v>
      </c>
      <c r="B778" s="1">
        <f ca="1">IFERROR(__xludf.DUMMYFUNCTION("""COMPUTED_VALUE"""),72.25)</f>
        <v>72.25</v>
      </c>
      <c r="C778" s="1">
        <f ca="1">IFERROR(__xludf.DUMMYFUNCTION("""COMPUTED_VALUE"""),72.99)</f>
        <v>72.989999999999995</v>
      </c>
      <c r="D778" s="1">
        <f ca="1">IFERROR(__xludf.DUMMYFUNCTION("""COMPUTED_VALUE"""),69.26)</f>
        <v>69.260000000000005</v>
      </c>
      <c r="E778" s="1">
        <f ca="1">IFERROR(__xludf.DUMMYFUNCTION("""COMPUTED_VALUE"""),69.5)</f>
        <v>69.5</v>
      </c>
      <c r="F778" s="1">
        <f ca="1">IFERROR(__xludf.DUMMYFUNCTION("""COMPUTED_VALUE"""),9113808)</f>
        <v>9113808</v>
      </c>
    </row>
    <row r="779" spans="1:6" x14ac:dyDescent="0.35">
      <c r="A779" s="2">
        <f ca="1">IFERROR(__xludf.DUMMYFUNCTION("""COMPUTED_VALUE"""),43133.6666666666)</f>
        <v>43133.666666666599</v>
      </c>
      <c r="B779" s="1">
        <f ca="1">IFERROR(__xludf.DUMMYFUNCTION("""COMPUTED_VALUE"""),73.87)</f>
        <v>73.87</v>
      </c>
      <c r="C779" s="1">
        <f ca="1">IFERROR(__xludf.DUMMYFUNCTION("""COMPUTED_VALUE"""),74.9)</f>
        <v>74.900000000000006</v>
      </c>
      <c r="D779" s="1">
        <f ca="1">IFERROR(__xludf.DUMMYFUNCTION("""COMPUTED_VALUE"""),70.7)</f>
        <v>70.7</v>
      </c>
      <c r="E779" s="1">
        <f ca="1">IFERROR(__xludf.DUMMYFUNCTION("""COMPUTED_VALUE"""),71.5)</f>
        <v>71.5</v>
      </c>
      <c r="F779" s="1">
        <f ca="1">IFERROR(__xludf.DUMMYFUNCTION("""COMPUTED_VALUE"""),11125722)</f>
        <v>11125722</v>
      </c>
    </row>
    <row r="780" spans="1:6" x14ac:dyDescent="0.35">
      <c r="A780" s="2">
        <f ca="1">IFERROR(__xludf.DUMMYFUNCTION("""COMPUTED_VALUE"""),43136.6666666666)</f>
        <v>43136.666666666599</v>
      </c>
      <c r="B780" s="1">
        <f ca="1">IFERROR(__xludf.DUMMYFUNCTION("""COMPUTED_VALUE"""),70.13)</f>
        <v>70.13</v>
      </c>
      <c r="C780" s="1">
        <f ca="1">IFERROR(__xludf.DUMMYFUNCTION("""COMPUTED_VALUE"""),72.95)</f>
        <v>72.95</v>
      </c>
      <c r="D780" s="1">
        <f ca="1">IFERROR(__xludf.DUMMYFUNCTION("""COMPUTED_VALUE"""),66.04)</f>
        <v>66.040000000000006</v>
      </c>
      <c r="E780" s="1">
        <f ca="1">IFERROR(__xludf.DUMMYFUNCTION("""COMPUTED_VALUE"""),69.5)</f>
        <v>69.5</v>
      </c>
      <c r="F780" s="1">
        <f ca="1">IFERROR(__xludf.DUMMYFUNCTION("""COMPUTED_VALUE"""),11494985)</f>
        <v>11494985</v>
      </c>
    </row>
    <row r="781" spans="1:6" x14ac:dyDescent="0.35">
      <c r="A781" s="2">
        <f ca="1">IFERROR(__xludf.DUMMYFUNCTION("""COMPUTED_VALUE"""),43137.6666666666)</f>
        <v>43137.666666666599</v>
      </c>
      <c r="B781" s="1">
        <f ca="1">IFERROR(__xludf.DUMMYFUNCTION("""COMPUTED_VALUE"""),68.07)</f>
        <v>68.069999999999993</v>
      </c>
      <c r="C781" s="1">
        <f ca="1">IFERROR(__xludf.DUMMYFUNCTION("""COMPUTED_VALUE"""),72.2)</f>
        <v>72.2</v>
      </c>
      <c r="D781" s="1">
        <f ca="1">IFERROR(__xludf.DUMMYFUNCTION("""COMPUTED_VALUE"""),67.59)</f>
        <v>67.59</v>
      </c>
      <c r="E781" s="1">
        <f ca="1">IFERROR(__xludf.DUMMYFUNCTION("""COMPUTED_VALUE"""),72.14)</f>
        <v>72.14</v>
      </c>
      <c r="F781" s="1">
        <f ca="1">IFERROR(__xludf.DUMMYFUNCTION("""COMPUTED_VALUE"""),11066819)</f>
        <v>11066819</v>
      </c>
    </row>
    <row r="782" spans="1:6" x14ac:dyDescent="0.35">
      <c r="A782" s="2">
        <f ca="1">IFERROR(__xludf.DUMMYFUNCTION("""COMPUTED_VALUE"""),43138.6666666666)</f>
        <v>43138.666666666599</v>
      </c>
      <c r="B782" s="1">
        <f ca="1">IFERROR(__xludf.DUMMYFUNCTION("""COMPUTED_VALUE"""),72.45)</f>
        <v>72.45</v>
      </c>
      <c r="C782" s="1">
        <f ca="1">IFERROR(__xludf.DUMMYFUNCTION("""COMPUTED_VALUE"""),73.05)</f>
        <v>73.05</v>
      </c>
      <c r="D782" s="1">
        <f ca="1">IFERROR(__xludf.DUMMYFUNCTION("""COMPUTED_VALUE"""),70.76)</f>
        <v>70.760000000000005</v>
      </c>
      <c r="E782" s="1">
        <f ca="1">IFERROR(__xludf.DUMMYFUNCTION("""COMPUTED_VALUE"""),70.84)</f>
        <v>70.84</v>
      </c>
      <c r="F782" s="1">
        <f ca="1">IFERROR(__xludf.DUMMYFUNCTION("""COMPUTED_VALUE"""),7162741)</f>
        <v>7162741</v>
      </c>
    </row>
    <row r="783" spans="1:6" x14ac:dyDescent="0.35">
      <c r="A783" s="2">
        <f ca="1">IFERROR(__xludf.DUMMYFUNCTION("""COMPUTED_VALUE"""),43139.6666666666)</f>
        <v>43139.666666666599</v>
      </c>
      <c r="B783" s="1">
        <f ca="1">IFERROR(__xludf.DUMMYFUNCTION("""COMPUTED_VALUE"""),71.48)</f>
        <v>71.48</v>
      </c>
      <c r="C783" s="1">
        <f ca="1">IFERROR(__xludf.DUMMYFUNCTION("""COMPUTED_VALUE"""),71.69)</f>
        <v>71.69</v>
      </c>
      <c r="D783" s="1">
        <f ca="1">IFERROR(__xludf.DUMMYFUNCTION("""COMPUTED_VALUE"""),67.5)</f>
        <v>67.5</v>
      </c>
      <c r="E783" s="1">
        <f ca="1">IFERROR(__xludf.DUMMYFUNCTION("""COMPUTED_VALUE"""),67.53)</f>
        <v>67.53</v>
      </c>
      <c r="F783" s="1">
        <f ca="1">IFERROR(__xludf.DUMMYFUNCTION("""COMPUTED_VALUE"""),8578557)</f>
        <v>8578557</v>
      </c>
    </row>
    <row r="784" spans="1:6" x14ac:dyDescent="0.35">
      <c r="A784" s="2">
        <f ca="1">IFERROR(__xludf.DUMMYFUNCTION("""COMPUTED_VALUE"""),43140.6666666666)</f>
        <v>43140.666666666599</v>
      </c>
      <c r="B784" s="1">
        <f ca="1">IFERROR(__xludf.DUMMYFUNCTION("""COMPUTED_VALUE"""),68.67)</f>
        <v>68.67</v>
      </c>
      <c r="C784" s="1">
        <f ca="1">IFERROR(__xludf.DUMMYFUNCTION("""COMPUTED_VALUE"""),69.18)</f>
        <v>69.180000000000007</v>
      </c>
      <c r="D784" s="1">
        <f ca="1">IFERROR(__xludf.DUMMYFUNCTION("""COMPUTED_VALUE"""),63.3)</f>
        <v>63.3</v>
      </c>
      <c r="E784" s="1">
        <f ca="1">IFERROR(__xludf.DUMMYFUNCTION("""COMPUTED_VALUE"""),66.98)</f>
        <v>66.98</v>
      </c>
      <c r="F784" s="1">
        <f ca="1">IFERROR(__xludf.DUMMYFUNCTION("""COMPUTED_VALUE"""),14141524)</f>
        <v>14141524</v>
      </c>
    </row>
    <row r="785" spans="1:6" x14ac:dyDescent="0.35">
      <c r="A785" s="2">
        <f ca="1">IFERROR(__xludf.DUMMYFUNCTION("""COMPUTED_VALUE"""),43143.6666666666)</f>
        <v>43143.666666666599</v>
      </c>
      <c r="B785" s="1">
        <f ca="1">IFERROR(__xludf.DUMMYFUNCTION("""COMPUTED_VALUE"""),68.23)</f>
        <v>68.23</v>
      </c>
      <c r="C785" s="1">
        <f ca="1">IFERROR(__xludf.DUMMYFUNCTION("""COMPUTED_VALUE"""),69.69)</f>
        <v>69.69</v>
      </c>
      <c r="D785" s="1">
        <f ca="1">IFERROR(__xludf.DUMMYFUNCTION("""COMPUTED_VALUE"""),67.2)</f>
        <v>67.2</v>
      </c>
      <c r="E785" s="1">
        <f ca="1">IFERROR(__xludf.DUMMYFUNCTION("""COMPUTED_VALUE"""),69.31)</f>
        <v>69.31</v>
      </c>
      <c r="F785" s="1">
        <f ca="1">IFERROR(__xludf.DUMMYFUNCTION("""COMPUTED_VALUE"""),6738944)</f>
        <v>6738944</v>
      </c>
    </row>
    <row r="786" spans="1:6" x14ac:dyDescent="0.35">
      <c r="A786" s="2">
        <f ca="1">IFERROR(__xludf.DUMMYFUNCTION("""COMPUTED_VALUE"""),43144.6666666666)</f>
        <v>43144.666666666599</v>
      </c>
      <c r="B786" s="1">
        <f ca="1">IFERROR(__xludf.DUMMYFUNCTION("""COMPUTED_VALUE"""),69.3)</f>
        <v>69.3</v>
      </c>
      <c r="C786" s="1">
        <f ca="1">IFERROR(__xludf.DUMMYFUNCTION("""COMPUTED_VALUE"""),70.99)</f>
        <v>70.989999999999995</v>
      </c>
      <c r="D786" s="1">
        <f ca="1">IFERROR(__xludf.DUMMYFUNCTION("""COMPUTED_VALUE"""),69.18)</f>
        <v>69.180000000000007</v>
      </c>
      <c r="E786" s="1">
        <f ca="1">IFERROR(__xludf.DUMMYFUNCTION("""COMPUTED_VALUE"""),70.73)</f>
        <v>70.73</v>
      </c>
      <c r="F786" s="1">
        <f ca="1">IFERROR(__xludf.DUMMYFUNCTION("""COMPUTED_VALUE"""),5917879)</f>
        <v>5917879</v>
      </c>
    </row>
    <row r="787" spans="1:6" x14ac:dyDescent="0.35">
      <c r="A787" s="2">
        <f ca="1">IFERROR(__xludf.DUMMYFUNCTION("""COMPUTED_VALUE"""),43145.6666666666)</f>
        <v>43145.666666666599</v>
      </c>
      <c r="B787" s="1">
        <f ca="1">IFERROR(__xludf.DUMMYFUNCTION("""COMPUTED_VALUE"""),70.31)</f>
        <v>70.31</v>
      </c>
      <c r="C787" s="1">
        <f ca="1">IFERROR(__xludf.DUMMYFUNCTION("""COMPUTED_VALUE"""),72.6)</f>
        <v>72.599999999999994</v>
      </c>
      <c r="D787" s="1">
        <f ca="1">IFERROR(__xludf.DUMMYFUNCTION("""COMPUTED_VALUE"""),70.17)</f>
        <v>70.17</v>
      </c>
      <c r="E787" s="1">
        <f ca="1">IFERROR(__xludf.DUMMYFUNCTION("""COMPUTED_VALUE"""),72.55)</f>
        <v>72.55</v>
      </c>
      <c r="F787" s="1">
        <f ca="1">IFERROR(__xludf.DUMMYFUNCTION("""COMPUTED_VALUE"""),5959209)</f>
        <v>5959209</v>
      </c>
    </row>
    <row r="788" spans="1:6" x14ac:dyDescent="0.35">
      <c r="A788" s="2">
        <f ca="1">IFERROR(__xludf.DUMMYFUNCTION("""COMPUTED_VALUE"""),43146.6666666666)</f>
        <v>43146.666666666599</v>
      </c>
      <c r="B788" s="1">
        <f ca="1">IFERROR(__xludf.DUMMYFUNCTION("""COMPUTED_VALUE"""),73.34)</f>
        <v>73.34</v>
      </c>
      <c r="C788" s="1">
        <f ca="1">IFERROR(__xludf.DUMMYFUNCTION("""COMPUTED_VALUE"""),73.45)</f>
        <v>73.45</v>
      </c>
      <c r="D788" s="1">
        <f ca="1">IFERROR(__xludf.DUMMYFUNCTION("""COMPUTED_VALUE"""),71.84)</f>
        <v>71.84</v>
      </c>
      <c r="E788" s="1">
        <f ca="1">IFERROR(__xludf.DUMMYFUNCTION("""COMPUTED_VALUE"""),73.09)</f>
        <v>73.09</v>
      </c>
      <c r="F788" s="1">
        <f ca="1">IFERROR(__xludf.DUMMYFUNCTION("""COMPUTED_VALUE"""),5652736)</f>
        <v>5652736</v>
      </c>
    </row>
    <row r="789" spans="1:6" x14ac:dyDescent="0.35">
      <c r="A789" s="2">
        <f ca="1">IFERROR(__xludf.DUMMYFUNCTION("""COMPUTED_VALUE"""),43147.6666666666)</f>
        <v>43147.666666666599</v>
      </c>
      <c r="B789" s="1">
        <f ca="1">IFERROR(__xludf.DUMMYFUNCTION("""COMPUTED_VALUE"""),72.87)</f>
        <v>72.87</v>
      </c>
      <c r="C789" s="1">
        <f ca="1">IFERROR(__xludf.DUMMYFUNCTION("""COMPUTED_VALUE"""),73.29)</f>
        <v>73.290000000000006</v>
      </c>
      <c r="D789" s="1">
        <f ca="1">IFERROR(__xludf.DUMMYFUNCTION("""COMPUTED_VALUE"""),72.33)</f>
        <v>72.33</v>
      </c>
      <c r="E789" s="1">
        <f ca="1">IFERROR(__xludf.DUMMYFUNCTION("""COMPUTED_VALUE"""),72.43)</f>
        <v>72.430000000000007</v>
      </c>
      <c r="F789" s="1">
        <f ca="1">IFERROR(__xludf.DUMMYFUNCTION("""COMPUTED_VALUE"""),4472564)</f>
        <v>4472564</v>
      </c>
    </row>
    <row r="790" spans="1:6" x14ac:dyDescent="0.35">
      <c r="A790" s="2">
        <f ca="1">IFERROR(__xludf.DUMMYFUNCTION("""COMPUTED_VALUE"""),43151.6666666666)</f>
        <v>43151.666666666599</v>
      </c>
      <c r="B790" s="1">
        <f ca="1">IFERROR(__xludf.DUMMYFUNCTION("""COMPUTED_VALUE"""),72.32)</f>
        <v>72.319999999999993</v>
      </c>
      <c r="C790" s="1">
        <f ca="1">IFERROR(__xludf.DUMMYFUNCTION("""COMPUTED_VALUE"""),74.44)</f>
        <v>74.44</v>
      </c>
      <c r="D790" s="1">
        <f ca="1">IFERROR(__xludf.DUMMYFUNCTION("""COMPUTED_VALUE"""),72.32)</f>
        <v>72.319999999999993</v>
      </c>
      <c r="E790" s="1">
        <f ca="1">IFERROR(__xludf.DUMMYFUNCTION("""COMPUTED_VALUE"""),73.42)</f>
        <v>73.42</v>
      </c>
      <c r="F790" s="1">
        <f ca="1">IFERROR(__xludf.DUMMYFUNCTION("""COMPUTED_VALUE"""),6499228)</f>
        <v>6499228</v>
      </c>
    </row>
    <row r="791" spans="1:6" x14ac:dyDescent="0.35">
      <c r="A791" s="2">
        <f ca="1">IFERROR(__xludf.DUMMYFUNCTION("""COMPUTED_VALUE"""),43152.6666666666)</f>
        <v>43152.666666666599</v>
      </c>
      <c r="B791" s="1">
        <f ca="1">IFERROR(__xludf.DUMMYFUNCTION("""COMPUTED_VALUE"""),74.25)</f>
        <v>74.25</v>
      </c>
      <c r="C791" s="1">
        <f ca="1">IFERROR(__xludf.DUMMYFUNCTION("""COMPUTED_VALUE"""),75.17)</f>
        <v>75.17</v>
      </c>
      <c r="D791" s="1">
        <f ca="1">IFERROR(__xludf.DUMMYFUNCTION("""COMPUTED_VALUE"""),73.95)</f>
        <v>73.95</v>
      </c>
      <c r="E791" s="1">
        <f ca="1">IFERROR(__xludf.DUMMYFUNCTION("""COMPUTED_VALUE"""),74.15)</f>
        <v>74.150000000000006</v>
      </c>
      <c r="F791" s="1">
        <f ca="1">IFERROR(__xludf.DUMMYFUNCTION("""COMPUTED_VALUE"""),6304351)</f>
        <v>6304351</v>
      </c>
    </row>
    <row r="792" spans="1:6" x14ac:dyDescent="0.35">
      <c r="A792" s="2">
        <f ca="1">IFERROR(__xludf.DUMMYFUNCTION("""COMPUTED_VALUE"""),43153.6666666666)</f>
        <v>43153.666666666599</v>
      </c>
      <c r="B792" s="1">
        <f ca="1">IFERROR(__xludf.DUMMYFUNCTION("""COMPUTED_VALUE"""),74.77)</f>
        <v>74.77</v>
      </c>
      <c r="C792" s="1">
        <f ca="1">IFERROR(__xludf.DUMMYFUNCTION("""COMPUTED_VALUE"""),75.13)</f>
        <v>75.13</v>
      </c>
      <c r="D792" s="1">
        <f ca="1">IFERROR(__xludf.DUMMYFUNCTION("""COMPUTED_VALUE"""),73.79)</f>
        <v>73.790000000000006</v>
      </c>
      <c r="E792" s="1">
        <f ca="1">IFERROR(__xludf.DUMMYFUNCTION("""COMPUTED_VALUE"""),74.27)</f>
        <v>74.27</v>
      </c>
      <c r="F792" s="1">
        <f ca="1">IFERROR(__xludf.DUMMYFUNCTION("""COMPUTED_VALUE"""),4858063)</f>
        <v>4858063</v>
      </c>
    </row>
    <row r="793" spans="1:6" x14ac:dyDescent="0.35">
      <c r="A793" s="2">
        <f ca="1">IFERROR(__xludf.DUMMYFUNCTION("""COMPUTED_VALUE"""),43154.6666666666)</f>
        <v>43154.666666666599</v>
      </c>
      <c r="B793" s="1">
        <f ca="1">IFERROR(__xludf.DUMMYFUNCTION("""COMPUTED_VALUE"""),74.77)</f>
        <v>74.77</v>
      </c>
      <c r="C793" s="1">
        <f ca="1">IFERROR(__xludf.DUMMYFUNCTION("""COMPUTED_VALUE"""),75)</f>
        <v>75</v>
      </c>
      <c r="D793" s="1">
        <f ca="1">IFERROR(__xludf.DUMMYFUNCTION("""COMPUTED_VALUE"""),74.33)</f>
        <v>74.33</v>
      </c>
      <c r="E793" s="1">
        <f ca="1">IFERROR(__xludf.DUMMYFUNCTION("""COMPUTED_VALUE"""),75)</f>
        <v>75</v>
      </c>
      <c r="F793" s="1">
        <f ca="1">IFERROR(__xludf.DUMMYFUNCTION("""COMPUTED_VALUE"""),4418103)</f>
        <v>4418103</v>
      </c>
    </row>
    <row r="794" spans="1:6" x14ac:dyDescent="0.35">
      <c r="A794" s="2">
        <f ca="1">IFERROR(__xludf.DUMMYFUNCTION("""COMPUTED_VALUE"""),43157.6666666666)</f>
        <v>43157.666666666599</v>
      </c>
      <c r="B794" s="1">
        <f ca="1">IFERROR(__xludf.DUMMYFUNCTION("""COMPUTED_VALUE"""),75.46)</f>
        <v>75.459999999999994</v>
      </c>
      <c r="C794" s="1">
        <f ca="1">IFERROR(__xludf.DUMMYFUNCTION("""COMPUTED_VALUE"""),76.14)</f>
        <v>76.14</v>
      </c>
      <c r="D794" s="1">
        <f ca="1">IFERROR(__xludf.DUMMYFUNCTION("""COMPUTED_VALUE"""),75.35)</f>
        <v>75.349999999999994</v>
      </c>
      <c r="E794" s="1">
        <f ca="1">IFERROR(__xludf.DUMMYFUNCTION("""COMPUTED_VALUE"""),76.1)</f>
        <v>76.099999999999994</v>
      </c>
      <c r="F794" s="1">
        <f ca="1">IFERROR(__xludf.DUMMYFUNCTION("""COMPUTED_VALUE"""),4954988)</f>
        <v>4954988</v>
      </c>
    </row>
    <row r="795" spans="1:6" x14ac:dyDescent="0.35">
      <c r="A795" s="2">
        <f ca="1">IFERROR(__xludf.DUMMYFUNCTION("""COMPUTED_VALUE"""),43158.6666666666)</f>
        <v>43158.666666666599</v>
      </c>
      <c r="B795" s="1">
        <f ca="1">IFERROR(__xludf.DUMMYFUNCTION("""COMPUTED_VALUE"""),76.22)</f>
        <v>76.22</v>
      </c>
      <c r="C795" s="1">
        <f ca="1">IFERROR(__xludf.DUMMYFUNCTION("""COMPUTED_VALUE"""),76.34)</f>
        <v>76.34</v>
      </c>
      <c r="D795" s="1">
        <f ca="1">IFERROR(__xludf.DUMMYFUNCTION("""COMPUTED_VALUE"""),75.36)</f>
        <v>75.36</v>
      </c>
      <c r="E795" s="1">
        <f ca="1">IFERROR(__xludf.DUMMYFUNCTION("""COMPUTED_VALUE"""),75.6)</f>
        <v>75.599999999999994</v>
      </c>
      <c r="F795" s="1">
        <f ca="1">IFERROR(__xludf.DUMMYFUNCTION("""COMPUTED_VALUE"""),4808776)</f>
        <v>4808776</v>
      </c>
    </row>
    <row r="796" spans="1:6" x14ac:dyDescent="0.35">
      <c r="A796" s="2">
        <f ca="1">IFERROR(__xludf.DUMMYFUNCTION("""COMPUTED_VALUE"""),43159.6666666666)</f>
        <v>43159.666666666599</v>
      </c>
      <c r="B796" s="1">
        <f ca="1">IFERROR(__xludf.DUMMYFUNCTION("""COMPUTED_VALUE"""),75.98)</f>
        <v>75.98</v>
      </c>
      <c r="C796" s="1">
        <f ca="1">IFERROR(__xludf.DUMMYFUNCTION("""COMPUTED_VALUE"""),76.44)</f>
        <v>76.44</v>
      </c>
      <c r="D796" s="1">
        <f ca="1">IFERROR(__xludf.DUMMYFUNCTION("""COMPUTED_VALUE"""),75.6)</f>
        <v>75.599999999999994</v>
      </c>
      <c r="E796" s="1">
        <f ca="1">IFERROR(__xludf.DUMMYFUNCTION("""COMPUTED_VALUE"""),75.62)</f>
        <v>75.62</v>
      </c>
      <c r="F796" s="1">
        <f ca="1">IFERROR(__xludf.DUMMYFUNCTION("""COMPUTED_VALUE"""),4515023)</f>
        <v>4515023</v>
      </c>
    </row>
    <row r="797" spans="1:6" x14ac:dyDescent="0.35">
      <c r="A797" s="2">
        <f ca="1">IFERROR(__xludf.DUMMYFUNCTION("""COMPUTED_VALUE"""),43160.6666666666)</f>
        <v>43160.666666666599</v>
      </c>
      <c r="B797" s="1">
        <f ca="1">IFERROR(__xludf.DUMMYFUNCTION("""COMPUTED_VALUE"""),75.68)</f>
        <v>75.680000000000007</v>
      </c>
      <c r="C797" s="1">
        <f ca="1">IFERROR(__xludf.DUMMYFUNCTION("""COMPUTED_VALUE"""),75.92)</f>
        <v>75.92</v>
      </c>
      <c r="D797" s="1">
        <f ca="1">IFERROR(__xludf.DUMMYFUNCTION("""COMPUTED_VALUE"""),73.25)</f>
        <v>73.25</v>
      </c>
      <c r="E797" s="1">
        <f ca="1">IFERROR(__xludf.DUMMYFUNCTION("""COMPUTED_VALUE"""),74.67)</f>
        <v>74.67</v>
      </c>
      <c r="F797" s="1">
        <f ca="1">IFERROR(__xludf.DUMMYFUNCTION("""COMPUTED_VALUE"""),6835230)</f>
        <v>6835230</v>
      </c>
    </row>
    <row r="798" spans="1:6" x14ac:dyDescent="0.35">
      <c r="A798" s="2">
        <f ca="1">IFERROR(__xludf.DUMMYFUNCTION("""COMPUTED_VALUE"""),43161.6666666666)</f>
        <v>43161.666666666599</v>
      </c>
      <c r="B798" s="1">
        <f ca="1">IFERROR(__xludf.DUMMYFUNCTION("""COMPUTED_VALUE"""),73.46)</f>
        <v>73.459999999999994</v>
      </c>
      <c r="C798" s="1">
        <f ca="1">IFERROR(__xludf.DUMMYFUNCTION("""COMPUTED_VALUE"""),75.05)</f>
        <v>75.05</v>
      </c>
      <c r="D798" s="1">
        <f ca="1">IFERROR(__xludf.DUMMYFUNCTION("""COMPUTED_VALUE"""),72.75)</f>
        <v>72.75</v>
      </c>
      <c r="E798" s="1">
        <f ca="1">IFERROR(__xludf.DUMMYFUNCTION("""COMPUTED_VALUE"""),75.01)</f>
        <v>75.010000000000005</v>
      </c>
      <c r="F798" s="1">
        <f ca="1">IFERROR(__xludf.DUMMYFUNCTION("""COMPUTED_VALUE"""),6587564)</f>
        <v>6587564</v>
      </c>
    </row>
    <row r="799" spans="1:6" x14ac:dyDescent="0.35">
      <c r="A799" s="2">
        <f ca="1">IFERROR(__xludf.DUMMYFUNCTION("""COMPUTED_VALUE"""),43164.6666666666)</f>
        <v>43164.666666666599</v>
      </c>
      <c r="B799" s="1">
        <f ca="1">IFERROR(__xludf.DUMMYFUNCTION("""COMPUTED_VALUE"""),74.71)</f>
        <v>74.709999999999994</v>
      </c>
      <c r="C799" s="1">
        <f ca="1">IFERROR(__xludf.DUMMYFUNCTION("""COMPUTED_VALUE"""),76.27)</f>
        <v>76.27</v>
      </c>
      <c r="D799" s="1">
        <f ca="1">IFERROR(__xludf.DUMMYFUNCTION("""COMPUTED_VALUE"""),74.05)</f>
        <v>74.05</v>
      </c>
      <c r="E799" s="1">
        <f ca="1">IFERROR(__xludf.DUMMYFUNCTION("""COMPUTED_VALUE"""),76.18)</f>
        <v>76.180000000000007</v>
      </c>
      <c r="F799" s="1">
        <f ca="1">IFERROR(__xludf.DUMMYFUNCTION("""COMPUTED_VALUE"""),5233934)</f>
        <v>5233934</v>
      </c>
    </row>
    <row r="800" spans="1:6" x14ac:dyDescent="0.35">
      <c r="A800" s="2">
        <f ca="1">IFERROR(__xludf.DUMMYFUNCTION("""COMPUTED_VALUE"""),43165.6666666666)</f>
        <v>43165.666666666599</v>
      </c>
      <c r="B800" s="1">
        <f ca="1">IFERROR(__xludf.DUMMYFUNCTION("""COMPUTED_VALUE"""),76.66)</f>
        <v>76.66</v>
      </c>
      <c r="C800" s="1">
        <f ca="1">IFERROR(__xludf.DUMMYFUNCTION("""COMPUTED_VALUE"""),77.11)</f>
        <v>77.11</v>
      </c>
      <c r="D800" s="1">
        <f ca="1">IFERROR(__xludf.DUMMYFUNCTION("""COMPUTED_VALUE"""),76.4)</f>
        <v>76.400000000000006</v>
      </c>
      <c r="E800" s="1">
        <f ca="1">IFERROR(__xludf.DUMMYFUNCTION("""COMPUTED_VALUE"""),76.88)</f>
        <v>76.88</v>
      </c>
      <c r="F800" s="1">
        <f ca="1">IFERROR(__xludf.DUMMYFUNCTION("""COMPUTED_VALUE"""),4561718)</f>
        <v>4561718</v>
      </c>
    </row>
    <row r="801" spans="1:6" x14ac:dyDescent="0.35">
      <c r="A801" s="2">
        <f ca="1">IFERROR(__xludf.DUMMYFUNCTION("""COMPUTED_VALUE"""),43166.6666666666)</f>
        <v>43166.666666666599</v>
      </c>
      <c r="B801" s="1">
        <f ca="1">IFERROR(__xludf.DUMMYFUNCTION("""COMPUTED_VALUE"""),76.33)</f>
        <v>76.33</v>
      </c>
      <c r="C801" s="1">
        <f ca="1">IFERROR(__xludf.DUMMYFUNCTION("""COMPUTED_VALUE"""),77.3)</f>
        <v>77.3</v>
      </c>
      <c r="D801" s="1">
        <f ca="1">IFERROR(__xludf.DUMMYFUNCTION("""COMPUTED_VALUE"""),76.13)</f>
        <v>76.13</v>
      </c>
      <c r="E801" s="1">
        <f ca="1">IFERROR(__xludf.DUMMYFUNCTION("""COMPUTED_VALUE"""),77.25)</f>
        <v>77.25</v>
      </c>
      <c r="F801" s="1">
        <f ca="1">IFERROR(__xludf.DUMMYFUNCTION("""COMPUTED_VALUE"""),4174123)</f>
        <v>4174123</v>
      </c>
    </row>
    <row r="802" spans="1:6" x14ac:dyDescent="0.35">
      <c r="A802" s="2">
        <f ca="1">IFERROR(__xludf.DUMMYFUNCTION("""COMPUTED_VALUE"""),43167.6666666666)</f>
        <v>43167.666666666599</v>
      </c>
      <c r="B802" s="1">
        <f ca="1">IFERROR(__xludf.DUMMYFUNCTION("""COMPUTED_VALUE"""),77.5)</f>
        <v>77.5</v>
      </c>
      <c r="C802" s="1">
        <f ca="1">IFERROR(__xludf.DUMMYFUNCTION("""COMPUTED_VALUE"""),77.74)</f>
        <v>77.739999999999995</v>
      </c>
      <c r="D802" s="1">
        <f ca="1">IFERROR(__xludf.DUMMYFUNCTION("""COMPUTED_VALUE"""),77.26)</f>
        <v>77.260000000000005</v>
      </c>
      <c r="E802" s="1">
        <f ca="1">IFERROR(__xludf.DUMMYFUNCTION("""COMPUTED_VALUE"""),77.59)</f>
        <v>77.59</v>
      </c>
      <c r="F802" s="1">
        <f ca="1">IFERROR(__xludf.DUMMYFUNCTION("""COMPUTED_VALUE"""),3862615)</f>
        <v>3862615</v>
      </c>
    </row>
    <row r="803" spans="1:6" x14ac:dyDescent="0.35">
      <c r="A803" s="2">
        <f ca="1">IFERROR(__xludf.DUMMYFUNCTION("""COMPUTED_VALUE"""),43168.6666666666)</f>
        <v>43168.666666666599</v>
      </c>
      <c r="B803" s="1">
        <f ca="1">IFERROR(__xludf.DUMMYFUNCTION("""COMPUTED_VALUE"""),78.18)</f>
        <v>78.180000000000007</v>
      </c>
      <c r="C803" s="1">
        <f ca="1">IFERROR(__xludf.DUMMYFUNCTION("""COMPUTED_VALUE"""),78.95)</f>
        <v>78.95</v>
      </c>
      <c r="D803" s="1">
        <f ca="1">IFERROR(__xludf.DUMMYFUNCTION("""COMPUTED_VALUE"""),77.95)</f>
        <v>77.95</v>
      </c>
      <c r="E803" s="1">
        <f ca="1">IFERROR(__xludf.DUMMYFUNCTION("""COMPUTED_VALUE"""),78.94)</f>
        <v>78.94</v>
      </c>
      <c r="F803" s="1">
        <f ca="1">IFERROR(__xludf.DUMMYFUNCTION("""COMPUTED_VALUE"""),4534250)</f>
        <v>4534250</v>
      </c>
    </row>
    <row r="804" spans="1:6" x14ac:dyDescent="0.35">
      <c r="A804" s="2">
        <f ca="1">IFERROR(__xludf.DUMMYFUNCTION("""COMPUTED_VALUE"""),43171.6666666666)</f>
        <v>43171.666666666599</v>
      </c>
      <c r="B804" s="1">
        <f ca="1">IFERROR(__xludf.DUMMYFUNCTION("""COMPUTED_VALUE"""),79.63)</f>
        <v>79.63</v>
      </c>
      <c r="C804" s="1">
        <f ca="1">IFERROR(__xludf.DUMMYFUNCTION("""COMPUTED_VALUE"""),80.27)</f>
        <v>80.27</v>
      </c>
      <c r="D804" s="1">
        <f ca="1">IFERROR(__xludf.DUMMYFUNCTION("""COMPUTED_VALUE"""),79.33)</f>
        <v>79.33</v>
      </c>
      <c r="E804" s="1">
        <f ca="1">IFERROR(__xludf.DUMMYFUNCTION("""COMPUTED_VALUE"""),79.92)</f>
        <v>79.92</v>
      </c>
      <c r="F804" s="1">
        <f ca="1">IFERROR(__xludf.DUMMYFUNCTION("""COMPUTED_VALUE"""),5174211)</f>
        <v>5174211</v>
      </c>
    </row>
    <row r="805" spans="1:6" x14ac:dyDescent="0.35">
      <c r="A805" s="2">
        <f ca="1">IFERROR(__xludf.DUMMYFUNCTION("""COMPUTED_VALUE"""),43172.6666666666)</f>
        <v>43172.666666666599</v>
      </c>
      <c r="B805" s="1">
        <f ca="1">IFERROR(__xludf.DUMMYFUNCTION("""COMPUTED_VALUE"""),80.8)</f>
        <v>80.8</v>
      </c>
      <c r="C805" s="1">
        <f ca="1">IFERROR(__xludf.DUMMYFUNCTION("""COMPUTED_VALUE"""),80.88)</f>
        <v>80.88</v>
      </c>
      <c r="D805" s="1">
        <f ca="1">IFERROR(__xludf.DUMMYFUNCTION("""COMPUTED_VALUE"""),78.9)</f>
        <v>78.900000000000006</v>
      </c>
      <c r="E805" s="1">
        <f ca="1">IFERROR(__xludf.DUMMYFUNCTION("""COMPUTED_VALUE"""),79.41)</f>
        <v>79.41</v>
      </c>
      <c r="F805" s="1">
        <f ca="1">IFERROR(__xludf.DUMMYFUNCTION("""COMPUTED_VALUE"""),6531892)</f>
        <v>6531892</v>
      </c>
    </row>
    <row r="806" spans="1:6" x14ac:dyDescent="0.35">
      <c r="A806" s="2">
        <f ca="1">IFERROR(__xludf.DUMMYFUNCTION("""COMPUTED_VALUE"""),43173.6666666666)</f>
        <v>43173.666666666599</v>
      </c>
      <c r="B806" s="1">
        <f ca="1">IFERROR(__xludf.DUMMYFUNCTION("""COMPUTED_VALUE"""),79.85)</f>
        <v>79.849999999999994</v>
      </c>
      <c r="C806" s="1">
        <f ca="1">IFERROR(__xludf.DUMMYFUNCTION("""COMPUTED_VALUE"""),80.32)</f>
        <v>80.319999999999993</v>
      </c>
      <c r="D806" s="1">
        <f ca="1">IFERROR(__xludf.DUMMYFUNCTION("""COMPUTED_VALUE"""),79.54)</f>
        <v>79.540000000000006</v>
      </c>
      <c r="E806" s="1">
        <f ca="1">IFERROR(__xludf.DUMMYFUNCTION("""COMPUTED_VALUE"""),79.55)</f>
        <v>79.55</v>
      </c>
      <c r="F806" s="1">
        <f ca="1">IFERROR(__xludf.DUMMYFUNCTION("""COMPUTED_VALUE"""),4259443)</f>
        <v>4259443</v>
      </c>
    </row>
    <row r="807" spans="1:6" x14ac:dyDescent="0.35">
      <c r="A807" s="2">
        <f ca="1">IFERROR(__xludf.DUMMYFUNCTION("""COMPUTED_VALUE"""),43174.6666666666)</f>
        <v>43174.666666666599</v>
      </c>
      <c r="B807" s="1">
        <f ca="1">IFERROR(__xludf.DUMMYFUNCTION("""COMPUTED_VALUE"""),79.75)</f>
        <v>79.75</v>
      </c>
      <c r="C807" s="1">
        <f ca="1">IFERROR(__xludf.DUMMYFUNCTION("""COMPUTED_VALUE"""),79.85)</f>
        <v>79.849999999999994</v>
      </c>
      <c r="D807" s="1">
        <f ca="1">IFERROR(__xludf.DUMMYFUNCTION("""COMPUTED_VALUE"""),78.91)</f>
        <v>78.91</v>
      </c>
      <c r="E807" s="1">
        <f ca="1">IFERROR(__xludf.DUMMYFUNCTION("""COMPUTED_VALUE"""),79.12)</f>
        <v>79.12</v>
      </c>
      <c r="F807" s="1">
        <f ca="1">IFERROR(__xludf.DUMMYFUNCTION("""COMPUTED_VALUE"""),4069701)</f>
        <v>4069701</v>
      </c>
    </row>
    <row r="808" spans="1:6" x14ac:dyDescent="0.35">
      <c r="A808" s="2">
        <f ca="1">IFERROR(__xludf.DUMMYFUNCTION("""COMPUTED_VALUE"""),43175.6666666666)</f>
        <v>43175.666666666599</v>
      </c>
      <c r="B808" s="1">
        <f ca="1">IFERROR(__xludf.DUMMYFUNCTION("""COMPUTED_VALUE"""),79.17)</f>
        <v>79.17</v>
      </c>
      <c r="C808" s="1">
        <f ca="1">IFERROR(__xludf.DUMMYFUNCTION("""COMPUTED_VALUE"""),79.47)</f>
        <v>79.47</v>
      </c>
      <c r="D808" s="1">
        <f ca="1">IFERROR(__xludf.DUMMYFUNCTION("""COMPUTED_VALUE"""),78.38)</f>
        <v>78.38</v>
      </c>
      <c r="E808" s="1">
        <f ca="1">IFERROR(__xludf.DUMMYFUNCTION("""COMPUTED_VALUE"""),78.58)</f>
        <v>78.58</v>
      </c>
      <c r="F808" s="1">
        <f ca="1">IFERROR(__xludf.DUMMYFUNCTION("""COMPUTED_VALUE"""),5425012)</f>
        <v>5425012</v>
      </c>
    </row>
    <row r="809" spans="1:6" x14ac:dyDescent="0.35">
      <c r="A809" s="2">
        <f ca="1">IFERROR(__xludf.DUMMYFUNCTION("""COMPUTED_VALUE"""),43178.6666666666)</f>
        <v>43178.666666666599</v>
      </c>
      <c r="B809" s="1">
        <f ca="1">IFERROR(__xludf.DUMMYFUNCTION("""COMPUTED_VALUE"""),77.73)</f>
        <v>77.73</v>
      </c>
      <c r="C809" s="1">
        <f ca="1">IFERROR(__xludf.DUMMYFUNCTION("""COMPUTED_VALUE"""),78.08)</f>
        <v>78.08</v>
      </c>
      <c r="D809" s="1">
        <f ca="1">IFERROR(__xludf.DUMMYFUNCTION("""COMPUTED_VALUE"""),76.27)</f>
        <v>76.27</v>
      </c>
      <c r="E809" s="1">
        <f ca="1">IFERROR(__xludf.DUMMYFUNCTION("""COMPUTED_VALUE"""),77.25)</f>
        <v>77.25</v>
      </c>
      <c r="F809" s="1">
        <f ca="1">IFERROR(__xludf.DUMMYFUNCTION("""COMPUTED_VALUE"""),6580766)</f>
        <v>6580766</v>
      </c>
    </row>
    <row r="810" spans="1:6" x14ac:dyDescent="0.35">
      <c r="A810" s="2">
        <f ca="1">IFERROR(__xludf.DUMMYFUNCTION("""COMPUTED_VALUE"""),43179.6666666666)</f>
        <v>43179.666666666599</v>
      </c>
      <c r="B810" s="1">
        <f ca="1">IFERROR(__xludf.DUMMYFUNCTION("""COMPUTED_VALUE"""),77.52)</f>
        <v>77.52</v>
      </c>
      <c r="C810" s="1">
        <f ca="1">IFERROR(__xludf.DUMMYFUNCTION("""COMPUTED_VALUE"""),79.35)</f>
        <v>79.349999999999994</v>
      </c>
      <c r="D810" s="1">
        <f ca="1">IFERROR(__xludf.DUMMYFUNCTION("""COMPUTED_VALUE"""),77.27)</f>
        <v>77.27</v>
      </c>
      <c r="E810" s="1">
        <f ca="1">IFERROR(__xludf.DUMMYFUNCTION("""COMPUTED_VALUE"""),79.33)</f>
        <v>79.33</v>
      </c>
      <c r="F810" s="1">
        <f ca="1">IFERROR(__xludf.DUMMYFUNCTION("""COMPUTED_VALUE"""),4581568)</f>
        <v>4581568</v>
      </c>
    </row>
    <row r="811" spans="1:6" x14ac:dyDescent="0.35">
      <c r="A811" s="2">
        <f ca="1">IFERROR(__xludf.DUMMYFUNCTION("""COMPUTED_VALUE"""),43180.6666666666)</f>
        <v>43180.666666666599</v>
      </c>
      <c r="B811" s="1">
        <f ca="1">IFERROR(__xludf.DUMMYFUNCTION("""COMPUTED_VALUE"""),79.32)</f>
        <v>79.319999999999993</v>
      </c>
      <c r="C811" s="1">
        <f ca="1">IFERROR(__xludf.DUMMYFUNCTION("""COMPUTED_VALUE"""),79.5)</f>
        <v>79.5</v>
      </c>
      <c r="D811" s="1">
        <f ca="1">IFERROR(__xludf.DUMMYFUNCTION("""COMPUTED_VALUE"""),78.16)</f>
        <v>78.16</v>
      </c>
      <c r="E811" s="1">
        <f ca="1">IFERROR(__xludf.DUMMYFUNCTION("""COMPUTED_VALUE"""),79.09)</f>
        <v>79.09</v>
      </c>
      <c r="F811" s="1">
        <f ca="1">IFERROR(__xludf.DUMMYFUNCTION("""COMPUTED_VALUE"""),4750771)</f>
        <v>4750771</v>
      </c>
    </row>
    <row r="812" spans="1:6" x14ac:dyDescent="0.35">
      <c r="A812" s="2">
        <f ca="1">IFERROR(__xludf.DUMMYFUNCTION("""COMPUTED_VALUE"""),43181.6666666666)</f>
        <v>43181.666666666599</v>
      </c>
      <c r="B812" s="1">
        <f ca="1">IFERROR(__xludf.DUMMYFUNCTION("""COMPUTED_VALUE"""),78.27)</f>
        <v>78.27</v>
      </c>
      <c r="C812" s="1">
        <f ca="1">IFERROR(__xludf.DUMMYFUNCTION("""COMPUTED_VALUE"""),78.69)</f>
        <v>78.69</v>
      </c>
      <c r="D812" s="1">
        <f ca="1">IFERROR(__xludf.DUMMYFUNCTION("""COMPUTED_VALUE"""),77.12)</f>
        <v>77.12</v>
      </c>
      <c r="E812" s="1">
        <f ca="1">IFERROR(__xludf.DUMMYFUNCTION("""COMPUTED_VALUE"""),77.25)</f>
        <v>77.25</v>
      </c>
      <c r="F812" s="1">
        <f ca="1">IFERROR(__xludf.DUMMYFUNCTION("""COMPUTED_VALUE"""),6320551)</f>
        <v>6320551</v>
      </c>
    </row>
    <row r="813" spans="1:6" x14ac:dyDescent="0.35">
      <c r="A813" s="2">
        <f ca="1">IFERROR(__xludf.DUMMYFUNCTION("""COMPUTED_VALUE"""),43182.6666666666)</f>
        <v>43182.666666666599</v>
      </c>
      <c r="B813" s="1">
        <f ca="1">IFERROR(__xludf.DUMMYFUNCTION("""COMPUTED_VALUE"""),76.95)</f>
        <v>76.95</v>
      </c>
      <c r="C813" s="1">
        <f ca="1">IFERROR(__xludf.DUMMYFUNCTION("""COMPUTED_VALUE"""),77.45)</f>
        <v>77.45</v>
      </c>
      <c r="D813" s="1">
        <f ca="1">IFERROR(__xludf.DUMMYFUNCTION("""COMPUTED_VALUE"""),74.77)</f>
        <v>74.77</v>
      </c>
      <c r="E813" s="1">
        <f ca="1">IFERROR(__xludf.DUMMYFUNCTION("""COMPUTED_VALUE"""),74.78)</f>
        <v>74.78</v>
      </c>
      <c r="F813" s="1">
        <f ca="1">IFERROR(__xludf.DUMMYFUNCTION("""COMPUTED_VALUE"""),8006033)</f>
        <v>8006033</v>
      </c>
    </row>
    <row r="814" spans="1:6" x14ac:dyDescent="0.35">
      <c r="A814" s="2">
        <f ca="1">IFERROR(__xludf.DUMMYFUNCTION("""COMPUTED_VALUE"""),43185.6666666666)</f>
        <v>43185.666666666599</v>
      </c>
      <c r="B814" s="1">
        <f ca="1">IFERROR(__xludf.DUMMYFUNCTION("""COMPUTED_VALUE"""),76.5)</f>
        <v>76.5</v>
      </c>
      <c r="C814" s="1">
        <f ca="1">IFERROR(__xludf.DUMMYFUNCTION("""COMPUTED_VALUE"""),77.85)</f>
        <v>77.849999999999994</v>
      </c>
      <c r="D814" s="1">
        <f ca="1">IFERROR(__xludf.DUMMYFUNCTION("""COMPUTED_VALUE"""),74.96)</f>
        <v>74.959999999999994</v>
      </c>
      <c r="E814" s="1">
        <f ca="1">IFERROR(__xludf.DUMMYFUNCTION("""COMPUTED_VALUE"""),77.79)</f>
        <v>77.790000000000006</v>
      </c>
      <c r="F814" s="1">
        <f ca="1">IFERROR(__xludf.DUMMYFUNCTION("""COMPUTED_VALUE"""),5624700)</f>
        <v>5624700</v>
      </c>
    </row>
    <row r="815" spans="1:6" x14ac:dyDescent="0.35">
      <c r="A815" s="2">
        <f ca="1">IFERROR(__xludf.DUMMYFUNCTION("""COMPUTED_VALUE"""),43186.6666666666)</f>
        <v>43186.666666666599</v>
      </c>
      <c r="B815" s="1">
        <f ca="1">IFERROR(__xludf.DUMMYFUNCTION("""COMPUTED_VALUE"""),78.62)</f>
        <v>78.62</v>
      </c>
      <c r="C815" s="1">
        <f ca="1">IFERROR(__xludf.DUMMYFUNCTION("""COMPUTED_VALUE"""),78.8)</f>
        <v>78.8</v>
      </c>
      <c r="D815" s="1">
        <f ca="1">IFERROR(__xludf.DUMMYFUNCTION("""COMPUTED_VALUE"""),74.12)</f>
        <v>74.12</v>
      </c>
      <c r="E815" s="1">
        <f ca="1">IFERROR(__xludf.DUMMYFUNCTION("""COMPUTED_VALUE"""),74.85)</f>
        <v>74.849999999999994</v>
      </c>
      <c r="F815" s="1">
        <f ca="1">IFERROR(__xludf.DUMMYFUNCTION("""COMPUTED_VALUE"""),6999631)</f>
        <v>6999631</v>
      </c>
    </row>
    <row r="816" spans="1:6" x14ac:dyDescent="0.35">
      <c r="A816" s="2">
        <f ca="1">IFERROR(__xludf.DUMMYFUNCTION("""COMPUTED_VALUE"""),43187.6666666666)</f>
        <v>43187.666666666599</v>
      </c>
      <c r="B816" s="1">
        <f ca="1">IFERROR(__xludf.DUMMYFUNCTION("""COMPUTED_VALUE"""),72.35)</f>
        <v>72.349999999999994</v>
      </c>
      <c r="C816" s="1">
        <f ca="1">IFERROR(__xludf.DUMMYFUNCTION("""COMPUTED_VALUE"""),72.8)</f>
        <v>72.8</v>
      </c>
      <c r="D816" s="1">
        <f ca="1">IFERROR(__xludf.DUMMYFUNCTION("""COMPUTED_VALUE"""),69.31)</f>
        <v>69.31</v>
      </c>
      <c r="E816" s="1">
        <f ca="1">IFERROR(__xludf.DUMMYFUNCTION("""COMPUTED_VALUE"""),71.57)</f>
        <v>71.569999999999993</v>
      </c>
      <c r="F816" s="1">
        <f ca="1">IFERROR(__xludf.DUMMYFUNCTION("""COMPUTED_VALUE"""),13705317)</f>
        <v>13705317</v>
      </c>
    </row>
    <row r="817" spans="1:6" x14ac:dyDescent="0.35">
      <c r="A817" s="2">
        <f ca="1">IFERROR(__xludf.DUMMYFUNCTION("""COMPUTED_VALUE"""),43188.6666666666)</f>
        <v>43188.666666666599</v>
      </c>
      <c r="B817" s="1">
        <f ca="1">IFERROR(__xludf.DUMMYFUNCTION("""COMPUTED_VALUE"""),70.3)</f>
        <v>70.3</v>
      </c>
      <c r="C817" s="1">
        <f ca="1">IFERROR(__xludf.DUMMYFUNCTION("""COMPUTED_VALUE"""),72.77)</f>
        <v>72.77</v>
      </c>
      <c r="D817" s="1">
        <f ca="1">IFERROR(__xludf.DUMMYFUNCTION("""COMPUTED_VALUE"""),68.26)</f>
        <v>68.260000000000005</v>
      </c>
      <c r="E817" s="1">
        <f ca="1">IFERROR(__xludf.DUMMYFUNCTION("""COMPUTED_VALUE"""),72.37)</f>
        <v>72.37</v>
      </c>
      <c r="F817" s="1">
        <f ca="1">IFERROR(__xludf.DUMMYFUNCTION("""COMPUTED_VALUE"""),12581121)</f>
        <v>12581121</v>
      </c>
    </row>
    <row r="818" spans="1:6" x14ac:dyDescent="0.35">
      <c r="A818" s="2">
        <f ca="1">IFERROR(__xludf.DUMMYFUNCTION("""COMPUTED_VALUE"""),43192.6666666666)</f>
        <v>43192.666666666599</v>
      </c>
      <c r="B818" s="1">
        <f ca="1">IFERROR(__xludf.DUMMYFUNCTION("""COMPUTED_VALUE"""),70.88)</f>
        <v>70.88</v>
      </c>
      <c r="C818" s="1">
        <f ca="1">IFERROR(__xludf.DUMMYFUNCTION("""COMPUTED_VALUE"""),71.07)</f>
        <v>71.069999999999993</v>
      </c>
      <c r="D818" s="1">
        <f ca="1">IFERROR(__xludf.DUMMYFUNCTION("""COMPUTED_VALUE"""),67.75)</f>
        <v>67.75</v>
      </c>
      <c r="E818" s="1">
        <f ca="1">IFERROR(__xludf.DUMMYFUNCTION("""COMPUTED_VALUE"""),68.6)</f>
        <v>68.599999999999994</v>
      </c>
      <c r="F818" s="1">
        <f ca="1">IFERROR(__xludf.DUMMYFUNCTION("""COMPUTED_VALUE"""),10463607)</f>
        <v>10463607</v>
      </c>
    </row>
    <row r="819" spans="1:6" x14ac:dyDescent="0.35">
      <c r="A819" s="2">
        <f ca="1">IFERROR(__xludf.DUMMYFUNCTION("""COMPUTED_VALUE"""),43193.6666666666)</f>
        <v>43193.666666666599</v>
      </c>
      <c r="B819" s="1">
        <f ca="1">IFERROR(__xludf.DUMMYFUNCTION("""COMPUTED_VALUE"""),69.57)</f>
        <v>69.569999999999993</v>
      </c>
      <c r="C819" s="1">
        <f ca="1">IFERROR(__xludf.DUMMYFUNCTION("""COMPUTED_VALUE"""),70.7)</f>
        <v>70.7</v>
      </c>
      <c r="D819" s="1">
        <f ca="1">IFERROR(__xludf.DUMMYFUNCTION("""COMPUTED_VALUE"""),67.77)</f>
        <v>67.77</v>
      </c>
      <c r="E819" s="1">
        <f ca="1">IFERROR(__xludf.DUMMYFUNCTION("""COMPUTED_VALUE"""),69.6)</f>
        <v>69.599999999999994</v>
      </c>
      <c r="F819" s="1">
        <f ca="1">IFERROR(__xludf.DUMMYFUNCTION("""COMPUTED_VALUE"""),10231212)</f>
        <v>10231212</v>
      </c>
    </row>
    <row r="820" spans="1:6" x14ac:dyDescent="0.35">
      <c r="A820" s="2">
        <f ca="1">IFERROR(__xludf.DUMMYFUNCTION("""COMPUTED_VALUE"""),43194.6666666666)</f>
        <v>43194.666666666599</v>
      </c>
      <c r="B820" s="1">
        <f ca="1">IFERROR(__xludf.DUMMYFUNCTION("""COMPUTED_VALUE"""),67.91)</f>
        <v>67.91</v>
      </c>
      <c r="C820" s="1">
        <f ca="1">IFERROR(__xludf.DUMMYFUNCTION("""COMPUTED_VALUE"""),70.77)</f>
        <v>70.77</v>
      </c>
      <c r="D820" s="1">
        <f ca="1">IFERROR(__xludf.DUMMYFUNCTION("""COMPUTED_VALUE"""),67.64)</f>
        <v>67.64</v>
      </c>
      <c r="E820" s="1">
        <f ca="1">IFERROR(__xludf.DUMMYFUNCTION("""COMPUTED_VALUE"""),70.53)</f>
        <v>70.53</v>
      </c>
      <c r="F820" s="1">
        <f ca="1">IFERROR(__xludf.DUMMYFUNCTION("""COMPUTED_VALUE"""),6982305)</f>
        <v>6982305</v>
      </c>
    </row>
    <row r="821" spans="1:6" x14ac:dyDescent="0.35">
      <c r="A821" s="2">
        <f ca="1">IFERROR(__xludf.DUMMYFUNCTION("""COMPUTED_VALUE"""),43195.6666666666)</f>
        <v>43195.666666666599</v>
      </c>
      <c r="B821" s="1">
        <f ca="1">IFERROR(__xludf.DUMMYFUNCTION("""COMPUTED_VALUE"""),72.1)</f>
        <v>72.099999999999994</v>
      </c>
      <c r="C821" s="1">
        <f ca="1">IFERROR(__xludf.DUMMYFUNCTION("""COMPUTED_VALUE"""),72.98)</f>
        <v>72.98</v>
      </c>
      <c r="D821" s="1">
        <f ca="1">IFERROR(__xludf.DUMMYFUNCTION("""COMPUTED_VALUE"""),71.35)</f>
        <v>71.349999999999994</v>
      </c>
      <c r="E821" s="1">
        <f ca="1">IFERROR(__xludf.DUMMYFUNCTION("""COMPUTED_VALUE"""),72.59)</f>
        <v>72.59</v>
      </c>
      <c r="F821" s="1">
        <f ca="1">IFERROR(__xludf.DUMMYFUNCTION("""COMPUTED_VALUE"""),6413459)</f>
        <v>6413459</v>
      </c>
    </row>
    <row r="822" spans="1:6" x14ac:dyDescent="0.35">
      <c r="A822" s="2">
        <f ca="1">IFERROR(__xludf.DUMMYFUNCTION("""COMPUTED_VALUE"""),43196.6666666666)</f>
        <v>43196.666666666599</v>
      </c>
      <c r="B822" s="1">
        <f ca="1">IFERROR(__xludf.DUMMYFUNCTION("""COMPUTED_VALUE"""),71.5)</f>
        <v>71.5</v>
      </c>
      <c r="C822" s="1">
        <f ca="1">IFERROR(__xludf.DUMMYFUNCTION("""COMPUTED_VALUE"""),72.63)</f>
        <v>72.63</v>
      </c>
      <c r="D822" s="1">
        <f ca="1">IFERROR(__xludf.DUMMYFUNCTION("""COMPUTED_VALUE"""),70.01)</f>
        <v>70.010000000000005</v>
      </c>
      <c r="E822" s="1">
        <f ca="1">IFERROR(__xludf.DUMMYFUNCTION("""COMPUTED_VALUE"""),70.26)</f>
        <v>70.260000000000005</v>
      </c>
      <c r="F822" s="1">
        <f ca="1">IFERROR(__xludf.DUMMYFUNCTION("""COMPUTED_VALUE"""),5882257)</f>
        <v>5882257</v>
      </c>
    </row>
    <row r="823" spans="1:6" x14ac:dyDescent="0.35">
      <c r="A823" s="2">
        <f ca="1">IFERROR(__xludf.DUMMYFUNCTION("""COMPUTED_VALUE"""),43199.6666666666)</f>
        <v>43199.666666666599</v>
      </c>
      <c r="B823" s="1">
        <f ca="1">IFERROR(__xludf.DUMMYFUNCTION("""COMPUTED_VALUE"""),71.25)</f>
        <v>71.25</v>
      </c>
      <c r="C823" s="1">
        <f ca="1">IFERROR(__xludf.DUMMYFUNCTION("""COMPUTED_VALUE"""),71.92)</f>
        <v>71.92</v>
      </c>
      <c r="D823" s="1">
        <f ca="1">IFERROR(__xludf.DUMMYFUNCTION("""COMPUTED_VALUE"""),70.13)</f>
        <v>70.13</v>
      </c>
      <c r="E823" s="1">
        <f ca="1">IFERROR(__xludf.DUMMYFUNCTION("""COMPUTED_VALUE"""),70.3)</f>
        <v>70.3</v>
      </c>
      <c r="F823" s="1">
        <f ca="1">IFERROR(__xludf.DUMMYFUNCTION("""COMPUTED_VALUE"""),4208206)</f>
        <v>4208206</v>
      </c>
    </row>
    <row r="824" spans="1:6" x14ac:dyDescent="0.35">
      <c r="A824" s="2">
        <f ca="1">IFERROR(__xludf.DUMMYFUNCTION("""COMPUTED_VALUE"""),43200.6666666666)</f>
        <v>43200.666666666599</v>
      </c>
      <c r="B824" s="1">
        <f ca="1">IFERROR(__xludf.DUMMYFUNCTION("""COMPUTED_VALUE"""),71.6)</f>
        <v>71.599999999999994</v>
      </c>
      <c r="C824" s="1">
        <f ca="1">IFERROR(__xludf.DUMMYFUNCTION("""COMPUTED_VALUE"""),71.92)</f>
        <v>71.92</v>
      </c>
      <c r="D824" s="1">
        <f ca="1">IFERROR(__xludf.DUMMYFUNCTION("""COMPUTED_VALUE"""),70.79)</f>
        <v>70.790000000000006</v>
      </c>
      <c r="E824" s="1">
        <f ca="1">IFERROR(__xludf.DUMMYFUNCTION("""COMPUTED_VALUE"""),71.81)</f>
        <v>71.81</v>
      </c>
      <c r="F824" s="1">
        <f ca="1">IFERROR(__xludf.DUMMYFUNCTION("""COMPUTED_VALUE"""),4280144)</f>
        <v>4280144</v>
      </c>
    </row>
    <row r="825" spans="1:6" x14ac:dyDescent="0.35">
      <c r="A825" s="2">
        <f ca="1">IFERROR(__xludf.DUMMYFUNCTION("""COMPUTED_VALUE"""),43201.6666666666)</f>
        <v>43201.666666666599</v>
      </c>
      <c r="B825" s="1">
        <f ca="1">IFERROR(__xludf.DUMMYFUNCTION("""COMPUTED_VALUE"""),71.97)</f>
        <v>71.97</v>
      </c>
      <c r="C825" s="1">
        <f ca="1">IFERROR(__xludf.DUMMYFUNCTION("""COMPUTED_VALUE"""),72.44)</f>
        <v>72.44</v>
      </c>
      <c r="D825" s="1">
        <f ca="1">IFERROR(__xludf.DUMMYFUNCTION("""COMPUTED_VALUE"""),71.24)</f>
        <v>71.239999999999995</v>
      </c>
      <c r="E825" s="1">
        <f ca="1">IFERROR(__xludf.DUMMYFUNCTION("""COMPUTED_VALUE"""),71.35)</f>
        <v>71.349999999999994</v>
      </c>
      <c r="F825" s="1">
        <f ca="1">IFERROR(__xludf.DUMMYFUNCTION("""COMPUTED_VALUE"""),3582533)</f>
        <v>3582533</v>
      </c>
    </row>
    <row r="826" spans="1:6" x14ac:dyDescent="0.35">
      <c r="A826" s="2">
        <f ca="1">IFERROR(__xludf.DUMMYFUNCTION("""COMPUTED_VALUE"""),43202.6666666666)</f>
        <v>43202.666666666599</v>
      </c>
      <c r="B826" s="1">
        <f ca="1">IFERROR(__xludf.DUMMYFUNCTION("""COMPUTED_VALUE"""),71.97)</f>
        <v>71.97</v>
      </c>
      <c r="C826" s="1">
        <f ca="1">IFERROR(__xludf.DUMMYFUNCTION("""COMPUTED_VALUE"""),72.61)</f>
        <v>72.61</v>
      </c>
      <c r="D826" s="1">
        <f ca="1">IFERROR(__xludf.DUMMYFUNCTION("""COMPUTED_VALUE"""),71.75)</f>
        <v>71.75</v>
      </c>
      <c r="E826" s="1">
        <f ca="1">IFERROR(__xludf.DUMMYFUNCTION("""COMPUTED_VALUE"""),72.43)</f>
        <v>72.430000000000007</v>
      </c>
      <c r="F826" s="1">
        <f ca="1">IFERROR(__xludf.DUMMYFUNCTION("""COMPUTED_VALUE"""),3135027)</f>
        <v>3135027</v>
      </c>
    </row>
    <row r="827" spans="1:6" x14ac:dyDescent="0.35">
      <c r="A827" s="2">
        <f ca="1">IFERROR(__xludf.DUMMYFUNCTION("""COMPUTED_VALUE"""),43203.6666666666)</f>
        <v>43203.666666666599</v>
      </c>
      <c r="B827" s="1">
        <f ca="1">IFERROR(__xludf.DUMMYFUNCTION("""COMPUTED_VALUE"""),72.46)</f>
        <v>72.459999999999994</v>
      </c>
      <c r="C827" s="1">
        <f ca="1">IFERROR(__xludf.DUMMYFUNCTION("""COMPUTED_VALUE"""),72.99)</f>
        <v>72.989999999999995</v>
      </c>
      <c r="D827" s="1">
        <f ca="1">IFERROR(__xludf.DUMMYFUNCTION("""COMPUTED_VALUE"""),71.23)</f>
        <v>71.23</v>
      </c>
      <c r="E827" s="1">
        <f ca="1">IFERROR(__xludf.DUMMYFUNCTION("""COMPUTED_VALUE"""),71.54)</f>
        <v>71.540000000000006</v>
      </c>
      <c r="F827" s="1">
        <f ca="1">IFERROR(__xludf.DUMMYFUNCTION("""COMPUTED_VALUE"""),3685267)</f>
        <v>3685267</v>
      </c>
    </row>
    <row r="828" spans="1:6" x14ac:dyDescent="0.35">
      <c r="A828" s="2">
        <f ca="1">IFERROR(__xludf.DUMMYFUNCTION("""COMPUTED_VALUE"""),43206.6666666666)</f>
        <v>43206.666666666599</v>
      </c>
      <c r="B828" s="1">
        <f ca="1">IFERROR(__xludf.DUMMYFUNCTION("""COMPUTED_VALUE"""),72.25)</f>
        <v>72.25</v>
      </c>
      <c r="C828" s="1">
        <f ca="1">IFERROR(__xludf.DUMMYFUNCTION("""COMPUTED_VALUE"""),72.35)</f>
        <v>72.349999999999994</v>
      </c>
      <c r="D828" s="1">
        <f ca="1">IFERROR(__xludf.DUMMYFUNCTION("""COMPUTED_VALUE"""),71.37)</f>
        <v>71.37</v>
      </c>
      <c r="E828" s="1">
        <f ca="1">IFERROR(__xludf.DUMMYFUNCTION("""COMPUTED_VALUE"""),72.08)</f>
        <v>72.08</v>
      </c>
      <c r="F828" s="1">
        <f ca="1">IFERROR(__xludf.DUMMYFUNCTION("""COMPUTED_VALUE"""),2808624)</f>
        <v>2808624</v>
      </c>
    </row>
    <row r="829" spans="1:6" x14ac:dyDescent="0.35">
      <c r="A829" s="2">
        <f ca="1">IFERROR(__xludf.DUMMYFUNCTION("""COMPUTED_VALUE"""),43207.6666666666)</f>
        <v>43207.666666666599</v>
      </c>
      <c r="B829" s="1">
        <f ca="1">IFERROR(__xludf.DUMMYFUNCTION("""COMPUTED_VALUE"""),73.11)</f>
        <v>73.11</v>
      </c>
      <c r="C829" s="1">
        <f ca="1">IFERROR(__xludf.DUMMYFUNCTION("""COMPUTED_VALUE"""),75.36)</f>
        <v>75.36</v>
      </c>
      <c r="D829" s="1">
        <f ca="1">IFERROR(__xludf.DUMMYFUNCTION("""COMPUTED_VALUE"""),72.85)</f>
        <v>72.849999999999994</v>
      </c>
      <c r="E829" s="1">
        <f ca="1">IFERROR(__xludf.DUMMYFUNCTION("""COMPUTED_VALUE"""),75.19)</f>
        <v>75.19</v>
      </c>
      <c r="F829" s="1">
        <f ca="1">IFERROR(__xludf.DUMMYFUNCTION("""COMPUTED_VALUE"""),5114403)</f>
        <v>5114403</v>
      </c>
    </row>
    <row r="830" spans="1:6" x14ac:dyDescent="0.35">
      <c r="A830" s="2">
        <f ca="1">IFERROR(__xludf.DUMMYFUNCTION("""COMPUTED_VALUE"""),43208.6666666666)</f>
        <v>43208.666666666599</v>
      </c>
      <c r="B830" s="1">
        <f ca="1">IFERROR(__xludf.DUMMYFUNCTION("""COMPUTED_VALUE"""),75.73)</f>
        <v>75.73</v>
      </c>
      <c r="C830" s="1">
        <f ca="1">IFERROR(__xludf.DUMMYFUNCTION("""COMPUTED_VALUE"""),76.69)</f>
        <v>76.69</v>
      </c>
      <c r="D830" s="1">
        <f ca="1">IFERROR(__xludf.DUMMYFUNCTION("""COMPUTED_VALUE"""),75.21)</f>
        <v>75.209999999999994</v>
      </c>
      <c r="E830" s="1">
        <f ca="1">IFERROR(__xludf.DUMMYFUNCTION("""COMPUTED_VALUE"""),76.39)</f>
        <v>76.39</v>
      </c>
      <c r="F830" s="1">
        <f ca="1">IFERROR(__xludf.DUMMYFUNCTION("""COMPUTED_VALUE"""),5227509)</f>
        <v>5227509</v>
      </c>
    </row>
    <row r="831" spans="1:6" x14ac:dyDescent="0.35">
      <c r="A831" s="2">
        <f ca="1">IFERROR(__xludf.DUMMYFUNCTION("""COMPUTED_VALUE"""),43209.6666666666)</f>
        <v>43209.666666666599</v>
      </c>
      <c r="B831" s="1">
        <f ca="1">IFERROR(__xludf.DUMMYFUNCTION("""COMPUTED_VALUE"""),77.16)</f>
        <v>77.16</v>
      </c>
      <c r="C831" s="1">
        <f ca="1">IFERROR(__xludf.DUMMYFUNCTION("""COMPUTED_VALUE"""),78.43)</f>
        <v>78.430000000000007</v>
      </c>
      <c r="D831" s="1">
        <f ca="1">IFERROR(__xludf.DUMMYFUNCTION("""COMPUTED_VALUE"""),76.95)</f>
        <v>76.95</v>
      </c>
      <c r="E831" s="1">
        <f ca="1">IFERROR(__xludf.DUMMYFUNCTION("""COMPUTED_VALUE"""),77.85)</f>
        <v>77.849999999999994</v>
      </c>
      <c r="F831" s="1">
        <f ca="1">IFERROR(__xludf.DUMMYFUNCTION("""COMPUTED_VALUE"""),6523728)</f>
        <v>6523728</v>
      </c>
    </row>
    <row r="832" spans="1:6" x14ac:dyDescent="0.35">
      <c r="A832" s="2">
        <f ca="1">IFERROR(__xludf.DUMMYFUNCTION("""COMPUTED_VALUE"""),43210.6666666666)</f>
        <v>43210.666666666599</v>
      </c>
      <c r="B832" s="1">
        <f ca="1">IFERROR(__xludf.DUMMYFUNCTION("""COMPUTED_VALUE"""),78.06)</f>
        <v>78.06</v>
      </c>
      <c r="C832" s="1">
        <f ca="1">IFERROR(__xludf.DUMMYFUNCTION("""COMPUTED_VALUE"""),78.06)</f>
        <v>78.06</v>
      </c>
      <c r="D832" s="1">
        <f ca="1">IFERROR(__xludf.DUMMYFUNCTION("""COMPUTED_VALUE"""),75.8)</f>
        <v>75.8</v>
      </c>
      <c r="E832" s="1">
        <f ca="1">IFERROR(__xludf.DUMMYFUNCTION("""COMPUTED_VALUE"""),76.37)</f>
        <v>76.37</v>
      </c>
      <c r="F832" s="1">
        <f ca="1">IFERROR(__xludf.DUMMYFUNCTION("""COMPUTED_VALUE"""),5541622)</f>
        <v>5541622</v>
      </c>
    </row>
    <row r="833" spans="1:6" x14ac:dyDescent="0.35">
      <c r="A833" s="2">
        <f ca="1">IFERROR(__xludf.DUMMYFUNCTION("""COMPUTED_VALUE"""),43213.6666666666)</f>
        <v>43213.666666666599</v>
      </c>
      <c r="B833" s="1">
        <f ca="1">IFERROR(__xludf.DUMMYFUNCTION("""COMPUTED_VALUE"""),77.33)</f>
        <v>77.33</v>
      </c>
      <c r="C833" s="1">
        <f ca="1">IFERROR(__xludf.DUMMYFUNCTION("""COMPUTED_VALUE"""),77.4)</f>
        <v>77.400000000000006</v>
      </c>
      <c r="D833" s="1">
        <f ca="1">IFERROR(__xludf.DUMMYFUNCTION("""COMPUTED_VALUE"""),75.17)</f>
        <v>75.17</v>
      </c>
      <c r="E833" s="1">
        <f ca="1">IFERROR(__xludf.DUMMYFUNCTION("""COMPUTED_VALUE"""),75.89)</f>
        <v>75.89</v>
      </c>
      <c r="F833" s="1">
        <f ca="1">IFERROR(__xludf.DUMMYFUNCTION("""COMPUTED_VALUE"""),4465424)</f>
        <v>4465424</v>
      </c>
    </row>
    <row r="834" spans="1:6" x14ac:dyDescent="0.35">
      <c r="A834" s="2">
        <f ca="1">IFERROR(__xludf.DUMMYFUNCTION("""COMPUTED_VALUE"""),43214.6666666666)</f>
        <v>43214.666666666599</v>
      </c>
      <c r="B834" s="1">
        <f ca="1">IFERROR(__xludf.DUMMYFUNCTION("""COMPUTED_VALUE"""),76.79)</f>
        <v>76.790000000000006</v>
      </c>
      <c r="C834" s="1">
        <f ca="1">IFERROR(__xludf.DUMMYFUNCTION("""COMPUTED_VALUE"""),76.97)</f>
        <v>76.97</v>
      </c>
      <c r="D834" s="1">
        <f ca="1">IFERROR(__xludf.DUMMYFUNCTION("""COMPUTED_VALUE"""),72.42)</f>
        <v>72.42</v>
      </c>
      <c r="E834" s="1">
        <f ca="1">IFERROR(__xludf.DUMMYFUNCTION("""COMPUTED_VALUE"""),73)</f>
        <v>73</v>
      </c>
      <c r="F834" s="1">
        <f ca="1">IFERROR(__xludf.DUMMYFUNCTION("""COMPUTED_VALUE"""),7494699)</f>
        <v>7494699</v>
      </c>
    </row>
    <row r="835" spans="1:6" x14ac:dyDescent="0.35">
      <c r="A835" s="2">
        <f ca="1">IFERROR(__xludf.DUMMYFUNCTION("""COMPUTED_VALUE"""),43215.6666666666)</f>
        <v>43215.666666666599</v>
      </c>
      <c r="B835" s="1">
        <f ca="1">IFERROR(__xludf.DUMMYFUNCTION("""COMPUTED_VALUE"""),72.9)</f>
        <v>72.900000000000006</v>
      </c>
      <c r="C835" s="1">
        <f ca="1">IFERROR(__xludf.DUMMYFUNCTION("""COMPUTED_VALUE"""),73.5)</f>
        <v>73.5</v>
      </c>
      <c r="D835" s="1">
        <f ca="1">IFERROR(__xludf.DUMMYFUNCTION("""COMPUTED_VALUE"""),70.75)</f>
        <v>70.75</v>
      </c>
      <c r="E835" s="1">
        <f ca="1">IFERROR(__xludf.DUMMYFUNCTION("""COMPUTED_VALUE"""),73.01)</f>
        <v>73.010000000000005</v>
      </c>
      <c r="F835" s="1">
        <f ca="1">IFERROR(__xludf.DUMMYFUNCTION("""COMPUTED_VALUE"""),6587290)</f>
        <v>6587290</v>
      </c>
    </row>
    <row r="836" spans="1:6" x14ac:dyDescent="0.35">
      <c r="A836" s="2">
        <f ca="1">IFERROR(__xludf.DUMMYFUNCTION("""COMPUTED_VALUE"""),43216.6666666666)</f>
        <v>43216.666666666599</v>
      </c>
      <c r="B836" s="1">
        <f ca="1">IFERROR(__xludf.DUMMYFUNCTION("""COMPUTED_VALUE"""),74.25)</f>
        <v>74.25</v>
      </c>
      <c r="C836" s="1">
        <f ca="1">IFERROR(__xludf.DUMMYFUNCTION("""COMPUTED_VALUE"""),76.47)</f>
        <v>76.47</v>
      </c>
      <c r="D836" s="1">
        <f ca="1">IFERROR(__xludf.DUMMYFUNCTION("""COMPUTED_VALUE"""),73.93)</f>
        <v>73.930000000000007</v>
      </c>
      <c r="E836" s="1">
        <f ca="1">IFERROR(__xludf.DUMMYFUNCTION("""COMPUTED_VALUE"""),75.9)</f>
        <v>75.900000000000006</v>
      </c>
      <c r="F836" s="1">
        <f ca="1">IFERROR(__xludf.DUMMYFUNCTION("""COMPUTED_VALUE"""),8801101)</f>
        <v>8801101</v>
      </c>
    </row>
    <row r="837" spans="1:6" x14ac:dyDescent="0.35">
      <c r="A837" s="2">
        <f ca="1">IFERROR(__xludf.DUMMYFUNCTION("""COMPUTED_VALUE"""),43217.6666666666)</f>
        <v>43217.666666666599</v>
      </c>
      <c r="B837" s="1">
        <f ca="1">IFERROR(__xludf.DUMMYFUNCTION("""COMPUTED_VALUE"""),81.7)</f>
        <v>81.7</v>
      </c>
      <c r="C837" s="1">
        <f ca="1">IFERROR(__xludf.DUMMYFUNCTION("""COMPUTED_VALUE"""),81.91)</f>
        <v>81.91</v>
      </c>
      <c r="D837" s="1">
        <f ca="1">IFERROR(__xludf.DUMMYFUNCTION("""COMPUTED_VALUE"""),78.37)</f>
        <v>78.37</v>
      </c>
      <c r="E837" s="1">
        <f ca="1">IFERROR(__xludf.DUMMYFUNCTION("""COMPUTED_VALUE"""),78.63)</f>
        <v>78.63</v>
      </c>
      <c r="F837" s="1">
        <f ca="1">IFERROR(__xludf.DUMMYFUNCTION("""COMPUTED_VALUE"""),13053241)</f>
        <v>13053241</v>
      </c>
    </row>
    <row r="838" spans="1:6" x14ac:dyDescent="0.35">
      <c r="A838" s="2">
        <f ca="1">IFERROR(__xludf.DUMMYFUNCTION("""COMPUTED_VALUE"""),43220.6666666666)</f>
        <v>43220.666666666599</v>
      </c>
      <c r="B838" s="1">
        <f ca="1">IFERROR(__xludf.DUMMYFUNCTION("""COMPUTED_VALUE"""),79.13)</f>
        <v>79.13</v>
      </c>
      <c r="C838" s="1">
        <f ca="1">IFERROR(__xludf.DUMMYFUNCTION("""COMPUTED_VALUE"""),79.8)</f>
        <v>79.8</v>
      </c>
      <c r="D838" s="1">
        <f ca="1">IFERROR(__xludf.DUMMYFUNCTION("""COMPUTED_VALUE"""),78.05)</f>
        <v>78.05</v>
      </c>
      <c r="E838" s="1">
        <f ca="1">IFERROR(__xludf.DUMMYFUNCTION("""COMPUTED_VALUE"""),78.31)</f>
        <v>78.31</v>
      </c>
      <c r="F838" s="1">
        <f ca="1">IFERROR(__xludf.DUMMYFUNCTION("""COMPUTED_VALUE"""),5464085)</f>
        <v>5464085</v>
      </c>
    </row>
    <row r="839" spans="1:6" x14ac:dyDescent="0.35">
      <c r="A839" s="2">
        <f ca="1">IFERROR(__xludf.DUMMYFUNCTION("""COMPUTED_VALUE"""),43221.6666666666)</f>
        <v>43221.666666666599</v>
      </c>
      <c r="B839" s="1">
        <f ca="1">IFERROR(__xludf.DUMMYFUNCTION("""COMPUTED_VALUE"""),78.16)</f>
        <v>78.16</v>
      </c>
      <c r="C839" s="1">
        <f ca="1">IFERROR(__xludf.DUMMYFUNCTION("""COMPUTED_VALUE"""),79.25)</f>
        <v>79.25</v>
      </c>
      <c r="D839" s="1">
        <f ca="1">IFERROR(__xludf.DUMMYFUNCTION("""COMPUTED_VALUE"""),77.61)</f>
        <v>77.61</v>
      </c>
      <c r="E839" s="1">
        <f ca="1">IFERROR(__xludf.DUMMYFUNCTION("""COMPUTED_VALUE"""),79.11)</f>
        <v>79.11</v>
      </c>
      <c r="F839" s="1">
        <f ca="1">IFERROR(__xludf.DUMMYFUNCTION("""COMPUTED_VALUE"""),4572071)</f>
        <v>4572071</v>
      </c>
    </row>
    <row r="840" spans="1:6" x14ac:dyDescent="0.35">
      <c r="A840" s="2">
        <f ca="1">IFERROR(__xludf.DUMMYFUNCTION("""COMPUTED_VALUE"""),43222.6666666666)</f>
        <v>43222.666666666599</v>
      </c>
      <c r="B840" s="1">
        <f ca="1">IFERROR(__xludf.DUMMYFUNCTION("""COMPUTED_VALUE"""),79.05)</f>
        <v>79.05</v>
      </c>
      <c r="C840" s="1">
        <f ca="1">IFERROR(__xludf.DUMMYFUNCTION("""COMPUTED_VALUE"""),79.42)</f>
        <v>79.42</v>
      </c>
      <c r="D840" s="1">
        <f ca="1">IFERROR(__xludf.DUMMYFUNCTION("""COMPUTED_VALUE"""),78.32)</f>
        <v>78.319999999999993</v>
      </c>
      <c r="E840" s="1">
        <f ca="1">IFERROR(__xludf.DUMMYFUNCTION("""COMPUTED_VALUE"""),78.48)</f>
        <v>78.48</v>
      </c>
      <c r="F840" s="1">
        <f ca="1">IFERROR(__xludf.DUMMYFUNCTION("""COMPUTED_VALUE"""),4360273)</f>
        <v>4360273</v>
      </c>
    </row>
    <row r="841" spans="1:6" x14ac:dyDescent="0.35">
      <c r="A841" s="2">
        <f ca="1">IFERROR(__xludf.DUMMYFUNCTION("""COMPUTED_VALUE"""),43223.6666666666)</f>
        <v>43223.666666666599</v>
      </c>
      <c r="B841" s="1">
        <f ca="1">IFERROR(__xludf.DUMMYFUNCTION("""COMPUTED_VALUE"""),78)</f>
        <v>78</v>
      </c>
      <c r="C841" s="1">
        <f ca="1">IFERROR(__xludf.DUMMYFUNCTION("""COMPUTED_VALUE"""),78.74)</f>
        <v>78.739999999999995</v>
      </c>
      <c r="D841" s="1">
        <f ca="1">IFERROR(__xludf.DUMMYFUNCTION("""COMPUTED_VALUE"""),77.3)</f>
        <v>77.3</v>
      </c>
      <c r="E841" s="1">
        <f ca="1">IFERROR(__xludf.DUMMYFUNCTION("""COMPUTED_VALUE"""),78.6)</f>
        <v>78.599999999999994</v>
      </c>
      <c r="F841" s="1">
        <f ca="1">IFERROR(__xludf.DUMMYFUNCTION("""COMPUTED_VALUE"""),4251917)</f>
        <v>4251917</v>
      </c>
    </row>
    <row r="842" spans="1:6" x14ac:dyDescent="0.35">
      <c r="A842" s="2">
        <f ca="1">IFERROR(__xludf.DUMMYFUNCTION("""COMPUTED_VALUE"""),43224.6666666666)</f>
        <v>43224.666666666599</v>
      </c>
      <c r="B842" s="1">
        <f ca="1">IFERROR(__xludf.DUMMYFUNCTION("""COMPUTED_VALUE"""),78.12)</f>
        <v>78.12</v>
      </c>
      <c r="C842" s="1">
        <f ca="1">IFERROR(__xludf.DUMMYFUNCTION("""COMPUTED_VALUE"""),79.25)</f>
        <v>79.25</v>
      </c>
      <c r="D842" s="1">
        <f ca="1">IFERROR(__xludf.DUMMYFUNCTION("""COMPUTED_VALUE"""),78.11)</f>
        <v>78.11</v>
      </c>
      <c r="E842" s="1">
        <f ca="1">IFERROR(__xludf.DUMMYFUNCTION("""COMPUTED_VALUE"""),79.05)</f>
        <v>79.05</v>
      </c>
      <c r="F842" s="1">
        <f ca="1">IFERROR(__xludf.DUMMYFUNCTION("""COMPUTED_VALUE"""),3443567)</f>
        <v>3443567</v>
      </c>
    </row>
    <row r="843" spans="1:6" x14ac:dyDescent="0.35">
      <c r="A843" s="2">
        <f ca="1">IFERROR(__xludf.DUMMYFUNCTION("""COMPUTED_VALUE"""),43227.6666666666)</f>
        <v>43227.666666666599</v>
      </c>
      <c r="B843" s="1">
        <f ca="1">IFERROR(__xludf.DUMMYFUNCTION("""COMPUTED_VALUE"""),79.47)</f>
        <v>79.47</v>
      </c>
      <c r="C843" s="1">
        <f ca="1">IFERROR(__xludf.DUMMYFUNCTION("""COMPUTED_VALUE"""),80.35)</f>
        <v>80.349999999999994</v>
      </c>
      <c r="D843" s="1">
        <f ca="1">IFERROR(__xludf.DUMMYFUNCTION("""COMPUTED_VALUE"""),79.39)</f>
        <v>79.39</v>
      </c>
      <c r="E843" s="1">
        <f ca="1">IFERROR(__xludf.DUMMYFUNCTION("""COMPUTED_VALUE"""),80.01)</f>
        <v>80.010000000000005</v>
      </c>
      <c r="F843" s="1">
        <f ca="1">IFERROR(__xludf.DUMMYFUNCTION("""COMPUTED_VALUE"""),3801855)</f>
        <v>3801855</v>
      </c>
    </row>
    <row r="844" spans="1:6" x14ac:dyDescent="0.35">
      <c r="A844" s="2">
        <f ca="1">IFERROR(__xludf.DUMMYFUNCTION("""COMPUTED_VALUE"""),43228.6666666666)</f>
        <v>43228.666666666599</v>
      </c>
      <c r="B844" s="1">
        <f ca="1">IFERROR(__xludf.DUMMYFUNCTION("""COMPUTED_VALUE"""),79.75)</f>
        <v>79.75</v>
      </c>
      <c r="C844" s="1">
        <f ca="1">IFERROR(__xludf.DUMMYFUNCTION("""COMPUTED_VALUE"""),79.84)</f>
        <v>79.84</v>
      </c>
      <c r="D844" s="1">
        <f ca="1">IFERROR(__xludf.DUMMYFUNCTION("""COMPUTED_VALUE"""),79.13)</f>
        <v>79.13</v>
      </c>
      <c r="E844" s="1">
        <f ca="1">IFERROR(__xludf.DUMMYFUNCTION("""COMPUTED_VALUE"""),79.62)</f>
        <v>79.62</v>
      </c>
      <c r="F844" s="1">
        <f ca="1">IFERROR(__xludf.DUMMYFUNCTION("""COMPUTED_VALUE"""),3067949)</f>
        <v>3067949</v>
      </c>
    </row>
    <row r="845" spans="1:6" x14ac:dyDescent="0.35">
      <c r="A845" s="2">
        <f ca="1">IFERROR(__xludf.DUMMYFUNCTION("""COMPUTED_VALUE"""),43229.6666666666)</f>
        <v>43229.666666666599</v>
      </c>
      <c r="B845" s="1">
        <f ca="1">IFERROR(__xludf.DUMMYFUNCTION("""COMPUTED_VALUE"""),80)</f>
        <v>80</v>
      </c>
      <c r="C845" s="1">
        <f ca="1">IFERROR(__xludf.DUMMYFUNCTION("""COMPUTED_VALUE"""),80.4)</f>
        <v>80.400000000000006</v>
      </c>
      <c r="D845" s="1">
        <f ca="1">IFERROR(__xludf.DUMMYFUNCTION("""COMPUTED_VALUE"""),79.6)</f>
        <v>79.599999999999994</v>
      </c>
      <c r="E845" s="1">
        <f ca="1">IFERROR(__xludf.DUMMYFUNCTION("""COMPUTED_VALUE"""),80.4)</f>
        <v>80.400000000000006</v>
      </c>
      <c r="F845" s="1">
        <f ca="1">IFERROR(__xludf.DUMMYFUNCTION("""COMPUTED_VALUE"""),3637302)</f>
        <v>3637302</v>
      </c>
    </row>
    <row r="846" spans="1:6" x14ac:dyDescent="0.35">
      <c r="A846" s="2">
        <f ca="1">IFERROR(__xludf.DUMMYFUNCTION("""COMPUTED_VALUE"""),43230.6666666666)</f>
        <v>43230.666666666599</v>
      </c>
      <c r="B846" s="1">
        <f ca="1">IFERROR(__xludf.DUMMYFUNCTION("""COMPUTED_VALUE"""),80.42)</f>
        <v>80.42</v>
      </c>
      <c r="C846" s="1">
        <f ca="1">IFERROR(__xludf.DUMMYFUNCTION("""COMPUTED_VALUE"""),80.78)</f>
        <v>80.78</v>
      </c>
      <c r="D846" s="1">
        <f ca="1">IFERROR(__xludf.DUMMYFUNCTION("""COMPUTED_VALUE"""),80.17)</f>
        <v>80.17</v>
      </c>
      <c r="E846" s="1">
        <f ca="1">IFERROR(__xludf.DUMMYFUNCTION("""COMPUTED_VALUE"""),80.45)</f>
        <v>80.45</v>
      </c>
      <c r="F846" s="1">
        <f ca="1">IFERROR(__xludf.DUMMYFUNCTION("""COMPUTED_VALUE"""),2817450)</f>
        <v>2817450</v>
      </c>
    </row>
    <row r="847" spans="1:6" x14ac:dyDescent="0.35">
      <c r="A847" s="2">
        <f ca="1">IFERROR(__xludf.DUMMYFUNCTION("""COMPUTED_VALUE"""),43231.6666666666)</f>
        <v>43231.666666666599</v>
      </c>
      <c r="B847" s="1">
        <f ca="1">IFERROR(__xludf.DUMMYFUNCTION("""COMPUTED_VALUE"""),80.55)</f>
        <v>80.55</v>
      </c>
      <c r="C847" s="1">
        <f ca="1">IFERROR(__xludf.DUMMYFUNCTION("""COMPUTED_VALUE"""),80.56)</f>
        <v>80.56</v>
      </c>
      <c r="D847" s="1">
        <f ca="1">IFERROR(__xludf.DUMMYFUNCTION("""COMPUTED_VALUE"""),79.89)</f>
        <v>79.89</v>
      </c>
      <c r="E847" s="1">
        <f ca="1">IFERROR(__xludf.DUMMYFUNCTION("""COMPUTED_VALUE"""),80.15)</f>
        <v>80.150000000000006</v>
      </c>
      <c r="F847" s="1">
        <f ca="1">IFERROR(__xludf.DUMMYFUNCTION("""COMPUTED_VALUE"""),2263900)</f>
        <v>2263900</v>
      </c>
    </row>
    <row r="848" spans="1:6" x14ac:dyDescent="0.35">
      <c r="A848" s="2">
        <f ca="1">IFERROR(__xludf.DUMMYFUNCTION("""COMPUTED_VALUE"""),43234.6666666666)</f>
        <v>43234.666666666599</v>
      </c>
      <c r="B848" s="1">
        <f ca="1">IFERROR(__xludf.DUMMYFUNCTION("""COMPUTED_VALUE"""),80.2)</f>
        <v>80.2</v>
      </c>
      <c r="C848" s="1">
        <f ca="1">IFERROR(__xludf.DUMMYFUNCTION("""COMPUTED_VALUE"""),80.56)</f>
        <v>80.56</v>
      </c>
      <c r="D848" s="1">
        <f ca="1">IFERROR(__xludf.DUMMYFUNCTION("""COMPUTED_VALUE"""),80)</f>
        <v>80</v>
      </c>
      <c r="E848" s="1">
        <f ca="1">IFERROR(__xludf.DUMMYFUNCTION("""COMPUTED_VALUE"""),80.08)</f>
        <v>80.08</v>
      </c>
      <c r="F848" s="1">
        <f ca="1">IFERROR(__xludf.DUMMYFUNCTION("""COMPUTED_VALUE"""),2509483)</f>
        <v>2509483</v>
      </c>
    </row>
    <row r="849" spans="1:6" x14ac:dyDescent="0.35">
      <c r="A849" s="2">
        <f ca="1">IFERROR(__xludf.DUMMYFUNCTION("""COMPUTED_VALUE"""),43235.6666666666)</f>
        <v>43235.666666666599</v>
      </c>
      <c r="B849" s="1">
        <f ca="1">IFERROR(__xludf.DUMMYFUNCTION("""COMPUTED_VALUE"""),79.39)</f>
        <v>79.39</v>
      </c>
      <c r="C849" s="1">
        <f ca="1">IFERROR(__xludf.DUMMYFUNCTION("""COMPUTED_VALUE"""),79.39)</f>
        <v>79.39</v>
      </c>
      <c r="D849" s="1">
        <f ca="1">IFERROR(__xludf.DUMMYFUNCTION("""COMPUTED_VALUE"""),78.26)</f>
        <v>78.260000000000005</v>
      </c>
      <c r="E849" s="1">
        <f ca="1">IFERROR(__xludf.DUMMYFUNCTION("""COMPUTED_VALUE"""),78.81)</f>
        <v>78.81</v>
      </c>
      <c r="F849" s="1">
        <f ca="1">IFERROR(__xludf.DUMMYFUNCTION("""COMPUTED_VALUE"""),5077465)</f>
        <v>5077465</v>
      </c>
    </row>
    <row r="850" spans="1:6" x14ac:dyDescent="0.35">
      <c r="A850" s="2">
        <f ca="1">IFERROR(__xludf.DUMMYFUNCTION("""COMPUTED_VALUE"""),43236.6666666666)</f>
        <v>43236.666666666599</v>
      </c>
      <c r="B850" s="1">
        <f ca="1">IFERROR(__xludf.DUMMYFUNCTION("""COMPUTED_VALUE"""),78.88)</f>
        <v>78.88</v>
      </c>
      <c r="C850" s="1">
        <f ca="1">IFERROR(__xludf.DUMMYFUNCTION("""COMPUTED_VALUE"""),79.72)</f>
        <v>79.72</v>
      </c>
      <c r="D850" s="1">
        <f ca="1">IFERROR(__xludf.DUMMYFUNCTION("""COMPUTED_VALUE"""),78.83)</f>
        <v>78.83</v>
      </c>
      <c r="E850" s="1">
        <f ca="1">IFERROR(__xludf.DUMMYFUNCTION("""COMPUTED_VALUE"""),79.36)</f>
        <v>79.36</v>
      </c>
      <c r="F850" s="1">
        <f ca="1">IFERROR(__xludf.DUMMYFUNCTION("""COMPUTED_VALUE"""),2570572)</f>
        <v>2570572</v>
      </c>
    </row>
    <row r="851" spans="1:6" x14ac:dyDescent="0.35">
      <c r="A851" s="2">
        <f ca="1">IFERROR(__xludf.DUMMYFUNCTION("""COMPUTED_VALUE"""),43237.6666666666)</f>
        <v>43237.666666666599</v>
      </c>
      <c r="B851" s="1">
        <f ca="1">IFERROR(__xludf.DUMMYFUNCTION("""COMPUTED_VALUE"""),79.03)</f>
        <v>79.03</v>
      </c>
      <c r="C851" s="1">
        <f ca="1">IFERROR(__xludf.DUMMYFUNCTION("""COMPUTED_VALUE"""),79.7)</f>
        <v>79.7</v>
      </c>
      <c r="D851" s="1">
        <f ca="1">IFERROR(__xludf.DUMMYFUNCTION("""COMPUTED_VALUE"""),78.65)</f>
        <v>78.650000000000006</v>
      </c>
      <c r="E851" s="1">
        <f ca="1">IFERROR(__xludf.DUMMYFUNCTION("""COMPUTED_VALUE"""),79.09)</f>
        <v>79.09</v>
      </c>
      <c r="F851" s="1">
        <f ca="1">IFERROR(__xludf.DUMMYFUNCTION("""COMPUTED_VALUE"""),2147606)</f>
        <v>2147606</v>
      </c>
    </row>
    <row r="852" spans="1:6" x14ac:dyDescent="0.35">
      <c r="A852" s="2">
        <f ca="1">IFERROR(__xludf.DUMMYFUNCTION("""COMPUTED_VALUE"""),43238.6666666666)</f>
        <v>43238.666666666599</v>
      </c>
      <c r="B852" s="1">
        <f ca="1">IFERROR(__xludf.DUMMYFUNCTION("""COMPUTED_VALUE"""),79.07)</f>
        <v>79.069999999999993</v>
      </c>
      <c r="C852" s="1">
        <f ca="1">IFERROR(__xludf.DUMMYFUNCTION("""COMPUTED_VALUE"""),79.18)</f>
        <v>79.180000000000007</v>
      </c>
      <c r="D852" s="1">
        <f ca="1">IFERROR(__xludf.DUMMYFUNCTION("""COMPUTED_VALUE"""),78.61)</f>
        <v>78.61</v>
      </c>
      <c r="E852" s="1">
        <f ca="1">IFERROR(__xludf.DUMMYFUNCTION("""COMPUTED_VALUE"""),78.72)</f>
        <v>78.72</v>
      </c>
      <c r="F852" s="1">
        <f ca="1">IFERROR(__xludf.DUMMYFUNCTION("""COMPUTED_VALUE"""),2642584)</f>
        <v>2642584</v>
      </c>
    </row>
    <row r="853" spans="1:6" x14ac:dyDescent="0.35">
      <c r="A853" s="2">
        <f ca="1">IFERROR(__xludf.DUMMYFUNCTION("""COMPUTED_VALUE"""),43241.6666666666)</f>
        <v>43241.666666666599</v>
      </c>
      <c r="B853" s="1">
        <f ca="1">IFERROR(__xludf.DUMMYFUNCTION("""COMPUTED_VALUE"""),79.25)</f>
        <v>79.25</v>
      </c>
      <c r="C853" s="1">
        <f ca="1">IFERROR(__xludf.DUMMYFUNCTION("""COMPUTED_VALUE"""),79.6)</f>
        <v>79.599999999999994</v>
      </c>
      <c r="D853" s="1">
        <f ca="1">IFERROR(__xludf.DUMMYFUNCTION("""COMPUTED_VALUE"""),78.75)</f>
        <v>78.75</v>
      </c>
      <c r="E853" s="1">
        <f ca="1">IFERROR(__xludf.DUMMYFUNCTION("""COMPUTED_VALUE"""),79.27)</f>
        <v>79.27</v>
      </c>
      <c r="F853" s="1">
        <f ca="1">IFERROR(__xludf.DUMMYFUNCTION("""COMPUTED_VALUE"""),2925235)</f>
        <v>2925235</v>
      </c>
    </row>
    <row r="854" spans="1:6" x14ac:dyDescent="0.35">
      <c r="A854" s="2">
        <f ca="1">IFERROR(__xludf.DUMMYFUNCTION("""COMPUTED_VALUE"""),43242.6666666666)</f>
        <v>43242.666666666599</v>
      </c>
      <c r="B854" s="1">
        <f ca="1">IFERROR(__xludf.DUMMYFUNCTION("""COMPUTED_VALUE"""),79.49)</f>
        <v>79.489999999999995</v>
      </c>
      <c r="C854" s="1">
        <f ca="1">IFERROR(__xludf.DUMMYFUNCTION("""COMPUTED_VALUE"""),79.49)</f>
        <v>79.489999999999995</v>
      </c>
      <c r="D854" s="1">
        <f ca="1">IFERROR(__xludf.DUMMYFUNCTION("""COMPUTED_VALUE"""),78.76)</f>
        <v>78.760000000000005</v>
      </c>
      <c r="E854" s="1">
        <f ca="1">IFERROR(__xludf.DUMMYFUNCTION("""COMPUTED_VALUE"""),79.07)</f>
        <v>79.069999999999993</v>
      </c>
      <c r="F854" s="1">
        <f ca="1">IFERROR(__xludf.DUMMYFUNCTION("""COMPUTED_VALUE"""),2115639)</f>
        <v>2115639</v>
      </c>
    </row>
    <row r="855" spans="1:6" x14ac:dyDescent="0.35">
      <c r="A855" s="2">
        <f ca="1">IFERROR(__xludf.DUMMYFUNCTION("""COMPUTED_VALUE"""),43243.6666666666)</f>
        <v>43243.666666666599</v>
      </c>
      <c r="B855" s="1">
        <f ca="1">IFERROR(__xludf.DUMMYFUNCTION("""COMPUTED_VALUE"""),78.55)</f>
        <v>78.55</v>
      </c>
      <c r="C855" s="1">
        <f ca="1">IFERROR(__xludf.DUMMYFUNCTION("""COMPUTED_VALUE"""),80.09)</f>
        <v>80.09</v>
      </c>
      <c r="D855" s="1">
        <f ca="1">IFERROR(__xludf.DUMMYFUNCTION("""COMPUTED_VALUE"""),78.32)</f>
        <v>78.319999999999993</v>
      </c>
      <c r="E855" s="1">
        <f ca="1">IFERROR(__xludf.DUMMYFUNCTION("""COMPUTED_VALUE"""),80.09)</f>
        <v>80.09</v>
      </c>
      <c r="F855" s="1">
        <f ca="1">IFERROR(__xludf.DUMMYFUNCTION("""COMPUTED_VALUE"""),3361892)</f>
        <v>3361892</v>
      </c>
    </row>
    <row r="856" spans="1:6" x14ac:dyDescent="0.35">
      <c r="A856" s="2">
        <f ca="1">IFERROR(__xludf.DUMMYFUNCTION("""COMPUTED_VALUE"""),43244.6666666666)</f>
        <v>43244.666666666599</v>
      </c>
      <c r="B856" s="1">
        <f ca="1">IFERROR(__xludf.DUMMYFUNCTION("""COMPUTED_VALUE"""),79.9)</f>
        <v>79.900000000000006</v>
      </c>
      <c r="C856" s="1">
        <f ca="1">IFERROR(__xludf.DUMMYFUNCTION("""COMPUTED_VALUE"""),80.41)</f>
        <v>80.41</v>
      </c>
      <c r="D856" s="1">
        <f ca="1">IFERROR(__xludf.DUMMYFUNCTION("""COMPUTED_VALUE"""),79.42)</f>
        <v>79.42</v>
      </c>
      <c r="E856" s="1">
        <f ca="1">IFERROR(__xludf.DUMMYFUNCTION("""COMPUTED_VALUE"""),80.15)</f>
        <v>80.150000000000006</v>
      </c>
      <c r="F856" s="1">
        <f ca="1">IFERROR(__xludf.DUMMYFUNCTION("""COMPUTED_VALUE"""),3429975)</f>
        <v>3429975</v>
      </c>
    </row>
    <row r="857" spans="1:6" x14ac:dyDescent="0.35">
      <c r="A857" s="2">
        <f ca="1">IFERROR(__xludf.DUMMYFUNCTION("""COMPUTED_VALUE"""),43245.6666666666)</f>
        <v>43245.666666666599</v>
      </c>
      <c r="B857" s="1">
        <f ca="1">IFERROR(__xludf.DUMMYFUNCTION("""COMPUTED_VALUE"""),80.15)</f>
        <v>80.150000000000006</v>
      </c>
      <c r="C857" s="1">
        <f ca="1">IFERROR(__xludf.DUMMYFUNCTION("""COMPUTED_VALUE"""),80.71)</f>
        <v>80.709999999999994</v>
      </c>
      <c r="D857" s="1">
        <f ca="1">IFERROR(__xludf.DUMMYFUNCTION("""COMPUTED_VALUE"""),80.02)</f>
        <v>80.02</v>
      </c>
      <c r="E857" s="1">
        <f ca="1">IFERROR(__xludf.DUMMYFUNCTION("""COMPUTED_VALUE"""),80.51)</f>
        <v>80.510000000000005</v>
      </c>
      <c r="F857" s="1">
        <f ca="1">IFERROR(__xludf.DUMMYFUNCTION("""COMPUTED_VALUE"""),2698400)</f>
        <v>2698400</v>
      </c>
    </row>
    <row r="858" spans="1:6" x14ac:dyDescent="0.35">
      <c r="A858" s="2">
        <f ca="1">IFERROR(__xludf.DUMMYFUNCTION("""COMPUTED_VALUE"""),43249.6666666666)</f>
        <v>43249.666666666599</v>
      </c>
      <c r="B858" s="1">
        <f ca="1">IFERROR(__xludf.DUMMYFUNCTION("""COMPUTED_VALUE"""),80.04)</f>
        <v>80.040000000000006</v>
      </c>
      <c r="C858" s="1">
        <f ca="1">IFERROR(__xludf.DUMMYFUNCTION("""COMPUTED_VALUE"""),81.09)</f>
        <v>81.09</v>
      </c>
      <c r="D858" s="1">
        <f ca="1">IFERROR(__xludf.DUMMYFUNCTION("""COMPUTED_VALUE"""),80.01)</f>
        <v>80.010000000000005</v>
      </c>
      <c r="E858" s="1">
        <f ca="1">IFERROR(__xludf.DUMMYFUNCTION("""COMPUTED_VALUE"""),80.64)</f>
        <v>80.64</v>
      </c>
      <c r="F858" s="1">
        <f ca="1">IFERROR(__xludf.DUMMYFUNCTION("""COMPUTED_VALUE"""),3846477)</f>
        <v>3846477</v>
      </c>
    </row>
    <row r="859" spans="1:6" x14ac:dyDescent="0.35">
      <c r="A859" s="2">
        <f ca="1">IFERROR(__xludf.DUMMYFUNCTION("""COMPUTED_VALUE"""),43250.6666666666)</f>
        <v>43250.666666666599</v>
      </c>
      <c r="B859" s="1">
        <f ca="1">IFERROR(__xludf.DUMMYFUNCTION("""COMPUTED_VALUE"""),80.91)</f>
        <v>80.91</v>
      </c>
      <c r="C859" s="1">
        <f ca="1">IFERROR(__xludf.DUMMYFUNCTION("""COMPUTED_VALUE"""),81.3)</f>
        <v>81.3</v>
      </c>
      <c r="D859" s="1">
        <f ca="1">IFERROR(__xludf.DUMMYFUNCTION("""COMPUTED_VALUE"""),80.65)</f>
        <v>80.650000000000006</v>
      </c>
      <c r="E859" s="1">
        <f ca="1">IFERROR(__xludf.DUMMYFUNCTION("""COMPUTED_VALUE"""),81.24)</f>
        <v>81.239999999999995</v>
      </c>
      <c r="F859" s="1">
        <f ca="1">IFERROR(__xludf.DUMMYFUNCTION("""COMPUTED_VALUE"""),2907357)</f>
        <v>2907357</v>
      </c>
    </row>
    <row r="860" spans="1:6" x14ac:dyDescent="0.35">
      <c r="A860" s="2">
        <f ca="1">IFERROR(__xludf.DUMMYFUNCTION("""COMPUTED_VALUE"""),43251.6666666666)</f>
        <v>43251.666666666599</v>
      </c>
      <c r="B860" s="1">
        <f ca="1">IFERROR(__xludf.DUMMYFUNCTION("""COMPUTED_VALUE"""),81.15)</f>
        <v>81.150000000000006</v>
      </c>
      <c r="C860" s="1">
        <f ca="1">IFERROR(__xludf.DUMMYFUNCTION("""COMPUTED_VALUE"""),81.75)</f>
        <v>81.75</v>
      </c>
      <c r="D860" s="1">
        <f ca="1">IFERROR(__xludf.DUMMYFUNCTION("""COMPUTED_VALUE"""),81.07)</f>
        <v>81.069999999999993</v>
      </c>
      <c r="E860" s="1">
        <f ca="1">IFERROR(__xludf.DUMMYFUNCTION("""COMPUTED_VALUE"""),81.48)</f>
        <v>81.48</v>
      </c>
      <c r="F860" s="1">
        <f ca="1">IFERROR(__xludf.DUMMYFUNCTION("""COMPUTED_VALUE"""),3166330)</f>
        <v>3166330</v>
      </c>
    </row>
    <row r="861" spans="1:6" x14ac:dyDescent="0.35">
      <c r="A861" s="2">
        <f ca="1">IFERROR(__xludf.DUMMYFUNCTION("""COMPUTED_VALUE"""),43252.6666666666)</f>
        <v>43252.666666666599</v>
      </c>
      <c r="B861" s="1">
        <f ca="1">IFERROR(__xludf.DUMMYFUNCTION("""COMPUTED_VALUE"""),81.85)</f>
        <v>81.849999999999994</v>
      </c>
      <c r="C861" s="1">
        <f ca="1">IFERROR(__xludf.DUMMYFUNCTION("""COMPUTED_VALUE"""),82.34)</f>
        <v>82.34</v>
      </c>
      <c r="D861" s="1">
        <f ca="1">IFERROR(__xludf.DUMMYFUNCTION("""COMPUTED_VALUE"""),81.75)</f>
        <v>81.75</v>
      </c>
      <c r="E861" s="1">
        <f ca="1">IFERROR(__xludf.DUMMYFUNCTION("""COMPUTED_VALUE"""),82.08)</f>
        <v>82.08</v>
      </c>
      <c r="F861" s="1">
        <f ca="1">IFERROR(__xludf.DUMMYFUNCTION("""COMPUTED_VALUE"""),3313385)</f>
        <v>3313385</v>
      </c>
    </row>
    <row r="862" spans="1:6" x14ac:dyDescent="0.35">
      <c r="A862" s="2">
        <f ca="1">IFERROR(__xludf.DUMMYFUNCTION("""COMPUTED_VALUE"""),43255.6666666666)</f>
        <v>43255.666666666599</v>
      </c>
      <c r="B862" s="1">
        <f ca="1">IFERROR(__xludf.DUMMYFUNCTION("""COMPUTED_VALUE"""),82.45)</f>
        <v>82.45</v>
      </c>
      <c r="C862" s="1">
        <f ca="1">IFERROR(__xludf.DUMMYFUNCTION("""COMPUTED_VALUE"""),83.28)</f>
        <v>83.28</v>
      </c>
      <c r="D862" s="1">
        <f ca="1">IFERROR(__xludf.DUMMYFUNCTION("""COMPUTED_VALUE"""),82.27)</f>
        <v>82.27</v>
      </c>
      <c r="E862" s="1">
        <f ca="1">IFERROR(__xludf.DUMMYFUNCTION("""COMPUTED_VALUE"""),83.26)</f>
        <v>83.26</v>
      </c>
      <c r="F862" s="1">
        <f ca="1">IFERROR(__xludf.DUMMYFUNCTION("""COMPUTED_VALUE"""),3187737)</f>
        <v>3187737</v>
      </c>
    </row>
    <row r="863" spans="1:6" x14ac:dyDescent="0.35">
      <c r="A863" s="2">
        <f ca="1">IFERROR(__xludf.DUMMYFUNCTION("""COMPUTED_VALUE"""),43256.6666666666)</f>
        <v>43256.666666666599</v>
      </c>
      <c r="B863" s="1">
        <f ca="1">IFERROR(__xludf.DUMMYFUNCTION("""COMPUTED_VALUE"""),83.65)</f>
        <v>83.65</v>
      </c>
      <c r="C863" s="1">
        <f ca="1">IFERROR(__xludf.DUMMYFUNCTION("""COMPUTED_VALUE"""),84.95)</f>
        <v>84.95</v>
      </c>
      <c r="D863" s="1">
        <f ca="1">IFERROR(__xludf.DUMMYFUNCTION("""COMPUTED_VALUE"""),83.5)</f>
        <v>83.5</v>
      </c>
      <c r="E863" s="1">
        <f ca="1">IFERROR(__xludf.DUMMYFUNCTION("""COMPUTED_VALUE"""),84.82)</f>
        <v>84.82</v>
      </c>
      <c r="F863" s="1">
        <f ca="1">IFERROR(__xludf.DUMMYFUNCTION("""COMPUTED_VALUE"""),4782177)</f>
        <v>4782177</v>
      </c>
    </row>
    <row r="864" spans="1:6" x14ac:dyDescent="0.35">
      <c r="A864" s="2">
        <f ca="1">IFERROR(__xludf.DUMMYFUNCTION("""COMPUTED_VALUE"""),43257.6666666666)</f>
        <v>43257.666666666599</v>
      </c>
      <c r="B864" s="1">
        <f ca="1">IFERROR(__xludf.DUMMYFUNCTION("""COMPUTED_VALUE"""),85.23)</f>
        <v>85.23</v>
      </c>
      <c r="C864" s="1">
        <f ca="1">IFERROR(__xludf.DUMMYFUNCTION("""COMPUTED_VALUE"""),85.73)</f>
        <v>85.73</v>
      </c>
      <c r="D864" s="1">
        <f ca="1">IFERROR(__xludf.DUMMYFUNCTION("""COMPUTED_VALUE"""),84.32)</f>
        <v>84.32</v>
      </c>
      <c r="E864" s="1">
        <f ca="1">IFERROR(__xludf.DUMMYFUNCTION("""COMPUTED_VALUE"""),84.79)</f>
        <v>84.79</v>
      </c>
      <c r="F864" s="1">
        <f ca="1">IFERROR(__xludf.DUMMYFUNCTION("""COMPUTED_VALUE"""),5473213)</f>
        <v>5473213</v>
      </c>
    </row>
    <row r="865" spans="1:6" x14ac:dyDescent="0.35">
      <c r="A865" s="2">
        <f ca="1">IFERROR(__xludf.DUMMYFUNCTION("""COMPUTED_VALUE"""),43258.6666666666)</f>
        <v>43258.666666666599</v>
      </c>
      <c r="B865" s="1">
        <f ca="1">IFERROR(__xludf.DUMMYFUNCTION("""COMPUTED_VALUE"""),84.93)</f>
        <v>84.93</v>
      </c>
      <c r="C865" s="1">
        <f ca="1">IFERROR(__xludf.DUMMYFUNCTION("""COMPUTED_VALUE"""),85)</f>
        <v>85</v>
      </c>
      <c r="D865" s="1">
        <f ca="1">IFERROR(__xludf.DUMMYFUNCTION("""COMPUTED_VALUE"""),83.81)</f>
        <v>83.81</v>
      </c>
      <c r="E865" s="1">
        <f ca="1">IFERROR(__xludf.DUMMYFUNCTION("""COMPUTED_VALUE"""),84.47)</f>
        <v>84.47</v>
      </c>
      <c r="F865" s="1">
        <f ca="1">IFERROR(__xludf.DUMMYFUNCTION("""COMPUTED_VALUE"""),3765687)</f>
        <v>3765687</v>
      </c>
    </row>
    <row r="866" spans="1:6" x14ac:dyDescent="0.35">
      <c r="A866" s="2">
        <f ca="1">IFERROR(__xludf.DUMMYFUNCTION("""COMPUTED_VALUE"""),43259.6666666666)</f>
        <v>43259.666666666599</v>
      </c>
      <c r="B866" s="1">
        <f ca="1">IFERROR(__xludf.DUMMYFUNCTION("""COMPUTED_VALUE"""),84.06)</f>
        <v>84.06</v>
      </c>
      <c r="C866" s="1">
        <f ca="1">IFERROR(__xludf.DUMMYFUNCTION("""COMPUTED_VALUE"""),84.47)</f>
        <v>84.47</v>
      </c>
      <c r="D866" s="1">
        <f ca="1">IFERROR(__xludf.DUMMYFUNCTION("""COMPUTED_VALUE"""),83.65)</f>
        <v>83.65</v>
      </c>
      <c r="E866" s="1">
        <f ca="1">IFERROR(__xludf.DUMMYFUNCTION("""COMPUTED_VALUE"""),84.2)</f>
        <v>84.2</v>
      </c>
      <c r="F866" s="1">
        <f ca="1">IFERROR(__xludf.DUMMYFUNCTION("""COMPUTED_VALUE"""),2955110)</f>
        <v>2955110</v>
      </c>
    </row>
    <row r="867" spans="1:6" x14ac:dyDescent="0.35">
      <c r="A867" s="2">
        <f ca="1">IFERROR(__xludf.DUMMYFUNCTION("""COMPUTED_VALUE"""),43262.6666666666)</f>
        <v>43262.666666666599</v>
      </c>
      <c r="B867" s="1">
        <f ca="1">IFERROR(__xludf.DUMMYFUNCTION("""COMPUTED_VALUE"""),84.08)</f>
        <v>84.08</v>
      </c>
      <c r="C867" s="1">
        <f ca="1">IFERROR(__xludf.DUMMYFUNCTION("""COMPUTED_VALUE"""),84.71)</f>
        <v>84.71</v>
      </c>
      <c r="D867" s="1">
        <f ca="1">IFERROR(__xludf.DUMMYFUNCTION("""COMPUTED_VALUE"""),84.03)</f>
        <v>84.03</v>
      </c>
      <c r="E867" s="1">
        <f ca="1">IFERROR(__xludf.DUMMYFUNCTION("""COMPUTED_VALUE"""),84.46)</f>
        <v>84.46</v>
      </c>
      <c r="F867" s="1">
        <f ca="1">IFERROR(__xludf.DUMMYFUNCTION("""COMPUTED_VALUE"""),2335484)</f>
        <v>2335484</v>
      </c>
    </row>
    <row r="868" spans="1:6" x14ac:dyDescent="0.35">
      <c r="A868" s="2">
        <f ca="1">IFERROR(__xludf.DUMMYFUNCTION("""COMPUTED_VALUE"""),43263.6666666666)</f>
        <v>43263.666666666599</v>
      </c>
      <c r="B868" s="1">
        <f ca="1">IFERROR(__xludf.DUMMYFUNCTION("""COMPUTED_VALUE"""),84.65)</f>
        <v>84.65</v>
      </c>
      <c r="C868" s="1">
        <f ca="1">IFERROR(__xludf.DUMMYFUNCTION("""COMPUTED_VALUE"""),84.98)</f>
        <v>84.98</v>
      </c>
      <c r="D868" s="1">
        <f ca="1">IFERROR(__xludf.DUMMYFUNCTION("""COMPUTED_VALUE"""),84.58)</f>
        <v>84.58</v>
      </c>
      <c r="E868" s="1">
        <f ca="1">IFERROR(__xludf.DUMMYFUNCTION("""COMPUTED_VALUE"""),84.94)</f>
        <v>84.94</v>
      </c>
      <c r="F868" s="1">
        <f ca="1">IFERROR(__xludf.DUMMYFUNCTION("""COMPUTED_VALUE"""),2259215)</f>
        <v>2259215</v>
      </c>
    </row>
    <row r="869" spans="1:6" x14ac:dyDescent="0.35">
      <c r="A869" s="2">
        <f ca="1">IFERROR(__xludf.DUMMYFUNCTION("""COMPUTED_VALUE"""),43264.6666666666)</f>
        <v>43264.666666666599</v>
      </c>
      <c r="B869" s="1">
        <f ca="1">IFERROR(__xludf.DUMMYFUNCTION("""COMPUTED_VALUE"""),85.14)</f>
        <v>85.14</v>
      </c>
      <c r="C869" s="1">
        <f ca="1">IFERROR(__xludf.DUMMYFUNCTION("""COMPUTED_VALUE"""),85.69)</f>
        <v>85.69</v>
      </c>
      <c r="D869" s="1">
        <f ca="1">IFERROR(__xludf.DUMMYFUNCTION("""COMPUTED_VALUE"""),85.01)</f>
        <v>85.01</v>
      </c>
      <c r="E869" s="1">
        <f ca="1">IFERROR(__xludf.DUMMYFUNCTION("""COMPUTED_VALUE"""),85.24)</f>
        <v>85.24</v>
      </c>
      <c r="F869" s="1">
        <f ca="1">IFERROR(__xludf.DUMMYFUNCTION("""COMPUTED_VALUE"""),3327529)</f>
        <v>3327529</v>
      </c>
    </row>
    <row r="870" spans="1:6" x14ac:dyDescent="0.35">
      <c r="A870" s="2">
        <f ca="1">IFERROR(__xludf.DUMMYFUNCTION("""COMPUTED_VALUE"""),43265.6666666666)</f>
        <v>43265.666666666599</v>
      </c>
      <c r="B870" s="1">
        <f ca="1">IFERROR(__xludf.DUMMYFUNCTION("""COMPUTED_VALUE"""),85.67)</f>
        <v>85.67</v>
      </c>
      <c r="C870" s="1">
        <f ca="1">IFERROR(__xludf.DUMMYFUNCTION("""COMPUTED_VALUE"""),86.24)</f>
        <v>86.24</v>
      </c>
      <c r="D870" s="1">
        <f ca="1">IFERROR(__xludf.DUMMYFUNCTION("""COMPUTED_VALUE"""),85.44)</f>
        <v>85.44</v>
      </c>
      <c r="E870" s="1">
        <f ca="1">IFERROR(__xludf.DUMMYFUNCTION("""COMPUTED_VALUE"""),86.19)</f>
        <v>86.19</v>
      </c>
      <c r="F870" s="1">
        <f ca="1">IFERROR(__xludf.DUMMYFUNCTION("""COMPUTED_VALUE"""),3174415)</f>
        <v>3174415</v>
      </c>
    </row>
    <row r="871" spans="1:6" x14ac:dyDescent="0.35">
      <c r="A871" s="2">
        <f ca="1">IFERROR(__xludf.DUMMYFUNCTION("""COMPUTED_VALUE"""),43266.6666666666)</f>
        <v>43266.666666666599</v>
      </c>
      <c r="B871" s="1">
        <f ca="1">IFERROR(__xludf.DUMMYFUNCTION("""COMPUTED_VALUE"""),85.7)</f>
        <v>85.7</v>
      </c>
      <c r="C871" s="1">
        <f ca="1">IFERROR(__xludf.DUMMYFUNCTION("""COMPUTED_VALUE"""),86.04)</f>
        <v>86.04</v>
      </c>
      <c r="D871" s="1">
        <f ca="1">IFERROR(__xludf.DUMMYFUNCTION("""COMPUTED_VALUE"""),85.43)</f>
        <v>85.43</v>
      </c>
      <c r="E871" s="1">
        <f ca="1">IFERROR(__xludf.DUMMYFUNCTION("""COMPUTED_VALUE"""),85.8)</f>
        <v>85.8</v>
      </c>
      <c r="F871" s="1">
        <f ca="1">IFERROR(__xludf.DUMMYFUNCTION("""COMPUTED_VALUE"""),4777646)</f>
        <v>4777646</v>
      </c>
    </row>
    <row r="872" spans="1:6" x14ac:dyDescent="0.35">
      <c r="A872" s="2">
        <f ca="1">IFERROR(__xludf.DUMMYFUNCTION("""COMPUTED_VALUE"""),43269.6666666666)</f>
        <v>43269.666666666599</v>
      </c>
      <c r="B872" s="1">
        <f ca="1">IFERROR(__xludf.DUMMYFUNCTION("""COMPUTED_VALUE"""),85.31)</f>
        <v>85.31</v>
      </c>
      <c r="C872" s="1">
        <f ca="1">IFERROR(__xludf.DUMMYFUNCTION("""COMPUTED_VALUE"""),86.34)</f>
        <v>86.34</v>
      </c>
      <c r="D872" s="1">
        <f ca="1">IFERROR(__xludf.DUMMYFUNCTION("""COMPUTED_VALUE"""),85.13)</f>
        <v>85.13</v>
      </c>
      <c r="E872" s="1">
        <f ca="1">IFERROR(__xludf.DUMMYFUNCTION("""COMPUTED_VALUE"""),86.19)</f>
        <v>86.19</v>
      </c>
      <c r="F872" s="1">
        <f ca="1">IFERROR(__xludf.DUMMYFUNCTION("""COMPUTED_VALUE"""),3107742)</f>
        <v>3107742</v>
      </c>
    </row>
    <row r="873" spans="1:6" x14ac:dyDescent="0.35">
      <c r="A873" s="2">
        <f ca="1">IFERROR(__xludf.DUMMYFUNCTION("""COMPUTED_VALUE"""),43270.6666666666)</f>
        <v>43270.666666666599</v>
      </c>
      <c r="B873" s="1">
        <f ca="1">IFERROR(__xludf.DUMMYFUNCTION("""COMPUTED_VALUE"""),85.45)</f>
        <v>85.45</v>
      </c>
      <c r="C873" s="1">
        <f ca="1">IFERROR(__xludf.DUMMYFUNCTION("""COMPUTED_VALUE"""),86.81)</f>
        <v>86.81</v>
      </c>
      <c r="D873" s="1">
        <f ca="1">IFERROR(__xludf.DUMMYFUNCTION("""COMPUTED_VALUE"""),85.02)</f>
        <v>85.02</v>
      </c>
      <c r="E873" s="1">
        <f ca="1">IFERROR(__xludf.DUMMYFUNCTION("""COMPUTED_VALUE"""),86.74)</f>
        <v>86.74</v>
      </c>
      <c r="F873" s="1">
        <f ca="1">IFERROR(__xludf.DUMMYFUNCTION("""COMPUTED_VALUE"""),4290117)</f>
        <v>4290117</v>
      </c>
    </row>
    <row r="874" spans="1:6" x14ac:dyDescent="0.35">
      <c r="A874" s="2">
        <f ca="1">IFERROR(__xludf.DUMMYFUNCTION("""COMPUTED_VALUE"""),43271.6666666666)</f>
        <v>43271.666666666599</v>
      </c>
      <c r="B874" s="1">
        <f ca="1">IFERROR(__xludf.DUMMYFUNCTION("""COMPUTED_VALUE"""),87.13)</f>
        <v>87.13</v>
      </c>
      <c r="C874" s="1">
        <f ca="1">IFERROR(__xludf.DUMMYFUNCTION("""COMPUTED_VALUE"""),88.15)</f>
        <v>88.15</v>
      </c>
      <c r="D874" s="1">
        <f ca="1">IFERROR(__xludf.DUMMYFUNCTION("""COMPUTED_VALUE"""),87.07)</f>
        <v>87.07</v>
      </c>
      <c r="E874" s="1">
        <f ca="1">IFERROR(__xludf.DUMMYFUNCTION("""COMPUTED_VALUE"""),87.5)</f>
        <v>87.5</v>
      </c>
      <c r="F874" s="1">
        <f ca="1">IFERROR(__xludf.DUMMYFUNCTION("""COMPUTED_VALUE"""),4332591)</f>
        <v>4332591</v>
      </c>
    </row>
    <row r="875" spans="1:6" x14ac:dyDescent="0.35">
      <c r="A875" s="2">
        <f ca="1">IFERROR(__xludf.DUMMYFUNCTION("""COMPUTED_VALUE"""),43272.6666666666)</f>
        <v>43272.666666666599</v>
      </c>
      <c r="B875" s="1">
        <f ca="1">IFERROR(__xludf.DUMMYFUNCTION("""COMPUTED_VALUE"""),88)</f>
        <v>88</v>
      </c>
      <c r="C875" s="1">
        <f ca="1">IFERROR(__xludf.DUMMYFUNCTION("""COMPUTED_VALUE"""),88.16)</f>
        <v>88.16</v>
      </c>
      <c r="D875" s="1">
        <f ca="1">IFERROR(__xludf.DUMMYFUNCTION("""COMPUTED_VALUE"""),85.88)</f>
        <v>85.88</v>
      </c>
      <c r="E875" s="1">
        <f ca="1">IFERROR(__xludf.DUMMYFUNCTION("""COMPUTED_VALUE"""),86.51)</f>
        <v>86.51</v>
      </c>
      <c r="F875" s="1">
        <f ca="1">IFERROR(__xludf.DUMMYFUNCTION("""COMPUTED_VALUE"""),4941148)</f>
        <v>4941148</v>
      </c>
    </row>
    <row r="876" spans="1:6" x14ac:dyDescent="0.35">
      <c r="A876" s="2">
        <f ca="1">IFERROR(__xludf.DUMMYFUNCTION("""COMPUTED_VALUE"""),43273.6666666666)</f>
        <v>43273.666666666599</v>
      </c>
      <c r="B876" s="1">
        <f ca="1">IFERROR(__xludf.DUMMYFUNCTION("""COMPUTED_VALUE"""),87.13)</f>
        <v>87.13</v>
      </c>
      <c r="C876" s="1">
        <f ca="1">IFERROR(__xludf.DUMMYFUNCTION("""COMPUTED_VALUE"""),87.15)</f>
        <v>87.15</v>
      </c>
      <c r="D876" s="1">
        <f ca="1">IFERROR(__xludf.DUMMYFUNCTION("""COMPUTED_VALUE"""),85.6)</f>
        <v>85.6</v>
      </c>
      <c r="E876" s="1">
        <f ca="1">IFERROR(__xludf.DUMMYFUNCTION("""COMPUTED_VALUE"""),85.78)</f>
        <v>85.78</v>
      </c>
      <c r="F876" s="1">
        <f ca="1">IFERROR(__xludf.DUMMYFUNCTION("""COMPUTED_VALUE"""),4075124)</f>
        <v>4075124</v>
      </c>
    </row>
    <row r="877" spans="1:6" x14ac:dyDescent="0.35">
      <c r="A877" s="2">
        <f ca="1">IFERROR(__xludf.DUMMYFUNCTION("""COMPUTED_VALUE"""),43276.6666666666)</f>
        <v>43276.666666666599</v>
      </c>
      <c r="B877" s="1">
        <f ca="1">IFERROR(__xludf.DUMMYFUNCTION("""COMPUTED_VALUE"""),85.13)</f>
        <v>85.13</v>
      </c>
      <c r="C877" s="1">
        <f ca="1">IFERROR(__xludf.DUMMYFUNCTION("""COMPUTED_VALUE"""),85.25)</f>
        <v>85.25</v>
      </c>
      <c r="D877" s="1">
        <f ca="1">IFERROR(__xludf.DUMMYFUNCTION("""COMPUTED_VALUE"""),82.32)</f>
        <v>82.32</v>
      </c>
      <c r="E877" s="1">
        <f ca="1">IFERROR(__xludf.DUMMYFUNCTION("""COMPUTED_VALUE"""),83.16)</f>
        <v>83.16</v>
      </c>
      <c r="F877" s="1">
        <f ca="1">IFERROR(__xludf.DUMMYFUNCTION("""COMPUTED_VALUE"""),7511196)</f>
        <v>7511196</v>
      </c>
    </row>
    <row r="878" spans="1:6" x14ac:dyDescent="0.35">
      <c r="A878" s="2">
        <f ca="1">IFERROR(__xludf.DUMMYFUNCTION("""COMPUTED_VALUE"""),43277.6666666666)</f>
        <v>43277.666666666599</v>
      </c>
      <c r="B878" s="1">
        <f ca="1">IFERROR(__xludf.DUMMYFUNCTION("""COMPUTED_VALUE"""),83.62)</f>
        <v>83.62</v>
      </c>
      <c r="C878" s="1">
        <f ca="1">IFERROR(__xludf.DUMMYFUNCTION("""COMPUTED_VALUE"""),85.08)</f>
        <v>85.08</v>
      </c>
      <c r="D878" s="1">
        <f ca="1">IFERROR(__xludf.DUMMYFUNCTION("""COMPUTED_VALUE"""),83.17)</f>
        <v>83.17</v>
      </c>
      <c r="E878" s="1">
        <f ca="1">IFERROR(__xludf.DUMMYFUNCTION("""COMPUTED_VALUE"""),84.55)</f>
        <v>84.55</v>
      </c>
      <c r="F878" s="1">
        <f ca="1">IFERROR(__xludf.DUMMYFUNCTION("""COMPUTED_VALUE"""),4386585)</f>
        <v>4386585</v>
      </c>
    </row>
    <row r="879" spans="1:6" x14ac:dyDescent="0.35">
      <c r="A879" s="2">
        <f ca="1">IFERROR(__xludf.DUMMYFUNCTION("""COMPUTED_VALUE"""),43278.6666666666)</f>
        <v>43278.666666666599</v>
      </c>
      <c r="B879" s="1">
        <f ca="1">IFERROR(__xludf.DUMMYFUNCTION("""COMPUTED_VALUE"""),85.41)</f>
        <v>85.41</v>
      </c>
      <c r="C879" s="1">
        <f ca="1">IFERROR(__xludf.DUMMYFUNCTION("""COMPUTED_VALUE"""),85.6)</f>
        <v>85.6</v>
      </c>
      <c r="D879" s="1">
        <f ca="1">IFERROR(__xludf.DUMMYFUNCTION("""COMPUTED_VALUE"""),83)</f>
        <v>83</v>
      </c>
      <c r="E879" s="1">
        <f ca="1">IFERROR(__xludf.DUMMYFUNCTION("""COMPUTED_VALUE"""),83.03)</f>
        <v>83.03</v>
      </c>
      <c r="F879" s="1">
        <f ca="1">IFERROR(__xludf.DUMMYFUNCTION("""COMPUTED_VALUE"""),4872201)</f>
        <v>4872201</v>
      </c>
    </row>
    <row r="880" spans="1:6" x14ac:dyDescent="0.35">
      <c r="A880" s="2">
        <f ca="1">IFERROR(__xludf.DUMMYFUNCTION("""COMPUTED_VALUE"""),43279.6666666666)</f>
        <v>43279.666666666599</v>
      </c>
      <c r="B880" s="1">
        <f ca="1">IFERROR(__xludf.DUMMYFUNCTION("""COMPUTED_VALUE"""),83.63)</f>
        <v>83.63</v>
      </c>
      <c r="C880" s="1">
        <f ca="1">IFERROR(__xludf.DUMMYFUNCTION("""COMPUTED_VALUE"""),85.28)</f>
        <v>85.28</v>
      </c>
      <c r="D880" s="1">
        <f ca="1">IFERROR(__xludf.DUMMYFUNCTION("""COMPUTED_VALUE"""),83.06)</f>
        <v>83.06</v>
      </c>
      <c r="E880" s="1">
        <f ca="1">IFERROR(__xludf.DUMMYFUNCTION("""COMPUTED_VALUE"""),85.07)</f>
        <v>85.07</v>
      </c>
      <c r="F880" s="1">
        <f ca="1">IFERROR(__xludf.DUMMYFUNCTION("""COMPUTED_VALUE"""),4529700)</f>
        <v>4529700</v>
      </c>
    </row>
    <row r="881" spans="1:6" x14ac:dyDescent="0.35">
      <c r="A881" s="2">
        <f ca="1">IFERROR(__xludf.DUMMYFUNCTION("""COMPUTED_VALUE"""),43280.6666666666)</f>
        <v>43280.666666666599</v>
      </c>
      <c r="B881" s="1">
        <f ca="1">IFERROR(__xludf.DUMMYFUNCTION("""COMPUTED_VALUE"""),85.85)</f>
        <v>85.85</v>
      </c>
      <c r="C881" s="1">
        <f ca="1">IFERROR(__xludf.DUMMYFUNCTION("""COMPUTED_VALUE"""),86.17)</f>
        <v>86.17</v>
      </c>
      <c r="D881" s="1">
        <f ca="1">IFERROR(__xludf.DUMMYFUNCTION("""COMPUTED_VALUE"""),84.72)</f>
        <v>84.72</v>
      </c>
      <c r="E881" s="1">
        <f ca="1">IFERROR(__xludf.DUMMYFUNCTION("""COMPUTED_VALUE"""),84.99)</f>
        <v>84.99</v>
      </c>
      <c r="F881" s="1">
        <f ca="1">IFERROR(__xludf.DUMMYFUNCTION("""COMPUTED_VALUE"""),4543508)</f>
        <v>4543508</v>
      </c>
    </row>
    <row r="882" spans="1:6" x14ac:dyDescent="0.35">
      <c r="A882" s="2">
        <f ca="1">IFERROR(__xludf.DUMMYFUNCTION("""COMPUTED_VALUE"""),43283.6666666666)</f>
        <v>43283.666666666599</v>
      </c>
      <c r="B882" s="1">
        <f ca="1">IFERROR(__xludf.DUMMYFUNCTION("""COMPUTED_VALUE"""),84.14)</f>
        <v>84.14</v>
      </c>
      <c r="C882" s="1">
        <f ca="1">IFERROR(__xludf.DUMMYFUNCTION("""COMPUTED_VALUE"""),85.69)</f>
        <v>85.69</v>
      </c>
      <c r="D882" s="1">
        <f ca="1">IFERROR(__xludf.DUMMYFUNCTION("""COMPUTED_VALUE"""),83.9)</f>
        <v>83.9</v>
      </c>
      <c r="E882" s="1">
        <f ca="1">IFERROR(__xludf.DUMMYFUNCTION("""COMPUTED_VALUE"""),85.69)</f>
        <v>85.69</v>
      </c>
      <c r="F882" s="1">
        <f ca="1">IFERROR(__xludf.DUMMYFUNCTION("""COMPUTED_VALUE"""),3185696)</f>
        <v>3185696</v>
      </c>
    </row>
    <row r="883" spans="1:6" x14ac:dyDescent="0.35">
      <c r="A883" s="2">
        <f ca="1">IFERROR(__xludf.DUMMYFUNCTION("""COMPUTED_VALUE"""),43284.5416666666)</f>
        <v>43284.541666666599</v>
      </c>
      <c r="B883" s="1">
        <f ca="1">IFERROR(__xludf.DUMMYFUNCTION("""COMPUTED_VALUE"""),86.2)</f>
        <v>86.2</v>
      </c>
      <c r="C883" s="1">
        <f ca="1">IFERROR(__xludf.DUMMYFUNCTION("""COMPUTED_VALUE"""),86.25)</f>
        <v>86.25</v>
      </c>
      <c r="D883" s="1">
        <f ca="1">IFERROR(__xludf.DUMMYFUNCTION("""COMPUTED_VALUE"""),84.62)</f>
        <v>84.62</v>
      </c>
      <c r="E883" s="1">
        <f ca="1">IFERROR(__xludf.DUMMYFUNCTION("""COMPUTED_VALUE"""),84.7)</f>
        <v>84.7</v>
      </c>
      <c r="F883" s="1">
        <f ca="1">IFERROR(__xludf.DUMMYFUNCTION("""COMPUTED_VALUE"""),2177276)</f>
        <v>2177276</v>
      </c>
    </row>
    <row r="884" spans="1:6" x14ac:dyDescent="0.35">
      <c r="A884" s="2">
        <f ca="1">IFERROR(__xludf.DUMMYFUNCTION("""COMPUTED_VALUE"""),43286.6666666666)</f>
        <v>43286.666666666599</v>
      </c>
      <c r="B884" s="1">
        <f ca="1">IFERROR(__xludf.DUMMYFUNCTION("""COMPUTED_VALUE"""),85.27)</f>
        <v>85.27</v>
      </c>
      <c r="C884" s="1">
        <f ca="1">IFERROR(__xludf.DUMMYFUNCTION("""COMPUTED_VALUE"""),85.53)</f>
        <v>85.53</v>
      </c>
      <c r="D884" s="1">
        <f ca="1">IFERROR(__xludf.DUMMYFUNCTION("""COMPUTED_VALUE"""),84.11)</f>
        <v>84.11</v>
      </c>
      <c r="E884" s="1">
        <f ca="1">IFERROR(__xludf.DUMMYFUNCTION("""COMPUTED_VALUE"""),84.99)</f>
        <v>84.99</v>
      </c>
      <c r="F884" s="1">
        <f ca="1">IFERROR(__xludf.DUMMYFUNCTION("""COMPUTED_VALUE"""),2983110)</f>
        <v>2983110</v>
      </c>
    </row>
    <row r="885" spans="1:6" x14ac:dyDescent="0.35">
      <c r="A885" s="2">
        <f ca="1">IFERROR(__xludf.DUMMYFUNCTION("""COMPUTED_VALUE"""),43287.6666666666)</f>
        <v>43287.666666666599</v>
      </c>
      <c r="B885" s="1">
        <f ca="1">IFERROR(__xludf.DUMMYFUNCTION("""COMPUTED_VALUE"""),84.8)</f>
        <v>84.8</v>
      </c>
      <c r="C885" s="1">
        <f ca="1">IFERROR(__xludf.DUMMYFUNCTION("""COMPUTED_VALUE"""),85.76)</f>
        <v>85.76</v>
      </c>
      <c r="D885" s="1">
        <f ca="1">IFERROR(__xludf.DUMMYFUNCTION("""COMPUTED_VALUE"""),84.58)</f>
        <v>84.58</v>
      </c>
      <c r="E885" s="1">
        <f ca="1">IFERROR(__xludf.DUMMYFUNCTION("""COMPUTED_VALUE"""),85.53)</f>
        <v>85.53</v>
      </c>
      <c r="F885" s="1">
        <f ca="1">IFERROR(__xludf.DUMMYFUNCTION("""COMPUTED_VALUE"""),2650262)</f>
        <v>2650262</v>
      </c>
    </row>
    <row r="886" spans="1:6" x14ac:dyDescent="0.35">
      <c r="A886" s="2">
        <f ca="1">IFERROR(__xludf.DUMMYFUNCTION("""COMPUTED_VALUE"""),43290.6666666666)</f>
        <v>43290.666666666599</v>
      </c>
      <c r="B886" s="1">
        <f ca="1">IFERROR(__xludf.DUMMYFUNCTION("""COMPUTED_VALUE"""),86.2)</f>
        <v>86.2</v>
      </c>
      <c r="C886" s="1">
        <f ca="1">IFERROR(__xludf.DUMMYFUNCTION("""COMPUTED_VALUE"""),86.98)</f>
        <v>86.98</v>
      </c>
      <c r="D886" s="1">
        <f ca="1">IFERROR(__xludf.DUMMYFUNCTION("""COMPUTED_VALUE"""),85.81)</f>
        <v>85.81</v>
      </c>
      <c r="E886" s="1">
        <f ca="1">IFERROR(__xludf.DUMMYFUNCTION("""COMPUTED_VALUE"""),86.95)</f>
        <v>86.95</v>
      </c>
      <c r="F886" s="1">
        <f ca="1">IFERROR(__xludf.DUMMYFUNCTION("""COMPUTED_VALUE"""),3011988)</f>
        <v>3011988</v>
      </c>
    </row>
    <row r="887" spans="1:6" x14ac:dyDescent="0.35">
      <c r="A887" s="2">
        <f ca="1">IFERROR(__xludf.DUMMYFUNCTION("""COMPUTED_VALUE"""),43291.6666666666)</f>
        <v>43291.666666666599</v>
      </c>
      <c r="B887" s="1">
        <f ca="1">IFERROR(__xludf.DUMMYFUNCTION("""COMPUTED_VALUE"""),86.93)</f>
        <v>86.93</v>
      </c>
      <c r="C887" s="1">
        <f ca="1">IFERROR(__xludf.DUMMYFUNCTION("""COMPUTED_VALUE"""),87.5)</f>
        <v>87.5</v>
      </c>
      <c r="D887" s="1">
        <f ca="1">IFERROR(__xludf.DUMMYFUNCTION("""COMPUTED_VALUE"""),86.55)</f>
        <v>86.55</v>
      </c>
      <c r="E887" s="1">
        <f ca="1">IFERROR(__xludf.DUMMYFUNCTION("""COMPUTED_VALUE"""),87.15)</f>
        <v>87.15</v>
      </c>
      <c r="F887" s="1">
        <f ca="1">IFERROR(__xludf.DUMMYFUNCTION("""COMPUTED_VALUE"""),3002905)</f>
        <v>3002905</v>
      </c>
    </row>
    <row r="888" spans="1:6" x14ac:dyDescent="0.35">
      <c r="A888" s="2">
        <f ca="1">IFERROR(__xludf.DUMMYFUNCTION("""COMPUTED_VALUE"""),43292.6666666666)</f>
        <v>43292.666666666599</v>
      </c>
      <c r="B888" s="1">
        <f ca="1">IFERROR(__xludf.DUMMYFUNCTION("""COMPUTED_VALUE"""),86.9)</f>
        <v>86.9</v>
      </c>
      <c r="C888" s="1">
        <f ca="1">IFERROR(__xludf.DUMMYFUNCTION("""COMPUTED_VALUE"""),87.85)</f>
        <v>87.85</v>
      </c>
      <c r="D888" s="1">
        <f ca="1">IFERROR(__xludf.DUMMYFUNCTION("""COMPUTED_VALUE"""),86.7)</f>
        <v>86.7</v>
      </c>
      <c r="E888" s="1">
        <f ca="1">IFERROR(__xludf.DUMMYFUNCTION("""COMPUTED_VALUE"""),87.75)</f>
        <v>87.75</v>
      </c>
      <c r="F888" s="1">
        <f ca="1">IFERROR(__xludf.DUMMYFUNCTION("""COMPUTED_VALUE"""),3209782)</f>
        <v>3209782</v>
      </c>
    </row>
    <row r="889" spans="1:6" x14ac:dyDescent="0.35">
      <c r="A889" s="2">
        <f ca="1">IFERROR(__xludf.DUMMYFUNCTION("""COMPUTED_VALUE"""),43293.6666666666)</f>
        <v>43293.666666666599</v>
      </c>
      <c r="B889" s="1">
        <f ca="1">IFERROR(__xludf.DUMMYFUNCTION("""COMPUTED_VALUE"""),88.23)</f>
        <v>88.23</v>
      </c>
      <c r="C889" s="1">
        <f ca="1">IFERROR(__xludf.DUMMYFUNCTION("""COMPUTED_VALUE"""),89.9)</f>
        <v>89.9</v>
      </c>
      <c r="D889" s="1">
        <f ca="1">IFERROR(__xludf.DUMMYFUNCTION("""COMPUTED_VALUE"""),88.11)</f>
        <v>88.11</v>
      </c>
      <c r="E889" s="1">
        <f ca="1">IFERROR(__xludf.DUMMYFUNCTION("""COMPUTED_VALUE"""),89.83)</f>
        <v>89.83</v>
      </c>
      <c r="F889" s="1">
        <f ca="1">IFERROR(__xludf.DUMMYFUNCTION("""COMPUTED_VALUE"""),4532743)</f>
        <v>4532743</v>
      </c>
    </row>
    <row r="890" spans="1:6" x14ac:dyDescent="0.35">
      <c r="A890" s="2">
        <f ca="1">IFERROR(__xludf.DUMMYFUNCTION("""COMPUTED_VALUE"""),43294.6666666666)</f>
        <v>43294.666666666599</v>
      </c>
      <c r="B890" s="1">
        <f ca="1">IFERROR(__xludf.DUMMYFUNCTION("""COMPUTED_VALUE"""),90.2)</f>
        <v>90.2</v>
      </c>
      <c r="C890" s="1">
        <f ca="1">IFERROR(__xludf.DUMMYFUNCTION("""COMPUTED_VALUE"""),90.77)</f>
        <v>90.77</v>
      </c>
      <c r="D890" s="1">
        <f ca="1">IFERROR(__xludf.DUMMYFUNCTION("""COMPUTED_VALUE"""),89.76)</f>
        <v>89.76</v>
      </c>
      <c r="E890" s="1">
        <f ca="1">IFERROR(__xludf.DUMMYFUNCTION("""COMPUTED_VALUE"""),90.65)</f>
        <v>90.65</v>
      </c>
      <c r="F890" s="1">
        <f ca="1">IFERROR(__xludf.DUMMYFUNCTION("""COMPUTED_VALUE"""),4386679)</f>
        <v>4386679</v>
      </c>
    </row>
    <row r="891" spans="1:6" x14ac:dyDescent="0.35">
      <c r="A891" s="2">
        <f ca="1">IFERROR(__xludf.DUMMYFUNCTION("""COMPUTED_VALUE"""),43297.6666666666)</f>
        <v>43297.666666666599</v>
      </c>
      <c r="B891" s="1">
        <f ca="1">IFERROR(__xludf.DUMMYFUNCTION("""COMPUTED_VALUE"""),91.1)</f>
        <v>91.1</v>
      </c>
      <c r="C891" s="1">
        <f ca="1">IFERROR(__xludf.DUMMYFUNCTION("""COMPUTED_VALUE"""),92.1)</f>
        <v>92.1</v>
      </c>
      <c r="D891" s="1">
        <f ca="1">IFERROR(__xludf.DUMMYFUNCTION("""COMPUTED_VALUE"""),90.72)</f>
        <v>90.72</v>
      </c>
      <c r="E891" s="1">
        <f ca="1">IFERROR(__xludf.DUMMYFUNCTION("""COMPUTED_VALUE"""),91.12)</f>
        <v>91.12</v>
      </c>
      <c r="F891" s="1">
        <f ca="1">IFERROR(__xludf.DUMMYFUNCTION("""COMPUTED_VALUE"""),5466195)</f>
        <v>5466195</v>
      </c>
    </row>
    <row r="892" spans="1:6" x14ac:dyDescent="0.35">
      <c r="A892" s="2">
        <f ca="1">IFERROR(__xludf.DUMMYFUNCTION("""COMPUTED_VALUE"""),43298.6666666666)</f>
        <v>43298.666666666599</v>
      </c>
      <c r="B892" s="1">
        <f ca="1">IFERROR(__xludf.DUMMYFUNCTION("""COMPUTED_VALUE"""),90.58)</f>
        <v>90.58</v>
      </c>
      <c r="C892" s="1">
        <f ca="1">IFERROR(__xludf.DUMMYFUNCTION("""COMPUTED_VALUE"""),92.58)</f>
        <v>92.58</v>
      </c>
      <c r="D892" s="1">
        <f ca="1">IFERROR(__xludf.DUMMYFUNCTION("""COMPUTED_VALUE"""),89.87)</f>
        <v>89.87</v>
      </c>
      <c r="E892" s="1">
        <f ca="1">IFERROR(__xludf.DUMMYFUNCTION("""COMPUTED_VALUE"""),92.2)</f>
        <v>92.2</v>
      </c>
      <c r="F892" s="1">
        <f ca="1">IFERROR(__xludf.DUMMYFUNCTION("""COMPUTED_VALUE"""),5682881)</f>
        <v>5682881</v>
      </c>
    </row>
    <row r="893" spans="1:6" x14ac:dyDescent="0.35">
      <c r="A893" s="2">
        <f ca="1">IFERROR(__xludf.DUMMYFUNCTION("""COMPUTED_VALUE"""),43299.6666666666)</f>
        <v>43299.666666666599</v>
      </c>
      <c r="B893" s="1">
        <f ca="1">IFERROR(__xludf.DUMMYFUNCTION("""COMPUTED_VALUE"""),92.4)</f>
        <v>92.4</v>
      </c>
      <c r="C893" s="1">
        <f ca="1">IFERROR(__xludf.DUMMYFUNCTION("""COMPUTED_VALUE"""),92.94)</f>
        <v>92.94</v>
      </c>
      <c r="D893" s="1">
        <f ca="1">IFERROR(__xludf.DUMMYFUNCTION("""COMPUTED_VALUE"""),91.56)</f>
        <v>91.56</v>
      </c>
      <c r="E893" s="1">
        <f ca="1">IFERROR(__xludf.DUMMYFUNCTION("""COMPUTED_VALUE"""),92.15)</f>
        <v>92.15</v>
      </c>
      <c r="F893" s="1">
        <f ca="1">IFERROR(__xludf.DUMMYFUNCTION("""COMPUTED_VALUE"""),4861913)</f>
        <v>4861913</v>
      </c>
    </row>
    <row r="894" spans="1:6" x14ac:dyDescent="0.35">
      <c r="A894" s="2">
        <f ca="1">IFERROR(__xludf.DUMMYFUNCTION("""COMPUTED_VALUE"""),43300.6666666666)</f>
        <v>43300.666666666599</v>
      </c>
      <c r="B894" s="1">
        <f ca="1">IFERROR(__xludf.DUMMYFUNCTION("""COMPUTED_VALUE"""),91.47)</f>
        <v>91.47</v>
      </c>
      <c r="C894" s="1">
        <f ca="1">IFERROR(__xludf.DUMMYFUNCTION("""COMPUTED_VALUE"""),92.05)</f>
        <v>92.05</v>
      </c>
      <c r="D894" s="1">
        <f ca="1">IFERROR(__xludf.DUMMYFUNCTION("""COMPUTED_VALUE"""),90.56)</f>
        <v>90.56</v>
      </c>
      <c r="E894" s="1">
        <f ca="1">IFERROR(__xludf.DUMMYFUNCTION("""COMPUTED_VALUE"""),90.65)</f>
        <v>90.65</v>
      </c>
      <c r="F894" s="1">
        <f ca="1">IFERROR(__xludf.DUMMYFUNCTION("""COMPUTED_VALUE"""),4676942)</f>
        <v>4676942</v>
      </c>
    </row>
    <row r="895" spans="1:6" x14ac:dyDescent="0.35">
      <c r="A895" s="2">
        <f ca="1">IFERROR(__xludf.DUMMYFUNCTION("""COMPUTED_VALUE"""),43301.6666666666)</f>
        <v>43301.666666666599</v>
      </c>
      <c r="B895" s="1">
        <f ca="1">IFERROR(__xludf.DUMMYFUNCTION("""COMPUTED_VALUE"""),91.25)</f>
        <v>91.25</v>
      </c>
      <c r="C895" s="1">
        <f ca="1">IFERROR(__xludf.DUMMYFUNCTION("""COMPUTED_VALUE"""),91.74)</f>
        <v>91.74</v>
      </c>
      <c r="D895" s="1">
        <f ca="1">IFERROR(__xludf.DUMMYFUNCTION("""COMPUTED_VALUE"""),90.5)</f>
        <v>90.5</v>
      </c>
      <c r="E895" s="1">
        <f ca="1">IFERROR(__xludf.DUMMYFUNCTION("""COMPUTED_VALUE"""),90.69)</f>
        <v>90.69</v>
      </c>
      <c r="F895" s="1">
        <f ca="1">IFERROR(__xludf.DUMMYFUNCTION("""COMPUTED_VALUE"""),3891566)</f>
        <v>3891566</v>
      </c>
    </row>
    <row r="896" spans="1:6" x14ac:dyDescent="0.35">
      <c r="A896" s="2">
        <f ca="1">IFERROR(__xludf.DUMMYFUNCTION("""COMPUTED_VALUE"""),43304.6666666666)</f>
        <v>43304.666666666599</v>
      </c>
      <c r="B896" s="1">
        <f ca="1">IFERROR(__xludf.DUMMYFUNCTION("""COMPUTED_VALUE"""),90.61)</f>
        <v>90.61</v>
      </c>
      <c r="C896" s="1">
        <f ca="1">IFERROR(__xludf.DUMMYFUNCTION("""COMPUTED_VALUE"""),90.95)</f>
        <v>90.95</v>
      </c>
      <c r="D896" s="1">
        <f ca="1">IFERROR(__xludf.DUMMYFUNCTION("""COMPUTED_VALUE"""),88.5)</f>
        <v>88.5</v>
      </c>
      <c r="E896" s="1">
        <f ca="1">IFERROR(__xludf.DUMMYFUNCTION("""COMPUTED_VALUE"""),90.1)</f>
        <v>90.1</v>
      </c>
      <c r="F896" s="1">
        <f ca="1">IFERROR(__xludf.DUMMYFUNCTION("""COMPUTED_VALUE"""),3888462)</f>
        <v>3888462</v>
      </c>
    </row>
    <row r="897" spans="1:6" x14ac:dyDescent="0.35">
      <c r="A897" s="2">
        <f ca="1">IFERROR(__xludf.DUMMYFUNCTION("""COMPUTED_VALUE"""),43305.6666666666)</f>
        <v>43305.666666666599</v>
      </c>
      <c r="B897" s="1">
        <f ca="1">IFERROR(__xludf.DUMMYFUNCTION("""COMPUTED_VALUE"""),91.45)</f>
        <v>91.45</v>
      </c>
      <c r="C897" s="1">
        <f ca="1">IFERROR(__xludf.DUMMYFUNCTION("""COMPUTED_VALUE"""),92)</f>
        <v>92</v>
      </c>
      <c r="D897" s="1">
        <f ca="1">IFERROR(__xludf.DUMMYFUNCTION("""COMPUTED_VALUE"""),90.47)</f>
        <v>90.47</v>
      </c>
      <c r="E897" s="1">
        <f ca="1">IFERROR(__xludf.DUMMYFUNCTION("""COMPUTED_VALUE"""),91.46)</f>
        <v>91.46</v>
      </c>
      <c r="F897" s="1">
        <f ca="1">IFERROR(__xludf.DUMMYFUNCTION("""COMPUTED_VALUE"""),4278723)</f>
        <v>4278723</v>
      </c>
    </row>
    <row r="898" spans="1:6" x14ac:dyDescent="0.35">
      <c r="A898" s="2">
        <f ca="1">IFERROR(__xludf.DUMMYFUNCTION("""COMPUTED_VALUE"""),43306.6666666666)</f>
        <v>43306.666666666599</v>
      </c>
      <c r="B898" s="1">
        <f ca="1">IFERROR(__xludf.DUMMYFUNCTION("""COMPUTED_VALUE"""),91.47)</f>
        <v>91.47</v>
      </c>
      <c r="C898" s="1">
        <f ca="1">IFERROR(__xludf.DUMMYFUNCTION("""COMPUTED_VALUE"""),93.19)</f>
        <v>93.19</v>
      </c>
      <c r="D898" s="1">
        <f ca="1">IFERROR(__xludf.DUMMYFUNCTION("""COMPUTED_VALUE"""),91.13)</f>
        <v>91.13</v>
      </c>
      <c r="E898" s="1">
        <f ca="1">IFERROR(__xludf.DUMMYFUNCTION("""COMPUTED_VALUE"""),93.18)</f>
        <v>93.18</v>
      </c>
      <c r="F898" s="1">
        <f ca="1">IFERROR(__xludf.DUMMYFUNCTION("""COMPUTED_VALUE"""),3836333)</f>
        <v>3836333</v>
      </c>
    </row>
    <row r="899" spans="1:6" x14ac:dyDescent="0.35">
      <c r="A899" s="2">
        <f ca="1">IFERROR(__xludf.DUMMYFUNCTION("""COMPUTED_VALUE"""),43307.6666666666)</f>
        <v>43307.666666666599</v>
      </c>
      <c r="B899" s="1">
        <f ca="1">IFERROR(__xludf.DUMMYFUNCTION("""COMPUTED_VALUE"""),91.95)</f>
        <v>91.95</v>
      </c>
      <c r="C899" s="1">
        <f ca="1">IFERROR(__xludf.DUMMYFUNCTION("""COMPUTED_VALUE"""),92.23)</f>
        <v>92.23</v>
      </c>
      <c r="D899" s="1">
        <f ca="1">IFERROR(__xludf.DUMMYFUNCTION("""COMPUTED_VALUE"""),90.23)</f>
        <v>90.23</v>
      </c>
      <c r="E899" s="1">
        <f ca="1">IFERROR(__xludf.DUMMYFUNCTION("""COMPUTED_VALUE"""),90.4)</f>
        <v>90.4</v>
      </c>
      <c r="F899" s="1">
        <f ca="1">IFERROR(__xludf.DUMMYFUNCTION("""COMPUTED_VALUE"""),9924371)</f>
        <v>9924371</v>
      </c>
    </row>
    <row r="900" spans="1:6" x14ac:dyDescent="0.35">
      <c r="A900" s="2">
        <f ca="1">IFERROR(__xludf.DUMMYFUNCTION("""COMPUTED_VALUE"""),43308.6666666666)</f>
        <v>43308.666666666599</v>
      </c>
      <c r="B900" s="1">
        <f ca="1">IFERROR(__xludf.DUMMYFUNCTION("""COMPUTED_VALUE"""),93.8)</f>
        <v>93.8</v>
      </c>
      <c r="C900" s="1">
        <f ca="1">IFERROR(__xludf.DUMMYFUNCTION("""COMPUTED_VALUE"""),94)</f>
        <v>94</v>
      </c>
      <c r="D900" s="1">
        <f ca="1">IFERROR(__xludf.DUMMYFUNCTION("""COMPUTED_VALUE"""),90.33)</f>
        <v>90.33</v>
      </c>
      <c r="E900" s="1">
        <f ca="1">IFERROR(__xludf.DUMMYFUNCTION("""COMPUTED_VALUE"""),90.86)</f>
        <v>90.86</v>
      </c>
      <c r="F900" s="1">
        <f ca="1">IFERROR(__xludf.DUMMYFUNCTION("""COMPUTED_VALUE"""),9680959)</f>
        <v>9680959</v>
      </c>
    </row>
    <row r="901" spans="1:6" x14ac:dyDescent="0.35">
      <c r="A901" s="2">
        <f ca="1">IFERROR(__xludf.DUMMYFUNCTION("""COMPUTED_VALUE"""),43311.6666666666)</f>
        <v>43311.666666666599</v>
      </c>
      <c r="B901" s="1">
        <f ca="1">IFERROR(__xludf.DUMMYFUNCTION("""COMPUTED_VALUE"""),91.37)</f>
        <v>91.37</v>
      </c>
      <c r="C901" s="1">
        <f ca="1">IFERROR(__xludf.DUMMYFUNCTION("""COMPUTED_VALUE"""),91.48)</f>
        <v>91.48</v>
      </c>
      <c r="D901" s="1">
        <f ca="1">IFERROR(__xludf.DUMMYFUNCTION("""COMPUTED_VALUE"""),88.3)</f>
        <v>88.3</v>
      </c>
      <c r="E901" s="1">
        <f ca="1">IFERROR(__xludf.DUMMYFUNCTION("""COMPUTED_VALUE"""),88.96)</f>
        <v>88.96</v>
      </c>
      <c r="F901" s="1">
        <f ca="1">IFERROR(__xludf.DUMMYFUNCTION("""COMPUTED_VALUE"""),6562321)</f>
        <v>6562321</v>
      </c>
    </row>
    <row r="902" spans="1:6" x14ac:dyDescent="0.35">
      <c r="A902" s="2">
        <f ca="1">IFERROR(__xludf.DUMMYFUNCTION("""COMPUTED_VALUE"""),43312.6666666666)</f>
        <v>43312.666666666599</v>
      </c>
      <c r="B902" s="1">
        <f ca="1">IFERROR(__xludf.DUMMYFUNCTION("""COMPUTED_VALUE"""),89.32)</f>
        <v>89.32</v>
      </c>
      <c r="C902" s="1">
        <f ca="1">IFERROR(__xludf.DUMMYFUNCTION("""COMPUTED_VALUE"""),90.09)</f>
        <v>90.09</v>
      </c>
      <c r="D902" s="1">
        <f ca="1">IFERROR(__xludf.DUMMYFUNCTION("""COMPUTED_VALUE"""),86.97)</f>
        <v>86.97</v>
      </c>
      <c r="E902" s="1">
        <f ca="1">IFERROR(__xludf.DUMMYFUNCTION("""COMPUTED_VALUE"""),88.87)</f>
        <v>88.87</v>
      </c>
      <c r="F902" s="1">
        <f ca="1">IFERROR(__xludf.DUMMYFUNCTION("""COMPUTED_VALUE"""),5738713)</f>
        <v>5738713</v>
      </c>
    </row>
    <row r="903" spans="1:6" x14ac:dyDescent="0.35">
      <c r="A903" s="2">
        <f ca="1">IFERROR(__xludf.DUMMYFUNCTION("""COMPUTED_VALUE"""),43313.6666666666)</f>
        <v>43313.666666666599</v>
      </c>
      <c r="B903" s="1">
        <f ca="1">IFERROR(__xludf.DUMMYFUNCTION("""COMPUTED_VALUE"""),89.2)</f>
        <v>89.2</v>
      </c>
      <c r="C903" s="1">
        <f ca="1">IFERROR(__xludf.DUMMYFUNCTION("""COMPUTED_VALUE"""),89.92)</f>
        <v>89.92</v>
      </c>
      <c r="D903" s="1">
        <f ca="1">IFERROR(__xludf.DUMMYFUNCTION("""COMPUTED_VALUE"""),88.8)</f>
        <v>88.8</v>
      </c>
      <c r="E903" s="1">
        <f ca="1">IFERROR(__xludf.DUMMYFUNCTION("""COMPUTED_VALUE"""),89.86)</f>
        <v>89.86</v>
      </c>
      <c r="F903" s="1">
        <f ca="1">IFERROR(__xludf.DUMMYFUNCTION("""COMPUTED_VALUE"""),4153096)</f>
        <v>4153096</v>
      </c>
    </row>
    <row r="904" spans="1:6" x14ac:dyDescent="0.35">
      <c r="A904" s="2">
        <f ca="1">IFERROR(__xludf.DUMMYFUNCTION("""COMPUTED_VALUE"""),43314.6666666666)</f>
        <v>43314.666666666599</v>
      </c>
      <c r="B904" s="1">
        <f ca="1">IFERROR(__xludf.DUMMYFUNCTION("""COMPUTED_VALUE"""),89.44)</f>
        <v>89.44</v>
      </c>
      <c r="C904" s="1">
        <f ca="1">IFERROR(__xludf.DUMMYFUNCTION("""COMPUTED_VALUE"""),91.83)</f>
        <v>91.83</v>
      </c>
      <c r="D904" s="1">
        <f ca="1">IFERROR(__xludf.DUMMYFUNCTION("""COMPUTED_VALUE"""),89.3)</f>
        <v>89.3</v>
      </c>
      <c r="E904" s="1">
        <f ca="1">IFERROR(__xludf.DUMMYFUNCTION("""COMPUTED_VALUE"""),91.72)</f>
        <v>91.72</v>
      </c>
      <c r="F904" s="1">
        <f ca="1">IFERROR(__xludf.DUMMYFUNCTION("""COMPUTED_VALUE"""),4354681)</f>
        <v>4354681</v>
      </c>
    </row>
    <row r="905" spans="1:6" x14ac:dyDescent="0.35">
      <c r="A905" s="2">
        <f ca="1">IFERROR(__xludf.DUMMYFUNCTION("""COMPUTED_VALUE"""),43315.6666666666)</f>
        <v>43315.666666666599</v>
      </c>
      <c r="B905" s="1">
        <f ca="1">IFERROR(__xludf.DUMMYFUNCTION("""COMPUTED_VALUE"""),91.89)</f>
        <v>91.89</v>
      </c>
      <c r="C905" s="1">
        <f ca="1">IFERROR(__xludf.DUMMYFUNCTION("""COMPUTED_VALUE"""),92.05)</f>
        <v>92.05</v>
      </c>
      <c r="D905" s="1">
        <f ca="1">IFERROR(__xludf.DUMMYFUNCTION("""COMPUTED_VALUE"""),91.08)</f>
        <v>91.08</v>
      </c>
      <c r="E905" s="1">
        <f ca="1">IFERROR(__xludf.DUMMYFUNCTION("""COMPUTED_VALUE"""),91.16)</f>
        <v>91.16</v>
      </c>
      <c r="F905" s="1">
        <f ca="1">IFERROR(__xludf.DUMMYFUNCTION("""COMPUTED_VALUE"""),3460487)</f>
        <v>3460487</v>
      </c>
    </row>
    <row r="906" spans="1:6" x14ac:dyDescent="0.35">
      <c r="A906" s="2">
        <f ca="1">IFERROR(__xludf.DUMMYFUNCTION("""COMPUTED_VALUE"""),43318.6666666666)</f>
        <v>43318.666666666599</v>
      </c>
      <c r="B906" s="1">
        <f ca="1">IFERROR(__xludf.DUMMYFUNCTION("""COMPUTED_VALUE"""),91.29)</f>
        <v>91.29</v>
      </c>
      <c r="C906" s="1">
        <f ca="1">IFERROR(__xludf.DUMMYFUNCTION("""COMPUTED_VALUE"""),92.39)</f>
        <v>92.39</v>
      </c>
      <c r="D906" s="1">
        <f ca="1">IFERROR(__xludf.DUMMYFUNCTION("""COMPUTED_VALUE"""),90.95)</f>
        <v>90.95</v>
      </c>
      <c r="E906" s="1">
        <f ca="1">IFERROR(__xludf.DUMMYFUNCTION("""COMPUTED_VALUE"""),92.39)</f>
        <v>92.39</v>
      </c>
      <c r="F906" s="1">
        <f ca="1">IFERROR(__xludf.DUMMYFUNCTION("""COMPUTED_VALUE"""),3391825)</f>
        <v>3391825</v>
      </c>
    </row>
    <row r="907" spans="1:6" x14ac:dyDescent="0.35">
      <c r="A907" s="2">
        <f ca="1">IFERROR(__xludf.DUMMYFUNCTION("""COMPUTED_VALUE"""),43319.6666666666)</f>
        <v>43319.666666666599</v>
      </c>
      <c r="B907" s="1">
        <f ca="1">IFERROR(__xludf.DUMMYFUNCTION("""COMPUTED_VALUE"""),92.73)</f>
        <v>92.73</v>
      </c>
      <c r="C907" s="1">
        <f ca="1">IFERROR(__xludf.DUMMYFUNCTION("""COMPUTED_VALUE"""),93.49)</f>
        <v>93.49</v>
      </c>
      <c r="D907" s="1">
        <f ca="1">IFERROR(__xludf.DUMMYFUNCTION("""COMPUTED_VALUE"""),92.31)</f>
        <v>92.31</v>
      </c>
      <c r="E907" s="1">
        <f ca="1">IFERROR(__xludf.DUMMYFUNCTION("""COMPUTED_VALUE"""),93.12)</f>
        <v>93.12</v>
      </c>
      <c r="F907" s="1">
        <f ca="1">IFERROR(__xludf.DUMMYFUNCTION("""COMPUTED_VALUE"""),3377473)</f>
        <v>3377473</v>
      </c>
    </row>
    <row r="908" spans="1:6" x14ac:dyDescent="0.35">
      <c r="A908" s="2">
        <f ca="1">IFERROR(__xludf.DUMMYFUNCTION("""COMPUTED_VALUE"""),43320.6666666666)</f>
        <v>43320.666666666599</v>
      </c>
      <c r="B908" s="1">
        <f ca="1">IFERROR(__xludf.DUMMYFUNCTION("""COMPUTED_VALUE"""),93.05)</f>
        <v>93.05</v>
      </c>
      <c r="C908" s="1">
        <f ca="1">IFERROR(__xludf.DUMMYFUNCTION("""COMPUTED_VALUE"""),94.58)</f>
        <v>94.58</v>
      </c>
      <c r="D908" s="1">
        <f ca="1">IFERROR(__xludf.DUMMYFUNCTION("""COMPUTED_VALUE"""),92.73)</f>
        <v>92.73</v>
      </c>
      <c r="E908" s="1">
        <f ca="1">IFERROR(__xludf.DUMMYFUNCTION("""COMPUTED_VALUE"""),94.33)</f>
        <v>94.33</v>
      </c>
      <c r="F908" s="1">
        <f ca="1">IFERROR(__xludf.DUMMYFUNCTION("""COMPUTED_VALUE"""),3963017)</f>
        <v>3963017</v>
      </c>
    </row>
    <row r="909" spans="1:6" x14ac:dyDescent="0.35">
      <c r="A909" s="2">
        <f ca="1">IFERROR(__xludf.DUMMYFUNCTION("""COMPUTED_VALUE"""),43321.6666666666)</f>
        <v>43321.666666666599</v>
      </c>
      <c r="B909" s="1">
        <f ca="1">IFERROR(__xludf.DUMMYFUNCTION("""COMPUTED_VALUE"""),94.1)</f>
        <v>94.1</v>
      </c>
      <c r="C909" s="1">
        <f ca="1">IFERROR(__xludf.DUMMYFUNCTION("""COMPUTED_VALUE"""),95.73)</f>
        <v>95.73</v>
      </c>
      <c r="D909" s="1">
        <f ca="1">IFERROR(__xludf.DUMMYFUNCTION("""COMPUTED_VALUE"""),93.87)</f>
        <v>93.87</v>
      </c>
      <c r="E909" s="1">
        <f ca="1">IFERROR(__xludf.DUMMYFUNCTION("""COMPUTED_VALUE"""),94.93)</f>
        <v>94.93</v>
      </c>
      <c r="F909" s="1">
        <f ca="1">IFERROR(__xludf.DUMMYFUNCTION("""COMPUTED_VALUE"""),4860374)</f>
        <v>4860374</v>
      </c>
    </row>
    <row r="910" spans="1:6" x14ac:dyDescent="0.35">
      <c r="A910" s="2">
        <f ca="1">IFERROR(__xludf.DUMMYFUNCTION("""COMPUTED_VALUE"""),43322.6666666666)</f>
        <v>43322.666666666599</v>
      </c>
      <c r="B910" s="1">
        <f ca="1">IFERROR(__xludf.DUMMYFUNCTION("""COMPUTED_VALUE"""),94.43)</f>
        <v>94.43</v>
      </c>
      <c r="C910" s="1">
        <f ca="1">IFERROR(__xludf.DUMMYFUNCTION("""COMPUTED_VALUE"""),94.98)</f>
        <v>94.98</v>
      </c>
      <c r="D910" s="1">
        <f ca="1">IFERROR(__xludf.DUMMYFUNCTION("""COMPUTED_VALUE"""),93.91)</f>
        <v>93.91</v>
      </c>
      <c r="E910" s="1">
        <f ca="1">IFERROR(__xludf.DUMMYFUNCTION("""COMPUTED_VALUE"""),94.32)</f>
        <v>94.32</v>
      </c>
      <c r="F910" s="1">
        <f ca="1">IFERROR(__xludf.DUMMYFUNCTION("""COMPUTED_VALUE"""),3639927)</f>
        <v>3639927</v>
      </c>
    </row>
    <row r="911" spans="1:6" x14ac:dyDescent="0.35">
      <c r="A911" s="2">
        <f ca="1">IFERROR(__xludf.DUMMYFUNCTION("""COMPUTED_VALUE"""),43325.6666666666)</f>
        <v>43325.666666666599</v>
      </c>
      <c r="B911" s="1">
        <f ca="1">IFERROR(__xludf.DUMMYFUNCTION("""COMPUTED_VALUE"""),94.93)</f>
        <v>94.93</v>
      </c>
      <c r="C911" s="1">
        <f ca="1">IFERROR(__xludf.DUMMYFUNCTION("""COMPUTED_VALUE"""),96.25)</f>
        <v>96.25</v>
      </c>
      <c r="D911" s="1">
        <f ca="1">IFERROR(__xludf.DUMMYFUNCTION("""COMPUTED_VALUE"""),94.68)</f>
        <v>94.68</v>
      </c>
      <c r="E911" s="1">
        <f ca="1">IFERROR(__xludf.DUMMYFUNCTION("""COMPUTED_VALUE"""),94.81)</f>
        <v>94.81</v>
      </c>
      <c r="F911" s="1">
        <f ca="1">IFERROR(__xludf.DUMMYFUNCTION("""COMPUTED_VALUE"""),5531475)</f>
        <v>5531475</v>
      </c>
    </row>
    <row r="912" spans="1:6" x14ac:dyDescent="0.35">
      <c r="A912" s="2">
        <f ca="1">IFERROR(__xludf.DUMMYFUNCTION("""COMPUTED_VALUE"""),43326.6666666666)</f>
        <v>43326.666666666599</v>
      </c>
      <c r="B912" s="1">
        <f ca="1">IFERROR(__xludf.DUMMYFUNCTION("""COMPUTED_VALUE"""),95.97)</f>
        <v>95.97</v>
      </c>
      <c r="C912" s="1">
        <f ca="1">IFERROR(__xludf.DUMMYFUNCTION("""COMPUTED_VALUE"""),96.05)</f>
        <v>96.05</v>
      </c>
      <c r="D912" s="1">
        <f ca="1">IFERROR(__xludf.DUMMYFUNCTION("""COMPUTED_VALUE"""),95)</f>
        <v>95</v>
      </c>
      <c r="E912" s="1">
        <f ca="1">IFERROR(__xludf.DUMMYFUNCTION("""COMPUTED_VALUE"""),95.98)</f>
        <v>95.98</v>
      </c>
      <c r="F912" s="1">
        <f ca="1">IFERROR(__xludf.DUMMYFUNCTION("""COMPUTED_VALUE"""),3986123)</f>
        <v>3986123</v>
      </c>
    </row>
    <row r="913" spans="1:6" x14ac:dyDescent="0.35">
      <c r="A913" s="2">
        <f ca="1">IFERROR(__xludf.DUMMYFUNCTION("""COMPUTED_VALUE"""),43327.6666666666)</f>
        <v>43327.666666666599</v>
      </c>
      <c r="B913" s="1">
        <f ca="1">IFERROR(__xludf.DUMMYFUNCTION("""COMPUTED_VALUE"""),95.48)</f>
        <v>95.48</v>
      </c>
      <c r="C913" s="1">
        <f ca="1">IFERROR(__xludf.DUMMYFUNCTION("""COMPUTED_VALUE"""),95.81)</f>
        <v>95.81</v>
      </c>
      <c r="D913" s="1">
        <f ca="1">IFERROR(__xludf.DUMMYFUNCTION("""COMPUTED_VALUE"""),93.49)</f>
        <v>93.49</v>
      </c>
      <c r="E913" s="1">
        <f ca="1">IFERROR(__xludf.DUMMYFUNCTION("""COMPUTED_VALUE"""),94.13)</f>
        <v>94.13</v>
      </c>
      <c r="F913" s="1">
        <f ca="1">IFERROR(__xludf.DUMMYFUNCTION("""COMPUTED_VALUE"""),7700682)</f>
        <v>7700682</v>
      </c>
    </row>
    <row r="914" spans="1:6" x14ac:dyDescent="0.35">
      <c r="A914" s="2">
        <f ca="1">IFERROR(__xludf.DUMMYFUNCTION("""COMPUTED_VALUE"""),43328.6666666666)</f>
        <v>43328.666666666599</v>
      </c>
      <c r="B914" s="1">
        <f ca="1">IFERROR(__xludf.DUMMYFUNCTION("""COMPUTED_VALUE"""),95.2)</f>
        <v>95.2</v>
      </c>
      <c r="C914" s="1">
        <f ca="1">IFERROR(__xludf.DUMMYFUNCTION("""COMPUTED_VALUE"""),95.25)</f>
        <v>95.25</v>
      </c>
      <c r="D914" s="1">
        <f ca="1">IFERROR(__xludf.DUMMYFUNCTION("""COMPUTED_VALUE"""),94.18)</f>
        <v>94.18</v>
      </c>
      <c r="E914" s="1">
        <f ca="1">IFERROR(__xludf.DUMMYFUNCTION("""COMPUTED_VALUE"""),94.33)</f>
        <v>94.33</v>
      </c>
      <c r="F914" s="1">
        <f ca="1">IFERROR(__xludf.DUMMYFUNCTION("""COMPUTED_VALUE"""),3957090)</f>
        <v>3957090</v>
      </c>
    </row>
    <row r="915" spans="1:6" x14ac:dyDescent="0.35">
      <c r="A915" s="2">
        <f ca="1">IFERROR(__xludf.DUMMYFUNCTION("""COMPUTED_VALUE"""),43329.6666666666)</f>
        <v>43329.666666666599</v>
      </c>
      <c r="B915" s="1">
        <f ca="1">IFERROR(__xludf.DUMMYFUNCTION("""COMPUTED_VALUE"""),94.29)</f>
        <v>94.29</v>
      </c>
      <c r="C915" s="1">
        <f ca="1">IFERROR(__xludf.DUMMYFUNCTION("""COMPUTED_VALUE"""),94.4)</f>
        <v>94.4</v>
      </c>
      <c r="D915" s="1">
        <f ca="1">IFERROR(__xludf.DUMMYFUNCTION("""COMPUTED_VALUE"""),92.78)</f>
        <v>92.78</v>
      </c>
      <c r="E915" s="1">
        <f ca="1">IFERROR(__xludf.DUMMYFUNCTION("""COMPUTED_VALUE"""),94.11)</f>
        <v>94.11</v>
      </c>
      <c r="F915" s="1">
        <f ca="1">IFERROR(__xludf.DUMMYFUNCTION("""COMPUTED_VALUE"""),4104300)</f>
        <v>4104300</v>
      </c>
    </row>
    <row r="916" spans="1:6" x14ac:dyDescent="0.35">
      <c r="A916" s="2">
        <f ca="1">IFERROR(__xludf.DUMMYFUNCTION("""COMPUTED_VALUE"""),43332.6666666666)</f>
        <v>43332.666666666599</v>
      </c>
      <c r="B916" s="1">
        <f ca="1">IFERROR(__xludf.DUMMYFUNCTION("""COMPUTED_VALUE"""),94.53)</f>
        <v>94.53</v>
      </c>
      <c r="C916" s="1">
        <f ca="1">IFERROR(__xludf.DUMMYFUNCTION("""COMPUTED_VALUE"""),94.59)</f>
        <v>94.59</v>
      </c>
      <c r="D916" s="1">
        <f ca="1">IFERROR(__xludf.DUMMYFUNCTION("""COMPUTED_VALUE"""),93.3)</f>
        <v>93.3</v>
      </c>
      <c r="E916" s="1">
        <f ca="1">IFERROR(__xludf.DUMMYFUNCTION("""COMPUTED_VALUE"""),93.84)</f>
        <v>93.84</v>
      </c>
      <c r="F916" s="1">
        <f ca="1">IFERROR(__xludf.DUMMYFUNCTION("""COMPUTED_VALUE"""),2862016)</f>
        <v>2862016</v>
      </c>
    </row>
    <row r="917" spans="1:6" x14ac:dyDescent="0.35">
      <c r="A917" s="2">
        <f ca="1">IFERROR(__xludf.DUMMYFUNCTION("""COMPUTED_VALUE"""),43333.6666666666)</f>
        <v>43333.666666666599</v>
      </c>
      <c r="B917" s="1">
        <f ca="1">IFERROR(__xludf.DUMMYFUNCTION("""COMPUTED_VALUE"""),94)</f>
        <v>94</v>
      </c>
      <c r="C917" s="1">
        <f ca="1">IFERROR(__xludf.DUMMYFUNCTION("""COMPUTED_VALUE"""),94.89)</f>
        <v>94.89</v>
      </c>
      <c r="D917" s="1">
        <f ca="1">IFERROR(__xludf.DUMMYFUNCTION("""COMPUTED_VALUE"""),93.72)</f>
        <v>93.72</v>
      </c>
      <c r="E917" s="1">
        <f ca="1">IFERROR(__xludf.DUMMYFUNCTION("""COMPUTED_VALUE"""),94.17)</f>
        <v>94.17</v>
      </c>
      <c r="F917" s="1">
        <f ca="1">IFERROR(__xludf.DUMMYFUNCTION("""COMPUTED_VALUE"""),3105626)</f>
        <v>3105626</v>
      </c>
    </row>
    <row r="918" spans="1:6" x14ac:dyDescent="0.35">
      <c r="A918" s="2">
        <f ca="1">IFERROR(__xludf.DUMMYFUNCTION("""COMPUTED_VALUE"""),43334.6666666666)</f>
        <v>43334.666666666599</v>
      </c>
      <c r="B918" s="1">
        <f ca="1">IFERROR(__xludf.DUMMYFUNCTION("""COMPUTED_VALUE"""),93.83)</f>
        <v>93.83</v>
      </c>
      <c r="C918" s="1">
        <f ca="1">IFERROR(__xludf.DUMMYFUNCTION("""COMPUTED_VALUE"""),95.29)</f>
        <v>95.29</v>
      </c>
      <c r="D918" s="1">
        <f ca="1">IFERROR(__xludf.DUMMYFUNCTION("""COMPUTED_VALUE"""),93.83)</f>
        <v>93.83</v>
      </c>
      <c r="E918" s="1">
        <f ca="1">IFERROR(__xludf.DUMMYFUNCTION("""COMPUTED_VALUE"""),95.25)</f>
        <v>95.25</v>
      </c>
      <c r="F918" s="1">
        <f ca="1">IFERROR(__xludf.DUMMYFUNCTION("""COMPUTED_VALUE"""),3080464)</f>
        <v>3080464</v>
      </c>
    </row>
    <row r="919" spans="1:6" x14ac:dyDescent="0.35">
      <c r="A919" s="2">
        <f ca="1">IFERROR(__xludf.DUMMYFUNCTION("""COMPUTED_VALUE"""),43335.6666666666)</f>
        <v>43335.666666666599</v>
      </c>
      <c r="B919" s="1">
        <f ca="1">IFERROR(__xludf.DUMMYFUNCTION("""COMPUTED_VALUE"""),95.36)</f>
        <v>95.36</v>
      </c>
      <c r="C919" s="1">
        <f ca="1">IFERROR(__xludf.DUMMYFUNCTION("""COMPUTED_VALUE"""),95.98)</f>
        <v>95.98</v>
      </c>
      <c r="D919" s="1">
        <f ca="1">IFERROR(__xludf.DUMMYFUNCTION("""COMPUTED_VALUE"""),95.04)</f>
        <v>95.04</v>
      </c>
      <c r="E919" s="1">
        <f ca="1">IFERROR(__xludf.DUMMYFUNCTION("""COMPUTED_VALUE"""),95.15)</f>
        <v>95.15</v>
      </c>
      <c r="F919" s="1">
        <f ca="1">IFERROR(__xludf.DUMMYFUNCTION("""COMPUTED_VALUE"""),3562997)</f>
        <v>3562997</v>
      </c>
    </row>
    <row r="920" spans="1:6" x14ac:dyDescent="0.35">
      <c r="A920" s="2">
        <f ca="1">IFERROR(__xludf.DUMMYFUNCTION("""COMPUTED_VALUE"""),43336.6666666666)</f>
        <v>43336.666666666599</v>
      </c>
      <c r="B920" s="1">
        <f ca="1">IFERROR(__xludf.DUMMYFUNCTION("""COMPUTED_VALUE"""),95.53)</f>
        <v>95.53</v>
      </c>
      <c r="C920" s="1">
        <f ca="1">IFERROR(__xludf.DUMMYFUNCTION("""COMPUTED_VALUE"""),95.8)</f>
        <v>95.8</v>
      </c>
      <c r="D920" s="1">
        <f ca="1">IFERROR(__xludf.DUMMYFUNCTION("""COMPUTED_VALUE"""),95.13)</f>
        <v>95.13</v>
      </c>
      <c r="E920" s="1">
        <f ca="1">IFERROR(__xludf.DUMMYFUNCTION("""COMPUTED_VALUE"""),95.27)</f>
        <v>95.27</v>
      </c>
      <c r="F920" s="1">
        <f ca="1">IFERROR(__xludf.DUMMYFUNCTION("""COMPUTED_VALUE"""),2800863)</f>
        <v>2800863</v>
      </c>
    </row>
    <row r="921" spans="1:6" x14ac:dyDescent="0.35">
      <c r="A921" s="2">
        <f ca="1">IFERROR(__xludf.DUMMYFUNCTION("""COMPUTED_VALUE"""),43339.6666666666)</f>
        <v>43339.666666666599</v>
      </c>
      <c r="B921" s="1">
        <f ca="1">IFERROR(__xludf.DUMMYFUNCTION("""COMPUTED_VALUE"""),95.75)</f>
        <v>95.75</v>
      </c>
      <c r="C921" s="1">
        <f ca="1">IFERROR(__xludf.DUMMYFUNCTION("""COMPUTED_VALUE"""),96.39)</f>
        <v>96.39</v>
      </c>
      <c r="D921" s="1">
        <f ca="1">IFERROR(__xludf.DUMMYFUNCTION("""COMPUTED_VALUE"""),95.46)</f>
        <v>95.46</v>
      </c>
      <c r="E921" s="1">
        <f ca="1">IFERROR(__xludf.DUMMYFUNCTION("""COMPUTED_VALUE"""),96.38)</f>
        <v>96.38</v>
      </c>
      <c r="F921" s="1">
        <f ca="1">IFERROR(__xludf.DUMMYFUNCTION("""COMPUTED_VALUE"""),3569037)</f>
        <v>3569037</v>
      </c>
    </row>
    <row r="922" spans="1:6" x14ac:dyDescent="0.35">
      <c r="A922" s="2">
        <f ca="1">IFERROR(__xludf.DUMMYFUNCTION("""COMPUTED_VALUE"""),43340.6666666666)</f>
        <v>43340.666666666599</v>
      </c>
      <c r="B922" s="1">
        <f ca="1">IFERROR(__xludf.DUMMYFUNCTION("""COMPUTED_VALUE"""),96.89)</f>
        <v>96.89</v>
      </c>
      <c r="C922" s="1">
        <f ca="1">IFERROR(__xludf.DUMMYFUNCTION("""COMPUTED_VALUE"""),97.09)</f>
        <v>97.09</v>
      </c>
      <c r="D922" s="1">
        <f ca="1">IFERROR(__xludf.DUMMYFUNCTION("""COMPUTED_VALUE"""),96.44)</f>
        <v>96.44</v>
      </c>
      <c r="E922" s="1">
        <f ca="1">IFERROR(__xludf.DUMMYFUNCTION("""COMPUTED_VALUE"""),96.64)</f>
        <v>96.64</v>
      </c>
      <c r="F922" s="1">
        <f ca="1">IFERROR(__xludf.DUMMYFUNCTION("""COMPUTED_VALUE"""),3100727)</f>
        <v>3100727</v>
      </c>
    </row>
    <row r="923" spans="1:6" x14ac:dyDescent="0.35">
      <c r="A923" s="2">
        <f ca="1">IFERROR(__xludf.DUMMYFUNCTION("""COMPUTED_VALUE"""),43341.6666666666)</f>
        <v>43341.666666666599</v>
      </c>
      <c r="B923" s="1">
        <f ca="1">IFERROR(__xludf.DUMMYFUNCTION("""COMPUTED_VALUE"""),97.67)</f>
        <v>97.67</v>
      </c>
      <c r="C923" s="1">
        <f ca="1">IFERROR(__xludf.DUMMYFUNCTION("""COMPUTED_VALUE"""),99.93)</f>
        <v>99.93</v>
      </c>
      <c r="D923" s="1">
        <f ca="1">IFERROR(__xludf.DUMMYFUNCTION("""COMPUTED_VALUE"""),97.45)</f>
        <v>97.45</v>
      </c>
      <c r="E923" s="1">
        <f ca="1">IFERROR(__xludf.DUMMYFUNCTION("""COMPUTED_VALUE"""),99.91)</f>
        <v>99.91</v>
      </c>
      <c r="F923" s="1">
        <f ca="1">IFERROR(__xludf.DUMMYFUNCTION("""COMPUTED_VALUE"""),6531761)</f>
        <v>6531761</v>
      </c>
    </row>
    <row r="924" spans="1:6" x14ac:dyDescent="0.35">
      <c r="A924" s="2">
        <f ca="1">IFERROR(__xludf.DUMMYFUNCTION("""COMPUTED_VALUE"""),43342.6666666666)</f>
        <v>43342.666666666599</v>
      </c>
      <c r="B924" s="1">
        <f ca="1">IFERROR(__xludf.DUMMYFUNCTION("""COMPUTED_VALUE"""),99.87)</f>
        <v>99.87</v>
      </c>
      <c r="C924" s="1">
        <f ca="1">IFERROR(__xludf.DUMMYFUNCTION("""COMPUTED_VALUE"""),101.28)</f>
        <v>101.28</v>
      </c>
      <c r="D924" s="1">
        <f ca="1">IFERROR(__xludf.DUMMYFUNCTION("""COMPUTED_VALUE"""),99.35)</f>
        <v>99.35</v>
      </c>
      <c r="E924" s="1">
        <f ca="1">IFERROR(__xludf.DUMMYFUNCTION("""COMPUTED_VALUE"""),100.12)</f>
        <v>100.12</v>
      </c>
      <c r="F924" s="1">
        <f ca="1">IFERROR(__xludf.DUMMYFUNCTION("""COMPUTED_VALUE"""),7277257)</f>
        <v>7277257</v>
      </c>
    </row>
    <row r="925" spans="1:6" x14ac:dyDescent="0.35">
      <c r="A925" s="2">
        <f ca="1">IFERROR(__xludf.DUMMYFUNCTION("""COMPUTED_VALUE"""),43343.6666666666)</f>
        <v>43343.666666666599</v>
      </c>
      <c r="B925" s="1">
        <f ca="1">IFERROR(__xludf.DUMMYFUNCTION("""COMPUTED_VALUE"""),100.35)</f>
        <v>100.35</v>
      </c>
      <c r="C925" s="1">
        <f ca="1">IFERROR(__xludf.DUMMYFUNCTION("""COMPUTED_VALUE"""),101.12)</f>
        <v>101.12</v>
      </c>
      <c r="D925" s="1">
        <f ca="1">IFERROR(__xludf.DUMMYFUNCTION("""COMPUTED_VALUE"""),100.24)</f>
        <v>100.24</v>
      </c>
      <c r="E925" s="1">
        <f ca="1">IFERROR(__xludf.DUMMYFUNCTION("""COMPUTED_VALUE"""),100.64)</f>
        <v>100.64</v>
      </c>
      <c r="F925" s="1">
        <f ca="1">IFERROR(__xludf.DUMMYFUNCTION("""COMPUTED_VALUE"""),4204378)</f>
        <v>4204378</v>
      </c>
    </row>
    <row r="926" spans="1:6" x14ac:dyDescent="0.35">
      <c r="A926" s="2">
        <f ca="1">IFERROR(__xludf.DUMMYFUNCTION("""COMPUTED_VALUE"""),43347.6666666666)</f>
        <v>43347.666666666599</v>
      </c>
      <c r="B926" s="1">
        <f ca="1">IFERROR(__xludf.DUMMYFUNCTION("""COMPUTED_VALUE"""),101.33)</f>
        <v>101.33</v>
      </c>
      <c r="C926" s="1">
        <f ca="1">IFERROR(__xludf.DUMMYFUNCTION("""COMPUTED_VALUE"""),102.53)</f>
        <v>102.53</v>
      </c>
      <c r="D926" s="1">
        <f ca="1">IFERROR(__xludf.DUMMYFUNCTION("""COMPUTED_VALUE"""),100.65)</f>
        <v>100.65</v>
      </c>
      <c r="E926" s="1">
        <f ca="1">IFERROR(__xludf.DUMMYFUNCTION("""COMPUTED_VALUE"""),101.98)</f>
        <v>101.98</v>
      </c>
      <c r="F926" s="1">
        <f ca="1">IFERROR(__xludf.DUMMYFUNCTION("""COMPUTED_VALUE"""),5721093)</f>
        <v>5721093</v>
      </c>
    </row>
    <row r="927" spans="1:6" x14ac:dyDescent="0.35">
      <c r="A927" s="2">
        <f ca="1">IFERROR(__xludf.DUMMYFUNCTION("""COMPUTED_VALUE"""),43348.6666666666)</f>
        <v>43348.666666666599</v>
      </c>
      <c r="B927" s="1">
        <f ca="1">IFERROR(__xludf.DUMMYFUNCTION("""COMPUTED_VALUE"""),101.91)</f>
        <v>101.91</v>
      </c>
      <c r="C927" s="1">
        <f ca="1">IFERROR(__xludf.DUMMYFUNCTION("""COMPUTED_VALUE"""),102.02)</f>
        <v>102.02</v>
      </c>
      <c r="D927" s="1">
        <f ca="1">IFERROR(__xludf.DUMMYFUNCTION("""COMPUTED_VALUE"""),99.49)</f>
        <v>99.49</v>
      </c>
      <c r="E927" s="1">
        <f ca="1">IFERROR(__xludf.DUMMYFUNCTION("""COMPUTED_VALUE"""),99.74)</f>
        <v>99.74</v>
      </c>
      <c r="F927" s="1">
        <f ca="1">IFERROR(__xludf.DUMMYFUNCTION("""COMPUTED_VALUE"""),8220576)</f>
        <v>8220576</v>
      </c>
    </row>
    <row r="928" spans="1:6" x14ac:dyDescent="0.35">
      <c r="A928" s="2">
        <f ca="1">IFERROR(__xludf.DUMMYFUNCTION("""COMPUTED_VALUE"""),43349.6666666666)</f>
        <v>43349.666666666599</v>
      </c>
      <c r="B928" s="1">
        <f ca="1">IFERROR(__xludf.DUMMYFUNCTION("""COMPUTED_VALUE"""),100.33)</f>
        <v>100.33</v>
      </c>
      <c r="C928" s="1">
        <f ca="1">IFERROR(__xludf.DUMMYFUNCTION("""COMPUTED_VALUE"""),100.38)</f>
        <v>100.38</v>
      </c>
      <c r="D928" s="1">
        <f ca="1">IFERROR(__xludf.DUMMYFUNCTION("""COMPUTED_VALUE"""),96.76)</f>
        <v>96.76</v>
      </c>
      <c r="E928" s="1">
        <f ca="1">IFERROR(__xludf.DUMMYFUNCTION("""COMPUTED_VALUE"""),97.92)</f>
        <v>97.92</v>
      </c>
      <c r="F928" s="1">
        <f ca="1">IFERROR(__xludf.DUMMYFUNCTION("""COMPUTED_VALUE"""),7488680)</f>
        <v>7488680</v>
      </c>
    </row>
    <row r="929" spans="1:6" x14ac:dyDescent="0.35">
      <c r="A929" s="2">
        <f ca="1">IFERROR(__xludf.DUMMYFUNCTION("""COMPUTED_VALUE"""),43350.6666666666)</f>
        <v>43350.666666666599</v>
      </c>
      <c r="B929" s="1">
        <f ca="1">IFERROR(__xludf.DUMMYFUNCTION("""COMPUTED_VALUE"""),96.94)</f>
        <v>96.94</v>
      </c>
      <c r="C929" s="1">
        <f ca="1">IFERROR(__xludf.DUMMYFUNCTION("""COMPUTED_VALUE"""),98.76)</f>
        <v>98.76</v>
      </c>
      <c r="D929" s="1">
        <f ca="1">IFERROR(__xludf.DUMMYFUNCTION("""COMPUTED_VALUE"""),96.87)</f>
        <v>96.87</v>
      </c>
      <c r="E929" s="1">
        <f ca="1">IFERROR(__xludf.DUMMYFUNCTION("""COMPUTED_VALUE"""),97.6)</f>
        <v>97.6</v>
      </c>
      <c r="F929" s="1">
        <f ca="1">IFERROR(__xludf.DUMMYFUNCTION("""COMPUTED_VALUE"""),4892643)</f>
        <v>4892643</v>
      </c>
    </row>
    <row r="930" spans="1:6" x14ac:dyDescent="0.35">
      <c r="A930" s="2">
        <f ca="1">IFERROR(__xludf.DUMMYFUNCTION("""COMPUTED_VALUE"""),43353.6666666666)</f>
        <v>43353.666666666599</v>
      </c>
      <c r="B930" s="1">
        <f ca="1">IFERROR(__xludf.DUMMYFUNCTION("""COMPUTED_VALUE"""),98.55)</f>
        <v>98.55</v>
      </c>
      <c r="C930" s="1">
        <f ca="1">IFERROR(__xludf.DUMMYFUNCTION("""COMPUTED_VALUE"""),98.65)</f>
        <v>98.65</v>
      </c>
      <c r="D930" s="1">
        <f ca="1">IFERROR(__xludf.DUMMYFUNCTION("""COMPUTED_VALUE"""),96.58)</f>
        <v>96.58</v>
      </c>
      <c r="E930" s="1">
        <f ca="1">IFERROR(__xludf.DUMMYFUNCTION("""COMPUTED_VALUE"""),96.95)</f>
        <v>96.95</v>
      </c>
      <c r="F930" s="1">
        <f ca="1">IFERROR(__xludf.DUMMYFUNCTION("""COMPUTED_VALUE"""),4544831)</f>
        <v>4544831</v>
      </c>
    </row>
    <row r="931" spans="1:6" x14ac:dyDescent="0.35">
      <c r="A931" s="2">
        <f ca="1">IFERROR(__xludf.DUMMYFUNCTION("""COMPUTED_VALUE"""),43354.6666666666)</f>
        <v>43354.666666666599</v>
      </c>
      <c r="B931" s="1">
        <f ca="1">IFERROR(__xludf.DUMMYFUNCTION("""COMPUTED_VALUE"""),96.41)</f>
        <v>96.41</v>
      </c>
      <c r="C931" s="1">
        <f ca="1">IFERROR(__xludf.DUMMYFUNCTION("""COMPUTED_VALUE"""),99.44)</f>
        <v>99.44</v>
      </c>
      <c r="D931" s="1">
        <f ca="1">IFERROR(__xludf.DUMMYFUNCTION("""COMPUTED_VALUE"""),95.85)</f>
        <v>95.85</v>
      </c>
      <c r="E931" s="1">
        <f ca="1">IFERROR(__xludf.DUMMYFUNCTION("""COMPUTED_VALUE"""),99.36)</f>
        <v>99.36</v>
      </c>
      <c r="F931" s="1">
        <f ca="1">IFERROR(__xludf.DUMMYFUNCTION("""COMPUTED_VALUE"""),5033645)</f>
        <v>5033645</v>
      </c>
    </row>
    <row r="932" spans="1:6" x14ac:dyDescent="0.35">
      <c r="A932" s="2">
        <f ca="1">IFERROR(__xludf.DUMMYFUNCTION("""COMPUTED_VALUE"""),43355.6666666666)</f>
        <v>43355.666666666599</v>
      </c>
      <c r="B932" s="1">
        <f ca="1">IFERROR(__xludf.DUMMYFUNCTION("""COMPUTED_VALUE"""),99.7)</f>
        <v>99.7</v>
      </c>
      <c r="C932" s="1">
        <f ca="1">IFERROR(__xludf.DUMMYFUNCTION("""COMPUTED_VALUE"""),100)</f>
        <v>100</v>
      </c>
      <c r="D932" s="1">
        <f ca="1">IFERROR(__xludf.DUMMYFUNCTION("""COMPUTED_VALUE"""),98.12)</f>
        <v>98.12</v>
      </c>
      <c r="E932" s="1">
        <f ca="1">IFERROR(__xludf.DUMMYFUNCTION("""COMPUTED_VALUE"""),99.5)</f>
        <v>99.5</v>
      </c>
      <c r="F932" s="1">
        <f ca="1">IFERROR(__xludf.DUMMYFUNCTION("""COMPUTED_VALUE"""),4414012)</f>
        <v>4414012</v>
      </c>
    </row>
    <row r="933" spans="1:6" x14ac:dyDescent="0.35">
      <c r="A933" s="2">
        <f ca="1">IFERROR(__xludf.DUMMYFUNCTION("""COMPUTED_VALUE"""),43356.6666666666)</f>
        <v>43356.666666666599</v>
      </c>
      <c r="B933" s="1">
        <f ca="1">IFERROR(__xludf.DUMMYFUNCTION("""COMPUTED_VALUE"""),100)</f>
        <v>100</v>
      </c>
      <c r="C933" s="1">
        <f ca="1">IFERROR(__xludf.DUMMYFUNCTION("""COMPUTED_VALUE"""),100.44)</f>
        <v>100.44</v>
      </c>
      <c r="D933" s="1">
        <f ca="1">IFERROR(__xludf.DUMMYFUNCTION("""COMPUTED_VALUE"""),99.1)</f>
        <v>99.1</v>
      </c>
      <c r="E933" s="1">
        <f ca="1">IFERROR(__xludf.DUMMYFUNCTION("""COMPUTED_VALUE"""),99.49)</f>
        <v>99.49</v>
      </c>
      <c r="F933" s="1">
        <f ca="1">IFERROR(__xludf.DUMMYFUNCTION("""COMPUTED_VALUE"""),3621511)</f>
        <v>3621511</v>
      </c>
    </row>
    <row r="934" spans="1:6" x14ac:dyDescent="0.35">
      <c r="A934" s="2">
        <f ca="1">IFERROR(__xludf.DUMMYFUNCTION("""COMPUTED_VALUE"""),43357.6666666666)</f>
        <v>43357.666666666599</v>
      </c>
      <c r="B934" s="1">
        <f ca="1">IFERROR(__xludf.DUMMYFUNCTION("""COMPUTED_VALUE"""),99.65)</f>
        <v>99.65</v>
      </c>
      <c r="C934" s="1">
        <f ca="1">IFERROR(__xludf.DUMMYFUNCTION("""COMPUTED_VALUE"""),99.68)</f>
        <v>99.68</v>
      </c>
      <c r="D934" s="1">
        <f ca="1">IFERROR(__xludf.DUMMYFUNCTION("""COMPUTED_VALUE"""),97.96)</f>
        <v>97.96</v>
      </c>
      <c r="E934" s="1">
        <f ca="1">IFERROR(__xludf.DUMMYFUNCTION("""COMPUTED_VALUE"""),98.51)</f>
        <v>98.51</v>
      </c>
      <c r="F934" s="1">
        <f ca="1">IFERROR(__xludf.DUMMYFUNCTION("""COMPUTED_VALUE"""),3642030)</f>
        <v>3642030</v>
      </c>
    </row>
    <row r="935" spans="1:6" x14ac:dyDescent="0.35">
      <c r="A935" s="2">
        <f ca="1">IFERROR(__xludf.DUMMYFUNCTION("""COMPUTED_VALUE"""),43360.6666666666)</f>
        <v>43360.666666666599</v>
      </c>
      <c r="B935" s="1">
        <f ca="1">IFERROR(__xludf.DUMMYFUNCTION("""COMPUTED_VALUE"""),97.74)</f>
        <v>97.74</v>
      </c>
      <c r="C935" s="1">
        <f ca="1">IFERROR(__xludf.DUMMYFUNCTION("""COMPUTED_VALUE"""),97.84)</f>
        <v>97.84</v>
      </c>
      <c r="D935" s="1">
        <f ca="1">IFERROR(__xludf.DUMMYFUNCTION("""COMPUTED_VALUE"""),94.37)</f>
        <v>94.37</v>
      </c>
      <c r="E935" s="1">
        <f ca="1">IFERROR(__xludf.DUMMYFUNCTION("""COMPUTED_VALUE"""),95.4)</f>
        <v>95.4</v>
      </c>
      <c r="F935" s="1">
        <f ca="1">IFERROR(__xludf.DUMMYFUNCTION("""COMPUTED_VALUE"""),7050192)</f>
        <v>7050192</v>
      </c>
    </row>
    <row r="936" spans="1:6" x14ac:dyDescent="0.35">
      <c r="A936" s="2">
        <f ca="1">IFERROR(__xludf.DUMMYFUNCTION("""COMPUTED_VALUE"""),43361.6666666666)</f>
        <v>43361.666666666599</v>
      </c>
      <c r="B936" s="1">
        <f ca="1">IFERROR(__xludf.DUMMYFUNCTION("""COMPUTED_VALUE"""),95.93)</f>
        <v>95.93</v>
      </c>
      <c r="C936" s="1">
        <f ca="1">IFERROR(__xludf.DUMMYFUNCTION("""COMPUTED_VALUE"""),97.91)</f>
        <v>97.91</v>
      </c>
      <c r="D936" s="1">
        <f ca="1">IFERROR(__xludf.DUMMYFUNCTION("""COMPUTED_VALUE"""),95.77)</f>
        <v>95.77</v>
      </c>
      <c r="E936" s="1">
        <f ca="1">IFERROR(__xludf.DUMMYFUNCTION("""COMPUTED_VALUE"""),97.05)</f>
        <v>97.05</v>
      </c>
      <c r="F936" s="1">
        <f ca="1">IFERROR(__xludf.DUMMYFUNCTION("""COMPUTED_VALUE"""),4268706)</f>
        <v>4268706</v>
      </c>
    </row>
    <row r="937" spans="1:6" x14ac:dyDescent="0.35">
      <c r="A937" s="2">
        <f ca="1">IFERROR(__xludf.DUMMYFUNCTION("""COMPUTED_VALUE"""),43362.6666666666)</f>
        <v>43362.666666666599</v>
      </c>
      <c r="B937" s="1">
        <f ca="1">IFERROR(__xludf.DUMMYFUNCTION("""COMPUTED_VALUE"""),97.03)</f>
        <v>97.03</v>
      </c>
      <c r="C937" s="1">
        <f ca="1">IFERROR(__xludf.DUMMYFUNCTION("""COMPUTED_VALUE"""),97.04)</f>
        <v>97.04</v>
      </c>
      <c r="D937" s="1">
        <f ca="1">IFERROR(__xludf.DUMMYFUNCTION("""COMPUTED_VALUE"""),95.25)</f>
        <v>95.25</v>
      </c>
      <c r="E937" s="1">
        <f ca="1">IFERROR(__xludf.DUMMYFUNCTION("""COMPUTED_VALUE"""),96.32)</f>
        <v>96.32</v>
      </c>
      <c r="F937" s="1">
        <f ca="1">IFERROR(__xludf.DUMMYFUNCTION("""COMPUTED_VALUE"""),4056822)</f>
        <v>4056822</v>
      </c>
    </row>
    <row r="938" spans="1:6" x14ac:dyDescent="0.35">
      <c r="A938" s="2">
        <f ca="1">IFERROR(__xludf.DUMMYFUNCTION("""COMPUTED_VALUE"""),43363.6666666666)</f>
        <v>43363.666666666599</v>
      </c>
      <c r="B938" s="1">
        <f ca="1">IFERROR(__xludf.DUMMYFUNCTION("""COMPUTED_VALUE"""),96.93)</f>
        <v>96.93</v>
      </c>
      <c r="C938" s="1">
        <f ca="1">IFERROR(__xludf.DUMMYFUNCTION("""COMPUTED_VALUE"""),97.75)</f>
        <v>97.75</v>
      </c>
      <c r="D938" s="1">
        <f ca="1">IFERROR(__xludf.DUMMYFUNCTION("""COMPUTED_VALUE"""),96.61)</f>
        <v>96.61</v>
      </c>
      <c r="E938" s="1">
        <f ca="1">IFERROR(__xludf.DUMMYFUNCTION("""COMPUTED_VALUE"""),97.22)</f>
        <v>97.22</v>
      </c>
      <c r="F938" s="1">
        <f ca="1">IFERROR(__xludf.DUMMYFUNCTION("""COMPUTED_VALUE"""),3154934)</f>
        <v>3154934</v>
      </c>
    </row>
    <row r="939" spans="1:6" x14ac:dyDescent="0.35">
      <c r="A939" s="2">
        <f ca="1">IFERROR(__xludf.DUMMYFUNCTION("""COMPUTED_VALUE"""),43364.6666666666)</f>
        <v>43364.666666666599</v>
      </c>
      <c r="B939" s="1">
        <f ca="1">IFERROR(__xludf.DUMMYFUNCTION("""COMPUTED_VALUE"""),97.71)</f>
        <v>97.71</v>
      </c>
      <c r="C939" s="1">
        <f ca="1">IFERROR(__xludf.DUMMYFUNCTION("""COMPUTED_VALUE"""),97.87)</f>
        <v>97.87</v>
      </c>
      <c r="D939" s="1">
        <f ca="1">IFERROR(__xludf.DUMMYFUNCTION("""COMPUTED_VALUE"""),95.53)</f>
        <v>95.53</v>
      </c>
      <c r="E939" s="1">
        <f ca="1">IFERROR(__xludf.DUMMYFUNCTION("""COMPUTED_VALUE"""),95.75)</f>
        <v>95.75</v>
      </c>
      <c r="F939" s="1">
        <f ca="1">IFERROR(__xludf.DUMMYFUNCTION("""COMPUTED_VALUE"""),6855898)</f>
        <v>6855898</v>
      </c>
    </row>
    <row r="940" spans="1:6" x14ac:dyDescent="0.35">
      <c r="A940" s="2">
        <f ca="1">IFERROR(__xludf.DUMMYFUNCTION("""COMPUTED_VALUE"""),43367.6666666666)</f>
        <v>43367.666666666599</v>
      </c>
      <c r="B940" s="1">
        <f ca="1">IFERROR(__xludf.DUMMYFUNCTION("""COMPUTED_VALUE"""),95.19)</f>
        <v>95.19</v>
      </c>
      <c r="C940" s="1">
        <f ca="1">IFERROR(__xludf.DUMMYFUNCTION("""COMPUTED_VALUE"""),96.84)</f>
        <v>96.84</v>
      </c>
      <c r="D940" s="1">
        <f ca="1">IFERROR(__xludf.DUMMYFUNCTION("""COMPUTED_VALUE"""),93.25)</f>
        <v>93.25</v>
      </c>
      <c r="E940" s="1">
        <f ca="1">IFERROR(__xludf.DUMMYFUNCTION("""COMPUTED_VALUE"""),96.72)</f>
        <v>96.72</v>
      </c>
      <c r="F940" s="1">
        <f ca="1">IFERROR(__xludf.DUMMYFUNCTION("""COMPUTED_VALUE"""),4213728)</f>
        <v>4213728</v>
      </c>
    </row>
    <row r="941" spans="1:6" x14ac:dyDescent="0.35">
      <c r="A941" s="2">
        <f ca="1">IFERROR(__xludf.DUMMYFUNCTION("""COMPUTED_VALUE"""),43368.6666666666)</f>
        <v>43368.666666666599</v>
      </c>
      <c r="B941" s="1">
        <f ca="1">IFERROR(__xludf.DUMMYFUNCTION("""COMPUTED_VALUE"""),97.15)</f>
        <v>97.15</v>
      </c>
      <c r="C941" s="1">
        <f ca="1">IFERROR(__xludf.DUMMYFUNCTION("""COMPUTED_VALUE"""),98.8)</f>
        <v>98.8</v>
      </c>
      <c r="D941" s="1">
        <f ca="1">IFERROR(__xludf.DUMMYFUNCTION("""COMPUTED_VALUE"""),96.94)</f>
        <v>96.94</v>
      </c>
      <c r="E941" s="1">
        <f ca="1">IFERROR(__xludf.DUMMYFUNCTION("""COMPUTED_VALUE"""),98.73)</f>
        <v>98.73</v>
      </c>
      <c r="F941" s="1">
        <f ca="1">IFERROR(__xludf.DUMMYFUNCTION("""COMPUTED_VALUE"""),4538407)</f>
        <v>4538407</v>
      </c>
    </row>
    <row r="942" spans="1:6" x14ac:dyDescent="0.35">
      <c r="A942" s="2">
        <f ca="1">IFERROR(__xludf.DUMMYFUNCTION("""COMPUTED_VALUE"""),43369.6666666666)</f>
        <v>43369.666666666599</v>
      </c>
      <c r="B942" s="1">
        <f ca="1">IFERROR(__xludf.DUMMYFUNCTION("""COMPUTED_VALUE"""),98.43)</f>
        <v>98.43</v>
      </c>
      <c r="C942" s="1">
        <f ca="1">IFERROR(__xludf.DUMMYFUNCTION("""COMPUTED_VALUE"""),99.76)</f>
        <v>99.76</v>
      </c>
      <c r="D942" s="1">
        <f ca="1">IFERROR(__xludf.DUMMYFUNCTION("""COMPUTED_VALUE"""),98.08)</f>
        <v>98.08</v>
      </c>
      <c r="E942" s="1">
        <f ca="1">IFERROR(__xludf.DUMMYFUNCTION("""COMPUTED_VALUE"""),98.74)</f>
        <v>98.74</v>
      </c>
      <c r="F942" s="1">
        <f ca="1">IFERROR(__xludf.DUMMYFUNCTION("""COMPUTED_VALUE"""),4313459)</f>
        <v>4313459</v>
      </c>
    </row>
    <row r="943" spans="1:6" x14ac:dyDescent="0.35">
      <c r="A943" s="2">
        <f ca="1">IFERROR(__xludf.DUMMYFUNCTION("""COMPUTED_VALUE"""),43370.6666666666)</f>
        <v>43370.666666666599</v>
      </c>
      <c r="B943" s="1">
        <f ca="1">IFERROR(__xludf.DUMMYFUNCTION("""COMPUTED_VALUE"""),99.66)</f>
        <v>99.66</v>
      </c>
      <c r="C943" s="1">
        <f ca="1">IFERROR(__xludf.DUMMYFUNCTION("""COMPUTED_VALUE"""),100.81)</f>
        <v>100.81</v>
      </c>
      <c r="D943" s="1">
        <f ca="1">IFERROR(__xludf.DUMMYFUNCTION("""COMPUTED_VALUE"""),99.43)</f>
        <v>99.43</v>
      </c>
      <c r="E943" s="1">
        <f ca="1">IFERROR(__xludf.DUMMYFUNCTION("""COMPUTED_VALUE"""),100.65)</f>
        <v>100.65</v>
      </c>
      <c r="F943" s="1">
        <f ca="1">IFERROR(__xludf.DUMMYFUNCTION("""COMPUTED_VALUE"""),4329391)</f>
        <v>4329391</v>
      </c>
    </row>
    <row r="944" spans="1:6" x14ac:dyDescent="0.35">
      <c r="A944" s="2">
        <f ca="1">IFERROR(__xludf.DUMMYFUNCTION("""COMPUTED_VALUE"""),43371.6666666666)</f>
        <v>43371.666666666599</v>
      </c>
      <c r="B944" s="1">
        <f ca="1">IFERROR(__xludf.DUMMYFUNCTION("""COMPUTED_VALUE"""),100.22)</f>
        <v>100.22</v>
      </c>
      <c r="C944" s="1">
        <f ca="1">IFERROR(__xludf.DUMMYFUNCTION("""COMPUTED_VALUE"""),101.33)</f>
        <v>101.33</v>
      </c>
      <c r="D944" s="1">
        <f ca="1">IFERROR(__xludf.DUMMYFUNCTION("""COMPUTED_VALUE"""),99.82)</f>
        <v>99.82</v>
      </c>
      <c r="E944" s="1">
        <f ca="1">IFERROR(__xludf.DUMMYFUNCTION("""COMPUTED_VALUE"""),100.15)</f>
        <v>100.15</v>
      </c>
      <c r="F944" s="1">
        <f ca="1">IFERROR(__xludf.DUMMYFUNCTION("""COMPUTED_VALUE"""),4085135)</f>
        <v>4085135</v>
      </c>
    </row>
    <row r="945" spans="1:6" x14ac:dyDescent="0.35">
      <c r="A945" s="2">
        <f ca="1">IFERROR(__xludf.DUMMYFUNCTION("""COMPUTED_VALUE"""),43374.6666666666)</f>
        <v>43374.666666666599</v>
      </c>
      <c r="B945" s="1">
        <f ca="1">IFERROR(__xludf.DUMMYFUNCTION("""COMPUTED_VALUE"""),101.1)</f>
        <v>101.1</v>
      </c>
      <c r="C945" s="1">
        <f ca="1">IFERROR(__xludf.DUMMYFUNCTION("""COMPUTED_VALUE"""),101.66)</f>
        <v>101.66</v>
      </c>
      <c r="D945" s="1">
        <f ca="1">IFERROR(__xludf.DUMMYFUNCTION("""COMPUTED_VALUE"""),100.18)</f>
        <v>100.18</v>
      </c>
      <c r="E945" s="1">
        <f ca="1">IFERROR(__xludf.DUMMYFUNCTION("""COMPUTED_VALUE"""),100.22)</f>
        <v>100.22</v>
      </c>
      <c r="F945" s="1">
        <f ca="1">IFERROR(__xludf.DUMMYFUNCTION("""COMPUTED_VALUE"""),3468285)</f>
        <v>3468285</v>
      </c>
    </row>
    <row r="946" spans="1:6" x14ac:dyDescent="0.35">
      <c r="A946" s="2">
        <f ca="1">IFERROR(__xludf.DUMMYFUNCTION("""COMPUTED_VALUE"""),43375.6666666666)</f>
        <v>43375.666666666599</v>
      </c>
      <c r="B946" s="1">
        <f ca="1">IFERROR(__xludf.DUMMYFUNCTION("""COMPUTED_VALUE"""),100)</f>
        <v>100</v>
      </c>
      <c r="C946" s="1">
        <f ca="1">IFERROR(__xludf.DUMMYFUNCTION("""COMPUTED_VALUE"""),100.67)</f>
        <v>100.67</v>
      </c>
      <c r="D946" s="1">
        <f ca="1">IFERROR(__xludf.DUMMYFUNCTION("""COMPUTED_VALUE"""),98.29)</f>
        <v>98.29</v>
      </c>
      <c r="E946" s="1">
        <f ca="1">IFERROR(__xludf.DUMMYFUNCTION("""COMPUTED_VALUE"""),98.57)</f>
        <v>98.57</v>
      </c>
      <c r="F946" s="1">
        <f ca="1">IFERROR(__xludf.DUMMYFUNCTION("""COMPUTED_VALUE"""),5400749)</f>
        <v>5400749</v>
      </c>
    </row>
    <row r="947" spans="1:6" x14ac:dyDescent="0.35">
      <c r="A947" s="2">
        <f ca="1">IFERROR(__xludf.DUMMYFUNCTION("""COMPUTED_VALUE"""),43376.6666666666)</f>
        <v>43376.666666666599</v>
      </c>
      <c r="B947" s="1">
        <f ca="1">IFERROR(__xludf.DUMMYFUNCTION("""COMPUTED_VALUE"""),99.09)</f>
        <v>99.09</v>
      </c>
      <c r="C947" s="1">
        <f ca="1">IFERROR(__xludf.DUMMYFUNCTION("""COMPUTED_VALUE"""),99.49)</f>
        <v>99.49</v>
      </c>
      <c r="D947" s="1">
        <f ca="1">IFERROR(__xludf.DUMMYFUNCTION("""COMPUTED_VALUE"""),97.49)</f>
        <v>97.49</v>
      </c>
      <c r="E947" s="1">
        <f ca="1">IFERROR(__xludf.DUMMYFUNCTION("""COMPUTED_VALUE"""),97.64)</f>
        <v>97.64</v>
      </c>
      <c r="F947" s="1">
        <f ca="1">IFERROR(__xludf.DUMMYFUNCTION("""COMPUTED_VALUE"""),5253131)</f>
        <v>5253131</v>
      </c>
    </row>
    <row r="948" spans="1:6" x14ac:dyDescent="0.35">
      <c r="A948" s="2">
        <f ca="1">IFERROR(__xludf.DUMMYFUNCTION("""COMPUTED_VALUE"""),43377.6666666666)</f>
        <v>43377.666666666599</v>
      </c>
      <c r="B948" s="1">
        <f ca="1">IFERROR(__xludf.DUMMYFUNCTION("""COMPUTED_VALUE"""),97.45)</f>
        <v>97.45</v>
      </c>
      <c r="C948" s="1">
        <f ca="1">IFERROR(__xludf.DUMMYFUNCTION("""COMPUTED_VALUE"""),97.8)</f>
        <v>97.8</v>
      </c>
      <c r="D948" s="1">
        <f ca="1">IFERROR(__xludf.DUMMYFUNCTION("""COMPUTED_VALUE"""),94.83)</f>
        <v>94.83</v>
      </c>
      <c r="E948" s="1">
        <f ca="1">IFERROR(__xludf.DUMMYFUNCTION("""COMPUTED_VALUE"""),95.47)</f>
        <v>95.47</v>
      </c>
      <c r="F948" s="1">
        <f ca="1">IFERROR(__xludf.DUMMYFUNCTION("""COMPUTED_VALUE"""),7256973)</f>
        <v>7256973</v>
      </c>
    </row>
    <row r="949" spans="1:6" x14ac:dyDescent="0.35">
      <c r="A949" s="2">
        <f ca="1">IFERROR(__xludf.DUMMYFUNCTION("""COMPUTED_VALUE"""),43378.6666666666)</f>
        <v>43378.666666666599</v>
      </c>
      <c r="B949" s="1">
        <f ca="1">IFERROR(__xludf.DUMMYFUNCTION("""COMPUTED_VALUE"""),95.9)</f>
        <v>95.9</v>
      </c>
      <c r="C949" s="1">
        <f ca="1">IFERROR(__xludf.DUMMYFUNCTION("""COMPUTED_VALUE"""),96.45)</f>
        <v>96.45</v>
      </c>
      <c r="D949" s="1">
        <f ca="1">IFERROR(__xludf.DUMMYFUNCTION("""COMPUTED_VALUE"""),93.14)</f>
        <v>93.14</v>
      </c>
      <c r="E949" s="1">
        <f ca="1">IFERROR(__xludf.DUMMYFUNCTION("""COMPUTED_VALUE"""),94.48)</f>
        <v>94.48</v>
      </c>
      <c r="F949" s="1">
        <f ca="1">IFERROR(__xludf.DUMMYFUNCTION("""COMPUTED_VALUE"""),6822327)</f>
        <v>6822327</v>
      </c>
    </row>
    <row r="950" spans="1:6" x14ac:dyDescent="0.35">
      <c r="A950" s="2">
        <f ca="1">IFERROR(__xludf.DUMMYFUNCTION("""COMPUTED_VALUE"""),43381.6666666666)</f>
        <v>43381.666666666599</v>
      </c>
      <c r="B950" s="1">
        <f ca="1">IFERROR(__xludf.DUMMYFUNCTION("""COMPUTED_VALUE"""),93.7)</f>
        <v>93.7</v>
      </c>
      <c r="C950" s="1">
        <f ca="1">IFERROR(__xludf.DUMMYFUNCTION("""COMPUTED_VALUE"""),95.1)</f>
        <v>95.1</v>
      </c>
      <c r="D950" s="1">
        <f ca="1">IFERROR(__xludf.DUMMYFUNCTION("""COMPUTED_VALUE"""),91.53)</f>
        <v>91.53</v>
      </c>
      <c r="E950" s="1">
        <f ca="1">IFERROR(__xludf.DUMMYFUNCTION("""COMPUTED_VALUE"""),93.22)</f>
        <v>93.22</v>
      </c>
      <c r="F950" s="1">
        <f ca="1">IFERROR(__xludf.DUMMYFUNCTION("""COMPUTED_VALUE"""),7393199)</f>
        <v>7393199</v>
      </c>
    </row>
    <row r="951" spans="1:6" x14ac:dyDescent="0.35">
      <c r="A951" s="2">
        <f ca="1">IFERROR(__xludf.DUMMYFUNCTION("""COMPUTED_VALUE"""),43382.6666666666)</f>
        <v>43382.666666666599</v>
      </c>
      <c r="B951" s="1">
        <f ca="1">IFERROR(__xludf.DUMMYFUNCTION("""COMPUTED_VALUE"""),93)</f>
        <v>93</v>
      </c>
      <c r="C951" s="1">
        <f ca="1">IFERROR(__xludf.DUMMYFUNCTION("""COMPUTED_VALUE"""),94.83)</f>
        <v>94.83</v>
      </c>
      <c r="D951" s="1">
        <f ca="1">IFERROR(__xludf.DUMMYFUNCTION("""COMPUTED_VALUE"""),92.62)</f>
        <v>92.62</v>
      </c>
      <c r="E951" s="1">
        <f ca="1">IFERROR(__xludf.DUMMYFUNCTION("""COMPUTED_VALUE"""),93.52)</f>
        <v>93.52</v>
      </c>
      <c r="F951" s="1">
        <f ca="1">IFERROR(__xludf.DUMMYFUNCTION("""COMPUTED_VALUE"""),4772866)</f>
        <v>4772866</v>
      </c>
    </row>
    <row r="952" spans="1:6" x14ac:dyDescent="0.35">
      <c r="A952" s="2">
        <f ca="1">IFERROR(__xludf.DUMMYFUNCTION("""COMPUTED_VALUE"""),43383.6666666666)</f>
        <v>43383.666666666599</v>
      </c>
      <c r="B952" s="1">
        <f ca="1">IFERROR(__xludf.DUMMYFUNCTION("""COMPUTED_VALUE"""),92.89)</f>
        <v>92.89</v>
      </c>
      <c r="C952" s="1">
        <f ca="1">IFERROR(__xludf.DUMMYFUNCTION("""COMPUTED_VALUE"""),92.93)</f>
        <v>92.93</v>
      </c>
      <c r="D952" s="1">
        <f ca="1">IFERROR(__xludf.DUMMYFUNCTION("""COMPUTED_VALUE"""),87.72)</f>
        <v>87.72</v>
      </c>
      <c r="E952" s="1">
        <f ca="1">IFERROR(__xludf.DUMMYFUNCTION("""COMPUTED_VALUE"""),87.76)</f>
        <v>87.76</v>
      </c>
      <c r="F952" s="1">
        <f ca="1">IFERROR(__xludf.DUMMYFUNCTION("""COMPUTED_VALUE"""),10988855)</f>
        <v>10988855</v>
      </c>
    </row>
    <row r="953" spans="1:6" x14ac:dyDescent="0.35">
      <c r="A953" s="2">
        <f ca="1">IFERROR(__xludf.DUMMYFUNCTION("""COMPUTED_VALUE"""),43384.6666666666)</f>
        <v>43384.666666666599</v>
      </c>
      <c r="B953" s="1">
        <f ca="1">IFERROR(__xludf.DUMMYFUNCTION("""COMPUTED_VALUE"""),86.2)</f>
        <v>86.2</v>
      </c>
      <c r="C953" s="1">
        <f ca="1">IFERROR(__xludf.DUMMYFUNCTION("""COMPUTED_VALUE"""),87.77)</f>
        <v>87.77</v>
      </c>
      <c r="D953" s="1">
        <f ca="1">IFERROR(__xludf.DUMMYFUNCTION("""COMPUTED_VALUE"""),84.26)</f>
        <v>84.26</v>
      </c>
      <c r="E953" s="1">
        <f ca="1">IFERROR(__xludf.DUMMYFUNCTION("""COMPUTED_VALUE"""),85.97)</f>
        <v>85.97</v>
      </c>
      <c r="F953" s="1">
        <f ca="1">IFERROR(__xludf.DUMMYFUNCTION("""COMPUTED_VALUE"""),13935872)</f>
        <v>13935872</v>
      </c>
    </row>
    <row r="954" spans="1:6" x14ac:dyDescent="0.35">
      <c r="A954" s="2">
        <f ca="1">IFERROR(__xludf.DUMMYFUNCTION("""COMPUTED_VALUE"""),43385.6666666666)</f>
        <v>43385.666666666599</v>
      </c>
      <c r="B954" s="1">
        <f ca="1">IFERROR(__xludf.DUMMYFUNCTION("""COMPUTED_VALUE"""),90.4)</f>
        <v>90.4</v>
      </c>
      <c r="C954" s="1">
        <f ca="1">IFERROR(__xludf.DUMMYFUNCTION("""COMPUTED_VALUE"""),90.45)</f>
        <v>90.45</v>
      </c>
      <c r="D954" s="1">
        <f ca="1">IFERROR(__xludf.DUMMYFUNCTION("""COMPUTED_VALUE"""),87.13)</f>
        <v>87.13</v>
      </c>
      <c r="E954" s="1">
        <f ca="1">IFERROR(__xludf.DUMMYFUNCTION("""COMPUTED_VALUE"""),89.43)</f>
        <v>89.43</v>
      </c>
      <c r="F954" s="1">
        <f ca="1">IFERROR(__xludf.DUMMYFUNCTION("""COMPUTED_VALUE"""),9444587)</f>
        <v>9444587</v>
      </c>
    </row>
    <row r="955" spans="1:6" x14ac:dyDescent="0.35">
      <c r="A955" s="2">
        <f ca="1">IFERROR(__xludf.DUMMYFUNCTION("""COMPUTED_VALUE"""),43388.6666666666)</f>
        <v>43388.666666666599</v>
      </c>
      <c r="B955" s="1">
        <f ca="1">IFERROR(__xludf.DUMMYFUNCTION("""COMPUTED_VALUE"""),89.75)</f>
        <v>89.75</v>
      </c>
      <c r="C955" s="1">
        <f ca="1">IFERROR(__xludf.DUMMYFUNCTION("""COMPUTED_VALUE"""),89.75)</f>
        <v>89.75</v>
      </c>
      <c r="D955" s="1">
        <f ca="1">IFERROR(__xludf.DUMMYFUNCTION("""COMPUTED_VALUE"""),86.71)</f>
        <v>86.71</v>
      </c>
      <c r="E955" s="1">
        <f ca="1">IFERROR(__xludf.DUMMYFUNCTION("""COMPUTED_VALUE"""),88.05)</f>
        <v>88.05</v>
      </c>
      <c r="F955" s="1">
        <f ca="1">IFERROR(__xludf.DUMMYFUNCTION("""COMPUTED_VALUE"""),6437162)</f>
        <v>6437162</v>
      </c>
    </row>
    <row r="956" spans="1:6" x14ac:dyDescent="0.35">
      <c r="A956" s="2">
        <f ca="1">IFERROR(__xludf.DUMMYFUNCTION("""COMPUTED_VALUE"""),43389.6666666666)</f>
        <v>43389.666666666599</v>
      </c>
      <c r="B956" s="1">
        <f ca="1">IFERROR(__xludf.DUMMYFUNCTION("""COMPUTED_VALUE"""),89.18)</f>
        <v>89.18</v>
      </c>
      <c r="C956" s="1">
        <f ca="1">IFERROR(__xludf.DUMMYFUNCTION("""COMPUTED_VALUE"""),91.19)</f>
        <v>91.19</v>
      </c>
      <c r="D956" s="1">
        <f ca="1">IFERROR(__xludf.DUMMYFUNCTION("""COMPUTED_VALUE"""),88.08)</f>
        <v>88.08</v>
      </c>
      <c r="E956" s="1">
        <f ca="1">IFERROR(__xludf.DUMMYFUNCTION("""COMPUTED_VALUE"""),91)</f>
        <v>91</v>
      </c>
      <c r="F956" s="1">
        <f ca="1">IFERROR(__xludf.DUMMYFUNCTION("""COMPUTED_VALUE"""),5859918)</f>
        <v>5859918</v>
      </c>
    </row>
    <row r="957" spans="1:6" x14ac:dyDescent="0.35">
      <c r="A957" s="2">
        <f ca="1">IFERROR(__xludf.DUMMYFUNCTION("""COMPUTED_VALUE"""),43390.6666666666)</f>
        <v>43390.666666666599</v>
      </c>
      <c r="B957" s="1">
        <f ca="1">IFERROR(__xludf.DUMMYFUNCTION("""COMPUTED_VALUE"""),92.14)</f>
        <v>92.14</v>
      </c>
      <c r="C957" s="1">
        <f ca="1">IFERROR(__xludf.DUMMYFUNCTION("""COMPUTED_VALUE"""),92.25)</f>
        <v>92.25</v>
      </c>
      <c r="D957" s="1">
        <f ca="1">IFERROR(__xludf.DUMMYFUNCTION("""COMPUTED_VALUE"""),90.35)</f>
        <v>90.35</v>
      </c>
      <c r="E957" s="1">
        <f ca="1">IFERROR(__xludf.DUMMYFUNCTION("""COMPUTED_VALUE"""),91.59)</f>
        <v>91.59</v>
      </c>
      <c r="F957" s="1">
        <f ca="1">IFERROR(__xludf.DUMMYFUNCTION("""COMPUTED_VALUE"""),5295177)</f>
        <v>5295177</v>
      </c>
    </row>
    <row r="958" spans="1:6" x14ac:dyDescent="0.35">
      <c r="A958" s="2">
        <f ca="1">IFERROR(__xludf.DUMMYFUNCTION("""COMPUTED_VALUE"""),43391.6666666666)</f>
        <v>43391.666666666599</v>
      </c>
      <c r="B958" s="1">
        <f ca="1">IFERROR(__xludf.DUMMYFUNCTION("""COMPUTED_VALUE"""),91.07)</f>
        <v>91.07</v>
      </c>
      <c r="C958" s="1">
        <f ca="1">IFERROR(__xludf.DUMMYFUNCTION("""COMPUTED_VALUE"""),91.51)</f>
        <v>91.51</v>
      </c>
      <c r="D958" s="1">
        <f ca="1">IFERROR(__xludf.DUMMYFUNCTION("""COMPUTED_VALUE"""),88.39)</f>
        <v>88.39</v>
      </c>
      <c r="E958" s="1">
        <f ca="1">IFERROR(__xludf.DUMMYFUNCTION("""COMPUTED_VALUE"""),88.54)</f>
        <v>88.54</v>
      </c>
      <c r="F958" s="1">
        <f ca="1">IFERROR(__xludf.DUMMYFUNCTION("""COMPUTED_VALUE"""),5873995)</f>
        <v>5873995</v>
      </c>
    </row>
    <row r="959" spans="1:6" x14ac:dyDescent="0.35">
      <c r="A959" s="2">
        <f ca="1">IFERROR(__xludf.DUMMYFUNCTION("""COMPUTED_VALUE"""),43392.6666666666)</f>
        <v>43392.666666666599</v>
      </c>
      <c r="B959" s="1">
        <f ca="1">IFERROR(__xludf.DUMMYFUNCTION("""COMPUTED_VALUE"""),89.26)</f>
        <v>89.26</v>
      </c>
      <c r="C959" s="1">
        <f ca="1">IFERROR(__xludf.DUMMYFUNCTION("""COMPUTED_VALUE"""),90.46)</f>
        <v>90.46</v>
      </c>
      <c r="D959" s="1">
        <f ca="1">IFERROR(__xludf.DUMMYFUNCTION("""COMPUTED_VALUE"""),87.65)</f>
        <v>87.65</v>
      </c>
      <c r="E959" s="1">
        <f ca="1">IFERROR(__xludf.DUMMYFUNCTION("""COMPUTED_VALUE"""),88.2)</f>
        <v>88.2</v>
      </c>
      <c r="F959" s="1">
        <f ca="1">IFERROR(__xludf.DUMMYFUNCTION("""COMPUTED_VALUE"""),5907246)</f>
        <v>5907246</v>
      </c>
    </row>
    <row r="960" spans="1:6" x14ac:dyDescent="0.35">
      <c r="A960" s="2">
        <f ca="1">IFERROR(__xludf.DUMMYFUNCTION("""COMPUTED_VALUE"""),43395.6666666666)</f>
        <v>43395.666666666599</v>
      </c>
      <c r="B960" s="1">
        <f ca="1">IFERROR(__xludf.DUMMYFUNCTION("""COMPUTED_VALUE"""),89.2)</f>
        <v>89.2</v>
      </c>
      <c r="C960" s="1">
        <f ca="1">IFERROR(__xludf.DUMMYFUNCTION("""COMPUTED_VALUE"""),90.47)</f>
        <v>90.47</v>
      </c>
      <c r="D960" s="1">
        <f ca="1">IFERROR(__xludf.DUMMYFUNCTION("""COMPUTED_VALUE"""),87.8)</f>
        <v>87.8</v>
      </c>
      <c r="E960" s="1">
        <f ca="1">IFERROR(__xludf.DUMMYFUNCTION("""COMPUTED_VALUE"""),89.47)</f>
        <v>89.47</v>
      </c>
      <c r="F960" s="1">
        <f ca="1">IFERROR(__xludf.DUMMYFUNCTION("""COMPUTED_VALUE"""),4500015)</f>
        <v>4500015</v>
      </c>
    </row>
    <row r="961" spans="1:6" x14ac:dyDescent="0.35">
      <c r="A961" s="2">
        <f ca="1">IFERROR(__xludf.DUMMYFUNCTION("""COMPUTED_VALUE"""),43396.6666666666)</f>
        <v>43396.666666666599</v>
      </c>
      <c r="B961" s="1">
        <f ca="1">IFERROR(__xludf.DUMMYFUNCTION("""COMPUTED_VALUE"""),87.11)</f>
        <v>87.11</v>
      </c>
      <c r="C961" s="1">
        <f ca="1">IFERROR(__xludf.DUMMYFUNCTION("""COMPUTED_VALUE"""),88.82)</f>
        <v>88.82</v>
      </c>
      <c r="D961" s="1">
        <f ca="1">IFERROR(__xludf.DUMMYFUNCTION("""COMPUTED_VALUE"""),85.7)</f>
        <v>85.7</v>
      </c>
      <c r="E961" s="1">
        <f ca="1">IFERROR(__xludf.DUMMYFUNCTION("""COMPUTED_VALUE"""),88.44)</f>
        <v>88.44</v>
      </c>
      <c r="F961" s="1">
        <f ca="1">IFERROR(__xludf.DUMMYFUNCTION("""COMPUTED_VALUE"""),6723913)</f>
        <v>6723913</v>
      </c>
    </row>
    <row r="962" spans="1:6" x14ac:dyDescent="0.35">
      <c r="A962" s="2">
        <f ca="1">IFERROR(__xludf.DUMMYFUNCTION("""COMPUTED_VALUE"""),43397.6666666666)</f>
        <v>43397.666666666599</v>
      </c>
      <c r="B962" s="1">
        <f ca="1">IFERROR(__xludf.DUMMYFUNCTION("""COMPUTED_VALUE"""),88.69)</f>
        <v>88.69</v>
      </c>
      <c r="C962" s="1">
        <f ca="1">IFERROR(__xludf.DUMMYFUNCTION("""COMPUTED_VALUE"""),88.89)</f>
        <v>88.89</v>
      </c>
      <c r="D962" s="1">
        <f ca="1">IFERROR(__xludf.DUMMYFUNCTION("""COMPUTED_VALUE"""),82.83)</f>
        <v>82.83</v>
      </c>
      <c r="E962" s="1">
        <f ca="1">IFERROR(__xludf.DUMMYFUNCTION("""COMPUTED_VALUE"""),83.21)</f>
        <v>83.21</v>
      </c>
      <c r="F962" s="1">
        <f ca="1">IFERROR(__xludf.DUMMYFUNCTION("""COMPUTED_VALUE"""),6928383)</f>
        <v>6928383</v>
      </c>
    </row>
    <row r="963" spans="1:6" x14ac:dyDescent="0.35">
      <c r="A963" s="2">
        <f ca="1">IFERROR(__xludf.DUMMYFUNCTION("""COMPUTED_VALUE"""),43398.6666666666)</f>
        <v>43398.666666666599</v>
      </c>
      <c r="B963" s="1">
        <f ca="1">IFERROR(__xludf.DUMMYFUNCTION("""COMPUTED_VALUE"""),85.17)</f>
        <v>85.17</v>
      </c>
      <c r="C963" s="1">
        <f ca="1">IFERROR(__xludf.DUMMYFUNCTION("""COMPUTED_VALUE"""),89.74)</f>
        <v>89.74</v>
      </c>
      <c r="D963" s="1">
        <f ca="1">IFERROR(__xludf.DUMMYFUNCTION("""COMPUTED_VALUE"""),84.6)</f>
        <v>84.6</v>
      </c>
      <c r="E963" s="1">
        <f ca="1">IFERROR(__xludf.DUMMYFUNCTION("""COMPUTED_VALUE"""),89.11)</f>
        <v>89.11</v>
      </c>
      <c r="F963" s="1">
        <f ca="1">IFERROR(__xludf.DUMMYFUNCTION("""COMPUTED_VALUE"""),10285742)</f>
        <v>10285742</v>
      </c>
    </row>
    <row r="964" spans="1:6" x14ac:dyDescent="0.35">
      <c r="A964" s="2">
        <f ca="1">IFERROR(__xludf.DUMMYFUNCTION("""COMPUTED_VALUE"""),43399.6666666666)</f>
        <v>43399.666666666599</v>
      </c>
      <c r="B964" s="1">
        <f ca="1">IFERROR(__xludf.DUMMYFUNCTION("""COMPUTED_VALUE"""),82.48)</f>
        <v>82.48</v>
      </c>
      <c r="C964" s="1">
        <f ca="1">IFERROR(__xludf.DUMMYFUNCTION("""COMPUTED_VALUE"""),84.92)</f>
        <v>84.92</v>
      </c>
      <c r="D964" s="1">
        <f ca="1">IFERROR(__xludf.DUMMYFUNCTION("""COMPUTED_VALUE"""),80.15)</f>
        <v>80.150000000000006</v>
      </c>
      <c r="E964" s="1">
        <f ca="1">IFERROR(__xludf.DUMMYFUNCTION("""COMPUTED_VALUE"""),82.14)</f>
        <v>82.14</v>
      </c>
      <c r="F964" s="1">
        <f ca="1">IFERROR(__xludf.DUMMYFUNCTION("""COMPUTED_VALUE"""),14963783)</f>
        <v>14963783</v>
      </c>
    </row>
    <row r="965" spans="1:6" x14ac:dyDescent="0.35">
      <c r="A965" s="2">
        <f ca="1">IFERROR(__xludf.DUMMYFUNCTION("""COMPUTED_VALUE"""),43402.6666666666)</f>
        <v>43402.666666666599</v>
      </c>
      <c r="B965" s="1">
        <f ca="1">IFERROR(__xludf.DUMMYFUNCTION("""COMPUTED_VALUE"""),83)</f>
        <v>83</v>
      </c>
      <c r="C965" s="1">
        <f ca="1">IFERROR(__xludf.DUMMYFUNCTION("""COMPUTED_VALUE"""),83.29)</f>
        <v>83.29</v>
      </c>
      <c r="D965" s="1">
        <f ca="1">IFERROR(__xludf.DUMMYFUNCTION("""COMPUTED_VALUE"""),74.75)</f>
        <v>74.75</v>
      </c>
      <c r="E965" s="1">
        <f ca="1">IFERROR(__xludf.DUMMYFUNCTION("""COMPUTED_VALUE"""),76.94)</f>
        <v>76.94</v>
      </c>
      <c r="F965" s="1">
        <f ca="1">IFERROR(__xludf.DUMMYFUNCTION("""COMPUTED_VALUE"""),13866077)</f>
        <v>13866077</v>
      </c>
    </row>
    <row r="966" spans="1:6" x14ac:dyDescent="0.35">
      <c r="A966" s="2">
        <f ca="1">IFERROR(__xludf.DUMMYFUNCTION("""COMPUTED_VALUE"""),43403.6666666666)</f>
        <v>43403.666666666599</v>
      </c>
      <c r="B966" s="1">
        <f ca="1">IFERROR(__xludf.DUMMYFUNCTION("""COMPUTED_VALUE"""),74.31)</f>
        <v>74.31</v>
      </c>
      <c r="C966" s="1">
        <f ca="1">IFERROR(__xludf.DUMMYFUNCTION("""COMPUTED_VALUE"""),77.05)</f>
        <v>77.05</v>
      </c>
      <c r="D966" s="1">
        <f ca="1">IFERROR(__xludf.DUMMYFUNCTION("""COMPUTED_VALUE"""),73.82)</f>
        <v>73.819999999999993</v>
      </c>
      <c r="E966" s="1">
        <f ca="1">IFERROR(__xludf.DUMMYFUNCTION("""COMPUTED_VALUE"""),76.52)</f>
        <v>76.52</v>
      </c>
      <c r="F966" s="1">
        <f ca="1">IFERROR(__xludf.DUMMYFUNCTION("""COMPUTED_VALUE"""),12460086)</f>
        <v>12460086</v>
      </c>
    </row>
    <row r="967" spans="1:6" x14ac:dyDescent="0.35">
      <c r="A967" s="2">
        <f ca="1">IFERROR(__xludf.DUMMYFUNCTION("""COMPUTED_VALUE"""),43404.6666666666)</f>
        <v>43404.666666666599</v>
      </c>
      <c r="B967" s="1">
        <f ca="1">IFERROR(__xludf.DUMMYFUNCTION("""COMPUTED_VALUE"""),78.5)</f>
        <v>78.5</v>
      </c>
      <c r="C967" s="1">
        <f ca="1">IFERROR(__xludf.DUMMYFUNCTION("""COMPUTED_VALUE"""),81.2)</f>
        <v>81.2</v>
      </c>
      <c r="D967" s="1">
        <f ca="1">IFERROR(__xludf.DUMMYFUNCTION("""COMPUTED_VALUE"""),78.25)</f>
        <v>78.25</v>
      </c>
      <c r="E967" s="1">
        <f ca="1">IFERROR(__xludf.DUMMYFUNCTION("""COMPUTED_VALUE"""),79.9)</f>
        <v>79.900000000000006</v>
      </c>
      <c r="F967" s="1">
        <f ca="1">IFERROR(__xludf.DUMMYFUNCTION("""COMPUTED_VALUE"""),9390211)</f>
        <v>9390211</v>
      </c>
    </row>
    <row r="968" spans="1:6" x14ac:dyDescent="0.35">
      <c r="A968" s="2">
        <f ca="1">IFERROR(__xludf.DUMMYFUNCTION("""COMPUTED_VALUE"""),43405.6666666666)</f>
        <v>43405.666666666599</v>
      </c>
      <c r="B968" s="1">
        <f ca="1">IFERROR(__xludf.DUMMYFUNCTION("""COMPUTED_VALUE"""),81.18)</f>
        <v>81.180000000000007</v>
      </c>
      <c r="C968" s="1">
        <f ca="1">IFERROR(__xludf.DUMMYFUNCTION("""COMPUTED_VALUE"""),83.52)</f>
        <v>83.52</v>
      </c>
      <c r="D968" s="1">
        <f ca="1">IFERROR(__xludf.DUMMYFUNCTION("""COMPUTED_VALUE"""),79.92)</f>
        <v>79.92</v>
      </c>
      <c r="E968" s="1">
        <f ca="1">IFERROR(__xludf.DUMMYFUNCTION("""COMPUTED_VALUE"""),83.28)</f>
        <v>83.28</v>
      </c>
      <c r="F968" s="1">
        <f ca="1">IFERROR(__xludf.DUMMYFUNCTION("""COMPUTED_VALUE"""),8135539)</f>
        <v>8135539</v>
      </c>
    </row>
    <row r="969" spans="1:6" x14ac:dyDescent="0.35">
      <c r="A969" s="2">
        <f ca="1">IFERROR(__xludf.DUMMYFUNCTION("""COMPUTED_VALUE"""),43406.6666666666)</f>
        <v>43406.666666666599</v>
      </c>
      <c r="B969" s="1">
        <f ca="1">IFERROR(__xludf.DUMMYFUNCTION("""COMPUTED_VALUE"""),83.93)</f>
        <v>83.93</v>
      </c>
      <c r="C969" s="1">
        <f ca="1">IFERROR(__xludf.DUMMYFUNCTION("""COMPUTED_VALUE"""),84.87)</f>
        <v>84.87</v>
      </c>
      <c r="D969" s="1">
        <f ca="1">IFERROR(__xludf.DUMMYFUNCTION("""COMPUTED_VALUE"""),82.59)</f>
        <v>82.59</v>
      </c>
      <c r="E969" s="1">
        <f ca="1">IFERROR(__xludf.DUMMYFUNCTION("""COMPUTED_VALUE"""),83.28)</f>
        <v>83.28</v>
      </c>
      <c r="F969" s="1">
        <f ca="1">IFERROR(__xludf.DUMMYFUNCTION("""COMPUTED_VALUE"""),6955548)</f>
        <v>6955548</v>
      </c>
    </row>
    <row r="970" spans="1:6" x14ac:dyDescent="0.35">
      <c r="A970" s="2">
        <f ca="1">IFERROR(__xludf.DUMMYFUNCTION("""COMPUTED_VALUE"""),43409.6666666666)</f>
        <v>43409.666666666599</v>
      </c>
      <c r="B970" s="1">
        <f ca="1">IFERROR(__xludf.DUMMYFUNCTION("""COMPUTED_VALUE"""),82.88)</f>
        <v>82.88</v>
      </c>
      <c r="C970" s="1">
        <f ca="1">IFERROR(__xludf.DUMMYFUNCTION("""COMPUTED_VALUE"""),82.9)</f>
        <v>82.9</v>
      </c>
      <c r="D970" s="1">
        <f ca="1">IFERROR(__xludf.DUMMYFUNCTION("""COMPUTED_VALUE"""),79.82)</f>
        <v>79.819999999999993</v>
      </c>
      <c r="E970" s="1">
        <f ca="1">IFERROR(__xludf.DUMMYFUNCTION("""COMPUTED_VALUE"""),81.39)</f>
        <v>81.39</v>
      </c>
      <c r="F970" s="1">
        <f ca="1">IFERROR(__xludf.DUMMYFUNCTION("""COMPUTED_VALUE"""),5624727)</f>
        <v>5624727</v>
      </c>
    </row>
    <row r="971" spans="1:6" x14ac:dyDescent="0.35">
      <c r="A971" s="2">
        <f ca="1">IFERROR(__xludf.DUMMYFUNCTION("""COMPUTED_VALUE"""),43410.6666666666)</f>
        <v>43410.666666666599</v>
      </c>
      <c r="B971" s="1">
        <f ca="1">IFERROR(__xludf.DUMMYFUNCTION("""COMPUTED_VALUE"""),80.92)</f>
        <v>80.92</v>
      </c>
      <c r="C971" s="1">
        <f ca="1">IFERROR(__xludf.DUMMYFUNCTION("""COMPUTED_VALUE"""),83.25)</f>
        <v>83.25</v>
      </c>
      <c r="D971" s="1">
        <f ca="1">IFERROR(__xludf.DUMMYFUNCTION("""COMPUTED_VALUE"""),80.73)</f>
        <v>80.73</v>
      </c>
      <c r="E971" s="1">
        <f ca="1">IFERROR(__xludf.DUMMYFUNCTION("""COMPUTED_VALUE"""),82.14)</f>
        <v>82.14</v>
      </c>
      <c r="F971" s="1">
        <f ca="1">IFERROR(__xludf.DUMMYFUNCTION("""COMPUTED_VALUE"""),4257353)</f>
        <v>4257353</v>
      </c>
    </row>
    <row r="972" spans="1:6" x14ac:dyDescent="0.35">
      <c r="A972" s="2">
        <f ca="1">IFERROR(__xludf.DUMMYFUNCTION("""COMPUTED_VALUE"""),43411.6666666666)</f>
        <v>43411.666666666599</v>
      </c>
      <c r="B972" s="1">
        <f ca="1">IFERROR(__xludf.DUMMYFUNCTION("""COMPUTED_VALUE"""),83.65)</f>
        <v>83.65</v>
      </c>
      <c r="C972" s="1">
        <f ca="1">IFERROR(__xludf.DUMMYFUNCTION("""COMPUTED_VALUE"""),87.96)</f>
        <v>87.96</v>
      </c>
      <c r="D972" s="1">
        <f ca="1">IFERROR(__xludf.DUMMYFUNCTION("""COMPUTED_VALUE"""),83.2)</f>
        <v>83.2</v>
      </c>
      <c r="E972" s="1">
        <f ca="1">IFERROR(__xludf.DUMMYFUNCTION("""COMPUTED_VALUE"""),87.77)</f>
        <v>87.77</v>
      </c>
      <c r="F972" s="1">
        <f ca="1">IFERROR(__xludf.DUMMYFUNCTION("""COMPUTED_VALUE"""),8192234)</f>
        <v>8192234</v>
      </c>
    </row>
    <row r="973" spans="1:6" x14ac:dyDescent="0.35">
      <c r="A973" s="2">
        <f ca="1">IFERROR(__xludf.DUMMYFUNCTION("""COMPUTED_VALUE"""),43412.6666666666)</f>
        <v>43412.666666666599</v>
      </c>
      <c r="B973" s="1">
        <f ca="1">IFERROR(__xludf.DUMMYFUNCTION("""COMPUTED_VALUE"""),87.75)</f>
        <v>87.75</v>
      </c>
      <c r="C973" s="1">
        <f ca="1">IFERROR(__xludf.DUMMYFUNCTION("""COMPUTED_VALUE"""),89.2)</f>
        <v>89.2</v>
      </c>
      <c r="D973" s="1">
        <f ca="1">IFERROR(__xludf.DUMMYFUNCTION("""COMPUTED_VALUE"""),86.26)</f>
        <v>86.26</v>
      </c>
      <c r="E973" s="1">
        <f ca="1">IFERROR(__xludf.DUMMYFUNCTION("""COMPUTED_VALUE"""),87.75)</f>
        <v>87.75</v>
      </c>
      <c r="F973" s="1">
        <f ca="1">IFERROR(__xludf.DUMMYFUNCTION("""COMPUTED_VALUE"""),6534866)</f>
        <v>6534866</v>
      </c>
    </row>
    <row r="974" spans="1:6" x14ac:dyDescent="0.35">
      <c r="A974" s="2">
        <f ca="1">IFERROR(__xludf.DUMMYFUNCTION("""COMPUTED_VALUE"""),43413.6666666666)</f>
        <v>43413.666666666599</v>
      </c>
      <c r="B974" s="1">
        <f ca="1">IFERROR(__xludf.DUMMYFUNCTION("""COMPUTED_VALUE"""),86.63)</f>
        <v>86.63</v>
      </c>
      <c r="C974" s="1">
        <f ca="1">IFERROR(__xludf.DUMMYFUNCTION("""COMPUTED_VALUE"""),87.2)</f>
        <v>87.2</v>
      </c>
      <c r="D974" s="1">
        <f ca="1">IFERROR(__xludf.DUMMYFUNCTION("""COMPUTED_VALUE"""),85.09)</f>
        <v>85.09</v>
      </c>
      <c r="E974" s="1">
        <f ca="1">IFERROR(__xludf.DUMMYFUNCTION("""COMPUTED_VALUE"""),85.62)</f>
        <v>85.62</v>
      </c>
      <c r="F974" s="1">
        <f ca="1">IFERROR(__xludf.DUMMYFUNCTION("""COMPUTED_VALUE"""),5902186)</f>
        <v>5902186</v>
      </c>
    </row>
    <row r="975" spans="1:6" x14ac:dyDescent="0.35">
      <c r="A975" s="2">
        <f ca="1">IFERROR(__xludf.DUMMYFUNCTION("""COMPUTED_VALUE"""),43416.6666666666)</f>
        <v>43416.666666666599</v>
      </c>
      <c r="B975" s="1">
        <f ca="1">IFERROR(__xludf.DUMMYFUNCTION("""COMPUTED_VALUE"""),84.91)</f>
        <v>84.91</v>
      </c>
      <c r="C975" s="1">
        <f ca="1">IFERROR(__xludf.DUMMYFUNCTION("""COMPUTED_VALUE"""),85.43)</f>
        <v>85.43</v>
      </c>
      <c r="D975" s="1">
        <f ca="1">IFERROR(__xludf.DUMMYFUNCTION("""COMPUTED_VALUE"""),81.5)</f>
        <v>81.5</v>
      </c>
      <c r="E975" s="1">
        <f ca="1">IFERROR(__xludf.DUMMYFUNCTION("""COMPUTED_VALUE"""),81.84)</f>
        <v>81.84</v>
      </c>
      <c r="F975" s="1">
        <f ca="1">IFERROR(__xludf.DUMMYFUNCTION("""COMPUTED_VALUE"""),6806245)</f>
        <v>6806245</v>
      </c>
    </row>
    <row r="976" spans="1:6" x14ac:dyDescent="0.35">
      <c r="A976" s="2">
        <f ca="1">IFERROR(__xludf.DUMMYFUNCTION("""COMPUTED_VALUE"""),43417.6666666666)</f>
        <v>43417.666666666599</v>
      </c>
      <c r="B976" s="1">
        <f ca="1">IFERROR(__xludf.DUMMYFUNCTION("""COMPUTED_VALUE"""),82.46)</f>
        <v>82.46</v>
      </c>
      <c r="C976" s="1">
        <f ca="1">IFERROR(__xludf.DUMMYFUNCTION("""COMPUTED_VALUE"""),83.85)</f>
        <v>83.85</v>
      </c>
      <c r="D976" s="1">
        <f ca="1">IFERROR(__xludf.DUMMYFUNCTION("""COMPUTED_VALUE"""),80.69)</f>
        <v>80.69</v>
      </c>
      <c r="E976" s="1">
        <f ca="1">IFERROR(__xludf.DUMMYFUNCTION("""COMPUTED_VALUE"""),81.56)</f>
        <v>81.56</v>
      </c>
      <c r="F976" s="1">
        <f ca="1">IFERROR(__xludf.DUMMYFUNCTION("""COMPUTED_VALUE"""),5933271)</f>
        <v>5933271</v>
      </c>
    </row>
    <row r="977" spans="1:6" x14ac:dyDescent="0.35">
      <c r="A977" s="2">
        <f ca="1">IFERROR(__xludf.DUMMYFUNCTION("""COMPUTED_VALUE"""),43418.6666666666)</f>
        <v>43418.666666666599</v>
      </c>
      <c r="B977" s="1">
        <f ca="1">IFERROR(__xludf.DUMMYFUNCTION("""COMPUTED_VALUE"""),82.82)</f>
        <v>82.82</v>
      </c>
      <c r="C977" s="1">
        <f ca="1">IFERROR(__xludf.DUMMYFUNCTION("""COMPUTED_VALUE"""),83.65)</f>
        <v>83.65</v>
      </c>
      <c r="D977" s="1">
        <f ca="1">IFERROR(__xludf.DUMMYFUNCTION("""COMPUTED_VALUE"""),79.85)</f>
        <v>79.849999999999994</v>
      </c>
      <c r="E977" s="1">
        <f ca="1">IFERROR(__xludf.DUMMYFUNCTION("""COMPUTED_VALUE"""),79.95)</f>
        <v>79.95</v>
      </c>
      <c r="F977" s="1">
        <f ca="1">IFERROR(__xludf.DUMMYFUNCTION("""COMPUTED_VALUE"""),6486891)</f>
        <v>6486891</v>
      </c>
    </row>
    <row r="978" spans="1:6" x14ac:dyDescent="0.35">
      <c r="A978" s="2">
        <f ca="1">IFERROR(__xludf.DUMMYFUNCTION("""COMPUTED_VALUE"""),43419.6666666666)</f>
        <v>43419.666666666599</v>
      </c>
      <c r="B978" s="1">
        <f ca="1">IFERROR(__xludf.DUMMYFUNCTION("""COMPUTED_VALUE"""),79.05)</f>
        <v>79.05</v>
      </c>
      <c r="C978" s="1">
        <f ca="1">IFERROR(__xludf.DUMMYFUNCTION("""COMPUTED_VALUE"""),81.24)</f>
        <v>81.239999999999995</v>
      </c>
      <c r="D978" s="1">
        <f ca="1">IFERROR(__xludf.DUMMYFUNCTION("""COMPUTED_VALUE"""),77.33)</f>
        <v>77.33</v>
      </c>
      <c r="E978" s="1">
        <f ca="1">IFERROR(__xludf.DUMMYFUNCTION("""COMPUTED_VALUE"""),80.97)</f>
        <v>80.97</v>
      </c>
      <c r="F978" s="1">
        <f ca="1">IFERROR(__xludf.DUMMYFUNCTION("""COMPUTED_VALUE"""),8427337)</f>
        <v>8427337</v>
      </c>
    </row>
    <row r="979" spans="1:6" x14ac:dyDescent="0.35">
      <c r="A979" s="2">
        <f ca="1">IFERROR(__xludf.DUMMYFUNCTION("""COMPUTED_VALUE"""),43420.6666666666)</f>
        <v>43420.666666666599</v>
      </c>
      <c r="B979" s="1">
        <f ca="1">IFERROR(__xludf.DUMMYFUNCTION("""COMPUTED_VALUE"""),79.38)</f>
        <v>79.38</v>
      </c>
      <c r="C979" s="1">
        <f ca="1">IFERROR(__xludf.DUMMYFUNCTION("""COMPUTED_VALUE"""),80.72)</f>
        <v>80.72</v>
      </c>
      <c r="D979" s="1">
        <f ca="1">IFERROR(__xludf.DUMMYFUNCTION("""COMPUTED_VALUE"""),78.66)</f>
        <v>78.66</v>
      </c>
      <c r="E979" s="1">
        <f ca="1">IFERROR(__xludf.DUMMYFUNCTION("""COMPUTED_VALUE"""),79.67)</f>
        <v>79.67</v>
      </c>
      <c r="F979" s="1">
        <f ca="1">IFERROR(__xludf.DUMMYFUNCTION("""COMPUTED_VALUE"""),6066080)</f>
        <v>6066080</v>
      </c>
    </row>
    <row r="980" spans="1:6" x14ac:dyDescent="0.35">
      <c r="A980" s="2">
        <f ca="1">IFERROR(__xludf.DUMMYFUNCTION("""COMPUTED_VALUE"""),43423.6666666666)</f>
        <v>43423.666666666599</v>
      </c>
      <c r="B980" s="1">
        <f ca="1">IFERROR(__xludf.DUMMYFUNCTION("""COMPUTED_VALUE"""),78.85)</f>
        <v>78.849999999999994</v>
      </c>
      <c r="C980" s="1">
        <f ca="1">IFERROR(__xludf.DUMMYFUNCTION("""COMPUTED_VALUE"""),79.06)</f>
        <v>79.06</v>
      </c>
      <c r="D980" s="1">
        <f ca="1">IFERROR(__xludf.DUMMYFUNCTION("""COMPUTED_VALUE"""),75.17)</f>
        <v>75.17</v>
      </c>
      <c r="E980" s="1">
        <f ca="1">IFERROR(__xludf.DUMMYFUNCTION("""COMPUTED_VALUE"""),75.61)</f>
        <v>75.61</v>
      </c>
      <c r="F980" s="1">
        <f ca="1">IFERROR(__xludf.DUMMYFUNCTION("""COMPUTED_VALUE"""),7789981)</f>
        <v>7789981</v>
      </c>
    </row>
    <row r="981" spans="1:6" x14ac:dyDescent="0.35">
      <c r="A981" s="2">
        <f ca="1">IFERROR(__xludf.DUMMYFUNCTION("""COMPUTED_VALUE"""),43424.6666666666)</f>
        <v>43424.666666666599</v>
      </c>
      <c r="B981" s="1">
        <f ca="1">IFERROR(__xludf.DUMMYFUNCTION("""COMPUTED_VALUE"""),71.88)</f>
        <v>71.88</v>
      </c>
      <c r="C981" s="1">
        <f ca="1">IFERROR(__xludf.DUMMYFUNCTION("""COMPUTED_VALUE"""),76.74)</f>
        <v>76.739999999999995</v>
      </c>
      <c r="D981" s="1">
        <f ca="1">IFERROR(__xludf.DUMMYFUNCTION("""COMPUTED_VALUE"""),71)</f>
        <v>71</v>
      </c>
      <c r="E981" s="1">
        <f ca="1">IFERROR(__xludf.DUMMYFUNCTION("""COMPUTED_VALUE"""),74.77)</f>
        <v>74.77</v>
      </c>
      <c r="F981" s="1">
        <f ca="1">IFERROR(__xludf.DUMMYFUNCTION("""COMPUTED_VALUE"""),10878823)</f>
        <v>10878823</v>
      </c>
    </row>
    <row r="982" spans="1:6" x14ac:dyDescent="0.35">
      <c r="A982" s="2">
        <f ca="1">IFERROR(__xludf.DUMMYFUNCTION("""COMPUTED_VALUE"""),43425.6666666666)</f>
        <v>43425.666666666599</v>
      </c>
      <c r="B982" s="1">
        <f ca="1">IFERROR(__xludf.DUMMYFUNCTION("""COMPUTED_VALUE"""),77.15)</f>
        <v>77.150000000000006</v>
      </c>
      <c r="C982" s="1">
        <f ca="1">IFERROR(__xludf.DUMMYFUNCTION("""COMPUTED_VALUE"""),77.5)</f>
        <v>77.5</v>
      </c>
      <c r="D982" s="1">
        <f ca="1">IFERROR(__xludf.DUMMYFUNCTION("""COMPUTED_VALUE"""),75.75)</f>
        <v>75.75</v>
      </c>
      <c r="E982" s="1">
        <f ca="1">IFERROR(__xludf.DUMMYFUNCTION("""COMPUTED_VALUE"""),75.84)</f>
        <v>75.84</v>
      </c>
      <c r="F982" s="1">
        <f ca="1">IFERROR(__xludf.DUMMYFUNCTION("""COMPUTED_VALUE"""),5716800)</f>
        <v>5716800</v>
      </c>
    </row>
    <row r="983" spans="1:6" x14ac:dyDescent="0.35">
      <c r="A983" s="2">
        <f ca="1">IFERROR(__xludf.DUMMYFUNCTION("""COMPUTED_VALUE"""),43427.5416666666)</f>
        <v>43427.541666666599</v>
      </c>
      <c r="B983" s="1">
        <f ca="1">IFERROR(__xludf.DUMMYFUNCTION("""COMPUTED_VALUE"""),75.85)</f>
        <v>75.849999999999994</v>
      </c>
      <c r="C983" s="1">
        <f ca="1">IFERROR(__xludf.DUMMYFUNCTION("""COMPUTED_VALUE"""),76.81)</f>
        <v>76.81</v>
      </c>
      <c r="D983" s="1">
        <f ca="1">IFERROR(__xludf.DUMMYFUNCTION("""COMPUTED_VALUE"""),75.09)</f>
        <v>75.09</v>
      </c>
      <c r="E983" s="1">
        <f ca="1">IFERROR(__xludf.DUMMYFUNCTION("""COMPUTED_VALUE"""),75.1)</f>
        <v>75.099999999999994</v>
      </c>
      <c r="F983" s="1">
        <f ca="1">IFERROR(__xludf.DUMMYFUNCTION("""COMPUTED_VALUE"""),2707642)</f>
        <v>2707642</v>
      </c>
    </row>
    <row r="984" spans="1:6" x14ac:dyDescent="0.35">
      <c r="A984" s="2">
        <f ca="1">IFERROR(__xludf.DUMMYFUNCTION("""COMPUTED_VALUE"""),43430.6666666666)</f>
        <v>43430.666666666599</v>
      </c>
      <c r="B984" s="1">
        <f ca="1">IFERROR(__xludf.DUMMYFUNCTION("""COMPUTED_VALUE"""),76.95)</f>
        <v>76.95</v>
      </c>
      <c r="C984" s="1">
        <f ca="1">IFERROR(__xludf.DUMMYFUNCTION("""COMPUTED_VALUE"""),79.24)</f>
        <v>79.239999999999995</v>
      </c>
      <c r="D984" s="1">
        <f ca="1">IFERROR(__xludf.DUMMYFUNCTION("""COMPUTED_VALUE"""),76.21)</f>
        <v>76.209999999999994</v>
      </c>
      <c r="E984" s="1">
        <f ca="1">IFERROR(__xludf.DUMMYFUNCTION("""COMPUTED_VALUE"""),79.07)</f>
        <v>79.069999999999993</v>
      </c>
      <c r="F984" s="1">
        <f ca="1">IFERROR(__xludf.DUMMYFUNCTION("""COMPUTED_VALUE"""),6257716)</f>
        <v>6257716</v>
      </c>
    </row>
    <row r="985" spans="1:6" x14ac:dyDescent="0.35">
      <c r="A985" s="2">
        <f ca="1">IFERROR(__xludf.DUMMYFUNCTION("""COMPUTED_VALUE"""),43431.6666666666)</f>
        <v>43431.666666666599</v>
      </c>
      <c r="B985" s="1">
        <f ca="1">IFERROR(__xludf.DUMMYFUNCTION("""COMPUTED_VALUE"""),78.8)</f>
        <v>78.8</v>
      </c>
      <c r="C985" s="1">
        <f ca="1">IFERROR(__xludf.DUMMYFUNCTION("""COMPUTED_VALUE"""),79.88)</f>
        <v>79.88</v>
      </c>
      <c r="D985" s="1">
        <f ca="1">IFERROR(__xludf.DUMMYFUNCTION("""COMPUTED_VALUE"""),77.9)</f>
        <v>77.900000000000006</v>
      </c>
      <c r="E985" s="1">
        <f ca="1">IFERROR(__xludf.DUMMYFUNCTION("""COMPUTED_VALUE"""),79.07)</f>
        <v>79.069999999999993</v>
      </c>
      <c r="F985" s="1">
        <f ca="1">IFERROR(__xludf.DUMMYFUNCTION("""COMPUTED_VALUE"""),5783227)</f>
        <v>5783227</v>
      </c>
    </row>
    <row r="986" spans="1:6" x14ac:dyDescent="0.35">
      <c r="A986" s="2">
        <f ca="1">IFERROR(__xludf.DUMMYFUNCTION("""COMPUTED_VALUE"""),43432.6666666666)</f>
        <v>43432.666666666599</v>
      </c>
      <c r="B986" s="1">
        <f ca="1">IFERROR(__xludf.DUMMYFUNCTION("""COMPUTED_VALUE"""),80.7)</f>
        <v>80.7</v>
      </c>
      <c r="C986" s="1">
        <f ca="1">IFERROR(__xludf.DUMMYFUNCTION("""COMPUTED_VALUE"""),84.07)</f>
        <v>84.07</v>
      </c>
      <c r="D986" s="1">
        <f ca="1">IFERROR(__xludf.DUMMYFUNCTION("""COMPUTED_VALUE"""),80.06)</f>
        <v>80.06</v>
      </c>
      <c r="E986" s="1">
        <f ca="1">IFERROR(__xludf.DUMMYFUNCTION("""COMPUTED_VALUE"""),83.89)</f>
        <v>83.89</v>
      </c>
      <c r="F986" s="1">
        <f ca="1">IFERROR(__xludf.DUMMYFUNCTION("""COMPUTED_VALUE"""),8458738)</f>
        <v>8458738</v>
      </c>
    </row>
    <row r="987" spans="1:6" x14ac:dyDescent="0.35">
      <c r="A987" s="2">
        <f ca="1">IFERROR(__xludf.DUMMYFUNCTION("""COMPUTED_VALUE"""),43433.6666666666)</f>
        <v>43433.666666666599</v>
      </c>
      <c r="B987" s="1">
        <f ca="1">IFERROR(__xludf.DUMMYFUNCTION("""COMPUTED_VALUE"""),83.75)</f>
        <v>83.75</v>
      </c>
      <c r="C987" s="1">
        <f ca="1">IFERROR(__xludf.DUMMYFUNCTION("""COMPUTED_VALUE"""),84.5)</f>
        <v>84.5</v>
      </c>
      <c r="D987" s="1">
        <f ca="1">IFERROR(__xludf.DUMMYFUNCTION("""COMPUTED_VALUE"""),82.62)</f>
        <v>82.62</v>
      </c>
      <c r="E987" s="1">
        <f ca="1">IFERROR(__xludf.DUMMYFUNCTION("""COMPUTED_VALUE"""),83.68)</f>
        <v>83.68</v>
      </c>
      <c r="F987" s="1">
        <f ca="1">IFERROR(__xludf.DUMMYFUNCTION("""COMPUTED_VALUE"""),6613243)</f>
        <v>6613243</v>
      </c>
    </row>
    <row r="988" spans="1:6" x14ac:dyDescent="0.35">
      <c r="A988" s="2">
        <f ca="1">IFERROR(__xludf.DUMMYFUNCTION("""COMPUTED_VALUE"""),43434.6666666666)</f>
        <v>43434.666666666599</v>
      </c>
      <c r="B988" s="1">
        <f ca="1">IFERROR(__xludf.DUMMYFUNCTION("""COMPUTED_VALUE"""),83.98)</f>
        <v>83.98</v>
      </c>
      <c r="C988" s="1">
        <f ca="1">IFERROR(__xludf.DUMMYFUNCTION("""COMPUTED_VALUE"""),84.8)</f>
        <v>84.8</v>
      </c>
      <c r="D988" s="1">
        <f ca="1">IFERROR(__xludf.DUMMYFUNCTION("""COMPUTED_VALUE"""),83.33)</f>
        <v>83.33</v>
      </c>
      <c r="E988" s="1">
        <f ca="1">IFERROR(__xludf.DUMMYFUNCTION("""COMPUTED_VALUE"""),84.51)</f>
        <v>84.51</v>
      </c>
      <c r="F988" s="1">
        <f ca="1">IFERROR(__xludf.DUMMYFUNCTION("""COMPUTED_VALUE"""),5761761)</f>
        <v>5761761</v>
      </c>
    </row>
    <row r="989" spans="1:6" x14ac:dyDescent="0.35">
      <c r="A989" s="2">
        <f ca="1">IFERROR(__xludf.DUMMYFUNCTION("""COMPUTED_VALUE"""),43437.6666666666)</f>
        <v>43437.666666666599</v>
      </c>
      <c r="B989" s="1">
        <f ca="1">IFERROR(__xludf.DUMMYFUNCTION("""COMPUTED_VALUE"""),88.47)</f>
        <v>88.47</v>
      </c>
      <c r="C989" s="1">
        <f ca="1">IFERROR(__xludf.DUMMYFUNCTION("""COMPUTED_VALUE"""),88.92)</f>
        <v>88.92</v>
      </c>
      <c r="D989" s="1">
        <f ca="1">IFERROR(__xludf.DUMMYFUNCTION("""COMPUTED_VALUE"""),86.5)</f>
        <v>86.5</v>
      </c>
      <c r="E989" s="1">
        <f ca="1">IFERROR(__xludf.DUMMYFUNCTION("""COMPUTED_VALUE"""),88.62)</f>
        <v>88.62</v>
      </c>
      <c r="F989" s="1">
        <f ca="1">IFERROR(__xludf.DUMMYFUNCTION("""COMPUTED_VALUE"""),6862160)</f>
        <v>6862160</v>
      </c>
    </row>
    <row r="990" spans="1:6" x14ac:dyDescent="0.35">
      <c r="A990" s="2">
        <f ca="1">IFERROR(__xludf.DUMMYFUNCTION("""COMPUTED_VALUE"""),43438.6666666666)</f>
        <v>43438.666666666599</v>
      </c>
      <c r="B990" s="1">
        <f ca="1">IFERROR(__xludf.DUMMYFUNCTION("""COMPUTED_VALUE"""),87.8)</f>
        <v>87.8</v>
      </c>
      <c r="C990" s="1">
        <f ca="1">IFERROR(__xludf.DUMMYFUNCTION("""COMPUTED_VALUE"""),88.52)</f>
        <v>88.52</v>
      </c>
      <c r="D990" s="1">
        <f ca="1">IFERROR(__xludf.DUMMYFUNCTION("""COMPUTED_VALUE"""),83.25)</f>
        <v>83.25</v>
      </c>
      <c r="E990" s="1">
        <f ca="1">IFERROR(__xludf.DUMMYFUNCTION("""COMPUTED_VALUE"""),83.42)</f>
        <v>83.42</v>
      </c>
      <c r="F990" s="1">
        <f ca="1">IFERROR(__xludf.DUMMYFUNCTION("""COMPUTED_VALUE"""),8694455)</f>
        <v>8694455</v>
      </c>
    </row>
    <row r="991" spans="1:6" x14ac:dyDescent="0.35">
      <c r="A991" s="2">
        <f ca="1">IFERROR(__xludf.DUMMYFUNCTION("""COMPUTED_VALUE"""),43440.6666666666)</f>
        <v>43440.666666666599</v>
      </c>
      <c r="B991" s="1">
        <f ca="1">IFERROR(__xludf.DUMMYFUNCTION("""COMPUTED_VALUE"""),80.74)</f>
        <v>80.739999999999995</v>
      </c>
      <c r="C991" s="1">
        <f ca="1">IFERROR(__xludf.DUMMYFUNCTION("""COMPUTED_VALUE"""),85.05)</f>
        <v>85.05</v>
      </c>
      <c r="D991" s="1">
        <f ca="1">IFERROR(__xludf.DUMMYFUNCTION("""COMPUTED_VALUE"""),80.49)</f>
        <v>80.489999999999995</v>
      </c>
      <c r="E991" s="1">
        <f ca="1">IFERROR(__xludf.DUMMYFUNCTION("""COMPUTED_VALUE"""),84.96)</f>
        <v>84.96</v>
      </c>
      <c r="F991" s="1">
        <f ca="1">IFERROR(__xludf.DUMMYFUNCTION("""COMPUTED_VALUE"""),8789394)</f>
        <v>8789394</v>
      </c>
    </row>
    <row r="992" spans="1:6" x14ac:dyDescent="0.35">
      <c r="A992" s="2">
        <f ca="1">IFERROR(__xludf.DUMMYFUNCTION("""COMPUTED_VALUE"""),43441.6666666666)</f>
        <v>43441.666666666599</v>
      </c>
      <c r="B992" s="1">
        <f ca="1">IFERROR(__xludf.DUMMYFUNCTION("""COMPUTED_VALUE"""),85.25)</f>
        <v>85.25</v>
      </c>
      <c r="C992" s="1">
        <f ca="1">IFERROR(__xludf.DUMMYFUNCTION("""COMPUTED_VALUE"""),85.95)</f>
        <v>85.95</v>
      </c>
      <c r="D992" s="1">
        <f ca="1">IFERROR(__xludf.DUMMYFUNCTION("""COMPUTED_VALUE"""),81.27)</f>
        <v>81.27</v>
      </c>
      <c r="E992" s="1">
        <f ca="1">IFERROR(__xludf.DUMMYFUNCTION("""COMPUTED_VALUE"""),81.46)</f>
        <v>81.459999999999994</v>
      </c>
      <c r="F992" s="1">
        <f ca="1">IFERROR(__xludf.DUMMYFUNCTION("""COMPUTED_VALUE"""),7576132)</f>
        <v>7576132</v>
      </c>
    </row>
    <row r="993" spans="1:6" x14ac:dyDescent="0.35">
      <c r="A993" s="2">
        <f ca="1">IFERROR(__xludf.DUMMYFUNCTION("""COMPUTED_VALUE"""),43444.6666666666)</f>
        <v>43444.666666666599</v>
      </c>
      <c r="B993" s="1">
        <f ca="1">IFERROR(__xludf.DUMMYFUNCTION("""COMPUTED_VALUE"""),81.19)</f>
        <v>81.19</v>
      </c>
      <c r="C993" s="1">
        <f ca="1">IFERROR(__xludf.DUMMYFUNCTION("""COMPUTED_VALUE"""),82.9)</f>
        <v>82.9</v>
      </c>
      <c r="D993" s="1">
        <f ca="1">IFERROR(__xludf.DUMMYFUNCTION("""COMPUTED_VALUE"""),79.54)</f>
        <v>79.540000000000006</v>
      </c>
      <c r="E993" s="1">
        <f ca="1">IFERROR(__xludf.DUMMYFUNCTION("""COMPUTED_VALUE"""),82.05)</f>
        <v>82.05</v>
      </c>
      <c r="F993" s="1">
        <f ca="1">IFERROR(__xludf.DUMMYFUNCTION("""COMPUTED_VALUE"""),7494808)</f>
        <v>7494808</v>
      </c>
    </row>
    <row r="994" spans="1:6" x14ac:dyDescent="0.35">
      <c r="A994" s="2">
        <f ca="1">IFERROR(__xludf.DUMMYFUNCTION("""COMPUTED_VALUE"""),43445.6666666666)</f>
        <v>43445.666666666599</v>
      </c>
      <c r="B994" s="1">
        <f ca="1">IFERROR(__xludf.DUMMYFUNCTION("""COMPUTED_VALUE"""),83.9)</f>
        <v>83.9</v>
      </c>
      <c r="C994" s="1">
        <f ca="1">IFERROR(__xludf.DUMMYFUNCTION("""COMPUTED_VALUE"""),83.97)</f>
        <v>83.97</v>
      </c>
      <c r="D994" s="1">
        <f ca="1">IFERROR(__xludf.DUMMYFUNCTION("""COMPUTED_VALUE"""),80.98)</f>
        <v>80.98</v>
      </c>
      <c r="E994" s="1">
        <f ca="1">IFERROR(__xludf.DUMMYFUNCTION("""COMPUTED_VALUE"""),82.16)</f>
        <v>82.16</v>
      </c>
      <c r="F994" s="1">
        <f ca="1">IFERROR(__xludf.DUMMYFUNCTION("""COMPUTED_VALUE"""),6244695)</f>
        <v>6244695</v>
      </c>
    </row>
    <row r="995" spans="1:6" x14ac:dyDescent="0.35">
      <c r="A995" s="2">
        <f ca="1">IFERROR(__xludf.DUMMYFUNCTION("""COMPUTED_VALUE"""),43446.6666666666)</f>
        <v>43446.666666666599</v>
      </c>
      <c r="B995" s="1">
        <f ca="1">IFERROR(__xludf.DUMMYFUNCTION("""COMPUTED_VALUE"""),83.45)</f>
        <v>83.45</v>
      </c>
      <c r="C995" s="1">
        <f ca="1">IFERROR(__xludf.DUMMYFUNCTION("""COMPUTED_VALUE"""),85.25)</f>
        <v>85.25</v>
      </c>
      <c r="D995" s="1">
        <f ca="1">IFERROR(__xludf.DUMMYFUNCTION("""COMPUTED_VALUE"""),83.01)</f>
        <v>83.01</v>
      </c>
      <c r="E995" s="1">
        <f ca="1">IFERROR(__xludf.DUMMYFUNCTION("""COMPUTED_VALUE"""),83.18)</f>
        <v>83.18</v>
      </c>
      <c r="F995" s="1">
        <f ca="1">IFERROR(__xludf.DUMMYFUNCTION("""COMPUTED_VALUE"""),6597968)</f>
        <v>6597968</v>
      </c>
    </row>
    <row r="996" spans="1:6" x14ac:dyDescent="0.35">
      <c r="A996" s="2">
        <f ca="1">IFERROR(__xludf.DUMMYFUNCTION("""COMPUTED_VALUE"""),43447.6666666666)</f>
        <v>43447.666666666599</v>
      </c>
      <c r="B996" s="1">
        <f ca="1">IFERROR(__xludf.DUMMYFUNCTION("""COMPUTED_VALUE"""),84)</f>
        <v>84</v>
      </c>
      <c r="C996" s="1">
        <f ca="1">IFERROR(__xludf.DUMMYFUNCTION("""COMPUTED_VALUE"""),84.61)</f>
        <v>84.61</v>
      </c>
      <c r="D996" s="1">
        <f ca="1">IFERROR(__xludf.DUMMYFUNCTION("""COMPUTED_VALUE"""),82.08)</f>
        <v>82.08</v>
      </c>
      <c r="E996" s="1">
        <f ca="1">IFERROR(__xludf.DUMMYFUNCTION("""COMPUTED_VALUE"""),82.92)</f>
        <v>82.92</v>
      </c>
      <c r="F996" s="1">
        <f ca="1">IFERROR(__xludf.DUMMYFUNCTION("""COMPUTED_VALUE"""),5271162)</f>
        <v>5271162</v>
      </c>
    </row>
    <row r="997" spans="1:6" x14ac:dyDescent="0.35">
      <c r="A997" s="2">
        <f ca="1">IFERROR(__xludf.DUMMYFUNCTION("""COMPUTED_VALUE"""),43448.6666666666)</f>
        <v>43448.666666666599</v>
      </c>
      <c r="B997" s="1">
        <f ca="1">IFERROR(__xludf.DUMMYFUNCTION("""COMPUTED_VALUE"""),81.9)</f>
        <v>81.900000000000006</v>
      </c>
      <c r="C997" s="1">
        <f ca="1">IFERROR(__xludf.DUMMYFUNCTION("""COMPUTED_VALUE"""),82.13)</f>
        <v>82.13</v>
      </c>
      <c r="D997" s="1">
        <f ca="1">IFERROR(__xludf.DUMMYFUNCTION("""COMPUTED_VALUE"""),79.25)</f>
        <v>79.25</v>
      </c>
      <c r="E997" s="1">
        <f ca="1">IFERROR(__xludf.DUMMYFUNCTION("""COMPUTED_VALUE"""),79.6)</f>
        <v>79.599999999999994</v>
      </c>
      <c r="F997" s="1">
        <f ca="1">IFERROR(__xludf.DUMMYFUNCTION("""COMPUTED_VALUE"""),6367163)</f>
        <v>6367163</v>
      </c>
    </row>
    <row r="998" spans="1:6" x14ac:dyDescent="0.35">
      <c r="A998" s="2">
        <f ca="1">IFERROR(__xludf.DUMMYFUNCTION("""COMPUTED_VALUE"""),43451.6666666666)</f>
        <v>43451.666666666599</v>
      </c>
      <c r="B998" s="1">
        <f ca="1">IFERROR(__xludf.DUMMYFUNCTION("""COMPUTED_VALUE"""),78.3)</f>
        <v>78.3</v>
      </c>
      <c r="C998" s="1">
        <f ca="1">IFERROR(__xludf.DUMMYFUNCTION("""COMPUTED_VALUE"""),78.81)</f>
        <v>78.81</v>
      </c>
      <c r="D998" s="1">
        <f ca="1">IFERROR(__xludf.DUMMYFUNCTION("""COMPUTED_VALUE"""),75.25)</f>
        <v>75.25</v>
      </c>
      <c r="E998" s="1">
        <f ca="1">IFERROR(__xludf.DUMMYFUNCTION("""COMPUTED_VALUE"""),76.05)</f>
        <v>76.05</v>
      </c>
      <c r="F998" s="1">
        <f ca="1">IFERROR(__xludf.DUMMYFUNCTION("""COMPUTED_VALUE"""),8829762)</f>
        <v>8829762</v>
      </c>
    </row>
    <row r="999" spans="1:6" x14ac:dyDescent="0.35">
      <c r="A999" s="2">
        <f ca="1">IFERROR(__xludf.DUMMYFUNCTION("""COMPUTED_VALUE"""),43452.6666666666)</f>
        <v>43452.666666666599</v>
      </c>
      <c r="B999" s="1">
        <f ca="1">IFERROR(__xludf.DUMMYFUNCTION("""COMPUTED_VALUE"""),77)</f>
        <v>77</v>
      </c>
      <c r="C999" s="1">
        <f ca="1">IFERROR(__xludf.DUMMYFUNCTION("""COMPUTED_VALUE"""),78.38)</f>
        <v>78.38</v>
      </c>
      <c r="D999" s="1">
        <f ca="1">IFERROR(__xludf.DUMMYFUNCTION("""COMPUTED_VALUE"""),76.15)</f>
        <v>76.150000000000006</v>
      </c>
      <c r="E999" s="1">
        <f ca="1">IFERROR(__xludf.DUMMYFUNCTION("""COMPUTED_VALUE"""),77.57)</f>
        <v>77.569999999999993</v>
      </c>
      <c r="F999" s="1">
        <f ca="1">IFERROR(__xludf.DUMMYFUNCTION("""COMPUTED_VALUE"""),6522975)</f>
        <v>6522975</v>
      </c>
    </row>
    <row r="1000" spans="1:6" x14ac:dyDescent="0.35">
      <c r="A1000" s="2">
        <f ca="1">IFERROR(__xludf.DUMMYFUNCTION("""COMPUTED_VALUE"""),43453.6666666666)</f>
        <v>43453.666666666599</v>
      </c>
      <c r="B1000" s="1">
        <f ca="1">IFERROR(__xludf.DUMMYFUNCTION("""COMPUTED_VALUE"""),77.15)</f>
        <v>77.150000000000006</v>
      </c>
      <c r="C1000" s="1">
        <f ca="1">IFERROR(__xludf.DUMMYFUNCTION("""COMPUTED_VALUE"""),79.23)</f>
        <v>79.23</v>
      </c>
      <c r="D1000" s="1">
        <f ca="1">IFERROR(__xludf.DUMMYFUNCTION("""COMPUTED_VALUE"""),74.16)</f>
        <v>74.16</v>
      </c>
      <c r="E1000" s="1">
        <f ca="1">IFERROR(__xludf.DUMMYFUNCTION("""COMPUTED_VALUE"""),74.75)</f>
        <v>74.75</v>
      </c>
      <c r="F1000" s="1">
        <f ca="1">IFERROR(__xludf.DUMMYFUNCTION("""COMPUTED_VALUE"""),8792189)</f>
        <v>8792189</v>
      </c>
    </row>
    <row r="1001" spans="1:6" x14ac:dyDescent="0.35">
      <c r="A1001" s="2">
        <f ca="1">IFERROR(__xludf.DUMMYFUNCTION("""COMPUTED_VALUE"""),43454.6666666666)</f>
        <v>43454.666666666599</v>
      </c>
      <c r="B1001" s="1">
        <f ca="1">IFERROR(__xludf.DUMMYFUNCTION("""COMPUTED_VALUE"""),74.2)</f>
        <v>74.2</v>
      </c>
      <c r="C1001" s="1">
        <f ca="1">IFERROR(__xludf.DUMMYFUNCTION("""COMPUTED_VALUE"""),75.47)</f>
        <v>75.47</v>
      </c>
      <c r="D1001" s="1">
        <f ca="1">IFERROR(__xludf.DUMMYFUNCTION("""COMPUTED_VALUE"""),71.63)</f>
        <v>71.63</v>
      </c>
      <c r="E1001" s="1">
        <f ca="1">IFERROR(__xludf.DUMMYFUNCTION("""COMPUTED_VALUE"""),73.04)</f>
        <v>73.040000000000006</v>
      </c>
      <c r="F1001" s="1">
        <f ca="1">IFERROR(__xludf.DUMMYFUNCTION("""COMPUTED_VALUE"""),9991833)</f>
        <v>9991833</v>
      </c>
    </row>
    <row r="1002" spans="1:6" x14ac:dyDescent="0.35">
      <c r="A1002" s="2">
        <f ca="1">IFERROR(__xludf.DUMMYFUNCTION("""COMPUTED_VALUE"""),43455.6666666666)</f>
        <v>43455.666666666599</v>
      </c>
      <c r="B1002" s="1">
        <f ca="1">IFERROR(__xludf.DUMMYFUNCTION("""COMPUTED_VALUE"""),73.25)</f>
        <v>73.25</v>
      </c>
      <c r="C1002" s="1">
        <f ca="1">IFERROR(__xludf.DUMMYFUNCTION("""COMPUTED_VALUE"""),74)</f>
        <v>74</v>
      </c>
      <c r="D1002" s="1">
        <f ca="1">IFERROR(__xludf.DUMMYFUNCTION("""COMPUTED_VALUE"""),68.2)</f>
        <v>68.2</v>
      </c>
      <c r="E1002" s="1">
        <f ca="1">IFERROR(__xludf.DUMMYFUNCTION("""COMPUTED_VALUE"""),68.87)</f>
        <v>68.87</v>
      </c>
      <c r="F1002" s="1">
        <f ca="1">IFERROR(__xludf.DUMMYFUNCTION("""COMPUTED_VALUE"""),13640320)</f>
        <v>13640320</v>
      </c>
    </row>
    <row r="1003" spans="1:6" x14ac:dyDescent="0.35">
      <c r="A1003" s="2">
        <f ca="1">IFERROR(__xludf.DUMMYFUNCTION("""COMPUTED_VALUE"""),43458.5416666666)</f>
        <v>43458.541666666599</v>
      </c>
      <c r="B1003" s="1">
        <f ca="1">IFERROR(__xludf.DUMMYFUNCTION("""COMPUTED_VALUE"""),67.3)</f>
        <v>67.3</v>
      </c>
      <c r="C1003" s="1">
        <f ca="1">IFERROR(__xludf.DUMMYFUNCTION("""COMPUTED_VALUE"""),69.8)</f>
        <v>69.8</v>
      </c>
      <c r="D1003" s="1">
        <f ca="1">IFERROR(__xludf.DUMMYFUNCTION("""COMPUTED_VALUE"""),65.35)</f>
        <v>65.349999999999994</v>
      </c>
      <c r="E1003" s="1">
        <f ca="1">IFERROR(__xludf.DUMMYFUNCTION("""COMPUTED_VALUE"""),67.2)</f>
        <v>67.2</v>
      </c>
      <c r="F1003" s="1">
        <f ca="1">IFERROR(__xludf.DUMMYFUNCTION("""COMPUTED_VALUE"""),7219996)</f>
        <v>7219996</v>
      </c>
    </row>
    <row r="1004" spans="1:6" x14ac:dyDescent="0.35">
      <c r="A1004" s="2">
        <f ca="1">IFERROR(__xludf.DUMMYFUNCTION("""COMPUTED_VALUE"""),43460.6666666666)</f>
        <v>43460.666666666599</v>
      </c>
      <c r="B1004" s="1">
        <f ca="1">IFERROR(__xludf.DUMMYFUNCTION("""COMPUTED_VALUE"""),68.44)</f>
        <v>68.44</v>
      </c>
      <c r="C1004" s="1">
        <f ca="1">IFERROR(__xludf.DUMMYFUNCTION("""COMPUTED_VALUE"""),73.66)</f>
        <v>73.66</v>
      </c>
      <c r="D1004" s="1">
        <f ca="1">IFERROR(__xludf.DUMMYFUNCTION("""COMPUTED_VALUE"""),68.15)</f>
        <v>68.150000000000006</v>
      </c>
      <c r="E1004" s="1">
        <f ca="1">IFERROR(__xludf.DUMMYFUNCTION("""COMPUTED_VALUE"""),73.55)</f>
        <v>73.55</v>
      </c>
      <c r="F1004" s="1">
        <f ca="1">IFERROR(__xludf.DUMMYFUNCTION("""COMPUTED_VALUE"""),10411801)</f>
        <v>10411801</v>
      </c>
    </row>
    <row r="1005" spans="1:6" x14ac:dyDescent="0.35">
      <c r="A1005" s="2">
        <f ca="1">IFERROR(__xludf.DUMMYFUNCTION("""COMPUTED_VALUE"""),43461.6666666666)</f>
        <v>43461.666666666599</v>
      </c>
      <c r="B1005" s="1">
        <f ca="1">IFERROR(__xludf.DUMMYFUNCTION("""COMPUTED_VALUE"""),72.71)</f>
        <v>72.709999999999994</v>
      </c>
      <c r="C1005" s="1">
        <f ca="1">IFERROR(__xludf.DUMMYFUNCTION("""COMPUTED_VALUE"""),73.45)</f>
        <v>73.45</v>
      </c>
      <c r="D1005" s="1">
        <f ca="1">IFERROR(__xludf.DUMMYFUNCTION("""COMPUTED_VALUE"""),69.52)</f>
        <v>69.52</v>
      </c>
      <c r="E1005" s="1">
        <f ca="1">IFERROR(__xludf.DUMMYFUNCTION("""COMPUTED_VALUE"""),73.08)</f>
        <v>73.08</v>
      </c>
      <c r="F1005" s="1">
        <f ca="1">IFERROR(__xludf.DUMMYFUNCTION("""COMPUTED_VALUE"""),9722034)</f>
        <v>9722034</v>
      </c>
    </row>
    <row r="1006" spans="1:6" x14ac:dyDescent="0.35">
      <c r="A1006" s="2">
        <f ca="1">IFERROR(__xludf.DUMMYFUNCTION("""COMPUTED_VALUE"""),43462.6666666666)</f>
        <v>43462.666666666599</v>
      </c>
      <c r="B1006" s="1">
        <f ca="1">IFERROR(__xludf.DUMMYFUNCTION("""COMPUTED_VALUE"""),73.67)</f>
        <v>73.67</v>
      </c>
      <c r="C1006" s="1">
        <f ca="1">IFERROR(__xludf.DUMMYFUNCTION("""COMPUTED_VALUE"""),75.67)</f>
        <v>75.67</v>
      </c>
      <c r="D1006" s="1">
        <f ca="1">IFERROR(__xludf.DUMMYFUNCTION("""COMPUTED_VALUE"""),72.45)</f>
        <v>72.45</v>
      </c>
      <c r="E1006" s="1">
        <f ca="1">IFERROR(__xludf.DUMMYFUNCTION("""COMPUTED_VALUE"""),73.9)</f>
        <v>73.900000000000006</v>
      </c>
      <c r="F1006" s="1">
        <f ca="1">IFERROR(__xludf.DUMMYFUNCTION("""COMPUTED_VALUE"""),8828950)</f>
        <v>8828950</v>
      </c>
    </row>
    <row r="1007" spans="1:6" x14ac:dyDescent="0.35">
      <c r="A1007" s="2">
        <f ca="1">IFERROR(__xludf.DUMMYFUNCTION("""COMPUTED_VALUE"""),43465.6666666666)</f>
        <v>43465.666666666599</v>
      </c>
      <c r="B1007" s="1">
        <f ca="1">IFERROR(__xludf.DUMMYFUNCTION("""COMPUTED_VALUE"""),75.54)</f>
        <v>75.540000000000006</v>
      </c>
      <c r="C1007" s="1">
        <f ca="1">IFERROR(__xludf.DUMMYFUNCTION("""COMPUTED_VALUE"""),76.04)</f>
        <v>76.040000000000006</v>
      </c>
      <c r="D1007" s="1">
        <f ca="1">IFERROR(__xludf.DUMMYFUNCTION("""COMPUTED_VALUE"""),74.35)</f>
        <v>74.349999999999994</v>
      </c>
      <c r="E1007" s="1">
        <f ca="1">IFERROR(__xludf.DUMMYFUNCTION("""COMPUTED_VALUE"""),75.1)</f>
        <v>75.099999999999994</v>
      </c>
      <c r="F1007" s="1">
        <f ca="1">IFERROR(__xludf.DUMMYFUNCTION("""COMPUTED_VALUE"""),6954507)</f>
        <v>6954507</v>
      </c>
    </row>
    <row r="1008" spans="1:6" x14ac:dyDescent="0.35">
      <c r="A1008" s="2">
        <f ca="1">IFERROR(__xludf.DUMMYFUNCTION("""COMPUTED_VALUE"""),43467.6666666666)</f>
        <v>43467.666666666599</v>
      </c>
      <c r="B1008" s="1">
        <f ca="1">IFERROR(__xludf.DUMMYFUNCTION("""COMPUTED_VALUE"""),73.26)</f>
        <v>73.260000000000005</v>
      </c>
      <c r="C1008" s="1">
        <f ca="1">IFERROR(__xludf.DUMMYFUNCTION("""COMPUTED_VALUE"""),77.67)</f>
        <v>77.67</v>
      </c>
      <c r="D1008" s="1">
        <f ca="1">IFERROR(__xludf.DUMMYFUNCTION("""COMPUTED_VALUE"""),73.05)</f>
        <v>73.05</v>
      </c>
      <c r="E1008" s="1">
        <f ca="1">IFERROR(__xludf.DUMMYFUNCTION("""COMPUTED_VALUE"""),76.96)</f>
        <v>76.959999999999994</v>
      </c>
      <c r="F1008" s="1">
        <f ca="1">IFERROR(__xludf.DUMMYFUNCTION("""COMPUTED_VALUE"""),7983103)</f>
        <v>7983103</v>
      </c>
    </row>
    <row r="1009" spans="1:6" x14ac:dyDescent="0.35">
      <c r="A1009" s="2">
        <f ca="1">IFERROR(__xludf.DUMMYFUNCTION("""COMPUTED_VALUE"""),43468.6666666666)</f>
        <v>43468.666666666599</v>
      </c>
      <c r="B1009" s="1">
        <f ca="1">IFERROR(__xludf.DUMMYFUNCTION("""COMPUTED_VALUE"""),76)</f>
        <v>76</v>
      </c>
      <c r="C1009" s="1">
        <f ca="1">IFERROR(__xludf.DUMMYFUNCTION("""COMPUTED_VALUE"""),76.9)</f>
        <v>76.900000000000006</v>
      </c>
      <c r="D1009" s="1">
        <f ca="1">IFERROR(__xludf.DUMMYFUNCTION("""COMPUTED_VALUE"""),74.86)</f>
        <v>74.86</v>
      </c>
      <c r="E1009" s="1">
        <f ca="1">IFERROR(__xludf.DUMMYFUNCTION("""COMPUTED_VALUE"""),75.01)</f>
        <v>75.010000000000005</v>
      </c>
      <c r="F1009" s="1">
        <f ca="1">IFERROR(__xludf.DUMMYFUNCTION("""COMPUTED_VALUE"""),6975572)</f>
        <v>6975572</v>
      </c>
    </row>
    <row r="1010" spans="1:6" x14ac:dyDescent="0.35">
      <c r="A1010" s="2">
        <f ca="1">IFERROR(__xludf.DUMMYFUNCTION("""COMPUTED_VALUE"""),43469.6666666666)</f>
        <v>43469.666666666599</v>
      </c>
      <c r="B1010" s="1">
        <f ca="1">IFERROR(__xludf.DUMMYFUNCTION("""COMPUTED_VALUE"""),76.5)</f>
        <v>76.5</v>
      </c>
      <c r="C1010" s="1">
        <f ca="1">IFERROR(__xludf.DUMMYFUNCTION("""COMPUTED_VALUE"""),79.7)</f>
        <v>79.7</v>
      </c>
      <c r="D1010" s="1">
        <f ca="1">IFERROR(__xludf.DUMMYFUNCTION("""COMPUTED_VALUE"""),75.92)</f>
        <v>75.92</v>
      </c>
      <c r="E1010" s="1">
        <f ca="1">IFERROR(__xludf.DUMMYFUNCTION("""COMPUTED_VALUE"""),78.77)</f>
        <v>78.77</v>
      </c>
      <c r="F1010" s="1">
        <f ca="1">IFERROR(__xludf.DUMMYFUNCTION("""COMPUTED_VALUE"""),9182575)</f>
        <v>9182575</v>
      </c>
    </row>
    <row r="1011" spans="1:6" x14ac:dyDescent="0.35">
      <c r="A1011" s="2">
        <f ca="1">IFERROR(__xludf.DUMMYFUNCTION("""COMPUTED_VALUE"""),43472.6666666666)</f>
        <v>43472.666666666599</v>
      </c>
      <c r="B1011" s="1">
        <f ca="1">IFERROR(__xludf.DUMMYFUNCTION("""COMPUTED_VALUE"""),80.12)</f>
        <v>80.12</v>
      </c>
      <c r="C1011" s="1">
        <f ca="1">IFERROR(__xludf.DUMMYFUNCTION("""COMPUTED_VALUE"""),81.73)</f>
        <v>81.73</v>
      </c>
      <c r="D1011" s="1">
        <f ca="1">IFERROR(__xludf.DUMMYFUNCTION("""COMPUTED_VALUE"""),79.46)</f>
        <v>79.459999999999994</v>
      </c>
      <c r="E1011" s="1">
        <f ca="1">IFERROR(__xludf.DUMMYFUNCTION("""COMPUTED_VALUE"""),81.48)</f>
        <v>81.48</v>
      </c>
      <c r="F1011" s="1">
        <f ca="1">IFERROR(__xludf.DUMMYFUNCTION("""COMPUTED_VALUE"""),7993213)</f>
        <v>7993213</v>
      </c>
    </row>
    <row r="1012" spans="1:6" x14ac:dyDescent="0.35">
      <c r="A1012" s="2">
        <f ca="1">IFERROR(__xludf.DUMMYFUNCTION("""COMPUTED_VALUE"""),43473.6666666666)</f>
        <v>43473.666666666599</v>
      </c>
      <c r="B1012" s="1">
        <f ca="1">IFERROR(__xludf.DUMMYFUNCTION("""COMPUTED_VALUE"""),83.23)</f>
        <v>83.23</v>
      </c>
      <c r="C1012" s="1">
        <f ca="1">IFERROR(__xludf.DUMMYFUNCTION("""COMPUTED_VALUE"""),83.83)</f>
        <v>83.83</v>
      </c>
      <c r="D1012" s="1">
        <f ca="1">IFERROR(__xludf.DUMMYFUNCTION("""COMPUTED_VALUE"""),80.83)</f>
        <v>80.83</v>
      </c>
      <c r="E1012" s="1">
        <f ca="1">IFERROR(__xludf.DUMMYFUNCTION("""COMPUTED_VALUE"""),82.83)</f>
        <v>82.83</v>
      </c>
      <c r="F1012" s="1">
        <f ca="1">IFERROR(__xludf.DUMMYFUNCTION("""COMPUTED_VALUE"""),8881428)</f>
        <v>8881428</v>
      </c>
    </row>
    <row r="1013" spans="1:6" x14ac:dyDescent="0.35">
      <c r="A1013" s="2">
        <f ca="1">IFERROR(__xludf.DUMMYFUNCTION("""COMPUTED_VALUE"""),43474.6666666666)</f>
        <v>43474.666666666599</v>
      </c>
      <c r="B1013" s="1">
        <f ca="1">IFERROR(__xludf.DUMMYFUNCTION("""COMPUTED_VALUE"""),82.65)</f>
        <v>82.65</v>
      </c>
      <c r="C1013" s="1">
        <f ca="1">IFERROR(__xludf.DUMMYFUNCTION("""COMPUTED_VALUE"""),83.39)</f>
        <v>83.39</v>
      </c>
      <c r="D1013" s="1">
        <f ca="1">IFERROR(__xludf.DUMMYFUNCTION("""COMPUTED_VALUE"""),82.07)</f>
        <v>82.07</v>
      </c>
      <c r="E1013" s="1">
        <f ca="1">IFERROR(__xludf.DUMMYFUNCTION("""COMPUTED_VALUE"""),82.97)</f>
        <v>82.97</v>
      </c>
      <c r="F1013" s="1">
        <f ca="1">IFERROR(__xludf.DUMMYFUNCTION("""COMPUTED_VALUE"""),6348801)</f>
        <v>6348801</v>
      </c>
    </row>
    <row r="1014" spans="1:6" x14ac:dyDescent="0.35">
      <c r="A1014" s="2">
        <f ca="1">IFERROR(__xludf.DUMMYFUNCTION("""COMPUTED_VALUE"""),43475.6666666666)</f>
        <v>43475.666666666599</v>
      </c>
      <c r="B1014" s="1">
        <f ca="1">IFERROR(__xludf.DUMMYFUNCTION("""COMPUTED_VALUE"""),82.05)</f>
        <v>82.05</v>
      </c>
      <c r="C1014" s="1">
        <f ca="1">IFERROR(__xludf.DUMMYFUNCTION("""COMPUTED_VALUE"""),83.16)</f>
        <v>83.16</v>
      </c>
      <c r="D1014" s="1">
        <f ca="1">IFERROR(__xludf.DUMMYFUNCTION("""COMPUTED_VALUE"""),81.08)</f>
        <v>81.08</v>
      </c>
      <c r="E1014" s="1">
        <f ca="1">IFERROR(__xludf.DUMMYFUNCTION("""COMPUTED_VALUE"""),82.81)</f>
        <v>82.81</v>
      </c>
      <c r="F1014" s="1">
        <f ca="1">IFERROR(__xludf.DUMMYFUNCTION("""COMPUTED_VALUE"""),6507693)</f>
        <v>6507693</v>
      </c>
    </row>
    <row r="1015" spans="1:6" x14ac:dyDescent="0.35">
      <c r="A1015" s="2">
        <f ca="1">IFERROR(__xludf.DUMMYFUNCTION("""COMPUTED_VALUE"""),43476.6666666666)</f>
        <v>43476.666666666599</v>
      </c>
      <c r="B1015" s="1">
        <f ca="1">IFERROR(__xludf.DUMMYFUNCTION("""COMPUTED_VALUE"""),82.03)</f>
        <v>82.03</v>
      </c>
      <c r="C1015" s="1">
        <f ca="1">IFERROR(__xludf.DUMMYFUNCTION("""COMPUTED_VALUE"""),83.01)</f>
        <v>83.01</v>
      </c>
      <c r="D1015" s="1">
        <f ca="1">IFERROR(__xludf.DUMMYFUNCTION("""COMPUTED_VALUE"""),81.81)</f>
        <v>81.81</v>
      </c>
      <c r="E1015" s="1">
        <f ca="1">IFERROR(__xludf.DUMMYFUNCTION("""COMPUTED_VALUE"""),82.03)</f>
        <v>82.03</v>
      </c>
      <c r="F1015" s="1">
        <f ca="1">IFERROR(__xludf.DUMMYFUNCTION("""COMPUTED_VALUE"""),4686222)</f>
        <v>4686222</v>
      </c>
    </row>
    <row r="1016" spans="1:6" x14ac:dyDescent="0.35">
      <c r="A1016" s="2">
        <f ca="1">IFERROR(__xludf.DUMMYFUNCTION("""COMPUTED_VALUE"""),43479.6666666666)</f>
        <v>43479.666666666599</v>
      </c>
      <c r="B1016" s="1">
        <f ca="1">IFERROR(__xludf.DUMMYFUNCTION("""COMPUTED_VALUE"""),80.75)</f>
        <v>80.75</v>
      </c>
      <c r="C1016" s="1">
        <f ca="1">IFERROR(__xludf.DUMMYFUNCTION("""COMPUTED_VALUE"""),82.41)</f>
        <v>82.41</v>
      </c>
      <c r="D1016" s="1">
        <f ca="1">IFERROR(__xludf.DUMMYFUNCTION("""COMPUTED_VALUE"""),79.76)</f>
        <v>79.760000000000005</v>
      </c>
      <c r="E1016" s="1">
        <f ca="1">IFERROR(__xludf.DUMMYFUNCTION("""COMPUTED_VALUE"""),80.86)</f>
        <v>80.86</v>
      </c>
      <c r="F1016" s="1">
        <f ca="1">IFERROR(__xludf.DUMMYFUNCTION("""COMPUTED_VALUE"""),6005888)</f>
        <v>6005888</v>
      </c>
    </row>
    <row r="1017" spans="1:6" x14ac:dyDescent="0.35">
      <c r="A1017" s="2">
        <f ca="1">IFERROR(__xludf.DUMMYFUNCTION("""COMPUTED_VALUE"""),43480.6666666666)</f>
        <v>43480.666666666599</v>
      </c>
      <c r="B1017" s="1">
        <f ca="1">IFERROR(__xludf.DUMMYFUNCTION("""COMPUTED_VALUE"""),81.6)</f>
        <v>81.599999999999994</v>
      </c>
      <c r="C1017" s="1">
        <f ca="1">IFERROR(__xludf.DUMMYFUNCTION("""COMPUTED_VALUE"""),83.76)</f>
        <v>83.76</v>
      </c>
      <c r="D1017" s="1">
        <f ca="1">IFERROR(__xludf.DUMMYFUNCTION("""COMPUTED_VALUE"""),81.3)</f>
        <v>81.3</v>
      </c>
      <c r="E1017" s="1">
        <f ca="1">IFERROR(__xludf.DUMMYFUNCTION("""COMPUTED_VALUE"""),83.73)</f>
        <v>83.73</v>
      </c>
      <c r="F1017" s="1">
        <f ca="1">IFERROR(__xludf.DUMMYFUNCTION("""COMPUTED_VALUE"""),5998510)</f>
        <v>5998510</v>
      </c>
    </row>
    <row r="1018" spans="1:6" x14ac:dyDescent="0.35">
      <c r="A1018" s="2">
        <f ca="1">IFERROR(__xludf.DUMMYFUNCTION("""COMPUTED_VALUE"""),43481.6666666666)</f>
        <v>43481.666666666599</v>
      </c>
      <c r="B1018" s="1">
        <f ca="1">IFERROR(__xludf.DUMMYFUNCTION("""COMPUTED_VALUE"""),84.21)</f>
        <v>84.21</v>
      </c>
      <c r="C1018" s="1">
        <f ca="1">IFERROR(__xludf.DUMMYFUNCTION("""COMPUTED_VALUE"""),85.25)</f>
        <v>85.25</v>
      </c>
      <c r="D1018" s="1">
        <f ca="1">IFERROR(__xludf.DUMMYFUNCTION("""COMPUTED_VALUE"""),83.79)</f>
        <v>83.79</v>
      </c>
      <c r="E1018" s="1">
        <f ca="1">IFERROR(__xludf.DUMMYFUNCTION("""COMPUTED_VALUE"""),84.19)</f>
        <v>84.19</v>
      </c>
      <c r="F1018" s="1">
        <f ca="1">IFERROR(__xludf.DUMMYFUNCTION("""COMPUTED_VALUE"""),6366864)</f>
        <v>6366864</v>
      </c>
    </row>
    <row r="1019" spans="1:6" x14ac:dyDescent="0.35">
      <c r="A1019" s="2">
        <f ca="1">IFERROR(__xludf.DUMMYFUNCTION("""COMPUTED_VALUE"""),43482.6666666666)</f>
        <v>43482.666666666599</v>
      </c>
      <c r="B1019" s="1">
        <f ca="1">IFERROR(__xludf.DUMMYFUNCTION("""COMPUTED_VALUE"""),84)</f>
        <v>84</v>
      </c>
      <c r="C1019" s="1">
        <f ca="1">IFERROR(__xludf.DUMMYFUNCTION("""COMPUTED_VALUE"""),85.01)</f>
        <v>85.01</v>
      </c>
      <c r="D1019" s="1">
        <f ca="1">IFERROR(__xludf.DUMMYFUNCTION("""COMPUTED_VALUE"""),83.88)</f>
        <v>83.88</v>
      </c>
      <c r="E1019" s="1">
        <f ca="1">IFERROR(__xludf.DUMMYFUNCTION("""COMPUTED_VALUE"""),84.66)</f>
        <v>84.66</v>
      </c>
      <c r="F1019" s="1">
        <f ca="1">IFERROR(__xludf.DUMMYFUNCTION("""COMPUTED_VALUE"""),4208875)</f>
        <v>4208875</v>
      </c>
    </row>
    <row r="1020" spans="1:6" x14ac:dyDescent="0.35">
      <c r="A1020" s="2">
        <f ca="1">IFERROR(__xludf.DUMMYFUNCTION("""COMPUTED_VALUE"""),43483.6666666666)</f>
        <v>43483.666666666599</v>
      </c>
      <c r="B1020" s="1">
        <f ca="1">IFERROR(__xludf.DUMMYFUNCTION("""COMPUTED_VALUE"""),85.6)</f>
        <v>85.6</v>
      </c>
      <c r="C1020" s="1">
        <f ca="1">IFERROR(__xludf.DUMMYFUNCTION("""COMPUTED_VALUE"""),85.81)</f>
        <v>85.81</v>
      </c>
      <c r="D1020" s="1">
        <f ca="1">IFERROR(__xludf.DUMMYFUNCTION("""COMPUTED_VALUE"""),84.58)</f>
        <v>84.58</v>
      </c>
      <c r="E1020" s="1">
        <f ca="1">IFERROR(__xludf.DUMMYFUNCTION("""COMPUTED_VALUE"""),84.81)</f>
        <v>84.81</v>
      </c>
      <c r="F1020" s="1">
        <f ca="1">IFERROR(__xludf.DUMMYFUNCTION("""COMPUTED_VALUE"""),6020503)</f>
        <v>6020503</v>
      </c>
    </row>
    <row r="1021" spans="1:6" x14ac:dyDescent="0.35">
      <c r="A1021" s="2">
        <f ca="1">IFERROR(__xludf.DUMMYFUNCTION("""COMPUTED_VALUE"""),43487.6666666666)</f>
        <v>43487.666666666599</v>
      </c>
      <c r="B1021" s="1">
        <f ca="1">IFERROR(__xludf.DUMMYFUNCTION("""COMPUTED_VALUE"""),84.05)</f>
        <v>84.05</v>
      </c>
      <c r="C1021" s="1">
        <f ca="1">IFERROR(__xludf.DUMMYFUNCTION("""COMPUTED_VALUE"""),84.09)</f>
        <v>84.09</v>
      </c>
      <c r="D1021" s="1">
        <f ca="1">IFERROR(__xludf.DUMMYFUNCTION("""COMPUTED_VALUE"""),80.51)</f>
        <v>80.510000000000005</v>
      </c>
      <c r="E1021" s="1">
        <f ca="1">IFERROR(__xludf.DUMMYFUNCTION("""COMPUTED_VALUE"""),81.61)</f>
        <v>81.61</v>
      </c>
      <c r="F1021" s="1">
        <f ca="1">IFERROR(__xludf.DUMMYFUNCTION("""COMPUTED_VALUE"""),6416796)</f>
        <v>6416796</v>
      </c>
    </row>
    <row r="1022" spans="1:6" x14ac:dyDescent="0.35">
      <c r="A1022" s="2">
        <f ca="1">IFERROR(__xludf.DUMMYFUNCTION("""COMPUTED_VALUE"""),43488.6666666666)</f>
        <v>43488.666666666599</v>
      </c>
      <c r="B1022" s="1">
        <f ca="1">IFERROR(__xludf.DUMMYFUNCTION("""COMPUTED_VALUE"""),82.8)</f>
        <v>82.8</v>
      </c>
      <c r="C1022" s="1">
        <f ca="1">IFERROR(__xludf.DUMMYFUNCTION("""COMPUTED_VALUE"""),82.87)</f>
        <v>82.87</v>
      </c>
      <c r="D1022" s="1">
        <f ca="1">IFERROR(__xludf.DUMMYFUNCTION("""COMPUTED_VALUE"""),80.6)</f>
        <v>80.599999999999994</v>
      </c>
      <c r="E1022" s="1">
        <f ca="1">IFERROR(__xludf.DUMMYFUNCTION("""COMPUTED_VALUE"""),82)</f>
        <v>82</v>
      </c>
      <c r="F1022" s="1">
        <f ca="1">IFERROR(__xludf.DUMMYFUNCTION("""COMPUTED_VALUE"""),5225212)</f>
        <v>5225212</v>
      </c>
    </row>
    <row r="1023" spans="1:6" x14ac:dyDescent="0.35">
      <c r="A1023" s="2">
        <f ca="1">IFERROR(__xludf.DUMMYFUNCTION("""COMPUTED_VALUE"""),43489.6666666666)</f>
        <v>43489.666666666599</v>
      </c>
      <c r="B1023" s="1">
        <f ca="1">IFERROR(__xludf.DUMMYFUNCTION("""COMPUTED_VALUE"""),82.05)</f>
        <v>82.05</v>
      </c>
      <c r="C1023" s="1">
        <f ca="1">IFERROR(__xludf.DUMMYFUNCTION("""COMPUTED_VALUE"""),82.86)</f>
        <v>82.86</v>
      </c>
      <c r="D1023" s="1">
        <f ca="1">IFERROR(__xludf.DUMMYFUNCTION("""COMPUTED_VALUE"""),81.59)</f>
        <v>81.59</v>
      </c>
      <c r="E1023" s="1">
        <f ca="1">IFERROR(__xludf.DUMMYFUNCTION("""COMPUTED_VALUE"""),82.75)</f>
        <v>82.75</v>
      </c>
      <c r="F1023" s="1">
        <f ca="1">IFERROR(__xludf.DUMMYFUNCTION("""COMPUTED_VALUE"""),4089943)</f>
        <v>4089943</v>
      </c>
    </row>
    <row r="1024" spans="1:6" x14ac:dyDescent="0.35">
      <c r="A1024" s="2">
        <f ca="1">IFERROR(__xludf.DUMMYFUNCTION("""COMPUTED_VALUE"""),43490.6666666666)</f>
        <v>43490.666666666599</v>
      </c>
      <c r="B1024" s="1">
        <f ca="1">IFERROR(__xludf.DUMMYFUNCTION("""COMPUTED_VALUE"""),83.53)</f>
        <v>83.53</v>
      </c>
      <c r="C1024" s="1">
        <f ca="1">IFERROR(__xludf.DUMMYFUNCTION("""COMPUTED_VALUE"""),84.17)</f>
        <v>84.17</v>
      </c>
      <c r="D1024" s="1">
        <f ca="1">IFERROR(__xludf.DUMMYFUNCTION("""COMPUTED_VALUE"""),83.08)</f>
        <v>83.08</v>
      </c>
      <c r="E1024" s="1">
        <f ca="1">IFERROR(__xludf.DUMMYFUNCTION("""COMPUTED_VALUE"""),83.53)</f>
        <v>83.53</v>
      </c>
      <c r="F1024" s="1">
        <f ca="1">IFERROR(__xludf.DUMMYFUNCTION("""COMPUTED_VALUE"""),4959679)</f>
        <v>4959679</v>
      </c>
    </row>
    <row r="1025" spans="1:6" x14ac:dyDescent="0.35">
      <c r="A1025" s="2">
        <f ca="1">IFERROR(__xludf.DUMMYFUNCTION("""COMPUTED_VALUE"""),43493.6666666666)</f>
        <v>43493.666666666599</v>
      </c>
      <c r="B1025" s="1">
        <f ca="1">IFERROR(__xludf.DUMMYFUNCTION("""COMPUTED_VALUE"""),82.18)</f>
        <v>82.18</v>
      </c>
      <c r="C1025" s="1">
        <f ca="1">IFERROR(__xludf.DUMMYFUNCTION("""COMPUTED_VALUE"""),82.25)</f>
        <v>82.25</v>
      </c>
      <c r="D1025" s="1">
        <f ca="1">IFERROR(__xludf.DUMMYFUNCTION("""COMPUTED_VALUE"""),80.7)</f>
        <v>80.7</v>
      </c>
      <c r="E1025" s="1">
        <f ca="1">IFERROR(__xludf.DUMMYFUNCTION("""COMPUTED_VALUE"""),81.89)</f>
        <v>81.89</v>
      </c>
      <c r="F1025" s="1">
        <f ca="1">IFERROR(__xludf.DUMMYFUNCTION("""COMPUTED_VALUE"""),4837711)</f>
        <v>4837711</v>
      </c>
    </row>
    <row r="1026" spans="1:6" x14ac:dyDescent="0.35">
      <c r="A1026" s="2">
        <f ca="1">IFERROR(__xludf.DUMMYFUNCTION("""COMPUTED_VALUE"""),43494.6666666666)</f>
        <v>43494.666666666599</v>
      </c>
      <c r="B1026" s="1">
        <f ca="1">IFERROR(__xludf.DUMMYFUNCTION("""COMPUTED_VALUE"""),81.56)</f>
        <v>81.56</v>
      </c>
      <c r="C1026" s="1">
        <f ca="1">IFERROR(__xludf.DUMMYFUNCTION("""COMPUTED_VALUE"""),81.62)</f>
        <v>81.62</v>
      </c>
      <c r="D1026" s="1">
        <f ca="1">IFERROR(__xludf.DUMMYFUNCTION("""COMPUTED_VALUE"""),79.54)</f>
        <v>79.540000000000006</v>
      </c>
      <c r="E1026" s="1">
        <f ca="1">IFERROR(__xludf.DUMMYFUNCTION("""COMPUTED_VALUE"""),79.69)</f>
        <v>79.69</v>
      </c>
      <c r="F1026" s="1">
        <f ca="1">IFERROR(__xludf.DUMMYFUNCTION("""COMPUTED_VALUE"""),4632782)</f>
        <v>4632782</v>
      </c>
    </row>
    <row r="1027" spans="1:6" x14ac:dyDescent="0.35">
      <c r="A1027" s="2">
        <f ca="1">IFERROR(__xludf.DUMMYFUNCTION("""COMPUTED_VALUE"""),43495.6666666666)</f>
        <v>43495.666666666599</v>
      </c>
      <c r="B1027" s="1">
        <f ca="1">IFERROR(__xludf.DUMMYFUNCTION("""COMPUTED_VALUE"""),81.15)</f>
        <v>81.150000000000006</v>
      </c>
      <c r="C1027" s="1">
        <f ca="1">IFERROR(__xludf.DUMMYFUNCTION("""COMPUTED_VALUE"""),83.85)</f>
        <v>83.85</v>
      </c>
      <c r="D1027" s="1">
        <f ca="1">IFERROR(__xludf.DUMMYFUNCTION("""COMPUTED_VALUE"""),80.98)</f>
        <v>80.98</v>
      </c>
      <c r="E1027" s="1">
        <f ca="1">IFERROR(__xludf.DUMMYFUNCTION("""COMPUTED_VALUE"""),83.52)</f>
        <v>83.52</v>
      </c>
      <c r="F1027" s="1">
        <f ca="1">IFERROR(__xludf.DUMMYFUNCTION("""COMPUTED_VALUE"""),5783822)</f>
        <v>5783822</v>
      </c>
    </row>
    <row r="1028" spans="1:6" x14ac:dyDescent="0.35">
      <c r="A1028" s="2">
        <f ca="1">IFERROR(__xludf.DUMMYFUNCTION("""COMPUTED_VALUE"""),43496.6666666666)</f>
        <v>43496.666666666599</v>
      </c>
      <c r="B1028" s="1">
        <f ca="1">IFERROR(__xludf.DUMMYFUNCTION("""COMPUTED_VALUE"""),84.64)</f>
        <v>84.64</v>
      </c>
      <c r="C1028" s="1">
        <f ca="1">IFERROR(__xludf.DUMMYFUNCTION("""COMPUTED_VALUE"""),86.82)</f>
        <v>86.82</v>
      </c>
      <c r="D1028" s="1">
        <f ca="1">IFERROR(__xludf.DUMMYFUNCTION("""COMPUTED_VALUE"""),83.95)</f>
        <v>83.95</v>
      </c>
      <c r="E1028" s="1">
        <f ca="1">IFERROR(__xludf.DUMMYFUNCTION("""COMPUTED_VALUE"""),85.94)</f>
        <v>85.94</v>
      </c>
      <c r="F1028" s="1">
        <f ca="1">IFERROR(__xludf.DUMMYFUNCTION("""COMPUTED_VALUE"""),10910338)</f>
        <v>10910338</v>
      </c>
    </row>
    <row r="1029" spans="1:6" x14ac:dyDescent="0.35">
      <c r="A1029" s="2">
        <f ca="1">IFERROR(__xludf.DUMMYFUNCTION("""COMPUTED_VALUE"""),43497.6666666666)</f>
        <v>43497.666666666599</v>
      </c>
      <c r="B1029" s="1">
        <f ca="1">IFERROR(__xludf.DUMMYFUNCTION("""COMPUTED_VALUE"""),81.94)</f>
        <v>81.94</v>
      </c>
      <c r="C1029" s="1">
        <f ca="1">IFERROR(__xludf.DUMMYFUNCTION("""COMPUTED_VALUE"""),83.65)</f>
        <v>83.65</v>
      </c>
      <c r="D1029" s="1">
        <f ca="1">IFERROR(__xludf.DUMMYFUNCTION("""COMPUTED_VALUE"""),81.1)</f>
        <v>81.099999999999994</v>
      </c>
      <c r="E1029" s="1">
        <f ca="1">IFERROR(__xludf.DUMMYFUNCTION("""COMPUTED_VALUE"""),81.31)</f>
        <v>81.31</v>
      </c>
      <c r="F1029" s="1">
        <f ca="1">IFERROR(__xludf.DUMMYFUNCTION("""COMPUTED_VALUE"""),11506213)</f>
        <v>11506213</v>
      </c>
    </row>
    <row r="1030" spans="1:6" x14ac:dyDescent="0.35">
      <c r="A1030" s="2">
        <f ca="1">IFERROR(__xludf.DUMMYFUNCTION("""COMPUTED_VALUE"""),43500.6666666666)</f>
        <v>43500.666666666599</v>
      </c>
      <c r="B1030" s="1">
        <f ca="1">IFERROR(__xludf.DUMMYFUNCTION("""COMPUTED_VALUE"""),81.15)</f>
        <v>81.150000000000006</v>
      </c>
      <c r="C1030" s="1">
        <f ca="1">IFERROR(__xludf.DUMMYFUNCTION("""COMPUTED_VALUE"""),82.48)</f>
        <v>82.48</v>
      </c>
      <c r="D1030" s="1">
        <f ca="1">IFERROR(__xludf.DUMMYFUNCTION("""COMPUTED_VALUE"""),80.68)</f>
        <v>80.680000000000007</v>
      </c>
      <c r="E1030" s="1">
        <f ca="1">IFERROR(__xludf.DUMMYFUNCTION("""COMPUTED_VALUE"""),81.67)</f>
        <v>81.67</v>
      </c>
      <c r="F1030" s="1">
        <f ca="1">IFERROR(__xludf.DUMMYFUNCTION("""COMPUTED_VALUE"""),4929187)</f>
        <v>4929187</v>
      </c>
    </row>
    <row r="1031" spans="1:6" x14ac:dyDescent="0.35">
      <c r="A1031" s="2">
        <f ca="1">IFERROR(__xludf.DUMMYFUNCTION("""COMPUTED_VALUE"""),43501.6666666666)</f>
        <v>43501.666666666599</v>
      </c>
      <c r="B1031" s="1">
        <f ca="1">IFERROR(__xludf.DUMMYFUNCTION("""COMPUTED_VALUE"""),82.17)</f>
        <v>82.17</v>
      </c>
      <c r="C1031" s="1">
        <f ca="1">IFERROR(__xludf.DUMMYFUNCTION("""COMPUTED_VALUE"""),83.26)</f>
        <v>83.26</v>
      </c>
      <c r="D1031" s="1">
        <f ca="1">IFERROR(__xludf.DUMMYFUNCTION("""COMPUTED_VALUE"""),82.13)</f>
        <v>82.13</v>
      </c>
      <c r="E1031" s="1">
        <f ca="1">IFERROR(__xludf.DUMMYFUNCTION("""COMPUTED_VALUE"""),82.94)</f>
        <v>82.94</v>
      </c>
      <c r="F1031" s="1">
        <f ca="1">IFERROR(__xludf.DUMMYFUNCTION("""COMPUTED_VALUE"""),4453105)</f>
        <v>4453105</v>
      </c>
    </row>
    <row r="1032" spans="1:6" x14ac:dyDescent="0.35">
      <c r="A1032" s="2">
        <f ca="1">IFERROR(__xludf.DUMMYFUNCTION("""COMPUTED_VALUE"""),43502.6666666666)</f>
        <v>43502.666666666599</v>
      </c>
      <c r="B1032" s="1">
        <f ca="1">IFERROR(__xludf.DUMMYFUNCTION("""COMPUTED_VALUE"""),83.54)</f>
        <v>83.54</v>
      </c>
      <c r="C1032" s="1">
        <f ca="1">IFERROR(__xludf.DUMMYFUNCTION("""COMPUTED_VALUE"""),83.61)</f>
        <v>83.61</v>
      </c>
      <c r="D1032" s="1">
        <f ca="1">IFERROR(__xludf.DUMMYFUNCTION("""COMPUTED_VALUE"""),81.67)</f>
        <v>81.67</v>
      </c>
      <c r="E1032" s="1">
        <f ca="1">IFERROR(__xludf.DUMMYFUNCTION("""COMPUTED_VALUE"""),82.01)</f>
        <v>82.01</v>
      </c>
      <c r="F1032" s="1">
        <f ca="1">IFERROR(__xludf.DUMMYFUNCTION("""COMPUTED_VALUE"""),3939883)</f>
        <v>3939883</v>
      </c>
    </row>
    <row r="1033" spans="1:6" x14ac:dyDescent="0.35">
      <c r="A1033" s="2">
        <f ca="1">IFERROR(__xludf.DUMMYFUNCTION("""COMPUTED_VALUE"""),43503.6666666666)</f>
        <v>43503.666666666599</v>
      </c>
      <c r="B1033" s="1">
        <f ca="1">IFERROR(__xludf.DUMMYFUNCTION("""COMPUTED_VALUE"""),81.25)</f>
        <v>81.25</v>
      </c>
      <c r="C1033" s="1">
        <f ca="1">IFERROR(__xludf.DUMMYFUNCTION("""COMPUTED_VALUE"""),81.28)</f>
        <v>81.28</v>
      </c>
      <c r="D1033" s="1">
        <f ca="1">IFERROR(__xludf.DUMMYFUNCTION("""COMPUTED_VALUE"""),79.65)</f>
        <v>79.650000000000006</v>
      </c>
      <c r="E1033" s="1">
        <f ca="1">IFERROR(__xludf.DUMMYFUNCTION("""COMPUTED_VALUE"""),80.72)</f>
        <v>80.72</v>
      </c>
      <c r="F1033" s="1">
        <f ca="1">IFERROR(__xludf.DUMMYFUNCTION("""COMPUTED_VALUE"""),4626589)</f>
        <v>4626589</v>
      </c>
    </row>
    <row r="1034" spans="1:6" x14ac:dyDescent="0.35">
      <c r="A1034" s="2">
        <f ca="1">IFERROR(__xludf.DUMMYFUNCTION("""COMPUTED_VALUE"""),43504.6666666666)</f>
        <v>43504.666666666599</v>
      </c>
      <c r="B1034" s="1">
        <f ca="1">IFERROR(__xludf.DUMMYFUNCTION("""COMPUTED_VALUE"""),79.3)</f>
        <v>79.3</v>
      </c>
      <c r="C1034" s="1">
        <f ca="1">IFERROR(__xludf.DUMMYFUNCTION("""COMPUTED_VALUE"""),79.43)</f>
        <v>79.430000000000007</v>
      </c>
      <c r="D1034" s="1">
        <f ca="1">IFERROR(__xludf.DUMMYFUNCTION("""COMPUTED_VALUE"""),78.34)</f>
        <v>78.34</v>
      </c>
      <c r="E1034" s="1">
        <f ca="1">IFERROR(__xludf.DUMMYFUNCTION("""COMPUTED_VALUE"""),79.41)</f>
        <v>79.41</v>
      </c>
      <c r="F1034" s="1">
        <f ca="1">IFERROR(__xludf.DUMMYFUNCTION("""COMPUTED_VALUE"""),5657457)</f>
        <v>5657457</v>
      </c>
    </row>
    <row r="1035" spans="1:6" x14ac:dyDescent="0.35">
      <c r="A1035" s="2">
        <f ca="1">IFERROR(__xludf.DUMMYFUNCTION("""COMPUTED_VALUE"""),43507.6666666666)</f>
        <v>43507.666666666599</v>
      </c>
      <c r="B1035" s="1">
        <f ca="1">IFERROR(__xludf.DUMMYFUNCTION("""COMPUTED_VALUE"""),80.05)</f>
        <v>80.05</v>
      </c>
      <c r="C1035" s="1">
        <f ca="1">IFERROR(__xludf.DUMMYFUNCTION("""COMPUTED_VALUE"""),80.46)</f>
        <v>80.459999999999994</v>
      </c>
      <c r="D1035" s="1">
        <f ca="1">IFERROR(__xludf.DUMMYFUNCTION("""COMPUTED_VALUE"""),79.3)</f>
        <v>79.3</v>
      </c>
      <c r="E1035" s="1">
        <f ca="1">IFERROR(__xludf.DUMMYFUNCTION("""COMPUTED_VALUE"""),79.55)</f>
        <v>79.55</v>
      </c>
      <c r="F1035" s="1">
        <f ca="1">IFERROR(__xludf.DUMMYFUNCTION("""COMPUTED_VALUE"""),3317328)</f>
        <v>3317328</v>
      </c>
    </row>
    <row r="1036" spans="1:6" x14ac:dyDescent="0.35">
      <c r="A1036" s="2">
        <f ca="1">IFERROR(__xludf.DUMMYFUNCTION("""COMPUTED_VALUE"""),43508.6666666666)</f>
        <v>43508.666666666599</v>
      </c>
      <c r="B1036" s="1">
        <f ca="1">IFERROR(__xludf.DUMMYFUNCTION("""COMPUTED_VALUE"""),80.2)</f>
        <v>80.2</v>
      </c>
      <c r="C1036" s="1">
        <f ca="1">IFERROR(__xludf.DUMMYFUNCTION("""COMPUTED_VALUE"""),81.97)</f>
        <v>81.97</v>
      </c>
      <c r="D1036" s="1">
        <f ca="1">IFERROR(__xludf.DUMMYFUNCTION("""COMPUTED_VALUE"""),79.94)</f>
        <v>79.94</v>
      </c>
      <c r="E1036" s="1">
        <f ca="1">IFERROR(__xludf.DUMMYFUNCTION("""COMPUTED_VALUE"""),81.9)</f>
        <v>81.900000000000006</v>
      </c>
      <c r="F1036" s="1">
        <f ca="1">IFERROR(__xludf.DUMMYFUNCTION("""COMPUTED_VALUE"""),4858604)</f>
        <v>4858604</v>
      </c>
    </row>
    <row r="1037" spans="1:6" x14ac:dyDescent="0.35">
      <c r="A1037" s="2">
        <f ca="1">IFERROR(__xludf.DUMMYFUNCTION("""COMPUTED_VALUE"""),43509.6666666666)</f>
        <v>43509.666666666599</v>
      </c>
      <c r="B1037" s="1">
        <f ca="1">IFERROR(__xludf.DUMMYFUNCTION("""COMPUTED_VALUE"""),82.35)</f>
        <v>82.35</v>
      </c>
      <c r="C1037" s="1">
        <f ca="1">IFERROR(__xludf.DUMMYFUNCTION("""COMPUTED_VALUE"""),82.82)</f>
        <v>82.82</v>
      </c>
      <c r="D1037" s="1">
        <f ca="1">IFERROR(__xludf.DUMMYFUNCTION("""COMPUTED_VALUE"""),81.86)</f>
        <v>81.86</v>
      </c>
      <c r="E1037" s="1">
        <f ca="1">IFERROR(__xludf.DUMMYFUNCTION("""COMPUTED_VALUE"""),82)</f>
        <v>82</v>
      </c>
      <c r="F1037" s="1">
        <f ca="1">IFERROR(__xludf.DUMMYFUNCTION("""COMPUTED_VALUE"""),3560321)</f>
        <v>3560321</v>
      </c>
    </row>
    <row r="1038" spans="1:6" x14ac:dyDescent="0.35">
      <c r="A1038" s="2">
        <f ca="1">IFERROR(__xludf.DUMMYFUNCTION("""COMPUTED_VALUE"""),43510.6666666666)</f>
        <v>43510.666666666599</v>
      </c>
      <c r="B1038" s="1">
        <f ca="1">IFERROR(__xludf.DUMMYFUNCTION("""COMPUTED_VALUE"""),81.22)</f>
        <v>81.22</v>
      </c>
      <c r="C1038" s="1">
        <f ca="1">IFERROR(__xludf.DUMMYFUNCTION("""COMPUTED_VALUE"""),81.9)</f>
        <v>81.900000000000006</v>
      </c>
      <c r="D1038" s="1">
        <f ca="1">IFERROR(__xludf.DUMMYFUNCTION("""COMPUTED_VALUE"""),80.3)</f>
        <v>80.3</v>
      </c>
      <c r="E1038" s="1">
        <f ca="1">IFERROR(__xludf.DUMMYFUNCTION("""COMPUTED_VALUE"""),81.13)</f>
        <v>81.13</v>
      </c>
      <c r="F1038" s="1">
        <f ca="1">IFERROR(__xludf.DUMMYFUNCTION("""COMPUTED_VALUE"""),4120524)</f>
        <v>4120524</v>
      </c>
    </row>
    <row r="1039" spans="1:6" x14ac:dyDescent="0.35">
      <c r="A1039" s="2">
        <f ca="1">IFERROR(__xludf.DUMMYFUNCTION("""COMPUTED_VALUE"""),43511.6666666666)</f>
        <v>43511.666666666599</v>
      </c>
      <c r="B1039" s="1">
        <f ca="1">IFERROR(__xludf.DUMMYFUNCTION("""COMPUTED_VALUE"""),81.39)</f>
        <v>81.39</v>
      </c>
      <c r="C1039" s="1">
        <f ca="1">IFERROR(__xludf.DUMMYFUNCTION("""COMPUTED_VALUE"""),81.45)</f>
        <v>81.45</v>
      </c>
      <c r="D1039" s="1">
        <f ca="1">IFERROR(__xludf.DUMMYFUNCTION("""COMPUTED_VALUE"""),80.22)</f>
        <v>80.22</v>
      </c>
      <c r="E1039" s="1">
        <f ca="1">IFERROR(__xludf.DUMMYFUNCTION("""COMPUTED_VALUE"""),80.4)</f>
        <v>80.400000000000006</v>
      </c>
      <c r="F1039" s="1">
        <f ca="1">IFERROR(__xludf.DUMMYFUNCTION("""COMPUTED_VALUE"""),4343893)</f>
        <v>4343893</v>
      </c>
    </row>
    <row r="1040" spans="1:6" x14ac:dyDescent="0.35">
      <c r="A1040" s="2">
        <f ca="1">IFERROR(__xludf.DUMMYFUNCTION("""COMPUTED_VALUE"""),43515.6666666666)</f>
        <v>43515.666666666599</v>
      </c>
      <c r="B1040" s="1">
        <f ca="1">IFERROR(__xludf.DUMMYFUNCTION("""COMPUTED_VALUE"""),80.05)</f>
        <v>80.05</v>
      </c>
      <c r="C1040" s="1">
        <f ca="1">IFERROR(__xludf.DUMMYFUNCTION("""COMPUTED_VALUE"""),81.7)</f>
        <v>81.7</v>
      </c>
      <c r="D1040" s="1">
        <f ca="1">IFERROR(__xludf.DUMMYFUNCTION("""COMPUTED_VALUE"""),80.03)</f>
        <v>80.03</v>
      </c>
      <c r="E1040" s="1">
        <f ca="1">IFERROR(__xludf.DUMMYFUNCTION("""COMPUTED_VALUE"""),81.38)</f>
        <v>81.38</v>
      </c>
      <c r="F1040" s="1">
        <f ca="1">IFERROR(__xludf.DUMMYFUNCTION("""COMPUTED_VALUE"""),3681656)</f>
        <v>3681656</v>
      </c>
    </row>
    <row r="1041" spans="1:6" x14ac:dyDescent="0.35">
      <c r="A1041" s="2">
        <f ca="1">IFERROR(__xludf.DUMMYFUNCTION("""COMPUTED_VALUE"""),43516.6666666666)</f>
        <v>43516.666666666599</v>
      </c>
      <c r="B1041" s="1">
        <f ca="1">IFERROR(__xludf.DUMMYFUNCTION("""COMPUTED_VALUE"""),81.5)</f>
        <v>81.5</v>
      </c>
      <c r="C1041" s="1">
        <f ca="1">IFERROR(__xludf.DUMMYFUNCTION("""COMPUTED_VALUE"""),81.75)</f>
        <v>81.75</v>
      </c>
      <c r="D1041" s="1">
        <f ca="1">IFERROR(__xludf.DUMMYFUNCTION("""COMPUTED_VALUE"""),80.51)</f>
        <v>80.510000000000005</v>
      </c>
      <c r="E1041" s="1">
        <f ca="1">IFERROR(__xludf.DUMMYFUNCTION("""COMPUTED_VALUE"""),81.11)</f>
        <v>81.11</v>
      </c>
      <c r="F1041" s="1">
        <f ca="1">IFERROR(__xludf.DUMMYFUNCTION("""COMPUTED_VALUE"""),3337589)</f>
        <v>3337589</v>
      </c>
    </row>
    <row r="1042" spans="1:6" x14ac:dyDescent="0.35">
      <c r="A1042" s="2">
        <f ca="1">IFERROR(__xludf.DUMMYFUNCTION("""COMPUTED_VALUE"""),43517.6666666666)</f>
        <v>43517.666666666599</v>
      </c>
      <c r="B1042" s="1">
        <f ca="1">IFERROR(__xludf.DUMMYFUNCTION("""COMPUTED_VALUE"""),80.99)</f>
        <v>80.989999999999995</v>
      </c>
      <c r="C1042" s="1">
        <f ca="1">IFERROR(__xludf.DUMMYFUNCTION("""COMPUTED_VALUE"""),81.18)</f>
        <v>81.180000000000007</v>
      </c>
      <c r="D1042" s="1">
        <f ca="1">IFERROR(__xludf.DUMMYFUNCTION("""COMPUTED_VALUE"""),80.05)</f>
        <v>80.05</v>
      </c>
      <c r="E1042" s="1">
        <f ca="1">IFERROR(__xludf.DUMMYFUNCTION("""COMPUTED_VALUE"""),80.97)</f>
        <v>80.97</v>
      </c>
      <c r="F1042" s="1">
        <f ca="1">IFERROR(__xludf.DUMMYFUNCTION("""COMPUTED_VALUE"""),3483392)</f>
        <v>3483392</v>
      </c>
    </row>
    <row r="1043" spans="1:6" x14ac:dyDescent="0.35">
      <c r="A1043" s="2">
        <f ca="1">IFERROR(__xludf.DUMMYFUNCTION("""COMPUTED_VALUE"""),43518.6666666666)</f>
        <v>43518.666666666599</v>
      </c>
      <c r="B1043" s="1">
        <f ca="1">IFERROR(__xludf.DUMMYFUNCTION("""COMPUTED_VALUE"""),81.18)</f>
        <v>81.180000000000007</v>
      </c>
      <c r="C1043" s="1">
        <f ca="1">IFERROR(__xludf.DUMMYFUNCTION("""COMPUTED_VALUE"""),81.75)</f>
        <v>81.75</v>
      </c>
      <c r="D1043" s="1">
        <f ca="1">IFERROR(__xludf.DUMMYFUNCTION("""COMPUTED_VALUE"""),81.06)</f>
        <v>81.06</v>
      </c>
      <c r="E1043" s="1">
        <f ca="1">IFERROR(__xludf.DUMMYFUNCTION("""COMPUTED_VALUE"""),81.58)</f>
        <v>81.58</v>
      </c>
      <c r="F1043" s="1">
        <f ca="1">IFERROR(__xludf.DUMMYFUNCTION("""COMPUTED_VALUE"""),3096191)</f>
        <v>3096191</v>
      </c>
    </row>
    <row r="1044" spans="1:6" x14ac:dyDescent="0.35">
      <c r="A1044" s="2">
        <f ca="1">IFERROR(__xludf.DUMMYFUNCTION("""COMPUTED_VALUE"""),43521.6666666666)</f>
        <v>43521.666666666599</v>
      </c>
      <c r="B1044" s="1">
        <f ca="1">IFERROR(__xludf.DUMMYFUNCTION("""COMPUTED_VALUE"""),82.07)</f>
        <v>82.07</v>
      </c>
      <c r="C1044" s="1">
        <f ca="1">IFERROR(__xludf.DUMMYFUNCTION("""COMPUTED_VALUE"""),82.73)</f>
        <v>82.73</v>
      </c>
      <c r="D1044" s="1">
        <f ca="1">IFERROR(__xludf.DUMMYFUNCTION("""COMPUTED_VALUE"""),81.52)</f>
        <v>81.52</v>
      </c>
      <c r="E1044" s="1">
        <f ca="1">IFERROR(__xludf.DUMMYFUNCTION("""COMPUTED_VALUE"""),81.65)</f>
        <v>81.650000000000006</v>
      </c>
      <c r="F1044" s="1">
        <f ca="1">IFERROR(__xludf.DUMMYFUNCTION("""COMPUTED_VALUE"""),3184462)</f>
        <v>3184462</v>
      </c>
    </row>
    <row r="1045" spans="1:6" x14ac:dyDescent="0.35">
      <c r="A1045" s="2">
        <f ca="1">IFERROR(__xludf.DUMMYFUNCTION("""COMPUTED_VALUE"""),43522.6666666666)</f>
        <v>43522.666666666599</v>
      </c>
      <c r="B1045" s="1">
        <f ca="1">IFERROR(__xludf.DUMMYFUNCTION("""COMPUTED_VALUE"""),81.3)</f>
        <v>81.3</v>
      </c>
      <c r="C1045" s="1">
        <f ca="1">IFERROR(__xludf.DUMMYFUNCTION("""COMPUTED_VALUE"""),82)</f>
        <v>82</v>
      </c>
      <c r="D1045" s="1">
        <f ca="1">IFERROR(__xludf.DUMMYFUNCTION("""COMPUTED_VALUE"""),80.81)</f>
        <v>80.81</v>
      </c>
      <c r="E1045" s="1">
        <f ca="1">IFERROR(__xludf.DUMMYFUNCTION("""COMPUTED_VALUE"""),81.82)</f>
        <v>81.819999999999993</v>
      </c>
      <c r="F1045" s="1">
        <f ca="1">IFERROR(__xludf.DUMMYFUNCTION("""COMPUTED_VALUE"""),2665815)</f>
        <v>2665815</v>
      </c>
    </row>
    <row r="1046" spans="1:6" x14ac:dyDescent="0.35">
      <c r="A1046" s="2">
        <f ca="1">IFERROR(__xludf.DUMMYFUNCTION("""COMPUTED_VALUE"""),43523.6666666666)</f>
        <v>43523.666666666599</v>
      </c>
      <c r="B1046" s="1">
        <f ca="1">IFERROR(__xludf.DUMMYFUNCTION("""COMPUTED_VALUE"""),81.41)</f>
        <v>81.41</v>
      </c>
      <c r="C1046" s="1">
        <f ca="1">IFERROR(__xludf.DUMMYFUNCTION("""COMPUTED_VALUE"""),82.09)</f>
        <v>82.09</v>
      </c>
      <c r="D1046" s="1">
        <f ca="1">IFERROR(__xludf.DUMMYFUNCTION("""COMPUTED_VALUE"""),80.76)</f>
        <v>80.760000000000005</v>
      </c>
      <c r="E1046" s="1">
        <f ca="1">IFERROR(__xludf.DUMMYFUNCTION("""COMPUTED_VALUE"""),82.05)</f>
        <v>82.05</v>
      </c>
      <c r="F1046" s="1">
        <f ca="1">IFERROR(__xludf.DUMMYFUNCTION("""COMPUTED_VALUE"""),3148824)</f>
        <v>3148824</v>
      </c>
    </row>
    <row r="1047" spans="1:6" x14ac:dyDescent="0.35">
      <c r="A1047" s="2">
        <f ca="1">IFERROR(__xludf.DUMMYFUNCTION("""COMPUTED_VALUE"""),43524.6666666666)</f>
        <v>43524.666666666599</v>
      </c>
      <c r="B1047" s="1">
        <f ca="1">IFERROR(__xludf.DUMMYFUNCTION("""COMPUTED_VALUE"""),81.76)</f>
        <v>81.760000000000005</v>
      </c>
      <c r="C1047" s="1">
        <f ca="1">IFERROR(__xludf.DUMMYFUNCTION("""COMPUTED_VALUE"""),82.59)</f>
        <v>82.59</v>
      </c>
      <c r="D1047" s="1">
        <f ca="1">IFERROR(__xludf.DUMMYFUNCTION("""COMPUTED_VALUE"""),81.69)</f>
        <v>81.69</v>
      </c>
      <c r="E1047" s="1">
        <f ca="1">IFERROR(__xludf.DUMMYFUNCTION("""COMPUTED_VALUE"""),81.99)</f>
        <v>81.99</v>
      </c>
      <c r="F1047" s="1">
        <f ca="1">IFERROR(__xludf.DUMMYFUNCTION("""COMPUTED_VALUE"""),3025891)</f>
        <v>3025891</v>
      </c>
    </row>
    <row r="1048" spans="1:6" x14ac:dyDescent="0.35">
      <c r="A1048" s="2">
        <f ca="1">IFERROR(__xludf.DUMMYFUNCTION("""COMPUTED_VALUE"""),43525.6666666666)</f>
        <v>43525.666666666599</v>
      </c>
      <c r="B1048" s="1">
        <f ca="1">IFERROR(__xludf.DUMMYFUNCTION("""COMPUTED_VALUE"""),82.76)</f>
        <v>82.76</v>
      </c>
      <c r="C1048" s="1">
        <f ca="1">IFERROR(__xludf.DUMMYFUNCTION("""COMPUTED_VALUE"""),83.71)</f>
        <v>83.71</v>
      </c>
      <c r="D1048" s="1">
        <f ca="1">IFERROR(__xludf.DUMMYFUNCTION("""COMPUTED_VALUE"""),82.55)</f>
        <v>82.55</v>
      </c>
      <c r="E1048" s="1">
        <f ca="1">IFERROR(__xludf.DUMMYFUNCTION("""COMPUTED_VALUE"""),83.59)</f>
        <v>83.59</v>
      </c>
      <c r="F1048" s="1">
        <f ca="1">IFERROR(__xludf.DUMMYFUNCTION("""COMPUTED_VALUE"""),4974877)</f>
        <v>4974877</v>
      </c>
    </row>
    <row r="1049" spans="1:6" x14ac:dyDescent="0.35">
      <c r="A1049" s="2">
        <f ca="1">IFERROR(__xludf.DUMMYFUNCTION("""COMPUTED_VALUE"""),43528.6666666666)</f>
        <v>43528.666666666599</v>
      </c>
      <c r="B1049" s="1">
        <f ca="1">IFERROR(__xludf.DUMMYFUNCTION("""COMPUTED_VALUE"""),84.25)</f>
        <v>84.25</v>
      </c>
      <c r="C1049" s="1">
        <f ca="1">IFERROR(__xludf.DUMMYFUNCTION("""COMPUTED_VALUE"""),85.47)</f>
        <v>85.47</v>
      </c>
      <c r="D1049" s="1">
        <f ca="1">IFERROR(__xludf.DUMMYFUNCTION("""COMPUTED_VALUE"""),83.72)</f>
        <v>83.72</v>
      </c>
      <c r="E1049" s="1">
        <f ca="1">IFERROR(__xludf.DUMMYFUNCTION("""COMPUTED_VALUE"""),84.81)</f>
        <v>84.81</v>
      </c>
      <c r="F1049" s="1">
        <f ca="1">IFERROR(__xludf.DUMMYFUNCTION("""COMPUTED_VALUE"""),6167358)</f>
        <v>6167358</v>
      </c>
    </row>
    <row r="1050" spans="1:6" x14ac:dyDescent="0.35">
      <c r="A1050" s="2">
        <f ca="1">IFERROR(__xludf.DUMMYFUNCTION("""COMPUTED_VALUE"""),43529.6666666666)</f>
        <v>43529.666666666599</v>
      </c>
      <c r="B1050" s="1">
        <f ca="1">IFERROR(__xludf.DUMMYFUNCTION("""COMPUTED_VALUE"""),85.15)</f>
        <v>85.15</v>
      </c>
      <c r="C1050" s="1">
        <f ca="1">IFERROR(__xludf.DUMMYFUNCTION("""COMPUTED_VALUE"""),85.39)</f>
        <v>85.39</v>
      </c>
      <c r="D1050" s="1">
        <f ca="1">IFERROR(__xludf.DUMMYFUNCTION("""COMPUTED_VALUE"""),84.45)</f>
        <v>84.45</v>
      </c>
      <c r="E1050" s="1">
        <f ca="1">IFERROR(__xludf.DUMMYFUNCTION("""COMPUTED_VALUE"""),84.62)</f>
        <v>84.62</v>
      </c>
      <c r="F1050" s="1">
        <f ca="1">IFERROR(__xludf.DUMMYFUNCTION("""COMPUTED_VALUE"""),3681522)</f>
        <v>3681522</v>
      </c>
    </row>
    <row r="1051" spans="1:6" x14ac:dyDescent="0.35">
      <c r="A1051" s="2">
        <f ca="1">IFERROR(__xludf.DUMMYFUNCTION("""COMPUTED_VALUE"""),43530.6666666666)</f>
        <v>43530.666666666599</v>
      </c>
      <c r="B1051" s="1">
        <f ca="1">IFERROR(__xludf.DUMMYFUNCTION("""COMPUTED_VALUE"""),84.8)</f>
        <v>84.8</v>
      </c>
      <c r="C1051" s="1">
        <f ca="1">IFERROR(__xludf.DUMMYFUNCTION("""COMPUTED_VALUE"""),84.89)</f>
        <v>84.89</v>
      </c>
      <c r="D1051" s="1">
        <f ca="1">IFERROR(__xludf.DUMMYFUNCTION("""COMPUTED_VALUE"""),83.41)</f>
        <v>83.41</v>
      </c>
      <c r="E1051" s="1">
        <f ca="1">IFERROR(__xludf.DUMMYFUNCTION("""COMPUTED_VALUE"""),83.45)</f>
        <v>83.45</v>
      </c>
      <c r="F1051" s="1">
        <f ca="1">IFERROR(__xludf.DUMMYFUNCTION("""COMPUTED_VALUE"""),3996001)</f>
        <v>3996001</v>
      </c>
    </row>
    <row r="1052" spans="1:6" x14ac:dyDescent="0.35">
      <c r="A1052" s="2">
        <f ca="1">IFERROR(__xludf.DUMMYFUNCTION("""COMPUTED_VALUE"""),43531.6666666666)</f>
        <v>43531.666666666599</v>
      </c>
      <c r="B1052" s="1">
        <f ca="1">IFERROR(__xludf.DUMMYFUNCTION("""COMPUTED_VALUE"""),83.37)</f>
        <v>83.37</v>
      </c>
      <c r="C1052" s="1">
        <f ca="1">IFERROR(__xludf.DUMMYFUNCTION("""COMPUTED_VALUE"""),83.49)</f>
        <v>83.49</v>
      </c>
      <c r="D1052" s="1">
        <f ca="1">IFERROR(__xludf.DUMMYFUNCTION("""COMPUTED_VALUE"""),81.03)</f>
        <v>81.03</v>
      </c>
      <c r="E1052" s="1">
        <f ca="1">IFERROR(__xludf.DUMMYFUNCTION("""COMPUTED_VALUE"""),81.3)</f>
        <v>81.3</v>
      </c>
      <c r="F1052" s="1">
        <f ca="1">IFERROR(__xludf.DUMMYFUNCTION("""COMPUTED_VALUE"""),4957017)</f>
        <v>4957017</v>
      </c>
    </row>
    <row r="1053" spans="1:6" x14ac:dyDescent="0.35">
      <c r="A1053" s="2">
        <f ca="1">IFERROR(__xludf.DUMMYFUNCTION("""COMPUTED_VALUE"""),43532.6666666666)</f>
        <v>43532.666666666599</v>
      </c>
      <c r="B1053" s="1">
        <f ca="1">IFERROR(__xludf.DUMMYFUNCTION("""COMPUTED_VALUE"""),80.2)</f>
        <v>80.2</v>
      </c>
      <c r="C1053" s="1">
        <f ca="1">IFERROR(__xludf.DUMMYFUNCTION("""COMPUTED_VALUE"""),81.14)</f>
        <v>81.14</v>
      </c>
      <c r="D1053" s="1">
        <f ca="1">IFERROR(__xludf.DUMMYFUNCTION("""COMPUTED_VALUE"""),79.33)</f>
        <v>79.33</v>
      </c>
      <c r="E1053" s="1">
        <f ca="1">IFERROR(__xludf.DUMMYFUNCTION("""COMPUTED_VALUE"""),81.04)</f>
        <v>81.040000000000006</v>
      </c>
      <c r="F1053" s="1">
        <f ca="1">IFERROR(__xludf.DUMMYFUNCTION("""COMPUTED_VALUE"""),4667014)</f>
        <v>4667014</v>
      </c>
    </row>
    <row r="1054" spans="1:6" x14ac:dyDescent="0.35">
      <c r="A1054" s="2">
        <f ca="1">IFERROR(__xludf.DUMMYFUNCTION("""COMPUTED_VALUE"""),43535.6666666666)</f>
        <v>43535.666666666599</v>
      </c>
      <c r="B1054" s="1">
        <f ca="1">IFERROR(__xludf.DUMMYFUNCTION("""COMPUTED_VALUE"""),81.31)</f>
        <v>81.31</v>
      </c>
      <c r="C1054" s="1">
        <f ca="1">IFERROR(__xludf.DUMMYFUNCTION("""COMPUTED_VALUE"""),83.61)</f>
        <v>83.61</v>
      </c>
      <c r="D1054" s="1">
        <f ca="1">IFERROR(__xludf.DUMMYFUNCTION("""COMPUTED_VALUE"""),81.3)</f>
        <v>81.3</v>
      </c>
      <c r="E1054" s="1">
        <f ca="1">IFERROR(__xludf.DUMMYFUNCTION("""COMPUTED_VALUE"""),83.53)</f>
        <v>83.53</v>
      </c>
      <c r="F1054" s="1">
        <f ca="1">IFERROR(__xludf.DUMMYFUNCTION("""COMPUTED_VALUE"""),3876352)</f>
        <v>3876352</v>
      </c>
    </row>
    <row r="1055" spans="1:6" x14ac:dyDescent="0.35">
      <c r="A1055" s="2">
        <f ca="1">IFERROR(__xludf.DUMMYFUNCTION("""COMPUTED_VALUE"""),43536.6666666666)</f>
        <v>43536.666666666599</v>
      </c>
      <c r="B1055" s="1">
        <f ca="1">IFERROR(__xludf.DUMMYFUNCTION("""COMPUTED_VALUE"""),83.45)</f>
        <v>83.45</v>
      </c>
      <c r="C1055" s="1">
        <f ca="1">IFERROR(__xludf.DUMMYFUNCTION("""COMPUTED_VALUE"""),84.21)</f>
        <v>84.21</v>
      </c>
      <c r="D1055" s="1">
        <f ca="1">IFERROR(__xludf.DUMMYFUNCTION("""COMPUTED_VALUE"""),83.05)</f>
        <v>83.05</v>
      </c>
      <c r="E1055" s="1">
        <f ca="1">IFERROR(__xludf.DUMMYFUNCTION("""COMPUTED_VALUE"""),83.66)</f>
        <v>83.66</v>
      </c>
      <c r="F1055" s="1">
        <f ca="1">IFERROR(__xludf.DUMMYFUNCTION("""COMPUTED_VALUE"""),3614498)</f>
        <v>3614498</v>
      </c>
    </row>
    <row r="1056" spans="1:6" x14ac:dyDescent="0.35">
      <c r="A1056" s="2">
        <f ca="1">IFERROR(__xludf.DUMMYFUNCTION("""COMPUTED_VALUE"""),43537.6666666666)</f>
        <v>43537.666666666599</v>
      </c>
      <c r="B1056" s="1">
        <f ca="1">IFERROR(__xludf.DUMMYFUNCTION("""COMPUTED_VALUE"""),84.15)</f>
        <v>84.15</v>
      </c>
      <c r="C1056" s="1">
        <f ca="1">IFERROR(__xludf.DUMMYFUNCTION("""COMPUTED_VALUE"""),85)</f>
        <v>85</v>
      </c>
      <c r="D1056" s="1">
        <f ca="1">IFERROR(__xludf.DUMMYFUNCTION("""COMPUTED_VALUE"""),83.97)</f>
        <v>83.97</v>
      </c>
      <c r="E1056" s="1">
        <f ca="1">IFERROR(__xludf.DUMMYFUNCTION("""COMPUTED_VALUE"""),84.54)</f>
        <v>84.54</v>
      </c>
      <c r="F1056" s="1">
        <f ca="1">IFERROR(__xludf.DUMMYFUNCTION("""COMPUTED_VALUE"""),3552041)</f>
        <v>3552041</v>
      </c>
    </row>
    <row r="1057" spans="1:6" x14ac:dyDescent="0.35">
      <c r="A1057" s="2">
        <f ca="1">IFERROR(__xludf.DUMMYFUNCTION("""COMPUTED_VALUE"""),43538.6666666666)</f>
        <v>43538.666666666599</v>
      </c>
      <c r="B1057" s="1">
        <f ca="1">IFERROR(__xludf.DUMMYFUNCTION("""COMPUTED_VALUE"""),84.56)</f>
        <v>84.56</v>
      </c>
      <c r="C1057" s="1">
        <f ca="1">IFERROR(__xludf.DUMMYFUNCTION("""COMPUTED_VALUE"""),85.1)</f>
        <v>85.1</v>
      </c>
      <c r="D1057" s="1">
        <f ca="1">IFERROR(__xludf.DUMMYFUNCTION("""COMPUTED_VALUE"""),84.22)</f>
        <v>84.22</v>
      </c>
      <c r="E1057" s="1">
        <f ca="1">IFERROR(__xludf.DUMMYFUNCTION("""COMPUTED_VALUE"""),84.31)</f>
        <v>84.31</v>
      </c>
      <c r="F1057" s="1">
        <f ca="1">IFERROR(__xludf.DUMMYFUNCTION("""COMPUTED_VALUE"""),2946618)</f>
        <v>2946618</v>
      </c>
    </row>
    <row r="1058" spans="1:6" x14ac:dyDescent="0.35">
      <c r="A1058" s="2">
        <f ca="1">IFERROR(__xludf.DUMMYFUNCTION("""COMPUTED_VALUE"""),43539.6666666666)</f>
        <v>43539.666666666599</v>
      </c>
      <c r="B1058" s="1">
        <f ca="1">IFERROR(__xludf.DUMMYFUNCTION("""COMPUTED_VALUE"""),85.15)</f>
        <v>85.15</v>
      </c>
      <c r="C1058" s="1">
        <f ca="1">IFERROR(__xludf.DUMMYFUNCTION("""COMPUTED_VALUE"""),85.94)</f>
        <v>85.94</v>
      </c>
      <c r="D1058" s="1">
        <f ca="1">IFERROR(__xludf.DUMMYFUNCTION("""COMPUTED_VALUE"""),84.66)</f>
        <v>84.66</v>
      </c>
      <c r="E1058" s="1">
        <f ca="1">IFERROR(__xludf.DUMMYFUNCTION("""COMPUTED_VALUE"""),85.62)</f>
        <v>85.62</v>
      </c>
      <c r="F1058" s="1">
        <f ca="1">IFERROR(__xludf.DUMMYFUNCTION("""COMPUTED_VALUE"""),7550870)</f>
        <v>7550870</v>
      </c>
    </row>
    <row r="1059" spans="1:6" x14ac:dyDescent="0.35">
      <c r="A1059" s="2">
        <f ca="1">IFERROR(__xludf.DUMMYFUNCTION("""COMPUTED_VALUE"""),43542.6666666666)</f>
        <v>43542.666666666599</v>
      </c>
      <c r="B1059" s="1">
        <f ca="1">IFERROR(__xludf.DUMMYFUNCTION("""COMPUTED_VALUE"""),85.64)</f>
        <v>85.64</v>
      </c>
      <c r="C1059" s="1">
        <f ca="1">IFERROR(__xludf.DUMMYFUNCTION("""COMPUTED_VALUE"""),87.5)</f>
        <v>87.5</v>
      </c>
      <c r="D1059" s="1">
        <f ca="1">IFERROR(__xludf.DUMMYFUNCTION("""COMPUTED_VALUE"""),85.63)</f>
        <v>85.63</v>
      </c>
      <c r="E1059" s="1">
        <f ca="1">IFERROR(__xludf.DUMMYFUNCTION("""COMPUTED_VALUE"""),87.11)</f>
        <v>87.11</v>
      </c>
      <c r="F1059" s="1">
        <f ca="1">IFERROR(__xludf.DUMMYFUNCTION("""COMPUTED_VALUE"""),5429058)</f>
        <v>5429058</v>
      </c>
    </row>
    <row r="1060" spans="1:6" x14ac:dyDescent="0.35">
      <c r="A1060" s="2">
        <f ca="1">IFERROR(__xludf.DUMMYFUNCTION("""COMPUTED_VALUE"""),43543.6666666666)</f>
        <v>43543.666666666599</v>
      </c>
      <c r="B1060" s="1">
        <f ca="1">IFERROR(__xludf.DUMMYFUNCTION("""COMPUTED_VALUE"""),87.68)</f>
        <v>87.68</v>
      </c>
      <c r="C1060" s="1">
        <f ca="1">IFERROR(__xludf.DUMMYFUNCTION("""COMPUTED_VALUE"""),89.21)</f>
        <v>89.21</v>
      </c>
      <c r="D1060" s="1">
        <f ca="1">IFERROR(__xludf.DUMMYFUNCTION("""COMPUTED_VALUE"""),87.68)</f>
        <v>87.68</v>
      </c>
      <c r="E1060" s="1">
        <f ca="1">IFERROR(__xludf.DUMMYFUNCTION("""COMPUTED_VALUE"""),88.09)</f>
        <v>88.09</v>
      </c>
      <c r="F1060" s="1">
        <f ca="1">IFERROR(__xludf.DUMMYFUNCTION("""COMPUTED_VALUE"""),6364161)</f>
        <v>6364161</v>
      </c>
    </row>
    <row r="1061" spans="1:6" x14ac:dyDescent="0.35">
      <c r="A1061" s="2">
        <f ca="1">IFERROR(__xludf.DUMMYFUNCTION("""COMPUTED_VALUE"""),43544.6666666666)</f>
        <v>43544.666666666599</v>
      </c>
      <c r="B1061" s="1">
        <f ca="1">IFERROR(__xludf.DUMMYFUNCTION("""COMPUTED_VALUE"""),88.5)</f>
        <v>88.5</v>
      </c>
      <c r="C1061" s="1">
        <f ca="1">IFERROR(__xludf.DUMMYFUNCTION("""COMPUTED_VALUE"""),89.98)</f>
        <v>89.98</v>
      </c>
      <c r="D1061" s="1">
        <f ca="1">IFERROR(__xludf.DUMMYFUNCTION("""COMPUTED_VALUE"""),88.35)</f>
        <v>88.35</v>
      </c>
      <c r="E1061" s="1">
        <f ca="1">IFERROR(__xludf.DUMMYFUNCTION("""COMPUTED_VALUE"""),89.86)</f>
        <v>89.86</v>
      </c>
      <c r="F1061" s="1">
        <f ca="1">IFERROR(__xludf.DUMMYFUNCTION("""COMPUTED_VALUE"""),6265633)</f>
        <v>6265633</v>
      </c>
    </row>
    <row r="1062" spans="1:6" x14ac:dyDescent="0.35">
      <c r="A1062" s="2">
        <f ca="1">IFERROR(__xludf.DUMMYFUNCTION("""COMPUTED_VALUE"""),43545.6666666666)</f>
        <v>43545.666666666599</v>
      </c>
      <c r="B1062" s="1">
        <f ca="1">IFERROR(__xludf.DUMMYFUNCTION("""COMPUTED_VALUE"""),89.81)</f>
        <v>89.81</v>
      </c>
      <c r="C1062" s="1">
        <f ca="1">IFERROR(__xludf.DUMMYFUNCTION("""COMPUTED_VALUE"""),91.19)</f>
        <v>91.19</v>
      </c>
      <c r="D1062" s="1">
        <f ca="1">IFERROR(__xludf.DUMMYFUNCTION("""COMPUTED_VALUE"""),89.36)</f>
        <v>89.36</v>
      </c>
      <c r="E1062" s="1">
        <f ca="1">IFERROR(__xludf.DUMMYFUNCTION("""COMPUTED_VALUE"""),90.96)</f>
        <v>90.96</v>
      </c>
      <c r="F1062" s="1">
        <f ca="1">IFERROR(__xludf.DUMMYFUNCTION("""COMPUTED_VALUE"""),5767797)</f>
        <v>5767797</v>
      </c>
    </row>
    <row r="1063" spans="1:6" x14ac:dyDescent="0.35">
      <c r="A1063" s="2">
        <f ca="1">IFERROR(__xludf.DUMMYFUNCTION("""COMPUTED_VALUE"""),43546.6666666666)</f>
        <v>43546.666666666599</v>
      </c>
      <c r="B1063" s="1">
        <f ca="1">IFERROR(__xludf.DUMMYFUNCTION("""COMPUTED_VALUE"""),90.51)</f>
        <v>90.51</v>
      </c>
      <c r="C1063" s="1">
        <f ca="1">IFERROR(__xludf.DUMMYFUNCTION("""COMPUTED_VALUE"""),90.95)</f>
        <v>90.95</v>
      </c>
      <c r="D1063" s="1">
        <f ca="1">IFERROR(__xludf.DUMMYFUNCTION("""COMPUTED_VALUE"""),88.16)</f>
        <v>88.16</v>
      </c>
      <c r="E1063" s="1">
        <f ca="1">IFERROR(__xludf.DUMMYFUNCTION("""COMPUTED_VALUE"""),88.24)</f>
        <v>88.24</v>
      </c>
      <c r="F1063" s="1">
        <f ca="1">IFERROR(__xludf.DUMMYFUNCTION("""COMPUTED_VALUE"""),6362983)</f>
        <v>6362983</v>
      </c>
    </row>
    <row r="1064" spans="1:6" x14ac:dyDescent="0.35">
      <c r="A1064" s="2">
        <f ca="1">IFERROR(__xludf.DUMMYFUNCTION("""COMPUTED_VALUE"""),43549.6666666666)</f>
        <v>43549.666666666599</v>
      </c>
      <c r="B1064" s="1">
        <f ca="1">IFERROR(__xludf.DUMMYFUNCTION("""COMPUTED_VALUE"""),87.89)</f>
        <v>87.89</v>
      </c>
      <c r="C1064" s="1">
        <f ca="1">IFERROR(__xludf.DUMMYFUNCTION("""COMPUTED_VALUE"""),89.13)</f>
        <v>89.13</v>
      </c>
      <c r="D1064" s="1">
        <f ca="1">IFERROR(__xludf.DUMMYFUNCTION("""COMPUTED_VALUE"""),87.38)</f>
        <v>87.38</v>
      </c>
      <c r="E1064" s="1">
        <f ca="1">IFERROR(__xludf.DUMMYFUNCTION("""COMPUTED_VALUE"""),88.71)</f>
        <v>88.71</v>
      </c>
      <c r="F1064" s="1">
        <f ca="1">IFERROR(__xludf.DUMMYFUNCTION("""COMPUTED_VALUE"""),5103803)</f>
        <v>5103803</v>
      </c>
    </row>
    <row r="1065" spans="1:6" x14ac:dyDescent="0.35">
      <c r="A1065" s="2">
        <f ca="1">IFERROR(__xludf.DUMMYFUNCTION("""COMPUTED_VALUE"""),43550.6666666666)</f>
        <v>43550.666666666599</v>
      </c>
      <c r="B1065" s="1">
        <f ca="1">IFERROR(__xludf.DUMMYFUNCTION("""COMPUTED_VALUE"""),89.65)</f>
        <v>89.65</v>
      </c>
      <c r="C1065" s="1">
        <f ca="1">IFERROR(__xludf.DUMMYFUNCTION("""COMPUTED_VALUE"""),90.29)</f>
        <v>90.29</v>
      </c>
      <c r="D1065" s="1">
        <f ca="1">IFERROR(__xludf.DUMMYFUNCTION("""COMPUTED_VALUE"""),88.67)</f>
        <v>88.67</v>
      </c>
      <c r="E1065" s="1">
        <f ca="1">IFERROR(__xludf.DUMMYFUNCTION("""COMPUTED_VALUE"""),89.19)</f>
        <v>89.19</v>
      </c>
      <c r="F1065" s="1">
        <f ca="1">IFERROR(__xludf.DUMMYFUNCTION("""COMPUTED_VALUE"""),4865880)</f>
        <v>4865880</v>
      </c>
    </row>
    <row r="1066" spans="1:6" x14ac:dyDescent="0.35">
      <c r="A1066" s="2">
        <f ca="1">IFERROR(__xludf.DUMMYFUNCTION("""COMPUTED_VALUE"""),43551.6666666666)</f>
        <v>43551.666666666599</v>
      </c>
      <c r="B1066" s="1">
        <f ca="1">IFERROR(__xludf.DUMMYFUNCTION("""COMPUTED_VALUE"""),89.21)</f>
        <v>89.21</v>
      </c>
      <c r="C1066" s="1">
        <f ca="1">IFERROR(__xludf.DUMMYFUNCTION("""COMPUTED_VALUE"""),89.38)</f>
        <v>89.38</v>
      </c>
      <c r="D1066" s="1">
        <f ca="1">IFERROR(__xludf.DUMMYFUNCTION("""COMPUTED_VALUE"""),87.28)</f>
        <v>87.28</v>
      </c>
      <c r="E1066" s="1">
        <f ca="1">IFERROR(__xludf.DUMMYFUNCTION("""COMPUTED_VALUE"""),88.29)</f>
        <v>88.29</v>
      </c>
      <c r="F1066" s="1">
        <f ca="1">IFERROR(__xludf.DUMMYFUNCTION("""COMPUTED_VALUE"""),4324801)</f>
        <v>4324801</v>
      </c>
    </row>
    <row r="1067" spans="1:6" x14ac:dyDescent="0.35">
      <c r="A1067" s="2">
        <f ca="1">IFERROR(__xludf.DUMMYFUNCTION("""COMPUTED_VALUE"""),43552.6666666666)</f>
        <v>43552.666666666599</v>
      </c>
      <c r="B1067" s="1">
        <f ca="1">IFERROR(__xludf.DUMMYFUNCTION("""COMPUTED_VALUE"""),88.5)</f>
        <v>88.5</v>
      </c>
      <c r="C1067" s="1">
        <f ca="1">IFERROR(__xludf.DUMMYFUNCTION("""COMPUTED_VALUE"""),88.9)</f>
        <v>88.9</v>
      </c>
      <c r="D1067" s="1">
        <f ca="1">IFERROR(__xludf.DUMMYFUNCTION("""COMPUTED_VALUE"""),87.67)</f>
        <v>87.67</v>
      </c>
      <c r="E1067" s="1">
        <f ca="1">IFERROR(__xludf.DUMMYFUNCTION("""COMPUTED_VALUE"""),88.67)</f>
        <v>88.67</v>
      </c>
      <c r="F1067" s="1">
        <f ca="1">IFERROR(__xludf.DUMMYFUNCTION("""COMPUTED_VALUE"""),3042958)</f>
        <v>3042958</v>
      </c>
    </row>
    <row r="1068" spans="1:6" x14ac:dyDescent="0.35">
      <c r="A1068" s="2">
        <f ca="1">IFERROR(__xludf.DUMMYFUNCTION("""COMPUTED_VALUE"""),43553.6666666666)</f>
        <v>43553.666666666599</v>
      </c>
      <c r="B1068" s="1">
        <f ca="1">IFERROR(__xludf.DUMMYFUNCTION("""COMPUTED_VALUE"""),89.33)</f>
        <v>89.33</v>
      </c>
      <c r="C1068" s="1">
        <f ca="1">IFERROR(__xludf.DUMMYFUNCTION("""COMPUTED_VALUE"""),89.64)</f>
        <v>89.64</v>
      </c>
      <c r="D1068" s="1">
        <f ca="1">IFERROR(__xludf.DUMMYFUNCTION("""COMPUTED_VALUE"""),88.83)</f>
        <v>88.83</v>
      </c>
      <c r="E1068" s="1">
        <f ca="1">IFERROR(__xludf.DUMMYFUNCTION("""COMPUTED_VALUE"""),89.04)</f>
        <v>89.04</v>
      </c>
      <c r="F1068" s="1">
        <f ca="1">IFERROR(__xludf.DUMMYFUNCTION("""COMPUTED_VALUE"""),3320793)</f>
        <v>3320793</v>
      </c>
    </row>
    <row r="1069" spans="1:6" x14ac:dyDescent="0.35">
      <c r="A1069" s="2">
        <f ca="1">IFERROR(__xludf.DUMMYFUNCTION("""COMPUTED_VALUE"""),43556.6666666666)</f>
        <v>43556.666666666599</v>
      </c>
      <c r="B1069" s="1">
        <f ca="1">IFERROR(__xludf.DUMMYFUNCTION("""COMPUTED_VALUE"""),90.01)</f>
        <v>90.01</v>
      </c>
      <c r="C1069" s="1">
        <f ca="1">IFERROR(__xludf.DUMMYFUNCTION("""COMPUTED_VALUE"""),90.78)</f>
        <v>90.78</v>
      </c>
      <c r="D1069" s="1">
        <f ca="1">IFERROR(__xludf.DUMMYFUNCTION("""COMPUTED_VALUE"""),89.94)</f>
        <v>89.94</v>
      </c>
      <c r="E1069" s="1">
        <f ca="1">IFERROR(__xludf.DUMMYFUNCTION("""COMPUTED_VALUE"""),90.71)</f>
        <v>90.71</v>
      </c>
      <c r="F1069" s="1">
        <f ca="1">IFERROR(__xludf.DUMMYFUNCTION("""COMPUTED_VALUE"""),4238752)</f>
        <v>4238752</v>
      </c>
    </row>
    <row r="1070" spans="1:6" x14ac:dyDescent="0.35">
      <c r="A1070" s="2">
        <f ca="1">IFERROR(__xludf.DUMMYFUNCTION("""COMPUTED_VALUE"""),43557.6666666666)</f>
        <v>43557.666666666599</v>
      </c>
      <c r="B1070" s="1">
        <f ca="1">IFERROR(__xludf.DUMMYFUNCTION("""COMPUTED_VALUE"""),90.55)</f>
        <v>90.55</v>
      </c>
      <c r="C1070" s="1">
        <f ca="1">IFERROR(__xludf.DUMMYFUNCTION("""COMPUTED_VALUE"""),91)</f>
        <v>91</v>
      </c>
      <c r="D1070" s="1">
        <f ca="1">IFERROR(__xludf.DUMMYFUNCTION("""COMPUTED_VALUE"""),90.26)</f>
        <v>90.26</v>
      </c>
      <c r="E1070" s="1">
        <f ca="1">IFERROR(__xludf.DUMMYFUNCTION("""COMPUTED_VALUE"""),90.7)</f>
        <v>90.7</v>
      </c>
      <c r="F1070" s="1">
        <f ca="1">IFERROR(__xludf.DUMMYFUNCTION("""COMPUTED_VALUE"""),3448115)</f>
        <v>3448115</v>
      </c>
    </row>
    <row r="1071" spans="1:6" x14ac:dyDescent="0.35">
      <c r="A1071" s="2">
        <f ca="1">IFERROR(__xludf.DUMMYFUNCTION("""COMPUTED_VALUE"""),43558.6666666666)</f>
        <v>43558.666666666599</v>
      </c>
      <c r="B1071" s="1">
        <f ca="1">IFERROR(__xludf.DUMMYFUNCTION("""COMPUTED_VALUE"""),91.34)</f>
        <v>91.34</v>
      </c>
      <c r="C1071" s="1">
        <f ca="1">IFERROR(__xludf.DUMMYFUNCTION("""COMPUTED_VALUE"""),91.5)</f>
        <v>91.5</v>
      </c>
      <c r="D1071" s="1">
        <f ca="1">IFERROR(__xludf.DUMMYFUNCTION("""COMPUTED_VALUE"""),90.48)</f>
        <v>90.48</v>
      </c>
      <c r="E1071" s="1">
        <f ca="1">IFERROR(__xludf.DUMMYFUNCTION("""COMPUTED_VALUE"""),91.04)</f>
        <v>91.04</v>
      </c>
      <c r="F1071" s="1">
        <f ca="1">IFERROR(__xludf.DUMMYFUNCTION("""COMPUTED_VALUE"""),3980590)</f>
        <v>3980590</v>
      </c>
    </row>
    <row r="1072" spans="1:6" x14ac:dyDescent="0.35">
      <c r="A1072" s="2">
        <f ca="1">IFERROR(__xludf.DUMMYFUNCTION("""COMPUTED_VALUE"""),43559.6666666666)</f>
        <v>43559.666666666599</v>
      </c>
      <c r="B1072" s="1">
        <f ca="1">IFERROR(__xludf.DUMMYFUNCTION("""COMPUTED_VALUE"""),91.03)</f>
        <v>91.03</v>
      </c>
      <c r="C1072" s="1">
        <f ca="1">IFERROR(__xludf.DUMMYFUNCTION("""COMPUTED_VALUE"""),91.44)</f>
        <v>91.44</v>
      </c>
      <c r="D1072" s="1">
        <f ca="1">IFERROR(__xludf.DUMMYFUNCTION("""COMPUTED_VALUE"""),90.21)</f>
        <v>90.21</v>
      </c>
      <c r="E1072" s="1">
        <f ca="1">IFERROR(__xludf.DUMMYFUNCTION("""COMPUTED_VALUE"""),90.94)</f>
        <v>90.94</v>
      </c>
      <c r="F1072" s="1">
        <f ca="1">IFERROR(__xludf.DUMMYFUNCTION("""COMPUTED_VALUE"""),3623867)</f>
        <v>3623867</v>
      </c>
    </row>
    <row r="1073" spans="1:6" x14ac:dyDescent="0.35">
      <c r="A1073" s="2">
        <f ca="1">IFERROR(__xludf.DUMMYFUNCTION("""COMPUTED_VALUE"""),43560.6666666666)</f>
        <v>43560.666666666599</v>
      </c>
      <c r="B1073" s="1">
        <f ca="1">IFERROR(__xludf.DUMMYFUNCTION("""COMPUTED_VALUE"""),91.45)</f>
        <v>91.45</v>
      </c>
      <c r="C1073" s="1">
        <f ca="1">IFERROR(__xludf.DUMMYFUNCTION("""COMPUTED_VALUE"""),91.93)</f>
        <v>91.93</v>
      </c>
      <c r="D1073" s="1">
        <f ca="1">IFERROR(__xludf.DUMMYFUNCTION("""COMPUTED_VALUE"""),91.26)</f>
        <v>91.26</v>
      </c>
      <c r="E1073" s="1">
        <f ca="1">IFERROR(__xludf.DUMMYFUNCTION("""COMPUTED_VALUE"""),91.86)</f>
        <v>91.86</v>
      </c>
      <c r="F1073" s="1">
        <f ca="1">IFERROR(__xludf.DUMMYFUNCTION("""COMPUTED_VALUE"""),3640476)</f>
        <v>3640476</v>
      </c>
    </row>
    <row r="1074" spans="1:6" x14ac:dyDescent="0.35">
      <c r="A1074" s="2">
        <f ca="1">IFERROR(__xludf.DUMMYFUNCTION("""COMPUTED_VALUE"""),43563.6666666666)</f>
        <v>43563.666666666599</v>
      </c>
      <c r="B1074" s="1">
        <f ca="1">IFERROR(__xludf.DUMMYFUNCTION("""COMPUTED_VALUE"""),91.66)</f>
        <v>91.66</v>
      </c>
      <c r="C1074" s="1">
        <f ca="1">IFERROR(__xludf.DUMMYFUNCTION("""COMPUTED_VALUE"""),92.51)</f>
        <v>92.51</v>
      </c>
      <c r="D1074" s="1">
        <f ca="1">IFERROR(__xludf.DUMMYFUNCTION("""COMPUTED_VALUE"""),91.26)</f>
        <v>91.26</v>
      </c>
      <c r="E1074" s="1">
        <f ca="1">IFERROR(__xludf.DUMMYFUNCTION("""COMPUTED_VALUE"""),92.49)</f>
        <v>92.49</v>
      </c>
      <c r="F1074" s="1">
        <f ca="1">IFERROR(__xludf.DUMMYFUNCTION("""COMPUTED_VALUE"""),3752841)</f>
        <v>3752841</v>
      </c>
    </row>
    <row r="1075" spans="1:6" x14ac:dyDescent="0.35">
      <c r="A1075" s="2">
        <f ca="1">IFERROR(__xludf.DUMMYFUNCTION("""COMPUTED_VALUE"""),43564.6666666666)</f>
        <v>43564.666666666599</v>
      </c>
      <c r="B1075" s="1">
        <f ca="1">IFERROR(__xludf.DUMMYFUNCTION("""COMPUTED_VALUE"""),92.27)</f>
        <v>92.27</v>
      </c>
      <c r="C1075" s="1">
        <f ca="1">IFERROR(__xludf.DUMMYFUNCTION("""COMPUTED_VALUE"""),92.65)</f>
        <v>92.65</v>
      </c>
      <c r="D1075" s="1">
        <f ca="1">IFERROR(__xludf.DUMMYFUNCTION("""COMPUTED_VALUE"""),91.59)</f>
        <v>91.59</v>
      </c>
      <c r="E1075" s="1">
        <f ca="1">IFERROR(__xludf.DUMMYFUNCTION("""COMPUTED_VALUE"""),91.79)</f>
        <v>91.79</v>
      </c>
      <c r="F1075" s="1">
        <f ca="1">IFERROR(__xludf.DUMMYFUNCTION("""COMPUTED_VALUE"""),3714368)</f>
        <v>3714368</v>
      </c>
    </row>
    <row r="1076" spans="1:6" x14ac:dyDescent="0.35">
      <c r="A1076" s="2">
        <f ca="1">IFERROR(__xludf.DUMMYFUNCTION("""COMPUTED_VALUE"""),43565.6666666666)</f>
        <v>43565.666666666599</v>
      </c>
      <c r="B1076" s="1">
        <f ca="1">IFERROR(__xludf.DUMMYFUNCTION("""COMPUTED_VALUE"""),92.05)</f>
        <v>92.05</v>
      </c>
      <c r="C1076" s="1">
        <f ca="1">IFERROR(__xludf.DUMMYFUNCTION("""COMPUTED_VALUE"""),92.4)</f>
        <v>92.4</v>
      </c>
      <c r="D1076" s="1">
        <f ca="1">IFERROR(__xludf.DUMMYFUNCTION("""COMPUTED_VALUE"""),91.44)</f>
        <v>91.44</v>
      </c>
      <c r="E1076" s="1">
        <f ca="1">IFERROR(__xludf.DUMMYFUNCTION("""COMPUTED_VALUE"""),92.37)</f>
        <v>92.37</v>
      </c>
      <c r="F1076" s="1">
        <f ca="1">IFERROR(__xludf.DUMMYFUNCTION("""COMPUTED_VALUE"""),2963973)</f>
        <v>2963973</v>
      </c>
    </row>
    <row r="1077" spans="1:6" x14ac:dyDescent="0.35">
      <c r="A1077" s="2">
        <f ca="1">IFERROR(__xludf.DUMMYFUNCTION("""COMPUTED_VALUE"""),43566.6666666666)</f>
        <v>43566.666666666599</v>
      </c>
      <c r="B1077" s="1">
        <f ca="1">IFERROR(__xludf.DUMMYFUNCTION("""COMPUTED_VALUE"""),92.44)</f>
        <v>92.44</v>
      </c>
      <c r="C1077" s="1">
        <f ca="1">IFERROR(__xludf.DUMMYFUNCTION("""COMPUTED_VALUE"""),92.5)</f>
        <v>92.5</v>
      </c>
      <c r="D1077" s="1">
        <f ca="1">IFERROR(__xludf.DUMMYFUNCTION("""COMPUTED_VALUE"""),92.02)</f>
        <v>92.02</v>
      </c>
      <c r="E1077" s="1">
        <f ca="1">IFERROR(__xludf.DUMMYFUNCTION("""COMPUTED_VALUE"""),92.2)</f>
        <v>92.2</v>
      </c>
      <c r="F1077" s="1">
        <f ca="1">IFERROR(__xludf.DUMMYFUNCTION("""COMPUTED_VALUE"""),2654842)</f>
        <v>2654842</v>
      </c>
    </row>
    <row r="1078" spans="1:6" x14ac:dyDescent="0.35">
      <c r="A1078" s="2">
        <f ca="1">IFERROR(__xludf.DUMMYFUNCTION("""COMPUTED_VALUE"""),43567.6666666666)</f>
        <v>43567.666666666599</v>
      </c>
      <c r="B1078" s="1">
        <f ca="1">IFERROR(__xludf.DUMMYFUNCTION("""COMPUTED_VALUE"""),92.42)</f>
        <v>92.42</v>
      </c>
      <c r="C1078" s="1">
        <f ca="1">IFERROR(__xludf.DUMMYFUNCTION("""COMPUTED_VALUE"""),92.58)</f>
        <v>92.58</v>
      </c>
      <c r="D1078" s="1">
        <f ca="1">IFERROR(__xludf.DUMMYFUNCTION("""COMPUTED_VALUE"""),92.07)</f>
        <v>92.07</v>
      </c>
      <c r="E1078" s="1">
        <f ca="1">IFERROR(__xludf.DUMMYFUNCTION("""COMPUTED_VALUE"""),92.15)</f>
        <v>92.15</v>
      </c>
      <c r="F1078" s="1">
        <f ca="1">IFERROR(__xludf.DUMMYFUNCTION("""COMPUTED_VALUE"""),3114413)</f>
        <v>3114413</v>
      </c>
    </row>
    <row r="1079" spans="1:6" x14ac:dyDescent="0.35">
      <c r="A1079" s="2">
        <f ca="1">IFERROR(__xludf.DUMMYFUNCTION("""COMPUTED_VALUE"""),43570.6666666666)</f>
        <v>43570.666666666599</v>
      </c>
      <c r="B1079" s="1">
        <f ca="1">IFERROR(__xludf.DUMMYFUNCTION("""COMPUTED_VALUE"""),92.1)</f>
        <v>92.1</v>
      </c>
      <c r="C1079" s="1">
        <f ca="1">IFERROR(__xludf.DUMMYFUNCTION("""COMPUTED_VALUE"""),92.34)</f>
        <v>92.34</v>
      </c>
      <c r="D1079" s="1">
        <f ca="1">IFERROR(__xludf.DUMMYFUNCTION("""COMPUTED_VALUE"""),90.95)</f>
        <v>90.95</v>
      </c>
      <c r="E1079" s="1">
        <f ca="1">IFERROR(__xludf.DUMMYFUNCTION("""COMPUTED_VALUE"""),92.24)</f>
        <v>92.24</v>
      </c>
      <c r="F1079" s="1">
        <f ca="1">IFERROR(__xludf.DUMMYFUNCTION("""COMPUTED_VALUE"""),3724423)</f>
        <v>3724423</v>
      </c>
    </row>
    <row r="1080" spans="1:6" x14ac:dyDescent="0.35">
      <c r="A1080" s="2">
        <f ca="1">IFERROR(__xludf.DUMMYFUNCTION("""COMPUTED_VALUE"""),43571.6666666666)</f>
        <v>43571.666666666599</v>
      </c>
      <c r="B1080" s="1">
        <f ca="1">IFERROR(__xludf.DUMMYFUNCTION("""COMPUTED_VALUE"""),92.57)</f>
        <v>92.57</v>
      </c>
      <c r="C1080" s="1">
        <f ca="1">IFERROR(__xludf.DUMMYFUNCTION("""COMPUTED_VALUE"""),93.49)</f>
        <v>93.49</v>
      </c>
      <c r="D1080" s="1">
        <f ca="1">IFERROR(__xludf.DUMMYFUNCTION("""COMPUTED_VALUE"""),92.4)</f>
        <v>92.4</v>
      </c>
      <c r="E1080" s="1">
        <f ca="1">IFERROR(__xludf.DUMMYFUNCTION("""COMPUTED_VALUE"""),93.15)</f>
        <v>93.15</v>
      </c>
      <c r="F1080" s="1">
        <f ca="1">IFERROR(__xludf.DUMMYFUNCTION("""COMPUTED_VALUE"""),3044618)</f>
        <v>3044618</v>
      </c>
    </row>
    <row r="1081" spans="1:6" x14ac:dyDescent="0.35">
      <c r="A1081" s="2">
        <f ca="1">IFERROR(__xludf.DUMMYFUNCTION("""COMPUTED_VALUE"""),43572.6666666666)</f>
        <v>43572.666666666599</v>
      </c>
      <c r="B1081" s="1">
        <f ca="1">IFERROR(__xludf.DUMMYFUNCTION("""COMPUTED_VALUE"""),93.65)</f>
        <v>93.65</v>
      </c>
      <c r="C1081" s="1">
        <f ca="1">IFERROR(__xludf.DUMMYFUNCTION("""COMPUTED_VALUE"""),93.82)</f>
        <v>93.82</v>
      </c>
      <c r="D1081" s="1">
        <f ca="1">IFERROR(__xludf.DUMMYFUNCTION("""COMPUTED_VALUE"""),93.02)</f>
        <v>93.02</v>
      </c>
      <c r="E1081" s="1">
        <f ca="1">IFERROR(__xludf.DUMMYFUNCTION("""COMPUTED_VALUE"""),93.24)</f>
        <v>93.24</v>
      </c>
      <c r="F1081" s="1">
        <f ca="1">IFERROR(__xludf.DUMMYFUNCTION("""COMPUTED_VALUE"""),2893517)</f>
        <v>2893517</v>
      </c>
    </row>
    <row r="1082" spans="1:6" x14ac:dyDescent="0.35">
      <c r="A1082" s="2">
        <f ca="1">IFERROR(__xludf.DUMMYFUNCTION("""COMPUTED_VALUE"""),43573.6666666666)</f>
        <v>43573.666666666599</v>
      </c>
      <c r="B1082" s="1">
        <f ca="1">IFERROR(__xludf.DUMMYFUNCTION("""COMPUTED_VALUE"""),93.44)</f>
        <v>93.44</v>
      </c>
      <c r="C1082" s="1">
        <f ca="1">IFERROR(__xludf.DUMMYFUNCTION("""COMPUTED_VALUE"""),93.54)</f>
        <v>93.54</v>
      </c>
      <c r="D1082" s="1">
        <f ca="1">IFERROR(__xludf.DUMMYFUNCTION("""COMPUTED_VALUE"""),92.97)</f>
        <v>92.97</v>
      </c>
      <c r="E1082" s="1">
        <f ca="1">IFERROR(__xludf.DUMMYFUNCTION("""COMPUTED_VALUE"""),93.08)</f>
        <v>93.08</v>
      </c>
      <c r="F1082" s="1">
        <f ca="1">IFERROR(__xludf.DUMMYFUNCTION("""COMPUTED_VALUE"""),2749882)</f>
        <v>2749882</v>
      </c>
    </row>
    <row r="1083" spans="1:6" x14ac:dyDescent="0.35">
      <c r="A1083" s="2">
        <f ca="1">IFERROR(__xludf.DUMMYFUNCTION("""COMPUTED_VALUE"""),43577.6666666666)</f>
        <v>43577.666666666599</v>
      </c>
      <c r="B1083" s="1">
        <f ca="1">IFERROR(__xludf.DUMMYFUNCTION("""COMPUTED_VALUE"""),92.77)</f>
        <v>92.77</v>
      </c>
      <c r="C1083" s="1">
        <f ca="1">IFERROR(__xludf.DUMMYFUNCTION("""COMPUTED_VALUE"""),94.42)</f>
        <v>94.42</v>
      </c>
      <c r="D1083" s="1">
        <f ca="1">IFERROR(__xludf.DUMMYFUNCTION("""COMPUTED_VALUE"""),92.28)</f>
        <v>92.28</v>
      </c>
      <c r="E1083" s="1">
        <f ca="1">IFERROR(__xludf.DUMMYFUNCTION("""COMPUTED_VALUE"""),94.37)</f>
        <v>94.37</v>
      </c>
      <c r="F1083" s="1">
        <f ca="1">IFERROR(__xludf.DUMMYFUNCTION("""COMPUTED_VALUE"""),3373807)</f>
        <v>3373807</v>
      </c>
    </row>
    <row r="1084" spans="1:6" x14ac:dyDescent="0.35">
      <c r="A1084" s="2">
        <f ca="1">IFERROR(__xludf.DUMMYFUNCTION("""COMPUTED_VALUE"""),43578.6666666666)</f>
        <v>43578.666666666599</v>
      </c>
      <c r="B1084" s="1">
        <f ca="1">IFERROR(__xludf.DUMMYFUNCTION("""COMPUTED_VALUE"""),94.56)</f>
        <v>94.56</v>
      </c>
      <c r="C1084" s="1">
        <f ca="1">IFERROR(__xludf.DUMMYFUNCTION("""COMPUTED_VALUE"""),96.46)</f>
        <v>96.46</v>
      </c>
      <c r="D1084" s="1">
        <f ca="1">IFERROR(__xludf.DUMMYFUNCTION("""COMPUTED_VALUE"""),94.48)</f>
        <v>94.48</v>
      </c>
      <c r="E1084" s="1">
        <f ca="1">IFERROR(__xludf.DUMMYFUNCTION("""COMPUTED_VALUE"""),96.19)</f>
        <v>96.19</v>
      </c>
      <c r="F1084" s="1">
        <f ca="1">IFERROR(__xludf.DUMMYFUNCTION("""COMPUTED_VALUE"""),4640441)</f>
        <v>4640441</v>
      </c>
    </row>
    <row r="1085" spans="1:6" x14ac:dyDescent="0.35">
      <c r="A1085" s="2">
        <f ca="1">IFERROR(__xludf.DUMMYFUNCTION("""COMPUTED_VALUE"""),43579.6666666666)</f>
        <v>43579.666666666599</v>
      </c>
      <c r="B1085" s="1">
        <f ca="1">IFERROR(__xludf.DUMMYFUNCTION("""COMPUTED_VALUE"""),96.25)</f>
        <v>96.25</v>
      </c>
      <c r="C1085" s="1">
        <f ca="1">IFERROR(__xludf.DUMMYFUNCTION("""COMPUTED_VALUE"""),96.48)</f>
        <v>96.48</v>
      </c>
      <c r="D1085" s="1">
        <f ca="1">IFERROR(__xludf.DUMMYFUNCTION("""COMPUTED_VALUE"""),94.91)</f>
        <v>94.91</v>
      </c>
      <c r="E1085" s="1">
        <f ca="1">IFERROR(__xludf.DUMMYFUNCTION("""COMPUTED_VALUE"""),95.09)</f>
        <v>95.09</v>
      </c>
      <c r="F1085" s="1">
        <f ca="1">IFERROR(__xludf.DUMMYFUNCTION("""COMPUTED_VALUE"""),3675781)</f>
        <v>3675781</v>
      </c>
    </row>
    <row r="1086" spans="1:6" x14ac:dyDescent="0.35">
      <c r="A1086" s="2">
        <f ca="1">IFERROR(__xludf.DUMMYFUNCTION("""COMPUTED_VALUE"""),43580.6666666666)</f>
        <v>43580.666666666599</v>
      </c>
      <c r="B1086" s="1">
        <f ca="1">IFERROR(__xludf.DUMMYFUNCTION("""COMPUTED_VALUE"""),95.85)</f>
        <v>95.85</v>
      </c>
      <c r="C1086" s="1">
        <f ca="1">IFERROR(__xludf.DUMMYFUNCTION("""COMPUTED_VALUE"""),96.12)</f>
        <v>96.12</v>
      </c>
      <c r="D1086" s="1">
        <f ca="1">IFERROR(__xludf.DUMMYFUNCTION("""COMPUTED_VALUE"""),95.02)</f>
        <v>95.02</v>
      </c>
      <c r="E1086" s="1">
        <f ca="1">IFERROR(__xludf.DUMMYFUNCTION("""COMPUTED_VALUE"""),95.11)</f>
        <v>95.11</v>
      </c>
      <c r="F1086" s="1">
        <f ca="1">IFERROR(__xludf.DUMMYFUNCTION("""COMPUTED_VALUE"""),6099101)</f>
        <v>6099101</v>
      </c>
    </row>
    <row r="1087" spans="1:6" x14ac:dyDescent="0.35">
      <c r="A1087" s="2">
        <f ca="1">IFERROR(__xludf.DUMMYFUNCTION("""COMPUTED_VALUE"""),43581.6666666666)</f>
        <v>43581.666666666599</v>
      </c>
      <c r="B1087" s="1">
        <f ca="1">IFERROR(__xludf.DUMMYFUNCTION("""COMPUTED_VALUE"""),96.45)</f>
        <v>96.45</v>
      </c>
      <c r="C1087" s="1">
        <f ca="1">IFERROR(__xludf.DUMMYFUNCTION("""COMPUTED_VALUE"""),97.55)</f>
        <v>97.55</v>
      </c>
      <c r="D1087" s="1">
        <f ca="1">IFERROR(__xludf.DUMMYFUNCTION("""COMPUTED_VALUE"""),94.9)</f>
        <v>94.9</v>
      </c>
      <c r="E1087" s="1">
        <f ca="1">IFERROR(__xludf.DUMMYFUNCTION("""COMPUTED_VALUE"""),97.53)</f>
        <v>97.53</v>
      </c>
      <c r="F1087" s="1">
        <f ca="1">IFERROR(__xludf.DUMMYFUNCTION("""COMPUTED_VALUE"""),8432563)</f>
        <v>8432563</v>
      </c>
    </row>
    <row r="1088" spans="1:6" x14ac:dyDescent="0.35">
      <c r="A1088" s="2">
        <f ca="1">IFERROR(__xludf.DUMMYFUNCTION("""COMPUTED_VALUE"""),43584.6666666666)</f>
        <v>43584.666666666599</v>
      </c>
      <c r="B1088" s="1">
        <f ca="1">IFERROR(__xludf.DUMMYFUNCTION("""COMPUTED_VALUE"""),97.45)</f>
        <v>97.45</v>
      </c>
      <c r="C1088" s="1">
        <f ca="1">IFERROR(__xludf.DUMMYFUNCTION("""COMPUTED_VALUE"""),97.82)</f>
        <v>97.82</v>
      </c>
      <c r="D1088" s="1">
        <f ca="1">IFERROR(__xludf.DUMMYFUNCTION("""COMPUTED_VALUE"""),96.7)</f>
        <v>96.7</v>
      </c>
      <c r="E1088" s="1">
        <f ca="1">IFERROR(__xludf.DUMMYFUNCTION("""COMPUTED_VALUE"""),96.92)</f>
        <v>96.92</v>
      </c>
      <c r="F1088" s="1">
        <f ca="1">IFERROR(__xludf.DUMMYFUNCTION("""COMPUTED_VALUE"""),4021255)</f>
        <v>4021255</v>
      </c>
    </row>
    <row r="1089" spans="1:6" x14ac:dyDescent="0.35">
      <c r="A1089" s="2">
        <f ca="1">IFERROR(__xludf.DUMMYFUNCTION("""COMPUTED_VALUE"""),43585.6666666666)</f>
        <v>43585.666666666599</v>
      </c>
      <c r="B1089" s="1">
        <f ca="1">IFERROR(__xludf.DUMMYFUNCTION("""COMPUTED_VALUE"""),96.51)</f>
        <v>96.51</v>
      </c>
      <c r="C1089" s="1">
        <f ca="1">IFERROR(__xludf.DUMMYFUNCTION("""COMPUTED_VALUE"""),96.79)</f>
        <v>96.79</v>
      </c>
      <c r="D1089" s="1">
        <f ca="1">IFERROR(__xludf.DUMMYFUNCTION("""COMPUTED_VALUE"""),95.35)</f>
        <v>95.35</v>
      </c>
      <c r="E1089" s="1">
        <f ca="1">IFERROR(__xludf.DUMMYFUNCTION("""COMPUTED_VALUE"""),96.33)</f>
        <v>96.33</v>
      </c>
      <c r="F1089" s="1">
        <f ca="1">IFERROR(__xludf.DUMMYFUNCTION("""COMPUTED_VALUE"""),3506007)</f>
        <v>3506007</v>
      </c>
    </row>
    <row r="1090" spans="1:6" x14ac:dyDescent="0.35">
      <c r="A1090" s="2">
        <f ca="1">IFERROR(__xludf.DUMMYFUNCTION("""COMPUTED_VALUE"""),43586.6666666666)</f>
        <v>43586.666666666599</v>
      </c>
      <c r="B1090" s="1">
        <f ca="1">IFERROR(__xludf.DUMMYFUNCTION("""COMPUTED_VALUE"""),96.65)</f>
        <v>96.65</v>
      </c>
      <c r="C1090" s="1">
        <f ca="1">IFERROR(__xludf.DUMMYFUNCTION("""COMPUTED_VALUE"""),97.18)</f>
        <v>97.18</v>
      </c>
      <c r="D1090" s="1">
        <f ca="1">IFERROR(__xludf.DUMMYFUNCTION("""COMPUTED_VALUE"""),95.53)</f>
        <v>95.53</v>
      </c>
      <c r="E1090" s="1">
        <f ca="1">IFERROR(__xludf.DUMMYFUNCTION("""COMPUTED_VALUE"""),95.58)</f>
        <v>95.58</v>
      </c>
      <c r="F1090" s="1">
        <f ca="1">IFERROR(__xludf.DUMMYFUNCTION("""COMPUTED_VALUE"""),3116964)</f>
        <v>3116964</v>
      </c>
    </row>
    <row r="1091" spans="1:6" x14ac:dyDescent="0.35">
      <c r="A1091" s="2">
        <f ca="1">IFERROR(__xludf.DUMMYFUNCTION("""COMPUTED_VALUE"""),43587.6666666666)</f>
        <v>43587.666666666599</v>
      </c>
      <c r="B1091" s="1">
        <f ca="1">IFERROR(__xludf.DUMMYFUNCTION("""COMPUTED_VALUE"""),95.67)</f>
        <v>95.67</v>
      </c>
      <c r="C1091" s="1">
        <f ca="1">IFERROR(__xludf.DUMMYFUNCTION("""COMPUTED_VALUE"""),96.08)</f>
        <v>96.08</v>
      </c>
      <c r="D1091" s="1">
        <f ca="1">IFERROR(__xludf.DUMMYFUNCTION("""COMPUTED_VALUE"""),94.09)</f>
        <v>94.09</v>
      </c>
      <c r="E1091" s="1">
        <f ca="1">IFERROR(__xludf.DUMMYFUNCTION("""COMPUTED_VALUE"""),95.04)</f>
        <v>95.04</v>
      </c>
      <c r="F1091" s="1">
        <f ca="1">IFERROR(__xludf.DUMMYFUNCTION("""COMPUTED_VALUE"""),3962915)</f>
        <v>3962915</v>
      </c>
    </row>
    <row r="1092" spans="1:6" x14ac:dyDescent="0.35">
      <c r="A1092" s="2">
        <f ca="1">IFERROR(__xludf.DUMMYFUNCTION("""COMPUTED_VALUE"""),43588.6666666666)</f>
        <v>43588.666666666599</v>
      </c>
      <c r="B1092" s="1">
        <f ca="1">IFERROR(__xludf.DUMMYFUNCTION("""COMPUTED_VALUE"""),97.45)</f>
        <v>97.45</v>
      </c>
      <c r="C1092" s="1">
        <f ca="1">IFERROR(__xludf.DUMMYFUNCTION("""COMPUTED_VALUE"""),98.22)</f>
        <v>98.22</v>
      </c>
      <c r="D1092" s="1">
        <f ca="1">IFERROR(__xludf.DUMMYFUNCTION("""COMPUTED_VALUE"""),96.8)</f>
        <v>96.8</v>
      </c>
      <c r="E1092" s="1">
        <f ca="1">IFERROR(__xludf.DUMMYFUNCTION("""COMPUTED_VALUE"""),98.12)</f>
        <v>98.12</v>
      </c>
      <c r="F1092" s="1">
        <f ca="1">IFERROR(__xludf.DUMMYFUNCTION("""COMPUTED_VALUE"""),6381564)</f>
        <v>6381564</v>
      </c>
    </row>
    <row r="1093" spans="1:6" x14ac:dyDescent="0.35">
      <c r="A1093" s="2">
        <f ca="1">IFERROR(__xludf.DUMMYFUNCTION("""COMPUTED_VALUE"""),43591.6666666666)</f>
        <v>43591.666666666599</v>
      </c>
      <c r="B1093" s="1">
        <f ca="1">IFERROR(__xludf.DUMMYFUNCTION("""COMPUTED_VALUE"""),95.9)</f>
        <v>95.9</v>
      </c>
      <c r="C1093" s="1">
        <f ca="1">IFERROR(__xludf.DUMMYFUNCTION("""COMPUTED_VALUE"""),97.95)</f>
        <v>97.95</v>
      </c>
      <c r="D1093" s="1">
        <f ca="1">IFERROR(__xludf.DUMMYFUNCTION("""COMPUTED_VALUE"""),95.53)</f>
        <v>95.53</v>
      </c>
      <c r="E1093" s="1">
        <f ca="1">IFERROR(__xludf.DUMMYFUNCTION("""COMPUTED_VALUE"""),97.53)</f>
        <v>97.53</v>
      </c>
      <c r="F1093" s="1">
        <f ca="1">IFERROR(__xludf.DUMMYFUNCTION("""COMPUTED_VALUE"""),5417841)</f>
        <v>5417841</v>
      </c>
    </row>
    <row r="1094" spans="1:6" x14ac:dyDescent="0.35">
      <c r="A1094" s="2">
        <f ca="1">IFERROR(__xludf.DUMMYFUNCTION("""COMPUTED_VALUE"""),43592.6666666666)</f>
        <v>43592.666666666599</v>
      </c>
      <c r="B1094" s="1">
        <f ca="1">IFERROR(__xludf.DUMMYFUNCTION("""COMPUTED_VALUE"""),97)</f>
        <v>97</v>
      </c>
      <c r="C1094" s="1">
        <f ca="1">IFERROR(__xludf.DUMMYFUNCTION("""COMPUTED_VALUE"""),97.46)</f>
        <v>97.46</v>
      </c>
      <c r="D1094" s="1">
        <f ca="1">IFERROR(__xludf.DUMMYFUNCTION("""COMPUTED_VALUE"""),95.17)</f>
        <v>95.17</v>
      </c>
      <c r="E1094" s="1">
        <f ca="1">IFERROR(__xludf.DUMMYFUNCTION("""COMPUTED_VALUE"""),96.05)</f>
        <v>96.05</v>
      </c>
      <c r="F1094" s="1">
        <f ca="1">IFERROR(__xludf.DUMMYFUNCTION("""COMPUTED_VALUE"""),5902134)</f>
        <v>5902134</v>
      </c>
    </row>
    <row r="1095" spans="1:6" x14ac:dyDescent="0.35">
      <c r="A1095" s="2">
        <f ca="1">IFERROR(__xludf.DUMMYFUNCTION("""COMPUTED_VALUE"""),43593.6666666666)</f>
        <v>43593.666666666599</v>
      </c>
      <c r="B1095" s="1">
        <f ca="1">IFERROR(__xludf.DUMMYFUNCTION("""COMPUTED_VALUE"""),95.94)</f>
        <v>95.94</v>
      </c>
      <c r="C1095" s="1">
        <f ca="1">IFERROR(__xludf.DUMMYFUNCTION("""COMPUTED_VALUE"""),96.77)</f>
        <v>96.77</v>
      </c>
      <c r="D1095" s="1">
        <f ca="1">IFERROR(__xludf.DUMMYFUNCTION("""COMPUTED_VALUE"""),95.5)</f>
        <v>95.5</v>
      </c>
      <c r="E1095" s="1">
        <f ca="1">IFERROR(__xludf.DUMMYFUNCTION("""COMPUTED_VALUE"""),95.89)</f>
        <v>95.89</v>
      </c>
      <c r="F1095" s="1">
        <f ca="1">IFERROR(__xludf.DUMMYFUNCTION("""COMPUTED_VALUE"""),4078568)</f>
        <v>4078568</v>
      </c>
    </row>
    <row r="1096" spans="1:6" x14ac:dyDescent="0.35">
      <c r="A1096" s="2">
        <f ca="1">IFERROR(__xludf.DUMMYFUNCTION("""COMPUTED_VALUE"""),43594.6666666666)</f>
        <v>43594.666666666599</v>
      </c>
      <c r="B1096" s="1">
        <f ca="1">IFERROR(__xludf.DUMMYFUNCTION("""COMPUTED_VALUE"""),95)</f>
        <v>95</v>
      </c>
      <c r="C1096" s="1">
        <f ca="1">IFERROR(__xludf.DUMMYFUNCTION("""COMPUTED_VALUE"""),95.47)</f>
        <v>95.47</v>
      </c>
      <c r="D1096" s="1">
        <f ca="1">IFERROR(__xludf.DUMMYFUNCTION("""COMPUTED_VALUE"""),93.8)</f>
        <v>93.8</v>
      </c>
      <c r="E1096" s="1">
        <f ca="1">IFERROR(__xludf.DUMMYFUNCTION("""COMPUTED_VALUE"""),94.99)</f>
        <v>94.99</v>
      </c>
      <c r="F1096" s="1">
        <f ca="1">IFERROR(__xludf.DUMMYFUNCTION("""COMPUTED_VALUE"""),5308263)</f>
        <v>5308263</v>
      </c>
    </row>
    <row r="1097" spans="1:6" x14ac:dyDescent="0.35">
      <c r="A1097" s="2">
        <f ca="1">IFERROR(__xludf.DUMMYFUNCTION("""COMPUTED_VALUE"""),43595.6666666666)</f>
        <v>43595.666666666599</v>
      </c>
      <c r="B1097" s="1">
        <f ca="1">IFERROR(__xludf.DUMMYFUNCTION("""COMPUTED_VALUE"""),94.9)</f>
        <v>94.9</v>
      </c>
      <c r="C1097" s="1">
        <f ca="1">IFERROR(__xludf.DUMMYFUNCTION("""COMPUTED_VALUE"""),95.19)</f>
        <v>95.19</v>
      </c>
      <c r="D1097" s="1">
        <f ca="1">IFERROR(__xludf.DUMMYFUNCTION("""COMPUTED_VALUE"""),92.8)</f>
        <v>92.8</v>
      </c>
      <c r="E1097" s="1">
        <f ca="1">IFERROR(__xludf.DUMMYFUNCTION("""COMPUTED_VALUE"""),94.5)</f>
        <v>94.5</v>
      </c>
      <c r="F1097" s="1">
        <f ca="1">IFERROR(__xludf.DUMMYFUNCTION("""COMPUTED_VALUE"""),5717994)</f>
        <v>5717994</v>
      </c>
    </row>
    <row r="1098" spans="1:6" x14ac:dyDescent="0.35">
      <c r="A1098" s="2">
        <f ca="1">IFERROR(__xludf.DUMMYFUNCTION("""COMPUTED_VALUE"""),43598.6666666666)</f>
        <v>43598.666666666599</v>
      </c>
      <c r="B1098" s="1">
        <f ca="1">IFERROR(__xludf.DUMMYFUNCTION("""COMPUTED_VALUE"""),91.83)</f>
        <v>91.83</v>
      </c>
      <c r="C1098" s="1">
        <f ca="1">IFERROR(__xludf.DUMMYFUNCTION("""COMPUTED_VALUE"""),92.33)</f>
        <v>92.33</v>
      </c>
      <c r="D1098" s="1">
        <f ca="1">IFERROR(__xludf.DUMMYFUNCTION("""COMPUTED_VALUE"""),90.9)</f>
        <v>90.9</v>
      </c>
      <c r="E1098" s="1">
        <f ca="1">IFERROR(__xludf.DUMMYFUNCTION("""COMPUTED_VALUE"""),91.13)</f>
        <v>91.13</v>
      </c>
      <c r="F1098" s="1">
        <f ca="1">IFERROR(__xludf.DUMMYFUNCTION("""COMPUTED_VALUE"""),5783410)</f>
        <v>5783410</v>
      </c>
    </row>
    <row r="1099" spans="1:6" x14ac:dyDescent="0.35">
      <c r="A1099" s="2">
        <f ca="1">IFERROR(__xludf.DUMMYFUNCTION("""COMPUTED_VALUE"""),43599.6666666666)</f>
        <v>43599.666666666599</v>
      </c>
      <c r="B1099" s="1">
        <f ca="1">IFERROR(__xludf.DUMMYFUNCTION("""COMPUTED_VALUE"""),91.98)</f>
        <v>91.98</v>
      </c>
      <c r="C1099" s="1">
        <f ca="1">IFERROR(__xludf.DUMMYFUNCTION("""COMPUTED_VALUE"""),92.62)</f>
        <v>92.62</v>
      </c>
      <c r="D1099" s="1">
        <f ca="1">IFERROR(__xludf.DUMMYFUNCTION("""COMPUTED_VALUE"""),90.79)</f>
        <v>90.79</v>
      </c>
      <c r="E1099" s="1">
        <f ca="1">IFERROR(__xludf.DUMMYFUNCTION("""COMPUTED_VALUE"""),92.01)</f>
        <v>92.01</v>
      </c>
      <c r="F1099" s="1">
        <f ca="1">IFERROR(__xludf.DUMMYFUNCTION("""COMPUTED_VALUE"""),4629107)</f>
        <v>4629107</v>
      </c>
    </row>
    <row r="1100" spans="1:6" x14ac:dyDescent="0.35">
      <c r="A1100" s="2">
        <f ca="1">IFERROR(__xludf.DUMMYFUNCTION("""COMPUTED_VALUE"""),43600.6666666666)</f>
        <v>43600.666666666599</v>
      </c>
      <c r="B1100" s="1">
        <f ca="1">IFERROR(__xludf.DUMMYFUNCTION("""COMPUTED_VALUE"""),91.4)</f>
        <v>91.4</v>
      </c>
      <c r="C1100" s="1">
        <f ca="1">IFERROR(__xludf.DUMMYFUNCTION("""COMPUTED_VALUE"""),93.72)</f>
        <v>93.72</v>
      </c>
      <c r="D1100" s="1">
        <f ca="1">IFERROR(__xludf.DUMMYFUNCTION("""COMPUTED_VALUE"""),91.15)</f>
        <v>91.15</v>
      </c>
      <c r="E1100" s="1">
        <f ca="1">IFERROR(__xludf.DUMMYFUNCTION("""COMPUTED_VALUE"""),93.56)</f>
        <v>93.56</v>
      </c>
      <c r="F1100" s="1">
        <f ca="1">IFERROR(__xludf.DUMMYFUNCTION("""COMPUTED_VALUE"""),4692642)</f>
        <v>4692642</v>
      </c>
    </row>
    <row r="1101" spans="1:6" x14ac:dyDescent="0.35">
      <c r="A1101" s="2">
        <f ca="1">IFERROR(__xludf.DUMMYFUNCTION("""COMPUTED_VALUE"""),43601.6666666666)</f>
        <v>43601.666666666599</v>
      </c>
      <c r="B1101" s="1">
        <f ca="1">IFERROR(__xludf.DUMMYFUNCTION("""COMPUTED_VALUE"""),94.3)</f>
        <v>94.3</v>
      </c>
      <c r="C1101" s="1">
        <f ca="1">IFERROR(__xludf.DUMMYFUNCTION("""COMPUTED_VALUE"""),95.88)</f>
        <v>95.88</v>
      </c>
      <c r="D1101" s="1">
        <f ca="1">IFERROR(__xludf.DUMMYFUNCTION("""COMPUTED_VALUE"""),94.11)</f>
        <v>94.11</v>
      </c>
      <c r="E1101" s="1">
        <f ca="1">IFERROR(__xludf.DUMMYFUNCTION("""COMPUTED_VALUE"""),95.38)</f>
        <v>95.38</v>
      </c>
      <c r="F1101" s="1">
        <f ca="1">IFERROR(__xludf.DUMMYFUNCTION("""COMPUTED_VALUE"""),4707822)</f>
        <v>4707822</v>
      </c>
    </row>
    <row r="1102" spans="1:6" x14ac:dyDescent="0.35">
      <c r="A1102" s="2">
        <f ca="1">IFERROR(__xludf.DUMMYFUNCTION("""COMPUTED_VALUE"""),43602.6666666666)</f>
        <v>43602.666666666599</v>
      </c>
      <c r="B1102" s="1">
        <f ca="1">IFERROR(__xludf.DUMMYFUNCTION("""COMPUTED_VALUE"""),94.65)</f>
        <v>94.65</v>
      </c>
      <c r="C1102" s="1">
        <f ca="1">IFERROR(__xludf.DUMMYFUNCTION("""COMPUTED_VALUE"""),95.53)</f>
        <v>95.53</v>
      </c>
      <c r="D1102" s="1">
        <f ca="1">IFERROR(__xludf.DUMMYFUNCTION("""COMPUTED_VALUE"""),93.37)</f>
        <v>93.37</v>
      </c>
      <c r="E1102" s="1">
        <f ca="1">IFERROR(__xludf.DUMMYFUNCTION("""COMPUTED_VALUE"""),93.45)</f>
        <v>93.45</v>
      </c>
      <c r="F1102" s="1">
        <f ca="1">IFERROR(__xludf.DUMMYFUNCTION("""COMPUTED_VALUE"""),4736618)</f>
        <v>4736618</v>
      </c>
    </row>
    <row r="1103" spans="1:6" x14ac:dyDescent="0.35">
      <c r="A1103" s="2">
        <f ca="1">IFERROR(__xludf.DUMMYFUNCTION("""COMPUTED_VALUE"""),43605.6666666666)</f>
        <v>43605.666666666599</v>
      </c>
      <c r="B1103" s="1">
        <f ca="1">IFERROR(__xludf.DUMMYFUNCTION("""COMPUTED_VALUE"""),92.63)</f>
        <v>92.63</v>
      </c>
      <c r="C1103" s="1">
        <f ca="1">IFERROR(__xludf.DUMMYFUNCTION("""COMPUTED_VALUE"""),93.39)</f>
        <v>93.39</v>
      </c>
      <c r="D1103" s="1">
        <f ca="1">IFERROR(__xludf.DUMMYFUNCTION("""COMPUTED_VALUE"""),91.78)</f>
        <v>91.78</v>
      </c>
      <c r="E1103" s="1">
        <f ca="1">IFERROR(__xludf.DUMMYFUNCTION("""COMPUTED_VALUE"""),92.95)</f>
        <v>92.95</v>
      </c>
      <c r="F1103" s="1">
        <f ca="1">IFERROR(__xludf.DUMMYFUNCTION("""COMPUTED_VALUE"""),3798198)</f>
        <v>3798198</v>
      </c>
    </row>
    <row r="1104" spans="1:6" x14ac:dyDescent="0.35">
      <c r="A1104" s="2">
        <f ca="1">IFERROR(__xludf.DUMMYFUNCTION("""COMPUTED_VALUE"""),43606.6666666666)</f>
        <v>43606.666666666599</v>
      </c>
      <c r="B1104" s="1">
        <f ca="1">IFERROR(__xludf.DUMMYFUNCTION("""COMPUTED_VALUE"""),93.74)</f>
        <v>93.74</v>
      </c>
      <c r="C1104" s="1">
        <f ca="1">IFERROR(__xludf.DUMMYFUNCTION("""COMPUTED_VALUE"""),93.95)</f>
        <v>93.95</v>
      </c>
      <c r="D1104" s="1">
        <f ca="1">IFERROR(__xludf.DUMMYFUNCTION("""COMPUTED_VALUE"""),92.3)</f>
        <v>92.3</v>
      </c>
      <c r="E1104" s="1">
        <f ca="1">IFERROR(__xludf.DUMMYFUNCTION("""COMPUTED_VALUE"""),92.88)</f>
        <v>92.88</v>
      </c>
      <c r="F1104" s="1">
        <f ca="1">IFERROR(__xludf.DUMMYFUNCTION("""COMPUTED_VALUE"""),4005122)</f>
        <v>4005122</v>
      </c>
    </row>
    <row r="1105" spans="1:6" x14ac:dyDescent="0.35">
      <c r="A1105" s="2">
        <f ca="1">IFERROR(__xludf.DUMMYFUNCTION("""COMPUTED_VALUE"""),43607.6666666666)</f>
        <v>43607.666666666599</v>
      </c>
      <c r="B1105" s="1">
        <f ca="1">IFERROR(__xludf.DUMMYFUNCTION("""COMPUTED_VALUE"""),92.59)</f>
        <v>92.59</v>
      </c>
      <c r="C1105" s="1">
        <f ca="1">IFERROR(__xludf.DUMMYFUNCTION("""COMPUTED_VALUE"""),93.57)</f>
        <v>93.57</v>
      </c>
      <c r="D1105" s="1">
        <f ca="1">IFERROR(__xludf.DUMMYFUNCTION("""COMPUTED_VALUE"""),92.55)</f>
        <v>92.55</v>
      </c>
      <c r="E1105" s="1">
        <f ca="1">IFERROR(__xludf.DUMMYFUNCTION("""COMPUTED_VALUE"""),92.98)</f>
        <v>92.98</v>
      </c>
      <c r="F1105" s="1">
        <f ca="1">IFERROR(__xludf.DUMMYFUNCTION("""COMPUTED_VALUE"""),2936601)</f>
        <v>2936601</v>
      </c>
    </row>
    <row r="1106" spans="1:6" x14ac:dyDescent="0.35">
      <c r="A1106" s="2">
        <f ca="1">IFERROR(__xludf.DUMMYFUNCTION("""COMPUTED_VALUE"""),43608.6666666666)</f>
        <v>43608.666666666599</v>
      </c>
      <c r="B1106" s="1">
        <f ca="1">IFERROR(__xludf.DUMMYFUNCTION("""COMPUTED_VALUE"""),91.83)</f>
        <v>91.83</v>
      </c>
      <c r="C1106" s="1">
        <f ca="1">IFERROR(__xludf.DUMMYFUNCTION("""COMPUTED_VALUE"""),92.2)</f>
        <v>92.2</v>
      </c>
      <c r="D1106" s="1">
        <f ca="1">IFERROR(__xludf.DUMMYFUNCTION("""COMPUTED_VALUE"""),90.21)</f>
        <v>90.21</v>
      </c>
      <c r="E1106" s="1">
        <f ca="1">IFERROR(__xludf.DUMMYFUNCTION("""COMPUTED_VALUE"""),90.77)</f>
        <v>90.77</v>
      </c>
      <c r="F1106" s="1">
        <f ca="1">IFERROR(__xludf.DUMMYFUNCTION("""COMPUTED_VALUE"""),4424265)</f>
        <v>4424265</v>
      </c>
    </row>
    <row r="1107" spans="1:6" x14ac:dyDescent="0.35">
      <c r="A1107" s="2">
        <f ca="1">IFERROR(__xludf.DUMMYFUNCTION("""COMPUTED_VALUE"""),43609.6666666666)</f>
        <v>43609.666666666599</v>
      </c>
      <c r="B1107" s="1">
        <f ca="1">IFERROR(__xludf.DUMMYFUNCTION("""COMPUTED_VALUE"""),91.79)</f>
        <v>91.79</v>
      </c>
      <c r="C1107" s="1">
        <f ca="1">IFERROR(__xludf.DUMMYFUNCTION("""COMPUTED_VALUE"""),92.09)</f>
        <v>92.09</v>
      </c>
      <c r="D1107" s="1">
        <f ca="1">IFERROR(__xludf.DUMMYFUNCTION("""COMPUTED_VALUE"""),90.89)</f>
        <v>90.89</v>
      </c>
      <c r="E1107" s="1">
        <f ca="1">IFERROR(__xludf.DUMMYFUNCTION("""COMPUTED_VALUE"""),91.16)</f>
        <v>91.16</v>
      </c>
      <c r="F1107" s="1">
        <f ca="1">IFERROR(__xludf.DUMMYFUNCTION("""COMPUTED_VALUE"""),3369673)</f>
        <v>3369673</v>
      </c>
    </row>
    <row r="1108" spans="1:6" x14ac:dyDescent="0.35">
      <c r="A1108" s="2">
        <f ca="1">IFERROR(__xludf.DUMMYFUNCTION("""COMPUTED_VALUE"""),43613.6666666666)</f>
        <v>43613.666666666599</v>
      </c>
      <c r="B1108" s="1">
        <f ca="1">IFERROR(__xludf.DUMMYFUNCTION("""COMPUTED_VALUE"""),91.64)</f>
        <v>91.64</v>
      </c>
      <c r="C1108" s="1">
        <f ca="1">IFERROR(__xludf.DUMMYFUNCTION("""COMPUTED_VALUE"""),92.46)</f>
        <v>92.46</v>
      </c>
      <c r="D1108" s="1">
        <f ca="1">IFERROR(__xludf.DUMMYFUNCTION("""COMPUTED_VALUE"""),91.37)</f>
        <v>91.37</v>
      </c>
      <c r="E1108" s="1">
        <f ca="1">IFERROR(__xludf.DUMMYFUNCTION("""COMPUTED_VALUE"""),91.82)</f>
        <v>91.82</v>
      </c>
      <c r="F1108" s="1">
        <f ca="1">IFERROR(__xludf.DUMMYFUNCTION("""COMPUTED_VALUE"""),3199965)</f>
        <v>3199965</v>
      </c>
    </row>
    <row r="1109" spans="1:6" x14ac:dyDescent="0.35">
      <c r="A1109" s="2">
        <f ca="1">IFERROR(__xludf.DUMMYFUNCTION("""COMPUTED_VALUE"""),43614.6666666666)</f>
        <v>43614.666666666599</v>
      </c>
      <c r="B1109" s="1">
        <f ca="1">IFERROR(__xludf.DUMMYFUNCTION("""COMPUTED_VALUE"""),91.16)</f>
        <v>91.16</v>
      </c>
      <c r="C1109" s="1">
        <f ca="1">IFERROR(__xludf.DUMMYFUNCTION("""COMPUTED_VALUE"""),91.5)</f>
        <v>91.5</v>
      </c>
      <c r="D1109" s="1">
        <f ca="1">IFERROR(__xludf.DUMMYFUNCTION("""COMPUTED_VALUE"""),90.38)</f>
        <v>90.38</v>
      </c>
      <c r="E1109" s="1">
        <f ca="1">IFERROR(__xludf.DUMMYFUNCTION("""COMPUTED_VALUE"""),90.96)</f>
        <v>90.96</v>
      </c>
      <c r="F1109" s="1">
        <f ca="1">IFERROR(__xludf.DUMMYFUNCTION("""COMPUTED_VALUE"""),4279025)</f>
        <v>4279025</v>
      </c>
    </row>
    <row r="1110" spans="1:6" x14ac:dyDescent="0.35">
      <c r="A1110" s="2">
        <f ca="1">IFERROR(__xludf.DUMMYFUNCTION("""COMPUTED_VALUE"""),43615.6666666666)</f>
        <v>43615.666666666599</v>
      </c>
      <c r="B1110" s="1">
        <f ca="1">IFERROR(__xludf.DUMMYFUNCTION("""COMPUTED_VALUE"""),91.27)</f>
        <v>91.27</v>
      </c>
      <c r="C1110" s="1">
        <f ca="1">IFERROR(__xludf.DUMMYFUNCTION("""COMPUTED_VALUE"""),91.47)</f>
        <v>91.47</v>
      </c>
      <c r="D1110" s="1">
        <f ca="1">IFERROR(__xludf.DUMMYFUNCTION("""COMPUTED_VALUE"""),90.39)</f>
        <v>90.39</v>
      </c>
      <c r="E1110" s="1">
        <f ca="1">IFERROR(__xludf.DUMMYFUNCTION("""COMPUTED_VALUE"""),90.82)</f>
        <v>90.82</v>
      </c>
      <c r="F1110" s="1">
        <f ca="1">IFERROR(__xludf.DUMMYFUNCTION("""COMPUTED_VALUE"""),3146850)</f>
        <v>3146850</v>
      </c>
    </row>
    <row r="1111" spans="1:6" x14ac:dyDescent="0.35">
      <c r="A1111" s="2">
        <f ca="1">IFERROR(__xludf.DUMMYFUNCTION("""COMPUTED_VALUE"""),43616.6666666666)</f>
        <v>43616.666666666599</v>
      </c>
      <c r="B1111" s="1">
        <f ca="1">IFERROR(__xludf.DUMMYFUNCTION("""COMPUTED_VALUE"""),89.5)</f>
        <v>89.5</v>
      </c>
      <c r="C1111" s="1">
        <f ca="1">IFERROR(__xludf.DUMMYFUNCTION("""COMPUTED_VALUE"""),89.78)</f>
        <v>89.78</v>
      </c>
      <c r="D1111" s="1">
        <f ca="1">IFERROR(__xludf.DUMMYFUNCTION("""COMPUTED_VALUE"""),88.64)</f>
        <v>88.64</v>
      </c>
      <c r="E1111" s="1">
        <f ca="1">IFERROR(__xludf.DUMMYFUNCTION("""COMPUTED_VALUE"""),88.75)</f>
        <v>88.75</v>
      </c>
      <c r="F1111" s="1">
        <f ca="1">IFERROR(__xludf.DUMMYFUNCTION("""COMPUTED_VALUE"""),4618819)</f>
        <v>4618819</v>
      </c>
    </row>
    <row r="1112" spans="1:6" x14ac:dyDescent="0.35">
      <c r="A1112" s="2">
        <f ca="1">IFERROR(__xludf.DUMMYFUNCTION("""COMPUTED_VALUE"""),43619.6666666666)</f>
        <v>43619.666666666599</v>
      </c>
      <c r="B1112" s="1">
        <f ca="1">IFERROR(__xludf.DUMMYFUNCTION("""COMPUTED_VALUE"""),88)</f>
        <v>88</v>
      </c>
      <c r="C1112" s="1">
        <f ca="1">IFERROR(__xludf.DUMMYFUNCTION("""COMPUTED_VALUE"""),88.31)</f>
        <v>88.31</v>
      </c>
      <c r="D1112" s="1">
        <f ca="1">IFERROR(__xludf.DUMMYFUNCTION("""COMPUTED_VALUE"""),83.6)</f>
        <v>83.6</v>
      </c>
      <c r="E1112" s="1">
        <f ca="1">IFERROR(__xludf.DUMMYFUNCTION("""COMPUTED_VALUE"""),84.63)</f>
        <v>84.63</v>
      </c>
      <c r="F1112" s="1">
        <f ca="1">IFERROR(__xludf.DUMMYFUNCTION("""COMPUTED_VALUE"""),9098708)</f>
        <v>9098708</v>
      </c>
    </row>
    <row r="1113" spans="1:6" x14ac:dyDescent="0.35">
      <c r="A1113" s="2">
        <f ca="1">IFERROR(__xludf.DUMMYFUNCTION("""COMPUTED_VALUE"""),43620.6666666666)</f>
        <v>43620.666666666599</v>
      </c>
      <c r="B1113" s="1">
        <f ca="1">IFERROR(__xludf.DUMMYFUNCTION("""COMPUTED_VALUE"""),84.96)</f>
        <v>84.96</v>
      </c>
      <c r="C1113" s="1">
        <f ca="1">IFERROR(__xludf.DUMMYFUNCTION("""COMPUTED_VALUE"""),86.54)</f>
        <v>86.54</v>
      </c>
      <c r="D1113" s="1">
        <f ca="1">IFERROR(__xludf.DUMMYFUNCTION("""COMPUTED_VALUE"""),84.04)</f>
        <v>84.04</v>
      </c>
      <c r="E1113" s="1">
        <f ca="1">IFERROR(__xludf.DUMMYFUNCTION("""COMPUTED_VALUE"""),86.48)</f>
        <v>86.48</v>
      </c>
      <c r="F1113" s="1">
        <f ca="1">IFERROR(__xludf.DUMMYFUNCTION("""COMPUTED_VALUE"""),5679121)</f>
        <v>5679121</v>
      </c>
    </row>
    <row r="1114" spans="1:6" x14ac:dyDescent="0.35">
      <c r="A1114" s="2">
        <f ca="1">IFERROR(__xludf.DUMMYFUNCTION("""COMPUTED_VALUE"""),43621.6666666666)</f>
        <v>43621.666666666599</v>
      </c>
      <c r="B1114" s="1">
        <f ca="1">IFERROR(__xludf.DUMMYFUNCTION("""COMPUTED_VALUE"""),87.48)</f>
        <v>87.48</v>
      </c>
      <c r="C1114" s="1">
        <f ca="1">IFERROR(__xludf.DUMMYFUNCTION("""COMPUTED_VALUE"""),87.6)</f>
        <v>87.6</v>
      </c>
      <c r="D1114" s="1">
        <f ca="1">IFERROR(__xludf.DUMMYFUNCTION("""COMPUTED_VALUE"""),85.76)</f>
        <v>85.76</v>
      </c>
      <c r="E1114" s="1">
        <f ca="1">IFERROR(__xludf.DUMMYFUNCTION("""COMPUTED_VALUE"""),86.93)</f>
        <v>86.93</v>
      </c>
      <c r="F1114" s="1">
        <f ca="1">IFERROR(__xludf.DUMMYFUNCTION("""COMPUTED_VALUE"""),4239782)</f>
        <v>4239782</v>
      </c>
    </row>
    <row r="1115" spans="1:6" x14ac:dyDescent="0.35">
      <c r="A1115" s="2">
        <f ca="1">IFERROR(__xludf.DUMMYFUNCTION("""COMPUTED_VALUE"""),43622.6666666666)</f>
        <v>43622.666666666599</v>
      </c>
      <c r="B1115" s="1">
        <f ca="1">IFERROR(__xludf.DUMMYFUNCTION("""COMPUTED_VALUE"""),86.89)</f>
        <v>86.89</v>
      </c>
      <c r="C1115" s="1">
        <f ca="1">IFERROR(__xludf.DUMMYFUNCTION("""COMPUTED_VALUE"""),88)</f>
        <v>88</v>
      </c>
      <c r="D1115" s="1">
        <f ca="1">IFERROR(__xludf.DUMMYFUNCTION("""COMPUTED_VALUE"""),86.31)</f>
        <v>86.31</v>
      </c>
      <c r="E1115" s="1">
        <f ca="1">IFERROR(__xludf.DUMMYFUNCTION("""COMPUTED_VALUE"""),87.72)</f>
        <v>87.72</v>
      </c>
      <c r="F1115" s="1">
        <f ca="1">IFERROR(__xludf.DUMMYFUNCTION("""COMPUTED_VALUE"""),3689272)</f>
        <v>3689272</v>
      </c>
    </row>
    <row r="1116" spans="1:6" x14ac:dyDescent="0.35">
      <c r="A1116" s="2">
        <f ca="1">IFERROR(__xludf.DUMMYFUNCTION("""COMPUTED_VALUE"""),43623.6666666666)</f>
        <v>43623.666666666599</v>
      </c>
      <c r="B1116" s="1">
        <f ca="1">IFERROR(__xludf.DUMMYFUNCTION("""COMPUTED_VALUE"""),88.19)</f>
        <v>88.19</v>
      </c>
      <c r="C1116" s="1">
        <f ca="1">IFERROR(__xludf.DUMMYFUNCTION("""COMPUTED_VALUE"""),90.31)</f>
        <v>90.31</v>
      </c>
      <c r="D1116" s="1">
        <f ca="1">IFERROR(__xludf.DUMMYFUNCTION("""COMPUTED_VALUE"""),87.97)</f>
        <v>87.97</v>
      </c>
      <c r="E1116" s="1">
        <f ca="1">IFERROR(__xludf.DUMMYFUNCTION("""COMPUTED_VALUE"""),90.2)</f>
        <v>90.2</v>
      </c>
      <c r="F1116" s="1">
        <f ca="1">IFERROR(__xludf.DUMMYFUNCTION("""COMPUTED_VALUE"""),4808246)</f>
        <v>4808246</v>
      </c>
    </row>
    <row r="1117" spans="1:6" x14ac:dyDescent="0.35">
      <c r="A1117" s="2">
        <f ca="1">IFERROR(__xludf.DUMMYFUNCTION("""COMPUTED_VALUE"""),43626.6666666666)</f>
        <v>43626.666666666599</v>
      </c>
      <c r="B1117" s="1">
        <f ca="1">IFERROR(__xludf.DUMMYFUNCTION("""COMPUTED_VALUE"""),91.1)</f>
        <v>91.1</v>
      </c>
      <c r="C1117" s="1">
        <f ca="1">IFERROR(__xludf.DUMMYFUNCTION("""COMPUTED_VALUE"""),94.24)</f>
        <v>94.24</v>
      </c>
      <c r="D1117" s="1">
        <f ca="1">IFERROR(__xludf.DUMMYFUNCTION("""COMPUTED_VALUE"""),90.9)</f>
        <v>90.9</v>
      </c>
      <c r="E1117" s="1">
        <f ca="1">IFERROR(__xludf.DUMMYFUNCTION("""COMPUTED_VALUE"""),93.03)</f>
        <v>93.03</v>
      </c>
      <c r="F1117" s="1">
        <f ca="1">IFERROR(__xludf.DUMMYFUNCTION("""COMPUTED_VALUE"""),5371007)</f>
        <v>5371007</v>
      </c>
    </row>
    <row r="1118" spans="1:6" x14ac:dyDescent="0.35">
      <c r="A1118" s="2">
        <f ca="1">IFERROR(__xludf.DUMMYFUNCTION("""COMPUTED_VALUE"""),43627.6666666666)</f>
        <v>43627.666666666599</v>
      </c>
      <c r="B1118" s="1">
        <f ca="1">IFERROR(__xludf.DUMMYFUNCTION("""COMPUTED_VALUE"""),94.16)</f>
        <v>94.16</v>
      </c>
      <c r="C1118" s="1">
        <f ca="1">IFERROR(__xludf.DUMMYFUNCTION("""COMPUTED_VALUE"""),94.69)</f>
        <v>94.69</v>
      </c>
      <c r="D1118" s="1">
        <f ca="1">IFERROR(__xludf.DUMMYFUNCTION("""COMPUTED_VALUE"""),92.9)</f>
        <v>92.9</v>
      </c>
      <c r="E1118" s="1">
        <f ca="1">IFERROR(__xludf.DUMMYFUNCTION("""COMPUTED_VALUE"""),93.19)</f>
        <v>93.19</v>
      </c>
      <c r="F1118" s="1">
        <f ca="1">IFERROR(__xludf.DUMMYFUNCTION("""COMPUTED_VALUE"""),4042694)</f>
        <v>4042694</v>
      </c>
    </row>
    <row r="1119" spans="1:6" x14ac:dyDescent="0.35">
      <c r="A1119" s="2">
        <f ca="1">IFERROR(__xludf.DUMMYFUNCTION("""COMPUTED_VALUE"""),43628.6666666666)</f>
        <v>43628.666666666599</v>
      </c>
      <c r="B1119" s="1">
        <f ca="1">IFERROR(__xludf.DUMMYFUNCTION("""COMPUTED_VALUE"""),92.7)</f>
        <v>92.7</v>
      </c>
      <c r="C1119" s="1">
        <f ca="1">IFERROR(__xludf.DUMMYFUNCTION("""COMPUTED_VALUE"""),93.25)</f>
        <v>93.25</v>
      </c>
      <c r="D1119" s="1">
        <f ca="1">IFERROR(__xludf.DUMMYFUNCTION("""COMPUTED_VALUE"""),92.22)</f>
        <v>92.22</v>
      </c>
      <c r="E1119" s="1">
        <f ca="1">IFERROR(__xludf.DUMMYFUNCTION("""COMPUTED_VALUE"""),92.77)</f>
        <v>92.77</v>
      </c>
      <c r="F1119" s="1">
        <f ca="1">IFERROR(__xludf.DUMMYFUNCTION("""COMPUTED_VALUE"""),2678335)</f>
        <v>2678335</v>
      </c>
    </row>
    <row r="1120" spans="1:6" x14ac:dyDescent="0.35">
      <c r="A1120" s="2">
        <f ca="1">IFERROR(__xludf.DUMMYFUNCTION("""COMPUTED_VALUE"""),43629.6666666666)</f>
        <v>43629.666666666599</v>
      </c>
      <c r="B1120" s="1">
        <f ca="1">IFERROR(__xludf.DUMMYFUNCTION("""COMPUTED_VALUE"""),93.34)</f>
        <v>93.34</v>
      </c>
      <c r="C1120" s="1">
        <f ca="1">IFERROR(__xludf.DUMMYFUNCTION("""COMPUTED_VALUE"""),94.15)</f>
        <v>94.15</v>
      </c>
      <c r="D1120" s="1">
        <f ca="1">IFERROR(__xludf.DUMMYFUNCTION("""COMPUTED_VALUE"""),93.11)</f>
        <v>93.11</v>
      </c>
      <c r="E1120" s="1">
        <f ca="1">IFERROR(__xludf.DUMMYFUNCTION("""COMPUTED_VALUE"""),93.52)</f>
        <v>93.52</v>
      </c>
      <c r="F1120" s="1">
        <f ca="1">IFERROR(__xludf.DUMMYFUNCTION("""COMPUTED_VALUE"""),2795810)</f>
        <v>2795810</v>
      </c>
    </row>
    <row r="1121" spans="1:6" x14ac:dyDescent="0.35">
      <c r="A1121" s="2">
        <f ca="1">IFERROR(__xludf.DUMMYFUNCTION("""COMPUTED_VALUE"""),43630.6666666666)</f>
        <v>43630.666666666599</v>
      </c>
      <c r="B1121" s="1">
        <f ca="1">IFERROR(__xludf.DUMMYFUNCTION("""COMPUTED_VALUE"""),93.2)</f>
        <v>93.2</v>
      </c>
      <c r="C1121" s="1">
        <f ca="1">IFERROR(__xludf.DUMMYFUNCTION("""COMPUTED_VALUE"""),93.8)</f>
        <v>93.8</v>
      </c>
      <c r="D1121" s="1">
        <f ca="1">IFERROR(__xludf.DUMMYFUNCTION("""COMPUTED_VALUE"""),92.95)</f>
        <v>92.95</v>
      </c>
      <c r="E1121" s="1">
        <f ca="1">IFERROR(__xludf.DUMMYFUNCTION("""COMPUTED_VALUE"""),93.48)</f>
        <v>93.48</v>
      </c>
      <c r="F1121" s="1">
        <f ca="1">IFERROR(__xludf.DUMMYFUNCTION("""COMPUTED_VALUE"""),2851163)</f>
        <v>2851163</v>
      </c>
    </row>
    <row r="1122" spans="1:6" x14ac:dyDescent="0.35">
      <c r="A1122" s="2">
        <f ca="1">IFERROR(__xludf.DUMMYFUNCTION("""COMPUTED_VALUE"""),43633.6666666666)</f>
        <v>43633.666666666599</v>
      </c>
      <c r="B1122" s="1">
        <f ca="1">IFERROR(__xludf.DUMMYFUNCTION("""COMPUTED_VALUE"""),93.83)</f>
        <v>93.83</v>
      </c>
      <c r="C1122" s="1">
        <f ca="1">IFERROR(__xludf.DUMMYFUNCTION("""COMPUTED_VALUE"""),94.78)</f>
        <v>94.78</v>
      </c>
      <c r="D1122" s="1">
        <f ca="1">IFERROR(__xludf.DUMMYFUNCTION("""COMPUTED_VALUE"""),93.77)</f>
        <v>93.77</v>
      </c>
      <c r="E1122" s="1">
        <f ca="1">IFERROR(__xludf.DUMMYFUNCTION("""COMPUTED_VALUE"""),94.3)</f>
        <v>94.3</v>
      </c>
      <c r="F1122" s="1">
        <f ca="1">IFERROR(__xludf.DUMMYFUNCTION("""COMPUTED_VALUE"""),2634342)</f>
        <v>2634342</v>
      </c>
    </row>
    <row r="1123" spans="1:6" x14ac:dyDescent="0.35">
      <c r="A1123" s="2">
        <f ca="1">IFERROR(__xludf.DUMMYFUNCTION("""COMPUTED_VALUE"""),43634.6666666666)</f>
        <v>43634.666666666599</v>
      </c>
      <c r="B1123" s="1">
        <f ca="1">IFERROR(__xludf.DUMMYFUNCTION("""COMPUTED_VALUE"""),95.07)</f>
        <v>95.07</v>
      </c>
      <c r="C1123" s="1">
        <f ca="1">IFERROR(__xludf.DUMMYFUNCTION("""COMPUTED_VALUE"""),96.08)</f>
        <v>96.08</v>
      </c>
      <c r="D1123" s="1">
        <f ca="1">IFERROR(__xludf.DUMMYFUNCTION("""COMPUTED_VALUE"""),94.99)</f>
        <v>94.99</v>
      </c>
      <c r="E1123" s="1">
        <f ca="1">IFERROR(__xludf.DUMMYFUNCTION("""COMPUTED_VALUE"""),95.07)</f>
        <v>95.07</v>
      </c>
      <c r="F1123" s="1">
        <f ca="1">IFERROR(__xludf.DUMMYFUNCTION("""COMPUTED_VALUE"""),3895728)</f>
        <v>3895728</v>
      </c>
    </row>
    <row r="1124" spans="1:6" x14ac:dyDescent="0.35">
      <c r="A1124" s="2">
        <f ca="1">IFERROR(__xludf.DUMMYFUNCTION("""COMPUTED_VALUE"""),43635.6666666666)</f>
        <v>43635.666666666599</v>
      </c>
      <c r="B1124" s="1">
        <f ca="1">IFERROR(__xludf.DUMMYFUNCTION("""COMPUTED_VALUE"""),95.39)</f>
        <v>95.39</v>
      </c>
      <c r="C1124" s="1">
        <f ca="1">IFERROR(__xludf.DUMMYFUNCTION("""COMPUTED_VALUE"""),95.98)</f>
        <v>95.98</v>
      </c>
      <c r="D1124" s="1">
        <f ca="1">IFERROR(__xludf.DUMMYFUNCTION("""COMPUTED_VALUE"""),94.62)</f>
        <v>94.62</v>
      </c>
      <c r="E1124" s="1">
        <f ca="1">IFERROR(__xludf.DUMMYFUNCTION("""COMPUTED_VALUE"""),95.44)</f>
        <v>95.44</v>
      </c>
      <c r="F1124" s="1">
        <f ca="1">IFERROR(__xludf.DUMMYFUNCTION("""COMPUTED_VALUE"""),2895347)</f>
        <v>2895347</v>
      </c>
    </row>
    <row r="1125" spans="1:6" x14ac:dyDescent="0.35">
      <c r="A1125" s="2">
        <f ca="1">IFERROR(__xludf.DUMMYFUNCTION("""COMPUTED_VALUE"""),43636.6666666666)</f>
        <v>43636.666666666599</v>
      </c>
      <c r="B1125" s="1">
        <f ca="1">IFERROR(__xludf.DUMMYFUNCTION("""COMPUTED_VALUE"""),96.67)</f>
        <v>96.67</v>
      </c>
      <c r="C1125" s="1">
        <f ca="1">IFERROR(__xludf.DUMMYFUNCTION("""COMPUTED_VALUE"""),96.76)</f>
        <v>96.76</v>
      </c>
      <c r="D1125" s="1">
        <f ca="1">IFERROR(__xludf.DUMMYFUNCTION("""COMPUTED_VALUE"""),95.29)</f>
        <v>95.29</v>
      </c>
      <c r="E1125" s="1">
        <f ca="1">IFERROR(__xludf.DUMMYFUNCTION("""COMPUTED_VALUE"""),95.91)</f>
        <v>95.91</v>
      </c>
      <c r="F1125" s="1">
        <f ca="1">IFERROR(__xludf.DUMMYFUNCTION("""COMPUTED_VALUE"""),3217153)</f>
        <v>3217153</v>
      </c>
    </row>
    <row r="1126" spans="1:6" x14ac:dyDescent="0.35">
      <c r="A1126" s="2">
        <f ca="1">IFERROR(__xludf.DUMMYFUNCTION("""COMPUTED_VALUE"""),43637.6666666666)</f>
        <v>43637.666666666599</v>
      </c>
      <c r="B1126" s="1">
        <f ca="1">IFERROR(__xludf.DUMMYFUNCTION("""COMPUTED_VALUE"""),95.81)</f>
        <v>95.81</v>
      </c>
      <c r="C1126" s="1">
        <f ca="1">IFERROR(__xludf.DUMMYFUNCTION("""COMPUTED_VALUE"""),96.3)</f>
        <v>96.3</v>
      </c>
      <c r="D1126" s="1">
        <f ca="1">IFERROR(__xludf.DUMMYFUNCTION("""COMPUTED_VALUE"""),95.38)</f>
        <v>95.38</v>
      </c>
      <c r="E1126" s="1">
        <f ca="1">IFERROR(__xludf.DUMMYFUNCTION("""COMPUTED_VALUE"""),95.57)</f>
        <v>95.57</v>
      </c>
      <c r="F1126" s="1">
        <f ca="1">IFERROR(__xludf.DUMMYFUNCTION("""COMPUTED_VALUE"""),3933576)</f>
        <v>3933576</v>
      </c>
    </row>
    <row r="1127" spans="1:6" x14ac:dyDescent="0.35">
      <c r="A1127" s="2">
        <f ca="1">IFERROR(__xludf.DUMMYFUNCTION("""COMPUTED_VALUE"""),43640.6666666666)</f>
        <v>43640.666666666599</v>
      </c>
      <c r="B1127" s="1">
        <f ca="1">IFERROR(__xludf.DUMMYFUNCTION("""COMPUTED_VALUE"""),95.63)</f>
        <v>95.63</v>
      </c>
      <c r="C1127" s="1">
        <f ca="1">IFERROR(__xludf.DUMMYFUNCTION("""COMPUTED_VALUE"""),95.84)</f>
        <v>95.84</v>
      </c>
      <c r="D1127" s="1">
        <f ca="1">IFERROR(__xludf.DUMMYFUNCTION("""COMPUTED_VALUE"""),95.07)</f>
        <v>95.07</v>
      </c>
      <c r="E1127" s="1">
        <f ca="1">IFERROR(__xludf.DUMMYFUNCTION("""COMPUTED_VALUE"""),95.7)</f>
        <v>95.7</v>
      </c>
      <c r="F1127" s="1">
        <f ca="1">IFERROR(__xludf.DUMMYFUNCTION("""COMPUTED_VALUE"""),2282969)</f>
        <v>2282969</v>
      </c>
    </row>
    <row r="1128" spans="1:6" x14ac:dyDescent="0.35">
      <c r="A1128" s="2">
        <f ca="1">IFERROR(__xludf.DUMMYFUNCTION("""COMPUTED_VALUE"""),43641.6666666666)</f>
        <v>43641.666666666599</v>
      </c>
      <c r="B1128" s="1">
        <f ca="1">IFERROR(__xludf.DUMMYFUNCTION("""COMPUTED_VALUE"""),95.59)</f>
        <v>95.59</v>
      </c>
      <c r="C1128" s="1">
        <f ca="1">IFERROR(__xludf.DUMMYFUNCTION("""COMPUTED_VALUE"""),95.82)</f>
        <v>95.82</v>
      </c>
      <c r="D1128" s="1">
        <f ca="1">IFERROR(__xludf.DUMMYFUNCTION("""COMPUTED_VALUE"""),93.62)</f>
        <v>93.62</v>
      </c>
      <c r="E1128" s="1">
        <f ca="1">IFERROR(__xludf.DUMMYFUNCTION("""COMPUTED_VALUE"""),93.91)</f>
        <v>93.91</v>
      </c>
      <c r="F1128" s="1">
        <f ca="1">IFERROR(__xludf.DUMMYFUNCTION("""COMPUTED_VALUE"""),3012347)</f>
        <v>3012347</v>
      </c>
    </row>
    <row r="1129" spans="1:6" x14ac:dyDescent="0.35">
      <c r="A1129" s="2">
        <f ca="1">IFERROR(__xludf.DUMMYFUNCTION("""COMPUTED_VALUE"""),43642.6666666666)</f>
        <v>43642.666666666599</v>
      </c>
      <c r="B1129" s="1">
        <f ca="1">IFERROR(__xludf.DUMMYFUNCTION("""COMPUTED_VALUE"""),94.62)</f>
        <v>94.62</v>
      </c>
      <c r="C1129" s="1">
        <f ca="1">IFERROR(__xludf.DUMMYFUNCTION("""COMPUTED_VALUE"""),95.19)</f>
        <v>95.19</v>
      </c>
      <c r="D1129" s="1">
        <f ca="1">IFERROR(__xludf.DUMMYFUNCTION("""COMPUTED_VALUE"""),94.37)</f>
        <v>94.37</v>
      </c>
      <c r="E1129" s="1">
        <f ca="1">IFERROR(__xludf.DUMMYFUNCTION("""COMPUTED_VALUE"""),94.89)</f>
        <v>94.89</v>
      </c>
      <c r="F1129" s="1">
        <f ca="1">IFERROR(__xludf.DUMMYFUNCTION("""COMPUTED_VALUE"""),2441910)</f>
        <v>2441910</v>
      </c>
    </row>
    <row r="1130" spans="1:6" x14ac:dyDescent="0.35">
      <c r="A1130" s="2">
        <f ca="1">IFERROR(__xludf.DUMMYFUNCTION("""COMPUTED_VALUE"""),43643.6666666666)</f>
        <v>43643.666666666599</v>
      </c>
      <c r="B1130" s="1">
        <f ca="1">IFERROR(__xludf.DUMMYFUNCTION("""COMPUTED_VALUE"""),95.1)</f>
        <v>95.1</v>
      </c>
      <c r="C1130" s="1">
        <f ca="1">IFERROR(__xludf.DUMMYFUNCTION("""COMPUTED_VALUE"""),95.56)</f>
        <v>95.56</v>
      </c>
      <c r="D1130" s="1">
        <f ca="1">IFERROR(__xludf.DUMMYFUNCTION("""COMPUTED_VALUE"""),94.9)</f>
        <v>94.9</v>
      </c>
      <c r="E1130" s="1">
        <f ca="1">IFERROR(__xludf.DUMMYFUNCTION("""COMPUTED_VALUE"""),95.21)</f>
        <v>95.21</v>
      </c>
      <c r="F1130" s="1">
        <f ca="1">IFERROR(__xludf.DUMMYFUNCTION("""COMPUTED_VALUE"""),2141721)</f>
        <v>2141721</v>
      </c>
    </row>
    <row r="1131" spans="1:6" x14ac:dyDescent="0.35">
      <c r="A1131" s="2">
        <f ca="1">IFERROR(__xludf.DUMMYFUNCTION("""COMPUTED_VALUE"""),43644.6666666666)</f>
        <v>43644.666666666599</v>
      </c>
      <c r="B1131" s="1">
        <f ca="1">IFERROR(__xludf.DUMMYFUNCTION("""COMPUTED_VALUE"""),95.46)</f>
        <v>95.46</v>
      </c>
      <c r="C1131" s="1">
        <f ca="1">IFERROR(__xludf.DUMMYFUNCTION("""COMPUTED_VALUE"""),95.65)</f>
        <v>95.65</v>
      </c>
      <c r="D1131" s="1">
        <f ca="1">IFERROR(__xludf.DUMMYFUNCTION("""COMPUTED_VALUE"""),94.2)</f>
        <v>94.2</v>
      </c>
      <c r="E1131" s="1">
        <f ca="1">IFERROR(__xludf.DUMMYFUNCTION("""COMPUTED_VALUE"""),94.68)</f>
        <v>94.68</v>
      </c>
      <c r="F1131" s="1">
        <f ca="1">IFERROR(__xludf.DUMMYFUNCTION("""COMPUTED_VALUE"""),3037358)</f>
        <v>3037358</v>
      </c>
    </row>
    <row r="1132" spans="1:6" x14ac:dyDescent="0.35">
      <c r="A1132" s="2">
        <f ca="1">IFERROR(__xludf.DUMMYFUNCTION("""COMPUTED_VALUE"""),43647.6666666666)</f>
        <v>43647.666666666599</v>
      </c>
      <c r="B1132" s="1">
        <f ca="1">IFERROR(__xludf.DUMMYFUNCTION("""COMPUTED_VALUE"""),96.15)</f>
        <v>96.15</v>
      </c>
      <c r="C1132" s="1">
        <f ca="1">IFERROR(__xludf.DUMMYFUNCTION("""COMPUTED_VALUE"""),96.49)</f>
        <v>96.49</v>
      </c>
      <c r="D1132" s="1">
        <f ca="1">IFERROR(__xludf.DUMMYFUNCTION("""COMPUTED_VALUE"""),95.73)</f>
        <v>95.73</v>
      </c>
      <c r="E1132" s="1">
        <f ca="1">IFERROR(__xludf.DUMMYFUNCTION("""COMPUTED_VALUE"""),96.11)</f>
        <v>96.11</v>
      </c>
      <c r="F1132" s="1">
        <f ca="1">IFERROR(__xludf.DUMMYFUNCTION("""COMPUTED_VALUE"""),3203347)</f>
        <v>3203347</v>
      </c>
    </row>
    <row r="1133" spans="1:6" x14ac:dyDescent="0.35">
      <c r="A1133" s="2">
        <f ca="1">IFERROR(__xludf.DUMMYFUNCTION("""COMPUTED_VALUE"""),43648.6666666666)</f>
        <v>43648.666666666599</v>
      </c>
      <c r="B1133" s="1">
        <f ca="1">IFERROR(__xludf.DUMMYFUNCTION("""COMPUTED_VALUE"""),95.97)</f>
        <v>95.97</v>
      </c>
      <c r="C1133" s="1">
        <f ca="1">IFERROR(__xludf.DUMMYFUNCTION("""COMPUTED_VALUE"""),96.74)</f>
        <v>96.74</v>
      </c>
      <c r="D1133" s="1">
        <f ca="1">IFERROR(__xludf.DUMMYFUNCTION("""COMPUTED_VALUE"""),95.33)</f>
        <v>95.33</v>
      </c>
      <c r="E1133" s="1">
        <f ca="1">IFERROR(__xludf.DUMMYFUNCTION("""COMPUTED_VALUE"""),96.72)</f>
        <v>96.72</v>
      </c>
      <c r="F1133" s="1">
        <f ca="1">IFERROR(__xludf.DUMMYFUNCTION("""COMPUTED_VALUE"""),2651299)</f>
        <v>2651299</v>
      </c>
    </row>
    <row r="1134" spans="1:6" x14ac:dyDescent="0.35">
      <c r="A1134" s="2">
        <f ca="1">IFERROR(__xludf.DUMMYFUNCTION("""COMPUTED_VALUE"""),43649.5416666666)</f>
        <v>43649.541666666599</v>
      </c>
      <c r="B1134" s="1">
        <f ca="1">IFERROR(__xludf.DUMMYFUNCTION("""COMPUTED_VALUE"""),96.79)</f>
        <v>96.79</v>
      </c>
      <c r="C1134" s="1">
        <f ca="1">IFERROR(__xludf.DUMMYFUNCTION("""COMPUTED_VALUE"""),97.08)</f>
        <v>97.08</v>
      </c>
      <c r="D1134" s="1">
        <f ca="1">IFERROR(__xludf.DUMMYFUNCTION("""COMPUTED_VALUE"""),96.53)</f>
        <v>96.53</v>
      </c>
      <c r="E1134" s="1">
        <f ca="1">IFERROR(__xludf.DUMMYFUNCTION("""COMPUTED_VALUE"""),96.95)</f>
        <v>96.95</v>
      </c>
      <c r="F1134" s="1">
        <f ca="1">IFERROR(__xludf.DUMMYFUNCTION("""COMPUTED_VALUE"""),1690294)</f>
        <v>1690294</v>
      </c>
    </row>
    <row r="1135" spans="1:6" x14ac:dyDescent="0.35">
      <c r="A1135" s="2">
        <f ca="1">IFERROR(__xludf.DUMMYFUNCTION("""COMPUTED_VALUE"""),43651.6666666666)</f>
        <v>43651.666666666599</v>
      </c>
      <c r="B1135" s="1">
        <f ca="1">IFERROR(__xludf.DUMMYFUNCTION("""COMPUTED_VALUE"""),96.43)</f>
        <v>96.43</v>
      </c>
      <c r="C1135" s="1">
        <f ca="1">IFERROR(__xludf.DUMMYFUNCTION("""COMPUTED_VALUE"""),97.3)</f>
        <v>97.3</v>
      </c>
      <c r="D1135" s="1">
        <f ca="1">IFERROR(__xludf.DUMMYFUNCTION("""COMPUTED_VALUE"""),96.27)</f>
        <v>96.27</v>
      </c>
      <c r="E1135" s="1">
        <f ca="1">IFERROR(__xludf.DUMMYFUNCTION("""COMPUTED_VALUE"""),97.15)</f>
        <v>97.15</v>
      </c>
      <c r="F1135" s="1">
        <f ca="1">IFERROR(__xludf.DUMMYFUNCTION("""COMPUTED_VALUE"""),2628359)</f>
        <v>2628359</v>
      </c>
    </row>
    <row r="1136" spans="1:6" x14ac:dyDescent="0.35">
      <c r="A1136" s="2">
        <f ca="1">IFERROR(__xludf.DUMMYFUNCTION("""COMPUTED_VALUE"""),43654.6666666666)</f>
        <v>43654.666666666599</v>
      </c>
      <c r="B1136" s="1">
        <f ca="1">IFERROR(__xludf.DUMMYFUNCTION("""COMPUTED_VALUE"""),96.71)</f>
        <v>96.71</v>
      </c>
      <c r="C1136" s="1">
        <f ca="1">IFERROR(__xludf.DUMMYFUNCTION("""COMPUTED_VALUE"""),97.8)</f>
        <v>97.8</v>
      </c>
      <c r="D1136" s="1">
        <f ca="1">IFERROR(__xludf.DUMMYFUNCTION("""COMPUTED_VALUE"""),96.41)</f>
        <v>96.41</v>
      </c>
      <c r="E1136" s="1">
        <f ca="1">IFERROR(__xludf.DUMMYFUNCTION("""COMPUTED_VALUE"""),97.62)</f>
        <v>97.62</v>
      </c>
      <c r="F1136" s="1">
        <f ca="1">IFERROR(__xludf.DUMMYFUNCTION("""COMPUTED_VALUE"""),2883371)</f>
        <v>2883371</v>
      </c>
    </row>
    <row r="1137" spans="1:6" x14ac:dyDescent="0.35">
      <c r="A1137" s="2">
        <f ca="1">IFERROR(__xludf.DUMMYFUNCTION("""COMPUTED_VALUE"""),43655.6666666666)</f>
        <v>43655.666666666599</v>
      </c>
      <c r="B1137" s="1">
        <f ca="1">IFERROR(__xludf.DUMMYFUNCTION("""COMPUTED_VALUE"""),97.39)</f>
        <v>97.39</v>
      </c>
      <c r="C1137" s="1">
        <f ca="1">IFERROR(__xludf.DUMMYFUNCTION("""COMPUTED_VALUE"""),99.5)</f>
        <v>99.5</v>
      </c>
      <c r="D1137" s="1">
        <f ca="1">IFERROR(__xludf.DUMMYFUNCTION("""COMPUTED_VALUE"""),97.17)</f>
        <v>97.17</v>
      </c>
      <c r="E1137" s="1">
        <f ca="1">IFERROR(__xludf.DUMMYFUNCTION("""COMPUTED_VALUE"""),99.42)</f>
        <v>99.42</v>
      </c>
      <c r="F1137" s="1">
        <f ca="1">IFERROR(__xludf.DUMMYFUNCTION("""COMPUTED_VALUE"""),4345698)</f>
        <v>4345698</v>
      </c>
    </row>
    <row r="1138" spans="1:6" x14ac:dyDescent="0.35">
      <c r="A1138" s="2">
        <f ca="1">IFERROR(__xludf.DUMMYFUNCTION("""COMPUTED_VALUE"""),43656.6666666666)</f>
        <v>43656.666666666599</v>
      </c>
      <c r="B1138" s="1">
        <f ca="1">IFERROR(__xludf.DUMMYFUNCTION("""COMPUTED_VALUE"""),99.83)</f>
        <v>99.83</v>
      </c>
      <c r="C1138" s="1">
        <f ca="1">IFERROR(__xludf.DUMMYFUNCTION("""COMPUTED_VALUE"""),101.25)</f>
        <v>101.25</v>
      </c>
      <c r="D1138" s="1">
        <f ca="1">IFERROR(__xludf.DUMMYFUNCTION("""COMPUTED_VALUE"""),99.77)</f>
        <v>99.77</v>
      </c>
      <c r="E1138" s="1">
        <f ca="1">IFERROR(__xludf.DUMMYFUNCTION("""COMPUTED_VALUE"""),100.87)</f>
        <v>100.87</v>
      </c>
      <c r="F1138" s="1">
        <f ca="1">IFERROR(__xludf.DUMMYFUNCTION("""COMPUTED_VALUE"""),4931902)</f>
        <v>4931902</v>
      </c>
    </row>
    <row r="1139" spans="1:6" x14ac:dyDescent="0.35">
      <c r="A1139" s="2">
        <f ca="1">IFERROR(__xludf.DUMMYFUNCTION("""COMPUTED_VALUE"""),43657.6666666666)</f>
        <v>43657.666666666599</v>
      </c>
      <c r="B1139" s="1">
        <f ca="1">IFERROR(__xludf.DUMMYFUNCTION("""COMPUTED_VALUE"""),101.28)</f>
        <v>101.28</v>
      </c>
      <c r="C1139" s="1">
        <f ca="1">IFERROR(__xludf.DUMMYFUNCTION("""COMPUTED_VALUE"""),101.79)</f>
        <v>101.79</v>
      </c>
      <c r="D1139" s="1">
        <f ca="1">IFERROR(__xludf.DUMMYFUNCTION("""COMPUTED_VALUE"""),99.77)</f>
        <v>99.77</v>
      </c>
      <c r="E1139" s="1">
        <f ca="1">IFERROR(__xludf.DUMMYFUNCTION("""COMPUTED_VALUE"""),100.05)</f>
        <v>100.05</v>
      </c>
      <c r="F1139" s="1">
        <f ca="1">IFERROR(__xludf.DUMMYFUNCTION("""COMPUTED_VALUE"""),4317766)</f>
        <v>4317766</v>
      </c>
    </row>
    <row r="1140" spans="1:6" x14ac:dyDescent="0.35">
      <c r="A1140" s="2">
        <f ca="1">IFERROR(__xludf.DUMMYFUNCTION("""COMPUTED_VALUE"""),43658.6666666666)</f>
        <v>43658.666666666599</v>
      </c>
      <c r="B1140" s="1">
        <f ca="1">IFERROR(__xludf.DUMMYFUNCTION("""COMPUTED_VALUE"""),100.41)</f>
        <v>100.41</v>
      </c>
      <c r="C1140" s="1">
        <f ca="1">IFERROR(__xludf.DUMMYFUNCTION("""COMPUTED_VALUE"""),100.85)</f>
        <v>100.85</v>
      </c>
      <c r="D1140" s="1">
        <f ca="1">IFERROR(__xludf.DUMMYFUNCTION("""COMPUTED_VALUE"""),100.19)</f>
        <v>100.19</v>
      </c>
      <c r="E1140" s="1">
        <f ca="1">IFERROR(__xludf.DUMMYFUNCTION("""COMPUTED_VALUE"""),100.55)</f>
        <v>100.55</v>
      </c>
      <c r="F1140" s="1">
        <f ca="1">IFERROR(__xludf.DUMMYFUNCTION("""COMPUTED_VALUE"""),2509297)</f>
        <v>2509297</v>
      </c>
    </row>
    <row r="1141" spans="1:6" x14ac:dyDescent="0.35">
      <c r="A1141" s="2">
        <f ca="1">IFERROR(__xludf.DUMMYFUNCTION("""COMPUTED_VALUE"""),43661.6666666666)</f>
        <v>43661.666666666599</v>
      </c>
      <c r="B1141" s="1">
        <f ca="1">IFERROR(__xludf.DUMMYFUNCTION("""COMPUTED_VALUE"""),101.07)</f>
        <v>101.07</v>
      </c>
      <c r="C1141" s="1">
        <f ca="1">IFERROR(__xludf.DUMMYFUNCTION("""COMPUTED_VALUE"""),101.15)</f>
        <v>101.15</v>
      </c>
      <c r="D1141" s="1">
        <f ca="1">IFERROR(__xludf.DUMMYFUNCTION("""COMPUTED_VALUE"""),100.08)</f>
        <v>100.08</v>
      </c>
      <c r="E1141" s="1">
        <f ca="1">IFERROR(__xludf.DUMMYFUNCTION("""COMPUTED_VALUE"""),101.05)</f>
        <v>101.05</v>
      </c>
      <c r="F1141" s="1">
        <f ca="1">IFERROR(__xludf.DUMMYFUNCTION("""COMPUTED_VALUE"""),2981343)</f>
        <v>2981343</v>
      </c>
    </row>
    <row r="1142" spans="1:6" x14ac:dyDescent="0.35">
      <c r="A1142" s="2">
        <f ca="1">IFERROR(__xludf.DUMMYFUNCTION("""COMPUTED_VALUE"""),43662.6666666666)</f>
        <v>43662.666666666599</v>
      </c>
      <c r="B1142" s="1">
        <f ca="1">IFERROR(__xludf.DUMMYFUNCTION("""COMPUTED_VALUE"""),100.53)</f>
        <v>100.53</v>
      </c>
      <c r="C1142" s="1">
        <f ca="1">IFERROR(__xludf.DUMMYFUNCTION("""COMPUTED_VALUE"""),101.32)</f>
        <v>101.32</v>
      </c>
      <c r="D1142" s="1">
        <f ca="1">IFERROR(__xludf.DUMMYFUNCTION("""COMPUTED_VALUE"""),100.06)</f>
        <v>100.06</v>
      </c>
      <c r="E1142" s="1">
        <f ca="1">IFERROR(__xludf.DUMMYFUNCTION("""COMPUTED_VALUE"""),100.5)</f>
        <v>100.5</v>
      </c>
      <c r="F1142" s="1">
        <f ca="1">IFERROR(__xludf.DUMMYFUNCTION("""COMPUTED_VALUE"""),2618198)</f>
        <v>2618198</v>
      </c>
    </row>
    <row r="1143" spans="1:6" x14ac:dyDescent="0.35">
      <c r="A1143" s="2">
        <f ca="1">IFERROR(__xludf.DUMMYFUNCTION("""COMPUTED_VALUE"""),43663.6666666666)</f>
        <v>43663.666666666599</v>
      </c>
      <c r="B1143" s="1">
        <f ca="1">IFERROR(__xludf.DUMMYFUNCTION("""COMPUTED_VALUE"""),100.35)</f>
        <v>100.35</v>
      </c>
      <c r="C1143" s="1">
        <f ca="1">IFERROR(__xludf.DUMMYFUNCTION("""COMPUTED_VALUE"""),100.6)</f>
        <v>100.6</v>
      </c>
      <c r="D1143" s="1">
        <f ca="1">IFERROR(__xludf.DUMMYFUNCTION("""COMPUTED_VALUE"""),99.6)</f>
        <v>99.6</v>
      </c>
      <c r="E1143" s="1">
        <f ca="1">IFERROR(__xludf.DUMMYFUNCTION("""COMPUTED_VALUE"""),99.6)</f>
        <v>99.6</v>
      </c>
      <c r="F1143" s="1">
        <f ca="1">IFERROR(__xludf.DUMMYFUNCTION("""COMPUTED_VALUE"""),2558809)</f>
        <v>2558809</v>
      </c>
    </row>
    <row r="1144" spans="1:6" x14ac:dyDescent="0.35">
      <c r="A1144" s="2">
        <f ca="1">IFERROR(__xludf.DUMMYFUNCTION("""COMPUTED_VALUE"""),43664.6666666666)</f>
        <v>43664.666666666599</v>
      </c>
      <c r="B1144" s="1">
        <f ca="1">IFERROR(__xludf.DUMMYFUNCTION("""COMPUTED_VALUE"""),99)</f>
        <v>99</v>
      </c>
      <c r="C1144" s="1">
        <f ca="1">IFERROR(__xludf.DUMMYFUNCTION("""COMPUTED_VALUE"""),99.38)</f>
        <v>99.38</v>
      </c>
      <c r="D1144" s="1">
        <f ca="1">IFERROR(__xludf.DUMMYFUNCTION("""COMPUTED_VALUE"""),97.58)</f>
        <v>97.58</v>
      </c>
      <c r="E1144" s="1">
        <f ca="1">IFERROR(__xludf.DUMMYFUNCTION("""COMPUTED_VALUE"""),98.9)</f>
        <v>98.9</v>
      </c>
      <c r="F1144" s="1">
        <f ca="1">IFERROR(__xludf.DUMMYFUNCTION("""COMPUTED_VALUE"""),3504252)</f>
        <v>3504252</v>
      </c>
    </row>
    <row r="1145" spans="1:6" x14ac:dyDescent="0.35">
      <c r="A1145" s="2">
        <f ca="1">IFERROR(__xludf.DUMMYFUNCTION("""COMPUTED_VALUE"""),43665.6666666666)</f>
        <v>43665.666666666599</v>
      </c>
      <c r="B1145" s="1">
        <f ca="1">IFERROR(__xludf.DUMMYFUNCTION("""COMPUTED_VALUE"""),99.56)</f>
        <v>99.56</v>
      </c>
      <c r="C1145" s="1">
        <f ca="1">IFERROR(__xludf.DUMMYFUNCTION("""COMPUTED_VALUE"""),99.8)</f>
        <v>99.8</v>
      </c>
      <c r="D1145" s="1">
        <f ca="1">IFERROR(__xludf.DUMMYFUNCTION("""COMPUTED_VALUE"""),98.11)</f>
        <v>98.11</v>
      </c>
      <c r="E1145" s="1">
        <f ca="1">IFERROR(__xludf.DUMMYFUNCTION("""COMPUTED_VALUE"""),98.23)</f>
        <v>98.23</v>
      </c>
      <c r="F1145" s="1">
        <f ca="1">IFERROR(__xludf.DUMMYFUNCTION("""COMPUTED_VALUE"""),3185612)</f>
        <v>3185612</v>
      </c>
    </row>
    <row r="1146" spans="1:6" x14ac:dyDescent="0.35">
      <c r="A1146" s="2">
        <f ca="1">IFERROR(__xludf.DUMMYFUNCTION("""COMPUTED_VALUE"""),43668.6666666666)</f>
        <v>43668.666666666599</v>
      </c>
      <c r="B1146" s="1">
        <f ca="1">IFERROR(__xludf.DUMMYFUNCTION("""COMPUTED_VALUE"""),98.56)</f>
        <v>98.56</v>
      </c>
      <c r="C1146" s="1">
        <f ca="1">IFERROR(__xludf.DUMMYFUNCTION("""COMPUTED_VALUE"""),99.45)</f>
        <v>99.45</v>
      </c>
      <c r="D1146" s="1">
        <f ca="1">IFERROR(__xludf.DUMMYFUNCTION("""COMPUTED_VALUE"""),97.91)</f>
        <v>97.91</v>
      </c>
      <c r="E1146" s="1">
        <f ca="1">IFERROR(__xludf.DUMMYFUNCTION("""COMPUTED_VALUE"""),99.28)</f>
        <v>99.28</v>
      </c>
      <c r="F1146" s="1">
        <f ca="1">IFERROR(__xludf.DUMMYFUNCTION("""COMPUTED_VALUE"""),2908111)</f>
        <v>2908111</v>
      </c>
    </row>
    <row r="1147" spans="1:6" x14ac:dyDescent="0.35">
      <c r="A1147" s="2">
        <f ca="1">IFERROR(__xludf.DUMMYFUNCTION("""COMPUTED_VALUE"""),43669.6666666666)</f>
        <v>43669.666666666599</v>
      </c>
      <c r="B1147" s="1">
        <f ca="1">IFERROR(__xludf.DUMMYFUNCTION("""COMPUTED_VALUE"""),99.8)</f>
        <v>99.8</v>
      </c>
      <c r="C1147" s="1">
        <f ca="1">IFERROR(__xludf.DUMMYFUNCTION("""COMPUTED_VALUE"""),99.89)</f>
        <v>99.89</v>
      </c>
      <c r="D1147" s="1">
        <f ca="1">IFERROR(__xludf.DUMMYFUNCTION("""COMPUTED_VALUE"""),98.66)</f>
        <v>98.66</v>
      </c>
      <c r="E1147" s="1">
        <f ca="1">IFERROR(__xludf.DUMMYFUNCTION("""COMPUTED_VALUE"""),99.72)</f>
        <v>99.72</v>
      </c>
      <c r="F1147" s="1">
        <f ca="1">IFERROR(__xludf.DUMMYFUNCTION("""COMPUTED_VALUE"""),2703480)</f>
        <v>2703480</v>
      </c>
    </row>
    <row r="1148" spans="1:6" x14ac:dyDescent="0.35">
      <c r="A1148" s="2">
        <f ca="1">IFERROR(__xludf.DUMMYFUNCTION("""COMPUTED_VALUE"""),43670.6666666666)</f>
        <v>43670.666666666599</v>
      </c>
      <c r="B1148" s="1">
        <f ca="1">IFERROR(__xludf.DUMMYFUNCTION("""COMPUTED_VALUE"""),98.47)</f>
        <v>98.47</v>
      </c>
      <c r="C1148" s="1">
        <f ca="1">IFERROR(__xludf.DUMMYFUNCTION("""COMPUTED_VALUE"""),100.07)</f>
        <v>100.07</v>
      </c>
      <c r="D1148" s="1">
        <f ca="1">IFERROR(__xludf.DUMMYFUNCTION("""COMPUTED_VALUE"""),98.29)</f>
        <v>98.29</v>
      </c>
      <c r="E1148" s="1">
        <f ca="1">IFERROR(__xludf.DUMMYFUNCTION("""COMPUTED_VALUE"""),100.04)</f>
        <v>100.04</v>
      </c>
      <c r="F1148" s="1">
        <f ca="1">IFERROR(__xludf.DUMMYFUNCTION("""COMPUTED_VALUE"""),2631300)</f>
        <v>2631300</v>
      </c>
    </row>
    <row r="1149" spans="1:6" x14ac:dyDescent="0.35">
      <c r="A1149" s="2">
        <f ca="1">IFERROR(__xludf.DUMMYFUNCTION("""COMPUTED_VALUE"""),43671.6666666666)</f>
        <v>43671.666666666599</v>
      </c>
      <c r="B1149" s="1">
        <f ca="1">IFERROR(__xludf.DUMMYFUNCTION("""COMPUTED_VALUE"""),100.05)</f>
        <v>100.05</v>
      </c>
      <c r="C1149" s="1">
        <f ca="1">IFERROR(__xludf.DUMMYFUNCTION("""COMPUTED_VALUE"""),100.06)</f>
        <v>100.06</v>
      </c>
      <c r="D1149" s="1">
        <f ca="1">IFERROR(__xludf.DUMMYFUNCTION("""COMPUTED_VALUE"""),98.64)</f>
        <v>98.64</v>
      </c>
      <c r="E1149" s="1">
        <f ca="1">IFERROR(__xludf.DUMMYFUNCTION("""COMPUTED_VALUE"""),98.69)</f>
        <v>98.69</v>
      </c>
      <c r="F1149" s="1">
        <f ca="1">IFERROR(__xludf.DUMMYFUNCTION("""COMPUTED_VALUE"""),4136461)</f>
        <v>4136461</v>
      </c>
    </row>
    <row r="1150" spans="1:6" x14ac:dyDescent="0.35">
      <c r="A1150" s="2">
        <f ca="1">IFERROR(__xludf.DUMMYFUNCTION("""COMPUTED_VALUE"""),43672.6666666666)</f>
        <v>43672.666666666599</v>
      </c>
      <c r="B1150" s="1">
        <f ca="1">IFERROR(__xludf.DUMMYFUNCTION("""COMPUTED_VALUE"""),97.1)</f>
        <v>97.1</v>
      </c>
      <c r="C1150" s="1">
        <f ca="1">IFERROR(__xludf.DUMMYFUNCTION("""COMPUTED_VALUE"""),97.54)</f>
        <v>97.54</v>
      </c>
      <c r="D1150" s="1">
        <f ca="1">IFERROR(__xludf.DUMMYFUNCTION("""COMPUTED_VALUE"""),96.23)</f>
        <v>96.23</v>
      </c>
      <c r="E1150" s="1">
        <f ca="1">IFERROR(__xludf.DUMMYFUNCTION("""COMPUTED_VALUE"""),97.15)</f>
        <v>97.15</v>
      </c>
      <c r="F1150" s="1">
        <f ca="1">IFERROR(__xludf.DUMMYFUNCTION("""COMPUTED_VALUE"""),4927143)</f>
        <v>4927143</v>
      </c>
    </row>
    <row r="1151" spans="1:6" x14ac:dyDescent="0.35">
      <c r="A1151" s="2">
        <f ca="1">IFERROR(__xludf.DUMMYFUNCTION("""COMPUTED_VALUE"""),43675.6666666666)</f>
        <v>43675.666666666599</v>
      </c>
      <c r="B1151" s="1">
        <f ca="1">IFERROR(__xludf.DUMMYFUNCTION("""COMPUTED_VALUE"""),96.5)</f>
        <v>96.5</v>
      </c>
      <c r="C1151" s="1">
        <f ca="1">IFERROR(__xludf.DUMMYFUNCTION("""COMPUTED_VALUE"""),96.61)</f>
        <v>96.61</v>
      </c>
      <c r="D1151" s="1">
        <f ca="1">IFERROR(__xludf.DUMMYFUNCTION("""COMPUTED_VALUE"""),94.53)</f>
        <v>94.53</v>
      </c>
      <c r="E1151" s="1">
        <f ca="1">IFERROR(__xludf.DUMMYFUNCTION("""COMPUTED_VALUE"""),95.62)</f>
        <v>95.62</v>
      </c>
      <c r="F1151" s="1">
        <f ca="1">IFERROR(__xludf.DUMMYFUNCTION("""COMPUTED_VALUE"""),4493190)</f>
        <v>4493190</v>
      </c>
    </row>
    <row r="1152" spans="1:6" x14ac:dyDescent="0.35">
      <c r="A1152" s="2">
        <f ca="1">IFERROR(__xludf.DUMMYFUNCTION("""COMPUTED_VALUE"""),43676.6666666666)</f>
        <v>43676.666666666599</v>
      </c>
      <c r="B1152" s="1">
        <f ca="1">IFERROR(__xludf.DUMMYFUNCTION("""COMPUTED_VALUE"""),94.56)</f>
        <v>94.56</v>
      </c>
      <c r="C1152" s="1">
        <f ca="1">IFERROR(__xludf.DUMMYFUNCTION("""COMPUTED_VALUE"""),95.49)</f>
        <v>95.49</v>
      </c>
      <c r="D1152" s="1">
        <f ca="1">IFERROR(__xludf.DUMMYFUNCTION("""COMPUTED_VALUE"""),94.17)</f>
        <v>94.17</v>
      </c>
      <c r="E1152" s="1">
        <f ca="1">IFERROR(__xludf.DUMMYFUNCTION("""COMPUTED_VALUE"""),94.93)</f>
        <v>94.93</v>
      </c>
      <c r="F1152" s="1">
        <f ca="1">IFERROR(__xludf.DUMMYFUNCTION("""COMPUTED_VALUE"""),2910888)</f>
        <v>2910888</v>
      </c>
    </row>
    <row r="1153" spans="1:6" x14ac:dyDescent="0.35">
      <c r="A1153" s="2">
        <f ca="1">IFERROR(__xludf.DUMMYFUNCTION("""COMPUTED_VALUE"""),43677.6666666666)</f>
        <v>43677.666666666599</v>
      </c>
      <c r="B1153" s="1">
        <f ca="1">IFERROR(__xludf.DUMMYFUNCTION("""COMPUTED_VALUE"""),94.91)</f>
        <v>94.91</v>
      </c>
      <c r="C1153" s="1">
        <f ca="1">IFERROR(__xludf.DUMMYFUNCTION("""COMPUTED_VALUE"""),94.98)</f>
        <v>94.98</v>
      </c>
      <c r="D1153" s="1">
        <f ca="1">IFERROR(__xludf.DUMMYFUNCTION("""COMPUTED_VALUE"""),92.47)</f>
        <v>92.47</v>
      </c>
      <c r="E1153" s="1">
        <f ca="1">IFERROR(__xludf.DUMMYFUNCTION("""COMPUTED_VALUE"""),93.34)</f>
        <v>93.34</v>
      </c>
      <c r="F1153" s="1">
        <f ca="1">IFERROR(__xludf.DUMMYFUNCTION("""COMPUTED_VALUE"""),4470727)</f>
        <v>4470727</v>
      </c>
    </row>
    <row r="1154" spans="1:6" x14ac:dyDescent="0.35">
      <c r="A1154" s="2">
        <f ca="1">IFERROR(__xludf.DUMMYFUNCTION("""COMPUTED_VALUE"""),43678.6666666666)</f>
        <v>43678.666666666599</v>
      </c>
      <c r="B1154" s="1">
        <f ca="1">IFERROR(__xludf.DUMMYFUNCTION("""COMPUTED_VALUE"""),93.59)</f>
        <v>93.59</v>
      </c>
      <c r="C1154" s="1">
        <f ca="1">IFERROR(__xludf.DUMMYFUNCTION("""COMPUTED_VALUE"""),94.9)</f>
        <v>94.9</v>
      </c>
      <c r="D1154" s="1">
        <f ca="1">IFERROR(__xludf.DUMMYFUNCTION("""COMPUTED_VALUE"""),92.2)</f>
        <v>92.2</v>
      </c>
      <c r="E1154" s="1">
        <f ca="1">IFERROR(__xludf.DUMMYFUNCTION("""COMPUTED_VALUE"""),92.77)</f>
        <v>92.77</v>
      </c>
      <c r="F1154" s="1">
        <f ca="1">IFERROR(__xludf.DUMMYFUNCTION("""COMPUTED_VALUE"""),4713311)</f>
        <v>4713311</v>
      </c>
    </row>
    <row r="1155" spans="1:6" x14ac:dyDescent="0.35">
      <c r="A1155" s="2">
        <f ca="1">IFERROR(__xludf.DUMMYFUNCTION("""COMPUTED_VALUE"""),43679.6666666666)</f>
        <v>43679.666666666599</v>
      </c>
      <c r="B1155" s="1">
        <f ca="1">IFERROR(__xludf.DUMMYFUNCTION("""COMPUTED_VALUE"""),92.25)</f>
        <v>92.25</v>
      </c>
      <c r="C1155" s="1">
        <f ca="1">IFERROR(__xludf.DUMMYFUNCTION("""COMPUTED_VALUE"""),92.32)</f>
        <v>92.32</v>
      </c>
      <c r="D1155" s="1">
        <f ca="1">IFERROR(__xludf.DUMMYFUNCTION("""COMPUTED_VALUE"""),90.4)</f>
        <v>90.4</v>
      </c>
      <c r="E1155" s="1">
        <f ca="1">IFERROR(__xludf.DUMMYFUNCTION("""COMPUTED_VALUE"""),91.16)</f>
        <v>91.16</v>
      </c>
      <c r="F1155" s="1">
        <f ca="1">IFERROR(__xludf.DUMMYFUNCTION("""COMPUTED_VALUE"""),4956225)</f>
        <v>4956225</v>
      </c>
    </row>
    <row r="1156" spans="1:6" x14ac:dyDescent="0.35">
      <c r="A1156" s="2">
        <f ca="1">IFERROR(__xludf.DUMMYFUNCTION("""COMPUTED_VALUE"""),43682.6666666666)</f>
        <v>43682.666666666599</v>
      </c>
      <c r="B1156" s="1">
        <f ca="1">IFERROR(__xludf.DUMMYFUNCTION("""COMPUTED_VALUE"""),88.51)</f>
        <v>88.51</v>
      </c>
      <c r="C1156" s="1">
        <f ca="1">IFERROR(__xludf.DUMMYFUNCTION("""COMPUTED_VALUE"""),89.43)</f>
        <v>89.43</v>
      </c>
      <c r="D1156" s="1">
        <f ca="1">IFERROR(__xludf.DUMMYFUNCTION("""COMPUTED_VALUE"""),87.44)</f>
        <v>87.44</v>
      </c>
      <c r="E1156" s="1">
        <f ca="1">IFERROR(__xludf.DUMMYFUNCTION("""COMPUTED_VALUE"""),88.26)</f>
        <v>88.26</v>
      </c>
      <c r="F1156" s="1">
        <f ca="1">IFERROR(__xludf.DUMMYFUNCTION("""COMPUTED_VALUE"""),6058212)</f>
        <v>6058212</v>
      </c>
    </row>
    <row r="1157" spans="1:6" x14ac:dyDescent="0.35">
      <c r="A1157" s="2">
        <f ca="1">IFERROR(__xludf.DUMMYFUNCTION("""COMPUTED_VALUE"""),43683.6666666666)</f>
        <v>43683.666666666599</v>
      </c>
      <c r="B1157" s="1">
        <f ca="1">IFERROR(__xludf.DUMMYFUNCTION("""COMPUTED_VALUE"""),89.61)</f>
        <v>89.61</v>
      </c>
      <c r="C1157" s="1">
        <f ca="1">IFERROR(__xludf.DUMMYFUNCTION("""COMPUTED_VALUE"""),89.69)</f>
        <v>89.69</v>
      </c>
      <c r="D1157" s="1">
        <f ca="1">IFERROR(__xludf.DUMMYFUNCTION("""COMPUTED_VALUE"""),87.67)</f>
        <v>87.67</v>
      </c>
      <c r="E1157" s="1">
        <f ca="1">IFERROR(__xludf.DUMMYFUNCTION("""COMPUTED_VALUE"""),89.39)</f>
        <v>89.39</v>
      </c>
      <c r="F1157" s="1">
        <f ca="1">IFERROR(__xludf.DUMMYFUNCTION("""COMPUTED_VALUE"""),5070258)</f>
        <v>5070258</v>
      </c>
    </row>
    <row r="1158" spans="1:6" x14ac:dyDescent="0.35">
      <c r="A1158" s="2">
        <f ca="1">IFERROR(__xludf.DUMMYFUNCTION("""COMPUTED_VALUE"""),43684.6666666666)</f>
        <v>43684.666666666599</v>
      </c>
      <c r="B1158" s="1">
        <f ca="1">IFERROR(__xludf.DUMMYFUNCTION("""COMPUTED_VALUE"""),88.7)</f>
        <v>88.7</v>
      </c>
      <c r="C1158" s="1">
        <f ca="1">IFERROR(__xludf.DUMMYFUNCTION("""COMPUTED_VALUE"""),89.95)</f>
        <v>89.95</v>
      </c>
      <c r="D1158" s="1">
        <f ca="1">IFERROR(__xludf.DUMMYFUNCTION("""COMPUTED_VALUE"""),87.85)</f>
        <v>87.85</v>
      </c>
      <c r="E1158" s="1">
        <f ca="1">IFERROR(__xludf.DUMMYFUNCTION("""COMPUTED_VALUE"""),89.67)</f>
        <v>89.67</v>
      </c>
      <c r="F1158" s="1">
        <f ca="1">IFERROR(__xludf.DUMMYFUNCTION("""COMPUTED_VALUE"""),4526884)</f>
        <v>4526884</v>
      </c>
    </row>
    <row r="1159" spans="1:6" x14ac:dyDescent="0.35">
      <c r="A1159" s="2">
        <f ca="1">IFERROR(__xludf.DUMMYFUNCTION("""COMPUTED_VALUE"""),43685.6666666666)</f>
        <v>43685.666666666599</v>
      </c>
      <c r="B1159" s="1">
        <f ca="1">IFERROR(__xludf.DUMMYFUNCTION("""COMPUTED_VALUE"""),90.3)</f>
        <v>90.3</v>
      </c>
      <c r="C1159" s="1">
        <f ca="1">IFERROR(__xludf.DUMMYFUNCTION("""COMPUTED_VALUE"""),91.71)</f>
        <v>91.71</v>
      </c>
      <c r="D1159" s="1">
        <f ca="1">IFERROR(__xludf.DUMMYFUNCTION("""COMPUTED_VALUE"""),89.91)</f>
        <v>89.91</v>
      </c>
      <c r="E1159" s="1">
        <f ca="1">IFERROR(__xludf.DUMMYFUNCTION("""COMPUTED_VALUE"""),91.64)</f>
        <v>91.64</v>
      </c>
      <c r="F1159" s="1">
        <f ca="1">IFERROR(__xludf.DUMMYFUNCTION("""COMPUTED_VALUE"""),3701242)</f>
        <v>3701242</v>
      </c>
    </row>
    <row r="1160" spans="1:6" x14ac:dyDescent="0.35">
      <c r="A1160" s="2">
        <f ca="1">IFERROR(__xludf.DUMMYFUNCTION("""COMPUTED_VALUE"""),43686.6666666666)</f>
        <v>43686.666666666599</v>
      </c>
      <c r="B1160" s="1">
        <f ca="1">IFERROR(__xludf.DUMMYFUNCTION("""COMPUTED_VALUE"""),91.45)</f>
        <v>91.45</v>
      </c>
      <c r="C1160" s="1">
        <f ca="1">IFERROR(__xludf.DUMMYFUNCTION("""COMPUTED_VALUE"""),91.55)</f>
        <v>91.55</v>
      </c>
      <c r="D1160" s="1">
        <f ca="1">IFERROR(__xludf.DUMMYFUNCTION("""COMPUTED_VALUE"""),90.11)</f>
        <v>90.11</v>
      </c>
      <c r="E1160" s="1">
        <f ca="1">IFERROR(__xludf.DUMMYFUNCTION("""COMPUTED_VALUE"""),90.38)</f>
        <v>90.38</v>
      </c>
      <c r="F1160" s="1">
        <f ca="1">IFERROR(__xludf.DUMMYFUNCTION("""COMPUTED_VALUE"""),2879770)</f>
        <v>2879770</v>
      </c>
    </row>
    <row r="1161" spans="1:6" x14ac:dyDescent="0.35">
      <c r="A1161" s="2">
        <f ca="1">IFERROR(__xludf.DUMMYFUNCTION("""COMPUTED_VALUE"""),43689.6666666666)</f>
        <v>43689.666666666599</v>
      </c>
      <c r="B1161" s="1">
        <f ca="1">IFERROR(__xludf.DUMMYFUNCTION("""COMPUTED_VALUE"""),89.8)</f>
        <v>89.8</v>
      </c>
      <c r="C1161" s="1">
        <f ca="1">IFERROR(__xludf.DUMMYFUNCTION("""COMPUTED_VALUE"""),90.05)</f>
        <v>90.05</v>
      </c>
      <c r="D1161" s="1">
        <f ca="1">IFERROR(__xludf.DUMMYFUNCTION("""COMPUTED_VALUE"""),88.85)</f>
        <v>88.85</v>
      </c>
      <c r="E1161" s="1">
        <f ca="1">IFERROR(__xludf.DUMMYFUNCTION("""COMPUTED_VALUE"""),89.25)</f>
        <v>89.25</v>
      </c>
      <c r="F1161" s="1">
        <f ca="1">IFERROR(__xludf.DUMMYFUNCTION("""COMPUTED_VALUE"""),2905498)</f>
        <v>2905498</v>
      </c>
    </row>
    <row r="1162" spans="1:6" x14ac:dyDescent="0.35">
      <c r="A1162" s="2">
        <f ca="1">IFERROR(__xludf.DUMMYFUNCTION("""COMPUTED_VALUE"""),43690.6666666666)</f>
        <v>43690.666666666599</v>
      </c>
      <c r="B1162" s="1">
        <f ca="1">IFERROR(__xludf.DUMMYFUNCTION("""COMPUTED_VALUE"""),89.15)</f>
        <v>89.15</v>
      </c>
      <c r="C1162" s="1">
        <f ca="1">IFERROR(__xludf.DUMMYFUNCTION("""COMPUTED_VALUE"""),91.59)</f>
        <v>91.59</v>
      </c>
      <c r="D1162" s="1">
        <f ca="1">IFERROR(__xludf.DUMMYFUNCTION("""COMPUTED_VALUE"""),89)</f>
        <v>89</v>
      </c>
      <c r="E1162" s="1">
        <f ca="1">IFERROR(__xludf.DUMMYFUNCTION("""COMPUTED_VALUE"""),91.22)</f>
        <v>91.22</v>
      </c>
      <c r="F1162" s="1">
        <f ca="1">IFERROR(__xludf.DUMMYFUNCTION("""COMPUTED_VALUE"""),4075021)</f>
        <v>4075021</v>
      </c>
    </row>
    <row r="1163" spans="1:6" x14ac:dyDescent="0.35">
      <c r="A1163" s="2">
        <f ca="1">IFERROR(__xludf.DUMMYFUNCTION("""COMPUTED_VALUE"""),43691.6666666666)</f>
        <v>43691.666666666599</v>
      </c>
      <c r="B1163" s="1">
        <f ca="1">IFERROR(__xludf.DUMMYFUNCTION("""COMPUTED_VALUE"""),89.65)</f>
        <v>89.65</v>
      </c>
      <c r="C1163" s="1">
        <f ca="1">IFERROR(__xludf.DUMMYFUNCTION("""COMPUTED_VALUE"""),89.78)</f>
        <v>89.78</v>
      </c>
      <c r="D1163" s="1">
        <f ca="1">IFERROR(__xludf.DUMMYFUNCTION("""COMPUTED_VALUE"""),87.86)</f>
        <v>87.86</v>
      </c>
      <c r="E1163" s="1">
        <f ca="1">IFERROR(__xludf.DUMMYFUNCTION("""COMPUTED_VALUE"""),88.15)</f>
        <v>88.15</v>
      </c>
      <c r="F1163" s="1">
        <f ca="1">IFERROR(__xludf.DUMMYFUNCTION("""COMPUTED_VALUE"""),4893649)</f>
        <v>4893649</v>
      </c>
    </row>
    <row r="1164" spans="1:6" x14ac:dyDescent="0.35">
      <c r="A1164" s="2">
        <f ca="1">IFERROR(__xludf.DUMMYFUNCTION("""COMPUTED_VALUE"""),43692.6666666666)</f>
        <v>43692.666666666599</v>
      </c>
      <c r="B1164" s="1">
        <f ca="1">IFERROR(__xludf.DUMMYFUNCTION("""COMPUTED_VALUE"""),89.1)</f>
        <v>89.1</v>
      </c>
      <c r="C1164" s="1">
        <f ca="1">IFERROR(__xludf.DUMMYFUNCTION("""COMPUTED_VALUE"""),89.4)</f>
        <v>89.4</v>
      </c>
      <c r="D1164" s="1">
        <f ca="1">IFERROR(__xludf.DUMMYFUNCTION("""COMPUTED_VALUE"""),88.1)</f>
        <v>88.1</v>
      </c>
      <c r="E1164" s="1">
        <f ca="1">IFERROR(__xludf.DUMMYFUNCTION("""COMPUTED_VALUE"""),88.81)</f>
        <v>88.81</v>
      </c>
      <c r="F1164" s="1">
        <f ca="1">IFERROR(__xludf.DUMMYFUNCTION("""COMPUTED_VALUE"""),3809948)</f>
        <v>3809948</v>
      </c>
    </row>
    <row r="1165" spans="1:6" x14ac:dyDescent="0.35">
      <c r="A1165" s="2">
        <f ca="1">IFERROR(__xludf.DUMMYFUNCTION("""COMPUTED_VALUE"""),43693.6666666666)</f>
        <v>43693.666666666599</v>
      </c>
      <c r="B1165" s="1">
        <f ca="1">IFERROR(__xludf.DUMMYFUNCTION("""COMPUTED_VALUE"""),89.64)</f>
        <v>89.64</v>
      </c>
      <c r="C1165" s="1">
        <f ca="1">IFERROR(__xludf.DUMMYFUNCTION("""COMPUTED_VALUE"""),90.15)</f>
        <v>90.15</v>
      </c>
      <c r="D1165" s="1">
        <f ca="1">IFERROR(__xludf.DUMMYFUNCTION("""COMPUTED_VALUE"""),89.23)</f>
        <v>89.23</v>
      </c>
      <c r="E1165" s="1">
        <f ca="1">IFERROR(__xludf.DUMMYFUNCTION("""COMPUTED_VALUE"""),89.63)</f>
        <v>89.63</v>
      </c>
      <c r="F1165" s="1">
        <f ca="1">IFERROR(__xludf.DUMMYFUNCTION("""COMPUTED_VALUE"""),3054240)</f>
        <v>3054240</v>
      </c>
    </row>
    <row r="1166" spans="1:6" x14ac:dyDescent="0.35">
      <c r="A1166" s="2">
        <f ca="1">IFERROR(__xludf.DUMMYFUNCTION("""COMPUTED_VALUE"""),43696.6666666666)</f>
        <v>43696.666666666599</v>
      </c>
      <c r="B1166" s="1">
        <f ca="1">IFERROR(__xludf.DUMMYFUNCTION("""COMPUTED_VALUE"""),90.9)</f>
        <v>90.9</v>
      </c>
      <c r="C1166" s="1">
        <f ca="1">IFERROR(__xludf.DUMMYFUNCTION("""COMPUTED_VALUE"""),91.3)</f>
        <v>91.3</v>
      </c>
      <c r="D1166" s="1">
        <f ca="1">IFERROR(__xludf.DUMMYFUNCTION("""COMPUTED_VALUE"""),90.63)</f>
        <v>90.63</v>
      </c>
      <c r="E1166" s="1">
        <f ca="1">IFERROR(__xludf.DUMMYFUNCTION("""COMPUTED_VALUE"""),90.81)</f>
        <v>90.81</v>
      </c>
      <c r="F1166" s="1">
        <f ca="1">IFERROR(__xludf.DUMMYFUNCTION("""COMPUTED_VALUE"""),2820303)</f>
        <v>2820303</v>
      </c>
    </row>
    <row r="1167" spans="1:6" x14ac:dyDescent="0.35">
      <c r="A1167" s="2">
        <f ca="1">IFERROR(__xludf.DUMMYFUNCTION("""COMPUTED_VALUE"""),43697.6666666666)</f>
        <v>43697.666666666599</v>
      </c>
      <c r="B1167" s="1">
        <f ca="1">IFERROR(__xludf.DUMMYFUNCTION("""COMPUTED_VALUE"""),90.73)</f>
        <v>90.73</v>
      </c>
      <c r="C1167" s="1">
        <f ca="1">IFERROR(__xludf.DUMMYFUNCTION("""COMPUTED_VALUE"""),90.84)</f>
        <v>90.84</v>
      </c>
      <c r="D1167" s="1">
        <f ca="1">IFERROR(__xludf.DUMMYFUNCTION("""COMPUTED_VALUE"""),89.99)</f>
        <v>89.99</v>
      </c>
      <c r="E1167" s="1">
        <f ca="1">IFERROR(__xludf.DUMMYFUNCTION("""COMPUTED_VALUE"""),90.07)</f>
        <v>90.07</v>
      </c>
      <c r="F1167" s="1">
        <f ca="1">IFERROR(__xludf.DUMMYFUNCTION("""COMPUTED_VALUE"""),1932835)</f>
        <v>1932835</v>
      </c>
    </row>
    <row r="1168" spans="1:6" x14ac:dyDescent="0.35">
      <c r="A1168" s="2">
        <f ca="1">IFERROR(__xludf.DUMMYFUNCTION("""COMPUTED_VALUE"""),43698.6666666666)</f>
        <v>43698.666666666599</v>
      </c>
      <c r="B1168" s="1">
        <f ca="1">IFERROR(__xludf.DUMMYFUNCTION("""COMPUTED_VALUE"""),90.97)</f>
        <v>90.97</v>
      </c>
      <c r="C1168" s="1">
        <f ca="1">IFERROR(__xludf.DUMMYFUNCTION("""COMPUTED_VALUE"""),91.48)</f>
        <v>91.48</v>
      </c>
      <c r="D1168" s="1">
        <f ca="1">IFERROR(__xludf.DUMMYFUNCTION("""COMPUTED_VALUE"""),90.75)</f>
        <v>90.75</v>
      </c>
      <c r="E1168" s="1">
        <f ca="1">IFERROR(__xludf.DUMMYFUNCTION("""COMPUTED_VALUE"""),91.18)</f>
        <v>91.18</v>
      </c>
      <c r="F1168" s="1">
        <f ca="1">IFERROR(__xludf.DUMMYFUNCTION("""COMPUTED_VALUE"""),2039231)</f>
        <v>2039231</v>
      </c>
    </row>
    <row r="1169" spans="1:6" x14ac:dyDescent="0.35">
      <c r="A1169" s="2">
        <f ca="1">IFERROR(__xludf.DUMMYFUNCTION("""COMPUTED_VALUE"""),43699.6666666666)</f>
        <v>43699.666666666599</v>
      </c>
      <c r="B1169" s="1">
        <f ca="1">IFERROR(__xludf.DUMMYFUNCTION("""COMPUTED_VALUE"""),91.4)</f>
        <v>91.4</v>
      </c>
      <c r="C1169" s="1">
        <f ca="1">IFERROR(__xludf.DUMMYFUNCTION("""COMPUTED_VALUE"""),91.47)</f>
        <v>91.47</v>
      </c>
      <c r="D1169" s="1">
        <f ca="1">IFERROR(__xludf.DUMMYFUNCTION("""COMPUTED_VALUE"""),90.01)</f>
        <v>90.01</v>
      </c>
      <c r="E1169" s="1">
        <f ca="1">IFERROR(__xludf.DUMMYFUNCTION("""COMPUTED_VALUE"""),90.28)</f>
        <v>90.28</v>
      </c>
      <c r="F1169" s="1">
        <f ca="1">IFERROR(__xludf.DUMMYFUNCTION("""COMPUTED_VALUE"""),2658388)</f>
        <v>2658388</v>
      </c>
    </row>
    <row r="1170" spans="1:6" x14ac:dyDescent="0.35">
      <c r="A1170" s="2">
        <f ca="1">IFERROR(__xludf.DUMMYFUNCTION("""COMPUTED_VALUE"""),43700.6666666666)</f>
        <v>43700.666666666599</v>
      </c>
      <c r="B1170" s="1">
        <f ca="1">IFERROR(__xludf.DUMMYFUNCTION("""COMPUTED_VALUE"""),89.65)</f>
        <v>89.65</v>
      </c>
      <c r="C1170" s="1">
        <f ca="1">IFERROR(__xludf.DUMMYFUNCTION("""COMPUTED_VALUE"""),90.24)</f>
        <v>90.24</v>
      </c>
      <c r="D1170" s="1">
        <f ca="1">IFERROR(__xludf.DUMMYFUNCTION("""COMPUTED_VALUE"""),87.26)</f>
        <v>87.26</v>
      </c>
      <c r="E1170" s="1">
        <f ca="1">IFERROR(__xludf.DUMMYFUNCTION("""COMPUTED_VALUE"""),87.48)</f>
        <v>87.48</v>
      </c>
      <c r="F1170" s="1">
        <f ca="1">IFERROR(__xludf.DUMMYFUNCTION("""COMPUTED_VALUE"""),5277898)</f>
        <v>5277898</v>
      </c>
    </row>
    <row r="1171" spans="1:6" x14ac:dyDescent="0.35">
      <c r="A1171" s="2">
        <f ca="1">IFERROR(__xludf.DUMMYFUNCTION("""COMPUTED_VALUE"""),43703.6666666666)</f>
        <v>43703.666666666599</v>
      </c>
      <c r="B1171" s="1">
        <f ca="1">IFERROR(__xludf.DUMMYFUNCTION("""COMPUTED_VALUE"""),88.35)</f>
        <v>88.35</v>
      </c>
      <c r="C1171" s="1">
        <f ca="1">IFERROR(__xludf.DUMMYFUNCTION("""COMPUTED_VALUE"""),88.5)</f>
        <v>88.5</v>
      </c>
      <c r="D1171" s="1">
        <f ca="1">IFERROR(__xludf.DUMMYFUNCTION("""COMPUTED_VALUE"""),87.18)</f>
        <v>87.18</v>
      </c>
      <c r="E1171" s="1">
        <f ca="1">IFERROR(__xludf.DUMMYFUNCTION("""COMPUTED_VALUE"""),88.44)</f>
        <v>88.44</v>
      </c>
      <c r="F1171" s="1">
        <f ca="1">IFERROR(__xludf.DUMMYFUNCTION("""COMPUTED_VALUE"""),3085320)</f>
        <v>3085320</v>
      </c>
    </row>
    <row r="1172" spans="1:6" x14ac:dyDescent="0.35">
      <c r="A1172" s="2">
        <f ca="1">IFERROR(__xludf.DUMMYFUNCTION("""COMPUTED_VALUE"""),43704.6666666666)</f>
        <v>43704.666666666599</v>
      </c>
      <c r="B1172" s="1">
        <f ca="1">IFERROR(__xludf.DUMMYFUNCTION("""COMPUTED_VALUE"""),88.79)</f>
        <v>88.79</v>
      </c>
      <c r="C1172" s="1">
        <f ca="1">IFERROR(__xludf.DUMMYFUNCTION("""COMPUTED_VALUE"""),88.97)</f>
        <v>88.97</v>
      </c>
      <c r="D1172" s="1">
        <f ca="1">IFERROR(__xludf.DUMMYFUNCTION("""COMPUTED_VALUE"""),87.33)</f>
        <v>87.33</v>
      </c>
      <c r="E1172" s="1">
        <f ca="1">IFERROR(__xludf.DUMMYFUNCTION("""COMPUTED_VALUE"""),88.09)</f>
        <v>88.09</v>
      </c>
      <c r="F1172" s="1">
        <f ca="1">IFERROR(__xludf.DUMMYFUNCTION("""COMPUTED_VALUE"""),3027245)</f>
        <v>3027245</v>
      </c>
    </row>
    <row r="1173" spans="1:6" x14ac:dyDescent="0.35">
      <c r="A1173" s="2">
        <f ca="1">IFERROR(__xludf.DUMMYFUNCTION("""COMPUTED_VALUE"""),43705.6666666666)</f>
        <v>43705.666666666599</v>
      </c>
      <c r="B1173" s="1">
        <f ca="1">IFERROR(__xludf.DUMMYFUNCTION("""COMPUTED_VALUE"""),87.75)</f>
        <v>87.75</v>
      </c>
      <c r="C1173" s="1">
        <f ca="1">IFERROR(__xludf.DUMMYFUNCTION("""COMPUTED_VALUE"""),88.39)</f>
        <v>88.39</v>
      </c>
      <c r="D1173" s="1">
        <f ca="1">IFERROR(__xludf.DUMMYFUNCTION("""COMPUTED_VALUE"""),87.2)</f>
        <v>87.2</v>
      </c>
      <c r="E1173" s="1">
        <f ca="1">IFERROR(__xludf.DUMMYFUNCTION("""COMPUTED_VALUE"""),88.21)</f>
        <v>88.21</v>
      </c>
      <c r="F1173" s="1">
        <f ca="1">IFERROR(__xludf.DUMMYFUNCTION("""COMPUTED_VALUE"""),2421893)</f>
        <v>2421893</v>
      </c>
    </row>
    <row r="1174" spans="1:6" x14ac:dyDescent="0.35">
      <c r="A1174" s="2">
        <f ca="1">IFERROR(__xludf.DUMMYFUNCTION("""COMPUTED_VALUE"""),43706.6666666666)</f>
        <v>43706.666666666599</v>
      </c>
      <c r="B1174" s="1">
        <f ca="1">IFERROR(__xludf.DUMMYFUNCTION("""COMPUTED_VALUE"""),89.15)</f>
        <v>89.15</v>
      </c>
      <c r="C1174" s="1">
        <f ca="1">IFERROR(__xludf.DUMMYFUNCTION("""COMPUTED_VALUE"""),89.93)</f>
        <v>89.93</v>
      </c>
      <c r="D1174" s="1">
        <f ca="1">IFERROR(__xludf.DUMMYFUNCTION("""COMPUTED_VALUE"""),88.86)</f>
        <v>88.86</v>
      </c>
      <c r="E1174" s="1">
        <f ca="1">IFERROR(__xludf.DUMMYFUNCTION("""COMPUTED_VALUE"""),89.32)</f>
        <v>89.32</v>
      </c>
      <c r="F1174" s="1">
        <f ca="1">IFERROR(__xludf.DUMMYFUNCTION("""COMPUTED_VALUE"""),3018012)</f>
        <v>3018012</v>
      </c>
    </row>
    <row r="1175" spans="1:6" x14ac:dyDescent="0.35">
      <c r="A1175" s="2">
        <f ca="1">IFERROR(__xludf.DUMMYFUNCTION("""COMPUTED_VALUE"""),43707.6666666666)</f>
        <v>43707.666666666599</v>
      </c>
      <c r="B1175" s="1">
        <f ca="1">IFERROR(__xludf.DUMMYFUNCTION("""COMPUTED_VALUE"""),89.87)</f>
        <v>89.87</v>
      </c>
      <c r="C1175" s="1">
        <f ca="1">IFERROR(__xludf.DUMMYFUNCTION("""COMPUTED_VALUE"""),89.99)</f>
        <v>89.99</v>
      </c>
      <c r="D1175" s="1">
        <f ca="1">IFERROR(__xludf.DUMMYFUNCTION("""COMPUTED_VALUE"""),88.23)</f>
        <v>88.23</v>
      </c>
      <c r="E1175" s="1">
        <f ca="1">IFERROR(__xludf.DUMMYFUNCTION("""COMPUTED_VALUE"""),88.81)</f>
        <v>88.81</v>
      </c>
      <c r="F1175" s="1">
        <f ca="1">IFERROR(__xludf.DUMMYFUNCTION("""COMPUTED_VALUE"""),3064147)</f>
        <v>3064147</v>
      </c>
    </row>
    <row r="1176" spans="1:6" x14ac:dyDescent="0.35">
      <c r="A1176" s="2">
        <f ca="1">IFERROR(__xludf.DUMMYFUNCTION("""COMPUTED_VALUE"""),43711.6666666666)</f>
        <v>43711.666666666599</v>
      </c>
      <c r="B1176" s="1">
        <f ca="1">IFERROR(__xludf.DUMMYFUNCTION("""COMPUTED_VALUE"""),88.5)</f>
        <v>88.5</v>
      </c>
      <c r="C1176" s="1">
        <f ca="1">IFERROR(__xludf.DUMMYFUNCTION("""COMPUTED_VALUE"""),90.04)</f>
        <v>90.04</v>
      </c>
      <c r="D1176" s="1">
        <f ca="1">IFERROR(__xludf.DUMMYFUNCTION("""COMPUTED_VALUE"""),88.4)</f>
        <v>88.4</v>
      </c>
      <c r="E1176" s="1">
        <f ca="1">IFERROR(__xludf.DUMMYFUNCTION("""COMPUTED_VALUE"""),89.49)</f>
        <v>89.49</v>
      </c>
      <c r="F1176" s="1">
        <f ca="1">IFERROR(__xludf.DUMMYFUNCTION("""COMPUTED_VALUE"""),3546859)</f>
        <v>3546859</v>
      </c>
    </row>
    <row r="1177" spans="1:6" x14ac:dyDescent="0.35">
      <c r="A1177" s="2">
        <f ca="1">IFERROR(__xludf.DUMMYFUNCTION("""COMPUTED_VALUE"""),43712.6666666666)</f>
        <v>43712.666666666599</v>
      </c>
      <c r="B1177" s="1">
        <f ca="1">IFERROR(__xludf.DUMMYFUNCTION("""COMPUTED_VALUE"""),90.25)</f>
        <v>90.25</v>
      </c>
      <c r="C1177" s="1">
        <f ca="1">IFERROR(__xludf.DUMMYFUNCTION("""COMPUTED_VALUE"""),90.38)</f>
        <v>90.38</v>
      </c>
      <c r="D1177" s="1">
        <f ca="1">IFERROR(__xludf.DUMMYFUNCTION("""COMPUTED_VALUE"""),89.81)</f>
        <v>89.81</v>
      </c>
      <c r="E1177" s="1">
        <f ca="1">IFERROR(__xludf.DUMMYFUNCTION("""COMPUTED_VALUE"""),90.03)</f>
        <v>90.03</v>
      </c>
      <c r="F1177" s="1">
        <f ca="1">IFERROR(__xludf.DUMMYFUNCTION("""COMPUTED_VALUE"""),2326228)</f>
        <v>2326228</v>
      </c>
    </row>
    <row r="1178" spans="1:6" x14ac:dyDescent="0.35">
      <c r="A1178" s="2">
        <f ca="1">IFERROR(__xludf.DUMMYFUNCTION("""COMPUTED_VALUE"""),43713.6666666666)</f>
        <v>43713.666666666599</v>
      </c>
      <c r="B1178" s="1">
        <f ca="1">IFERROR(__xludf.DUMMYFUNCTION("""COMPUTED_VALUE"""),91.1)</f>
        <v>91.1</v>
      </c>
      <c r="C1178" s="1">
        <f ca="1">IFERROR(__xludf.DUMMYFUNCTION("""COMPUTED_VALUE"""),92.1)</f>
        <v>92.1</v>
      </c>
      <c r="D1178" s="1">
        <f ca="1">IFERROR(__xludf.DUMMYFUNCTION("""COMPUTED_VALUE"""),90.78)</f>
        <v>90.78</v>
      </c>
      <c r="E1178" s="1">
        <f ca="1">IFERROR(__xludf.DUMMYFUNCTION("""COMPUTED_VALUE"""),92.04)</f>
        <v>92.04</v>
      </c>
      <c r="F1178" s="1">
        <f ca="1">IFERROR(__xludf.DUMMYFUNCTION("""COMPUTED_VALUE"""),3325189)</f>
        <v>3325189</v>
      </c>
    </row>
    <row r="1179" spans="1:6" x14ac:dyDescent="0.35">
      <c r="A1179" s="2">
        <f ca="1">IFERROR(__xludf.DUMMYFUNCTION("""COMPUTED_VALUE"""),43714.6666666666)</f>
        <v>43714.666666666599</v>
      </c>
      <c r="B1179" s="1">
        <f ca="1">IFERROR(__xludf.DUMMYFUNCTION("""COMPUTED_VALUE"""),91.91)</f>
        <v>91.91</v>
      </c>
      <c r="C1179" s="1">
        <f ca="1">IFERROR(__xludf.DUMMYFUNCTION("""COMPUTED_VALUE"""),92.03)</f>
        <v>92.03</v>
      </c>
      <c r="D1179" s="1">
        <f ca="1">IFERROR(__xludf.DUMMYFUNCTION("""COMPUTED_VALUE"""),91.32)</f>
        <v>91.32</v>
      </c>
      <c r="E1179" s="1">
        <f ca="1">IFERROR(__xludf.DUMMYFUNCTION("""COMPUTED_VALUE"""),91.68)</f>
        <v>91.68</v>
      </c>
      <c r="F1179" s="1">
        <f ca="1">IFERROR(__xludf.DUMMYFUNCTION("""COMPUTED_VALUE"""),2496933)</f>
        <v>2496933</v>
      </c>
    </row>
    <row r="1180" spans="1:6" x14ac:dyDescent="0.35">
      <c r="A1180" s="2">
        <f ca="1">IFERROR(__xludf.DUMMYFUNCTION("""COMPUTED_VALUE"""),43717.6666666666)</f>
        <v>43717.666666666599</v>
      </c>
      <c r="B1180" s="1">
        <f ca="1">IFERROR(__xludf.DUMMYFUNCTION("""COMPUTED_VALUE"""),92.05)</f>
        <v>92.05</v>
      </c>
      <c r="C1180" s="1">
        <f ca="1">IFERROR(__xludf.DUMMYFUNCTION("""COMPUTED_VALUE"""),92.5)</f>
        <v>92.5</v>
      </c>
      <c r="D1180" s="1">
        <f ca="1">IFERROR(__xludf.DUMMYFUNCTION("""COMPUTED_VALUE"""),91.23)</f>
        <v>91.23</v>
      </c>
      <c r="E1180" s="1">
        <f ca="1">IFERROR(__xludf.DUMMYFUNCTION("""COMPUTED_VALUE"""),91.57)</f>
        <v>91.57</v>
      </c>
      <c r="F1180" s="1">
        <f ca="1">IFERROR(__xludf.DUMMYFUNCTION("""COMPUTED_VALUE"""),2999515)</f>
        <v>2999515</v>
      </c>
    </row>
    <row r="1181" spans="1:6" x14ac:dyDescent="0.35">
      <c r="A1181" s="2">
        <f ca="1">IFERROR(__xludf.DUMMYFUNCTION("""COMPUTED_VALUE"""),43718.6666666666)</f>
        <v>43718.666666666599</v>
      </c>
      <c r="B1181" s="1">
        <f ca="1">IFERROR(__xludf.DUMMYFUNCTION("""COMPUTED_VALUE"""),91.14)</f>
        <v>91.14</v>
      </c>
      <c r="C1181" s="1">
        <f ca="1">IFERROR(__xludf.DUMMYFUNCTION("""COMPUTED_VALUE"""),91.29)</f>
        <v>91.29</v>
      </c>
      <c r="D1181" s="1">
        <f ca="1">IFERROR(__xludf.DUMMYFUNCTION("""COMPUTED_VALUE"""),90.27)</f>
        <v>90.27</v>
      </c>
      <c r="E1181" s="1">
        <f ca="1">IFERROR(__xludf.DUMMYFUNCTION("""COMPUTED_VALUE"""),91.03)</f>
        <v>91.03</v>
      </c>
      <c r="F1181" s="1">
        <f ca="1">IFERROR(__xludf.DUMMYFUNCTION("""COMPUTED_VALUE"""),2613879)</f>
        <v>2613879</v>
      </c>
    </row>
    <row r="1182" spans="1:6" x14ac:dyDescent="0.35">
      <c r="A1182" s="2">
        <f ca="1">IFERROR(__xludf.DUMMYFUNCTION("""COMPUTED_VALUE"""),43719.6666666666)</f>
        <v>43719.666666666599</v>
      </c>
      <c r="B1182" s="1">
        <f ca="1">IFERROR(__xludf.DUMMYFUNCTION("""COMPUTED_VALUE"""),90.61)</f>
        <v>90.61</v>
      </c>
      <c r="C1182" s="1">
        <f ca="1">IFERROR(__xludf.DUMMYFUNCTION("""COMPUTED_VALUE"""),91.67)</f>
        <v>91.67</v>
      </c>
      <c r="D1182" s="1">
        <f ca="1">IFERROR(__xludf.DUMMYFUNCTION("""COMPUTED_VALUE"""),90.45)</f>
        <v>90.45</v>
      </c>
      <c r="E1182" s="1">
        <f ca="1">IFERROR(__xludf.DUMMYFUNCTION("""COMPUTED_VALUE"""),91.15)</f>
        <v>91.15</v>
      </c>
      <c r="F1182" s="1">
        <f ca="1">IFERROR(__xludf.DUMMYFUNCTION("""COMPUTED_VALUE"""),2432767)</f>
        <v>2432767</v>
      </c>
    </row>
    <row r="1183" spans="1:6" x14ac:dyDescent="0.35">
      <c r="A1183" s="2">
        <f ca="1">IFERROR(__xludf.DUMMYFUNCTION("""COMPUTED_VALUE"""),43720.6666666666)</f>
        <v>43720.666666666599</v>
      </c>
      <c r="B1183" s="1">
        <f ca="1">IFERROR(__xludf.DUMMYFUNCTION("""COMPUTED_VALUE"""),91.88)</f>
        <v>91.88</v>
      </c>
      <c r="C1183" s="1">
        <f ca="1">IFERROR(__xludf.DUMMYFUNCTION("""COMPUTED_VALUE"""),92.68)</f>
        <v>92.68</v>
      </c>
      <c r="D1183" s="1">
        <f ca="1">IFERROR(__xludf.DUMMYFUNCTION("""COMPUTED_VALUE"""),91.71)</f>
        <v>91.71</v>
      </c>
      <c r="E1183" s="1">
        <f ca="1">IFERROR(__xludf.DUMMYFUNCTION("""COMPUTED_VALUE"""),92.18)</f>
        <v>92.18</v>
      </c>
      <c r="F1183" s="1">
        <f ca="1">IFERROR(__xludf.DUMMYFUNCTION("""COMPUTED_VALUE"""),2823505)</f>
        <v>2823505</v>
      </c>
    </row>
    <row r="1184" spans="1:6" x14ac:dyDescent="0.35">
      <c r="A1184" s="2">
        <f ca="1">IFERROR(__xludf.DUMMYFUNCTION("""COMPUTED_VALUE"""),43721.6666666666)</f>
        <v>43721.666666666599</v>
      </c>
      <c r="B1184" s="1">
        <f ca="1">IFERROR(__xludf.DUMMYFUNCTION("""COMPUTED_VALUE"""),92.1)</f>
        <v>92.1</v>
      </c>
      <c r="C1184" s="1">
        <f ca="1">IFERROR(__xludf.DUMMYFUNCTION("""COMPUTED_VALUE"""),92.31)</f>
        <v>92.31</v>
      </c>
      <c r="D1184" s="1">
        <f ca="1">IFERROR(__xludf.DUMMYFUNCTION("""COMPUTED_VALUE"""),91.76)</f>
        <v>91.76</v>
      </c>
      <c r="E1184" s="1">
        <f ca="1">IFERROR(__xludf.DUMMYFUNCTION("""COMPUTED_VALUE"""),91.97)</f>
        <v>91.97</v>
      </c>
      <c r="F1184" s="1">
        <f ca="1">IFERROR(__xludf.DUMMYFUNCTION("""COMPUTED_VALUE"""),1971317)</f>
        <v>1971317</v>
      </c>
    </row>
    <row r="1185" spans="1:6" x14ac:dyDescent="0.35">
      <c r="A1185" s="2">
        <f ca="1">IFERROR(__xludf.DUMMYFUNCTION("""COMPUTED_VALUE"""),43724.6666666666)</f>
        <v>43724.666666666599</v>
      </c>
      <c r="B1185" s="1">
        <f ca="1">IFERROR(__xludf.DUMMYFUNCTION("""COMPUTED_VALUE"""),91.2)</f>
        <v>91.2</v>
      </c>
      <c r="C1185" s="1">
        <f ca="1">IFERROR(__xludf.DUMMYFUNCTION("""COMPUTED_VALUE"""),91.28)</f>
        <v>91.28</v>
      </c>
      <c r="D1185" s="1">
        <f ca="1">IFERROR(__xludf.DUMMYFUNCTION("""COMPUTED_VALUE"""),90.01)</f>
        <v>90.01</v>
      </c>
      <c r="E1185" s="1">
        <f ca="1">IFERROR(__xludf.DUMMYFUNCTION("""COMPUTED_VALUE"""),90.39)</f>
        <v>90.39</v>
      </c>
      <c r="F1185" s="1">
        <f ca="1">IFERROR(__xludf.DUMMYFUNCTION("""COMPUTED_VALUE"""),3675473)</f>
        <v>3675473</v>
      </c>
    </row>
    <row r="1186" spans="1:6" x14ac:dyDescent="0.35">
      <c r="A1186" s="2">
        <f ca="1">IFERROR(__xludf.DUMMYFUNCTION("""COMPUTED_VALUE"""),43725.6666666666)</f>
        <v>43725.666666666599</v>
      </c>
      <c r="B1186" s="1">
        <f ca="1">IFERROR(__xludf.DUMMYFUNCTION("""COMPUTED_VALUE"""),90.35)</f>
        <v>90.35</v>
      </c>
      <c r="C1186" s="1">
        <f ca="1">IFERROR(__xludf.DUMMYFUNCTION("""COMPUTED_VALUE"""),91.2)</f>
        <v>91.2</v>
      </c>
      <c r="D1186" s="1">
        <f ca="1">IFERROR(__xludf.DUMMYFUNCTION("""COMPUTED_VALUE"""),90.21)</f>
        <v>90.21</v>
      </c>
      <c r="E1186" s="1">
        <f ca="1">IFERROR(__xludf.DUMMYFUNCTION("""COMPUTED_VALUE"""),91.13)</f>
        <v>91.13</v>
      </c>
      <c r="F1186" s="1">
        <f ca="1">IFERROR(__xludf.DUMMYFUNCTION("""COMPUTED_VALUE"""),2033058)</f>
        <v>2033058</v>
      </c>
    </row>
    <row r="1187" spans="1:6" x14ac:dyDescent="0.35">
      <c r="A1187" s="2">
        <f ca="1">IFERROR(__xludf.DUMMYFUNCTION("""COMPUTED_VALUE"""),43726.6666666666)</f>
        <v>43726.666666666599</v>
      </c>
      <c r="B1187" s="1">
        <f ca="1">IFERROR(__xludf.DUMMYFUNCTION("""COMPUTED_VALUE"""),90.85)</f>
        <v>90.85</v>
      </c>
      <c r="C1187" s="1">
        <f ca="1">IFERROR(__xludf.DUMMYFUNCTION("""COMPUTED_VALUE"""),91.1)</f>
        <v>91.1</v>
      </c>
      <c r="D1187" s="1">
        <f ca="1">IFERROR(__xludf.DUMMYFUNCTION("""COMPUTED_VALUE"""),89.78)</f>
        <v>89.78</v>
      </c>
      <c r="E1187" s="1">
        <f ca="1">IFERROR(__xludf.DUMMYFUNCTION("""COMPUTED_VALUE"""),90.87)</f>
        <v>90.87</v>
      </c>
      <c r="F1187" s="1">
        <f ca="1">IFERROR(__xludf.DUMMYFUNCTION("""COMPUTED_VALUE"""),2536012)</f>
        <v>2536012</v>
      </c>
    </row>
    <row r="1188" spans="1:6" x14ac:dyDescent="0.35">
      <c r="A1188" s="2">
        <f ca="1">IFERROR(__xludf.DUMMYFUNCTION("""COMPUTED_VALUE"""),43727.6666666666)</f>
        <v>43727.666666666599</v>
      </c>
      <c r="B1188" s="1">
        <f ca="1">IFERROR(__xludf.DUMMYFUNCTION("""COMPUTED_VALUE"""),91.05)</f>
        <v>91.05</v>
      </c>
      <c r="C1188" s="1">
        <f ca="1">IFERROR(__xludf.DUMMYFUNCTION("""COMPUTED_VALUE"""),91.63)</f>
        <v>91.63</v>
      </c>
      <c r="D1188" s="1">
        <f ca="1">IFERROR(__xludf.DUMMYFUNCTION("""COMPUTED_VALUE"""),90.9)</f>
        <v>90.9</v>
      </c>
      <c r="E1188" s="1">
        <f ca="1">IFERROR(__xludf.DUMMYFUNCTION("""COMPUTED_VALUE"""),91.08)</f>
        <v>91.08</v>
      </c>
      <c r="F1188" s="1">
        <f ca="1">IFERROR(__xludf.DUMMYFUNCTION("""COMPUTED_VALUE"""),2078335)</f>
        <v>2078335</v>
      </c>
    </row>
    <row r="1189" spans="1:6" x14ac:dyDescent="0.35">
      <c r="A1189" s="2">
        <f ca="1">IFERROR(__xludf.DUMMYFUNCTION("""COMPUTED_VALUE"""),43728.6666666666)</f>
        <v>43728.666666666599</v>
      </c>
      <c r="B1189" s="1">
        <f ca="1">IFERROR(__xludf.DUMMYFUNCTION("""COMPUTED_VALUE"""),91.09)</f>
        <v>91.09</v>
      </c>
      <c r="C1189" s="1">
        <f ca="1">IFERROR(__xludf.DUMMYFUNCTION("""COMPUTED_VALUE"""),91.53)</f>
        <v>91.53</v>
      </c>
      <c r="D1189" s="1">
        <f ca="1">IFERROR(__xludf.DUMMYFUNCTION("""COMPUTED_VALUE"""),89.05)</f>
        <v>89.05</v>
      </c>
      <c r="E1189" s="1">
        <f ca="1">IFERROR(__xludf.DUMMYFUNCTION("""COMPUTED_VALUE"""),89.71)</f>
        <v>89.71</v>
      </c>
      <c r="F1189" s="1">
        <f ca="1">IFERROR(__xludf.DUMMYFUNCTION("""COMPUTED_VALUE"""),5555839)</f>
        <v>5555839</v>
      </c>
    </row>
    <row r="1190" spans="1:6" x14ac:dyDescent="0.35">
      <c r="A1190" s="2">
        <f ca="1">IFERROR(__xludf.DUMMYFUNCTION("""COMPUTED_VALUE"""),43731.6666666666)</f>
        <v>43731.666666666599</v>
      </c>
      <c r="B1190" s="1">
        <f ca="1">IFERROR(__xludf.DUMMYFUNCTION("""COMPUTED_VALUE"""),88.85)</f>
        <v>88.85</v>
      </c>
      <c r="C1190" s="1">
        <f ca="1">IFERROR(__xludf.DUMMYFUNCTION("""COMPUTED_VALUE"""),89.64)</f>
        <v>89.64</v>
      </c>
      <c r="D1190" s="1">
        <f ca="1">IFERROR(__xludf.DUMMYFUNCTION("""COMPUTED_VALUE"""),88.37)</f>
        <v>88.37</v>
      </c>
      <c r="E1190" s="1">
        <f ca="1">IFERROR(__xludf.DUMMYFUNCTION("""COMPUTED_VALUE"""),89.27)</f>
        <v>89.27</v>
      </c>
      <c r="F1190" s="1">
        <f ca="1">IFERROR(__xludf.DUMMYFUNCTION("""COMPUTED_VALUE"""),3139142)</f>
        <v>3139142</v>
      </c>
    </row>
    <row r="1191" spans="1:6" x14ac:dyDescent="0.35">
      <c r="A1191" s="2">
        <f ca="1">IFERROR(__xludf.DUMMYFUNCTION("""COMPUTED_VALUE"""),43732.6666666666)</f>
        <v>43732.666666666599</v>
      </c>
      <c r="B1191" s="1">
        <f ca="1">IFERROR(__xludf.DUMMYFUNCTION("""COMPUTED_VALUE"""),89.53)</f>
        <v>89.53</v>
      </c>
      <c r="C1191" s="1">
        <f ca="1">IFERROR(__xludf.DUMMYFUNCTION("""COMPUTED_VALUE"""),89.79)</f>
        <v>89.79</v>
      </c>
      <c r="D1191" s="1">
        <f ca="1">IFERROR(__xludf.DUMMYFUNCTION("""COMPUTED_VALUE"""),86.78)</f>
        <v>86.78</v>
      </c>
      <c r="E1191" s="1">
        <f ca="1">IFERROR(__xludf.DUMMYFUNCTION("""COMPUTED_VALUE"""),87.08)</f>
        <v>87.08</v>
      </c>
      <c r="F1191" s="1">
        <f ca="1">IFERROR(__xludf.DUMMYFUNCTION("""COMPUTED_VALUE"""),4637901)</f>
        <v>4637901</v>
      </c>
    </row>
    <row r="1192" spans="1:6" x14ac:dyDescent="0.35">
      <c r="A1192" s="2">
        <f ca="1">IFERROR(__xludf.DUMMYFUNCTION("""COMPUTED_VALUE"""),43733.6666666666)</f>
        <v>43733.666666666599</v>
      </c>
      <c r="B1192" s="1">
        <f ca="1">IFERROR(__xludf.DUMMYFUNCTION("""COMPUTED_VALUE"""),87.37)</f>
        <v>87.37</v>
      </c>
      <c r="C1192" s="1">
        <f ca="1">IFERROR(__xludf.DUMMYFUNCTION("""COMPUTED_VALUE"""),88.65)</f>
        <v>88.65</v>
      </c>
      <c r="D1192" s="1">
        <f ca="1">IFERROR(__xludf.DUMMYFUNCTION("""COMPUTED_VALUE"""),86.15)</f>
        <v>86.15</v>
      </c>
      <c r="E1192" s="1">
        <f ca="1">IFERROR(__xludf.DUMMYFUNCTION("""COMPUTED_VALUE"""),88.42)</f>
        <v>88.42</v>
      </c>
      <c r="F1192" s="1">
        <f ca="1">IFERROR(__xludf.DUMMYFUNCTION("""COMPUTED_VALUE"""),3531098)</f>
        <v>3531098</v>
      </c>
    </row>
    <row r="1193" spans="1:6" x14ac:dyDescent="0.35">
      <c r="A1193" s="2">
        <f ca="1">IFERROR(__xludf.DUMMYFUNCTION("""COMPUTED_VALUE"""),43734.6666666666)</f>
        <v>43734.666666666599</v>
      </c>
      <c r="B1193" s="1">
        <f ca="1">IFERROR(__xludf.DUMMYFUNCTION("""COMPUTED_VALUE"""),88.14)</f>
        <v>88.14</v>
      </c>
      <c r="C1193" s="1">
        <f ca="1">IFERROR(__xludf.DUMMYFUNCTION("""COMPUTED_VALUE"""),88.17)</f>
        <v>88.17</v>
      </c>
      <c r="D1193" s="1">
        <f ca="1">IFERROR(__xludf.DUMMYFUNCTION("""COMPUTED_VALUE"""),86.58)</f>
        <v>86.58</v>
      </c>
      <c r="E1193" s="1">
        <f ca="1">IFERROR(__xludf.DUMMYFUNCTION("""COMPUTED_VALUE"""),86.99)</f>
        <v>86.99</v>
      </c>
      <c r="F1193" s="1">
        <f ca="1">IFERROR(__xludf.DUMMYFUNCTION("""COMPUTED_VALUE"""),3571952)</f>
        <v>3571952</v>
      </c>
    </row>
    <row r="1194" spans="1:6" x14ac:dyDescent="0.35">
      <c r="A1194" s="2">
        <f ca="1">IFERROR(__xludf.DUMMYFUNCTION("""COMPUTED_VALUE"""),43735.6666666666)</f>
        <v>43735.666666666599</v>
      </c>
      <c r="B1194" s="1">
        <f ca="1">IFERROR(__xludf.DUMMYFUNCTION("""COMPUTED_VALUE"""),87.4)</f>
        <v>87.4</v>
      </c>
      <c r="C1194" s="1">
        <f ca="1">IFERROR(__xludf.DUMMYFUNCTION("""COMPUTED_VALUE"""),87.46)</f>
        <v>87.46</v>
      </c>
      <c r="D1194" s="1">
        <f ca="1">IFERROR(__xludf.DUMMYFUNCTION("""COMPUTED_VALUE"""),85.69)</f>
        <v>85.69</v>
      </c>
      <c r="E1194" s="1">
        <f ca="1">IFERROR(__xludf.DUMMYFUNCTION("""COMPUTED_VALUE"""),86.27)</f>
        <v>86.27</v>
      </c>
      <c r="F1194" s="1">
        <f ca="1">IFERROR(__xludf.DUMMYFUNCTION("""COMPUTED_VALUE"""),3948029)</f>
        <v>3948029</v>
      </c>
    </row>
    <row r="1195" spans="1:6" x14ac:dyDescent="0.35">
      <c r="A1195" s="2">
        <f ca="1">IFERROR(__xludf.DUMMYFUNCTION("""COMPUTED_VALUE"""),43738.6666666666)</f>
        <v>43738.666666666599</v>
      </c>
      <c r="B1195" s="1">
        <f ca="1">IFERROR(__xludf.DUMMYFUNCTION("""COMPUTED_VALUE"""),86.35)</f>
        <v>86.35</v>
      </c>
      <c r="C1195" s="1">
        <f ca="1">IFERROR(__xludf.DUMMYFUNCTION("""COMPUTED_VALUE"""),86.87)</f>
        <v>86.87</v>
      </c>
      <c r="D1195" s="1">
        <f ca="1">IFERROR(__xludf.DUMMYFUNCTION("""COMPUTED_VALUE"""),85.46)</f>
        <v>85.46</v>
      </c>
      <c r="E1195" s="1">
        <f ca="1">IFERROR(__xludf.DUMMYFUNCTION("""COMPUTED_VALUE"""),86.8)</f>
        <v>86.8</v>
      </c>
      <c r="F1195" s="1">
        <f ca="1">IFERROR(__xludf.DUMMYFUNCTION("""COMPUTED_VALUE"""),2760768)</f>
        <v>2760768</v>
      </c>
    </row>
    <row r="1196" spans="1:6" x14ac:dyDescent="0.35">
      <c r="A1196" s="2">
        <f ca="1">IFERROR(__xludf.DUMMYFUNCTION("""COMPUTED_VALUE"""),43739.6666666666)</f>
        <v>43739.666666666599</v>
      </c>
      <c r="B1196" s="1">
        <f ca="1">IFERROR(__xludf.DUMMYFUNCTION("""COMPUTED_VALUE"""),87.3)</f>
        <v>87.3</v>
      </c>
      <c r="C1196" s="1">
        <f ca="1">IFERROR(__xludf.DUMMYFUNCTION("""COMPUTED_VALUE"""),87.78)</f>
        <v>87.78</v>
      </c>
      <c r="D1196" s="1">
        <f ca="1">IFERROR(__xludf.DUMMYFUNCTION("""COMPUTED_VALUE"""),86.42)</f>
        <v>86.42</v>
      </c>
      <c r="E1196" s="1">
        <f ca="1">IFERROR(__xludf.DUMMYFUNCTION("""COMPUTED_VALUE"""),86.78)</f>
        <v>86.78</v>
      </c>
      <c r="F1196" s="1">
        <f ca="1">IFERROR(__xludf.DUMMYFUNCTION("""COMPUTED_VALUE"""),3170460)</f>
        <v>3170460</v>
      </c>
    </row>
    <row r="1197" spans="1:6" x14ac:dyDescent="0.35">
      <c r="A1197" s="2">
        <f ca="1">IFERROR(__xludf.DUMMYFUNCTION("""COMPUTED_VALUE"""),43740.6666666666)</f>
        <v>43740.666666666599</v>
      </c>
      <c r="B1197" s="1">
        <f ca="1">IFERROR(__xludf.DUMMYFUNCTION("""COMPUTED_VALUE"""),86.39)</f>
        <v>86.39</v>
      </c>
      <c r="C1197" s="1">
        <f ca="1">IFERROR(__xludf.DUMMYFUNCTION("""COMPUTED_VALUE"""),86.44)</f>
        <v>86.44</v>
      </c>
      <c r="D1197" s="1">
        <f ca="1">IFERROR(__xludf.DUMMYFUNCTION("""COMPUTED_VALUE"""),85.25)</f>
        <v>85.25</v>
      </c>
      <c r="E1197" s="1">
        <f ca="1">IFERROR(__xludf.DUMMYFUNCTION("""COMPUTED_VALUE"""),85.66)</f>
        <v>85.66</v>
      </c>
      <c r="F1197" s="1">
        <f ca="1">IFERROR(__xludf.DUMMYFUNCTION("""COMPUTED_VALUE"""),3338476)</f>
        <v>3338476</v>
      </c>
    </row>
    <row r="1198" spans="1:6" x14ac:dyDescent="0.35">
      <c r="A1198" s="2">
        <f ca="1">IFERROR(__xludf.DUMMYFUNCTION("""COMPUTED_VALUE"""),43741.6666666666)</f>
        <v>43741.666666666599</v>
      </c>
      <c r="B1198" s="1">
        <f ca="1">IFERROR(__xludf.DUMMYFUNCTION("""COMPUTED_VALUE"""),85.65)</f>
        <v>85.65</v>
      </c>
      <c r="C1198" s="1">
        <f ca="1">IFERROR(__xludf.DUMMYFUNCTION("""COMPUTED_VALUE"""),86.25)</f>
        <v>86.25</v>
      </c>
      <c r="D1198" s="1">
        <f ca="1">IFERROR(__xludf.DUMMYFUNCTION("""COMPUTED_VALUE"""),84.25)</f>
        <v>84.25</v>
      </c>
      <c r="E1198" s="1">
        <f ca="1">IFERROR(__xludf.DUMMYFUNCTION("""COMPUTED_VALUE"""),86.22)</f>
        <v>86.22</v>
      </c>
      <c r="F1198" s="1">
        <f ca="1">IFERROR(__xludf.DUMMYFUNCTION("""COMPUTED_VALUE"""),3624371)</f>
        <v>3624371</v>
      </c>
    </row>
    <row r="1199" spans="1:6" x14ac:dyDescent="0.35">
      <c r="A1199" s="2">
        <f ca="1">IFERROR(__xludf.DUMMYFUNCTION("""COMPUTED_VALUE"""),43742.6666666666)</f>
        <v>43742.666666666599</v>
      </c>
      <c r="B1199" s="1">
        <f ca="1">IFERROR(__xludf.DUMMYFUNCTION("""COMPUTED_VALUE"""),86.3)</f>
        <v>86.3</v>
      </c>
      <c r="C1199" s="1">
        <f ca="1">IFERROR(__xludf.DUMMYFUNCTION("""COMPUTED_VALUE"""),87.03)</f>
        <v>87.03</v>
      </c>
      <c r="D1199" s="1">
        <f ca="1">IFERROR(__xludf.DUMMYFUNCTION("""COMPUTED_VALUE"""),85.96)</f>
        <v>85.96</v>
      </c>
      <c r="E1199" s="1">
        <f ca="1">IFERROR(__xludf.DUMMYFUNCTION("""COMPUTED_VALUE"""),86.98)</f>
        <v>86.98</v>
      </c>
      <c r="F1199" s="1">
        <f ca="1">IFERROR(__xludf.DUMMYFUNCTION("""COMPUTED_VALUE"""),2489277)</f>
        <v>2489277</v>
      </c>
    </row>
    <row r="1200" spans="1:6" x14ac:dyDescent="0.35">
      <c r="A1200" s="2">
        <f ca="1">IFERROR(__xludf.DUMMYFUNCTION("""COMPUTED_VALUE"""),43745.6666666666)</f>
        <v>43745.666666666599</v>
      </c>
      <c r="B1200" s="1">
        <f ca="1">IFERROR(__xludf.DUMMYFUNCTION("""COMPUTED_VALUE"""),86.58)</f>
        <v>86.58</v>
      </c>
      <c r="C1200" s="1">
        <f ca="1">IFERROR(__xludf.DUMMYFUNCTION("""COMPUTED_VALUE"""),87.39)</f>
        <v>87.39</v>
      </c>
      <c r="D1200" s="1">
        <f ca="1">IFERROR(__xludf.DUMMYFUNCTION("""COMPUTED_VALUE"""),86.19)</f>
        <v>86.19</v>
      </c>
      <c r="E1200" s="1">
        <f ca="1">IFERROR(__xludf.DUMMYFUNCTION("""COMPUTED_VALUE"""),86.63)</f>
        <v>86.63</v>
      </c>
      <c r="F1200" s="1">
        <f ca="1">IFERROR(__xludf.DUMMYFUNCTION("""COMPUTED_VALUE"""),2187598)</f>
        <v>2187598</v>
      </c>
    </row>
    <row r="1201" spans="1:6" x14ac:dyDescent="0.35">
      <c r="A1201" s="2">
        <f ca="1">IFERROR(__xludf.DUMMYFUNCTION("""COMPUTED_VALUE"""),43746.6666666666)</f>
        <v>43746.666666666599</v>
      </c>
      <c r="B1201" s="1">
        <f ca="1">IFERROR(__xludf.DUMMYFUNCTION("""COMPUTED_VALUE"""),86.12)</f>
        <v>86.12</v>
      </c>
      <c r="C1201" s="1">
        <f ca="1">IFERROR(__xludf.DUMMYFUNCTION("""COMPUTED_VALUE"""),86.35)</f>
        <v>86.35</v>
      </c>
      <c r="D1201" s="1">
        <f ca="1">IFERROR(__xludf.DUMMYFUNCTION("""COMPUTED_VALUE"""),85.25)</f>
        <v>85.25</v>
      </c>
      <c r="E1201" s="1">
        <f ca="1">IFERROR(__xludf.DUMMYFUNCTION("""COMPUTED_VALUE"""),85.28)</f>
        <v>85.28</v>
      </c>
      <c r="F1201" s="1">
        <f ca="1">IFERROR(__xludf.DUMMYFUNCTION("""COMPUTED_VALUE"""),2626840)</f>
        <v>2626840</v>
      </c>
    </row>
    <row r="1202" spans="1:6" x14ac:dyDescent="0.35">
      <c r="A1202" s="2">
        <f ca="1">IFERROR(__xludf.DUMMYFUNCTION("""COMPUTED_VALUE"""),43747.6666666666)</f>
        <v>43747.666666666599</v>
      </c>
      <c r="B1202" s="1">
        <f ca="1">IFERROR(__xludf.DUMMYFUNCTION("""COMPUTED_VALUE"""),85.98)</f>
        <v>85.98</v>
      </c>
      <c r="C1202" s="1">
        <f ca="1">IFERROR(__xludf.DUMMYFUNCTION("""COMPUTED_VALUE"""),86.5)</f>
        <v>86.5</v>
      </c>
      <c r="D1202" s="1">
        <f ca="1">IFERROR(__xludf.DUMMYFUNCTION("""COMPUTED_VALUE"""),85.72)</f>
        <v>85.72</v>
      </c>
      <c r="E1202" s="1">
        <f ca="1">IFERROR(__xludf.DUMMYFUNCTION("""COMPUTED_VALUE"""),86.1)</f>
        <v>86.1</v>
      </c>
      <c r="F1202" s="1">
        <f ca="1">IFERROR(__xludf.DUMMYFUNCTION("""COMPUTED_VALUE"""),2089335)</f>
        <v>2089335</v>
      </c>
    </row>
    <row r="1203" spans="1:6" x14ac:dyDescent="0.35">
      <c r="A1203" s="2">
        <f ca="1">IFERROR(__xludf.DUMMYFUNCTION("""COMPUTED_VALUE"""),43748.6666666666)</f>
        <v>43748.666666666599</v>
      </c>
      <c r="B1203" s="1">
        <f ca="1">IFERROR(__xludf.DUMMYFUNCTION("""COMPUTED_VALUE"""),86.26)</f>
        <v>86.26</v>
      </c>
      <c r="C1203" s="1">
        <f ca="1">IFERROR(__xludf.DUMMYFUNCTION("""COMPUTED_VALUE"""),86.91)</f>
        <v>86.91</v>
      </c>
      <c r="D1203" s="1">
        <f ca="1">IFERROR(__xludf.DUMMYFUNCTION("""COMPUTED_VALUE"""),85.69)</f>
        <v>85.69</v>
      </c>
      <c r="E1203" s="1">
        <f ca="1">IFERROR(__xludf.DUMMYFUNCTION("""COMPUTED_VALUE"""),86.01)</f>
        <v>86.01</v>
      </c>
      <c r="F1203" s="1">
        <f ca="1">IFERROR(__xludf.DUMMYFUNCTION("""COMPUTED_VALUE"""),2721531)</f>
        <v>2721531</v>
      </c>
    </row>
    <row r="1204" spans="1:6" x14ac:dyDescent="0.35">
      <c r="A1204" s="2">
        <f ca="1">IFERROR(__xludf.DUMMYFUNCTION("""COMPUTED_VALUE"""),43749.6666666666)</f>
        <v>43749.666666666599</v>
      </c>
      <c r="B1204" s="1">
        <f ca="1">IFERROR(__xludf.DUMMYFUNCTION("""COMPUTED_VALUE"""),87.15)</f>
        <v>87.15</v>
      </c>
      <c r="C1204" s="1">
        <f ca="1">IFERROR(__xludf.DUMMYFUNCTION("""COMPUTED_VALUE"""),87.27)</f>
        <v>87.27</v>
      </c>
      <c r="D1204" s="1">
        <f ca="1">IFERROR(__xludf.DUMMYFUNCTION("""COMPUTED_VALUE"""),86.49)</f>
        <v>86.49</v>
      </c>
      <c r="E1204" s="1">
        <f ca="1">IFERROR(__xludf.DUMMYFUNCTION("""COMPUTED_VALUE"""),86.6)</f>
        <v>86.6</v>
      </c>
      <c r="F1204" s="1">
        <f ca="1">IFERROR(__xludf.DUMMYFUNCTION("""COMPUTED_VALUE"""),3279534)</f>
        <v>3279534</v>
      </c>
    </row>
    <row r="1205" spans="1:6" x14ac:dyDescent="0.35">
      <c r="A1205" s="2">
        <f ca="1">IFERROR(__xludf.DUMMYFUNCTION("""COMPUTED_VALUE"""),43752.6666666666)</f>
        <v>43752.666666666599</v>
      </c>
      <c r="B1205" s="1">
        <f ca="1">IFERROR(__xludf.DUMMYFUNCTION("""COMPUTED_VALUE"""),86.45)</f>
        <v>86.45</v>
      </c>
      <c r="C1205" s="1">
        <f ca="1">IFERROR(__xludf.DUMMYFUNCTION("""COMPUTED_VALUE"""),87.09)</f>
        <v>87.09</v>
      </c>
      <c r="D1205" s="1">
        <f ca="1">IFERROR(__xludf.DUMMYFUNCTION("""COMPUTED_VALUE"""),86.1)</f>
        <v>86.1</v>
      </c>
      <c r="E1205" s="1">
        <f ca="1">IFERROR(__xludf.DUMMYFUNCTION("""COMPUTED_VALUE"""),86.82)</f>
        <v>86.82</v>
      </c>
      <c r="F1205" s="1">
        <f ca="1">IFERROR(__xludf.DUMMYFUNCTION("""COMPUTED_VALUE"""),1928898)</f>
        <v>1928898</v>
      </c>
    </row>
    <row r="1206" spans="1:6" x14ac:dyDescent="0.35">
      <c r="A1206" s="2">
        <f ca="1">IFERROR(__xludf.DUMMYFUNCTION("""COMPUTED_VALUE"""),43753.6666666666)</f>
        <v>43753.666666666599</v>
      </c>
      <c r="B1206" s="1">
        <f ca="1">IFERROR(__xludf.DUMMYFUNCTION("""COMPUTED_VALUE"""),87.11)</f>
        <v>87.11</v>
      </c>
      <c r="C1206" s="1">
        <f ca="1">IFERROR(__xludf.DUMMYFUNCTION("""COMPUTED_VALUE"""),88.82)</f>
        <v>88.82</v>
      </c>
      <c r="D1206" s="1">
        <f ca="1">IFERROR(__xludf.DUMMYFUNCTION("""COMPUTED_VALUE"""),87.03)</f>
        <v>87.03</v>
      </c>
      <c r="E1206" s="1">
        <f ca="1">IFERROR(__xludf.DUMMYFUNCTION("""COMPUTED_VALUE"""),88.37)</f>
        <v>88.37</v>
      </c>
      <c r="F1206" s="1">
        <f ca="1">IFERROR(__xludf.DUMMYFUNCTION("""COMPUTED_VALUE"""),3129244)</f>
        <v>3129244</v>
      </c>
    </row>
    <row r="1207" spans="1:6" x14ac:dyDescent="0.35">
      <c r="A1207" s="2">
        <f ca="1">IFERROR(__xludf.DUMMYFUNCTION("""COMPUTED_VALUE"""),43754.6666666666)</f>
        <v>43754.666666666599</v>
      </c>
      <c r="B1207" s="1">
        <f ca="1">IFERROR(__xludf.DUMMYFUNCTION("""COMPUTED_VALUE"""),88.67)</f>
        <v>88.67</v>
      </c>
      <c r="C1207" s="1">
        <f ca="1">IFERROR(__xludf.DUMMYFUNCTION("""COMPUTED_VALUE"""),89.31)</f>
        <v>89.31</v>
      </c>
      <c r="D1207" s="1">
        <f ca="1">IFERROR(__xludf.DUMMYFUNCTION("""COMPUTED_VALUE"""),88.53)</f>
        <v>88.53</v>
      </c>
      <c r="E1207" s="1">
        <f ca="1">IFERROR(__xludf.DUMMYFUNCTION("""COMPUTED_VALUE"""),88.87)</f>
        <v>88.87</v>
      </c>
      <c r="F1207" s="1">
        <f ca="1">IFERROR(__xludf.DUMMYFUNCTION("""COMPUTED_VALUE"""),2804068)</f>
        <v>2804068</v>
      </c>
    </row>
    <row r="1208" spans="1:6" x14ac:dyDescent="0.35">
      <c r="A1208" s="2">
        <f ca="1">IFERROR(__xludf.DUMMYFUNCTION("""COMPUTED_VALUE"""),43755.6666666666)</f>
        <v>43755.666666666599</v>
      </c>
      <c r="B1208" s="1">
        <f ca="1">IFERROR(__xludf.DUMMYFUNCTION("""COMPUTED_VALUE"""),89.82)</f>
        <v>89.82</v>
      </c>
      <c r="C1208" s="1">
        <f ca="1">IFERROR(__xludf.DUMMYFUNCTION("""COMPUTED_VALUE"""),89.94)</f>
        <v>89.94</v>
      </c>
      <c r="D1208" s="1">
        <f ca="1">IFERROR(__xludf.DUMMYFUNCTION("""COMPUTED_VALUE"""),89.1)</f>
        <v>89.1</v>
      </c>
      <c r="E1208" s="1">
        <f ca="1">IFERROR(__xludf.DUMMYFUNCTION("""COMPUTED_VALUE"""),89.37)</f>
        <v>89.37</v>
      </c>
      <c r="F1208" s="1">
        <f ca="1">IFERROR(__xludf.DUMMYFUNCTION("""COMPUTED_VALUE"""),2713773)</f>
        <v>2713773</v>
      </c>
    </row>
    <row r="1209" spans="1:6" x14ac:dyDescent="0.35">
      <c r="A1209" s="2">
        <f ca="1">IFERROR(__xludf.DUMMYFUNCTION("""COMPUTED_VALUE"""),43756.6666666666)</f>
        <v>43756.666666666599</v>
      </c>
      <c r="B1209" s="1">
        <f ca="1">IFERROR(__xludf.DUMMYFUNCTION("""COMPUTED_VALUE"""),89.39)</f>
        <v>89.39</v>
      </c>
      <c r="C1209" s="1">
        <f ca="1">IFERROR(__xludf.DUMMYFUNCTION("""COMPUTED_VALUE"""),89.7)</f>
        <v>89.7</v>
      </c>
      <c r="D1209" s="1">
        <f ca="1">IFERROR(__xludf.DUMMYFUNCTION("""COMPUTED_VALUE"""),87.46)</f>
        <v>87.46</v>
      </c>
      <c r="E1209" s="1">
        <f ca="1">IFERROR(__xludf.DUMMYFUNCTION("""COMPUTED_VALUE"""),87.88)</f>
        <v>87.88</v>
      </c>
      <c r="F1209" s="1">
        <f ca="1">IFERROR(__xludf.DUMMYFUNCTION("""COMPUTED_VALUE"""),3366091)</f>
        <v>3366091</v>
      </c>
    </row>
    <row r="1210" spans="1:6" x14ac:dyDescent="0.35">
      <c r="A1210" s="2">
        <f ca="1">IFERROR(__xludf.DUMMYFUNCTION("""COMPUTED_VALUE"""),43759.6666666666)</f>
        <v>43759.666666666599</v>
      </c>
      <c r="B1210" s="1">
        <f ca="1">IFERROR(__xludf.DUMMYFUNCTION("""COMPUTED_VALUE"""),88.48)</f>
        <v>88.48</v>
      </c>
      <c r="C1210" s="1">
        <f ca="1">IFERROR(__xludf.DUMMYFUNCTION("""COMPUTED_VALUE"""),89.29)</f>
        <v>89.29</v>
      </c>
      <c r="D1210" s="1">
        <f ca="1">IFERROR(__xludf.DUMMYFUNCTION("""COMPUTED_VALUE"""),88.25)</f>
        <v>88.25</v>
      </c>
      <c r="E1210" s="1">
        <f ca="1">IFERROR(__xludf.DUMMYFUNCTION("""COMPUTED_VALUE"""),89.28)</f>
        <v>89.28</v>
      </c>
      <c r="F1210" s="1">
        <f ca="1">IFERROR(__xludf.DUMMYFUNCTION("""COMPUTED_VALUE"""),2224902)</f>
        <v>2224902</v>
      </c>
    </row>
    <row r="1211" spans="1:6" x14ac:dyDescent="0.35">
      <c r="A1211" s="2">
        <f ca="1">IFERROR(__xludf.DUMMYFUNCTION("""COMPUTED_VALUE"""),43760.6666666666)</f>
        <v>43760.666666666599</v>
      </c>
      <c r="B1211" s="1">
        <f ca="1">IFERROR(__xludf.DUMMYFUNCTION("""COMPUTED_VALUE"""),89.41)</f>
        <v>89.41</v>
      </c>
      <c r="C1211" s="1">
        <f ca="1">IFERROR(__xludf.DUMMYFUNCTION("""COMPUTED_VALUE"""),89.49)</f>
        <v>89.49</v>
      </c>
      <c r="D1211" s="1">
        <f ca="1">IFERROR(__xludf.DUMMYFUNCTION("""COMPUTED_VALUE"""),88.1)</f>
        <v>88.1</v>
      </c>
      <c r="E1211" s="1">
        <f ca="1">IFERROR(__xludf.DUMMYFUNCTION("""COMPUTED_VALUE"""),88.29)</f>
        <v>88.29</v>
      </c>
      <c r="F1211" s="1">
        <f ca="1">IFERROR(__xludf.DUMMYFUNCTION("""COMPUTED_VALUE"""),2234425)</f>
        <v>2234425</v>
      </c>
    </row>
    <row r="1212" spans="1:6" x14ac:dyDescent="0.35">
      <c r="A1212" s="2">
        <f ca="1">IFERROR(__xludf.DUMMYFUNCTION("""COMPUTED_VALUE"""),43761.6666666666)</f>
        <v>43761.666666666599</v>
      </c>
      <c r="B1212" s="1">
        <f ca="1">IFERROR(__xludf.DUMMYFUNCTION("""COMPUTED_VALUE"""),88.07)</f>
        <v>88.07</v>
      </c>
      <c r="C1212" s="1">
        <f ca="1">IFERROR(__xludf.DUMMYFUNCTION("""COMPUTED_VALUE"""),88.5)</f>
        <v>88.5</v>
      </c>
      <c r="D1212" s="1">
        <f ca="1">IFERROR(__xludf.DUMMYFUNCTION("""COMPUTED_VALUE"""),87.1)</f>
        <v>87.1</v>
      </c>
      <c r="E1212" s="1">
        <f ca="1">IFERROR(__xludf.DUMMYFUNCTION("""COMPUTED_VALUE"""),88.11)</f>
        <v>88.11</v>
      </c>
      <c r="F1212" s="1">
        <f ca="1">IFERROR(__xludf.DUMMYFUNCTION("""COMPUTED_VALUE"""),2190380)</f>
        <v>2190380</v>
      </c>
    </row>
    <row r="1213" spans="1:6" x14ac:dyDescent="0.35">
      <c r="A1213" s="2">
        <f ca="1">IFERROR(__xludf.DUMMYFUNCTION("""COMPUTED_VALUE"""),43762.6666666666)</f>
        <v>43762.666666666599</v>
      </c>
      <c r="B1213" s="1">
        <f ca="1">IFERROR(__xludf.DUMMYFUNCTION("""COMPUTED_VALUE"""),88.55)</f>
        <v>88.55</v>
      </c>
      <c r="C1213" s="1">
        <f ca="1">IFERROR(__xludf.DUMMYFUNCTION("""COMPUTED_VALUE"""),89.42)</f>
        <v>89.42</v>
      </c>
      <c r="D1213" s="1">
        <f ca="1">IFERROR(__xludf.DUMMYFUNCTION("""COMPUTED_VALUE"""),88.01)</f>
        <v>88.01</v>
      </c>
      <c r="E1213" s="1">
        <f ca="1">IFERROR(__xludf.DUMMYFUNCTION("""COMPUTED_VALUE"""),89.04)</f>
        <v>89.04</v>
      </c>
      <c r="F1213" s="1">
        <f ca="1">IFERROR(__xludf.DUMMYFUNCTION("""COMPUTED_VALUE"""),5204350)</f>
        <v>5204350</v>
      </c>
    </row>
    <row r="1214" spans="1:6" x14ac:dyDescent="0.35">
      <c r="A1214" s="2">
        <f ca="1">IFERROR(__xludf.DUMMYFUNCTION("""COMPUTED_VALUE"""),43763.6666666666)</f>
        <v>43763.666666666599</v>
      </c>
      <c r="B1214" s="1">
        <f ca="1">IFERROR(__xludf.DUMMYFUNCTION("""COMPUTED_VALUE"""),84.88)</f>
        <v>84.88</v>
      </c>
      <c r="C1214" s="1">
        <f ca="1">IFERROR(__xludf.DUMMYFUNCTION("""COMPUTED_VALUE"""),88.21)</f>
        <v>88.21</v>
      </c>
      <c r="D1214" s="1">
        <f ca="1">IFERROR(__xludf.DUMMYFUNCTION("""COMPUTED_VALUE"""),84.75)</f>
        <v>84.75</v>
      </c>
      <c r="E1214" s="1">
        <f ca="1">IFERROR(__xludf.DUMMYFUNCTION("""COMPUTED_VALUE"""),88.07)</f>
        <v>88.07</v>
      </c>
      <c r="F1214" s="1">
        <f ca="1">IFERROR(__xludf.DUMMYFUNCTION("""COMPUTED_VALUE"""),9626402)</f>
        <v>9626402</v>
      </c>
    </row>
    <row r="1215" spans="1:6" x14ac:dyDescent="0.35">
      <c r="A1215" s="2">
        <f ca="1">IFERROR(__xludf.DUMMYFUNCTION("""COMPUTED_VALUE"""),43766.6666666666)</f>
        <v>43766.666666666599</v>
      </c>
      <c r="B1215" s="1">
        <f ca="1">IFERROR(__xludf.DUMMYFUNCTION("""COMPUTED_VALUE"""),87.4)</f>
        <v>87.4</v>
      </c>
      <c r="C1215" s="1">
        <f ca="1">IFERROR(__xludf.DUMMYFUNCTION("""COMPUTED_VALUE"""),88.94)</f>
        <v>88.94</v>
      </c>
      <c r="D1215" s="1">
        <f ca="1">IFERROR(__xludf.DUMMYFUNCTION("""COMPUTED_VALUE"""),87.13)</f>
        <v>87.13</v>
      </c>
      <c r="E1215" s="1">
        <f ca="1">IFERROR(__xludf.DUMMYFUNCTION("""COMPUTED_VALUE"""),88.85)</f>
        <v>88.85</v>
      </c>
      <c r="F1215" s="1">
        <f ca="1">IFERROR(__xludf.DUMMYFUNCTION("""COMPUTED_VALUE"""),3708851)</f>
        <v>3708851</v>
      </c>
    </row>
    <row r="1216" spans="1:6" x14ac:dyDescent="0.35">
      <c r="A1216" s="2">
        <f ca="1">IFERROR(__xludf.DUMMYFUNCTION("""COMPUTED_VALUE"""),43767.6666666666)</f>
        <v>43767.666666666599</v>
      </c>
      <c r="B1216" s="1">
        <f ca="1">IFERROR(__xludf.DUMMYFUNCTION("""COMPUTED_VALUE"""),88.74)</f>
        <v>88.74</v>
      </c>
      <c r="C1216" s="1">
        <f ca="1">IFERROR(__xludf.DUMMYFUNCTION("""COMPUTED_VALUE"""),88.85)</f>
        <v>88.85</v>
      </c>
      <c r="D1216" s="1">
        <f ca="1">IFERROR(__xludf.DUMMYFUNCTION("""COMPUTED_VALUE"""),87.79)</f>
        <v>87.79</v>
      </c>
      <c r="E1216" s="1">
        <f ca="1">IFERROR(__xludf.DUMMYFUNCTION("""COMPUTED_VALUE"""),88.14)</f>
        <v>88.14</v>
      </c>
      <c r="F1216" s="1">
        <f ca="1">IFERROR(__xludf.DUMMYFUNCTION("""COMPUTED_VALUE"""),2276855)</f>
        <v>2276855</v>
      </c>
    </row>
    <row r="1217" spans="1:6" x14ac:dyDescent="0.35">
      <c r="A1217" s="2">
        <f ca="1">IFERROR(__xludf.DUMMYFUNCTION("""COMPUTED_VALUE"""),43768.6666666666)</f>
        <v>43768.666666666599</v>
      </c>
      <c r="B1217" s="1">
        <f ca="1">IFERROR(__xludf.DUMMYFUNCTION("""COMPUTED_VALUE"""),88.01)</f>
        <v>88.01</v>
      </c>
      <c r="C1217" s="1">
        <f ca="1">IFERROR(__xludf.DUMMYFUNCTION("""COMPUTED_VALUE"""),89.12)</f>
        <v>89.12</v>
      </c>
      <c r="D1217" s="1">
        <f ca="1">IFERROR(__xludf.DUMMYFUNCTION("""COMPUTED_VALUE"""),87.96)</f>
        <v>87.96</v>
      </c>
      <c r="E1217" s="1">
        <f ca="1">IFERROR(__xludf.DUMMYFUNCTION("""COMPUTED_VALUE"""),89)</f>
        <v>89</v>
      </c>
      <c r="F1217" s="1">
        <f ca="1">IFERROR(__xludf.DUMMYFUNCTION("""COMPUTED_VALUE"""),2449405)</f>
        <v>2449405</v>
      </c>
    </row>
    <row r="1218" spans="1:6" x14ac:dyDescent="0.35">
      <c r="A1218" s="2">
        <f ca="1">IFERROR(__xludf.DUMMYFUNCTION("""COMPUTED_VALUE"""),43769.6666666666)</f>
        <v>43769.666666666599</v>
      </c>
      <c r="B1218" s="1">
        <f ca="1">IFERROR(__xludf.DUMMYFUNCTION("""COMPUTED_VALUE"""),88.8)</f>
        <v>88.8</v>
      </c>
      <c r="C1218" s="1">
        <f ca="1">IFERROR(__xludf.DUMMYFUNCTION("""COMPUTED_VALUE"""),89.6)</f>
        <v>89.6</v>
      </c>
      <c r="D1218" s="1">
        <f ca="1">IFERROR(__xludf.DUMMYFUNCTION("""COMPUTED_VALUE"""),88.57)</f>
        <v>88.57</v>
      </c>
      <c r="E1218" s="1">
        <f ca="1">IFERROR(__xludf.DUMMYFUNCTION("""COMPUTED_VALUE"""),88.83)</f>
        <v>88.83</v>
      </c>
      <c r="F1218" s="1">
        <f ca="1">IFERROR(__xludf.DUMMYFUNCTION("""COMPUTED_VALUE"""),2781185)</f>
        <v>2781185</v>
      </c>
    </row>
    <row r="1219" spans="1:6" x14ac:dyDescent="0.35">
      <c r="A1219" s="2">
        <f ca="1">IFERROR(__xludf.DUMMYFUNCTION("""COMPUTED_VALUE"""),43770.6666666666)</f>
        <v>43770.666666666599</v>
      </c>
      <c r="B1219" s="1">
        <f ca="1">IFERROR(__xludf.DUMMYFUNCTION("""COMPUTED_VALUE"""),89.4)</f>
        <v>89.4</v>
      </c>
      <c r="C1219" s="1">
        <f ca="1">IFERROR(__xludf.DUMMYFUNCTION("""COMPUTED_VALUE"""),89.87)</f>
        <v>89.87</v>
      </c>
      <c r="D1219" s="1">
        <f ca="1">IFERROR(__xludf.DUMMYFUNCTION("""COMPUTED_VALUE"""),89.26)</f>
        <v>89.26</v>
      </c>
      <c r="E1219" s="1">
        <f ca="1">IFERROR(__xludf.DUMMYFUNCTION("""COMPUTED_VALUE"""),89.57)</f>
        <v>89.57</v>
      </c>
      <c r="F1219" s="1">
        <f ca="1">IFERROR(__xludf.DUMMYFUNCTION("""COMPUTED_VALUE"""),2790354)</f>
        <v>2790354</v>
      </c>
    </row>
    <row r="1220" spans="1:6" x14ac:dyDescent="0.35">
      <c r="A1220" s="2">
        <f ca="1">IFERROR(__xludf.DUMMYFUNCTION("""COMPUTED_VALUE"""),43773.6666666666)</f>
        <v>43773.666666666599</v>
      </c>
      <c r="B1220" s="1">
        <f ca="1">IFERROR(__xludf.DUMMYFUNCTION("""COMPUTED_VALUE"""),90.05)</f>
        <v>90.05</v>
      </c>
      <c r="C1220" s="1">
        <f ca="1">IFERROR(__xludf.DUMMYFUNCTION("""COMPUTED_VALUE"""),90.75)</f>
        <v>90.75</v>
      </c>
      <c r="D1220" s="1">
        <f ca="1">IFERROR(__xludf.DUMMYFUNCTION("""COMPUTED_VALUE"""),90.05)</f>
        <v>90.05</v>
      </c>
      <c r="E1220" s="1">
        <f ca="1">IFERROR(__xludf.DUMMYFUNCTION("""COMPUTED_VALUE"""),90.23)</f>
        <v>90.23</v>
      </c>
      <c r="F1220" s="1">
        <f ca="1">IFERROR(__xludf.DUMMYFUNCTION("""COMPUTED_VALUE"""),2771922)</f>
        <v>2771922</v>
      </c>
    </row>
    <row r="1221" spans="1:6" x14ac:dyDescent="0.35">
      <c r="A1221" s="2">
        <f ca="1">IFERROR(__xludf.DUMMYFUNCTION("""COMPUTED_VALUE"""),43774.6666666666)</f>
        <v>43774.666666666599</v>
      </c>
      <c r="B1221" s="1">
        <f ca="1">IFERROR(__xludf.DUMMYFUNCTION("""COMPUTED_VALUE"""),90.46)</f>
        <v>90.46</v>
      </c>
      <c r="C1221" s="1">
        <f ca="1">IFERROR(__xludf.DUMMYFUNCTION("""COMPUTED_VALUE"""),90.51)</f>
        <v>90.51</v>
      </c>
      <c r="D1221" s="1">
        <f ca="1">IFERROR(__xludf.DUMMYFUNCTION("""COMPUTED_VALUE"""),89.7)</f>
        <v>89.7</v>
      </c>
      <c r="E1221" s="1">
        <f ca="1">IFERROR(__xludf.DUMMYFUNCTION("""COMPUTED_VALUE"""),90.09)</f>
        <v>90.09</v>
      </c>
      <c r="F1221" s="1">
        <f ca="1">IFERROR(__xludf.DUMMYFUNCTION("""COMPUTED_VALUE"""),1885543)</f>
        <v>1885543</v>
      </c>
    </row>
    <row r="1222" spans="1:6" x14ac:dyDescent="0.35">
      <c r="A1222" s="2">
        <f ca="1">IFERROR(__xludf.DUMMYFUNCTION("""COMPUTED_VALUE"""),43775.6666666666)</f>
        <v>43775.666666666599</v>
      </c>
      <c r="B1222" s="1">
        <f ca="1">IFERROR(__xludf.DUMMYFUNCTION("""COMPUTED_VALUE"""),90.05)</f>
        <v>90.05</v>
      </c>
      <c r="C1222" s="1">
        <f ca="1">IFERROR(__xludf.DUMMYFUNCTION("""COMPUTED_VALUE"""),90.13)</f>
        <v>90.13</v>
      </c>
      <c r="D1222" s="1">
        <f ca="1">IFERROR(__xludf.DUMMYFUNCTION("""COMPUTED_VALUE"""),89.43)</f>
        <v>89.43</v>
      </c>
      <c r="E1222" s="1">
        <f ca="1">IFERROR(__xludf.DUMMYFUNCTION("""COMPUTED_VALUE"""),89.79)</f>
        <v>89.79</v>
      </c>
      <c r="F1222" s="1">
        <f ca="1">IFERROR(__xludf.DUMMYFUNCTION("""COMPUTED_VALUE"""),2029783)</f>
        <v>2029783</v>
      </c>
    </row>
    <row r="1223" spans="1:6" x14ac:dyDescent="0.35">
      <c r="A1223" s="2">
        <f ca="1">IFERROR(__xludf.DUMMYFUNCTION("""COMPUTED_VALUE"""),43776.6666666666)</f>
        <v>43776.666666666599</v>
      </c>
      <c r="B1223" s="1">
        <f ca="1">IFERROR(__xludf.DUMMYFUNCTION("""COMPUTED_VALUE"""),90.19)</f>
        <v>90.19</v>
      </c>
      <c r="C1223" s="1">
        <f ca="1">IFERROR(__xludf.DUMMYFUNCTION("""COMPUTED_VALUE"""),90.3)</f>
        <v>90.3</v>
      </c>
      <c r="D1223" s="1">
        <f ca="1">IFERROR(__xludf.DUMMYFUNCTION("""COMPUTED_VALUE"""),89.17)</f>
        <v>89.17</v>
      </c>
      <c r="E1223" s="1">
        <f ca="1">IFERROR(__xludf.DUMMYFUNCTION("""COMPUTED_VALUE"""),89.41)</f>
        <v>89.41</v>
      </c>
      <c r="F1223" s="1">
        <f ca="1">IFERROR(__xludf.DUMMYFUNCTION("""COMPUTED_VALUE"""),2651086)</f>
        <v>2651086</v>
      </c>
    </row>
    <row r="1224" spans="1:6" x14ac:dyDescent="0.35">
      <c r="A1224" s="2">
        <f ca="1">IFERROR(__xludf.DUMMYFUNCTION("""COMPUTED_VALUE"""),43777.6666666666)</f>
        <v>43777.666666666599</v>
      </c>
      <c r="B1224" s="1">
        <f ca="1">IFERROR(__xludf.DUMMYFUNCTION("""COMPUTED_VALUE"""),89.39)</f>
        <v>89.39</v>
      </c>
      <c r="C1224" s="1">
        <f ca="1">IFERROR(__xludf.DUMMYFUNCTION("""COMPUTED_VALUE"""),89.49)</f>
        <v>89.49</v>
      </c>
      <c r="D1224" s="1">
        <f ca="1">IFERROR(__xludf.DUMMYFUNCTION("""COMPUTED_VALUE"""),88.7)</f>
        <v>88.7</v>
      </c>
      <c r="E1224" s="1">
        <f ca="1">IFERROR(__xludf.DUMMYFUNCTION("""COMPUTED_VALUE"""),89.29)</f>
        <v>89.29</v>
      </c>
      <c r="F1224" s="1">
        <f ca="1">IFERROR(__xludf.DUMMYFUNCTION("""COMPUTED_VALUE"""),2126198)</f>
        <v>2126198</v>
      </c>
    </row>
    <row r="1225" spans="1:6" x14ac:dyDescent="0.35">
      <c r="A1225" s="2">
        <f ca="1">IFERROR(__xludf.DUMMYFUNCTION("""COMPUTED_VALUE"""),43780.6666666666)</f>
        <v>43780.666666666599</v>
      </c>
      <c r="B1225" s="1">
        <f ca="1">IFERROR(__xludf.DUMMYFUNCTION("""COMPUTED_VALUE"""),88.9)</f>
        <v>88.9</v>
      </c>
      <c r="C1225" s="1">
        <f ca="1">IFERROR(__xludf.DUMMYFUNCTION("""COMPUTED_VALUE"""),89)</f>
        <v>89</v>
      </c>
      <c r="D1225" s="1">
        <f ca="1">IFERROR(__xludf.DUMMYFUNCTION("""COMPUTED_VALUE"""),88.36)</f>
        <v>88.36</v>
      </c>
      <c r="E1225" s="1">
        <f ca="1">IFERROR(__xludf.DUMMYFUNCTION("""COMPUTED_VALUE"""),88.58)</f>
        <v>88.58</v>
      </c>
      <c r="F1225" s="1">
        <f ca="1">IFERROR(__xludf.DUMMYFUNCTION("""COMPUTED_VALUE"""),1947810)</f>
        <v>1947810</v>
      </c>
    </row>
    <row r="1226" spans="1:6" x14ac:dyDescent="0.35">
      <c r="A1226" s="2">
        <f ca="1">IFERROR(__xludf.DUMMYFUNCTION("""COMPUTED_VALUE"""),43781.6666666666)</f>
        <v>43781.666666666599</v>
      </c>
      <c r="B1226" s="1">
        <f ca="1">IFERROR(__xludf.DUMMYFUNCTION("""COMPUTED_VALUE"""),88.73)</f>
        <v>88.73</v>
      </c>
      <c r="C1226" s="1">
        <f ca="1">IFERROR(__xludf.DUMMYFUNCTION("""COMPUTED_VALUE"""),89.31)</f>
        <v>89.31</v>
      </c>
      <c r="D1226" s="1">
        <f ca="1">IFERROR(__xludf.DUMMYFUNCTION("""COMPUTED_VALUE"""),88.6)</f>
        <v>88.6</v>
      </c>
      <c r="E1226" s="1">
        <f ca="1">IFERROR(__xludf.DUMMYFUNCTION("""COMPUTED_VALUE"""),88.9)</f>
        <v>88.9</v>
      </c>
      <c r="F1226" s="1">
        <f ca="1">IFERROR(__xludf.DUMMYFUNCTION("""COMPUTED_VALUE"""),2038925)</f>
        <v>2038925</v>
      </c>
    </row>
    <row r="1227" spans="1:6" x14ac:dyDescent="0.35">
      <c r="A1227" s="2">
        <f ca="1">IFERROR(__xludf.DUMMYFUNCTION("""COMPUTED_VALUE"""),43782.6666666666)</f>
        <v>43782.666666666599</v>
      </c>
      <c r="B1227" s="1">
        <f ca="1">IFERROR(__xludf.DUMMYFUNCTION("""COMPUTED_VALUE"""),88.67)</f>
        <v>88.67</v>
      </c>
      <c r="C1227" s="1">
        <f ca="1">IFERROR(__xludf.DUMMYFUNCTION("""COMPUTED_VALUE"""),88.75)</f>
        <v>88.75</v>
      </c>
      <c r="D1227" s="1">
        <f ca="1">IFERROR(__xludf.DUMMYFUNCTION("""COMPUTED_VALUE"""),87.37)</f>
        <v>87.37</v>
      </c>
      <c r="E1227" s="1">
        <f ca="1">IFERROR(__xludf.DUMMYFUNCTION("""COMPUTED_VALUE"""),87.66)</f>
        <v>87.66</v>
      </c>
      <c r="F1227" s="1">
        <f ca="1">IFERROR(__xludf.DUMMYFUNCTION("""COMPUTED_VALUE"""),2926892)</f>
        <v>2926892</v>
      </c>
    </row>
    <row r="1228" spans="1:6" x14ac:dyDescent="0.35">
      <c r="A1228" s="2">
        <f ca="1">IFERROR(__xludf.DUMMYFUNCTION("""COMPUTED_VALUE"""),43783.6666666666)</f>
        <v>43783.666666666599</v>
      </c>
      <c r="B1228" s="1">
        <f ca="1">IFERROR(__xludf.DUMMYFUNCTION("""COMPUTED_VALUE"""),87.57)</f>
        <v>87.57</v>
      </c>
      <c r="C1228" s="1">
        <f ca="1">IFERROR(__xludf.DUMMYFUNCTION("""COMPUTED_VALUE"""),88.33)</f>
        <v>88.33</v>
      </c>
      <c r="D1228" s="1">
        <f ca="1">IFERROR(__xludf.DUMMYFUNCTION("""COMPUTED_VALUE"""),87.48)</f>
        <v>87.48</v>
      </c>
      <c r="E1228" s="1">
        <f ca="1">IFERROR(__xludf.DUMMYFUNCTION("""COMPUTED_VALUE"""),87.73)</f>
        <v>87.73</v>
      </c>
      <c r="F1228" s="1">
        <f ca="1">IFERROR(__xludf.DUMMYFUNCTION("""COMPUTED_VALUE"""),2269417)</f>
        <v>2269417</v>
      </c>
    </row>
    <row r="1229" spans="1:6" x14ac:dyDescent="0.35">
      <c r="A1229" s="2">
        <f ca="1">IFERROR(__xludf.DUMMYFUNCTION("""COMPUTED_VALUE"""),43784.6666666666)</f>
        <v>43784.666666666599</v>
      </c>
      <c r="B1229" s="1">
        <f ca="1">IFERROR(__xludf.DUMMYFUNCTION("""COMPUTED_VALUE"""),88)</f>
        <v>88</v>
      </c>
      <c r="C1229" s="1">
        <f ca="1">IFERROR(__xludf.DUMMYFUNCTION("""COMPUTED_VALUE"""),88.08)</f>
        <v>88.08</v>
      </c>
      <c r="D1229" s="1">
        <f ca="1">IFERROR(__xludf.DUMMYFUNCTION("""COMPUTED_VALUE"""),86.64)</f>
        <v>86.64</v>
      </c>
      <c r="E1229" s="1">
        <f ca="1">IFERROR(__xludf.DUMMYFUNCTION("""COMPUTED_VALUE"""),86.97)</f>
        <v>86.97</v>
      </c>
      <c r="F1229" s="1">
        <f ca="1">IFERROR(__xludf.DUMMYFUNCTION("""COMPUTED_VALUE"""),3931141)</f>
        <v>3931141</v>
      </c>
    </row>
    <row r="1230" spans="1:6" x14ac:dyDescent="0.35">
      <c r="A1230" s="2">
        <f ca="1">IFERROR(__xludf.DUMMYFUNCTION("""COMPUTED_VALUE"""),43787.6666666666)</f>
        <v>43787.666666666599</v>
      </c>
      <c r="B1230" s="1">
        <f ca="1">IFERROR(__xludf.DUMMYFUNCTION("""COMPUTED_VALUE"""),86.92)</f>
        <v>86.92</v>
      </c>
      <c r="C1230" s="1">
        <f ca="1">IFERROR(__xludf.DUMMYFUNCTION("""COMPUTED_VALUE"""),87.69)</f>
        <v>87.69</v>
      </c>
      <c r="D1230" s="1">
        <f ca="1">IFERROR(__xludf.DUMMYFUNCTION("""COMPUTED_VALUE"""),86.14)</f>
        <v>86.14</v>
      </c>
      <c r="E1230" s="1">
        <f ca="1">IFERROR(__xludf.DUMMYFUNCTION("""COMPUTED_VALUE"""),87.63)</f>
        <v>87.63</v>
      </c>
      <c r="F1230" s="1">
        <f ca="1">IFERROR(__xludf.DUMMYFUNCTION("""COMPUTED_VALUE"""),2841907)</f>
        <v>2841907</v>
      </c>
    </row>
    <row r="1231" spans="1:6" x14ac:dyDescent="0.35">
      <c r="A1231" s="2">
        <f ca="1">IFERROR(__xludf.DUMMYFUNCTION("""COMPUTED_VALUE"""),43788.6666666666)</f>
        <v>43788.666666666599</v>
      </c>
      <c r="B1231" s="1">
        <f ca="1">IFERROR(__xludf.DUMMYFUNCTION("""COMPUTED_VALUE"""),87.85)</f>
        <v>87.85</v>
      </c>
      <c r="C1231" s="1">
        <f ca="1">IFERROR(__xludf.DUMMYFUNCTION("""COMPUTED_VALUE"""),88.03)</f>
        <v>88.03</v>
      </c>
      <c r="D1231" s="1">
        <f ca="1">IFERROR(__xludf.DUMMYFUNCTION("""COMPUTED_VALUE"""),87.15)</f>
        <v>87.15</v>
      </c>
      <c r="E1231" s="1">
        <f ca="1">IFERROR(__xludf.DUMMYFUNCTION("""COMPUTED_VALUE"""),87.64)</f>
        <v>87.64</v>
      </c>
      <c r="F1231" s="1">
        <f ca="1">IFERROR(__xludf.DUMMYFUNCTION("""COMPUTED_VALUE"""),2274535)</f>
        <v>2274535</v>
      </c>
    </row>
    <row r="1232" spans="1:6" x14ac:dyDescent="0.35">
      <c r="A1232" s="2">
        <f ca="1">IFERROR(__xludf.DUMMYFUNCTION("""COMPUTED_VALUE"""),43789.6666666666)</f>
        <v>43789.666666666599</v>
      </c>
      <c r="B1232" s="1">
        <f ca="1">IFERROR(__xludf.DUMMYFUNCTION("""COMPUTED_VALUE"""),87.46)</f>
        <v>87.46</v>
      </c>
      <c r="C1232" s="1">
        <f ca="1">IFERROR(__xludf.DUMMYFUNCTION("""COMPUTED_VALUE"""),88.13)</f>
        <v>88.13</v>
      </c>
      <c r="D1232" s="1">
        <f ca="1">IFERROR(__xludf.DUMMYFUNCTION("""COMPUTED_VALUE"""),86.71)</f>
        <v>86.71</v>
      </c>
      <c r="E1232" s="1">
        <f ca="1">IFERROR(__xludf.DUMMYFUNCTION("""COMPUTED_VALUE"""),87.28)</f>
        <v>87.28</v>
      </c>
      <c r="F1232" s="1">
        <f ca="1">IFERROR(__xludf.DUMMYFUNCTION("""COMPUTED_VALUE"""),2793759)</f>
        <v>2793759</v>
      </c>
    </row>
    <row r="1233" spans="1:6" x14ac:dyDescent="0.35">
      <c r="A1233" s="2">
        <f ca="1">IFERROR(__xludf.DUMMYFUNCTION("""COMPUTED_VALUE"""),43790.6666666666)</f>
        <v>43790.666666666599</v>
      </c>
      <c r="B1233" s="1">
        <f ca="1">IFERROR(__xludf.DUMMYFUNCTION("""COMPUTED_VALUE"""),87.15)</f>
        <v>87.15</v>
      </c>
      <c r="C1233" s="1">
        <f ca="1">IFERROR(__xludf.DUMMYFUNCTION("""COMPUTED_VALUE"""),87.34)</f>
        <v>87.34</v>
      </c>
      <c r="D1233" s="1">
        <f ca="1">IFERROR(__xludf.DUMMYFUNCTION("""COMPUTED_VALUE"""),86.52)</f>
        <v>86.52</v>
      </c>
      <c r="E1233" s="1">
        <f ca="1">IFERROR(__xludf.DUMMYFUNCTION("""COMPUTED_VALUE"""),86.74)</f>
        <v>86.74</v>
      </c>
      <c r="F1233" s="1">
        <f ca="1">IFERROR(__xludf.DUMMYFUNCTION("""COMPUTED_VALUE"""),2662938)</f>
        <v>2662938</v>
      </c>
    </row>
    <row r="1234" spans="1:6" x14ac:dyDescent="0.35">
      <c r="A1234" s="2">
        <f ca="1">IFERROR(__xludf.DUMMYFUNCTION("""COMPUTED_VALUE"""),43791.6666666666)</f>
        <v>43791.666666666599</v>
      </c>
      <c r="B1234" s="1">
        <f ca="1">IFERROR(__xludf.DUMMYFUNCTION("""COMPUTED_VALUE"""),86.95)</f>
        <v>86.95</v>
      </c>
      <c r="C1234" s="1">
        <f ca="1">IFERROR(__xludf.DUMMYFUNCTION("""COMPUTED_VALUE"""),87.32)</f>
        <v>87.32</v>
      </c>
      <c r="D1234" s="1">
        <f ca="1">IFERROR(__xludf.DUMMYFUNCTION("""COMPUTED_VALUE"""),86.55)</f>
        <v>86.55</v>
      </c>
      <c r="E1234" s="1">
        <f ca="1">IFERROR(__xludf.DUMMYFUNCTION("""COMPUTED_VALUE"""),87.29)</f>
        <v>87.29</v>
      </c>
      <c r="F1234" s="1">
        <f ca="1">IFERROR(__xludf.DUMMYFUNCTION("""COMPUTED_VALUE"""),2479081)</f>
        <v>2479081</v>
      </c>
    </row>
    <row r="1235" spans="1:6" x14ac:dyDescent="0.35">
      <c r="A1235" s="2">
        <f ca="1">IFERROR(__xludf.DUMMYFUNCTION("""COMPUTED_VALUE"""),43794.6666666666)</f>
        <v>43794.666666666599</v>
      </c>
      <c r="B1235" s="1">
        <f ca="1">IFERROR(__xludf.DUMMYFUNCTION("""COMPUTED_VALUE"""),87.66)</f>
        <v>87.66</v>
      </c>
      <c r="C1235" s="1">
        <f ca="1">IFERROR(__xludf.DUMMYFUNCTION("""COMPUTED_VALUE"""),88.87)</f>
        <v>88.87</v>
      </c>
      <c r="D1235" s="1">
        <f ca="1">IFERROR(__xludf.DUMMYFUNCTION("""COMPUTED_VALUE"""),87.66)</f>
        <v>87.66</v>
      </c>
      <c r="E1235" s="1">
        <f ca="1">IFERROR(__xludf.DUMMYFUNCTION("""COMPUTED_VALUE"""),88.69)</f>
        <v>88.69</v>
      </c>
      <c r="F1235" s="1">
        <f ca="1">IFERROR(__xludf.DUMMYFUNCTION("""COMPUTED_VALUE"""),3489467)</f>
        <v>3489467</v>
      </c>
    </row>
    <row r="1236" spans="1:6" x14ac:dyDescent="0.35">
      <c r="A1236" s="2">
        <f ca="1">IFERROR(__xludf.DUMMYFUNCTION("""COMPUTED_VALUE"""),43795.6666666666)</f>
        <v>43795.666666666599</v>
      </c>
      <c r="B1236" s="1">
        <f ca="1">IFERROR(__xludf.DUMMYFUNCTION("""COMPUTED_VALUE"""),89)</f>
        <v>89</v>
      </c>
      <c r="C1236" s="1">
        <f ca="1">IFERROR(__xludf.DUMMYFUNCTION("""COMPUTED_VALUE"""),89.85)</f>
        <v>89.85</v>
      </c>
      <c r="D1236" s="1">
        <f ca="1">IFERROR(__xludf.DUMMYFUNCTION("""COMPUTED_VALUE"""),88.92)</f>
        <v>88.92</v>
      </c>
      <c r="E1236" s="1">
        <f ca="1">IFERROR(__xludf.DUMMYFUNCTION("""COMPUTED_VALUE"""),89.85)</f>
        <v>89.85</v>
      </c>
      <c r="F1236" s="1">
        <f ca="1">IFERROR(__xludf.DUMMYFUNCTION("""COMPUTED_VALUE"""),3190428)</f>
        <v>3190428</v>
      </c>
    </row>
    <row r="1237" spans="1:6" x14ac:dyDescent="0.35">
      <c r="A1237" s="2">
        <f ca="1">IFERROR(__xludf.DUMMYFUNCTION("""COMPUTED_VALUE"""),43796.6666666666)</f>
        <v>43796.666666666599</v>
      </c>
      <c r="B1237" s="1">
        <f ca="1">IFERROR(__xludf.DUMMYFUNCTION("""COMPUTED_VALUE"""),90.05)</f>
        <v>90.05</v>
      </c>
      <c r="C1237" s="1">
        <f ca="1">IFERROR(__xludf.DUMMYFUNCTION("""COMPUTED_VALUE"""),91.23)</f>
        <v>91.23</v>
      </c>
      <c r="D1237" s="1">
        <f ca="1">IFERROR(__xludf.DUMMYFUNCTION("""COMPUTED_VALUE"""),89.87)</f>
        <v>89.87</v>
      </c>
      <c r="E1237" s="1">
        <f ca="1">IFERROR(__xludf.DUMMYFUNCTION("""COMPUTED_VALUE"""),90.93)</f>
        <v>90.93</v>
      </c>
      <c r="F1237" s="1">
        <f ca="1">IFERROR(__xludf.DUMMYFUNCTION("""COMPUTED_VALUE"""),3035846)</f>
        <v>3035846</v>
      </c>
    </row>
    <row r="1238" spans="1:6" x14ac:dyDescent="0.35">
      <c r="A1238" s="2">
        <f ca="1">IFERROR(__xludf.DUMMYFUNCTION("""COMPUTED_VALUE"""),43798.5416666666)</f>
        <v>43798.541666666599</v>
      </c>
      <c r="B1238" s="1">
        <f ca="1">IFERROR(__xludf.DUMMYFUNCTION("""COMPUTED_VALUE"""),90.89)</f>
        <v>90.89</v>
      </c>
      <c r="C1238" s="1">
        <f ca="1">IFERROR(__xludf.DUMMYFUNCTION("""COMPUTED_VALUE"""),91.23)</f>
        <v>91.23</v>
      </c>
      <c r="D1238" s="1">
        <f ca="1">IFERROR(__xludf.DUMMYFUNCTION("""COMPUTED_VALUE"""),90.04)</f>
        <v>90.04</v>
      </c>
      <c r="E1238" s="1">
        <f ca="1">IFERROR(__xludf.DUMMYFUNCTION("""COMPUTED_VALUE"""),90.04)</f>
        <v>90.04</v>
      </c>
      <c r="F1238" s="1">
        <f ca="1">IFERROR(__xludf.DUMMYFUNCTION("""COMPUTED_VALUE"""),1923440)</f>
        <v>1923440</v>
      </c>
    </row>
    <row r="1239" spans="1:6" x14ac:dyDescent="0.35">
      <c r="A1239" s="2">
        <f ca="1">IFERROR(__xludf.DUMMYFUNCTION("""COMPUTED_VALUE"""),43801.6666666666)</f>
        <v>43801.666666666599</v>
      </c>
      <c r="B1239" s="1">
        <f ca="1">IFERROR(__xludf.DUMMYFUNCTION("""COMPUTED_VALUE"""),90.22)</f>
        <v>90.22</v>
      </c>
      <c r="C1239" s="1">
        <f ca="1">IFERROR(__xludf.DUMMYFUNCTION("""COMPUTED_VALUE"""),90.28)</f>
        <v>90.28</v>
      </c>
      <c r="D1239" s="1">
        <f ca="1">IFERROR(__xludf.DUMMYFUNCTION("""COMPUTED_VALUE"""),88.13)</f>
        <v>88.13</v>
      </c>
      <c r="E1239" s="1">
        <f ca="1">IFERROR(__xludf.DUMMYFUNCTION("""COMPUTED_VALUE"""),89.08)</f>
        <v>89.08</v>
      </c>
      <c r="F1239" s="1">
        <f ca="1">IFERROR(__xludf.DUMMYFUNCTION("""COMPUTED_VALUE"""),3931750)</f>
        <v>3931750</v>
      </c>
    </row>
    <row r="1240" spans="1:6" x14ac:dyDescent="0.35">
      <c r="A1240" s="2">
        <f ca="1">IFERROR(__xludf.DUMMYFUNCTION("""COMPUTED_VALUE"""),43802.6666666666)</f>
        <v>43802.666666666599</v>
      </c>
      <c r="B1240" s="1">
        <f ca="1">IFERROR(__xludf.DUMMYFUNCTION("""COMPUTED_VALUE"""),88)</f>
        <v>88</v>
      </c>
      <c r="C1240" s="1">
        <f ca="1">IFERROR(__xludf.DUMMYFUNCTION("""COMPUTED_VALUE"""),88.64)</f>
        <v>88.64</v>
      </c>
      <c r="D1240" s="1">
        <f ca="1">IFERROR(__xludf.DUMMYFUNCTION("""COMPUTED_VALUE"""),87.36)</f>
        <v>87.36</v>
      </c>
      <c r="E1240" s="1">
        <f ca="1">IFERROR(__xludf.DUMMYFUNCTION("""COMPUTED_VALUE"""),88.5)</f>
        <v>88.5</v>
      </c>
      <c r="F1240" s="1">
        <f ca="1">IFERROR(__xludf.DUMMYFUNCTION("""COMPUTED_VALUE"""),3529582)</f>
        <v>3529582</v>
      </c>
    </row>
    <row r="1241" spans="1:6" x14ac:dyDescent="0.35">
      <c r="A1241" s="2">
        <f ca="1">IFERROR(__xludf.DUMMYFUNCTION("""COMPUTED_VALUE"""),43803.6666666666)</f>
        <v>43803.666666666599</v>
      </c>
      <c r="B1241" s="1">
        <f ca="1">IFERROR(__xludf.DUMMYFUNCTION("""COMPUTED_VALUE"""),88.7)</f>
        <v>88.7</v>
      </c>
      <c r="C1241" s="1">
        <f ca="1">IFERROR(__xludf.DUMMYFUNCTION("""COMPUTED_VALUE"""),89.45)</f>
        <v>89.45</v>
      </c>
      <c r="D1241" s="1">
        <f ca="1">IFERROR(__xludf.DUMMYFUNCTION("""COMPUTED_VALUE"""),88.01)</f>
        <v>88.01</v>
      </c>
      <c r="E1241" s="1">
        <f ca="1">IFERROR(__xludf.DUMMYFUNCTION("""COMPUTED_VALUE"""),88.03)</f>
        <v>88.03</v>
      </c>
      <c r="F1241" s="1">
        <f ca="1">IFERROR(__xludf.DUMMYFUNCTION("""COMPUTED_VALUE"""),2680700)</f>
        <v>2680700</v>
      </c>
    </row>
    <row r="1242" spans="1:6" x14ac:dyDescent="0.35">
      <c r="A1242" s="2">
        <f ca="1">IFERROR(__xludf.DUMMYFUNCTION("""COMPUTED_VALUE"""),43804.6666666666)</f>
        <v>43804.666666666599</v>
      </c>
      <c r="B1242" s="1">
        <f ca="1">IFERROR(__xludf.DUMMYFUNCTION("""COMPUTED_VALUE"""),88.18)</f>
        <v>88.18</v>
      </c>
      <c r="C1242" s="1">
        <f ca="1">IFERROR(__xludf.DUMMYFUNCTION("""COMPUTED_VALUE"""),88.18)</f>
        <v>88.18</v>
      </c>
      <c r="D1242" s="1">
        <f ca="1">IFERROR(__xludf.DUMMYFUNCTION("""COMPUTED_VALUE"""),87)</f>
        <v>87</v>
      </c>
      <c r="E1242" s="1">
        <f ca="1">IFERROR(__xludf.DUMMYFUNCTION("""COMPUTED_VALUE"""),87.02)</f>
        <v>87.02</v>
      </c>
      <c r="F1242" s="1">
        <f ca="1">IFERROR(__xludf.DUMMYFUNCTION("""COMPUTED_VALUE"""),2827852)</f>
        <v>2827852</v>
      </c>
    </row>
    <row r="1243" spans="1:6" x14ac:dyDescent="0.35">
      <c r="A1243" s="2">
        <f ca="1">IFERROR(__xludf.DUMMYFUNCTION("""COMPUTED_VALUE"""),43805.6666666666)</f>
        <v>43805.666666666599</v>
      </c>
      <c r="B1243" s="1">
        <f ca="1">IFERROR(__xludf.DUMMYFUNCTION("""COMPUTED_VALUE"""),87.56)</f>
        <v>87.56</v>
      </c>
      <c r="C1243" s="1">
        <f ca="1">IFERROR(__xludf.DUMMYFUNCTION("""COMPUTED_VALUE"""),87.72)</f>
        <v>87.72</v>
      </c>
      <c r="D1243" s="1">
        <f ca="1">IFERROR(__xludf.DUMMYFUNCTION("""COMPUTED_VALUE"""),87.01)</f>
        <v>87.01</v>
      </c>
      <c r="E1243" s="1">
        <f ca="1">IFERROR(__xludf.DUMMYFUNCTION("""COMPUTED_VALUE"""),87.58)</f>
        <v>87.58</v>
      </c>
      <c r="F1243" s="1">
        <f ca="1">IFERROR(__xludf.DUMMYFUNCTION("""COMPUTED_VALUE"""),3119979)</f>
        <v>3119979</v>
      </c>
    </row>
    <row r="1244" spans="1:6" x14ac:dyDescent="0.35">
      <c r="A1244" s="2">
        <f ca="1">IFERROR(__xludf.DUMMYFUNCTION("""COMPUTED_VALUE"""),43808.6666666666)</f>
        <v>43808.666666666599</v>
      </c>
      <c r="B1244" s="1">
        <f ca="1">IFERROR(__xludf.DUMMYFUNCTION("""COMPUTED_VALUE"""),87.53)</f>
        <v>87.53</v>
      </c>
      <c r="C1244" s="1">
        <f ca="1">IFERROR(__xludf.DUMMYFUNCTION("""COMPUTED_VALUE"""),88.34)</f>
        <v>88.34</v>
      </c>
      <c r="D1244" s="1">
        <f ca="1">IFERROR(__xludf.DUMMYFUNCTION("""COMPUTED_VALUE"""),87.28)</f>
        <v>87.28</v>
      </c>
      <c r="E1244" s="1">
        <f ca="1">IFERROR(__xludf.DUMMYFUNCTION("""COMPUTED_VALUE"""),87.48)</f>
        <v>87.48</v>
      </c>
      <c r="F1244" s="1">
        <f ca="1">IFERROR(__xludf.DUMMYFUNCTION("""COMPUTED_VALUE"""),2502489)</f>
        <v>2502489</v>
      </c>
    </row>
    <row r="1245" spans="1:6" x14ac:dyDescent="0.35">
      <c r="A1245" s="2">
        <f ca="1">IFERROR(__xludf.DUMMYFUNCTION("""COMPUTED_VALUE"""),43809.6666666666)</f>
        <v>43809.666666666599</v>
      </c>
      <c r="B1245" s="1">
        <f ca="1">IFERROR(__xludf.DUMMYFUNCTION("""COMPUTED_VALUE"""),87.37)</f>
        <v>87.37</v>
      </c>
      <c r="C1245" s="1">
        <f ca="1">IFERROR(__xludf.DUMMYFUNCTION("""COMPUTED_VALUE"""),87.53)</f>
        <v>87.53</v>
      </c>
      <c r="D1245" s="1">
        <f ca="1">IFERROR(__xludf.DUMMYFUNCTION("""COMPUTED_VALUE"""),86.75)</f>
        <v>86.75</v>
      </c>
      <c r="E1245" s="1">
        <f ca="1">IFERROR(__xludf.DUMMYFUNCTION("""COMPUTED_VALUE"""),86.96)</f>
        <v>86.96</v>
      </c>
      <c r="F1245" s="1">
        <f ca="1">IFERROR(__xludf.DUMMYFUNCTION("""COMPUTED_VALUE"""),2515644)</f>
        <v>2515644</v>
      </c>
    </row>
    <row r="1246" spans="1:6" x14ac:dyDescent="0.35">
      <c r="A1246" s="2">
        <f ca="1">IFERROR(__xludf.DUMMYFUNCTION("""COMPUTED_VALUE"""),43810.6666666666)</f>
        <v>43810.666666666599</v>
      </c>
      <c r="B1246" s="1">
        <f ca="1">IFERROR(__xludf.DUMMYFUNCTION("""COMPUTED_VALUE"""),87.08)</f>
        <v>87.08</v>
      </c>
      <c r="C1246" s="1">
        <f ca="1">IFERROR(__xludf.DUMMYFUNCTION("""COMPUTED_VALUE"""),87.5)</f>
        <v>87.5</v>
      </c>
      <c r="D1246" s="1">
        <f ca="1">IFERROR(__xludf.DUMMYFUNCTION("""COMPUTED_VALUE"""),86.79)</f>
        <v>86.79</v>
      </c>
      <c r="E1246" s="1">
        <f ca="1">IFERROR(__xludf.DUMMYFUNCTION("""COMPUTED_VALUE"""),87.44)</f>
        <v>87.44</v>
      </c>
      <c r="F1246" s="1">
        <f ca="1">IFERROR(__xludf.DUMMYFUNCTION("""COMPUTED_VALUE"""),2101318)</f>
        <v>2101318</v>
      </c>
    </row>
    <row r="1247" spans="1:6" x14ac:dyDescent="0.35">
      <c r="A1247" s="2">
        <f ca="1">IFERROR(__xludf.DUMMYFUNCTION("""COMPUTED_VALUE"""),43811.6666666666)</f>
        <v>43811.666666666599</v>
      </c>
      <c r="B1247" s="1">
        <f ca="1">IFERROR(__xludf.DUMMYFUNCTION("""COMPUTED_VALUE"""),87.5)</f>
        <v>87.5</v>
      </c>
      <c r="C1247" s="1">
        <f ca="1">IFERROR(__xludf.DUMMYFUNCTION("""COMPUTED_VALUE"""),88.2)</f>
        <v>88.2</v>
      </c>
      <c r="D1247" s="1">
        <f ca="1">IFERROR(__xludf.DUMMYFUNCTION("""COMPUTED_VALUE"""),87.27)</f>
        <v>87.27</v>
      </c>
      <c r="E1247" s="1">
        <f ca="1">IFERROR(__xludf.DUMMYFUNCTION("""COMPUTED_VALUE"""),88.02)</f>
        <v>88.02</v>
      </c>
      <c r="F1247" s="1">
        <f ca="1">IFERROR(__xludf.DUMMYFUNCTION("""COMPUTED_VALUE"""),3103949)</f>
        <v>3103949</v>
      </c>
    </row>
    <row r="1248" spans="1:6" x14ac:dyDescent="0.35">
      <c r="A1248" s="2">
        <f ca="1">IFERROR(__xludf.DUMMYFUNCTION("""COMPUTED_VALUE"""),43812.6666666666)</f>
        <v>43812.666666666599</v>
      </c>
      <c r="B1248" s="1">
        <f ca="1">IFERROR(__xludf.DUMMYFUNCTION("""COMPUTED_VALUE"""),88.25)</f>
        <v>88.25</v>
      </c>
      <c r="C1248" s="1">
        <f ca="1">IFERROR(__xludf.DUMMYFUNCTION("""COMPUTED_VALUE"""),88.45)</f>
        <v>88.45</v>
      </c>
      <c r="D1248" s="1">
        <f ca="1">IFERROR(__xludf.DUMMYFUNCTION("""COMPUTED_VALUE"""),87.75)</f>
        <v>87.75</v>
      </c>
      <c r="E1248" s="1">
        <f ca="1">IFERROR(__xludf.DUMMYFUNCTION("""COMPUTED_VALUE"""),88.05)</f>
        <v>88.05</v>
      </c>
      <c r="F1248" s="1">
        <f ca="1">IFERROR(__xludf.DUMMYFUNCTION("""COMPUTED_VALUE"""),2747909)</f>
        <v>2747909</v>
      </c>
    </row>
    <row r="1249" spans="1:6" x14ac:dyDescent="0.35">
      <c r="A1249" s="2">
        <f ca="1">IFERROR(__xludf.DUMMYFUNCTION("""COMPUTED_VALUE"""),43815.6666666666)</f>
        <v>43815.666666666599</v>
      </c>
      <c r="B1249" s="1">
        <f ca="1">IFERROR(__xludf.DUMMYFUNCTION("""COMPUTED_VALUE"""),88.35)</f>
        <v>88.35</v>
      </c>
      <c r="C1249" s="1">
        <f ca="1">IFERROR(__xludf.DUMMYFUNCTION("""COMPUTED_VALUE"""),88.48)</f>
        <v>88.48</v>
      </c>
      <c r="D1249" s="1">
        <f ca="1">IFERROR(__xludf.DUMMYFUNCTION("""COMPUTED_VALUE"""),87.85)</f>
        <v>87.85</v>
      </c>
      <c r="E1249" s="1">
        <f ca="1">IFERROR(__xludf.DUMMYFUNCTION("""COMPUTED_VALUE"""),88.46)</f>
        <v>88.46</v>
      </c>
      <c r="F1249" s="1">
        <f ca="1">IFERROR(__xludf.DUMMYFUNCTION("""COMPUTED_VALUE"""),3149345)</f>
        <v>3149345</v>
      </c>
    </row>
    <row r="1250" spans="1:6" x14ac:dyDescent="0.35">
      <c r="A1250" s="2">
        <f ca="1">IFERROR(__xludf.DUMMYFUNCTION("""COMPUTED_VALUE"""),43816.6666666666)</f>
        <v>43816.666666666599</v>
      </c>
      <c r="B1250" s="1">
        <f ca="1">IFERROR(__xludf.DUMMYFUNCTION("""COMPUTED_VALUE"""),88.9)</f>
        <v>88.9</v>
      </c>
      <c r="C1250" s="1">
        <f ca="1">IFERROR(__xludf.DUMMYFUNCTION("""COMPUTED_VALUE"""),89.6)</f>
        <v>89.6</v>
      </c>
      <c r="D1250" s="1">
        <f ca="1">IFERROR(__xludf.DUMMYFUNCTION("""COMPUTED_VALUE"""),88.87)</f>
        <v>88.87</v>
      </c>
      <c r="E1250" s="1">
        <f ca="1">IFERROR(__xludf.DUMMYFUNCTION("""COMPUTED_VALUE"""),89.53)</f>
        <v>89.53</v>
      </c>
      <c r="F1250" s="1">
        <f ca="1">IFERROR(__xludf.DUMMYFUNCTION("""COMPUTED_VALUE"""),3646697)</f>
        <v>3646697</v>
      </c>
    </row>
    <row r="1251" spans="1:6" x14ac:dyDescent="0.35">
      <c r="A1251" s="2">
        <f ca="1">IFERROR(__xludf.DUMMYFUNCTION("""COMPUTED_VALUE"""),43817.6666666666)</f>
        <v>43817.666666666599</v>
      </c>
      <c r="B1251" s="1">
        <f ca="1">IFERROR(__xludf.DUMMYFUNCTION("""COMPUTED_VALUE"""),89.75)</f>
        <v>89.75</v>
      </c>
      <c r="C1251" s="1">
        <f ca="1">IFERROR(__xludf.DUMMYFUNCTION("""COMPUTED_VALUE"""),89.91)</f>
        <v>89.91</v>
      </c>
      <c r="D1251" s="1">
        <f ca="1">IFERROR(__xludf.DUMMYFUNCTION("""COMPUTED_VALUE"""),89.12)</f>
        <v>89.12</v>
      </c>
      <c r="E1251" s="1">
        <f ca="1">IFERROR(__xludf.DUMMYFUNCTION("""COMPUTED_VALUE"""),89.2)</f>
        <v>89.2</v>
      </c>
      <c r="F1251" s="1">
        <f ca="1">IFERROR(__xludf.DUMMYFUNCTION("""COMPUTED_VALUE"""),3352187)</f>
        <v>3352187</v>
      </c>
    </row>
    <row r="1252" spans="1:6" x14ac:dyDescent="0.35">
      <c r="A1252" s="2">
        <f ca="1">IFERROR(__xludf.DUMMYFUNCTION("""COMPUTED_VALUE"""),43818.6666666666)</f>
        <v>43818.666666666599</v>
      </c>
      <c r="B1252" s="1">
        <f ca="1">IFERROR(__xludf.DUMMYFUNCTION("""COMPUTED_VALUE"""),89.03)</f>
        <v>89.03</v>
      </c>
      <c r="C1252" s="1">
        <f ca="1">IFERROR(__xludf.DUMMYFUNCTION("""COMPUTED_VALUE"""),89.65)</f>
        <v>89.65</v>
      </c>
      <c r="D1252" s="1">
        <f ca="1">IFERROR(__xludf.DUMMYFUNCTION("""COMPUTED_VALUE"""),88.7)</f>
        <v>88.7</v>
      </c>
      <c r="E1252" s="1">
        <f ca="1">IFERROR(__xludf.DUMMYFUNCTION("""COMPUTED_VALUE"""),89.61)</f>
        <v>89.61</v>
      </c>
      <c r="F1252" s="1">
        <f ca="1">IFERROR(__xludf.DUMMYFUNCTION("""COMPUTED_VALUE"""),2738320)</f>
        <v>2738320</v>
      </c>
    </row>
    <row r="1253" spans="1:6" x14ac:dyDescent="0.35">
      <c r="A1253" s="2">
        <f ca="1">IFERROR(__xludf.DUMMYFUNCTION("""COMPUTED_VALUE"""),43819.6666666666)</f>
        <v>43819.666666666599</v>
      </c>
      <c r="B1253" s="1">
        <f ca="1">IFERROR(__xludf.DUMMYFUNCTION("""COMPUTED_VALUE"""),89.98)</f>
        <v>89.98</v>
      </c>
      <c r="C1253" s="1">
        <f ca="1">IFERROR(__xludf.DUMMYFUNCTION("""COMPUTED_VALUE"""),90.15)</f>
        <v>90.15</v>
      </c>
      <c r="D1253" s="1">
        <f ca="1">IFERROR(__xludf.DUMMYFUNCTION("""COMPUTED_VALUE"""),89.12)</f>
        <v>89.12</v>
      </c>
      <c r="E1253" s="1">
        <f ca="1">IFERROR(__xludf.DUMMYFUNCTION("""COMPUTED_VALUE"""),89.33)</f>
        <v>89.33</v>
      </c>
      <c r="F1253" s="1">
        <f ca="1">IFERROR(__xludf.DUMMYFUNCTION("""COMPUTED_VALUE"""),5152460)</f>
        <v>5152460</v>
      </c>
    </row>
    <row r="1254" spans="1:6" x14ac:dyDescent="0.35">
      <c r="A1254" s="2">
        <f ca="1">IFERROR(__xludf.DUMMYFUNCTION("""COMPUTED_VALUE"""),43822.6666666666)</f>
        <v>43822.666666666599</v>
      </c>
      <c r="B1254" s="1">
        <f ca="1">IFERROR(__xludf.DUMMYFUNCTION("""COMPUTED_VALUE"""),89.41)</f>
        <v>89.41</v>
      </c>
      <c r="C1254" s="1">
        <f ca="1">IFERROR(__xludf.DUMMYFUNCTION("""COMPUTED_VALUE"""),89.65)</f>
        <v>89.65</v>
      </c>
      <c r="D1254" s="1">
        <f ca="1">IFERROR(__xludf.DUMMYFUNCTION("""COMPUTED_VALUE"""),89.23)</f>
        <v>89.23</v>
      </c>
      <c r="E1254" s="1">
        <f ca="1">IFERROR(__xludf.DUMMYFUNCTION("""COMPUTED_VALUE"""),89.65)</f>
        <v>89.65</v>
      </c>
      <c r="F1254" s="1">
        <f ca="1">IFERROR(__xludf.DUMMYFUNCTION("""COMPUTED_VALUE"""),2137493)</f>
        <v>2137493</v>
      </c>
    </row>
    <row r="1255" spans="1:6" x14ac:dyDescent="0.35">
      <c r="A1255" s="2">
        <f ca="1">IFERROR(__xludf.DUMMYFUNCTION("""COMPUTED_VALUE"""),43823.5416666666)</f>
        <v>43823.541666666599</v>
      </c>
      <c r="B1255" s="1">
        <f ca="1">IFERROR(__xludf.DUMMYFUNCTION("""COMPUTED_VALUE"""),89.69)</f>
        <v>89.69</v>
      </c>
      <c r="C1255" s="1">
        <f ca="1">IFERROR(__xludf.DUMMYFUNCTION("""COMPUTED_VALUE"""),89.78)</f>
        <v>89.78</v>
      </c>
      <c r="D1255" s="1">
        <f ca="1">IFERROR(__xludf.DUMMYFUNCTION("""COMPUTED_VALUE"""),89.38)</f>
        <v>89.38</v>
      </c>
      <c r="E1255" s="1">
        <f ca="1">IFERROR(__xludf.DUMMYFUNCTION("""COMPUTED_VALUE"""),89.46)</f>
        <v>89.46</v>
      </c>
      <c r="F1255" s="1">
        <f ca="1">IFERROR(__xludf.DUMMYFUNCTION("""COMPUTED_VALUE"""),881337)</f>
        <v>881337</v>
      </c>
    </row>
    <row r="1256" spans="1:6" x14ac:dyDescent="0.35">
      <c r="A1256" s="2">
        <f ca="1">IFERROR(__xludf.DUMMYFUNCTION("""COMPUTED_VALUE"""),43825.6666666666)</f>
        <v>43825.666666666599</v>
      </c>
      <c r="B1256" s="1">
        <f ca="1">IFERROR(__xludf.DUMMYFUNCTION("""COMPUTED_VALUE"""),90.05)</f>
        <v>90.05</v>
      </c>
      <c r="C1256" s="1">
        <f ca="1">IFERROR(__xludf.DUMMYFUNCTION("""COMPUTED_VALUE"""),93.52)</f>
        <v>93.52</v>
      </c>
      <c r="D1256" s="1">
        <f ca="1">IFERROR(__xludf.DUMMYFUNCTION("""COMPUTED_VALUE"""),89.98)</f>
        <v>89.98</v>
      </c>
      <c r="E1256" s="1">
        <f ca="1">IFERROR(__xludf.DUMMYFUNCTION("""COMPUTED_VALUE"""),93.44)</f>
        <v>93.44</v>
      </c>
      <c r="F1256" s="1">
        <f ca="1">IFERROR(__xludf.DUMMYFUNCTION("""COMPUTED_VALUE"""),6024608)</f>
        <v>6024608</v>
      </c>
    </row>
    <row r="1257" spans="1:6" x14ac:dyDescent="0.35">
      <c r="A1257" s="2">
        <f ca="1">IFERROR(__xludf.DUMMYFUNCTION("""COMPUTED_VALUE"""),43826.6666666666)</f>
        <v>43826.666666666599</v>
      </c>
      <c r="B1257" s="1">
        <f ca="1">IFERROR(__xludf.DUMMYFUNCTION("""COMPUTED_VALUE"""),94.15)</f>
        <v>94.15</v>
      </c>
      <c r="C1257" s="1">
        <f ca="1">IFERROR(__xludf.DUMMYFUNCTION("""COMPUTED_VALUE"""),95.07)</f>
        <v>95.07</v>
      </c>
      <c r="D1257" s="1">
        <f ca="1">IFERROR(__xludf.DUMMYFUNCTION("""COMPUTED_VALUE"""),93.3)</f>
        <v>93.3</v>
      </c>
      <c r="E1257" s="1">
        <f ca="1">IFERROR(__xludf.DUMMYFUNCTION("""COMPUTED_VALUE"""),93.49)</f>
        <v>93.49</v>
      </c>
      <c r="F1257" s="1">
        <f ca="1">IFERROR(__xludf.DUMMYFUNCTION("""COMPUTED_VALUE"""),6188754)</f>
        <v>6188754</v>
      </c>
    </row>
    <row r="1258" spans="1:6" x14ac:dyDescent="0.35">
      <c r="A1258" s="2">
        <f ca="1">IFERROR(__xludf.DUMMYFUNCTION("""COMPUTED_VALUE"""),43829.6666666666)</f>
        <v>43829.666666666599</v>
      </c>
      <c r="B1258" s="1">
        <f ca="1">IFERROR(__xludf.DUMMYFUNCTION("""COMPUTED_VALUE"""),93.7)</f>
        <v>93.7</v>
      </c>
      <c r="C1258" s="1">
        <f ca="1">IFERROR(__xludf.DUMMYFUNCTION("""COMPUTED_VALUE"""),94.2)</f>
        <v>94.2</v>
      </c>
      <c r="D1258" s="1">
        <f ca="1">IFERROR(__xludf.DUMMYFUNCTION("""COMPUTED_VALUE"""),92.03)</f>
        <v>92.03</v>
      </c>
      <c r="E1258" s="1">
        <f ca="1">IFERROR(__xludf.DUMMYFUNCTION("""COMPUTED_VALUE"""),92.34)</f>
        <v>92.34</v>
      </c>
      <c r="F1258" s="1">
        <f ca="1">IFERROR(__xludf.DUMMYFUNCTION("""COMPUTED_VALUE"""),3677306)</f>
        <v>3677306</v>
      </c>
    </row>
    <row r="1259" spans="1:6" x14ac:dyDescent="0.35">
      <c r="A1259" s="2">
        <f ca="1">IFERROR(__xludf.DUMMYFUNCTION("""COMPUTED_VALUE"""),43830.6666666666)</f>
        <v>43830.666666666599</v>
      </c>
      <c r="B1259" s="1">
        <f ca="1">IFERROR(__xludf.DUMMYFUNCTION("""COMPUTED_VALUE"""),92.1)</f>
        <v>92.1</v>
      </c>
      <c r="C1259" s="1">
        <f ca="1">IFERROR(__xludf.DUMMYFUNCTION("""COMPUTED_VALUE"""),92.66)</f>
        <v>92.66</v>
      </c>
      <c r="D1259" s="1">
        <f ca="1">IFERROR(__xludf.DUMMYFUNCTION("""COMPUTED_VALUE"""),91.61)</f>
        <v>91.61</v>
      </c>
      <c r="E1259" s="1">
        <f ca="1">IFERROR(__xludf.DUMMYFUNCTION("""COMPUTED_VALUE"""),92.39)</f>
        <v>92.39</v>
      </c>
      <c r="F1259" s="1">
        <f ca="1">IFERROR(__xludf.DUMMYFUNCTION("""COMPUTED_VALUE"""),2510380)</f>
        <v>2510380</v>
      </c>
    </row>
    <row r="1260" spans="1:6" x14ac:dyDescent="0.35">
      <c r="A1260" s="2">
        <f ca="1">IFERROR(__xludf.DUMMYFUNCTION("""COMPUTED_VALUE"""),43832.6666666666)</f>
        <v>43832.666666666599</v>
      </c>
      <c r="B1260" s="1">
        <f ca="1">IFERROR(__xludf.DUMMYFUNCTION("""COMPUTED_VALUE"""),93.75)</f>
        <v>93.75</v>
      </c>
      <c r="C1260" s="1">
        <f ca="1">IFERROR(__xludf.DUMMYFUNCTION("""COMPUTED_VALUE"""),94.9)</f>
        <v>94.9</v>
      </c>
      <c r="D1260" s="1">
        <f ca="1">IFERROR(__xludf.DUMMYFUNCTION("""COMPUTED_VALUE"""),93.21)</f>
        <v>93.21</v>
      </c>
      <c r="E1260" s="1">
        <f ca="1">IFERROR(__xludf.DUMMYFUNCTION("""COMPUTED_VALUE"""),94.9)</f>
        <v>94.9</v>
      </c>
      <c r="F1260" s="1">
        <f ca="1">IFERROR(__xludf.DUMMYFUNCTION("""COMPUTED_VALUE"""),4035910)</f>
        <v>4035910</v>
      </c>
    </row>
    <row r="1261" spans="1:6" x14ac:dyDescent="0.35">
      <c r="A1261" s="2">
        <f ca="1">IFERROR(__xludf.DUMMYFUNCTION("""COMPUTED_VALUE"""),43833.6666666666)</f>
        <v>43833.666666666599</v>
      </c>
      <c r="B1261" s="1">
        <f ca="1">IFERROR(__xludf.DUMMYFUNCTION("""COMPUTED_VALUE"""),93.23)</f>
        <v>93.23</v>
      </c>
      <c r="C1261" s="1">
        <f ca="1">IFERROR(__xludf.DUMMYFUNCTION("""COMPUTED_VALUE"""),94.31)</f>
        <v>94.31</v>
      </c>
      <c r="D1261" s="1">
        <f ca="1">IFERROR(__xludf.DUMMYFUNCTION("""COMPUTED_VALUE"""),93.23)</f>
        <v>93.23</v>
      </c>
      <c r="E1261" s="1">
        <f ca="1">IFERROR(__xludf.DUMMYFUNCTION("""COMPUTED_VALUE"""),93.75)</f>
        <v>93.75</v>
      </c>
      <c r="F1261" s="1">
        <f ca="1">IFERROR(__xludf.DUMMYFUNCTION("""COMPUTED_VALUE"""),3766604)</f>
        <v>3766604</v>
      </c>
    </row>
    <row r="1262" spans="1:6" x14ac:dyDescent="0.35">
      <c r="A1262" s="2">
        <f ca="1">IFERROR(__xludf.DUMMYFUNCTION("""COMPUTED_VALUE"""),43836.6666666666)</f>
        <v>43836.666666666599</v>
      </c>
      <c r="B1262" s="1">
        <f ca="1">IFERROR(__xludf.DUMMYFUNCTION("""COMPUTED_VALUE"""),93)</f>
        <v>93</v>
      </c>
      <c r="C1262" s="1">
        <f ca="1">IFERROR(__xludf.DUMMYFUNCTION("""COMPUTED_VALUE"""),95.18)</f>
        <v>95.18</v>
      </c>
      <c r="D1262" s="1">
        <f ca="1">IFERROR(__xludf.DUMMYFUNCTION("""COMPUTED_VALUE"""),93)</f>
        <v>93</v>
      </c>
      <c r="E1262" s="1">
        <f ca="1">IFERROR(__xludf.DUMMYFUNCTION("""COMPUTED_VALUE"""),95.14)</f>
        <v>95.14</v>
      </c>
      <c r="F1262" s="1">
        <f ca="1">IFERROR(__xludf.DUMMYFUNCTION("""COMPUTED_VALUE"""),4065698)</f>
        <v>4065698</v>
      </c>
    </row>
    <row r="1263" spans="1:6" x14ac:dyDescent="0.35">
      <c r="A1263" s="2">
        <f ca="1">IFERROR(__xludf.DUMMYFUNCTION("""COMPUTED_VALUE"""),43837.6666666666)</f>
        <v>43837.666666666599</v>
      </c>
      <c r="B1263" s="1">
        <f ca="1">IFERROR(__xludf.DUMMYFUNCTION("""COMPUTED_VALUE"""),95.23)</f>
        <v>95.23</v>
      </c>
      <c r="C1263" s="1">
        <f ca="1">IFERROR(__xludf.DUMMYFUNCTION("""COMPUTED_VALUE"""),95.69)</f>
        <v>95.69</v>
      </c>
      <c r="D1263" s="1">
        <f ca="1">IFERROR(__xludf.DUMMYFUNCTION("""COMPUTED_VALUE"""),94.6)</f>
        <v>94.6</v>
      </c>
      <c r="E1263" s="1">
        <f ca="1">IFERROR(__xludf.DUMMYFUNCTION("""COMPUTED_VALUE"""),95.34)</f>
        <v>95.34</v>
      </c>
      <c r="F1263" s="1">
        <f ca="1">IFERROR(__xludf.DUMMYFUNCTION("""COMPUTED_VALUE"""),4134010)</f>
        <v>4134010</v>
      </c>
    </row>
    <row r="1264" spans="1:6" x14ac:dyDescent="0.35">
      <c r="A1264" s="2">
        <f ca="1">IFERROR(__xludf.DUMMYFUNCTION("""COMPUTED_VALUE"""),43838.6666666666)</f>
        <v>43838.666666666599</v>
      </c>
      <c r="B1264" s="1">
        <f ca="1">IFERROR(__xludf.DUMMYFUNCTION("""COMPUTED_VALUE"""),94.9)</f>
        <v>94.9</v>
      </c>
      <c r="C1264" s="1">
        <f ca="1">IFERROR(__xludf.DUMMYFUNCTION("""COMPUTED_VALUE"""),95.55)</f>
        <v>95.55</v>
      </c>
      <c r="D1264" s="1">
        <f ca="1">IFERROR(__xludf.DUMMYFUNCTION("""COMPUTED_VALUE"""),94.32)</f>
        <v>94.32</v>
      </c>
      <c r="E1264" s="1">
        <f ca="1">IFERROR(__xludf.DUMMYFUNCTION("""COMPUTED_VALUE"""),94.6)</f>
        <v>94.6</v>
      </c>
      <c r="F1264" s="1">
        <f ca="1">IFERROR(__xludf.DUMMYFUNCTION("""COMPUTED_VALUE"""),3511966)</f>
        <v>3511966</v>
      </c>
    </row>
    <row r="1265" spans="1:6" x14ac:dyDescent="0.35">
      <c r="A1265" s="2">
        <f ca="1">IFERROR(__xludf.DUMMYFUNCTION("""COMPUTED_VALUE"""),43839.6666666666)</f>
        <v>43839.666666666599</v>
      </c>
      <c r="B1265" s="1">
        <f ca="1">IFERROR(__xludf.DUMMYFUNCTION("""COMPUTED_VALUE"""),95.49)</f>
        <v>95.49</v>
      </c>
      <c r="C1265" s="1">
        <f ca="1">IFERROR(__xludf.DUMMYFUNCTION("""COMPUTED_VALUE"""),95.89)</f>
        <v>95.89</v>
      </c>
      <c r="D1265" s="1">
        <f ca="1">IFERROR(__xludf.DUMMYFUNCTION("""COMPUTED_VALUE"""),94.79)</f>
        <v>94.79</v>
      </c>
      <c r="E1265" s="1">
        <f ca="1">IFERROR(__xludf.DUMMYFUNCTION("""COMPUTED_VALUE"""),95.05)</f>
        <v>95.05</v>
      </c>
      <c r="F1265" s="1">
        <f ca="1">IFERROR(__xludf.DUMMYFUNCTION("""COMPUTED_VALUE"""),3174962)</f>
        <v>3174962</v>
      </c>
    </row>
    <row r="1266" spans="1:6" x14ac:dyDescent="0.35">
      <c r="A1266" s="2">
        <f ca="1">IFERROR(__xludf.DUMMYFUNCTION("""COMPUTED_VALUE"""),43840.6666666666)</f>
        <v>43840.666666666599</v>
      </c>
      <c r="B1266" s="1">
        <f ca="1">IFERROR(__xludf.DUMMYFUNCTION("""COMPUTED_VALUE"""),95.27)</f>
        <v>95.27</v>
      </c>
      <c r="C1266" s="1">
        <f ca="1">IFERROR(__xludf.DUMMYFUNCTION("""COMPUTED_VALUE"""),95.35)</f>
        <v>95.35</v>
      </c>
      <c r="D1266" s="1">
        <f ca="1">IFERROR(__xludf.DUMMYFUNCTION("""COMPUTED_VALUE"""),94)</f>
        <v>94</v>
      </c>
      <c r="E1266" s="1">
        <f ca="1">IFERROR(__xludf.DUMMYFUNCTION("""COMPUTED_VALUE"""),94.16)</f>
        <v>94.16</v>
      </c>
      <c r="F1266" s="1">
        <f ca="1">IFERROR(__xludf.DUMMYFUNCTION("""COMPUTED_VALUE"""),2856959)</f>
        <v>2856959</v>
      </c>
    </row>
    <row r="1267" spans="1:6" x14ac:dyDescent="0.35">
      <c r="A1267" s="2">
        <f ca="1">IFERROR(__xludf.DUMMYFUNCTION("""COMPUTED_VALUE"""),43843.6666666666)</f>
        <v>43843.666666666599</v>
      </c>
      <c r="B1267" s="1">
        <f ca="1">IFERROR(__xludf.DUMMYFUNCTION("""COMPUTED_VALUE"""),94.57)</f>
        <v>94.57</v>
      </c>
      <c r="C1267" s="1">
        <f ca="1">IFERROR(__xludf.DUMMYFUNCTION("""COMPUTED_VALUE"""),94.9)</f>
        <v>94.9</v>
      </c>
      <c r="D1267" s="1">
        <f ca="1">IFERROR(__xludf.DUMMYFUNCTION("""COMPUTED_VALUE"""),94.04)</f>
        <v>94.04</v>
      </c>
      <c r="E1267" s="1">
        <f ca="1">IFERROR(__xludf.DUMMYFUNCTION("""COMPUTED_VALUE"""),94.57)</f>
        <v>94.57</v>
      </c>
      <c r="F1267" s="1">
        <f ca="1">IFERROR(__xludf.DUMMYFUNCTION("""COMPUTED_VALUE"""),2785844)</f>
        <v>2785844</v>
      </c>
    </row>
    <row r="1268" spans="1:6" x14ac:dyDescent="0.35">
      <c r="A1268" s="2">
        <f ca="1">IFERROR(__xludf.DUMMYFUNCTION("""COMPUTED_VALUE"""),43844.6666666666)</f>
        <v>43844.666666666599</v>
      </c>
      <c r="B1268" s="1">
        <f ca="1">IFERROR(__xludf.DUMMYFUNCTION("""COMPUTED_VALUE"""),94.29)</f>
        <v>94.29</v>
      </c>
      <c r="C1268" s="1">
        <f ca="1">IFERROR(__xludf.DUMMYFUNCTION("""COMPUTED_VALUE"""),94.36)</f>
        <v>94.36</v>
      </c>
      <c r="D1268" s="1">
        <f ca="1">IFERROR(__xludf.DUMMYFUNCTION("""COMPUTED_VALUE"""),92.93)</f>
        <v>92.93</v>
      </c>
      <c r="E1268" s="1">
        <f ca="1">IFERROR(__xludf.DUMMYFUNCTION("""COMPUTED_VALUE"""),93.47)</f>
        <v>93.47</v>
      </c>
      <c r="F1268" s="1">
        <f ca="1">IFERROR(__xludf.DUMMYFUNCTION("""COMPUTED_VALUE"""),3446381)</f>
        <v>3446381</v>
      </c>
    </row>
    <row r="1269" spans="1:6" x14ac:dyDescent="0.35">
      <c r="A1269" s="2">
        <f ca="1">IFERROR(__xludf.DUMMYFUNCTION("""COMPUTED_VALUE"""),43845.6666666666)</f>
        <v>43845.666666666599</v>
      </c>
      <c r="B1269" s="1">
        <f ca="1">IFERROR(__xludf.DUMMYFUNCTION("""COMPUTED_VALUE"""),93.61)</f>
        <v>93.61</v>
      </c>
      <c r="C1269" s="1">
        <f ca="1">IFERROR(__xludf.DUMMYFUNCTION("""COMPUTED_VALUE"""),93.94)</f>
        <v>93.94</v>
      </c>
      <c r="D1269" s="1">
        <f ca="1">IFERROR(__xludf.DUMMYFUNCTION("""COMPUTED_VALUE"""),92.75)</f>
        <v>92.75</v>
      </c>
      <c r="E1269" s="1">
        <f ca="1">IFERROR(__xludf.DUMMYFUNCTION("""COMPUTED_VALUE"""),93.1)</f>
        <v>93.1</v>
      </c>
      <c r="F1269" s="1">
        <f ca="1">IFERROR(__xludf.DUMMYFUNCTION("""COMPUTED_VALUE"""),2896592)</f>
        <v>2896592</v>
      </c>
    </row>
    <row r="1270" spans="1:6" x14ac:dyDescent="0.35">
      <c r="A1270" s="2">
        <f ca="1">IFERROR(__xludf.DUMMYFUNCTION("""COMPUTED_VALUE"""),43846.6666666666)</f>
        <v>43846.666666666599</v>
      </c>
      <c r="B1270" s="1">
        <f ca="1">IFERROR(__xludf.DUMMYFUNCTION("""COMPUTED_VALUE"""),94.15)</f>
        <v>94.15</v>
      </c>
      <c r="C1270" s="1">
        <f ca="1">IFERROR(__xludf.DUMMYFUNCTION("""COMPUTED_VALUE"""),94.28)</f>
        <v>94.28</v>
      </c>
      <c r="D1270" s="1">
        <f ca="1">IFERROR(__xludf.DUMMYFUNCTION("""COMPUTED_VALUE"""),93.3)</f>
        <v>93.3</v>
      </c>
      <c r="E1270" s="1">
        <f ca="1">IFERROR(__xludf.DUMMYFUNCTION("""COMPUTED_VALUE"""),93.9)</f>
        <v>93.9</v>
      </c>
      <c r="F1270" s="1">
        <f ca="1">IFERROR(__xludf.DUMMYFUNCTION("""COMPUTED_VALUE"""),2659493)</f>
        <v>2659493</v>
      </c>
    </row>
    <row r="1271" spans="1:6" x14ac:dyDescent="0.35">
      <c r="A1271" s="2">
        <f ca="1">IFERROR(__xludf.DUMMYFUNCTION("""COMPUTED_VALUE"""),43847.6666666666)</f>
        <v>43847.666666666599</v>
      </c>
      <c r="B1271" s="1">
        <f ca="1">IFERROR(__xludf.DUMMYFUNCTION("""COMPUTED_VALUE"""),94.29)</f>
        <v>94.29</v>
      </c>
      <c r="C1271" s="1">
        <f ca="1">IFERROR(__xludf.DUMMYFUNCTION("""COMPUTED_VALUE"""),94.33)</f>
        <v>94.33</v>
      </c>
      <c r="D1271" s="1">
        <f ca="1">IFERROR(__xludf.DUMMYFUNCTION("""COMPUTED_VALUE"""),92.86)</f>
        <v>92.86</v>
      </c>
      <c r="E1271" s="1">
        <f ca="1">IFERROR(__xludf.DUMMYFUNCTION("""COMPUTED_VALUE"""),93.24)</f>
        <v>93.24</v>
      </c>
      <c r="F1271" s="1">
        <f ca="1">IFERROR(__xludf.DUMMYFUNCTION("""COMPUTED_VALUE"""),3997340)</f>
        <v>3997340</v>
      </c>
    </row>
    <row r="1272" spans="1:6" x14ac:dyDescent="0.35">
      <c r="A1272" s="2">
        <f ca="1">IFERROR(__xludf.DUMMYFUNCTION("""COMPUTED_VALUE"""),43851.6666666666)</f>
        <v>43851.666666666599</v>
      </c>
      <c r="B1272" s="1">
        <f ca="1">IFERROR(__xludf.DUMMYFUNCTION("""COMPUTED_VALUE"""),93.25)</f>
        <v>93.25</v>
      </c>
      <c r="C1272" s="1">
        <f ca="1">IFERROR(__xludf.DUMMYFUNCTION("""COMPUTED_VALUE"""),94.71)</f>
        <v>94.71</v>
      </c>
      <c r="D1272" s="1">
        <f ca="1">IFERROR(__xludf.DUMMYFUNCTION("""COMPUTED_VALUE"""),93)</f>
        <v>93</v>
      </c>
      <c r="E1272" s="1">
        <f ca="1">IFERROR(__xludf.DUMMYFUNCTION("""COMPUTED_VALUE"""),94.6)</f>
        <v>94.6</v>
      </c>
      <c r="F1272" s="1">
        <f ca="1">IFERROR(__xludf.DUMMYFUNCTION("""COMPUTED_VALUE"""),3707785)</f>
        <v>3707785</v>
      </c>
    </row>
    <row r="1273" spans="1:6" x14ac:dyDescent="0.35">
      <c r="A1273" s="2">
        <f ca="1">IFERROR(__xludf.DUMMYFUNCTION("""COMPUTED_VALUE"""),43852.6666666666)</f>
        <v>43852.666666666599</v>
      </c>
      <c r="B1273" s="1">
        <f ca="1">IFERROR(__xludf.DUMMYFUNCTION("""COMPUTED_VALUE"""),94.8)</f>
        <v>94.8</v>
      </c>
      <c r="C1273" s="1">
        <f ca="1">IFERROR(__xludf.DUMMYFUNCTION("""COMPUTED_VALUE"""),95.13)</f>
        <v>95.13</v>
      </c>
      <c r="D1273" s="1">
        <f ca="1">IFERROR(__xludf.DUMMYFUNCTION("""COMPUTED_VALUE"""),94.17)</f>
        <v>94.17</v>
      </c>
      <c r="E1273" s="1">
        <f ca="1">IFERROR(__xludf.DUMMYFUNCTION("""COMPUTED_VALUE"""),94.37)</f>
        <v>94.37</v>
      </c>
      <c r="F1273" s="1">
        <f ca="1">IFERROR(__xludf.DUMMYFUNCTION("""COMPUTED_VALUE"""),3216257)</f>
        <v>3216257</v>
      </c>
    </row>
    <row r="1274" spans="1:6" x14ac:dyDescent="0.35">
      <c r="A1274" s="2">
        <f ca="1">IFERROR(__xludf.DUMMYFUNCTION("""COMPUTED_VALUE"""),43853.6666666666)</f>
        <v>43853.666666666599</v>
      </c>
      <c r="B1274" s="1">
        <f ca="1">IFERROR(__xludf.DUMMYFUNCTION("""COMPUTED_VALUE"""),94.26)</f>
        <v>94.26</v>
      </c>
      <c r="C1274" s="1">
        <f ca="1">IFERROR(__xludf.DUMMYFUNCTION("""COMPUTED_VALUE"""),94.5)</f>
        <v>94.5</v>
      </c>
      <c r="D1274" s="1">
        <f ca="1">IFERROR(__xludf.DUMMYFUNCTION("""COMPUTED_VALUE"""),93.64)</f>
        <v>93.64</v>
      </c>
      <c r="E1274" s="1">
        <f ca="1">IFERROR(__xludf.DUMMYFUNCTION("""COMPUTED_VALUE"""),94.23)</f>
        <v>94.23</v>
      </c>
      <c r="F1274" s="1">
        <f ca="1">IFERROR(__xludf.DUMMYFUNCTION("""COMPUTED_VALUE"""),2484613)</f>
        <v>2484613</v>
      </c>
    </row>
    <row r="1275" spans="1:6" x14ac:dyDescent="0.35">
      <c r="A1275" s="2">
        <f ca="1">IFERROR(__xludf.DUMMYFUNCTION("""COMPUTED_VALUE"""),43854.6666666666)</f>
        <v>43854.666666666599</v>
      </c>
      <c r="B1275" s="1">
        <f ca="1">IFERROR(__xludf.DUMMYFUNCTION("""COMPUTED_VALUE"""),94.57)</f>
        <v>94.57</v>
      </c>
      <c r="C1275" s="1">
        <f ca="1">IFERROR(__xludf.DUMMYFUNCTION("""COMPUTED_VALUE"""),94.75)</f>
        <v>94.75</v>
      </c>
      <c r="D1275" s="1">
        <f ca="1">IFERROR(__xludf.DUMMYFUNCTION("""COMPUTED_VALUE"""),92.37)</f>
        <v>92.37</v>
      </c>
      <c r="E1275" s="1">
        <f ca="1">IFERROR(__xludf.DUMMYFUNCTION("""COMPUTED_VALUE"""),93.08)</f>
        <v>93.08</v>
      </c>
      <c r="F1275" s="1">
        <f ca="1">IFERROR(__xludf.DUMMYFUNCTION("""COMPUTED_VALUE"""),3766181)</f>
        <v>3766181</v>
      </c>
    </row>
    <row r="1276" spans="1:6" x14ac:dyDescent="0.35">
      <c r="A1276" s="2">
        <f ca="1">IFERROR(__xludf.DUMMYFUNCTION("""COMPUTED_VALUE"""),43857.6666666666)</f>
        <v>43857.666666666599</v>
      </c>
      <c r="B1276" s="1">
        <f ca="1">IFERROR(__xludf.DUMMYFUNCTION("""COMPUTED_VALUE"""),91)</f>
        <v>91</v>
      </c>
      <c r="C1276" s="1">
        <f ca="1">IFERROR(__xludf.DUMMYFUNCTION("""COMPUTED_VALUE"""),92.05)</f>
        <v>92.05</v>
      </c>
      <c r="D1276" s="1">
        <f ca="1">IFERROR(__xludf.DUMMYFUNCTION("""COMPUTED_VALUE"""),90.77)</f>
        <v>90.77</v>
      </c>
      <c r="E1276" s="1">
        <f ca="1">IFERROR(__xludf.DUMMYFUNCTION("""COMPUTED_VALUE"""),91.42)</f>
        <v>91.42</v>
      </c>
      <c r="F1276" s="1">
        <f ca="1">IFERROR(__xludf.DUMMYFUNCTION("""COMPUTED_VALUE"""),3528509)</f>
        <v>3528509</v>
      </c>
    </row>
    <row r="1277" spans="1:6" x14ac:dyDescent="0.35">
      <c r="A1277" s="2">
        <f ca="1">IFERROR(__xludf.DUMMYFUNCTION("""COMPUTED_VALUE"""),43858.6666666666)</f>
        <v>43858.666666666599</v>
      </c>
      <c r="B1277" s="1">
        <f ca="1">IFERROR(__xludf.DUMMYFUNCTION("""COMPUTED_VALUE"""),92.03)</f>
        <v>92.03</v>
      </c>
      <c r="C1277" s="1">
        <f ca="1">IFERROR(__xludf.DUMMYFUNCTION("""COMPUTED_VALUE"""),92.91)</f>
        <v>92.91</v>
      </c>
      <c r="D1277" s="1">
        <f ca="1">IFERROR(__xludf.DUMMYFUNCTION("""COMPUTED_VALUE"""),91.5)</f>
        <v>91.5</v>
      </c>
      <c r="E1277" s="1">
        <f ca="1">IFERROR(__xludf.DUMMYFUNCTION("""COMPUTED_VALUE"""),92.66)</f>
        <v>92.66</v>
      </c>
      <c r="F1277" s="1">
        <f ca="1">IFERROR(__xludf.DUMMYFUNCTION("""COMPUTED_VALUE"""),2808040)</f>
        <v>2808040</v>
      </c>
    </row>
    <row r="1278" spans="1:6" x14ac:dyDescent="0.35">
      <c r="A1278" s="2">
        <f ca="1">IFERROR(__xludf.DUMMYFUNCTION("""COMPUTED_VALUE"""),43859.6666666666)</f>
        <v>43859.666666666599</v>
      </c>
      <c r="B1278" s="1">
        <f ca="1">IFERROR(__xludf.DUMMYFUNCTION("""COMPUTED_VALUE"""),93.2)</f>
        <v>93.2</v>
      </c>
      <c r="C1278" s="1">
        <f ca="1">IFERROR(__xludf.DUMMYFUNCTION("""COMPUTED_VALUE"""),93.74)</f>
        <v>93.74</v>
      </c>
      <c r="D1278" s="1">
        <f ca="1">IFERROR(__xludf.DUMMYFUNCTION("""COMPUTED_VALUE"""),92.75)</f>
        <v>92.75</v>
      </c>
      <c r="E1278" s="1">
        <f ca="1">IFERROR(__xludf.DUMMYFUNCTION("""COMPUTED_VALUE"""),92.9)</f>
        <v>92.9</v>
      </c>
      <c r="F1278" s="1">
        <f ca="1">IFERROR(__xludf.DUMMYFUNCTION("""COMPUTED_VALUE"""),2101390)</f>
        <v>2101390</v>
      </c>
    </row>
    <row r="1279" spans="1:6" x14ac:dyDescent="0.35">
      <c r="A1279" s="2">
        <f ca="1">IFERROR(__xludf.DUMMYFUNCTION("""COMPUTED_VALUE"""),43860.6666666666)</f>
        <v>43860.666666666599</v>
      </c>
      <c r="B1279" s="1">
        <f ca="1">IFERROR(__xludf.DUMMYFUNCTION("""COMPUTED_VALUE"""),92.9)</f>
        <v>92.9</v>
      </c>
      <c r="C1279" s="1">
        <f ca="1">IFERROR(__xludf.DUMMYFUNCTION("""COMPUTED_VALUE"""),93.64)</f>
        <v>93.64</v>
      </c>
      <c r="D1279" s="1">
        <f ca="1">IFERROR(__xludf.DUMMYFUNCTION("""COMPUTED_VALUE"""),92.53)</f>
        <v>92.53</v>
      </c>
      <c r="E1279" s="1">
        <f ca="1">IFERROR(__xludf.DUMMYFUNCTION("""COMPUTED_VALUE"""),93.53)</f>
        <v>93.53</v>
      </c>
      <c r="F1279" s="1">
        <f ca="1">IFERROR(__xludf.DUMMYFUNCTION("""COMPUTED_VALUE"""),6327438)</f>
        <v>6327438</v>
      </c>
    </row>
    <row r="1280" spans="1:6" x14ac:dyDescent="0.35">
      <c r="A1280" s="2">
        <f ca="1">IFERROR(__xludf.DUMMYFUNCTION("""COMPUTED_VALUE"""),43861.6666666666)</f>
        <v>43861.666666666599</v>
      </c>
      <c r="B1280" s="1">
        <f ca="1">IFERROR(__xludf.DUMMYFUNCTION("""COMPUTED_VALUE"""),102.57)</f>
        <v>102.57</v>
      </c>
      <c r="C1280" s="1">
        <f ca="1">IFERROR(__xludf.DUMMYFUNCTION("""COMPUTED_VALUE"""),102.79)</f>
        <v>102.79</v>
      </c>
      <c r="D1280" s="1">
        <f ca="1">IFERROR(__xludf.DUMMYFUNCTION("""COMPUTED_VALUE"""),100.11)</f>
        <v>100.11</v>
      </c>
      <c r="E1280" s="1">
        <f ca="1">IFERROR(__xludf.DUMMYFUNCTION("""COMPUTED_VALUE"""),100.44)</f>
        <v>100.44</v>
      </c>
      <c r="F1280" s="1">
        <f ca="1">IFERROR(__xludf.DUMMYFUNCTION("""COMPUTED_VALUE"""),15567283)</f>
        <v>15567283</v>
      </c>
    </row>
    <row r="1281" spans="1:6" x14ac:dyDescent="0.35">
      <c r="A1281" s="2">
        <f ca="1">IFERROR(__xludf.DUMMYFUNCTION("""COMPUTED_VALUE"""),43864.6666666666)</f>
        <v>43864.666666666599</v>
      </c>
      <c r="B1281" s="1">
        <f ca="1">IFERROR(__xludf.DUMMYFUNCTION("""COMPUTED_VALUE"""),100.53)</f>
        <v>100.53</v>
      </c>
      <c r="C1281" s="1">
        <f ca="1">IFERROR(__xludf.DUMMYFUNCTION("""COMPUTED_VALUE"""),102.43)</f>
        <v>102.43</v>
      </c>
      <c r="D1281" s="1">
        <f ca="1">IFERROR(__xludf.DUMMYFUNCTION("""COMPUTED_VALUE"""),100.01)</f>
        <v>100.01</v>
      </c>
      <c r="E1281" s="1">
        <f ca="1">IFERROR(__xludf.DUMMYFUNCTION("""COMPUTED_VALUE"""),100.21)</f>
        <v>100.21</v>
      </c>
      <c r="F1281" s="1">
        <f ca="1">IFERROR(__xludf.DUMMYFUNCTION("""COMPUTED_VALUE"""),5899094)</f>
        <v>5899094</v>
      </c>
    </row>
    <row r="1282" spans="1:6" x14ac:dyDescent="0.35">
      <c r="A1282" s="2">
        <f ca="1">IFERROR(__xludf.DUMMYFUNCTION("""COMPUTED_VALUE"""),43865.6666666666)</f>
        <v>43865.666666666599</v>
      </c>
      <c r="B1282" s="1">
        <f ca="1">IFERROR(__xludf.DUMMYFUNCTION("""COMPUTED_VALUE"""),101.49)</f>
        <v>101.49</v>
      </c>
      <c r="C1282" s="1">
        <f ca="1">IFERROR(__xludf.DUMMYFUNCTION("""COMPUTED_VALUE"""),102.99)</f>
        <v>102.99</v>
      </c>
      <c r="D1282" s="1">
        <f ca="1">IFERROR(__xludf.DUMMYFUNCTION("""COMPUTED_VALUE"""),100.77)</f>
        <v>100.77</v>
      </c>
      <c r="E1282" s="1">
        <f ca="1">IFERROR(__xludf.DUMMYFUNCTION("""COMPUTED_VALUE"""),102.48)</f>
        <v>102.48</v>
      </c>
      <c r="F1282" s="1">
        <f ca="1">IFERROR(__xludf.DUMMYFUNCTION("""COMPUTED_VALUE"""),5289338)</f>
        <v>5289338</v>
      </c>
    </row>
    <row r="1283" spans="1:6" x14ac:dyDescent="0.35">
      <c r="A1283" s="2">
        <f ca="1">IFERROR(__xludf.DUMMYFUNCTION("""COMPUTED_VALUE"""),43866.6666666666)</f>
        <v>43866.666666666599</v>
      </c>
      <c r="B1283" s="1">
        <f ca="1">IFERROR(__xludf.DUMMYFUNCTION("""COMPUTED_VALUE"""),103.55)</f>
        <v>103.55</v>
      </c>
      <c r="C1283" s="1">
        <f ca="1">IFERROR(__xludf.DUMMYFUNCTION("""COMPUTED_VALUE"""),103.55)</f>
        <v>103.55</v>
      </c>
      <c r="D1283" s="1">
        <f ca="1">IFERROR(__xludf.DUMMYFUNCTION("""COMPUTED_VALUE"""),101.6)</f>
        <v>101.6</v>
      </c>
      <c r="E1283" s="1">
        <f ca="1">IFERROR(__xludf.DUMMYFUNCTION("""COMPUTED_VALUE"""),101.99)</f>
        <v>101.99</v>
      </c>
      <c r="F1283" s="1">
        <f ca="1">IFERROR(__xludf.DUMMYFUNCTION("""COMPUTED_VALUE"""),4376174)</f>
        <v>4376174</v>
      </c>
    </row>
    <row r="1284" spans="1:6" x14ac:dyDescent="0.35">
      <c r="A1284" s="2">
        <f ca="1">IFERROR(__xludf.DUMMYFUNCTION("""COMPUTED_VALUE"""),43867.6666666666)</f>
        <v>43867.666666666599</v>
      </c>
      <c r="B1284" s="1">
        <f ca="1">IFERROR(__xludf.DUMMYFUNCTION("""COMPUTED_VALUE"""),102.05)</f>
        <v>102.05</v>
      </c>
      <c r="C1284" s="1">
        <f ca="1">IFERROR(__xludf.DUMMYFUNCTION("""COMPUTED_VALUE"""),102.82)</f>
        <v>102.82</v>
      </c>
      <c r="D1284" s="1">
        <f ca="1">IFERROR(__xludf.DUMMYFUNCTION("""COMPUTED_VALUE"""),101.24)</f>
        <v>101.24</v>
      </c>
      <c r="E1284" s="1">
        <f ca="1">IFERROR(__xludf.DUMMYFUNCTION("""COMPUTED_VALUE"""),102.51)</f>
        <v>102.51</v>
      </c>
      <c r="F1284" s="1">
        <f ca="1">IFERROR(__xludf.DUMMYFUNCTION("""COMPUTED_VALUE"""),3182954)</f>
        <v>3182954</v>
      </c>
    </row>
    <row r="1285" spans="1:6" x14ac:dyDescent="0.35">
      <c r="A1285" s="2">
        <f ca="1">IFERROR(__xludf.DUMMYFUNCTION("""COMPUTED_VALUE"""),43868.6666666666)</f>
        <v>43868.666666666599</v>
      </c>
      <c r="B1285" s="1">
        <f ca="1">IFERROR(__xludf.DUMMYFUNCTION("""COMPUTED_VALUE"""),102.1)</f>
        <v>102.1</v>
      </c>
      <c r="C1285" s="1">
        <f ca="1">IFERROR(__xludf.DUMMYFUNCTION("""COMPUTED_VALUE"""),104.93)</f>
        <v>104.93</v>
      </c>
      <c r="D1285" s="1">
        <f ca="1">IFERROR(__xludf.DUMMYFUNCTION("""COMPUTED_VALUE"""),101.91)</f>
        <v>101.91</v>
      </c>
      <c r="E1285" s="1">
        <f ca="1">IFERROR(__xludf.DUMMYFUNCTION("""COMPUTED_VALUE"""),103.96)</f>
        <v>103.96</v>
      </c>
      <c r="F1285" s="1">
        <f ca="1">IFERROR(__xludf.DUMMYFUNCTION("""COMPUTED_VALUE"""),5095347)</f>
        <v>5095347</v>
      </c>
    </row>
    <row r="1286" spans="1:6" x14ac:dyDescent="0.35">
      <c r="A1286" s="2">
        <f ca="1">IFERROR(__xludf.DUMMYFUNCTION("""COMPUTED_VALUE"""),43871.6666666666)</f>
        <v>43871.666666666599</v>
      </c>
      <c r="B1286" s="1">
        <f ca="1">IFERROR(__xludf.DUMMYFUNCTION("""COMPUTED_VALUE"""),104.25)</f>
        <v>104.25</v>
      </c>
      <c r="C1286" s="1">
        <f ca="1">IFERROR(__xludf.DUMMYFUNCTION("""COMPUTED_VALUE"""),106.78)</f>
        <v>106.78</v>
      </c>
      <c r="D1286" s="1">
        <f ca="1">IFERROR(__xludf.DUMMYFUNCTION("""COMPUTED_VALUE"""),104.25)</f>
        <v>104.25</v>
      </c>
      <c r="E1286" s="1">
        <f ca="1">IFERROR(__xludf.DUMMYFUNCTION("""COMPUTED_VALUE"""),106.7)</f>
        <v>106.7</v>
      </c>
      <c r="F1286" s="1">
        <f ca="1">IFERROR(__xludf.DUMMYFUNCTION("""COMPUTED_VALUE"""),5056235)</f>
        <v>5056235</v>
      </c>
    </row>
    <row r="1287" spans="1:6" x14ac:dyDescent="0.35">
      <c r="A1287" s="2">
        <f ca="1">IFERROR(__xludf.DUMMYFUNCTION("""COMPUTED_VALUE"""),43872.6666666666)</f>
        <v>43872.666666666599</v>
      </c>
      <c r="B1287" s="1">
        <f ca="1">IFERROR(__xludf.DUMMYFUNCTION("""COMPUTED_VALUE"""),107.55)</f>
        <v>107.55</v>
      </c>
      <c r="C1287" s="1">
        <f ca="1">IFERROR(__xludf.DUMMYFUNCTION("""COMPUTED_VALUE"""),109.3)</f>
        <v>109.3</v>
      </c>
      <c r="D1287" s="1">
        <f ca="1">IFERROR(__xludf.DUMMYFUNCTION("""COMPUTED_VALUE"""),106.8)</f>
        <v>106.8</v>
      </c>
      <c r="E1287" s="1">
        <f ca="1">IFERROR(__xludf.DUMMYFUNCTION("""COMPUTED_VALUE"""),107.54)</f>
        <v>107.54</v>
      </c>
      <c r="F1287" s="1">
        <f ca="1">IFERROR(__xludf.DUMMYFUNCTION("""COMPUTED_VALUE"""),5746011)</f>
        <v>5746011</v>
      </c>
    </row>
    <row r="1288" spans="1:6" x14ac:dyDescent="0.35">
      <c r="A1288" s="2">
        <f ca="1">IFERROR(__xludf.DUMMYFUNCTION("""COMPUTED_VALUE"""),43873.6666666666)</f>
        <v>43873.666666666599</v>
      </c>
      <c r="B1288" s="1">
        <f ca="1">IFERROR(__xludf.DUMMYFUNCTION("""COMPUTED_VALUE"""),108.16)</f>
        <v>108.16</v>
      </c>
      <c r="C1288" s="1">
        <f ca="1">IFERROR(__xludf.DUMMYFUNCTION("""COMPUTED_VALUE"""),109.01)</f>
        <v>109.01</v>
      </c>
      <c r="D1288" s="1">
        <f ca="1">IFERROR(__xludf.DUMMYFUNCTION("""COMPUTED_VALUE"""),107.76)</f>
        <v>107.76</v>
      </c>
      <c r="E1288" s="1">
        <f ca="1">IFERROR(__xludf.DUMMYFUNCTION("""COMPUTED_VALUE"""),108)</f>
        <v>108</v>
      </c>
      <c r="F1288" s="1">
        <f ca="1">IFERROR(__xludf.DUMMYFUNCTION("""COMPUTED_VALUE"""),3334264)</f>
        <v>3334264</v>
      </c>
    </row>
    <row r="1289" spans="1:6" x14ac:dyDescent="0.35">
      <c r="A1289" s="2">
        <f ca="1">IFERROR(__xludf.DUMMYFUNCTION("""COMPUTED_VALUE"""),43874.6666666666)</f>
        <v>43874.666666666599</v>
      </c>
      <c r="B1289" s="1">
        <f ca="1">IFERROR(__xludf.DUMMYFUNCTION("""COMPUTED_VALUE"""),107.25)</f>
        <v>107.25</v>
      </c>
      <c r="C1289" s="1">
        <f ca="1">IFERROR(__xludf.DUMMYFUNCTION("""COMPUTED_VALUE"""),108.51)</f>
        <v>108.51</v>
      </c>
      <c r="D1289" s="1">
        <f ca="1">IFERROR(__xludf.DUMMYFUNCTION("""COMPUTED_VALUE"""),107.1)</f>
        <v>107.1</v>
      </c>
      <c r="E1289" s="1">
        <f ca="1">IFERROR(__xludf.DUMMYFUNCTION("""COMPUTED_VALUE"""),107.49)</f>
        <v>107.49</v>
      </c>
      <c r="F1289" s="1">
        <f ca="1">IFERROR(__xludf.DUMMYFUNCTION("""COMPUTED_VALUE"""),3031791)</f>
        <v>3031791</v>
      </c>
    </row>
    <row r="1290" spans="1:6" x14ac:dyDescent="0.35">
      <c r="A1290" s="2">
        <f ca="1">IFERROR(__xludf.DUMMYFUNCTION("""COMPUTED_VALUE"""),43875.6666666666)</f>
        <v>43875.666666666599</v>
      </c>
      <c r="B1290" s="1">
        <f ca="1">IFERROR(__xludf.DUMMYFUNCTION("""COMPUTED_VALUE"""),107.78)</f>
        <v>107.78</v>
      </c>
      <c r="C1290" s="1">
        <f ca="1">IFERROR(__xludf.DUMMYFUNCTION("""COMPUTED_VALUE"""),107.95)</f>
        <v>107.95</v>
      </c>
      <c r="D1290" s="1">
        <f ca="1">IFERROR(__xludf.DUMMYFUNCTION("""COMPUTED_VALUE"""),106.29)</f>
        <v>106.29</v>
      </c>
      <c r="E1290" s="1">
        <f ca="1">IFERROR(__xludf.DUMMYFUNCTION("""COMPUTED_VALUE"""),106.74)</f>
        <v>106.74</v>
      </c>
      <c r="F1290" s="1">
        <f ca="1">IFERROR(__xludf.DUMMYFUNCTION("""COMPUTED_VALUE"""),2606169)</f>
        <v>2606169</v>
      </c>
    </row>
    <row r="1291" spans="1:6" x14ac:dyDescent="0.35">
      <c r="A1291" s="2">
        <f ca="1">IFERROR(__xludf.DUMMYFUNCTION("""COMPUTED_VALUE"""),43879.6666666666)</f>
        <v>43879.666666666599</v>
      </c>
      <c r="B1291" s="1">
        <f ca="1">IFERROR(__xludf.DUMMYFUNCTION("""COMPUTED_VALUE"""),106.25)</f>
        <v>106.25</v>
      </c>
      <c r="C1291" s="1">
        <f ca="1">IFERROR(__xludf.DUMMYFUNCTION("""COMPUTED_VALUE"""),108.3)</f>
        <v>108.3</v>
      </c>
      <c r="D1291" s="1">
        <f ca="1">IFERROR(__xludf.DUMMYFUNCTION("""COMPUTED_VALUE"""),106.21)</f>
        <v>106.21</v>
      </c>
      <c r="E1291" s="1">
        <f ca="1">IFERROR(__xludf.DUMMYFUNCTION("""COMPUTED_VALUE"""),107.78)</f>
        <v>107.78</v>
      </c>
      <c r="F1291" s="1">
        <f ca="1">IFERROR(__xludf.DUMMYFUNCTION("""COMPUTED_VALUE"""),2951070)</f>
        <v>2951070</v>
      </c>
    </row>
    <row r="1292" spans="1:6" x14ac:dyDescent="0.35">
      <c r="A1292" s="2">
        <f ca="1">IFERROR(__xludf.DUMMYFUNCTION("""COMPUTED_VALUE"""),43880.6666666666)</f>
        <v>43880.666666666599</v>
      </c>
      <c r="B1292" s="1">
        <f ca="1">IFERROR(__xludf.DUMMYFUNCTION("""COMPUTED_VALUE"""),108.39)</f>
        <v>108.39</v>
      </c>
      <c r="C1292" s="1">
        <f ca="1">IFERROR(__xludf.DUMMYFUNCTION("""COMPUTED_VALUE"""),109.26)</f>
        <v>109.26</v>
      </c>
      <c r="D1292" s="1">
        <f ca="1">IFERROR(__xludf.DUMMYFUNCTION("""COMPUTED_VALUE"""),108.06)</f>
        <v>108.06</v>
      </c>
      <c r="E1292" s="1">
        <f ca="1">IFERROR(__xludf.DUMMYFUNCTION("""COMPUTED_VALUE"""),108.51)</f>
        <v>108.51</v>
      </c>
      <c r="F1292" s="1">
        <f ca="1">IFERROR(__xludf.DUMMYFUNCTION("""COMPUTED_VALUE"""),2561165)</f>
        <v>2561165</v>
      </c>
    </row>
    <row r="1293" spans="1:6" x14ac:dyDescent="0.35">
      <c r="A1293" s="2">
        <f ca="1">IFERROR(__xludf.DUMMYFUNCTION("""COMPUTED_VALUE"""),43881.6666666666)</f>
        <v>43881.666666666599</v>
      </c>
      <c r="B1293" s="1">
        <f ca="1">IFERROR(__xludf.DUMMYFUNCTION("""COMPUTED_VALUE"""),108.65)</f>
        <v>108.65</v>
      </c>
      <c r="C1293" s="1">
        <f ca="1">IFERROR(__xludf.DUMMYFUNCTION("""COMPUTED_VALUE"""),108.84)</f>
        <v>108.84</v>
      </c>
      <c r="D1293" s="1">
        <f ca="1">IFERROR(__xludf.DUMMYFUNCTION("""COMPUTED_VALUE"""),106.37)</f>
        <v>106.37</v>
      </c>
      <c r="E1293" s="1">
        <f ca="1">IFERROR(__xludf.DUMMYFUNCTION("""COMPUTED_VALUE"""),107.66)</f>
        <v>107.66</v>
      </c>
      <c r="F1293" s="1">
        <f ca="1">IFERROR(__xludf.DUMMYFUNCTION("""COMPUTED_VALUE"""),3131342)</f>
        <v>3131342</v>
      </c>
    </row>
    <row r="1294" spans="1:6" x14ac:dyDescent="0.35">
      <c r="A1294" s="2">
        <f ca="1">IFERROR(__xludf.DUMMYFUNCTION("""COMPUTED_VALUE"""),43882.6666666666)</f>
        <v>43882.666666666599</v>
      </c>
      <c r="B1294" s="1">
        <f ca="1">IFERROR(__xludf.DUMMYFUNCTION("""COMPUTED_VALUE"""),107.11)</f>
        <v>107.11</v>
      </c>
      <c r="C1294" s="1">
        <f ca="1">IFERROR(__xludf.DUMMYFUNCTION("""COMPUTED_VALUE"""),107.23)</f>
        <v>107.23</v>
      </c>
      <c r="D1294" s="1">
        <f ca="1">IFERROR(__xludf.DUMMYFUNCTION("""COMPUTED_VALUE"""),104.4)</f>
        <v>104.4</v>
      </c>
      <c r="E1294" s="1">
        <f ca="1">IFERROR(__xludf.DUMMYFUNCTION("""COMPUTED_VALUE"""),104.8)</f>
        <v>104.8</v>
      </c>
      <c r="F1294" s="1">
        <f ca="1">IFERROR(__xludf.DUMMYFUNCTION("""COMPUTED_VALUE"""),4650740)</f>
        <v>4650740</v>
      </c>
    </row>
    <row r="1295" spans="1:6" x14ac:dyDescent="0.35">
      <c r="A1295" s="2">
        <f ca="1">IFERROR(__xludf.DUMMYFUNCTION("""COMPUTED_VALUE"""),43885.6666666666)</f>
        <v>43885.666666666599</v>
      </c>
      <c r="B1295" s="1">
        <f ca="1">IFERROR(__xludf.DUMMYFUNCTION("""COMPUTED_VALUE"""),100.16)</f>
        <v>100.16</v>
      </c>
      <c r="C1295" s="1">
        <f ca="1">IFERROR(__xludf.DUMMYFUNCTION("""COMPUTED_VALUE"""),101.96)</f>
        <v>101.96</v>
      </c>
      <c r="D1295" s="1">
        <f ca="1">IFERROR(__xludf.DUMMYFUNCTION("""COMPUTED_VALUE"""),99.4)</f>
        <v>99.4</v>
      </c>
      <c r="E1295" s="1">
        <f ca="1">IFERROR(__xludf.DUMMYFUNCTION("""COMPUTED_VALUE"""),100.46)</f>
        <v>100.46</v>
      </c>
      <c r="F1295" s="1">
        <f ca="1">IFERROR(__xludf.DUMMYFUNCTION("""COMPUTED_VALUE"""),6546997)</f>
        <v>6546997</v>
      </c>
    </row>
    <row r="1296" spans="1:6" x14ac:dyDescent="0.35">
      <c r="A1296" s="2">
        <f ca="1">IFERROR(__xludf.DUMMYFUNCTION("""COMPUTED_VALUE"""),43886.6666666666)</f>
        <v>43886.666666666599</v>
      </c>
      <c r="B1296" s="1">
        <f ca="1">IFERROR(__xludf.DUMMYFUNCTION("""COMPUTED_VALUE"""),101.32)</f>
        <v>101.32</v>
      </c>
      <c r="C1296" s="1">
        <f ca="1">IFERROR(__xludf.DUMMYFUNCTION("""COMPUTED_VALUE"""),101.73)</f>
        <v>101.73</v>
      </c>
      <c r="D1296" s="1">
        <f ca="1">IFERROR(__xludf.DUMMYFUNCTION("""COMPUTED_VALUE"""),97.92)</f>
        <v>97.92</v>
      </c>
      <c r="E1296" s="1">
        <f ca="1">IFERROR(__xludf.DUMMYFUNCTION("""COMPUTED_VALUE"""),98.64)</f>
        <v>98.64</v>
      </c>
      <c r="F1296" s="1">
        <f ca="1">IFERROR(__xludf.DUMMYFUNCTION("""COMPUTED_VALUE"""),6219094)</f>
        <v>6219094</v>
      </c>
    </row>
    <row r="1297" spans="1:6" x14ac:dyDescent="0.35">
      <c r="A1297" s="2">
        <f ca="1">IFERROR(__xludf.DUMMYFUNCTION("""COMPUTED_VALUE"""),43887.6666666666)</f>
        <v>43887.666666666599</v>
      </c>
      <c r="B1297" s="1">
        <f ca="1">IFERROR(__xludf.DUMMYFUNCTION("""COMPUTED_VALUE"""),98.51)</f>
        <v>98.51</v>
      </c>
      <c r="C1297" s="1">
        <f ca="1">IFERROR(__xludf.DUMMYFUNCTION("""COMPUTED_VALUE"""),100.73)</f>
        <v>100.73</v>
      </c>
      <c r="D1297" s="1">
        <f ca="1">IFERROR(__xludf.DUMMYFUNCTION("""COMPUTED_VALUE"""),98.02)</f>
        <v>98.02</v>
      </c>
      <c r="E1297" s="1">
        <f ca="1">IFERROR(__xludf.DUMMYFUNCTION("""COMPUTED_VALUE"""),98.98)</f>
        <v>98.98</v>
      </c>
      <c r="F1297" s="1">
        <f ca="1">IFERROR(__xludf.DUMMYFUNCTION("""COMPUTED_VALUE"""),5240402)</f>
        <v>5240402</v>
      </c>
    </row>
    <row r="1298" spans="1:6" x14ac:dyDescent="0.35">
      <c r="A1298" s="2">
        <f ca="1">IFERROR(__xludf.DUMMYFUNCTION("""COMPUTED_VALUE"""),43888.6666666666)</f>
        <v>43888.666666666599</v>
      </c>
      <c r="B1298" s="1">
        <f ca="1">IFERROR(__xludf.DUMMYFUNCTION("""COMPUTED_VALUE"""),96.72)</f>
        <v>96.72</v>
      </c>
      <c r="C1298" s="1">
        <f ca="1">IFERROR(__xludf.DUMMYFUNCTION("""COMPUTED_VALUE"""),98.75)</f>
        <v>98.75</v>
      </c>
      <c r="D1298" s="1">
        <f ca="1">IFERROR(__xludf.DUMMYFUNCTION("""COMPUTED_VALUE"""),94.14)</f>
        <v>94.14</v>
      </c>
      <c r="E1298" s="1">
        <f ca="1">IFERROR(__xludf.DUMMYFUNCTION("""COMPUTED_VALUE"""),94.22)</f>
        <v>94.22</v>
      </c>
      <c r="F1298" s="1">
        <f ca="1">IFERROR(__xludf.DUMMYFUNCTION("""COMPUTED_VALUE"""),8143993)</f>
        <v>8143993</v>
      </c>
    </row>
    <row r="1299" spans="1:6" x14ac:dyDescent="0.35">
      <c r="A1299" s="2">
        <f ca="1">IFERROR(__xludf.DUMMYFUNCTION("""COMPUTED_VALUE"""),43889.6666666666)</f>
        <v>43889.666666666599</v>
      </c>
      <c r="B1299" s="1">
        <f ca="1">IFERROR(__xludf.DUMMYFUNCTION("""COMPUTED_VALUE"""),90.73)</f>
        <v>90.73</v>
      </c>
      <c r="C1299" s="1">
        <f ca="1">IFERROR(__xludf.DUMMYFUNCTION("""COMPUTED_VALUE"""),94.49)</f>
        <v>94.49</v>
      </c>
      <c r="D1299" s="1">
        <f ca="1">IFERROR(__xludf.DUMMYFUNCTION("""COMPUTED_VALUE"""),90.56)</f>
        <v>90.56</v>
      </c>
      <c r="E1299" s="1">
        <f ca="1">IFERROR(__xludf.DUMMYFUNCTION("""COMPUTED_VALUE"""),94.19)</f>
        <v>94.19</v>
      </c>
      <c r="F1299" s="1">
        <f ca="1">IFERROR(__xludf.DUMMYFUNCTION("""COMPUTED_VALUE"""),9493797)</f>
        <v>9493797</v>
      </c>
    </row>
    <row r="1300" spans="1:6" x14ac:dyDescent="0.35">
      <c r="A1300" s="2">
        <f ca="1">IFERROR(__xludf.DUMMYFUNCTION("""COMPUTED_VALUE"""),43892.6666666666)</f>
        <v>43892.666666666599</v>
      </c>
      <c r="B1300" s="1">
        <f ca="1">IFERROR(__xludf.DUMMYFUNCTION("""COMPUTED_VALUE"""),95.32)</f>
        <v>95.32</v>
      </c>
      <c r="C1300" s="1">
        <f ca="1">IFERROR(__xludf.DUMMYFUNCTION("""COMPUTED_VALUE"""),97.73)</f>
        <v>97.73</v>
      </c>
      <c r="D1300" s="1">
        <f ca="1">IFERROR(__xludf.DUMMYFUNCTION("""COMPUTED_VALUE"""),93.5)</f>
        <v>93.5</v>
      </c>
      <c r="E1300" s="1">
        <f ca="1">IFERROR(__xludf.DUMMYFUNCTION("""COMPUTED_VALUE"""),97.7)</f>
        <v>97.7</v>
      </c>
      <c r="F1300" s="1">
        <f ca="1">IFERROR(__xludf.DUMMYFUNCTION("""COMPUTED_VALUE"""),6761651)</f>
        <v>6761651</v>
      </c>
    </row>
    <row r="1301" spans="1:6" x14ac:dyDescent="0.35">
      <c r="A1301" s="2">
        <f ca="1">IFERROR(__xludf.DUMMYFUNCTION("""COMPUTED_VALUE"""),43893.6666666666)</f>
        <v>43893.666666666599</v>
      </c>
      <c r="B1301" s="1">
        <f ca="1">IFERROR(__xludf.DUMMYFUNCTION("""COMPUTED_VALUE"""),98.77)</f>
        <v>98.77</v>
      </c>
      <c r="C1301" s="1">
        <f ca="1">IFERROR(__xludf.DUMMYFUNCTION("""COMPUTED_VALUE"""),99.82)</f>
        <v>99.82</v>
      </c>
      <c r="D1301" s="1">
        <f ca="1">IFERROR(__xludf.DUMMYFUNCTION("""COMPUTED_VALUE"""),94.4)</f>
        <v>94.4</v>
      </c>
      <c r="E1301" s="1">
        <f ca="1">IFERROR(__xludf.DUMMYFUNCTION("""COMPUTED_VALUE"""),95.45)</f>
        <v>95.45</v>
      </c>
      <c r="F1301" s="1">
        <f ca="1">IFERROR(__xludf.DUMMYFUNCTION("""COMPUTED_VALUE"""),7534491)</f>
        <v>7534491</v>
      </c>
    </row>
    <row r="1302" spans="1:6" x14ac:dyDescent="0.35">
      <c r="A1302" s="2">
        <f ca="1">IFERROR(__xludf.DUMMYFUNCTION("""COMPUTED_VALUE"""),43894.6666666666)</f>
        <v>43894.666666666599</v>
      </c>
      <c r="B1302" s="1">
        <f ca="1">IFERROR(__xludf.DUMMYFUNCTION("""COMPUTED_VALUE"""),97.33)</f>
        <v>97.33</v>
      </c>
      <c r="C1302" s="1">
        <f ca="1">IFERROR(__xludf.DUMMYFUNCTION("""COMPUTED_VALUE"""),98.9)</f>
        <v>98.9</v>
      </c>
      <c r="D1302" s="1">
        <f ca="1">IFERROR(__xludf.DUMMYFUNCTION("""COMPUTED_VALUE"""),96.1)</f>
        <v>96.1</v>
      </c>
      <c r="E1302" s="1">
        <f ca="1">IFERROR(__xludf.DUMMYFUNCTION("""COMPUTED_VALUE"""),98.79)</f>
        <v>98.79</v>
      </c>
      <c r="F1302" s="1">
        <f ca="1">IFERROR(__xludf.DUMMYFUNCTION("""COMPUTED_VALUE"""),4772919)</f>
        <v>4772919</v>
      </c>
    </row>
    <row r="1303" spans="1:6" x14ac:dyDescent="0.35">
      <c r="A1303" s="2">
        <f ca="1">IFERROR(__xludf.DUMMYFUNCTION("""COMPUTED_VALUE"""),43895.6666666666)</f>
        <v>43895.666666666599</v>
      </c>
      <c r="B1303" s="1">
        <f ca="1">IFERROR(__xludf.DUMMYFUNCTION("""COMPUTED_VALUE"""),96.65)</f>
        <v>96.65</v>
      </c>
      <c r="C1303" s="1">
        <f ca="1">IFERROR(__xludf.DUMMYFUNCTION("""COMPUTED_VALUE"""),98.04)</f>
        <v>98.04</v>
      </c>
      <c r="D1303" s="1">
        <f ca="1">IFERROR(__xludf.DUMMYFUNCTION("""COMPUTED_VALUE"""),95.5)</f>
        <v>95.5</v>
      </c>
      <c r="E1303" s="1">
        <f ca="1">IFERROR(__xludf.DUMMYFUNCTION("""COMPUTED_VALUE"""),96.2)</f>
        <v>96.2</v>
      </c>
      <c r="F1303" s="1">
        <f ca="1">IFERROR(__xludf.DUMMYFUNCTION("""COMPUTED_VALUE"""),4748210)</f>
        <v>4748210</v>
      </c>
    </row>
    <row r="1304" spans="1:6" x14ac:dyDescent="0.35">
      <c r="A1304" s="2">
        <f ca="1">IFERROR(__xludf.DUMMYFUNCTION("""COMPUTED_VALUE"""),43896.6666666666)</f>
        <v>43896.666666666599</v>
      </c>
      <c r="B1304" s="1">
        <f ca="1">IFERROR(__xludf.DUMMYFUNCTION("""COMPUTED_VALUE"""),93.75)</f>
        <v>93.75</v>
      </c>
      <c r="C1304" s="1">
        <f ca="1">IFERROR(__xludf.DUMMYFUNCTION("""COMPUTED_VALUE"""),95.54)</f>
        <v>95.54</v>
      </c>
      <c r="D1304" s="1">
        <f ca="1">IFERROR(__xludf.DUMMYFUNCTION("""COMPUTED_VALUE"""),93.48)</f>
        <v>93.48</v>
      </c>
      <c r="E1304" s="1">
        <f ca="1">IFERROR(__xludf.DUMMYFUNCTION("""COMPUTED_VALUE"""),95.05)</f>
        <v>95.05</v>
      </c>
      <c r="F1304" s="1">
        <f ca="1">IFERROR(__xludf.DUMMYFUNCTION("""COMPUTED_VALUE"""),5273580)</f>
        <v>5273580</v>
      </c>
    </row>
    <row r="1305" spans="1:6" x14ac:dyDescent="0.35">
      <c r="A1305" s="2">
        <f ca="1">IFERROR(__xludf.DUMMYFUNCTION("""COMPUTED_VALUE"""),43899.6666666666)</f>
        <v>43899.666666666599</v>
      </c>
      <c r="B1305" s="1">
        <f ca="1">IFERROR(__xludf.DUMMYFUNCTION("""COMPUTED_VALUE"""),88.69)</f>
        <v>88.69</v>
      </c>
      <c r="C1305" s="1">
        <f ca="1">IFERROR(__xludf.DUMMYFUNCTION("""COMPUTED_VALUE"""),93.14)</f>
        <v>93.14</v>
      </c>
      <c r="D1305" s="1">
        <f ca="1">IFERROR(__xludf.DUMMYFUNCTION("""COMPUTED_VALUE"""),88.06)</f>
        <v>88.06</v>
      </c>
      <c r="E1305" s="1">
        <f ca="1">IFERROR(__xludf.DUMMYFUNCTION("""COMPUTED_VALUE"""),90.03)</f>
        <v>90.03</v>
      </c>
      <c r="F1305" s="1">
        <f ca="1">IFERROR(__xludf.DUMMYFUNCTION("""COMPUTED_VALUE"""),7813232)</f>
        <v>7813232</v>
      </c>
    </row>
    <row r="1306" spans="1:6" x14ac:dyDescent="0.35">
      <c r="A1306" s="2">
        <f ca="1">IFERROR(__xludf.DUMMYFUNCTION("""COMPUTED_VALUE"""),43900.6666666666)</f>
        <v>43900.666666666599</v>
      </c>
      <c r="B1306" s="1">
        <f ca="1">IFERROR(__xludf.DUMMYFUNCTION("""COMPUTED_VALUE"""),93.54)</f>
        <v>93.54</v>
      </c>
      <c r="C1306" s="1">
        <f ca="1">IFERROR(__xludf.DUMMYFUNCTION("""COMPUTED_VALUE"""),94.71)</f>
        <v>94.71</v>
      </c>
      <c r="D1306" s="1">
        <f ca="1">IFERROR(__xludf.DUMMYFUNCTION("""COMPUTED_VALUE"""),90.91)</f>
        <v>90.91</v>
      </c>
      <c r="E1306" s="1">
        <f ca="1">IFERROR(__xludf.DUMMYFUNCTION("""COMPUTED_VALUE"""),94.59)</f>
        <v>94.59</v>
      </c>
      <c r="F1306" s="1">
        <f ca="1">IFERROR(__xludf.DUMMYFUNCTION("""COMPUTED_VALUE"""),7133310)</f>
        <v>7133310</v>
      </c>
    </row>
    <row r="1307" spans="1:6" x14ac:dyDescent="0.35">
      <c r="A1307" s="2">
        <f ca="1">IFERROR(__xludf.DUMMYFUNCTION("""COMPUTED_VALUE"""),43901.6666666666)</f>
        <v>43901.666666666599</v>
      </c>
      <c r="B1307" s="1">
        <f ca="1">IFERROR(__xludf.DUMMYFUNCTION("""COMPUTED_VALUE"""),92.89)</f>
        <v>92.89</v>
      </c>
      <c r="C1307" s="1">
        <f ca="1">IFERROR(__xludf.DUMMYFUNCTION("""COMPUTED_VALUE"""),93.57)</f>
        <v>93.57</v>
      </c>
      <c r="D1307" s="1">
        <f ca="1">IFERROR(__xludf.DUMMYFUNCTION("""COMPUTED_VALUE"""),90.08)</f>
        <v>90.08</v>
      </c>
      <c r="E1307" s="1">
        <f ca="1">IFERROR(__xludf.DUMMYFUNCTION("""COMPUTED_VALUE"""),91.04)</f>
        <v>91.04</v>
      </c>
      <c r="F1307" s="1">
        <f ca="1">IFERROR(__xludf.DUMMYFUNCTION("""COMPUTED_VALUE"""),5646831)</f>
        <v>5646831</v>
      </c>
    </row>
    <row r="1308" spans="1:6" x14ac:dyDescent="0.35">
      <c r="A1308" s="2">
        <f ca="1">IFERROR(__xludf.DUMMYFUNCTION("""COMPUTED_VALUE"""),43902.6666666666)</f>
        <v>43902.666666666599</v>
      </c>
      <c r="B1308" s="1">
        <f ca="1">IFERROR(__xludf.DUMMYFUNCTION("""COMPUTED_VALUE"""),86.1)</f>
        <v>86.1</v>
      </c>
      <c r="C1308" s="1">
        <f ca="1">IFERROR(__xludf.DUMMYFUNCTION("""COMPUTED_VALUE"""),88.25)</f>
        <v>88.25</v>
      </c>
      <c r="D1308" s="1">
        <f ca="1">IFERROR(__xludf.DUMMYFUNCTION("""COMPUTED_VALUE"""),83.75)</f>
        <v>83.75</v>
      </c>
      <c r="E1308" s="1">
        <f ca="1">IFERROR(__xludf.DUMMYFUNCTION("""COMPUTED_VALUE"""),83.83)</f>
        <v>83.83</v>
      </c>
      <c r="F1308" s="1">
        <f ca="1">IFERROR(__xludf.DUMMYFUNCTION("""COMPUTED_VALUE"""),11346214)</f>
        <v>11346214</v>
      </c>
    </row>
    <row r="1309" spans="1:6" x14ac:dyDescent="0.35">
      <c r="A1309" s="2">
        <f ca="1">IFERROR(__xludf.DUMMYFUNCTION("""COMPUTED_VALUE"""),43903.6666666666)</f>
        <v>43903.666666666599</v>
      </c>
      <c r="B1309" s="1">
        <f ca="1">IFERROR(__xludf.DUMMYFUNCTION("""COMPUTED_VALUE"""),87.75)</f>
        <v>87.75</v>
      </c>
      <c r="C1309" s="1">
        <f ca="1">IFERROR(__xludf.DUMMYFUNCTION("""COMPUTED_VALUE"""),89.32)</f>
        <v>89.32</v>
      </c>
      <c r="D1309" s="1">
        <f ca="1">IFERROR(__xludf.DUMMYFUNCTION("""COMPUTED_VALUE"""),84.03)</f>
        <v>84.03</v>
      </c>
      <c r="E1309" s="1">
        <f ca="1">IFERROR(__xludf.DUMMYFUNCTION("""COMPUTED_VALUE"""),89.25)</f>
        <v>89.25</v>
      </c>
      <c r="F1309" s="1">
        <f ca="1">IFERROR(__xludf.DUMMYFUNCTION("""COMPUTED_VALUE"""),8809725)</f>
        <v>8809725</v>
      </c>
    </row>
    <row r="1310" spans="1:6" x14ac:dyDescent="0.35">
      <c r="A1310" s="2">
        <f ca="1">IFERROR(__xludf.DUMMYFUNCTION("""COMPUTED_VALUE"""),43906.6666666666)</f>
        <v>43906.666666666599</v>
      </c>
      <c r="B1310" s="1">
        <f ca="1">IFERROR(__xludf.DUMMYFUNCTION("""COMPUTED_VALUE"""),82.08)</f>
        <v>82.08</v>
      </c>
      <c r="C1310" s="1">
        <f ca="1">IFERROR(__xludf.DUMMYFUNCTION("""COMPUTED_VALUE"""),87.97)</f>
        <v>87.97</v>
      </c>
      <c r="D1310" s="1">
        <f ca="1">IFERROR(__xludf.DUMMYFUNCTION("""COMPUTED_VALUE"""),81.3)</f>
        <v>81.3</v>
      </c>
      <c r="E1310" s="1">
        <f ca="1">IFERROR(__xludf.DUMMYFUNCTION("""COMPUTED_VALUE"""),84.46)</f>
        <v>84.46</v>
      </c>
      <c r="F1310" s="1">
        <f ca="1">IFERROR(__xludf.DUMMYFUNCTION("""COMPUTED_VALUE"""),8917265)</f>
        <v>8917265</v>
      </c>
    </row>
    <row r="1311" spans="1:6" x14ac:dyDescent="0.35">
      <c r="A1311" s="2">
        <f ca="1">IFERROR(__xludf.DUMMYFUNCTION("""COMPUTED_VALUE"""),43907.6666666666)</f>
        <v>43907.666666666599</v>
      </c>
      <c r="B1311" s="1">
        <f ca="1">IFERROR(__xludf.DUMMYFUNCTION("""COMPUTED_VALUE"""),88.77)</f>
        <v>88.77</v>
      </c>
      <c r="C1311" s="1">
        <f ca="1">IFERROR(__xludf.DUMMYFUNCTION("""COMPUTED_VALUE"""),92.89)</f>
        <v>92.89</v>
      </c>
      <c r="D1311" s="1">
        <f ca="1">IFERROR(__xludf.DUMMYFUNCTION("""COMPUTED_VALUE"""),84.46)</f>
        <v>84.46</v>
      </c>
      <c r="E1311" s="1">
        <f ca="1">IFERROR(__xludf.DUMMYFUNCTION("""COMPUTED_VALUE"""),90.39)</f>
        <v>90.39</v>
      </c>
      <c r="F1311" s="1">
        <f ca="1">IFERROR(__xludf.DUMMYFUNCTION("""COMPUTED_VALUE"""),10917129)</f>
        <v>10917129</v>
      </c>
    </row>
    <row r="1312" spans="1:6" x14ac:dyDescent="0.35">
      <c r="A1312" s="2">
        <f ca="1">IFERROR(__xludf.DUMMYFUNCTION("""COMPUTED_VALUE"""),43908.6666666666)</f>
        <v>43908.666666666599</v>
      </c>
      <c r="B1312" s="1">
        <f ca="1">IFERROR(__xludf.DUMMYFUNCTION("""COMPUTED_VALUE"""),87.5)</f>
        <v>87.5</v>
      </c>
      <c r="C1312" s="1">
        <f ca="1">IFERROR(__xludf.DUMMYFUNCTION("""COMPUTED_VALUE"""),92.08)</f>
        <v>92.08</v>
      </c>
      <c r="D1312" s="1">
        <f ca="1">IFERROR(__xludf.DUMMYFUNCTION("""COMPUTED_VALUE"""),87.25)</f>
        <v>87.25</v>
      </c>
      <c r="E1312" s="1">
        <f ca="1">IFERROR(__xludf.DUMMYFUNCTION("""COMPUTED_VALUE"""),91.5)</f>
        <v>91.5</v>
      </c>
      <c r="F1312" s="1">
        <f ca="1">IFERROR(__xludf.DUMMYFUNCTION("""COMPUTED_VALUE"""),9645218)</f>
        <v>9645218</v>
      </c>
    </row>
    <row r="1313" spans="1:6" x14ac:dyDescent="0.35">
      <c r="A1313" s="2">
        <f ca="1">IFERROR(__xludf.DUMMYFUNCTION("""COMPUTED_VALUE"""),43909.6666666666)</f>
        <v>43909.666666666599</v>
      </c>
      <c r="B1313" s="1">
        <f ca="1">IFERROR(__xludf.DUMMYFUNCTION("""COMPUTED_VALUE"""),93)</f>
        <v>93</v>
      </c>
      <c r="C1313" s="1">
        <f ca="1">IFERROR(__xludf.DUMMYFUNCTION("""COMPUTED_VALUE"""),97.25)</f>
        <v>97.25</v>
      </c>
      <c r="D1313" s="1">
        <f ca="1">IFERROR(__xludf.DUMMYFUNCTION("""COMPUTED_VALUE"""),91.63)</f>
        <v>91.63</v>
      </c>
      <c r="E1313" s="1">
        <f ca="1">IFERROR(__xludf.DUMMYFUNCTION("""COMPUTED_VALUE"""),94.05)</f>
        <v>94.05</v>
      </c>
      <c r="F1313" s="1">
        <f ca="1">IFERROR(__xludf.DUMMYFUNCTION("""COMPUTED_VALUE"""),10399943)</f>
        <v>10399943</v>
      </c>
    </row>
    <row r="1314" spans="1:6" x14ac:dyDescent="0.35">
      <c r="A1314" s="2">
        <f ca="1">IFERROR(__xludf.DUMMYFUNCTION("""COMPUTED_VALUE"""),43910.6666666666)</f>
        <v>43910.666666666599</v>
      </c>
      <c r="B1314" s="1">
        <f ca="1">IFERROR(__xludf.DUMMYFUNCTION("""COMPUTED_VALUE"""),96.32)</f>
        <v>96.32</v>
      </c>
      <c r="C1314" s="1">
        <f ca="1">IFERROR(__xludf.DUMMYFUNCTION("""COMPUTED_VALUE"""),97.85)</f>
        <v>97.85</v>
      </c>
      <c r="D1314" s="1">
        <f ca="1">IFERROR(__xludf.DUMMYFUNCTION("""COMPUTED_VALUE"""),91.04)</f>
        <v>91.04</v>
      </c>
      <c r="E1314" s="1">
        <f ca="1">IFERROR(__xludf.DUMMYFUNCTION("""COMPUTED_VALUE"""),92.3)</f>
        <v>92.3</v>
      </c>
      <c r="F1314" s="1">
        <f ca="1">IFERROR(__xludf.DUMMYFUNCTION("""COMPUTED_VALUE"""),9817850)</f>
        <v>9817850</v>
      </c>
    </row>
    <row r="1315" spans="1:6" x14ac:dyDescent="0.35">
      <c r="A1315" s="2">
        <f ca="1">IFERROR(__xludf.DUMMYFUNCTION("""COMPUTED_VALUE"""),43913.6666666666)</f>
        <v>43913.666666666599</v>
      </c>
      <c r="B1315" s="1">
        <f ca="1">IFERROR(__xludf.DUMMYFUNCTION("""COMPUTED_VALUE"""),91.39)</f>
        <v>91.39</v>
      </c>
      <c r="C1315" s="1">
        <f ca="1">IFERROR(__xludf.DUMMYFUNCTION("""COMPUTED_VALUE"""),95.97)</f>
        <v>95.97</v>
      </c>
      <c r="D1315" s="1">
        <f ca="1">IFERROR(__xludf.DUMMYFUNCTION("""COMPUTED_VALUE"""),90.6)</f>
        <v>90.6</v>
      </c>
      <c r="E1315" s="1">
        <f ca="1">IFERROR(__xludf.DUMMYFUNCTION("""COMPUTED_VALUE"""),95.14)</f>
        <v>95.14</v>
      </c>
      <c r="F1315" s="1">
        <f ca="1">IFERROR(__xludf.DUMMYFUNCTION("""COMPUTED_VALUE"""),7808489)</f>
        <v>7808489</v>
      </c>
    </row>
    <row r="1316" spans="1:6" x14ac:dyDescent="0.35">
      <c r="A1316" s="2">
        <f ca="1">IFERROR(__xludf.DUMMYFUNCTION("""COMPUTED_VALUE"""),43914.6666666666)</f>
        <v>43914.666666666599</v>
      </c>
      <c r="B1316" s="1">
        <f ca="1">IFERROR(__xludf.DUMMYFUNCTION("""COMPUTED_VALUE"""),97.57)</f>
        <v>97.57</v>
      </c>
      <c r="C1316" s="1">
        <f ca="1">IFERROR(__xludf.DUMMYFUNCTION("""COMPUTED_VALUE"""),97.75)</f>
        <v>97.75</v>
      </c>
      <c r="D1316" s="1">
        <f ca="1">IFERROR(__xludf.DUMMYFUNCTION("""COMPUTED_VALUE"""),95.02)</f>
        <v>95.02</v>
      </c>
      <c r="E1316" s="1">
        <f ca="1">IFERROR(__xludf.DUMMYFUNCTION("""COMPUTED_VALUE"""),97.01)</f>
        <v>97.01</v>
      </c>
      <c r="F1316" s="1">
        <f ca="1">IFERROR(__xludf.DUMMYFUNCTION("""COMPUTED_VALUE"""),7147080)</f>
        <v>7147080</v>
      </c>
    </row>
    <row r="1317" spans="1:6" x14ac:dyDescent="0.35">
      <c r="A1317" s="2">
        <f ca="1">IFERROR(__xludf.DUMMYFUNCTION("""COMPUTED_VALUE"""),43915.6666666666)</f>
        <v>43915.666666666599</v>
      </c>
      <c r="B1317" s="1">
        <f ca="1">IFERROR(__xludf.DUMMYFUNCTION("""COMPUTED_VALUE"""),96.03)</f>
        <v>96.03</v>
      </c>
      <c r="C1317" s="1">
        <f ca="1">IFERROR(__xludf.DUMMYFUNCTION("""COMPUTED_VALUE"""),97.51)</f>
        <v>97.51</v>
      </c>
      <c r="D1317" s="1">
        <f ca="1">IFERROR(__xludf.DUMMYFUNCTION("""COMPUTED_VALUE"""),94.29)</f>
        <v>94.29</v>
      </c>
      <c r="E1317" s="1">
        <f ca="1">IFERROR(__xludf.DUMMYFUNCTION("""COMPUTED_VALUE"""),94.29)</f>
        <v>94.29</v>
      </c>
      <c r="F1317" s="1">
        <f ca="1">IFERROR(__xludf.DUMMYFUNCTION("""COMPUTED_VALUE"""),6479073)</f>
        <v>6479073</v>
      </c>
    </row>
    <row r="1318" spans="1:6" x14ac:dyDescent="0.35">
      <c r="A1318" s="2">
        <f ca="1">IFERROR(__xludf.DUMMYFUNCTION("""COMPUTED_VALUE"""),43916.6666666666)</f>
        <v>43916.666666666599</v>
      </c>
      <c r="B1318" s="1">
        <f ca="1">IFERROR(__xludf.DUMMYFUNCTION("""COMPUTED_VALUE"""),95.1)</f>
        <v>95.1</v>
      </c>
      <c r="C1318" s="1">
        <f ca="1">IFERROR(__xludf.DUMMYFUNCTION("""COMPUTED_VALUE"""),97.82)</f>
        <v>97.82</v>
      </c>
      <c r="D1318" s="1">
        <f ca="1">IFERROR(__xludf.DUMMYFUNCTION("""COMPUTED_VALUE"""),94.46)</f>
        <v>94.46</v>
      </c>
      <c r="E1318" s="1">
        <f ca="1">IFERROR(__xludf.DUMMYFUNCTION("""COMPUTED_VALUE"""),97.77)</f>
        <v>97.77</v>
      </c>
      <c r="F1318" s="1">
        <f ca="1">IFERROR(__xludf.DUMMYFUNCTION("""COMPUTED_VALUE"""),6235118)</f>
        <v>6235118</v>
      </c>
    </row>
    <row r="1319" spans="1:6" x14ac:dyDescent="0.35">
      <c r="A1319" s="2">
        <f ca="1">IFERROR(__xludf.DUMMYFUNCTION("""COMPUTED_VALUE"""),43917.6666666666)</f>
        <v>43917.666666666599</v>
      </c>
      <c r="B1319" s="1">
        <f ca="1">IFERROR(__xludf.DUMMYFUNCTION("""COMPUTED_VALUE"""),96.54)</f>
        <v>96.54</v>
      </c>
      <c r="C1319" s="1">
        <f ca="1">IFERROR(__xludf.DUMMYFUNCTION("""COMPUTED_VALUE"""),96.99)</f>
        <v>96.99</v>
      </c>
      <c r="D1319" s="1">
        <f ca="1">IFERROR(__xludf.DUMMYFUNCTION("""COMPUTED_VALUE"""),95)</f>
        <v>95</v>
      </c>
      <c r="E1319" s="1">
        <f ca="1">IFERROR(__xludf.DUMMYFUNCTION("""COMPUTED_VALUE"""),95.01)</f>
        <v>95.01</v>
      </c>
      <c r="F1319" s="1">
        <f ca="1">IFERROR(__xludf.DUMMYFUNCTION("""COMPUTED_VALUE"""),5387897)</f>
        <v>5387897</v>
      </c>
    </row>
    <row r="1320" spans="1:6" x14ac:dyDescent="0.35">
      <c r="A1320" s="2">
        <f ca="1">IFERROR(__xludf.DUMMYFUNCTION("""COMPUTED_VALUE"""),43920.6666666666)</f>
        <v>43920.666666666599</v>
      </c>
      <c r="B1320" s="1">
        <f ca="1">IFERROR(__xludf.DUMMYFUNCTION("""COMPUTED_VALUE"""),96.14)</f>
        <v>96.14</v>
      </c>
      <c r="C1320" s="1">
        <f ca="1">IFERROR(__xludf.DUMMYFUNCTION("""COMPUTED_VALUE"""),98.68)</f>
        <v>98.68</v>
      </c>
      <c r="D1320" s="1">
        <f ca="1">IFERROR(__xludf.DUMMYFUNCTION("""COMPUTED_VALUE"""),95.62)</f>
        <v>95.62</v>
      </c>
      <c r="E1320" s="1">
        <f ca="1">IFERROR(__xludf.DUMMYFUNCTION("""COMPUTED_VALUE"""),98.2)</f>
        <v>98.2</v>
      </c>
      <c r="F1320" s="1">
        <f ca="1">IFERROR(__xludf.DUMMYFUNCTION("""COMPUTED_VALUE"""),6126087)</f>
        <v>6126087</v>
      </c>
    </row>
    <row r="1321" spans="1:6" x14ac:dyDescent="0.35">
      <c r="A1321" s="2">
        <f ca="1">IFERROR(__xludf.DUMMYFUNCTION("""COMPUTED_VALUE"""),43921.6666666666)</f>
        <v>43921.666666666599</v>
      </c>
      <c r="B1321" s="1">
        <f ca="1">IFERROR(__xludf.DUMMYFUNCTION("""COMPUTED_VALUE"""),98.22)</f>
        <v>98.22</v>
      </c>
      <c r="C1321" s="1">
        <f ca="1">IFERROR(__xludf.DUMMYFUNCTION("""COMPUTED_VALUE"""),99.65)</f>
        <v>99.65</v>
      </c>
      <c r="D1321" s="1">
        <f ca="1">IFERROR(__xludf.DUMMYFUNCTION("""COMPUTED_VALUE"""),97.2)</f>
        <v>97.2</v>
      </c>
      <c r="E1321" s="1">
        <f ca="1">IFERROR(__xludf.DUMMYFUNCTION("""COMPUTED_VALUE"""),97.49)</f>
        <v>97.49</v>
      </c>
      <c r="F1321" s="1">
        <f ca="1">IFERROR(__xludf.DUMMYFUNCTION("""COMPUTED_VALUE"""),5123626)</f>
        <v>5123626</v>
      </c>
    </row>
    <row r="1322" spans="1:6" x14ac:dyDescent="0.35">
      <c r="A1322" s="2">
        <f ca="1">IFERROR(__xludf.DUMMYFUNCTION("""COMPUTED_VALUE"""),43922.6666666666)</f>
        <v>43922.666666666599</v>
      </c>
      <c r="B1322" s="1">
        <f ca="1">IFERROR(__xludf.DUMMYFUNCTION("""COMPUTED_VALUE"""),96.65)</f>
        <v>96.65</v>
      </c>
      <c r="C1322" s="1">
        <f ca="1">IFERROR(__xludf.DUMMYFUNCTION("""COMPUTED_VALUE"""),97.25)</f>
        <v>97.25</v>
      </c>
      <c r="D1322" s="1">
        <f ca="1">IFERROR(__xludf.DUMMYFUNCTION("""COMPUTED_VALUE"""),94.65)</f>
        <v>94.65</v>
      </c>
      <c r="E1322" s="1">
        <f ca="1">IFERROR(__xludf.DUMMYFUNCTION("""COMPUTED_VALUE"""),95.39)</f>
        <v>95.39</v>
      </c>
      <c r="F1322" s="1">
        <f ca="1">IFERROR(__xludf.DUMMYFUNCTION("""COMPUTED_VALUE"""),4121875)</f>
        <v>4121875</v>
      </c>
    </row>
    <row r="1323" spans="1:6" x14ac:dyDescent="0.35">
      <c r="A1323" s="2">
        <f ca="1">IFERROR(__xludf.DUMMYFUNCTION("""COMPUTED_VALUE"""),43923.6666666666)</f>
        <v>43923.666666666599</v>
      </c>
      <c r="B1323" s="1">
        <f ca="1">IFERROR(__xludf.DUMMYFUNCTION("""COMPUTED_VALUE"""),95.08)</f>
        <v>95.08</v>
      </c>
      <c r="C1323" s="1">
        <f ca="1">IFERROR(__xludf.DUMMYFUNCTION("""COMPUTED_VALUE"""),96.38)</f>
        <v>96.38</v>
      </c>
      <c r="D1323" s="1">
        <f ca="1">IFERROR(__xludf.DUMMYFUNCTION("""COMPUTED_VALUE"""),94.5)</f>
        <v>94.5</v>
      </c>
      <c r="E1323" s="1">
        <f ca="1">IFERROR(__xludf.DUMMYFUNCTION("""COMPUTED_VALUE"""),95.94)</f>
        <v>95.94</v>
      </c>
      <c r="F1323" s="1">
        <f ca="1">IFERROR(__xludf.DUMMYFUNCTION("""COMPUTED_VALUE"""),4335985)</f>
        <v>4335985</v>
      </c>
    </row>
    <row r="1324" spans="1:6" x14ac:dyDescent="0.35">
      <c r="A1324" s="2">
        <f ca="1">IFERROR(__xludf.DUMMYFUNCTION("""COMPUTED_VALUE"""),43924.6666666666)</f>
        <v>43924.666666666599</v>
      </c>
      <c r="B1324" s="1">
        <f ca="1">IFERROR(__xludf.DUMMYFUNCTION("""COMPUTED_VALUE"""),95.56)</f>
        <v>95.56</v>
      </c>
      <c r="C1324" s="1">
        <f ca="1">IFERROR(__xludf.DUMMYFUNCTION("""COMPUTED_VALUE"""),96.32)</f>
        <v>96.32</v>
      </c>
      <c r="D1324" s="1">
        <f ca="1">IFERROR(__xludf.DUMMYFUNCTION("""COMPUTED_VALUE"""),94.46)</f>
        <v>94.46</v>
      </c>
      <c r="E1324" s="1">
        <f ca="1">IFERROR(__xludf.DUMMYFUNCTION("""COMPUTED_VALUE"""),95.33)</f>
        <v>95.33</v>
      </c>
      <c r="F1324" s="1">
        <f ca="1">IFERROR(__xludf.DUMMYFUNCTION("""COMPUTED_VALUE"""),3609870)</f>
        <v>3609870</v>
      </c>
    </row>
    <row r="1325" spans="1:6" x14ac:dyDescent="0.35">
      <c r="A1325" s="2">
        <f ca="1">IFERROR(__xludf.DUMMYFUNCTION("""COMPUTED_VALUE"""),43927.6666666666)</f>
        <v>43927.666666666599</v>
      </c>
      <c r="B1325" s="1">
        <f ca="1">IFERROR(__xludf.DUMMYFUNCTION("""COMPUTED_VALUE"""),96.8)</f>
        <v>96.8</v>
      </c>
      <c r="C1325" s="1">
        <f ca="1">IFERROR(__xludf.DUMMYFUNCTION("""COMPUTED_VALUE"""),99.93)</f>
        <v>99.93</v>
      </c>
      <c r="D1325" s="1">
        <f ca="1">IFERROR(__xludf.DUMMYFUNCTION("""COMPUTED_VALUE"""),96.5)</f>
        <v>96.5</v>
      </c>
      <c r="E1325" s="1">
        <f ca="1">IFERROR(__xludf.DUMMYFUNCTION("""COMPUTED_VALUE"""),99.88)</f>
        <v>99.88</v>
      </c>
      <c r="F1325" s="1">
        <f ca="1">IFERROR(__xludf.DUMMYFUNCTION("""COMPUTED_VALUE"""),5773181)</f>
        <v>5773181</v>
      </c>
    </row>
    <row r="1326" spans="1:6" x14ac:dyDescent="0.35">
      <c r="A1326" s="2">
        <f ca="1">IFERROR(__xludf.DUMMYFUNCTION("""COMPUTED_VALUE"""),43928.6666666666)</f>
        <v>43928.666666666599</v>
      </c>
      <c r="B1326" s="1">
        <f ca="1">IFERROR(__xludf.DUMMYFUNCTION("""COMPUTED_VALUE"""),100.86)</f>
        <v>100.86</v>
      </c>
      <c r="C1326" s="1">
        <f ca="1">IFERROR(__xludf.DUMMYFUNCTION("""COMPUTED_VALUE"""),101.79)</f>
        <v>101.79</v>
      </c>
      <c r="D1326" s="1">
        <f ca="1">IFERROR(__xludf.DUMMYFUNCTION("""COMPUTED_VALUE"""),99.88)</f>
        <v>99.88</v>
      </c>
      <c r="E1326" s="1">
        <f ca="1">IFERROR(__xludf.DUMMYFUNCTION("""COMPUTED_VALUE"""),100.58)</f>
        <v>100.58</v>
      </c>
      <c r="F1326" s="1">
        <f ca="1">IFERROR(__xludf.DUMMYFUNCTION("""COMPUTED_VALUE"""),5113983)</f>
        <v>5113983</v>
      </c>
    </row>
    <row r="1327" spans="1:6" x14ac:dyDescent="0.35">
      <c r="A1327" s="2">
        <f ca="1">IFERROR(__xludf.DUMMYFUNCTION("""COMPUTED_VALUE"""),43929.6666666666)</f>
        <v>43929.666666666599</v>
      </c>
      <c r="B1327" s="1">
        <f ca="1">IFERROR(__xludf.DUMMYFUNCTION("""COMPUTED_VALUE"""),101.05)</f>
        <v>101.05</v>
      </c>
      <c r="C1327" s="1">
        <f ca="1">IFERROR(__xludf.DUMMYFUNCTION("""COMPUTED_VALUE"""),102.2)</f>
        <v>102.2</v>
      </c>
      <c r="D1327" s="1">
        <f ca="1">IFERROR(__xludf.DUMMYFUNCTION("""COMPUTED_VALUE"""),100.56)</f>
        <v>100.56</v>
      </c>
      <c r="E1327" s="1">
        <f ca="1">IFERROR(__xludf.DUMMYFUNCTION("""COMPUTED_VALUE"""),102.15)</f>
        <v>102.15</v>
      </c>
      <c r="F1327" s="1">
        <f ca="1">IFERROR(__xludf.DUMMYFUNCTION("""COMPUTED_VALUE"""),3977313)</f>
        <v>3977313</v>
      </c>
    </row>
    <row r="1328" spans="1:6" x14ac:dyDescent="0.35">
      <c r="A1328" s="2">
        <f ca="1">IFERROR(__xludf.DUMMYFUNCTION("""COMPUTED_VALUE"""),43930.6666666666)</f>
        <v>43930.666666666599</v>
      </c>
      <c r="B1328" s="1">
        <f ca="1">IFERROR(__xludf.DUMMYFUNCTION("""COMPUTED_VALUE"""),102.22)</f>
        <v>102.22</v>
      </c>
      <c r="C1328" s="1">
        <f ca="1">IFERROR(__xludf.DUMMYFUNCTION("""COMPUTED_VALUE"""),102.65)</f>
        <v>102.65</v>
      </c>
      <c r="D1328" s="1">
        <f ca="1">IFERROR(__xludf.DUMMYFUNCTION("""COMPUTED_VALUE"""),100.88)</f>
        <v>100.88</v>
      </c>
      <c r="E1328" s="1">
        <f ca="1">IFERROR(__xludf.DUMMYFUNCTION("""COMPUTED_VALUE"""),102.14)</f>
        <v>102.14</v>
      </c>
      <c r="F1328" s="1">
        <f ca="1">IFERROR(__xludf.DUMMYFUNCTION("""COMPUTED_VALUE"""),4655617)</f>
        <v>4655617</v>
      </c>
    </row>
    <row r="1329" spans="1:6" x14ac:dyDescent="0.35">
      <c r="A1329" s="2">
        <f ca="1">IFERROR(__xludf.DUMMYFUNCTION("""COMPUTED_VALUE"""),43934.6666666666)</f>
        <v>43934.666666666599</v>
      </c>
      <c r="B1329" s="1">
        <f ca="1">IFERROR(__xludf.DUMMYFUNCTION("""COMPUTED_VALUE"""),102)</f>
        <v>102</v>
      </c>
      <c r="C1329" s="1">
        <f ca="1">IFERROR(__xludf.DUMMYFUNCTION("""COMPUTED_VALUE"""),109)</f>
        <v>109</v>
      </c>
      <c r="D1329" s="1">
        <f ca="1">IFERROR(__xludf.DUMMYFUNCTION("""COMPUTED_VALUE"""),101.9)</f>
        <v>101.9</v>
      </c>
      <c r="E1329" s="1">
        <f ca="1">IFERROR(__xludf.DUMMYFUNCTION("""COMPUTED_VALUE"""),108.44)</f>
        <v>108.44</v>
      </c>
      <c r="F1329" s="1">
        <f ca="1">IFERROR(__xludf.DUMMYFUNCTION("""COMPUTED_VALUE"""),6716709)</f>
        <v>6716709</v>
      </c>
    </row>
    <row r="1330" spans="1:6" x14ac:dyDescent="0.35">
      <c r="A1330" s="2">
        <f ca="1">IFERROR(__xludf.DUMMYFUNCTION("""COMPUTED_VALUE"""),43935.6666666666)</f>
        <v>43935.666666666599</v>
      </c>
      <c r="B1330" s="1">
        <f ca="1">IFERROR(__xludf.DUMMYFUNCTION("""COMPUTED_VALUE"""),110.02)</f>
        <v>110.02</v>
      </c>
      <c r="C1330" s="1">
        <f ca="1">IFERROR(__xludf.DUMMYFUNCTION("""COMPUTED_VALUE"""),114.6)</f>
        <v>114.6</v>
      </c>
      <c r="D1330" s="1">
        <f ca="1">IFERROR(__xludf.DUMMYFUNCTION("""COMPUTED_VALUE"""),109.31)</f>
        <v>109.31</v>
      </c>
      <c r="E1330" s="1">
        <f ca="1">IFERROR(__xludf.DUMMYFUNCTION("""COMPUTED_VALUE"""),114.17)</f>
        <v>114.17</v>
      </c>
      <c r="F1330" s="1">
        <f ca="1">IFERROR(__xludf.DUMMYFUNCTION("""COMPUTED_VALUE"""),8087193)</f>
        <v>8087193</v>
      </c>
    </row>
    <row r="1331" spans="1:6" x14ac:dyDescent="0.35">
      <c r="A1331" s="2">
        <f ca="1">IFERROR(__xludf.DUMMYFUNCTION("""COMPUTED_VALUE"""),43936.6666666666)</f>
        <v>43936.666666666599</v>
      </c>
      <c r="B1331" s="1">
        <f ca="1">IFERROR(__xludf.DUMMYFUNCTION("""COMPUTED_VALUE"""),112.88)</f>
        <v>112.88</v>
      </c>
      <c r="C1331" s="1">
        <f ca="1">IFERROR(__xludf.DUMMYFUNCTION("""COMPUTED_VALUE"""),116.67)</f>
        <v>116.67</v>
      </c>
      <c r="D1331" s="1">
        <f ca="1">IFERROR(__xludf.DUMMYFUNCTION("""COMPUTED_VALUE"""),112.25)</f>
        <v>112.25</v>
      </c>
      <c r="E1331" s="1">
        <f ca="1">IFERROR(__xludf.DUMMYFUNCTION("""COMPUTED_VALUE"""),115.38)</f>
        <v>115.38</v>
      </c>
      <c r="F1331" s="1">
        <f ca="1">IFERROR(__xludf.DUMMYFUNCTION("""COMPUTED_VALUE"""),6866567)</f>
        <v>6866567</v>
      </c>
    </row>
    <row r="1332" spans="1:6" x14ac:dyDescent="0.35">
      <c r="A1332" s="2">
        <f ca="1">IFERROR(__xludf.DUMMYFUNCTION("""COMPUTED_VALUE"""),43937.6666666666)</f>
        <v>43937.666666666599</v>
      </c>
      <c r="B1332" s="1">
        <f ca="1">IFERROR(__xludf.DUMMYFUNCTION("""COMPUTED_VALUE"""),117.3)</f>
        <v>117.3</v>
      </c>
      <c r="C1332" s="1">
        <f ca="1">IFERROR(__xludf.DUMMYFUNCTION("""COMPUTED_VALUE"""),123.05)</f>
        <v>123.05</v>
      </c>
      <c r="D1332" s="1">
        <f ca="1">IFERROR(__xludf.DUMMYFUNCTION("""COMPUTED_VALUE"""),116.75)</f>
        <v>116.75</v>
      </c>
      <c r="E1332" s="1">
        <f ca="1">IFERROR(__xludf.DUMMYFUNCTION("""COMPUTED_VALUE"""),120.41)</f>
        <v>120.41</v>
      </c>
      <c r="F1332" s="1">
        <f ca="1">IFERROR(__xludf.DUMMYFUNCTION("""COMPUTED_VALUE"""),12038201)</f>
        <v>12038201</v>
      </c>
    </row>
    <row r="1333" spans="1:6" x14ac:dyDescent="0.35">
      <c r="A1333" s="2">
        <f ca="1">IFERROR(__xludf.DUMMYFUNCTION("""COMPUTED_VALUE"""),43938.6666666666)</f>
        <v>43938.666666666599</v>
      </c>
      <c r="B1333" s="1">
        <f ca="1">IFERROR(__xludf.DUMMYFUNCTION("""COMPUTED_VALUE"""),118.62)</f>
        <v>118.62</v>
      </c>
      <c r="C1333" s="1">
        <f ca="1">IFERROR(__xludf.DUMMYFUNCTION("""COMPUTED_VALUE"""),120)</f>
        <v>120</v>
      </c>
      <c r="D1333" s="1">
        <f ca="1">IFERROR(__xludf.DUMMYFUNCTION("""COMPUTED_VALUE"""),115.8)</f>
        <v>115.8</v>
      </c>
      <c r="E1333" s="1">
        <f ca="1">IFERROR(__xludf.DUMMYFUNCTION("""COMPUTED_VALUE"""),118.75)</f>
        <v>118.75</v>
      </c>
      <c r="F1333" s="1">
        <f ca="1">IFERROR(__xludf.DUMMYFUNCTION("""COMPUTED_VALUE"""),7930010)</f>
        <v>7930010</v>
      </c>
    </row>
    <row r="1334" spans="1:6" x14ac:dyDescent="0.35">
      <c r="A1334" s="2">
        <f ca="1">IFERROR(__xludf.DUMMYFUNCTION("""COMPUTED_VALUE"""),43941.6666666666)</f>
        <v>43941.666666666599</v>
      </c>
      <c r="B1334" s="1">
        <f ca="1">IFERROR(__xludf.DUMMYFUNCTION("""COMPUTED_VALUE"""),119.5)</f>
        <v>119.5</v>
      </c>
      <c r="C1334" s="1">
        <f ca="1">IFERROR(__xludf.DUMMYFUNCTION("""COMPUTED_VALUE"""),122.25)</f>
        <v>122.25</v>
      </c>
      <c r="D1334" s="1">
        <f ca="1">IFERROR(__xludf.DUMMYFUNCTION("""COMPUTED_VALUE"""),119.3)</f>
        <v>119.3</v>
      </c>
      <c r="E1334" s="1">
        <f ca="1">IFERROR(__xludf.DUMMYFUNCTION("""COMPUTED_VALUE"""),119.68)</f>
        <v>119.68</v>
      </c>
      <c r="F1334" s="1">
        <f ca="1">IFERROR(__xludf.DUMMYFUNCTION("""COMPUTED_VALUE"""),5770694)</f>
        <v>5770694</v>
      </c>
    </row>
    <row r="1335" spans="1:6" x14ac:dyDescent="0.35">
      <c r="A1335" s="2">
        <f ca="1">IFERROR(__xludf.DUMMYFUNCTION("""COMPUTED_VALUE"""),43942.6666666666)</f>
        <v>43942.666666666599</v>
      </c>
      <c r="B1335" s="1">
        <f ca="1">IFERROR(__xludf.DUMMYFUNCTION("""COMPUTED_VALUE"""),120.83)</f>
        <v>120.83</v>
      </c>
      <c r="C1335" s="1">
        <f ca="1">IFERROR(__xludf.DUMMYFUNCTION("""COMPUTED_VALUE"""),121.42)</f>
        <v>121.42</v>
      </c>
      <c r="D1335" s="1">
        <f ca="1">IFERROR(__xludf.DUMMYFUNCTION("""COMPUTED_VALUE"""),113.98)</f>
        <v>113.98</v>
      </c>
      <c r="E1335" s="1">
        <f ca="1">IFERROR(__xludf.DUMMYFUNCTION("""COMPUTED_VALUE"""),116.41)</f>
        <v>116.41</v>
      </c>
      <c r="F1335" s="1">
        <f ca="1">IFERROR(__xludf.DUMMYFUNCTION("""COMPUTED_VALUE"""),7476679)</f>
        <v>7476679</v>
      </c>
    </row>
    <row r="1336" spans="1:6" x14ac:dyDescent="0.35">
      <c r="A1336" s="2">
        <f ca="1">IFERROR(__xludf.DUMMYFUNCTION("""COMPUTED_VALUE"""),43943.6666666666)</f>
        <v>43943.666666666599</v>
      </c>
      <c r="B1336" s="1">
        <f ca="1">IFERROR(__xludf.DUMMYFUNCTION("""COMPUTED_VALUE"""),118.45)</f>
        <v>118.45</v>
      </c>
      <c r="C1336" s="1">
        <f ca="1">IFERROR(__xludf.DUMMYFUNCTION("""COMPUTED_VALUE"""),119.7)</f>
        <v>119.7</v>
      </c>
      <c r="D1336" s="1">
        <f ca="1">IFERROR(__xludf.DUMMYFUNCTION("""COMPUTED_VALUE"""),117.55)</f>
        <v>117.55</v>
      </c>
      <c r="E1336" s="1">
        <f ca="1">IFERROR(__xludf.DUMMYFUNCTION("""COMPUTED_VALUE"""),118.17)</f>
        <v>118.17</v>
      </c>
      <c r="F1336" s="1">
        <f ca="1">IFERROR(__xludf.DUMMYFUNCTION("""COMPUTED_VALUE"""),4218295)</f>
        <v>4218295</v>
      </c>
    </row>
    <row r="1337" spans="1:6" x14ac:dyDescent="0.35">
      <c r="A1337" s="2">
        <f ca="1">IFERROR(__xludf.DUMMYFUNCTION("""COMPUTED_VALUE"""),43944.6666666666)</f>
        <v>43944.666666666599</v>
      </c>
      <c r="B1337" s="1">
        <f ca="1">IFERROR(__xludf.DUMMYFUNCTION("""COMPUTED_VALUE"""),120)</f>
        <v>120</v>
      </c>
      <c r="C1337" s="1">
        <f ca="1">IFERROR(__xludf.DUMMYFUNCTION("""COMPUTED_VALUE"""),121.21)</f>
        <v>121.21</v>
      </c>
      <c r="D1337" s="1">
        <f ca="1">IFERROR(__xludf.DUMMYFUNCTION("""COMPUTED_VALUE"""),119.1)</f>
        <v>119.1</v>
      </c>
      <c r="E1337" s="1">
        <f ca="1">IFERROR(__xludf.DUMMYFUNCTION("""COMPUTED_VALUE"""),119.97)</f>
        <v>119.97</v>
      </c>
      <c r="F1337" s="1">
        <f ca="1">IFERROR(__xludf.DUMMYFUNCTION("""COMPUTED_VALUE"""),5066552)</f>
        <v>5066552</v>
      </c>
    </row>
    <row r="1338" spans="1:6" x14ac:dyDescent="0.35">
      <c r="A1338" s="2">
        <f ca="1">IFERROR(__xludf.DUMMYFUNCTION("""COMPUTED_VALUE"""),43945.6666666666)</f>
        <v>43945.666666666599</v>
      </c>
      <c r="B1338" s="1">
        <f ca="1">IFERROR(__xludf.DUMMYFUNCTION("""COMPUTED_VALUE"""),120.85)</f>
        <v>120.85</v>
      </c>
      <c r="C1338" s="1">
        <f ca="1">IFERROR(__xludf.DUMMYFUNCTION("""COMPUTED_VALUE"""),121.02)</f>
        <v>121.02</v>
      </c>
      <c r="D1338" s="1">
        <f ca="1">IFERROR(__xludf.DUMMYFUNCTION("""COMPUTED_VALUE"""),119.1)</f>
        <v>119.1</v>
      </c>
      <c r="E1338" s="1">
        <f ca="1">IFERROR(__xludf.DUMMYFUNCTION("""COMPUTED_VALUE"""),120.51)</f>
        <v>120.51</v>
      </c>
      <c r="F1338" s="1">
        <f ca="1">IFERROR(__xludf.DUMMYFUNCTION("""COMPUTED_VALUE"""),3831797)</f>
        <v>3831797</v>
      </c>
    </row>
    <row r="1339" spans="1:6" x14ac:dyDescent="0.35">
      <c r="A1339" s="2">
        <f ca="1">IFERROR(__xludf.DUMMYFUNCTION("""COMPUTED_VALUE"""),43948.6666666666)</f>
        <v>43948.666666666599</v>
      </c>
      <c r="B1339" s="1">
        <f ca="1">IFERROR(__xludf.DUMMYFUNCTION("""COMPUTED_VALUE"""),122.16)</f>
        <v>122.16</v>
      </c>
      <c r="C1339" s="1">
        <f ca="1">IFERROR(__xludf.DUMMYFUNCTION("""COMPUTED_VALUE"""),122.24)</f>
        <v>122.24</v>
      </c>
      <c r="D1339" s="1">
        <f ca="1">IFERROR(__xludf.DUMMYFUNCTION("""COMPUTED_VALUE"""),118.15)</f>
        <v>118.15</v>
      </c>
      <c r="E1339" s="1">
        <f ca="1">IFERROR(__xludf.DUMMYFUNCTION("""COMPUTED_VALUE"""),118.8)</f>
        <v>118.8</v>
      </c>
      <c r="F1339" s="1">
        <f ca="1">IFERROR(__xludf.DUMMYFUNCTION("""COMPUTED_VALUE"""),5645645)</f>
        <v>5645645</v>
      </c>
    </row>
    <row r="1340" spans="1:6" x14ac:dyDescent="0.35">
      <c r="A1340" s="2">
        <f ca="1">IFERROR(__xludf.DUMMYFUNCTION("""COMPUTED_VALUE"""),43949.6666666666)</f>
        <v>43949.666666666599</v>
      </c>
      <c r="B1340" s="1">
        <f ca="1">IFERROR(__xludf.DUMMYFUNCTION("""COMPUTED_VALUE"""),118.61)</f>
        <v>118.61</v>
      </c>
      <c r="C1340" s="1">
        <f ca="1">IFERROR(__xludf.DUMMYFUNCTION("""COMPUTED_VALUE"""),118.68)</f>
        <v>118.68</v>
      </c>
      <c r="D1340" s="1">
        <f ca="1">IFERROR(__xludf.DUMMYFUNCTION("""COMPUTED_VALUE"""),115.3)</f>
        <v>115.3</v>
      </c>
      <c r="E1340" s="1">
        <f ca="1">IFERROR(__xludf.DUMMYFUNCTION("""COMPUTED_VALUE"""),115.7)</f>
        <v>115.7</v>
      </c>
      <c r="F1340" s="1">
        <f ca="1">IFERROR(__xludf.DUMMYFUNCTION("""COMPUTED_VALUE"""),5269446)</f>
        <v>5269446</v>
      </c>
    </row>
    <row r="1341" spans="1:6" x14ac:dyDescent="0.35">
      <c r="A1341" s="2">
        <f ca="1">IFERROR(__xludf.DUMMYFUNCTION("""COMPUTED_VALUE"""),43950.6666666666)</f>
        <v>43950.666666666599</v>
      </c>
      <c r="B1341" s="1">
        <f ca="1">IFERROR(__xludf.DUMMYFUNCTION("""COMPUTED_VALUE"""),116.5)</f>
        <v>116.5</v>
      </c>
      <c r="C1341" s="1">
        <f ca="1">IFERROR(__xludf.DUMMYFUNCTION("""COMPUTED_VALUE"""),119.59)</f>
        <v>119.59</v>
      </c>
      <c r="D1341" s="1">
        <f ca="1">IFERROR(__xludf.DUMMYFUNCTION("""COMPUTED_VALUE"""),115.5)</f>
        <v>115.5</v>
      </c>
      <c r="E1341" s="1">
        <f ca="1">IFERROR(__xludf.DUMMYFUNCTION("""COMPUTED_VALUE"""),118.64)</f>
        <v>118.64</v>
      </c>
      <c r="F1341" s="1">
        <f ca="1">IFERROR(__xludf.DUMMYFUNCTION("""COMPUTED_VALUE"""),4591593)</f>
        <v>4591593</v>
      </c>
    </row>
    <row r="1342" spans="1:6" x14ac:dyDescent="0.35">
      <c r="A1342" s="2">
        <f ca="1">IFERROR(__xludf.DUMMYFUNCTION("""COMPUTED_VALUE"""),43951.6666666666)</f>
        <v>43951.666666666599</v>
      </c>
      <c r="B1342" s="1">
        <f ca="1">IFERROR(__xludf.DUMMYFUNCTION("""COMPUTED_VALUE"""),120.99)</f>
        <v>120.99</v>
      </c>
      <c r="C1342" s="1">
        <f ca="1">IFERROR(__xludf.DUMMYFUNCTION("""COMPUTED_VALUE"""),123.75)</f>
        <v>123.75</v>
      </c>
      <c r="D1342" s="1">
        <f ca="1">IFERROR(__xludf.DUMMYFUNCTION("""COMPUTED_VALUE"""),119.8)</f>
        <v>119.8</v>
      </c>
      <c r="E1342" s="1">
        <f ca="1">IFERROR(__xludf.DUMMYFUNCTION("""COMPUTED_VALUE"""),123.7)</f>
        <v>123.7</v>
      </c>
      <c r="F1342" s="1">
        <f ca="1">IFERROR(__xludf.DUMMYFUNCTION("""COMPUTED_VALUE"""),9534611)</f>
        <v>9534611</v>
      </c>
    </row>
    <row r="1343" spans="1:6" x14ac:dyDescent="0.35">
      <c r="A1343" s="2">
        <f ca="1">IFERROR(__xludf.DUMMYFUNCTION("""COMPUTED_VALUE"""),43952.6666666666)</f>
        <v>43952.666666666599</v>
      </c>
      <c r="B1343" s="1">
        <f ca="1">IFERROR(__xludf.DUMMYFUNCTION("""COMPUTED_VALUE"""),116.84)</f>
        <v>116.84</v>
      </c>
      <c r="C1343" s="1">
        <f ca="1">IFERROR(__xludf.DUMMYFUNCTION("""COMPUTED_VALUE"""),118.12)</f>
        <v>118.12</v>
      </c>
      <c r="D1343" s="1">
        <f ca="1">IFERROR(__xludf.DUMMYFUNCTION("""COMPUTED_VALUE"""),112.91)</f>
        <v>112.91</v>
      </c>
      <c r="E1343" s="1">
        <f ca="1">IFERROR(__xludf.DUMMYFUNCTION("""COMPUTED_VALUE"""),114.3)</f>
        <v>114.3</v>
      </c>
      <c r="F1343" s="1">
        <f ca="1">IFERROR(__xludf.DUMMYFUNCTION("""COMPUTED_VALUE"""),9772605)</f>
        <v>9772605</v>
      </c>
    </row>
    <row r="1344" spans="1:6" x14ac:dyDescent="0.35">
      <c r="A1344" s="2">
        <f ca="1">IFERROR(__xludf.DUMMYFUNCTION("""COMPUTED_VALUE"""),43955.6666666666)</f>
        <v>43955.666666666599</v>
      </c>
      <c r="B1344" s="1">
        <f ca="1">IFERROR(__xludf.DUMMYFUNCTION("""COMPUTED_VALUE"""),112.82)</f>
        <v>112.82</v>
      </c>
      <c r="C1344" s="1">
        <f ca="1">IFERROR(__xludf.DUMMYFUNCTION("""COMPUTED_VALUE"""),116.35)</f>
        <v>116.35</v>
      </c>
      <c r="D1344" s="1">
        <f ca="1">IFERROR(__xludf.DUMMYFUNCTION("""COMPUTED_VALUE"""),112.82)</f>
        <v>112.82</v>
      </c>
      <c r="E1344" s="1">
        <f ca="1">IFERROR(__xludf.DUMMYFUNCTION("""COMPUTED_VALUE"""),115.8)</f>
        <v>115.8</v>
      </c>
      <c r="F1344" s="1">
        <f ca="1">IFERROR(__xludf.DUMMYFUNCTION("""COMPUTED_VALUE"""),4865926)</f>
        <v>4865926</v>
      </c>
    </row>
    <row r="1345" spans="1:6" x14ac:dyDescent="0.35">
      <c r="A1345" s="2">
        <f ca="1">IFERROR(__xludf.DUMMYFUNCTION("""COMPUTED_VALUE"""),43956.6666666666)</f>
        <v>43956.666666666599</v>
      </c>
      <c r="B1345" s="1">
        <f ca="1">IFERROR(__xludf.DUMMYFUNCTION("""COMPUTED_VALUE"""),117)</f>
        <v>117</v>
      </c>
      <c r="C1345" s="1">
        <f ca="1">IFERROR(__xludf.DUMMYFUNCTION("""COMPUTED_VALUE"""),117.55)</f>
        <v>117.55</v>
      </c>
      <c r="D1345" s="1">
        <f ca="1">IFERROR(__xludf.DUMMYFUNCTION("""COMPUTED_VALUE"""),115.36)</f>
        <v>115.36</v>
      </c>
      <c r="E1345" s="1">
        <f ca="1">IFERROR(__xludf.DUMMYFUNCTION("""COMPUTED_VALUE"""),115.89)</f>
        <v>115.89</v>
      </c>
      <c r="F1345" s="1">
        <f ca="1">IFERROR(__xludf.DUMMYFUNCTION("""COMPUTED_VALUE"""),3242496)</f>
        <v>3242496</v>
      </c>
    </row>
    <row r="1346" spans="1:6" x14ac:dyDescent="0.35">
      <c r="A1346" s="2">
        <f ca="1">IFERROR(__xludf.DUMMYFUNCTION("""COMPUTED_VALUE"""),43957.6666666666)</f>
        <v>43957.666666666599</v>
      </c>
      <c r="B1346" s="1">
        <f ca="1">IFERROR(__xludf.DUMMYFUNCTION("""COMPUTED_VALUE"""),116.47)</f>
        <v>116.47</v>
      </c>
      <c r="C1346" s="1">
        <f ca="1">IFERROR(__xludf.DUMMYFUNCTION("""COMPUTED_VALUE"""),117.87)</f>
        <v>117.87</v>
      </c>
      <c r="D1346" s="1">
        <f ca="1">IFERROR(__xludf.DUMMYFUNCTION("""COMPUTED_VALUE"""),116)</f>
        <v>116</v>
      </c>
      <c r="E1346" s="1">
        <f ca="1">IFERROR(__xludf.DUMMYFUNCTION("""COMPUTED_VALUE"""),117.56)</f>
        <v>117.56</v>
      </c>
      <c r="F1346" s="1">
        <f ca="1">IFERROR(__xludf.DUMMYFUNCTION("""COMPUTED_VALUE"""),3117814)</f>
        <v>3117814</v>
      </c>
    </row>
    <row r="1347" spans="1:6" x14ac:dyDescent="0.35">
      <c r="A1347" s="2">
        <f ca="1">IFERROR(__xludf.DUMMYFUNCTION("""COMPUTED_VALUE"""),43958.6666666666)</f>
        <v>43958.666666666599</v>
      </c>
      <c r="B1347" s="1">
        <f ca="1">IFERROR(__xludf.DUMMYFUNCTION("""COMPUTED_VALUE"""),118.74)</f>
        <v>118.74</v>
      </c>
      <c r="C1347" s="1">
        <f ca="1">IFERROR(__xludf.DUMMYFUNCTION("""COMPUTED_VALUE"""),118.8)</f>
        <v>118.8</v>
      </c>
      <c r="D1347" s="1">
        <f ca="1">IFERROR(__xludf.DUMMYFUNCTION("""COMPUTED_VALUE"""),117.16)</f>
        <v>117.16</v>
      </c>
      <c r="E1347" s="1">
        <f ca="1">IFERROR(__xludf.DUMMYFUNCTION("""COMPUTED_VALUE"""),118.38)</f>
        <v>118.38</v>
      </c>
      <c r="F1347" s="1">
        <f ca="1">IFERROR(__xludf.DUMMYFUNCTION("""COMPUTED_VALUE"""),3396411)</f>
        <v>3396411</v>
      </c>
    </row>
    <row r="1348" spans="1:6" x14ac:dyDescent="0.35">
      <c r="A1348" s="2">
        <f ca="1">IFERROR(__xludf.DUMMYFUNCTION("""COMPUTED_VALUE"""),43959.6666666666)</f>
        <v>43959.666666666599</v>
      </c>
      <c r="B1348" s="1">
        <f ca="1">IFERROR(__xludf.DUMMYFUNCTION("""COMPUTED_VALUE"""),118.61)</f>
        <v>118.61</v>
      </c>
      <c r="C1348" s="1">
        <f ca="1">IFERROR(__xludf.DUMMYFUNCTION("""COMPUTED_VALUE"""),119.36)</f>
        <v>119.36</v>
      </c>
      <c r="D1348" s="1">
        <f ca="1">IFERROR(__xludf.DUMMYFUNCTION("""COMPUTED_VALUE"""),117.85)</f>
        <v>117.85</v>
      </c>
      <c r="E1348" s="1">
        <f ca="1">IFERROR(__xludf.DUMMYFUNCTION("""COMPUTED_VALUE"""),118.98)</f>
        <v>118.98</v>
      </c>
      <c r="F1348" s="1">
        <f ca="1">IFERROR(__xludf.DUMMYFUNCTION("""COMPUTED_VALUE"""),3211228)</f>
        <v>3211228</v>
      </c>
    </row>
    <row r="1349" spans="1:6" x14ac:dyDescent="0.35">
      <c r="A1349" s="2">
        <f ca="1">IFERROR(__xludf.DUMMYFUNCTION("""COMPUTED_VALUE"""),43962.6666666666)</f>
        <v>43962.666666666599</v>
      </c>
      <c r="B1349" s="1">
        <f ca="1">IFERROR(__xludf.DUMMYFUNCTION("""COMPUTED_VALUE"""),118.74)</f>
        <v>118.74</v>
      </c>
      <c r="C1349" s="1">
        <f ca="1">IFERROR(__xludf.DUMMYFUNCTION("""COMPUTED_VALUE"""),120.98)</f>
        <v>120.98</v>
      </c>
      <c r="D1349" s="1">
        <f ca="1">IFERROR(__xludf.DUMMYFUNCTION("""COMPUTED_VALUE"""),118.61)</f>
        <v>118.61</v>
      </c>
      <c r="E1349" s="1">
        <f ca="1">IFERROR(__xludf.DUMMYFUNCTION("""COMPUTED_VALUE"""),120.45)</f>
        <v>120.45</v>
      </c>
      <c r="F1349" s="1">
        <f ca="1">IFERROR(__xludf.DUMMYFUNCTION("""COMPUTED_VALUE"""),3259231)</f>
        <v>3259231</v>
      </c>
    </row>
    <row r="1350" spans="1:6" x14ac:dyDescent="0.35">
      <c r="A1350" s="2">
        <f ca="1">IFERROR(__xludf.DUMMYFUNCTION("""COMPUTED_VALUE"""),43963.6666666666)</f>
        <v>43963.666666666599</v>
      </c>
      <c r="B1350" s="1">
        <f ca="1">IFERROR(__xludf.DUMMYFUNCTION("""COMPUTED_VALUE"""),120.59)</f>
        <v>120.59</v>
      </c>
      <c r="C1350" s="1">
        <f ca="1">IFERROR(__xludf.DUMMYFUNCTION("""COMPUTED_VALUE"""),120.95)</f>
        <v>120.95</v>
      </c>
      <c r="D1350" s="1">
        <f ca="1">IFERROR(__xludf.DUMMYFUNCTION("""COMPUTED_VALUE"""),117.75)</f>
        <v>117.75</v>
      </c>
      <c r="E1350" s="1">
        <f ca="1">IFERROR(__xludf.DUMMYFUNCTION("""COMPUTED_VALUE"""),117.85)</f>
        <v>117.85</v>
      </c>
      <c r="F1350" s="1">
        <f ca="1">IFERROR(__xludf.DUMMYFUNCTION("""COMPUTED_VALUE"""),3074916)</f>
        <v>3074916</v>
      </c>
    </row>
    <row r="1351" spans="1:6" x14ac:dyDescent="0.35">
      <c r="A1351" s="2">
        <f ca="1">IFERROR(__xludf.DUMMYFUNCTION("""COMPUTED_VALUE"""),43964.6666666666)</f>
        <v>43964.666666666599</v>
      </c>
      <c r="B1351" s="1">
        <f ca="1">IFERROR(__xludf.DUMMYFUNCTION("""COMPUTED_VALUE"""),118.34)</f>
        <v>118.34</v>
      </c>
      <c r="C1351" s="1">
        <f ca="1">IFERROR(__xludf.DUMMYFUNCTION("""COMPUTED_VALUE"""),120.39)</f>
        <v>120.39</v>
      </c>
      <c r="D1351" s="1">
        <f ca="1">IFERROR(__xludf.DUMMYFUNCTION("""COMPUTED_VALUE"""),116.89)</f>
        <v>116.89</v>
      </c>
      <c r="E1351" s="1">
        <f ca="1">IFERROR(__xludf.DUMMYFUNCTION("""COMPUTED_VALUE"""),118.4)</f>
        <v>118.4</v>
      </c>
      <c r="F1351" s="1">
        <f ca="1">IFERROR(__xludf.DUMMYFUNCTION("""COMPUTED_VALUE"""),4782919)</f>
        <v>4782919</v>
      </c>
    </row>
    <row r="1352" spans="1:6" x14ac:dyDescent="0.35">
      <c r="A1352" s="2">
        <f ca="1">IFERROR(__xludf.DUMMYFUNCTION("""COMPUTED_VALUE"""),43965.6666666666)</f>
        <v>43965.666666666599</v>
      </c>
      <c r="B1352" s="1">
        <f ca="1">IFERROR(__xludf.DUMMYFUNCTION("""COMPUTED_VALUE"""),118.05)</f>
        <v>118.05</v>
      </c>
      <c r="C1352" s="1">
        <f ca="1">IFERROR(__xludf.DUMMYFUNCTION("""COMPUTED_VALUE"""),119.57)</f>
        <v>119.57</v>
      </c>
      <c r="D1352" s="1">
        <f ca="1">IFERROR(__xludf.DUMMYFUNCTION("""COMPUTED_VALUE"""),117.66)</f>
        <v>117.66</v>
      </c>
      <c r="E1352" s="1">
        <f ca="1">IFERROR(__xludf.DUMMYFUNCTION("""COMPUTED_VALUE"""),119.44)</f>
        <v>119.44</v>
      </c>
      <c r="F1352" s="1">
        <f ca="1">IFERROR(__xludf.DUMMYFUNCTION("""COMPUTED_VALUE"""),3648128)</f>
        <v>3648128</v>
      </c>
    </row>
    <row r="1353" spans="1:6" x14ac:dyDescent="0.35">
      <c r="A1353" s="2">
        <f ca="1">IFERROR(__xludf.DUMMYFUNCTION("""COMPUTED_VALUE"""),43966.6666666666)</f>
        <v>43966.666666666599</v>
      </c>
      <c r="B1353" s="1">
        <f ca="1">IFERROR(__xludf.DUMMYFUNCTION("""COMPUTED_VALUE"""),118.43)</f>
        <v>118.43</v>
      </c>
      <c r="C1353" s="1">
        <f ca="1">IFERROR(__xludf.DUMMYFUNCTION("""COMPUTED_VALUE"""),120.55)</f>
        <v>120.55</v>
      </c>
      <c r="D1353" s="1">
        <f ca="1">IFERROR(__xludf.DUMMYFUNCTION("""COMPUTED_VALUE"""),117.82)</f>
        <v>117.82</v>
      </c>
      <c r="E1353" s="1">
        <f ca="1">IFERROR(__xludf.DUMMYFUNCTION("""COMPUTED_VALUE"""),120.49)</f>
        <v>120.49</v>
      </c>
      <c r="F1353" s="1">
        <f ca="1">IFERROR(__xludf.DUMMYFUNCTION("""COMPUTED_VALUE"""),4234951)</f>
        <v>4234951</v>
      </c>
    </row>
    <row r="1354" spans="1:6" x14ac:dyDescent="0.35">
      <c r="A1354" s="2">
        <f ca="1">IFERROR(__xludf.DUMMYFUNCTION("""COMPUTED_VALUE"""),43969.6666666666)</f>
        <v>43969.666666666599</v>
      </c>
      <c r="B1354" s="1">
        <f ca="1">IFERROR(__xludf.DUMMYFUNCTION("""COMPUTED_VALUE"""),120.22)</f>
        <v>120.22</v>
      </c>
      <c r="C1354" s="1">
        <f ca="1">IFERROR(__xludf.DUMMYFUNCTION("""COMPUTED_VALUE"""),121.65)</f>
        <v>121.65</v>
      </c>
      <c r="D1354" s="1">
        <f ca="1">IFERROR(__xludf.DUMMYFUNCTION("""COMPUTED_VALUE"""),119.2)</f>
        <v>119.2</v>
      </c>
      <c r="E1354" s="1">
        <f ca="1">IFERROR(__xludf.DUMMYFUNCTION("""COMPUTED_VALUE"""),121.31)</f>
        <v>121.31</v>
      </c>
      <c r="F1354" s="1">
        <f ca="1">IFERROR(__xludf.DUMMYFUNCTION("""COMPUTED_VALUE"""),4366572)</f>
        <v>4366572</v>
      </c>
    </row>
    <row r="1355" spans="1:6" x14ac:dyDescent="0.35">
      <c r="A1355" s="2">
        <f ca="1">IFERROR(__xludf.DUMMYFUNCTION("""COMPUTED_VALUE"""),43970.6666666666)</f>
        <v>43970.666666666599</v>
      </c>
      <c r="B1355" s="1">
        <f ca="1">IFERROR(__xludf.DUMMYFUNCTION("""COMPUTED_VALUE"""),121.49)</f>
        <v>121.49</v>
      </c>
      <c r="C1355" s="1">
        <f ca="1">IFERROR(__xludf.DUMMYFUNCTION("""COMPUTED_VALUE"""),124.25)</f>
        <v>124.25</v>
      </c>
      <c r="D1355" s="1">
        <f ca="1">IFERROR(__xludf.DUMMYFUNCTION("""COMPUTED_VALUE"""),121.45)</f>
        <v>121.45</v>
      </c>
      <c r="E1355" s="1">
        <f ca="1">IFERROR(__xludf.DUMMYFUNCTION("""COMPUTED_VALUE"""),122.47)</f>
        <v>122.47</v>
      </c>
      <c r="F1355" s="1">
        <f ca="1">IFERROR(__xludf.DUMMYFUNCTION("""COMPUTED_VALUE"""),4320498)</f>
        <v>4320498</v>
      </c>
    </row>
    <row r="1356" spans="1:6" x14ac:dyDescent="0.35">
      <c r="A1356" s="2">
        <f ca="1">IFERROR(__xludf.DUMMYFUNCTION("""COMPUTED_VALUE"""),43971.6666666666)</f>
        <v>43971.666666666599</v>
      </c>
      <c r="B1356" s="1">
        <f ca="1">IFERROR(__xludf.DUMMYFUNCTION("""COMPUTED_VALUE"""),123.89)</f>
        <v>123.89</v>
      </c>
      <c r="C1356" s="1">
        <f ca="1">IFERROR(__xludf.DUMMYFUNCTION("""COMPUTED_VALUE"""),125)</f>
        <v>125</v>
      </c>
      <c r="D1356" s="1">
        <f ca="1">IFERROR(__xludf.DUMMYFUNCTION("""COMPUTED_VALUE"""),123.36)</f>
        <v>123.36</v>
      </c>
      <c r="E1356" s="1">
        <f ca="1">IFERROR(__xludf.DUMMYFUNCTION("""COMPUTED_VALUE"""),124.9)</f>
        <v>124.9</v>
      </c>
      <c r="F1356" s="1">
        <f ca="1">IFERROR(__xludf.DUMMYFUNCTION("""COMPUTED_VALUE"""),3998143)</f>
        <v>3998143</v>
      </c>
    </row>
    <row r="1357" spans="1:6" x14ac:dyDescent="0.35">
      <c r="A1357" s="2">
        <f ca="1">IFERROR(__xludf.DUMMYFUNCTION("""COMPUTED_VALUE"""),43972.6666666666)</f>
        <v>43972.666666666599</v>
      </c>
      <c r="B1357" s="1">
        <f ca="1">IFERROR(__xludf.DUMMYFUNCTION("""COMPUTED_VALUE"""),125)</f>
        <v>125</v>
      </c>
      <c r="C1357" s="1">
        <f ca="1">IFERROR(__xludf.DUMMYFUNCTION("""COMPUTED_VALUE"""),126.27)</f>
        <v>126.27</v>
      </c>
      <c r="D1357" s="1">
        <f ca="1">IFERROR(__xludf.DUMMYFUNCTION("""COMPUTED_VALUE"""),122.13)</f>
        <v>122.13</v>
      </c>
      <c r="E1357" s="1">
        <f ca="1">IFERROR(__xludf.DUMMYFUNCTION("""COMPUTED_VALUE"""),122.34)</f>
        <v>122.34</v>
      </c>
      <c r="F1357" s="1">
        <f ca="1">IFERROR(__xludf.DUMMYFUNCTION("""COMPUTED_VALUE"""),5114403)</f>
        <v>5114403</v>
      </c>
    </row>
    <row r="1358" spans="1:6" x14ac:dyDescent="0.35">
      <c r="A1358" s="2">
        <f ca="1">IFERROR(__xludf.DUMMYFUNCTION("""COMPUTED_VALUE"""),43973.6666666666)</f>
        <v>43973.666666666599</v>
      </c>
      <c r="B1358" s="1">
        <f ca="1">IFERROR(__xludf.DUMMYFUNCTION("""COMPUTED_VALUE"""),122.75)</f>
        <v>122.75</v>
      </c>
      <c r="C1358" s="1">
        <f ca="1">IFERROR(__xludf.DUMMYFUNCTION("""COMPUTED_VALUE"""),123.49)</f>
        <v>123.49</v>
      </c>
      <c r="D1358" s="1">
        <f ca="1">IFERROR(__xludf.DUMMYFUNCTION("""COMPUTED_VALUE"""),121.51)</f>
        <v>121.51</v>
      </c>
      <c r="E1358" s="1">
        <f ca="1">IFERROR(__xludf.DUMMYFUNCTION("""COMPUTED_VALUE"""),121.84)</f>
        <v>121.84</v>
      </c>
      <c r="F1358" s="1">
        <f ca="1">IFERROR(__xludf.DUMMYFUNCTION("""COMPUTED_VALUE"""),2867079)</f>
        <v>2867079</v>
      </c>
    </row>
    <row r="1359" spans="1:6" x14ac:dyDescent="0.35">
      <c r="A1359" s="2">
        <f ca="1">IFERROR(__xludf.DUMMYFUNCTION("""COMPUTED_VALUE"""),43977.6666666666)</f>
        <v>43977.666666666599</v>
      </c>
      <c r="B1359" s="1">
        <f ca="1">IFERROR(__xludf.DUMMYFUNCTION("""COMPUTED_VALUE"""),122.9)</f>
        <v>122.9</v>
      </c>
      <c r="C1359" s="1">
        <f ca="1">IFERROR(__xludf.DUMMYFUNCTION("""COMPUTED_VALUE"""),123.1)</f>
        <v>123.1</v>
      </c>
      <c r="D1359" s="1">
        <f ca="1">IFERROR(__xludf.DUMMYFUNCTION("""COMPUTED_VALUE"""),120.7)</f>
        <v>120.7</v>
      </c>
      <c r="E1359" s="1">
        <f ca="1">IFERROR(__xludf.DUMMYFUNCTION("""COMPUTED_VALUE"""),121.09)</f>
        <v>121.09</v>
      </c>
      <c r="F1359" s="1">
        <f ca="1">IFERROR(__xludf.DUMMYFUNCTION("""COMPUTED_VALUE"""),3568153)</f>
        <v>3568153</v>
      </c>
    </row>
    <row r="1360" spans="1:6" x14ac:dyDescent="0.35">
      <c r="A1360" s="2">
        <f ca="1">IFERROR(__xludf.DUMMYFUNCTION("""COMPUTED_VALUE"""),43978.6666666666)</f>
        <v>43978.666666666599</v>
      </c>
      <c r="B1360" s="1">
        <f ca="1">IFERROR(__xludf.DUMMYFUNCTION("""COMPUTED_VALUE"""),120.25)</f>
        <v>120.25</v>
      </c>
      <c r="C1360" s="1">
        <f ca="1">IFERROR(__xludf.DUMMYFUNCTION("""COMPUTED_VALUE"""),120.68)</f>
        <v>120.68</v>
      </c>
      <c r="D1360" s="1">
        <f ca="1">IFERROR(__xludf.DUMMYFUNCTION("""COMPUTED_VALUE"""),116.5)</f>
        <v>116.5</v>
      </c>
      <c r="E1360" s="1">
        <f ca="1">IFERROR(__xludf.DUMMYFUNCTION("""COMPUTED_VALUE"""),120.52)</f>
        <v>120.52</v>
      </c>
      <c r="F1360" s="1">
        <f ca="1">IFERROR(__xludf.DUMMYFUNCTION("""COMPUTED_VALUE"""),5056945)</f>
        <v>5056945</v>
      </c>
    </row>
    <row r="1361" spans="1:6" x14ac:dyDescent="0.35">
      <c r="A1361" s="2">
        <f ca="1">IFERROR(__xludf.DUMMYFUNCTION("""COMPUTED_VALUE"""),43979.6666666666)</f>
        <v>43979.666666666599</v>
      </c>
      <c r="B1361" s="1">
        <f ca="1">IFERROR(__xludf.DUMMYFUNCTION("""COMPUTED_VALUE"""),119.22)</f>
        <v>119.22</v>
      </c>
      <c r="C1361" s="1">
        <f ca="1">IFERROR(__xludf.DUMMYFUNCTION("""COMPUTED_VALUE"""),121.85)</f>
        <v>121.85</v>
      </c>
      <c r="D1361" s="1">
        <f ca="1">IFERROR(__xludf.DUMMYFUNCTION("""COMPUTED_VALUE"""),118.91)</f>
        <v>118.91</v>
      </c>
      <c r="E1361" s="1">
        <f ca="1">IFERROR(__xludf.DUMMYFUNCTION("""COMPUTED_VALUE"""),120.06)</f>
        <v>120.06</v>
      </c>
      <c r="F1361" s="1">
        <f ca="1">IFERROR(__xludf.DUMMYFUNCTION("""COMPUTED_VALUE"""),3193136)</f>
        <v>3193136</v>
      </c>
    </row>
    <row r="1362" spans="1:6" x14ac:dyDescent="0.35">
      <c r="A1362" s="2">
        <f ca="1">IFERROR(__xludf.DUMMYFUNCTION("""COMPUTED_VALUE"""),43980.6666666666)</f>
        <v>43980.666666666599</v>
      </c>
      <c r="B1362" s="1">
        <f ca="1">IFERROR(__xludf.DUMMYFUNCTION("""COMPUTED_VALUE"""),120.8)</f>
        <v>120.8</v>
      </c>
      <c r="C1362" s="1">
        <f ca="1">IFERROR(__xludf.DUMMYFUNCTION("""COMPUTED_VALUE"""),122.12)</f>
        <v>122.12</v>
      </c>
      <c r="D1362" s="1">
        <f ca="1">IFERROR(__xludf.DUMMYFUNCTION("""COMPUTED_VALUE"""),119.91)</f>
        <v>119.91</v>
      </c>
      <c r="E1362" s="1">
        <f ca="1">IFERROR(__xludf.DUMMYFUNCTION("""COMPUTED_VALUE"""),122.12)</f>
        <v>122.12</v>
      </c>
      <c r="F1362" s="1">
        <f ca="1">IFERROR(__xludf.DUMMYFUNCTION("""COMPUTED_VALUE"""),3529329)</f>
        <v>3529329</v>
      </c>
    </row>
    <row r="1363" spans="1:6" x14ac:dyDescent="0.35">
      <c r="A1363" s="2">
        <f ca="1">IFERROR(__xludf.DUMMYFUNCTION("""COMPUTED_VALUE"""),43983.6666666666)</f>
        <v>43983.666666666599</v>
      </c>
      <c r="B1363" s="1">
        <f ca="1">IFERROR(__xludf.DUMMYFUNCTION("""COMPUTED_VALUE"""),122.4)</f>
        <v>122.4</v>
      </c>
      <c r="C1363" s="1">
        <f ca="1">IFERROR(__xludf.DUMMYFUNCTION("""COMPUTED_VALUE"""),123.85)</f>
        <v>123.85</v>
      </c>
      <c r="D1363" s="1">
        <f ca="1">IFERROR(__xludf.DUMMYFUNCTION("""COMPUTED_VALUE"""),122.21)</f>
        <v>122.21</v>
      </c>
      <c r="E1363" s="1">
        <f ca="1">IFERROR(__xludf.DUMMYFUNCTION("""COMPUTED_VALUE"""),123.55)</f>
        <v>123.55</v>
      </c>
      <c r="F1363" s="1">
        <f ca="1">IFERROR(__xludf.DUMMYFUNCTION("""COMPUTED_VALUE"""),2938032)</f>
        <v>2938032</v>
      </c>
    </row>
    <row r="1364" spans="1:6" x14ac:dyDescent="0.35">
      <c r="A1364" s="2">
        <f ca="1">IFERROR(__xludf.DUMMYFUNCTION("""COMPUTED_VALUE"""),43984.6666666666)</f>
        <v>43984.666666666599</v>
      </c>
      <c r="B1364" s="1">
        <f ca="1">IFERROR(__xludf.DUMMYFUNCTION("""COMPUTED_VALUE"""),123.35)</f>
        <v>123.35</v>
      </c>
      <c r="C1364" s="1">
        <f ca="1">IFERROR(__xludf.DUMMYFUNCTION("""COMPUTED_VALUE"""),123.68)</f>
        <v>123.68</v>
      </c>
      <c r="D1364" s="1">
        <f ca="1">IFERROR(__xludf.DUMMYFUNCTION("""COMPUTED_VALUE"""),122.27)</f>
        <v>122.27</v>
      </c>
      <c r="E1364" s="1">
        <f ca="1">IFERROR(__xludf.DUMMYFUNCTION("""COMPUTED_VALUE"""),123.62)</f>
        <v>123.62</v>
      </c>
      <c r="F1364" s="1">
        <f ca="1">IFERROR(__xludf.DUMMYFUNCTION("""COMPUTED_VALUE"""),2529903)</f>
        <v>2529903</v>
      </c>
    </row>
    <row r="1365" spans="1:6" x14ac:dyDescent="0.35">
      <c r="A1365" s="2">
        <f ca="1">IFERROR(__xludf.DUMMYFUNCTION("""COMPUTED_VALUE"""),43985.6666666666)</f>
        <v>43985.666666666599</v>
      </c>
      <c r="B1365" s="1">
        <f ca="1">IFERROR(__xludf.DUMMYFUNCTION("""COMPUTED_VALUE"""),123.4)</f>
        <v>123.4</v>
      </c>
      <c r="C1365" s="1">
        <f ca="1">IFERROR(__xludf.DUMMYFUNCTION("""COMPUTED_VALUE"""),124.4)</f>
        <v>124.4</v>
      </c>
      <c r="D1365" s="1">
        <f ca="1">IFERROR(__xludf.DUMMYFUNCTION("""COMPUTED_VALUE"""),123.06)</f>
        <v>123.06</v>
      </c>
      <c r="E1365" s="1">
        <f ca="1">IFERROR(__xludf.DUMMYFUNCTION("""COMPUTED_VALUE"""),123.92)</f>
        <v>123.92</v>
      </c>
      <c r="F1365" s="1">
        <f ca="1">IFERROR(__xludf.DUMMYFUNCTION("""COMPUTED_VALUE"""),2671024)</f>
        <v>2671024</v>
      </c>
    </row>
    <row r="1366" spans="1:6" x14ac:dyDescent="0.35">
      <c r="A1366" s="2">
        <f ca="1">IFERROR(__xludf.DUMMYFUNCTION("""COMPUTED_VALUE"""),43986.6666666666)</f>
        <v>43986.666666666599</v>
      </c>
      <c r="B1366" s="1">
        <f ca="1">IFERROR(__xludf.DUMMYFUNCTION("""COMPUTED_VALUE"""),123.87)</f>
        <v>123.87</v>
      </c>
      <c r="C1366" s="1">
        <f ca="1">IFERROR(__xludf.DUMMYFUNCTION("""COMPUTED_VALUE"""),125.38)</f>
        <v>125.38</v>
      </c>
      <c r="D1366" s="1">
        <f ca="1">IFERROR(__xludf.DUMMYFUNCTION("""COMPUTED_VALUE"""),122.5)</f>
        <v>122.5</v>
      </c>
      <c r="E1366" s="1">
        <f ca="1">IFERROR(__xludf.DUMMYFUNCTION("""COMPUTED_VALUE"""),123.03)</f>
        <v>123.03</v>
      </c>
      <c r="F1366" s="1">
        <f ca="1">IFERROR(__xludf.DUMMYFUNCTION("""COMPUTED_VALUE"""),2948710)</f>
        <v>2948710</v>
      </c>
    </row>
    <row r="1367" spans="1:6" x14ac:dyDescent="0.35">
      <c r="A1367" s="2">
        <f ca="1">IFERROR(__xludf.DUMMYFUNCTION("""COMPUTED_VALUE"""),43987.6666666666)</f>
        <v>43987.666666666599</v>
      </c>
      <c r="B1367" s="1">
        <f ca="1">IFERROR(__xludf.DUMMYFUNCTION("""COMPUTED_VALUE"""),122.23)</f>
        <v>122.23</v>
      </c>
      <c r="C1367" s="1">
        <f ca="1">IFERROR(__xludf.DUMMYFUNCTION("""COMPUTED_VALUE"""),124.43)</f>
        <v>124.43</v>
      </c>
      <c r="D1367" s="1">
        <f ca="1">IFERROR(__xludf.DUMMYFUNCTION("""COMPUTED_VALUE"""),121.86)</f>
        <v>121.86</v>
      </c>
      <c r="E1367" s="1">
        <f ca="1">IFERROR(__xludf.DUMMYFUNCTION("""COMPUTED_VALUE"""),124.15)</f>
        <v>124.15</v>
      </c>
      <c r="F1367" s="1">
        <f ca="1">IFERROR(__xludf.DUMMYFUNCTION("""COMPUTED_VALUE"""),3306445)</f>
        <v>3306445</v>
      </c>
    </row>
    <row r="1368" spans="1:6" x14ac:dyDescent="0.35">
      <c r="A1368" s="2">
        <f ca="1">IFERROR(__xludf.DUMMYFUNCTION("""COMPUTED_VALUE"""),43990.6666666666)</f>
        <v>43990.666666666599</v>
      </c>
      <c r="B1368" s="1">
        <f ca="1">IFERROR(__xludf.DUMMYFUNCTION("""COMPUTED_VALUE"""),125.01)</f>
        <v>125.01</v>
      </c>
      <c r="C1368" s="1">
        <f ca="1">IFERROR(__xludf.DUMMYFUNCTION("""COMPUTED_VALUE"""),126.5)</f>
        <v>126.5</v>
      </c>
      <c r="D1368" s="1">
        <f ca="1">IFERROR(__xludf.DUMMYFUNCTION("""COMPUTED_VALUE"""),124.37)</f>
        <v>124.37</v>
      </c>
      <c r="E1368" s="1">
        <f ca="1">IFERROR(__xludf.DUMMYFUNCTION("""COMPUTED_VALUE"""),126.2)</f>
        <v>126.2</v>
      </c>
      <c r="F1368" s="1">
        <f ca="1">IFERROR(__xludf.DUMMYFUNCTION("""COMPUTED_VALUE"""),3970654)</f>
        <v>3970654</v>
      </c>
    </row>
    <row r="1369" spans="1:6" x14ac:dyDescent="0.35">
      <c r="A1369" s="2">
        <f ca="1">IFERROR(__xludf.DUMMYFUNCTION("""COMPUTED_VALUE"""),43991.6666666666)</f>
        <v>43991.666666666599</v>
      </c>
      <c r="B1369" s="1">
        <f ca="1">IFERROR(__xludf.DUMMYFUNCTION("""COMPUTED_VALUE"""),126.47)</f>
        <v>126.47</v>
      </c>
      <c r="C1369" s="1">
        <f ca="1">IFERROR(__xludf.DUMMYFUNCTION("""COMPUTED_VALUE"""),131.32)</f>
        <v>131.32</v>
      </c>
      <c r="D1369" s="1">
        <f ca="1">IFERROR(__xludf.DUMMYFUNCTION("""COMPUTED_VALUE"""),126.25)</f>
        <v>126.25</v>
      </c>
      <c r="E1369" s="1">
        <f ca="1">IFERROR(__xludf.DUMMYFUNCTION("""COMPUTED_VALUE"""),130.04)</f>
        <v>130.04</v>
      </c>
      <c r="F1369" s="1">
        <f ca="1">IFERROR(__xludf.DUMMYFUNCTION("""COMPUTED_VALUE"""),5175950)</f>
        <v>5175950</v>
      </c>
    </row>
    <row r="1370" spans="1:6" x14ac:dyDescent="0.35">
      <c r="A1370" s="2">
        <f ca="1">IFERROR(__xludf.DUMMYFUNCTION("""COMPUTED_VALUE"""),43992.6666666666)</f>
        <v>43992.666666666599</v>
      </c>
      <c r="B1370" s="1">
        <f ca="1">IFERROR(__xludf.DUMMYFUNCTION("""COMPUTED_VALUE"""),132.25)</f>
        <v>132.25</v>
      </c>
      <c r="C1370" s="1">
        <f ca="1">IFERROR(__xludf.DUMMYFUNCTION("""COMPUTED_VALUE"""),136.12)</f>
        <v>136.12</v>
      </c>
      <c r="D1370" s="1">
        <f ca="1">IFERROR(__xludf.DUMMYFUNCTION("""COMPUTED_VALUE"""),131.31)</f>
        <v>131.31</v>
      </c>
      <c r="E1370" s="1">
        <f ca="1">IFERROR(__xludf.DUMMYFUNCTION("""COMPUTED_VALUE"""),132.37)</f>
        <v>132.37</v>
      </c>
      <c r="F1370" s="1">
        <f ca="1">IFERROR(__xludf.DUMMYFUNCTION("""COMPUTED_VALUE"""),4946031)</f>
        <v>4946031</v>
      </c>
    </row>
    <row r="1371" spans="1:6" x14ac:dyDescent="0.35">
      <c r="A1371" s="2">
        <f ca="1">IFERROR(__xludf.DUMMYFUNCTION("""COMPUTED_VALUE"""),43993.6666666666)</f>
        <v>43993.666666666599</v>
      </c>
      <c r="B1371" s="1">
        <f ca="1">IFERROR(__xludf.DUMMYFUNCTION("""COMPUTED_VALUE"""),130.18)</f>
        <v>130.18</v>
      </c>
      <c r="C1371" s="1">
        <f ca="1">IFERROR(__xludf.DUMMYFUNCTION("""COMPUTED_VALUE"""),133.57)</f>
        <v>133.57</v>
      </c>
      <c r="D1371" s="1">
        <f ca="1">IFERROR(__xludf.DUMMYFUNCTION("""COMPUTED_VALUE"""),126.81)</f>
        <v>126.81</v>
      </c>
      <c r="E1371" s="1">
        <f ca="1">IFERROR(__xludf.DUMMYFUNCTION("""COMPUTED_VALUE"""),127.9)</f>
        <v>127.9</v>
      </c>
      <c r="F1371" s="1">
        <f ca="1">IFERROR(__xludf.DUMMYFUNCTION("""COMPUTED_VALUE"""),5800107)</f>
        <v>5800107</v>
      </c>
    </row>
    <row r="1372" spans="1:6" x14ac:dyDescent="0.35">
      <c r="A1372" s="2">
        <f ca="1">IFERROR(__xludf.DUMMYFUNCTION("""COMPUTED_VALUE"""),43994.6666666666)</f>
        <v>43994.666666666599</v>
      </c>
      <c r="B1372" s="1">
        <f ca="1">IFERROR(__xludf.DUMMYFUNCTION("""COMPUTED_VALUE"""),130.06)</f>
        <v>130.06</v>
      </c>
      <c r="C1372" s="1">
        <f ca="1">IFERROR(__xludf.DUMMYFUNCTION("""COMPUTED_VALUE"""),131.07)</f>
        <v>131.07</v>
      </c>
      <c r="D1372" s="1">
        <f ca="1">IFERROR(__xludf.DUMMYFUNCTION("""COMPUTED_VALUE"""),125.17)</f>
        <v>125.17</v>
      </c>
      <c r="E1372" s="1">
        <f ca="1">IFERROR(__xludf.DUMMYFUNCTION("""COMPUTED_VALUE"""),127.25)</f>
        <v>127.25</v>
      </c>
      <c r="F1372" s="1">
        <f ca="1">IFERROR(__xludf.DUMMYFUNCTION("""COMPUTED_VALUE"""),5436127)</f>
        <v>5436127</v>
      </c>
    </row>
    <row r="1373" spans="1:6" x14ac:dyDescent="0.35">
      <c r="A1373" s="2">
        <f ca="1">IFERROR(__xludf.DUMMYFUNCTION("""COMPUTED_VALUE"""),43997.6666666666)</f>
        <v>43997.666666666599</v>
      </c>
      <c r="B1373" s="1">
        <f ca="1">IFERROR(__xludf.DUMMYFUNCTION("""COMPUTED_VALUE"""),126.33)</f>
        <v>126.33</v>
      </c>
      <c r="C1373" s="1">
        <f ca="1">IFERROR(__xludf.DUMMYFUNCTION("""COMPUTED_VALUE"""),129.2)</f>
        <v>129.19999999999999</v>
      </c>
      <c r="D1373" s="1">
        <f ca="1">IFERROR(__xludf.DUMMYFUNCTION("""COMPUTED_VALUE"""),125.4)</f>
        <v>125.4</v>
      </c>
      <c r="E1373" s="1">
        <f ca="1">IFERROR(__xludf.DUMMYFUNCTION("""COMPUTED_VALUE"""),128.63)</f>
        <v>128.63</v>
      </c>
      <c r="F1373" s="1">
        <f ca="1">IFERROR(__xludf.DUMMYFUNCTION("""COMPUTED_VALUE"""),3873335)</f>
        <v>3873335</v>
      </c>
    </row>
    <row r="1374" spans="1:6" x14ac:dyDescent="0.35">
      <c r="A1374" s="2">
        <f ca="1">IFERROR(__xludf.DUMMYFUNCTION("""COMPUTED_VALUE"""),43998.6666666666)</f>
        <v>43998.666666666599</v>
      </c>
      <c r="B1374" s="1">
        <f ca="1">IFERROR(__xludf.DUMMYFUNCTION("""COMPUTED_VALUE"""),131)</f>
        <v>131</v>
      </c>
      <c r="C1374" s="1">
        <f ca="1">IFERROR(__xludf.DUMMYFUNCTION("""COMPUTED_VALUE"""),131)</f>
        <v>131</v>
      </c>
      <c r="D1374" s="1">
        <f ca="1">IFERROR(__xludf.DUMMYFUNCTION("""COMPUTED_VALUE"""),128.8)</f>
        <v>128.80000000000001</v>
      </c>
      <c r="E1374" s="1">
        <f ca="1">IFERROR(__xludf.DUMMYFUNCTION("""COMPUTED_VALUE"""),130.76)</f>
        <v>130.76</v>
      </c>
      <c r="F1374" s="1">
        <f ca="1">IFERROR(__xludf.DUMMYFUNCTION("""COMPUTED_VALUE"""),3595649)</f>
        <v>3595649</v>
      </c>
    </row>
    <row r="1375" spans="1:6" x14ac:dyDescent="0.35">
      <c r="A1375" s="2">
        <f ca="1">IFERROR(__xludf.DUMMYFUNCTION("""COMPUTED_VALUE"""),43999.6666666666)</f>
        <v>43999.666666666599</v>
      </c>
      <c r="B1375" s="1">
        <f ca="1">IFERROR(__xludf.DUMMYFUNCTION("""COMPUTED_VALUE"""),132.38)</f>
        <v>132.38</v>
      </c>
      <c r="C1375" s="1">
        <f ca="1">IFERROR(__xludf.DUMMYFUNCTION("""COMPUTED_VALUE"""),132.75)</f>
        <v>132.75</v>
      </c>
      <c r="D1375" s="1">
        <f ca="1">IFERROR(__xludf.DUMMYFUNCTION("""COMPUTED_VALUE"""),131.59)</f>
        <v>131.59</v>
      </c>
      <c r="E1375" s="1">
        <f ca="1">IFERROR(__xludf.DUMMYFUNCTION("""COMPUTED_VALUE"""),132.05)</f>
        <v>132.05000000000001</v>
      </c>
      <c r="F1375" s="1">
        <f ca="1">IFERROR(__xludf.DUMMYFUNCTION("""COMPUTED_VALUE"""),2959316)</f>
        <v>2959316</v>
      </c>
    </row>
    <row r="1376" spans="1:6" x14ac:dyDescent="0.35">
      <c r="A1376" s="2">
        <f ca="1">IFERROR(__xludf.DUMMYFUNCTION("""COMPUTED_VALUE"""),44000.6666666666)</f>
        <v>44000.666666666599</v>
      </c>
      <c r="B1376" s="1">
        <f ca="1">IFERROR(__xludf.DUMMYFUNCTION("""COMPUTED_VALUE"""),132.35)</f>
        <v>132.35</v>
      </c>
      <c r="C1376" s="1">
        <f ca="1">IFERROR(__xludf.DUMMYFUNCTION("""COMPUTED_VALUE"""),132.98)</f>
        <v>132.97999999999999</v>
      </c>
      <c r="D1376" s="1">
        <f ca="1">IFERROR(__xludf.DUMMYFUNCTION("""COMPUTED_VALUE"""),131.81)</f>
        <v>131.81</v>
      </c>
      <c r="E1376" s="1">
        <f ca="1">IFERROR(__xludf.DUMMYFUNCTION("""COMPUTED_VALUE"""),132.7)</f>
        <v>132.69999999999999</v>
      </c>
      <c r="F1376" s="1">
        <f ca="1">IFERROR(__xludf.DUMMYFUNCTION("""COMPUTED_VALUE"""),2487774)</f>
        <v>2487774</v>
      </c>
    </row>
    <row r="1377" spans="1:6" x14ac:dyDescent="0.35">
      <c r="A1377" s="2">
        <f ca="1">IFERROR(__xludf.DUMMYFUNCTION("""COMPUTED_VALUE"""),44001.6666666666)</f>
        <v>44001.666666666599</v>
      </c>
      <c r="B1377" s="1">
        <f ca="1">IFERROR(__xludf.DUMMYFUNCTION("""COMPUTED_VALUE"""),133.9)</f>
        <v>133.9</v>
      </c>
      <c r="C1377" s="1">
        <f ca="1">IFERROR(__xludf.DUMMYFUNCTION("""COMPUTED_VALUE"""),134.87)</f>
        <v>134.87</v>
      </c>
      <c r="D1377" s="1">
        <f ca="1">IFERROR(__xludf.DUMMYFUNCTION("""COMPUTED_VALUE"""),132.95)</f>
        <v>132.94999999999999</v>
      </c>
      <c r="E1377" s="1">
        <f ca="1">IFERROR(__xludf.DUMMYFUNCTION("""COMPUTED_VALUE"""),133.75)</f>
        <v>133.75</v>
      </c>
      <c r="F1377" s="1">
        <f ca="1">IFERROR(__xludf.DUMMYFUNCTION("""COMPUTED_VALUE"""),5776963)</f>
        <v>5776963</v>
      </c>
    </row>
    <row r="1378" spans="1:6" x14ac:dyDescent="0.35">
      <c r="A1378" s="2">
        <f ca="1">IFERROR(__xludf.DUMMYFUNCTION("""COMPUTED_VALUE"""),44004.6666666666)</f>
        <v>44004.666666666599</v>
      </c>
      <c r="B1378" s="1">
        <f ca="1">IFERROR(__xludf.DUMMYFUNCTION("""COMPUTED_VALUE"""),134.23)</f>
        <v>134.22999999999999</v>
      </c>
      <c r="C1378" s="1">
        <f ca="1">IFERROR(__xludf.DUMMYFUNCTION("""COMPUTED_VALUE"""),135.75)</f>
        <v>135.75</v>
      </c>
      <c r="D1378" s="1">
        <f ca="1">IFERROR(__xludf.DUMMYFUNCTION("""COMPUTED_VALUE"""),133.45)</f>
        <v>133.44999999999999</v>
      </c>
      <c r="E1378" s="1">
        <f ca="1">IFERROR(__xludf.DUMMYFUNCTION("""COMPUTED_VALUE"""),135.69)</f>
        <v>135.69</v>
      </c>
      <c r="F1378" s="1">
        <f ca="1">IFERROR(__xludf.DUMMYFUNCTION("""COMPUTED_VALUE"""),3208780)</f>
        <v>3208780</v>
      </c>
    </row>
    <row r="1379" spans="1:6" x14ac:dyDescent="0.35">
      <c r="A1379" s="2">
        <f ca="1">IFERROR(__xludf.DUMMYFUNCTION("""COMPUTED_VALUE"""),44005.6666666666)</f>
        <v>44005.666666666599</v>
      </c>
      <c r="B1379" s="1">
        <f ca="1">IFERROR(__xludf.DUMMYFUNCTION("""COMPUTED_VALUE"""),136.3)</f>
        <v>136.30000000000001</v>
      </c>
      <c r="C1379" s="1">
        <f ca="1">IFERROR(__xludf.DUMMYFUNCTION("""COMPUTED_VALUE"""),139.16)</f>
        <v>139.16</v>
      </c>
      <c r="D1379" s="1">
        <f ca="1">IFERROR(__xludf.DUMMYFUNCTION("""COMPUTED_VALUE"""),135.9)</f>
        <v>135.9</v>
      </c>
      <c r="E1379" s="1">
        <f ca="1">IFERROR(__xludf.DUMMYFUNCTION("""COMPUTED_VALUE"""),138.22)</f>
        <v>138.22</v>
      </c>
      <c r="F1379" s="1">
        <f ca="1">IFERROR(__xludf.DUMMYFUNCTION("""COMPUTED_VALUE"""),4231707)</f>
        <v>4231707</v>
      </c>
    </row>
    <row r="1380" spans="1:6" x14ac:dyDescent="0.35">
      <c r="A1380" s="2">
        <f ca="1">IFERROR(__xludf.DUMMYFUNCTION("""COMPUTED_VALUE"""),44006.6666666666)</f>
        <v>44006.666666666599</v>
      </c>
      <c r="B1380" s="1">
        <f ca="1">IFERROR(__xludf.DUMMYFUNCTION("""COMPUTED_VALUE"""),139)</f>
        <v>139</v>
      </c>
      <c r="C1380" s="1">
        <f ca="1">IFERROR(__xludf.DUMMYFUNCTION("""COMPUTED_VALUE"""),139.8)</f>
        <v>139.80000000000001</v>
      </c>
      <c r="D1380" s="1">
        <f ca="1">IFERROR(__xludf.DUMMYFUNCTION("""COMPUTED_VALUE"""),136.05)</f>
        <v>136.05000000000001</v>
      </c>
      <c r="E1380" s="1">
        <f ca="1">IFERROR(__xludf.DUMMYFUNCTION("""COMPUTED_VALUE"""),136.72)</f>
        <v>136.72</v>
      </c>
      <c r="F1380" s="1">
        <f ca="1">IFERROR(__xludf.DUMMYFUNCTION("""COMPUTED_VALUE"""),4526605)</f>
        <v>4526605</v>
      </c>
    </row>
    <row r="1381" spans="1:6" x14ac:dyDescent="0.35">
      <c r="A1381" s="2">
        <f ca="1">IFERROR(__xludf.DUMMYFUNCTION("""COMPUTED_VALUE"""),44007.6666666666)</f>
        <v>44007.666666666599</v>
      </c>
      <c r="B1381" s="1">
        <f ca="1">IFERROR(__xludf.DUMMYFUNCTION("""COMPUTED_VALUE"""),136.98)</f>
        <v>136.97999999999999</v>
      </c>
      <c r="C1381" s="1">
        <f ca="1">IFERROR(__xludf.DUMMYFUNCTION("""COMPUTED_VALUE"""),137.81)</f>
        <v>137.81</v>
      </c>
      <c r="D1381" s="1">
        <f ca="1">IFERROR(__xludf.DUMMYFUNCTION("""COMPUTED_VALUE"""),135.61)</f>
        <v>135.61000000000001</v>
      </c>
      <c r="E1381" s="1">
        <f ca="1">IFERROR(__xludf.DUMMYFUNCTION("""COMPUTED_VALUE"""),137.73)</f>
        <v>137.72999999999999</v>
      </c>
      <c r="F1381" s="1">
        <f ca="1">IFERROR(__xludf.DUMMYFUNCTION("""COMPUTED_VALUE"""),2968657)</f>
        <v>2968657</v>
      </c>
    </row>
    <row r="1382" spans="1:6" x14ac:dyDescent="0.35">
      <c r="A1382" s="2">
        <f ca="1">IFERROR(__xludf.DUMMYFUNCTION("""COMPUTED_VALUE"""),44008.6666666666)</f>
        <v>44008.666666666599</v>
      </c>
      <c r="B1382" s="1">
        <f ca="1">IFERROR(__xludf.DUMMYFUNCTION("""COMPUTED_VALUE"""),138.75)</f>
        <v>138.75</v>
      </c>
      <c r="C1382" s="1">
        <f ca="1">IFERROR(__xludf.DUMMYFUNCTION("""COMPUTED_VALUE"""),139.13)</f>
        <v>139.13</v>
      </c>
      <c r="D1382" s="1">
        <f ca="1">IFERROR(__xludf.DUMMYFUNCTION("""COMPUTED_VALUE"""),134.4)</f>
        <v>134.4</v>
      </c>
      <c r="E1382" s="1">
        <f ca="1">IFERROR(__xludf.DUMMYFUNCTION("""COMPUTED_VALUE"""),134.64)</f>
        <v>134.63999999999999</v>
      </c>
      <c r="F1382" s="1">
        <f ca="1">IFERROR(__xludf.DUMMYFUNCTION("""COMPUTED_VALUE"""),6500784)</f>
        <v>6500784</v>
      </c>
    </row>
    <row r="1383" spans="1:6" x14ac:dyDescent="0.35">
      <c r="A1383" s="2">
        <f ca="1">IFERROR(__xludf.DUMMYFUNCTION("""COMPUTED_VALUE"""),44011.6666666666)</f>
        <v>44011.666666666599</v>
      </c>
      <c r="B1383" s="1">
        <f ca="1">IFERROR(__xludf.DUMMYFUNCTION("""COMPUTED_VALUE"""),134.5)</f>
        <v>134.5</v>
      </c>
      <c r="C1383" s="1">
        <f ca="1">IFERROR(__xludf.DUMMYFUNCTION("""COMPUTED_VALUE"""),134.84)</f>
        <v>134.84</v>
      </c>
      <c r="D1383" s="1">
        <f ca="1">IFERROR(__xludf.DUMMYFUNCTION("""COMPUTED_VALUE"""),131.5)</f>
        <v>131.5</v>
      </c>
      <c r="E1383" s="1">
        <f ca="1">IFERROR(__xludf.DUMMYFUNCTION("""COMPUTED_VALUE"""),134.02)</f>
        <v>134.02000000000001</v>
      </c>
      <c r="F1383" s="1">
        <f ca="1">IFERROR(__xludf.DUMMYFUNCTION("""COMPUTED_VALUE"""),4223422)</f>
        <v>4223422</v>
      </c>
    </row>
    <row r="1384" spans="1:6" x14ac:dyDescent="0.35">
      <c r="A1384" s="2">
        <f ca="1">IFERROR(__xludf.DUMMYFUNCTION("""COMPUTED_VALUE"""),44012.6666666666)</f>
        <v>44012.666666666599</v>
      </c>
      <c r="B1384" s="1">
        <f ca="1">IFERROR(__xludf.DUMMYFUNCTION("""COMPUTED_VALUE"""),134.25)</f>
        <v>134.25</v>
      </c>
      <c r="C1384" s="1">
        <f ca="1">IFERROR(__xludf.DUMMYFUNCTION("""COMPUTED_VALUE"""),138.48)</f>
        <v>138.47999999999999</v>
      </c>
      <c r="D1384" s="1">
        <f ca="1">IFERROR(__xludf.DUMMYFUNCTION("""COMPUTED_VALUE"""),133.75)</f>
        <v>133.75</v>
      </c>
      <c r="E1384" s="1">
        <f ca="1">IFERROR(__xludf.DUMMYFUNCTION("""COMPUTED_VALUE"""),137.94)</f>
        <v>137.94</v>
      </c>
      <c r="F1384" s="1">
        <f ca="1">IFERROR(__xludf.DUMMYFUNCTION("""COMPUTED_VALUE"""),3769686)</f>
        <v>3769686</v>
      </c>
    </row>
    <row r="1385" spans="1:6" x14ac:dyDescent="0.35">
      <c r="A1385" s="2">
        <f ca="1">IFERROR(__xludf.DUMMYFUNCTION("""COMPUTED_VALUE"""),44013.6666666666)</f>
        <v>44013.666666666599</v>
      </c>
      <c r="B1385" s="1">
        <f ca="1">IFERROR(__xludf.DUMMYFUNCTION("""COMPUTED_VALUE"""),137.9)</f>
        <v>137.9</v>
      </c>
      <c r="C1385" s="1">
        <f ca="1">IFERROR(__xludf.DUMMYFUNCTION("""COMPUTED_VALUE"""),144.75)</f>
        <v>144.75</v>
      </c>
      <c r="D1385" s="1">
        <f ca="1">IFERROR(__xludf.DUMMYFUNCTION("""COMPUTED_VALUE"""),137.7)</f>
        <v>137.69999999999999</v>
      </c>
      <c r="E1385" s="1">
        <f ca="1">IFERROR(__xludf.DUMMYFUNCTION("""COMPUTED_VALUE"""),143.94)</f>
        <v>143.94</v>
      </c>
      <c r="F1385" s="1">
        <f ca="1">IFERROR(__xludf.DUMMYFUNCTION("""COMPUTED_VALUE"""),6363439)</f>
        <v>6363439</v>
      </c>
    </row>
    <row r="1386" spans="1:6" x14ac:dyDescent="0.35">
      <c r="A1386" s="2">
        <f ca="1">IFERROR(__xludf.DUMMYFUNCTION("""COMPUTED_VALUE"""),44014.6666666666)</f>
        <v>44014.666666666599</v>
      </c>
      <c r="B1386" s="1">
        <f ca="1">IFERROR(__xludf.DUMMYFUNCTION("""COMPUTED_VALUE"""),145.6)</f>
        <v>145.6</v>
      </c>
      <c r="C1386" s="1">
        <f ca="1">IFERROR(__xludf.DUMMYFUNCTION("""COMPUTED_VALUE"""),147.78)</f>
        <v>147.78</v>
      </c>
      <c r="D1386" s="1">
        <f ca="1">IFERROR(__xludf.DUMMYFUNCTION("""COMPUTED_VALUE"""),143.56)</f>
        <v>143.56</v>
      </c>
      <c r="E1386" s="1">
        <f ca="1">IFERROR(__xludf.DUMMYFUNCTION("""COMPUTED_VALUE"""),144.51)</f>
        <v>144.51</v>
      </c>
      <c r="F1386" s="1">
        <f ca="1">IFERROR(__xludf.DUMMYFUNCTION("""COMPUTED_VALUE"""),6593387)</f>
        <v>6593387</v>
      </c>
    </row>
    <row r="1387" spans="1:6" x14ac:dyDescent="0.35">
      <c r="A1387" s="2">
        <f ca="1">IFERROR(__xludf.DUMMYFUNCTION("""COMPUTED_VALUE"""),44018.6666666666)</f>
        <v>44018.666666666599</v>
      </c>
      <c r="B1387" s="1">
        <f ca="1">IFERROR(__xludf.DUMMYFUNCTION("""COMPUTED_VALUE"""),146.75)</f>
        <v>146.75</v>
      </c>
      <c r="C1387" s="1">
        <f ca="1">IFERROR(__xludf.DUMMYFUNCTION("""COMPUTED_VALUE"""),152.99)</f>
        <v>152.99</v>
      </c>
      <c r="D1387" s="1">
        <f ca="1">IFERROR(__xludf.DUMMYFUNCTION("""COMPUTED_VALUE"""),146.5)</f>
        <v>146.5</v>
      </c>
      <c r="E1387" s="1">
        <f ca="1">IFERROR(__xludf.DUMMYFUNCTION("""COMPUTED_VALUE"""),152.85)</f>
        <v>152.85</v>
      </c>
      <c r="F1387" s="1">
        <f ca="1">IFERROR(__xludf.DUMMYFUNCTION("""COMPUTED_VALUE"""),6880642)</f>
        <v>6880642</v>
      </c>
    </row>
    <row r="1388" spans="1:6" x14ac:dyDescent="0.35">
      <c r="A1388" s="2">
        <f ca="1">IFERROR(__xludf.DUMMYFUNCTION("""COMPUTED_VALUE"""),44019.6666666666)</f>
        <v>44019.666666666599</v>
      </c>
      <c r="B1388" s="1">
        <f ca="1">IFERROR(__xludf.DUMMYFUNCTION("""COMPUTED_VALUE"""),152.93)</f>
        <v>152.93</v>
      </c>
      <c r="C1388" s="1">
        <f ca="1">IFERROR(__xludf.DUMMYFUNCTION("""COMPUTED_VALUE"""),153.48)</f>
        <v>153.47999999999999</v>
      </c>
      <c r="D1388" s="1">
        <f ca="1">IFERROR(__xludf.DUMMYFUNCTION("""COMPUTED_VALUE"""),149.5)</f>
        <v>149.5</v>
      </c>
      <c r="E1388" s="1">
        <f ca="1">IFERROR(__xludf.DUMMYFUNCTION("""COMPUTED_VALUE"""),150.01)</f>
        <v>150.01</v>
      </c>
      <c r="F1388" s="1">
        <f ca="1">IFERROR(__xludf.DUMMYFUNCTION("""COMPUTED_VALUE"""),5257514)</f>
        <v>5257514</v>
      </c>
    </row>
    <row r="1389" spans="1:6" x14ac:dyDescent="0.35">
      <c r="A1389" s="2">
        <f ca="1">IFERROR(__xludf.DUMMYFUNCTION("""COMPUTED_VALUE"""),44020.6666666666)</f>
        <v>44020.666666666599</v>
      </c>
      <c r="B1389" s="1">
        <f ca="1">IFERROR(__xludf.DUMMYFUNCTION("""COMPUTED_VALUE"""),151.13)</f>
        <v>151.13</v>
      </c>
      <c r="C1389" s="1">
        <f ca="1">IFERROR(__xludf.DUMMYFUNCTION("""COMPUTED_VALUE"""),154.2)</f>
        <v>154.19999999999999</v>
      </c>
      <c r="D1389" s="1">
        <f ca="1">IFERROR(__xludf.DUMMYFUNCTION("""COMPUTED_VALUE"""),150.62)</f>
        <v>150.62</v>
      </c>
      <c r="E1389" s="1">
        <f ca="1">IFERROR(__xludf.DUMMYFUNCTION("""COMPUTED_VALUE"""),154.06)</f>
        <v>154.06</v>
      </c>
      <c r="F1389" s="1">
        <f ca="1">IFERROR(__xludf.DUMMYFUNCTION("""COMPUTED_VALUE"""),5037635)</f>
        <v>5037635</v>
      </c>
    </row>
    <row r="1390" spans="1:6" x14ac:dyDescent="0.35">
      <c r="A1390" s="2">
        <f ca="1">IFERROR(__xludf.DUMMYFUNCTION("""COMPUTED_VALUE"""),44021.6666666666)</f>
        <v>44021.666666666599</v>
      </c>
      <c r="B1390" s="1">
        <f ca="1">IFERROR(__xludf.DUMMYFUNCTION("""COMPUTED_VALUE"""),155.8)</f>
        <v>155.80000000000001</v>
      </c>
      <c r="C1390" s="1">
        <f ca="1">IFERROR(__xludf.DUMMYFUNCTION("""COMPUTED_VALUE"""),159.69)</f>
        <v>159.69</v>
      </c>
      <c r="D1390" s="1">
        <f ca="1">IFERROR(__xludf.DUMMYFUNCTION("""COMPUTED_VALUE"""),153.7)</f>
        <v>153.69999999999999</v>
      </c>
      <c r="E1390" s="1">
        <f ca="1">IFERROR(__xludf.DUMMYFUNCTION("""COMPUTED_VALUE"""),159.13)</f>
        <v>159.13</v>
      </c>
      <c r="F1390" s="1">
        <f ca="1">IFERROR(__xludf.DUMMYFUNCTION("""COMPUTED_VALUE"""),6388659)</f>
        <v>6388659</v>
      </c>
    </row>
    <row r="1391" spans="1:6" x14ac:dyDescent="0.35">
      <c r="A1391" s="2">
        <f ca="1">IFERROR(__xludf.DUMMYFUNCTION("""COMPUTED_VALUE"""),44022.6666666666)</f>
        <v>44022.666666666599</v>
      </c>
      <c r="B1391" s="1">
        <f ca="1">IFERROR(__xludf.DUMMYFUNCTION("""COMPUTED_VALUE"""),159.59)</f>
        <v>159.59</v>
      </c>
      <c r="C1391" s="1">
        <f ca="1">IFERROR(__xludf.DUMMYFUNCTION("""COMPUTED_VALUE"""),160.75)</f>
        <v>160.75</v>
      </c>
      <c r="D1391" s="1">
        <f ca="1">IFERROR(__xludf.DUMMYFUNCTION("""COMPUTED_VALUE"""),156.79)</f>
        <v>156.79</v>
      </c>
      <c r="E1391" s="1">
        <f ca="1">IFERROR(__xludf.DUMMYFUNCTION("""COMPUTED_VALUE"""),160)</f>
        <v>160</v>
      </c>
      <c r="F1391" s="1">
        <f ca="1">IFERROR(__xludf.DUMMYFUNCTION("""COMPUTED_VALUE"""),5485982)</f>
        <v>5485982</v>
      </c>
    </row>
    <row r="1392" spans="1:6" x14ac:dyDescent="0.35">
      <c r="A1392" s="2">
        <f ca="1">IFERROR(__xludf.DUMMYFUNCTION("""COMPUTED_VALUE"""),44025.6666666666)</f>
        <v>44025.666666666599</v>
      </c>
      <c r="B1392" s="1">
        <f ca="1">IFERROR(__xludf.DUMMYFUNCTION("""COMPUTED_VALUE"""),162.55)</f>
        <v>162.55000000000001</v>
      </c>
      <c r="C1392" s="1">
        <f ca="1">IFERROR(__xludf.DUMMYFUNCTION("""COMPUTED_VALUE"""),167.21)</f>
        <v>167.21</v>
      </c>
      <c r="D1392" s="1">
        <f ca="1">IFERROR(__xludf.DUMMYFUNCTION("""COMPUTED_VALUE"""),153.42)</f>
        <v>153.41999999999999</v>
      </c>
      <c r="E1392" s="1">
        <f ca="1">IFERROR(__xludf.DUMMYFUNCTION("""COMPUTED_VALUE"""),155.2)</f>
        <v>155.19999999999999</v>
      </c>
      <c r="F1392" s="1">
        <f ca="1">IFERROR(__xludf.DUMMYFUNCTION("""COMPUTED_VALUE"""),7720420)</f>
        <v>7720420</v>
      </c>
    </row>
    <row r="1393" spans="1:6" x14ac:dyDescent="0.35">
      <c r="A1393" s="2">
        <f ca="1">IFERROR(__xludf.DUMMYFUNCTION("""COMPUTED_VALUE"""),44026.6666666666)</f>
        <v>44026.666666666599</v>
      </c>
      <c r="B1393" s="1">
        <f ca="1">IFERROR(__xludf.DUMMYFUNCTION("""COMPUTED_VALUE"""),154.45)</f>
        <v>154.44999999999999</v>
      </c>
      <c r="C1393" s="1">
        <f ca="1">IFERROR(__xludf.DUMMYFUNCTION("""COMPUTED_VALUE"""),156.37)</f>
        <v>156.37</v>
      </c>
      <c r="D1393" s="1">
        <f ca="1">IFERROR(__xludf.DUMMYFUNCTION("""COMPUTED_VALUE"""),147.5)</f>
        <v>147.5</v>
      </c>
      <c r="E1393" s="1">
        <f ca="1">IFERROR(__xludf.DUMMYFUNCTION("""COMPUTED_VALUE"""),154.2)</f>
        <v>154.19999999999999</v>
      </c>
      <c r="F1393" s="1">
        <f ca="1">IFERROR(__xludf.DUMMYFUNCTION("""COMPUTED_VALUE"""),7231933)</f>
        <v>7231933</v>
      </c>
    </row>
    <row r="1394" spans="1:6" x14ac:dyDescent="0.35">
      <c r="A1394" s="2">
        <f ca="1">IFERROR(__xludf.DUMMYFUNCTION("""COMPUTED_VALUE"""),44027.6666666666)</f>
        <v>44027.666666666599</v>
      </c>
      <c r="B1394" s="1">
        <f ca="1">IFERROR(__xludf.DUMMYFUNCTION("""COMPUTED_VALUE"""),154.01)</f>
        <v>154.01</v>
      </c>
      <c r="C1394" s="1">
        <f ca="1">IFERROR(__xludf.DUMMYFUNCTION("""COMPUTED_VALUE"""),154.92)</f>
        <v>154.91999999999999</v>
      </c>
      <c r="D1394" s="1">
        <f ca="1">IFERROR(__xludf.DUMMYFUNCTION("""COMPUTED_VALUE"""),148.66)</f>
        <v>148.66</v>
      </c>
      <c r="E1394" s="1">
        <f ca="1">IFERROR(__xludf.DUMMYFUNCTION("""COMPUTED_VALUE"""),150.44)</f>
        <v>150.44</v>
      </c>
      <c r="F1394" s="1">
        <f ca="1">IFERROR(__xludf.DUMMYFUNCTION("""COMPUTED_VALUE"""),5788874)</f>
        <v>5788874</v>
      </c>
    </row>
    <row r="1395" spans="1:6" x14ac:dyDescent="0.35">
      <c r="A1395" s="2">
        <f ca="1">IFERROR(__xludf.DUMMYFUNCTION("""COMPUTED_VALUE"""),44028.6666666666)</f>
        <v>44028.666666666599</v>
      </c>
      <c r="B1395" s="1">
        <f ca="1">IFERROR(__xludf.DUMMYFUNCTION("""COMPUTED_VALUE"""),148.55)</f>
        <v>148.55000000000001</v>
      </c>
      <c r="C1395" s="1">
        <f ca="1">IFERROR(__xludf.DUMMYFUNCTION("""COMPUTED_VALUE"""),151.6)</f>
        <v>151.6</v>
      </c>
      <c r="D1395" s="1">
        <f ca="1">IFERROR(__xludf.DUMMYFUNCTION("""COMPUTED_VALUE"""),145.91)</f>
        <v>145.91</v>
      </c>
      <c r="E1395" s="1">
        <f ca="1">IFERROR(__xludf.DUMMYFUNCTION("""COMPUTED_VALUE"""),150)</f>
        <v>150</v>
      </c>
      <c r="F1395" s="1">
        <f ca="1">IFERROR(__xludf.DUMMYFUNCTION("""COMPUTED_VALUE"""),6394246)</f>
        <v>6394246</v>
      </c>
    </row>
    <row r="1396" spans="1:6" x14ac:dyDescent="0.35">
      <c r="A1396" s="2">
        <f ca="1">IFERROR(__xludf.DUMMYFUNCTION("""COMPUTED_VALUE"""),44029.6666666666)</f>
        <v>44029.666666666599</v>
      </c>
      <c r="B1396" s="1">
        <f ca="1">IFERROR(__xludf.DUMMYFUNCTION("""COMPUTED_VALUE"""),150.45)</f>
        <v>150.44999999999999</v>
      </c>
      <c r="C1396" s="1">
        <f ca="1">IFERROR(__xludf.DUMMYFUNCTION("""COMPUTED_VALUE"""),151.2)</f>
        <v>151.19999999999999</v>
      </c>
      <c r="D1396" s="1">
        <f ca="1">IFERROR(__xludf.DUMMYFUNCTION("""COMPUTED_VALUE"""),147.42)</f>
        <v>147.41999999999999</v>
      </c>
      <c r="E1396" s="1">
        <f ca="1">IFERROR(__xludf.DUMMYFUNCTION("""COMPUTED_VALUE"""),148.1)</f>
        <v>148.1</v>
      </c>
      <c r="F1396" s="1">
        <f ca="1">IFERROR(__xludf.DUMMYFUNCTION("""COMPUTED_VALUE"""),4761319)</f>
        <v>4761319</v>
      </c>
    </row>
    <row r="1397" spans="1:6" x14ac:dyDescent="0.35">
      <c r="A1397" s="2">
        <f ca="1">IFERROR(__xludf.DUMMYFUNCTION("""COMPUTED_VALUE"""),44032.6666666666)</f>
        <v>44032.666666666599</v>
      </c>
      <c r="B1397" s="1">
        <f ca="1">IFERROR(__xludf.DUMMYFUNCTION("""COMPUTED_VALUE"""),150.01)</f>
        <v>150.01</v>
      </c>
      <c r="C1397" s="1">
        <f ca="1">IFERROR(__xludf.DUMMYFUNCTION("""COMPUTED_VALUE"""),160.07)</f>
        <v>160.07</v>
      </c>
      <c r="D1397" s="1">
        <f ca="1">IFERROR(__xludf.DUMMYFUNCTION("""COMPUTED_VALUE"""),149.7)</f>
        <v>149.69999999999999</v>
      </c>
      <c r="E1397" s="1">
        <f ca="1">IFERROR(__xludf.DUMMYFUNCTION("""COMPUTED_VALUE"""),159.84)</f>
        <v>159.84</v>
      </c>
      <c r="F1397" s="1">
        <f ca="1">IFERROR(__xludf.DUMMYFUNCTION("""COMPUTED_VALUE"""),7598176)</f>
        <v>7598176</v>
      </c>
    </row>
    <row r="1398" spans="1:6" x14ac:dyDescent="0.35">
      <c r="A1398" s="2">
        <f ca="1">IFERROR(__xludf.DUMMYFUNCTION("""COMPUTED_VALUE"""),44033.6666666666)</f>
        <v>44033.666666666599</v>
      </c>
      <c r="B1398" s="1">
        <f ca="1">IFERROR(__xludf.DUMMYFUNCTION("""COMPUTED_VALUE"""),161.62)</f>
        <v>161.62</v>
      </c>
      <c r="C1398" s="1">
        <f ca="1">IFERROR(__xludf.DUMMYFUNCTION("""COMPUTED_VALUE"""),162.03)</f>
        <v>162.03</v>
      </c>
      <c r="D1398" s="1">
        <f ca="1">IFERROR(__xludf.DUMMYFUNCTION("""COMPUTED_VALUE"""),155.29)</f>
        <v>155.29</v>
      </c>
      <c r="E1398" s="1">
        <f ca="1">IFERROR(__xludf.DUMMYFUNCTION("""COMPUTED_VALUE"""),156.91)</f>
        <v>156.91</v>
      </c>
      <c r="F1398" s="1">
        <f ca="1">IFERROR(__xludf.DUMMYFUNCTION("""COMPUTED_VALUE"""),6134965)</f>
        <v>6134965</v>
      </c>
    </row>
    <row r="1399" spans="1:6" x14ac:dyDescent="0.35">
      <c r="A1399" s="2">
        <f ca="1">IFERROR(__xludf.DUMMYFUNCTION("""COMPUTED_VALUE"""),44034.6666666666)</f>
        <v>44034.666666666599</v>
      </c>
      <c r="B1399" s="1">
        <f ca="1">IFERROR(__xludf.DUMMYFUNCTION("""COMPUTED_VALUE"""),156.25)</f>
        <v>156.25</v>
      </c>
      <c r="C1399" s="1">
        <f ca="1">IFERROR(__xludf.DUMMYFUNCTION("""COMPUTED_VALUE"""),157.5)</f>
        <v>157.5</v>
      </c>
      <c r="D1399" s="1">
        <f ca="1">IFERROR(__xludf.DUMMYFUNCTION("""COMPUTED_VALUE"""),153.26)</f>
        <v>153.26</v>
      </c>
      <c r="E1399" s="1">
        <f ca="1">IFERROR(__xludf.DUMMYFUNCTION("""COMPUTED_VALUE"""),155)</f>
        <v>155</v>
      </c>
      <c r="F1399" s="1">
        <f ca="1">IFERROR(__xludf.DUMMYFUNCTION("""COMPUTED_VALUE"""),4104225)</f>
        <v>4104225</v>
      </c>
    </row>
    <row r="1400" spans="1:6" x14ac:dyDescent="0.35">
      <c r="A1400" s="2">
        <f ca="1">IFERROR(__xludf.DUMMYFUNCTION("""COMPUTED_VALUE"""),44035.6666666666)</f>
        <v>44035.666666666599</v>
      </c>
      <c r="B1400" s="1">
        <f ca="1">IFERROR(__xludf.DUMMYFUNCTION("""COMPUTED_VALUE"""),154.91)</f>
        <v>154.91</v>
      </c>
      <c r="C1400" s="1">
        <f ca="1">IFERROR(__xludf.DUMMYFUNCTION("""COMPUTED_VALUE"""),154.91)</f>
        <v>154.91</v>
      </c>
      <c r="D1400" s="1">
        <f ca="1">IFERROR(__xludf.DUMMYFUNCTION("""COMPUTED_VALUE"""),148.5)</f>
        <v>148.5</v>
      </c>
      <c r="E1400" s="1">
        <f ca="1">IFERROR(__xludf.DUMMYFUNCTION("""COMPUTED_VALUE"""),149.33)</f>
        <v>149.33000000000001</v>
      </c>
      <c r="F1400" s="1">
        <f ca="1">IFERROR(__xludf.DUMMYFUNCTION("""COMPUTED_VALUE"""),5656906)</f>
        <v>5656906</v>
      </c>
    </row>
    <row r="1401" spans="1:6" x14ac:dyDescent="0.35">
      <c r="A1401" s="2">
        <f ca="1">IFERROR(__xludf.DUMMYFUNCTION("""COMPUTED_VALUE"""),44036.6666666666)</f>
        <v>44036.666666666599</v>
      </c>
      <c r="B1401" s="1">
        <f ca="1">IFERROR(__xludf.DUMMYFUNCTION("""COMPUTED_VALUE"""),146.5)</f>
        <v>146.5</v>
      </c>
      <c r="C1401" s="1">
        <f ca="1">IFERROR(__xludf.DUMMYFUNCTION("""COMPUTED_VALUE"""),151.58)</f>
        <v>151.58000000000001</v>
      </c>
      <c r="D1401" s="1">
        <f ca="1">IFERROR(__xludf.DUMMYFUNCTION("""COMPUTED_VALUE"""),144.4)</f>
        <v>144.4</v>
      </c>
      <c r="E1401" s="1">
        <f ca="1">IFERROR(__xludf.DUMMYFUNCTION("""COMPUTED_VALUE"""),150.45)</f>
        <v>150.44999999999999</v>
      </c>
      <c r="F1401" s="1">
        <f ca="1">IFERROR(__xludf.DUMMYFUNCTION("""COMPUTED_VALUE"""),5632413)</f>
        <v>5632413</v>
      </c>
    </row>
    <row r="1402" spans="1:6" x14ac:dyDescent="0.35">
      <c r="A1402" s="2">
        <f ca="1">IFERROR(__xludf.DUMMYFUNCTION("""COMPUTED_VALUE"""),44039.6666666666)</f>
        <v>44039.666666666599</v>
      </c>
      <c r="B1402" s="1">
        <f ca="1">IFERROR(__xludf.DUMMYFUNCTION("""COMPUTED_VALUE"""),153.1)</f>
        <v>153.1</v>
      </c>
      <c r="C1402" s="1">
        <f ca="1">IFERROR(__xludf.DUMMYFUNCTION("""COMPUTED_VALUE"""),154.9)</f>
        <v>154.9</v>
      </c>
      <c r="D1402" s="1">
        <f ca="1">IFERROR(__xludf.DUMMYFUNCTION("""COMPUTED_VALUE"""),150.79)</f>
        <v>150.79</v>
      </c>
      <c r="E1402" s="1">
        <f ca="1">IFERROR(__xludf.DUMMYFUNCTION("""COMPUTED_VALUE"""),152.76)</f>
        <v>152.76</v>
      </c>
      <c r="F1402" s="1">
        <f ca="1">IFERROR(__xludf.DUMMYFUNCTION("""COMPUTED_VALUE"""),4170492)</f>
        <v>4170492</v>
      </c>
    </row>
    <row r="1403" spans="1:6" x14ac:dyDescent="0.35">
      <c r="A1403" s="2">
        <f ca="1">IFERROR(__xludf.DUMMYFUNCTION("""COMPUTED_VALUE"""),44040.6666666666)</f>
        <v>44040.666666666599</v>
      </c>
      <c r="B1403" s="1">
        <f ca="1">IFERROR(__xludf.DUMMYFUNCTION("""COMPUTED_VALUE"""),152.71)</f>
        <v>152.71</v>
      </c>
      <c r="C1403" s="1">
        <f ca="1">IFERROR(__xludf.DUMMYFUNCTION("""COMPUTED_VALUE"""),153.85)</f>
        <v>153.85</v>
      </c>
      <c r="D1403" s="1">
        <f ca="1">IFERROR(__xludf.DUMMYFUNCTION("""COMPUTED_VALUE"""),149.79)</f>
        <v>149.79</v>
      </c>
      <c r="E1403" s="1">
        <f ca="1">IFERROR(__xludf.DUMMYFUNCTION("""COMPUTED_VALUE"""),150.02)</f>
        <v>150.02000000000001</v>
      </c>
      <c r="F1403" s="1">
        <f ca="1">IFERROR(__xludf.DUMMYFUNCTION("""COMPUTED_VALUE"""),3126651)</f>
        <v>3126651</v>
      </c>
    </row>
    <row r="1404" spans="1:6" x14ac:dyDescent="0.35">
      <c r="A1404" s="2">
        <f ca="1">IFERROR(__xludf.DUMMYFUNCTION("""COMPUTED_VALUE"""),44041.6666666666)</f>
        <v>44041.666666666599</v>
      </c>
      <c r="B1404" s="1">
        <f ca="1">IFERROR(__xludf.DUMMYFUNCTION("""COMPUTED_VALUE"""),151.55)</f>
        <v>151.55000000000001</v>
      </c>
      <c r="C1404" s="1">
        <f ca="1">IFERROR(__xludf.DUMMYFUNCTION("""COMPUTED_VALUE"""),151.96)</f>
        <v>151.96</v>
      </c>
      <c r="D1404" s="1">
        <f ca="1">IFERROR(__xludf.DUMMYFUNCTION("""COMPUTED_VALUE"""),149.84)</f>
        <v>149.84</v>
      </c>
      <c r="E1404" s="1">
        <f ca="1">IFERROR(__xludf.DUMMYFUNCTION("""COMPUTED_VALUE"""),151.68)</f>
        <v>151.68</v>
      </c>
      <c r="F1404" s="1">
        <f ca="1">IFERROR(__xludf.DUMMYFUNCTION("""COMPUTED_VALUE"""),2974060)</f>
        <v>2974060</v>
      </c>
    </row>
    <row r="1405" spans="1:6" x14ac:dyDescent="0.35">
      <c r="A1405" s="2">
        <f ca="1">IFERROR(__xludf.DUMMYFUNCTION("""COMPUTED_VALUE"""),44042.6666666666)</f>
        <v>44042.666666666599</v>
      </c>
      <c r="B1405" s="1">
        <f ca="1">IFERROR(__xludf.DUMMYFUNCTION("""COMPUTED_VALUE"""),150.7)</f>
        <v>150.69999999999999</v>
      </c>
      <c r="C1405" s="1">
        <f ca="1">IFERROR(__xludf.DUMMYFUNCTION("""COMPUTED_VALUE"""),154.6)</f>
        <v>154.6</v>
      </c>
      <c r="D1405" s="1">
        <f ca="1">IFERROR(__xludf.DUMMYFUNCTION("""COMPUTED_VALUE"""),150.25)</f>
        <v>150.25</v>
      </c>
      <c r="E1405" s="1">
        <f ca="1">IFERROR(__xludf.DUMMYFUNCTION("""COMPUTED_VALUE"""),152.59)</f>
        <v>152.59</v>
      </c>
      <c r="F1405" s="1">
        <f ca="1">IFERROR(__xludf.DUMMYFUNCTION("""COMPUTED_VALUE"""),6128265)</f>
        <v>6128265</v>
      </c>
    </row>
    <row r="1406" spans="1:6" x14ac:dyDescent="0.35">
      <c r="A1406" s="2">
        <f ca="1">IFERROR(__xludf.DUMMYFUNCTION("""COMPUTED_VALUE"""),44043.6666666666)</f>
        <v>44043.666666666599</v>
      </c>
      <c r="B1406" s="1">
        <f ca="1">IFERROR(__xludf.DUMMYFUNCTION("""COMPUTED_VALUE"""),162.2)</f>
        <v>162.19999999999999</v>
      </c>
      <c r="C1406" s="1">
        <f ca="1">IFERROR(__xludf.DUMMYFUNCTION("""COMPUTED_VALUE"""),162.34)</f>
        <v>162.34</v>
      </c>
      <c r="D1406" s="1">
        <f ca="1">IFERROR(__xludf.DUMMYFUNCTION("""COMPUTED_VALUE"""),157.55)</f>
        <v>157.55000000000001</v>
      </c>
      <c r="E1406" s="1">
        <f ca="1">IFERROR(__xludf.DUMMYFUNCTION("""COMPUTED_VALUE"""),158.23)</f>
        <v>158.22999999999999</v>
      </c>
      <c r="F1406" s="1">
        <f ca="1">IFERROR(__xludf.DUMMYFUNCTION("""COMPUTED_VALUE"""),8083369)</f>
        <v>8083369</v>
      </c>
    </row>
    <row r="1407" spans="1:6" x14ac:dyDescent="0.35">
      <c r="A1407" s="2">
        <f ca="1">IFERROR(__xludf.DUMMYFUNCTION("""COMPUTED_VALUE"""),44046.6666666666)</f>
        <v>44046.666666666599</v>
      </c>
      <c r="B1407" s="1">
        <f ca="1">IFERROR(__xludf.DUMMYFUNCTION("""COMPUTED_VALUE"""),159.03)</f>
        <v>159.03</v>
      </c>
      <c r="C1407" s="1">
        <f ca="1">IFERROR(__xludf.DUMMYFUNCTION("""COMPUTED_VALUE"""),159.2)</f>
        <v>159.19999999999999</v>
      </c>
      <c r="D1407" s="1">
        <f ca="1">IFERROR(__xludf.DUMMYFUNCTION("""COMPUTED_VALUE"""),155.2)</f>
        <v>155.19999999999999</v>
      </c>
      <c r="E1407" s="1">
        <f ca="1">IFERROR(__xludf.DUMMYFUNCTION("""COMPUTED_VALUE"""),155.59)</f>
        <v>155.59</v>
      </c>
      <c r="F1407" s="1">
        <f ca="1">IFERROR(__xludf.DUMMYFUNCTION("""COMPUTED_VALUE"""),5074663)</f>
        <v>5074663</v>
      </c>
    </row>
    <row r="1408" spans="1:6" x14ac:dyDescent="0.35">
      <c r="A1408" s="2">
        <f ca="1">IFERROR(__xludf.DUMMYFUNCTION("""COMPUTED_VALUE"""),44047.6666666666)</f>
        <v>44047.666666666599</v>
      </c>
      <c r="B1408" s="1">
        <f ca="1">IFERROR(__xludf.DUMMYFUNCTION("""COMPUTED_VALUE"""),155.06)</f>
        <v>155.06</v>
      </c>
      <c r="C1408" s="1">
        <f ca="1">IFERROR(__xludf.DUMMYFUNCTION("""COMPUTED_VALUE"""),158.36)</f>
        <v>158.36000000000001</v>
      </c>
      <c r="D1408" s="1">
        <f ca="1">IFERROR(__xludf.DUMMYFUNCTION("""COMPUTED_VALUE"""),155.06)</f>
        <v>155.06</v>
      </c>
      <c r="E1408" s="1">
        <f ca="1">IFERROR(__xludf.DUMMYFUNCTION("""COMPUTED_VALUE"""),156.94)</f>
        <v>156.94</v>
      </c>
      <c r="F1408" s="1">
        <f ca="1">IFERROR(__xludf.DUMMYFUNCTION("""COMPUTED_VALUE"""),4694294)</f>
        <v>4694294</v>
      </c>
    </row>
    <row r="1409" spans="1:6" x14ac:dyDescent="0.35">
      <c r="A1409" s="2">
        <f ca="1">IFERROR(__xludf.DUMMYFUNCTION("""COMPUTED_VALUE"""),44048.6666666666)</f>
        <v>44048.666666666599</v>
      </c>
      <c r="B1409" s="1">
        <f ca="1">IFERROR(__xludf.DUMMYFUNCTION("""COMPUTED_VALUE"""),157.19)</f>
        <v>157.19</v>
      </c>
      <c r="C1409" s="1">
        <f ca="1">IFERROR(__xludf.DUMMYFUNCTION("""COMPUTED_VALUE"""),160.68)</f>
        <v>160.68</v>
      </c>
      <c r="D1409" s="1">
        <f ca="1">IFERROR(__xludf.DUMMYFUNCTION("""COMPUTED_VALUE"""),156.37)</f>
        <v>156.37</v>
      </c>
      <c r="E1409" s="1">
        <f ca="1">IFERROR(__xludf.DUMMYFUNCTION("""COMPUTED_VALUE"""),160.25)</f>
        <v>160.25</v>
      </c>
      <c r="F1409" s="1">
        <f ca="1">IFERROR(__xludf.DUMMYFUNCTION("""COMPUTED_VALUE"""),3930025)</f>
        <v>3930025</v>
      </c>
    </row>
    <row r="1410" spans="1:6" x14ac:dyDescent="0.35">
      <c r="A1410" s="2">
        <f ca="1">IFERROR(__xludf.DUMMYFUNCTION("""COMPUTED_VALUE"""),44049.6666666666)</f>
        <v>44049.666666666599</v>
      </c>
      <c r="B1410" s="1">
        <f ca="1">IFERROR(__xludf.DUMMYFUNCTION("""COMPUTED_VALUE"""),159.72)</f>
        <v>159.72</v>
      </c>
      <c r="C1410" s="1">
        <f ca="1">IFERROR(__xludf.DUMMYFUNCTION("""COMPUTED_VALUE"""),162.37)</f>
        <v>162.37</v>
      </c>
      <c r="D1410" s="1">
        <f ca="1">IFERROR(__xludf.DUMMYFUNCTION("""COMPUTED_VALUE"""),158.27)</f>
        <v>158.27000000000001</v>
      </c>
      <c r="E1410" s="1">
        <f ca="1">IFERROR(__xludf.DUMMYFUNCTION("""COMPUTED_VALUE"""),161.25)</f>
        <v>161.25</v>
      </c>
      <c r="F1410" s="1">
        <f ca="1">IFERROR(__xludf.DUMMYFUNCTION("""COMPUTED_VALUE"""),3940602)</f>
        <v>3940602</v>
      </c>
    </row>
    <row r="1411" spans="1:6" x14ac:dyDescent="0.35">
      <c r="A1411" s="2">
        <f ca="1">IFERROR(__xludf.DUMMYFUNCTION("""COMPUTED_VALUE"""),44050.6666666666)</f>
        <v>44050.666666666599</v>
      </c>
      <c r="B1411" s="1">
        <f ca="1">IFERROR(__xludf.DUMMYFUNCTION("""COMPUTED_VALUE"""),161.2)</f>
        <v>161.19999999999999</v>
      </c>
      <c r="C1411" s="1">
        <f ca="1">IFERROR(__xludf.DUMMYFUNCTION("""COMPUTED_VALUE"""),162.04)</f>
        <v>162.04</v>
      </c>
      <c r="D1411" s="1">
        <f ca="1">IFERROR(__xludf.DUMMYFUNCTION("""COMPUTED_VALUE"""),157.03)</f>
        <v>157.03</v>
      </c>
      <c r="E1411" s="1">
        <f ca="1">IFERROR(__xludf.DUMMYFUNCTION("""COMPUTED_VALUE"""),158.37)</f>
        <v>158.37</v>
      </c>
      <c r="F1411" s="1">
        <f ca="1">IFERROR(__xludf.DUMMYFUNCTION("""COMPUTED_VALUE"""),3936127)</f>
        <v>3936127</v>
      </c>
    </row>
    <row r="1412" spans="1:6" x14ac:dyDescent="0.35">
      <c r="A1412" s="2">
        <f ca="1">IFERROR(__xludf.DUMMYFUNCTION("""COMPUTED_VALUE"""),44053.6666666666)</f>
        <v>44053.666666666599</v>
      </c>
      <c r="B1412" s="1">
        <f ca="1">IFERROR(__xludf.DUMMYFUNCTION("""COMPUTED_VALUE"""),158.52)</f>
        <v>158.52000000000001</v>
      </c>
      <c r="C1412" s="1">
        <f ca="1">IFERROR(__xludf.DUMMYFUNCTION("""COMPUTED_VALUE"""),158.63)</f>
        <v>158.63</v>
      </c>
      <c r="D1412" s="1">
        <f ca="1">IFERROR(__xludf.DUMMYFUNCTION("""COMPUTED_VALUE"""),155.08)</f>
        <v>155.08000000000001</v>
      </c>
      <c r="E1412" s="1">
        <f ca="1">IFERROR(__xludf.DUMMYFUNCTION("""COMPUTED_VALUE"""),157.41)</f>
        <v>157.41</v>
      </c>
      <c r="F1412" s="1">
        <f ca="1">IFERROR(__xludf.DUMMYFUNCTION("""COMPUTED_VALUE"""),3167274)</f>
        <v>3167274</v>
      </c>
    </row>
    <row r="1413" spans="1:6" x14ac:dyDescent="0.35">
      <c r="A1413" s="2">
        <f ca="1">IFERROR(__xludf.DUMMYFUNCTION("""COMPUTED_VALUE"""),44054.6666666666)</f>
        <v>44054.666666666599</v>
      </c>
      <c r="B1413" s="1">
        <f ca="1">IFERROR(__xludf.DUMMYFUNCTION("""COMPUTED_VALUE"""),155.66)</f>
        <v>155.66</v>
      </c>
      <c r="C1413" s="1">
        <f ca="1">IFERROR(__xludf.DUMMYFUNCTION("""COMPUTED_VALUE"""),157.96)</f>
        <v>157.96</v>
      </c>
      <c r="D1413" s="1">
        <f ca="1">IFERROR(__xludf.DUMMYFUNCTION("""COMPUTED_VALUE"""),153.65)</f>
        <v>153.65</v>
      </c>
      <c r="E1413" s="1">
        <f ca="1">IFERROR(__xludf.DUMMYFUNCTION("""COMPUTED_VALUE"""),154.03)</f>
        <v>154.03</v>
      </c>
      <c r="F1413" s="1">
        <f ca="1">IFERROR(__xludf.DUMMYFUNCTION("""COMPUTED_VALUE"""),3718057)</f>
        <v>3718057</v>
      </c>
    </row>
    <row r="1414" spans="1:6" x14ac:dyDescent="0.35">
      <c r="A1414" s="2">
        <f ca="1">IFERROR(__xludf.DUMMYFUNCTION("""COMPUTED_VALUE"""),44055.6666666666)</f>
        <v>44055.666666666599</v>
      </c>
      <c r="B1414" s="1">
        <f ca="1">IFERROR(__xludf.DUMMYFUNCTION("""COMPUTED_VALUE"""),155.4)</f>
        <v>155.4</v>
      </c>
      <c r="C1414" s="1">
        <f ca="1">IFERROR(__xludf.DUMMYFUNCTION("""COMPUTED_VALUE"""),158.72)</f>
        <v>158.72</v>
      </c>
      <c r="D1414" s="1">
        <f ca="1">IFERROR(__xludf.DUMMYFUNCTION("""COMPUTED_VALUE"""),155.07)</f>
        <v>155.07</v>
      </c>
      <c r="E1414" s="1">
        <f ca="1">IFERROR(__xludf.DUMMYFUNCTION("""COMPUTED_VALUE"""),158.11)</f>
        <v>158.11000000000001</v>
      </c>
      <c r="F1414" s="1">
        <f ca="1">IFERROR(__xludf.DUMMYFUNCTION("""COMPUTED_VALUE"""),3527229)</f>
        <v>3527229</v>
      </c>
    </row>
    <row r="1415" spans="1:6" x14ac:dyDescent="0.35">
      <c r="A1415" s="2">
        <f ca="1">IFERROR(__xludf.DUMMYFUNCTION("""COMPUTED_VALUE"""),44056.6666666666)</f>
        <v>44056.666666666599</v>
      </c>
      <c r="B1415" s="1">
        <f ca="1">IFERROR(__xludf.DUMMYFUNCTION("""COMPUTED_VALUE"""),159.15)</f>
        <v>159.15</v>
      </c>
      <c r="C1415" s="1">
        <f ca="1">IFERROR(__xludf.DUMMYFUNCTION("""COMPUTED_VALUE"""),160.88)</f>
        <v>160.88</v>
      </c>
      <c r="D1415" s="1">
        <f ca="1">IFERROR(__xludf.DUMMYFUNCTION("""COMPUTED_VALUE"""),157.75)</f>
        <v>157.75</v>
      </c>
      <c r="E1415" s="1">
        <f ca="1">IFERROR(__xludf.DUMMYFUNCTION("""COMPUTED_VALUE"""),158.05)</f>
        <v>158.05000000000001</v>
      </c>
      <c r="F1415" s="1">
        <f ca="1">IFERROR(__xludf.DUMMYFUNCTION("""COMPUTED_VALUE"""),3149043)</f>
        <v>3149043</v>
      </c>
    </row>
    <row r="1416" spans="1:6" x14ac:dyDescent="0.35">
      <c r="A1416" s="2">
        <f ca="1">IFERROR(__xludf.DUMMYFUNCTION("""COMPUTED_VALUE"""),44057.6666666666)</f>
        <v>44057.666666666599</v>
      </c>
      <c r="B1416" s="1">
        <f ca="1">IFERROR(__xludf.DUMMYFUNCTION("""COMPUTED_VALUE"""),158.91)</f>
        <v>158.91</v>
      </c>
      <c r="C1416" s="1">
        <f ca="1">IFERROR(__xludf.DUMMYFUNCTION("""COMPUTED_VALUE"""),158.91)</f>
        <v>158.91</v>
      </c>
      <c r="D1416" s="1">
        <f ca="1">IFERROR(__xludf.DUMMYFUNCTION("""COMPUTED_VALUE"""),156)</f>
        <v>156</v>
      </c>
      <c r="E1416" s="1">
        <f ca="1">IFERROR(__xludf.DUMMYFUNCTION("""COMPUTED_VALUE"""),157.4)</f>
        <v>157.4</v>
      </c>
      <c r="F1416" s="1">
        <f ca="1">IFERROR(__xludf.DUMMYFUNCTION("""COMPUTED_VALUE"""),2751723)</f>
        <v>2751723</v>
      </c>
    </row>
    <row r="1417" spans="1:6" x14ac:dyDescent="0.35">
      <c r="A1417" s="2">
        <f ca="1">IFERROR(__xludf.DUMMYFUNCTION("""COMPUTED_VALUE"""),44060.6666666666)</f>
        <v>44060.666666666599</v>
      </c>
      <c r="B1417" s="1">
        <f ca="1">IFERROR(__xludf.DUMMYFUNCTION("""COMPUTED_VALUE"""),158.66)</f>
        <v>158.66</v>
      </c>
      <c r="C1417" s="1">
        <f ca="1">IFERROR(__xludf.DUMMYFUNCTION("""COMPUTED_VALUE"""),159.75)</f>
        <v>159.75</v>
      </c>
      <c r="D1417" s="1">
        <f ca="1">IFERROR(__xludf.DUMMYFUNCTION("""COMPUTED_VALUE"""),157.71)</f>
        <v>157.71</v>
      </c>
      <c r="E1417" s="1">
        <f ca="1">IFERROR(__xludf.DUMMYFUNCTION("""COMPUTED_VALUE"""),159.12)</f>
        <v>159.12</v>
      </c>
      <c r="F1417" s="1">
        <f ca="1">IFERROR(__xludf.DUMMYFUNCTION("""COMPUTED_VALUE"""),2691237)</f>
        <v>2691237</v>
      </c>
    </row>
    <row r="1418" spans="1:6" x14ac:dyDescent="0.35">
      <c r="A1418" s="2">
        <f ca="1">IFERROR(__xludf.DUMMYFUNCTION("""COMPUTED_VALUE"""),44061.6666666666)</f>
        <v>44061.666666666599</v>
      </c>
      <c r="B1418" s="1">
        <f ca="1">IFERROR(__xludf.DUMMYFUNCTION("""COMPUTED_VALUE"""),160.6)</f>
        <v>160.6</v>
      </c>
      <c r="C1418" s="1">
        <f ca="1">IFERROR(__xludf.DUMMYFUNCTION("""COMPUTED_VALUE"""),166)</f>
        <v>166</v>
      </c>
      <c r="D1418" s="1">
        <f ca="1">IFERROR(__xludf.DUMMYFUNCTION("""COMPUTED_VALUE"""),160.29)</f>
        <v>160.29</v>
      </c>
      <c r="E1418" s="1">
        <f ca="1">IFERROR(__xludf.DUMMYFUNCTION("""COMPUTED_VALUE"""),165.62)</f>
        <v>165.62</v>
      </c>
      <c r="F1418" s="1">
        <f ca="1">IFERROR(__xludf.DUMMYFUNCTION("""COMPUTED_VALUE"""),5345974)</f>
        <v>5345974</v>
      </c>
    </row>
    <row r="1419" spans="1:6" x14ac:dyDescent="0.35">
      <c r="A1419" s="2">
        <f ca="1">IFERROR(__xludf.DUMMYFUNCTION("""COMPUTED_VALUE"""),44062.6666666666)</f>
        <v>44062.666666666599</v>
      </c>
      <c r="B1419" s="1">
        <f ca="1">IFERROR(__xludf.DUMMYFUNCTION("""COMPUTED_VALUE"""),165.15)</f>
        <v>165.15</v>
      </c>
      <c r="C1419" s="1">
        <f ca="1">IFERROR(__xludf.DUMMYFUNCTION("""COMPUTED_VALUE"""),165.8)</f>
        <v>165.8</v>
      </c>
      <c r="D1419" s="1">
        <f ca="1">IFERROR(__xludf.DUMMYFUNCTION("""COMPUTED_VALUE"""),162.8)</f>
        <v>162.80000000000001</v>
      </c>
      <c r="E1419" s="1">
        <f ca="1">IFERROR(__xludf.DUMMYFUNCTION("""COMPUTED_VALUE"""),163.02)</f>
        <v>163.02000000000001</v>
      </c>
      <c r="F1419" s="1">
        <f ca="1">IFERROR(__xludf.DUMMYFUNCTION("""COMPUTED_VALUE"""),4185137)</f>
        <v>4185137</v>
      </c>
    </row>
    <row r="1420" spans="1:6" x14ac:dyDescent="0.35">
      <c r="A1420" s="2">
        <f ca="1">IFERROR(__xludf.DUMMYFUNCTION("""COMPUTED_VALUE"""),44063.6666666666)</f>
        <v>44063.666666666599</v>
      </c>
      <c r="B1420" s="1">
        <f ca="1">IFERROR(__xludf.DUMMYFUNCTION("""COMPUTED_VALUE"""),162.6)</f>
        <v>162.6</v>
      </c>
      <c r="C1420" s="1">
        <f ca="1">IFERROR(__xludf.DUMMYFUNCTION("""COMPUTED_VALUE"""),165.63)</f>
        <v>165.63</v>
      </c>
      <c r="D1420" s="1">
        <f ca="1">IFERROR(__xludf.DUMMYFUNCTION("""COMPUTED_VALUE"""),161.9)</f>
        <v>161.9</v>
      </c>
      <c r="E1420" s="1">
        <f ca="1">IFERROR(__xludf.DUMMYFUNCTION("""COMPUTED_VALUE"""),164.87)</f>
        <v>164.87</v>
      </c>
      <c r="F1420" s="1">
        <f ca="1">IFERROR(__xludf.DUMMYFUNCTION("""COMPUTED_VALUE"""),3332478)</f>
        <v>3332478</v>
      </c>
    </row>
    <row r="1421" spans="1:6" x14ac:dyDescent="0.35">
      <c r="A1421" s="2">
        <f ca="1">IFERROR(__xludf.DUMMYFUNCTION("""COMPUTED_VALUE"""),44064.6666666666)</f>
        <v>44064.666666666599</v>
      </c>
      <c r="B1421" s="1">
        <f ca="1">IFERROR(__xludf.DUMMYFUNCTION("""COMPUTED_VALUE"""),164.75)</f>
        <v>164.75</v>
      </c>
      <c r="C1421" s="1">
        <f ca="1">IFERROR(__xludf.DUMMYFUNCTION("""COMPUTED_VALUE"""),165.72)</f>
        <v>165.72</v>
      </c>
      <c r="D1421" s="1">
        <f ca="1">IFERROR(__xludf.DUMMYFUNCTION("""COMPUTED_VALUE"""),163.77)</f>
        <v>163.77000000000001</v>
      </c>
      <c r="E1421" s="1">
        <f ca="1">IFERROR(__xludf.DUMMYFUNCTION("""COMPUTED_VALUE"""),164.24)</f>
        <v>164.24</v>
      </c>
      <c r="F1421" s="1">
        <f ca="1">IFERROR(__xludf.DUMMYFUNCTION("""COMPUTED_VALUE"""),3575862)</f>
        <v>3575862</v>
      </c>
    </row>
    <row r="1422" spans="1:6" x14ac:dyDescent="0.35">
      <c r="A1422" s="2">
        <f ca="1">IFERROR(__xludf.DUMMYFUNCTION("""COMPUTED_VALUE"""),44067.6666666666)</f>
        <v>44067.666666666599</v>
      </c>
      <c r="B1422" s="1">
        <f ca="1">IFERROR(__xludf.DUMMYFUNCTION("""COMPUTED_VALUE"""),165.51)</f>
        <v>165.51</v>
      </c>
      <c r="C1422" s="1">
        <f ca="1">IFERROR(__xludf.DUMMYFUNCTION("""COMPUTED_VALUE"""),169.02)</f>
        <v>169.02</v>
      </c>
      <c r="D1422" s="1">
        <f ca="1">IFERROR(__xludf.DUMMYFUNCTION("""COMPUTED_VALUE"""),162.88)</f>
        <v>162.88</v>
      </c>
      <c r="E1422" s="1">
        <f ca="1">IFERROR(__xludf.DUMMYFUNCTION("""COMPUTED_VALUE"""),165.37)</f>
        <v>165.37</v>
      </c>
      <c r="F1422" s="1">
        <f ca="1">IFERROR(__xludf.DUMMYFUNCTION("""COMPUTED_VALUE"""),4666258)</f>
        <v>4666258</v>
      </c>
    </row>
    <row r="1423" spans="1:6" x14ac:dyDescent="0.35">
      <c r="A1423" s="2">
        <f ca="1">IFERROR(__xludf.DUMMYFUNCTION("""COMPUTED_VALUE"""),44068.6666666666)</f>
        <v>44068.666666666599</v>
      </c>
      <c r="B1423" s="1">
        <f ca="1">IFERROR(__xludf.DUMMYFUNCTION("""COMPUTED_VALUE"""),164.75)</f>
        <v>164.75</v>
      </c>
      <c r="C1423" s="1">
        <f ca="1">IFERROR(__xludf.DUMMYFUNCTION("""COMPUTED_VALUE"""),167.87)</f>
        <v>167.87</v>
      </c>
      <c r="D1423" s="1">
        <f ca="1">IFERROR(__xludf.DUMMYFUNCTION("""COMPUTED_VALUE"""),163.35)</f>
        <v>163.35</v>
      </c>
      <c r="E1423" s="1">
        <f ca="1">IFERROR(__xludf.DUMMYFUNCTION("""COMPUTED_VALUE"""),167.32)</f>
        <v>167.32</v>
      </c>
      <c r="F1423" s="1">
        <f ca="1">IFERROR(__xludf.DUMMYFUNCTION("""COMPUTED_VALUE"""),3992842)</f>
        <v>3992842</v>
      </c>
    </row>
    <row r="1424" spans="1:6" x14ac:dyDescent="0.35">
      <c r="A1424" s="2">
        <f ca="1">IFERROR(__xludf.DUMMYFUNCTION("""COMPUTED_VALUE"""),44069.6666666666)</f>
        <v>44069.666666666599</v>
      </c>
      <c r="B1424" s="1">
        <f ca="1">IFERROR(__xludf.DUMMYFUNCTION("""COMPUTED_VALUE"""),167.56)</f>
        <v>167.56</v>
      </c>
      <c r="C1424" s="1">
        <f ca="1">IFERROR(__xludf.DUMMYFUNCTION("""COMPUTED_VALUE"""),172.59)</f>
        <v>172.59</v>
      </c>
      <c r="D1424" s="1">
        <f ca="1">IFERROR(__xludf.DUMMYFUNCTION("""COMPUTED_VALUE"""),167.23)</f>
        <v>167.23</v>
      </c>
      <c r="E1424" s="1">
        <f ca="1">IFERROR(__xludf.DUMMYFUNCTION("""COMPUTED_VALUE"""),172.09)</f>
        <v>172.09</v>
      </c>
      <c r="F1424" s="1">
        <f ca="1">IFERROR(__xludf.DUMMYFUNCTION("""COMPUTED_VALUE"""),6508743)</f>
        <v>6508743</v>
      </c>
    </row>
    <row r="1425" spans="1:6" x14ac:dyDescent="0.35">
      <c r="A1425" s="2">
        <f ca="1">IFERROR(__xludf.DUMMYFUNCTION("""COMPUTED_VALUE"""),44070.6666666666)</f>
        <v>44070.666666666599</v>
      </c>
      <c r="B1425" s="1">
        <f ca="1">IFERROR(__xludf.DUMMYFUNCTION("""COMPUTED_VALUE"""),172.5)</f>
        <v>172.5</v>
      </c>
      <c r="C1425" s="1">
        <f ca="1">IFERROR(__xludf.DUMMYFUNCTION("""COMPUTED_VALUE"""),172.65)</f>
        <v>172.65</v>
      </c>
      <c r="D1425" s="1">
        <f ca="1">IFERROR(__xludf.DUMMYFUNCTION("""COMPUTED_VALUE"""),168.9)</f>
        <v>168.9</v>
      </c>
      <c r="E1425" s="1">
        <f ca="1">IFERROR(__xludf.DUMMYFUNCTION("""COMPUTED_VALUE"""),170)</f>
        <v>170</v>
      </c>
      <c r="F1425" s="1">
        <f ca="1">IFERROR(__xludf.DUMMYFUNCTION("""COMPUTED_VALUE"""),4264795)</f>
        <v>4264795</v>
      </c>
    </row>
    <row r="1426" spans="1:6" x14ac:dyDescent="0.35">
      <c r="A1426" s="2">
        <f ca="1">IFERROR(__xludf.DUMMYFUNCTION("""COMPUTED_VALUE"""),44071.6666666666)</f>
        <v>44071.666666666599</v>
      </c>
      <c r="B1426" s="1">
        <f ca="1">IFERROR(__xludf.DUMMYFUNCTION("""COMPUTED_VALUE"""),171.15)</f>
        <v>171.15</v>
      </c>
      <c r="C1426" s="1">
        <f ca="1">IFERROR(__xludf.DUMMYFUNCTION("""COMPUTED_VALUE"""),171.67)</f>
        <v>171.67</v>
      </c>
      <c r="D1426" s="1">
        <f ca="1">IFERROR(__xludf.DUMMYFUNCTION("""COMPUTED_VALUE"""),169.33)</f>
        <v>169.33</v>
      </c>
      <c r="E1426" s="1">
        <f ca="1">IFERROR(__xludf.DUMMYFUNCTION("""COMPUTED_VALUE"""),170.09)</f>
        <v>170.09</v>
      </c>
      <c r="F1426" s="1">
        <f ca="1">IFERROR(__xludf.DUMMYFUNCTION("""COMPUTED_VALUE"""),2896978)</f>
        <v>2896978</v>
      </c>
    </row>
    <row r="1427" spans="1:6" x14ac:dyDescent="0.35">
      <c r="A1427" s="2">
        <f ca="1">IFERROR(__xludf.DUMMYFUNCTION("""COMPUTED_VALUE"""),44074.6666666666)</f>
        <v>44074.666666666599</v>
      </c>
      <c r="B1427" s="1">
        <f ca="1">IFERROR(__xludf.DUMMYFUNCTION("""COMPUTED_VALUE"""),170.45)</f>
        <v>170.45</v>
      </c>
      <c r="C1427" s="1">
        <f ca="1">IFERROR(__xludf.DUMMYFUNCTION("""COMPUTED_VALUE"""),174.75)</f>
        <v>174.75</v>
      </c>
      <c r="D1427" s="1">
        <f ca="1">IFERROR(__xludf.DUMMYFUNCTION("""COMPUTED_VALUE"""),170.25)</f>
        <v>170.25</v>
      </c>
      <c r="E1427" s="1">
        <f ca="1">IFERROR(__xludf.DUMMYFUNCTION("""COMPUTED_VALUE"""),172.55)</f>
        <v>172.55</v>
      </c>
      <c r="F1427" s="1">
        <f ca="1">IFERROR(__xludf.DUMMYFUNCTION("""COMPUTED_VALUE"""),4185885)</f>
        <v>4185885</v>
      </c>
    </row>
    <row r="1428" spans="1:6" x14ac:dyDescent="0.35">
      <c r="A1428" s="2">
        <f ca="1">IFERROR(__xludf.DUMMYFUNCTION("""COMPUTED_VALUE"""),44075.6666666666)</f>
        <v>44075.666666666599</v>
      </c>
      <c r="B1428" s="1">
        <f ca="1">IFERROR(__xludf.DUMMYFUNCTION("""COMPUTED_VALUE"""),174.48)</f>
        <v>174.48</v>
      </c>
      <c r="C1428" s="1">
        <f ca="1">IFERROR(__xludf.DUMMYFUNCTION("""COMPUTED_VALUE"""),175.69)</f>
        <v>175.69</v>
      </c>
      <c r="D1428" s="1">
        <f ca="1">IFERROR(__xludf.DUMMYFUNCTION("""COMPUTED_VALUE"""),173.35)</f>
        <v>173.35</v>
      </c>
      <c r="E1428" s="1">
        <f ca="1">IFERROR(__xludf.DUMMYFUNCTION("""COMPUTED_VALUE"""),174.96)</f>
        <v>174.96</v>
      </c>
      <c r="F1428" s="1">
        <f ca="1">IFERROR(__xludf.DUMMYFUNCTION("""COMPUTED_VALUE"""),3476407)</f>
        <v>3476407</v>
      </c>
    </row>
    <row r="1429" spans="1:6" x14ac:dyDescent="0.35">
      <c r="A1429" s="2">
        <f ca="1">IFERROR(__xludf.DUMMYFUNCTION("""COMPUTED_VALUE"""),44076.6666666666)</f>
        <v>44076.666666666599</v>
      </c>
      <c r="B1429" s="1">
        <f ca="1">IFERROR(__xludf.DUMMYFUNCTION("""COMPUTED_VALUE"""),177.35)</f>
        <v>177.35</v>
      </c>
      <c r="C1429" s="1">
        <f ca="1">IFERROR(__xludf.DUMMYFUNCTION("""COMPUTED_VALUE"""),177.61)</f>
        <v>177.61</v>
      </c>
      <c r="D1429" s="1">
        <f ca="1">IFERROR(__xludf.DUMMYFUNCTION("""COMPUTED_VALUE"""),174.33)</f>
        <v>174.33</v>
      </c>
      <c r="E1429" s="1">
        <f ca="1">IFERROR(__xludf.DUMMYFUNCTION("""COMPUTED_VALUE"""),176.57)</f>
        <v>176.57</v>
      </c>
      <c r="F1429" s="1">
        <f ca="1">IFERROR(__xludf.DUMMYFUNCTION("""COMPUTED_VALUE"""),3931476)</f>
        <v>3931476</v>
      </c>
    </row>
    <row r="1430" spans="1:6" x14ac:dyDescent="0.35">
      <c r="A1430" s="2">
        <f ca="1">IFERROR(__xludf.DUMMYFUNCTION("""COMPUTED_VALUE"""),44077.6666666666)</f>
        <v>44077.666666666599</v>
      </c>
      <c r="B1430" s="1">
        <f ca="1">IFERROR(__xludf.DUMMYFUNCTION("""COMPUTED_VALUE"""),174.25)</f>
        <v>174.25</v>
      </c>
      <c r="C1430" s="1">
        <f ca="1">IFERROR(__xludf.DUMMYFUNCTION("""COMPUTED_VALUE"""),174.42)</f>
        <v>174.42</v>
      </c>
      <c r="D1430" s="1">
        <f ca="1">IFERROR(__xludf.DUMMYFUNCTION("""COMPUTED_VALUE"""),165.15)</f>
        <v>165.15</v>
      </c>
      <c r="E1430" s="1">
        <f ca="1">IFERROR(__xludf.DUMMYFUNCTION("""COMPUTED_VALUE"""),168.4)</f>
        <v>168.4</v>
      </c>
      <c r="F1430" s="1">
        <f ca="1">IFERROR(__xludf.DUMMYFUNCTION("""COMPUTED_VALUE"""),8161113)</f>
        <v>8161113</v>
      </c>
    </row>
    <row r="1431" spans="1:6" x14ac:dyDescent="0.35">
      <c r="A1431" s="2">
        <f ca="1">IFERROR(__xludf.DUMMYFUNCTION("""COMPUTED_VALUE"""),44078.6666666666)</f>
        <v>44078.666666666599</v>
      </c>
      <c r="B1431" s="1">
        <f ca="1">IFERROR(__xludf.DUMMYFUNCTION("""COMPUTED_VALUE"""),165.9)</f>
        <v>165.9</v>
      </c>
      <c r="C1431" s="1">
        <f ca="1">IFERROR(__xludf.DUMMYFUNCTION("""COMPUTED_VALUE"""),169.08)</f>
        <v>169.08</v>
      </c>
      <c r="D1431" s="1">
        <f ca="1">IFERROR(__xludf.DUMMYFUNCTION("""COMPUTED_VALUE"""),155.56)</f>
        <v>155.56</v>
      </c>
      <c r="E1431" s="1">
        <f ca="1">IFERROR(__xludf.DUMMYFUNCTION("""COMPUTED_VALUE"""),164.73)</f>
        <v>164.73</v>
      </c>
      <c r="F1431" s="1">
        <f ca="1">IFERROR(__xludf.DUMMYFUNCTION("""COMPUTED_VALUE"""),8781754)</f>
        <v>8781754</v>
      </c>
    </row>
    <row r="1432" spans="1:6" x14ac:dyDescent="0.35">
      <c r="A1432" s="2">
        <f ca="1">IFERROR(__xludf.DUMMYFUNCTION("""COMPUTED_VALUE"""),44082.6666666666)</f>
        <v>44082.666666666599</v>
      </c>
      <c r="B1432" s="1">
        <f ca="1">IFERROR(__xludf.DUMMYFUNCTION("""COMPUTED_VALUE"""),157.2)</f>
        <v>157.19999999999999</v>
      </c>
      <c r="C1432" s="1">
        <f ca="1">IFERROR(__xludf.DUMMYFUNCTION("""COMPUTED_VALUE"""),162.54)</f>
        <v>162.54</v>
      </c>
      <c r="D1432" s="1">
        <f ca="1">IFERROR(__xludf.DUMMYFUNCTION("""COMPUTED_VALUE"""),156.5)</f>
        <v>156.5</v>
      </c>
      <c r="E1432" s="1">
        <f ca="1">IFERROR(__xludf.DUMMYFUNCTION("""COMPUTED_VALUE"""),157.49)</f>
        <v>157.49</v>
      </c>
      <c r="F1432" s="1">
        <f ca="1">IFERROR(__xludf.DUMMYFUNCTION("""COMPUTED_VALUE"""),6094205)</f>
        <v>6094205</v>
      </c>
    </row>
    <row r="1433" spans="1:6" x14ac:dyDescent="0.35">
      <c r="A1433" s="2">
        <f ca="1">IFERROR(__xludf.DUMMYFUNCTION("""COMPUTED_VALUE"""),44083.6666666666)</f>
        <v>44083.666666666599</v>
      </c>
      <c r="B1433" s="1">
        <f ca="1">IFERROR(__xludf.DUMMYFUNCTION("""COMPUTED_VALUE"""),160.15)</f>
        <v>160.15</v>
      </c>
      <c r="C1433" s="1">
        <f ca="1">IFERROR(__xludf.DUMMYFUNCTION("""COMPUTED_VALUE"""),165.16)</f>
        <v>165.16</v>
      </c>
      <c r="D1433" s="1">
        <f ca="1">IFERROR(__xludf.DUMMYFUNCTION("""COMPUTED_VALUE"""),159.25)</f>
        <v>159.25</v>
      </c>
      <c r="E1433" s="1">
        <f ca="1">IFERROR(__xludf.DUMMYFUNCTION("""COMPUTED_VALUE"""),163.43)</f>
        <v>163.43</v>
      </c>
      <c r="F1433" s="1">
        <f ca="1">IFERROR(__xludf.DUMMYFUNCTION("""COMPUTED_VALUE"""),5188675)</f>
        <v>5188675</v>
      </c>
    </row>
    <row r="1434" spans="1:6" x14ac:dyDescent="0.35">
      <c r="A1434" s="2">
        <f ca="1">IFERROR(__xludf.DUMMYFUNCTION("""COMPUTED_VALUE"""),44084.6666666666)</f>
        <v>44084.666666666599</v>
      </c>
      <c r="B1434" s="1">
        <f ca="1">IFERROR(__xludf.DUMMYFUNCTION("""COMPUTED_VALUE"""),165.36)</f>
        <v>165.36</v>
      </c>
      <c r="C1434" s="1">
        <f ca="1">IFERROR(__xludf.DUMMYFUNCTION("""COMPUTED_VALUE"""),167.49)</f>
        <v>167.49</v>
      </c>
      <c r="D1434" s="1">
        <f ca="1">IFERROR(__xludf.DUMMYFUNCTION("""COMPUTED_VALUE"""),158.53)</f>
        <v>158.53</v>
      </c>
      <c r="E1434" s="1">
        <f ca="1">IFERROR(__xludf.DUMMYFUNCTION("""COMPUTED_VALUE"""),158.76)</f>
        <v>158.76</v>
      </c>
      <c r="F1434" s="1">
        <f ca="1">IFERROR(__xludf.DUMMYFUNCTION("""COMPUTED_VALUE"""),5330741)</f>
        <v>5330741</v>
      </c>
    </row>
    <row r="1435" spans="1:6" x14ac:dyDescent="0.35">
      <c r="A1435" s="2">
        <f ca="1">IFERROR(__xludf.DUMMYFUNCTION("""COMPUTED_VALUE"""),44085.6666666666)</f>
        <v>44085.666666666599</v>
      </c>
      <c r="B1435" s="1">
        <f ca="1">IFERROR(__xludf.DUMMYFUNCTION("""COMPUTED_VALUE"""),160.43)</f>
        <v>160.43</v>
      </c>
      <c r="C1435" s="1">
        <f ca="1">IFERROR(__xludf.DUMMYFUNCTION("""COMPUTED_VALUE"""),160.87)</f>
        <v>160.87</v>
      </c>
      <c r="D1435" s="1">
        <f ca="1">IFERROR(__xludf.DUMMYFUNCTION("""COMPUTED_VALUE"""),154.2)</f>
        <v>154.19999999999999</v>
      </c>
      <c r="E1435" s="1">
        <f ca="1">IFERROR(__xludf.DUMMYFUNCTION("""COMPUTED_VALUE"""),155.81)</f>
        <v>155.81</v>
      </c>
      <c r="F1435" s="1">
        <f ca="1">IFERROR(__xludf.DUMMYFUNCTION("""COMPUTED_VALUE"""),5093982)</f>
        <v>5093982</v>
      </c>
    </row>
    <row r="1436" spans="1:6" x14ac:dyDescent="0.35">
      <c r="A1436" s="2">
        <f ca="1">IFERROR(__xludf.DUMMYFUNCTION("""COMPUTED_VALUE"""),44088.6666666666)</f>
        <v>44088.666666666599</v>
      </c>
      <c r="B1436" s="1">
        <f ca="1">IFERROR(__xludf.DUMMYFUNCTION("""COMPUTED_VALUE"""),158.65)</f>
        <v>158.65</v>
      </c>
      <c r="C1436" s="1">
        <f ca="1">IFERROR(__xludf.DUMMYFUNCTION("""COMPUTED_VALUE"""),159.37)</f>
        <v>159.37</v>
      </c>
      <c r="D1436" s="1">
        <f ca="1">IFERROR(__xludf.DUMMYFUNCTION("""COMPUTED_VALUE"""),154.8)</f>
        <v>154.80000000000001</v>
      </c>
      <c r="E1436" s="1">
        <f ca="1">IFERROR(__xludf.DUMMYFUNCTION("""COMPUTED_VALUE"""),155.15)</f>
        <v>155.15</v>
      </c>
      <c r="F1436" s="1">
        <f ca="1">IFERROR(__xludf.DUMMYFUNCTION("""COMPUTED_VALUE"""),4529596)</f>
        <v>4529596</v>
      </c>
    </row>
    <row r="1437" spans="1:6" x14ac:dyDescent="0.35">
      <c r="A1437" s="2">
        <f ca="1">IFERROR(__xludf.DUMMYFUNCTION("""COMPUTED_VALUE"""),44089.6666666666)</f>
        <v>44089.666666666599</v>
      </c>
      <c r="B1437" s="1">
        <f ca="1">IFERROR(__xludf.DUMMYFUNCTION("""COMPUTED_VALUE"""),156.81)</f>
        <v>156.81</v>
      </c>
      <c r="C1437" s="1">
        <f ca="1">IFERROR(__xludf.DUMMYFUNCTION("""COMPUTED_VALUE"""),158.75)</f>
        <v>158.75</v>
      </c>
      <c r="D1437" s="1">
        <f ca="1">IFERROR(__xludf.DUMMYFUNCTION("""COMPUTED_VALUE"""),155.45)</f>
        <v>155.44999999999999</v>
      </c>
      <c r="E1437" s="1">
        <f ca="1">IFERROR(__xludf.DUMMYFUNCTION("""COMPUTED_VALUE"""),157.81)</f>
        <v>157.81</v>
      </c>
      <c r="F1437" s="1">
        <f ca="1">IFERROR(__xludf.DUMMYFUNCTION("""COMPUTED_VALUE"""),4021535)</f>
        <v>4021535</v>
      </c>
    </row>
    <row r="1438" spans="1:6" x14ac:dyDescent="0.35">
      <c r="A1438" s="2">
        <f ca="1">IFERROR(__xludf.DUMMYFUNCTION("""COMPUTED_VALUE"""),44090.6666666666)</f>
        <v>44090.666666666599</v>
      </c>
      <c r="B1438" s="1">
        <f ca="1">IFERROR(__xludf.DUMMYFUNCTION("""COMPUTED_VALUE"""),159)</f>
        <v>159</v>
      </c>
      <c r="C1438" s="1">
        <f ca="1">IFERROR(__xludf.DUMMYFUNCTION("""COMPUTED_VALUE"""),159.36)</f>
        <v>159.36000000000001</v>
      </c>
      <c r="D1438" s="1">
        <f ca="1">IFERROR(__xludf.DUMMYFUNCTION("""COMPUTED_VALUE"""),153.71)</f>
        <v>153.71</v>
      </c>
      <c r="E1438" s="1">
        <f ca="1">IFERROR(__xludf.DUMMYFUNCTION("""COMPUTED_VALUE"""),153.91)</f>
        <v>153.91</v>
      </c>
      <c r="F1438" s="1">
        <f ca="1">IFERROR(__xludf.DUMMYFUNCTION("""COMPUTED_VALUE"""),4531189)</f>
        <v>4531189</v>
      </c>
    </row>
    <row r="1439" spans="1:6" x14ac:dyDescent="0.35">
      <c r="A1439" s="2">
        <f ca="1">IFERROR(__xludf.DUMMYFUNCTION("""COMPUTED_VALUE"""),44091.6666666666)</f>
        <v>44091.666666666599</v>
      </c>
      <c r="B1439" s="1">
        <f ca="1">IFERROR(__xludf.DUMMYFUNCTION("""COMPUTED_VALUE"""),150.46)</f>
        <v>150.46</v>
      </c>
      <c r="C1439" s="1">
        <f ca="1">IFERROR(__xludf.DUMMYFUNCTION("""COMPUTED_VALUE"""),151.47)</f>
        <v>151.47</v>
      </c>
      <c r="D1439" s="1">
        <f ca="1">IFERROR(__xludf.DUMMYFUNCTION("""COMPUTED_VALUE"""),148.63)</f>
        <v>148.63</v>
      </c>
      <c r="E1439" s="1">
        <f ca="1">IFERROR(__xludf.DUMMYFUNCTION("""COMPUTED_VALUE"""),150.44)</f>
        <v>150.44</v>
      </c>
      <c r="F1439" s="1">
        <f ca="1">IFERROR(__xludf.DUMMYFUNCTION("""COMPUTED_VALUE"""),6449050)</f>
        <v>6449050</v>
      </c>
    </row>
    <row r="1440" spans="1:6" x14ac:dyDescent="0.35">
      <c r="A1440" s="2">
        <f ca="1">IFERROR(__xludf.DUMMYFUNCTION("""COMPUTED_VALUE"""),44092.6666666666)</f>
        <v>44092.666666666599</v>
      </c>
      <c r="B1440" s="1">
        <f ca="1">IFERROR(__xludf.DUMMYFUNCTION("""COMPUTED_VALUE"""),151.59)</f>
        <v>151.59</v>
      </c>
      <c r="C1440" s="1">
        <f ca="1">IFERROR(__xludf.DUMMYFUNCTION("""COMPUTED_VALUE"""),151.89)</f>
        <v>151.88999999999999</v>
      </c>
      <c r="D1440" s="1">
        <f ca="1">IFERROR(__xludf.DUMMYFUNCTION("""COMPUTED_VALUE"""),145.28)</f>
        <v>145.28</v>
      </c>
      <c r="E1440" s="1">
        <f ca="1">IFERROR(__xludf.DUMMYFUNCTION("""COMPUTED_VALUE"""),147.75)</f>
        <v>147.75</v>
      </c>
      <c r="F1440" s="1">
        <f ca="1">IFERROR(__xludf.DUMMYFUNCTION("""COMPUTED_VALUE"""),8892580)</f>
        <v>8892580</v>
      </c>
    </row>
    <row r="1441" spans="1:6" x14ac:dyDescent="0.35">
      <c r="A1441" s="2">
        <f ca="1">IFERROR(__xludf.DUMMYFUNCTION("""COMPUTED_VALUE"""),44095.6666666666)</f>
        <v>44095.666666666599</v>
      </c>
      <c r="B1441" s="1">
        <f ca="1">IFERROR(__xludf.DUMMYFUNCTION("""COMPUTED_VALUE"""),145.32)</f>
        <v>145.32</v>
      </c>
      <c r="C1441" s="1">
        <f ca="1">IFERROR(__xludf.DUMMYFUNCTION("""COMPUTED_VALUE"""),148.1)</f>
        <v>148.1</v>
      </c>
      <c r="D1441" s="1">
        <f ca="1">IFERROR(__xludf.DUMMYFUNCTION("""COMPUTED_VALUE"""),143.55)</f>
        <v>143.55000000000001</v>
      </c>
      <c r="E1441" s="1">
        <f ca="1">IFERROR(__xludf.DUMMYFUNCTION("""COMPUTED_VALUE"""),148.02)</f>
        <v>148.02000000000001</v>
      </c>
      <c r="F1441" s="1">
        <f ca="1">IFERROR(__xludf.DUMMYFUNCTION("""COMPUTED_VALUE"""),6117925)</f>
        <v>6117925</v>
      </c>
    </row>
    <row r="1442" spans="1:6" x14ac:dyDescent="0.35">
      <c r="A1442" s="2">
        <f ca="1">IFERROR(__xludf.DUMMYFUNCTION("""COMPUTED_VALUE"""),44096.6666666666)</f>
        <v>44096.666666666599</v>
      </c>
      <c r="B1442" s="1">
        <f ca="1">IFERROR(__xludf.DUMMYFUNCTION("""COMPUTED_VALUE"""),151.69)</f>
        <v>151.69</v>
      </c>
      <c r="C1442" s="1">
        <f ca="1">IFERROR(__xludf.DUMMYFUNCTION("""COMPUTED_VALUE"""),156.7)</f>
        <v>156.69999999999999</v>
      </c>
      <c r="D1442" s="1">
        <f ca="1">IFERROR(__xludf.DUMMYFUNCTION("""COMPUTED_VALUE"""),150.01)</f>
        <v>150.01</v>
      </c>
      <c r="E1442" s="1">
        <f ca="1">IFERROR(__xludf.DUMMYFUNCTION("""COMPUTED_VALUE"""),156.45)</f>
        <v>156.44999999999999</v>
      </c>
      <c r="F1442" s="1">
        <f ca="1">IFERROR(__xludf.DUMMYFUNCTION("""COMPUTED_VALUE"""),6948816)</f>
        <v>6948816</v>
      </c>
    </row>
    <row r="1443" spans="1:6" x14ac:dyDescent="0.35">
      <c r="A1443" s="2">
        <f ca="1">IFERROR(__xludf.DUMMYFUNCTION("""COMPUTED_VALUE"""),44097.6666666666)</f>
        <v>44097.666666666599</v>
      </c>
      <c r="B1443" s="1">
        <f ca="1">IFERROR(__xludf.DUMMYFUNCTION("""COMPUTED_VALUE"""),156.02)</f>
        <v>156.02000000000001</v>
      </c>
      <c r="C1443" s="1">
        <f ca="1">IFERROR(__xludf.DUMMYFUNCTION("""COMPUTED_VALUE"""),156.35)</f>
        <v>156.35</v>
      </c>
      <c r="D1443" s="1">
        <f ca="1">IFERROR(__xludf.DUMMYFUNCTION("""COMPUTED_VALUE"""),149.62)</f>
        <v>149.62</v>
      </c>
      <c r="E1443" s="1">
        <f ca="1">IFERROR(__xludf.DUMMYFUNCTION("""COMPUTED_VALUE"""),149.99)</f>
        <v>149.99</v>
      </c>
      <c r="F1443" s="1">
        <f ca="1">IFERROR(__xludf.DUMMYFUNCTION("""COMPUTED_VALUE"""),5652665)</f>
        <v>5652665</v>
      </c>
    </row>
    <row r="1444" spans="1:6" x14ac:dyDescent="0.35">
      <c r="A1444" s="2">
        <f ca="1">IFERROR(__xludf.DUMMYFUNCTION("""COMPUTED_VALUE"""),44098.6666666666)</f>
        <v>44098.666666666599</v>
      </c>
      <c r="B1444" s="1">
        <f ca="1">IFERROR(__xludf.DUMMYFUNCTION("""COMPUTED_VALUE"""),148.89)</f>
        <v>148.88999999999999</v>
      </c>
      <c r="C1444" s="1">
        <f ca="1">IFERROR(__xludf.DUMMYFUNCTION("""COMPUTED_VALUE"""),153.47)</f>
        <v>153.47</v>
      </c>
      <c r="D1444" s="1">
        <f ca="1">IFERROR(__xludf.DUMMYFUNCTION("""COMPUTED_VALUE"""),148.25)</f>
        <v>148.25</v>
      </c>
      <c r="E1444" s="1">
        <f ca="1">IFERROR(__xludf.DUMMYFUNCTION("""COMPUTED_VALUE"""),150.99)</f>
        <v>150.99</v>
      </c>
      <c r="F1444" s="1">
        <f ca="1">IFERROR(__xludf.DUMMYFUNCTION("""COMPUTED_VALUE"""),5529392)</f>
        <v>5529392</v>
      </c>
    </row>
    <row r="1445" spans="1:6" x14ac:dyDescent="0.35">
      <c r="A1445" s="2">
        <f ca="1">IFERROR(__xludf.DUMMYFUNCTION("""COMPUTED_VALUE"""),44099.6666666666)</f>
        <v>44099.666666666599</v>
      </c>
      <c r="B1445" s="1">
        <f ca="1">IFERROR(__xludf.DUMMYFUNCTION("""COMPUTED_VALUE"""),152.74)</f>
        <v>152.74</v>
      </c>
      <c r="C1445" s="1">
        <f ca="1">IFERROR(__xludf.DUMMYFUNCTION("""COMPUTED_VALUE"""),155.08)</f>
        <v>155.08000000000001</v>
      </c>
      <c r="D1445" s="1">
        <f ca="1">IFERROR(__xludf.DUMMYFUNCTION("""COMPUTED_VALUE"""),149.95)</f>
        <v>149.94999999999999</v>
      </c>
      <c r="E1445" s="1">
        <f ca="1">IFERROR(__xludf.DUMMYFUNCTION("""COMPUTED_VALUE"""),154.76)</f>
        <v>154.76</v>
      </c>
      <c r="F1445" s="1">
        <f ca="1">IFERROR(__xludf.DUMMYFUNCTION("""COMPUTED_VALUE"""),4615202)</f>
        <v>4615202</v>
      </c>
    </row>
    <row r="1446" spans="1:6" x14ac:dyDescent="0.35">
      <c r="A1446" s="2">
        <f ca="1">IFERROR(__xludf.DUMMYFUNCTION("""COMPUTED_VALUE"""),44102.6666666666)</f>
        <v>44102.666666666599</v>
      </c>
      <c r="B1446" s="1">
        <f ca="1">IFERROR(__xludf.DUMMYFUNCTION("""COMPUTED_VALUE"""),157.44)</f>
        <v>157.44</v>
      </c>
      <c r="C1446" s="1">
        <f ca="1">IFERROR(__xludf.DUMMYFUNCTION("""COMPUTED_VALUE"""),158.75)</f>
        <v>158.75</v>
      </c>
      <c r="D1446" s="1">
        <f ca="1">IFERROR(__xludf.DUMMYFUNCTION("""COMPUTED_VALUE"""),155.86)</f>
        <v>155.86000000000001</v>
      </c>
      <c r="E1446" s="1">
        <f ca="1">IFERROR(__xludf.DUMMYFUNCTION("""COMPUTED_VALUE"""),158.7)</f>
        <v>158.69999999999999</v>
      </c>
      <c r="F1446" s="1">
        <f ca="1">IFERROR(__xludf.DUMMYFUNCTION("""COMPUTED_VALUE"""),4224165)</f>
        <v>4224165</v>
      </c>
    </row>
    <row r="1447" spans="1:6" x14ac:dyDescent="0.35">
      <c r="A1447" s="2">
        <f ca="1">IFERROR(__xludf.DUMMYFUNCTION("""COMPUTED_VALUE"""),44103.6666666666)</f>
        <v>44103.666666666599</v>
      </c>
      <c r="B1447" s="1">
        <f ca="1">IFERROR(__xludf.DUMMYFUNCTION("""COMPUTED_VALUE"""),158.77)</f>
        <v>158.77000000000001</v>
      </c>
      <c r="C1447" s="1">
        <f ca="1">IFERROR(__xludf.DUMMYFUNCTION("""COMPUTED_VALUE"""),159.41)</f>
        <v>159.41</v>
      </c>
      <c r="D1447" s="1">
        <f ca="1">IFERROR(__xludf.DUMMYFUNCTION("""COMPUTED_VALUE"""),156.63)</f>
        <v>156.63</v>
      </c>
      <c r="E1447" s="1">
        <f ca="1">IFERROR(__xludf.DUMMYFUNCTION("""COMPUTED_VALUE"""),157.24)</f>
        <v>157.24</v>
      </c>
      <c r="F1447" s="1">
        <f ca="1">IFERROR(__xludf.DUMMYFUNCTION("""COMPUTED_VALUE"""),3503398)</f>
        <v>3503398</v>
      </c>
    </row>
    <row r="1448" spans="1:6" x14ac:dyDescent="0.35">
      <c r="A1448" s="2">
        <f ca="1">IFERROR(__xludf.DUMMYFUNCTION("""COMPUTED_VALUE"""),44104.6666666666)</f>
        <v>44104.666666666599</v>
      </c>
      <c r="B1448" s="1">
        <f ca="1">IFERROR(__xludf.DUMMYFUNCTION("""COMPUTED_VALUE"""),157.06)</f>
        <v>157.06</v>
      </c>
      <c r="C1448" s="1">
        <f ca="1">IFERROR(__xludf.DUMMYFUNCTION("""COMPUTED_VALUE"""),160.64)</f>
        <v>160.63999999999999</v>
      </c>
      <c r="D1448" s="1">
        <f ca="1">IFERROR(__xludf.DUMMYFUNCTION("""COMPUTED_VALUE"""),156.7)</f>
        <v>156.69999999999999</v>
      </c>
      <c r="E1448" s="1">
        <f ca="1">IFERROR(__xludf.DUMMYFUNCTION("""COMPUTED_VALUE"""),157.44)</f>
        <v>157.44</v>
      </c>
      <c r="F1448" s="1">
        <f ca="1">IFERROR(__xludf.DUMMYFUNCTION("""COMPUTED_VALUE"""),4896101)</f>
        <v>4896101</v>
      </c>
    </row>
    <row r="1449" spans="1:6" x14ac:dyDescent="0.35">
      <c r="A1449" s="2">
        <f ca="1">IFERROR(__xludf.DUMMYFUNCTION("""COMPUTED_VALUE"""),44105.6666666666)</f>
        <v>44105.666666666599</v>
      </c>
      <c r="B1449" s="1">
        <f ca="1">IFERROR(__xludf.DUMMYFUNCTION("""COMPUTED_VALUE"""),160.4)</f>
        <v>160.4</v>
      </c>
      <c r="C1449" s="1">
        <f ca="1">IFERROR(__xludf.DUMMYFUNCTION("""COMPUTED_VALUE"""),161.2)</f>
        <v>161.19999999999999</v>
      </c>
      <c r="D1449" s="1">
        <f ca="1">IFERROR(__xludf.DUMMYFUNCTION("""COMPUTED_VALUE"""),158.6)</f>
        <v>158.6</v>
      </c>
      <c r="E1449" s="1">
        <f ca="1">IFERROR(__xludf.DUMMYFUNCTION("""COMPUTED_VALUE"""),161.06)</f>
        <v>161.06</v>
      </c>
      <c r="F1449" s="1">
        <f ca="1">IFERROR(__xludf.DUMMYFUNCTION("""COMPUTED_VALUE"""),4971922)</f>
        <v>4971922</v>
      </c>
    </row>
    <row r="1450" spans="1:6" x14ac:dyDescent="0.35">
      <c r="A1450" s="2">
        <f ca="1">IFERROR(__xludf.DUMMYFUNCTION("""COMPUTED_VALUE"""),44106.6666666666)</f>
        <v>44106.666666666599</v>
      </c>
      <c r="B1450" s="1">
        <f ca="1">IFERROR(__xludf.DUMMYFUNCTION("""COMPUTED_VALUE"""),157.68)</f>
        <v>157.68</v>
      </c>
      <c r="C1450" s="1">
        <f ca="1">IFERROR(__xludf.DUMMYFUNCTION("""COMPUTED_VALUE"""),159.79)</f>
        <v>159.79</v>
      </c>
      <c r="D1450" s="1">
        <f ca="1">IFERROR(__xludf.DUMMYFUNCTION("""COMPUTED_VALUE"""),156.15)</f>
        <v>156.15</v>
      </c>
      <c r="E1450" s="1">
        <f ca="1">IFERROR(__xludf.DUMMYFUNCTION("""COMPUTED_VALUE"""),156.25)</f>
        <v>156.25</v>
      </c>
      <c r="F1450" s="1">
        <f ca="1">IFERROR(__xludf.DUMMYFUNCTION("""COMPUTED_VALUE"""),5613098)</f>
        <v>5613098</v>
      </c>
    </row>
    <row r="1451" spans="1:6" x14ac:dyDescent="0.35">
      <c r="A1451" s="2">
        <f ca="1">IFERROR(__xludf.DUMMYFUNCTION("""COMPUTED_VALUE"""),44109.6666666666)</f>
        <v>44109.666666666599</v>
      </c>
      <c r="B1451" s="1">
        <f ca="1">IFERROR(__xludf.DUMMYFUNCTION("""COMPUTED_VALUE"""),157.29)</f>
        <v>157.29</v>
      </c>
      <c r="C1451" s="1">
        <f ca="1">IFERROR(__xludf.DUMMYFUNCTION("""COMPUTED_VALUE"""),160.13)</f>
        <v>160.13</v>
      </c>
      <c r="D1451" s="1">
        <f ca="1">IFERROR(__xludf.DUMMYFUNCTION("""COMPUTED_VALUE"""),157.04)</f>
        <v>157.04</v>
      </c>
      <c r="E1451" s="1">
        <f ca="1">IFERROR(__xludf.DUMMYFUNCTION("""COMPUTED_VALUE"""),159.96)</f>
        <v>159.96</v>
      </c>
      <c r="F1451" s="1">
        <f ca="1">IFERROR(__xludf.DUMMYFUNCTION("""COMPUTED_VALUE"""),3775332)</f>
        <v>3775332</v>
      </c>
    </row>
    <row r="1452" spans="1:6" x14ac:dyDescent="0.35">
      <c r="A1452" s="2">
        <f ca="1">IFERROR(__xludf.DUMMYFUNCTION("""COMPUTED_VALUE"""),44110.6666666666)</f>
        <v>44110.666666666599</v>
      </c>
      <c r="B1452" s="1">
        <f ca="1">IFERROR(__xludf.DUMMYFUNCTION("""COMPUTED_VALUE"""),158.25)</f>
        <v>158.25</v>
      </c>
      <c r="C1452" s="1">
        <f ca="1">IFERROR(__xludf.DUMMYFUNCTION("""COMPUTED_VALUE"""),159.1)</f>
        <v>159.1</v>
      </c>
      <c r="D1452" s="1">
        <f ca="1">IFERROR(__xludf.DUMMYFUNCTION("""COMPUTED_VALUE"""),154.5)</f>
        <v>154.5</v>
      </c>
      <c r="E1452" s="1">
        <f ca="1">IFERROR(__xludf.DUMMYFUNCTION("""COMPUTED_VALUE"""),155)</f>
        <v>155</v>
      </c>
      <c r="F1452" s="1">
        <f ca="1">IFERROR(__xludf.DUMMYFUNCTION("""COMPUTED_VALUE"""),5086857)</f>
        <v>5086857</v>
      </c>
    </row>
    <row r="1453" spans="1:6" x14ac:dyDescent="0.35">
      <c r="A1453" s="2">
        <f ca="1">IFERROR(__xludf.DUMMYFUNCTION("""COMPUTED_VALUE"""),44111.6666666666)</f>
        <v>44111.666666666599</v>
      </c>
      <c r="B1453" s="1">
        <f ca="1">IFERROR(__xludf.DUMMYFUNCTION("""COMPUTED_VALUE"""),156.75)</f>
        <v>156.75</v>
      </c>
      <c r="C1453" s="1">
        <f ca="1">IFERROR(__xludf.DUMMYFUNCTION("""COMPUTED_VALUE"""),160)</f>
        <v>160</v>
      </c>
      <c r="D1453" s="1">
        <f ca="1">IFERROR(__xludf.DUMMYFUNCTION("""COMPUTED_VALUE"""),156.62)</f>
        <v>156.62</v>
      </c>
      <c r="E1453" s="1">
        <f ca="1">IFERROR(__xludf.DUMMYFUNCTION("""COMPUTED_VALUE"""),159.78)</f>
        <v>159.78</v>
      </c>
      <c r="F1453" s="1">
        <f ca="1">IFERROR(__xludf.DUMMYFUNCTION("""COMPUTED_VALUE"""),4309439)</f>
        <v>4309439</v>
      </c>
    </row>
    <row r="1454" spans="1:6" x14ac:dyDescent="0.35">
      <c r="A1454" s="2">
        <f ca="1">IFERROR(__xludf.DUMMYFUNCTION("""COMPUTED_VALUE"""),44112.6666666666)</f>
        <v>44112.666666666599</v>
      </c>
      <c r="B1454" s="1">
        <f ca="1">IFERROR(__xludf.DUMMYFUNCTION("""COMPUTED_VALUE"""),161.25)</f>
        <v>161.25</v>
      </c>
      <c r="C1454" s="1">
        <f ca="1">IFERROR(__xludf.DUMMYFUNCTION("""COMPUTED_VALUE"""),161.66)</f>
        <v>161.66</v>
      </c>
      <c r="D1454" s="1">
        <f ca="1">IFERROR(__xludf.DUMMYFUNCTION("""COMPUTED_VALUE"""),158.75)</f>
        <v>158.75</v>
      </c>
      <c r="E1454" s="1">
        <f ca="1">IFERROR(__xludf.DUMMYFUNCTION("""COMPUTED_VALUE"""),159.53)</f>
        <v>159.53</v>
      </c>
      <c r="F1454" s="1">
        <f ca="1">IFERROR(__xludf.DUMMYFUNCTION("""COMPUTED_VALUE"""),3174114)</f>
        <v>3174114</v>
      </c>
    </row>
    <row r="1455" spans="1:6" x14ac:dyDescent="0.35">
      <c r="A1455" s="2">
        <f ca="1">IFERROR(__xludf.DUMMYFUNCTION("""COMPUTED_VALUE"""),44113.6666666666)</f>
        <v>44113.666666666599</v>
      </c>
      <c r="B1455" s="1">
        <f ca="1">IFERROR(__xludf.DUMMYFUNCTION("""COMPUTED_VALUE"""),160.5)</f>
        <v>160.5</v>
      </c>
      <c r="C1455" s="1">
        <f ca="1">IFERROR(__xludf.DUMMYFUNCTION("""COMPUTED_VALUE"""),164.45)</f>
        <v>164.45</v>
      </c>
      <c r="D1455" s="1">
        <f ca="1">IFERROR(__xludf.DUMMYFUNCTION("""COMPUTED_VALUE"""),159.89)</f>
        <v>159.88999999999999</v>
      </c>
      <c r="E1455" s="1">
        <f ca="1">IFERROR(__xludf.DUMMYFUNCTION("""COMPUTED_VALUE"""),164.33)</f>
        <v>164.33</v>
      </c>
      <c r="F1455" s="1">
        <f ca="1">IFERROR(__xludf.DUMMYFUNCTION("""COMPUTED_VALUE"""),4907871)</f>
        <v>4907871</v>
      </c>
    </row>
    <row r="1456" spans="1:6" x14ac:dyDescent="0.35">
      <c r="A1456" s="2">
        <f ca="1">IFERROR(__xludf.DUMMYFUNCTION("""COMPUTED_VALUE"""),44116.6666666666)</f>
        <v>44116.666666666599</v>
      </c>
      <c r="B1456" s="1">
        <f ca="1">IFERROR(__xludf.DUMMYFUNCTION("""COMPUTED_VALUE"""),167.5)</f>
        <v>167.5</v>
      </c>
      <c r="C1456" s="1">
        <f ca="1">IFERROR(__xludf.DUMMYFUNCTION("""COMPUTED_VALUE"""),174.81)</f>
        <v>174.81</v>
      </c>
      <c r="D1456" s="1">
        <f ca="1">IFERROR(__xludf.DUMMYFUNCTION("""COMPUTED_VALUE"""),166.98)</f>
        <v>166.98</v>
      </c>
      <c r="E1456" s="1">
        <f ca="1">IFERROR(__xludf.DUMMYFUNCTION("""COMPUTED_VALUE"""),172.15)</f>
        <v>172.15</v>
      </c>
      <c r="F1456" s="1">
        <f ca="1">IFERROR(__xludf.DUMMYFUNCTION("""COMPUTED_VALUE"""),8364198)</f>
        <v>8364198</v>
      </c>
    </row>
    <row r="1457" spans="1:6" x14ac:dyDescent="0.35">
      <c r="A1457" s="2">
        <f ca="1">IFERROR(__xludf.DUMMYFUNCTION("""COMPUTED_VALUE"""),44117.6666666666)</f>
        <v>44117.666666666599</v>
      </c>
      <c r="B1457" s="1">
        <f ca="1">IFERROR(__xludf.DUMMYFUNCTION("""COMPUTED_VALUE"""),173.4)</f>
        <v>173.4</v>
      </c>
      <c r="C1457" s="1">
        <f ca="1">IFERROR(__xludf.DUMMYFUNCTION("""COMPUTED_VALUE"""),174.62)</f>
        <v>174.62</v>
      </c>
      <c r="D1457" s="1">
        <f ca="1">IFERROR(__xludf.DUMMYFUNCTION("""COMPUTED_VALUE"""),171.21)</f>
        <v>171.21</v>
      </c>
      <c r="E1457" s="1">
        <f ca="1">IFERROR(__xludf.DUMMYFUNCTION("""COMPUTED_VALUE"""),172.18)</f>
        <v>172.18</v>
      </c>
      <c r="F1457" s="1">
        <f ca="1">IFERROR(__xludf.DUMMYFUNCTION("""COMPUTED_VALUE"""),5744697)</f>
        <v>5744697</v>
      </c>
    </row>
    <row r="1458" spans="1:6" x14ac:dyDescent="0.35">
      <c r="A1458" s="2">
        <f ca="1">IFERROR(__xludf.DUMMYFUNCTION("""COMPUTED_VALUE"""),44118.6666666666)</f>
        <v>44118.666666666599</v>
      </c>
      <c r="B1458" s="1">
        <f ca="1">IFERROR(__xludf.DUMMYFUNCTION("""COMPUTED_VALUE"""),172.35)</f>
        <v>172.35</v>
      </c>
      <c r="C1458" s="1">
        <f ca="1">IFERROR(__xludf.DUMMYFUNCTION("""COMPUTED_VALUE"""),173.24)</f>
        <v>173.24</v>
      </c>
      <c r="D1458" s="1">
        <f ca="1">IFERROR(__xludf.DUMMYFUNCTION("""COMPUTED_VALUE"""),167)</f>
        <v>167</v>
      </c>
      <c r="E1458" s="1">
        <f ca="1">IFERROR(__xludf.DUMMYFUNCTION("""COMPUTED_VALUE"""),168.19)</f>
        <v>168.19</v>
      </c>
      <c r="F1458" s="1">
        <f ca="1">IFERROR(__xludf.DUMMYFUNCTION("""COMPUTED_VALUE"""),5828916)</f>
        <v>5828916</v>
      </c>
    </row>
    <row r="1459" spans="1:6" x14ac:dyDescent="0.35">
      <c r="A1459" s="2">
        <f ca="1">IFERROR(__xludf.DUMMYFUNCTION("""COMPUTED_VALUE"""),44119.6666666666)</f>
        <v>44119.666666666599</v>
      </c>
      <c r="B1459" s="1">
        <f ca="1">IFERROR(__xludf.DUMMYFUNCTION("""COMPUTED_VALUE"""),164.6)</f>
        <v>164.6</v>
      </c>
      <c r="C1459" s="1">
        <f ca="1">IFERROR(__xludf.DUMMYFUNCTION("""COMPUTED_VALUE"""),167.79)</f>
        <v>167.79</v>
      </c>
      <c r="D1459" s="1">
        <f ca="1">IFERROR(__xludf.DUMMYFUNCTION("""COMPUTED_VALUE"""),164)</f>
        <v>164</v>
      </c>
      <c r="E1459" s="1">
        <f ca="1">IFERROR(__xludf.DUMMYFUNCTION("""COMPUTED_VALUE"""),166.93)</f>
        <v>166.93</v>
      </c>
      <c r="F1459" s="1">
        <f ca="1">IFERROR(__xludf.DUMMYFUNCTION("""COMPUTED_VALUE"""),5223448)</f>
        <v>5223448</v>
      </c>
    </row>
    <row r="1460" spans="1:6" x14ac:dyDescent="0.35">
      <c r="A1460" s="2">
        <f ca="1">IFERROR(__xludf.DUMMYFUNCTION("""COMPUTED_VALUE"""),44120.6666666666)</f>
        <v>44120.666666666599</v>
      </c>
      <c r="B1460" s="1">
        <f ca="1">IFERROR(__xludf.DUMMYFUNCTION("""COMPUTED_VALUE"""),168.16)</f>
        <v>168.16</v>
      </c>
      <c r="C1460" s="1">
        <f ca="1">IFERROR(__xludf.DUMMYFUNCTION("""COMPUTED_VALUE"""),169.98)</f>
        <v>169.98</v>
      </c>
      <c r="D1460" s="1">
        <f ca="1">IFERROR(__xludf.DUMMYFUNCTION("""COMPUTED_VALUE"""),158)</f>
        <v>158</v>
      </c>
      <c r="E1460" s="1">
        <f ca="1">IFERROR(__xludf.DUMMYFUNCTION("""COMPUTED_VALUE"""),163.64)</f>
        <v>163.63999999999999</v>
      </c>
      <c r="F1460" s="1">
        <f ca="1">IFERROR(__xludf.DUMMYFUNCTION("""COMPUTED_VALUE"""),6474353)</f>
        <v>6474353</v>
      </c>
    </row>
    <row r="1461" spans="1:6" x14ac:dyDescent="0.35">
      <c r="A1461" s="2">
        <f ca="1">IFERROR(__xludf.DUMMYFUNCTION("""COMPUTED_VALUE"""),44123.6666666666)</f>
        <v>44123.666666666599</v>
      </c>
      <c r="B1461" s="1">
        <f ca="1">IFERROR(__xludf.DUMMYFUNCTION("""COMPUTED_VALUE"""),164.98)</f>
        <v>164.98</v>
      </c>
      <c r="C1461" s="1">
        <f ca="1">IFERROR(__xludf.DUMMYFUNCTION("""COMPUTED_VALUE"""),166.45)</f>
        <v>166.45</v>
      </c>
      <c r="D1461" s="1">
        <f ca="1">IFERROR(__xludf.DUMMYFUNCTION("""COMPUTED_VALUE"""),159.64)</f>
        <v>159.63999999999999</v>
      </c>
      <c r="E1461" s="1">
        <f ca="1">IFERROR(__xludf.DUMMYFUNCTION("""COMPUTED_VALUE"""),160.36)</f>
        <v>160.36000000000001</v>
      </c>
      <c r="F1461" s="1">
        <f ca="1">IFERROR(__xludf.DUMMYFUNCTION("""COMPUTED_VALUE"""),5223626)</f>
        <v>5223626</v>
      </c>
    </row>
    <row r="1462" spans="1:6" x14ac:dyDescent="0.35">
      <c r="A1462" s="2">
        <f ca="1">IFERROR(__xludf.DUMMYFUNCTION("""COMPUTED_VALUE"""),44124.6666666666)</f>
        <v>44124.666666666599</v>
      </c>
      <c r="B1462" s="1">
        <f ca="1">IFERROR(__xludf.DUMMYFUNCTION("""COMPUTED_VALUE"""),161.11)</f>
        <v>161.11000000000001</v>
      </c>
      <c r="C1462" s="1">
        <f ca="1">IFERROR(__xludf.DUMMYFUNCTION("""COMPUTED_VALUE"""),163.3)</f>
        <v>163.30000000000001</v>
      </c>
      <c r="D1462" s="1">
        <f ca="1">IFERROR(__xludf.DUMMYFUNCTION("""COMPUTED_VALUE"""),159.6)</f>
        <v>159.6</v>
      </c>
      <c r="E1462" s="1">
        <f ca="1">IFERROR(__xludf.DUMMYFUNCTION("""COMPUTED_VALUE"""),160.85)</f>
        <v>160.85</v>
      </c>
      <c r="F1462" s="1">
        <f ca="1">IFERROR(__xludf.DUMMYFUNCTION("""COMPUTED_VALUE"""),4509678)</f>
        <v>4509678</v>
      </c>
    </row>
    <row r="1463" spans="1:6" x14ac:dyDescent="0.35">
      <c r="A1463" s="2">
        <f ca="1">IFERROR(__xludf.DUMMYFUNCTION("""COMPUTED_VALUE"""),44125.6666666666)</f>
        <v>44125.666666666599</v>
      </c>
      <c r="B1463" s="1">
        <f ca="1">IFERROR(__xludf.DUMMYFUNCTION("""COMPUTED_VALUE"""),160.63)</f>
        <v>160.63</v>
      </c>
      <c r="C1463" s="1">
        <f ca="1">IFERROR(__xludf.DUMMYFUNCTION("""COMPUTED_VALUE"""),161.69)</f>
        <v>161.69</v>
      </c>
      <c r="D1463" s="1">
        <f ca="1">IFERROR(__xludf.DUMMYFUNCTION("""COMPUTED_VALUE"""),158)</f>
        <v>158</v>
      </c>
      <c r="E1463" s="1">
        <f ca="1">IFERROR(__xludf.DUMMYFUNCTION("""COMPUTED_VALUE"""),159.25)</f>
        <v>159.25</v>
      </c>
      <c r="F1463" s="1">
        <f ca="1">IFERROR(__xludf.DUMMYFUNCTION("""COMPUTED_VALUE"""),4592736)</f>
        <v>4592736</v>
      </c>
    </row>
    <row r="1464" spans="1:6" x14ac:dyDescent="0.35">
      <c r="A1464" s="2">
        <f ca="1">IFERROR(__xludf.DUMMYFUNCTION("""COMPUTED_VALUE"""),44126.6666666666)</f>
        <v>44126.666666666599</v>
      </c>
      <c r="B1464" s="1">
        <f ca="1">IFERROR(__xludf.DUMMYFUNCTION("""COMPUTED_VALUE"""),159.49)</f>
        <v>159.49</v>
      </c>
      <c r="C1464" s="1">
        <f ca="1">IFERROR(__xludf.DUMMYFUNCTION("""COMPUTED_VALUE"""),159.94)</f>
        <v>159.94</v>
      </c>
      <c r="D1464" s="1">
        <f ca="1">IFERROR(__xludf.DUMMYFUNCTION("""COMPUTED_VALUE"""),156.1)</f>
        <v>156.1</v>
      </c>
      <c r="E1464" s="1">
        <f ca="1">IFERROR(__xludf.DUMMYFUNCTION("""COMPUTED_VALUE"""),158.82)</f>
        <v>158.82</v>
      </c>
      <c r="F1464" s="1">
        <f ca="1">IFERROR(__xludf.DUMMYFUNCTION("""COMPUTED_VALUE"""),4212005)</f>
        <v>4212005</v>
      </c>
    </row>
    <row r="1465" spans="1:6" x14ac:dyDescent="0.35">
      <c r="A1465" s="2">
        <f ca="1">IFERROR(__xludf.DUMMYFUNCTION("""COMPUTED_VALUE"""),44127.6666666666)</f>
        <v>44127.666666666599</v>
      </c>
      <c r="B1465" s="1">
        <f ca="1">IFERROR(__xludf.DUMMYFUNCTION("""COMPUTED_VALUE"""),159.55)</f>
        <v>159.55000000000001</v>
      </c>
      <c r="C1465" s="1">
        <f ca="1">IFERROR(__xludf.DUMMYFUNCTION("""COMPUTED_VALUE"""),160.27)</f>
        <v>160.27000000000001</v>
      </c>
      <c r="D1465" s="1">
        <f ca="1">IFERROR(__xludf.DUMMYFUNCTION("""COMPUTED_VALUE"""),157)</f>
        <v>157</v>
      </c>
      <c r="E1465" s="1">
        <f ca="1">IFERROR(__xludf.DUMMYFUNCTION("""COMPUTED_VALUE"""),160.22)</f>
        <v>160.22</v>
      </c>
      <c r="F1465" s="1">
        <f ca="1">IFERROR(__xludf.DUMMYFUNCTION("""COMPUTED_VALUE"""),3466687)</f>
        <v>3466687</v>
      </c>
    </row>
    <row r="1466" spans="1:6" x14ac:dyDescent="0.35">
      <c r="A1466" s="2">
        <f ca="1">IFERROR(__xludf.DUMMYFUNCTION("""COMPUTED_VALUE"""),44130.6666666666)</f>
        <v>44130.666666666599</v>
      </c>
      <c r="B1466" s="1">
        <f ca="1">IFERROR(__xludf.DUMMYFUNCTION("""COMPUTED_VALUE"""),159.94)</f>
        <v>159.94</v>
      </c>
      <c r="C1466" s="1">
        <f ca="1">IFERROR(__xludf.DUMMYFUNCTION("""COMPUTED_VALUE"""),164.15)</f>
        <v>164.15</v>
      </c>
      <c r="D1466" s="1">
        <f ca="1">IFERROR(__xludf.DUMMYFUNCTION("""COMPUTED_VALUE"""),157.67)</f>
        <v>157.66999999999999</v>
      </c>
      <c r="E1466" s="1">
        <f ca="1">IFERROR(__xludf.DUMMYFUNCTION("""COMPUTED_VALUE"""),160.35)</f>
        <v>160.35</v>
      </c>
      <c r="F1466" s="1">
        <f ca="1">IFERROR(__xludf.DUMMYFUNCTION("""COMPUTED_VALUE"""),5901151)</f>
        <v>5901151</v>
      </c>
    </row>
    <row r="1467" spans="1:6" x14ac:dyDescent="0.35">
      <c r="A1467" s="2">
        <f ca="1">IFERROR(__xludf.DUMMYFUNCTION("""COMPUTED_VALUE"""),44131.6666666666)</f>
        <v>44131.666666666599</v>
      </c>
      <c r="B1467" s="1">
        <f ca="1">IFERROR(__xludf.DUMMYFUNCTION("""COMPUTED_VALUE"""),161.25)</f>
        <v>161.25</v>
      </c>
      <c r="C1467" s="1">
        <f ca="1">IFERROR(__xludf.DUMMYFUNCTION("""COMPUTED_VALUE"""),164.58)</f>
        <v>164.58</v>
      </c>
      <c r="D1467" s="1">
        <f ca="1">IFERROR(__xludf.DUMMYFUNCTION("""COMPUTED_VALUE"""),160.57)</f>
        <v>160.57</v>
      </c>
      <c r="E1467" s="1">
        <f ca="1">IFERROR(__xludf.DUMMYFUNCTION("""COMPUTED_VALUE"""),164.32)</f>
        <v>164.32</v>
      </c>
      <c r="F1467" s="1">
        <f ca="1">IFERROR(__xludf.DUMMYFUNCTION("""COMPUTED_VALUE"""),4291047)</f>
        <v>4291047</v>
      </c>
    </row>
    <row r="1468" spans="1:6" x14ac:dyDescent="0.35">
      <c r="A1468" s="2">
        <f ca="1">IFERROR(__xludf.DUMMYFUNCTION("""COMPUTED_VALUE"""),44132.6666666666)</f>
        <v>44132.666666666599</v>
      </c>
      <c r="B1468" s="1">
        <f ca="1">IFERROR(__xludf.DUMMYFUNCTION("""COMPUTED_VALUE"""),162.47)</f>
        <v>162.47</v>
      </c>
      <c r="C1468" s="1">
        <f ca="1">IFERROR(__xludf.DUMMYFUNCTION("""COMPUTED_VALUE"""),163.2)</f>
        <v>163.19999999999999</v>
      </c>
      <c r="D1468" s="1">
        <f ca="1">IFERROR(__xludf.DUMMYFUNCTION("""COMPUTED_VALUE"""),158.12)</f>
        <v>158.12</v>
      </c>
      <c r="E1468" s="1">
        <f ca="1">IFERROR(__xludf.DUMMYFUNCTION("""COMPUTED_VALUE"""),158.14)</f>
        <v>158.13999999999999</v>
      </c>
      <c r="F1468" s="1">
        <f ca="1">IFERROR(__xludf.DUMMYFUNCTION("""COMPUTED_VALUE"""),5588330)</f>
        <v>5588330</v>
      </c>
    </row>
    <row r="1469" spans="1:6" x14ac:dyDescent="0.35">
      <c r="A1469" s="2">
        <f ca="1">IFERROR(__xludf.DUMMYFUNCTION("""COMPUTED_VALUE"""),44133.6666666666)</f>
        <v>44133.666666666599</v>
      </c>
      <c r="B1469" s="1">
        <f ca="1">IFERROR(__xludf.DUMMYFUNCTION("""COMPUTED_VALUE"""),160.06)</f>
        <v>160.06</v>
      </c>
      <c r="C1469" s="1">
        <f ca="1">IFERROR(__xludf.DUMMYFUNCTION("""COMPUTED_VALUE"""),162.86)</f>
        <v>162.86000000000001</v>
      </c>
      <c r="D1469" s="1">
        <f ca="1">IFERROR(__xludf.DUMMYFUNCTION("""COMPUTED_VALUE"""),158.2)</f>
        <v>158.19999999999999</v>
      </c>
      <c r="E1469" s="1">
        <f ca="1">IFERROR(__xludf.DUMMYFUNCTION("""COMPUTED_VALUE"""),160.55)</f>
        <v>160.55000000000001</v>
      </c>
      <c r="F1469" s="1">
        <f ca="1">IFERROR(__xludf.DUMMYFUNCTION("""COMPUTED_VALUE"""),6596529)</f>
        <v>6596529</v>
      </c>
    </row>
    <row r="1470" spans="1:6" x14ac:dyDescent="0.35">
      <c r="A1470" s="2">
        <f ca="1">IFERROR(__xludf.DUMMYFUNCTION("""COMPUTED_VALUE"""),44134.6666666666)</f>
        <v>44134.666666666599</v>
      </c>
      <c r="B1470" s="1">
        <f ca="1">IFERROR(__xludf.DUMMYFUNCTION("""COMPUTED_VALUE"""),157.89)</f>
        <v>157.88999999999999</v>
      </c>
      <c r="C1470" s="1">
        <f ca="1">IFERROR(__xludf.DUMMYFUNCTION("""COMPUTED_VALUE"""),158.35)</f>
        <v>158.35</v>
      </c>
      <c r="D1470" s="1">
        <f ca="1">IFERROR(__xludf.DUMMYFUNCTION("""COMPUTED_VALUE"""),150.95)</f>
        <v>150.94999999999999</v>
      </c>
      <c r="E1470" s="1">
        <f ca="1">IFERROR(__xludf.DUMMYFUNCTION("""COMPUTED_VALUE"""),151.81)</f>
        <v>151.81</v>
      </c>
      <c r="F1470" s="1">
        <f ca="1">IFERROR(__xludf.DUMMYFUNCTION("""COMPUTED_VALUE"""),8396081)</f>
        <v>8396081</v>
      </c>
    </row>
    <row r="1471" spans="1:6" x14ac:dyDescent="0.35">
      <c r="A1471" s="2">
        <f ca="1">IFERROR(__xludf.DUMMYFUNCTION("""COMPUTED_VALUE"""),44137.6666666666)</f>
        <v>44137.666666666599</v>
      </c>
      <c r="B1471" s="1">
        <f ca="1">IFERROR(__xludf.DUMMYFUNCTION("""COMPUTED_VALUE"""),153.09)</f>
        <v>153.09</v>
      </c>
      <c r="C1471" s="1">
        <f ca="1">IFERROR(__xludf.DUMMYFUNCTION("""COMPUTED_VALUE"""),153.99)</f>
        <v>153.99</v>
      </c>
      <c r="D1471" s="1">
        <f ca="1">IFERROR(__xludf.DUMMYFUNCTION("""COMPUTED_VALUE"""),147.51)</f>
        <v>147.51</v>
      </c>
      <c r="E1471" s="1">
        <f ca="1">IFERROR(__xludf.DUMMYFUNCTION("""COMPUTED_VALUE"""),150.22)</f>
        <v>150.22</v>
      </c>
      <c r="F1471" s="1">
        <f ca="1">IFERROR(__xludf.DUMMYFUNCTION("""COMPUTED_VALUE"""),7257350)</f>
        <v>7257350</v>
      </c>
    </row>
    <row r="1472" spans="1:6" x14ac:dyDescent="0.35">
      <c r="A1472" s="2">
        <f ca="1">IFERROR(__xludf.DUMMYFUNCTION("""COMPUTED_VALUE"""),44138.6666666666)</f>
        <v>44138.666666666599</v>
      </c>
      <c r="B1472" s="1">
        <f ca="1">IFERROR(__xludf.DUMMYFUNCTION("""COMPUTED_VALUE"""),150.93)</f>
        <v>150.93</v>
      </c>
      <c r="C1472" s="1">
        <f ca="1">IFERROR(__xludf.DUMMYFUNCTION("""COMPUTED_VALUE"""),153.75)</f>
        <v>153.75</v>
      </c>
      <c r="D1472" s="1">
        <f ca="1">IFERROR(__xludf.DUMMYFUNCTION("""COMPUTED_VALUE"""),149.05)</f>
        <v>149.05000000000001</v>
      </c>
      <c r="E1472" s="1">
        <f ca="1">IFERROR(__xludf.DUMMYFUNCTION("""COMPUTED_VALUE"""),152.42)</f>
        <v>152.41999999999999</v>
      </c>
      <c r="F1472" s="1">
        <f ca="1">IFERROR(__xludf.DUMMYFUNCTION("""COMPUTED_VALUE"""),4897880)</f>
        <v>4897880</v>
      </c>
    </row>
    <row r="1473" spans="1:6" x14ac:dyDescent="0.35">
      <c r="A1473" s="2">
        <f ca="1">IFERROR(__xludf.DUMMYFUNCTION("""COMPUTED_VALUE"""),44139.6666666666)</f>
        <v>44139.666666666599</v>
      </c>
      <c r="B1473" s="1">
        <f ca="1">IFERROR(__xludf.DUMMYFUNCTION("""COMPUTED_VALUE"""),158)</f>
        <v>158</v>
      </c>
      <c r="C1473" s="1">
        <f ca="1">IFERROR(__xludf.DUMMYFUNCTION("""COMPUTED_VALUE"""),162.24)</f>
        <v>162.24</v>
      </c>
      <c r="D1473" s="1">
        <f ca="1">IFERROR(__xludf.DUMMYFUNCTION("""COMPUTED_VALUE"""),156.99)</f>
        <v>156.99</v>
      </c>
      <c r="E1473" s="1">
        <f ca="1">IFERROR(__xludf.DUMMYFUNCTION("""COMPUTED_VALUE"""),162.06)</f>
        <v>162.06</v>
      </c>
      <c r="F1473" s="1">
        <f ca="1">IFERROR(__xludf.DUMMYFUNCTION("""COMPUTED_VALUE"""),6839041)</f>
        <v>6839041</v>
      </c>
    </row>
    <row r="1474" spans="1:6" x14ac:dyDescent="0.35">
      <c r="A1474" s="2">
        <f ca="1">IFERROR(__xludf.DUMMYFUNCTION("""COMPUTED_VALUE"""),44140.6666666666)</f>
        <v>44140.666666666599</v>
      </c>
      <c r="B1474" s="1">
        <f ca="1">IFERROR(__xludf.DUMMYFUNCTION("""COMPUTED_VALUE"""),166)</f>
        <v>166</v>
      </c>
      <c r="C1474" s="1">
        <f ca="1">IFERROR(__xludf.DUMMYFUNCTION("""COMPUTED_VALUE"""),168.34)</f>
        <v>168.34</v>
      </c>
      <c r="D1474" s="1">
        <f ca="1">IFERROR(__xludf.DUMMYFUNCTION("""COMPUTED_VALUE"""),164.44)</f>
        <v>164.44</v>
      </c>
      <c r="E1474" s="1">
        <f ca="1">IFERROR(__xludf.DUMMYFUNCTION("""COMPUTED_VALUE"""),166.1)</f>
        <v>166.1</v>
      </c>
      <c r="F1474" s="1">
        <f ca="1">IFERROR(__xludf.DUMMYFUNCTION("""COMPUTED_VALUE"""),5789285)</f>
        <v>5789285</v>
      </c>
    </row>
    <row r="1475" spans="1:6" x14ac:dyDescent="0.35">
      <c r="A1475" s="2">
        <f ca="1">IFERROR(__xludf.DUMMYFUNCTION("""COMPUTED_VALUE"""),44141.6666666666)</f>
        <v>44141.666666666599</v>
      </c>
      <c r="B1475" s="1">
        <f ca="1">IFERROR(__xludf.DUMMYFUNCTION("""COMPUTED_VALUE"""),165.23)</f>
        <v>165.23</v>
      </c>
      <c r="C1475" s="1">
        <f ca="1">IFERROR(__xludf.DUMMYFUNCTION("""COMPUTED_VALUE"""),166.1)</f>
        <v>166.1</v>
      </c>
      <c r="D1475" s="1">
        <f ca="1">IFERROR(__xludf.DUMMYFUNCTION("""COMPUTED_VALUE"""),161.6)</f>
        <v>161.6</v>
      </c>
      <c r="E1475" s="1">
        <f ca="1">IFERROR(__xludf.DUMMYFUNCTION("""COMPUTED_VALUE"""),165.57)</f>
        <v>165.57</v>
      </c>
      <c r="F1475" s="1">
        <f ca="1">IFERROR(__xludf.DUMMYFUNCTION("""COMPUTED_VALUE"""),4647330)</f>
        <v>4647330</v>
      </c>
    </row>
    <row r="1476" spans="1:6" x14ac:dyDescent="0.35">
      <c r="A1476" s="2">
        <f ca="1">IFERROR(__xludf.DUMMYFUNCTION("""COMPUTED_VALUE"""),44144.6666666666)</f>
        <v>44144.666666666599</v>
      </c>
      <c r="B1476" s="1">
        <f ca="1">IFERROR(__xludf.DUMMYFUNCTION("""COMPUTED_VALUE"""),161.55)</f>
        <v>161.55000000000001</v>
      </c>
      <c r="C1476" s="1">
        <f ca="1">IFERROR(__xludf.DUMMYFUNCTION("""COMPUTED_VALUE"""),164.45)</f>
        <v>164.45</v>
      </c>
      <c r="D1476" s="1">
        <f ca="1">IFERROR(__xludf.DUMMYFUNCTION("""COMPUTED_VALUE"""),155.61)</f>
        <v>155.61000000000001</v>
      </c>
      <c r="E1476" s="1">
        <f ca="1">IFERROR(__xludf.DUMMYFUNCTION("""COMPUTED_VALUE"""),157.19)</f>
        <v>157.19</v>
      </c>
      <c r="F1476" s="1">
        <f ca="1">IFERROR(__xludf.DUMMYFUNCTION("""COMPUTED_VALUE"""),7190406)</f>
        <v>7190406</v>
      </c>
    </row>
    <row r="1477" spans="1:6" x14ac:dyDescent="0.35">
      <c r="A1477" s="2">
        <f ca="1">IFERROR(__xludf.DUMMYFUNCTION("""COMPUTED_VALUE"""),44145.6666666666)</f>
        <v>44145.666666666599</v>
      </c>
      <c r="B1477" s="1">
        <f ca="1">IFERROR(__xludf.DUMMYFUNCTION("""COMPUTED_VALUE"""),154.75)</f>
        <v>154.75</v>
      </c>
      <c r="C1477" s="1">
        <f ca="1">IFERROR(__xludf.DUMMYFUNCTION("""COMPUTED_VALUE"""),155.7)</f>
        <v>155.69999999999999</v>
      </c>
      <c r="D1477" s="1">
        <f ca="1">IFERROR(__xludf.DUMMYFUNCTION("""COMPUTED_VALUE"""),150.97)</f>
        <v>150.97</v>
      </c>
      <c r="E1477" s="1">
        <f ca="1">IFERROR(__xludf.DUMMYFUNCTION("""COMPUTED_VALUE"""),151.75)</f>
        <v>151.75</v>
      </c>
      <c r="F1477" s="1">
        <f ca="1">IFERROR(__xludf.DUMMYFUNCTION("""COMPUTED_VALUE"""),6590956)</f>
        <v>6590956</v>
      </c>
    </row>
    <row r="1478" spans="1:6" x14ac:dyDescent="0.35">
      <c r="A1478" s="2">
        <f ca="1">IFERROR(__xludf.DUMMYFUNCTION("""COMPUTED_VALUE"""),44146.6666666666)</f>
        <v>44146.666666666599</v>
      </c>
      <c r="B1478" s="1">
        <f ca="1">IFERROR(__xludf.DUMMYFUNCTION("""COMPUTED_VALUE"""),153.09)</f>
        <v>153.09</v>
      </c>
      <c r="C1478" s="1">
        <f ca="1">IFERROR(__xludf.DUMMYFUNCTION("""COMPUTED_VALUE"""),156.96)</f>
        <v>156.96</v>
      </c>
      <c r="D1478" s="1">
        <f ca="1">IFERROR(__xludf.DUMMYFUNCTION("""COMPUTED_VALUE"""),152.5)</f>
        <v>152.5</v>
      </c>
      <c r="E1478" s="1">
        <f ca="1">IFERROR(__xludf.DUMMYFUNCTION("""COMPUTED_VALUE"""),156.87)</f>
        <v>156.87</v>
      </c>
      <c r="F1478" s="1">
        <f ca="1">IFERROR(__xludf.DUMMYFUNCTION("""COMPUTED_VALUE"""),4366923)</f>
        <v>4366923</v>
      </c>
    </row>
    <row r="1479" spans="1:6" x14ac:dyDescent="0.35">
      <c r="A1479" s="2">
        <f ca="1">IFERROR(__xludf.DUMMYFUNCTION("""COMPUTED_VALUE"""),44147.6666666666)</f>
        <v>44147.666666666599</v>
      </c>
      <c r="B1479" s="1">
        <f ca="1">IFERROR(__xludf.DUMMYFUNCTION("""COMPUTED_VALUE"""),158)</f>
        <v>158</v>
      </c>
      <c r="C1479" s="1">
        <f ca="1">IFERROR(__xludf.DUMMYFUNCTION("""COMPUTED_VALUE"""),158.79)</f>
        <v>158.79</v>
      </c>
      <c r="D1479" s="1">
        <f ca="1">IFERROR(__xludf.DUMMYFUNCTION("""COMPUTED_VALUE"""),154.3)</f>
        <v>154.30000000000001</v>
      </c>
      <c r="E1479" s="1">
        <f ca="1">IFERROR(__xludf.DUMMYFUNCTION("""COMPUTED_VALUE"""),155.51)</f>
        <v>155.51</v>
      </c>
      <c r="F1479" s="1">
        <f ca="1">IFERROR(__xludf.DUMMYFUNCTION("""COMPUTED_VALUE"""),4371208)</f>
        <v>4371208</v>
      </c>
    </row>
    <row r="1480" spans="1:6" x14ac:dyDescent="0.35">
      <c r="A1480" s="2">
        <f ca="1">IFERROR(__xludf.DUMMYFUNCTION("""COMPUTED_VALUE"""),44148.6666666666)</f>
        <v>44148.666666666599</v>
      </c>
      <c r="B1480" s="1">
        <f ca="1">IFERROR(__xludf.DUMMYFUNCTION("""COMPUTED_VALUE"""),156.1)</f>
        <v>156.1</v>
      </c>
      <c r="C1480" s="1">
        <f ca="1">IFERROR(__xludf.DUMMYFUNCTION("""COMPUTED_VALUE"""),157.09)</f>
        <v>157.09</v>
      </c>
      <c r="D1480" s="1">
        <f ca="1">IFERROR(__xludf.DUMMYFUNCTION("""COMPUTED_VALUE"""),154.27)</f>
        <v>154.27000000000001</v>
      </c>
      <c r="E1480" s="1">
        <f ca="1">IFERROR(__xludf.DUMMYFUNCTION("""COMPUTED_VALUE"""),156.44)</f>
        <v>156.44</v>
      </c>
      <c r="F1480" s="1">
        <f ca="1">IFERROR(__xludf.DUMMYFUNCTION("""COMPUTED_VALUE"""),3762587)</f>
        <v>3762587</v>
      </c>
    </row>
    <row r="1481" spans="1:6" x14ac:dyDescent="0.35">
      <c r="A1481" s="2">
        <f ca="1">IFERROR(__xludf.DUMMYFUNCTION("""COMPUTED_VALUE"""),44151.6666666666)</f>
        <v>44151.666666666599</v>
      </c>
      <c r="B1481" s="1">
        <f ca="1">IFERROR(__xludf.DUMMYFUNCTION("""COMPUTED_VALUE"""),154.66)</f>
        <v>154.66</v>
      </c>
      <c r="C1481" s="1">
        <f ca="1">IFERROR(__xludf.DUMMYFUNCTION("""COMPUTED_VALUE"""),157.14)</f>
        <v>157.13999999999999</v>
      </c>
      <c r="D1481" s="1">
        <f ca="1">IFERROR(__xludf.DUMMYFUNCTION("""COMPUTED_VALUE"""),153.63)</f>
        <v>153.63</v>
      </c>
      <c r="E1481" s="1">
        <f ca="1">IFERROR(__xludf.DUMMYFUNCTION("""COMPUTED_VALUE"""),156.55)</f>
        <v>156.55000000000001</v>
      </c>
      <c r="F1481" s="1">
        <f ca="1">IFERROR(__xludf.DUMMYFUNCTION("""COMPUTED_VALUE"""),3808676)</f>
        <v>3808676</v>
      </c>
    </row>
    <row r="1482" spans="1:6" x14ac:dyDescent="0.35">
      <c r="A1482" s="2">
        <f ca="1">IFERROR(__xludf.DUMMYFUNCTION("""COMPUTED_VALUE"""),44152.6666666666)</f>
        <v>44152.666666666599</v>
      </c>
      <c r="B1482" s="1">
        <f ca="1">IFERROR(__xludf.DUMMYFUNCTION("""COMPUTED_VALUE"""),159.18)</f>
        <v>159.18</v>
      </c>
      <c r="C1482" s="1">
        <f ca="1">IFERROR(__xludf.DUMMYFUNCTION("""COMPUTED_VALUE"""),159.46)</f>
        <v>159.46</v>
      </c>
      <c r="D1482" s="1">
        <f ca="1">IFERROR(__xludf.DUMMYFUNCTION("""COMPUTED_VALUE"""),156.76)</f>
        <v>156.76</v>
      </c>
      <c r="E1482" s="1">
        <f ca="1">IFERROR(__xludf.DUMMYFUNCTION("""COMPUTED_VALUE"""),156.78)</f>
        <v>156.78</v>
      </c>
      <c r="F1482" s="1">
        <f ca="1">IFERROR(__xludf.DUMMYFUNCTION("""COMPUTED_VALUE"""),3444735)</f>
        <v>3444735</v>
      </c>
    </row>
    <row r="1483" spans="1:6" x14ac:dyDescent="0.35">
      <c r="A1483" s="2">
        <f ca="1">IFERROR(__xludf.DUMMYFUNCTION("""COMPUTED_VALUE"""),44153.6666666666)</f>
        <v>44153.666666666599</v>
      </c>
      <c r="B1483" s="1">
        <f ca="1">IFERROR(__xludf.DUMMYFUNCTION("""COMPUTED_VALUE"""),156.7)</f>
        <v>156.69999999999999</v>
      </c>
      <c r="C1483" s="1">
        <f ca="1">IFERROR(__xludf.DUMMYFUNCTION("""COMPUTED_VALUE"""),157)</f>
        <v>157</v>
      </c>
      <c r="D1483" s="1">
        <f ca="1">IFERROR(__xludf.DUMMYFUNCTION("""COMPUTED_VALUE"""),155.26)</f>
        <v>155.26</v>
      </c>
      <c r="E1483" s="1">
        <f ca="1">IFERROR(__xludf.DUMMYFUNCTION("""COMPUTED_VALUE"""),155.27)</f>
        <v>155.27000000000001</v>
      </c>
      <c r="F1483" s="1">
        <f ca="1">IFERROR(__xludf.DUMMYFUNCTION("""COMPUTED_VALUE"""),2916836)</f>
        <v>2916836</v>
      </c>
    </row>
    <row r="1484" spans="1:6" x14ac:dyDescent="0.35">
      <c r="A1484" s="2">
        <f ca="1">IFERROR(__xludf.DUMMYFUNCTION("""COMPUTED_VALUE"""),44154.6666666666)</f>
        <v>44154.666666666599</v>
      </c>
      <c r="B1484" s="1">
        <f ca="1">IFERROR(__xludf.DUMMYFUNCTION("""COMPUTED_VALUE"""),155.27)</f>
        <v>155.27000000000001</v>
      </c>
      <c r="C1484" s="1">
        <f ca="1">IFERROR(__xludf.DUMMYFUNCTION("""COMPUTED_VALUE"""),156.25)</f>
        <v>156.25</v>
      </c>
      <c r="D1484" s="1">
        <f ca="1">IFERROR(__xludf.DUMMYFUNCTION("""COMPUTED_VALUE"""),154.05)</f>
        <v>154.05000000000001</v>
      </c>
      <c r="E1484" s="1">
        <f ca="1">IFERROR(__xludf.DUMMYFUNCTION("""COMPUTED_VALUE"""),155.85)</f>
        <v>155.85</v>
      </c>
      <c r="F1484" s="1">
        <f ca="1">IFERROR(__xludf.DUMMYFUNCTION("""COMPUTED_VALUE"""),3010270)</f>
        <v>3010270</v>
      </c>
    </row>
    <row r="1485" spans="1:6" x14ac:dyDescent="0.35">
      <c r="A1485" s="2">
        <f ca="1">IFERROR(__xludf.DUMMYFUNCTION("""COMPUTED_VALUE"""),44155.6666666666)</f>
        <v>44155.666666666599</v>
      </c>
      <c r="B1485" s="1">
        <f ca="1">IFERROR(__xludf.DUMMYFUNCTION("""COMPUTED_VALUE"""),155.85)</f>
        <v>155.85</v>
      </c>
      <c r="C1485" s="1">
        <f ca="1">IFERROR(__xludf.DUMMYFUNCTION("""COMPUTED_VALUE"""),156.64)</f>
        <v>156.63999999999999</v>
      </c>
      <c r="D1485" s="1">
        <f ca="1">IFERROR(__xludf.DUMMYFUNCTION("""COMPUTED_VALUE"""),154.9)</f>
        <v>154.9</v>
      </c>
      <c r="E1485" s="1">
        <f ca="1">IFERROR(__xludf.DUMMYFUNCTION("""COMPUTED_VALUE"""),154.97)</f>
        <v>154.97</v>
      </c>
      <c r="F1485" s="1">
        <f ca="1">IFERROR(__xludf.DUMMYFUNCTION("""COMPUTED_VALUE"""),3380138)</f>
        <v>3380138</v>
      </c>
    </row>
    <row r="1486" spans="1:6" x14ac:dyDescent="0.35">
      <c r="A1486" s="2">
        <f ca="1">IFERROR(__xludf.DUMMYFUNCTION("""COMPUTED_VALUE"""),44158.6666666666)</f>
        <v>44158.666666666599</v>
      </c>
      <c r="B1486" s="1">
        <f ca="1">IFERROR(__xludf.DUMMYFUNCTION("""COMPUTED_VALUE"""),155.83)</f>
        <v>155.83000000000001</v>
      </c>
      <c r="C1486" s="1">
        <f ca="1">IFERROR(__xludf.DUMMYFUNCTION("""COMPUTED_VALUE"""),156.99)</f>
        <v>156.99</v>
      </c>
      <c r="D1486" s="1">
        <f ca="1">IFERROR(__xludf.DUMMYFUNCTION("""COMPUTED_VALUE"""),153.27)</f>
        <v>153.27000000000001</v>
      </c>
      <c r="E1486" s="1">
        <f ca="1">IFERROR(__xludf.DUMMYFUNCTION("""COMPUTED_VALUE"""),154.92)</f>
        <v>154.91999999999999</v>
      </c>
      <c r="F1486" s="1">
        <f ca="1">IFERROR(__xludf.DUMMYFUNCTION("""COMPUTED_VALUE"""),4708887)</f>
        <v>4708887</v>
      </c>
    </row>
    <row r="1487" spans="1:6" x14ac:dyDescent="0.35">
      <c r="A1487" s="2">
        <f ca="1">IFERROR(__xludf.DUMMYFUNCTION("""COMPUTED_VALUE"""),44159.6666666666)</f>
        <v>44159.666666666599</v>
      </c>
      <c r="B1487" s="1">
        <f ca="1">IFERROR(__xludf.DUMMYFUNCTION("""COMPUTED_VALUE"""),155.03)</f>
        <v>155.03</v>
      </c>
      <c r="C1487" s="1">
        <f ca="1">IFERROR(__xludf.DUMMYFUNCTION("""COMPUTED_VALUE"""),156.71)</f>
        <v>156.71</v>
      </c>
      <c r="D1487" s="1">
        <f ca="1">IFERROR(__xludf.DUMMYFUNCTION("""COMPUTED_VALUE"""),154.31)</f>
        <v>154.31</v>
      </c>
      <c r="E1487" s="1">
        <f ca="1">IFERROR(__xludf.DUMMYFUNCTION("""COMPUTED_VALUE"""),155.9)</f>
        <v>155.9</v>
      </c>
      <c r="F1487" s="1">
        <f ca="1">IFERROR(__xludf.DUMMYFUNCTION("""COMPUTED_VALUE"""),3602102)</f>
        <v>3602102</v>
      </c>
    </row>
    <row r="1488" spans="1:6" x14ac:dyDescent="0.35">
      <c r="A1488" s="2">
        <f ca="1">IFERROR(__xludf.DUMMYFUNCTION("""COMPUTED_VALUE"""),44160.6666666666)</f>
        <v>44160.666666666599</v>
      </c>
      <c r="B1488" s="1">
        <f ca="1">IFERROR(__xludf.DUMMYFUNCTION("""COMPUTED_VALUE"""),157.09)</f>
        <v>157.09</v>
      </c>
      <c r="C1488" s="1">
        <f ca="1">IFERROR(__xludf.DUMMYFUNCTION("""COMPUTED_VALUE"""),159.9)</f>
        <v>159.9</v>
      </c>
      <c r="D1488" s="1">
        <f ca="1">IFERROR(__xludf.DUMMYFUNCTION("""COMPUTED_VALUE"""),157.01)</f>
        <v>157.01</v>
      </c>
      <c r="E1488" s="1">
        <f ca="1">IFERROR(__xludf.DUMMYFUNCTION("""COMPUTED_VALUE"""),159.25)</f>
        <v>159.25</v>
      </c>
      <c r="F1488" s="1">
        <f ca="1">IFERROR(__xludf.DUMMYFUNCTION("""COMPUTED_VALUE"""),3790403)</f>
        <v>3790403</v>
      </c>
    </row>
    <row r="1489" spans="1:6" x14ac:dyDescent="0.35">
      <c r="A1489" s="2">
        <f ca="1">IFERROR(__xludf.DUMMYFUNCTION("""COMPUTED_VALUE"""),44162.5416666666)</f>
        <v>44162.541666666599</v>
      </c>
      <c r="B1489" s="1">
        <f ca="1">IFERROR(__xludf.DUMMYFUNCTION("""COMPUTED_VALUE"""),160.56)</f>
        <v>160.56</v>
      </c>
      <c r="C1489" s="1">
        <f ca="1">IFERROR(__xludf.DUMMYFUNCTION("""COMPUTED_VALUE"""),160.81)</f>
        <v>160.81</v>
      </c>
      <c r="D1489" s="1">
        <f ca="1">IFERROR(__xludf.DUMMYFUNCTION("""COMPUTED_VALUE"""),159.5)</f>
        <v>159.5</v>
      </c>
      <c r="E1489" s="1">
        <f ca="1">IFERROR(__xludf.DUMMYFUNCTION("""COMPUTED_VALUE"""),159.77)</f>
        <v>159.77000000000001</v>
      </c>
      <c r="F1489" s="1">
        <f ca="1">IFERROR(__xludf.DUMMYFUNCTION("""COMPUTED_VALUE"""),2392867)</f>
        <v>2392867</v>
      </c>
    </row>
    <row r="1490" spans="1:6" x14ac:dyDescent="0.35">
      <c r="A1490" s="2">
        <f ca="1">IFERROR(__xludf.DUMMYFUNCTION("""COMPUTED_VALUE"""),44165.6666666666)</f>
        <v>44165.666666666599</v>
      </c>
      <c r="B1490" s="1">
        <f ca="1">IFERROR(__xludf.DUMMYFUNCTION("""COMPUTED_VALUE"""),160.42)</f>
        <v>160.41999999999999</v>
      </c>
      <c r="C1490" s="1">
        <f ca="1">IFERROR(__xludf.DUMMYFUNCTION("""COMPUTED_VALUE"""),161.42)</f>
        <v>161.41999999999999</v>
      </c>
      <c r="D1490" s="1">
        <f ca="1">IFERROR(__xludf.DUMMYFUNCTION("""COMPUTED_VALUE"""),156.28)</f>
        <v>156.28</v>
      </c>
      <c r="E1490" s="1">
        <f ca="1">IFERROR(__xludf.DUMMYFUNCTION("""COMPUTED_VALUE"""),158.4)</f>
        <v>158.4</v>
      </c>
      <c r="F1490" s="1">
        <f ca="1">IFERROR(__xludf.DUMMYFUNCTION("""COMPUTED_VALUE"""),4063916)</f>
        <v>4063916</v>
      </c>
    </row>
    <row r="1491" spans="1:6" x14ac:dyDescent="0.35">
      <c r="A1491" s="2">
        <f ca="1">IFERROR(__xludf.DUMMYFUNCTION("""COMPUTED_VALUE"""),44166.6666666666)</f>
        <v>44166.666666666599</v>
      </c>
      <c r="B1491" s="1">
        <f ca="1">IFERROR(__xludf.DUMMYFUNCTION("""COMPUTED_VALUE"""),159.43)</f>
        <v>159.43</v>
      </c>
      <c r="C1491" s="1">
        <f ca="1">IFERROR(__xludf.DUMMYFUNCTION("""COMPUTED_VALUE"""),162.45)</f>
        <v>162.44999999999999</v>
      </c>
      <c r="D1491" s="1">
        <f ca="1">IFERROR(__xludf.DUMMYFUNCTION("""COMPUTED_VALUE"""),157.86)</f>
        <v>157.86000000000001</v>
      </c>
      <c r="E1491" s="1">
        <f ca="1">IFERROR(__xludf.DUMMYFUNCTION("""COMPUTED_VALUE"""),161)</f>
        <v>161</v>
      </c>
      <c r="F1491" s="1">
        <f ca="1">IFERROR(__xludf.DUMMYFUNCTION("""COMPUTED_VALUE"""),4544382)</f>
        <v>4544382</v>
      </c>
    </row>
    <row r="1492" spans="1:6" x14ac:dyDescent="0.35">
      <c r="A1492" s="2">
        <f ca="1">IFERROR(__xludf.DUMMYFUNCTION("""COMPUTED_VALUE"""),44167.6666666666)</f>
        <v>44167.666666666599</v>
      </c>
      <c r="B1492" s="1">
        <f ca="1">IFERROR(__xludf.DUMMYFUNCTION("""COMPUTED_VALUE"""),161.08)</f>
        <v>161.08000000000001</v>
      </c>
      <c r="C1492" s="1">
        <f ca="1">IFERROR(__xludf.DUMMYFUNCTION("""COMPUTED_VALUE"""),161.6)</f>
        <v>161.6</v>
      </c>
      <c r="D1492" s="1">
        <f ca="1">IFERROR(__xludf.DUMMYFUNCTION("""COMPUTED_VALUE"""),158.66)</f>
        <v>158.66</v>
      </c>
      <c r="E1492" s="1">
        <f ca="1">IFERROR(__xludf.DUMMYFUNCTION("""COMPUTED_VALUE"""),160.18)</f>
        <v>160.18</v>
      </c>
      <c r="F1492" s="1">
        <f ca="1">IFERROR(__xludf.DUMMYFUNCTION("""COMPUTED_VALUE"""),3129304)</f>
        <v>3129304</v>
      </c>
    </row>
    <row r="1493" spans="1:6" x14ac:dyDescent="0.35">
      <c r="A1493" s="2">
        <f ca="1">IFERROR(__xludf.DUMMYFUNCTION("""COMPUTED_VALUE"""),44168.6666666666)</f>
        <v>44168.666666666599</v>
      </c>
      <c r="B1493" s="1">
        <f ca="1">IFERROR(__xludf.DUMMYFUNCTION("""COMPUTED_VALUE"""),160.27)</f>
        <v>160.27000000000001</v>
      </c>
      <c r="C1493" s="1">
        <f ca="1">IFERROR(__xludf.DUMMYFUNCTION("""COMPUTED_VALUE"""),161.43)</f>
        <v>161.43</v>
      </c>
      <c r="D1493" s="1">
        <f ca="1">IFERROR(__xludf.DUMMYFUNCTION("""COMPUTED_VALUE"""),159.07)</f>
        <v>159.07</v>
      </c>
      <c r="E1493" s="1">
        <f ca="1">IFERROR(__xludf.DUMMYFUNCTION("""COMPUTED_VALUE"""),159.34)</f>
        <v>159.34</v>
      </c>
      <c r="F1493" s="1">
        <f ca="1">IFERROR(__xludf.DUMMYFUNCTION("""COMPUTED_VALUE"""),2892039)</f>
        <v>2892039</v>
      </c>
    </row>
    <row r="1494" spans="1:6" x14ac:dyDescent="0.35">
      <c r="A1494" s="2">
        <f ca="1">IFERROR(__xludf.DUMMYFUNCTION("""COMPUTED_VALUE"""),44169.6666666666)</f>
        <v>44169.666666666599</v>
      </c>
      <c r="B1494" s="1">
        <f ca="1">IFERROR(__xludf.DUMMYFUNCTION("""COMPUTED_VALUE"""),159.91)</f>
        <v>159.91</v>
      </c>
      <c r="C1494" s="1">
        <f ca="1">IFERROR(__xludf.DUMMYFUNCTION("""COMPUTED_VALUE"""),159.91)</f>
        <v>159.91</v>
      </c>
      <c r="D1494" s="1">
        <f ca="1">IFERROR(__xludf.DUMMYFUNCTION("""COMPUTED_VALUE"""),157.94)</f>
        <v>157.94</v>
      </c>
      <c r="E1494" s="1">
        <f ca="1">IFERROR(__xludf.DUMMYFUNCTION("""COMPUTED_VALUE"""),158.13)</f>
        <v>158.13</v>
      </c>
      <c r="F1494" s="1">
        <f ca="1">IFERROR(__xludf.DUMMYFUNCTION("""COMPUTED_VALUE"""),2913611)</f>
        <v>2913611</v>
      </c>
    </row>
    <row r="1495" spans="1:6" x14ac:dyDescent="0.35">
      <c r="A1495" s="2">
        <f ca="1">IFERROR(__xludf.DUMMYFUNCTION("""COMPUTED_VALUE"""),44172.6666666666)</f>
        <v>44172.666666666599</v>
      </c>
      <c r="B1495" s="1">
        <f ca="1">IFERROR(__xludf.DUMMYFUNCTION("""COMPUTED_VALUE"""),157.82)</f>
        <v>157.82</v>
      </c>
      <c r="C1495" s="1">
        <f ca="1">IFERROR(__xludf.DUMMYFUNCTION("""COMPUTED_VALUE"""),159.04)</f>
        <v>159.04</v>
      </c>
      <c r="D1495" s="1">
        <f ca="1">IFERROR(__xludf.DUMMYFUNCTION("""COMPUTED_VALUE"""),157.08)</f>
        <v>157.08000000000001</v>
      </c>
      <c r="E1495" s="1">
        <f ca="1">IFERROR(__xludf.DUMMYFUNCTION("""COMPUTED_VALUE"""),157.9)</f>
        <v>157.9</v>
      </c>
      <c r="F1495" s="1">
        <f ca="1">IFERROR(__xludf.DUMMYFUNCTION("""COMPUTED_VALUE"""),2751316)</f>
        <v>2751316</v>
      </c>
    </row>
    <row r="1496" spans="1:6" x14ac:dyDescent="0.35">
      <c r="A1496" s="2">
        <f ca="1">IFERROR(__xludf.DUMMYFUNCTION("""COMPUTED_VALUE"""),44173.6666666666)</f>
        <v>44173.666666666599</v>
      </c>
      <c r="B1496" s="1">
        <f ca="1">IFERROR(__xludf.DUMMYFUNCTION("""COMPUTED_VALUE"""),157.95)</f>
        <v>157.94999999999999</v>
      </c>
      <c r="C1496" s="1">
        <f ca="1">IFERROR(__xludf.DUMMYFUNCTION("""COMPUTED_VALUE"""),159.21)</f>
        <v>159.21</v>
      </c>
      <c r="D1496" s="1">
        <f ca="1">IFERROR(__xludf.DUMMYFUNCTION("""COMPUTED_VALUE"""),156)</f>
        <v>156</v>
      </c>
      <c r="E1496" s="1">
        <f ca="1">IFERROR(__xludf.DUMMYFUNCTION("""COMPUTED_VALUE"""),158.86)</f>
        <v>158.86000000000001</v>
      </c>
      <c r="F1496" s="1">
        <f ca="1">IFERROR(__xludf.DUMMYFUNCTION("""COMPUTED_VALUE"""),3286303)</f>
        <v>3286303</v>
      </c>
    </row>
    <row r="1497" spans="1:6" x14ac:dyDescent="0.35">
      <c r="A1497" s="2">
        <f ca="1">IFERROR(__xludf.DUMMYFUNCTION("""COMPUTED_VALUE"""),44174.6666666666)</f>
        <v>44174.666666666599</v>
      </c>
      <c r="B1497" s="1">
        <f ca="1">IFERROR(__xludf.DUMMYFUNCTION("""COMPUTED_VALUE"""),158.39)</f>
        <v>158.38999999999999</v>
      </c>
      <c r="C1497" s="1">
        <f ca="1">IFERROR(__xludf.DUMMYFUNCTION("""COMPUTED_VALUE"""),158.72)</f>
        <v>158.72</v>
      </c>
      <c r="D1497" s="1">
        <f ca="1">IFERROR(__xludf.DUMMYFUNCTION("""COMPUTED_VALUE"""),154.4)</f>
        <v>154.4</v>
      </c>
      <c r="E1497" s="1">
        <f ca="1">IFERROR(__xludf.DUMMYFUNCTION("""COMPUTED_VALUE"""),155.21)</f>
        <v>155.21</v>
      </c>
      <c r="F1497" s="1">
        <f ca="1">IFERROR(__xludf.DUMMYFUNCTION("""COMPUTED_VALUE"""),4100836)</f>
        <v>4100836</v>
      </c>
    </row>
    <row r="1498" spans="1:6" x14ac:dyDescent="0.35">
      <c r="A1498" s="2">
        <f ca="1">IFERROR(__xludf.DUMMYFUNCTION("""COMPUTED_VALUE"""),44175.6666666666)</f>
        <v>44175.666666666599</v>
      </c>
      <c r="B1498" s="1">
        <f ca="1">IFERROR(__xludf.DUMMYFUNCTION("""COMPUTED_VALUE"""),154.45)</f>
        <v>154.44999999999999</v>
      </c>
      <c r="C1498" s="1">
        <f ca="1">IFERROR(__xludf.DUMMYFUNCTION("""COMPUTED_VALUE"""),157.1)</f>
        <v>157.1</v>
      </c>
      <c r="D1498" s="1">
        <f ca="1">IFERROR(__xludf.DUMMYFUNCTION("""COMPUTED_VALUE"""),153.8)</f>
        <v>153.80000000000001</v>
      </c>
      <c r="E1498" s="1">
        <f ca="1">IFERROR(__xludf.DUMMYFUNCTION("""COMPUTED_VALUE"""),155.07)</f>
        <v>155.07</v>
      </c>
      <c r="F1498" s="1">
        <f ca="1">IFERROR(__xludf.DUMMYFUNCTION("""COMPUTED_VALUE"""),3030186)</f>
        <v>3030186</v>
      </c>
    </row>
    <row r="1499" spans="1:6" x14ac:dyDescent="0.35">
      <c r="A1499" s="2">
        <f ca="1">IFERROR(__xludf.DUMMYFUNCTION("""COMPUTED_VALUE"""),44176.6666666666)</f>
        <v>44176.666666666599</v>
      </c>
      <c r="B1499" s="1">
        <f ca="1">IFERROR(__xludf.DUMMYFUNCTION("""COMPUTED_VALUE"""),154.83)</f>
        <v>154.83000000000001</v>
      </c>
      <c r="C1499" s="1">
        <f ca="1">IFERROR(__xludf.DUMMYFUNCTION("""COMPUTED_VALUE"""),155.93)</f>
        <v>155.93</v>
      </c>
      <c r="D1499" s="1">
        <f ca="1">IFERROR(__xludf.DUMMYFUNCTION("""COMPUTED_VALUE"""),153.64)</f>
        <v>153.63999999999999</v>
      </c>
      <c r="E1499" s="1">
        <f ca="1">IFERROR(__xludf.DUMMYFUNCTION("""COMPUTED_VALUE"""),155.82)</f>
        <v>155.82</v>
      </c>
      <c r="F1499" s="1">
        <f ca="1">IFERROR(__xludf.DUMMYFUNCTION("""COMPUTED_VALUE"""),3064695)</f>
        <v>3064695</v>
      </c>
    </row>
    <row r="1500" spans="1:6" x14ac:dyDescent="0.35">
      <c r="A1500" s="2">
        <f ca="1">IFERROR(__xludf.DUMMYFUNCTION("""COMPUTED_VALUE"""),44179.6666666666)</f>
        <v>44179.666666666599</v>
      </c>
      <c r="B1500" s="1">
        <f ca="1">IFERROR(__xludf.DUMMYFUNCTION("""COMPUTED_VALUE"""),157.15)</f>
        <v>157.15</v>
      </c>
      <c r="C1500" s="1">
        <f ca="1">IFERROR(__xludf.DUMMYFUNCTION("""COMPUTED_VALUE"""),159.52)</f>
        <v>159.52000000000001</v>
      </c>
      <c r="D1500" s="1">
        <f ca="1">IFERROR(__xludf.DUMMYFUNCTION("""COMPUTED_VALUE"""),156.3)</f>
        <v>156.30000000000001</v>
      </c>
      <c r="E1500" s="1">
        <f ca="1">IFERROR(__xludf.DUMMYFUNCTION("""COMPUTED_VALUE"""),157.85)</f>
        <v>157.85</v>
      </c>
      <c r="F1500" s="1">
        <f ca="1">IFERROR(__xludf.DUMMYFUNCTION("""COMPUTED_VALUE"""),4155794)</f>
        <v>4155794</v>
      </c>
    </row>
    <row r="1501" spans="1:6" x14ac:dyDescent="0.35">
      <c r="A1501" s="2">
        <f ca="1">IFERROR(__xludf.DUMMYFUNCTION("""COMPUTED_VALUE"""),44180.6666666666)</f>
        <v>44180.666666666599</v>
      </c>
      <c r="B1501" s="1">
        <f ca="1">IFERROR(__xludf.DUMMYFUNCTION("""COMPUTED_VALUE"""),159.05)</f>
        <v>159.05000000000001</v>
      </c>
      <c r="C1501" s="1">
        <f ca="1">IFERROR(__xludf.DUMMYFUNCTION("""COMPUTED_VALUE"""),159.42)</f>
        <v>159.41999999999999</v>
      </c>
      <c r="D1501" s="1">
        <f ca="1">IFERROR(__xludf.DUMMYFUNCTION("""COMPUTED_VALUE"""),156.52)</f>
        <v>156.52000000000001</v>
      </c>
      <c r="E1501" s="1">
        <f ca="1">IFERROR(__xludf.DUMMYFUNCTION("""COMPUTED_VALUE"""),158.26)</f>
        <v>158.26</v>
      </c>
      <c r="F1501" s="1">
        <f ca="1">IFERROR(__xludf.DUMMYFUNCTION("""COMPUTED_VALUE"""),3323686)</f>
        <v>3323686</v>
      </c>
    </row>
    <row r="1502" spans="1:6" x14ac:dyDescent="0.35">
      <c r="A1502" s="2">
        <f ca="1">IFERROR(__xludf.DUMMYFUNCTION("""COMPUTED_VALUE"""),44181.6666666666)</f>
        <v>44181.666666666599</v>
      </c>
      <c r="B1502" s="1">
        <f ca="1">IFERROR(__xludf.DUMMYFUNCTION("""COMPUTED_VALUE"""),158.8)</f>
        <v>158.80000000000001</v>
      </c>
      <c r="C1502" s="1">
        <f ca="1">IFERROR(__xludf.DUMMYFUNCTION("""COMPUTED_VALUE"""),162.35)</f>
        <v>162.35</v>
      </c>
      <c r="D1502" s="1">
        <f ca="1">IFERROR(__xludf.DUMMYFUNCTION("""COMPUTED_VALUE"""),158.18)</f>
        <v>158.18</v>
      </c>
      <c r="E1502" s="1">
        <f ca="1">IFERROR(__xludf.DUMMYFUNCTION("""COMPUTED_VALUE"""),162.05)</f>
        <v>162.05000000000001</v>
      </c>
      <c r="F1502" s="1">
        <f ca="1">IFERROR(__xludf.DUMMYFUNCTION("""COMPUTED_VALUE"""),4427616)</f>
        <v>4427616</v>
      </c>
    </row>
    <row r="1503" spans="1:6" x14ac:dyDescent="0.35">
      <c r="A1503" s="2">
        <f ca="1">IFERROR(__xludf.DUMMYFUNCTION("""COMPUTED_VALUE"""),44182.6666666666)</f>
        <v>44182.666666666599</v>
      </c>
      <c r="B1503" s="1">
        <f ca="1">IFERROR(__xludf.DUMMYFUNCTION("""COMPUTED_VALUE"""),162.5)</f>
        <v>162.5</v>
      </c>
      <c r="C1503" s="1">
        <f ca="1">IFERROR(__xludf.DUMMYFUNCTION("""COMPUTED_VALUE"""),163.18)</f>
        <v>163.18</v>
      </c>
      <c r="D1503" s="1">
        <f ca="1">IFERROR(__xludf.DUMMYFUNCTION("""COMPUTED_VALUE"""),161.05)</f>
        <v>161.05000000000001</v>
      </c>
      <c r="E1503" s="1">
        <f ca="1">IFERROR(__xludf.DUMMYFUNCTION("""COMPUTED_VALUE"""),161.8)</f>
        <v>161.80000000000001</v>
      </c>
      <c r="F1503" s="1">
        <f ca="1">IFERROR(__xludf.DUMMYFUNCTION("""COMPUTED_VALUE"""),3474347)</f>
        <v>3474347</v>
      </c>
    </row>
    <row r="1504" spans="1:6" x14ac:dyDescent="0.35">
      <c r="A1504" s="2">
        <f ca="1">IFERROR(__xludf.DUMMYFUNCTION("""COMPUTED_VALUE"""),44183.6666666666)</f>
        <v>44183.666666666599</v>
      </c>
      <c r="B1504" s="1">
        <f ca="1">IFERROR(__xludf.DUMMYFUNCTION("""COMPUTED_VALUE"""),162.2)</f>
        <v>162.19999999999999</v>
      </c>
      <c r="C1504" s="1">
        <f ca="1">IFERROR(__xludf.DUMMYFUNCTION("""COMPUTED_VALUE"""),162.47)</f>
        <v>162.47</v>
      </c>
      <c r="D1504" s="1">
        <f ca="1">IFERROR(__xludf.DUMMYFUNCTION("""COMPUTED_VALUE"""),158.58)</f>
        <v>158.58000000000001</v>
      </c>
      <c r="E1504" s="1">
        <f ca="1">IFERROR(__xludf.DUMMYFUNCTION("""COMPUTED_VALUE"""),160.08)</f>
        <v>160.08000000000001</v>
      </c>
      <c r="F1504" s="1">
        <f ca="1">IFERROR(__xludf.DUMMYFUNCTION("""COMPUTED_VALUE"""),5995713)</f>
        <v>5995713</v>
      </c>
    </row>
    <row r="1505" spans="1:6" x14ac:dyDescent="0.35">
      <c r="A1505" s="2">
        <f ca="1">IFERROR(__xludf.DUMMYFUNCTION("""COMPUTED_VALUE"""),44186.6666666666)</f>
        <v>44186.666666666599</v>
      </c>
      <c r="B1505" s="1">
        <f ca="1">IFERROR(__xludf.DUMMYFUNCTION("""COMPUTED_VALUE"""),160)</f>
        <v>160</v>
      </c>
      <c r="C1505" s="1">
        <f ca="1">IFERROR(__xludf.DUMMYFUNCTION("""COMPUTED_VALUE"""),161.35)</f>
        <v>161.35</v>
      </c>
      <c r="D1505" s="1">
        <f ca="1">IFERROR(__xludf.DUMMYFUNCTION("""COMPUTED_VALUE"""),158.3)</f>
        <v>158.30000000000001</v>
      </c>
      <c r="E1505" s="1">
        <f ca="1">IFERROR(__xludf.DUMMYFUNCTION("""COMPUTED_VALUE"""),160.31)</f>
        <v>160.31</v>
      </c>
      <c r="F1505" s="1">
        <f ca="1">IFERROR(__xludf.DUMMYFUNCTION("""COMPUTED_VALUE"""),3836846)</f>
        <v>3836846</v>
      </c>
    </row>
    <row r="1506" spans="1:6" x14ac:dyDescent="0.35">
      <c r="A1506" s="2">
        <f ca="1">IFERROR(__xludf.DUMMYFUNCTION("""COMPUTED_VALUE"""),44187.6666666666)</f>
        <v>44187.666666666599</v>
      </c>
      <c r="B1506" s="1">
        <f ca="1">IFERROR(__xludf.DUMMYFUNCTION("""COMPUTED_VALUE"""),160.14)</f>
        <v>160.13999999999999</v>
      </c>
      <c r="C1506" s="1">
        <f ca="1">IFERROR(__xludf.DUMMYFUNCTION("""COMPUTED_VALUE"""),161.1)</f>
        <v>161.1</v>
      </c>
      <c r="D1506" s="1">
        <f ca="1">IFERROR(__xludf.DUMMYFUNCTION("""COMPUTED_VALUE"""),159)</f>
        <v>159</v>
      </c>
      <c r="E1506" s="1">
        <f ca="1">IFERROR(__xludf.DUMMYFUNCTION("""COMPUTED_VALUE"""),160.33)</f>
        <v>160.33000000000001</v>
      </c>
      <c r="F1506" s="1">
        <f ca="1">IFERROR(__xludf.DUMMYFUNCTION("""COMPUTED_VALUE"""),2381781)</f>
        <v>2381781</v>
      </c>
    </row>
    <row r="1507" spans="1:6" x14ac:dyDescent="0.35">
      <c r="A1507" s="2">
        <f ca="1">IFERROR(__xludf.DUMMYFUNCTION("""COMPUTED_VALUE"""),44188.6666666666)</f>
        <v>44188.666666666599</v>
      </c>
      <c r="B1507" s="1">
        <f ca="1">IFERROR(__xludf.DUMMYFUNCTION("""COMPUTED_VALUE"""),160.25)</f>
        <v>160.25</v>
      </c>
      <c r="C1507" s="1">
        <f ca="1">IFERROR(__xludf.DUMMYFUNCTION("""COMPUTED_VALUE"""),160.51)</f>
        <v>160.51</v>
      </c>
      <c r="D1507" s="1">
        <f ca="1">IFERROR(__xludf.DUMMYFUNCTION("""COMPUTED_VALUE"""),159.21)</f>
        <v>159.21</v>
      </c>
      <c r="E1507" s="1">
        <f ca="1">IFERROR(__xludf.DUMMYFUNCTION("""COMPUTED_VALUE"""),159.26)</f>
        <v>159.26</v>
      </c>
      <c r="F1507" s="1">
        <f ca="1">IFERROR(__xludf.DUMMYFUNCTION("""COMPUTED_VALUE"""),2093787)</f>
        <v>2093787</v>
      </c>
    </row>
    <row r="1508" spans="1:6" x14ac:dyDescent="0.35">
      <c r="A1508" s="2">
        <f ca="1">IFERROR(__xludf.DUMMYFUNCTION("""COMPUTED_VALUE"""),44189.5416666666)</f>
        <v>44189.541666666599</v>
      </c>
      <c r="B1508" s="1">
        <f ca="1">IFERROR(__xludf.DUMMYFUNCTION("""COMPUTED_VALUE"""),159.7)</f>
        <v>159.69999999999999</v>
      </c>
      <c r="C1508" s="1">
        <f ca="1">IFERROR(__xludf.DUMMYFUNCTION("""COMPUTED_VALUE"""),160.1)</f>
        <v>160.1</v>
      </c>
      <c r="D1508" s="1">
        <f ca="1">IFERROR(__xludf.DUMMYFUNCTION("""COMPUTED_VALUE"""),158.45)</f>
        <v>158.44999999999999</v>
      </c>
      <c r="E1508" s="1">
        <f ca="1">IFERROR(__xludf.DUMMYFUNCTION("""COMPUTED_VALUE"""),158.63)</f>
        <v>158.63</v>
      </c>
      <c r="F1508" s="1">
        <f ca="1">IFERROR(__xludf.DUMMYFUNCTION("""COMPUTED_VALUE"""),1451917)</f>
        <v>1451917</v>
      </c>
    </row>
    <row r="1509" spans="1:6" x14ac:dyDescent="0.35">
      <c r="A1509" s="2">
        <f ca="1">IFERROR(__xludf.DUMMYFUNCTION("""COMPUTED_VALUE"""),44193.6666666666)</f>
        <v>44193.666666666599</v>
      </c>
      <c r="B1509" s="1">
        <f ca="1">IFERROR(__xludf.DUMMYFUNCTION("""COMPUTED_VALUE"""),159.7)</f>
        <v>159.69999999999999</v>
      </c>
      <c r="C1509" s="1">
        <f ca="1">IFERROR(__xludf.DUMMYFUNCTION("""COMPUTED_VALUE"""),165.2)</f>
        <v>165.2</v>
      </c>
      <c r="D1509" s="1">
        <f ca="1">IFERROR(__xludf.DUMMYFUNCTION("""COMPUTED_VALUE"""),158.63)</f>
        <v>158.63</v>
      </c>
      <c r="E1509" s="1">
        <f ca="1">IFERROR(__xludf.DUMMYFUNCTION("""COMPUTED_VALUE"""),164.2)</f>
        <v>164.2</v>
      </c>
      <c r="F1509" s="1">
        <f ca="1">IFERROR(__xludf.DUMMYFUNCTION("""COMPUTED_VALUE"""),5686787)</f>
        <v>5686787</v>
      </c>
    </row>
    <row r="1510" spans="1:6" x14ac:dyDescent="0.35">
      <c r="A1510" s="2">
        <f ca="1">IFERROR(__xludf.DUMMYFUNCTION("""COMPUTED_VALUE"""),44194.6666666666)</f>
        <v>44194.666666666599</v>
      </c>
      <c r="B1510" s="1">
        <f ca="1">IFERROR(__xludf.DUMMYFUNCTION("""COMPUTED_VALUE"""),165.5)</f>
        <v>165.5</v>
      </c>
      <c r="C1510" s="1">
        <f ca="1">IFERROR(__xludf.DUMMYFUNCTION("""COMPUTED_VALUE"""),167.53)</f>
        <v>167.53</v>
      </c>
      <c r="D1510" s="1">
        <f ca="1">IFERROR(__xludf.DUMMYFUNCTION("""COMPUTED_VALUE"""),164.06)</f>
        <v>164.06</v>
      </c>
      <c r="E1510" s="1">
        <f ca="1">IFERROR(__xludf.DUMMYFUNCTION("""COMPUTED_VALUE"""),166.1)</f>
        <v>166.1</v>
      </c>
      <c r="F1510" s="1">
        <f ca="1">IFERROR(__xludf.DUMMYFUNCTION("""COMPUTED_VALUE"""),4872933)</f>
        <v>4872933</v>
      </c>
    </row>
    <row r="1511" spans="1:6" x14ac:dyDescent="0.35">
      <c r="A1511" s="2">
        <f ca="1">IFERROR(__xludf.DUMMYFUNCTION("""COMPUTED_VALUE"""),44195.6666666666)</f>
        <v>44195.666666666599</v>
      </c>
      <c r="B1511" s="1">
        <f ca="1">IFERROR(__xludf.DUMMYFUNCTION("""COMPUTED_VALUE"""),167.05)</f>
        <v>167.05</v>
      </c>
      <c r="C1511" s="1">
        <f ca="1">IFERROR(__xludf.DUMMYFUNCTION("""COMPUTED_VALUE"""),167.11)</f>
        <v>167.11</v>
      </c>
      <c r="D1511" s="1">
        <f ca="1">IFERROR(__xludf.DUMMYFUNCTION("""COMPUTED_VALUE"""),164.12)</f>
        <v>164.12</v>
      </c>
      <c r="E1511" s="1">
        <f ca="1">IFERROR(__xludf.DUMMYFUNCTION("""COMPUTED_VALUE"""),164.29)</f>
        <v>164.29</v>
      </c>
      <c r="F1511" s="1">
        <f ca="1">IFERROR(__xludf.DUMMYFUNCTION("""COMPUTED_VALUE"""),3209310)</f>
        <v>3209310</v>
      </c>
    </row>
    <row r="1512" spans="1:6" x14ac:dyDescent="0.35">
      <c r="A1512" s="2">
        <f ca="1">IFERROR(__xludf.DUMMYFUNCTION("""COMPUTED_VALUE"""),44196.6666666666)</f>
        <v>44196.666666666599</v>
      </c>
      <c r="B1512" s="1">
        <f ca="1">IFERROR(__xludf.DUMMYFUNCTION("""COMPUTED_VALUE"""),163.75)</f>
        <v>163.75</v>
      </c>
      <c r="C1512" s="1">
        <f ca="1">IFERROR(__xludf.DUMMYFUNCTION("""COMPUTED_VALUE"""),164.15)</f>
        <v>164.15</v>
      </c>
      <c r="D1512" s="1">
        <f ca="1">IFERROR(__xludf.DUMMYFUNCTION("""COMPUTED_VALUE"""),162.06)</f>
        <v>162.06</v>
      </c>
      <c r="E1512" s="1">
        <f ca="1">IFERROR(__xludf.DUMMYFUNCTION("""COMPUTED_VALUE"""),162.85)</f>
        <v>162.85</v>
      </c>
      <c r="F1512" s="1">
        <f ca="1">IFERROR(__xludf.DUMMYFUNCTION("""COMPUTED_VALUE"""),2957206)</f>
        <v>2957206</v>
      </c>
    </row>
    <row r="1513" spans="1:6" x14ac:dyDescent="0.35">
      <c r="A1513" s="2">
        <f ca="1">IFERROR(__xludf.DUMMYFUNCTION("""COMPUTED_VALUE"""),44200.6666666666)</f>
        <v>44200.666666666599</v>
      </c>
      <c r="B1513" s="1">
        <f ca="1">IFERROR(__xludf.DUMMYFUNCTION("""COMPUTED_VALUE"""),163.5)</f>
        <v>163.5</v>
      </c>
      <c r="C1513" s="1">
        <f ca="1">IFERROR(__xludf.DUMMYFUNCTION("""COMPUTED_VALUE"""),163.6)</f>
        <v>163.6</v>
      </c>
      <c r="D1513" s="1">
        <f ca="1">IFERROR(__xludf.DUMMYFUNCTION("""COMPUTED_VALUE"""),157.2)</f>
        <v>157.19999999999999</v>
      </c>
      <c r="E1513" s="1">
        <f ca="1">IFERROR(__xludf.DUMMYFUNCTION("""COMPUTED_VALUE"""),159.33)</f>
        <v>159.33000000000001</v>
      </c>
      <c r="F1513" s="1">
        <f ca="1">IFERROR(__xludf.DUMMYFUNCTION("""COMPUTED_VALUE"""),4411449)</f>
        <v>4411449</v>
      </c>
    </row>
    <row r="1514" spans="1:6" x14ac:dyDescent="0.35">
      <c r="A1514" s="2">
        <f ca="1">IFERROR(__xludf.DUMMYFUNCTION("""COMPUTED_VALUE"""),44201.6666666666)</f>
        <v>44201.666666666599</v>
      </c>
      <c r="B1514" s="1">
        <f ca="1">IFERROR(__xludf.DUMMYFUNCTION("""COMPUTED_VALUE"""),158.3)</f>
        <v>158.30000000000001</v>
      </c>
      <c r="C1514" s="1">
        <f ca="1">IFERROR(__xludf.DUMMYFUNCTION("""COMPUTED_VALUE"""),161.17)</f>
        <v>161.16999999999999</v>
      </c>
      <c r="D1514" s="1">
        <f ca="1">IFERROR(__xludf.DUMMYFUNCTION("""COMPUTED_VALUE"""),158.25)</f>
        <v>158.25</v>
      </c>
      <c r="E1514" s="1">
        <f ca="1">IFERROR(__xludf.DUMMYFUNCTION("""COMPUTED_VALUE"""),160.93)</f>
        <v>160.93</v>
      </c>
      <c r="F1514" s="1">
        <f ca="1">IFERROR(__xludf.DUMMYFUNCTION("""COMPUTED_VALUE"""),2655548)</f>
        <v>2655548</v>
      </c>
    </row>
    <row r="1515" spans="1:6" x14ac:dyDescent="0.35">
      <c r="A1515" s="2">
        <f ca="1">IFERROR(__xludf.DUMMYFUNCTION("""COMPUTED_VALUE"""),44202.6666666666)</f>
        <v>44202.666666666599</v>
      </c>
      <c r="B1515" s="1">
        <f ca="1">IFERROR(__xludf.DUMMYFUNCTION("""COMPUTED_VALUE"""),157.32)</f>
        <v>157.32</v>
      </c>
      <c r="C1515" s="1">
        <f ca="1">IFERROR(__xludf.DUMMYFUNCTION("""COMPUTED_VALUE"""),159.88)</f>
        <v>159.88</v>
      </c>
      <c r="D1515" s="1">
        <f ca="1">IFERROR(__xludf.DUMMYFUNCTION("""COMPUTED_VALUE"""),156.56)</f>
        <v>156.56</v>
      </c>
      <c r="E1515" s="1">
        <f ca="1">IFERROR(__xludf.DUMMYFUNCTION("""COMPUTED_VALUE"""),156.92)</f>
        <v>156.91999999999999</v>
      </c>
      <c r="F1515" s="1">
        <f ca="1">IFERROR(__xludf.DUMMYFUNCTION("""COMPUTED_VALUE"""),4394815)</f>
        <v>4394815</v>
      </c>
    </row>
    <row r="1516" spans="1:6" x14ac:dyDescent="0.35">
      <c r="A1516" s="2">
        <f ca="1">IFERROR(__xludf.DUMMYFUNCTION("""COMPUTED_VALUE"""),44203.6666666666)</f>
        <v>44203.666666666599</v>
      </c>
      <c r="B1516" s="1">
        <f ca="1">IFERROR(__xludf.DUMMYFUNCTION("""COMPUTED_VALUE"""),157.85)</f>
        <v>157.85</v>
      </c>
      <c r="C1516" s="1">
        <f ca="1">IFERROR(__xludf.DUMMYFUNCTION("""COMPUTED_VALUE"""),160.43)</f>
        <v>160.43</v>
      </c>
      <c r="D1516" s="1">
        <f ca="1">IFERROR(__xludf.DUMMYFUNCTION("""COMPUTED_VALUE"""),157.75)</f>
        <v>157.75</v>
      </c>
      <c r="E1516" s="1">
        <f ca="1">IFERROR(__xludf.DUMMYFUNCTION("""COMPUTED_VALUE"""),158.11)</f>
        <v>158.11000000000001</v>
      </c>
      <c r="F1516" s="1">
        <f ca="1">IFERROR(__xludf.DUMMYFUNCTION("""COMPUTED_VALUE"""),3514545)</f>
        <v>3514545</v>
      </c>
    </row>
    <row r="1517" spans="1:6" x14ac:dyDescent="0.35">
      <c r="A1517" s="2">
        <f ca="1">IFERROR(__xludf.DUMMYFUNCTION("""COMPUTED_VALUE"""),44204.6666666666)</f>
        <v>44204.666666666599</v>
      </c>
      <c r="B1517" s="1">
        <f ca="1">IFERROR(__xludf.DUMMYFUNCTION("""COMPUTED_VALUE"""),159)</f>
        <v>159</v>
      </c>
      <c r="C1517" s="1">
        <f ca="1">IFERROR(__xludf.DUMMYFUNCTION("""COMPUTED_VALUE"""),159.53)</f>
        <v>159.53</v>
      </c>
      <c r="D1517" s="1">
        <f ca="1">IFERROR(__xludf.DUMMYFUNCTION("""COMPUTED_VALUE"""),157.11)</f>
        <v>157.11000000000001</v>
      </c>
      <c r="E1517" s="1">
        <f ca="1">IFERROR(__xludf.DUMMYFUNCTION("""COMPUTED_VALUE"""),159.14)</f>
        <v>159.13999999999999</v>
      </c>
      <c r="F1517" s="1">
        <f ca="1">IFERROR(__xludf.DUMMYFUNCTION("""COMPUTED_VALUE"""),3537744)</f>
        <v>3537744</v>
      </c>
    </row>
    <row r="1518" spans="1:6" x14ac:dyDescent="0.35">
      <c r="A1518" s="2">
        <f ca="1">IFERROR(__xludf.DUMMYFUNCTION("""COMPUTED_VALUE"""),44207.6666666666)</f>
        <v>44207.666666666599</v>
      </c>
      <c r="B1518" s="1">
        <f ca="1">IFERROR(__xludf.DUMMYFUNCTION("""COMPUTED_VALUE"""),157.4)</f>
        <v>157.4</v>
      </c>
      <c r="C1518" s="1">
        <f ca="1">IFERROR(__xludf.DUMMYFUNCTION("""COMPUTED_VALUE"""),157.82)</f>
        <v>157.82</v>
      </c>
      <c r="D1518" s="1">
        <f ca="1">IFERROR(__xludf.DUMMYFUNCTION("""COMPUTED_VALUE"""),155.5)</f>
        <v>155.5</v>
      </c>
      <c r="E1518" s="1">
        <f ca="1">IFERROR(__xludf.DUMMYFUNCTION("""COMPUTED_VALUE"""),155.71)</f>
        <v>155.71</v>
      </c>
      <c r="F1518" s="1">
        <f ca="1">IFERROR(__xludf.DUMMYFUNCTION("""COMPUTED_VALUE"""),3669095)</f>
        <v>3669095</v>
      </c>
    </row>
    <row r="1519" spans="1:6" x14ac:dyDescent="0.35">
      <c r="A1519" s="2">
        <f ca="1">IFERROR(__xludf.DUMMYFUNCTION("""COMPUTED_VALUE"""),44208.6666666666)</f>
        <v>44208.666666666599</v>
      </c>
      <c r="B1519" s="1">
        <f ca="1">IFERROR(__xludf.DUMMYFUNCTION("""COMPUTED_VALUE"""),156)</f>
        <v>156</v>
      </c>
      <c r="C1519" s="1">
        <f ca="1">IFERROR(__xludf.DUMMYFUNCTION("""COMPUTED_VALUE"""),157.11)</f>
        <v>157.11000000000001</v>
      </c>
      <c r="D1519" s="1">
        <f ca="1">IFERROR(__xludf.DUMMYFUNCTION("""COMPUTED_VALUE"""),154.3)</f>
        <v>154.30000000000001</v>
      </c>
      <c r="E1519" s="1">
        <f ca="1">IFERROR(__xludf.DUMMYFUNCTION("""COMPUTED_VALUE"""),156.04)</f>
        <v>156.04</v>
      </c>
      <c r="F1519" s="1">
        <f ca="1">IFERROR(__xludf.DUMMYFUNCTION("""COMPUTED_VALUE"""),3514582)</f>
        <v>3514582</v>
      </c>
    </row>
    <row r="1520" spans="1:6" x14ac:dyDescent="0.35">
      <c r="A1520" s="2">
        <f ca="1">IFERROR(__xludf.DUMMYFUNCTION("""COMPUTED_VALUE"""),44209.6666666666)</f>
        <v>44209.666666666599</v>
      </c>
      <c r="B1520" s="1">
        <f ca="1">IFERROR(__xludf.DUMMYFUNCTION("""COMPUTED_VALUE"""),156.42)</f>
        <v>156.41999999999999</v>
      </c>
      <c r="C1520" s="1">
        <f ca="1">IFERROR(__xludf.DUMMYFUNCTION("""COMPUTED_VALUE"""),159.5)</f>
        <v>159.5</v>
      </c>
      <c r="D1520" s="1">
        <f ca="1">IFERROR(__xludf.DUMMYFUNCTION("""COMPUTED_VALUE"""),156.1)</f>
        <v>156.1</v>
      </c>
      <c r="E1520" s="1">
        <f ca="1">IFERROR(__xludf.DUMMYFUNCTION("""COMPUTED_VALUE"""),158.29)</f>
        <v>158.29</v>
      </c>
      <c r="F1520" s="1">
        <f ca="1">IFERROR(__xludf.DUMMYFUNCTION("""COMPUTED_VALUE"""),3321244)</f>
        <v>3321244</v>
      </c>
    </row>
    <row r="1521" spans="1:6" x14ac:dyDescent="0.35">
      <c r="A1521" s="2">
        <f ca="1">IFERROR(__xludf.DUMMYFUNCTION("""COMPUTED_VALUE"""),44210.6666666666)</f>
        <v>44210.666666666599</v>
      </c>
      <c r="B1521" s="1">
        <f ca="1">IFERROR(__xludf.DUMMYFUNCTION("""COMPUTED_VALUE"""),158.38)</f>
        <v>158.38</v>
      </c>
      <c r="C1521" s="1">
        <f ca="1">IFERROR(__xludf.DUMMYFUNCTION("""COMPUTED_VALUE"""),158.9)</f>
        <v>158.9</v>
      </c>
      <c r="D1521" s="1">
        <f ca="1">IFERROR(__xludf.DUMMYFUNCTION("""COMPUTED_VALUE"""),156.03)</f>
        <v>156.03</v>
      </c>
      <c r="E1521" s="1">
        <f ca="1">IFERROR(__xludf.DUMMYFUNCTION("""COMPUTED_VALUE"""),156.37)</f>
        <v>156.37</v>
      </c>
      <c r="F1521" s="1">
        <f ca="1">IFERROR(__xludf.DUMMYFUNCTION("""COMPUTED_VALUE"""),3070919)</f>
        <v>3070919</v>
      </c>
    </row>
    <row r="1522" spans="1:6" x14ac:dyDescent="0.35">
      <c r="A1522" s="2">
        <f ca="1">IFERROR(__xludf.DUMMYFUNCTION("""COMPUTED_VALUE"""),44211.6666666666)</f>
        <v>44211.666666666599</v>
      </c>
      <c r="B1522" s="1">
        <f ca="1">IFERROR(__xludf.DUMMYFUNCTION("""COMPUTED_VALUE"""),156.15)</f>
        <v>156.15</v>
      </c>
      <c r="C1522" s="1">
        <f ca="1">IFERROR(__xludf.DUMMYFUNCTION("""COMPUTED_VALUE"""),157.13)</f>
        <v>157.13</v>
      </c>
      <c r="D1522" s="1">
        <f ca="1">IFERROR(__xludf.DUMMYFUNCTION("""COMPUTED_VALUE"""),154.76)</f>
        <v>154.76</v>
      </c>
      <c r="E1522" s="1">
        <f ca="1">IFERROR(__xludf.DUMMYFUNCTION("""COMPUTED_VALUE"""),155.21)</f>
        <v>155.21</v>
      </c>
      <c r="F1522" s="1">
        <f ca="1">IFERROR(__xludf.DUMMYFUNCTION("""COMPUTED_VALUE"""),4243995)</f>
        <v>4243995</v>
      </c>
    </row>
    <row r="1523" spans="1:6" x14ac:dyDescent="0.35">
      <c r="A1523" s="2">
        <f ca="1">IFERROR(__xludf.DUMMYFUNCTION("""COMPUTED_VALUE"""),44215.6666666666)</f>
        <v>44215.666666666599</v>
      </c>
      <c r="B1523" s="1">
        <f ca="1">IFERROR(__xludf.DUMMYFUNCTION("""COMPUTED_VALUE"""),155.35)</f>
        <v>155.35</v>
      </c>
      <c r="C1523" s="1">
        <f ca="1">IFERROR(__xludf.DUMMYFUNCTION("""COMPUTED_VALUE"""),157.25)</f>
        <v>157.25</v>
      </c>
      <c r="D1523" s="1">
        <f ca="1">IFERROR(__xludf.DUMMYFUNCTION("""COMPUTED_VALUE"""),154.8)</f>
        <v>154.80000000000001</v>
      </c>
      <c r="E1523" s="1">
        <f ca="1">IFERROR(__xludf.DUMMYFUNCTION("""COMPUTED_VALUE"""),156.04)</f>
        <v>156.04</v>
      </c>
      <c r="F1523" s="1">
        <f ca="1">IFERROR(__xludf.DUMMYFUNCTION("""COMPUTED_VALUE"""),3305142)</f>
        <v>3305142</v>
      </c>
    </row>
    <row r="1524" spans="1:6" x14ac:dyDescent="0.35">
      <c r="A1524" s="2">
        <f ca="1">IFERROR(__xludf.DUMMYFUNCTION("""COMPUTED_VALUE"""),44216.6666666666)</f>
        <v>44216.666666666599</v>
      </c>
      <c r="B1524" s="1">
        <f ca="1">IFERROR(__xludf.DUMMYFUNCTION("""COMPUTED_VALUE"""),159.1)</f>
        <v>159.1</v>
      </c>
      <c r="C1524" s="1">
        <f ca="1">IFERROR(__xludf.DUMMYFUNCTION("""COMPUTED_VALUE"""),163.99)</f>
        <v>163.99</v>
      </c>
      <c r="D1524" s="1">
        <f ca="1">IFERROR(__xludf.DUMMYFUNCTION("""COMPUTED_VALUE"""),158.75)</f>
        <v>158.75</v>
      </c>
      <c r="E1524" s="1">
        <f ca="1">IFERROR(__xludf.DUMMYFUNCTION("""COMPUTED_VALUE"""),163.17)</f>
        <v>163.16999999999999</v>
      </c>
      <c r="F1524" s="1">
        <f ca="1">IFERROR(__xludf.DUMMYFUNCTION("""COMPUTED_VALUE"""),5309835)</f>
        <v>5309835</v>
      </c>
    </row>
    <row r="1525" spans="1:6" x14ac:dyDescent="0.35">
      <c r="A1525" s="2">
        <f ca="1">IFERROR(__xludf.DUMMYFUNCTION("""COMPUTED_VALUE"""),44217.6666666666)</f>
        <v>44217.666666666599</v>
      </c>
      <c r="B1525" s="1">
        <f ca="1">IFERROR(__xludf.DUMMYFUNCTION("""COMPUTED_VALUE"""),164.65)</f>
        <v>164.65</v>
      </c>
      <c r="C1525" s="1">
        <f ca="1">IFERROR(__xludf.DUMMYFUNCTION("""COMPUTED_VALUE"""),167.43)</f>
        <v>167.43</v>
      </c>
      <c r="D1525" s="1">
        <f ca="1">IFERROR(__xludf.DUMMYFUNCTION("""COMPUTED_VALUE"""),164.48)</f>
        <v>164.48</v>
      </c>
      <c r="E1525" s="1">
        <f ca="1">IFERROR(__xludf.DUMMYFUNCTION("""COMPUTED_VALUE"""),165.35)</f>
        <v>165.35</v>
      </c>
      <c r="F1525" s="1">
        <f ca="1">IFERROR(__xludf.DUMMYFUNCTION("""COMPUTED_VALUE"""),4945051)</f>
        <v>4945051</v>
      </c>
    </row>
    <row r="1526" spans="1:6" x14ac:dyDescent="0.35">
      <c r="A1526" s="2">
        <f ca="1">IFERROR(__xludf.DUMMYFUNCTION("""COMPUTED_VALUE"""),44218.6666666666)</f>
        <v>44218.666666666599</v>
      </c>
      <c r="B1526" s="1">
        <f ca="1">IFERROR(__xludf.DUMMYFUNCTION("""COMPUTED_VALUE"""),165.22)</f>
        <v>165.22</v>
      </c>
      <c r="C1526" s="1">
        <f ca="1">IFERROR(__xludf.DUMMYFUNCTION("""COMPUTED_VALUE"""),166.1)</f>
        <v>166.1</v>
      </c>
      <c r="D1526" s="1">
        <f ca="1">IFERROR(__xludf.DUMMYFUNCTION("""COMPUTED_VALUE"""),164.16)</f>
        <v>164.16</v>
      </c>
      <c r="E1526" s="1">
        <f ca="1">IFERROR(__xludf.DUMMYFUNCTION("""COMPUTED_VALUE"""),164.61)</f>
        <v>164.61</v>
      </c>
      <c r="F1526" s="1">
        <f ca="1">IFERROR(__xludf.DUMMYFUNCTION("""COMPUTED_VALUE"""),2821914)</f>
        <v>2821914</v>
      </c>
    </row>
    <row r="1527" spans="1:6" x14ac:dyDescent="0.35">
      <c r="A1527" s="2">
        <f ca="1">IFERROR(__xludf.DUMMYFUNCTION("""COMPUTED_VALUE"""),44221.6666666666)</f>
        <v>44221.666666666599</v>
      </c>
      <c r="B1527" s="1">
        <f ca="1">IFERROR(__xludf.DUMMYFUNCTION("""COMPUTED_VALUE"""),166.43)</f>
        <v>166.43</v>
      </c>
      <c r="C1527" s="1">
        <f ca="1">IFERROR(__xludf.DUMMYFUNCTION("""COMPUTED_VALUE"""),168.19)</f>
        <v>168.19</v>
      </c>
      <c r="D1527" s="1">
        <f ca="1">IFERROR(__xludf.DUMMYFUNCTION("""COMPUTED_VALUE"""),162.16)</f>
        <v>162.16</v>
      </c>
      <c r="E1527" s="1">
        <f ca="1">IFERROR(__xludf.DUMMYFUNCTION("""COMPUTED_VALUE"""),164.7)</f>
        <v>164.7</v>
      </c>
      <c r="F1527" s="1">
        <f ca="1">IFERROR(__xludf.DUMMYFUNCTION("""COMPUTED_VALUE"""),3749758)</f>
        <v>3749758</v>
      </c>
    </row>
    <row r="1528" spans="1:6" x14ac:dyDescent="0.35">
      <c r="A1528" s="2">
        <f ca="1">IFERROR(__xludf.DUMMYFUNCTION("""COMPUTED_VALUE"""),44222.6666666666)</f>
        <v>44222.666666666599</v>
      </c>
      <c r="B1528" s="1">
        <f ca="1">IFERROR(__xludf.DUMMYFUNCTION("""COMPUTED_VALUE"""),164.82)</f>
        <v>164.82</v>
      </c>
      <c r="C1528" s="1">
        <f ca="1">IFERROR(__xludf.DUMMYFUNCTION("""COMPUTED_VALUE"""),166.9)</f>
        <v>166.9</v>
      </c>
      <c r="D1528" s="1">
        <f ca="1">IFERROR(__xludf.DUMMYFUNCTION("""COMPUTED_VALUE"""),164.14)</f>
        <v>164.14</v>
      </c>
      <c r="E1528" s="1">
        <f ca="1">IFERROR(__xludf.DUMMYFUNCTION("""COMPUTED_VALUE"""),166.31)</f>
        <v>166.31</v>
      </c>
      <c r="F1528" s="1">
        <f ca="1">IFERROR(__xludf.DUMMYFUNCTION("""COMPUTED_VALUE"""),2955235)</f>
        <v>2955235</v>
      </c>
    </row>
    <row r="1529" spans="1:6" x14ac:dyDescent="0.35">
      <c r="A1529" s="2">
        <f ca="1">IFERROR(__xludf.DUMMYFUNCTION("""COMPUTED_VALUE"""),44223.6666666666)</f>
        <v>44223.666666666599</v>
      </c>
      <c r="B1529" s="1">
        <f ca="1">IFERROR(__xludf.DUMMYFUNCTION("""COMPUTED_VALUE"""),167.07)</f>
        <v>167.07</v>
      </c>
      <c r="C1529" s="1">
        <f ca="1">IFERROR(__xludf.DUMMYFUNCTION("""COMPUTED_VALUE"""),167.33)</f>
        <v>167.33</v>
      </c>
      <c r="D1529" s="1">
        <f ca="1">IFERROR(__xludf.DUMMYFUNCTION("""COMPUTED_VALUE"""),160.35)</f>
        <v>160.35</v>
      </c>
      <c r="E1529" s="1">
        <f ca="1">IFERROR(__xludf.DUMMYFUNCTION("""COMPUTED_VALUE"""),161.63)</f>
        <v>161.63</v>
      </c>
      <c r="F1529" s="1">
        <f ca="1">IFERROR(__xludf.DUMMYFUNCTION("""COMPUTED_VALUE"""),4660158)</f>
        <v>4660158</v>
      </c>
    </row>
    <row r="1530" spans="1:6" x14ac:dyDescent="0.35">
      <c r="A1530" s="2">
        <f ca="1">IFERROR(__xludf.DUMMYFUNCTION("""COMPUTED_VALUE"""),44224.6666666666)</f>
        <v>44224.666666666599</v>
      </c>
      <c r="B1530" s="1">
        <f ca="1">IFERROR(__xludf.DUMMYFUNCTION("""COMPUTED_VALUE"""),161.75)</f>
        <v>161.75</v>
      </c>
      <c r="C1530" s="1">
        <f ca="1">IFERROR(__xludf.DUMMYFUNCTION("""COMPUTED_VALUE"""),165.08)</f>
        <v>165.08</v>
      </c>
      <c r="D1530" s="1">
        <f ca="1">IFERROR(__xludf.DUMMYFUNCTION("""COMPUTED_VALUE"""),161.43)</f>
        <v>161.43</v>
      </c>
      <c r="E1530" s="1">
        <f ca="1">IFERROR(__xludf.DUMMYFUNCTION("""COMPUTED_VALUE"""),161.88)</f>
        <v>161.88</v>
      </c>
      <c r="F1530" s="1">
        <f ca="1">IFERROR(__xludf.DUMMYFUNCTION("""COMPUTED_VALUE"""),3149228)</f>
        <v>3149228</v>
      </c>
    </row>
    <row r="1531" spans="1:6" x14ac:dyDescent="0.35">
      <c r="A1531" s="2">
        <f ca="1">IFERROR(__xludf.DUMMYFUNCTION("""COMPUTED_VALUE"""),44225.6666666666)</f>
        <v>44225.666666666599</v>
      </c>
      <c r="B1531" s="1">
        <f ca="1">IFERROR(__xludf.DUMMYFUNCTION("""COMPUTED_VALUE"""),161.5)</f>
        <v>161.5</v>
      </c>
      <c r="C1531" s="1">
        <f ca="1">IFERROR(__xludf.DUMMYFUNCTION("""COMPUTED_VALUE"""),161.85)</f>
        <v>161.85</v>
      </c>
      <c r="D1531" s="1">
        <f ca="1">IFERROR(__xludf.DUMMYFUNCTION("""COMPUTED_VALUE"""),159.23)</f>
        <v>159.22999999999999</v>
      </c>
      <c r="E1531" s="1">
        <f ca="1">IFERROR(__xludf.DUMMYFUNCTION("""COMPUTED_VALUE"""),160.31)</f>
        <v>160.31</v>
      </c>
      <c r="F1531" s="1">
        <f ca="1">IFERROR(__xludf.DUMMYFUNCTION("""COMPUTED_VALUE"""),4293556)</f>
        <v>4293556</v>
      </c>
    </row>
    <row r="1532" spans="1:6" x14ac:dyDescent="0.35">
      <c r="A1532" s="2">
        <f ca="1">IFERROR(__xludf.DUMMYFUNCTION("""COMPUTED_VALUE"""),44228.6666666666)</f>
        <v>44228.666666666599</v>
      </c>
      <c r="B1532" s="1">
        <f ca="1">IFERROR(__xludf.DUMMYFUNCTION("""COMPUTED_VALUE"""),162.12)</f>
        <v>162.12</v>
      </c>
      <c r="C1532" s="1">
        <f ca="1">IFERROR(__xludf.DUMMYFUNCTION("""COMPUTED_VALUE"""),167.51)</f>
        <v>167.51</v>
      </c>
      <c r="D1532" s="1">
        <f ca="1">IFERROR(__xludf.DUMMYFUNCTION("""COMPUTED_VALUE"""),161.75)</f>
        <v>161.75</v>
      </c>
      <c r="E1532" s="1">
        <f ca="1">IFERROR(__xludf.DUMMYFUNCTION("""COMPUTED_VALUE"""),167.14)</f>
        <v>167.14</v>
      </c>
      <c r="F1532" s="1">
        <f ca="1">IFERROR(__xludf.DUMMYFUNCTION("""COMPUTED_VALUE"""),4160212)</f>
        <v>4160212</v>
      </c>
    </row>
    <row r="1533" spans="1:6" x14ac:dyDescent="0.35">
      <c r="A1533" s="2">
        <f ca="1">IFERROR(__xludf.DUMMYFUNCTION("""COMPUTED_VALUE"""),44229.6666666666)</f>
        <v>44229.666666666599</v>
      </c>
      <c r="B1533" s="1">
        <f ca="1">IFERROR(__xludf.DUMMYFUNCTION("""COMPUTED_VALUE"""),169)</f>
        <v>169</v>
      </c>
      <c r="C1533" s="1">
        <f ca="1">IFERROR(__xludf.DUMMYFUNCTION("""COMPUTED_VALUE"""),171.39)</f>
        <v>171.39</v>
      </c>
      <c r="D1533" s="1">
        <f ca="1">IFERROR(__xludf.DUMMYFUNCTION("""COMPUTED_VALUE"""),168.06)</f>
        <v>168.06</v>
      </c>
      <c r="E1533" s="1">
        <f ca="1">IFERROR(__xludf.DUMMYFUNCTION("""COMPUTED_VALUE"""),169)</f>
        <v>169</v>
      </c>
      <c r="F1533" s="1">
        <f ca="1">IFERROR(__xludf.DUMMYFUNCTION("""COMPUTED_VALUE"""),7098637)</f>
        <v>7098637</v>
      </c>
    </row>
    <row r="1534" spans="1:6" x14ac:dyDescent="0.35">
      <c r="A1534" s="2">
        <f ca="1">IFERROR(__xludf.DUMMYFUNCTION("""COMPUTED_VALUE"""),44230.6666666666)</f>
        <v>44230.666666666599</v>
      </c>
      <c r="B1534" s="1">
        <f ca="1">IFERROR(__xludf.DUMMYFUNCTION("""COMPUTED_VALUE"""),171.25)</f>
        <v>171.25</v>
      </c>
      <c r="C1534" s="1">
        <f ca="1">IFERROR(__xludf.DUMMYFUNCTION("""COMPUTED_VALUE"""),171.7)</f>
        <v>171.7</v>
      </c>
      <c r="D1534" s="1">
        <f ca="1">IFERROR(__xludf.DUMMYFUNCTION("""COMPUTED_VALUE"""),165.43)</f>
        <v>165.43</v>
      </c>
      <c r="E1534" s="1">
        <f ca="1">IFERROR(__xludf.DUMMYFUNCTION("""COMPUTED_VALUE"""),165.63)</f>
        <v>165.63</v>
      </c>
      <c r="F1534" s="1">
        <f ca="1">IFERROR(__xludf.DUMMYFUNCTION("""COMPUTED_VALUE"""),7088781)</f>
        <v>7088781</v>
      </c>
    </row>
    <row r="1535" spans="1:6" x14ac:dyDescent="0.35">
      <c r="A1535" s="2">
        <f ca="1">IFERROR(__xludf.DUMMYFUNCTION("""COMPUTED_VALUE"""),44231.6666666666)</f>
        <v>44231.666666666599</v>
      </c>
      <c r="B1535" s="1">
        <f ca="1">IFERROR(__xludf.DUMMYFUNCTION("""COMPUTED_VALUE"""),166.5)</f>
        <v>166.5</v>
      </c>
      <c r="C1535" s="1">
        <f ca="1">IFERROR(__xludf.DUMMYFUNCTION("""COMPUTED_VALUE"""),167.35)</f>
        <v>167.35</v>
      </c>
      <c r="D1535" s="1">
        <f ca="1">IFERROR(__xludf.DUMMYFUNCTION("""COMPUTED_VALUE"""),163.89)</f>
        <v>163.89</v>
      </c>
      <c r="E1535" s="1">
        <f ca="1">IFERROR(__xludf.DUMMYFUNCTION("""COMPUTED_VALUE"""),166.55)</f>
        <v>166.55</v>
      </c>
      <c r="F1535" s="1">
        <f ca="1">IFERROR(__xludf.DUMMYFUNCTION("""COMPUTED_VALUE"""),3670661)</f>
        <v>3670661</v>
      </c>
    </row>
    <row r="1536" spans="1:6" x14ac:dyDescent="0.35">
      <c r="A1536" s="2">
        <f ca="1">IFERROR(__xludf.DUMMYFUNCTION("""COMPUTED_VALUE"""),44232.6666666666)</f>
        <v>44232.666666666599</v>
      </c>
      <c r="B1536" s="1">
        <f ca="1">IFERROR(__xludf.DUMMYFUNCTION("""COMPUTED_VALUE"""),165.95)</f>
        <v>165.95</v>
      </c>
      <c r="C1536" s="1">
        <f ca="1">IFERROR(__xludf.DUMMYFUNCTION("""COMPUTED_VALUE"""),168.85)</f>
        <v>168.85</v>
      </c>
      <c r="D1536" s="1">
        <f ca="1">IFERROR(__xludf.DUMMYFUNCTION("""COMPUTED_VALUE"""),165.14)</f>
        <v>165.14</v>
      </c>
      <c r="E1536" s="1">
        <f ca="1">IFERROR(__xludf.DUMMYFUNCTION("""COMPUTED_VALUE"""),167.61)</f>
        <v>167.61</v>
      </c>
      <c r="F1536" s="1">
        <f ca="1">IFERROR(__xludf.DUMMYFUNCTION("""COMPUTED_VALUE"""),3620808)</f>
        <v>3620808</v>
      </c>
    </row>
    <row r="1537" spans="1:6" x14ac:dyDescent="0.35">
      <c r="A1537" s="2">
        <f ca="1">IFERROR(__xludf.DUMMYFUNCTION("""COMPUTED_VALUE"""),44235.6666666666)</f>
        <v>44235.666666666599</v>
      </c>
      <c r="B1537" s="1">
        <f ca="1">IFERROR(__xludf.DUMMYFUNCTION("""COMPUTED_VALUE"""),167.93)</f>
        <v>167.93</v>
      </c>
      <c r="C1537" s="1">
        <f ca="1">IFERROR(__xludf.DUMMYFUNCTION("""COMPUTED_VALUE"""),168.25)</f>
        <v>168.25</v>
      </c>
      <c r="D1537" s="1">
        <f ca="1">IFERROR(__xludf.DUMMYFUNCTION("""COMPUTED_VALUE"""),165.2)</f>
        <v>165.2</v>
      </c>
      <c r="E1537" s="1">
        <f ca="1">IFERROR(__xludf.DUMMYFUNCTION("""COMPUTED_VALUE"""),166.15)</f>
        <v>166.15</v>
      </c>
      <c r="F1537" s="1">
        <f ca="1">IFERROR(__xludf.DUMMYFUNCTION("""COMPUTED_VALUE"""),3257391)</f>
        <v>3257391</v>
      </c>
    </row>
    <row r="1538" spans="1:6" x14ac:dyDescent="0.35">
      <c r="A1538" s="2">
        <f ca="1">IFERROR(__xludf.DUMMYFUNCTION("""COMPUTED_VALUE"""),44236.6666666666)</f>
        <v>44236.666666666599</v>
      </c>
      <c r="B1538" s="1">
        <f ca="1">IFERROR(__xludf.DUMMYFUNCTION("""COMPUTED_VALUE"""),165.62)</f>
        <v>165.62</v>
      </c>
      <c r="C1538" s="1">
        <f ca="1">IFERROR(__xludf.DUMMYFUNCTION("""COMPUTED_VALUE"""),166.9)</f>
        <v>166.9</v>
      </c>
      <c r="D1538" s="1">
        <f ca="1">IFERROR(__xludf.DUMMYFUNCTION("""COMPUTED_VALUE"""),164.89)</f>
        <v>164.89</v>
      </c>
      <c r="E1538" s="1">
        <f ca="1">IFERROR(__xludf.DUMMYFUNCTION("""COMPUTED_VALUE"""),165.25)</f>
        <v>165.25</v>
      </c>
      <c r="F1538" s="1">
        <f ca="1">IFERROR(__xludf.DUMMYFUNCTION("""COMPUTED_VALUE"""),2203526)</f>
        <v>2203526</v>
      </c>
    </row>
    <row r="1539" spans="1:6" x14ac:dyDescent="0.35">
      <c r="A1539" s="2">
        <f ca="1">IFERROR(__xludf.DUMMYFUNCTION("""COMPUTED_VALUE"""),44237.6666666666)</f>
        <v>44237.666666666599</v>
      </c>
      <c r="B1539" s="1">
        <f ca="1">IFERROR(__xludf.DUMMYFUNCTION("""COMPUTED_VALUE"""),165.7)</f>
        <v>165.7</v>
      </c>
      <c r="C1539" s="1">
        <f ca="1">IFERROR(__xludf.DUMMYFUNCTION("""COMPUTED_VALUE"""),165.9)</f>
        <v>165.9</v>
      </c>
      <c r="D1539" s="1">
        <f ca="1">IFERROR(__xludf.DUMMYFUNCTION("""COMPUTED_VALUE"""),162.7)</f>
        <v>162.69999999999999</v>
      </c>
      <c r="E1539" s="1">
        <f ca="1">IFERROR(__xludf.DUMMYFUNCTION("""COMPUTED_VALUE"""),164.33)</f>
        <v>164.33</v>
      </c>
      <c r="F1539" s="1">
        <f ca="1">IFERROR(__xludf.DUMMYFUNCTION("""COMPUTED_VALUE"""),3151550)</f>
        <v>3151550</v>
      </c>
    </row>
    <row r="1540" spans="1:6" x14ac:dyDescent="0.35">
      <c r="A1540" s="2">
        <f ca="1">IFERROR(__xludf.DUMMYFUNCTION("""COMPUTED_VALUE"""),44238.6666666666)</f>
        <v>44238.666666666599</v>
      </c>
      <c r="B1540" s="1">
        <f ca="1">IFERROR(__xludf.DUMMYFUNCTION("""COMPUTED_VALUE"""),164.6)</f>
        <v>164.6</v>
      </c>
      <c r="C1540" s="1">
        <f ca="1">IFERROR(__xludf.DUMMYFUNCTION("""COMPUTED_VALUE"""),164.6)</f>
        <v>164.6</v>
      </c>
      <c r="D1540" s="1">
        <f ca="1">IFERROR(__xludf.DUMMYFUNCTION("""COMPUTED_VALUE"""),162.4)</f>
        <v>162.4</v>
      </c>
      <c r="E1540" s="1">
        <f ca="1">IFERROR(__xludf.DUMMYFUNCTION("""COMPUTED_VALUE"""),163.11)</f>
        <v>163.11000000000001</v>
      </c>
      <c r="F1540" s="1">
        <f ca="1">IFERROR(__xludf.DUMMYFUNCTION("""COMPUTED_VALUE"""),2301417)</f>
        <v>2301417</v>
      </c>
    </row>
    <row r="1541" spans="1:6" x14ac:dyDescent="0.35">
      <c r="A1541" s="2">
        <f ca="1">IFERROR(__xludf.DUMMYFUNCTION("""COMPUTED_VALUE"""),44239.6666666666)</f>
        <v>44239.666666666599</v>
      </c>
      <c r="B1541" s="1">
        <f ca="1">IFERROR(__xludf.DUMMYFUNCTION("""COMPUTED_VALUE"""),162.5)</f>
        <v>162.5</v>
      </c>
      <c r="C1541" s="1">
        <f ca="1">IFERROR(__xludf.DUMMYFUNCTION("""COMPUTED_VALUE"""),164.01)</f>
        <v>164.01</v>
      </c>
      <c r="D1541" s="1">
        <f ca="1">IFERROR(__xludf.DUMMYFUNCTION("""COMPUTED_VALUE"""),161.67)</f>
        <v>161.66999999999999</v>
      </c>
      <c r="E1541" s="1">
        <f ca="1">IFERROR(__xludf.DUMMYFUNCTION("""COMPUTED_VALUE"""),163.89)</f>
        <v>163.89</v>
      </c>
      <c r="F1541" s="1">
        <f ca="1">IFERROR(__xludf.DUMMYFUNCTION("""COMPUTED_VALUE"""),2335339)</f>
        <v>2335339</v>
      </c>
    </row>
    <row r="1542" spans="1:6" x14ac:dyDescent="0.35">
      <c r="A1542" s="2">
        <f ca="1">IFERROR(__xludf.DUMMYFUNCTION("""COMPUTED_VALUE"""),44243.6666666666)</f>
        <v>44243.666666666599</v>
      </c>
      <c r="B1542" s="1">
        <f ca="1">IFERROR(__xludf.DUMMYFUNCTION("""COMPUTED_VALUE"""),162.7)</f>
        <v>162.69999999999999</v>
      </c>
      <c r="C1542" s="1">
        <f ca="1">IFERROR(__xludf.DUMMYFUNCTION("""COMPUTED_VALUE"""),165.42)</f>
        <v>165.42</v>
      </c>
      <c r="D1542" s="1">
        <f ca="1">IFERROR(__xludf.DUMMYFUNCTION("""COMPUTED_VALUE"""),162.68)</f>
        <v>162.68</v>
      </c>
      <c r="E1542" s="1">
        <f ca="1">IFERROR(__xludf.DUMMYFUNCTION("""COMPUTED_VALUE"""),163.45)</f>
        <v>163.44999999999999</v>
      </c>
      <c r="F1542" s="1">
        <f ca="1">IFERROR(__xludf.DUMMYFUNCTION("""COMPUTED_VALUE"""),2574721)</f>
        <v>2574721</v>
      </c>
    </row>
    <row r="1543" spans="1:6" x14ac:dyDescent="0.35">
      <c r="A1543" s="2">
        <f ca="1">IFERROR(__xludf.DUMMYFUNCTION("""COMPUTED_VALUE"""),44244.6666666666)</f>
        <v>44244.666666666599</v>
      </c>
      <c r="B1543" s="1">
        <f ca="1">IFERROR(__xludf.DUMMYFUNCTION("""COMPUTED_VALUE"""),163.18)</f>
        <v>163.18</v>
      </c>
      <c r="C1543" s="1">
        <f ca="1">IFERROR(__xludf.DUMMYFUNCTION("""COMPUTED_VALUE"""),166.05)</f>
        <v>166.05</v>
      </c>
      <c r="D1543" s="1">
        <f ca="1">IFERROR(__xludf.DUMMYFUNCTION("""COMPUTED_VALUE"""),162.97)</f>
        <v>162.97</v>
      </c>
      <c r="E1543" s="1">
        <f ca="1">IFERROR(__xludf.DUMMYFUNCTION("""COMPUTED_VALUE"""),165.43)</f>
        <v>165.43</v>
      </c>
      <c r="F1543" s="1">
        <f ca="1">IFERROR(__xludf.DUMMYFUNCTION("""COMPUTED_VALUE"""),3302099)</f>
        <v>3302099</v>
      </c>
    </row>
    <row r="1544" spans="1:6" x14ac:dyDescent="0.35">
      <c r="A1544" s="2">
        <f ca="1">IFERROR(__xludf.DUMMYFUNCTION("""COMPUTED_VALUE"""),44245.6666666666)</f>
        <v>44245.666666666599</v>
      </c>
      <c r="B1544" s="1">
        <f ca="1">IFERROR(__xludf.DUMMYFUNCTION("""COMPUTED_VALUE"""),164.12)</f>
        <v>164.12</v>
      </c>
      <c r="C1544" s="1">
        <f ca="1">IFERROR(__xludf.DUMMYFUNCTION("""COMPUTED_VALUE"""),166.9)</f>
        <v>166.9</v>
      </c>
      <c r="D1544" s="1">
        <f ca="1">IFERROR(__xludf.DUMMYFUNCTION("""COMPUTED_VALUE"""),163.7)</f>
        <v>163.69999999999999</v>
      </c>
      <c r="E1544" s="1">
        <f ca="1">IFERROR(__xludf.DUMMYFUNCTION("""COMPUTED_VALUE"""),166.41)</f>
        <v>166.41</v>
      </c>
      <c r="F1544" s="1">
        <f ca="1">IFERROR(__xludf.DUMMYFUNCTION("""COMPUTED_VALUE"""),3033607)</f>
        <v>3033607</v>
      </c>
    </row>
    <row r="1545" spans="1:6" x14ac:dyDescent="0.35">
      <c r="A1545" s="2">
        <f ca="1">IFERROR(__xludf.DUMMYFUNCTION("""COMPUTED_VALUE"""),44246.6666666666)</f>
        <v>44246.666666666599</v>
      </c>
      <c r="B1545" s="1">
        <f ca="1">IFERROR(__xludf.DUMMYFUNCTION("""COMPUTED_VALUE"""),166.41)</f>
        <v>166.41</v>
      </c>
      <c r="C1545" s="1">
        <f ca="1">IFERROR(__xludf.DUMMYFUNCTION("""COMPUTED_VALUE"""),166.68)</f>
        <v>166.68</v>
      </c>
      <c r="D1545" s="1">
        <f ca="1">IFERROR(__xludf.DUMMYFUNCTION("""COMPUTED_VALUE"""),162.29)</f>
        <v>162.29</v>
      </c>
      <c r="E1545" s="1">
        <f ca="1">IFERROR(__xludf.DUMMYFUNCTION("""COMPUTED_VALUE"""),162.5)</f>
        <v>162.5</v>
      </c>
      <c r="F1545" s="1">
        <f ca="1">IFERROR(__xludf.DUMMYFUNCTION("""COMPUTED_VALUE"""),4305184)</f>
        <v>4305184</v>
      </c>
    </row>
    <row r="1546" spans="1:6" x14ac:dyDescent="0.35">
      <c r="A1546" s="2">
        <f ca="1">IFERROR(__xludf.DUMMYFUNCTION("""COMPUTED_VALUE"""),44249.6666666666)</f>
        <v>44249.666666666599</v>
      </c>
      <c r="B1546" s="1">
        <f ca="1">IFERROR(__xludf.DUMMYFUNCTION("""COMPUTED_VALUE"""),160.41)</f>
        <v>160.41</v>
      </c>
      <c r="C1546" s="1">
        <f ca="1">IFERROR(__xludf.DUMMYFUNCTION("""COMPUTED_VALUE"""),161.62)</f>
        <v>161.62</v>
      </c>
      <c r="D1546" s="1">
        <f ca="1">IFERROR(__xludf.DUMMYFUNCTION("""COMPUTED_VALUE"""),158.61)</f>
        <v>158.61000000000001</v>
      </c>
      <c r="E1546" s="1">
        <f ca="1">IFERROR(__xludf.DUMMYFUNCTION("""COMPUTED_VALUE"""),159.04)</f>
        <v>159.04</v>
      </c>
      <c r="F1546" s="1">
        <f ca="1">IFERROR(__xludf.DUMMYFUNCTION("""COMPUTED_VALUE"""),3515679)</f>
        <v>3515679</v>
      </c>
    </row>
    <row r="1547" spans="1:6" x14ac:dyDescent="0.35">
      <c r="A1547" s="2">
        <f ca="1">IFERROR(__xludf.DUMMYFUNCTION("""COMPUTED_VALUE"""),44250.6666666666)</f>
        <v>44250.666666666599</v>
      </c>
      <c r="B1547" s="1">
        <f ca="1">IFERROR(__xludf.DUMMYFUNCTION("""COMPUTED_VALUE"""),156.35)</f>
        <v>156.35</v>
      </c>
      <c r="C1547" s="1">
        <f ca="1">IFERROR(__xludf.DUMMYFUNCTION("""COMPUTED_VALUE"""),160.24)</f>
        <v>160.24</v>
      </c>
      <c r="D1547" s="1">
        <f ca="1">IFERROR(__xludf.DUMMYFUNCTION("""COMPUTED_VALUE"""),154.68)</f>
        <v>154.68</v>
      </c>
      <c r="E1547" s="1">
        <f ca="1">IFERROR(__xludf.DUMMYFUNCTION("""COMPUTED_VALUE"""),159.73)</f>
        <v>159.72999999999999</v>
      </c>
      <c r="F1547" s="1">
        <f ca="1">IFERROR(__xludf.DUMMYFUNCTION("""COMPUTED_VALUE"""),4677222)</f>
        <v>4677222</v>
      </c>
    </row>
    <row r="1548" spans="1:6" x14ac:dyDescent="0.35">
      <c r="A1548" s="2">
        <f ca="1">IFERROR(__xludf.DUMMYFUNCTION("""COMPUTED_VALUE"""),44251.6666666666)</f>
        <v>44251.666666666599</v>
      </c>
      <c r="B1548" s="1">
        <f ca="1">IFERROR(__xludf.DUMMYFUNCTION("""COMPUTED_VALUE"""),158.34)</f>
        <v>158.34</v>
      </c>
      <c r="C1548" s="1">
        <f ca="1">IFERROR(__xludf.DUMMYFUNCTION("""COMPUTED_VALUE"""),158.56)</f>
        <v>158.56</v>
      </c>
      <c r="D1548" s="1">
        <f ca="1">IFERROR(__xludf.DUMMYFUNCTION("""COMPUTED_VALUE"""),156.27)</f>
        <v>156.27000000000001</v>
      </c>
      <c r="E1548" s="1">
        <f ca="1">IFERROR(__xludf.DUMMYFUNCTION("""COMPUTED_VALUE"""),157.98)</f>
        <v>157.97999999999999</v>
      </c>
      <c r="F1548" s="1">
        <f ca="1">IFERROR(__xludf.DUMMYFUNCTION("""COMPUTED_VALUE"""),3011275)</f>
        <v>3011275</v>
      </c>
    </row>
    <row r="1549" spans="1:6" x14ac:dyDescent="0.35">
      <c r="A1549" s="2">
        <f ca="1">IFERROR(__xludf.DUMMYFUNCTION("""COMPUTED_VALUE"""),44252.6666666666)</f>
        <v>44252.666666666599</v>
      </c>
      <c r="B1549" s="1">
        <f ca="1">IFERROR(__xludf.DUMMYFUNCTION("""COMPUTED_VALUE"""),156.84)</f>
        <v>156.84</v>
      </c>
      <c r="C1549" s="1">
        <f ca="1">IFERROR(__xludf.DUMMYFUNCTION("""COMPUTED_VALUE"""),158.91)</f>
        <v>158.91</v>
      </c>
      <c r="D1549" s="1">
        <f ca="1">IFERROR(__xludf.DUMMYFUNCTION("""COMPUTED_VALUE"""),152.39)</f>
        <v>152.38999999999999</v>
      </c>
      <c r="E1549" s="1">
        <f ca="1">IFERROR(__xludf.DUMMYFUNCTION("""COMPUTED_VALUE"""),152.86)</f>
        <v>152.86000000000001</v>
      </c>
      <c r="F1549" s="1">
        <f ca="1">IFERROR(__xludf.DUMMYFUNCTION("""COMPUTED_VALUE"""),4533801)</f>
        <v>4533801</v>
      </c>
    </row>
    <row r="1550" spans="1:6" x14ac:dyDescent="0.35">
      <c r="A1550" s="2">
        <f ca="1">IFERROR(__xludf.DUMMYFUNCTION("""COMPUTED_VALUE"""),44253.6666666666)</f>
        <v>44253.666666666599</v>
      </c>
      <c r="B1550" s="1">
        <f ca="1">IFERROR(__xludf.DUMMYFUNCTION("""COMPUTED_VALUE"""),154.76)</f>
        <v>154.76</v>
      </c>
      <c r="C1550" s="1">
        <f ca="1">IFERROR(__xludf.DUMMYFUNCTION("""COMPUTED_VALUE"""),156.12)</f>
        <v>156.12</v>
      </c>
      <c r="D1550" s="1">
        <f ca="1">IFERROR(__xludf.DUMMYFUNCTION("""COMPUTED_VALUE"""),151.84)</f>
        <v>151.84</v>
      </c>
      <c r="E1550" s="1">
        <f ca="1">IFERROR(__xludf.DUMMYFUNCTION("""COMPUTED_VALUE"""),154.65)</f>
        <v>154.65</v>
      </c>
      <c r="F1550" s="1">
        <f ca="1">IFERROR(__xludf.DUMMYFUNCTION("""COMPUTED_VALUE"""),4275930)</f>
        <v>4275930</v>
      </c>
    </row>
    <row r="1551" spans="1:6" x14ac:dyDescent="0.35">
      <c r="A1551" s="2">
        <f ca="1">IFERROR(__xludf.DUMMYFUNCTION("""COMPUTED_VALUE"""),44256.6666666666)</f>
        <v>44256.666666666599</v>
      </c>
      <c r="B1551" s="1">
        <f ca="1">IFERROR(__xludf.DUMMYFUNCTION("""COMPUTED_VALUE"""),156.39)</f>
        <v>156.38999999999999</v>
      </c>
      <c r="C1551" s="1">
        <f ca="1">IFERROR(__xludf.DUMMYFUNCTION("""COMPUTED_VALUE"""),157.48)</f>
        <v>157.47999999999999</v>
      </c>
      <c r="D1551" s="1">
        <f ca="1">IFERROR(__xludf.DUMMYFUNCTION("""COMPUTED_VALUE"""),154.9)</f>
        <v>154.9</v>
      </c>
      <c r="E1551" s="1">
        <f ca="1">IFERROR(__xludf.DUMMYFUNCTION("""COMPUTED_VALUE"""),157.31)</f>
        <v>157.31</v>
      </c>
      <c r="F1551" s="1">
        <f ca="1">IFERROR(__xludf.DUMMYFUNCTION("""COMPUTED_VALUE"""),2733963)</f>
        <v>2733963</v>
      </c>
    </row>
    <row r="1552" spans="1:6" x14ac:dyDescent="0.35">
      <c r="A1552" s="2">
        <f ca="1">IFERROR(__xludf.DUMMYFUNCTION("""COMPUTED_VALUE"""),44257.6666666666)</f>
        <v>44257.666666666599</v>
      </c>
      <c r="B1552" s="1">
        <f ca="1">IFERROR(__xludf.DUMMYFUNCTION("""COMPUTED_VALUE"""),157.17)</f>
        <v>157.16999999999999</v>
      </c>
      <c r="C1552" s="1">
        <f ca="1">IFERROR(__xludf.DUMMYFUNCTION("""COMPUTED_VALUE"""),158.18)</f>
        <v>158.18</v>
      </c>
      <c r="D1552" s="1">
        <f ca="1">IFERROR(__xludf.DUMMYFUNCTION("""COMPUTED_VALUE"""),154.36)</f>
        <v>154.36000000000001</v>
      </c>
      <c r="E1552" s="1">
        <f ca="1">IFERROR(__xludf.DUMMYFUNCTION("""COMPUTED_VALUE"""),154.73)</f>
        <v>154.72999999999999</v>
      </c>
      <c r="F1552" s="1">
        <f ca="1">IFERROR(__xludf.DUMMYFUNCTION("""COMPUTED_VALUE"""),2595762)</f>
        <v>2595762</v>
      </c>
    </row>
    <row r="1553" spans="1:6" x14ac:dyDescent="0.35">
      <c r="A1553" s="2">
        <f ca="1">IFERROR(__xludf.DUMMYFUNCTION("""COMPUTED_VALUE"""),44258.6666666666)</f>
        <v>44258.666666666599</v>
      </c>
      <c r="B1553" s="1">
        <f ca="1">IFERROR(__xludf.DUMMYFUNCTION("""COMPUTED_VALUE"""),154.06)</f>
        <v>154.06</v>
      </c>
      <c r="C1553" s="1">
        <f ca="1">IFERROR(__xludf.DUMMYFUNCTION("""COMPUTED_VALUE"""),155.39)</f>
        <v>155.38999999999999</v>
      </c>
      <c r="D1553" s="1">
        <f ca="1">IFERROR(__xludf.DUMMYFUNCTION("""COMPUTED_VALUE"""),149.75)</f>
        <v>149.75</v>
      </c>
      <c r="E1553" s="1">
        <f ca="1">IFERROR(__xludf.DUMMYFUNCTION("""COMPUTED_VALUE"""),150.25)</f>
        <v>150.25</v>
      </c>
      <c r="F1553" s="1">
        <f ca="1">IFERROR(__xludf.DUMMYFUNCTION("""COMPUTED_VALUE"""),3988725)</f>
        <v>3988725</v>
      </c>
    </row>
    <row r="1554" spans="1:6" x14ac:dyDescent="0.35">
      <c r="A1554" s="2">
        <f ca="1">IFERROR(__xludf.DUMMYFUNCTION("""COMPUTED_VALUE"""),44259.6666666666)</f>
        <v>44259.666666666599</v>
      </c>
      <c r="B1554" s="1">
        <f ca="1">IFERROR(__xludf.DUMMYFUNCTION("""COMPUTED_VALUE"""),150.6)</f>
        <v>150.6</v>
      </c>
      <c r="C1554" s="1">
        <f ca="1">IFERROR(__xludf.DUMMYFUNCTION("""COMPUTED_VALUE"""),152.91)</f>
        <v>152.91</v>
      </c>
      <c r="D1554" s="1">
        <f ca="1">IFERROR(__xludf.DUMMYFUNCTION("""COMPUTED_VALUE"""),147.27)</f>
        <v>147.27000000000001</v>
      </c>
      <c r="E1554" s="1">
        <f ca="1">IFERROR(__xludf.DUMMYFUNCTION("""COMPUTED_VALUE"""),148.88)</f>
        <v>148.88</v>
      </c>
      <c r="F1554" s="1">
        <f ca="1">IFERROR(__xludf.DUMMYFUNCTION("""COMPUTED_VALUE"""),5481578)</f>
        <v>5481578</v>
      </c>
    </row>
    <row r="1555" spans="1:6" x14ac:dyDescent="0.35">
      <c r="A1555" s="2">
        <f ca="1">IFERROR(__xludf.DUMMYFUNCTION("""COMPUTED_VALUE"""),44260.6666666666)</f>
        <v>44260.666666666599</v>
      </c>
      <c r="B1555" s="1">
        <f ca="1">IFERROR(__xludf.DUMMYFUNCTION("""COMPUTED_VALUE"""),150.25)</f>
        <v>150.25</v>
      </c>
      <c r="C1555" s="1">
        <f ca="1">IFERROR(__xludf.DUMMYFUNCTION("""COMPUTED_VALUE"""),150.45)</f>
        <v>150.44999999999999</v>
      </c>
      <c r="D1555" s="1">
        <f ca="1">IFERROR(__xludf.DUMMYFUNCTION("""COMPUTED_VALUE"""),144.05)</f>
        <v>144.05000000000001</v>
      </c>
      <c r="E1555" s="1">
        <f ca="1">IFERROR(__xludf.DUMMYFUNCTION("""COMPUTED_VALUE"""),150.02)</f>
        <v>150.02000000000001</v>
      </c>
      <c r="F1555" s="1">
        <f ca="1">IFERROR(__xludf.DUMMYFUNCTION("""COMPUTED_VALUE"""),5388551)</f>
        <v>5388551</v>
      </c>
    </row>
    <row r="1556" spans="1:6" x14ac:dyDescent="0.35">
      <c r="A1556" s="2">
        <f ca="1">IFERROR(__xludf.DUMMYFUNCTION("""COMPUTED_VALUE"""),44263.6666666666)</f>
        <v>44263.666666666599</v>
      </c>
      <c r="B1556" s="1">
        <f ca="1">IFERROR(__xludf.DUMMYFUNCTION("""COMPUTED_VALUE"""),150.75)</f>
        <v>150.75</v>
      </c>
      <c r="C1556" s="1">
        <f ca="1">IFERROR(__xludf.DUMMYFUNCTION("""COMPUTED_VALUE"""),153.23)</f>
        <v>153.22999999999999</v>
      </c>
      <c r="D1556" s="1">
        <f ca="1">IFERROR(__xludf.DUMMYFUNCTION("""COMPUTED_VALUE"""),147.57)</f>
        <v>147.57</v>
      </c>
      <c r="E1556" s="1">
        <f ca="1">IFERROR(__xludf.DUMMYFUNCTION("""COMPUTED_VALUE"""),147.6)</f>
        <v>147.6</v>
      </c>
      <c r="F1556" s="1">
        <f ca="1">IFERROR(__xludf.DUMMYFUNCTION("""COMPUTED_VALUE"""),4185008)</f>
        <v>4185008</v>
      </c>
    </row>
    <row r="1557" spans="1:6" x14ac:dyDescent="0.35">
      <c r="A1557" s="2">
        <f ca="1">IFERROR(__xludf.DUMMYFUNCTION("""COMPUTED_VALUE"""),44264.6666666666)</f>
        <v>44264.666666666599</v>
      </c>
      <c r="B1557" s="1">
        <f ca="1">IFERROR(__xludf.DUMMYFUNCTION("""COMPUTED_VALUE"""),150.9)</f>
        <v>150.9</v>
      </c>
      <c r="C1557" s="1">
        <f ca="1">IFERROR(__xludf.DUMMYFUNCTION("""COMPUTED_VALUE"""),154.55)</f>
        <v>154.55000000000001</v>
      </c>
      <c r="D1557" s="1">
        <f ca="1">IFERROR(__xludf.DUMMYFUNCTION("""COMPUTED_VALUE"""),150.26)</f>
        <v>150.26</v>
      </c>
      <c r="E1557" s="1">
        <f ca="1">IFERROR(__xludf.DUMMYFUNCTION("""COMPUTED_VALUE"""),153.14)</f>
        <v>153.13999999999999</v>
      </c>
      <c r="F1557" s="1">
        <f ca="1">IFERROR(__xludf.DUMMYFUNCTION("""COMPUTED_VALUE"""),4030032)</f>
        <v>4030032</v>
      </c>
    </row>
    <row r="1558" spans="1:6" x14ac:dyDescent="0.35">
      <c r="A1558" s="2">
        <f ca="1">IFERROR(__xludf.DUMMYFUNCTION("""COMPUTED_VALUE"""),44265.6666666666)</f>
        <v>44265.666666666599</v>
      </c>
      <c r="B1558" s="1">
        <f ca="1">IFERROR(__xludf.DUMMYFUNCTION("""COMPUTED_VALUE"""),154.92)</f>
        <v>154.91999999999999</v>
      </c>
      <c r="C1558" s="1">
        <f ca="1">IFERROR(__xludf.DUMMYFUNCTION("""COMPUTED_VALUE"""),155.82)</f>
        <v>155.82</v>
      </c>
      <c r="D1558" s="1">
        <f ca="1">IFERROR(__xludf.DUMMYFUNCTION("""COMPUTED_VALUE"""),151.5)</f>
        <v>151.5</v>
      </c>
      <c r="E1558" s="1">
        <f ca="1">IFERROR(__xludf.DUMMYFUNCTION("""COMPUTED_VALUE"""),152.88)</f>
        <v>152.88</v>
      </c>
      <c r="F1558" s="1">
        <f ca="1">IFERROR(__xludf.DUMMYFUNCTION("""COMPUTED_VALUE"""),3012489)</f>
        <v>3012489</v>
      </c>
    </row>
    <row r="1559" spans="1:6" x14ac:dyDescent="0.35">
      <c r="A1559" s="2">
        <f ca="1">IFERROR(__xludf.DUMMYFUNCTION("""COMPUTED_VALUE"""),44266.6666666666)</f>
        <v>44266.666666666599</v>
      </c>
      <c r="B1559" s="1">
        <f ca="1">IFERROR(__xludf.DUMMYFUNCTION("""COMPUTED_VALUE"""),155.2)</f>
        <v>155.19999999999999</v>
      </c>
      <c r="C1559" s="1">
        <f ca="1">IFERROR(__xludf.DUMMYFUNCTION("""COMPUTED_VALUE"""),156.59)</f>
        <v>156.59</v>
      </c>
      <c r="D1559" s="1">
        <f ca="1">IFERROR(__xludf.DUMMYFUNCTION("""COMPUTED_VALUE"""),154.15)</f>
        <v>154.15</v>
      </c>
      <c r="E1559" s="1">
        <f ca="1">IFERROR(__xludf.DUMMYFUNCTION("""COMPUTED_VALUE"""),155.68)</f>
        <v>155.68</v>
      </c>
      <c r="F1559" s="1">
        <f ca="1">IFERROR(__xludf.DUMMYFUNCTION("""COMPUTED_VALUE"""),2776391)</f>
        <v>2776391</v>
      </c>
    </row>
    <row r="1560" spans="1:6" x14ac:dyDescent="0.35">
      <c r="A1560" s="2">
        <f ca="1">IFERROR(__xludf.DUMMYFUNCTION("""COMPUTED_VALUE"""),44267.6666666666)</f>
        <v>44267.666666666599</v>
      </c>
      <c r="B1560" s="1">
        <f ca="1">IFERROR(__xludf.DUMMYFUNCTION("""COMPUTED_VALUE"""),153.75)</f>
        <v>153.75</v>
      </c>
      <c r="C1560" s="1">
        <f ca="1">IFERROR(__xludf.DUMMYFUNCTION("""COMPUTED_VALUE"""),154.95)</f>
        <v>154.94999999999999</v>
      </c>
      <c r="D1560" s="1">
        <f ca="1">IFERROR(__xludf.DUMMYFUNCTION("""COMPUTED_VALUE"""),152.28)</f>
        <v>152.28</v>
      </c>
      <c r="E1560" s="1">
        <f ca="1">IFERROR(__xludf.DUMMYFUNCTION("""COMPUTED_VALUE"""),154.47)</f>
        <v>154.47</v>
      </c>
      <c r="F1560" s="1">
        <f ca="1">IFERROR(__xludf.DUMMYFUNCTION("""COMPUTED_VALUE"""),2421888)</f>
        <v>2421888</v>
      </c>
    </row>
    <row r="1561" spans="1:6" x14ac:dyDescent="0.35">
      <c r="A1561" s="2">
        <f ca="1">IFERROR(__xludf.DUMMYFUNCTION("""COMPUTED_VALUE"""),44270.6666666666)</f>
        <v>44270.666666666599</v>
      </c>
      <c r="B1561" s="1">
        <f ca="1">IFERROR(__xludf.DUMMYFUNCTION("""COMPUTED_VALUE"""),153.73)</f>
        <v>153.72999999999999</v>
      </c>
      <c r="C1561" s="1">
        <f ca="1">IFERROR(__xludf.DUMMYFUNCTION("""COMPUTED_VALUE"""),154.11)</f>
        <v>154.11000000000001</v>
      </c>
      <c r="D1561" s="1">
        <f ca="1">IFERROR(__xludf.DUMMYFUNCTION("""COMPUTED_VALUE"""),151.6)</f>
        <v>151.6</v>
      </c>
      <c r="E1561" s="1">
        <f ca="1">IFERROR(__xludf.DUMMYFUNCTION("""COMPUTED_VALUE"""),154.08)</f>
        <v>154.08000000000001</v>
      </c>
      <c r="F1561" s="1">
        <f ca="1">IFERROR(__xludf.DUMMYFUNCTION("""COMPUTED_VALUE"""),2918592)</f>
        <v>2918592</v>
      </c>
    </row>
    <row r="1562" spans="1:6" x14ac:dyDescent="0.35">
      <c r="A1562" s="2">
        <f ca="1">IFERROR(__xludf.DUMMYFUNCTION("""COMPUTED_VALUE"""),44271.6666666666)</f>
        <v>44271.666666666599</v>
      </c>
      <c r="B1562" s="1">
        <f ca="1">IFERROR(__xludf.DUMMYFUNCTION("""COMPUTED_VALUE"""),155.25)</f>
        <v>155.25</v>
      </c>
      <c r="C1562" s="1">
        <f ca="1">IFERROR(__xludf.DUMMYFUNCTION("""COMPUTED_VALUE"""),156.45)</f>
        <v>156.44999999999999</v>
      </c>
      <c r="D1562" s="1">
        <f ca="1">IFERROR(__xludf.DUMMYFUNCTION("""COMPUTED_VALUE"""),153.79)</f>
        <v>153.79</v>
      </c>
      <c r="E1562" s="1">
        <f ca="1">IFERROR(__xludf.DUMMYFUNCTION("""COMPUTED_VALUE"""),154.59)</f>
        <v>154.59</v>
      </c>
      <c r="F1562" s="1">
        <f ca="1">IFERROR(__xludf.DUMMYFUNCTION("""COMPUTED_VALUE"""),2538764)</f>
        <v>2538764</v>
      </c>
    </row>
    <row r="1563" spans="1:6" x14ac:dyDescent="0.35">
      <c r="A1563" s="2">
        <f ca="1">IFERROR(__xludf.DUMMYFUNCTION("""COMPUTED_VALUE"""),44272.6666666666)</f>
        <v>44272.666666666599</v>
      </c>
      <c r="B1563" s="1">
        <f ca="1">IFERROR(__xludf.DUMMYFUNCTION("""COMPUTED_VALUE"""),153.66)</f>
        <v>153.66</v>
      </c>
      <c r="C1563" s="1">
        <f ca="1">IFERROR(__xludf.DUMMYFUNCTION("""COMPUTED_VALUE"""),158.65)</f>
        <v>158.65</v>
      </c>
      <c r="D1563" s="1">
        <f ca="1">IFERROR(__xludf.DUMMYFUNCTION("""COMPUTED_VALUE"""),153.51)</f>
        <v>153.51</v>
      </c>
      <c r="E1563" s="1">
        <f ca="1">IFERROR(__xludf.DUMMYFUNCTION("""COMPUTED_VALUE"""),156.79)</f>
        <v>156.79</v>
      </c>
      <c r="F1563" s="1">
        <f ca="1">IFERROR(__xludf.DUMMYFUNCTION("""COMPUTED_VALUE"""),3118584)</f>
        <v>3118584</v>
      </c>
    </row>
    <row r="1564" spans="1:6" x14ac:dyDescent="0.35">
      <c r="A1564" s="2">
        <f ca="1">IFERROR(__xludf.DUMMYFUNCTION("""COMPUTED_VALUE"""),44273.6666666666)</f>
        <v>44273.666666666599</v>
      </c>
      <c r="B1564" s="1">
        <f ca="1">IFERROR(__xludf.DUMMYFUNCTION("""COMPUTED_VALUE"""),155.05)</f>
        <v>155.05000000000001</v>
      </c>
      <c r="C1564" s="1">
        <f ca="1">IFERROR(__xludf.DUMMYFUNCTION("""COMPUTED_VALUE"""),155.83)</f>
        <v>155.83000000000001</v>
      </c>
      <c r="D1564" s="1">
        <f ca="1">IFERROR(__xludf.DUMMYFUNCTION("""COMPUTED_VALUE"""),151.25)</f>
        <v>151.25</v>
      </c>
      <c r="E1564" s="1">
        <f ca="1">IFERROR(__xludf.DUMMYFUNCTION("""COMPUTED_VALUE"""),151.4)</f>
        <v>151.4</v>
      </c>
      <c r="F1564" s="1">
        <f ca="1">IFERROR(__xludf.DUMMYFUNCTION("""COMPUTED_VALUE"""),3657027)</f>
        <v>3657027</v>
      </c>
    </row>
    <row r="1565" spans="1:6" x14ac:dyDescent="0.35">
      <c r="A1565" s="2">
        <f ca="1">IFERROR(__xludf.DUMMYFUNCTION("""COMPUTED_VALUE"""),44274.6666666666)</f>
        <v>44274.666666666599</v>
      </c>
      <c r="B1565" s="1">
        <f ca="1">IFERROR(__xludf.DUMMYFUNCTION("""COMPUTED_VALUE"""),151.46)</f>
        <v>151.46</v>
      </c>
      <c r="C1565" s="1">
        <f ca="1">IFERROR(__xludf.DUMMYFUNCTION("""COMPUTED_VALUE"""),153.86)</f>
        <v>153.86000000000001</v>
      </c>
      <c r="D1565" s="1">
        <f ca="1">IFERROR(__xludf.DUMMYFUNCTION("""COMPUTED_VALUE"""),150.83)</f>
        <v>150.83000000000001</v>
      </c>
      <c r="E1565" s="1">
        <f ca="1">IFERROR(__xludf.DUMMYFUNCTION("""COMPUTED_VALUE"""),153.75)</f>
        <v>153.75</v>
      </c>
      <c r="F1565" s="1">
        <f ca="1">IFERROR(__xludf.DUMMYFUNCTION("""COMPUTED_VALUE"""),4625354)</f>
        <v>4625354</v>
      </c>
    </row>
    <row r="1566" spans="1:6" x14ac:dyDescent="0.35">
      <c r="A1566" s="2">
        <f ca="1">IFERROR(__xludf.DUMMYFUNCTION("""COMPUTED_VALUE"""),44277.6666666666)</f>
        <v>44277.666666666599</v>
      </c>
      <c r="B1566" s="1">
        <f ca="1">IFERROR(__xludf.DUMMYFUNCTION("""COMPUTED_VALUE"""),153.39)</f>
        <v>153.38999999999999</v>
      </c>
      <c r="C1566" s="1">
        <f ca="1">IFERROR(__xludf.DUMMYFUNCTION("""COMPUTED_VALUE"""),156.33)</f>
        <v>156.33000000000001</v>
      </c>
      <c r="D1566" s="1">
        <f ca="1">IFERROR(__xludf.DUMMYFUNCTION("""COMPUTED_VALUE"""),153)</f>
        <v>153</v>
      </c>
      <c r="E1566" s="1">
        <f ca="1">IFERROR(__xludf.DUMMYFUNCTION("""COMPUTED_VALUE"""),155.54)</f>
        <v>155.54</v>
      </c>
      <c r="F1566" s="1">
        <f ca="1">IFERROR(__xludf.DUMMYFUNCTION("""COMPUTED_VALUE"""),2902179)</f>
        <v>2902179</v>
      </c>
    </row>
    <row r="1567" spans="1:6" x14ac:dyDescent="0.35">
      <c r="A1567" s="2">
        <f ca="1">IFERROR(__xludf.DUMMYFUNCTION("""COMPUTED_VALUE"""),44278.6666666666)</f>
        <v>44278.666666666599</v>
      </c>
      <c r="B1567" s="1">
        <f ca="1">IFERROR(__xludf.DUMMYFUNCTION("""COMPUTED_VALUE"""),156.35)</f>
        <v>156.35</v>
      </c>
      <c r="C1567" s="1">
        <f ca="1">IFERROR(__xludf.DUMMYFUNCTION("""COMPUTED_VALUE"""),159.1)</f>
        <v>159.1</v>
      </c>
      <c r="D1567" s="1">
        <f ca="1">IFERROR(__xludf.DUMMYFUNCTION("""COMPUTED_VALUE"""),156.04)</f>
        <v>156.04</v>
      </c>
      <c r="E1567" s="1">
        <f ca="1">IFERROR(__xludf.DUMMYFUNCTION("""COMPUTED_VALUE"""),156.88)</f>
        <v>156.88</v>
      </c>
      <c r="F1567" s="1">
        <f ca="1">IFERROR(__xludf.DUMMYFUNCTION("""COMPUTED_VALUE"""),3817263)</f>
        <v>3817263</v>
      </c>
    </row>
    <row r="1568" spans="1:6" x14ac:dyDescent="0.35">
      <c r="A1568" s="2">
        <f ca="1">IFERROR(__xludf.DUMMYFUNCTION("""COMPUTED_VALUE"""),44279.6666666666)</f>
        <v>44279.666666666599</v>
      </c>
      <c r="B1568" s="1">
        <f ca="1">IFERROR(__xludf.DUMMYFUNCTION("""COMPUTED_VALUE"""),157.55)</f>
        <v>157.55000000000001</v>
      </c>
      <c r="C1568" s="1">
        <f ca="1">IFERROR(__xludf.DUMMYFUNCTION("""COMPUTED_VALUE"""),158.02)</f>
        <v>158.02000000000001</v>
      </c>
      <c r="D1568" s="1">
        <f ca="1">IFERROR(__xludf.DUMMYFUNCTION("""COMPUTED_VALUE"""),154.26)</f>
        <v>154.26</v>
      </c>
      <c r="E1568" s="1">
        <f ca="1">IFERROR(__xludf.DUMMYFUNCTION("""COMPUTED_VALUE"""),154.35)</f>
        <v>154.35</v>
      </c>
      <c r="F1568" s="1">
        <f ca="1">IFERROR(__xludf.DUMMYFUNCTION("""COMPUTED_VALUE"""),2958981)</f>
        <v>2958981</v>
      </c>
    </row>
    <row r="1569" spans="1:6" x14ac:dyDescent="0.35">
      <c r="A1569" s="2">
        <f ca="1">IFERROR(__xludf.DUMMYFUNCTION("""COMPUTED_VALUE"""),44280.6666666666)</f>
        <v>44280.666666666599</v>
      </c>
      <c r="B1569" s="1">
        <f ca="1">IFERROR(__xludf.DUMMYFUNCTION("""COMPUTED_VALUE"""),153.65)</f>
        <v>153.65</v>
      </c>
      <c r="C1569" s="1">
        <f ca="1">IFERROR(__xludf.DUMMYFUNCTION("""COMPUTED_VALUE"""),155.49)</f>
        <v>155.49</v>
      </c>
      <c r="D1569" s="1">
        <f ca="1">IFERROR(__xludf.DUMMYFUNCTION("""COMPUTED_VALUE"""),151.86)</f>
        <v>151.86000000000001</v>
      </c>
      <c r="E1569" s="1">
        <f ca="1">IFERROR(__xludf.DUMMYFUNCTION("""COMPUTED_VALUE"""),152.31)</f>
        <v>152.31</v>
      </c>
      <c r="F1569" s="1">
        <f ca="1">IFERROR(__xludf.DUMMYFUNCTION("""COMPUTED_VALUE"""),3563469)</f>
        <v>3563469</v>
      </c>
    </row>
    <row r="1570" spans="1:6" x14ac:dyDescent="0.35">
      <c r="A1570" s="2">
        <f ca="1">IFERROR(__xludf.DUMMYFUNCTION("""COMPUTED_VALUE"""),44281.6666666666)</f>
        <v>44281.666666666599</v>
      </c>
      <c r="B1570" s="1">
        <f ca="1">IFERROR(__xludf.DUMMYFUNCTION("""COMPUTED_VALUE"""),152.2)</f>
        <v>152.19999999999999</v>
      </c>
      <c r="C1570" s="1">
        <f ca="1">IFERROR(__xludf.DUMMYFUNCTION("""COMPUTED_VALUE"""),152.83)</f>
        <v>152.83000000000001</v>
      </c>
      <c r="D1570" s="1">
        <f ca="1">IFERROR(__xludf.DUMMYFUNCTION("""COMPUTED_VALUE"""),149.8)</f>
        <v>149.80000000000001</v>
      </c>
      <c r="E1570" s="1">
        <f ca="1">IFERROR(__xludf.DUMMYFUNCTION("""COMPUTED_VALUE"""),152.6)</f>
        <v>152.6</v>
      </c>
      <c r="F1570" s="1">
        <f ca="1">IFERROR(__xludf.DUMMYFUNCTION("""COMPUTED_VALUE"""),3312924)</f>
        <v>3312924</v>
      </c>
    </row>
    <row r="1571" spans="1:6" x14ac:dyDescent="0.35">
      <c r="A1571" s="2">
        <f ca="1">IFERROR(__xludf.DUMMYFUNCTION("""COMPUTED_VALUE"""),44284.6666666666)</f>
        <v>44284.666666666599</v>
      </c>
      <c r="B1571" s="1">
        <f ca="1">IFERROR(__xludf.DUMMYFUNCTION("""COMPUTED_VALUE"""),152.77)</f>
        <v>152.77000000000001</v>
      </c>
      <c r="C1571" s="1">
        <f ca="1">IFERROR(__xludf.DUMMYFUNCTION("""COMPUTED_VALUE"""),154.56)</f>
        <v>154.56</v>
      </c>
      <c r="D1571" s="1">
        <f ca="1">IFERROR(__xludf.DUMMYFUNCTION("""COMPUTED_VALUE"""),151.42)</f>
        <v>151.41999999999999</v>
      </c>
      <c r="E1571" s="1">
        <f ca="1">IFERROR(__xludf.DUMMYFUNCTION("""COMPUTED_VALUE"""),153.79)</f>
        <v>153.79</v>
      </c>
      <c r="F1571" s="1">
        <f ca="1">IFERROR(__xludf.DUMMYFUNCTION("""COMPUTED_VALUE"""),2745968)</f>
        <v>2745968</v>
      </c>
    </row>
    <row r="1572" spans="1:6" x14ac:dyDescent="0.35">
      <c r="A1572" s="2">
        <f ca="1">IFERROR(__xludf.DUMMYFUNCTION("""COMPUTED_VALUE"""),44285.6666666666)</f>
        <v>44285.666666666599</v>
      </c>
      <c r="B1572" s="1">
        <f ca="1">IFERROR(__xludf.DUMMYFUNCTION("""COMPUTED_VALUE"""),153.5)</f>
        <v>153.5</v>
      </c>
      <c r="C1572" s="1">
        <f ca="1">IFERROR(__xludf.DUMMYFUNCTION("""COMPUTED_VALUE"""),153.65)</f>
        <v>153.65</v>
      </c>
      <c r="D1572" s="1">
        <f ca="1">IFERROR(__xludf.DUMMYFUNCTION("""COMPUTED_VALUE"""),151.7)</f>
        <v>151.69999999999999</v>
      </c>
      <c r="E1572" s="1">
        <f ca="1">IFERROR(__xludf.DUMMYFUNCTION("""COMPUTED_VALUE"""),152.76)</f>
        <v>152.76</v>
      </c>
      <c r="F1572" s="1">
        <f ca="1">IFERROR(__xludf.DUMMYFUNCTION("""COMPUTED_VALUE"""),2337603)</f>
        <v>2337603</v>
      </c>
    </row>
    <row r="1573" spans="1:6" x14ac:dyDescent="0.35">
      <c r="A1573" s="2">
        <f ca="1">IFERROR(__xludf.DUMMYFUNCTION("""COMPUTED_VALUE"""),44286.6666666666)</f>
        <v>44286.666666666599</v>
      </c>
      <c r="B1573" s="1">
        <f ca="1">IFERROR(__xludf.DUMMYFUNCTION("""COMPUTED_VALUE"""),153.2)</f>
        <v>153.19999999999999</v>
      </c>
      <c r="C1573" s="1">
        <f ca="1">IFERROR(__xludf.DUMMYFUNCTION("""COMPUTED_VALUE"""),155.97)</f>
        <v>155.97</v>
      </c>
      <c r="D1573" s="1">
        <f ca="1">IFERROR(__xludf.DUMMYFUNCTION("""COMPUTED_VALUE"""),153.13)</f>
        <v>153.13</v>
      </c>
      <c r="E1573" s="1">
        <f ca="1">IFERROR(__xludf.DUMMYFUNCTION("""COMPUTED_VALUE"""),154.7)</f>
        <v>154.69999999999999</v>
      </c>
      <c r="F1573" s="1">
        <f ca="1">IFERROR(__xludf.DUMMYFUNCTION("""COMPUTED_VALUE"""),3093896)</f>
        <v>3093896</v>
      </c>
    </row>
    <row r="1574" spans="1:6" x14ac:dyDescent="0.35">
      <c r="A1574" s="2">
        <f ca="1">IFERROR(__xludf.DUMMYFUNCTION("""COMPUTED_VALUE"""),44287.6666666666)</f>
        <v>44287.666666666599</v>
      </c>
      <c r="B1574" s="1">
        <f ca="1">IFERROR(__xludf.DUMMYFUNCTION("""COMPUTED_VALUE"""),155.9)</f>
        <v>155.9</v>
      </c>
      <c r="C1574" s="1">
        <f ca="1">IFERROR(__xludf.DUMMYFUNCTION("""COMPUTED_VALUE"""),158.12)</f>
        <v>158.12</v>
      </c>
      <c r="D1574" s="1">
        <f ca="1">IFERROR(__xludf.DUMMYFUNCTION("""COMPUTED_VALUE"""),155.78)</f>
        <v>155.78</v>
      </c>
      <c r="E1574" s="1">
        <f ca="1">IFERROR(__xludf.DUMMYFUNCTION("""COMPUTED_VALUE"""),158.05)</f>
        <v>158.05000000000001</v>
      </c>
      <c r="F1574" s="1">
        <f ca="1">IFERROR(__xludf.DUMMYFUNCTION("""COMPUTED_VALUE"""),2940318)</f>
        <v>2940318</v>
      </c>
    </row>
    <row r="1575" spans="1:6" x14ac:dyDescent="0.35">
      <c r="A1575" s="2">
        <f ca="1">IFERROR(__xludf.DUMMYFUNCTION("""COMPUTED_VALUE"""),44291.6666666666)</f>
        <v>44291.666666666599</v>
      </c>
      <c r="B1575" s="1">
        <f ca="1">IFERROR(__xludf.DUMMYFUNCTION("""COMPUTED_VALUE"""),158.65)</f>
        <v>158.65</v>
      </c>
      <c r="C1575" s="1">
        <f ca="1">IFERROR(__xludf.DUMMYFUNCTION("""COMPUTED_VALUE"""),161.8)</f>
        <v>161.80000000000001</v>
      </c>
      <c r="D1575" s="1">
        <f ca="1">IFERROR(__xludf.DUMMYFUNCTION("""COMPUTED_VALUE"""),158.06)</f>
        <v>158.06</v>
      </c>
      <c r="E1575" s="1">
        <f ca="1">IFERROR(__xludf.DUMMYFUNCTION("""COMPUTED_VALUE"""),161.34)</f>
        <v>161.34</v>
      </c>
      <c r="F1575" s="1">
        <f ca="1">IFERROR(__xludf.DUMMYFUNCTION("""COMPUTED_VALUE"""),3334882)</f>
        <v>3334882</v>
      </c>
    </row>
    <row r="1576" spans="1:6" x14ac:dyDescent="0.35">
      <c r="A1576" s="2">
        <f ca="1">IFERROR(__xludf.DUMMYFUNCTION("""COMPUTED_VALUE"""),44292.6666666666)</f>
        <v>44292.666666666599</v>
      </c>
      <c r="B1576" s="1">
        <f ca="1">IFERROR(__xludf.DUMMYFUNCTION("""COMPUTED_VALUE"""),161.19)</f>
        <v>161.19</v>
      </c>
      <c r="C1576" s="1">
        <f ca="1">IFERROR(__xludf.DUMMYFUNCTION("""COMPUTED_VALUE"""),162.37)</f>
        <v>162.37</v>
      </c>
      <c r="D1576" s="1">
        <f ca="1">IFERROR(__xludf.DUMMYFUNCTION("""COMPUTED_VALUE"""),160.85)</f>
        <v>160.85</v>
      </c>
      <c r="E1576" s="1">
        <f ca="1">IFERROR(__xludf.DUMMYFUNCTION("""COMPUTED_VALUE"""),161.19)</f>
        <v>161.19</v>
      </c>
      <c r="F1576" s="1">
        <f ca="1">IFERROR(__xludf.DUMMYFUNCTION("""COMPUTED_VALUE"""),2537809)</f>
        <v>2537809</v>
      </c>
    </row>
    <row r="1577" spans="1:6" x14ac:dyDescent="0.35">
      <c r="A1577" s="2">
        <f ca="1">IFERROR(__xludf.DUMMYFUNCTION("""COMPUTED_VALUE"""),44293.6666666666)</f>
        <v>44293.666666666599</v>
      </c>
      <c r="B1577" s="1">
        <f ca="1">IFERROR(__xludf.DUMMYFUNCTION("""COMPUTED_VALUE"""),161.69)</f>
        <v>161.69</v>
      </c>
      <c r="C1577" s="1">
        <f ca="1">IFERROR(__xludf.DUMMYFUNCTION("""COMPUTED_VALUE"""),165.18)</f>
        <v>165.18</v>
      </c>
      <c r="D1577" s="1">
        <f ca="1">IFERROR(__xludf.DUMMYFUNCTION("""COMPUTED_VALUE"""),161.18)</f>
        <v>161.18</v>
      </c>
      <c r="E1577" s="1">
        <f ca="1">IFERROR(__xludf.DUMMYFUNCTION("""COMPUTED_VALUE"""),163.97)</f>
        <v>163.97</v>
      </c>
      <c r="F1577" s="1">
        <f ca="1">IFERROR(__xludf.DUMMYFUNCTION("""COMPUTED_VALUE"""),3346227)</f>
        <v>3346227</v>
      </c>
    </row>
    <row r="1578" spans="1:6" x14ac:dyDescent="0.35">
      <c r="A1578" s="2">
        <f ca="1">IFERROR(__xludf.DUMMYFUNCTION("""COMPUTED_VALUE"""),44294.6666666666)</f>
        <v>44294.666666666599</v>
      </c>
      <c r="B1578" s="1">
        <f ca="1">IFERROR(__xludf.DUMMYFUNCTION("""COMPUTED_VALUE"""),165.55)</f>
        <v>165.55</v>
      </c>
      <c r="C1578" s="1">
        <f ca="1">IFERROR(__xludf.DUMMYFUNCTION("""COMPUTED_VALUE"""),166.23)</f>
        <v>166.23</v>
      </c>
      <c r="D1578" s="1">
        <f ca="1">IFERROR(__xludf.DUMMYFUNCTION("""COMPUTED_VALUE"""),164.6)</f>
        <v>164.6</v>
      </c>
      <c r="E1578" s="1">
        <f ca="1">IFERROR(__xludf.DUMMYFUNCTION("""COMPUTED_VALUE"""),164.97)</f>
        <v>164.97</v>
      </c>
      <c r="F1578" s="1">
        <f ca="1">IFERROR(__xludf.DUMMYFUNCTION("""COMPUTED_VALUE"""),2812090)</f>
        <v>2812090</v>
      </c>
    </row>
    <row r="1579" spans="1:6" x14ac:dyDescent="0.35">
      <c r="A1579" s="2">
        <f ca="1">IFERROR(__xludf.DUMMYFUNCTION("""COMPUTED_VALUE"""),44295.6666666666)</f>
        <v>44295.666666666599</v>
      </c>
      <c r="B1579" s="1">
        <f ca="1">IFERROR(__xludf.DUMMYFUNCTION("""COMPUTED_VALUE"""),165.24)</f>
        <v>165.24</v>
      </c>
      <c r="C1579" s="1">
        <f ca="1">IFERROR(__xludf.DUMMYFUNCTION("""COMPUTED_VALUE"""),168.61)</f>
        <v>168.61</v>
      </c>
      <c r="D1579" s="1">
        <f ca="1">IFERROR(__xludf.DUMMYFUNCTION("""COMPUTED_VALUE"""),164.45)</f>
        <v>164.45</v>
      </c>
      <c r="E1579" s="1">
        <f ca="1">IFERROR(__xludf.DUMMYFUNCTION("""COMPUTED_VALUE"""),168.61)</f>
        <v>168.61</v>
      </c>
      <c r="F1579" s="1">
        <f ca="1">IFERROR(__xludf.DUMMYFUNCTION("""COMPUTED_VALUE"""),4341473)</f>
        <v>4341473</v>
      </c>
    </row>
    <row r="1580" spans="1:6" x14ac:dyDescent="0.35">
      <c r="A1580" s="2">
        <f ca="1">IFERROR(__xludf.DUMMYFUNCTION("""COMPUTED_VALUE"""),44298.6666666666)</f>
        <v>44298.666666666599</v>
      </c>
      <c r="B1580" s="1">
        <f ca="1">IFERROR(__xludf.DUMMYFUNCTION("""COMPUTED_VALUE"""),167.76)</f>
        <v>167.76</v>
      </c>
      <c r="C1580" s="1">
        <f ca="1">IFERROR(__xludf.DUMMYFUNCTION("""COMPUTED_VALUE"""),169.75)</f>
        <v>169.75</v>
      </c>
      <c r="D1580" s="1">
        <f ca="1">IFERROR(__xludf.DUMMYFUNCTION("""COMPUTED_VALUE"""),167.56)</f>
        <v>167.56</v>
      </c>
      <c r="E1580" s="1">
        <f ca="1">IFERROR(__xludf.DUMMYFUNCTION("""COMPUTED_VALUE"""),168.97)</f>
        <v>168.97</v>
      </c>
      <c r="F1580" s="1">
        <f ca="1">IFERROR(__xludf.DUMMYFUNCTION("""COMPUTED_VALUE"""),3281798)</f>
        <v>3281798</v>
      </c>
    </row>
    <row r="1581" spans="1:6" x14ac:dyDescent="0.35">
      <c r="A1581" s="2">
        <f ca="1">IFERROR(__xludf.DUMMYFUNCTION("""COMPUTED_VALUE"""),44299.6666666666)</f>
        <v>44299.666666666599</v>
      </c>
      <c r="B1581" s="1">
        <f ca="1">IFERROR(__xludf.DUMMYFUNCTION("""COMPUTED_VALUE"""),170.04)</f>
        <v>170.04</v>
      </c>
      <c r="C1581" s="1">
        <f ca="1">IFERROR(__xludf.DUMMYFUNCTION("""COMPUTED_VALUE"""),171.6)</f>
        <v>171.6</v>
      </c>
      <c r="D1581" s="1">
        <f ca="1">IFERROR(__xludf.DUMMYFUNCTION("""COMPUTED_VALUE"""),169.78)</f>
        <v>169.78</v>
      </c>
      <c r="E1581" s="1">
        <f ca="1">IFERROR(__xludf.DUMMYFUNCTION("""COMPUTED_VALUE"""),170)</f>
        <v>170</v>
      </c>
      <c r="F1581" s="1">
        <f ca="1">IFERROR(__xludf.DUMMYFUNCTION("""COMPUTED_VALUE"""),3315837)</f>
        <v>3315837</v>
      </c>
    </row>
    <row r="1582" spans="1:6" x14ac:dyDescent="0.35">
      <c r="A1582" s="2">
        <f ca="1">IFERROR(__xludf.DUMMYFUNCTION("""COMPUTED_VALUE"""),44300.6666666666)</f>
        <v>44300.666666666599</v>
      </c>
      <c r="B1582" s="1">
        <f ca="1">IFERROR(__xludf.DUMMYFUNCTION("""COMPUTED_VALUE"""),170.2)</f>
        <v>170.2</v>
      </c>
      <c r="C1582" s="1">
        <f ca="1">IFERROR(__xludf.DUMMYFUNCTION("""COMPUTED_VALUE"""),170.21)</f>
        <v>170.21</v>
      </c>
      <c r="D1582" s="1">
        <f ca="1">IFERROR(__xludf.DUMMYFUNCTION("""COMPUTED_VALUE"""),166.3)</f>
        <v>166.3</v>
      </c>
      <c r="E1582" s="1">
        <f ca="1">IFERROR(__xludf.DUMMYFUNCTION("""COMPUTED_VALUE"""),166.65)</f>
        <v>166.65</v>
      </c>
      <c r="F1582" s="1">
        <f ca="1">IFERROR(__xludf.DUMMYFUNCTION("""COMPUTED_VALUE"""),3145204)</f>
        <v>3145204</v>
      </c>
    </row>
    <row r="1583" spans="1:6" x14ac:dyDescent="0.35">
      <c r="A1583" s="2">
        <f ca="1">IFERROR(__xludf.DUMMYFUNCTION("""COMPUTED_VALUE"""),44301.6666666666)</f>
        <v>44301.666666666599</v>
      </c>
      <c r="B1583" s="1">
        <f ca="1">IFERROR(__xludf.DUMMYFUNCTION("""COMPUTED_VALUE"""),168.55)</f>
        <v>168.55</v>
      </c>
      <c r="C1583" s="1">
        <f ca="1">IFERROR(__xludf.DUMMYFUNCTION("""COMPUTED_VALUE"""),169.85)</f>
        <v>169.85</v>
      </c>
      <c r="D1583" s="1">
        <f ca="1">IFERROR(__xludf.DUMMYFUNCTION("""COMPUTED_VALUE"""),167.6)</f>
        <v>167.6</v>
      </c>
      <c r="E1583" s="1">
        <f ca="1">IFERROR(__xludf.DUMMYFUNCTION("""COMPUTED_VALUE"""),168.95)</f>
        <v>168.95</v>
      </c>
      <c r="F1583" s="1">
        <f ca="1">IFERROR(__xludf.DUMMYFUNCTION("""COMPUTED_VALUE"""),3233580)</f>
        <v>3233580</v>
      </c>
    </row>
    <row r="1584" spans="1:6" x14ac:dyDescent="0.35">
      <c r="A1584" s="2">
        <f ca="1">IFERROR(__xludf.DUMMYFUNCTION("""COMPUTED_VALUE"""),44302.6666666666)</f>
        <v>44302.666666666599</v>
      </c>
      <c r="B1584" s="1">
        <f ca="1">IFERROR(__xludf.DUMMYFUNCTION("""COMPUTED_VALUE"""),169)</f>
        <v>169</v>
      </c>
      <c r="C1584" s="1">
        <f ca="1">IFERROR(__xludf.DUMMYFUNCTION("""COMPUTED_VALUE"""),170.34)</f>
        <v>170.34</v>
      </c>
      <c r="D1584" s="1">
        <f ca="1">IFERROR(__xludf.DUMMYFUNCTION("""COMPUTED_VALUE"""),167.78)</f>
        <v>167.78</v>
      </c>
      <c r="E1584" s="1">
        <f ca="1">IFERROR(__xludf.DUMMYFUNCTION("""COMPUTED_VALUE"""),169.97)</f>
        <v>169.97</v>
      </c>
      <c r="F1584" s="1">
        <f ca="1">IFERROR(__xludf.DUMMYFUNCTION("""COMPUTED_VALUE"""),3186049)</f>
        <v>3186049</v>
      </c>
    </row>
    <row r="1585" spans="1:6" x14ac:dyDescent="0.35">
      <c r="A1585" s="2">
        <f ca="1">IFERROR(__xludf.DUMMYFUNCTION("""COMPUTED_VALUE"""),44305.6666666666)</f>
        <v>44305.666666666599</v>
      </c>
      <c r="B1585" s="1">
        <f ca="1">IFERROR(__xludf.DUMMYFUNCTION("""COMPUTED_VALUE"""),169.52)</f>
        <v>169.52</v>
      </c>
      <c r="C1585" s="1">
        <f ca="1">IFERROR(__xludf.DUMMYFUNCTION("""COMPUTED_VALUE"""),171.8)</f>
        <v>171.8</v>
      </c>
      <c r="D1585" s="1">
        <f ca="1">IFERROR(__xludf.DUMMYFUNCTION("""COMPUTED_VALUE"""),168.01)</f>
        <v>168.01</v>
      </c>
      <c r="E1585" s="1">
        <f ca="1">IFERROR(__xludf.DUMMYFUNCTION("""COMPUTED_VALUE"""),168.6)</f>
        <v>168.6</v>
      </c>
      <c r="F1585" s="1">
        <f ca="1">IFERROR(__xludf.DUMMYFUNCTION("""COMPUTED_VALUE"""),2725405)</f>
        <v>2725405</v>
      </c>
    </row>
    <row r="1586" spans="1:6" x14ac:dyDescent="0.35">
      <c r="A1586" s="2">
        <f ca="1">IFERROR(__xludf.DUMMYFUNCTION("""COMPUTED_VALUE"""),44306.6666666666)</f>
        <v>44306.666666666599</v>
      </c>
      <c r="B1586" s="1">
        <f ca="1">IFERROR(__xludf.DUMMYFUNCTION("""COMPUTED_VALUE"""),168.68)</f>
        <v>168.68</v>
      </c>
      <c r="C1586" s="1">
        <f ca="1">IFERROR(__xludf.DUMMYFUNCTION("""COMPUTED_VALUE"""),169.15)</f>
        <v>169.15</v>
      </c>
      <c r="D1586" s="1">
        <f ca="1">IFERROR(__xludf.DUMMYFUNCTION("""COMPUTED_VALUE"""),165.8)</f>
        <v>165.8</v>
      </c>
      <c r="E1586" s="1">
        <f ca="1">IFERROR(__xludf.DUMMYFUNCTION("""COMPUTED_VALUE"""),166.73)</f>
        <v>166.73</v>
      </c>
      <c r="F1586" s="1">
        <f ca="1">IFERROR(__xludf.DUMMYFUNCTION("""COMPUTED_VALUE"""),2623032)</f>
        <v>2623032</v>
      </c>
    </row>
    <row r="1587" spans="1:6" x14ac:dyDescent="0.35">
      <c r="A1587" s="2">
        <f ca="1">IFERROR(__xludf.DUMMYFUNCTION("""COMPUTED_VALUE"""),44307.6666666666)</f>
        <v>44307.666666666599</v>
      </c>
      <c r="B1587" s="1">
        <f ca="1">IFERROR(__xludf.DUMMYFUNCTION("""COMPUTED_VALUE"""),165.8)</f>
        <v>165.8</v>
      </c>
      <c r="C1587" s="1">
        <f ca="1">IFERROR(__xludf.DUMMYFUNCTION("""COMPUTED_VALUE"""),168.14)</f>
        <v>168.14</v>
      </c>
      <c r="D1587" s="1">
        <f ca="1">IFERROR(__xludf.DUMMYFUNCTION("""COMPUTED_VALUE"""),165.19)</f>
        <v>165.19</v>
      </c>
      <c r="E1587" s="1">
        <f ca="1">IFERROR(__xludf.DUMMYFUNCTION("""COMPUTED_VALUE"""),168.1)</f>
        <v>168.1</v>
      </c>
      <c r="F1587" s="1">
        <f ca="1">IFERROR(__xludf.DUMMYFUNCTION("""COMPUTED_VALUE"""),2211166)</f>
        <v>2211166</v>
      </c>
    </row>
    <row r="1588" spans="1:6" x14ac:dyDescent="0.35">
      <c r="A1588" s="2">
        <f ca="1">IFERROR(__xludf.DUMMYFUNCTION("""COMPUTED_VALUE"""),44308.6666666666)</f>
        <v>44308.666666666599</v>
      </c>
      <c r="B1588" s="1">
        <f ca="1">IFERROR(__xludf.DUMMYFUNCTION("""COMPUTED_VALUE"""),168.58)</f>
        <v>168.58</v>
      </c>
      <c r="C1588" s="1">
        <f ca="1">IFERROR(__xludf.DUMMYFUNCTION("""COMPUTED_VALUE"""),168.64)</f>
        <v>168.64</v>
      </c>
      <c r="D1588" s="1">
        <f ca="1">IFERROR(__xludf.DUMMYFUNCTION("""COMPUTED_VALUE"""),165.07)</f>
        <v>165.07</v>
      </c>
      <c r="E1588" s="1">
        <f ca="1">IFERROR(__xludf.DUMMYFUNCTION("""COMPUTED_VALUE"""),165.45)</f>
        <v>165.45</v>
      </c>
      <c r="F1588" s="1">
        <f ca="1">IFERROR(__xludf.DUMMYFUNCTION("""COMPUTED_VALUE"""),2580590)</f>
        <v>2580590</v>
      </c>
    </row>
    <row r="1589" spans="1:6" x14ac:dyDescent="0.35">
      <c r="A1589" s="2">
        <f ca="1">IFERROR(__xludf.DUMMYFUNCTION("""COMPUTED_VALUE"""),44309.6666666666)</f>
        <v>44309.666666666599</v>
      </c>
      <c r="B1589" s="1">
        <f ca="1">IFERROR(__xludf.DUMMYFUNCTION("""COMPUTED_VALUE"""),165.96)</f>
        <v>165.96</v>
      </c>
      <c r="C1589" s="1">
        <f ca="1">IFERROR(__xludf.DUMMYFUNCTION("""COMPUTED_VALUE"""),168.75)</f>
        <v>168.75</v>
      </c>
      <c r="D1589" s="1">
        <f ca="1">IFERROR(__xludf.DUMMYFUNCTION("""COMPUTED_VALUE"""),165.43)</f>
        <v>165.43</v>
      </c>
      <c r="E1589" s="1">
        <f ca="1">IFERROR(__xludf.DUMMYFUNCTION("""COMPUTED_VALUE"""),167.04)</f>
        <v>167.04</v>
      </c>
      <c r="F1589" s="1">
        <f ca="1">IFERROR(__xludf.DUMMYFUNCTION("""COMPUTED_VALUE"""),3196652)</f>
        <v>3196652</v>
      </c>
    </row>
    <row r="1590" spans="1:6" x14ac:dyDescent="0.35">
      <c r="A1590" s="2">
        <f ca="1">IFERROR(__xludf.DUMMYFUNCTION("""COMPUTED_VALUE"""),44312.6666666666)</f>
        <v>44312.666666666599</v>
      </c>
      <c r="B1590" s="1">
        <f ca="1">IFERROR(__xludf.DUMMYFUNCTION("""COMPUTED_VALUE"""),167.4)</f>
        <v>167.4</v>
      </c>
      <c r="C1590" s="1">
        <f ca="1">IFERROR(__xludf.DUMMYFUNCTION("""COMPUTED_VALUE"""),171.42)</f>
        <v>171.42</v>
      </c>
      <c r="D1590" s="1">
        <f ca="1">IFERROR(__xludf.DUMMYFUNCTION("""COMPUTED_VALUE"""),166.55)</f>
        <v>166.55</v>
      </c>
      <c r="E1590" s="1">
        <f ca="1">IFERROR(__xludf.DUMMYFUNCTION("""COMPUTED_VALUE"""),170.45)</f>
        <v>170.45</v>
      </c>
      <c r="F1590" s="1">
        <f ca="1">IFERROR(__xludf.DUMMYFUNCTION("""COMPUTED_VALUE"""),4880708)</f>
        <v>4880708</v>
      </c>
    </row>
    <row r="1591" spans="1:6" x14ac:dyDescent="0.35">
      <c r="A1591" s="2">
        <f ca="1">IFERROR(__xludf.DUMMYFUNCTION("""COMPUTED_VALUE"""),44313.6666666666)</f>
        <v>44313.666666666599</v>
      </c>
      <c r="B1591" s="1">
        <f ca="1">IFERROR(__xludf.DUMMYFUNCTION("""COMPUTED_VALUE"""),172.17)</f>
        <v>172.17</v>
      </c>
      <c r="C1591" s="1">
        <f ca="1">IFERROR(__xludf.DUMMYFUNCTION("""COMPUTED_VALUE"""),173)</f>
        <v>173</v>
      </c>
      <c r="D1591" s="1">
        <f ca="1">IFERROR(__xludf.DUMMYFUNCTION("""COMPUTED_VALUE"""),169.9)</f>
        <v>169.9</v>
      </c>
      <c r="E1591" s="1">
        <f ca="1">IFERROR(__xludf.DUMMYFUNCTION("""COMPUTED_VALUE"""),170.87)</f>
        <v>170.87</v>
      </c>
      <c r="F1591" s="1">
        <f ca="1">IFERROR(__xludf.DUMMYFUNCTION("""COMPUTED_VALUE"""),3827140)</f>
        <v>3827140</v>
      </c>
    </row>
    <row r="1592" spans="1:6" x14ac:dyDescent="0.35">
      <c r="A1592" s="2">
        <f ca="1">IFERROR(__xludf.DUMMYFUNCTION("""COMPUTED_VALUE"""),44314.6666666666)</f>
        <v>44314.666666666599</v>
      </c>
      <c r="B1592" s="1">
        <f ca="1">IFERROR(__xludf.DUMMYFUNCTION("""COMPUTED_VALUE"""),171.74)</f>
        <v>171.74</v>
      </c>
      <c r="C1592" s="1">
        <f ca="1">IFERROR(__xludf.DUMMYFUNCTION("""COMPUTED_VALUE"""),174.49)</f>
        <v>174.49</v>
      </c>
      <c r="D1592" s="1">
        <f ca="1">IFERROR(__xludf.DUMMYFUNCTION("""COMPUTED_VALUE"""),171.25)</f>
        <v>171.25</v>
      </c>
      <c r="E1592" s="1">
        <f ca="1">IFERROR(__xludf.DUMMYFUNCTION("""COMPUTED_VALUE"""),172.93)</f>
        <v>172.93</v>
      </c>
      <c r="F1592" s="1">
        <f ca="1">IFERROR(__xludf.DUMMYFUNCTION("""COMPUTED_VALUE"""),4631884)</f>
        <v>4631884</v>
      </c>
    </row>
    <row r="1593" spans="1:6" x14ac:dyDescent="0.35">
      <c r="A1593" s="2">
        <f ca="1">IFERROR(__xludf.DUMMYFUNCTION("""COMPUTED_VALUE"""),44315.6666666666)</f>
        <v>44315.666666666599</v>
      </c>
      <c r="B1593" s="1">
        <f ca="1">IFERROR(__xludf.DUMMYFUNCTION("""COMPUTED_VALUE"""),175.25)</f>
        <v>175.25</v>
      </c>
      <c r="C1593" s="1">
        <f ca="1">IFERROR(__xludf.DUMMYFUNCTION("""COMPUTED_VALUE"""),175.72)</f>
        <v>175.72</v>
      </c>
      <c r="D1593" s="1">
        <f ca="1">IFERROR(__xludf.DUMMYFUNCTION("""COMPUTED_VALUE"""),171.75)</f>
        <v>171.75</v>
      </c>
      <c r="E1593" s="1">
        <f ca="1">IFERROR(__xludf.DUMMYFUNCTION("""COMPUTED_VALUE"""),173.57)</f>
        <v>173.57</v>
      </c>
      <c r="F1593" s="1">
        <f ca="1">IFERROR(__xludf.DUMMYFUNCTION("""COMPUTED_VALUE"""),7682381)</f>
        <v>7682381</v>
      </c>
    </row>
    <row r="1594" spans="1:6" x14ac:dyDescent="0.35">
      <c r="A1594" s="2">
        <f ca="1">IFERROR(__xludf.DUMMYFUNCTION("""COMPUTED_VALUE"""),44316.6666666666)</f>
        <v>44316.666666666599</v>
      </c>
      <c r="B1594" s="1">
        <f ca="1">IFERROR(__xludf.DUMMYFUNCTION("""COMPUTED_VALUE"""),176.26)</f>
        <v>176.26</v>
      </c>
      <c r="C1594" s="1">
        <f ca="1">IFERROR(__xludf.DUMMYFUNCTION("""COMPUTED_VALUE"""),177.7)</f>
        <v>177.7</v>
      </c>
      <c r="D1594" s="1">
        <f ca="1">IFERROR(__xludf.DUMMYFUNCTION("""COMPUTED_VALUE"""),173.13)</f>
        <v>173.13</v>
      </c>
      <c r="E1594" s="1">
        <f ca="1">IFERROR(__xludf.DUMMYFUNCTION("""COMPUTED_VALUE"""),173.37)</f>
        <v>173.37</v>
      </c>
      <c r="F1594" s="1">
        <f ca="1">IFERROR(__xludf.DUMMYFUNCTION("""COMPUTED_VALUE"""),7009346)</f>
        <v>7009346</v>
      </c>
    </row>
    <row r="1595" spans="1:6" x14ac:dyDescent="0.35">
      <c r="A1595" s="2">
        <f ca="1">IFERROR(__xludf.DUMMYFUNCTION("""COMPUTED_VALUE"""),44319.6666666666)</f>
        <v>44319.666666666599</v>
      </c>
      <c r="B1595" s="1">
        <f ca="1">IFERROR(__xludf.DUMMYFUNCTION("""COMPUTED_VALUE"""),174.24)</f>
        <v>174.24</v>
      </c>
      <c r="C1595" s="1">
        <f ca="1">IFERROR(__xludf.DUMMYFUNCTION("""COMPUTED_VALUE"""),174.33)</f>
        <v>174.33</v>
      </c>
      <c r="D1595" s="1">
        <f ca="1">IFERROR(__xludf.DUMMYFUNCTION("""COMPUTED_VALUE"""),168.64)</f>
        <v>168.64</v>
      </c>
      <c r="E1595" s="1">
        <f ca="1">IFERROR(__xludf.DUMMYFUNCTION("""COMPUTED_VALUE"""),169.32)</f>
        <v>169.32</v>
      </c>
      <c r="F1595" s="1">
        <f ca="1">IFERROR(__xludf.DUMMYFUNCTION("""COMPUTED_VALUE"""),5875530)</f>
        <v>5875530</v>
      </c>
    </row>
    <row r="1596" spans="1:6" x14ac:dyDescent="0.35">
      <c r="A1596" s="2">
        <f ca="1">IFERROR(__xludf.DUMMYFUNCTION("""COMPUTED_VALUE"""),44320.6666666666)</f>
        <v>44320.666666666599</v>
      </c>
      <c r="B1596" s="1">
        <f ca="1">IFERROR(__xludf.DUMMYFUNCTION("""COMPUTED_VALUE"""),167.81)</f>
        <v>167.81</v>
      </c>
      <c r="C1596" s="1">
        <f ca="1">IFERROR(__xludf.DUMMYFUNCTION("""COMPUTED_VALUE"""),168.4)</f>
        <v>168.4</v>
      </c>
      <c r="D1596" s="1">
        <f ca="1">IFERROR(__xludf.DUMMYFUNCTION("""COMPUTED_VALUE"""),163.61)</f>
        <v>163.61000000000001</v>
      </c>
      <c r="E1596" s="1">
        <f ca="1">IFERROR(__xludf.DUMMYFUNCTION("""COMPUTED_VALUE"""),165.59)</f>
        <v>165.59</v>
      </c>
      <c r="F1596" s="1">
        <f ca="1">IFERROR(__xludf.DUMMYFUNCTION("""COMPUTED_VALUE"""),5439449)</f>
        <v>5439449</v>
      </c>
    </row>
    <row r="1597" spans="1:6" x14ac:dyDescent="0.35">
      <c r="A1597" s="2">
        <f ca="1">IFERROR(__xludf.DUMMYFUNCTION("""COMPUTED_VALUE"""),44321.6666666666)</f>
        <v>44321.666666666599</v>
      </c>
      <c r="B1597" s="1">
        <f ca="1">IFERROR(__xludf.DUMMYFUNCTION("""COMPUTED_VALUE"""),166.94)</f>
        <v>166.94</v>
      </c>
      <c r="C1597" s="1">
        <f ca="1">IFERROR(__xludf.DUMMYFUNCTION("""COMPUTED_VALUE"""),167.73)</f>
        <v>167.73</v>
      </c>
      <c r="D1597" s="1">
        <f ca="1">IFERROR(__xludf.DUMMYFUNCTION("""COMPUTED_VALUE"""),163.22)</f>
        <v>163.22</v>
      </c>
      <c r="E1597" s="1">
        <f ca="1">IFERROR(__xludf.DUMMYFUNCTION("""COMPUTED_VALUE"""),163.53)</f>
        <v>163.53</v>
      </c>
      <c r="F1597" s="1">
        <f ca="1">IFERROR(__xludf.DUMMYFUNCTION("""COMPUTED_VALUE"""),3711308)</f>
        <v>3711308</v>
      </c>
    </row>
    <row r="1598" spans="1:6" x14ac:dyDescent="0.35">
      <c r="A1598" s="2">
        <f ca="1">IFERROR(__xludf.DUMMYFUNCTION("""COMPUTED_VALUE"""),44322.6666666666)</f>
        <v>44322.666666666599</v>
      </c>
      <c r="B1598" s="1">
        <f ca="1">IFERROR(__xludf.DUMMYFUNCTION("""COMPUTED_VALUE"""),163.5)</f>
        <v>163.5</v>
      </c>
      <c r="C1598" s="1">
        <f ca="1">IFERROR(__xludf.DUMMYFUNCTION("""COMPUTED_VALUE"""),165.72)</f>
        <v>165.72</v>
      </c>
      <c r="D1598" s="1">
        <f ca="1">IFERROR(__xludf.DUMMYFUNCTION("""COMPUTED_VALUE"""),162.36)</f>
        <v>162.36000000000001</v>
      </c>
      <c r="E1598" s="1">
        <f ca="1">IFERROR(__xludf.DUMMYFUNCTION("""COMPUTED_VALUE"""),165.32)</f>
        <v>165.32</v>
      </c>
      <c r="F1598" s="1">
        <f ca="1">IFERROR(__xludf.DUMMYFUNCTION("""COMPUTED_VALUE"""),4447696)</f>
        <v>4447696</v>
      </c>
    </row>
    <row r="1599" spans="1:6" x14ac:dyDescent="0.35">
      <c r="A1599" s="2">
        <f ca="1">IFERROR(__xludf.DUMMYFUNCTION("""COMPUTED_VALUE"""),44323.6666666666)</f>
        <v>44323.666666666599</v>
      </c>
      <c r="B1599" s="1">
        <f ca="1">IFERROR(__xludf.DUMMYFUNCTION("""COMPUTED_VALUE"""),165.95)</f>
        <v>165.95</v>
      </c>
      <c r="C1599" s="1">
        <f ca="1">IFERROR(__xludf.DUMMYFUNCTION("""COMPUTED_VALUE"""),166.54)</f>
        <v>166.54</v>
      </c>
      <c r="D1599" s="1">
        <f ca="1">IFERROR(__xludf.DUMMYFUNCTION("""COMPUTED_VALUE"""),164.45)</f>
        <v>164.45</v>
      </c>
      <c r="E1599" s="1">
        <f ca="1">IFERROR(__xludf.DUMMYFUNCTION("""COMPUTED_VALUE"""),164.58)</f>
        <v>164.58</v>
      </c>
      <c r="F1599" s="1">
        <f ca="1">IFERROR(__xludf.DUMMYFUNCTION("""COMPUTED_VALUE"""),4710276)</f>
        <v>4710276</v>
      </c>
    </row>
    <row r="1600" spans="1:6" x14ac:dyDescent="0.35">
      <c r="A1600" s="2">
        <f ca="1">IFERROR(__xludf.DUMMYFUNCTION("""COMPUTED_VALUE"""),44326.6666666666)</f>
        <v>44326.666666666599</v>
      </c>
      <c r="B1600" s="1">
        <f ca="1">IFERROR(__xludf.DUMMYFUNCTION("""COMPUTED_VALUE"""),164.12)</f>
        <v>164.12</v>
      </c>
      <c r="C1600" s="1">
        <f ca="1">IFERROR(__xludf.DUMMYFUNCTION("""COMPUTED_VALUE"""),164.15)</f>
        <v>164.15</v>
      </c>
      <c r="D1600" s="1">
        <f ca="1">IFERROR(__xludf.DUMMYFUNCTION("""COMPUTED_VALUE"""),159.5)</f>
        <v>159.5</v>
      </c>
      <c r="E1600" s="1">
        <f ca="1">IFERROR(__xludf.DUMMYFUNCTION("""COMPUTED_VALUE"""),159.52)</f>
        <v>159.52000000000001</v>
      </c>
      <c r="F1600" s="1">
        <f ca="1">IFERROR(__xludf.DUMMYFUNCTION("""COMPUTED_VALUE"""),5838603)</f>
        <v>5838603</v>
      </c>
    </row>
    <row r="1601" spans="1:6" x14ac:dyDescent="0.35">
      <c r="A1601" s="2">
        <f ca="1">IFERROR(__xludf.DUMMYFUNCTION("""COMPUTED_VALUE"""),44327.6666666666)</f>
        <v>44327.666666666599</v>
      </c>
      <c r="B1601" s="1">
        <f ca="1">IFERROR(__xludf.DUMMYFUNCTION("""COMPUTED_VALUE"""),156.81)</f>
        <v>156.81</v>
      </c>
      <c r="C1601" s="1">
        <f ca="1">IFERROR(__xludf.DUMMYFUNCTION("""COMPUTED_VALUE"""),161.9)</f>
        <v>161.9</v>
      </c>
      <c r="D1601" s="1">
        <f ca="1">IFERROR(__xludf.DUMMYFUNCTION("""COMPUTED_VALUE"""),156.37)</f>
        <v>156.37</v>
      </c>
      <c r="E1601" s="1">
        <f ca="1">IFERROR(__xludf.DUMMYFUNCTION("""COMPUTED_VALUE"""),161.2)</f>
        <v>161.19999999999999</v>
      </c>
      <c r="F1601" s="1">
        <f ca="1">IFERROR(__xludf.DUMMYFUNCTION("""COMPUTED_VALUE"""),4619781)</f>
        <v>4619781</v>
      </c>
    </row>
    <row r="1602" spans="1:6" x14ac:dyDescent="0.35">
      <c r="A1602" s="2">
        <f ca="1">IFERROR(__xludf.DUMMYFUNCTION("""COMPUTED_VALUE"""),44328.6666666666)</f>
        <v>44328.666666666599</v>
      </c>
      <c r="B1602" s="1">
        <f ca="1">IFERROR(__xludf.DUMMYFUNCTION("""COMPUTED_VALUE"""),159.25)</f>
        <v>159.25</v>
      </c>
      <c r="C1602" s="1">
        <f ca="1">IFERROR(__xludf.DUMMYFUNCTION("""COMPUTED_VALUE"""),160.4)</f>
        <v>160.4</v>
      </c>
      <c r="D1602" s="1">
        <f ca="1">IFERROR(__xludf.DUMMYFUNCTION("""COMPUTED_VALUE"""),156.66)</f>
        <v>156.66</v>
      </c>
      <c r="E1602" s="1">
        <f ca="1">IFERROR(__xludf.DUMMYFUNCTION("""COMPUTED_VALUE"""),157.6)</f>
        <v>157.6</v>
      </c>
      <c r="F1602" s="1">
        <f ca="1">IFERROR(__xludf.DUMMYFUNCTION("""COMPUTED_VALUE"""),4936410)</f>
        <v>4936410</v>
      </c>
    </row>
    <row r="1603" spans="1:6" x14ac:dyDescent="0.35">
      <c r="A1603" s="2">
        <f ca="1">IFERROR(__xludf.DUMMYFUNCTION("""COMPUTED_VALUE"""),44329.6666666666)</f>
        <v>44329.666666666599</v>
      </c>
      <c r="B1603" s="1">
        <f ca="1">IFERROR(__xludf.DUMMYFUNCTION("""COMPUTED_VALUE"""),159.27)</f>
        <v>159.27000000000001</v>
      </c>
      <c r="C1603" s="1">
        <f ca="1">IFERROR(__xludf.DUMMYFUNCTION("""COMPUTED_VALUE"""),160.19)</f>
        <v>160.19</v>
      </c>
      <c r="D1603" s="1">
        <f ca="1">IFERROR(__xludf.DUMMYFUNCTION("""COMPUTED_VALUE"""),156.65)</f>
        <v>156.65</v>
      </c>
      <c r="E1603" s="1">
        <f ca="1">IFERROR(__xludf.DUMMYFUNCTION("""COMPUTED_VALUE"""),158.07)</f>
        <v>158.07</v>
      </c>
      <c r="F1603" s="1">
        <f ca="1">IFERROR(__xludf.DUMMYFUNCTION("""COMPUTED_VALUE"""),3356877)</f>
        <v>3356877</v>
      </c>
    </row>
    <row r="1604" spans="1:6" x14ac:dyDescent="0.35">
      <c r="A1604" s="2">
        <f ca="1">IFERROR(__xludf.DUMMYFUNCTION("""COMPUTED_VALUE"""),44330.6666666666)</f>
        <v>44330.666666666599</v>
      </c>
      <c r="B1604" s="1">
        <f ca="1">IFERROR(__xludf.DUMMYFUNCTION("""COMPUTED_VALUE"""),159.28)</f>
        <v>159.28</v>
      </c>
      <c r="C1604" s="1">
        <f ca="1">IFERROR(__xludf.DUMMYFUNCTION("""COMPUTED_VALUE"""),161.44)</f>
        <v>161.44</v>
      </c>
      <c r="D1604" s="1">
        <f ca="1">IFERROR(__xludf.DUMMYFUNCTION("""COMPUTED_VALUE"""),159.15)</f>
        <v>159.15</v>
      </c>
      <c r="E1604" s="1">
        <f ca="1">IFERROR(__xludf.DUMMYFUNCTION("""COMPUTED_VALUE"""),161.15)</f>
        <v>161.15</v>
      </c>
      <c r="F1604" s="1">
        <f ca="1">IFERROR(__xludf.DUMMYFUNCTION("""COMPUTED_VALUE"""),3325022)</f>
        <v>3325022</v>
      </c>
    </row>
    <row r="1605" spans="1:6" x14ac:dyDescent="0.35">
      <c r="A1605" s="2">
        <f ca="1">IFERROR(__xludf.DUMMYFUNCTION("""COMPUTED_VALUE"""),44333.6666666666)</f>
        <v>44333.666666666599</v>
      </c>
      <c r="B1605" s="1">
        <f ca="1">IFERROR(__xludf.DUMMYFUNCTION("""COMPUTED_VALUE"""),162.3)</f>
        <v>162.30000000000001</v>
      </c>
      <c r="C1605" s="1">
        <f ca="1">IFERROR(__xludf.DUMMYFUNCTION("""COMPUTED_VALUE"""),164.64)</f>
        <v>164.64</v>
      </c>
      <c r="D1605" s="1">
        <f ca="1">IFERROR(__xludf.DUMMYFUNCTION("""COMPUTED_VALUE"""),161.73)</f>
        <v>161.72999999999999</v>
      </c>
      <c r="E1605" s="1">
        <f ca="1">IFERROR(__xludf.DUMMYFUNCTION("""COMPUTED_VALUE"""),163.52)</f>
        <v>163.52000000000001</v>
      </c>
      <c r="F1605" s="1">
        <f ca="1">IFERROR(__xludf.DUMMYFUNCTION("""COMPUTED_VALUE"""),3723925)</f>
        <v>3723925</v>
      </c>
    </row>
    <row r="1606" spans="1:6" x14ac:dyDescent="0.35">
      <c r="A1606" s="2">
        <f ca="1">IFERROR(__xludf.DUMMYFUNCTION("""COMPUTED_VALUE"""),44334.6666666666)</f>
        <v>44334.666666666599</v>
      </c>
      <c r="B1606" s="1">
        <f ca="1">IFERROR(__xludf.DUMMYFUNCTION("""COMPUTED_VALUE"""),164.63)</f>
        <v>164.63</v>
      </c>
      <c r="C1606" s="1">
        <f ca="1">IFERROR(__xludf.DUMMYFUNCTION("""COMPUTED_VALUE"""),165.6)</f>
        <v>165.6</v>
      </c>
      <c r="D1606" s="1">
        <f ca="1">IFERROR(__xludf.DUMMYFUNCTION("""COMPUTED_VALUE"""),161.52)</f>
        <v>161.52000000000001</v>
      </c>
      <c r="E1606" s="1">
        <f ca="1">IFERROR(__xludf.DUMMYFUNCTION("""COMPUTED_VALUE"""),161.61)</f>
        <v>161.61000000000001</v>
      </c>
      <c r="F1606" s="1">
        <f ca="1">IFERROR(__xludf.DUMMYFUNCTION("""COMPUTED_VALUE"""),2828391)</f>
        <v>2828391</v>
      </c>
    </row>
    <row r="1607" spans="1:6" x14ac:dyDescent="0.35">
      <c r="A1607" s="2">
        <f ca="1">IFERROR(__xludf.DUMMYFUNCTION("""COMPUTED_VALUE"""),44335.6666666666)</f>
        <v>44335.666666666599</v>
      </c>
      <c r="B1607" s="1">
        <f ca="1">IFERROR(__xludf.DUMMYFUNCTION("""COMPUTED_VALUE"""),159.75)</f>
        <v>159.75</v>
      </c>
      <c r="C1607" s="1">
        <f ca="1">IFERROR(__xludf.DUMMYFUNCTION("""COMPUTED_VALUE"""),161.74)</f>
        <v>161.74</v>
      </c>
      <c r="D1607" s="1">
        <f ca="1">IFERROR(__xludf.DUMMYFUNCTION("""COMPUTED_VALUE"""),159.2)</f>
        <v>159.19999999999999</v>
      </c>
      <c r="E1607" s="1">
        <f ca="1">IFERROR(__xludf.DUMMYFUNCTION("""COMPUTED_VALUE"""),161.59)</f>
        <v>161.59</v>
      </c>
      <c r="F1607" s="1">
        <f ca="1">IFERROR(__xludf.DUMMYFUNCTION("""COMPUTED_VALUE"""),2679708)</f>
        <v>2679708</v>
      </c>
    </row>
    <row r="1608" spans="1:6" x14ac:dyDescent="0.35">
      <c r="A1608" s="2">
        <f ca="1">IFERROR(__xludf.DUMMYFUNCTION("""COMPUTED_VALUE"""),44336.6666666666)</f>
        <v>44336.666666666599</v>
      </c>
      <c r="B1608" s="1">
        <f ca="1">IFERROR(__xludf.DUMMYFUNCTION("""COMPUTED_VALUE"""),162.22)</f>
        <v>162.22</v>
      </c>
      <c r="C1608" s="1">
        <f ca="1">IFERROR(__xludf.DUMMYFUNCTION("""COMPUTED_VALUE"""),162.98)</f>
        <v>162.97999999999999</v>
      </c>
      <c r="D1608" s="1">
        <f ca="1">IFERROR(__xludf.DUMMYFUNCTION("""COMPUTED_VALUE"""),161.81)</f>
        <v>161.81</v>
      </c>
      <c r="E1608" s="1">
        <f ca="1">IFERROR(__xludf.DUMMYFUNCTION("""COMPUTED_VALUE"""),162.38)</f>
        <v>162.38</v>
      </c>
      <c r="F1608" s="1">
        <f ca="1">IFERROR(__xludf.DUMMYFUNCTION("""COMPUTED_VALUE"""),2633192)</f>
        <v>2633192</v>
      </c>
    </row>
    <row r="1609" spans="1:6" x14ac:dyDescent="0.35">
      <c r="A1609" s="2">
        <f ca="1">IFERROR(__xludf.DUMMYFUNCTION("""COMPUTED_VALUE"""),44337.6666666666)</f>
        <v>44337.666666666599</v>
      </c>
      <c r="B1609" s="1">
        <f ca="1">IFERROR(__xludf.DUMMYFUNCTION("""COMPUTED_VALUE"""),162.5)</f>
        <v>162.5</v>
      </c>
      <c r="C1609" s="1">
        <f ca="1">IFERROR(__xludf.DUMMYFUNCTION("""COMPUTED_VALUE"""),162.83)</f>
        <v>162.83000000000001</v>
      </c>
      <c r="D1609" s="1">
        <f ca="1">IFERROR(__xludf.DUMMYFUNCTION("""COMPUTED_VALUE"""),159.85)</f>
        <v>159.85</v>
      </c>
      <c r="E1609" s="1">
        <f ca="1">IFERROR(__xludf.DUMMYFUNCTION("""COMPUTED_VALUE"""),160.15)</f>
        <v>160.15</v>
      </c>
      <c r="F1609" s="1">
        <f ca="1">IFERROR(__xludf.DUMMYFUNCTION("""COMPUTED_VALUE"""),4104882)</f>
        <v>4104882</v>
      </c>
    </row>
    <row r="1610" spans="1:6" x14ac:dyDescent="0.35">
      <c r="A1610" s="2">
        <f ca="1">IFERROR(__xludf.DUMMYFUNCTION("""COMPUTED_VALUE"""),44340.6666666666)</f>
        <v>44340.666666666599</v>
      </c>
      <c r="B1610" s="1">
        <f ca="1">IFERROR(__xludf.DUMMYFUNCTION("""COMPUTED_VALUE"""),160.78)</f>
        <v>160.78</v>
      </c>
      <c r="C1610" s="1">
        <f ca="1">IFERROR(__xludf.DUMMYFUNCTION("""COMPUTED_VALUE"""),162.9)</f>
        <v>162.9</v>
      </c>
      <c r="D1610" s="1">
        <f ca="1">IFERROR(__xludf.DUMMYFUNCTION("""COMPUTED_VALUE"""),160.52)</f>
        <v>160.52000000000001</v>
      </c>
      <c r="E1610" s="1">
        <f ca="1">IFERROR(__xludf.DUMMYFUNCTION("""COMPUTED_VALUE"""),162.25)</f>
        <v>162.25</v>
      </c>
      <c r="F1610" s="1">
        <f ca="1">IFERROR(__xludf.DUMMYFUNCTION("""COMPUTED_VALUE"""),2422813)</f>
        <v>2422813</v>
      </c>
    </row>
    <row r="1611" spans="1:6" x14ac:dyDescent="0.35">
      <c r="A1611" s="2">
        <f ca="1">IFERROR(__xludf.DUMMYFUNCTION("""COMPUTED_VALUE"""),44341.6666666666)</f>
        <v>44341.666666666599</v>
      </c>
      <c r="B1611" s="1">
        <f ca="1">IFERROR(__xludf.DUMMYFUNCTION("""COMPUTED_VALUE"""),163.33)</f>
        <v>163.33000000000001</v>
      </c>
      <c r="C1611" s="1">
        <f ca="1">IFERROR(__xludf.DUMMYFUNCTION("""COMPUTED_VALUE"""),163.99)</f>
        <v>163.99</v>
      </c>
      <c r="D1611" s="1">
        <f ca="1">IFERROR(__xludf.DUMMYFUNCTION("""COMPUTED_VALUE"""),160.69)</f>
        <v>160.69</v>
      </c>
      <c r="E1611" s="1">
        <f ca="1">IFERROR(__xludf.DUMMYFUNCTION("""COMPUTED_VALUE"""),162.95)</f>
        <v>162.94999999999999</v>
      </c>
      <c r="F1611" s="1">
        <f ca="1">IFERROR(__xludf.DUMMYFUNCTION("""COMPUTED_VALUE"""),3261109)</f>
        <v>3261109</v>
      </c>
    </row>
    <row r="1612" spans="1:6" x14ac:dyDescent="0.35">
      <c r="A1612" s="2">
        <f ca="1">IFERROR(__xludf.DUMMYFUNCTION("""COMPUTED_VALUE"""),44342.6666666666)</f>
        <v>44342.666666666599</v>
      </c>
      <c r="B1612" s="1">
        <f ca="1">IFERROR(__xludf.DUMMYFUNCTION("""COMPUTED_VALUE"""),163.73)</f>
        <v>163.72999999999999</v>
      </c>
      <c r="C1612" s="1">
        <f ca="1">IFERROR(__xludf.DUMMYFUNCTION("""COMPUTED_VALUE"""),164.79)</f>
        <v>164.79</v>
      </c>
      <c r="D1612" s="1">
        <f ca="1">IFERROR(__xludf.DUMMYFUNCTION("""COMPUTED_VALUE"""),162.93)</f>
        <v>162.93</v>
      </c>
      <c r="E1612" s="1">
        <f ca="1">IFERROR(__xludf.DUMMYFUNCTION("""COMPUTED_VALUE"""),163.26)</f>
        <v>163.26</v>
      </c>
      <c r="F1612" s="1">
        <f ca="1">IFERROR(__xludf.DUMMYFUNCTION("""COMPUTED_VALUE"""),2383986)</f>
        <v>2383986</v>
      </c>
    </row>
    <row r="1613" spans="1:6" x14ac:dyDescent="0.35">
      <c r="A1613" s="2">
        <f ca="1">IFERROR(__xludf.DUMMYFUNCTION("""COMPUTED_VALUE"""),44343.6666666666)</f>
        <v>44343.666666666599</v>
      </c>
      <c r="B1613" s="1">
        <f ca="1">IFERROR(__xludf.DUMMYFUNCTION("""COMPUTED_VALUE"""),162.8)</f>
        <v>162.80000000000001</v>
      </c>
      <c r="C1613" s="1">
        <f ca="1">IFERROR(__xludf.DUMMYFUNCTION("""COMPUTED_VALUE"""),163.02)</f>
        <v>163.02000000000001</v>
      </c>
      <c r="D1613" s="1">
        <f ca="1">IFERROR(__xludf.DUMMYFUNCTION("""COMPUTED_VALUE"""),161.5)</f>
        <v>161.5</v>
      </c>
      <c r="E1613" s="1">
        <f ca="1">IFERROR(__xludf.DUMMYFUNCTION("""COMPUTED_VALUE"""),161.51)</f>
        <v>161.51</v>
      </c>
      <c r="F1613" s="1">
        <f ca="1">IFERROR(__xludf.DUMMYFUNCTION("""COMPUTED_VALUE"""),2561157)</f>
        <v>2561157</v>
      </c>
    </row>
    <row r="1614" spans="1:6" x14ac:dyDescent="0.35">
      <c r="A1614" s="2">
        <f ca="1">IFERROR(__xludf.DUMMYFUNCTION("""COMPUTED_VALUE"""),44344.6666666666)</f>
        <v>44344.666666666599</v>
      </c>
      <c r="B1614" s="1">
        <f ca="1">IFERROR(__xludf.DUMMYFUNCTION("""COMPUTED_VALUE"""),162.1)</f>
        <v>162.1</v>
      </c>
      <c r="C1614" s="1">
        <f ca="1">IFERROR(__xludf.DUMMYFUNCTION("""COMPUTED_VALUE"""),162.4)</f>
        <v>162.4</v>
      </c>
      <c r="D1614" s="1">
        <f ca="1">IFERROR(__xludf.DUMMYFUNCTION("""COMPUTED_VALUE"""),160.99)</f>
        <v>160.99</v>
      </c>
      <c r="E1614" s="1">
        <f ca="1">IFERROR(__xludf.DUMMYFUNCTION("""COMPUTED_VALUE"""),161.15)</f>
        <v>161.15</v>
      </c>
      <c r="F1614" s="1">
        <f ca="1">IFERROR(__xludf.DUMMYFUNCTION("""COMPUTED_VALUE"""),2331509)</f>
        <v>2331509</v>
      </c>
    </row>
    <row r="1615" spans="1:6" x14ac:dyDescent="0.35">
      <c r="A1615" s="2">
        <f ca="1">IFERROR(__xludf.DUMMYFUNCTION("""COMPUTED_VALUE"""),44348.6666666666)</f>
        <v>44348.666666666599</v>
      </c>
      <c r="B1615" s="1">
        <f ca="1">IFERROR(__xludf.DUMMYFUNCTION("""COMPUTED_VALUE"""),162.17)</f>
        <v>162.16999999999999</v>
      </c>
      <c r="C1615" s="1">
        <f ca="1">IFERROR(__xludf.DUMMYFUNCTION("""COMPUTED_VALUE"""),162.55)</f>
        <v>162.55000000000001</v>
      </c>
      <c r="D1615" s="1">
        <f ca="1">IFERROR(__xludf.DUMMYFUNCTION("""COMPUTED_VALUE"""),160.45)</f>
        <v>160.44999999999999</v>
      </c>
      <c r="E1615" s="1">
        <f ca="1">IFERROR(__xludf.DUMMYFUNCTION("""COMPUTED_VALUE"""),160.93)</f>
        <v>160.93</v>
      </c>
      <c r="F1615" s="1">
        <f ca="1">IFERROR(__xludf.DUMMYFUNCTION("""COMPUTED_VALUE"""),2430045)</f>
        <v>2430045</v>
      </c>
    </row>
    <row r="1616" spans="1:6" x14ac:dyDescent="0.35">
      <c r="A1616" s="2">
        <f ca="1">IFERROR(__xludf.DUMMYFUNCTION("""COMPUTED_VALUE"""),44349.6666666666)</f>
        <v>44349.666666666599</v>
      </c>
      <c r="B1616" s="1">
        <f ca="1">IFERROR(__xludf.DUMMYFUNCTION("""COMPUTED_VALUE"""),161.16)</f>
        <v>161.16</v>
      </c>
      <c r="C1616" s="1">
        <f ca="1">IFERROR(__xludf.DUMMYFUNCTION("""COMPUTED_VALUE"""),161.75)</f>
        <v>161.75</v>
      </c>
      <c r="D1616" s="1">
        <f ca="1">IFERROR(__xludf.DUMMYFUNCTION("""COMPUTED_VALUE"""),160.4)</f>
        <v>160.4</v>
      </c>
      <c r="E1616" s="1">
        <f ca="1">IFERROR(__xludf.DUMMYFUNCTION("""COMPUTED_VALUE"""),161.7)</f>
        <v>161.69999999999999</v>
      </c>
      <c r="F1616" s="1">
        <f ca="1">IFERROR(__xludf.DUMMYFUNCTION("""COMPUTED_VALUE"""),2014524)</f>
        <v>2014524</v>
      </c>
    </row>
    <row r="1617" spans="1:6" x14ac:dyDescent="0.35">
      <c r="A1617" s="2">
        <f ca="1">IFERROR(__xludf.DUMMYFUNCTION("""COMPUTED_VALUE"""),44350.6666666666)</f>
        <v>44350.666666666599</v>
      </c>
      <c r="B1617" s="1">
        <f ca="1">IFERROR(__xludf.DUMMYFUNCTION("""COMPUTED_VALUE"""),160.21)</f>
        <v>160.21</v>
      </c>
      <c r="C1617" s="1">
        <f ca="1">IFERROR(__xludf.DUMMYFUNCTION("""COMPUTED_VALUE"""),160.72)</f>
        <v>160.72</v>
      </c>
      <c r="D1617" s="1">
        <f ca="1">IFERROR(__xludf.DUMMYFUNCTION("""COMPUTED_VALUE"""),159.2)</f>
        <v>159.19999999999999</v>
      </c>
      <c r="E1617" s="1">
        <f ca="1">IFERROR(__xludf.DUMMYFUNCTION("""COMPUTED_VALUE"""),159.35)</f>
        <v>159.35</v>
      </c>
      <c r="F1617" s="1">
        <f ca="1">IFERROR(__xludf.DUMMYFUNCTION("""COMPUTED_VALUE"""),2398293)</f>
        <v>2398293</v>
      </c>
    </row>
    <row r="1618" spans="1:6" x14ac:dyDescent="0.35">
      <c r="A1618" s="2">
        <f ca="1">IFERROR(__xludf.DUMMYFUNCTION("""COMPUTED_VALUE"""),44351.6666666666)</f>
        <v>44351.666666666599</v>
      </c>
      <c r="B1618" s="1">
        <f ca="1">IFERROR(__xludf.DUMMYFUNCTION("""COMPUTED_VALUE"""),160.6)</f>
        <v>160.6</v>
      </c>
      <c r="C1618" s="1">
        <f ca="1">IFERROR(__xludf.DUMMYFUNCTION("""COMPUTED_VALUE"""),161.05)</f>
        <v>161.05000000000001</v>
      </c>
      <c r="D1618" s="1">
        <f ca="1">IFERROR(__xludf.DUMMYFUNCTION("""COMPUTED_VALUE"""),159.94)</f>
        <v>159.94</v>
      </c>
      <c r="E1618" s="1">
        <f ca="1">IFERROR(__xludf.DUMMYFUNCTION("""COMPUTED_VALUE"""),160.31)</f>
        <v>160.31</v>
      </c>
      <c r="F1618" s="1">
        <f ca="1">IFERROR(__xludf.DUMMYFUNCTION("""COMPUTED_VALUE"""),2249749)</f>
        <v>2249749</v>
      </c>
    </row>
    <row r="1619" spans="1:6" x14ac:dyDescent="0.35">
      <c r="A1619" s="2">
        <f ca="1">IFERROR(__xludf.DUMMYFUNCTION("""COMPUTED_VALUE"""),44354.6666666666)</f>
        <v>44354.666666666599</v>
      </c>
      <c r="B1619" s="1">
        <f ca="1">IFERROR(__xludf.DUMMYFUNCTION("""COMPUTED_VALUE"""),159.87)</f>
        <v>159.87</v>
      </c>
      <c r="C1619" s="1">
        <f ca="1">IFERROR(__xludf.DUMMYFUNCTION("""COMPUTED_VALUE"""),160.4)</f>
        <v>160.4</v>
      </c>
      <c r="D1619" s="1">
        <f ca="1">IFERROR(__xludf.DUMMYFUNCTION("""COMPUTED_VALUE"""),158.61)</f>
        <v>158.61000000000001</v>
      </c>
      <c r="E1619" s="1">
        <f ca="1">IFERROR(__xludf.DUMMYFUNCTION("""COMPUTED_VALUE"""),159.9)</f>
        <v>159.9</v>
      </c>
      <c r="F1619" s="1">
        <f ca="1">IFERROR(__xludf.DUMMYFUNCTION("""COMPUTED_VALUE"""),2215756)</f>
        <v>2215756</v>
      </c>
    </row>
    <row r="1620" spans="1:6" x14ac:dyDescent="0.35">
      <c r="A1620" s="2">
        <f ca="1">IFERROR(__xludf.DUMMYFUNCTION("""COMPUTED_VALUE"""),44355.6666666666)</f>
        <v>44355.666666666599</v>
      </c>
      <c r="B1620" s="1">
        <f ca="1">IFERROR(__xludf.DUMMYFUNCTION("""COMPUTED_VALUE"""),161.13)</f>
        <v>161.13</v>
      </c>
      <c r="C1620" s="1">
        <f ca="1">IFERROR(__xludf.DUMMYFUNCTION("""COMPUTED_VALUE"""),163.98)</f>
        <v>163.98</v>
      </c>
      <c r="D1620" s="1">
        <f ca="1">IFERROR(__xludf.DUMMYFUNCTION("""COMPUTED_VALUE"""),160.9)</f>
        <v>160.9</v>
      </c>
      <c r="E1620" s="1">
        <f ca="1">IFERROR(__xludf.DUMMYFUNCTION("""COMPUTED_VALUE"""),163.21)</f>
        <v>163.21</v>
      </c>
      <c r="F1620" s="1">
        <f ca="1">IFERROR(__xludf.DUMMYFUNCTION("""COMPUTED_VALUE"""),3416730)</f>
        <v>3416730</v>
      </c>
    </row>
    <row r="1621" spans="1:6" x14ac:dyDescent="0.35">
      <c r="A1621" s="2">
        <f ca="1">IFERROR(__xludf.DUMMYFUNCTION("""COMPUTED_VALUE"""),44356.6666666666)</f>
        <v>44356.666666666599</v>
      </c>
      <c r="B1621" s="1">
        <f ca="1">IFERROR(__xludf.DUMMYFUNCTION("""COMPUTED_VALUE"""),163.64)</f>
        <v>163.63999999999999</v>
      </c>
      <c r="C1621" s="1">
        <f ca="1">IFERROR(__xludf.DUMMYFUNCTION("""COMPUTED_VALUE"""),164.88)</f>
        <v>164.88</v>
      </c>
      <c r="D1621" s="1">
        <f ca="1">IFERROR(__xludf.DUMMYFUNCTION("""COMPUTED_VALUE"""),163.54)</f>
        <v>163.54</v>
      </c>
      <c r="E1621" s="1">
        <f ca="1">IFERROR(__xludf.DUMMYFUNCTION("""COMPUTED_VALUE"""),164.06)</f>
        <v>164.06</v>
      </c>
      <c r="F1621" s="1">
        <f ca="1">IFERROR(__xludf.DUMMYFUNCTION("""COMPUTED_VALUE"""),2455530)</f>
        <v>2455530</v>
      </c>
    </row>
    <row r="1622" spans="1:6" x14ac:dyDescent="0.35">
      <c r="A1622" s="2">
        <f ca="1">IFERROR(__xludf.DUMMYFUNCTION("""COMPUTED_VALUE"""),44357.6666666666)</f>
        <v>44357.666666666599</v>
      </c>
      <c r="B1622" s="1">
        <f ca="1">IFERROR(__xludf.DUMMYFUNCTION("""COMPUTED_VALUE"""),164.1)</f>
        <v>164.1</v>
      </c>
      <c r="C1622" s="1">
        <f ca="1">IFERROR(__xludf.DUMMYFUNCTION("""COMPUTED_VALUE"""),167.55)</f>
        <v>167.55</v>
      </c>
      <c r="D1622" s="1">
        <f ca="1">IFERROR(__xludf.DUMMYFUNCTION("""COMPUTED_VALUE"""),164.06)</f>
        <v>164.06</v>
      </c>
      <c r="E1622" s="1">
        <f ca="1">IFERROR(__xludf.DUMMYFUNCTION("""COMPUTED_VALUE"""),167.48)</f>
        <v>167.48</v>
      </c>
      <c r="F1622" s="1">
        <f ca="1">IFERROR(__xludf.DUMMYFUNCTION("""COMPUTED_VALUE"""),3476480)</f>
        <v>3476480</v>
      </c>
    </row>
    <row r="1623" spans="1:6" x14ac:dyDescent="0.35">
      <c r="A1623" s="2">
        <f ca="1">IFERROR(__xludf.DUMMYFUNCTION("""COMPUTED_VALUE"""),44358.6666666666)</f>
        <v>44358.666666666599</v>
      </c>
      <c r="B1623" s="1">
        <f ca="1">IFERROR(__xludf.DUMMYFUNCTION("""COMPUTED_VALUE"""),167.48)</f>
        <v>167.48</v>
      </c>
      <c r="C1623" s="1">
        <f ca="1">IFERROR(__xludf.DUMMYFUNCTION("""COMPUTED_VALUE"""),168.33)</f>
        <v>168.33</v>
      </c>
      <c r="D1623" s="1">
        <f ca="1">IFERROR(__xludf.DUMMYFUNCTION("""COMPUTED_VALUE"""),166.67)</f>
        <v>166.67</v>
      </c>
      <c r="E1623" s="1">
        <f ca="1">IFERROR(__xludf.DUMMYFUNCTION("""COMPUTED_VALUE"""),167.34)</f>
        <v>167.34</v>
      </c>
      <c r="F1623" s="1">
        <f ca="1">IFERROR(__xludf.DUMMYFUNCTION("""COMPUTED_VALUE"""),2817352)</f>
        <v>2817352</v>
      </c>
    </row>
    <row r="1624" spans="1:6" x14ac:dyDescent="0.35">
      <c r="A1624" s="2">
        <f ca="1">IFERROR(__xludf.DUMMYFUNCTION("""COMPUTED_VALUE"""),44361.6666666666)</f>
        <v>44361.666666666599</v>
      </c>
      <c r="B1624" s="1">
        <f ca="1">IFERROR(__xludf.DUMMYFUNCTION("""COMPUTED_VALUE"""),167.34)</f>
        <v>167.34</v>
      </c>
      <c r="C1624" s="1">
        <f ca="1">IFERROR(__xludf.DUMMYFUNCTION("""COMPUTED_VALUE"""),169.25)</f>
        <v>169.25</v>
      </c>
      <c r="D1624" s="1">
        <f ca="1">IFERROR(__xludf.DUMMYFUNCTION("""COMPUTED_VALUE"""),166.78)</f>
        <v>166.78</v>
      </c>
      <c r="E1624" s="1">
        <f ca="1">IFERROR(__xludf.DUMMYFUNCTION("""COMPUTED_VALUE"""),169.19)</f>
        <v>169.19</v>
      </c>
      <c r="F1624" s="1">
        <f ca="1">IFERROR(__xludf.DUMMYFUNCTION("""COMPUTED_VALUE"""),2569655)</f>
        <v>2569655</v>
      </c>
    </row>
    <row r="1625" spans="1:6" x14ac:dyDescent="0.35">
      <c r="A1625" s="2">
        <f ca="1">IFERROR(__xludf.DUMMYFUNCTION("""COMPUTED_VALUE"""),44362.6666666666)</f>
        <v>44362.666666666599</v>
      </c>
      <c r="B1625" s="1">
        <f ca="1">IFERROR(__xludf.DUMMYFUNCTION("""COMPUTED_VALUE"""),169.2)</f>
        <v>169.2</v>
      </c>
      <c r="C1625" s="1">
        <f ca="1">IFERROR(__xludf.DUMMYFUNCTION("""COMPUTED_VALUE"""),169.85)</f>
        <v>169.85</v>
      </c>
      <c r="D1625" s="1">
        <f ca="1">IFERROR(__xludf.DUMMYFUNCTION("""COMPUTED_VALUE"""),168.16)</f>
        <v>168.16</v>
      </c>
      <c r="E1625" s="1">
        <f ca="1">IFERROR(__xludf.DUMMYFUNCTION("""COMPUTED_VALUE"""),169.16)</f>
        <v>169.16</v>
      </c>
      <c r="F1625" s="1">
        <f ca="1">IFERROR(__xludf.DUMMYFUNCTION("""COMPUTED_VALUE"""),2426200)</f>
        <v>2426200</v>
      </c>
    </row>
    <row r="1626" spans="1:6" x14ac:dyDescent="0.35">
      <c r="A1626" s="2">
        <f ca="1">IFERROR(__xludf.DUMMYFUNCTION("""COMPUTED_VALUE"""),44363.6666666666)</f>
        <v>44363.666666666599</v>
      </c>
      <c r="B1626" s="1">
        <f ca="1">IFERROR(__xludf.DUMMYFUNCTION("""COMPUTED_VALUE"""),169.6)</f>
        <v>169.6</v>
      </c>
      <c r="C1626" s="1">
        <f ca="1">IFERROR(__xludf.DUMMYFUNCTION("""COMPUTED_VALUE"""),171.32)</f>
        <v>171.32</v>
      </c>
      <c r="D1626" s="1">
        <f ca="1">IFERROR(__xludf.DUMMYFUNCTION("""COMPUTED_VALUE"""),168.03)</f>
        <v>168.03</v>
      </c>
      <c r="E1626" s="1">
        <f ca="1">IFERROR(__xludf.DUMMYFUNCTION("""COMPUTED_VALUE"""),170.76)</f>
        <v>170.76</v>
      </c>
      <c r="F1626" s="1">
        <f ca="1">IFERROR(__xludf.DUMMYFUNCTION("""COMPUTED_VALUE"""),4202782)</f>
        <v>4202782</v>
      </c>
    </row>
    <row r="1627" spans="1:6" x14ac:dyDescent="0.35">
      <c r="A1627" s="2">
        <f ca="1">IFERROR(__xludf.DUMMYFUNCTION("""COMPUTED_VALUE"""),44364.6666666666)</f>
        <v>44364.666666666599</v>
      </c>
      <c r="B1627" s="1">
        <f ca="1">IFERROR(__xludf.DUMMYFUNCTION("""COMPUTED_VALUE"""),170.16)</f>
        <v>170.16</v>
      </c>
      <c r="C1627" s="1">
        <f ca="1">IFERROR(__xludf.DUMMYFUNCTION("""COMPUTED_VALUE"""),174.86)</f>
        <v>174.86</v>
      </c>
      <c r="D1627" s="1">
        <f ca="1">IFERROR(__xludf.DUMMYFUNCTION("""COMPUTED_VALUE"""),170.05)</f>
        <v>170.05</v>
      </c>
      <c r="E1627" s="1">
        <f ca="1">IFERROR(__xludf.DUMMYFUNCTION("""COMPUTED_VALUE"""),174.46)</f>
        <v>174.46</v>
      </c>
      <c r="F1627" s="1">
        <f ca="1">IFERROR(__xludf.DUMMYFUNCTION("""COMPUTED_VALUE"""),5136531)</f>
        <v>5136531</v>
      </c>
    </row>
    <row r="1628" spans="1:6" x14ac:dyDescent="0.35">
      <c r="A1628" s="2">
        <f ca="1">IFERROR(__xludf.DUMMYFUNCTION("""COMPUTED_VALUE"""),44365.6666666666)</f>
        <v>44365.666666666599</v>
      </c>
      <c r="B1628" s="1">
        <f ca="1">IFERROR(__xludf.DUMMYFUNCTION("""COMPUTED_VALUE"""),174)</f>
        <v>174</v>
      </c>
      <c r="C1628" s="1">
        <f ca="1">IFERROR(__xludf.DUMMYFUNCTION("""COMPUTED_VALUE"""),175.35)</f>
        <v>175.35</v>
      </c>
      <c r="D1628" s="1">
        <f ca="1">IFERROR(__xludf.DUMMYFUNCTION("""COMPUTED_VALUE"""),173.69)</f>
        <v>173.69</v>
      </c>
      <c r="E1628" s="1">
        <f ca="1">IFERROR(__xludf.DUMMYFUNCTION("""COMPUTED_VALUE"""),174.35)</f>
        <v>174.35</v>
      </c>
      <c r="F1628" s="1">
        <f ca="1">IFERROR(__xludf.DUMMYFUNCTION("""COMPUTED_VALUE"""),5247737)</f>
        <v>5247737</v>
      </c>
    </row>
    <row r="1629" spans="1:6" x14ac:dyDescent="0.35">
      <c r="A1629" s="2">
        <f ca="1">IFERROR(__xludf.DUMMYFUNCTION("""COMPUTED_VALUE"""),44368.6666666666)</f>
        <v>44368.666666666599</v>
      </c>
      <c r="B1629" s="1">
        <f ca="1">IFERROR(__xludf.DUMMYFUNCTION("""COMPUTED_VALUE"""),173.82)</f>
        <v>173.82</v>
      </c>
      <c r="C1629" s="1">
        <f ca="1">IFERROR(__xludf.DUMMYFUNCTION("""COMPUTED_VALUE"""),174.1)</f>
        <v>174.1</v>
      </c>
      <c r="D1629" s="1">
        <f ca="1">IFERROR(__xludf.DUMMYFUNCTION("""COMPUTED_VALUE"""),171.7)</f>
        <v>171.7</v>
      </c>
      <c r="E1629" s="1">
        <f ca="1">IFERROR(__xludf.DUMMYFUNCTION("""COMPUTED_VALUE"""),172.7)</f>
        <v>172.7</v>
      </c>
      <c r="F1629" s="1">
        <f ca="1">IFERROR(__xludf.DUMMYFUNCTION("""COMPUTED_VALUE"""),3277130)</f>
        <v>3277130</v>
      </c>
    </row>
    <row r="1630" spans="1:6" x14ac:dyDescent="0.35">
      <c r="A1630" s="2">
        <f ca="1">IFERROR(__xludf.DUMMYFUNCTION("""COMPUTED_VALUE"""),44369.6666666666)</f>
        <v>44369.666666666599</v>
      </c>
      <c r="B1630" s="1">
        <f ca="1">IFERROR(__xludf.DUMMYFUNCTION("""COMPUTED_VALUE"""),172.9)</f>
        <v>172.9</v>
      </c>
      <c r="C1630" s="1">
        <f ca="1">IFERROR(__xludf.DUMMYFUNCTION("""COMPUTED_VALUE"""),176.19)</f>
        <v>176.19</v>
      </c>
      <c r="D1630" s="1">
        <f ca="1">IFERROR(__xludf.DUMMYFUNCTION("""COMPUTED_VALUE"""),172.8)</f>
        <v>172.8</v>
      </c>
      <c r="E1630" s="1">
        <f ca="1">IFERROR(__xludf.DUMMYFUNCTION("""COMPUTED_VALUE"""),175.27)</f>
        <v>175.27</v>
      </c>
      <c r="F1630" s="1">
        <f ca="1">IFERROR(__xludf.DUMMYFUNCTION("""COMPUTED_VALUE"""),3345082)</f>
        <v>3345082</v>
      </c>
    </row>
    <row r="1631" spans="1:6" x14ac:dyDescent="0.35">
      <c r="A1631" s="2">
        <f ca="1">IFERROR(__xludf.DUMMYFUNCTION("""COMPUTED_VALUE"""),44370.6666666666)</f>
        <v>44370.666666666599</v>
      </c>
      <c r="B1631" s="1">
        <f ca="1">IFERROR(__xludf.DUMMYFUNCTION("""COMPUTED_VALUE"""),175.25)</f>
        <v>175.25</v>
      </c>
      <c r="C1631" s="1">
        <f ca="1">IFERROR(__xludf.DUMMYFUNCTION("""COMPUTED_VALUE"""),176.05)</f>
        <v>176.05</v>
      </c>
      <c r="D1631" s="1">
        <f ca="1">IFERROR(__xludf.DUMMYFUNCTION("""COMPUTED_VALUE"""),174.16)</f>
        <v>174.16</v>
      </c>
      <c r="E1631" s="1">
        <f ca="1">IFERROR(__xludf.DUMMYFUNCTION("""COMPUTED_VALUE"""),175.19)</f>
        <v>175.19</v>
      </c>
      <c r="F1631" s="1">
        <f ca="1">IFERROR(__xludf.DUMMYFUNCTION("""COMPUTED_VALUE"""),2813341)</f>
        <v>2813341</v>
      </c>
    </row>
    <row r="1632" spans="1:6" x14ac:dyDescent="0.35">
      <c r="A1632" s="2">
        <f ca="1">IFERROR(__xludf.DUMMYFUNCTION("""COMPUTED_VALUE"""),44371.6666666666)</f>
        <v>44371.666666666599</v>
      </c>
      <c r="B1632" s="1">
        <f ca="1">IFERROR(__xludf.DUMMYFUNCTION("""COMPUTED_VALUE"""),175.38)</f>
        <v>175.38</v>
      </c>
      <c r="C1632" s="1">
        <f ca="1">IFERROR(__xludf.DUMMYFUNCTION("""COMPUTED_VALUE"""),176.24)</f>
        <v>176.24</v>
      </c>
      <c r="D1632" s="1">
        <f ca="1">IFERROR(__xludf.DUMMYFUNCTION("""COMPUTED_VALUE"""),171.54)</f>
        <v>171.54</v>
      </c>
      <c r="E1632" s="1">
        <f ca="1">IFERROR(__xludf.DUMMYFUNCTION("""COMPUTED_VALUE"""),172.45)</f>
        <v>172.45</v>
      </c>
      <c r="F1632" s="1">
        <f ca="1">IFERROR(__xludf.DUMMYFUNCTION("""COMPUTED_VALUE"""),3831999)</f>
        <v>3831999</v>
      </c>
    </row>
    <row r="1633" spans="1:6" x14ac:dyDescent="0.35">
      <c r="A1633" s="2">
        <f ca="1">IFERROR(__xludf.DUMMYFUNCTION("""COMPUTED_VALUE"""),44372.6666666666)</f>
        <v>44372.666666666599</v>
      </c>
      <c r="B1633" s="1">
        <f ca="1">IFERROR(__xludf.DUMMYFUNCTION("""COMPUTED_VALUE"""),173.2)</f>
        <v>173.2</v>
      </c>
      <c r="C1633" s="1">
        <f ca="1">IFERROR(__xludf.DUMMYFUNCTION("""COMPUTED_VALUE"""),173.24)</f>
        <v>173.24</v>
      </c>
      <c r="D1633" s="1">
        <f ca="1">IFERROR(__xludf.DUMMYFUNCTION("""COMPUTED_VALUE"""),169.71)</f>
        <v>169.71</v>
      </c>
      <c r="E1633" s="1">
        <f ca="1">IFERROR(__xludf.DUMMYFUNCTION("""COMPUTED_VALUE"""),170.07)</f>
        <v>170.07</v>
      </c>
      <c r="F1633" s="1">
        <f ca="1">IFERROR(__xludf.DUMMYFUNCTION("""COMPUTED_VALUE"""),3940997)</f>
        <v>3940997</v>
      </c>
    </row>
    <row r="1634" spans="1:6" x14ac:dyDescent="0.35">
      <c r="A1634" s="2">
        <f ca="1">IFERROR(__xludf.DUMMYFUNCTION("""COMPUTED_VALUE"""),44375.6666666666)</f>
        <v>44375.666666666599</v>
      </c>
      <c r="B1634" s="1">
        <f ca="1">IFERROR(__xludf.DUMMYFUNCTION("""COMPUTED_VALUE"""),170.8)</f>
        <v>170.8</v>
      </c>
      <c r="C1634" s="1">
        <f ca="1">IFERROR(__xludf.DUMMYFUNCTION("""COMPUTED_VALUE"""),172.4)</f>
        <v>172.4</v>
      </c>
      <c r="D1634" s="1">
        <f ca="1">IFERROR(__xludf.DUMMYFUNCTION("""COMPUTED_VALUE"""),170.68)</f>
        <v>170.68</v>
      </c>
      <c r="E1634" s="1">
        <f ca="1">IFERROR(__xludf.DUMMYFUNCTION("""COMPUTED_VALUE"""),172.19)</f>
        <v>172.19</v>
      </c>
      <c r="F1634" s="1">
        <f ca="1">IFERROR(__xludf.DUMMYFUNCTION("""COMPUTED_VALUE"""),2242793)</f>
        <v>2242793</v>
      </c>
    </row>
    <row r="1635" spans="1:6" x14ac:dyDescent="0.35">
      <c r="A1635" s="2">
        <f ca="1">IFERROR(__xludf.DUMMYFUNCTION("""COMPUTED_VALUE"""),44376.6666666666)</f>
        <v>44376.666666666599</v>
      </c>
      <c r="B1635" s="1">
        <f ca="1">IFERROR(__xludf.DUMMYFUNCTION("""COMPUTED_VALUE"""),171.94)</f>
        <v>171.94</v>
      </c>
      <c r="C1635" s="1">
        <f ca="1">IFERROR(__xludf.DUMMYFUNCTION("""COMPUTED_VALUE"""),172.8)</f>
        <v>172.8</v>
      </c>
      <c r="D1635" s="1">
        <f ca="1">IFERROR(__xludf.DUMMYFUNCTION("""COMPUTED_VALUE"""),171.15)</f>
        <v>171.15</v>
      </c>
      <c r="E1635" s="1">
        <f ca="1">IFERROR(__xludf.DUMMYFUNCTION("""COMPUTED_VALUE"""),172.41)</f>
        <v>172.41</v>
      </c>
      <c r="F1635" s="1">
        <f ca="1">IFERROR(__xludf.DUMMYFUNCTION("""COMPUTED_VALUE"""),2098439)</f>
        <v>2098439</v>
      </c>
    </row>
    <row r="1636" spans="1:6" x14ac:dyDescent="0.35">
      <c r="A1636" s="2">
        <f ca="1">IFERROR(__xludf.DUMMYFUNCTION("""COMPUTED_VALUE"""),44377.6666666666)</f>
        <v>44377.666666666599</v>
      </c>
      <c r="B1636" s="1">
        <f ca="1">IFERROR(__xludf.DUMMYFUNCTION("""COMPUTED_VALUE"""),172.05)</f>
        <v>172.05</v>
      </c>
      <c r="C1636" s="1">
        <f ca="1">IFERROR(__xludf.DUMMYFUNCTION("""COMPUTED_VALUE"""),173.58)</f>
        <v>173.58</v>
      </c>
      <c r="D1636" s="1">
        <f ca="1">IFERROR(__xludf.DUMMYFUNCTION("""COMPUTED_VALUE"""),171.75)</f>
        <v>171.75</v>
      </c>
      <c r="E1636" s="1">
        <f ca="1">IFERROR(__xludf.DUMMYFUNCTION("""COMPUTED_VALUE"""),172.01)</f>
        <v>172.01</v>
      </c>
      <c r="F1636" s="1">
        <f ca="1">IFERROR(__xludf.DUMMYFUNCTION("""COMPUTED_VALUE"""),2403992)</f>
        <v>2403992</v>
      </c>
    </row>
    <row r="1637" spans="1:6" x14ac:dyDescent="0.35">
      <c r="A1637" s="2">
        <f ca="1">IFERROR(__xludf.DUMMYFUNCTION("""COMPUTED_VALUE"""),44378.6666666666)</f>
        <v>44378.666666666599</v>
      </c>
      <c r="B1637" s="1">
        <f ca="1">IFERROR(__xludf.DUMMYFUNCTION("""COMPUTED_VALUE"""),171.73)</f>
        <v>171.73</v>
      </c>
      <c r="C1637" s="1">
        <f ca="1">IFERROR(__xludf.DUMMYFUNCTION("""COMPUTED_VALUE"""),172.85)</f>
        <v>172.85</v>
      </c>
      <c r="D1637" s="1">
        <f ca="1">IFERROR(__xludf.DUMMYFUNCTION("""COMPUTED_VALUE"""),170.47)</f>
        <v>170.47</v>
      </c>
      <c r="E1637" s="1">
        <f ca="1">IFERROR(__xludf.DUMMYFUNCTION("""COMPUTED_VALUE"""),171.65)</f>
        <v>171.65</v>
      </c>
      <c r="F1637" s="1">
        <f ca="1">IFERROR(__xludf.DUMMYFUNCTION("""COMPUTED_VALUE"""),2037053)</f>
        <v>2037053</v>
      </c>
    </row>
    <row r="1638" spans="1:6" x14ac:dyDescent="0.35">
      <c r="A1638" s="2">
        <f ca="1">IFERROR(__xludf.DUMMYFUNCTION("""COMPUTED_VALUE"""),44379.6666666666)</f>
        <v>44379.666666666599</v>
      </c>
      <c r="B1638" s="1">
        <f ca="1">IFERROR(__xludf.DUMMYFUNCTION("""COMPUTED_VALUE"""),172.58)</f>
        <v>172.58</v>
      </c>
      <c r="C1638" s="1">
        <f ca="1">IFERROR(__xludf.DUMMYFUNCTION("""COMPUTED_VALUE"""),175.59)</f>
        <v>175.59</v>
      </c>
      <c r="D1638" s="1">
        <f ca="1">IFERROR(__xludf.DUMMYFUNCTION("""COMPUTED_VALUE"""),171.85)</f>
        <v>171.85</v>
      </c>
      <c r="E1638" s="1">
        <f ca="1">IFERROR(__xludf.DUMMYFUNCTION("""COMPUTED_VALUE"""),175.55)</f>
        <v>175.55</v>
      </c>
      <c r="F1638" s="1">
        <f ca="1">IFERROR(__xludf.DUMMYFUNCTION("""COMPUTED_VALUE"""),3176697)</f>
        <v>3176697</v>
      </c>
    </row>
    <row r="1639" spans="1:6" x14ac:dyDescent="0.35">
      <c r="A1639" s="2">
        <f ca="1">IFERROR(__xludf.DUMMYFUNCTION("""COMPUTED_VALUE"""),44383.6666666666)</f>
        <v>44383.666666666599</v>
      </c>
      <c r="B1639" s="1">
        <f ca="1">IFERROR(__xludf.DUMMYFUNCTION("""COMPUTED_VALUE"""),176.51)</f>
        <v>176.51</v>
      </c>
      <c r="C1639" s="1">
        <f ca="1">IFERROR(__xludf.DUMMYFUNCTION("""COMPUTED_VALUE"""),184.27)</f>
        <v>184.27</v>
      </c>
      <c r="D1639" s="1">
        <f ca="1">IFERROR(__xludf.DUMMYFUNCTION("""COMPUTED_VALUE"""),176.45)</f>
        <v>176.45</v>
      </c>
      <c r="E1639" s="1">
        <f ca="1">IFERROR(__xludf.DUMMYFUNCTION("""COMPUTED_VALUE"""),183.79)</f>
        <v>183.79</v>
      </c>
      <c r="F1639" s="1">
        <f ca="1">IFERROR(__xludf.DUMMYFUNCTION("""COMPUTED_VALUE"""),6744768)</f>
        <v>6744768</v>
      </c>
    </row>
    <row r="1640" spans="1:6" x14ac:dyDescent="0.35">
      <c r="A1640" s="2">
        <f ca="1">IFERROR(__xludf.DUMMYFUNCTION("""COMPUTED_VALUE"""),44384.6666666666)</f>
        <v>44384.666666666599</v>
      </c>
      <c r="B1640" s="1">
        <f ca="1">IFERROR(__xludf.DUMMYFUNCTION("""COMPUTED_VALUE"""),185.87)</f>
        <v>185.87</v>
      </c>
      <c r="C1640" s="1">
        <f ca="1">IFERROR(__xludf.DUMMYFUNCTION("""COMPUTED_VALUE"""),186.71)</f>
        <v>186.71</v>
      </c>
      <c r="D1640" s="1">
        <f ca="1">IFERROR(__xludf.DUMMYFUNCTION("""COMPUTED_VALUE"""),183.95)</f>
        <v>183.95</v>
      </c>
      <c r="E1640" s="1">
        <f ca="1">IFERROR(__xludf.DUMMYFUNCTION("""COMPUTED_VALUE"""),184.83)</f>
        <v>184.83</v>
      </c>
      <c r="F1640" s="1">
        <f ca="1">IFERROR(__xludf.DUMMYFUNCTION("""COMPUTED_VALUE"""),5328062)</f>
        <v>5328062</v>
      </c>
    </row>
    <row r="1641" spans="1:6" x14ac:dyDescent="0.35">
      <c r="A1641" s="2">
        <f ca="1">IFERROR(__xludf.DUMMYFUNCTION("""COMPUTED_VALUE"""),44385.6666666666)</f>
        <v>44385.666666666599</v>
      </c>
      <c r="B1641" s="1">
        <f ca="1">IFERROR(__xludf.DUMMYFUNCTION("""COMPUTED_VALUE"""),182.18)</f>
        <v>182.18</v>
      </c>
      <c r="C1641" s="1">
        <f ca="1">IFERROR(__xludf.DUMMYFUNCTION("""COMPUTED_VALUE"""),188)</f>
        <v>188</v>
      </c>
      <c r="D1641" s="1">
        <f ca="1">IFERROR(__xludf.DUMMYFUNCTION("""COMPUTED_VALUE"""),181.06)</f>
        <v>181.06</v>
      </c>
      <c r="E1641" s="1">
        <f ca="1">IFERROR(__xludf.DUMMYFUNCTION("""COMPUTED_VALUE"""),186.57)</f>
        <v>186.57</v>
      </c>
      <c r="F1641" s="1">
        <f ca="1">IFERROR(__xludf.DUMMYFUNCTION("""COMPUTED_VALUE"""),5180623)</f>
        <v>5180623</v>
      </c>
    </row>
    <row r="1642" spans="1:6" x14ac:dyDescent="0.35">
      <c r="A1642" s="2">
        <f ca="1">IFERROR(__xludf.DUMMYFUNCTION("""COMPUTED_VALUE"""),44386.6666666666)</f>
        <v>44386.666666666599</v>
      </c>
      <c r="B1642" s="1">
        <f ca="1">IFERROR(__xludf.DUMMYFUNCTION("""COMPUTED_VALUE"""),186.13)</f>
        <v>186.13</v>
      </c>
      <c r="C1642" s="1">
        <f ca="1">IFERROR(__xludf.DUMMYFUNCTION("""COMPUTED_VALUE"""),187.4)</f>
        <v>187.4</v>
      </c>
      <c r="D1642" s="1">
        <f ca="1">IFERROR(__xludf.DUMMYFUNCTION("""COMPUTED_VALUE"""),184.67)</f>
        <v>184.67</v>
      </c>
      <c r="E1642" s="1">
        <f ca="1">IFERROR(__xludf.DUMMYFUNCTION("""COMPUTED_VALUE"""),185.97)</f>
        <v>185.97</v>
      </c>
      <c r="F1642" s="1">
        <f ca="1">IFERROR(__xludf.DUMMYFUNCTION("""COMPUTED_VALUE"""),3748237)</f>
        <v>3748237</v>
      </c>
    </row>
    <row r="1643" spans="1:6" x14ac:dyDescent="0.35">
      <c r="A1643" s="2">
        <f ca="1">IFERROR(__xludf.DUMMYFUNCTION("""COMPUTED_VALUE"""),44389.6666666666)</f>
        <v>44389.666666666599</v>
      </c>
      <c r="B1643" s="1">
        <f ca="1">IFERROR(__xludf.DUMMYFUNCTION("""COMPUTED_VALUE"""),187.2)</f>
        <v>187.2</v>
      </c>
      <c r="C1643" s="1">
        <f ca="1">IFERROR(__xludf.DUMMYFUNCTION("""COMPUTED_VALUE"""),187.86)</f>
        <v>187.86</v>
      </c>
      <c r="D1643" s="1">
        <f ca="1">IFERROR(__xludf.DUMMYFUNCTION("""COMPUTED_VALUE"""),184.84)</f>
        <v>184.84</v>
      </c>
      <c r="E1643" s="1">
        <f ca="1">IFERROR(__xludf.DUMMYFUNCTION("""COMPUTED_VALUE"""),185.93)</f>
        <v>185.93</v>
      </c>
      <c r="F1643" s="1">
        <f ca="1">IFERROR(__xludf.DUMMYFUNCTION("""COMPUTED_VALUE"""),2571635)</f>
        <v>2571635</v>
      </c>
    </row>
    <row r="1644" spans="1:6" x14ac:dyDescent="0.35">
      <c r="A1644" s="2">
        <f ca="1">IFERROR(__xludf.DUMMYFUNCTION("""COMPUTED_VALUE"""),44390.6666666666)</f>
        <v>44390.666666666599</v>
      </c>
      <c r="B1644" s="1">
        <f ca="1">IFERROR(__xludf.DUMMYFUNCTION("""COMPUTED_VALUE"""),185.11)</f>
        <v>185.11</v>
      </c>
      <c r="C1644" s="1">
        <f ca="1">IFERROR(__xludf.DUMMYFUNCTION("""COMPUTED_VALUE"""),188.65)</f>
        <v>188.65</v>
      </c>
      <c r="D1644" s="1">
        <f ca="1">IFERROR(__xludf.DUMMYFUNCTION("""COMPUTED_VALUE"""),183.57)</f>
        <v>183.57</v>
      </c>
      <c r="E1644" s="1">
        <f ca="1">IFERROR(__xludf.DUMMYFUNCTION("""COMPUTED_VALUE"""),183.87)</f>
        <v>183.87</v>
      </c>
      <c r="F1644" s="1">
        <f ca="1">IFERROR(__xludf.DUMMYFUNCTION("""COMPUTED_VALUE"""),3845917)</f>
        <v>3845917</v>
      </c>
    </row>
    <row r="1645" spans="1:6" x14ac:dyDescent="0.35">
      <c r="A1645" s="2">
        <f ca="1">IFERROR(__xludf.DUMMYFUNCTION("""COMPUTED_VALUE"""),44391.6666666666)</f>
        <v>44391.666666666599</v>
      </c>
      <c r="B1645" s="1">
        <f ca="1">IFERROR(__xludf.DUMMYFUNCTION("""COMPUTED_VALUE"""),185.44)</f>
        <v>185.44</v>
      </c>
      <c r="C1645" s="1">
        <f ca="1">IFERROR(__xludf.DUMMYFUNCTION("""COMPUTED_VALUE"""),185.88)</f>
        <v>185.88</v>
      </c>
      <c r="D1645" s="1">
        <f ca="1">IFERROR(__xludf.DUMMYFUNCTION("""COMPUTED_VALUE"""),183.04)</f>
        <v>183.04</v>
      </c>
      <c r="E1645" s="1">
        <f ca="1">IFERROR(__xludf.DUMMYFUNCTION("""COMPUTED_VALUE"""),184.08)</f>
        <v>184.08</v>
      </c>
      <c r="F1645" s="1">
        <f ca="1">IFERROR(__xludf.DUMMYFUNCTION("""COMPUTED_VALUE"""),3296568)</f>
        <v>3296568</v>
      </c>
    </row>
    <row r="1646" spans="1:6" x14ac:dyDescent="0.35">
      <c r="A1646" s="2">
        <f ca="1">IFERROR(__xludf.DUMMYFUNCTION("""COMPUTED_VALUE"""),44392.6666666666)</f>
        <v>44392.666666666599</v>
      </c>
      <c r="B1646" s="1">
        <f ca="1">IFERROR(__xludf.DUMMYFUNCTION("""COMPUTED_VALUE"""),184.71)</f>
        <v>184.71</v>
      </c>
      <c r="C1646" s="1">
        <f ca="1">IFERROR(__xludf.DUMMYFUNCTION("""COMPUTED_VALUE"""),184.77)</f>
        <v>184.77</v>
      </c>
      <c r="D1646" s="1">
        <f ca="1">IFERROR(__xludf.DUMMYFUNCTION("""COMPUTED_VALUE"""),181.05)</f>
        <v>181.05</v>
      </c>
      <c r="E1646" s="1">
        <f ca="1">IFERROR(__xludf.DUMMYFUNCTION("""COMPUTED_VALUE"""),181.56)</f>
        <v>181.56</v>
      </c>
      <c r="F1646" s="1">
        <f ca="1">IFERROR(__xludf.DUMMYFUNCTION("""COMPUTED_VALUE"""),3185292)</f>
        <v>3185292</v>
      </c>
    </row>
    <row r="1647" spans="1:6" x14ac:dyDescent="0.35">
      <c r="A1647" s="2">
        <f ca="1">IFERROR(__xludf.DUMMYFUNCTION("""COMPUTED_VALUE"""),44393.6666666666)</f>
        <v>44393.666666666599</v>
      </c>
      <c r="B1647" s="1">
        <f ca="1">IFERROR(__xludf.DUMMYFUNCTION("""COMPUTED_VALUE"""),181.67)</f>
        <v>181.67</v>
      </c>
      <c r="C1647" s="1">
        <f ca="1">IFERROR(__xludf.DUMMYFUNCTION("""COMPUTED_VALUE"""),182.3)</f>
        <v>182.3</v>
      </c>
      <c r="D1647" s="1">
        <f ca="1">IFERROR(__xludf.DUMMYFUNCTION("""COMPUTED_VALUE"""),178.52)</f>
        <v>178.52</v>
      </c>
      <c r="E1647" s="1">
        <f ca="1">IFERROR(__xludf.DUMMYFUNCTION("""COMPUTED_VALUE"""),178.68)</f>
        <v>178.68</v>
      </c>
      <c r="F1647" s="1">
        <f ca="1">IFERROR(__xludf.DUMMYFUNCTION("""COMPUTED_VALUE"""),4043706)</f>
        <v>4043706</v>
      </c>
    </row>
    <row r="1648" spans="1:6" x14ac:dyDescent="0.35">
      <c r="A1648" s="2">
        <f ca="1">IFERROR(__xludf.DUMMYFUNCTION("""COMPUTED_VALUE"""),44396.6666666666)</f>
        <v>44396.666666666599</v>
      </c>
      <c r="B1648" s="1">
        <f ca="1">IFERROR(__xludf.DUMMYFUNCTION("""COMPUTED_VALUE"""),176.63)</f>
        <v>176.63</v>
      </c>
      <c r="C1648" s="1">
        <f ca="1">IFERROR(__xludf.DUMMYFUNCTION("""COMPUTED_VALUE"""),177.51)</f>
        <v>177.51</v>
      </c>
      <c r="D1648" s="1">
        <f ca="1">IFERROR(__xludf.DUMMYFUNCTION("""COMPUTED_VALUE"""),174.96)</f>
        <v>174.96</v>
      </c>
      <c r="E1648" s="1">
        <f ca="1">IFERROR(__xludf.DUMMYFUNCTION("""COMPUTED_VALUE"""),177.48)</f>
        <v>177.48</v>
      </c>
      <c r="F1648" s="1">
        <f ca="1">IFERROR(__xludf.DUMMYFUNCTION("""COMPUTED_VALUE"""),3784595)</f>
        <v>3784595</v>
      </c>
    </row>
    <row r="1649" spans="1:6" x14ac:dyDescent="0.35">
      <c r="A1649" s="2">
        <f ca="1">IFERROR(__xludf.DUMMYFUNCTION("""COMPUTED_VALUE"""),44397.6666666666)</f>
        <v>44397.666666666599</v>
      </c>
      <c r="B1649" s="1">
        <f ca="1">IFERROR(__xludf.DUMMYFUNCTION("""COMPUTED_VALUE"""),178.37)</f>
        <v>178.37</v>
      </c>
      <c r="C1649" s="1">
        <f ca="1">IFERROR(__xludf.DUMMYFUNCTION("""COMPUTED_VALUE"""),179.6)</f>
        <v>179.6</v>
      </c>
      <c r="D1649" s="1">
        <f ca="1">IFERROR(__xludf.DUMMYFUNCTION("""COMPUTED_VALUE"""),175.9)</f>
        <v>175.9</v>
      </c>
      <c r="E1649" s="1">
        <f ca="1">IFERROR(__xludf.DUMMYFUNCTION("""COMPUTED_VALUE"""),178.66)</f>
        <v>178.66</v>
      </c>
      <c r="F1649" s="1">
        <f ca="1">IFERROR(__xludf.DUMMYFUNCTION("""COMPUTED_VALUE"""),3255680)</f>
        <v>3255680</v>
      </c>
    </row>
    <row r="1650" spans="1:6" x14ac:dyDescent="0.35">
      <c r="A1650" s="2">
        <f ca="1">IFERROR(__xludf.DUMMYFUNCTION("""COMPUTED_VALUE"""),44398.6666666666)</f>
        <v>44398.666666666599</v>
      </c>
      <c r="B1650" s="1">
        <f ca="1">IFERROR(__xludf.DUMMYFUNCTION("""COMPUTED_VALUE"""),178.82)</f>
        <v>178.82</v>
      </c>
      <c r="C1650" s="1">
        <f ca="1">IFERROR(__xludf.DUMMYFUNCTION("""COMPUTED_VALUE"""),179.32)</f>
        <v>179.32</v>
      </c>
      <c r="D1650" s="1">
        <f ca="1">IFERROR(__xludf.DUMMYFUNCTION("""COMPUTED_VALUE"""),177.18)</f>
        <v>177.18</v>
      </c>
      <c r="E1650" s="1">
        <f ca="1">IFERROR(__xludf.DUMMYFUNCTION("""COMPUTED_VALUE"""),179.26)</f>
        <v>179.26</v>
      </c>
      <c r="F1650" s="1">
        <f ca="1">IFERROR(__xludf.DUMMYFUNCTION("""COMPUTED_VALUE"""),2318989)</f>
        <v>2318989</v>
      </c>
    </row>
    <row r="1651" spans="1:6" x14ac:dyDescent="0.35">
      <c r="A1651" s="2">
        <f ca="1">IFERROR(__xludf.DUMMYFUNCTION("""COMPUTED_VALUE"""),44399.6666666666)</f>
        <v>44399.666666666599</v>
      </c>
      <c r="B1651" s="1">
        <f ca="1">IFERROR(__xludf.DUMMYFUNCTION("""COMPUTED_VALUE"""),179.36)</f>
        <v>179.36</v>
      </c>
      <c r="C1651" s="1">
        <f ca="1">IFERROR(__xludf.DUMMYFUNCTION("""COMPUTED_VALUE"""),182)</f>
        <v>182</v>
      </c>
      <c r="D1651" s="1">
        <f ca="1">IFERROR(__xludf.DUMMYFUNCTION("""COMPUTED_VALUE"""),179.11)</f>
        <v>179.11</v>
      </c>
      <c r="E1651" s="1">
        <f ca="1">IFERROR(__xludf.DUMMYFUNCTION("""COMPUTED_VALUE"""),181.9)</f>
        <v>181.9</v>
      </c>
      <c r="F1651" s="1">
        <f ca="1">IFERROR(__xludf.DUMMYFUNCTION("""COMPUTED_VALUE"""),3265352)</f>
        <v>3265352</v>
      </c>
    </row>
    <row r="1652" spans="1:6" x14ac:dyDescent="0.35">
      <c r="A1652" s="2">
        <f ca="1">IFERROR(__xludf.DUMMYFUNCTION("""COMPUTED_VALUE"""),44400.6666666666)</f>
        <v>44400.666666666599</v>
      </c>
      <c r="B1652" s="1">
        <f ca="1">IFERROR(__xludf.DUMMYFUNCTION("""COMPUTED_VALUE"""),182)</f>
        <v>182</v>
      </c>
      <c r="C1652" s="1">
        <f ca="1">IFERROR(__xludf.DUMMYFUNCTION("""COMPUTED_VALUE"""),183.31)</f>
        <v>183.31</v>
      </c>
      <c r="D1652" s="1">
        <f ca="1">IFERROR(__xludf.DUMMYFUNCTION("""COMPUTED_VALUE"""),181.1)</f>
        <v>181.1</v>
      </c>
      <c r="E1652" s="1">
        <f ca="1">IFERROR(__xludf.DUMMYFUNCTION("""COMPUTED_VALUE"""),182.83)</f>
        <v>182.83</v>
      </c>
      <c r="F1652" s="1">
        <f ca="1">IFERROR(__xludf.DUMMYFUNCTION("""COMPUTED_VALUE"""),2436292)</f>
        <v>2436292</v>
      </c>
    </row>
    <row r="1653" spans="1:6" x14ac:dyDescent="0.35">
      <c r="A1653" s="2">
        <f ca="1">IFERROR(__xludf.DUMMYFUNCTION("""COMPUTED_VALUE"""),44403.6666666666)</f>
        <v>44403.666666666599</v>
      </c>
      <c r="B1653" s="1">
        <f ca="1">IFERROR(__xludf.DUMMYFUNCTION("""COMPUTED_VALUE"""),183.66)</f>
        <v>183.66</v>
      </c>
      <c r="C1653" s="1">
        <f ca="1">IFERROR(__xludf.DUMMYFUNCTION("""COMPUTED_VALUE"""),185.6)</f>
        <v>185.6</v>
      </c>
      <c r="D1653" s="1">
        <f ca="1">IFERROR(__xludf.DUMMYFUNCTION("""COMPUTED_VALUE"""),182.36)</f>
        <v>182.36</v>
      </c>
      <c r="E1653" s="1">
        <f ca="1">IFERROR(__xludf.DUMMYFUNCTION("""COMPUTED_VALUE"""),184.99)</f>
        <v>184.99</v>
      </c>
      <c r="F1653" s="1">
        <f ca="1">IFERROR(__xludf.DUMMYFUNCTION("""COMPUTED_VALUE"""),2900068)</f>
        <v>2900068</v>
      </c>
    </row>
    <row r="1654" spans="1:6" x14ac:dyDescent="0.35">
      <c r="A1654" s="2">
        <f ca="1">IFERROR(__xludf.DUMMYFUNCTION("""COMPUTED_VALUE"""),44404.6666666666)</f>
        <v>44404.666666666599</v>
      </c>
      <c r="B1654" s="1">
        <f ca="1">IFERROR(__xludf.DUMMYFUNCTION("""COMPUTED_VALUE"""),184.93)</f>
        <v>184.93</v>
      </c>
      <c r="C1654" s="1">
        <f ca="1">IFERROR(__xludf.DUMMYFUNCTION("""COMPUTED_VALUE"""),184.93)</f>
        <v>184.93</v>
      </c>
      <c r="D1654" s="1">
        <f ca="1">IFERROR(__xludf.DUMMYFUNCTION("""COMPUTED_VALUE"""),179.31)</f>
        <v>179.31</v>
      </c>
      <c r="E1654" s="1">
        <f ca="1">IFERROR(__xludf.DUMMYFUNCTION("""COMPUTED_VALUE"""),181.32)</f>
        <v>181.32</v>
      </c>
      <c r="F1654" s="1">
        <f ca="1">IFERROR(__xludf.DUMMYFUNCTION("""COMPUTED_VALUE"""),4131890)</f>
        <v>4131890</v>
      </c>
    </row>
    <row r="1655" spans="1:6" x14ac:dyDescent="0.35">
      <c r="A1655" s="2">
        <f ca="1">IFERROR(__xludf.DUMMYFUNCTION("""COMPUTED_VALUE"""),44405.6666666666)</f>
        <v>44405.666666666599</v>
      </c>
      <c r="B1655" s="1">
        <f ca="1">IFERROR(__xludf.DUMMYFUNCTION("""COMPUTED_VALUE"""),181.69)</f>
        <v>181.69</v>
      </c>
      <c r="C1655" s="1">
        <f ca="1">IFERROR(__xludf.DUMMYFUNCTION("""COMPUTED_VALUE"""),182.92)</f>
        <v>182.92</v>
      </c>
      <c r="D1655" s="1">
        <f ca="1">IFERROR(__xludf.DUMMYFUNCTION("""COMPUTED_VALUE"""),180.05)</f>
        <v>180.05</v>
      </c>
      <c r="E1655" s="1">
        <f ca="1">IFERROR(__xludf.DUMMYFUNCTION("""COMPUTED_VALUE"""),181.52)</f>
        <v>181.52</v>
      </c>
      <c r="F1655" s="1">
        <f ca="1">IFERROR(__xludf.DUMMYFUNCTION("""COMPUTED_VALUE"""),2999378)</f>
        <v>2999378</v>
      </c>
    </row>
    <row r="1656" spans="1:6" x14ac:dyDescent="0.35">
      <c r="A1656" s="2">
        <f ca="1">IFERROR(__xludf.DUMMYFUNCTION("""COMPUTED_VALUE"""),44406.6666666666)</f>
        <v>44406.666666666599</v>
      </c>
      <c r="B1656" s="1">
        <f ca="1">IFERROR(__xludf.DUMMYFUNCTION("""COMPUTED_VALUE"""),181.39)</f>
        <v>181.39</v>
      </c>
      <c r="C1656" s="1">
        <f ca="1">IFERROR(__xludf.DUMMYFUNCTION("""COMPUTED_VALUE"""),181.9)</f>
        <v>181.9</v>
      </c>
      <c r="D1656" s="1">
        <f ca="1">IFERROR(__xludf.DUMMYFUNCTION("""COMPUTED_VALUE"""),179)</f>
        <v>179</v>
      </c>
      <c r="E1656" s="1">
        <f ca="1">IFERROR(__xludf.DUMMYFUNCTION("""COMPUTED_VALUE"""),180)</f>
        <v>180</v>
      </c>
      <c r="F1656" s="1">
        <f ca="1">IFERROR(__xludf.DUMMYFUNCTION("""COMPUTED_VALUE"""),5519952)</f>
        <v>5519952</v>
      </c>
    </row>
    <row r="1657" spans="1:6" x14ac:dyDescent="0.35">
      <c r="A1657" s="2">
        <f ca="1">IFERROR(__xludf.DUMMYFUNCTION("""COMPUTED_VALUE"""),44407.6666666666)</f>
        <v>44407.666666666599</v>
      </c>
      <c r="B1657" s="1">
        <f ca="1">IFERROR(__xludf.DUMMYFUNCTION("""COMPUTED_VALUE"""),167.4)</f>
        <v>167.4</v>
      </c>
      <c r="C1657" s="1">
        <f ca="1">IFERROR(__xludf.DUMMYFUNCTION("""COMPUTED_VALUE"""),168.41)</f>
        <v>168.41</v>
      </c>
      <c r="D1657" s="1">
        <f ca="1">IFERROR(__xludf.DUMMYFUNCTION("""COMPUTED_VALUE"""),165.35)</f>
        <v>165.35</v>
      </c>
      <c r="E1657" s="1">
        <f ca="1">IFERROR(__xludf.DUMMYFUNCTION("""COMPUTED_VALUE"""),166.38)</f>
        <v>166.38</v>
      </c>
      <c r="F1657" s="1">
        <f ca="1">IFERROR(__xludf.DUMMYFUNCTION("""COMPUTED_VALUE"""),9965593)</f>
        <v>9965593</v>
      </c>
    </row>
    <row r="1658" spans="1:6" x14ac:dyDescent="0.35">
      <c r="A1658" s="2">
        <f ca="1">IFERROR(__xludf.DUMMYFUNCTION("""COMPUTED_VALUE"""),44410.6666666666)</f>
        <v>44410.666666666599</v>
      </c>
      <c r="B1658" s="1">
        <f ca="1">IFERROR(__xludf.DUMMYFUNCTION("""COMPUTED_VALUE"""),167.66)</f>
        <v>167.66</v>
      </c>
      <c r="C1658" s="1">
        <f ca="1">IFERROR(__xludf.DUMMYFUNCTION("""COMPUTED_VALUE"""),167.95)</f>
        <v>167.95</v>
      </c>
      <c r="D1658" s="1">
        <f ca="1">IFERROR(__xludf.DUMMYFUNCTION("""COMPUTED_VALUE"""),165.85)</f>
        <v>165.85</v>
      </c>
      <c r="E1658" s="1">
        <f ca="1">IFERROR(__xludf.DUMMYFUNCTION("""COMPUTED_VALUE"""),166.57)</f>
        <v>166.57</v>
      </c>
      <c r="F1658" s="1">
        <f ca="1">IFERROR(__xludf.DUMMYFUNCTION("""COMPUTED_VALUE"""),3353915)</f>
        <v>3353915</v>
      </c>
    </row>
    <row r="1659" spans="1:6" x14ac:dyDescent="0.35">
      <c r="A1659" s="2">
        <f ca="1">IFERROR(__xludf.DUMMYFUNCTION("""COMPUTED_VALUE"""),44411.6666666666)</f>
        <v>44411.666666666599</v>
      </c>
      <c r="B1659" s="1">
        <f ca="1">IFERROR(__xludf.DUMMYFUNCTION("""COMPUTED_VALUE"""),167.04)</f>
        <v>167.04</v>
      </c>
      <c r="C1659" s="1">
        <f ca="1">IFERROR(__xludf.DUMMYFUNCTION("""COMPUTED_VALUE"""),169.55)</f>
        <v>169.55</v>
      </c>
      <c r="D1659" s="1">
        <f ca="1">IFERROR(__xludf.DUMMYFUNCTION("""COMPUTED_VALUE"""),164.99)</f>
        <v>164.99</v>
      </c>
      <c r="E1659" s="1">
        <f ca="1">IFERROR(__xludf.DUMMYFUNCTION("""COMPUTED_VALUE"""),168.31)</f>
        <v>168.31</v>
      </c>
      <c r="F1659" s="1">
        <f ca="1">IFERROR(__xludf.DUMMYFUNCTION("""COMPUTED_VALUE"""),4157343)</f>
        <v>4157343</v>
      </c>
    </row>
    <row r="1660" spans="1:6" x14ac:dyDescent="0.35">
      <c r="A1660" s="2">
        <f ca="1">IFERROR(__xludf.DUMMYFUNCTION("""COMPUTED_VALUE"""),44412.6666666666)</f>
        <v>44412.666666666599</v>
      </c>
      <c r="B1660" s="1">
        <f ca="1">IFERROR(__xludf.DUMMYFUNCTION("""COMPUTED_VALUE"""),168.97)</f>
        <v>168.97</v>
      </c>
      <c r="C1660" s="1">
        <f ca="1">IFERROR(__xludf.DUMMYFUNCTION("""COMPUTED_VALUE"""),169.44)</f>
        <v>169.44</v>
      </c>
      <c r="D1660" s="1">
        <f ca="1">IFERROR(__xludf.DUMMYFUNCTION("""COMPUTED_VALUE"""),167.28)</f>
        <v>167.28</v>
      </c>
      <c r="E1660" s="1">
        <f ca="1">IFERROR(__xludf.DUMMYFUNCTION("""COMPUTED_VALUE"""),167.74)</f>
        <v>167.74</v>
      </c>
      <c r="F1660" s="1">
        <f ca="1">IFERROR(__xludf.DUMMYFUNCTION("""COMPUTED_VALUE"""),2183945)</f>
        <v>2183945</v>
      </c>
    </row>
    <row r="1661" spans="1:6" x14ac:dyDescent="0.35">
      <c r="A1661" s="2">
        <f ca="1">IFERROR(__xludf.DUMMYFUNCTION("""COMPUTED_VALUE"""),44413.6666666666)</f>
        <v>44413.666666666599</v>
      </c>
      <c r="B1661" s="1">
        <f ca="1">IFERROR(__xludf.DUMMYFUNCTION("""COMPUTED_VALUE"""),167.81)</f>
        <v>167.81</v>
      </c>
      <c r="C1661" s="1">
        <f ca="1">IFERROR(__xludf.DUMMYFUNCTION("""COMPUTED_VALUE"""),169.45)</f>
        <v>169.45</v>
      </c>
      <c r="D1661" s="1">
        <f ca="1">IFERROR(__xludf.DUMMYFUNCTION("""COMPUTED_VALUE"""),167.05)</f>
        <v>167.05</v>
      </c>
      <c r="E1661" s="1">
        <f ca="1">IFERROR(__xludf.DUMMYFUNCTION("""COMPUTED_VALUE"""),168.8)</f>
        <v>168.8</v>
      </c>
      <c r="F1661" s="1">
        <f ca="1">IFERROR(__xludf.DUMMYFUNCTION("""COMPUTED_VALUE"""),2433503)</f>
        <v>2433503</v>
      </c>
    </row>
    <row r="1662" spans="1:6" x14ac:dyDescent="0.35">
      <c r="A1662" s="2">
        <f ca="1">IFERROR(__xludf.DUMMYFUNCTION("""COMPUTED_VALUE"""),44414.6666666666)</f>
        <v>44414.666666666599</v>
      </c>
      <c r="B1662" s="1">
        <f ca="1">IFERROR(__xludf.DUMMYFUNCTION("""COMPUTED_VALUE"""),168.75)</f>
        <v>168.75</v>
      </c>
      <c r="C1662" s="1">
        <f ca="1">IFERROR(__xludf.DUMMYFUNCTION("""COMPUTED_VALUE"""),168.75)</f>
        <v>168.75</v>
      </c>
      <c r="D1662" s="1">
        <f ca="1">IFERROR(__xludf.DUMMYFUNCTION("""COMPUTED_VALUE"""),166.45)</f>
        <v>166.45</v>
      </c>
      <c r="E1662" s="1">
        <f ca="1">IFERROR(__xludf.DUMMYFUNCTION("""COMPUTED_VALUE"""),167.25)</f>
        <v>167.25</v>
      </c>
      <c r="F1662" s="1">
        <f ca="1">IFERROR(__xludf.DUMMYFUNCTION("""COMPUTED_VALUE"""),2637644)</f>
        <v>2637644</v>
      </c>
    </row>
    <row r="1663" spans="1:6" x14ac:dyDescent="0.35">
      <c r="A1663" s="2">
        <f ca="1">IFERROR(__xludf.DUMMYFUNCTION("""COMPUTED_VALUE"""),44417.6666666666)</f>
        <v>44417.666666666599</v>
      </c>
      <c r="B1663" s="1">
        <f ca="1">IFERROR(__xludf.DUMMYFUNCTION("""COMPUTED_VALUE"""),167.18)</f>
        <v>167.18</v>
      </c>
      <c r="C1663" s="1">
        <f ca="1">IFERROR(__xludf.DUMMYFUNCTION("""COMPUTED_VALUE"""),167.74)</f>
        <v>167.74</v>
      </c>
      <c r="D1663" s="1">
        <f ca="1">IFERROR(__xludf.DUMMYFUNCTION("""COMPUTED_VALUE"""),166.43)</f>
        <v>166.43</v>
      </c>
      <c r="E1663" s="1">
        <f ca="1">IFERROR(__xludf.DUMMYFUNCTION("""COMPUTED_VALUE"""),167.09)</f>
        <v>167.09</v>
      </c>
      <c r="F1663" s="1">
        <f ca="1">IFERROR(__xludf.DUMMYFUNCTION("""COMPUTED_VALUE"""),2148220)</f>
        <v>2148220</v>
      </c>
    </row>
    <row r="1664" spans="1:6" x14ac:dyDescent="0.35">
      <c r="A1664" s="2">
        <f ca="1">IFERROR(__xludf.DUMMYFUNCTION("""COMPUTED_VALUE"""),44418.6666666666)</f>
        <v>44418.666666666599</v>
      </c>
      <c r="B1664" s="1">
        <f ca="1">IFERROR(__xludf.DUMMYFUNCTION("""COMPUTED_VALUE"""),167.25)</f>
        <v>167.25</v>
      </c>
      <c r="C1664" s="1">
        <f ca="1">IFERROR(__xludf.DUMMYFUNCTION("""COMPUTED_VALUE"""),167.9)</f>
        <v>167.9</v>
      </c>
      <c r="D1664" s="1">
        <f ca="1">IFERROR(__xludf.DUMMYFUNCTION("""COMPUTED_VALUE"""),165.75)</f>
        <v>165.75</v>
      </c>
      <c r="E1664" s="1">
        <f ca="1">IFERROR(__xludf.DUMMYFUNCTION("""COMPUTED_VALUE"""),166.03)</f>
        <v>166.03</v>
      </c>
      <c r="F1664" s="1">
        <f ca="1">IFERROR(__xludf.DUMMYFUNCTION("""COMPUTED_VALUE"""),2412551)</f>
        <v>2412551</v>
      </c>
    </row>
    <row r="1665" spans="1:6" x14ac:dyDescent="0.35">
      <c r="A1665" s="2">
        <f ca="1">IFERROR(__xludf.DUMMYFUNCTION("""COMPUTED_VALUE"""),44419.6666666666)</f>
        <v>44419.666666666599</v>
      </c>
      <c r="B1665" s="1">
        <f ca="1">IFERROR(__xludf.DUMMYFUNCTION("""COMPUTED_VALUE"""),166.57)</f>
        <v>166.57</v>
      </c>
      <c r="C1665" s="1">
        <f ca="1">IFERROR(__xludf.DUMMYFUNCTION("""COMPUTED_VALUE"""),166.89)</f>
        <v>166.89</v>
      </c>
      <c r="D1665" s="1">
        <f ca="1">IFERROR(__xludf.DUMMYFUNCTION("""COMPUTED_VALUE"""),163.89)</f>
        <v>163.89</v>
      </c>
      <c r="E1665" s="1">
        <f ca="1">IFERROR(__xludf.DUMMYFUNCTION("""COMPUTED_VALUE"""),164.61)</f>
        <v>164.61</v>
      </c>
      <c r="F1665" s="1">
        <f ca="1">IFERROR(__xludf.DUMMYFUNCTION("""COMPUTED_VALUE"""),2947249)</f>
        <v>2947249</v>
      </c>
    </row>
    <row r="1666" spans="1:6" x14ac:dyDescent="0.35">
      <c r="A1666" s="2">
        <f ca="1">IFERROR(__xludf.DUMMYFUNCTION("""COMPUTED_VALUE"""),44420.6666666666)</f>
        <v>44420.666666666599</v>
      </c>
      <c r="B1666" s="1">
        <f ca="1">IFERROR(__xludf.DUMMYFUNCTION("""COMPUTED_VALUE"""),164.5)</f>
        <v>164.5</v>
      </c>
      <c r="C1666" s="1">
        <f ca="1">IFERROR(__xludf.DUMMYFUNCTION("""COMPUTED_VALUE"""),165.73)</f>
        <v>165.73</v>
      </c>
      <c r="D1666" s="1">
        <f ca="1">IFERROR(__xludf.DUMMYFUNCTION("""COMPUTED_VALUE"""),163.48)</f>
        <v>163.47999999999999</v>
      </c>
      <c r="E1666" s="1">
        <f ca="1">IFERROR(__xludf.DUMMYFUNCTION("""COMPUTED_VALUE"""),165.18)</f>
        <v>165.18</v>
      </c>
      <c r="F1666" s="1">
        <f ca="1">IFERROR(__xludf.DUMMYFUNCTION("""COMPUTED_VALUE"""),2323823)</f>
        <v>2323823</v>
      </c>
    </row>
    <row r="1667" spans="1:6" x14ac:dyDescent="0.35">
      <c r="A1667" s="2">
        <f ca="1">IFERROR(__xludf.DUMMYFUNCTION("""COMPUTED_VALUE"""),44421.6666666666)</f>
        <v>44421.666666666599</v>
      </c>
      <c r="B1667" s="1">
        <f ca="1">IFERROR(__xludf.DUMMYFUNCTION("""COMPUTED_VALUE"""),165.28)</f>
        <v>165.28</v>
      </c>
      <c r="C1667" s="1">
        <f ca="1">IFERROR(__xludf.DUMMYFUNCTION("""COMPUTED_VALUE"""),165.3)</f>
        <v>165.3</v>
      </c>
      <c r="D1667" s="1">
        <f ca="1">IFERROR(__xludf.DUMMYFUNCTION("""COMPUTED_VALUE"""),164.15)</f>
        <v>164.15</v>
      </c>
      <c r="E1667" s="1">
        <f ca="1">IFERROR(__xludf.DUMMYFUNCTION("""COMPUTED_VALUE"""),164.7)</f>
        <v>164.7</v>
      </c>
      <c r="F1667" s="1">
        <f ca="1">IFERROR(__xludf.DUMMYFUNCTION("""COMPUTED_VALUE"""),2056699)</f>
        <v>2056699</v>
      </c>
    </row>
    <row r="1668" spans="1:6" x14ac:dyDescent="0.35">
      <c r="A1668" s="2">
        <f ca="1">IFERROR(__xludf.DUMMYFUNCTION("""COMPUTED_VALUE"""),44424.6666666666)</f>
        <v>44424.666666666599</v>
      </c>
      <c r="B1668" s="1">
        <f ca="1">IFERROR(__xludf.DUMMYFUNCTION("""COMPUTED_VALUE"""),164.15)</f>
        <v>164.15</v>
      </c>
      <c r="C1668" s="1">
        <f ca="1">IFERROR(__xludf.DUMMYFUNCTION("""COMPUTED_VALUE"""),165)</f>
        <v>165</v>
      </c>
      <c r="D1668" s="1">
        <f ca="1">IFERROR(__xludf.DUMMYFUNCTION("""COMPUTED_VALUE"""),160.56)</f>
        <v>160.56</v>
      </c>
      <c r="E1668" s="1">
        <f ca="1">IFERROR(__xludf.DUMMYFUNCTION("""COMPUTED_VALUE"""),164.95)</f>
        <v>164.95</v>
      </c>
      <c r="F1668" s="1">
        <f ca="1">IFERROR(__xludf.DUMMYFUNCTION("""COMPUTED_VALUE"""),3328494)</f>
        <v>3328494</v>
      </c>
    </row>
    <row r="1669" spans="1:6" x14ac:dyDescent="0.35">
      <c r="A1669" s="2">
        <f ca="1">IFERROR(__xludf.DUMMYFUNCTION("""COMPUTED_VALUE"""),44425.6666666666)</f>
        <v>44425.666666666599</v>
      </c>
      <c r="B1669" s="1">
        <f ca="1">IFERROR(__xludf.DUMMYFUNCTION("""COMPUTED_VALUE"""),163.88)</f>
        <v>163.88</v>
      </c>
      <c r="C1669" s="1">
        <f ca="1">IFERROR(__xludf.DUMMYFUNCTION("""COMPUTED_VALUE"""),164.02)</f>
        <v>164.02</v>
      </c>
      <c r="D1669" s="1">
        <f ca="1">IFERROR(__xludf.DUMMYFUNCTION("""COMPUTED_VALUE"""),161.28)</f>
        <v>161.28</v>
      </c>
      <c r="E1669" s="1">
        <f ca="1">IFERROR(__xludf.DUMMYFUNCTION("""COMPUTED_VALUE"""),162.1)</f>
        <v>162.1</v>
      </c>
      <c r="F1669" s="1">
        <f ca="1">IFERROR(__xludf.DUMMYFUNCTION("""COMPUTED_VALUE"""),3387922)</f>
        <v>3387922</v>
      </c>
    </row>
    <row r="1670" spans="1:6" x14ac:dyDescent="0.35">
      <c r="A1670" s="2">
        <f ca="1">IFERROR(__xludf.DUMMYFUNCTION("""COMPUTED_VALUE"""),44426.6666666666)</f>
        <v>44426.666666666599</v>
      </c>
      <c r="B1670" s="1">
        <f ca="1">IFERROR(__xludf.DUMMYFUNCTION("""COMPUTED_VALUE"""),162.1)</f>
        <v>162.1</v>
      </c>
      <c r="C1670" s="1">
        <f ca="1">IFERROR(__xludf.DUMMYFUNCTION("""COMPUTED_VALUE"""),162.7)</f>
        <v>162.69999999999999</v>
      </c>
      <c r="D1670" s="1">
        <f ca="1">IFERROR(__xludf.DUMMYFUNCTION("""COMPUTED_VALUE"""),160)</f>
        <v>160</v>
      </c>
      <c r="E1670" s="1">
        <f ca="1">IFERROR(__xludf.DUMMYFUNCTION("""COMPUTED_VALUE"""),160.06)</f>
        <v>160.06</v>
      </c>
      <c r="F1670" s="1">
        <f ca="1">IFERROR(__xludf.DUMMYFUNCTION("""COMPUTED_VALUE"""),2804311)</f>
        <v>2804311</v>
      </c>
    </row>
    <row r="1671" spans="1:6" x14ac:dyDescent="0.35">
      <c r="A1671" s="2">
        <f ca="1">IFERROR(__xludf.DUMMYFUNCTION("""COMPUTED_VALUE"""),44427.6666666666)</f>
        <v>44427.666666666599</v>
      </c>
      <c r="B1671" s="1">
        <f ca="1">IFERROR(__xludf.DUMMYFUNCTION("""COMPUTED_VALUE"""),159.7)</f>
        <v>159.69999999999999</v>
      </c>
      <c r="C1671" s="1">
        <f ca="1">IFERROR(__xludf.DUMMYFUNCTION("""COMPUTED_VALUE"""),161.65)</f>
        <v>161.65</v>
      </c>
      <c r="D1671" s="1">
        <f ca="1">IFERROR(__xludf.DUMMYFUNCTION("""COMPUTED_VALUE"""),159.12)</f>
        <v>159.12</v>
      </c>
      <c r="E1671" s="1">
        <f ca="1">IFERROR(__xludf.DUMMYFUNCTION("""COMPUTED_VALUE"""),159.39)</f>
        <v>159.38999999999999</v>
      </c>
      <c r="F1671" s="1">
        <f ca="1">IFERROR(__xludf.DUMMYFUNCTION("""COMPUTED_VALUE"""),3782862)</f>
        <v>3782862</v>
      </c>
    </row>
    <row r="1672" spans="1:6" x14ac:dyDescent="0.35">
      <c r="A1672" s="2">
        <f ca="1">IFERROR(__xludf.DUMMYFUNCTION("""COMPUTED_VALUE"""),44428.6666666666)</f>
        <v>44428.666666666599</v>
      </c>
      <c r="B1672" s="1">
        <f ca="1">IFERROR(__xludf.DUMMYFUNCTION("""COMPUTED_VALUE"""),160.19)</f>
        <v>160.19</v>
      </c>
      <c r="C1672" s="1">
        <f ca="1">IFERROR(__xludf.DUMMYFUNCTION("""COMPUTED_VALUE"""),160.39)</f>
        <v>160.38999999999999</v>
      </c>
      <c r="D1672" s="1">
        <f ca="1">IFERROR(__xludf.DUMMYFUNCTION("""COMPUTED_VALUE"""),158.79)</f>
        <v>158.79</v>
      </c>
      <c r="E1672" s="1">
        <f ca="1">IFERROR(__xludf.DUMMYFUNCTION("""COMPUTED_VALUE"""),160)</f>
        <v>160</v>
      </c>
      <c r="F1672" s="1">
        <f ca="1">IFERROR(__xludf.DUMMYFUNCTION("""COMPUTED_VALUE"""),3358428)</f>
        <v>3358428</v>
      </c>
    </row>
    <row r="1673" spans="1:6" x14ac:dyDescent="0.35">
      <c r="A1673" s="2">
        <f ca="1">IFERROR(__xludf.DUMMYFUNCTION("""COMPUTED_VALUE"""),44431.6666666666)</f>
        <v>44431.666666666599</v>
      </c>
      <c r="B1673" s="1">
        <f ca="1">IFERROR(__xludf.DUMMYFUNCTION("""COMPUTED_VALUE"""),160.6)</f>
        <v>160.6</v>
      </c>
      <c r="C1673" s="1">
        <f ca="1">IFERROR(__xludf.DUMMYFUNCTION("""COMPUTED_VALUE"""),164.05)</f>
        <v>164.05</v>
      </c>
      <c r="D1673" s="1">
        <f ca="1">IFERROR(__xludf.DUMMYFUNCTION("""COMPUTED_VALUE"""),160.5)</f>
        <v>160.5</v>
      </c>
      <c r="E1673" s="1">
        <f ca="1">IFERROR(__xludf.DUMMYFUNCTION("""COMPUTED_VALUE"""),163.29)</f>
        <v>163.29</v>
      </c>
      <c r="F1673" s="1">
        <f ca="1">IFERROR(__xludf.DUMMYFUNCTION("""COMPUTED_VALUE"""),3268131)</f>
        <v>3268131</v>
      </c>
    </row>
    <row r="1674" spans="1:6" x14ac:dyDescent="0.35">
      <c r="A1674" s="2">
        <f ca="1">IFERROR(__xludf.DUMMYFUNCTION("""COMPUTED_VALUE"""),44432.6666666666)</f>
        <v>44432.666666666599</v>
      </c>
      <c r="B1674" s="1">
        <f ca="1">IFERROR(__xludf.DUMMYFUNCTION("""COMPUTED_VALUE"""),164)</f>
        <v>164</v>
      </c>
      <c r="C1674" s="1">
        <f ca="1">IFERROR(__xludf.DUMMYFUNCTION("""COMPUTED_VALUE"""),165.77)</f>
        <v>165.77</v>
      </c>
      <c r="D1674" s="1">
        <f ca="1">IFERROR(__xludf.DUMMYFUNCTION("""COMPUTED_VALUE"""),163.73)</f>
        <v>163.72999999999999</v>
      </c>
      <c r="E1674" s="1">
        <f ca="1">IFERROR(__xludf.DUMMYFUNCTION("""COMPUTED_VALUE"""),165.29)</f>
        <v>165.29</v>
      </c>
      <c r="F1674" s="1">
        <f ca="1">IFERROR(__xludf.DUMMYFUNCTION("""COMPUTED_VALUE"""),2551841)</f>
        <v>2551841</v>
      </c>
    </row>
    <row r="1675" spans="1:6" x14ac:dyDescent="0.35">
      <c r="A1675" s="2">
        <f ca="1">IFERROR(__xludf.DUMMYFUNCTION("""COMPUTED_VALUE"""),44433.6666666666)</f>
        <v>44433.666666666599</v>
      </c>
      <c r="B1675" s="1">
        <f ca="1">IFERROR(__xludf.DUMMYFUNCTION("""COMPUTED_VALUE"""),165.49)</f>
        <v>165.49</v>
      </c>
      <c r="C1675" s="1">
        <f ca="1">IFERROR(__xludf.DUMMYFUNCTION("""COMPUTED_VALUE"""),166.05)</f>
        <v>166.05</v>
      </c>
      <c r="D1675" s="1">
        <f ca="1">IFERROR(__xludf.DUMMYFUNCTION("""COMPUTED_VALUE"""),164.31)</f>
        <v>164.31</v>
      </c>
      <c r="E1675" s="1">
        <f ca="1">IFERROR(__xludf.DUMMYFUNCTION("""COMPUTED_VALUE"""),164.96)</f>
        <v>164.96</v>
      </c>
      <c r="F1675" s="1">
        <f ca="1">IFERROR(__xludf.DUMMYFUNCTION("""COMPUTED_VALUE"""),1680306)</f>
        <v>1680306</v>
      </c>
    </row>
    <row r="1676" spans="1:6" x14ac:dyDescent="0.35">
      <c r="A1676" s="2">
        <f ca="1">IFERROR(__xludf.DUMMYFUNCTION("""COMPUTED_VALUE"""),44434.6666666666)</f>
        <v>44434.666666666599</v>
      </c>
      <c r="B1676" s="1">
        <f ca="1">IFERROR(__xludf.DUMMYFUNCTION("""COMPUTED_VALUE"""),164.95)</f>
        <v>164.95</v>
      </c>
      <c r="C1676" s="1">
        <f ca="1">IFERROR(__xludf.DUMMYFUNCTION("""COMPUTED_VALUE"""),166.6)</f>
        <v>166.6</v>
      </c>
      <c r="D1676" s="1">
        <f ca="1">IFERROR(__xludf.DUMMYFUNCTION("""COMPUTED_VALUE"""),164.8)</f>
        <v>164.8</v>
      </c>
      <c r="E1676" s="1">
        <f ca="1">IFERROR(__xludf.DUMMYFUNCTION("""COMPUTED_VALUE"""),165.8)</f>
        <v>165.8</v>
      </c>
      <c r="F1676" s="1">
        <f ca="1">IFERROR(__xludf.DUMMYFUNCTION("""COMPUTED_VALUE"""),2098761)</f>
        <v>2098761</v>
      </c>
    </row>
    <row r="1677" spans="1:6" x14ac:dyDescent="0.35">
      <c r="A1677" s="2">
        <f ca="1">IFERROR(__xludf.DUMMYFUNCTION("""COMPUTED_VALUE"""),44435.6666666666)</f>
        <v>44435.666666666599</v>
      </c>
      <c r="B1677" s="1">
        <f ca="1">IFERROR(__xludf.DUMMYFUNCTION("""COMPUTED_VALUE"""),166.66)</f>
        <v>166.66</v>
      </c>
      <c r="C1677" s="1">
        <f ca="1">IFERROR(__xludf.DUMMYFUNCTION("""COMPUTED_VALUE"""),167.62)</f>
        <v>167.62</v>
      </c>
      <c r="D1677" s="1">
        <f ca="1">IFERROR(__xludf.DUMMYFUNCTION("""COMPUTED_VALUE"""),165.69)</f>
        <v>165.69</v>
      </c>
      <c r="E1677" s="1">
        <f ca="1">IFERROR(__xludf.DUMMYFUNCTION("""COMPUTED_VALUE"""),167.48)</f>
        <v>167.48</v>
      </c>
      <c r="F1677" s="1">
        <f ca="1">IFERROR(__xludf.DUMMYFUNCTION("""COMPUTED_VALUE"""),2402369)</f>
        <v>2402369</v>
      </c>
    </row>
    <row r="1678" spans="1:6" x14ac:dyDescent="0.35">
      <c r="A1678" s="2">
        <f ca="1">IFERROR(__xludf.DUMMYFUNCTION("""COMPUTED_VALUE"""),44438.6666666666)</f>
        <v>44438.666666666599</v>
      </c>
      <c r="B1678" s="1">
        <f ca="1">IFERROR(__xludf.DUMMYFUNCTION("""COMPUTED_VALUE"""),167.87)</f>
        <v>167.87</v>
      </c>
      <c r="C1678" s="1">
        <f ca="1">IFERROR(__xludf.DUMMYFUNCTION("""COMPUTED_VALUE"""),172.25)</f>
        <v>172.25</v>
      </c>
      <c r="D1678" s="1">
        <f ca="1">IFERROR(__xludf.DUMMYFUNCTION("""COMPUTED_VALUE"""),167.76)</f>
        <v>167.76</v>
      </c>
      <c r="E1678" s="1">
        <f ca="1">IFERROR(__xludf.DUMMYFUNCTION("""COMPUTED_VALUE"""),171.08)</f>
        <v>171.08</v>
      </c>
      <c r="F1678" s="1">
        <f ca="1">IFERROR(__xludf.DUMMYFUNCTION("""COMPUTED_VALUE"""),3192244)</f>
        <v>3192244</v>
      </c>
    </row>
    <row r="1679" spans="1:6" x14ac:dyDescent="0.35">
      <c r="A1679" s="2">
        <f ca="1">IFERROR(__xludf.DUMMYFUNCTION("""COMPUTED_VALUE"""),44439.6666666666)</f>
        <v>44439.666666666599</v>
      </c>
      <c r="B1679" s="1">
        <f ca="1">IFERROR(__xludf.DUMMYFUNCTION("""COMPUTED_VALUE"""),171.24)</f>
        <v>171.24</v>
      </c>
      <c r="C1679" s="1">
        <f ca="1">IFERROR(__xludf.DUMMYFUNCTION("""COMPUTED_VALUE"""),173.63)</f>
        <v>173.63</v>
      </c>
      <c r="D1679" s="1">
        <f ca="1">IFERROR(__xludf.DUMMYFUNCTION("""COMPUTED_VALUE"""),169.78)</f>
        <v>169.78</v>
      </c>
      <c r="E1679" s="1">
        <f ca="1">IFERROR(__xludf.DUMMYFUNCTION("""COMPUTED_VALUE"""),173.54)</f>
        <v>173.54</v>
      </c>
      <c r="F1679" s="1">
        <f ca="1">IFERROR(__xludf.DUMMYFUNCTION("""COMPUTED_VALUE"""),4356413)</f>
        <v>4356413</v>
      </c>
    </row>
    <row r="1680" spans="1:6" x14ac:dyDescent="0.35">
      <c r="A1680" s="2">
        <f ca="1">IFERROR(__xludf.DUMMYFUNCTION("""COMPUTED_VALUE"""),44440.6666666666)</f>
        <v>44440.666666666599</v>
      </c>
      <c r="B1680" s="1">
        <f ca="1">IFERROR(__xludf.DUMMYFUNCTION("""COMPUTED_VALUE"""),174.82)</f>
        <v>174.82</v>
      </c>
      <c r="C1680" s="1">
        <f ca="1">IFERROR(__xludf.DUMMYFUNCTION("""COMPUTED_VALUE"""),176.35)</f>
        <v>176.35</v>
      </c>
      <c r="D1680" s="1">
        <f ca="1">IFERROR(__xludf.DUMMYFUNCTION("""COMPUTED_VALUE"""),173.76)</f>
        <v>173.76</v>
      </c>
      <c r="E1680" s="1">
        <f ca="1">IFERROR(__xludf.DUMMYFUNCTION("""COMPUTED_VALUE"""),173.95)</f>
        <v>173.95</v>
      </c>
      <c r="F1680" s="1">
        <f ca="1">IFERROR(__xludf.DUMMYFUNCTION("""COMPUTED_VALUE"""),3629911)</f>
        <v>3629911</v>
      </c>
    </row>
    <row r="1681" spans="1:6" x14ac:dyDescent="0.35">
      <c r="A1681" s="2">
        <f ca="1">IFERROR(__xludf.DUMMYFUNCTION("""COMPUTED_VALUE"""),44441.6666666666)</f>
        <v>44441.666666666599</v>
      </c>
      <c r="B1681" s="1">
        <f ca="1">IFERROR(__xludf.DUMMYFUNCTION("""COMPUTED_VALUE"""),174.74)</f>
        <v>174.74</v>
      </c>
      <c r="C1681" s="1">
        <f ca="1">IFERROR(__xludf.DUMMYFUNCTION("""COMPUTED_VALUE"""),175.6)</f>
        <v>175.6</v>
      </c>
      <c r="D1681" s="1">
        <f ca="1">IFERROR(__xludf.DUMMYFUNCTION("""COMPUTED_VALUE"""),172.75)</f>
        <v>172.75</v>
      </c>
      <c r="E1681" s="1">
        <f ca="1">IFERROR(__xludf.DUMMYFUNCTION("""COMPUTED_VALUE"""),173.16)</f>
        <v>173.16</v>
      </c>
      <c r="F1681" s="1">
        <f ca="1">IFERROR(__xludf.DUMMYFUNCTION("""COMPUTED_VALUE"""),2925594)</f>
        <v>2925594</v>
      </c>
    </row>
    <row r="1682" spans="1:6" x14ac:dyDescent="0.35">
      <c r="A1682" s="2">
        <f ca="1">IFERROR(__xludf.DUMMYFUNCTION("""COMPUTED_VALUE"""),44442.6666666666)</f>
        <v>44442.666666666599</v>
      </c>
      <c r="B1682" s="1">
        <f ca="1">IFERROR(__xludf.DUMMYFUNCTION("""COMPUTED_VALUE"""),172.6)</f>
        <v>172.6</v>
      </c>
      <c r="C1682" s="1">
        <f ca="1">IFERROR(__xludf.DUMMYFUNCTION("""COMPUTED_VALUE"""),174.13)</f>
        <v>174.13</v>
      </c>
      <c r="D1682" s="1">
        <f ca="1">IFERROR(__xludf.DUMMYFUNCTION("""COMPUTED_VALUE"""),171.82)</f>
        <v>171.82</v>
      </c>
      <c r="E1682" s="1">
        <f ca="1">IFERROR(__xludf.DUMMYFUNCTION("""COMPUTED_VALUE"""),173.9)</f>
        <v>173.9</v>
      </c>
      <c r="F1682" s="1">
        <f ca="1">IFERROR(__xludf.DUMMYFUNCTION("""COMPUTED_VALUE"""),2578324)</f>
        <v>2578324</v>
      </c>
    </row>
    <row r="1683" spans="1:6" x14ac:dyDescent="0.35">
      <c r="A1683" s="2">
        <f ca="1">IFERROR(__xludf.DUMMYFUNCTION("""COMPUTED_VALUE"""),44446.6666666666)</f>
        <v>44446.666666666599</v>
      </c>
      <c r="B1683" s="1">
        <f ca="1">IFERROR(__xludf.DUMMYFUNCTION("""COMPUTED_VALUE"""),173.9)</f>
        <v>173.9</v>
      </c>
      <c r="C1683" s="1">
        <f ca="1">IFERROR(__xludf.DUMMYFUNCTION("""COMPUTED_VALUE"""),176.4)</f>
        <v>176.4</v>
      </c>
      <c r="D1683" s="1">
        <f ca="1">IFERROR(__xludf.DUMMYFUNCTION("""COMPUTED_VALUE"""),173.85)</f>
        <v>173.85</v>
      </c>
      <c r="E1683" s="1">
        <f ca="1">IFERROR(__xludf.DUMMYFUNCTION("""COMPUTED_VALUE"""),175.46)</f>
        <v>175.46</v>
      </c>
      <c r="F1683" s="1">
        <f ca="1">IFERROR(__xludf.DUMMYFUNCTION("""COMPUTED_VALUE"""),2741184)</f>
        <v>2741184</v>
      </c>
    </row>
    <row r="1684" spans="1:6" x14ac:dyDescent="0.35">
      <c r="A1684" s="2">
        <f ca="1">IFERROR(__xludf.DUMMYFUNCTION("""COMPUTED_VALUE"""),44447.6666666666)</f>
        <v>44447.666666666599</v>
      </c>
      <c r="B1684" s="1">
        <f ca="1">IFERROR(__xludf.DUMMYFUNCTION("""COMPUTED_VALUE"""),175.58)</f>
        <v>175.58</v>
      </c>
      <c r="C1684" s="1">
        <f ca="1">IFERROR(__xludf.DUMMYFUNCTION("""COMPUTED_VALUE"""),177.28)</f>
        <v>177.28</v>
      </c>
      <c r="D1684" s="1">
        <f ca="1">IFERROR(__xludf.DUMMYFUNCTION("""COMPUTED_VALUE"""),174.78)</f>
        <v>174.78</v>
      </c>
      <c r="E1684" s="1">
        <f ca="1">IFERROR(__xludf.DUMMYFUNCTION("""COMPUTED_VALUE"""),176.28)</f>
        <v>176.28</v>
      </c>
      <c r="F1684" s="1">
        <f ca="1">IFERROR(__xludf.DUMMYFUNCTION("""COMPUTED_VALUE"""),3053364)</f>
        <v>3053364</v>
      </c>
    </row>
    <row r="1685" spans="1:6" x14ac:dyDescent="0.35">
      <c r="A1685" s="2">
        <f ca="1">IFERROR(__xludf.DUMMYFUNCTION("""COMPUTED_VALUE"""),44448.6666666666)</f>
        <v>44448.666666666599</v>
      </c>
      <c r="B1685" s="1">
        <f ca="1">IFERROR(__xludf.DUMMYFUNCTION("""COMPUTED_VALUE"""),176.3)</f>
        <v>176.3</v>
      </c>
      <c r="C1685" s="1">
        <f ca="1">IFERROR(__xludf.DUMMYFUNCTION("""COMPUTED_VALUE"""),177.5)</f>
        <v>177.5</v>
      </c>
      <c r="D1685" s="1">
        <f ca="1">IFERROR(__xludf.DUMMYFUNCTION("""COMPUTED_VALUE"""),174.02)</f>
        <v>174.02</v>
      </c>
      <c r="E1685" s="1">
        <f ca="1">IFERROR(__xludf.DUMMYFUNCTION("""COMPUTED_VALUE"""),174.21)</f>
        <v>174.21</v>
      </c>
      <c r="F1685" s="1">
        <f ca="1">IFERROR(__xludf.DUMMYFUNCTION("""COMPUTED_VALUE"""),2719241)</f>
        <v>2719241</v>
      </c>
    </row>
    <row r="1686" spans="1:6" x14ac:dyDescent="0.35">
      <c r="A1686" s="2">
        <f ca="1">IFERROR(__xludf.DUMMYFUNCTION("""COMPUTED_VALUE"""),44449.6666666666)</f>
        <v>44449.666666666599</v>
      </c>
      <c r="B1686" s="1">
        <f ca="1">IFERROR(__xludf.DUMMYFUNCTION("""COMPUTED_VALUE"""),175.09)</f>
        <v>175.09</v>
      </c>
      <c r="C1686" s="1">
        <f ca="1">IFERROR(__xludf.DUMMYFUNCTION("""COMPUTED_VALUE"""),175.42)</f>
        <v>175.42</v>
      </c>
      <c r="D1686" s="1">
        <f ca="1">IFERROR(__xludf.DUMMYFUNCTION("""COMPUTED_VALUE"""),173.15)</f>
        <v>173.15</v>
      </c>
      <c r="E1686" s="1">
        <f ca="1">IFERROR(__xludf.DUMMYFUNCTION("""COMPUTED_VALUE"""),173.46)</f>
        <v>173.46</v>
      </c>
      <c r="F1686" s="1">
        <f ca="1">IFERROR(__xludf.DUMMYFUNCTION("""COMPUTED_VALUE"""),2397269)</f>
        <v>2397269</v>
      </c>
    </row>
    <row r="1687" spans="1:6" x14ac:dyDescent="0.35">
      <c r="A1687" s="2">
        <f ca="1">IFERROR(__xludf.DUMMYFUNCTION("""COMPUTED_VALUE"""),44452.6666666666)</f>
        <v>44452.666666666599</v>
      </c>
      <c r="B1687" s="1">
        <f ca="1">IFERROR(__xludf.DUMMYFUNCTION("""COMPUTED_VALUE"""),174.14)</f>
        <v>174.14</v>
      </c>
      <c r="C1687" s="1">
        <f ca="1">IFERROR(__xludf.DUMMYFUNCTION("""COMPUTED_VALUE"""),174.9)</f>
        <v>174.9</v>
      </c>
      <c r="D1687" s="1">
        <f ca="1">IFERROR(__xludf.DUMMYFUNCTION("""COMPUTED_VALUE"""),171.9)</f>
        <v>171.9</v>
      </c>
      <c r="E1687" s="1">
        <f ca="1">IFERROR(__xludf.DUMMYFUNCTION("""COMPUTED_VALUE"""),172.86)</f>
        <v>172.86</v>
      </c>
      <c r="F1687" s="1">
        <f ca="1">IFERROR(__xludf.DUMMYFUNCTION("""COMPUTED_VALUE"""),2569022)</f>
        <v>2569022</v>
      </c>
    </row>
    <row r="1688" spans="1:6" x14ac:dyDescent="0.35">
      <c r="A1688" s="2">
        <f ca="1">IFERROR(__xludf.DUMMYFUNCTION("""COMPUTED_VALUE"""),44453.6666666666)</f>
        <v>44453.666666666599</v>
      </c>
      <c r="B1688" s="1">
        <f ca="1">IFERROR(__xludf.DUMMYFUNCTION("""COMPUTED_VALUE"""),173.78)</f>
        <v>173.78</v>
      </c>
      <c r="C1688" s="1">
        <f ca="1">IFERROR(__xludf.DUMMYFUNCTION("""COMPUTED_VALUE"""),174.34)</f>
        <v>174.34</v>
      </c>
      <c r="D1688" s="1">
        <f ca="1">IFERROR(__xludf.DUMMYFUNCTION("""COMPUTED_VALUE"""),171.89)</f>
        <v>171.89</v>
      </c>
      <c r="E1688" s="1">
        <f ca="1">IFERROR(__xludf.DUMMYFUNCTION("""COMPUTED_VALUE"""),172.5)</f>
        <v>172.5</v>
      </c>
      <c r="F1688" s="1">
        <f ca="1">IFERROR(__xludf.DUMMYFUNCTION("""COMPUTED_VALUE"""),1936897)</f>
        <v>1936897</v>
      </c>
    </row>
    <row r="1689" spans="1:6" x14ac:dyDescent="0.35">
      <c r="A1689" s="2">
        <f ca="1">IFERROR(__xludf.DUMMYFUNCTION("""COMPUTED_VALUE"""),44454.6666666666)</f>
        <v>44454.666666666599</v>
      </c>
      <c r="B1689" s="1">
        <f ca="1">IFERROR(__xludf.DUMMYFUNCTION("""COMPUTED_VALUE"""),172.13)</f>
        <v>172.13</v>
      </c>
      <c r="C1689" s="1">
        <f ca="1">IFERROR(__xludf.DUMMYFUNCTION("""COMPUTED_VALUE"""),174.27)</f>
        <v>174.27</v>
      </c>
      <c r="D1689" s="1">
        <f ca="1">IFERROR(__xludf.DUMMYFUNCTION("""COMPUTED_VALUE"""),170.1)</f>
        <v>170.1</v>
      </c>
      <c r="E1689" s="1">
        <f ca="1">IFERROR(__xludf.DUMMYFUNCTION("""COMPUTED_VALUE"""),173.79)</f>
        <v>173.79</v>
      </c>
      <c r="F1689" s="1">
        <f ca="1">IFERROR(__xludf.DUMMYFUNCTION("""COMPUTED_VALUE"""),2957537)</f>
        <v>2957537</v>
      </c>
    </row>
    <row r="1690" spans="1:6" x14ac:dyDescent="0.35">
      <c r="A1690" s="2">
        <f ca="1">IFERROR(__xludf.DUMMYFUNCTION("""COMPUTED_VALUE"""),44455.6666666666)</f>
        <v>44455.666666666599</v>
      </c>
      <c r="B1690" s="1">
        <f ca="1">IFERROR(__xludf.DUMMYFUNCTION("""COMPUTED_VALUE"""),173)</f>
        <v>173</v>
      </c>
      <c r="C1690" s="1">
        <f ca="1">IFERROR(__xludf.DUMMYFUNCTION("""COMPUTED_VALUE"""),174.63)</f>
        <v>174.63</v>
      </c>
      <c r="D1690" s="1">
        <f ca="1">IFERROR(__xludf.DUMMYFUNCTION("""COMPUTED_VALUE"""),172.31)</f>
        <v>172.31</v>
      </c>
      <c r="E1690" s="1">
        <f ca="1">IFERROR(__xludf.DUMMYFUNCTION("""COMPUTED_VALUE"""),174.41)</f>
        <v>174.41</v>
      </c>
      <c r="F1690" s="1">
        <f ca="1">IFERROR(__xludf.DUMMYFUNCTION("""COMPUTED_VALUE"""),2583598)</f>
        <v>2583598</v>
      </c>
    </row>
    <row r="1691" spans="1:6" x14ac:dyDescent="0.35">
      <c r="A1691" s="2">
        <f ca="1">IFERROR(__xludf.DUMMYFUNCTION("""COMPUTED_VALUE"""),44456.6666666666)</f>
        <v>44456.666666666599</v>
      </c>
      <c r="B1691" s="1">
        <f ca="1">IFERROR(__xludf.DUMMYFUNCTION("""COMPUTED_VALUE"""),174.42)</f>
        <v>174.42</v>
      </c>
      <c r="C1691" s="1">
        <f ca="1">IFERROR(__xludf.DUMMYFUNCTION("""COMPUTED_VALUE"""),174.87)</f>
        <v>174.87</v>
      </c>
      <c r="D1691" s="1">
        <f ca="1">IFERROR(__xludf.DUMMYFUNCTION("""COMPUTED_VALUE"""),172.61)</f>
        <v>172.61</v>
      </c>
      <c r="E1691" s="1">
        <f ca="1">IFERROR(__xludf.DUMMYFUNCTION("""COMPUTED_VALUE"""),173.13)</f>
        <v>173.13</v>
      </c>
      <c r="F1691" s="1">
        <f ca="1">IFERROR(__xludf.DUMMYFUNCTION("""COMPUTED_VALUE"""),4616556)</f>
        <v>4616556</v>
      </c>
    </row>
    <row r="1692" spans="1:6" x14ac:dyDescent="0.35">
      <c r="A1692" s="2">
        <f ca="1">IFERROR(__xludf.DUMMYFUNCTION("""COMPUTED_VALUE"""),44459.6666666666)</f>
        <v>44459.666666666599</v>
      </c>
      <c r="B1692" s="1">
        <f ca="1">IFERROR(__xludf.DUMMYFUNCTION("""COMPUTED_VALUE"""),169.8)</f>
        <v>169.8</v>
      </c>
      <c r="C1692" s="1">
        <f ca="1">IFERROR(__xludf.DUMMYFUNCTION("""COMPUTED_VALUE"""),170.95)</f>
        <v>170.95</v>
      </c>
      <c r="D1692" s="1">
        <f ca="1">IFERROR(__xludf.DUMMYFUNCTION("""COMPUTED_VALUE"""),165.25)</f>
        <v>165.25</v>
      </c>
      <c r="E1692" s="1">
        <f ca="1">IFERROR(__xludf.DUMMYFUNCTION("""COMPUTED_VALUE"""),167.79)</f>
        <v>167.79</v>
      </c>
      <c r="F1692" s="1">
        <f ca="1">IFERROR(__xludf.DUMMYFUNCTION("""COMPUTED_VALUE"""),4669130)</f>
        <v>4669130</v>
      </c>
    </row>
    <row r="1693" spans="1:6" x14ac:dyDescent="0.35">
      <c r="A1693" s="2">
        <f ca="1">IFERROR(__xludf.DUMMYFUNCTION("""COMPUTED_VALUE"""),44460.6666666666)</f>
        <v>44460.666666666599</v>
      </c>
      <c r="B1693" s="1">
        <f ca="1">IFERROR(__xludf.DUMMYFUNCTION("""COMPUTED_VALUE"""),168.75)</f>
        <v>168.75</v>
      </c>
      <c r="C1693" s="1">
        <f ca="1">IFERROR(__xludf.DUMMYFUNCTION("""COMPUTED_VALUE"""),168.99)</f>
        <v>168.99</v>
      </c>
      <c r="D1693" s="1">
        <f ca="1">IFERROR(__xludf.DUMMYFUNCTION("""COMPUTED_VALUE"""),166.62)</f>
        <v>166.62</v>
      </c>
      <c r="E1693" s="1">
        <f ca="1">IFERROR(__xludf.DUMMYFUNCTION("""COMPUTED_VALUE"""),167.18)</f>
        <v>167.18</v>
      </c>
      <c r="F1693" s="1">
        <f ca="1">IFERROR(__xludf.DUMMYFUNCTION("""COMPUTED_VALUE"""),2780878)</f>
        <v>2780878</v>
      </c>
    </row>
    <row r="1694" spans="1:6" x14ac:dyDescent="0.35">
      <c r="A1694" s="2">
        <f ca="1">IFERROR(__xludf.DUMMYFUNCTION("""COMPUTED_VALUE"""),44461.6666666666)</f>
        <v>44461.666666666599</v>
      </c>
      <c r="B1694" s="1">
        <f ca="1">IFERROR(__xludf.DUMMYFUNCTION("""COMPUTED_VALUE"""),167.55)</f>
        <v>167.55</v>
      </c>
      <c r="C1694" s="1">
        <f ca="1">IFERROR(__xludf.DUMMYFUNCTION("""COMPUTED_VALUE"""),169.45)</f>
        <v>169.45</v>
      </c>
      <c r="D1694" s="1">
        <f ca="1">IFERROR(__xludf.DUMMYFUNCTION("""COMPUTED_VALUE"""),167.05)</f>
        <v>167.05</v>
      </c>
      <c r="E1694" s="1">
        <f ca="1">IFERROR(__xludf.DUMMYFUNCTION("""COMPUTED_VALUE"""),169)</f>
        <v>169</v>
      </c>
      <c r="F1694" s="1">
        <f ca="1">IFERROR(__xludf.DUMMYFUNCTION("""COMPUTED_VALUE"""),2411403)</f>
        <v>2411403</v>
      </c>
    </row>
    <row r="1695" spans="1:6" x14ac:dyDescent="0.35">
      <c r="A1695" s="2">
        <f ca="1">IFERROR(__xludf.DUMMYFUNCTION("""COMPUTED_VALUE"""),44462.6666666666)</f>
        <v>44462.666666666599</v>
      </c>
      <c r="B1695" s="1">
        <f ca="1">IFERROR(__xludf.DUMMYFUNCTION("""COMPUTED_VALUE"""),169)</f>
        <v>169</v>
      </c>
      <c r="C1695" s="1">
        <f ca="1">IFERROR(__xludf.DUMMYFUNCTION("""COMPUTED_VALUE"""),171.45)</f>
        <v>171.45</v>
      </c>
      <c r="D1695" s="1">
        <f ca="1">IFERROR(__xludf.DUMMYFUNCTION("""COMPUTED_VALUE"""),169)</f>
        <v>169</v>
      </c>
      <c r="E1695" s="1">
        <f ca="1">IFERROR(__xludf.DUMMYFUNCTION("""COMPUTED_VALUE"""),170.8)</f>
        <v>170.8</v>
      </c>
      <c r="F1695" s="1">
        <f ca="1">IFERROR(__xludf.DUMMYFUNCTION("""COMPUTED_VALUE"""),2379414)</f>
        <v>2379414</v>
      </c>
    </row>
    <row r="1696" spans="1:6" x14ac:dyDescent="0.35">
      <c r="A1696" s="2">
        <f ca="1">IFERROR(__xludf.DUMMYFUNCTION("""COMPUTED_VALUE"""),44463.6666666666)</f>
        <v>44463.666666666599</v>
      </c>
      <c r="B1696" s="1">
        <f ca="1">IFERROR(__xludf.DUMMYFUNCTION("""COMPUTED_VALUE"""),170.1)</f>
        <v>170.1</v>
      </c>
      <c r="C1696" s="1">
        <f ca="1">IFERROR(__xludf.DUMMYFUNCTION("""COMPUTED_VALUE"""),171.46)</f>
        <v>171.46</v>
      </c>
      <c r="D1696" s="1">
        <f ca="1">IFERROR(__xludf.DUMMYFUNCTION("""COMPUTED_VALUE"""),169.67)</f>
        <v>169.67</v>
      </c>
      <c r="E1696" s="1">
        <f ca="1">IFERROR(__xludf.DUMMYFUNCTION("""COMPUTED_VALUE"""),171.28)</f>
        <v>171.28</v>
      </c>
      <c r="F1696" s="1">
        <f ca="1">IFERROR(__xludf.DUMMYFUNCTION("""COMPUTED_VALUE"""),2116241)</f>
        <v>2116241</v>
      </c>
    </row>
    <row r="1697" spans="1:6" x14ac:dyDescent="0.35">
      <c r="A1697" s="2">
        <f ca="1">IFERROR(__xludf.DUMMYFUNCTION("""COMPUTED_VALUE"""),44466.6666666666)</f>
        <v>44466.666666666599</v>
      </c>
      <c r="B1697" s="1">
        <f ca="1">IFERROR(__xludf.DUMMYFUNCTION("""COMPUTED_VALUE"""),168.58)</f>
        <v>168.58</v>
      </c>
      <c r="C1697" s="1">
        <f ca="1">IFERROR(__xludf.DUMMYFUNCTION("""COMPUTED_VALUE"""),170.78)</f>
        <v>170.78</v>
      </c>
      <c r="D1697" s="1">
        <f ca="1">IFERROR(__xludf.DUMMYFUNCTION("""COMPUTED_VALUE"""),166.98)</f>
        <v>166.98</v>
      </c>
      <c r="E1697" s="1">
        <f ca="1">IFERROR(__xludf.DUMMYFUNCTION("""COMPUTED_VALUE"""),170.29)</f>
        <v>170.29</v>
      </c>
      <c r="F1697" s="1">
        <f ca="1">IFERROR(__xludf.DUMMYFUNCTION("""COMPUTED_VALUE"""),3634450)</f>
        <v>3634450</v>
      </c>
    </row>
    <row r="1698" spans="1:6" x14ac:dyDescent="0.35">
      <c r="A1698" s="2">
        <f ca="1">IFERROR(__xludf.DUMMYFUNCTION("""COMPUTED_VALUE"""),44467.6666666666)</f>
        <v>44467.666666666599</v>
      </c>
      <c r="B1698" s="1">
        <f ca="1">IFERROR(__xludf.DUMMYFUNCTION("""COMPUTED_VALUE"""),167.89)</f>
        <v>167.89</v>
      </c>
      <c r="C1698" s="1">
        <f ca="1">IFERROR(__xludf.DUMMYFUNCTION("""COMPUTED_VALUE"""),168.46)</f>
        <v>168.46</v>
      </c>
      <c r="D1698" s="1">
        <f ca="1">IFERROR(__xludf.DUMMYFUNCTION("""COMPUTED_VALUE"""),164.51)</f>
        <v>164.51</v>
      </c>
      <c r="E1698" s="1">
        <f ca="1">IFERROR(__xludf.DUMMYFUNCTION("""COMPUTED_VALUE"""),165.8)</f>
        <v>165.8</v>
      </c>
      <c r="F1698" s="1">
        <f ca="1">IFERROR(__xludf.DUMMYFUNCTION("""COMPUTED_VALUE"""),4430819)</f>
        <v>4430819</v>
      </c>
    </row>
    <row r="1699" spans="1:6" x14ac:dyDescent="0.35">
      <c r="A1699" s="2">
        <f ca="1">IFERROR(__xludf.DUMMYFUNCTION("""COMPUTED_VALUE"""),44468.6666666666)</f>
        <v>44468.666666666599</v>
      </c>
      <c r="B1699" s="1">
        <f ca="1">IFERROR(__xludf.DUMMYFUNCTION("""COMPUTED_VALUE"""),166.11)</f>
        <v>166.11</v>
      </c>
      <c r="C1699" s="1">
        <f ca="1">IFERROR(__xludf.DUMMYFUNCTION("""COMPUTED_VALUE"""),167.57)</f>
        <v>167.57</v>
      </c>
      <c r="D1699" s="1">
        <f ca="1">IFERROR(__xludf.DUMMYFUNCTION("""COMPUTED_VALUE"""),164.89)</f>
        <v>164.89</v>
      </c>
      <c r="E1699" s="1">
        <f ca="1">IFERROR(__xludf.DUMMYFUNCTION("""COMPUTED_VALUE"""),165.06)</f>
        <v>165.06</v>
      </c>
      <c r="F1699" s="1">
        <f ca="1">IFERROR(__xludf.DUMMYFUNCTION("""COMPUTED_VALUE"""),2562268)</f>
        <v>2562268</v>
      </c>
    </row>
    <row r="1700" spans="1:6" x14ac:dyDescent="0.35">
      <c r="A1700" s="2">
        <f ca="1">IFERROR(__xludf.DUMMYFUNCTION("""COMPUTED_VALUE"""),44469.6666666666)</f>
        <v>44469.666666666599</v>
      </c>
      <c r="B1700" s="1">
        <f ca="1">IFERROR(__xludf.DUMMYFUNCTION("""COMPUTED_VALUE"""),165.8)</f>
        <v>165.8</v>
      </c>
      <c r="C1700" s="1">
        <f ca="1">IFERROR(__xludf.DUMMYFUNCTION("""COMPUTED_VALUE"""),166.39)</f>
        <v>166.39</v>
      </c>
      <c r="D1700" s="1">
        <f ca="1">IFERROR(__xludf.DUMMYFUNCTION("""COMPUTED_VALUE"""),163.7)</f>
        <v>163.69999999999999</v>
      </c>
      <c r="E1700" s="1">
        <f ca="1">IFERROR(__xludf.DUMMYFUNCTION("""COMPUTED_VALUE"""),164.25)</f>
        <v>164.25</v>
      </c>
      <c r="F1700" s="1">
        <f ca="1">IFERROR(__xludf.DUMMYFUNCTION("""COMPUTED_VALUE"""),2847033)</f>
        <v>2847033</v>
      </c>
    </row>
    <row r="1701" spans="1:6" x14ac:dyDescent="0.35">
      <c r="A1701" s="2">
        <f ca="1">IFERROR(__xludf.DUMMYFUNCTION("""COMPUTED_VALUE"""),44470.6666666666)</f>
        <v>44470.666666666599</v>
      </c>
      <c r="B1701" s="1">
        <f ca="1">IFERROR(__xludf.DUMMYFUNCTION("""COMPUTED_VALUE"""),164.45)</f>
        <v>164.45</v>
      </c>
      <c r="C1701" s="1">
        <f ca="1">IFERROR(__xludf.DUMMYFUNCTION("""COMPUTED_VALUE"""),165.46)</f>
        <v>165.46</v>
      </c>
      <c r="D1701" s="1">
        <f ca="1">IFERROR(__xludf.DUMMYFUNCTION("""COMPUTED_VALUE"""),162.8)</f>
        <v>162.80000000000001</v>
      </c>
      <c r="E1701" s="1">
        <f ca="1">IFERROR(__xludf.DUMMYFUNCTION("""COMPUTED_VALUE"""),164.16)</f>
        <v>164.16</v>
      </c>
      <c r="F1701" s="1">
        <f ca="1">IFERROR(__xludf.DUMMYFUNCTION("""COMPUTED_VALUE"""),2835617)</f>
        <v>2835617</v>
      </c>
    </row>
    <row r="1702" spans="1:6" x14ac:dyDescent="0.35">
      <c r="A1702" s="2">
        <f ca="1">IFERROR(__xludf.DUMMYFUNCTION("""COMPUTED_VALUE"""),44473.6666666666)</f>
        <v>44473.666666666599</v>
      </c>
      <c r="B1702" s="1">
        <f ca="1">IFERROR(__xludf.DUMMYFUNCTION("""COMPUTED_VALUE"""),163.97)</f>
        <v>163.97</v>
      </c>
      <c r="C1702" s="1">
        <f ca="1">IFERROR(__xludf.DUMMYFUNCTION("""COMPUTED_VALUE"""),164)</f>
        <v>164</v>
      </c>
      <c r="D1702" s="1">
        <f ca="1">IFERROR(__xludf.DUMMYFUNCTION("""COMPUTED_VALUE"""),158.81)</f>
        <v>158.81</v>
      </c>
      <c r="E1702" s="1">
        <f ca="1">IFERROR(__xludf.DUMMYFUNCTION("""COMPUTED_VALUE"""),159.49)</f>
        <v>159.49</v>
      </c>
      <c r="F1702" s="1">
        <f ca="1">IFERROR(__xludf.DUMMYFUNCTION("""COMPUTED_VALUE"""),4523057)</f>
        <v>4523057</v>
      </c>
    </row>
    <row r="1703" spans="1:6" x14ac:dyDescent="0.35">
      <c r="A1703" s="2">
        <f ca="1">IFERROR(__xludf.DUMMYFUNCTION("""COMPUTED_VALUE"""),44474.6666666666)</f>
        <v>44474.666666666599</v>
      </c>
      <c r="B1703" s="1">
        <f ca="1">IFERROR(__xludf.DUMMYFUNCTION("""COMPUTED_VALUE"""),160.23)</f>
        <v>160.22999999999999</v>
      </c>
      <c r="C1703" s="1">
        <f ca="1">IFERROR(__xludf.DUMMYFUNCTION("""COMPUTED_VALUE"""),163.04)</f>
        <v>163.04</v>
      </c>
      <c r="D1703" s="1">
        <f ca="1">IFERROR(__xludf.DUMMYFUNCTION("""COMPUTED_VALUE"""),160.12)</f>
        <v>160.12</v>
      </c>
      <c r="E1703" s="1">
        <f ca="1">IFERROR(__xludf.DUMMYFUNCTION("""COMPUTED_VALUE"""),161.05)</f>
        <v>161.05000000000001</v>
      </c>
      <c r="F1703" s="1">
        <f ca="1">IFERROR(__xludf.DUMMYFUNCTION("""COMPUTED_VALUE"""),3269208)</f>
        <v>3269208</v>
      </c>
    </row>
    <row r="1704" spans="1:6" x14ac:dyDescent="0.35">
      <c r="A1704" s="2">
        <f ca="1">IFERROR(__xludf.DUMMYFUNCTION("""COMPUTED_VALUE"""),44475.6666666666)</f>
        <v>44475.666666666599</v>
      </c>
      <c r="B1704" s="1">
        <f ca="1">IFERROR(__xludf.DUMMYFUNCTION("""COMPUTED_VALUE"""),160.68)</f>
        <v>160.68</v>
      </c>
      <c r="C1704" s="1">
        <f ca="1">IFERROR(__xludf.DUMMYFUNCTION("""COMPUTED_VALUE"""),163.22)</f>
        <v>163.22</v>
      </c>
      <c r="D1704" s="1">
        <f ca="1">IFERROR(__xludf.DUMMYFUNCTION("""COMPUTED_VALUE"""),159.93)</f>
        <v>159.93</v>
      </c>
      <c r="E1704" s="1">
        <f ca="1">IFERROR(__xludf.DUMMYFUNCTION("""COMPUTED_VALUE"""),163.1)</f>
        <v>163.1</v>
      </c>
      <c r="F1704" s="1">
        <f ca="1">IFERROR(__xludf.DUMMYFUNCTION("""COMPUTED_VALUE"""),2532977)</f>
        <v>2532977</v>
      </c>
    </row>
    <row r="1705" spans="1:6" x14ac:dyDescent="0.35">
      <c r="A1705" s="2">
        <f ca="1">IFERROR(__xludf.DUMMYFUNCTION("""COMPUTED_VALUE"""),44476.6666666666)</f>
        <v>44476.666666666599</v>
      </c>
      <c r="B1705" s="1">
        <f ca="1">IFERROR(__xludf.DUMMYFUNCTION("""COMPUTED_VALUE"""),164.58)</f>
        <v>164.58</v>
      </c>
      <c r="C1705" s="1">
        <f ca="1">IFERROR(__xludf.DUMMYFUNCTION("""COMPUTED_VALUE"""),166.29)</f>
        <v>166.29</v>
      </c>
      <c r="D1705" s="1">
        <f ca="1">IFERROR(__xludf.DUMMYFUNCTION("""COMPUTED_VALUE"""),164.15)</f>
        <v>164.15</v>
      </c>
      <c r="E1705" s="1">
        <f ca="1">IFERROR(__xludf.DUMMYFUNCTION("""COMPUTED_VALUE"""),165.12)</f>
        <v>165.12</v>
      </c>
      <c r="F1705" s="1">
        <f ca="1">IFERROR(__xludf.DUMMYFUNCTION("""COMPUTED_VALUE"""),2409075)</f>
        <v>2409075</v>
      </c>
    </row>
    <row r="1706" spans="1:6" x14ac:dyDescent="0.35">
      <c r="A1706" s="2">
        <f ca="1">IFERROR(__xludf.DUMMYFUNCTION("""COMPUTED_VALUE"""),44477.6666666666)</f>
        <v>44477.666666666599</v>
      </c>
      <c r="B1706" s="1">
        <f ca="1">IFERROR(__xludf.DUMMYFUNCTION("""COMPUTED_VALUE"""),165.85)</f>
        <v>165.85</v>
      </c>
      <c r="C1706" s="1">
        <f ca="1">IFERROR(__xludf.DUMMYFUNCTION("""COMPUTED_VALUE"""),166.07)</f>
        <v>166.07</v>
      </c>
      <c r="D1706" s="1">
        <f ca="1">IFERROR(__xludf.DUMMYFUNCTION("""COMPUTED_VALUE"""),164.41)</f>
        <v>164.41</v>
      </c>
      <c r="E1706" s="1">
        <f ca="1">IFERROR(__xludf.DUMMYFUNCTION("""COMPUTED_VALUE"""),164.43)</f>
        <v>164.43</v>
      </c>
      <c r="F1706" s="1">
        <f ca="1">IFERROR(__xludf.DUMMYFUNCTION("""COMPUTED_VALUE"""),1998217)</f>
        <v>1998217</v>
      </c>
    </row>
    <row r="1707" spans="1:6" x14ac:dyDescent="0.35">
      <c r="A1707" s="2">
        <f ca="1">IFERROR(__xludf.DUMMYFUNCTION("""COMPUTED_VALUE"""),44480.6666666666)</f>
        <v>44480.666666666599</v>
      </c>
      <c r="B1707" s="1">
        <f ca="1">IFERROR(__xludf.DUMMYFUNCTION("""COMPUTED_VALUE"""),163.75)</f>
        <v>163.75</v>
      </c>
      <c r="C1707" s="1">
        <f ca="1">IFERROR(__xludf.DUMMYFUNCTION("""COMPUTED_VALUE"""),164.63)</f>
        <v>164.63</v>
      </c>
      <c r="D1707" s="1">
        <f ca="1">IFERROR(__xludf.DUMMYFUNCTION("""COMPUTED_VALUE"""),161.91)</f>
        <v>161.91</v>
      </c>
      <c r="E1707" s="1">
        <f ca="1">IFERROR(__xludf.DUMMYFUNCTION("""COMPUTED_VALUE"""),162.32)</f>
        <v>162.32</v>
      </c>
      <c r="F1707" s="1">
        <f ca="1">IFERROR(__xludf.DUMMYFUNCTION("""COMPUTED_VALUE"""),2034203)</f>
        <v>2034203</v>
      </c>
    </row>
    <row r="1708" spans="1:6" x14ac:dyDescent="0.35">
      <c r="A1708" s="2">
        <f ca="1">IFERROR(__xludf.DUMMYFUNCTION("""COMPUTED_VALUE"""),44481.6666666666)</f>
        <v>44481.666666666599</v>
      </c>
      <c r="B1708" s="1">
        <f ca="1">IFERROR(__xludf.DUMMYFUNCTION("""COMPUTED_VALUE"""),162.85)</f>
        <v>162.85</v>
      </c>
      <c r="C1708" s="1">
        <f ca="1">IFERROR(__xludf.DUMMYFUNCTION("""COMPUTED_VALUE"""),163.38)</f>
        <v>163.38</v>
      </c>
      <c r="D1708" s="1">
        <f ca="1">IFERROR(__xludf.DUMMYFUNCTION("""COMPUTED_VALUE"""),161.81)</f>
        <v>161.81</v>
      </c>
      <c r="E1708" s="1">
        <f ca="1">IFERROR(__xludf.DUMMYFUNCTION("""COMPUTED_VALUE"""),162.37)</f>
        <v>162.37</v>
      </c>
      <c r="F1708" s="1">
        <f ca="1">IFERROR(__xludf.DUMMYFUNCTION("""COMPUTED_VALUE"""),1819571)</f>
        <v>1819571</v>
      </c>
    </row>
    <row r="1709" spans="1:6" x14ac:dyDescent="0.35">
      <c r="A1709" s="2">
        <f ca="1">IFERROR(__xludf.DUMMYFUNCTION("""COMPUTED_VALUE"""),44482.6666666666)</f>
        <v>44482.666666666599</v>
      </c>
      <c r="B1709" s="1">
        <f ca="1">IFERROR(__xludf.DUMMYFUNCTION("""COMPUTED_VALUE"""),163.49)</f>
        <v>163.49</v>
      </c>
      <c r="C1709" s="1">
        <f ca="1">IFERROR(__xludf.DUMMYFUNCTION("""COMPUTED_VALUE"""),164.42)</f>
        <v>164.42</v>
      </c>
      <c r="D1709" s="1">
        <f ca="1">IFERROR(__xludf.DUMMYFUNCTION("""COMPUTED_VALUE"""),163.05)</f>
        <v>163.05000000000001</v>
      </c>
      <c r="E1709" s="1">
        <f ca="1">IFERROR(__xludf.DUMMYFUNCTION("""COMPUTED_VALUE"""),164.21)</f>
        <v>164.21</v>
      </c>
      <c r="F1709" s="1">
        <f ca="1">IFERROR(__xludf.DUMMYFUNCTION("""COMPUTED_VALUE"""),2425086)</f>
        <v>2425086</v>
      </c>
    </row>
    <row r="1710" spans="1:6" x14ac:dyDescent="0.35">
      <c r="A1710" s="2">
        <f ca="1">IFERROR(__xludf.DUMMYFUNCTION("""COMPUTED_VALUE"""),44483.6666666666)</f>
        <v>44483.666666666599</v>
      </c>
      <c r="B1710" s="1">
        <f ca="1">IFERROR(__xludf.DUMMYFUNCTION("""COMPUTED_VALUE"""),165.12)</f>
        <v>165.12</v>
      </c>
      <c r="C1710" s="1">
        <f ca="1">IFERROR(__xludf.DUMMYFUNCTION("""COMPUTED_VALUE"""),165.63)</f>
        <v>165.63</v>
      </c>
      <c r="D1710" s="1">
        <f ca="1">IFERROR(__xludf.DUMMYFUNCTION("""COMPUTED_VALUE"""),164.54)</f>
        <v>164.54</v>
      </c>
      <c r="E1710" s="1">
        <f ca="1">IFERROR(__xludf.DUMMYFUNCTION("""COMPUTED_VALUE"""),164.99)</f>
        <v>164.99</v>
      </c>
      <c r="F1710" s="1">
        <f ca="1">IFERROR(__xludf.DUMMYFUNCTION("""COMPUTED_VALUE"""),2112020)</f>
        <v>2112020</v>
      </c>
    </row>
    <row r="1711" spans="1:6" x14ac:dyDescent="0.35">
      <c r="A1711" s="2">
        <f ca="1">IFERROR(__xludf.DUMMYFUNCTION("""COMPUTED_VALUE"""),44484.6666666666)</f>
        <v>44484.666666666599</v>
      </c>
      <c r="B1711" s="1">
        <f ca="1">IFERROR(__xludf.DUMMYFUNCTION("""COMPUTED_VALUE"""),165.57)</f>
        <v>165.57</v>
      </c>
      <c r="C1711" s="1">
        <f ca="1">IFERROR(__xludf.DUMMYFUNCTION("""COMPUTED_VALUE"""),170.52)</f>
        <v>170.52</v>
      </c>
      <c r="D1711" s="1">
        <f ca="1">IFERROR(__xludf.DUMMYFUNCTION("""COMPUTED_VALUE"""),165.2)</f>
        <v>165.2</v>
      </c>
      <c r="E1711" s="1">
        <f ca="1">IFERROR(__xludf.DUMMYFUNCTION("""COMPUTED_VALUE"""),170.45)</f>
        <v>170.45</v>
      </c>
      <c r="F1711" s="1">
        <f ca="1">IFERROR(__xludf.DUMMYFUNCTION("""COMPUTED_VALUE"""),5179941)</f>
        <v>5179941</v>
      </c>
    </row>
    <row r="1712" spans="1:6" x14ac:dyDescent="0.35">
      <c r="A1712" s="2">
        <f ca="1">IFERROR(__xludf.DUMMYFUNCTION("""COMPUTED_VALUE"""),44487.6666666666)</f>
        <v>44487.666666666599</v>
      </c>
      <c r="B1712" s="1">
        <f ca="1">IFERROR(__xludf.DUMMYFUNCTION("""COMPUTED_VALUE"""),169.42)</f>
        <v>169.42</v>
      </c>
      <c r="C1712" s="1">
        <f ca="1">IFERROR(__xludf.DUMMYFUNCTION("""COMPUTED_VALUE"""),172.46)</f>
        <v>172.46</v>
      </c>
      <c r="D1712" s="1">
        <f ca="1">IFERROR(__xludf.DUMMYFUNCTION("""COMPUTED_VALUE"""),169.26)</f>
        <v>169.26</v>
      </c>
      <c r="E1712" s="1">
        <f ca="1">IFERROR(__xludf.DUMMYFUNCTION("""COMPUTED_VALUE"""),172.34)</f>
        <v>172.34</v>
      </c>
      <c r="F1712" s="1">
        <f ca="1">IFERROR(__xludf.DUMMYFUNCTION("""COMPUTED_VALUE"""),3174115)</f>
        <v>3174115</v>
      </c>
    </row>
    <row r="1713" spans="1:6" x14ac:dyDescent="0.35">
      <c r="A1713" s="2">
        <f ca="1">IFERROR(__xludf.DUMMYFUNCTION("""COMPUTED_VALUE"""),44488.6666666666)</f>
        <v>44488.666666666599</v>
      </c>
      <c r="B1713" s="1">
        <f ca="1">IFERROR(__xludf.DUMMYFUNCTION("""COMPUTED_VALUE"""),171.71)</f>
        <v>171.71</v>
      </c>
      <c r="C1713" s="1">
        <f ca="1">IFERROR(__xludf.DUMMYFUNCTION("""COMPUTED_VALUE"""),172.73)</f>
        <v>172.73</v>
      </c>
      <c r="D1713" s="1">
        <f ca="1">IFERROR(__xludf.DUMMYFUNCTION("""COMPUTED_VALUE"""),171.1)</f>
        <v>171.1</v>
      </c>
      <c r="E1713" s="1">
        <f ca="1">IFERROR(__xludf.DUMMYFUNCTION("""COMPUTED_VALUE"""),172.21)</f>
        <v>172.21</v>
      </c>
      <c r="F1713" s="1">
        <f ca="1">IFERROR(__xludf.DUMMYFUNCTION("""COMPUTED_VALUE"""),2386079)</f>
        <v>2386079</v>
      </c>
    </row>
    <row r="1714" spans="1:6" x14ac:dyDescent="0.35">
      <c r="A1714" s="2">
        <f ca="1">IFERROR(__xludf.DUMMYFUNCTION("""COMPUTED_VALUE"""),44489.6666666666)</f>
        <v>44489.666666666599</v>
      </c>
      <c r="B1714" s="1">
        <f ca="1">IFERROR(__xludf.DUMMYFUNCTION("""COMPUTED_VALUE"""),172.63)</f>
        <v>172.63</v>
      </c>
      <c r="C1714" s="1">
        <f ca="1">IFERROR(__xludf.DUMMYFUNCTION("""COMPUTED_VALUE"""),173.14)</f>
        <v>173.14</v>
      </c>
      <c r="D1714" s="1">
        <f ca="1">IFERROR(__xludf.DUMMYFUNCTION("""COMPUTED_VALUE"""),170.02)</f>
        <v>170.02</v>
      </c>
      <c r="E1714" s="1">
        <f ca="1">IFERROR(__xludf.DUMMYFUNCTION("""COMPUTED_VALUE"""),170.75)</f>
        <v>170.75</v>
      </c>
      <c r="F1714" s="1">
        <f ca="1">IFERROR(__xludf.DUMMYFUNCTION("""COMPUTED_VALUE"""),2139777)</f>
        <v>2139777</v>
      </c>
    </row>
    <row r="1715" spans="1:6" x14ac:dyDescent="0.35">
      <c r="A1715" s="2">
        <f ca="1">IFERROR(__xludf.DUMMYFUNCTION("""COMPUTED_VALUE"""),44490.6666666666)</f>
        <v>44490.666666666599</v>
      </c>
      <c r="B1715" s="1">
        <f ca="1">IFERROR(__xludf.DUMMYFUNCTION("""COMPUTED_VALUE"""),170.71)</f>
        <v>170.71</v>
      </c>
      <c r="C1715" s="1">
        <f ca="1">IFERROR(__xludf.DUMMYFUNCTION("""COMPUTED_VALUE"""),172.01)</f>
        <v>172.01</v>
      </c>
      <c r="D1715" s="1">
        <f ca="1">IFERROR(__xludf.DUMMYFUNCTION("""COMPUTED_VALUE"""),170.15)</f>
        <v>170.15</v>
      </c>
      <c r="E1715" s="1">
        <f ca="1">IFERROR(__xludf.DUMMYFUNCTION("""COMPUTED_VALUE"""),171.75)</f>
        <v>171.75</v>
      </c>
      <c r="F1715" s="1">
        <f ca="1">IFERROR(__xludf.DUMMYFUNCTION("""COMPUTED_VALUE"""),1881385)</f>
        <v>1881385</v>
      </c>
    </row>
    <row r="1716" spans="1:6" x14ac:dyDescent="0.35">
      <c r="A1716" s="2">
        <f ca="1">IFERROR(__xludf.DUMMYFUNCTION("""COMPUTED_VALUE"""),44491.6666666666)</f>
        <v>44491.666666666599</v>
      </c>
      <c r="B1716" s="1">
        <f ca="1">IFERROR(__xludf.DUMMYFUNCTION("""COMPUTED_VALUE"""),171.05)</f>
        <v>171.05</v>
      </c>
      <c r="C1716" s="1">
        <f ca="1">IFERROR(__xludf.DUMMYFUNCTION("""COMPUTED_VALUE"""),171.49)</f>
        <v>171.49</v>
      </c>
      <c r="D1716" s="1">
        <f ca="1">IFERROR(__xludf.DUMMYFUNCTION("""COMPUTED_VALUE"""),166.57)</f>
        <v>166.57</v>
      </c>
      <c r="E1716" s="1">
        <f ca="1">IFERROR(__xludf.DUMMYFUNCTION("""COMPUTED_VALUE"""),166.78)</f>
        <v>166.78</v>
      </c>
      <c r="F1716" s="1">
        <f ca="1">IFERROR(__xludf.DUMMYFUNCTION("""COMPUTED_VALUE"""),3139053)</f>
        <v>3139053</v>
      </c>
    </row>
    <row r="1717" spans="1:6" x14ac:dyDescent="0.35">
      <c r="A1717" s="2">
        <f ca="1">IFERROR(__xludf.DUMMYFUNCTION("""COMPUTED_VALUE"""),44494.6666666666)</f>
        <v>44494.666666666599</v>
      </c>
      <c r="B1717" s="1">
        <f ca="1">IFERROR(__xludf.DUMMYFUNCTION("""COMPUTED_VALUE"""),166.75)</f>
        <v>166.75</v>
      </c>
      <c r="C1717" s="1">
        <f ca="1">IFERROR(__xludf.DUMMYFUNCTION("""COMPUTED_VALUE"""),167.39)</f>
        <v>167.39</v>
      </c>
      <c r="D1717" s="1">
        <f ca="1">IFERROR(__xludf.DUMMYFUNCTION("""COMPUTED_VALUE"""),164.89)</f>
        <v>164.89</v>
      </c>
      <c r="E1717" s="1">
        <f ca="1">IFERROR(__xludf.DUMMYFUNCTION("""COMPUTED_VALUE"""),166.02)</f>
        <v>166.02</v>
      </c>
      <c r="F1717" s="1">
        <f ca="1">IFERROR(__xludf.DUMMYFUNCTION("""COMPUTED_VALUE"""),2225956)</f>
        <v>2225956</v>
      </c>
    </row>
    <row r="1718" spans="1:6" x14ac:dyDescent="0.35">
      <c r="A1718" s="2">
        <f ca="1">IFERROR(__xludf.DUMMYFUNCTION("""COMPUTED_VALUE"""),44495.6666666666)</f>
        <v>44495.666666666599</v>
      </c>
      <c r="B1718" s="1">
        <f ca="1">IFERROR(__xludf.DUMMYFUNCTION("""COMPUTED_VALUE"""),167.48)</f>
        <v>167.48</v>
      </c>
      <c r="C1718" s="1">
        <f ca="1">IFERROR(__xludf.DUMMYFUNCTION("""COMPUTED_VALUE"""),170.81)</f>
        <v>170.81</v>
      </c>
      <c r="D1718" s="1">
        <f ca="1">IFERROR(__xludf.DUMMYFUNCTION("""COMPUTED_VALUE"""),167.2)</f>
        <v>167.2</v>
      </c>
      <c r="E1718" s="1">
        <f ca="1">IFERROR(__xludf.DUMMYFUNCTION("""COMPUTED_VALUE"""),168.8)</f>
        <v>168.8</v>
      </c>
      <c r="F1718" s="1">
        <f ca="1">IFERROR(__xludf.DUMMYFUNCTION("""COMPUTED_VALUE"""),2698342)</f>
        <v>2698342</v>
      </c>
    </row>
    <row r="1719" spans="1:6" x14ac:dyDescent="0.35">
      <c r="A1719" s="2">
        <f ca="1">IFERROR(__xludf.DUMMYFUNCTION("""COMPUTED_VALUE"""),44496.6666666666)</f>
        <v>44496.666666666599</v>
      </c>
      <c r="B1719" s="1">
        <f ca="1">IFERROR(__xludf.DUMMYFUNCTION("""COMPUTED_VALUE"""),169.4)</f>
        <v>169.4</v>
      </c>
      <c r="C1719" s="1">
        <f ca="1">IFERROR(__xludf.DUMMYFUNCTION("""COMPUTED_VALUE"""),171.85)</f>
        <v>171.85</v>
      </c>
      <c r="D1719" s="1">
        <f ca="1">IFERROR(__xludf.DUMMYFUNCTION("""COMPUTED_VALUE"""),168.57)</f>
        <v>168.57</v>
      </c>
      <c r="E1719" s="1">
        <f ca="1">IFERROR(__xludf.DUMMYFUNCTION("""COMPUTED_VALUE"""),169.62)</f>
        <v>169.62</v>
      </c>
      <c r="F1719" s="1">
        <f ca="1">IFERROR(__xludf.DUMMYFUNCTION("""COMPUTED_VALUE"""),2702224)</f>
        <v>2702224</v>
      </c>
    </row>
    <row r="1720" spans="1:6" x14ac:dyDescent="0.35">
      <c r="A1720" s="2">
        <f ca="1">IFERROR(__xludf.DUMMYFUNCTION("""COMPUTED_VALUE"""),44497.6666666666)</f>
        <v>44497.666666666599</v>
      </c>
      <c r="B1720" s="1">
        <f ca="1">IFERROR(__xludf.DUMMYFUNCTION("""COMPUTED_VALUE"""),170.1)</f>
        <v>170.1</v>
      </c>
      <c r="C1720" s="1">
        <f ca="1">IFERROR(__xludf.DUMMYFUNCTION("""COMPUTED_VALUE"""),173.95)</f>
        <v>173.95</v>
      </c>
      <c r="D1720" s="1">
        <f ca="1">IFERROR(__xludf.DUMMYFUNCTION("""COMPUTED_VALUE"""),169.3)</f>
        <v>169.3</v>
      </c>
      <c r="E1720" s="1">
        <f ca="1">IFERROR(__xludf.DUMMYFUNCTION("""COMPUTED_VALUE"""),172.33)</f>
        <v>172.33</v>
      </c>
      <c r="F1720" s="1">
        <f ca="1">IFERROR(__xludf.DUMMYFUNCTION("""COMPUTED_VALUE"""),5708733)</f>
        <v>5708733</v>
      </c>
    </row>
    <row r="1721" spans="1:6" x14ac:dyDescent="0.35">
      <c r="A1721" s="2">
        <f ca="1">IFERROR(__xludf.DUMMYFUNCTION("""COMPUTED_VALUE"""),44498.6666666666)</f>
        <v>44498.666666666599</v>
      </c>
      <c r="B1721" s="1">
        <f ca="1">IFERROR(__xludf.DUMMYFUNCTION("""COMPUTED_VALUE"""),165)</f>
        <v>165</v>
      </c>
      <c r="C1721" s="1">
        <f ca="1">IFERROR(__xludf.DUMMYFUNCTION("""COMPUTED_VALUE"""),168.74)</f>
        <v>168.74</v>
      </c>
      <c r="D1721" s="1">
        <f ca="1">IFERROR(__xludf.DUMMYFUNCTION("""COMPUTED_VALUE"""),163.67)</f>
        <v>163.66999999999999</v>
      </c>
      <c r="E1721" s="1">
        <f ca="1">IFERROR(__xludf.DUMMYFUNCTION("""COMPUTED_VALUE"""),168.62)</f>
        <v>168.62</v>
      </c>
      <c r="F1721" s="1">
        <f ca="1">IFERROR(__xludf.DUMMYFUNCTION("""COMPUTED_VALUE"""),6486077)</f>
        <v>6486077</v>
      </c>
    </row>
    <row r="1722" spans="1:6" x14ac:dyDescent="0.35">
      <c r="A1722" s="2">
        <f ca="1">IFERROR(__xludf.DUMMYFUNCTION("""COMPUTED_VALUE"""),44501.6666666666)</f>
        <v>44501.666666666599</v>
      </c>
      <c r="B1722" s="1">
        <f ca="1">IFERROR(__xludf.DUMMYFUNCTION("""COMPUTED_VALUE"""),168.09)</f>
        <v>168.09</v>
      </c>
      <c r="C1722" s="1">
        <f ca="1">IFERROR(__xludf.DUMMYFUNCTION("""COMPUTED_VALUE"""),168.79)</f>
        <v>168.79</v>
      </c>
      <c r="D1722" s="1">
        <f ca="1">IFERROR(__xludf.DUMMYFUNCTION("""COMPUTED_VALUE"""),164.6)</f>
        <v>164.6</v>
      </c>
      <c r="E1722" s="1">
        <f ca="1">IFERROR(__xludf.DUMMYFUNCTION("""COMPUTED_VALUE"""),165.91)</f>
        <v>165.91</v>
      </c>
      <c r="F1722" s="1">
        <f ca="1">IFERROR(__xludf.DUMMYFUNCTION("""COMPUTED_VALUE"""),3608879)</f>
        <v>3608879</v>
      </c>
    </row>
    <row r="1723" spans="1:6" x14ac:dyDescent="0.35">
      <c r="A1723" s="2">
        <f ca="1">IFERROR(__xludf.DUMMYFUNCTION("""COMPUTED_VALUE"""),44502.6666666666)</f>
        <v>44502.666666666599</v>
      </c>
      <c r="B1723" s="1">
        <f ca="1">IFERROR(__xludf.DUMMYFUNCTION("""COMPUTED_VALUE"""),165.75)</f>
        <v>165.75</v>
      </c>
      <c r="C1723" s="1">
        <f ca="1">IFERROR(__xludf.DUMMYFUNCTION("""COMPUTED_VALUE"""),166.56)</f>
        <v>166.56</v>
      </c>
      <c r="D1723" s="1">
        <f ca="1">IFERROR(__xludf.DUMMYFUNCTION("""COMPUTED_VALUE"""),164.18)</f>
        <v>164.18</v>
      </c>
      <c r="E1723" s="1">
        <f ca="1">IFERROR(__xludf.DUMMYFUNCTION("""COMPUTED_VALUE"""),165.64)</f>
        <v>165.64</v>
      </c>
      <c r="F1723" s="1">
        <f ca="1">IFERROR(__xludf.DUMMYFUNCTION("""COMPUTED_VALUE"""),2627590)</f>
        <v>2627590</v>
      </c>
    </row>
    <row r="1724" spans="1:6" x14ac:dyDescent="0.35">
      <c r="A1724" s="2">
        <f ca="1">IFERROR(__xludf.DUMMYFUNCTION("""COMPUTED_VALUE"""),44503.6666666666)</f>
        <v>44503.666666666599</v>
      </c>
      <c r="B1724" s="1">
        <f ca="1">IFERROR(__xludf.DUMMYFUNCTION("""COMPUTED_VALUE"""),165.45)</f>
        <v>165.45</v>
      </c>
      <c r="C1724" s="1">
        <f ca="1">IFERROR(__xludf.DUMMYFUNCTION("""COMPUTED_VALUE"""),169.75)</f>
        <v>169.75</v>
      </c>
      <c r="D1724" s="1">
        <f ca="1">IFERROR(__xludf.DUMMYFUNCTION("""COMPUTED_VALUE"""),164.88)</f>
        <v>164.88</v>
      </c>
      <c r="E1724" s="1">
        <f ca="1">IFERROR(__xludf.DUMMYFUNCTION("""COMPUTED_VALUE"""),169.2)</f>
        <v>169.2</v>
      </c>
      <c r="F1724" s="1">
        <f ca="1">IFERROR(__xludf.DUMMYFUNCTION("""COMPUTED_VALUE"""),3397189)</f>
        <v>3397189</v>
      </c>
    </row>
    <row r="1725" spans="1:6" x14ac:dyDescent="0.35">
      <c r="A1725" s="2">
        <f ca="1">IFERROR(__xludf.DUMMYFUNCTION("""COMPUTED_VALUE"""),44504.6666666666)</f>
        <v>44504.666666666599</v>
      </c>
      <c r="B1725" s="1">
        <f ca="1">IFERROR(__xludf.DUMMYFUNCTION("""COMPUTED_VALUE"""),168.5)</f>
        <v>168.5</v>
      </c>
      <c r="C1725" s="1">
        <f ca="1">IFERROR(__xludf.DUMMYFUNCTION("""COMPUTED_VALUE"""),174.93)</f>
        <v>174.93</v>
      </c>
      <c r="D1725" s="1">
        <f ca="1">IFERROR(__xludf.DUMMYFUNCTION("""COMPUTED_VALUE"""),168.25)</f>
        <v>168.25</v>
      </c>
      <c r="E1725" s="1">
        <f ca="1">IFERROR(__xludf.DUMMYFUNCTION("""COMPUTED_VALUE"""),173.85)</f>
        <v>173.85</v>
      </c>
      <c r="F1725" s="1">
        <f ca="1">IFERROR(__xludf.DUMMYFUNCTION("""COMPUTED_VALUE"""),5353020)</f>
        <v>5353020</v>
      </c>
    </row>
    <row r="1726" spans="1:6" x14ac:dyDescent="0.35">
      <c r="A1726" s="2">
        <f ca="1">IFERROR(__xludf.DUMMYFUNCTION("""COMPUTED_VALUE"""),44505.6666666666)</f>
        <v>44505.666666666599</v>
      </c>
      <c r="B1726" s="1">
        <f ca="1">IFERROR(__xludf.DUMMYFUNCTION("""COMPUTED_VALUE"""),173.85)</f>
        <v>173.85</v>
      </c>
      <c r="C1726" s="1">
        <f ca="1">IFERROR(__xludf.DUMMYFUNCTION("""COMPUTED_VALUE"""),178.31)</f>
        <v>178.31</v>
      </c>
      <c r="D1726" s="1">
        <f ca="1">IFERROR(__xludf.DUMMYFUNCTION("""COMPUTED_VALUE"""),173.85)</f>
        <v>173.85</v>
      </c>
      <c r="E1726" s="1">
        <f ca="1">IFERROR(__xludf.DUMMYFUNCTION("""COMPUTED_VALUE"""),175.95)</f>
        <v>175.95</v>
      </c>
      <c r="F1726" s="1">
        <f ca="1">IFERROR(__xludf.DUMMYFUNCTION("""COMPUTED_VALUE"""),4996951)</f>
        <v>4996951</v>
      </c>
    </row>
    <row r="1727" spans="1:6" x14ac:dyDescent="0.35">
      <c r="A1727" s="2">
        <f ca="1">IFERROR(__xludf.DUMMYFUNCTION("""COMPUTED_VALUE"""),44508.6666666666)</f>
        <v>44508.666666666599</v>
      </c>
      <c r="B1727" s="1">
        <f ca="1">IFERROR(__xludf.DUMMYFUNCTION("""COMPUTED_VALUE"""),176.16)</f>
        <v>176.16</v>
      </c>
      <c r="C1727" s="1">
        <f ca="1">IFERROR(__xludf.DUMMYFUNCTION("""COMPUTED_VALUE"""),178.95)</f>
        <v>178.95</v>
      </c>
      <c r="D1727" s="1">
        <f ca="1">IFERROR(__xludf.DUMMYFUNCTION("""COMPUTED_VALUE"""),174.39)</f>
        <v>174.39</v>
      </c>
      <c r="E1727" s="1">
        <f ca="1">IFERROR(__xludf.DUMMYFUNCTION("""COMPUTED_VALUE"""),174.45)</f>
        <v>174.45</v>
      </c>
      <c r="F1727" s="1">
        <f ca="1">IFERROR(__xludf.DUMMYFUNCTION("""COMPUTED_VALUE"""),3073992)</f>
        <v>3073992</v>
      </c>
    </row>
    <row r="1728" spans="1:6" x14ac:dyDescent="0.35">
      <c r="A1728" s="2">
        <f ca="1">IFERROR(__xludf.DUMMYFUNCTION("""COMPUTED_VALUE"""),44509.6666666666)</f>
        <v>44509.666666666599</v>
      </c>
      <c r="B1728" s="1">
        <f ca="1">IFERROR(__xludf.DUMMYFUNCTION("""COMPUTED_VALUE"""),175.76)</f>
        <v>175.76</v>
      </c>
      <c r="C1728" s="1">
        <f ca="1">IFERROR(__xludf.DUMMYFUNCTION("""COMPUTED_VALUE"""),179.69)</f>
        <v>179.69</v>
      </c>
      <c r="D1728" s="1">
        <f ca="1">IFERROR(__xludf.DUMMYFUNCTION("""COMPUTED_VALUE"""),175.07)</f>
        <v>175.07</v>
      </c>
      <c r="E1728" s="1">
        <f ca="1">IFERROR(__xludf.DUMMYFUNCTION("""COMPUTED_VALUE"""),178.81)</f>
        <v>178.81</v>
      </c>
      <c r="F1728" s="1">
        <f ca="1">IFERROR(__xludf.DUMMYFUNCTION("""COMPUTED_VALUE"""),4294922)</f>
        <v>4294922</v>
      </c>
    </row>
    <row r="1729" spans="1:6" x14ac:dyDescent="0.35">
      <c r="A1729" s="2">
        <f ca="1">IFERROR(__xludf.DUMMYFUNCTION("""COMPUTED_VALUE"""),44510.6666666666)</f>
        <v>44510.666666666599</v>
      </c>
      <c r="B1729" s="1">
        <f ca="1">IFERROR(__xludf.DUMMYFUNCTION("""COMPUTED_VALUE"""),178.19)</f>
        <v>178.19</v>
      </c>
      <c r="C1729" s="1">
        <f ca="1">IFERROR(__xludf.DUMMYFUNCTION("""COMPUTED_VALUE"""),180.27)</f>
        <v>180.27</v>
      </c>
      <c r="D1729" s="1">
        <f ca="1">IFERROR(__xludf.DUMMYFUNCTION("""COMPUTED_VALUE"""),173.15)</f>
        <v>173.15</v>
      </c>
      <c r="E1729" s="1">
        <f ca="1">IFERROR(__xludf.DUMMYFUNCTION("""COMPUTED_VALUE"""),174.1)</f>
        <v>174.1</v>
      </c>
      <c r="F1729" s="1">
        <f ca="1">IFERROR(__xludf.DUMMYFUNCTION("""COMPUTED_VALUE"""),4027422)</f>
        <v>4027422</v>
      </c>
    </row>
    <row r="1730" spans="1:6" x14ac:dyDescent="0.35">
      <c r="A1730" s="2">
        <f ca="1">IFERROR(__xludf.DUMMYFUNCTION("""COMPUTED_VALUE"""),44511.6666666666)</f>
        <v>44511.666666666599</v>
      </c>
      <c r="B1730" s="1">
        <f ca="1">IFERROR(__xludf.DUMMYFUNCTION("""COMPUTED_VALUE"""),175.65)</f>
        <v>175.65</v>
      </c>
      <c r="C1730" s="1">
        <f ca="1">IFERROR(__xludf.DUMMYFUNCTION("""COMPUTED_VALUE"""),177.16)</f>
        <v>177.16</v>
      </c>
      <c r="D1730" s="1">
        <f ca="1">IFERROR(__xludf.DUMMYFUNCTION("""COMPUTED_VALUE"""),173.37)</f>
        <v>173.37</v>
      </c>
      <c r="E1730" s="1">
        <f ca="1">IFERROR(__xludf.DUMMYFUNCTION("""COMPUTED_VALUE"""),173.63)</f>
        <v>173.63</v>
      </c>
      <c r="F1730" s="1">
        <f ca="1">IFERROR(__xludf.DUMMYFUNCTION("""COMPUTED_VALUE"""),2264406)</f>
        <v>2264406</v>
      </c>
    </row>
    <row r="1731" spans="1:6" x14ac:dyDescent="0.35">
      <c r="A1731" s="2">
        <f ca="1">IFERROR(__xludf.DUMMYFUNCTION("""COMPUTED_VALUE"""),44512.6666666666)</f>
        <v>44512.666666666599</v>
      </c>
      <c r="B1731" s="1">
        <f ca="1">IFERROR(__xludf.DUMMYFUNCTION("""COMPUTED_VALUE"""),174.25)</f>
        <v>174.25</v>
      </c>
      <c r="C1731" s="1">
        <f ca="1">IFERROR(__xludf.DUMMYFUNCTION("""COMPUTED_VALUE"""),177.04)</f>
        <v>177.04</v>
      </c>
      <c r="D1731" s="1">
        <f ca="1">IFERROR(__xludf.DUMMYFUNCTION("""COMPUTED_VALUE"""),172.35)</f>
        <v>172.35</v>
      </c>
      <c r="E1731" s="1">
        <f ca="1">IFERROR(__xludf.DUMMYFUNCTION("""COMPUTED_VALUE"""),176.26)</f>
        <v>176.26</v>
      </c>
      <c r="F1731" s="1">
        <f ca="1">IFERROR(__xludf.DUMMYFUNCTION("""COMPUTED_VALUE"""),2689434)</f>
        <v>2689434</v>
      </c>
    </row>
    <row r="1732" spans="1:6" x14ac:dyDescent="0.35">
      <c r="A1732" s="2">
        <f ca="1">IFERROR(__xludf.DUMMYFUNCTION("""COMPUTED_VALUE"""),44515.6666666666)</f>
        <v>44515.666666666599</v>
      </c>
      <c r="B1732" s="1">
        <f ca="1">IFERROR(__xludf.DUMMYFUNCTION("""COMPUTED_VALUE"""),176.85)</f>
        <v>176.85</v>
      </c>
      <c r="C1732" s="1">
        <f ca="1">IFERROR(__xludf.DUMMYFUNCTION("""COMPUTED_VALUE"""),179.69)</f>
        <v>179.69</v>
      </c>
      <c r="D1732" s="1">
        <f ca="1">IFERROR(__xludf.DUMMYFUNCTION("""COMPUTED_VALUE"""),176.29)</f>
        <v>176.29</v>
      </c>
      <c r="E1732" s="1">
        <f ca="1">IFERROR(__xludf.DUMMYFUNCTION("""COMPUTED_VALUE"""),177.28)</f>
        <v>177.28</v>
      </c>
      <c r="F1732" s="1">
        <f ca="1">IFERROR(__xludf.DUMMYFUNCTION("""COMPUTED_VALUE"""),2929719)</f>
        <v>2929719</v>
      </c>
    </row>
    <row r="1733" spans="1:6" x14ac:dyDescent="0.35">
      <c r="A1733" s="2">
        <f ca="1">IFERROR(__xludf.DUMMYFUNCTION("""COMPUTED_VALUE"""),44516.6666666666)</f>
        <v>44516.666666666599</v>
      </c>
      <c r="B1733" s="1">
        <f ca="1">IFERROR(__xludf.DUMMYFUNCTION("""COMPUTED_VALUE"""),176.95)</f>
        <v>176.95</v>
      </c>
      <c r="C1733" s="1">
        <f ca="1">IFERROR(__xludf.DUMMYFUNCTION("""COMPUTED_VALUE"""),178.83)</f>
        <v>178.83</v>
      </c>
      <c r="D1733" s="1">
        <f ca="1">IFERROR(__xludf.DUMMYFUNCTION("""COMPUTED_VALUE"""),176.26)</f>
        <v>176.26</v>
      </c>
      <c r="E1733" s="1">
        <f ca="1">IFERROR(__xludf.DUMMYFUNCTION("""COMPUTED_VALUE"""),177.04)</f>
        <v>177.04</v>
      </c>
      <c r="F1733" s="1">
        <f ca="1">IFERROR(__xludf.DUMMYFUNCTION("""COMPUTED_VALUE"""),2217071)</f>
        <v>2217071</v>
      </c>
    </row>
    <row r="1734" spans="1:6" x14ac:dyDescent="0.35">
      <c r="A1734" s="2">
        <f ca="1">IFERROR(__xludf.DUMMYFUNCTION("""COMPUTED_VALUE"""),44517.6666666666)</f>
        <v>44517.666666666599</v>
      </c>
      <c r="B1734" s="1">
        <f ca="1">IFERROR(__xludf.DUMMYFUNCTION("""COMPUTED_VALUE"""),178.24)</f>
        <v>178.24</v>
      </c>
      <c r="C1734" s="1">
        <f ca="1">IFERROR(__xludf.DUMMYFUNCTION("""COMPUTED_VALUE"""),179.36)</f>
        <v>179.36</v>
      </c>
      <c r="D1734" s="1">
        <f ca="1">IFERROR(__xludf.DUMMYFUNCTION("""COMPUTED_VALUE"""),177.27)</f>
        <v>177.27</v>
      </c>
      <c r="E1734" s="1">
        <f ca="1">IFERROR(__xludf.DUMMYFUNCTION("""COMPUTED_VALUE"""),177.45)</f>
        <v>177.45</v>
      </c>
      <c r="F1734" s="1">
        <f ca="1">IFERROR(__xludf.DUMMYFUNCTION("""COMPUTED_VALUE"""),2560270)</f>
        <v>2560270</v>
      </c>
    </row>
    <row r="1735" spans="1:6" x14ac:dyDescent="0.35">
      <c r="A1735" s="2">
        <f ca="1">IFERROR(__xludf.DUMMYFUNCTION("""COMPUTED_VALUE"""),44518.6666666666)</f>
        <v>44518.666666666599</v>
      </c>
      <c r="B1735" s="1">
        <f ca="1">IFERROR(__xludf.DUMMYFUNCTION("""COMPUTED_VALUE"""),178.32)</f>
        <v>178.32</v>
      </c>
      <c r="C1735" s="1">
        <f ca="1">IFERROR(__xludf.DUMMYFUNCTION("""COMPUTED_VALUE"""),185.21)</f>
        <v>185.21</v>
      </c>
      <c r="D1735" s="1">
        <f ca="1">IFERROR(__xludf.DUMMYFUNCTION("""COMPUTED_VALUE"""),178.05)</f>
        <v>178.05</v>
      </c>
      <c r="E1735" s="1">
        <f ca="1">IFERROR(__xludf.DUMMYFUNCTION("""COMPUTED_VALUE"""),184.8)</f>
        <v>184.8</v>
      </c>
      <c r="F1735" s="1">
        <f ca="1">IFERROR(__xludf.DUMMYFUNCTION("""COMPUTED_VALUE"""),5703538)</f>
        <v>5703538</v>
      </c>
    </row>
    <row r="1736" spans="1:6" x14ac:dyDescent="0.35">
      <c r="A1736" s="2">
        <f ca="1">IFERROR(__xludf.DUMMYFUNCTION("""COMPUTED_VALUE"""),44519.6666666666)</f>
        <v>44519.666666666599</v>
      </c>
      <c r="B1736" s="1">
        <f ca="1">IFERROR(__xludf.DUMMYFUNCTION("""COMPUTED_VALUE"""),185.63)</f>
        <v>185.63</v>
      </c>
      <c r="C1736" s="1">
        <f ca="1">IFERROR(__xludf.DUMMYFUNCTION("""COMPUTED_VALUE"""),188.11)</f>
        <v>188.11</v>
      </c>
      <c r="D1736" s="1">
        <f ca="1">IFERROR(__xludf.DUMMYFUNCTION("""COMPUTED_VALUE"""),183.79)</f>
        <v>183.79</v>
      </c>
      <c r="E1736" s="1">
        <f ca="1">IFERROR(__xludf.DUMMYFUNCTION("""COMPUTED_VALUE"""),183.83)</f>
        <v>183.83</v>
      </c>
      <c r="F1736" s="1">
        <f ca="1">IFERROR(__xludf.DUMMYFUNCTION("""COMPUTED_VALUE"""),4946203)</f>
        <v>4946203</v>
      </c>
    </row>
    <row r="1737" spans="1:6" x14ac:dyDescent="0.35">
      <c r="A1737" s="2">
        <f ca="1">IFERROR(__xludf.DUMMYFUNCTION("""COMPUTED_VALUE"""),44522.6666666666)</f>
        <v>44522.666666666599</v>
      </c>
      <c r="B1737" s="1">
        <f ca="1">IFERROR(__xludf.DUMMYFUNCTION("""COMPUTED_VALUE"""),183.82)</f>
        <v>183.82</v>
      </c>
      <c r="C1737" s="1">
        <f ca="1">IFERROR(__xludf.DUMMYFUNCTION("""COMPUTED_VALUE"""),185.67)</f>
        <v>185.67</v>
      </c>
      <c r="D1737" s="1">
        <f ca="1">IFERROR(__xludf.DUMMYFUNCTION("""COMPUTED_VALUE"""),178.38)</f>
        <v>178.38</v>
      </c>
      <c r="E1737" s="1">
        <f ca="1">IFERROR(__xludf.DUMMYFUNCTION("""COMPUTED_VALUE"""),178.63)</f>
        <v>178.63</v>
      </c>
      <c r="F1737" s="1">
        <f ca="1">IFERROR(__xludf.DUMMYFUNCTION("""COMPUTED_VALUE"""),4847850)</f>
        <v>4847850</v>
      </c>
    </row>
    <row r="1738" spans="1:6" x14ac:dyDescent="0.35">
      <c r="A1738" s="2">
        <f ca="1">IFERROR(__xludf.DUMMYFUNCTION("""COMPUTED_VALUE"""),44523.6666666666)</f>
        <v>44523.666666666599</v>
      </c>
      <c r="B1738" s="1">
        <f ca="1">IFERROR(__xludf.DUMMYFUNCTION("""COMPUTED_VALUE"""),179.25)</f>
        <v>179.25</v>
      </c>
      <c r="C1738" s="1">
        <f ca="1">IFERROR(__xludf.DUMMYFUNCTION("""COMPUTED_VALUE"""),181.05)</f>
        <v>181.05</v>
      </c>
      <c r="D1738" s="1">
        <f ca="1">IFERROR(__xludf.DUMMYFUNCTION("""COMPUTED_VALUE"""),176.39)</f>
        <v>176.39</v>
      </c>
      <c r="E1738" s="1">
        <f ca="1">IFERROR(__xludf.DUMMYFUNCTION("""COMPUTED_VALUE"""),179)</f>
        <v>179</v>
      </c>
      <c r="F1738" s="1">
        <f ca="1">IFERROR(__xludf.DUMMYFUNCTION("""COMPUTED_VALUE"""),3692246)</f>
        <v>3692246</v>
      </c>
    </row>
    <row r="1739" spans="1:6" x14ac:dyDescent="0.35">
      <c r="A1739" s="2">
        <f ca="1">IFERROR(__xludf.DUMMYFUNCTION("""COMPUTED_VALUE"""),44524.6666666666)</f>
        <v>44524.666666666599</v>
      </c>
      <c r="B1739" s="1">
        <f ca="1">IFERROR(__xludf.DUMMYFUNCTION("""COMPUTED_VALUE"""),178.13)</f>
        <v>178.13</v>
      </c>
      <c r="C1739" s="1">
        <f ca="1">IFERROR(__xludf.DUMMYFUNCTION("""COMPUTED_VALUE"""),180.68)</f>
        <v>180.68</v>
      </c>
      <c r="D1739" s="1">
        <f ca="1">IFERROR(__xludf.DUMMYFUNCTION("""COMPUTED_VALUE"""),176.84)</f>
        <v>176.84</v>
      </c>
      <c r="E1739" s="1">
        <f ca="1">IFERROR(__xludf.DUMMYFUNCTION("""COMPUTED_VALUE"""),179.02)</f>
        <v>179.02</v>
      </c>
      <c r="F1739" s="1">
        <f ca="1">IFERROR(__xludf.DUMMYFUNCTION("""COMPUTED_VALUE"""),2328018)</f>
        <v>2328018</v>
      </c>
    </row>
    <row r="1740" spans="1:6" x14ac:dyDescent="0.35">
      <c r="A1740" s="2">
        <f ca="1">IFERROR(__xludf.DUMMYFUNCTION("""COMPUTED_VALUE"""),44526.5416666666)</f>
        <v>44526.541666666599</v>
      </c>
      <c r="B1740" s="1">
        <f ca="1">IFERROR(__xludf.DUMMYFUNCTION("""COMPUTED_VALUE"""),180.1)</f>
        <v>180.1</v>
      </c>
      <c r="C1740" s="1">
        <f ca="1">IFERROR(__xludf.DUMMYFUNCTION("""COMPUTED_VALUE"""),181.68)</f>
        <v>181.68</v>
      </c>
      <c r="D1740" s="1">
        <f ca="1">IFERROR(__xludf.DUMMYFUNCTION("""COMPUTED_VALUE"""),175.21)</f>
        <v>175.21</v>
      </c>
      <c r="E1740" s="1">
        <f ca="1">IFERROR(__xludf.DUMMYFUNCTION("""COMPUTED_VALUE"""),175.23)</f>
        <v>175.23</v>
      </c>
      <c r="F1740" s="1">
        <f ca="1">IFERROR(__xludf.DUMMYFUNCTION("""COMPUTED_VALUE"""),2991297)</f>
        <v>2991297</v>
      </c>
    </row>
    <row r="1741" spans="1:6" x14ac:dyDescent="0.35">
      <c r="A1741" s="2">
        <f ca="1">IFERROR(__xludf.DUMMYFUNCTION("""COMPUTED_VALUE"""),44529.6666666666)</f>
        <v>44529.666666666599</v>
      </c>
      <c r="B1741" s="1">
        <f ca="1">IFERROR(__xludf.DUMMYFUNCTION("""COMPUTED_VALUE"""),177.38)</f>
        <v>177.38</v>
      </c>
      <c r="C1741" s="1">
        <f ca="1">IFERROR(__xludf.DUMMYFUNCTION("""COMPUTED_VALUE"""),179.8)</f>
        <v>179.8</v>
      </c>
      <c r="D1741" s="1">
        <f ca="1">IFERROR(__xludf.DUMMYFUNCTION("""COMPUTED_VALUE"""),176.58)</f>
        <v>176.58</v>
      </c>
      <c r="E1741" s="1">
        <f ca="1">IFERROR(__xludf.DUMMYFUNCTION("""COMPUTED_VALUE"""),178.08)</f>
        <v>178.08</v>
      </c>
      <c r="F1741" s="1">
        <f ca="1">IFERROR(__xludf.DUMMYFUNCTION("""COMPUTED_VALUE"""),3265557)</f>
        <v>3265557</v>
      </c>
    </row>
    <row r="1742" spans="1:6" x14ac:dyDescent="0.35">
      <c r="A1742" s="2">
        <f ca="1">IFERROR(__xludf.DUMMYFUNCTION("""COMPUTED_VALUE"""),44530.6666666666)</f>
        <v>44530.666666666599</v>
      </c>
      <c r="B1742" s="1">
        <f ca="1">IFERROR(__xludf.DUMMYFUNCTION("""COMPUTED_VALUE"""),178.18)</f>
        <v>178.18</v>
      </c>
      <c r="C1742" s="1">
        <f ca="1">IFERROR(__xludf.DUMMYFUNCTION("""COMPUTED_VALUE"""),179.29)</f>
        <v>179.29</v>
      </c>
      <c r="D1742" s="1">
        <f ca="1">IFERROR(__xludf.DUMMYFUNCTION("""COMPUTED_VALUE"""),174.6)</f>
        <v>174.6</v>
      </c>
      <c r="E1742" s="1">
        <f ca="1">IFERROR(__xludf.DUMMYFUNCTION("""COMPUTED_VALUE"""),175.35)</f>
        <v>175.35</v>
      </c>
      <c r="F1742" s="1">
        <f ca="1">IFERROR(__xludf.DUMMYFUNCTION("""COMPUTED_VALUE"""),4001107)</f>
        <v>4001107</v>
      </c>
    </row>
    <row r="1743" spans="1:6" x14ac:dyDescent="0.35">
      <c r="A1743" s="2">
        <f ca="1">IFERROR(__xludf.DUMMYFUNCTION("""COMPUTED_VALUE"""),44531.6666666666)</f>
        <v>44531.666666666599</v>
      </c>
      <c r="B1743" s="1">
        <f ca="1">IFERROR(__xludf.DUMMYFUNCTION("""COMPUTED_VALUE"""),177.25)</f>
        <v>177.25</v>
      </c>
      <c r="C1743" s="1">
        <f ca="1">IFERROR(__xludf.DUMMYFUNCTION("""COMPUTED_VALUE"""),177.99)</f>
        <v>177.99</v>
      </c>
      <c r="D1743" s="1">
        <f ca="1">IFERROR(__xludf.DUMMYFUNCTION("""COMPUTED_VALUE"""),172.08)</f>
        <v>172.08</v>
      </c>
      <c r="E1743" s="1">
        <f ca="1">IFERROR(__xludf.DUMMYFUNCTION("""COMPUTED_VALUE"""),172.19)</f>
        <v>172.19</v>
      </c>
      <c r="F1743" s="1">
        <f ca="1">IFERROR(__xludf.DUMMYFUNCTION("""COMPUTED_VALUE"""),3756995)</f>
        <v>3756995</v>
      </c>
    </row>
    <row r="1744" spans="1:6" x14ac:dyDescent="0.35">
      <c r="A1744" s="2">
        <f ca="1">IFERROR(__xludf.DUMMYFUNCTION("""COMPUTED_VALUE"""),44532.6666666666)</f>
        <v>44532.666666666599</v>
      </c>
      <c r="B1744" s="1">
        <f ca="1">IFERROR(__xludf.DUMMYFUNCTION("""COMPUTED_VALUE"""),173)</f>
        <v>173</v>
      </c>
      <c r="C1744" s="1">
        <f ca="1">IFERROR(__xludf.DUMMYFUNCTION("""COMPUTED_VALUE"""),174.64)</f>
        <v>174.64</v>
      </c>
      <c r="D1744" s="1">
        <f ca="1">IFERROR(__xludf.DUMMYFUNCTION("""COMPUTED_VALUE"""),171.19)</f>
        <v>171.19</v>
      </c>
      <c r="E1744" s="1">
        <f ca="1">IFERROR(__xludf.DUMMYFUNCTION("""COMPUTED_VALUE"""),171.87)</f>
        <v>171.87</v>
      </c>
      <c r="F1744" s="1">
        <f ca="1">IFERROR(__xludf.DUMMYFUNCTION("""COMPUTED_VALUE"""),3236288)</f>
        <v>3236288</v>
      </c>
    </row>
    <row r="1745" spans="1:6" x14ac:dyDescent="0.35">
      <c r="A1745" s="2">
        <f ca="1">IFERROR(__xludf.DUMMYFUNCTION("""COMPUTED_VALUE"""),44533.6666666666)</f>
        <v>44533.666666666599</v>
      </c>
      <c r="B1745" s="1">
        <f ca="1">IFERROR(__xludf.DUMMYFUNCTION("""COMPUTED_VALUE"""),172.75)</f>
        <v>172.75</v>
      </c>
      <c r="C1745" s="1">
        <f ca="1">IFERROR(__xludf.DUMMYFUNCTION("""COMPUTED_VALUE"""),173.49)</f>
        <v>173.49</v>
      </c>
      <c r="D1745" s="1">
        <f ca="1">IFERROR(__xludf.DUMMYFUNCTION("""COMPUTED_VALUE"""),166.93)</f>
        <v>166.93</v>
      </c>
      <c r="E1745" s="1">
        <f ca="1">IFERROR(__xludf.DUMMYFUNCTION("""COMPUTED_VALUE"""),169.49)</f>
        <v>169.49</v>
      </c>
      <c r="F1745" s="1">
        <f ca="1">IFERROR(__xludf.DUMMYFUNCTION("""COMPUTED_VALUE"""),4035550)</f>
        <v>4035550</v>
      </c>
    </row>
    <row r="1746" spans="1:6" x14ac:dyDescent="0.35">
      <c r="A1746" s="2">
        <f ca="1">IFERROR(__xludf.DUMMYFUNCTION("""COMPUTED_VALUE"""),44536.6666666666)</f>
        <v>44536.666666666599</v>
      </c>
      <c r="B1746" s="1">
        <f ca="1">IFERROR(__xludf.DUMMYFUNCTION("""COMPUTED_VALUE"""),169.65)</f>
        <v>169.65</v>
      </c>
      <c r="C1746" s="1">
        <f ca="1">IFERROR(__xludf.DUMMYFUNCTION("""COMPUTED_VALUE"""),173.7)</f>
        <v>173.7</v>
      </c>
      <c r="D1746" s="1">
        <f ca="1">IFERROR(__xludf.DUMMYFUNCTION("""COMPUTED_VALUE"""),166.93)</f>
        <v>166.93</v>
      </c>
      <c r="E1746" s="1">
        <f ca="1">IFERROR(__xludf.DUMMYFUNCTION("""COMPUTED_VALUE"""),171.37)</f>
        <v>171.37</v>
      </c>
      <c r="F1746" s="1">
        <f ca="1">IFERROR(__xludf.DUMMYFUNCTION("""COMPUTED_VALUE"""),3443000)</f>
        <v>3443000</v>
      </c>
    </row>
    <row r="1747" spans="1:6" x14ac:dyDescent="0.35">
      <c r="A1747" s="2">
        <f ca="1">IFERROR(__xludf.DUMMYFUNCTION("""COMPUTED_VALUE"""),44537.6666666666)</f>
        <v>44537.666666666599</v>
      </c>
      <c r="B1747" s="1">
        <f ca="1">IFERROR(__xludf.DUMMYFUNCTION("""COMPUTED_VALUE"""),174.6)</f>
        <v>174.6</v>
      </c>
      <c r="C1747" s="1">
        <f ca="1">IFERROR(__xludf.DUMMYFUNCTION("""COMPUTED_VALUE"""),177.5)</f>
        <v>177.5</v>
      </c>
      <c r="D1747" s="1">
        <f ca="1">IFERROR(__xludf.DUMMYFUNCTION("""COMPUTED_VALUE"""),173.33)</f>
        <v>173.33</v>
      </c>
      <c r="E1747" s="1">
        <f ca="1">IFERROR(__xludf.DUMMYFUNCTION("""COMPUTED_VALUE"""),176.16)</f>
        <v>176.16</v>
      </c>
      <c r="F1747" s="1">
        <f ca="1">IFERROR(__xludf.DUMMYFUNCTION("""COMPUTED_VALUE"""),3320536)</f>
        <v>3320536</v>
      </c>
    </row>
    <row r="1748" spans="1:6" x14ac:dyDescent="0.35">
      <c r="A1748" s="2">
        <f ca="1">IFERROR(__xludf.DUMMYFUNCTION("""COMPUTED_VALUE"""),44538.6666666666)</f>
        <v>44538.666666666599</v>
      </c>
      <c r="B1748" s="1">
        <f ca="1">IFERROR(__xludf.DUMMYFUNCTION("""COMPUTED_VALUE"""),176.15)</f>
        <v>176.15</v>
      </c>
      <c r="C1748" s="1">
        <f ca="1">IFERROR(__xludf.DUMMYFUNCTION("""COMPUTED_VALUE"""),177.18)</f>
        <v>177.18</v>
      </c>
      <c r="D1748" s="1">
        <f ca="1">IFERROR(__xludf.DUMMYFUNCTION("""COMPUTED_VALUE"""),174.75)</f>
        <v>174.75</v>
      </c>
      <c r="E1748" s="1">
        <f ca="1">IFERROR(__xludf.DUMMYFUNCTION("""COMPUTED_VALUE"""),176.16)</f>
        <v>176.16</v>
      </c>
      <c r="F1748" s="1">
        <f ca="1">IFERROR(__xludf.DUMMYFUNCTION("""COMPUTED_VALUE"""),2262683)</f>
        <v>2262683</v>
      </c>
    </row>
    <row r="1749" spans="1:6" x14ac:dyDescent="0.35">
      <c r="A1749" s="2">
        <f ca="1">IFERROR(__xludf.DUMMYFUNCTION("""COMPUTED_VALUE"""),44539.6666666666)</f>
        <v>44539.666666666599</v>
      </c>
      <c r="B1749" s="1">
        <f ca="1">IFERROR(__xludf.DUMMYFUNCTION("""COMPUTED_VALUE"""),175.75)</f>
        <v>175.75</v>
      </c>
      <c r="C1749" s="1">
        <f ca="1">IFERROR(__xludf.DUMMYFUNCTION("""COMPUTED_VALUE"""),176.97)</f>
        <v>176.97</v>
      </c>
      <c r="D1749" s="1">
        <f ca="1">IFERROR(__xludf.DUMMYFUNCTION("""COMPUTED_VALUE"""),174.14)</f>
        <v>174.14</v>
      </c>
      <c r="E1749" s="1">
        <f ca="1">IFERROR(__xludf.DUMMYFUNCTION("""COMPUTED_VALUE"""),174.17)</f>
        <v>174.17</v>
      </c>
      <c r="F1749" s="1">
        <f ca="1">IFERROR(__xludf.DUMMYFUNCTION("""COMPUTED_VALUE"""),2303091)</f>
        <v>2303091</v>
      </c>
    </row>
    <row r="1750" spans="1:6" x14ac:dyDescent="0.35">
      <c r="A1750" s="2">
        <f ca="1">IFERROR(__xludf.DUMMYFUNCTION("""COMPUTED_VALUE"""),44540.6666666666)</f>
        <v>44540.666666666599</v>
      </c>
      <c r="B1750" s="1">
        <f ca="1">IFERROR(__xludf.DUMMYFUNCTION("""COMPUTED_VALUE"""),175.42)</f>
        <v>175.42</v>
      </c>
      <c r="C1750" s="1">
        <f ca="1">IFERROR(__xludf.DUMMYFUNCTION("""COMPUTED_VALUE"""),175.93)</f>
        <v>175.93</v>
      </c>
      <c r="D1750" s="1">
        <f ca="1">IFERROR(__xludf.DUMMYFUNCTION("""COMPUTED_VALUE"""),170.5)</f>
        <v>170.5</v>
      </c>
      <c r="E1750" s="1">
        <f ca="1">IFERROR(__xludf.DUMMYFUNCTION("""COMPUTED_VALUE"""),172.21)</f>
        <v>172.21</v>
      </c>
      <c r="F1750" s="1">
        <f ca="1">IFERROR(__xludf.DUMMYFUNCTION("""COMPUTED_VALUE"""),3034488)</f>
        <v>3034488</v>
      </c>
    </row>
    <row r="1751" spans="1:6" x14ac:dyDescent="0.35">
      <c r="A1751" s="2">
        <f ca="1">IFERROR(__xludf.DUMMYFUNCTION("""COMPUTED_VALUE"""),44543.6666666666)</f>
        <v>44543.666666666599</v>
      </c>
      <c r="B1751" s="1">
        <f ca="1">IFERROR(__xludf.DUMMYFUNCTION("""COMPUTED_VALUE"""),172)</f>
        <v>172</v>
      </c>
      <c r="C1751" s="1">
        <f ca="1">IFERROR(__xludf.DUMMYFUNCTION("""COMPUTED_VALUE"""),172.1)</f>
        <v>172.1</v>
      </c>
      <c r="D1751" s="1">
        <f ca="1">IFERROR(__xludf.DUMMYFUNCTION("""COMPUTED_VALUE"""),169.13)</f>
        <v>169.13</v>
      </c>
      <c r="E1751" s="1">
        <f ca="1">IFERROR(__xludf.DUMMYFUNCTION("""COMPUTED_VALUE"""),169.57)</f>
        <v>169.57</v>
      </c>
      <c r="F1751" s="1">
        <f ca="1">IFERROR(__xludf.DUMMYFUNCTION("""COMPUTED_VALUE"""),3108450)</f>
        <v>3108450</v>
      </c>
    </row>
    <row r="1752" spans="1:6" x14ac:dyDescent="0.35">
      <c r="A1752" s="2">
        <f ca="1">IFERROR(__xludf.DUMMYFUNCTION("""COMPUTED_VALUE"""),44544.6666666666)</f>
        <v>44544.666666666599</v>
      </c>
      <c r="B1752" s="1">
        <f ca="1">IFERROR(__xludf.DUMMYFUNCTION("""COMPUTED_VALUE"""),167.55)</f>
        <v>167.55</v>
      </c>
      <c r="C1752" s="1">
        <f ca="1">IFERROR(__xludf.DUMMYFUNCTION("""COMPUTED_VALUE"""),169.5)</f>
        <v>169.5</v>
      </c>
      <c r="D1752" s="1">
        <f ca="1">IFERROR(__xludf.DUMMYFUNCTION("""COMPUTED_VALUE"""),166.44)</f>
        <v>166.44</v>
      </c>
      <c r="E1752" s="1">
        <f ca="1">IFERROR(__xludf.DUMMYFUNCTION("""COMPUTED_VALUE"""),169.09)</f>
        <v>169.09</v>
      </c>
      <c r="F1752" s="1">
        <f ca="1">IFERROR(__xludf.DUMMYFUNCTION("""COMPUTED_VALUE"""),2798764)</f>
        <v>2798764</v>
      </c>
    </row>
    <row r="1753" spans="1:6" x14ac:dyDescent="0.35">
      <c r="A1753" s="2">
        <f ca="1">IFERROR(__xludf.DUMMYFUNCTION("""COMPUTED_VALUE"""),44545.6666666666)</f>
        <v>44545.666666666599</v>
      </c>
      <c r="B1753" s="1">
        <f ca="1">IFERROR(__xludf.DUMMYFUNCTION("""COMPUTED_VALUE"""),168.6)</f>
        <v>168.6</v>
      </c>
      <c r="C1753" s="1">
        <f ca="1">IFERROR(__xludf.DUMMYFUNCTION("""COMPUTED_VALUE"""),173.6)</f>
        <v>173.6</v>
      </c>
      <c r="D1753" s="1">
        <f ca="1">IFERROR(__xludf.DUMMYFUNCTION("""COMPUTED_VALUE"""),165.2)</f>
        <v>165.2</v>
      </c>
      <c r="E1753" s="1">
        <f ca="1">IFERROR(__xludf.DUMMYFUNCTION("""COMPUTED_VALUE"""),173.32)</f>
        <v>173.32</v>
      </c>
      <c r="F1753" s="1">
        <f ca="1">IFERROR(__xludf.DUMMYFUNCTION("""COMPUTED_VALUE"""),3789713)</f>
        <v>3789713</v>
      </c>
    </row>
    <row r="1754" spans="1:6" x14ac:dyDescent="0.35">
      <c r="A1754" s="2">
        <f ca="1">IFERROR(__xludf.DUMMYFUNCTION("""COMPUTED_VALUE"""),44546.6666666666)</f>
        <v>44546.666666666599</v>
      </c>
      <c r="B1754" s="1">
        <f ca="1">IFERROR(__xludf.DUMMYFUNCTION("""COMPUTED_VALUE"""),173.37)</f>
        <v>173.37</v>
      </c>
      <c r="C1754" s="1">
        <f ca="1">IFERROR(__xludf.DUMMYFUNCTION("""COMPUTED_VALUE"""),174.17)</f>
        <v>174.17</v>
      </c>
      <c r="D1754" s="1">
        <f ca="1">IFERROR(__xludf.DUMMYFUNCTION("""COMPUTED_VALUE"""),168.16)</f>
        <v>168.16</v>
      </c>
      <c r="E1754" s="1">
        <f ca="1">IFERROR(__xludf.DUMMYFUNCTION("""COMPUTED_VALUE"""),168.87)</f>
        <v>168.87</v>
      </c>
      <c r="F1754" s="1">
        <f ca="1">IFERROR(__xludf.DUMMYFUNCTION("""COMPUTED_VALUE"""),3043842)</f>
        <v>3043842</v>
      </c>
    </row>
    <row r="1755" spans="1:6" x14ac:dyDescent="0.35">
      <c r="A1755" s="2">
        <f ca="1">IFERROR(__xludf.DUMMYFUNCTION("""COMPUTED_VALUE"""),44547.6666666666)</f>
        <v>44547.666666666599</v>
      </c>
      <c r="B1755" s="1">
        <f ca="1">IFERROR(__xludf.DUMMYFUNCTION("""COMPUTED_VALUE"""),167.71)</f>
        <v>167.71</v>
      </c>
      <c r="C1755" s="1">
        <f ca="1">IFERROR(__xludf.DUMMYFUNCTION("""COMPUTED_VALUE"""),170.9)</f>
        <v>170.9</v>
      </c>
      <c r="D1755" s="1">
        <f ca="1">IFERROR(__xludf.DUMMYFUNCTION("""COMPUTED_VALUE"""),165.61)</f>
        <v>165.61</v>
      </c>
      <c r="E1755" s="1">
        <f ca="1">IFERROR(__xludf.DUMMYFUNCTION("""COMPUTED_VALUE"""),170.02)</f>
        <v>170.02</v>
      </c>
      <c r="F1755" s="1">
        <f ca="1">IFERROR(__xludf.DUMMYFUNCTION("""COMPUTED_VALUE"""),4287758)</f>
        <v>4287758</v>
      </c>
    </row>
    <row r="1756" spans="1:6" x14ac:dyDescent="0.35">
      <c r="A1756" s="2">
        <f ca="1">IFERROR(__xludf.DUMMYFUNCTION("""COMPUTED_VALUE"""),44550.6666666666)</f>
        <v>44550.666666666599</v>
      </c>
      <c r="B1756" s="1">
        <f ca="1">IFERROR(__xludf.DUMMYFUNCTION("""COMPUTED_VALUE"""),166.85)</f>
        <v>166.85</v>
      </c>
      <c r="C1756" s="1">
        <f ca="1">IFERROR(__xludf.DUMMYFUNCTION("""COMPUTED_VALUE"""),167.87)</f>
        <v>167.87</v>
      </c>
      <c r="D1756" s="1">
        <f ca="1">IFERROR(__xludf.DUMMYFUNCTION("""COMPUTED_VALUE"""),165.6)</f>
        <v>165.6</v>
      </c>
      <c r="E1756" s="1">
        <f ca="1">IFERROR(__xludf.DUMMYFUNCTION("""COMPUTED_VALUE"""),167.08)</f>
        <v>167.08</v>
      </c>
      <c r="F1756" s="1">
        <f ca="1">IFERROR(__xludf.DUMMYFUNCTION("""COMPUTED_VALUE"""),2868633)</f>
        <v>2868633</v>
      </c>
    </row>
    <row r="1757" spans="1:6" x14ac:dyDescent="0.35">
      <c r="A1757" s="2">
        <f ca="1">IFERROR(__xludf.DUMMYFUNCTION("""COMPUTED_VALUE"""),44551.6666666666)</f>
        <v>44551.666666666599</v>
      </c>
      <c r="B1757" s="1">
        <f ca="1">IFERROR(__xludf.DUMMYFUNCTION("""COMPUTED_VALUE"""),167.85)</f>
        <v>167.85</v>
      </c>
      <c r="C1757" s="1">
        <f ca="1">IFERROR(__xludf.DUMMYFUNCTION("""COMPUTED_VALUE"""),170.72)</f>
        <v>170.72</v>
      </c>
      <c r="D1757" s="1">
        <f ca="1">IFERROR(__xludf.DUMMYFUNCTION("""COMPUTED_VALUE"""),165.65)</f>
        <v>165.65</v>
      </c>
      <c r="E1757" s="1">
        <f ca="1">IFERROR(__xludf.DUMMYFUNCTION("""COMPUTED_VALUE"""),170.42)</f>
        <v>170.42</v>
      </c>
      <c r="F1757" s="1">
        <f ca="1">IFERROR(__xludf.DUMMYFUNCTION("""COMPUTED_VALUE"""),2797791)</f>
        <v>2797791</v>
      </c>
    </row>
    <row r="1758" spans="1:6" x14ac:dyDescent="0.35">
      <c r="A1758" s="2">
        <f ca="1">IFERROR(__xludf.DUMMYFUNCTION("""COMPUTED_VALUE"""),44552.6666666666)</f>
        <v>44552.666666666599</v>
      </c>
      <c r="B1758" s="1">
        <f ca="1">IFERROR(__xludf.DUMMYFUNCTION("""COMPUTED_VALUE"""),169.27)</f>
        <v>169.27</v>
      </c>
      <c r="C1758" s="1">
        <f ca="1">IFERROR(__xludf.DUMMYFUNCTION("""COMPUTED_VALUE"""),172.05)</f>
        <v>172.05</v>
      </c>
      <c r="D1758" s="1">
        <f ca="1">IFERROR(__xludf.DUMMYFUNCTION("""COMPUTED_VALUE"""),168.5)</f>
        <v>168.5</v>
      </c>
      <c r="E1758" s="1">
        <f ca="1">IFERROR(__xludf.DUMMYFUNCTION("""COMPUTED_VALUE"""),171.04)</f>
        <v>171.04</v>
      </c>
      <c r="F1758" s="1">
        <f ca="1">IFERROR(__xludf.DUMMYFUNCTION("""COMPUTED_VALUE"""),2751773)</f>
        <v>2751773</v>
      </c>
    </row>
    <row r="1759" spans="1:6" x14ac:dyDescent="0.35">
      <c r="A1759" s="2">
        <f ca="1">IFERROR(__xludf.DUMMYFUNCTION("""COMPUTED_VALUE"""),44553.6666666666)</f>
        <v>44553.666666666599</v>
      </c>
      <c r="B1759" s="1">
        <f ca="1">IFERROR(__xludf.DUMMYFUNCTION("""COMPUTED_VALUE"""),170.43)</f>
        <v>170.43</v>
      </c>
      <c r="C1759" s="1">
        <f ca="1">IFERROR(__xludf.DUMMYFUNCTION("""COMPUTED_VALUE"""),171.98)</f>
        <v>171.98</v>
      </c>
      <c r="D1759" s="1">
        <f ca="1">IFERROR(__xludf.DUMMYFUNCTION("""COMPUTED_VALUE"""),170.15)</f>
        <v>170.15</v>
      </c>
      <c r="E1759" s="1">
        <f ca="1">IFERROR(__xludf.DUMMYFUNCTION("""COMPUTED_VALUE"""),171.07)</f>
        <v>171.07</v>
      </c>
      <c r="F1759" s="1">
        <f ca="1">IFERROR(__xludf.DUMMYFUNCTION("""COMPUTED_VALUE"""),1839412)</f>
        <v>1839412</v>
      </c>
    </row>
    <row r="1760" spans="1:6" x14ac:dyDescent="0.35">
      <c r="A1760" s="2">
        <f ca="1">IFERROR(__xludf.DUMMYFUNCTION("""COMPUTED_VALUE"""),44557.6666666666)</f>
        <v>44557.666666666599</v>
      </c>
      <c r="B1760" s="1">
        <f ca="1">IFERROR(__xludf.DUMMYFUNCTION("""COMPUTED_VALUE"""),171.04)</f>
        <v>171.04</v>
      </c>
      <c r="C1760" s="1">
        <f ca="1">IFERROR(__xludf.DUMMYFUNCTION("""COMPUTED_VALUE"""),172.94)</f>
        <v>172.94</v>
      </c>
      <c r="D1760" s="1">
        <f ca="1">IFERROR(__xludf.DUMMYFUNCTION("""COMPUTED_VALUE"""),169.22)</f>
        <v>169.22</v>
      </c>
      <c r="E1760" s="1">
        <f ca="1">IFERROR(__xludf.DUMMYFUNCTION("""COMPUTED_VALUE"""),169.67)</f>
        <v>169.67</v>
      </c>
      <c r="F1760" s="1">
        <f ca="1">IFERROR(__xludf.DUMMYFUNCTION("""COMPUTED_VALUE"""),2942341)</f>
        <v>2942341</v>
      </c>
    </row>
    <row r="1761" spans="1:6" x14ac:dyDescent="0.35">
      <c r="A1761" s="2">
        <f ca="1">IFERROR(__xludf.DUMMYFUNCTION("""COMPUTED_VALUE"""),44558.6666666666)</f>
        <v>44558.666666666599</v>
      </c>
      <c r="B1761" s="1">
        <f ca="1">IFERROR(__xludf.DUMMYFUNCTION("""COMPUTED_VALUE"""),170.18)</f>
        <v>170.18</v>
      </c>
      <c r="C1761" s="1">
        <f ca="1">IFERROR(__xludf.DUMMYFUNCTION("""COMPUTED_VALUE"""),172.18)</f>
        <v>172.18</v>
      </c>
      <c r="D1761" s="1">
        <f ca="1">IFERROR(__xludf.DUMMYFUNCTION("""COMPUTED_VALUE"""),169.14)</f>
        <v>169.14</v>
      </c>
      <c r="E1761" s="1">
        <f ca="1">IFERROR(__xludf.DUMMYFUNCTION("""COMPUTED_VALUE"""),170.66)</f>
        <v>170.66</v>
      </c>
      <c r="F1761" s="1">
        <f ca="1">IFERROR(__xludf.DUMMYFUNCTION("""COMPUTED_VALUE"""),2735593)</f>
        <v>2735593</v>
      </c>
    </row>
    <row r="1762" spans="1:6" x14ac:dyDescent="0.35">
      <c r="A1762" s="2">
        <f ca="1">IFERROR(__xludf.DUMMYFUNCTION("""COMPUTED_VALUE"""),44559.6666666666)</f>
        <v>44559.666666666599</v>
      </c>
      <c r="B1762" s="1">
        <f ca="1">IFERROR(__xludf.DUMMYFUNCTION("""COMPUTED_VALUE"""),170.84)</f>
        <v>170.84</v>
      </c>
      <c r="C1762" s="1">
        <f ca="1">IFERROR(__xludf.DUMMYFUNCTION("""COMPUTED_VALUE"""),171.21)</f>
        <v>171.21</v>
      </c>
      <c r="D1762" s="1">
        <f ca="1">IFERROR(__xludf.DUMMYFUNCTION("""COMPUTED_VALUE"""),168.6)</f>
        <v>168.6</v>
      </c>
      <c r="E1762" s="1">
        <f ca="1">IFERROR(__xludf.DUMMYFUNCTION("""COMPUTED_VALUE"""),169.2)</f>
        <v>169.2</v>
      </c>
      <c r="F1762" s="1">
        <f ca="1">IFERROR(__xludf.DUMMYFUNCTION("""COMPUTED_VALUE"""),1787702)</f>
        <v>1787702</v>
      </c>
    </row>
    <row r="1763" spans="1:6" x14ac:dyDescent="0.35">
      <c r="A1763" s="2">
        <f ca="1">IFERROR(__xludf.DUMMYFUNCTION("""COMPUTED_VALUE"""),44560.6666666666)</f>
        <v>44560.666666666599</v>
      </c>
      <c r="B1763" s="1">
        <f ca="1">IFERROR(__xludf.DUMMYFUNCTION("""COMPUTED_VALUE"""),169.7)</f>
        <v>169.7</v>
      </c>
      <c r="C1763" s="1">
        <f ca="1">IFERROR(__xludf.DUMMYFUNCTION("""COMPUTED_VALUE"""),170.89)</f>
        <v>170.89</v>
      </c>
      <c r="D1763" s="1">
        <f ca="1">IFERROR(__xludf.DUMMYFUNCTION("""COMPUTED_VALUE"""),168.52)</f>
        <v>168.52</v>
      </c>
      <c r="E1763" s="1">
        <f ca="1">IFERROR(__xludf.DUMMYFUNCTION("""COMPUTED_VALUE"""),168.64)</f>
        <v>168.64</v>
      </c>
      <c r="F1763" s="1">
        <f ca="1">IFERROR(__xludf.DUMMYFUNCTION("""COMPUTED_VALUE"""),1879155)</f>
        <v>1879155</v>
      </c>
    </row>
    <row r="1764" spans="1:6" x14ac:dyDescent="0.35">
      <c r="A1764" s="2">
        <f ca="1">IFERROR(__xludf.DUMMYFUNCTION("""COMPUTED_VALUE"""),44561.6666666666)</f>
        <v>44561.666666666599</v>
      </c>
      <c r="B1764" s="1">
        <f ca="1">IFERROR(__xludf.DUMMYFUNCTION("""COMPUTED_VALUE"""),168.96)</f>
        <v>168.96</v>
      </c>
      <c r="C1764" s="1">
        <f ca="1">IFERROR(__xludf.DUMMYFUNCTION("""COMPUTED_VALUE"""),169.35)</f>
        <v>169.35</v>
      </c>
      <c r="D1764" s="1">
        <f ca="1">IFERROR(__xludf.DUMMYFUNCTION("""COMPUTED_VALUE"""),166.56)</f>
        <v>166.56</v>
      </c>
      <c r="E1764" s="1">
        <f ca="1">IFERROR(__xludf.DUMMYFUNCTION("""COMPUTED_VALUE"""),166.72)</f>
        <v>166.72</v>
      </c>
      <c r="F1764" s="1">
        <f ca="1">IFERROR(__xludf.DUMMYFUNCTION("""COMPUTED_VALUE"""),2391519)</f>
        <v>2391519</v>
      </c>
    </row>
    <row r="1765" spans="1:6" x14ac:dyDescent="0.35">
      <c r="A1765" s="2">
        <f ca="1">IFERROR(__xludf.DUMMYFUNCTION("""COMPUTED_VALUE"""),44564.6666666666)</f>
        <v>44564.666666666599</v>
      </c>
      <c r="B1765" s="1">
        <f ca="1">IFERROR(__xludf.DUMMYFUNCTION("""COMPUTED_VALUE"""),167.55)</f>
        <v>167.55</v>
      </c>
      <c r="C1765" s="1">
        <f ca="1">IFERROR(__xludf.DUMMYFUNCTION("""COMPUTED_VALUE"""),170.7)</f>
        <v>170.7</v>
      </c>
      <c r="D1765" s="1">
        <f ca="1">IFERROR(__xludf.DUMMYFUNCTION("""COMPUTED_VALUE"""),166.16)</f>
        <v>166.16</v>
      </c>
      <c r="E1765" s="1">
        <f ca="1">IFERROR(__xludf.DUMMYFUNCTION("""COMPUTED_VALUE"""),170.4)</f>
        <v>170.4</v>
      </c>
      <c r="F1765" s="1">
        <f ca="1">IFERROR(__xludf.DUMMYFUNCTION("""COMPUTED_VALUE"""),3193457)</f>
        <v>3193457</v>
      </c>
    </row>
    <row r="1766" spans="1:6" x14ac:dyDescent="0.35">
      <c r="A1766" s="2">
        <f ca="1">IFERROR(__xludf.DUMMYFUNCTION("""COMPUTED_VALUE"""),44565.6666666666)</f>
        <v>44565.666666666599</v>
      </c>
      <c r="B1766" s="1">
        <f ca="1">IFERROR(__xludf.DUMMYFUNCTION("""COMPUTED_VALUE"""),170.44)</f>
        <v>170.44</v>
      </c>
      <c r="C1766" s="1">
        <f ca="1">IFERROR(__xludf.DUMMYFUNCTION("""COMPUTED_VALUE"""),171.4)</f>
        <v>171.4</v>
      </c>
      <c r="D1766" s="1">
        <f ca="1">IFERROR(__xludf.DUMMYFUNCTION("""COMPUTED_VALUE"""),166.35)</f>
        <v>166.35</v>
      </c>
      <c r="E1766" s="1">
        <f ca="1">IFERROR(__xludf.DUMMYFUNCTION("""COMPUTED_VALUE"""),167.52)</f>
        <v>167.52</v>
      </c>
      <c r="F1766" s="1">
        <f ca="1">IFERROR(__xludf.DUMMYFUNCTION("""COMPUTED_VALUE"""),3536258)</f>
        <v>3536258</v>
      </c>
    </row>
    <row r="1767" spans="1:6" x14ac:dyDescent="0.35">
      <c r="A1767" s="2">
        <f ca="1">IFERROR(__xludf.DUMMYFUNCTION("""COMPUTED_VALUE"""),44566.6666666666)</f>
        <v>44566.666666666599</v>
      </c>
      <c r="B1767" s="1">
        <f ca="1">IFERROR(__xludf.DUMMYFUNCTION("""COMPUTED_VALUE"""),166.88)</f>
        <v>166.88</v>
      </c>
      <c r="C1767" s="1">
        <f ca="1">IFERROR(__xludf.DUMMYFUNCTION("""COMPUTED_VALUE"""),167.13)</f>
        <v>167.13</v>
      </c>
      <c r="D1767" s="1">
        <f ca="1">IFERROR(__xludf.DUMMYFUNCTION("""COMPUTED_VALUE"""),164.36)</f>
        <v>164.36</v>
      </c>
      <c r="E1767" s="1">
        <f ca="1">IFERROR(__xludf.DUMMYFUNCTION("""COMPUTED_VALUE"""),164.36)</f>
        <v>164.36</v>
      </c>
      <c r="F1767" s="1">
        <f ca="1">IFERROR(__xludf.DUMMYFUNCTION("""COMPUTED_VALUE"""),3215136)</f>
        <v>3215136</v>
      </c>
    </row>
    <row r="1768" spans="1:6" x14ac:dyDescent="0.35">
      <c r="A1768" s="2">
        <f ca="1">IFERROR(__xludf.DUMMYFUNCTION("""COMPUTED_VALUE"""),44567.6666666666)</f>
        <v>44567.666666666599</v>
      </c>
      <c r="B1768" s="1">
        <f ca="1">IFERROR(__xludf.DUMMYFUNCTION("""COMPUTED_VALUE"""),163.45)</f>
        <v>163.44999999999999</v>
      </c>
      <c r="C1768" s="1">
        <f ca="1">IFERROR(__xludf.DUMMYFUNCTION("""COMPUTED_VALUE"""),164.8)</f>
        <v>164.8</v>
      </c>
      <c r="D1768" s="1">
        <f ca="1">IFERROR(__xludf.DUMMYFUNCTION("""COMPUTED_VALUE"""),161.94)</f>
        <v>161.94</v>
      </c>
      <c r="E1768" s="1">
        <f ca="1">IFERROR(__xludf.DUMMYFUNCTION("""COMPUTED_VALUE"""),163.25)</f>
        <v>163.25</v>
      </c>
      <c r="F1768" s="1">
        <f ca="1">IFERROR(__xludf.DUMMYFUNCTION("""COMPUTED_VALUE"""),2597889)</f>
        <v>2597889</v>
      </c>
    </row>
    <row r="1769" spans="1:6" x14ac:dyDescent="0.35">
      <c r="A1769" s="2">
        <f ca="1">IFERROR(__xludf.DUMMYFUNCTION("""COMPUTED_VALUE"""),44568.6666666666)</f>
        <v>44568.666666666599</v>
      </c>
      <c r="B1769" s="1">
        <f ca="1">IFERROR(__xludf.DUMMYFUNCTION("""COMPUTED_VALUE"""),163.84)</f>
        <v>163.84</v>
      </c>
      <c r="C1769" s="1">
        <f ca="1">IFERROR(__xludf.DUMMYFUNCTION("""COMPUTED_VALUE"""),165.24)</f>
        <v>165.24</v>
      </c>
      <c r="D1769" s="1">
        <f ca="1">IFERROR(__xludf.DUMMYFUNCTION("""COMPUTED_VALUE"""),162.03)</f>
        <v>162.03</v>
      </c>
      <c r="E1769" s="1">
        <f ca="1">IFERROR(__xludf.DUMMYFUNCTION("""COMPUTED_VALUE"""),162.55)</f>
        <v>162.55000000000001</v>
      </c>
      <c r="F1769" s="1">
        <f ca="1">IFERROR(__xludf.DUMMYFUNCTION("""COMPUTED_VALUE"""),2330295)</f>
        <v>2330295</v>
      </c>
    </row>
    <row r="1770" spans="1:6" x14ac:dyDescent="0.35">
      <c r="A1770" s="2">
        <f ca="1">IFERROR(__xludf.DUMMYFUNCTION("""COMPUTED_VALUE"""),44571.6666666666)</f>
        <v>44571.666666666599</v>
      </c>
      <c r="B1770" s="1">
        <f ca="1">IFERROR(__xludf.DUMMYFUNCTION("""COMPUTED_VALUE"""),160.59)</f>
        <v>160.59</v>
      </c>
      <c r="C1770" s="1">
        <f ca="1">IFERROR(__xludf.DUMMYFUNCTION("""COMPUTED_VALUE"""),161.66)</f>
        <v>161.66</v>
      </c>
      <c r="D1770" s="1">
        <f ca="1">IFERROR(__xludf.DUMMYFUNCTION("""COMPUTED_VALUE"""),156.3)</f>
        <v>156.30000000000001</v>
      </c>
      <c r="E1770" s="1">
        <f ca="1">IFERROR(__xludf.DUMMYFUNCTION("""COMPUTED_VALUE"""),161.49)</f>
        <v>161.49</v>
      </c>
      <c r="F1770" s="1">
        <f ca="1">IFERROR(__xludf.DUMMYFUNCTION("""COMPUTED_VALUE"""),4389915)</f>
        <v>4389915</v>
      </c>
    </row>
    <row r="1771" spans="1:6" x14ac:dyDescent="0.35">
      <c r="A1771" s="2">
        <f ca="1">IFERROR(__xludf.DUMMYFUNCTION("""COMPUTED_VALUE"""),44572.6666666666)</f>
        <v>44572.666666666599</v>
      </c>
      <c r="B1771" s="1">
        <f ca="1">IFERROR(__xludf.DUMMYFUNCTION("""COMPUTED_VALUE"""),161.5)</f>
        <v>161.5</v>
      </c>
      <c r="C1771" s="1">
        <f ca="1">IFERROR(__xludf.DUMMYFUNCTION("""COMPUTED_VALUE"""),166.35)</f>
        <v>166.35</v>
      </c>
      <c r="D1771" s="1">
        <f ca="1">IFERROR(__xludf.DUMMYFUNCTION("""COMPUTED_VALUE"""),160.7)</f>
        <v>160.69999999999999</v>
      </c>
      <c r="E1771" s="1">
        <f ca="1">IFERROR(__xludf.DUMMYFUNCTION("""COMPUTED_VALUE"""),165.36)</f>
        <v>165.36</v>
      </c>
      <c r="F1771" s="1">
        <f ca="1">IFERROR(__xludf.DUMMYFUNCTION("""COMPUTED_VALUE"""),3140279)</f>
        <v>3140279</v>
      </c>
    </row>
    <row r="1772" spans="1:6" x14ac:dyDescent="0.35">
      <c r="A1772" s="2">
        <f ca="1">IFERROR(__xludf.DUMMYFUNCTION("""COMPUTED_VALUE"""),44573.6666666666)</f>
        <v>44573.666666666599</v>
      </c>
      <c r="B1772" s="1">
        <f ca="1">IFERROR(__xludf.DUMMYFUNCTION("""COMPUTED_VALUE"""),166.58)</f>
        <v>166.58</v>
      </c>
      <c r="C1772" s="1">
        <f ca="1">IFERROR(__xludf.DUMMYFUNCTION("""COMPUTED_VALUE"""),166.88)</f>
        <v>166.88</v>
      </c>
      <c r="D1772" s="1">
        <f ca="1">IFERROR(__xludf.DUMMYFUNCTION("""COMPUTED_VALUE"""),164.42)</f>
        <v>164.42</v>
      </c>
      <c r="E1772" s="1">
        <f ca="1">IFERROR(__xludf.DUMMYFUNCTION("""COMPUTED_VALUE"""),165.21)</f>
        <v>165.21</v>
      </c>
      <c r="F1772" s="1">
        <f ca="1">IFERROR(__xludf.DUMMYFUNCTION("""COMPUTED_VALUE"""),2501456)</f>
        <v>2501456</v>
      </c>
    </row>
    <row r="1773" spans="1:6" x14ac:dyDescent="0.35">
      <c r="A1773" s="2">
        <f ca="1">IFERROR(__xludf.DUMMYFUNCTION("""COMPUTED_VALUE"""),44574.6666666666)</f>
        <v>44574.666666666599</v>
      </c>
      <c r="B1773" s="1">
        <f ca="1">IFERROR(__xludf.DUMMYFUNCTION("""COMPUTED_VALUE"""),165.25)</f>
        <v>165.25</v>
      </c>
      <c r="C1773" s="1">
        <f ca="1">IFERROR(__xludf.DUMMYFUNCTION("""COMPUTED_VALUE"""),166.22)</f>
        <v>166.22</v>
      </c>
      <c r="D1773" s="1">
        <f ca="1">IFERROR(__xludf.DUMMYFUNCTION("""COMPUTED_VALUE"""),161.09)</f>
        <v>161.09</v>
      </c>
      <c r="E1773" s="1">
        <f ca="1">IFERROR(__xludf.DUMMYFUNCTION("""COMPUTED_VALUE"""),161.21)</f>
        <v>161.21</v>
      </c>
      <c r="F1773" s="1">
        <f ca="1">IFERROR(__xludf.DUMMYFUNCTION("""COMPUTED_VALUE"""),2609415)</f>
        <v>2609415</v>
      </c>
    </row>
    <row r="1774" spans="1:6" x14ac:dyDescent="0.35">
      <c r="A1774" s="2">
        <f ca="1">IFERROR(__xludf.DUMMYFUNCTION("""COMPUTED_VALUE"""),44575.6666666666)</f>
        <v>44575.666666666599</v>
      </c>
      <c r="B1774" s="1">
        <f ca="1">IFERROR(__xludf.DUMMYFUNCTION("""COMPUTED_VALUE"""),160.15)</f>
        <v>160.15</v>
      </c>
      <c r="C1774" s="1">
        <f ca="1">IFERROR(__xludf.DUMMYFUNCTION("""COMPUTED_VALUE"""),162.25)</f>
        <v>162.25</v>
      </c>
      <c r="D1774" s="1">
        <f ca="1">IFERROR(__xludf.DUMMYFUNCTION("""COMPUTED_VALUE"""),159.8)</f>
        <v>159.80000000000001</v>
      </c>
      <c r="E1774" s="1">
        <f ca="1">IFERROR(__xludf.DUMMYFUNCTION("""COMPUTED_VALUE"""),162.14)</f>
        <v>162.13999999999999</v>
      </c>
      <c r="F1774" s="1">
        <f ca="1">IFERROR(__xludf.DUMMYFUNCTION("""COMPUTED_VALUE"""),2298743)</f>
        <v>2298743</v>
      </c>
    </row>
    <row r="1775" spans="1:6" x14ac:dyDescent="0.35">
      <c r="A1775" s="2">
        <f ca="1">IFERROR(__xludf.DUMMYFUNCTION("""COMPUTED_VALUE"""),44579.6666666666)</f>
        <v>44579.666666666599</v>
      </c>
      <c r="B1775" s="1">
        <f ca="1">IFERROR(__xludf.DUMMYFUNCTION("""COMPUTED_VALUE"""),159.1)</f>
        <v>159.1</v>
      </c>
      <c r="C1775" s="1">
        <f ca="1">IFERROR(__xludf.DUMMYFUNCTION("""COMPUTED_VALUE"""),159.73)</f>
        <v>159.72999999999999</v>
      </c>
      <c r="D1775" s="1">
        <f ca="1">IFERROR(__xludf.DUMMYFUNCTION("""COMPUTED_VALUE"""),157.66)</f>
        <v>157.66</v>
      </c>
      <c r="E1775" s="1">
        <f ca="1">IFERROR(__xludf.DUMMYFUNCTION("""COMPUTED_VALUE"""),158.92)</f>
        <v>158.91999999999999</v>
      </c>
      <c r="F1775" s="1">
        <f ca="1">IFERROR(__xludf.DUMMYFUNCTION("""COMPUTED_VALUE"""),3372072)</f>
        <v>3372072</v>
      </c>
    </row>
    <row r="1776" spans="1:6" x14ac:dyDescent="0.35">
      <c r="A1776" s="2">
        <f ca="1">IFERROR(__xludf.DUMMYFUNCTION("""COMPUTED_VALUE"""),44580.6666666666)</f>
        <v>44580.666666666599</v>
      </c>
      <c r="B1776" s="1">
        <f ca="1">IFERROR(__xludf.DUMMYFUNCTION("""COMPUTED_VALUE"""),158.76)</f>
        <v>158.76</v>
      </c>
      <c r="C1776" s="1">
        <f ca="1">IFERROR(__xludf.DUMMYFUNCTION("""COMPUTED_VALUE"""),159.25)</f>
        <v>159.25</v>
      </c>
      <c r="D1776" s="1">
        <f ca="1">IFERROR(__xludf.DUMMYFUNCTION("""COMPUTED_VALUE"""),156.25)</f>
        <v>156.25</v>
      </c>
      <c r="E1776" s="1">
        <f ca="1">IFERROR(__xludf.DUMMYFUNCTION("""COMPUTED_VALUE"""),156.3)</f>
        <v>156.30000000000001</v>
      </c>
      <c r="F1776" s="1">
        <f ca="1">IFERROR(__xludf.DUMMYFUNCTION("""COMPUTED_VALUE"""),2662096)</f>
        <v>2662096</v>
      </c>
    </row>
    <row r="1777" spans="1:6" x14ac:dyDescent="0.35">
      <c r="A1777" s="2">
        <f ca="1">IFERROR(__xludf.DUMMYFUNCTION("""COMPUTED_VALUE"""),44581.6666666666)</f>
        <v>44581.666666666599</v>
      </c>
      <c r="B1777" s="1">
        <f ca="1">IFERROR(__xludf.DUMMYFUNCTION("""COMPUTED_VALUE"""),156.77)</f>
        <v>156.77000000000001</v>
      </c>
      <c r="C1777" s="1">
        <f ca="1">IFERROR(__xludf.DUMMYFUNCTION("""COMPUTED_VALUE"""),158)</f>
        <v>158</v>
      </c>
      <c r="D1777" s="1">
        <f ca="1">IFERROR(__xludf.DUMMYFUNCTION("""COMPUTED_VALUE"""),151.35)</f>
        <v>151.35</v>
      </c>
      <c r="E1777" s="1">
        <f ca="1">IFERROR(__xludf.DUMMYFUNCTION("""COMPUTED_VALUE"""),151.67)</f>
        <v>151.66999999999999</v>
      </c>
      <c r="F1777" s="1">
        <f ca="1">IFERROR(__xludf.DUMMYFUNCTION("""COMPUTED_VALUE"""),3598666)</f>
        <v>3598666</v>
      </c>
    </row>
    <row r="1778" spans="1:6" x14ac:dyDescent="0.35">
      <c r="A1778" s="2">
        <f ca="1">IFERROR(__xludf.DUMMYFUNCTION("""COMPUTED_VALUE"""),44582.6666666666)</f>
        <v>44582.666666666599</v>
      </c>
      <c r="B1778" s="1">
        <f ca="1">IFERROR(__xludf.DUMMYFUNCTION("""COMPUTED_VALUE"""),149.95)</f>
        <v>149.94999999999999</v>
      </c>
      <c r="C1778" s="1">
        <f ca="1">IFERROR(__xludf.DUMMYFUNCTION("""COMPUTED_VALUE"""),150.9)</f>
        <v>150.9</v>
      </c>
      <c r="D1778" s="1">
        <f ca="1">IFERROR(__xludf.DUMMYFUNCTION("""COMPUTED_VALUE"""),142.07)</f>
        <v>142.07</v>
      </c>
      <c r="E1778" s="1">
        <f ca="1">IFERROR(__xludf.DUMMYFUNCTION("""COMPUTED_VALUE"""),142.64)</f>
        <v>142.63999999999999</v>
      </c>
      <c r="F1778" s="1">
        <f ca="1">IFERROR(__xludf.DUMMYFUNCTION("""COMPUTED_VALUE"""),8198572)</f>
        <v>8198572</v>
      </c>
    </row>
    <row r="1779" spans="1:6" x14ac:dyDescent="0.35">
      <c r="A1779" s="2">
        <f ca="1">IFERROR(__xludf.DUMMYFUNCTION("""COMPUTED_VALUE"""),44585.6666666666)</f>
        <v>44585.666666666599</v>
      </c>
      <c r="B1779" s="1">
        <f ca="1">IFERROR(__xludf.DUMMYFUNCTION("""COMPUTED_VALUE"""),139)</f>
        <v>139</v>
      </c>
      <c r="C1779" s="1">
        <f ca="1">IFERROR(__xludf.DUMMYFUNCTION("""COMPUTED_VALUE"""),144.95)</f>
        <v>144.94999999999999</v>
      </c>
      <c r="D1779" s="1">
        <f ca="1">IFERROR(__xludf.DUMMYFUNCTION("""COMPUTED_VALUE"""),135.35)</f>
        <v>135.35</v>
      </c>
      <c r="E1779" s="1">
        <f ca="1">IFERROR(__xludf.DUMMYFUNCTION("""COMPUTED_VALUE"""),144.54)</f>
        <v>144.54</v>
      </c>
      <c r="F1779" s="1">
        <f ca="1">IFERROR(__xludf.DUMMYFUNCTION("""COMPUTED_VALUE"""),7802237)</f>
        <v>7802237</v>
      </c>
    </row>
    <row r="1780" spans="1:6" x14ac:dyDescent="0.35">
      <c r="A1780" s="2">
        <f ca="1">IFERROR(__xludf.DUMMYFUNCTION("""COMPUTED_VALUE"""),44586.6666666666)</f>
        <v>44586.666666666599</v>
      </c>
      <c r="B1780" s="1">
        <f ca="1">IFERROR(__xludf.DUMMYFUNCTION("""COMPUTED_VALUE"""),142.24)</f>
        <v>142.24</v>
      </c>
      <c r="C1780" s="1">
        <f ca="1">IFERROR(__xludf.DUMMYFUNCTION("""COMPUTED_VALUE"""),143.6)</f>
        <v>143.6</v>
      </c>
      <c r="D1780" s="1">
        <f ca="1">IFERROR(__xludf.DUMMYFUNCTION("""COMPUTED_VALUE"""),138.15)</f>
        <v>138.15</v>
      </c>
      <c r="E1780" s="1">
        <f ca="1">IFERROR(__xludf.DUMMYFUNCTION("""COMPUTED_VALUE"""),139.99)</f>
        <v>139.99</v>
      </c>
      <c r="F1780" s="1">
        <f ca="1">IFERROR(__xludf.DUMMYFUNCTION("""COMPUTED_VALUE"""),4541233)</f>
        <v>4541233</v>
      </c>
    </row>
    <row r="1781" spans="1:6" x14ac:dyDescent="0.35">
      <c r="A1781" s="2">
        <f ca="1">IFERROR(__xludf.DUMMYFUNCTION("""COMPUTED_VALUE"""),44587.6666666666)</f>
        <v>44587.666666666599</v>
      </c>
      <c r="B1781" s="1">
        <f ca="1">IFERROR(__xludf.DUMMYFUNCTION("""COMPUTED_VALUE"""),144.75)</f>
        <v>144.75</v>
      </c>
      <c r="C1781" s="1">
        <f ca="1">IFERROR(__xludf.DUMMYFUNCTION("""COMPUTED_VALUE"""),145.18)</f>
        <v>145.18</v>
      </c>
      <c r="D1781" s="1">
        <f ca="1">IFERROR(__xludf.DUMMYFUNCTION("""COMPUTED_VALUE"""),137.32)</f>
        <v>137.32</v>
      </c>
      <c r="E1781" s="1">
        <f ca="1">IFERROR(__xludf.DUMMYFUNCTION("""COMPUTED_VALUE"""),138.87)</f>
        <v>138.87</v>
      </c>
      <c r="F1781" s="1">
        <f ca="1">IFERROR(__xludf.DUMMYFUNCTION("""COMPUTED_VALUE"""),4780085)</f>
        <v>4780085</v>
      </c>
    </row>
    <row r="1782" spans="1:6" x14ac:dyDescent="0.35">
      <c r="A1782" s="2">
        <f ca="1">IFERROR(__xludf.DUMMYFUNCTION("""COMPUTED_VALUE"""),44588.6666666666)</f>
        <v>44588.666666666599</v>
      </c>
      <c r="B1782" s="1">
        <f ca="1">IFERROR(__xludf.DUMMYFUNCTION("""COMPUTED_VALUE"""),140.8)</f>
        <v>140.80000000000001</v>
      </c>
      <c r="C1782" s="1">
        <f ca="1">IFERROR(__xludf.DUMMYFUNCTION("""COMPUTED_VALUE"""),144.24)</f>
        <v>144.24</v>
      </c>
      <c r="D1782" s="1">
        <f ca="1">IFERROR(__xludf.DUMMYFUNCTION("""COMPUTED_VALUE"""),139.35)</f>
        <v>139.35</v>
      </c>
      <c r="E1782" s="1">
        <f ca="1">IFERROR(__xludf.DUMMYFUNCTION("""COMPUTED_VALUE"""),139.64)</f>
        <v>139.63999999999999</v>
      </c>
      <c r="F1782" s="1">
        <f ca="1">IFERROR(__xludf.DUMMYFUNCTION("""COMPUTED_VALUE"""),3875790)</f>
        <v>3875790</v>
      </c>
    </row>
    <row r="1783" spans="1:6" x14ac:dyDescent="0.35">
      <c r="A1783" s="2">
        <f ca="1">IFERROR(__xludf.DUMMYFUNCTION("""COMPUTED_VALUE"""),44589.6666666666)</f>
        <v>44589.666666666599</v>
      </c>
      <c r="B1783" s="1">
        <f ca="1">IFERROR(__xludf.DUMMYFUNCTION("""COMPUTED_VALUE"""),140.86)</f>
        <v>140.86000000000001</v>
      </c>
      <c r="C1783" s="1">
        <f ca="1">IFERROR(__xludf.DUMMYFUNCTION("""COMPUTED_VALUE"""),144)</f>
        <v>144</v>
      </c>
      <c r="D1783" s="1">
        <f ca="1">IFERROR(__xludf.DUMMYFUNCTION("""COMPUTED_VALUE"""),137.93)</f>
        <v>137.93</v>
      </c>
      <c r="E1783" s="1">
        <f ca="1">IFERROR(__xludf.DUMMYFUNCTION("""COMPUTED_VALUE"""),143.98)</f>
        <v>143.97999999999999</v>
      </c>
      <c r="F1783" s="1">
        <f ca="1">IFERROR(__xludf.DUMMYFUNCTION("""COMPUTED_VALUE"""),3719599)</f>
        <v>3719599</v>
      </c>
    </row>
    <row r="1784" spans="1:6" x14ac:dyDescent="0.35">
      <c r="A1784" s="2">
        <f ca="1">IFERROR(__xludf.DUMMYFUNCTION("""COMPUTED_VALUE"""),44592.6666666666)</f>
        <v>44592.666666666599</v>
      </c>
      <c r="B1784" s="1">
        <f ca="1">IFERROR(__xludf.DUMMYFUNCTION("""COMPUTED_VALUE"""),144.75)</f>
        <v>144.75</v>
      </c>
      <c r="C1784" s="1">
        <f ca="1">IFERROR(__xludf.DUMMYFUNCTION("""COMPUTED_VALUE"""),150.36)</f>
        <v>150.36000000000001</v>
      </c>
      <c r="D1784" s="1">
        <f ca="1">IFERROR(__xludf.DUMMYFUNCTION("""COMPUTED_VALUE"""),144.3)</f>
        <v>144.30000000000001</v>
      </c>
      <c r="E1784" s="1">
        <f ca="1">IFERROR(__xludf.DUMMYFUNCTION("""COMPUTED_VALUE"""),149.57)</f>
        <v>149.57</v>
      </c>
      <c r="F1784" s="1">
        <f ca="1">IFERROR(__xludf.DUMMYFUNCTION("""COMPUTED_VALUE"""),3915372)</f>
        <v>3915372</v>
      </c>
    </row>
    <row r="1785" spans="1:6" x14ac:dyDescent="0.35">
      <c r="A1785" s="2">
        <f ca="1">IFERROR(__xludf.DUMMYFUNCTION("""COMPUTED_VALUE"""),44593.6666666666)</f>
        <v>44593.666666666599</v>
      </c>
      <c r="B1785" s="1">
        <f ca="1">IFERROR(__xludf.DUMMYFUNCTION("""COMPUTED_VALUE"""),150)</f>
        <v>150</v>
      </c>
      <c r="C1785" s="1">
        <f ca="1">IFERROR(__xludf.DUMMYFUNCTION("""COMPUTED_VALUE"""),151.71)</f>
        <v>151.71</v>
      </c>
      <c r="D1785" s="1">
        <f ca="1">IFERROR(__xludf.DUMMYFUNCTION("""COMPUTED_VALUE"""),147.63)</f>
        <v>147.63</v>
      </c>
      <c r="E1785" s="1">
        <f ca="1">IFERROR(__xludf.DUMMYFUNCTION("""COMPUTED_VALUE"""),151.19)</f>
        <v>151.19</v>
      </c>
      <c r="F1785" s="1">
        <f ca="1">IFERROR(__xludf.DUMMYFUNCTION("""COMPUTED_VALUE"""),2960992)</f>
        <v>2960992</v>
      </c>
    </row>
    <row r="1786" spans="1:6" x14ac:dyDescent="0.35">
      <c r="A1786" s="2">
        <f ca="1">IFERROR(__xludf.DUMMYFUNCTION("""COMPUTED_VALUE"""),44594.6666666666)</f>
        <v>44594.666666666599</v>
      </c>
      <c r="B1786" s="1">
        <f ca="1">IFERROR(__xludf.DUMMYFUNCTION("""COMPUTED_VALUE"""),155.05)</f>
        <v>155.05000000000001</v>
      </c>
      <c r="C1786" s="1">
        <f ca="1">IFERROR(__xludf.DUMMYFUNCTION("""COMPUTED_VALUE"""),155.07)</f>
        <v>155.07</v>
      </c>
      <c r="D1786" s="1">
        <f ca="1">IFERROR(__xludf.DUMMYFUNCTION("""COMPUTED_VALUE"""),148.86)</f>
        <v>148.86000000000001</v>
      </c>
      <c r="E1786" s="1">
        <f ca="1">IFERROR(__xludf.DUMMYFUNCTION("""COMPUTED_VALUE"""),150.61)</f>
        <v>150.61000000000001</v>
      </c>
      <c r="F1786" s="1">
        <f ca="1">IFERROR(__xludf.DUMMYFUNCTION("""COMPUTED_VALUE"""),4366488)</f>
        <v>4366488</v>
      </c>
    </row>
    <row r="1787" spans="1:6" x14ac:dyDescent="0.35">
      <c r="A1787" s="2">
        <f ca="1">IFERROR(__xludf.DUMMYFUNCTION("""COMPUTED_VALUE"""),44595.6666666666)</f>
        <v>44595.666666666599</v>
      </c>
      <c r="B1787" s="1">
        <f ca="1">IFERROR(__xludf.DUMMYFUNCTION("""COMPUTED_VALUE"""),141.74)</f>
        <v>141.74</v>
      </c>
      <c r="C1787" s="1">
        <f ca="1">IFERROR(__xludf.DUMMYFUNCTION("""COMPUTED_VALUE"""),144.25)</f>
        <v>144.25</v>
      </c>
      <c r="D1787" s="1">
        <f ca="1">IFERROR(__xludf.DUMMYFUNCTION("""COMPUTED_VALUE"""),138.33)</f>
        <v>138.33000000000001</v>
      </c>
      <c r="E1787" s="1">
        <f ca="1">IFERROR(__xludf.DUMMYFUNCTION("""COMPUTED_VALUE"""),138.85)</f>
        <v>138.85</v>
      </c>
      <c r="F1787" s="1">
        <f ca="1">IFERROR(__xludf.DUMMYFUNCTION("""COMPUTED_VALUE"""),11276568)</f>
        <v>11276568</v>
      </c>
    </row>
    <row r="1788" spans="1:6" x14ac:dyDescent="0.35">
      <c r="A1788" s="2">
        <f ca="1">IFERROR(__xludf.DUMMYFUNCTION("""COMPUTED_VALUE"""),44596.6666666666)</f>
        <v>44596.666666666599</v>
      </c>
      <c r="B1788" s="1">
        <f ca="1">IFERROR(__xludf.DUMMYFUNCTION("""COMPUTED_VALUE"""),155.61)</f>
        <v>155.61000000000001</v>
      </c>
      <c r="C1788" s="1">
        <f ca="1">IFERROR(__xludf.DUMMYFUNCTION("""COMPUTED_VALUE"""),161.2)</f>
        <v>161.19999999999999</v>
      </c>
      <c r="D1788" s="1">
        <f ca="1">IFERROR(__xludf.DUMMYFUNCTION("""COMPUTED_VALUE"""),150.61)</f>
        <v>150.61000000000001</v>
      </c>
      <c r="E1788" s="1">
        <f ca="1">IFERROR(__xludf.DUMMYFUNCTION("""COMPUTED_VALUE"""),157.64)</f>
        <v>157.63999999999999</v>
      </c>
      <c r="F1788" s="1">
        <f ca="1">IFERROR(__xludf.DUMMYFUNCTION("""COMPUTED_VALUE"""),12672793)</f>
        <v>12672793</v>
      </c>
    </row>
    <row r="1789" spans="1:6" x14ac:dyDescent="0.35">
      <c r="A1789" s="2">
        <f ca="1">IFERROR(__xludf.DUMMYFUNCTION("""COMPUTED_VALUE"""),44599.6666666666)</f>
        <v>44599.666666666599</v>
      </c>
      <c r="B1789" s="1">
        <f ca="1">IFERROR(__xludf.DUMMYFUNCTION("""COMPUTED_VALUE"""),158.52)</f>
        <v>158.52000000000001</v>
      </c>
      <c r="C1789" s="1">
        <f ca="1">IFERROR(__xludf.DUMMYFUNCTION("""COMPUTED_VALUE"""),162.69)</f>
        <v>162.69</v>
      </c>
      <c r="D1789" s="1">
        <f ca="1">IFERROR(__xludf.DUMMYFUNCTION("""COMPUTED_VALUE"""),157.25)</f>
        <v>157.25</v>
      </c>
      <c r="E1789" s="1">
        <f ca="1">IFERROR(__xludf.DUMMYFUNCTION("""COMPUTED_VALUE"""),157.94)</f>
        <v>157.94</v>
      </c>
      <c r="F1789" s="1">
        <f ca="1">IFERROR(__xludf.DUMMYFUNCTION("""COMPUTED_VALUE"""),5131219)</f>
        <v>5131219</v>
      </c>
    </row>
    <row r="1790" spans="1:6" x14ac:dyDescent="0.35">
      <c r="A1790" s="2">
        <f ca="1">IFERROR(__xludf.DUMMYFUNCTION("""COMPUTED_VALUE"""),44600.6666666666)</f>
        <v>44600.666666666599</v>
      </c>
      <c r="B1790" s="1">
        <f ca="1">IFERROR(__xludf.DUMMYFUNCTION("""COMPUTED_VALUE"""),156.75)</f>
        <v>156.75</v>
      </c>
      <c r="C1790" s="1">
        <f ca="1">IFERROR(__xludf.DUMMYFUNCTION("""COMPUTED_VALUE"""),161.79)</f>
        <v>161.79</v>
      </c>
      <c r="D1790" s="1">
        <f ca="1">IFERROR(__xludf.DUMMYFUNCTION("""COMPUTED_VALUE"""),155.55)</f>
        <v>155.55000000000001</v>
      </c>
      <c r="E1790" s="1">
        <f ca="1">IFERROR(__xludf.DUMMYFUNCTION("""COMPUTED_VALUE"""),161.41)</f>
        <v>161.41</v>
      </c>
      <c r="F1790" s="1">
        <f ca="1">IFERROR(__xludf.DUMMYFUNCTION("""COMPUTED_VALUE"""),3802018)</f>
        <v>3802018</v>
      </c>
    </row>
    <row r="1791" spans="1:6" x14ac:dyDescent="0.35">
      <c r="A1791" s="2">
        <f ca="1">IFERROR(__xludf.DUMMYFUNCTION("""COMPUTED_VALUE"""),44601.6666666666)</f>
        <v>44601.666666666599</v>
      </c>
      <c r="B1791" s="1">
        <f ca="1">IFERROR(__xludf.DUMMYFUNCTION("""COMPUTED_VALUE"""),162.87)</f>
        <v>162.87</v>
      </c>
      <c r="C1791" s="1">
        <f ca="1">IFERROR(__xludf.DUMMYFUNCTION("""COMPUTED_VALUE"""),163.83)</f>
        <v>163.83000000000001</v>
      </c>
      <c r="D1791" s="1">
        <f ca="1">IFERROR(__xludf.DUMMYFUNCTION("""COMPUTED_VALUE"""),160.25)</f>
        <v>160.25</v>
      </c>
      <c r="E1791" s="1">
        <f ca="1">IFERROR(__xludf.DUMMYFUNCTION("""COMPUTED_VALUE"""),161.19)</f>
        <v>161.19</v>
      </c>
      <c r="F1791" s="1">
        <f ca="1">IFERROR(__xludf.DUMMYFUNCTION("""COMPUTED_VALUE"""),3439280)</f>
        <v>3439280</v>
      </c>
    </row>
    <row r="1792" spans="1:6" x14ac:dyDescent="0.35">
      <c r="A1792" s="2">
        <f ca="1">IFERROR(__xludf.DUMMYFUNCTION("""COMPUTED_VALUE"""),44602.6666666666)</f>
        <v>44602.666666666599</v>
      </c>
      <c r="B1792" s="1">
        <f ca="1">IFERROR(__xludf.DUMMYFUNCTION("""COMPUTED_VALUE"""),158.35)</f>
        <v>158.35</v>
      </c>
      <c r="C1792" s="1">
        <f ca="1">IFERROR(__xludf.DUMMYFUNCTION("""COMPUTED_VALUE"""),160.72)</f>
        <v>160.72</v>
      </c>
      <c r="D1792" s="1">
        <f ca="1">IFERROR(__xludf.DUMMYFUNCTION("""COMPUTED_VALUE"""),157.75)</f>
        <v>157.75</v>
      </c>
      <c r="E1792" s="1">
        <f ca="1">IFERROR(__xludf.DUMMYFUNCTION("""COMPUTED_VALUE"""),159)</f>
        <v>159</v>
      </c>
      <c r="F1792" s="1">
        <f ca="1">IFERROR(__xludf.DUMMYFUNCTION("""COMPUTED_VALUE"""),3413406)</f>
        <v>3413406</v>
      </c>
    </row>
    <row r="1793" spans="1:6" x14ac:dyDescent="0.35">
      <c r="A1793" s="2">
        <f ca="1">IFERROR(__xludf.DUMMYFUNCTION("""COMPUTED_VALUE"""),44603.6666666666)</f>
        <v>44603.666666666599</v>
      </c>
      <c r="B1793" s="1">
        <f ca="1">IFERROR(__xludf.DUMMYFUNCTION("""COMPUTED_VALUE"""),158.13)</f>
        <v>158.13</v>
      </c>
      <c r="C1793" s="1">
        <f ca="1">IFERROR(__xludf.DUMMYFUNCTION("""COMPUTED_VALUE"""),159)</f>
        <v>159</v>
      </c>
      <c r="D1793" s="1">
        <f ca="1">IFERROR(__xludf.DUMMYFUNCTION("""COMPUTED_VALUE"""),152.73)</f>
        <v>152.72999999999999</v>
      </c>
      <c r="E1793" s="1">
        <f ca="1">IFERROR(__xludf.DUMMYFUNCTION("""COMPUTED_VALUE"""),153.29)</f>
        <v>153.29</v>
      </c>
      <c r="F1793" s="1">
        <f ca="1">IFERROR(__xludf.DUMMYFUNCTION("""COMPUTED_VALUE"""),3855022)</f>
        <v>3855022</v>
      </c>
    </row>
    <row r="1794" spans="1:6" x14ac:dyDescent="0.35">
      <c r="A1794" s="2">
        <f ca="1">IFERROR(__xludf.DUMMYFUNCTION("""COMPUTED_VALUE"""),44606.6666666666)</f>
        <v>44606.666666666599</v>
      </c>
      <c r="B1794" s="1">
        <f ca="1">IFERROR(__xludf.DUMMYFUNCTION("""COMPUTED_VALUE"""),151.75)</f>
        <v>151.75</v>
      </c>
      <c r="C1794" s="1">
        <f ca="1">IFERROR(__xludf.DUMMYFUNCTION("""COMPUTED_VALUE"""),158.45)</f>
        <v>158.44999999999999</v>
      </c>
      <c r="D1794" s="1">
        <f ca="1">IFERROR(__xludf.DUMMYFUNCTION("""COMPUTED_VALUE"""),151.65)</f>
        <v>151.65</v>
      </c>
      <c r="E1794" s="1">
        <f ca="1">IFERROR(__xludf.DUMMYFUNCTION("""COMPUTED_VALUE"""),155.17)</f>
        <v>155.16999999999999</v>
      </c>
      <c r="F1794" s="1">
        <f ca="1">IFERROR(__xludf.DUMMYFUNCTION("""COMPUTED_VALUE"""),4161535)</f>
        <v>4161535</v>
      </c>
    </row>
    <row r="1795" spans="1:6" x14ac:dyDescent="0.35">
      <c r="A1795" s="2">
        <f ca="1">IFERROR(__xludf.DUMMYFUNCTION("""COMPUTED_VALUE"""),44607.6666666666)</f>
        <v>44607.666666666599</v>
      </c>
      <c r="B1795" s="1">
        <f ca="1">IFERROR(__xludf.DUMMYFUNCTION("""COMPUTED_VALUE"""),157.61)</f>
        <v>157.61000000000001</v>
      </c>
      <c r="C1795" s="1">
        <f ca="1">IFERROR(__xludf.DUMMYFUNCTION("""COMPUTED_VALUE"""),158.01)</f>
        <v>158.01</v>
      </c>
      <c r="D1795" s="1">
        <f ca="1">IFERROR(__xludf.DUMMYFUNCTION("""COMPUTED_VALUE"""),154.64)</f>
        <v>154.63999999999999</v>
      </c>
      <c r="E1795" s="1">
        <f ca="1">IFERROR(__xludf.DUMMYFUNCTION("""COMPUTED_VALUE"""),156.51)</f>
        <v>156.51</v>
      </c>
      <c r="F1795" s="1">
        <f ca="1">IFERROR(__xludf.DUMMYFUNCTION("""COMPUTED_VALUE"""),2848533)</f>
        <v>2848533</v>
      </c>
    </row>
    <row r="1796" spans="1:6" x14ac:dyDescent="0.35">
      <c r="A1796" s="2">
        <f ca="1">IFERROR(__xludf.DUMMYFUNCTION("""COMPUTED_VALUE"""),44608.6666666666)</f>
        <v>44608.666666666599</v>
      </c>
      <c r="B1796" s="1">
        <f ca="1">IFERROR(__xludf.DUMMYFUNCTION("""COMPUTED_VALUE"""),155.79)</f>
        <v>155.79</v>
      </c>
      <c r="C1796" s="1">
        <f ca="1">IFERROR(__xludf.DUMMYFUNCTION("""COMPUTED_VALUE"""),158.83)</f>
        <v>158.83000000000001</v>
      </c>
      <c r="D1796" s="1">
        <f ca="1">IFERROR(__xludf.DUMMYFUNCTION("""COMPUTED_VALUE"""),154.73)</f>
        <v>154.72999999999999</v>
      </c>
      <c r="E1796" s="1">
        <f ca="1">IFERROR(__xludf.DUMMYFUNCTION("""COMPUTED_VALUE"""),158.1)</f>
        <v>158.1</v>
      </c>
      <c r="F1796" s="1">
        <f ca="1">IFERROR(__xludf.DUMMYFUNCTION("""COMPUTED_VALUE"""),2635214)</f>
        <v>2635214</v>
      </c>
    </row>
    <row r="1797" spans="1:6" x14ac:dyDescent="0.35">
      <c r="A1797" s="2">
        <f ca="1">IFERROR(__xludf.DUMMYFUNCTION("""COMPUTED_VALUE"""),44609.6666666666)</f>
        <v>44609.666666666599</v>
      </c>
      <c r="B1797" s="1">
        <f ca="1">IFERROR(__xludf.DUMMYFUNCTION("""COMPUTED_VALUE"""),158.15)</f>
        <v>158.15</v>
      </c>
      <c r="C1797" s="1">
        <f ca="1">IFERROR(__xludf.DUMMYFUNCTION("""COMPUTED_VALUE"""),160.35)</f>
        <v>160.35</v>
      </c>
      <c r="D1797" s="1">
        <f ca="1">IFERROR(__xludf.DUMMYFUNCTION("""COMPUTED_VALUE"""),154.5)</f>
        <v>154.5</v>
      </c>
      <c r="E1797" s="1">
        <f ca="1">IFERROR(__xludf.DUMMYFUNCTION("""COMPUTED_VALUE"""),154.65)</f>
        <v>154.65</v>
      </c>
      <c r="F1797" s="1">
        <f ca="1">IFERROR(__xludf.DUMMYFUNCTION("""COMPUTED_VALUE"""),3201625)</f>
        <v>3201625</v>
      </c>
    </row>
    <row r="1798" spans="1:6" x14ac:dyDescent="0.35">
      <c r="A1798" s="2">
        <f ca="1">IFERROR(__xludf.DUMMYFUNCTION("""COMPUTED_VALUE"""),44610.6666666666)</f>
        <v>44610.666666666599</v>
      </c>
      <c r="B1798" s="1">
        <f ca="1">IFERROR(__xludf.DUMMYFUNCTION("""COMPUTED_VALUE"""),155.5)</f>
        <v>155.5</v>
      </c>
      <c r="C1798" s="1">
        <f ca="1">IFERROR(__xludf.DUMMYFUNCTION("""COMPUTED_VALUE"""),155.5)</f>
        <v>155.5</v>
      </c>
      <c r="D1798" s="1">
        <f ca="1">IFERROR(__xludf.DUMMYFUNCTION("""COMPUTED_VALUE"""),150.89)</f>
        <v>150.88999999999999</v>
      </c>
      <c r="E1798" s="1">
        <f ca="1">IFERROR(__xludf.DUMMYFUNCTION("""COMPUTED_VALUE"""),152.6)</f>
        <v>152.6</v>
      </c>
      <c r="F1798" s="1">
        <f ca="1">IFERROR(__xludf.DUMMYFUNCTION("""COMPUTED_VALUE"""),3180205)</f>
        <v>3180205</v>
      </c>
    </row>
    <row r="1799" spans="1:6" x14ac:dyDescent="0.35">
      <c r="A1799" s="2">
        <f ca="1">IFERROR(__xludf.DUMMYFUNCTION("""COMPUTED_VALUE"""),44614.6666666666)</f>
        <v>44614.666666666599</v>
      </c>
      <c r="B1799" s="1">
        <f ca="1">IFERROR(__xludf.DUMMYFUNCTION("""COMPUTED_VALUE"""),150.48)</f>
        <v>150.47999999999999</v>
      </c>
      <c r="C1799" s="1">
        <f ca="1">IFERROR(__xludf.DUMMYFUNCTION("""COMPUTED_VALUE"""),152.98)</f>
        <v>152.97999999999999</v>
      </c>
      <c r="D1799" s="1">
        <f ca="1">IFERROR(__xludf.DUMMYFUNCTION("""COMPUTED_VALUE"""),148.49)</f>
        <v>148.49</v>
      </c>
      <c r="E1799" s="1">
        <f ca="1">IFERROR(__xludf.DUMMYFUNCTION("""COMPUTED_VALUE"""),150.2)</f>
        <v>150.19999999999999</v>
      </c>
      <c r="F1799" s="1">
        <f ca="1">IFERROR(__xludf.DUMMYFUNCTION("""COMPUTED_VALUE"""),3306412)</f>
        <v>3306412</v>
      </c>
    </row>
    <row r="1800" spans="1:6" x14ac:dyDescent="0.35">
      <c r="A1800" s="2">
        <f ca="1">IFERROR(__xludf.DUMMYFUNCTION("""COMPUTED_VALUE"""),44615.6666666666)</f>
        <v>44615.666666666599</v>
      </c>
      <c r="B1800" s="1">
        <f ca="1">IFERROR(__xludf.DUMMYFUNCTION("""COMPUTED_VALUE"""),151.65)</f>
        <v>151.65</v>
      </c>
      <c r="C1800" s="1">
        <f ca="1">IFERROR(__xludf.DUMMYFUNCTION("""COMPUTED_VALUE"""),151.76)</f>
        <v>151.76</v>
      </c>
      <c r="D1800" s="1">
        <f ca="1">IFERROR(__xludf.DUMMYFUNCTION("""COMPUTED_VALUE"""),144.65)</f>
        <v>144.65</v>
      </c>
      <c r="E1800" s="1">
        <f ca="1">IFERROR(__xludf.DUMMYFUNCTION("""COMPUTED_VALUE"""),144.83)</f>
        <v>144.83000000000001</v>
      </c>
      <c r="F1800" s="1">
        <f ca="1">IFERROR(__xludf.DUMMYFUNCTION("""COMPUTED_VALUE"""),3212178)</f>
        <v>3212178</v>
      </c>
    </row>
    <row r="1801" spans="1:6" x14ac:dyDescent="0.35">
      <c r="A1801" s="2">
        <f ca="1">IFERROR(__xludf.DUMMYFUNCTION("""COMPUTED_VALUE"""),44616.6666666666)</f>
        <v>44616.666666666599</v>
      </c>
      <c r="B1801" s="1">
        <f ca="1">IFERROR(__xludf.DUMMYFUNCTION("""COMPUTED_VALUE"""),139.84)</f>
        <v>139.84</v>
      </c>
      <c r="C1801" s="1">
        <f ca="1">IFERROR(__xludf.DUMMYFUNCTION("""COMPUTED_VALUE"""),151.75)</f>
        <v>151.75</v>
      </c>
      <c r="D1801" s="1">
        <f ca="1">IFERROR(__xludf.DUMMYFUNCTION("""COMPUTED_VALUE"""),139.5)</f>
        <v>139.5</v>
      </c>
      <c r="E1801" s="1">
        <f ca="1">IFERROR(__xludf.DUMMYFUNCTION("""COMPUTED_VALUE"""),151.36)</f>
        <v>151.36000000000001</v>
      </c>
      <c r="F1801" s="1">
        <f ca="1">IFERROR(__xludf.DUMMYFUNCTION("""COMPUTED_VALUE"""),5039288)</f>
        <v>5039288</v>
      </c>
    </row>
    <row r="1802" spans="1:6" x14ac:dyDescent="0.35">
      <c r="A1802" s="2">
        <f ca="1">IFERROR(__xludf.DUMMYFUNCTION("""COMPUTED_VALUE"""),44617.6666666666)</f>
        <v>44617.666666666599</v>
      </c>
      <c r="B1802" s="1">
        <f ca="1">IFERROR(__xludf.DUMMYFUNCTION("""COMPUTED_VALUE"""),150.55)</f>
        <v>150.55000000000001</v>
      </c>
      <c r="C1802" s="1">
        <f ca="1">IFERROR(__xludf.DUMMYFUNCTION("""COMPUTED_VALUE"""),153.99)</f>
        <v>153.99</v>
      </c>
      <c r="D1802" s="1">
        <f ca="1">IFERROR(__xludf.DUMMYFUNCTION("""COMPUTED_VALUE"""),149.21)</f>
        <v>149.21</v>
      </c>
      <c r="E1802" s="1">
        <f ca="1">IFERROR(__xludf.DUMMYFUNCTION("""COMPUTED_VALUE"""),153.79)</f>
        <v>153.79</v>
      </c>
      <c r="F1802" s="1">
        <f ca="1">IFERROR(__xludf.DUMMYFUNCTION("""COMPUTED_VALUE"""),3119768)</f>
        <v>3119768</v>
      </c>
    </row>
    <row r="1803" spans="1:6" x14ac:dyDescent="0.35">
      <c r="A1803" s="2">
        <f ca="1">IFERROR(__xludf.DUMMYFUNCTION("""COMPUTED_VALUE"""),44620.6666666666)</f>
        <v>44620.666666666599</v>
      </c>
      <c r="B1803" s="1">
        <f ca="1">IFERROR(__xludf.DUMMYFUNCTION("""COMPUTED_VALUE"""),152.43)</f>
        <v>152.43</v>
      </c>
      <c r="C1803" s="1">
        <f ca="1">IFERROR(__xludf.DUMMYFUNCTION("""COMPUTED_VALUE"""),154.45)</f>
        <v>154.44999999999999</v>
      </c>
      <c r="D1803" s="1">
        <f ca="1">IFERROR(__xludf.DUMMYFUNCTION("""COMPUTED_VALUE"""),150.85)</f>
        <v>150.85</v>
      </c>
      <c r="E1803" s="1">
        <f ca="1">IFERROR(__xludf.DUMMYFUNCTION("""COMPUTED_VALUE"""),153.56)</f>
        <v>153.56</v>
      </c>
      <c r="F1803" s="1">
        <f ca="1">IFERROR(__xludf.DUMMYFUNCTION("""COMPUTED_VALUE"""),2884171)</f>
        <v>2884171</v>
      </c>
    </row>
    <row r="1804" spans="1:6" x14ac:dyDescent="0.35">
      <c r="A1804" s="2">
        <f ca="1">IFERROR(__xludf.DUMMYFUNCTION("""COMPUTED_VALUE"""),44621.6666666666)</f>
        <v>44621.666666666599</v>
      </c>
      <c r="B1804" s="1">
        <f ca="1">IFERROR(__xludf.DUMMYFUNCTION("""COMPUTED_VALUE"""),152.73)</f>
        <v>152.72999999999999</v>
      </c>
      <c r="C1804" s="1">
        <f ca="1">IFERROR(__xludf.DUMMYFUNCTION("""COMPUTED_VALUE"""),154.1)</f>
        <v>154.1</v>
      </c>
      <c r="D1804" s="1">
        <f ca="1">IFERROR(__xludf.DUMMYFUNCTION("""COMPUTED_VALUE"""),149.98)</f>
        <v>149.97999999999999</v>
      </c>
      <c r="E1804" s="1">
        <f ca="1">IFERROR(__xludf.DUMMYFUNCTION("""COMPUTED_VALUE"""),151.14)</f>
        <v>151.13999999999999</v>
      </c>
      <c r="F1804" s="1">
        <f ca="1">IFERROR(__xludf.DUMMYFUNCTION("""COMPUTED_VALUE"""),2243679)</f>
        <v>2243679</v>
      </c>
    </row>
    <row r="1805" spans="1:6" x14ac:dyDescent="0.35">
      <c r="A1805" s="2">
        <f ca="1">IFERROR(__xludf.DUMMYFUNCTION("""COMPUTED_VALUE"""),44622.6666666666)</f>
        <v>44622.666666666599</v>
      </c>
      <c r="B1805" s="1">
        <f ca="1">IFERROR(__xludf.DUMMYFUNCTION("""COMPUTED_VALUE"""),150.85)</f>
        <v>150.85</v>
      </c>
      <c r="C1805" s="1">
        <f ca="1">IFERROR(__xludf.DUMMYFUNCTION("""COMPUTED_VALUE"""),153)</f>
        <v>153</v>
      </c>
      <c r="D1805" s="1">
        <f ca="1">IFERROR(__xludf.DUMMYFUNCTION("""COMPUTED_VALUE"""),148.75)</f>
        <v>148.75</v>
      </c>
      <c r="E1805" s="1">
        <f ca="1">IFERROR(__xludf.DUMMYFUNCTION("""COMPUTED_VALUE"""),152.05)</f>
        <v>152.05000000000001</v>
      </c>
      <c r="F1805" s="1">
        <f ca="1">IFERROR(__xludf.DUMMYFUNCTION("""COMPUTED_VALUE"""),2366736)</f>
        <v>2366736</v>
      </c>
    </row>
    <row r="1806" spans="1:6" x14ac:dyDescent="0.35">
      <c r="A1806" s="2">
        <f ca="1">IFERROR(__xludf.DUMMYFUNCTION("""COMPUTED_VALUE"""),44623.6666666666)</f>
        <v>44623.666666666599</v>
      </c>
      <c r="B1806" s="1">
        <f ca="1">IFERROR(__xludf.DUMMYFUNCTION("""COMPUTED_VALUE"""),153.53)</f>
        <v>153.53</v>
      </c>
      <c r="C1806" s="1">
        <f ca="1">IFERROR(__xludf.DUMMYFUNCTION("""COMPUTED_VALUE"""),153.93)</f>
        <v>153.93</v>
      </c>
      <c r="D1806" s="1">
        <f ca="1">IFERROR(__xludf.DUMMYFUNCTION("""COMPUTED_VALUE"""),146.86)</f>
        <v>146.86000000000001</v>
      </c>
      <c r="E1806" s="1">
        <f ca="1">IFERROR(__xludf.DUMMYFUNCTION("""COMPUTED_VALUE"""),147.9)</f>
        <v>147.9</v>
      </c>
      <c r="F1806" s="1">
        <f ca="1">IFERROR(__xludf.DUMMYFUNCTION("""COMPUTED_VALUE"""),3259860)</f>
        <v>3259860</v>
      </c>
    </row>
    <row r="1807" spans="1:6" x14ac:dyDescent="0.35">
      <c r="A1807" s="2">
        <f ca="1">IFERROR(__xludf.DUMMYFUNCTION("""COMPUTED_VALUE"""),44624.6666666666)</f>
        <v>44624.666666666599</v>
      </c>
      <c r="B1807" s="1">
        <f ca="1">IFERROR(__xludf.DUMMYFUNCTION("""COMPUTED_VALUE"""),147.16)</f>
        <v>147.16</v>
      </c>
      <c r="C1807" s="1">
        <f ca="1">IFERROR(__xludf.DUMMYFUNCTION("""COMPUTED_VALUE"""),147.85)</f>
        <v>147.85</v>
      </c>
      <c r="D1807" s="1">
        <f ca="1">IFERROR(__xludf.DUMMYFUNCTION("""COMPUTED_VALUE"""),143.81)</f>
        <v>143.81</v>
      </c>
      <c r="E1807" s="1">
        <f ca="1">IFERROR(__xludf.DUMMYFUNCTION("""COMPUTED_VALUE"""),145.64)</f>
        <v>145.63999999999999</v>
      </c>
      <c r="F1807" s="1">
        <f ca="1">IFERROR(__xludf.DUMMYFUNCTION("""COMPUTED_VALUE"""),3049156)</f>
        <v>3049156</v>
      </c>
    </row>
    <row r="1808" spans="1:6" x14ac:dyDescent="0.35">
      <c r="A1808" s="2">
        <f ca="1">IFERROR(__xludf.DUMMYFUNCTION("""COMPUTED_VALUE"""),44627.6666666666)</f>
        <v>44627.666666666599</v>
      </c>
      <c r="B1808" s="1">
        <f ca="1">IFERROR(__xludf.DUMMYFUNCTION("""COMPUTED_VALUE"""),145.44)</f>
        <v>145.44</v>
      </c>
      <c r="C1808" s="1">
        <f ca="1">IFERROR(__xludf.DUMMYFUNCTION("""COMPUTED_VALUE"""),146.09)</f>
        <v>146.09</v>
      </c>
      <c r="D1808" s="1">
        <f ca="1">IFERROR(__xludf.DUMMYFUNCTION("""COMPUTED_VALUE"""),137.42)</f>
        <v>137.41999999999999</v>
      </c>
      <c r="E1808" s="1">
        <f ca="1">IFERROR(__xludf.DUMMYFUNCTION("""COMPUTED_VALUE"""),137.45)</f>
        <v>137.44999999999999</v>
      </c>
      <c r="F1808" s="1">
        <f ca="1">IFERROR(__xludf.DUMMYFUNCTION("""COMPUTED_VALUE"""),4346693)</f>
        <v>4346693</v>
      </c>
    </row>
    <row r="1809" spans="1:6" x14ac:dyDescent="0.35">
      <c r="A1809" s="2">
        <f ca="1">IFERROR(__xludf.DUMMYFUNCTION("""COMPUTED_VALUE"""),44628.6666666666)</f>
        <v>44628.666666666599</v>
      </c>
      <c r="B1809" s="1">
        <f ca="1">IFERROR(__xludf.DUMMYFUNCTION("""COMPUTED_VALUE"""),136.68)</f>
        <v>136.68</v>
      </c>
      <c r="C1809" s="1">
        <f ca="1">IFERROR(__xludf.DUMMYFUNCTION("""COMPUTED_VALUE"""),140.7)</f>
        <v>140.69999999999999</v>
      </c>
      <c r="D1809" s="1">
        <f ca="1">IFERROR(__xludf.DUMMYFUNCTION("""COMPUTED_VALUE"""),133.57)</f>
        <v>133.57</v>
      </c>
      <c r="E1809" s="1">
        <f ca="1">IFERROR(__xludf.DUMMYFUNCTION("""COMPUTED_VALUE"""),136.01)</f>
        <v>136.01</v>
      </c>
      <c r="F1809" s="1">
        <f ca="1">IFERROR(__xludf.DUMMYFUNCTION("""COMPUTED_VALUE"""),4583129)</f>
        <v>4583129</v>
      </c>
    </row>
    <row r="1810" spans="1:6" x14ac:dyDescent="0.35">
      <c r="A1810" s="2">
        <f ca="1">IFERROR(__xludf.DUMMYFUNCTION("""COMPUTED_VALUE"""),44629.6666666666)</f>
        <v>44629.666666666599</v>
      </c>
      <c r="B1810" s="1">
        <f ca="1">IFERROR(__xludf.DUMMYFUNCTION("""COMPUTED_VALUE"""),139.5)</f>
        <v>139.5</v>
      </c>
      <c r="C1810" s="1">
        <f ca="1">IFERROR(__xludf.DUMMYFUNCTION("""COMPUTED_VALUE"""),140.25)</f>
        <v>140.25</v>
      </c>
      <c r="D1810" s="1">
        <f ca="1">IFERROR(__xludf.DUMMYFUNCTION("""COMPUTED_VALUE"""),136.83)</f>
        <v>136.83000000000001</v>
      </c>
      <c r="E1810" s="1">
        <f ca="1">IFERROR(__xludf.DUMMYFUNCTION("""COMPUTED_VALUE"""),139.28)</f>
        <v>139.28</v>
      </c>
      <c r="F1810" s="1">
        <f ca="1">IFERROR(__xludf.DUMMYFUNCTION("""COMPUTED_VALUE"""),4132833)</f>
        <v>4132833</v>
      </c>
    </row>
    <row r="1811" spans="1:6" x14ac:dyDescent="0.35">
      <c r="A1811" s="2">
        <f ca="1">IFERROR(__xludf.DUMMYFUNCTION("""COMPUTED_VALUE"""),44630.6666666666)</f>
        <v>44630.666666666599</v>
      </c>
      <c r="B1811" s="1">
        <f ca="1">IFERROR(__xludf.DUMMYFUNCTION("""COMPUTED_VALUE"""),145.69)</f>
        <v>145.69</v>
      </c>
      <c r="C1811" s="1">
        <f ca="1">IFERROR(__xludf.DUMMYFUNCTION("""COMPUTED_VALUE"""),148.67)</f>
        <v>148.66999999999999</v>
      </c>
      <c r="D1811" s="1">
        <f ca="1">IFERROR(__xludf.DUMMYFUNCTION("""COMPUTED_VALUE"""),143.98)</f>
        <v>143.97999999999999</v>
      </c>
      <c r="E1811" s="1">
        <f ca="1">IFERROR(__xludf.DUMMYFUNCTION("""COMPUTED_VALUE"""),146.82)</f>
        <v>146.82</v>
      </c>
      <c r="F1811" s="1">
        <f ca="1">IFERROR(__xludf.DUMMYFUNCTION("""COMPUTED_VALUE"""),6753145)</f>
        <v>6753145</v>
      </c>
    </row>
    <row r="1812" spans="1:6" x14ac:dyDescent="0.35">
      <c r="A1812" s="2">
        <f ca="1">IFERROR(__xludf.DUMMYFUNCTION("""COMPUTED_VALUE"""),44631.6666666666)</f>
        <v>44631.666666666599</v>
      </c>
      <c r="B1812" s="1">
        <f ca="1">IFERROR(__xludf.DUMMYFUNCTION("""COMPUTED_VALUE"""),149.57)</f>
        <v>149.57</v>
      </c>
      <c r="C1812" s="1">
        <f ca="1">IFERROR(__xludf.DUMMYFUNCTION("""COMPUTED_VALUE"""),149.68)</f>
        <v>149.68</v>
      </c>
      <c r="D1812" s="1">
        <f ca="1">IFERROR(__xludf.DUMMYFUNCTION("""COMPUTED_VALUE"""),145.37)</f>
        <v>145.37</v>
      </c>
      <c r="E1812" s="1">
        <f ca="1">IFERROR(__xludf.DUMMYFUNCTION("""COMPUTED_VALUE"""),145.52)</f>
        <v>145.52000000000001</v>
      </c>
      <c r="F1812" s="1">
        <f ca="1">IFERROR(__xludf.DUMMYFUNCTION("""COMPUTED_VALUE"""),3445028)</f>
        <v>3445028</v>
      </c>
    </row>
    <row r="1813" spans="1:6" x14ac:dyDescent="0.35">
      <c r="A1813" s="2">
        <f ca="1">IFERROR(__xludf.DUMMYFUNCTION("""COMPUTED_VALUE"""),44634.6666666666)</f>
        <v>44634.666666666599</v>
      </c>
      <c r="B1813" s="1">
        <f ca="1">IFERROR(__xludf.DUMMYFUNCTION("""COMPUTED_VALUE"""),145.98)</f>
        <v>145.97999999999999</v>
      </c>
      <c r="C1813" s="1">
        <f ca="1">IFERROR(__xludf.DUMMYFUNCTION("""COMPUTED_VALUE"""),147.45)</f>
        <v>147.44999999999999</v>
      </c>
      <c r="D1813" s="1">
        <f ca="1">IFERROR(__xludf.DUMMYFUNCTION("""COMPUTED_VALUE"""),140.88)</f>
        <v>140.88</v>
      </c>
      <c r="E1813" s="1">
        <f ca="1">IFERROR(__xludf.DUMMYFUNCTION("""COMPUTED_VALUE"""),141.85)</f>
        <v>141.85</v>
      </c>
      <c r="F1813" s="1">
        <f ca="1">IFERROR(__xludf.DUMMYFUNCTION("""COMPUTED_VALUE"""),3704305)</f>
        <v>3704305</v>
      </c>
    </row>
    <row r="1814" spans="1:6" x14ac:dyDescent="0.35">
      <c r="A1814" s="2">
        <f ca="1">IFERROR(__xludf.DUMMYFUNCTION("""COMPUTED_VALUE"""),44635.6666666666)</f>
        <v>44635.666666666599</v>
      </c>
      <c r="B1814" s="1">
        <f ca="1">IFERROR(__xludf.DUMMYFUNCTION("""COMPUTED_VALUE"""),142.85)</f>
        <v>142.85</v>
      </c>
      <c r="C1814" s="1">
        <f ca="1">IFERROR(__xludf.DUMMYFUNCTION("""COMPUTED_VALUE"""),147.99)</f>
        <v>147.99</v>
      </c>
      <c r="D1814" s="1">
        <f ca="1">IFERROR(__xludf.DUMMYFUNCTION("""COMPUTED_VALUE"""),142)</f>
        <v>142</v>
      </c>
      <c r="E1814" s="1">
        <f ca="1">IFERROR(__xludf.DUMMYFUNCTION("""COMPUTED_VALUE"""),147.37)</f>
        <v>147.37</v>
      </c>
      <c r="F1814" s="1">
        <f ca="1">IFERROR(__xludf.DUMMYFUNCTION("""COMPUTED_VALUE"""),3779230)</f>
        <v>3779230</v>
      </c>
    </row>
    <row r="1815" spans="1:6" x14ac:dyDescent="0.35">
      <c r="A1815" s="2">
        <f ca="1">IFERROR(__xludf.DUMMYFUNCTION("""COMPUTED_VALUE"""),44636.6666666666)</f>
        <v>44636.666666666599</v>
      </c>
      <c r="B1815" s="1">
        <f ca="1">IFERROR(__xludf.DUMMYFUNCTION("""COMPUTED_VALUE"""),148.5)</f>
        <v>148.5</v>
      </c>
      <c r="C1815" s="1">
        <f ca="1">IFERROR(__xludf.DUMMYFUNCTION("""COMPUTED_VALUE"""),153.15)</f>
        <v>153.15</v>
      </c>
      <c r="D1815" s="1">
        <f ca="1">IFERROR(__xludf.DUMMYFUNCTION("""COMPUTED_VALUE"""),147.35)</f>
        <v>147.35</v>
      </c>
      <c r="E1815" s="1">
        <f ca="1">IFERROR(__xludf.DUMMYFUNCTION("""COMPUTED_VALUE"""),153.1)</f>
        <v>153.1</v>
      </c>
      <c r="F1815" s="1">
        <f ca="1">IFERROR(__xludf.DUMMYFUNCTION("""COMPUTED_VALUE"""),4247884)</f>
        <v>4247884</v>
      </c>
    </row>
    <row r="1816" spans="1:6" x14ac:dyDescent="0.35">
      <c r="A1816" s="2">
        <f ca="1">IFERROR(__xludf.DUMMYFUNCTION("""COMPUTED_VALUE"""),44637.6666666666)</f>
        <v>44637.666666666599</v>
      </c>
      <c r="B1816" s="1">
        <f ca="1">IFERROR(__xludf.DUMMYFUNCTION("""COMPUTED_VALUE"""),152.64)</f>
        <v>152.63999999999999</v>
      </c>
      <c r="C1816" s="1">
        <f ca="1">IFERROR(__xludf.DUMMYFUNCTION("""COMPUTED_VALUE"""),157.5)</f>
        <v>157.5</v>
      </c>
      <c r="D1816" s="1">
        <f ca="1">IFERROR(__xludf.DUMMYFUNCTION("""COMPUTED_VALUE"""),152.14)</f>
        <v>152.13999999999999</v>
      </c>
      <c r="E1816" s="1">
        <f ca="1">IFERROR(__xludf.DUMMYFUNCTION("""COMPUTED_VALUE"""),157.24)</f>
        <v>157.24</v>
      </c>
      <c r="F1816" s="1">
        <f ca="1">IFERROR(__xludf.DUMMYFUNCTION("""COMPUTED_VALUE"""),3646742)</f>
        <v>3646742</v>
      </c>
    </row>
    <row r="1817" spans="1:6" x14ac:dyDescent="0.35">
      <c r="A1817" s="2">
        <f ca="1">IFERROR(__xludf.DUMMYFUNCTION("""COMPUTED_VALUE"""),44638.6666666666)</f>
        <v>44638.666666666599</v>
      </c>
      <c r="B1817" s="1">
        <f ca="1">IFERROR(__xludf.DUMMYFUNCTION("""COMPUTED_VALUE"""),156.81)</f>
        <v>156.81</v>
      </c>
      <c r="C1817" s="1">
        <f ca="1">IFERROR(__xludf.DUMMYFUNCTION("""COMPUTED_VALUE"""),161.59)</f>
        <v>161.59</v>
      </c>
      <c r="D1817" s="1">
        <f ca="1">IFERROR(__xludf.DUMMYFUNCTION("""COMPUTED_VALUE"""),156.01)</f>
        <v>156.01</v>
      </c>
      <c r="E1817" s="1">
        <f ca="1">IFERROR(__xludf.DUMMYFUNCTION("""COMPUTED_VALUE"""),161.25)</f>
        <v>161.25</v>
      </c>
      <c r="F1817" s="1">
        <f ca="1">IFERROR(__xludf.DUMMYFUNCTION("""COMPUTED_VALUE"""),5148138)</f>
        <v>5148138</v>
      </c>
    </row>
    <row r="1818" spans="1:6" x14ac:dyDescent="0.35">
      <c r="A1818" s="2">
        <f ca="1">IFERROR(__xludf.DUMMYFUNCTION("""COMPUTED_VALUE"""),44641.6666666666)</f>
        <v>44641.666666666599</v>
      </c>
      <c r="B1818" s="1">
        <f ca="1">IFERROR(__xludf.DUMMYFUNCTION("""COMPUTED_VALUE"""),161.12)</f>
        <v>161.12</v>
      </c>
      <c r="C1818" s="1">
        <f ca="1">IFERROR(__xludf.DUMMYFUNCTION("""COMPUTED_VALUE"""),163.08)</f>
        <v>163.08000000000001</v>
      </c>
      <c r="D1818" s="1">
        <f ca="1">IFERROR(__xludf.DUMMYFUNCTION("""COMPUTED_VALUE"""),159.55)</f>
        <v>159.55000000000001</v>
      </c>
      <c r="E1818" s="1">
        <f ca="1">IFERROR(__xludf.DUMMYFUNCTION("""COMPUTED_VALUE"""),161.49)</f>
        <v>161.49</v>
      </c>
      <c r="F1818" s="1">
        <f ca="1">IFERROR(__xludf.DUMMYFUNCTION("""COMPUTED_VALUE"""),3326876)</f>
        <v>3326876</v>
      </c>
    </row>
    <row r="1819" spans="1:6" x14ac:dyDescent="0.35">
      <c r="A1819" s="2">
        <f ca="1">IFERROR(__xludf.DUMMYFUNCTION("""COMPUTED_VALUE"""),44642.6666666666)</f>
        <v>44642.666666666599</v>
      </c>
      <c r="B1819" s="1">
        <f ca="1">IFERROR(__xludf.DUMMYFUNCTION("""COMPUTED_VALUE"""),161.81)</f>
        <v>161.81</v>
      </c>
      <c r="C1819" s="1">
        <f ca="1">IFERROR(__xludf.DUMMYFUNCTION("""COMPUTED_VALUE"""),166.17)</f>
        <v>166.17</v>
      </c>
      <c r="D1819" s="1">
        <f ca="1">IFERROR(__xludf.DUMMYFUNCTION("""COMPUTED_VALUE"""),161.7)</f>
        <v>161.69999999999999</v>
      </c>
      <c r="E1819" s="1">
        <f ca="1">IFERROR(__xludf.DUMMYFUNCTION("""COMPUTED_VALUE"""),164.89)</f>
        <v>164.89</v>
      </c>
      <c r="F1819" s="1">
        <f ca="1">IFERROR(__xludf.DUMMYFUNCTION("""COMPUTED_VALUE"""),3204306)</f>
        <v>3204306</v>
      </c>
    </row>
    <row r="1820" spans="1:6" x14ac:dyDescent="0.35">
      <c r="A1820" s="2">
        <f ca="1">IFERROR(__xludf.DUMMYFUNCTION("""COMPUTED_VALUE"""),44643.6666666666)</f>
        <v>44643.666666666599</v>
      </c>
      <c r="B1820" s="1">
        <f ca="1">IFERROR(__xludf.DUMMYFUNCTION("""COMPUTED_VALUE"""),163.71)</f>
        <v>163.71</v>
      </c>
      <c r="C1820" s="1">
        <f ca="1">IFERROR(__xludf.DUMMYFUNCTION("""COMPUTED_VALUE"""),166.37)</f>
        <v>166.37</v>
      </c>
      <c r="D1820" s="1">
        <f ca="1">IFERROR(__xludf.DUMMYFUNCTION("""COMPUTED_VALUE"""),162.69)</f>
        <v>162.69</v>
      </c>
      <c r="E1820" s="1">
        <f ca="1">IFERROR(__xludf.DUMMYFUNCTION("""COMPUTED_VALUE"""),163.41)</f>
        <v>163.41</v>
      </c>
      <c r="F1820" s="1">
        <f ca="1">IFERROR(__xludf.DUMMYFUNCTION("""COMPUTED_VALUE"""),2790593)</f>
        <v>2790593</v>
      </c>
    </row>
    <row r="1821" spans="1:6" x14ac:dyDescent="0.35">
      <c r="A1821" s="2">
        <f ca="1">IFERROR(__xludf.DUMMYFUNCTION("""COMPUTED_VALUE"""),44644.6666666666)</f>
        <v>44644.666666666599</v>
      </c>
      <c r="B1821" s="1">
        <f ca="1">IFERROR(__xludf.DUMMYFUNCTION("""COMPUTED_VALUE"""),163.75)</f>
        <v>163.75</v>
      </c>
      <c r="C1821" s="1">
        <f ca="1">IFERROR(__xludf.DUMMYFUNCTION("""COMPUTED_VALUE"""),164.12)</f>
        <v>164.12</v>
      </c>
      <c r="D1821" s="1">
        <f ca="1">IFERROR(__xludf.DUMMYFUNCTION("""COMPUTED_VALUE"""),160.05)</f>
        <v>160.05000000000001</v>
      </c>
      <c r="E1821" s="1">
        <f ca="1">IFERROR(__xludf.DUMMYFUNCTION("""COMPUTED_VALUE"""),163.65)</f>
        <v>163.65</v>
      </c>
      <c r="F1821" s="1">
        <f ca="1">IFERROR(__xludf.DUMMYFUNCTION("""COMPUTED_VALUE"""),2839903)</f>
        <v>2839903</v>
      </c>
    </row>
    <row r="1822" spans="1:6" x14ac:dyDescent="0.35">
      <c r="A1822" s="2">
        <f ca="1">IFERROR(__xludf.DUMMYFUNCTION("""COMPUTED_VALUE"""),44645.6666666666)</f>
        <v>44645.666666666599</v>
      </c>
      <c r="B1822" s="1">
        <f ca="1">IFERROR(__xludf.DUMMYFUNCTION("""COMPUTED_VALUE"""),164)</f>
        <v>164</v>
      </c>
      <c r="C1822" s="1">
        <f ca="1">IFERROR(__xludf.DUMMYFUNCTION("""COMPUTED_VALUE"""),165.37)</f>
        <v>165.37</v>
      </c>
      <c r="D1822" s="1">
        <f ca="1">IFERROR(__xludf.DUMMYFUNCTION("""COMPUTED_VALUE"""),162.25)</f>
        <v>162.25</v>
      </c>
      <c r="E1822" s="1">
        <f ca="1">IFERROR(__xludf.DUMMYFUNCTION("""COMPUTED_VALUE"""),164.77)</f>
        <v>164.77</v>
      </c>
      <c r="F1822" s="1">
        <f ca="1">IFERROR(__xludf.DUMMYFUNCTION("""COMPUTED_VALUE"""),2454275)</f>
        <v>2454275</v>
      </c>
    </row>
    <row r="1823" spans="1:6" x14ac:dyDescent="0.35">
      <c r="A1823" s="2">
        <f ca="1">IFERROR(__xludf.DUMMYFUNCTION("""COMPUTED_VALUE"""),44648.6666666666)</f>
        <v>44648.666666666599</v>
      </c>
      <c r="B1823" s="1">
        <f ca="1">IFERROR(__xludf.DUMMYFUNCTION("""COMPUTED_VALUE"""),164.98)</f>
        <v>164.98</v>
      </c>
      <c r="C1823" s="1">
        <f ca="1">IFERROR(__xludf.DUMMYFUNCTION("""COMPUTED_VALUE"""),169.04)</f>
        <v>169.04</v>
      </c>
      <c r="D1823" s="1">
        <f ca="1">IFERROR(__xludf.DUMMYFUNCTION("""COMPUTED_VALUE"""),164.9)</f>
        <v>164.9</v>
      </c>
      <c r="E1823" s="1">
        <f ca="1">IFERROR(__xludf.DUMMYFUNCTION("""COMPUTED_VALUE"""),168.99)</f>
        <v>168.99</v>
      </c>
      <c r="F1823" s="1">
        <f ca="1">IFERROR(__xludf.DUMMYFUNCTION("""COMPUTED_VALUE"""),2992691)</f>
        <v>2992691</v>
      </c>
    </row>
    <row r="1824" spans="1:6" x14ac:dyDescent="0.35">
      <c r="A1824" s="2">
        <f ca="1">IFERROR(__xludf.DUMMYFUNCTION("""COMPUTED_VALUE"""),44649.6666666666)</f>
        <v>44649.666666666599</v>
      </c>
      <c r="B1824" s="1">
        <f ca="1">IFERROR(__xludf.DUMMYFUNCTION("""COMPUTED_VALUE"""),170.38)</f>
        <v>170.38</v>
      </c>
      <c r="C1824" s="1">
        <f ca="1">IFERROR(__xludf.DUMMYFUNCTION("""COMPUTED_VALUE"""),170.83)</f>
        <v>170.83</v>
      </c>
      <c r="D1824" s="1">
        <f ca="1">IFERROR(__xludf.DUMMYFUNCTION("""COMPUTED_VALUE"""),167.87)</f>
        <v>167.87</v>
      </c>
      <c r="E1824" s="1">
        <f ca="1">IFERROR(__xludf.DUMMYFUNCTION("""COMPUTED_VALUE"""),169.32)</f>
        <v>169.32</v>
      </c>
      <c r="F1824" s="1">
        <f ca="1">IFERROR(__xludf.DUMMYFUNCTION("""COMPUTED_VALUE"""),3307680)</f>
        <v>3307680</v>
      </c>
    </row>
    <row r="1825" spans="1:6" x14ac:dyDescent="0.35">
      <c r="A1825" s="2">
        <f ca="1">IFERROR(__xludf.DUMMYFUNCTION("""COMPUTED_VALUE"""),44650.6666666666)</f>
        <v>44650.666666666599</v>
      </c>
      <c r="B1825" s="1">
        <f ca="1">IFERROR(__xludf.DUMMYFUNCTION("""COMPUTED_VALUE"""),168.51)</f>
        <v>168.51</v>
      </c>
      <c r="C1825" s="1">
        <f ca="1">IFERROR(__xludf.DUMMYFUNCTION("""COMPUTED_VALUE"""),168.95)</f>
        <v>168.95</v>
      </c>
      <c r="D1825" s="1">
        <f ca="1">IFERROR(__xludf.DUMMYFUNCTION("""COMPUTED_VALUE"""),165.5)</f>
        <v>165.5</v>
      </c>
      <c r="E1825" s="1">
        <f ca="1">IFERROR(__xludf.DUMMYFUNCTION("""COMPUTED_VALUE"""),166.3)</f>
        <v>166.3</v>
      </c>
      <c r="F1825" s="1">
        <f ca="1">IFERROR(__xludf.DUMMYFUNCTION("""COMPUTED_VALUE"""),2808363)</f>
        <v>2808363</v>
      </c>
    </row>
    <row r="1826" spans="1:6" x14ac:dyDescent="0.35">
      <c r="A1826" s="2">
        <f ca="1">IFERROR(__xludf.DUMMYFUNCTION("""COMPUTED_VALUE"""),44651.6666666666)</f>
        <v>44651.666666666599</v>
      </c>
      <c r="B1826" s="1">
        <f ca="1">IFERROR(__xludf.DUMMYFUNCTION("""COMPUTED_VALUE"""),166.44)</f>
        <v>166.44</v>
      </c>
      <c r="C1826" s="1">
        <f ca="1">IFERROR(__xludf.DUMMYFUNCTION("""COMPUTED_VALUE"""),166.5)</f>
        <v>166.5</v>
      </c>
      <c r="D1826" s="1">
        <f ca="1">IFERROR(__xludf.DUMMYFUNCTION("""COMPUTED_VALUE"""),162.95)</f>
        <v>162.94999999999999</v>
      </c>
      <c r="E1826" s="1">
        <f ca="1">IFERROR(__xludf.DUMMYFUNCTION("""COMPUTED_VALUE"""),163)</f>
        <v>163</v>
      </c>
      <c r="F1826" s="1">
        <f ca="1">IFERROR(__xludf.DUMMYFUNCTION("""COMPUTED_VALUE"""),2998289)</f>
        <v>2998289</v>
      </c>
    </row>
    <row r="1827" spans="1:6" x14ac:dyDescent="0.35">
      <c r="A1827" s="2">
        <f ca="1">IFERROR(__xludf.DUMMYFUNCTION("""COMPUTED_VALUE"""),44652.6666666666)</f>
        <v>44652.666666666599</v>
      </c>
      <c r="B1827" s="1">
        <f ca="1">IFERROR(__xludf.DUMMYFUNCTION("""COMPUTED_VALUE"""),164.15)</f>
        <v>164.15</v>
      </c>
      <c r="C1827" s="1">
        <f ca="1">IFERROR(__xludf.DUMMYFUNCTION("""COMPUTED_VALUE"""),165.83)</f>
        <v>165.83</v>
      </c>
      <c r="D1827" s="1">
        <f ca="1">IFERROR(__xludf.DUMMYFUNCTION("""COMPUTED_VALUE"""),162.32)</f>
        <v>162.32</v>
      </c>
      <c r="E1827" s="1">
        <f ca="1">IFERROR(__xludf.DUMMYFUNCTION("""COMPUTED_VALUE"""),163.56)</f>
        <v>163.56</v>
      </c>
      <c r="F1827" s="1">
        <f ca="1">IFERROR(__xludf.DUMMYFUNCTION("""COMPUTED_VALUE"""),2854475)</f>
        <v>2854475</v>
      </c>
    </row>
    <row r="1828" spans="1:6" x14ac:dyDescent="0.35">
      <c r="A1828" s="2">
        <f ca="1">IFERROR(__xludf.DUMMYFUNCTION("""COMPUTED_VALUE"""),44655.6666666666)</f>
        <v>44655.666666666599</v>
      </c>
      <c r="B1828" s="1">
        <f ca="1">IFERROR(__xludf.DUMMYFUNCTION("""COMPUTED_VALUE"""),164.13)</f>
        <v>164.13</v>
      </c>
      <c r="C1828" s="1">
        <f ca="1">IFERROR(__xludf.DUMMYFUNCTION("""COMPUTED_VALUE"""),168.39)</f>
        <v>168.39</v>
      </c>
      <c r="D1828" s="1">
        <f ca="1">IFERROR(__xludf.DUMMYFUNCTION("""COMPUTED_VALUE"""),163.21)</f>
        <v>163.21</v>
      </c>
      <c r="E1828" s="1">
        <f ca="1">IFERROR(__xludf.DUMMYFUNCTION("""COMPUTED_VALUE"""),168.35)</f>
        <v>168.35</v>
      </c>
      <c r="F1828" s="1">
        <f ca="1">IFERROR(__xludf.DUMMYFUNCTION("""COMPUTED_VALUE"""),2500398)</f>
        <v>2500398</v>
      </c>
    </row>
    <row r="1829" spans="1:6" x14ac:dyDescent="0.35">
      <c r="A1829" s="2">
        <f ca="1">IFERROR(__xludf.DUMMYFUNCTION("""COMPUTED_VALUE"""),44656.6666666666)</f>
        <v>44656.666666666599</v>
      </c>
      <c r="B1829" s="1">
        <f ca="1">IFERROR(__xludf.DUMMYFUNCTION("""COMPUTED_VALUE"""),167.74)</f>
        <v>167.74</v>
      </c>
      <c r="C1829" s="1">
        <f ca="1">IFERROR(__xludf.DUMMYFUNCTION("""COMPUTED_VALUE"""),168.11)</f>
        <v>168.11</v>
      </c>
      <c r="D1829" s="1">
        <f ca="1">IFERROR(__xludf.DUMMYFUNCTION("""COMPUTED_VALUE"""),163.27)</f>
        <v>163.27000000000001</v>
      </c>
      <c r="E1829" s="1">
        <f ca="1">IFERROR(__xludf.DUMMYFUNCTION("""COMPUTED_VALUE"""),164.06)</f>
        <v>164.06</v>
      </c>
      <c r="F1829" s="1">
        <f ca="1">IFERROR(__xludf.DUMMYFUNCTION("""COMPUTED_VALUE"""),2686428)</f>
        <v>2686428</v>
      </c>
    </row>
    <row r="1830" spans="1:6" x14ac:dyDescent="0.35">
      <c r="A1830" s="2">
        <f ca="1">IFERROR(__xludf.DUMMYFUNCTION("""COMPUTED_VALUE"""),44657.6666666666)</f>
        <v>44657.666666666599</v>
      </c>
      <c r="B1830" s="1">
        <f ca="1">IFERROR(__xludf.DUMMYFUNCTION("""COMPUTED_VALUE"""),161.65)</f>
        <v>161.65</v>
      </c>
      <c r="C1830" s="1">
        <f ca="1">IFERROR(__xludf.DUMMYFUNCTION("""COMPUTED_VALUE"""),162.2)</f>
        <v>162.19999999999999</v>
      </c>
      <c r="D1830" s="1">
        <f ca="1">IFERROR(__xludf.DUMMYFUNCTION("""COMPUTED_VALUE"""),157.25)</f>
        <v>157.25</v>
      </c>
      <c r="E1830" s="1">
        <f ca="1">IFERROR(__xludf.DUMMYFUNCTION("""COMPUTED_VALUE"""),158.76)</f>
        <v>158.76</v>
      </c>
      <c r="F1830" s="1">
        <f ca="1">IFERROR(__xludf.DUMMYFUNCTION("""COMPUTED_VALUE"""),3952788)</f>
        <v>3952788</v>
      </c>
    </row>
    <row r="1831" spans="1:6" x14ac:dyDescent="0.35">
      <c r="A1831" s="2">
        <f ca="1">IFERROR(__xludf.DUMMYFUNCTION("""COMPUTED_VALUE"""),44658.6666666666)</f>
        <v>44658.666666666599</v>
      </c>
      <c r="B1831" s="1">
        <f ca="1">IFERROR(__xludf.DUMMYFUNCTION("""COMPUTED_VALUE"""),158.4)</f>
        <v>158.4</v>
      </c>
      <c r="C1831" s="1">
        <f ca="1">IFERROR(__xludf.DUMMYFUNCTION("""COMPUTED_VALUE"""),160.08)</f>
        <v>160.08000000000001</v>
      </c>
      <c r="D1831" s="1">
        <f ca="1">IFERROR(__xludf.DUMMYFUNCTION("""COMPUTED_VALUE"""),154.51)</f>
        <v>154.51</v>
      </c>
      <c r="E1831" s="1">
        <f ca="1">IFERROR(__xludf.DUMMYFUNCTION("""COMPUTED_VALUE"""),157.78)</f>
        <v>157.78</v>
      </c>
      <c r="F1831" s="1">
        <f ca="1">IFERROR(__xludf.DUMMYFUNCTION("""COMPUTED_VALUE"""),3406839)</f>
        <v>3406839</v>
      </c>
    </row>
    <row r="1832" spans="1:6" x14ac:dyDescent="0.35">
      <c r="A1832" s="2">
        <f ca="1">IFERROR(__xludf.DUMMYFUNCTION("""COMPUTED_VALUE"""),44659.6666666666)</f>
        <v>44659.666666666599</v>
      </c>
      <c r="B1832" s="1">
        <f ca="1">IFERROR(__xludf.DUMMYFUNCTION("""COMPUTED_VALUE"""),156.75)</f>
        <v>156.75</v>
      </c>
      <c r="C1832" s="1">
        <f ca="1">IFERROR(__xludf.DUMMYFUNCTION("""COMPUTED_VALUE"""),157.37)</f>
        <v>157.37</v>
      </c>
      <c r="D1832" s="1">
        <f ca="1">IFERROR(__xludf.DUMMYFUNCTION("""COMPUTED_VALUE"""),154.23)</f>
        <v>154.22999999999999</v>
      </c>
      <c r="E1832" s="1">
        <f ca="1">IFERROR(__xludf.DUMMYFUNCTION("""COMPUTED_VALUE"""),154.46)</f>
        <v>154.46</v>
      </c>
      <c r="F1832" s="1">
        <f ca="1">IFERROR(__xludf.DUMMYFUNCTION("""COMPUTED_VALUE"""),2300083)</f>
        <v>2300083</v>
      </c>
    </row>
    <row r="1833" spans="1:6" x14ac:dyDescent="0.35">
      <c r="A1833" s="2">
        <f ca="1">IFERROR(__xludf.DUMMYFUNCTION("""COMPUTED_VALUE"""),44662.6666666666)</f>
        <v>44662.666666666599</v>
      </c>
      <c r="B1833" s="1">
        <f ca="1">IFERROR(__xludf.DUMMYFUNCTION("""COMPUTED_VALUE"""),152.71)</f>
        <v>152.71</v>
      </c>
      <c r="C1833" s="1">
        <f ca="1">IFERROR(__xludf.DUMMYFUNCTION("""COMPUTED_VALUE"""),154.14)</f>
        <v>154.13999999999999</v>
      </c>
      <c r="D1833" s="1">
        <f ca="1">IFERROR(__xludf.DUMMYFUNCTION("""COMPUTED_VALUE"""),150.53)</f>
        <v>150.53</v>
      </c>
      <c r="E1833" s="1">
        <f ca="1">IFERROR(__xludf.DUMMYFUNCTION("""COMPUTED_VALUE"""),151.12)</f>
        <v>151.12</v>
      </c>
      <c r="F1833" s="1">
        <f ca="1">IFERROR(__xludf.DUMMYFUNCTION("""COMPUTED_VALUE"""),2605617)</f>
        <v>2605617</v>
      </c>
    </row>
    <row r="1834" spans="1:6" x14ac:dyDescent="0.35">
      <c r="A1834" s="2">
        <f ca="1">IFERROR(__xludf.DUMMYFUNCTION("""COMPUTED_VALUE"""),44663.6666666666)</f>
        <v>44663.666666666599</v>
      </c>
      <c r="B1834" s="1">
        <f ca="1">IFERROR(__xludf.DUMMYFUNCTION("""COMPUTED_VALUE"""),153.69)</f>
        <v>153.69</v>
      </c>
      <c r="C1834" s="1">
        <f ca="1">IFERROR(__xludf.DUMMYFUNCTION("""COMPUTED_VALUE"""),155.1)</f>
        <v>155.1</v>
      </c>
      <c r="D1834" s="1">
        <f ca="1">IFERROR(__xludf.DUMMYFUNCTION("""COMPUTED_VALUE"""),150.38)</f>
        <v>150.38</v>
      </c>
      <c r="E1834" s="1">
        <f ca="1">IFERROR(__xludf.DUMMYFUNCTION("""COMPUTED_VALUE"""),150.79)</f>
        <v>150.79</v>
      </c>
      <c r="F1834" s="1">
        <f ca="1">IFERROR(__xludf.DUMMYFUNCTION("""COMPUTED_VALUE"""),2758872)</f>
        <v>2758872</v>
      </c>
    </row>
    <row r="1835" spans="1:6" x14ac:dyDescent="0.35">
      <c r="A1835" s="2">
        <f ca="1">IFERROR(__xludf.DUMMYFUNCTION("""COMPUTED_VALUE"""),44664.6666666666)</f>
        <v>44664.666666666599</v>
      </c>
      <c r="B1835" s="1">
        <f ca="1">IFERROR(__xludf.DUMMYFUNCTION("""COMPUTED_VALUE"""),150.02)</f>
        <v>150.02000000000001</v>
      </c>
      <c r="C1835" s="1">
        <f ca="1">IFERROR(__xludf.DUMMYFUNCTION("""COMPUTED_VALUE"""),156.03)</f>
        <v>156.03</v>
      </c>
      <c r="D1835" s="1">
        <f ca="1">IFERROR(__xludf.DUMMYFUNCTION("""COMPUTED_VALUE"""),149.6)</f>
        <v>149.6</v>
      </c>
      <c r="E1835" s="1">
        <f ca="1">IFERROR(__xludf.DUMMYFUNCTION("""COMPUTED_VALUE"""),155.54)</f>
        <v>155.54</v>
      </c>
      <c r="F1835" s="1">
        <f ca="1">IFERROR(__xludf.DUMMYFUNCTION("""COMPUTED_VALUE"""),2669544)</f>
        <v>2669544</v>
      </c>
    </row>
    <row r="1836" spans="1:6" x14ac:dyDescent="0.35">
      <c r="A1836" s="2">
        <f ca="1">IFERROR(__xludf.DUMMYFUNCTION("""COMPUTED_VALUE"""),44665.6666666666)</f>
        <v>44665.666666666599</v>
      </c>
      <c r="B1836" s="1">
        <f ca="1">IFERROR(__xludf.DUMMYFUNCTION("""COMPUTED_VALUE"""),155.39)</f>
        <v>155.38999999999999</v>
      </c>
      <c r="C1836" s="1">
        <f ca="1">IFERROR(__xludf.DUMMYFUNCTION("""COMPUTED_VALUE"""),155.9)</f>
        <v>155.9</v>
      </c>
      <c r="D1836" s="1">
        <f ca="1">IFERROR(__xludf.DUMMYFUNCTION("""COMPUTED_VALUE"""),151.47)</f>
        <v>151.47</v>
      </c>
      <c r="E1836" s="1">
        <f ca="1">IFERROR(__xludf.DUMMYFUNCTION("""COMPUTED_VALUE"""),151.71)</f>
        <v>151.71</v>
      </c>
      <c r="F1836" s="1">
        <f ca="1">IFERROR(__xludf.DUMMYFUNCTION("""COMPUTED_VALUE"""),2579907)</f>
        <v>2579907</v>
      </c>
    </row>
    <row r="1837" spans="1:6" x14ac:dyDescent="0.35">
      <c r="A1837" s="2">
        <f ca="1">IFERROR(__xludf.DUMMYFUNCTION("""COMPUTED_VALUE"""),44669.6666666666)</f>
        <v>44669.666666666599</v>
      </c>
      <c r="B1837" s="1">
        <f ca="1">IFERROR(__xludf.DUMMYFUNCTION("""COMPUTED_VALUE"""),151.52)</f>
        <v>151.52000000000001</v>
      </c>
      <c r="C1837" s="1">
        <f ca="1">IFERROR(__xludf.DUMMYFUNCTION("""COMPUTED_VALUE"""),154.04)</f>
        <v>154.04</v>
      </c>
      <c r="D1837" s="1">
        <f ca="1">IFERROR(__xludf.DUMMYFUNCTION("""COMPUTED_VALUE"""),150.25)</f>
        <v>150.25</v>
      </c>
      <c r="E1837" s="1">
        <f ca="1">IFERROR(__xludf.DUMMYFUNCTION("""COMPUTED_VALUE"""),152.79)</f>
        <v>152.79</v>
      </c>
      <c r="F1837" s="1">
        <f ca="1">IFERROR(__xludf.DUMMYFUNCTION("""COMPUTED_VALUE"""),2325676)</f>
        <v>2325676</v>
      </c>
    </row>
    <row r="1838" spans="1:6" x14ac:dyDescent="0.35">
      <c r="A1838" s="2">
        <f ca="1">IFERROR(__xludf.DUMMYFUNCTION("""COMPUTED_VALUE"""),44670.6666666666)</f>
        <v>44670.666666666599</v>
      </c>
      <c r="B1838" s="1">
        <f ca="1">IFERROR(__xludf.DUMMYFUNCTION("""COMPUTED_VALUE"""),152.03)</f>
        <v>152.03</v>
      </c>
      <c r="C1838" s="1">
        <f ca="1">IFERROR(__xludf.DUMMYFUNCTION("""COMPUTED_VALUE"""),158.65)</f>
        <v>158.65</v>
      </c>
      <c r="D1838" s="1">
        <f ca="1">IFERROR(__xludf.DUMMYFUNCTION("""COMPUTED_VALUE"""),151.55)</f>
        <v>151.55000000000001</v>
      </c>
      <c r="E1838" s="1">
        <f ca="1">IFERROR(__xludf.DUMMYFUNCTION("""COMPUTED_VALUE"""),158.12)</f>
        <v>158.12</v>
      </c>
      <c r="F1838" s="1">
        <f ca="1">IFERROR(__xludf.DUMMYFUNCTION("""COMPUTED_VALUE"""),2746321)</f>
        <v>2746321</v>
      </c>
    </row>
    <row r="1839" spans="1:6" x14ac:dyDescent="0.35">
      <c r="A1839" s="2">
        <f ca="1">IFERROR(__xludf.DUMMYFUNCTION("""COMPUTED_VALUE"""),44671.6666666666)</f>
        <v>44671.666666666599</v>
      </c>
      <c r="B1839" s="1">
        <f ca="1">IFERROR(__xludf.DUMMYFUNCTION("""COMPUTED_VALUE"""),157.6)</f>
        <v>157.6</v>
      </c>
      <c r="C1839" s="1">
        <f ca="1">IFERROR(__xludf.DUMMYFUNCTION("""COMPUTED_VALUE"""),157.6)</f>
        <v>157.6</v>
      </c>
      <c r="D1839" s="1">
        <f ca="1">IFERROR(__xludf.DUMMYFUNCTION("""COMPUTED_VALUE"""),153.6)</f>
        <v>153.6</v>
      </c>
      <c r="E1839" s="1">
        <f ca="1">IFERROR(__xludf.DUMMYFUNCTION("""COMPUTED_VALUE"""),154)</f>
        <v>154</v>
      </c>
      <c r="F1839" s="1">
        <f ca="1">IFERROR(__xludf.DUMMYFUNCTION("""COMPUTED_VALUE"""),2981501)</f>
        <v>2981501</v>
      </c>
    </row>
    <row r="1840" spans="1:6" x14ac:dyDescent="0.35">
      <c r="A1840" s="2">
        <f ca="1">IFERROR(__xludf.DUMMYFUNCTION("""COMPUTED_VALUE"""),44672.6666666666)</f>
        <v>44672.666666666599</v>
      </c>
      <c r="B1840" s="1">
        <f ca="1">IFERROR(__xludf.DUMMYFUNCTION("""COMPUTED_VALUE"""),154.71)</f>
        <v>154.71</v>
      </c>
      <c r="C1840" s="1">
        <f ca="1">IFERROR(__xludf.DUMMYFUNCTION("""COMPUTED_VALUE"""),156.74)</f>
        <v>156.74</v>
      </c>
      <c r="D1840" s="1">
        <f ca="1">IFERROR(__xludf.DUMMYFUNCTION("""COMPUTED_VALUE"""),147.59)</f>
        <v>147.59</v>
      </c>
      <c r="E1840" s="1">
        <f ca="1">IFERROR(__xludf.DUMMYFUNCTION("""COMPUTED_VALUE"""),148.3)</f>
        <v>148.30000000000001</v>
      </c>
      <c r="F1840" s="1">
        <f ca="1">IFERROR(__xludf.DUMMYFUNCTION("""COMPUTED_VALUE"""),3198466)</f>
        <v>3198466</v>
      </c>
    </row>
    <row r="1841" spans="1:6" x14ac:dyDescent="0.35">
      <c r="A1841" s="2">
        <f ca="1">IFERROR(__xludf.DUMMYFUNCTION("""COMPUTED_VALUE"""),44673.6666666666)</f>
        <v>44673.666666666599</v>
      </c>
      <c r="B1841" s="1">
        <f ca="1">IFERROR(__xludf.DUMMYFUNCTION("""COMPUTED_VALUE"""),148.25)</f>
        <v>148.25</v>
      </c>
      <c r="C1841" s="1">
        <f ca="1">IFERROR(__xludf.DUMMYFUNCTION("""COMPUTED_VALUE"""),149.62)</f>
        <v>149.62</v>
      </c>
      <c r="D1841" s="1">
        <f ca="1">IFERROR(__xludf.DUMMYFUNCTION("""COMPUTED_VALUE"""),143.7)</f>
        <v>143.69999999999999</v>
      </c>
      <c r="E1841" s="1">
        <f ca="1">IFERROR(__xludf.DUMMYFUNCTION("""COMPUTED_VALUE"""),144.35)</f>
        <v>144.35</v>
      </c>
      <c r="F1841" s="1">
        <f ca="1">IFERROR(__xludf.DUMMYFUNCTION("""COMPUTED_VALUE"""),3653929)</f>
        <v>3653929</v>
      </c>
    </row>
    <row r="1842" spans="1:6" x14ac:dyDescent="0.35">
      <c r="A1842" s="2">
        <f ca="1">IFERROR(__xludf.DUMMYFUNCTION("""COMPUTED_VALUE"""),44676.6666666666)</f>
        <v>44676.666666666599</v>
      </c>
      <c r="B1842" s="1">
        <f ca="1">IFERROR(__xludf.DUMMYFUNCTION("""COMPUTED_VALUE"""),144.02)</f>
        <v>144.02000000000001</v>
      </c>
      <c r="C1842" s="1">
        <f ca="1">IFERROR(__xludf.DUMMYFUNCTION("""COMPUTED_VALUE"""),146.22)</f>
        <v>146.22</v>
      </c>
      <c r="D1842" s="1">
        <f ca="1">IFERROR(__xludf.DUMMYFUNCTION("""COMPUTED_VALUE"""),142.31)</f>
        <v>142.31</v>
      </c>
      <c r="E1842" s="1">
        <f ca="1">IFERROR(__xludf.DUMMYFUNCTION("""COMPUTED_VALUE"""),146.07)</f>
        <v>146.07</v>
      </c>
      <c r="F1842" s="1">
        <f ca="1">IFERROR(__xludf.DUMMYFUNCTION("""COMPUTED_VALUE"""),3093749)</f>
        <v>3093749</v>
      </c>
    </row>
    <row r="1843" spans="1:6" x14ac:dyDescent="0.35">
      <c r="A1843" s="2">
        <f ca="1">IFERROR(__xludf.DUMMYFUNCTION("""COMPUTED_VALUE"""),44677.6666666666)</f>
        <v>44677.666666666599</v>
      </c>
      <c r="B1843" s="1">
        <f ca="1">IFERROR(__xludf.DUMMYFUNCTION("""COMPUTED_VALUE"""),144.8)</f>
        <v>144.80000000000001</v>
      </c>
      <c r="C1843" s="1">
        <f ca="1">IFERROR(__xludf.DUMMYFUNCTION("""COMPUTED_VALUE"""),144.86)</f>
        <v>144.86000000000001</v>
      </c>
      <c r="D1843" s="1">
        <f ca="1">IFERROR(__xludf.DUMMYFUNCTION("""COMPUTED_VALUE"""),138.93)</f>
        <v>138.93</v>
      </c>
      <c r="E1843" s="1">
        <f ca="1">IFERROR(__xludf.DUMMYFUNCTION("""COMPUTED_VALUE"""),139.39)</f>
        <v>139.38999999999999</v>
      </c>
      <c r="F1843" s="1">
        <f ca="1">IFERROR(__xludf.DUMMYFUNCTION("""COMPUTED_VALUE"""),3876458)</f>
        <v>3876458</v>
      </c>
    </row>
    <row r="1844" spans="1:6" x14ac:dyDescent="0.35">
      <c r="A1844" s="2">
        <f ca="1">IFERROR(__xludf.DUMMYFUNCTION("""COMPUTED_VALUE"""),44678.6666666666)</f>
        <v>44678.666666666599</v>
      </c>
      <c r="B1844" s="1">
        <f ca="1">IFERROR(__xludf.DUMMYFUNCTION("""COMPUTED_VALUE"""),140.19)</f>
        <v>140.19</v>
      </c>
      <c r="C1844" s="1">
        <f ca="1">IFERROR(__xludf.DUMMYFUNCTION("""COMPUTED_VALUE"""),141.95)</f>
        <v>141.94999999999999</v>
      </c>
      <c r="D1844" s="1">
        <f ca="1">IFERROR(__xludf.DUMMYFUNCTION("""COMPUTED_VALUE"""),135.78)</f>
        <v>135.78</v>
      </c>
      <c r="E1844" s="1">
        <f ca="1">IFERROR(__xludf.DUMMYFUNCTION("""COMPUTED_VALUE"""),138.17)</f>
        <v>138.16999999999999</v>
      </c>
      <c r="F1844" s="1">
        <f ca="1">IFERROR(__xludf.DUMMYFUNCTION("""COMPUTED_VALUE"""),3566815)</f>
        <v>3566815</v>
      </c>
    </row>
    <row r="1845" spans="1:6" x14ac:dyDescent="0.35">
      <c r="A1845" s="2">
        <f ca="1">IFERROR(__xludf.DUMMYFUNCTION("""COMPUTED_VALUE"""),44679.6666666666)</f>
        <v>44679.666666666599</v>
      </c>
      <c r="B1845" s="1">
        <f ca="1">IFERROR(__xludf.DUMMYFUNCTION("""COMPUTED_VALUE"""),142.18)</f>
        <v>142.18</v>
      </c>
      <c r="C1845" s="1">
        <f ca="1">IFERROR(__xludf.DUMMYFUNCTION("""COMPUTED_VALUE"""),145.94)</f>
        <v>145.94</v>
      </c>
      <c r="D1845" s="1">
        <f ca="1">IFERROR(__xludf.DUMMYFUNCTION("""COMPUTED_VALUE"""),140.3)</f>
        <v>140.30000000000001</v>
      </c>
      <c r="E1845" s="1">
        <f ca="1">IFERROR(__xludf.DUMMYFUNCTION("""COMPUTED_VALUE"""),144.6)</f>
        <v>144.6</v>
      </c>
      <c r="F1845" s="1">
        <f ca="1">IFERROR(__xludf.DUMMYFUNCTION("""COMPUTED_VALUE"""),5865847)</f>
        <v>5865847</v>
      </c>
    </row>
    <row r="1846" spans="1:6" x14ac:dyDescent="0.35">
      <c r="A1846" s="2">
        <f ca="1">IFERROR(__xludf.DUMMYFUNCTION("""COMPUTED_VALUE"""),44680.6666666666)</f>
        <v>44680.666666666599</v>
      </c>
      <c r="B1846" s="1">
        <f ca="1">IFERROR(__xludf.DUMMYFUNCTION("""COMPUTED_VALUE"""),129.85)</f>
        <v>129.85</v>
      </c>
      <c r="C1846" s="1">
        <f ca="1">IFERROR(__xludf.DUMMYFUNCTION("""COMPUTED_VALUE"""),130.76)</f>
        <v>130.76</v>
      </c>
      <c r="D1846" s="1">
        <f ca="1">IFERROR(__xludf.DUMMYFUNCTION("""COMPUTED_VALUE"""),121.63)</f>
        <v>121.63</v>
      </c>
      <c r="E1846" s="1">
        <f ca="1">IFERROR(__xludf.DUMMYFUNCTION("""COMPUTED_VALUE"""),124.28)</f>
        <v>124.28</v>
      </c>
      <c r="F1846" s="1">
        <f ca="1">IFERROR(__xludf.DUMMYFUNCTION("""COMPUTED_VALUE"""),13633086)</f>
        <v>13633086</v>
      </c>
    </row>
    <row r="1847" spans="1:6" x14ac:dyDescent="0.35">
      <c r="A1847" s="2">
        <f ca="1">IFERROR(__xludf.DUMMYFUNCTION("""COMPUTED_VALUE"""),44683.6666666666)</f>
        <v>44683.666666666599</v>
      </c>
      <c r="B1847" s="1">
        <f ca="1">IFERROR(__xludf.DUMMYFUNCTION("""COMPUTED_VALUE"""),122.4)</f>
        <v>122.4</v>
      </c>
      <c r="C1847" s="1">
        <f ca="1">IFERROR(__xludf.DUMMYFUNCTION("""COMPUTED_VALUE"""),124.67)</f>
        <v>124.67</v>
      </c>
      <c r="D1847" s="1">
        <f ca="1">IFERROR(__xludf.DUMMYFUNCTION("""COMPUTED_VALUE"""),118.38)</f>
        <v>118.38</v>
      </c>
      <c r="E1847" s="1">
        <f ca="1">IFERROR(__xludf.DUMMYFUNCTION("""COMPUTED_VALUE"""),124.5)</f>
        <v>124.5</v>
      </c>
      <c r="F1847" s="1">
        <f ca="1">IFERROR(__xludf.DUMMYFUNCTION("""COMPUTED_VALUE"""),7439449)</f>
        <v>7439449</v>
      </c>
    </row>
    <row r="1848" spans="1:6" x14ac:dyDescent="0.35">
      <c r="A1848" s="2">
        <f ca="1">IFERROR(__xludf.DUMMYFUNCTION("""COMPUTED_VALUE"""),44684.6666666666)</f>
        <v>44684.666666666599</v>
      </c>
      <c r="B1848" s="1">
        <f ca="1">IFERROR(__xludf.DUMMYFUNCTION("""COMPUTED_VALUE"""),124.05)</f>
        <v>124.05</v>
      </c>
      <c r="C1848" s="1">
        <f ca="1">IFERROR(__xludf.DUMMYFUNCTION("""COMPUTED_VALUE"""),126.22)</f>
        <v>126.22</v>
      </c>
      <c r="D1848" s="1">
        <f ca="1">IFERROR(__xludf.DUMMYFUNCTION("""COMPUTED_VALUE"""),122.83)</f>
        <v>122.83</v>
      </c>
      <c r="E1848" s="1">
        <f ca="1">IFERROR(__xludf.DUMMYFUNCTION("""COMPUTED_VALUE"""),124.25)</f>
        <v>124.25</v>
      </c>
      <c r="F1848" s="1">
        <f ca="1">IFERROR(__xludf.DUMMYFUNCTION("""COMPUTED_VALUE"""),3956668)</f>
        <v>3956668</v>
      </c>
    </row>
    <row r="1849" spans="1:6" x14ac:dyDescent="0.35">
      <c r="A1849" s="2">
        <f ca="1">IFERROR(__xludf.DUMMYFUNCTION("""COMPUTED_VALUE"""),44685.6666666666)</f>
        <v>44685.666666666599</v>
      </c>
      <c r="B1849" s="1">
        <f ca="1">IFERROR(__xludf.DUMMYFUNCTION("""COMPUTED_VALUE"""),123.6)</f>
        <v>123.6</v>
      </c>
      <c r="C1849" s="1">
        <f ca="1">IFERROR(__xludf.DUMMYFUNCTION("""COMPUTED_VALUE"""),126)</f>
        <v>126</v>
      </c>
      <c r="D1849" s="1">
        <f ca="1">IFERROR(__xludf.DUMMYFUNCTION("""COMPUTED_VALUE"""),119.18)</f>
        <v>119.18</v>
      </c>
      <c r="E1849" s="1">
        <f ca="1">IFERROR(__xludf.DUMMYFUNCTION("""COMPUTED_VALUE"""),125.93)</f>
        <v>125.93</v>
      </c>
      <c r="F1849" s="1">
        <f ca="1">IFERROR(__xludf.DUMMYFUNCTION("""COMPUTED_VALUE"""),5537268)</f>
        <v>5537268</v>
      </c>
    </row>
    <row r="1850" spans="1:6" x14ac:dyDescent="0.35">
      <c r="A1850" s="2">
        <f ca="1">IFERROR(__xludf.DUMMYFUNCTION("""COMPUTED_VALUE"""),44686.6666666666)</f>
        <v>44686.666666666599</v>
      </c>
      <c r="B1850" s="1">
        <f ca="1">IFERROR(__xludf.DUMMYFUNCTION("""COMPUTED_VALUE"""),123)</f>
        <v>123</v>
      </c>
      <c r="C1850" s="1">
        <f ca="1">IFERROR(__xludf.DUMMYFUNCTION("""COMPUTED_VALUE"""),123.5)</f>
        <v>123.5</v>
      </c>
      <c r="D1850" s="1">
        <f ca="1">IFERROR(__xludf.DUMMYFUNCTION("""COMPUTED_VALUE"""),115.07)</f>
        <v>115.07</v>
      </c>
      <c r="E1850" s="1">
        <f ca="1">IFERROR(__xludf.DUMMYFUNCTION("""COMPUTED_VALUE"""),116.41)</f>
        <v>116.41</v>
      </c>
      <c r="F1850" s="1">
        <f ca="1">IFERROR(__xludf.DUMMYFUNCTION("""COMPUTED_VALUE"""),7219561)</f>
        <v>7219561</v>
      </c>
    </row>
    <row r="1851" spans="1:6" x14ac:dyDescent="0.35">
      <c r="A1851" s="2">
        <f ca="1">IFERROR(__xludf.DUMMYFUNCTION("""COMPUTED_VALUE"""),44687.6666666666)</f>
        <v>44687.666666666599</v>
      </c>
      <c r="B1851" s="1">
        <f ca="1">IFERROR(__xludf.DUMMYFUNCTION("""COMPUTED_VALUE"""),114.85)</f>
        <v>114.85</v>
      </c>
      <c r="C1851" s="1">
        <f ca="1">IFERROR(__xludf.DUMMYFUNCTION("""COMPUTED_VALUE"""),119.05)</f>
        <v>119.05</v>
      </c>
      <c r="D1851" s="1">
        <f ca="1">IFERROR(__xludf.DUMMYFUNCTION("""COMPUTED_VALUE"""),113.08)</f>
        <v>113.08</v>
      </c>
      <c r="E1851" s="1">
        <f ca="1">IFERROR(__xludf.DUMMYFUNCTION("""COMPUTED_VALUE"""),114.77)</f>
        <v>114.77</v>
      </c>
      <c r="F1851" s="1">
        <f ca="1">IFERROR(__xludf.DUMMYFUNCTION("""COMPUTED_VALUE"""),6212995)</f>
        <v>6212995</v>
      </c>
    </row>
    <row r="1852" spans="1:6" x14ac:dyDescent="0.35">
      <c r="A1852" s="2">
        <f ca="1">IFERROR(__xludf.DUMMYFUNCTION("""COMPUTED_VALUE"""),44690.6666666666)</f>
        <v>44690.666666666599</v>
      </c>
      <c r="B1852" s="1">
        <f ca="1">IFERROR(__xludf.DUMMYFUNCTION("""COMPUTED_VALUE"""),111.31)</f>
        <v>111.31</v>
      </c>
      <c r="C1852" s="1">
        <f ca="1">IFERROR(__xludf.DUMMYFUNCTION("""COMPUTED_VALUE"""),114)</f>
        <v>114</v>
      </c>
      <c r="D1852" s="1">
        <f ca="1">IFERROR(__xludf.DUMMYFUNCTION("""COMPUTED_VALUE"""),107.96)</f>
        <v>107.96</v>
      </c>
      <c r="E1852" s="1">
        <f ca="1">IFERROR(__xludf.DUMMYFUNCTION("""COMPUTED_VALUE"""),108.79)</f>
        <v>108.79</v>
      </c>
      <c r="F1852" s="1">
        <f ca="1">IFERROR(__xludf.DUMMYFUNCTION("""COMPUTED_VALUE"""),6406219)</f>
        <v>6406219</v>
      </c>
    </row>
    <row r="1853" spans="1:6" x14ac:dyDescent="0.35">
      <c r="A1853" s="2">
        <f ca="1">IFERROR(__xludf.DUMMYFUNCTION("""COMPUTED_VALUE"""),44691.6666666666)</f>
        <v>44691.666666666599</v>
      </c>
      <c r="B1853" s="1">
        <f ca="1">IFERROR(__xludf.DUMMYFUNCTION("""COMPUTED_VALUE"""),111.25)</f>
        <v>111.25</v>
      </c>
      <c r="C1853" s="1">
        <f ca="1">IFERROR(__xludf.DUMMYFUNCTION("""COMPUTED_VALUE"""),112.64)</f>
        <v>112.64</v>
      </c>
      <c r="D1853" s="1">
        <f ca="1">IFERROR(__xludf.DUMMYFUNCTION("""COMPUTED_VALUE"""),107.17)</f>
        <v>107.17</v>
      </c>
      <c r="E1853" s="1">
        <f ca="1">IFERROR(__xludf.DUMMYFUNCTION("""COMPUTED_VALUE"""),108.86)</f>
        <v>108.86</v>
      </c>
      <c r="F1853" s="1">
        <f ca="1">IFERROR(__xludf.DUMMYFUNCTION("""COMPUTED_VALUE"""),5271691)</f>
        <v>5271691</v>
      </c>
    </row>
    <row r="1854" spans="1:6" x14ac:dyDescent="0.35">
      <c r="A1854" s="2">
        <f ca="1">IFERROR(__xludf.DUMMYFUNCTION("""COMPUTED_VALUE"""),44692.6666666666)</f>
        <v>44692.666666666599</v>
      </c>
      <c r="B1854" s="1">
        <f ca="1">IFERROR(__xludf.DUMMYFUNCTION("""COMPUTED_VALUE"""),108.1)</f>
        <v>108.1</v>
      </c>
      <c r="C1854" s="1">
        <f ca="1">IFERROR(__xludf.DUMMYFUNCTION("""COMPUTED_VALUE"""),110.16)</f>
        <v>110.16</v>
      </c>
      <c r="D1854" s="1">
        <f ca="1">IFERROR(__xludf.DUMMYFUNCTION("""COMPUTED_VALUE"""),104.43)</f>
        <v>104.43</v>
      </c>
      <c r="E1854" s="1">
        <f ca="1">IFERROR(__xludf.DUMMYFUNCTION("""COMPUTED_VALUE"""),105.37)</f>
        <v>105.37</v>
      </c>
      <c r="F1854" s="1">
        <f ca="1">IFERROR(__xludf.DUMMYFUNCTION("""COMPUTED_VALUE"""),5485182)</f>
        <v>5485182</v>
      </c>
    </row>
    <row r="1855" spans="1:6" x14ac:dyDescent="0.35">
      <c r="A1855" s="2">
        <f ca="1">IFERROR(__xludf.DUMMYFUNCTION("""COMPUTED_VALUE"""),44693.6666666666)</f>
        <v>44693.666666666599</v>
      </c>
      <c r="B1855" s="1">
        <f ca="1">IFERROR(__xludf.DUMMYFUNCTION("""COMPUTED_VALUE"""),102.75)</f>
        <v>102.75</v>
      </c>
      <c r="C1855" s="1">
        <f ca="1">IFERROR(__xludf.DUMMYFUNCTION("""COMPUTED_VALUE"""),110.78)</f>
        <v>110.78</v>
      </c>
      <c r="D1855" s="1">
        <f ca="1">IFERROR(__xludf.DUMMYFUNCTION("""COMPUTED_VALUE"""),102.41)</f>
        <v>102.41</v>
      </c>
      <c r="E1855" s="1">
        <f ca="1">IFERROR(__xludf.DUMMYFUNCTION("""COMPUTED_VALUE"""),106.93)</f>
        <v>106.93</v>
      </c>
      <c r="F1855" s="1">
        <f ca="1">IFERROR(__xludf.DUMMYFUNCTION("""COMPUTED_VALUE"""),6601257)</f>
        <v>6601257</v>
      </c>
    </row>
    <row r="1856" spans="1:6" x14ac:dyDescent="0.35">
      <c r="A1856" s="2">
        <f ca="1">IFERROR(__xludf.DUMMYFUNCTION("""COMPUTED_VALUE"""),44694.6666666666)</f>
        <v>44694.666666666599</v>
      </c>
      <c r="B1856" s="1">
        <f ca="1">IFERROR(__xludf.DUMMYFUNCTION("""COMPUTED_VALUE"""),109.07)</f>
        <v>109.07</v>
      </c>
      <c r="C1856" s="1">
        <f ca="1">IFERROR(__xludf.DUMMYFUNCTION("""COMPUTED_VALUE"""),113.18)</f>
        <v>113.18</v>
      </c>
      <c r="D1856" s="1">
        <f ca="1">IFERROR(__xludf.DUMMYFUNCTION("""COMPUTED_VALUE"""),107.8)</f>
        <v>107.8</v>
      </c>
      <c r="E1856" s="1">
        <f ca="1">IFERROR(__xludf.DUMMYFUNCTION("""COMPUTED_VALUE"""),113.06)</f>
        <v>113.06</v>
      </c>
      <c r="F1856" s="1">
        <f ca="1">IFERROR(__xludf.DUMMYFUNCTION("""COMPUTED_VALUE"""),4684228)</f>
        <v>4684228</v>
      </c>
    </row>
    <row r="1857" spans="1:6" x14ac:dyDescent="0.35">
      <c r="A1857" s="2">
        <f ca="1">IFERROR(__xludf.DUMMYFUNCTION("""COMPUTED_VALUE"""),44697.6666666666)</f>
        <v>44697.666666666599</v>
      </c>
      <c r="B1857" s="1">
        <f ca="1">IFERROR(__xludf.DUMMYFUNCTION("""COMPUTED_VALUE"""),113.1)</f>
        <v>113.1</v>
      </c>
      <c r="C1857" s="1">
        <f ca="1">IFERROR(__xludf.DUMMYFUNCTION("""COMPUTED_VALUE"""),113.99)</f>
        <v>113.99</v>
      </c>
      <c r="D1857" s="1">
        <f ca="1">IFERROR(__xludf.DUMMYFUNCTION("""COMPUTED_VALUE"""),110.35)</f>
        <v>110.35</v>
      </c>
      <c r="E1857" s="1">
        <f ca="1">IFERROR(__xludf.DUMMYFUNCTION("""COMPUTED_VALUE"""),110.81)</f>
        <v>110.81</v>
      </c>
      <c r="F1857" s="1">
        <f ca="1">IFERROR(__xludf.DUMMYFUNCTION("""COMPUTED_VALUE"""),3728287)</f>
        <v>3728287</v>
      </c>
    </row>
    <row r="1858" spans="1:6" x14ac:dyDescent="0.35">
      <c r="A1858" s="2">
        <f ca="1">IFERROR(__xludf.DUMMYFUNCTION("""COMPUTED_VALUE"""),44698.6666666666)</f>
        <v>44698.666666666599</v>
      </c>
      <c r="B1858" s="1">
        <f ca="1">IFERROR(__xludf.DUMMYFUNCTION("""COMPUTED_VALUE"""),113.28)</f>
        <v>113.28</v>
      </c>
      <c r="C1858" s="1">
        <f ca="1">IFERROR(__xludf.DUMMYFUNCTION("""COMPUTED_VALUE"""),115.8)</f>
        <v>115.8</v>
      </c>
      <c r="D1858" s="1">
        <f ca="1">IFERROR(__xludf.DUMMYFUNCTION("""COMPUTED_VALUE"""),111.28)</f>
        <v>111.28</v>
      </c>
      <c r="E1858" s="1">
        <f ca="1">IFERROR(__xludf.DUMMYFUNCTION("""COMPUTED_VALUE"""),115.37)</f>
        <v>115.37</v>
      </c>
      <c r="F1858" s="1">
        <f ca="1">IFERROR(__xludf.DUMMYFUNCTION("""COMPUTED_VALUE"""),3822387)</f>
        <v>3822387</v>
      </c>
    </row>
    <row r="1859" spans="1:6" x14ac:dyDescent="0.35">
      <c r="A1859" s="2">
        <f ca="1">IFERROR(__xludf.DUMMYFUNCTION("""COMPUTED_VALUE"""),44699.6666666666)</f>
        <v>44699.666666666599</v>
      </c>
      <c r="B1859" s="1">
        <f ca="1">IFERROR(__xludf.DUMMYFUNCTION("""COMPUTED_VALUE"""),111.44)</f>
        <v>111.44</v>
      </c>
      <c r="C1859" s="1">
        <f ca="1">IFERROR(__xludf.DUMMYFUNCTION("""COMPUTED_VALUE"""),112.85)</f>
        <v>112.85</v>
      </c>
      <c r="D1859" s="1">
        <f ca="1">IFERROR(__xludf.DUMMYFUNCTION("""COMPUTED_VALUE"""),106.25)</f>
        <v>106.25</v>
      </c>
      <c r="E1859" s="1">
        <f ca="1">IFERROR(__xludf.DUMMYFUNCTION("""COMPUTED_VALUE"""),107.11)</f>
        <v>107.11</v>
      </c>
      <c r="F1859" s="1">
        <f ca="1">IFERROR(__xludf.DUMMYFUNCTION("""COMPUTED_VALUE"""),5418959)</f>
        <v>5418959</v>
      </c>
    </row>
    <row r="1860" spans="1:6" x14ac:dyDescent="0.35">
      <c r="A1860" s="2">
        <f ca="1">IFERROR(__xludf.DUMMYFUNCTION("""COMPUTED_VALUE"""),44700.6666666666)</f>
        <v>44700.666666666599</v>
      </c>
      <c r="B1860" s="1">
        <f ca="1">IFERROR(__xludf.DUMMYFUNCTION("""COMPUTED_VALUE"""),106.28)</f>
        <v>106.28</v>
      </c>
      <c r="C1860" s="1">
        <f ca="1">IFERROR(__xludf.DUMMYFUNCTION("""COMPUTED_VALUE"""),110.03)</f>
        <v>110.03</v>
      </c>
      <c r="D1860" s="1">
        <f ca="1">IFERROR(__xludf.DUMMYFUNCTION("""COMPUTED_VALUE"""),106.19)</f>
        <v>106.19</v>
      </c>
      <c r="E1860" s="1">
        <f ca="1">IFERROR(__xludf.DUMMYFUNCTION("""COMPUTED_VALUE"""),107.32)</f>
        <v>107.32</v>
      </c>
      <c r="F1860" s="1">
        <f ca="1">IFERROR(__xludf.DUMMYFUNCTION("""COMPUTED_VALUE"""),4407127)</f>
        <v>4407127</v>
      </c>
    </row>
    <row r="1861" spans="1:6" x14ac:dyDescent="0.35">
      <c r="A1861" s="2">
        <f ca="1">IFERROR(__xludf.DUMMYFUNCTION("""COMPUTED_VALUE"""),44701.6666666666)</f>
        <v>44701.666666666599</v>
      </c>
      <c r="B1861" s="1">
        <f ca="1">IFERROR(__xludf.DUMMYFUNCTION("""COMPUTED_VALUE"""),109.57)</f>
        <v>109.57</v>
      </c>
      <c r="C1861" s="1">
        <f ca="1">IFERROR(__xludf.DUMMYFUNCTION("""COMPUTED_VALUE"""),109.9)</f>
        <v>109.9</v>
      </c>
      <c r="D1861" s="1">
        <f ca="1">IFERROR(__xludf.DUMMYFUNCTION("""COMPUTED_VALUE"""),105.01)</f>
        <v>105.01</v>
      </c>
      <c r="E1861" s="1">
        <f ca="1">IFERROR(__xludf.DUMMYFUNCTION("""COMPUTED_VALUE"""),107.59)</f>
        <v>107.59</v>
      </c>
      <c r="F1861" s="1">
        <f ca="1">IFERROR(__xludf.DUMMYFUNCTION("""COMPUTED_VALUE"""),4975032)</f>
        <v>4975032</v>
      </c>
    </row>
    <row r="1862" spans="1:6" x14ac:dyDescent="0.35">
      <c r="A1862" s="2">
        <f ca="1">IFERROR(__xludf.DUMMYFUNCTION("""COMPUTED_VALUE"""),44704.6666666666)</f>
        <v>44704.666666666599</v>
      </c>
      <c r="B1862" s="1">
        <f ca="1">IFERROR(__xludf.DUMMYFUNCTION("""COMPUTED_VALUE"""),108.46)</f>
        <v>108.46</v>
      </c>
      <c r="C1862" s="1">
        <f ca="1">IFERROR(__xludf.DUMMYFUNCTION("""COMPUTED_VALUE"""),108.82)</f>
        <v>108.82</v>
      </c>
      <c r="D1862" s="1">
        <f ca="1">IFERROR(__xludf.DUMMYFUNCTION("""COMPUTED_VALUE"""),103.95)</f>
        <v>103.95</v>
      </c>
      <c r="E1862" s="1">
        <f ca="1">IFERROR(__xludf.DUMMYFUNCTION("""COMPUTED_VALUE"""),107.56)</f>
        <v>107.56</v>
      </c>
      <c r="F1862" s="1">
        <f ca="1">IFERROR(__xludf.DUMMYFUNCTION("""COMPUTED_VALUE"""),5389868)</f>
        <v>5389868</v>
      </c>
    </row>
    <row r="1863" spans="1:6" x14ac:dyDescent="0.35">
      <c r="A1863" s="2">
        <f ca="1">IFERROR(__xludf.DUMMYFUNCTION("""COMPUTED_VALUE"""),44705.6666666666)</f>
        <v>44705.666666666599</v>
      </c>
      <c r="B1863" s="1">
        <f ca="1">IFERROR(__xludf.DUMMYFUNCTION("""COMPUTED_VALUE"""),104.03)</f>
        <v>104.03</v>
      </c>
      <c r="C1863" s="1">
        <f ca="1">IFERROR(__xludf.DUMMYFUNCTION("""COMPUTED_VALUE"""),105.4)</f>
        <v>105.4</v>
      </c>
      <c r="D1863" s="1">
        <f ca="1">IFERROR(__xludf.DUMMYFUNCTION("""COMPUTED_VALUE"""),101.26)</f>
        <v>101.26</v>
      </c>
      <c r="E1863" s="1">
        <f ca="1">IFERROR(__xludf.DUMMYFUNCTION("""COMPUTED_VALUE"""),104.1)</f>
        <v>104.1</v>
      </c>
      <c r="F1863" s="1">
        <f ca="1">IFERROR(__xludf.DUMMYFUNCTION("""COMPUTED_VALUE"""),5146734)</f>
        <v>5146734</v>
      </c>
    </row>
    <row r="1864" spans="1:6" x14ac:dyDescent="0.35">
      <c r="A1864" s="2">
        <f ca="1">IFERROR(__xludf.DUMMYFUNCTION("""COMPUTED_VALUE"""),44706.6666666666)</f>
        <v>44706.666666666599</v>
      </c>
      <c r="B1864" s="1">
        <f ca="1">IFERROR(__xludf.DUMMYFUNCTION("""COMPUTED_VALUE"""),103.66)</f>
        <v>103.66</v>
      </c>
      <c r="C1864" s="1">
        <f ca="1">IFERROR(__xludf.DUMMYFUNCTION("""COMPUTED_VALUE"""),108.17)</f>
        <v>108.17</v>
      </c>
      <c r="D1864" s="1">
        <f ca="1">IFERROR(__xludf.DUMMYFUNCTION("""COMPUTED_VALUE"""),103.65)</f>
        <v>103.65</v>
      </c>
      <c r="E1864" s="1">
        <f ca="1">IFERROR(__xludf.DUMMYFUNCTION("""COMPUTED_VALUE"""),106.78)</f>
        <v>106.78</v>
      </c>
      <c r="F1864" s="1">
        <f ca="1">IFERROR(__xludf.DUMMYFUNCTION("""COMPUTED_VALUE"""),4656005)</f>
        <v>4656005</v>
      </c>
    </row>
    <row r="1865" spans="1:6" x14ac:dyDescent="0.35">
      <c r="A1865" s="2">
        <f ca="1">IFERROR(__xludf.DUMMYFUNCTION("""COMPUTED_VALUE"""),44707.6666666666)</f>
        <v>44707.666666666599</v>
      </c>
      <c r="B1865" s="1">
        <f ca="1">IFERROR(__xludf.DUMMYFUNCTION("""COMPUTED_VALUE"""),107.97)</f>
        <v>107.97</v>
      </c>
      <c r="C1865" s="1">
        <f ca="1">IFERROR(__xludf.DUMMYFUNCTION("""COMPUTED_VALUE"""),112.67)</f>
        <v>112.67</v>
      </c>
      <c r="D1865" s="1">
        <f ca="1">IFERROR(__xludf.DUMMYFUNCTION("""COMPUTED_VALUE"""),107.45)</f>
        <v>107.45</v>
      </c>
      <c r="E1865" s="1">
        <f ca="1">IFERROR(__xludf.DUMMYFUNCTION("""COMPUTED_VALUE"""),111.08)</f>
        <v>111.08</v>
      </c>
      <c r="F1865" s="1">
        <f ca="1">IFERROR(__xludf.DUMMYFUNCTION("""COMPUTED_VALUE"""),4650130)</f>
        <v>4650130</v>
      </c>
    </row>
    <row r="1866" spans="1:6" x14ac:dyDescent="0.35">
      <c r="A1866" s="2">
        <f ca="1">IFERROR(__xludf.DUMMYFUNCTION("""COMPUTED_VALUE"""),44708.6666666666)</f>
        <v>44708.666666666599</v>
      </c>
      <c r="B1866" s="1">
        <f ca="1">IFERROR(__xludf.DUMMYFUNCTION("""COMPUTED_VALUE"""),113.55)</f>
        <v>113.55</v>
      </c>
      <c r="C1866" s="1">
        <f ca="1">IFERROR(__xludf.DUMMYFUNCTION("""COMPUTED_VALUE"""),115.19)</f>
        <v>115.19</v>
      </c>
      <c r="D1866" s="1">
        <f ca="1">IFERROR(__xludf.DUMMYFUNCTION("""COMPUTED_VALUE"""),112.63)</f>
        <v>112.63</v>
      </c>
      <c r="E1866" s="1">
        <f ca="1">IFERROR(__xludf.DUMMYFUNCTION("""COMPUTED_VALUE"""),115.15)</f>
        <v>115.15</v>
      </c>
      <c r="F1866" s="1">
        <f ca="1">IFERROR(__xludf.DUMMYFUNCTION("""COMPUTED_VALUE"""),4683008)</f>
        <v>4683008</v>
      </c>
    </row>
    <row r="1867" spans="1:6" x14ac:dyDescent="0.35">
      <c r="A1867" s="2">
        <f ca="1">IFERROR(__xludf.DUMMYFUNCTION("""COMPUTED_VALUE"""),44712.6666666666)</f>
        <v>44712.666666666599</v>
      </c>
      <c r="B1867" s="1">
        <f ca="1">IFERROR(__xludf.DUMMYFUNCTION("""COMPUTED_VALUE"""),116.28)</f>
        <v>116.28</v>
      </c>
      <c r="C1867" s="1">
        <f ca="1">IFERROR(__xludf.DUMMYFUNCTION("""COMPUTED_VALUE"""),121.99)</f>
        <v>121.99</v>
      </c>
      <c r="D1867" s="1">
        <f ca="1">IFERROR(__xludf.DUMMYFUNCTION("""COMPUTED_VALUE"""),115.68)</f>
        <v>115.68</v>
      </c>
      <c r="E1867" s="1">
        <f ca="1">IFERROR(__xludf.DUMMYFUNCTION("""COMPUTED_VALUE"""),120.21)</f>
        <v>120.21</v>
      </c>
      <c r="F1867" s="1">
        <f ca="1">IFERROR(__xludf.DUMMYFUNCTION("""COMPUTED_VALUE"""),7231708)</f>
        <v>7231708</v>
      </c>
    </row>
    <row r="1868" spans="1:6" x14ac:dyDescent="0.35">
      <c r="A1868" s="2">
        <f ca="1">IFERROR(__xludf.DUMMYFUNCTION("""COMPUTED_VALUE"""),44713.6666666666)</f>
        <v>44713.666666666599</v>
      </c>
      <c r="B1868" s="1">
        <f ca="1">IFERROR(__xludf.DUMMYFUNCTION("""COMPUTED_VALUE"""),122.26)</f>
        <v>122.26</v>
      </c>
      <c r="C1868" s="1">
        <f ca="1">IFERROR(__xludf.DUMMYFUNCTION("""COMPUTED_VALUE"""),125.18)</f>
        <v>125.18</v>
      </c>
      <c r="D1868" s="1">
        <f ca="1">IFERROR(__xludf.DUMMYFUNCTION("""COMPUTED_VALUE"""),120.62)</f>
        <v>120.62</v>
      </c>
      <c r="E1868" s="1">
        <f ca="1">IFERROR(__xludf.DUMMYFUNCTION("""COMPUTED_VALUE"""),121.68)</f>
        <v>121.68</v>
      </c>
      <c r="F1868" s="1">
        <f ca="1">IFERROR(__xludf.DUMMYFUNCTION("""COMPUTED_VALUE"""),6376449)</f>
        <v>6376449</v>
      </c>
    </row>
    <row r="1869" spans="1:6" x14ac:dyDescent="0.35">
      <c r="A1869" s="2">
        <f ca="1">IFERROR(__xludf.DUMMYFUNCTION("""COMPUTED_VALUE"""),44714.6666666666)</f>
        <v>44714.666666666599</v>
      </c>
      <c r="B1869" s="1">
        <f ca="1">IFERROR(__xludf.DUMMYFUNCTION("""COMPUTED_VALUE"""),121.68)</f>
        <v>121.68</v>
      </c>
      <c r="C1869" s="1">
        <f ca="1">IFERROR(__xludf.DUMMYFUNCTION("""COMPUTED_VALUE"""),125.61)</f>
        <v>125.61</v>
      </c>
      <c r="D1869" s="1">
        <f ca="1">IFERROR(__xludf.DUMMYFUNCTION("""COMPUTED_VALUE"""),120.05)</f>
        <v>120.05</v>
      </c>
      <c r="E1869" s="1">
        <f ca="1">IFERROR(__xludf.DUMMYFUNCTION("""COMPUTED_VALUE"""),125.51)</f>
        <v>125.51</v>
      </c>
      <c r="F1869" s="1">
        <f ca="1">IFERROR(__xludf.DUMMYFUNCTION("""COMPUTED_VALUE"""),5028034)</f>
        <v>5028034</v>
      </c>
    </row>
    <row r="1870" spans="1:6" x14ac:dyDescent="0.35">
      <c r="A1870" s="2">
        <f ca="1">IFERROR(__xludf.DUMMYFUNCTION("""COMPUTED_VALUE"""),44715.6666666666)</f>
        <v>44715.666666666599</v>
      </c>
      <c r="B1870" s="1">
        <f ca="1">IFERROR(__xludf.DUMMYFUNCTION("""COMPUTED_VALUE"""),124.2)</f>
        <v>124.2</v>
      </c>
      <c r="C1870" s="1">
        <f ca="1">IFERROR(__xludf.DUMMYFUNCTION("""COMPUTED_VALUE"""),124.4)</f>
        <v>124.4</v>
      </c>
      <c r="D1870" s="1">
        <f ca="1">IFERROR(__xludf.DUMMYFUNCTION("""COMPUTED_VALUE"""),121.05)</f>
        <v>121.05</v>
      </c>
      <c r="E1870" s="1">
        <f ca="1">IFERROR(__xludf.DUMMYFUNCTION("""COMPUTED_VALUE"""),122.35)</f>
        <v>122.35</v>
      </c>
      <c r="F1870" s="1">
        <f ca="1">IFERROR(__xludf.DUMMYFUNCTION("""COMPUTED_VALUE"""),4880166)</f>
        <v>4880166</v>
      </c>
    </row>
    <row r="1871" spans="1:6" x14ac:dyDescent="0.35">
      <c r="A1871" s="2">
        <f ca="1">IFERROR(__xludf.DUMMYFUNCTION("""COMPUTED_VALUE"""),44718.6666666666)</f>
        <v>44718.666666666599</v>
      </c>
      <c r="B1871" s="1">
        <f ca="1">IFERROR(__xludf.DUMMYFUNCTION("""COMPUTED_VALUE"""),125.25)</f>
        <v>125.25</v>
      </c>
      <c r="C1871" s="1">
        <f ca="1">IFERROR(__xludf.DUMMYFUNCTION("""COMPUTED_VALUE"""),128.99)</f>
        <v>128.99</v>
      </c>
      <c r="D1871" s="1">
        <f ca="1">IFERROR(__xludf.DUMMYFUNCTION("""COMPUTED_VALUE"""),123.81)</f>
        <v>123.81</v>
      </c>
      <c r="E1871" s="1">
        <f ca="1">IFERROR(__xludf.DUMMYFUNCTION("""COMPUTED_VALUE"""),124.79)</f>
        <v>124.79</v>
      </c>
      <c r="F1871" s="1">
        <f ca="1">IFERROR(__xludf.DUMMYFUNCTION("""COMPUTED_VALUE"""),135269024)</f>
        <v>135269024</v>
      </c>
    </row>
    <row r="1872" spans="1:6" x14ac:dyDescent="0.35">
      <c r="A1872" s="2">
        <f ca="1">IFERROR(__xludf.DUMMYFUNCTION("""COMPUTED_VALUE"""),44719.6666666666)</f>
        <v>44719.666666666599</v>
      </c>
      <c r="B1872" s="1">
        <f ca="1">IFERROR(__xludf.DUMMYFUNCTION("""COMPUTED_VALUE"""),122.01)</f>
        <v>122.01</v>
      </c>
      <c r="C1872" s="1">
        <f ca="1">IFERROR(__xludf.DUMMYFUNCTION("""COMPUTED_VALUE"""),124.1)</f>
        <v>124.1</v>
      </c>
      <c r="D1872" s="1">
        <f ca="1">IFERROR(__xludf.DUMMYFUNCTION("""COMPUTED_VALUE"""),120.63)</f>
        <v>120.63</v>
      </c>
      <c r="E1872" s="1">
        <f ca="1">IFERROR(__xludf.DUMMYFUNCTION("""COMPUTED_VALUE"""),123)</f>
        <v>123</v>
      </c>
      <c r="F1872" s="1">
        <f ca="1">IFERROR(__xludf.DUMMYFUNCTION("""COMPUTED_VALUE"""),85156712)</f>
        <v>85156712</v>
      </c>
    </row>
    <row r="1873" spans="1:6" x14ac:dyDescent="0.35">
      <c r="A1873" s="2">
        <f ca="1">IFERROR(__xludf.DUMMYFUNCTION("""COMPUTED_VALUE"""),44720.6666666666)</f>
        <v>44720.666666666599</v>
      </c>
      <c r="B1873" s="1">
        <f ca="1">IFERROR(__xludf.DUMMYFUNCTION("""COMPUTED_VALUE"""),122.61)</f>
        <v>122.61</v>
      </c>
      <c r="C1873" s="1">
        <f ca="1">IFERROR(__xludf.DUMMYFUNCTION("""COMPUTED_VALUE"""),123.75)</f>
        <v>123.75</v>
      </c>
      <c r="D1873" s="1">
        <f ca="1">IFERROR(__xludf.DUMMYFUNCTION("""COMPUTED_VALUE"""),120.75)</f>
        <v>120.75</v>
      </c>
      <c r="E1873" s="1">
        <f ca="1">IFERROR(__xludf.DUMMYFUNCTION("""COMPUTED_VALUE"""),121.18)</f>
        <v>121.18</v>
      </c>
      <c r="F1873" s="1">
        <f ca="1">IFERROR(__xludf.DUMMYFUNCTION("""COMPUTED_VALUE"""),64926594)</f>
        <v>64926594</v>
      </c>
    </row>
    <row r="1874" spans="1:6" x14ac:dyDescent="0.35">
      <c r="A1874" s="2">
        <f ca="1">IFERROR(__xludf.DUMMYFUNCTION("""COMPUTED_VALUE"""),44721.6666666666)</f>
        <v>44721.666666666599</v>
      </c>
      <c r="B1874" s="1">
        <f ca="1">IFERROR(__xludf.DUMMYFUNCTION("""COMPUTED_VALUE"""),119.99)</f>
        <v>119.99</v>
      </c>
      <c r="C1874" s="1">
        <f ca="1">IFERROR(__xludf.DUMMYFUNCTION("""COMPUTED_VALUE"""),121.3)</f>
        <v>121.3</v>
      </c>
      <c r="D1874" s="1">
        <f ca="1">IFERROR(__xludf.DUMMYFUNCTION("""COMPUTED_VALUE"""),116.1)</f>
        <v>116.1</v>
      </c>
      <c r="E1874" s="1">
        <f ca="1">IFERROR(__xludf.DUMMYFUNCTION("""COMPUTED_VALUE"""),116.15)</f>
        <v>116.15</v>
      </c>
      <c r="F1874" s="1">
        <f ca="1">IFERROR(__xludf.DUMMYFUNCTION("""COMPUTED_VALUE"""),67029842)</f>
        <v>67029842</v>
      </c>
    </row>
    <row r="1875" spans="1:6" x14ac:dyDescent="0.35">
      <c r="A1875" s="2">
        <f ca="1">IFERROR(__xludf.DUMMYFUNCTION("""COMPUTED_VALUE"""),44722.6666666666)</f>
        <v>44722.666666666599</v>
      </c>
      <c r="B1875" s="1">
        <f ca="1">IFERROR(__xludf.DUMMYFUNCTION("""COMPUTED_VALUE"""),113.42)</f>
        <v>113.42</v>
      </c>
      <c r="C1875" s="1">
        <f ca="1">IFERROR(__xludf.DUMMYFUNCTION("""COMPUTED_VALUE"""),114.5)</f>
        <v>114.5</v>
      </c>
      <c r="D1875" s="1">
        <f ca="1">IFERROR(__xludf.DUMMYFUNCTION("""COMPUTED_VALUE"""),109.05)</f>
        <v>109.05</v>
      </c>
      <c r="E1875" s="1">
        <f ca="1">IFERROR(__xludf.DUMMYFUNCTION("""COMPUTED_VALUE"""),109.65)</f>
        <v>109.65</v>
      </c>
      <c r="F1875" s="1">
        <f ca="1">IFERROR(__xludf.DUMMYFUNCTION("""COMPUTED_VALUE"""),87412245)</f>
        <v>87412245</v>
      </c>
    </row>
    <row r="1876" spans="1:6" x14ac:dyDescent="0.35">
      <c r="A1876" s="2">
        <f ca="1">IFERROR(__xludf.DUMMYFUNCTION("""COMPUTED_VALUE"""),44725.6666666666)</f>
        <v>44725.666666666599</v>
      </c>
      <c r="B1876" s="1">
        <f ca="1">IFERROR(__xludf.DUMMYFUNCTION("""COMPUTED_VALUE"""),104.19)</f>
        <v>104.19</v>
      </c>
      <c r="C1876" s="1">
        <f ca="1">IFERROR(__xludf.DUMMYFUNCTION("""COMPUTED_VALUE"""),106.54)</f>
        <v>106.54</v>
      </c>
      <c r="D1876" s="1">
        <f ca="1">IFERROR(__xludf.DUMMYFUNCTION("""COMPUTED_VALUE"""),101.86)</f>
        <v>101.86</v>
      </c>
      <c r="E1876" s="1">
        <f ca="1">IFERROR(__xludf.DUMMYFUNCTION("""COMPUTED_VALUE"""),103.67)</f>
        <v>103.67</v>
      </c>
      <c r="F1876" s="1">
        <f ca="1">IFERROR(__xludf.DUMMYFUNCTION("""COMPUTED_VALUE"""),99277742)</f>
        <v>99277742</v>
      </c>
    </row>
    <row r="1877" spans="1:6" x14ac:dyDescent="0.35">
      <c r="A1877" s="2">
        <f ca="1">IFERROR(__xludf.DUMMYFUNCTION("""COMPUTED_VALUE"""),44726.6666666666)</f>
        <v>44726.666666666599</v>
      </c>
      <c r="B1877" s="1">
        <f ca="1">IFERROR(__xludf.DUMMYFUNCTION("""COMPUTED_VALUE"""),104.19)</f>
        <v>104.19</v>
      </c>
      <c r="C1877" s="1">
        <f ca="1">IFERROR(__xludf.DUMMYFUNCTION("""COMPUTED_VALUE"""),104.88)</f>
        <v>104.88</v>
      </c>
      <c r="D1877" s="1">
        <f ca="1">IFERROR(__xludf.DUMMYFUNCTION("""COMPUTED_VALUE"""),101.43)</f>
        <v>101.43</v>
      </c>
      <c r="E1877" s="1">
        <f ca="1">IFERROR(__xludf.DUMMYFUNCTION("""COMPUTED_VALUE"""),102.31)</f>
        <v>102.31</v>
      </c>
      <c r="F1877" s="1">
        <f ca="1">IFERROR(__xludf.DUMMYFUNCTION("""COMPUTED_VALUE"""),69728761)</f>
        <v>69728761</v>
      </c>
    </row>
    <row r="1878" spans="1:6" x14ac:dyDescent="0.35">
      <c r="A1878" s="2">
        <f ca="1">IFERROR(__xludf.DUMMYFUNCTION("""COMPUTED_VALUE"""),44727.6666666666)</f>
        <v>44727.666666666599</v>
      </c>
      <c r="B1878" s="1">
        <f ca="1">IFERROR(__xludf.DUMMYFUNCTION("""COMPUTED_VALUE"""),103.86)</f>
        <v>103.86</v>
      </c>
      <c r="C1878" s="1">
        <f ca="1">IFERROR(__xludf.DUMMYFUNCTION("""COMPUTED_VALUE"""),109.06)</f>
        <v>109.06</v>
      </c>
      <c r="D1878" s="1">
        <f ca="1">IFERROR(__xludf.DUMMYFUNCTION("""COMPUTED_VALUE"""),103.53)</f>
        <v>103.53</v>
      </c>
      <c r="E1878" s="1">
        <f ca="1">IFERROR(__xludf.DUMMYFUNCTION("""COMPUTED_VALUE"""),107.67)</f>
        <v>107.67</v>
      </c>
      <c r="F1878" s="1">
        <f ca="1">IFERROR(__xludf.DUMMYFUNCTION("""COMPUTED_VALUE"""),85011060)</f>
        <v>85011060</v>
      </c>
    </row>
    <row r="1879" spans="1:6" x14ac:dyDescent="0.35">
      <c r="A1879" s="2">
        <f ca="1">IFERROR(__xludf.DUMMYFUNCTION("""COMPUTED_VALUE"""),44728.6666666666)</f>
        <v>44728.666666666599</v>
      </c>
      <c r="B1879" s="1">
        <f ca="1">IFERROR(__xludf.DUMMYFUNCTION("""COMPUTED_VALUE"""),104.47)</f>
        <v>104.47</v>
      </c>
      <c r="C1879" s="1">
        <f ca="1">IFERROR(__xludf.DUMMYFUNCTION("""COMPUTED_VALUE"""),104.58)</f>
        <v>104.58</v>
      </c>
      <c r="D1879" s="1">
        <f ca="1">IFERROR(__xludf.DUMMYFUNCTION("""COMPUTED_VALUE"""),102.01)</f>
        <v>102.01</v>
      </c>
      <c r="E1879" s="1">
        <f ca="1">IFERROR(__xludf.DUMMYFUNCTION("""COMPUTED_VALUE"""),103.66)</f>
        <v>103.66</v>
      </c>
      <c r="F1879" s="1">
        <f ca="1">IFERROR(__xludf.DUMMYFUNCTION("""COMPUTED_VALUE"""),82186301)</f>
        <v>82186301</v>
      </c>
    </row>
    <row r="1880" spans="1:6" x14ac:dyDescent="0.35">
      <c r="A1880" s="2">
        <f ca="1">IFERROR(__xludf.DUMMYFUNCTION("""COMPUTED_VALUE"""),44729.6666666666)</f>
        <v>44729.666666666599</v>
      </c>
      <c r="B1880" s="1">
        <f ca="1">IFERROR(__xludf.DUMMYFUNCTION("""COMPUTED_VALUE"""),102.8)</f>
        <v>102.8</v>
      </c>
      <c r="C1880" s="1">
        <f ca="1">IFERROR(__xludf.DUMMYFUNCTION("""COMPUTED_VALUE"""),106.98)</f>
        <v>106.98</v>
      </c>
      <c r="D1880" s="1">
        <f ca="1">IFERROR(__xludf.DUMMYFUNCTION("""COMPUTED_VALUE"""),102.51)</f>
        <v>102.51</v>
      </c>
      <c r="E1880" s="1">
        <f ca="1">IFERROR(__xludf.DUMMYFUNCTION("""COMPUTED_VALUE"""),106.22)</f>
        <v>106.22</v>
      </c>
      <c r="F1880" s="1">
        <f ca="1">IFERROR(__xludf.DUMMYFUNCTION("""COMPUTED_VALUE"""),99772147)</f>
        <v>99772147</v>
      </c>
    </row>
    <row r="1881" spans="1:6" x14ac:dyDescent="0.35">
      <c r="A1881" s="2">
        <f ca="1">IFERROR(__xludf.DUMMYFUNCTION("""COMPUTED_VALUE"""),44733.6666666666)</f>
        <v>44733.666666666599</v>
      </c>
      <c r="B1881" s="1">
        <f ca="1">IFERROR(__xludf.DUMMYFUNCTION("""COMPUTED_VALUE"""),108.2)</f>
        <v>108.2</v>
      </c>
      <c r="C1881" s="1">
        <f ca="1">IFERROR(__xludf.DUMMYFUNCTION("""COMPUTED_VALUE"""),111.63)</f>
        <v>111.63</v>
      </c>
      <c r="D1881" s="1">
        <f ca="1">IFERROR(__xludf.DUMMYFUNCTION("""COMPUTED_VALUE"""),103.56)</f>
        <v>103.56</v>
      </c>
      <c r="E1881" s="1">
        <f ca="1">IFERROR(__xludf.DUMMYFUNCTION("""COMPUTED_VALUE"""),108.68)</f>
        <v>108.68</v>
      </c>
      <c r="F1881" s="1">
        <f ca="1">IFERROR(__xludf.DUMMYFUNCTION("""COMPUTED_VALUE"""),70901245)</f>
        <v>70901245</v>
      </c>
    </row>
    <row r="1882" spans="1:6" x14ac:dyDescent="0.35">
      <c r="A1882" s="2">
        <f ca="1">IFERROR(__xludf.DUMMYFUNCTION("""COMPUTED_VALUE"""),44734.6666666666)</f>
        <v>44734.666666666599</v>
      </c>
      <c r="B1882" s="1">
        <f ca="1">IFERROR(__xludf.DUMMYFUNCTION("""COMPUTED_VALUE"""),107.43)</f>
        <v>107.43</v>
      </c>
      <c r="C1882" s="1">
        <f ca="1">IFERROR(__xludf.DUMMYFUNCTION("""COMPUTED_VALUE"""),112.13)</f>
        <v>112.13</v>
      </c>
      <c r="D1882" s="1">
        <f ca="1">IFERROR(__xludf.DUMMYFUNCTION("""COMPUTED_VALUE"""),107.02)</f>
        <v>107.02</v>
      </c>
      <c r="E1882" s="1">
        <f ca="1">IFERROR(__xludf.DUMMYFUNCTION("""COMPUTED_VALUE"""),108.95)</f>
        <v>108.95</v>
      </c>
      <c r="F1882" s="1">
        <f ca="1">IFERROR(__xludf.DUMMYFUNCTION("""COMPUTED_VALUE"""),60040131)</f>
        <v>60040131</v>
      </c>
    </row>
    <row r="1883" spans="1:6" x14ac:dyDescent="0.35">
      <c r="A1883" s="2">
        <f ca="1">IFERROR(__xludf.DUMMYFUNCTION("""COMPUTED_VALUE"""),44735.6666666666)</f>
        <v>44735.666666666599</v>
      </c>
      <c r="B1883" s="1">
        <f ca="1">IFERROR(__xludf.DUMMYFUNCTION("""COMPUTED_VALUE"""),110.39)</f>
        <v>110.39</v>
      </c>
      <c r="C1883" s="1">
        <f ca="1">IFERROR(__xludf.DUMMYFUNCTION("""COMPUTED_VALUE"""),113)</f>
        <v>113</v>
      </c>
      <c r="D1883" s="1">
        <f ca="1">IFERROR(__xludf.DUMMYFUNCTION("""COMPUTED_VALUE"""),107.93)</f>
        <v>107.93</v>
      </c>
      <c r="E1883" s="1">
        <f ca="1">IFERROR(__xludf.DUMMYFUNCTION("""COMPUTED_VALUE"""),112.44)</f>
        <v>112.44</v>
      </c>
      <c r="F1883" s="1">
        <f ca="1">IFERROR(__xludf.DUMMYFUNCTION("""COMPUTED_VALUE"""),64345300)</f>
        <v>64345300</v>
      </c>
    </row>
    <row r="1884" spans="1:6" x14ac:dyDescent="0.35">
      <c r="A1884" s="2">
        <f ca="1">IFERROR(__xludf.DUMMYFUNCTION("""COMPUTED_VALUE"""),44736.6666666666)</f>
        <v>44736.666666666599</v>
      </c>
      <c r="B1884" s="1">
        <f ca="1">IFERROR(__xludf.DUMMYFUNCTION("""COMPUTED_VALUE"""),112.38)</f>
        <v>112.38</v>
      </c>
      <c r="C1884" s="1">
        <f ca="1">IFERROR(__xludf.DUMMYFUNCTION("""COMPUTED_VALUE"""),116.71)</f>
        <v>116.71</v>
      </c>
      <c r="D1884" s="1">
        <f ca="1">IFERROR(__xludf.DUMMYFUNCTION("""COMPUTED_VALUE"""),111.43)</f>
        <v>111.43</v>
      </c>
      <c r="E1884" s="1">
        <f ca="1">IFERROR(__xludf.DUMMYFUNCTION("""COMPUTED_VALUE"""),116.46)</f>
        <v>116.46</v>
      </c>
      <c r="F1884" s="1">
        <f ca="1">IFERROR(__xludf.DUMMYFUNCTION("""COMPUTED_VALUE"""),69867618)</f>
        <v>69867618</v>
      </c>
    </row>
    <row r="1885" spans="1:6" x14ac:dyDescent="0.35">
      <c r="A1885" s="2">
        <f ca="1">IFERROR(__xludf.DUMMYFUNCTION("""COMPUTED_VALUE"""),44739.6666666666)</f>
        <v>44739.666666666599</v>
      </c>
      <c r="B1885" s="1">
        <f ca="1">IFERROR(__xludf.DUMMYFUNCTION("""COMPUTED_VALUE"""),117.09)</f>
        <v>117.09</v>
      </c>
      <c r="C1885" s="1">
        <f ca="1">IFERROR(__xludf.DUMMYFUNCTION("""COMPUTED_VALUE"""),117.98)</f>
        <v>117.98</v>
      </c>
      <c r="D1885" s="1">
        <f ca="1">IFERROR(__xludf.DUMMYFUNCTION("""COMPUTED_VALUE"""),112.7)</f>
        <v>112.7</v>
      </c>
      <c r="E1885" s="1">
        <f ca="1">IFERROR(__xludf.DUMMYFUNCTION("""COMPUTED_VALUE"""),113.22)</f>
        <v>113.22</v>
      </c>
      <c r="F1885" s="1">
        <f ca="1">IFERROR(__xludf.DUMMYFUNCTION("""COMPUTED_VALUE"""),62133240)</f>
        <v>62133240</v>
      </c>
    </row>
    <row r="1886" spans="1:6" x14ac:dyDescent="0.35">
      <c r="A1886" s="2">
        <f ca="1">IFERROR(__xludf.DUMMYFUNCTION("""COMPUTED_VALUE"""),44740.6666666666)</f>
        <v>44740.666666666599</v>
      </c>
      <c r="B1886" s="1">
        <f ca="1">IFERROR(__xludf.DUMMYFUNCTION("""COMPUTED_VALUE"""),113.5)</f>
        <v>113.5</v>
      </c>
      <c r="C1886" s="1">
        <f ca="1">IFERROR(__xludf.DUMMYFUNCTION("""COMPUTED_VALUE"""),114.85)</f>
        <v>114.85</v>
      </c>
      <c r="D1886" s="1">
        <f ca="1">IFERROR(__xludf.DUMMYFUNCTION("""COMPUTED_VALUE"""),107.04)</f>
        <v>107.04</v>
      </c>
      <c r="E1886" s="1">
        <f ca="1">IFERROR(__xludf.DUMMYFUNCTION("""COMPUTED_VALUE"""),107.4)</f>
        <v>107.4</v>
      </c>
      <c r="F1886" s="1">
        <f ca="1">IFERROR(__xludf.DUMMYFUNCTION("""COMPUTED_VALUE"""),75172028)</f>
        <v>75172028</v>
      </c>
    </row>
    <row r="1887" spans="1:6" x14ac:dyDescent="0.35">
      <c r="A1887" s="2">
        <f ca="1">IFERROR(__xludf.DUMMYFUNCTION("""COMPUTED_VALUE"""),44741.6666666666)</f>
        <v>44741.666666666599</v>
      </c>
      <c r="B1887" s="1">
        <f ca="1">IFERROR(__xludf.DUMMYFUNCTION("""COMPUTED_VALUE"""),107.38)</f>
        <v>107.38</v>
      </c>
      <c r="C1887" s="1">
        <f ca="1">IFERROR(__xludf.DUMMYFUNCTION("""COMPUTED_VALUE"""),110.99)</f>
        <v>110.99</v>
      </c>
      <c r="D1887" s="1">
        <f ca="1">IFERROR(__xludf.DUMMYFUNCTION("""COMPUTED_VALUE"""),106.91)</f>
        <v>106.91</v>
      </c>
      <c r="E1887" s="1">
        <f ca="1">IFERROR(__xludf.DUMMYFUNCTION("""COMPUTED_VALUE"""),108.92)</f>
        <v>108.92</v>
      </c>
      <c r="F1887" s="1">
        <f ca="1">IFERROR(__xludf.DUMMYFUNCTION("""COMPUTED_VALUE"""),66375341)</f>
        <v>66375341</v>
      </c>
    </row>
    <row r="1888" spans="1:6" x14ac:dyDescent="0.35">
      <c r="A1888" s="2">
        <f ca="1">IFERROR(__xludf.DUMMYFUNCTION("""COMPUTED_VALUE"""),44742.6666666666)</f>
        <v>44742.666666666599</v>
      </c>
      <c r="B1888" s="1">
        <f ca="1">IFERROR(__xludf.DUMMYFUNCTION("""COMPUTED_VALUE"""),108.11)</f>
        <v>108.11</v>
      </c>
      <c r="C1888" s="1">
        <f ca="1">IFERROR(__xludf.DUMMYFUNCTION("""COMPUTED_VALUE"""),108.18)</f>
        <v>108.18</v>
      </c>
      <c r="D1888" s="1">
        <f ca="1">IFERROR(__xludf.DUMMYFUNCTION("""COMPUTED_VALUE"""),102.52)</f>
        <v>102.52</v>
      </c>
      <c r="E1888" s="1">
        <f ca="1">IFERROR(__xludf.DUMMYFUNCTION("""COMPUTED_VALUE"""),106.21)</f>
        <v>106.21</v>
      </c>
      <c r="F1888" s="1">
        <f ca="1">IFERROR(__xludf.DUMMYFUNCTION("""COMPUTED_VALUE"""),97679401)</f>
        <v>97679401</v>
      </c>
    </row>
    <row r="1889" spans="1:6" x14ac:dyDescent="0.35">
      <c r="A1889" s="2">
        <f ca="1">IFERROR(__xludf.DUMMYFUNCTION("""COMPUTED_VALUE"""),44743.6666666666)</f>
        <v>44743.666666666599</v>
      </c>
      <c r="B1889" s="1">
        <f ca="1">IFERROR(__xludf.DUMMYFUNCTION("""COMPUTED_VALUE"""),106.29)</f>
        <v>106.29</v>
      </c>
      <c r="C1889" s="1">
        <f ca="1">IFERROR(__xludf.DUMMYFUNCTION("""COMPUTED_VALUE"""),109.75)</f>
        <v>109.75</v>
      </c>
      <c r="D1889" s="1">
        <f ca="1">IFERROR(__xludf.DUMMYFUNCTION("""COMPUTED_VALUE"""),105.85)</f>
        <v>105.85</v>
      </c>
      <c r="E1889" s="1">
        <f ca="1">IFERROR(__xludf.DUMMYFUNCTION("""COMPUTED_VALUE"""),109.56)</f>
        <v>109.56</v>
      </c>
      <c r="F1889" s="1">
        <f ca="1">IFERROR(__xludf.DUMMYFUNCTION("""COMPUTED_VALUE"""),73021171)</f>
        <v>73021171</v>
      </c>
    </row>
    <row r="1890" spans="1:6" x14ac:dyDescent="0.35">
      <c r="A1890" s="2">
        <f ca="1">IFERROR(__xludf.DUMMYFUNCTION("""COMPUTED_VALUE"""),44747.6666666666)</f>
        <v>44747.666666666599</v>
      </c>
      <c r="B1890" s="1">
        <f ca="1">IFERROR(__xludf.DUMMYFUNCTION("""COMPUTED_VALUE"""),107.6)</f>
        <v>107.6</v>
      </c>
      <c r="C1890" s="1">
        <f ca="1">IFERROR(__xludf.DUMMYFUNCTION("""COMPUTED_VALUE"""),114.08)</f>
        <v>114.08</v>
      </c>
      <c r="D1890" s="1">
        <f ca="1">IFERROR(__xludf.DUMMYFUNCTION("""COMPUTED_VALUE"""),106.32)</f>
        <v>106.32</v>
      </c>
      <c r="E1890" s="1">
        <f ca="1">IFERROR(__xludf.DUMMYFUNCTION("""COMPUTED_VALUE"""),113.5)</f>
        <v>113.5</v>
      </c>
      <c r="F1890" s="1">
        <f ca="1">IFERROR(__xludf.DUMMYFUNCTION("""COMPUTED_VALUE"""),76684414)</f>
        <v>76684414</v>
      </c>
    </row>
    <row r="1891" spans="1:6" x14ac:dyDescent="0.35">
      <c r="A1891" s="2">
        <f ca="1">IFERROR(__xludf.DUMMYFUNCTION("""COMPUTED_VALUE"""),44748.6666666666)</f>
        <v>44748.666666666599</v>
      </c>
      <c r="B1891" s="1">
        <f ca="1">IFERROR(__xludf.DUMMYFUNCTION("""COMPUTED_VALUE"""),113.21)</f>
        <v>113.21</v>
      </c>
      <c r="C1891" s="1">
        <f ca="1">IFERROR(__xludf.DUMMYFUNCTION("""COMPUTED_VALUE"""),115.48)</f>
        <v>115.48</v>
      </c>
      <c r="D1891" s="1">
        <f ca="1">IFERROR(__xludf.DUMMYFUNCTION("""COMPUTED_VALUE"""),112.01)</f>
        <v>112.01</v>
      </c>
      <c r="E1891" s="1">
        <f ca="1">IFERROR(__xludf.DUMMYFUNCTION("""COMPUTED_VALUE"""),114.33)</f>
        <v>114.33</v>
      </c>
      <c r="F1891" s="1">
        <f ca="1">IFERROR(__xludf.DUMMYFUNCTION("""COMPUTED_VALUE"""),66958884)</f>
        <v>66958884</v>
      </c>
    </row>
    <row r="1892" spans="1:6" x14ac:dyDescent="0.35">
      <c r="A1892" s="2">
        <f ca="1">IFERROR(__xludf.DUMMYFUNCTION("""COMPUTED_VALUE"""),44749.6666666666)</f>
        <v>44749.666666666599</v>
      </c>
      <c r="B1892" s="1">
        <f ca="1">IFERROR(__xludf.DUMMYFUNCTION("""COMPUTED_VALUE"""),113.85)</f>
        <v>113.85</v>
      </c>
      <c r="C1892" s="1">
        <f ca="1">IFERROR(__xludf.DUMMYFUNCTION("""COMPUTED_VALUE"""),116.99)</f>
        <v>116.99</v>
      </c>
      <c r="D1892" s="1">
        <f ca="1">IFERROR(__xludf.DUMMYFUNCTION("""COMPUTED_VALUE"""),113.49)</f>
        <v>113.49</v>
      </c>
      <c r="E1892" s="1">
        <f ca="1">IFERROR(__xludf.DUMMYFUNCTION("""COMPUTED_VALUE"""),116.33)</f>
        <v>116.33</v>
      </c>
      <c r="F1892" s="1">
        <f ca="1">IFERROR(__xludf.DUMMYFUNCTION("""COMPUTED_VALUE"""),57872323)</f>
        <v>57872323</v>
      </c>
    </row>
    <row r="1893" spans="1:6" x14ac:dyDescent="0.35">
      <c r="A1893" s="2">
        <f ca="1">IFERROR(__xludf.DUMMYFUNCTION("""COMPUTED_VALUE"""),44750.6666666666)</f>
        <v>44750.666666666599</v>
      </c>
      <c r="B1893" s="1">
        <f ca="1">IFERROR(__xludf.DUMMYFUNCTION("""COMPUTED_VALUE"""),114.6)</f>
        <v>114.6</v>
      </c>
      <c r="C1893" s="1">
        <f ca="1">IFERROR(__xludf.DUMMYFUNCTION("""COMPUTED_VALUE"""),116.58)</f>
        <v>116.58</v>
      </c>
      <c r="D1893" s="1">
        <f ca="1">IFERROR(__xludf.DUMMYFUNCTION("""COMPUTED_VALUE"""),113.69)</f>
        <v>113.69</v>
      </c>
      <c r="E1893" s="1">
        <f ca="1">IFERROR(__xludf.DUMMYFUNCTION("""COMPUTED_VALUE"""),115.54)</f>
        <v>115.54</v>
      </c>
      <c r="F1893" s="1">
        <f ca="1">IFERROR(__xludf.DUMMYFUNCTION("""COMPUTED_VALUE"""),45719694)</f>
        <v>45719694</v>
      </c>
    </row>
    <row r="1894" spans="1:6" x14ac:dyDescent="0.35">
      <c r="A1894" s="2">
        <f ca="1">IFERROR(__xludf.DUMMYFUNCTION("""COMPUTED_VALUE"""),44753.6666666666)</f>
        <v>44753.666666666599</v>
      </c>
      <c r="B1894" s="1">
        <f ca="1">IFERROR(__xludf.DUMMYFUNCTION("""COMPUTED_VALUE"""),114.08)</f>
        <v>114.08</v>
      </c>
      <c r="C1894" s="1">
        <f ca="1">IFERROR(__xludf.DUMMYFUNCTION("""COMPUTED_VALUE"""),114.3)</f>
        <v>114.3</v>
      </c>
      <c r="D1894" s="1">
        <f ca="1">IFERROR(__xludf.DUMMYFUNCTION("""COMPUTED_VALUE"""),110.87)</f>
        <v>110.87</v>
      </c>
      <c r="E1894" s="1">
        <f ca="1">IFERROR(__xludf.DUMMYFUNCTION("""COMPUTED_VALUE"""),111.75)</f>
        <v>111.75</v>
      </c>
      <c r="F1894" s="1">
        <f ca="1">IFERROR(__xludf.DUMMYFUNCTION("""COMPUTED_VALUE"""),53540019)</f>
        <v>53540019</v>
      </c>
    </row>
    <row r="1895" spans="1:6" x14ac:dyDescent="0.35">
      <c r="A1895" s="2">
        <f ca="1">IFERROR(__xludf.DUMMYFUNCTION("""COMPUTED_VALUE"""),44754.6666666666)</f>
        <v>44754.666666666599</v>
      </c>
      <c r="B1895" s="1">
        <f ca="1">IFERROR(__xludf.DUMMYFUNCTION("""COMPUTED_VALUE"""),112.16)</f>
        <v>112.16</v>
      </c>
      <c r="C1895" s="1">
        <f ca="1">IFERROR(__xludf.DUMMYFUNCTION("""COMPUTED_VALUE"""),113.23)</f>
        <v>113.23</v>
      </c>
      <c r="D1895" s="1">
        <f ca="1">IFERROR(__xludf.DUMMYFUNCTION("""COMPUTED_VALUE"""),108.34)</f>
        <v>108.34</v>
      </c>
      <c r="E1895" s="1">
        <f ca="1">IFERROR(__xludf.DUMMYFUNCTION("""COMPUTED_VALUE"""),109.22)</f>
        <v>109.22</v>
      </c>
      <c r="F1895" s="1">
        <f ca="1">IFERROR(__xludf.DUMMYFUNCTION("""COMPUTED_VALUE"""),54280257)</f>
        <v>54280257</v>
      </c>
    </row>
    <row r="1896" spans="1:6" x14ac:dyDescent="0.35">
      <c r="A1896" s="2">
        <f ca="1">IFERROR(__xludf.DUMMYFUNCTION("""COMPUTED_VALUE"""),44755.6666666666)</f>
        <v>44755.666666666599</v>
      </c>
      <c r="B1896" s="1">
        <f ca="1">IFERROR(__xludf.DUMMYFUNCTION("""COMPUTED_VALUE"""),107.03)</f>
        <v>107.03</v>
      </c>
      <c r="C1896" s="1">
        <f ca="1">IFERROR(__xludf.DUMMYFUNCTION("""COMPUTED_VALUE"""),111.78)</f>
        <v>111.78</v>
      </c>
      <c r="D1896" s="1">
        <f ca="1">IFERROR(__xludf.DUMMYFUNCTION("""COMPUTED_VALUE"""),106.01)</f>
        <v>106.01</v>
      </c>
      <c r="E1896" s="1">
        <f ca="1">IFERROR(__xludf.DUMMYFUNCTION("""COMPUTED_VALUE"""),110.4)</f>
        <v>110.4</v>
      </c>
      <c r="F1896" s="1">
        <f ca="1">IFERROR(__xludf.DUMMYFUNCTION("""COMPUTED_VALUE"""),61353812)</f>
        <v>61353812</v>
      </c>
    </row>
    <row r="1897" spans="1:6" x14ac:dyDescent="0.35">
      <c r="A1897" s="2">
        <f ca="1">IFERROR(__xludf.DUMMYFUNCTION("""COMPUTED_VALUE"""),44756.6666666666)</f>
        <v>44756.666666666599</v>
      </c>
      <c r="B1897" s="1">
        <f ca="1">IFERROR(__xludf.DUMMYFUNCTION("""COMPUTED_VALUE"""),110.24)</f>
        <v>110.24</v>
      </c>
      <c r="C1897" s="1">
        <f ca="1">IFERROR(__xludf.DUMMYFUNCTION("""COMPUTED_VALUE"""),111.18)</f>
        <v>111.18</v>
      </c>
      <c r="D1897" s="1">
        <f ca="1">IFERROR(__xludf.DUMMYFUNCTION("""COMPUTED_VALUE"""),107.58)</f>
        <v>107.58</v>
      </c>
      <c r="E1897" s="1">
        <f ca="1">IFERROR(__xludf.DUMMYFUNCTION("""COMPUTED_VALUE"""),110.63)</f>
        <v>110.63</v>
      </c>
      <c r="F1897" s="1">
        <f ca="1">IFERROR(__xludf.DUMMYFUNCTION("""COMPUTED_VALUE"""),51163140)</f>
        <v>51163140</v>
      </c>
    </row>
    <row r="1898" spans="1:6" x14ac:dyDescent="0.35">
      <c r="A1898" s="2">
        <f ca="1">IFERROR(__xludf.DUMMYFUNCTION("""COMPUTED_VALUE"""),44757.6666666666)</f>
        <v>44757.666666666599</v>
      </c>
      <c r="B1898" s="1">
        <f ca="1">IFERROR(__xludf.DUMMYFUNCTION("""COMPUTED_VALUE"""),112.5)</f>
        <v>112.5</v>
      </c>
      <c r="C1898" s="1">
        <f ca="1">IFERROR(__xludf.DUMMYFUNCTION("""COMPUTED_VALUE"""),115.59)</f>
        <v>115.59</v>
      </c>
      <c r="D1898" s="1">
        <f ca="1">IFERROR(__xludf.DUMMYFUNCTION("""COMPUTED_VALUE"""),111.59)</f>
        <v>111.59</v>
      </c>
      <c r="E1898" s="1">
        <f ca="1">IFERROR(__xludf.DUMMYFUNCTION("""COMPUTED_VALUE"""),113.55)</f>
        <v>113.55</v>
      </c>
      <c r="F1898" s="1">
        <f ca="1">IFERROR(__xludf.DUMMYFUNCTION("""COMPUTED_VALUE"""),84317816)</f>
        <v>84317816</v>
      </c>
    </row>
    <row r="1899" spans="1:6" x14ac:dyDescent="0.35">
      <c r="A1899" s="2">
        <f ca="1">IFERROR(__xludf.DUMMYFUNCTION("""COMPUTED_VALUE"""),44760.6666666666)</f>
        <v>44760.666666666599</v>
      </c>
      <c r="B1899" s="1">
        <f ca="1">IFERROR(__xludf.DUMMYFUNCTION("""COMPUTED_VALUE"""),115)</f>
        <v>115</v>
      </c>
      <c r="C1899" s="1">
        <f ca="1">IFERROR(__xludf.DUMMYFUNCTION("""COMPUTED_VALUE"""),117.24)</f>
        <v>117.24</v>
      </c>
      <c r="D1899" s="1">
        <f ca="1">IFERROR(__xludf.DUMMYFUNCTION("""COMPUTED_VALUE"""),113.15)</f>
        <v>113.15</v>
      </c>
      <c r="E1899" s="1">
        <f ca="1">IFERROR(__xludf.DUMMYFUNCTION("""COMPUTED_VALUE"""),113.76)</f>
        <v>113.76</v>
      </c>
      <c r="F1899" s="1">
        <f ca="1">IFERROR(__xludf.DUMMYFUNCTION("""COMPUTED_VALUE"""),59115419)</f>
        <v>59115419</v>
      </c>
    </row>
    <row r="1900" spans="1:6" x14ac:dyDescent="0.35">
      <c r="A1900" s="2">
        <f ca="1">IFERROR(__xludf.DUMMYFUNCTION("""COMPUTED_VALUE"""),44761.6666666666)</f>
        <v>44761.666666666599</v>
      </c>
      <c r="B1900" s="1">
        <f ca="1">IFERROR(__xludf.DUMMYFUNCTION("""COMPUTED_VALUE"""),115.7)</f>
        <v>115.7</v>
      </c>
      <c r="C1900" s="1">
        <f ca="1">IFERROR(__xludf.DUMMYFUNCTION("""COMPUTED_VALUE"""),118.95)</f>
        <v>118.95</v>
      </c>
      <c r="D1900" s="1">
        <f ca="1">IFERROR(__xludf.DUMMYFUNCTION("""COMPUTED_VALUE"""),114.03)</f>
        <v>114.03</v>
      </c>
      <c r="E1900" s="1">
        <f ca="1">IFERROR(__xludf.DUMMYFUNCTION("""COMPUTED_VALUE"""),118.21)</f>
        <v>118.21</v>
      </c>
      <c r="F1900" s="1">
        <f ca="1">IFERROR(__xludf.DUMMYFUNCTION("""COMPUTED_VALUE"""),60990043)</f>
        <v>60990043</v>
      </c>
    </row>
    <row r="1901" spans="1:6" x14ac:dyDescent="0.35">
      <c r="A1901" s="2">
        <f ca="1">IFERROR(__xludf.DUMMYFUNCTION("""COMPUTED_VALUE"""),44762.6666666666)</f>
        <v>44762.666666666599</v>
      </c>
      <c r="B1901" s="1">
        <f ca="1">IFERROR(__xludf.DUMMYFUNCTION("""COMPUTED_VALUE"""),118.62)</f>
        <v>118.62</v>
      </c>
      <c r="C1901" s="1">
        <f ca="1">IFERROR(__xludf.DUMMYFUNCTION("""COMPUTED_VALUE"""),123.48)</f>
        <v>123.48</v>
      </c>
      <c r="D1901" s="1">
        <f ca="1">IFERROR(__xludf.DUMMYFUNCTION("""COMPUTED_VALUE"""),118.32)</f>
        <v>118.32</v>
      </c>
      <c r="E1901" s="1">
        <f ca="1">IFERROR(__xludf.DUMMYFUNCTION("""COMPUTED_VALUE"""),122.77)</f>
        <v>122.77</v>
      </c>
      <c r="F1901" s="1">
        <f ca="1">IFERROR(__xludf.DUMMYFUNCTION("""COMPUTED_VALUE"""),71268322)</f>
        <v>71268322</v>
      </c>
    </row>
    <row r="1902" spans="1:6" x14ac:dyDescent="0.35">
      <c r="A1902" s="2">
        <f ca="1">IFERROR(__xludf.DUMMYFUNCTION("""COMPUTED_VALUE"""),44763.6666666666)</f>
        <v>44763.666666666599</v>
      </c>
      <c r="B1902" s="1">
        <f ca="1">IFERROR(__xludf.DUMMYFUNCTION("""COMPUTED_VALUE"""),123.2)</f>
        <v>123.2</v>
      </c>
      <c r="C1902" s="1">
        <f ca="1">IFERROR(__xludf.DUMMYFUNCTION("""COMPUTED_VALUE"""),124.85)</f>
        <v>124.85</v>
      </c>
      <c r="D1902" s="1">
        <f ca="1">IFERROR(__xludf.DUMMYFUNCTION("""COMPUTED_VALUE"""),121.26)</f>
        <v>121.26</v>
      </c>
      <c r="E1902" s="1">
        <f ca="1">IFERROR(__xludf.DUMMYFUNCTION("""COMPUTED_VALUE"""),124.63)</f>
        <v>124.63</v>
      </c>
      <c r="F1902" s="1">
        <f ca="1">IFERROR(__xludf.DUMMYFUNCTION("""COMPUTED_VALUE"""),60239892)</f>
        <v>60239892</v>
      </c>
    </row>
    <row r="1903" spans="1:6" x14ac:dyDescent="0.35">
      <c r="A1903" s="2">
        <f ca="1">IFERROR(__xludf.DUMMYFUNCTION("""COMPUTED_VALUE"""),44764.6666666666)</f>
        <v>44764.666666666599</v>
      </c>
      <c r="B1903" s="1">
        <f ca="1">IFERROR(__xludf.DUMMYFUNCTION("""COMPUTED_VALUE"""),125.01)</f>
        <v>125.01</v>
      </c>
      <c r="C1903" s="1">
        <f ca="1">IFERROR(__xludf.DUMMYFUNCTION("""COMPUTED_VALUE"""),125.5)</f>
        <v>125.5</v>
      </c>
      <c r="D1903" s="1">
        <f ca="1">IFERROR(__xludf.DUMMYFUNCTION("""COMPUTED_VALUE"""),121.35)</f>
        <v>121.35</v>
      </c>
      <c r="E1903" s="1">
        <f ca="1">IFERROR(__xludf.DUMMYFUNCTION("""COMPUTED_VALUE"""),122.42)</f>
        <v>122.42</v>
      </c>
      <c r="F1903" s="1">
        <f ca="1">IFERROR(__xludf.DUMMYFUNCTION("""COMPUTED_VALUE"""),51463797)</f>
        <v>51463797</v>
      </c>
    </row>
    <row r="1904" spans="1:6" x14ac:dyDescent="0.35">
      <c r="A1904" s="2">
        <f ca="1">IFERROR(__xludf.DUMMYFUNCTION("""COMPUTED_VALUE"""),44767.6666666666)</f>
        <v>44767.666666666599</v>
      </c>
      <c r="B1904" s="1">
        <f ca="1">IFERROR(__xludf.DUMMYFUNCTION("""COMPUTED_VALUE"""),122.7)</f>
        <v>122.7</v>
      </c>
      <c r="C1904" s="1">
        <f ca="1">IFERROR(__xludf.DUMMYFUNCTION("""COMPUTED_VALUE"""),123.64)</f>
        <v>123.64</v>
      </c>
      <c r="D1904" s="1">
        <f ca="1">IFERROR(__xludf.DUMMYFUNCTION("""COMPUTED_VALUE"""),120.03)</f>
        <v>120.03</v>
      </c>
      <c r="E1904" s="1">
        <f ca="1">IFERROR(__xludf.DUMMYFUNCTION("""COMPUTED_VALUE"""),121.14)</f>
        <v>121.14</v>
      </c>
      <c r="F1904" s="1">
        <f ca="1">IFERROR(__xludf.DUMMYFUNCTION("""COMPUTED_VALUE"""),50221259)</f>
        <v>50221259</v>
      </c>
    </row>
    <row r="1905" spans="1:6" x14ac:dyDescent="0.35">
      <c r="A1905" s="2">
        <f ca="1">IFERROR(__xludf.DUMMYFUNCTION("""COMPUTED_VALUE"""),44768.6666666666)</f>
        <v>44768.666666666599</v>
      </c>
      <c r="B1905" s="1">
        <f ca="1">IFERROR(__xludf.DUMMYFUNCTION("""COMPUTED_VALUE"""),115.79)</f>
        <v>115.79</v>
      </c>
      <c r="C1905" s="1">
        <f ca="1">IFERROR(__xludf.DUMMYFUNCTION("""COMPUTED_VALUE"""),118.15)</f>
        <v>118.15</v>
      </c>
      <c r="D1905" s="1">
        <f ca="1">IFERROR(__xludf.DUMMYFUNCTION("""COMPUTED_VALUE"""),114.53)</f>
        <v>114.53</v>
      </c>
      <c r="E1905" s="1">
        <f ca="1">IFERROR(__xludf.DUMMYFUNCTION("""COMPUTED_VALUE"""),114.81)</f>
        <v>114.81</v>
      </c>
      <c r="F1905" s="1">
        <f ca="1">IFERROR(__xludf.DUMMYFUNCTION("""COMPUTED_VALUE"""),67075064)</f>
        <v>67075064</v>
      </c>
    </row>
    <row r="1906" spans="1:6" x14ac:dyDescent="0.35">
      <c r="A1906" s="2">
        <f ca="1">IFERROR(__xludf.DUMMYFUNCTION("""COMPUTED_VALUE"""),44769.6666666666)</f>
        <v>44769.666666666599</v>
      </c>
      <c r="B1906" s="1">
        <f ca="1">IFERROR(__xludf.DUMMYFUNCTION("""COMPUTED_VALUE"""),117.31)</f>
        <v>117.31</v>
      </c>
      <c r="C1906" s="1">
        <f ca="1">IFERROR(__xludf.DUMMYFUNCTION("""COMPUTED_VALUE"""),121.9)</f>
        <v>121.9</v>
      </c>
      <c r="D1906" s="1">
        <f ca="1">IFERROR(__xludf.DUMMYFUNCTION("""COMPUTED_VALUE"""),117.16)</f>
        <v>117.16</v>
      </c>
      <c r="E1906" s="1">
        <f ca="1">IFERROR(__xludf.DUMMYFUNCTION("""COMPUTED_VALUE"""),120.97)</f>
        <v>120.97</v>
      </c>
      <c r="F1906" s="1">
        <f ca="1">IFERROR(__xludf.DUMMYFUNCTION("""COMPUTED_VALUE"""),61582015)</f>
        <v>61582015</v>
      </c>
    </row>
    <row r="1907" spans="1:6" x14ac:dyDescent="0.35">
      <c r="A1907" s="2">
        <f ca="1">IFERROR(__xludf.DUMMYFUNCTION("""COMPUTED_VALUE"""),44770.6666666666)</f>
        <v>44770.666666666599</v>
      </c>
      <c r="B1907" s="1">
        <f ca="1">IFERROR(__xludf.DUMMYFUNCTION("""COMPUTED_VALUE"""),121.57)</f>
        <v>121.57</v>
      </c>
      <c r="C1907" s="1">
        <f ca="1">IFERROR(__xludf.DUMMYFUNCTION("""COMPUTED_VALUE"""),122.84)</f>
        <v>122.84</v>
      </c>
      <c r="D1907" s="1">
        <f ca="1">IFERROR(__xludf.DUMMYFUNCTION("""COMPUTED_VALUE"""),118.08)</f>
        <v>118.08</v>
      </c>
      <c r="E1907" s="1">
        <f ca="1">IFERROR(__xludf.DUMMYFUNCTION("""COMPUTED_VALUE"""),122.28)</f>
        <v>122.28</v>
      </c>
      <c r="F1907" s="1">
        <f ca="1">IFERROR(__xludf.DUMMYFUNCTION("""COMPUTED_VALUE"""),82245543)</f>
        <v>82245543</v>
      </c>
    </row>
    <row r="1908" spans="1:6" x14ac:dyDescent="0.35">
      <c r="A1908" s="2">
        <f ca="1">IFERROR(__xludf.DUMMYFUNCTION("""COMPUTED_VALUE"""),44771.6666666666)</f>
        <v>44771.666666666599</v>
      </c>
      <c r="B1908" s="1">
        <f ca="1">IFERROR(__xludf.DUMMYFUNCTION("""COMPUTED_VALUE"""),134.9)</f>
        <v>134.9</v>
      </c>
      <c r="C1908" s="1">
        <f ca="1">IFERROR(__xludf.DUMMYFUNCTION("""COMPUTED_VALUE"""),137.65)</f>
        <v>137.65</v>
      </c>
      <c r="D1908" s="1">
        <f ca="1">IFERROR(__xludf.DUMMYFUNCTION("""COMPUTED_VALUE"""),132.41)</f>
        <v>132.41</v>
      </c>
      <c r="E1908" s="1">
        <f ca="1">IFERROR(__xludf.DUMMYFUNCTION("""COMPUTED_VALUE"""),134.95)</f>
        <v>134.94999999999999</v>
      </c>
      <c r="F1908" s="1">
        <f ca="1">IFERROR(__xludf.DUMMYFUNCTION("""COMPUTED_VALUE"""),148892889)</f>
        <v>148892889</v>
      </c>
    </row>
    <row r="1909" spans="1:6" x14ac:dyDescent="0.35">
      <c r="A1909" s="2">
        <f ca="1">IFERROR(__xludf.DUMMYFUNCTION("""COMPUTED_VALUE"""),44774.6666666666)</f>
        <v>44774.666666666599</v>
      </c>
      <c r="B1909" s="1">
        <f ca="1">IFERROR(__xludf.DUMMYFUNCTION("""COMPUTED_VALUE"""),134.96)</f>
        <v>134.96</v>
      </c>
      <c r="C1909" s="1">
        <f ca="1">IFERROR(__xludf.DUMMYFUNCTION("""COMPUTED_VALUE"""),138.83)</f>
        <v>138.83000000000001</v>
      </c>
      <c r="D1909" s="1">
        <f ca="1">IFERROR(__xludf.DUMMYFUNCTION("""COMPUTED_VALUE"""),133.51)</f>
        <v>133.51</v>
      </c>
      <c r="E1909" s="1">
        <f ca="1">IFERROR(__xludf.DUMMYFUNCTION("""COMPUTED_VALUE"""),135.39)</f>
        <v>135.38999999999999</v>
      </c>
      <c r="F1909" s="1">
        <f ca="1">IFERROR(__xludf.DUMMYFUNCTION("""COMPUTED_VALUE"""),76846908)</f>
        <v>76846908</v>
      </c>
    </row>
    <row r="1910" spans="1:6" x14ac:dyDescent="0.35">
      <c r="A1910" s="2">
        <f ca="1">IFERROR(__xludf.DUMMYFUNCTION("""COMPUTED_VALUE"""),44775.6666666666)</f>
        <v>44775.666666666599</v>
      </c>
      <c r="B1910" s="1">
        <f ca="1">IFERROR(__xludf.DUMMYFUNCTION("""COMPUTED_VALUE"""),134.72)</f>
        <v>134.72</v>
      </c>
      <c r="C1910" s="1">
        <f ca="1">IFERROR(__xludf.DUMMYFUNCTION("""COMPUTED_VALUE"""),137.44)</f>
        <v>137.44</v>
      </c>
      <c r="D1910" s="1">
        <f ca="1">IFERROR(__xludf.DUMMYFUNCTION("""COMPUTED_VALUE"""),134.09)</f>
        <v>134.09</v>
      </c>
      <c r="E1910" s="1">
        <f ca="1">IFERROR(__xludf.DUMMYFUNCTION("""COMPUTED_VALUE"""),134.16)</f>
        <v>134.16</v>
      </c>
      <c r="F1910" s="1">
        <f ca="1">IFERROR(__xludf.DUMMYFUNCTION("""COMPUTED_VALUE"""),61922429)</f>
        <v>61922429</v>
      </c>
    </row>
    <row r="1911" spans="1:6" x14ac:dyDescent="0.35">
      <c r="A1911" s="2">
        <f ca="1">IFERROR(__xludf.DUMMYFUNCTION("""COMPUTED_VALUE"""),44776.6666666666)</f>
        <v>44776.666666666599</v>
      </c>
      <c r="B1911" s="1">
        <f ca="1">IFERROR(__xludf.DUMMYFUNCTION("""COMPUTED_VALUE"""),136.21)</f>
        <v>136.21</v>
      </c>
      <c r="C1911" s="1">
        <f ca="1">IFERROR(__xludf.DUMMYFUNCTION("""COMPUTED_VALUE"""),140.49)</f>
        <v>140.49</v>
      </c>
      <c r="D1911" s="1">
        <f ca="1">IFERROR(__xludf.DUMMYFUNCTION("""COMPUTED_VALUE"""),136.05)</f>
        <v>136.05000000000001</v>
      </c>
      <c r="E1911" s="1">
        <f ca="1">IFERROR(__xludf.DUMMYFUNCTION("""COMPUTED_VALUE"""),139.52)</f>
        <v>139.52000000000001</v>
      </c>
      <c r="F1911" s="1">
        <f ca="1">IFERROR(__xludf.DUMMYFUNCTION("""COMPUTED_VALUE"""),71827780)</f>
        <v>71827780</v>
      </c>
    </row>
    <row r="1912" spans="1:6" x14ac:dyDescent="0.35">
      <c r="A1912" s="2">
        <f ca="1">IFERROR(__xludf.DUMMYFUNCTION("""COMPUTED_VALUE"""),44777.6666666666)</f>
        <v>44777.666666666599</v>
      </c>
      <c r="B1912" s="1">
        <f ca="1">IFERROR(__xludf.DUMMYFUNCTION("""COMPUTED_VALUE"""),140.58)</f>
        <v>140.58000000000001</v>
      </c>
      <c r="C1912" s="1">
        <f ca="1">IFERROR(__xludf.DUMMYFUNCTION("""COMPUTED_VALUE"""),143.56)</f>
        <v>143.56</v>
      </c>
      <c r="D1912" s="1">
        <f ca="1">IFERROR(__xludf.DUMMYFUNCTION("""COMPUTED_VALUE"""),139.55)</f>
        <v>139.55000000000001</v>
      </c>
      <c r="E1912" s="1">
        <f ca="1">IFERROR(__xludf.DUMMYFUNCTION("""COMPUTED_VALUE"""),142.57)</f>
        <v>142.57</v>
      </c>
      <c r="F1912" s="1">
        <f ca="1">IFERROR(__xludf.DUMMYFUNCTION("""COMPUTED_VALUE"""),70585020)</f>
        <v>70585020</v>
      </c>
    </row>
    <row r="1913" spans="1:6" x14ac:dyDescent="0.35">
      <c r="A1913" s="2">
        <f ca="1">IFERROR(__xludf.DUMMYFUNCTION("""COMPUTED_VALUE"""),44778.6666666666)</f>
        <v>44778.666666666599</v>
      </c>
      <c r="B1913" s="1">
        <f ca="1">IFERROR(__xludf.DUMMYFUNCTION("""COMPUTED_VALUE"""),140.1)</f>
        <v>140.1</v>
      </c>
      <c r="C1913" s="1">
        <f ca="1">IFERROR(__xludf.DUMMYFUNCTION("""COMPUTED_VALUE"""),142.86)</f>
        <v>142.86000000000001</v>
      </c>
      <c r="D1913" s="1">
        <f ca="1">IFERROR(__xludf.DUMMYFUNCTION("""COMPUTED_VALUE"""),139.6)</f>
        <v>139.6</v>
      </c>
      <c r="E1913" s="1">
        <f ca="1">IFERROR(__xludf.DUMMYFUNCTION("""COMPUTED_VALUE"""),140.8)</f>
        <v>140.80000000000001</v>
      </c>
      <c r="F1913" s="1">
        <f ca="1">IFERROR(__xludf.DUMMYFUNCTION("""COMPUTED_VALUE"""),50686865)</f>
        <v>50686865</v>
      </c>
    </row>
    <row r="1914" spans="1:6" x14ac:dyDescent="0.35">
      <c r="A1914" s="2">
        <f ca="1">IFERROR(__xludf.DUMMYFUNCTION("""COMPUTED_VALUE"""),44781.6666666666)</f>
        <v>44781.666666666599</v>
      </c>
      <c r="B1914" s="1">
        <f ca="1">IFERROR(__xludf.DUMMYFUNCTION("""COMPUTED_VALUE"""),142.05)</f>
        <v>142.05000000000001</v>
      </c>
      <c r="C1914" s="1">
        <f ca="1">IFERROR(__xludf.DUMMYFUNCTION("""COMPUTED_VALUE"""),144.23)</f>
        <v>144.22999999999999</v>
      </c>
      <c r="D1914" s="1">
        <f ca="1">IFERROR(__xludf.DUMMYFUNCTION("""COMPUTED_VALUE"""),138.29)</f>
        <v>138.29</v>
      </c>
      <c r="E1914" s="1">
        <f ca="1">IFERROR(__xludf.DUMMYFUNCTION("""COMPUTED_VALUE"""),139.41)</f>
        <v>139.41</v>
      </c>
      <c r="F1914" s="1">
        <f ca="1">IFERROR(__xludf.DUMMYFUNCTION("""COMPUTED_VALUE"""),52303475)</f>
        <v>52303475</v>
      </c>
    </row>
    <row r="1915" spans="1:6" x14ac:dyDescent="0.35">
      <c r="A1915" s="2">
        <f ca="1">IFERROR(__xludf.DUMMYFUNCTION("""COMPUTED_VALUE"""),44782.6666666666)</f>
        <v>44782.666666666599</v>
      </c>
      <c r="B1915" s="1">
        <f ca="1">IFERROR(__xludf.DUMMYFUNCTION("""COMPUTED_VALUE"""),138.05)</f>
        <v>138.05000000000001</v>
      </c>
      <c r="C1915" s="1">
        <f ca="1">IFERROR(__xludf.DUMMYFUNCTION("""COMPUTED_VALUE"""),138.95)</f>
        <v>138.94999999999999</v>
      </c>
      <c r="D1915" s="1">
        <f ca="1">IFERROR(__xludf.DUMMYFUNCTION("""COMPUTED_VALUE"""),136.21)</f>
        <v>136.21</v>
      </c>
      <c r="E1915" s="1">
        <f ca="1">IFERROR(__xludf.DUMMYFUNCTION("""COMPUTED_VALUE"""),137.83)</f>
        <v>137.83000000000001</v>
      </c>
      <c r="F1915" s="1">
        <f ca="1">IFERROR(__xludf.DUMMYFUNCTION("""COMPUTED_VALUE"""),40434715)</f>
        <v>40434715</v>
      </c>
    </row>
    <row r="1916" spans="1:6" x14ac:dyDescent="0.35">
      <c r="A1916" s="2">
        <f ca="1">IFERROR(__xludf.DUMMYFUNCTION("""COMPUTED_VALUE"""),44783.6666666666)</f>
        <v>44783.666666666599</v>
      </c>
      <c r="B1916" s="1">
        <f ca="1">IFERROR(__xludf.DUMMYFUNCTION("""COMPUTED_VALUE"""),142.9)</f>
        <v>142.9</v>
      </c>
      <c r="C1916" s="1">
        <f ca="1">IFERROR(__xludf.DUMMYFUNCTION("""COMPUTED_VALUE"""),144.6)</f>
        <v>144.6</v>
      </c>
      <c r="D1916" s="1">
        <f ca="1">IFERROR(__xludf.DUMMYFUNCTION("""COMPUTED_VALUE"""),141.01)</f>
        <v>141.01</v>
      </c>
      <c r="E1916" s="1">
        <f ca="1">IFERROR(__xludf.DUMMYFUNCTION("""COMPUTED_VALUE"""),142.69)</f>
        <v>142.69</v>
      </c>
      <c r="F1916" s="1">
        <f ca="1">IFERROR(__xludf.DUMMYFUNCTION("""COMPUTED_VALUE"""),54773819)</f>
        <v>54773819</v>
      </c>
    </row>
    <row r="1917" spans="1:6" x14ac:dyDescent="0.35">
      <c r="A1917" s="2">
        <f ca="1">IFERROR(__xludf.DUMMYFUNCTION("""COMPUTED_VALUE"""),44784.6666666666)</f>
        <v>44784.666666666599</v>
      </c>
      <c r="B1917" s="1">
        <f ca="1">IFERROR(__xludf.DUMMYFUNCTION("""COMPUTED_VALUE"""),143.86)</f>
        <v>143.86000000000001</v>
      </c>
      <c r="C1917" s="1">
        <f ca="1">IFERROR(__xludf.DUMMYFUNCTION("""COMPUTED_VALUE"""),144.49)</f>
        <v>144.49</v>
      </c>
      <c r="D1917" s="1">
        <f ca="1">IFERROR(__xludf.DUMMYFUNCTION("""COMPUTED_VALUE"""),139.76)</f>
        <v>139.76</v>
      </c>
      <c r="E1917" s="1">
        <f ca="1">IFERROR(__xludf.DUMMYFUNCTION("""COMPUTED_VALUE"""),140.64)</f>
        <v>140.63999999999999</v>
      </c>
      <c r="F1917" s="1">
        <f ca="1">IFERROR(__xludf.DUMMYFUNCTION("""COMPUTED_VALUE"""),44867336)</f>
        <v>44867336</v>
      </c>
    </row>
    <row r="1918" spans="1:6" x14ac:dyDescent="0.35">
      <c r="A1918" s="2">
        <f ca="1">IFERROR(__xludf.DUMMYFUNCTION("""COMPUTED_VALUE"""),44785.6666666666)</f>
        <v>44785.666666666599</v>
      </c>
      <c r="B1918" s="1">
        <f ca="1">IFERROR(__xludf.DUMMYFUNCTION("""COMPUTED_VALUE"""),142.05)</f>
        <v>142.05000000000001</v>
      </c>
      <c r="C1918" s="1">
        <f ca="1">IFERROR(__xludf.DUMMYFUNCTION("""COMPUTED_VALUE"""),143.57)</f>
        <v>143.57</v>
      </c>
      <c r="D1918" s="1">
        <f ca="1">IFERROR(__xludf.DUMMYFUNCTION("""COMPUTED_VALUE"""),140.12)</f>
        <v>140.12</v>
      </c>
      <c r="E1918" s="1">
        <f ca="1">IFERROR(__xludf.DUMMYFUNCTION("""COMPUTED_VALUE"""),143.55)</f>
        <v>143.55000000000001</v>
      </c>
      <c r="F1918" s="1">
        <f ca="1">IFERROR(__xludf.DUMMYFUNCTION("""COMPUTED_VALUE"""),47643484)</f>
        <v>47643484</v>
      </c>
    </row>
    <row r="1919" spans="1:6" x14ac:dyDescent="0.35">
      <c r="A1919" s="2">
        <f ca="1">IFERROR(__xludf.DUMMYFUNCTION("""COMPUTED_VALUE"""),44788.6666666666)</f>
        <v>44788.666666666599</v>
      </c>
      <c r="B1919" s="1">
        <f ca="1">IFERROR(__xludf.DUMMYFUNCTION("""COMPUTED_VALUE"""),142.8)</f>
        <v>142.80000000000001</v>
      </c>
      <c r="C1919" s="1">
        <f ca="1">IFERROR(__xludf.DUMMYFUNCTION("""COMPUTED_VALUE"""),143.76)</f>
        <v>143.76</v>
      </c>
      <c r="D1919" s="1">
        <f ca="1">IFERROR(__xludf.DUMMYFUNCTION("""COMPUTED_VALUE"""),141.49)</f>
        <v>141.49</v>
      </c>
      <c r="E1919" s="1">
        <f ca="1">IFERROR(__xludf.DUMMYFUNCTION("""COMPUTED_VALUE"""),143.18)</f>
        <v>143.18</v>
      </c>
      <c r="F1919" s="1">
        <f ca="1">IFERROR(__xludf.DUMMYFUNCTION("""COMPUTED_VALUE"""),39014583)</f>
        <v>39014583</v>
      </c>
    </row>
    <row r="1920" spans="1:6" x14ac:dyDescent="0.35">
      <c r="A1920" s="2">
        <f ca="1">IFERROR(__xludf.DUMMYFUNCTION("""COMPUTED_VALUE"""),44789.6666666666)</f>
        <v>44789.666666666599</v>
      </c>
      <c r="B1920" s="1">
        <f ca="1">IFERROR(__xludf.DUMMYFUNCTION("""COMPUTED_VALUE"""),143.91)</f>
        <v>143.91</v>
      </c>
      <c r="C1920" s="1">
        <f ca="1">IFERROR(__xludf.DUMMYFUNCTION("""COMPUTED_VALUE"""),146.57)</f>
        <v>146.57</v>
      </c>
      <c r="D1920" s="1">
        <f ca="1">IFERROR(__xludf.DUMMYFUNCTION("""COMPUTED_VALUE"""),142)</f>
        <v>142</v>
      </c>
      <c r="E1920" s="1">
        <f ca="1">IFERROR(__xludf.DUMMYFUNCTION("""COMPUTED_VALUE"""),144.78)</f>
        <v>144.78</v>
      </c>
      <c r="F1920" s="1">
        <f ca="1">IFERROR(__xludf.DUMMYFUNCTION("""COMPUTED_VALUE"""),59102859)</f>
        <v>59102859</v>
      </c>
    </row>
    <row r="1921" spans="1:6" x14ac:dyDescent="0.35">
      <c r="A1921" s="2">
        <f ca="1">IFERROR(__xludf.DUMMYFUNCTION("""COMPUTED_VALUE"""),44790.6666666666)</f>
        <v>44790.666666666599</v>
      </c>
      <c r="B1921" s="1">
        <f ca="1">IFERROR(__xludf.DUMMYFUNCTION("""COMPUTED_VALUE"""),142.69)</f>
        <v>142.69</v>
      </c>
      <c r="C1921" s="1">
        <f ca="1">IFERROR(__xludf.DUMMYFUNCTION("""COMPUTED_VALUE"""),143.38)</f>
        <v>143.38</v>
      </c>
      <c r="D1921" s="1">
        <f ca="1">IFERROR(__xludf.DUMMYFUNCTION("""COMPUTED_VALUE"""),140.78)</f>
        <v>140.78</v>
      </c>
      <c r="E1921" s="1">
        <f ca="1">IFERROR(__xludf.DUMMYFUNCTION("""COMPUTED_VALUE"""),142.1)</f>
        <v>142.1</v>
      </c>
      <c r="F1921" s="1">
        <f ca="1">IFERROR(__xludf.DUMMYFUNCTION("""COMPUTED_VALUE"""),48149778)</f>
        <v>48149778</v>
      </c>
    </row>
    <row r="1922" spans="1:6" x14ac:dyDescent="0.35">
      <c r="A1922" s="2">
        <f ca="1">IFERROR(__xludf.DUMMYFUNCTION("""COMPUTED_VALUE"""),44791.6666666666)</f>
        <v>44791.666666666599</v>
      </c>
      <c r="B1922" s="1">
        <f ca="1">IFERROR(__xludf.DUMMYFUNCTION("""COMPUTED_VALUE"""),141.32)</f>
        <v>141.32</v>
      </c>
      <c r="C1922" s="1">
        <f ca="1">IFERROR(__xludf.DUMMYFUNCTION("""COMPUTED_VALUE"""),142.77)</f>
        <v>142.77000000000001</v>
      </c>
      <c r="D1922" s="1">
        <f ca="1">IFERROR(__xludf.DUMMYFUNCTION("""COMPUTED_VALUE"""),140.38)</f>
        <v>140.38</v>
      </c>
      <c r="E1922" s="1">
        <f ca="1">IFERROR(__xludf.DUMMYFUNCTION("""COMPUTED_VALUE"""),142.3)</f>
        <v>142.30000000000001</v>
      </c>
      <c r="F1922" s="1">
        <f ca="1">IFERROR(__xludf.DUMMYFUNCTION("""COMPUTED_VALUE"""),37458737)</f>
        <v>37458737</v>
      </c>
    </row>
    <row r="1923" spans="1:6" x14ac:dyDescent="0.35">
      <c r="A1923" s="2">
        <f ca="1">IFERROR(__xludf.DUMMYFUNCTION("""COMPUTED_VALUE"""),44792.6666666666)</f>
        <v>44792.666666666599</v>
      </c>
      <c r="B1923" s="1">
        <f ca="1">IFERROR(__xludf.DUMMYFUNCTION("""COMPUTED_VALUE"""),140.47)</f>
        <v>140.47</v>
      </c>
      <c r="C1923" s="1">
        <f ca="1">IFERROR(__xludf.DUMMYFUNCTION("""COMPUTED_VALUE"""),141.11)</f>
        <v>141.11000000000001</v>
      </c>
      <c r="D1923" s="1">
        <f ca="1">IFERROR(__xludf.DUMMYFUNCTION("""COMPUTED_VALUE"""),137.91)</f>
        <v>137.91</v>
      </c>
      <c r="E1923" s="1">
        <f ca="1">IFERROR(__xludf.DUMMYFUNCTION("""COMPUTED_VALUE"""),138.23)</f>
        <v>138.22999999999999</v>
      </c>
      <c r="F1923" s="1">
        <f ca="1">IFERROR(__xludf.DUMMYFUNCTION("""COMPUTED_VALUE"""),47792843)</f>
        <v>47792843</v>
      </c>
    </row>
    <row r="1924" spans="1:6" x14ac:dyDescent="0.35">
      <c r="A1924" s="2">
        <f ca="1">IFERROR(__xludf.DUMMYFUNCTION("""COMPUTED_VALUE"""),44795.6666666666)</f>
        <v>44795.666666666599</v>
      </c>
      <c r="B1924" s="1">
        <f ca="1">IFERROR(__xludf.DUMMYFUNCTION("""COMPUTED_VALUE"""),135.72)</f>
        <v>135.72</v>
      </c>
      <c r="C1924" s="1">
        <f ca="1">IFERROR(__xludf.DUMMYFUNCTION("""COMPUTED_VALUE"""),136.32)</f>
        <v>136.32</v>
      </c>
      <c r="D1924" s="1">
        <f ca="1">IFERROR(__xludf.DUMMYFUNCTION("""COMPUTED_VALUE"""),132.85)</f>
        <v>132.85</v>
      </c>
      <c r="E1924" s="1">
        <f ca="1">IFERROR(__xludf.DUMMYFUNCTION("""COMPUTED_VALUE"""),133.22)</f>
        <v>133.22</v>
      </c>
      <c r="F1924" s="1">
        <f ca="1">IFERROR(__xludf.DUMMYFUNCTION("""COMPUTED_VALUE"""),50461504)</f>
        <v>50461504</v>
      </c>
    </row>
    <row r="1925" spans="1:6" x14ac:dyDescent="0.35">
      <c r="A1925" s="2">
        <f ca="1">IFERROR(__xludf.DUMMYFUNCTION("""COMPUTED_VALUE"""),44796.6666666666)</f>
        <v>44796.666666666599</v>
      </c>
      <c r="B1925" s="1">
        <f ca="1">IFERROR(__xludf.DUMMYFUNCTION("""COMPUTED_VALUE"""),133.41)</f>
        <v>133.41</v>
      </c>
      <c r="C1925" s="1">
        <f ca="1">IFERROR(__xludf.DUMMYFUNCTION("""COMPUTED_VALUE"""),134.99)</f>
        <v>134.99</v>
      </c>
      <c r="D1925" s="1">
        <f ca="1">IFERROR(__xludf.DUMMYFUNCTION("""COMPUTED_VALUE"""),132.95)</f>
        <v>132.94999999999999</v>
      </c>
      <c r="E1925" s="1">
        <f ca="1">IFERROR(__xludf.DUMMYFUNCTION("""COMPUTED_VALUE"""),133.62)</f>
        <v>133.62</v>
      </c>
      <c r="F1925" s="1">
        <f ca="1">IFERROR(__xludf.DUMMYFUNCTION("""COMPUTED_VALUE"""),36252103)</f>
        <v>36252103</v>
      </c>
    </row>
    <row r="1926" spans="1:6" x14ac:dyDescent="0.35">
      <c r="A1926" s="2">
        <f ca="1">IFERROR(__xludf.DUMMYFUNCTION("""COMPUTED_VALUE"""),44797.6666666666)</f>
        <v>44797.666666666599</v>
      </c>
      <c r="B1926" s="1">
        <f ca="1">IFERROR(__xludf.DUMMYFUNCTION("""COMPUTED_VALUE"""),132.75)</f>
        <v>132.75</v>
      </c>
      <c r="C1926" s="1">
        <f ca="1">IFERROR(__xludf.DUMMYFUNCTION("""COMPUTED_VALUE"""),135.47)</f>
        <v>135.47</v>
      </c>
      <c r="D1926" s="1">
        <f ca="1">IFERROR(__xludf.DUMMYFUNCTION("""COMPUTED_VALUE"""),132.1)</f>
        <v>132.1</v>
      </c>
      <c r="E1926" s="1">
        <f ca="1">IFERROR(__xludf.DUMMYFUNCTION("""COMPUTED_VALUE"""),133.8)</f>
        <v>133.80000000000001</v>
      </c>
      <c r="F1926" s="1">
        <f ca="1">IFERROR(__xludf.DUMMYFUNCTION("""COMPUTED_VALUE"""),38626978)</f>
        <v>38626978</v>
      </c>
    </row>
    <row r="1927" spans="1:6" x14ac:dyDescent="0.35">
      <c r="A1927" s="2">
        <f ca="1">IFERROR(__xludf.DUMMYFUNCTION("""COMPUTED_VALUE"""),44798.6666666666)</f>
        <v>44798.666666666599</v>
      </c>
      <c r="B1927" s="1">
        <f ca="1">IFERROR(__xludf.DUMMYFUNCTION("""COMPUTED_VALUE"""),135.26)</f>
        <v>135.26</v>
      </c>
      <c r="C1927" s="1">
        <f ca="1">IFERROR(__xludf.DUMMYFUNCTION("""COMPUTED_VALUE"""),137.42)</f>
        <v>137.41999999999999</v>
      </c>
      <c r="D1927" s="1">
        <f ca="1">IFERROR(__xludf.DUMMYFUNCTION("""COMPUTED_VALUE"""),134.28)</f>
        <v>134.28</v>
      </c>
      <c r="E1927" s="1">
        <f ca="1">IFERROR(__xludf.DUMMYFUNCTION("""COMPUTED_VALUE"""),137.28)</f>
        <v>137.28</v>
      </c>
      <c r="F1927" s="1">
        <f ca="1">IFERROR(__xludf.DUMMYFUNCTION("""COMPUTED_VALUE"""),37496283)</f>
        <v>37496283</v>
      </c>
    </row>
    <row r="1928" spans="1:6" x14ac:dyDescent="0.35">
      <c r="A1928" s="2">
        <f ca="1">IFERROR(__xludf.DUMMYFUNCTION("""COMPUTED_VALUE"""),44799.6666666666)</f>
        <v>44799.666666666599</v>
      </c>
      <c r="B1928" s="1">
        <f ca="1">IFERROR(__xludf.DUMMYFUNCTION("""COMPUTED_VALUE"""),136.55)</f>
        <v>136.55000000000001</v>
      </c>
      <c r="C1928" s="1">
        <f ca="1">IFERROR(__xludf.DUMMYFUNCTION("""COMPUTED_VALUE"""),137.83)</f>
        <v>137.83000000000001</v>
      </c>
      <c r="D1928" s="1">
        <f ca="1">IFERROR(__xludf.DUMMYFUNCTION("""COMPUTED_VALUE"""),130.5)</f>
        <v>130.5</v>
      </c>
      <c r="E1928" s="1">
        <f ca="1">IFERROR(__xludf.DUMMYFUNCTION("""COMPUTED_VALUE"""),130.75)</f>
        <v>130.75</v>
      </c>
      <c r="F1928" s="1">
        <f ca="1">IFERROR(__xludf.DUMMYFUNCTION("""COMPUTED_VALUE"""),53322663)</f>
        <v>53322663</v>
      </c>
    </row>
    <row r="1929" spans="1:6" x14ac:dyDescent="0.35">
      <c r="A1929" s="2">
        <f ca="1">IFERROR(__xludf.DUMMYFUNCTION("""COMPUTED_VALUE"""),44802.6666666666)</f>
        <v>44802.666666666599</v>
      </c>
      <c r="B1929" s="1">
        <f ca="1">IFERROR(__xludf.DUMMYFUNCTION("""COMPUTED_VALUE"""),129.9)</f>
        <v>129.9</v>
      </c>
      <c r="C1929" s="1">
        <f ca="1">IFERROR(__xludf.DUMMYFUNCTION("""COMPUTED_VALUE"""),131.95)</f>
        <v>131.94999999999999</v>
      </c>
      <c r="D1929" s="1">
        <f ca="1">IFERROR(__xludf.DUMMYFUNCTION("""COMPUTED_VALUE"""),128.77)</f>
        <v>128.77000000000001</v>
      </c>
      <c r="E1929" s="1">
        <f ca="1">IFERROR(__xludf.DUMMYFUNCTION("""COMPUTED_VALUE"""),129.79)</f>
        <v>129.79</v>
      </c>
      <c r="F1929" s="1">
        <f ca="1">IFERROR(__xludf.DUMMYFUNCTION("""COMPUTED_VALUE"""),48101638)</f>
        <v>48101638</v>
      </c>
    </row>
    <row r="1930" spans="1:6" x14ac:dyDescent="0.35">
      <c r="A1930" s="2">
        <f ca="1">IFERROR(__xludf.DUMMYFUNCTION("""COMPUTED_VALUE"""),44803.6666666666)</f>
        <v>44803.666666666599</v>
      </c>
      <c r="B1930" s="1">
        <f ca="1">IFERROR(__xludf.DUMMYFUNCTION("""COMPUTED_VALUE"""),131.25)</f>
        <v>131.25</v>
      </c>
      <c r="C1930" s="1">
        <f ca="1">IFERROR(__xludf.DUMMYFUNCTION("""COMPUTED_VALUE"""),132.07)</f>
        <v>132.07</v>
      </c>
      <c r="D1930" s="1">
        <f ca="1">IFERROR(__xludf.DUMMYFUNCTION("""COMPUTED_VALUE"""),126.85)</f>
        <v>126.85</v>
      </c>
      <c r="E1930" s="1">
        <f ca="1">IFERROR(__xludf.DUMMYFUNCTION("""COMPUTED_VALUE"""),128.73)</f>
        <v>128.72999999999999</v>
      </c>
      <c r="F1930" s="1">
        <f ca="1">IFERROR(__xludf.DUMMYFUNCTION("""COMPUTED_VALUE"""),49202990)</f>
        <v>49202990</v>
      </c>
    </row>
    <row r="1931" spans="1:6" x14ac:dyDescent="0.35">
      <c r="A1931" s="2">
        <f ca="1">IFERROR(__xludf.DUMMYFUNCTION("""COMPUTED_VALUE"""),44804.6666666666)</f>
        <v>44804.666666666599</v>
      </c>
      <c r="B1931" s="1">
        <f ca="1">IFERROR(__xludf.DUMMYFUNCTION("""COMPUTED_VALUE"""),129.45)</f>
        <v>129.44999999999999</v>
      </c>
      <c r="C1931" s="1">
        <f ca="1">IFERROR(__xludf.DUMMYFUNCTION("""COMPUTED_VALUE"""),130.59)</f>
        <v>130.59</v>
      </c>
      <c r="D1931" s="1">
        <f ca="1">IFERROR(__xludf.DUMMYFUNCTION("""COMPUTED_VALUE"""),126.74)</f>
        <v>126.74</v>
      </c>
      <c r="E1931" s="1">
        <f ca="1">IFERROR(__xludf.DUMMYFUNCTION("""COMPUTED_VALUE"""),126.77)</f>
        <v>126.77</v>
      </c>
      <c r="F1931" s="1">
        <f ca="1">IFERROR(__xludf.DUMMYFUNCTION("""COMPUTED_VALUE"""),53648702)</f>
        <v>53648702</v>
      </c>
    </row>
    <row r="1932" spans="1:6" x14ac:dyDescent="0.35">
      <c r="A1932" s="2">
        <f ca="1">IFERROR(__xludf.DUMMYFUNCTION("""COMPUTED_VALUE"""),44805.6666666666)</f>
        <v>44805.666666666599</v>
      </c>
      <c r="B1932" s="1">
        <f ca="1">IFERROR(__xludf.DUMMYFUNCTION("""COMPUTED_VALUE"""),126)</f>
        <v>126</v>
      </c>
      <c r="C1932" s="1">
        <f ca="1">IFERROR(__xludf.DUMMYFUNCTION("""COMPUTED_VALUE"""),128.02)</f>
        <v>128.02000000000001</v>
      </c>
      <c r="D1932" s="1">
        <f ca="1">IFERROR(__xludf.DUMMYFUNCTION("""COMPUTED_VALUE"""),123.66)</f>
        <v>123.66</v>
      </c>
      <c r="E1932" s="1">
        <f ca="1">IFERROR(__xludf.DUMMYFUNCTION("""COMPUTED_VALUE"""),127.82)</f>
        <v>127.82</v>
      </c>
      <c r="F1932" s="1">
        <f ca="1">IFERROR(__xludf.DUMMYFUNCTION("""COMPUTED_VALUE"""),56636145)</f>
        <v>56636145</v>
      </c>
    </row>
    <row r="1933" spans="1:6" x14ac:dyDescent="0.35">
      <c r="A1933" s="2">
        <f ca="1">IFERROR(__xludf.DUMMYFUNCTION("""COMPUTED_VALUE"""),44806.6666666666)</f>
        <v>44806.666666666599</v>
      </c>
      <c r="B1933" s="1">
        <f ca="1">IFERROR(__xludf.DUMMYFUNCTION("""COMPUTED_VALUE"""),129.5)</f>
        <v>129.5</v>
      </c>
      <c r="C1933" s="1">
        <f ca="1">IFERROR(__xludf.DUMMYFUNCTION("""COMPUTED_VALUE"""),131.38)</f>
        <v>131.38</v>
      </c>
      <c r="D1933" s="1">
        <f ca="1">IFERROR(__xludf.DUMMYFUNCTION("""COMPUTED_VALUE"""),126.39)</f>
        <v>126.39</v>
      </c>
      <c r="E1933" s="1">
        <f ca="1">IFERROR(__xludf.DUMMYFUNCTION("""COMPUTED_VALUE"""),127.51)</f>
        <v>127.51</v>
      </c>
      <c r="F1933" s="1">
        <f ca="1">IFERROR(__xludf.DUMMYFUNCTION("""COMPUTED_VALUE"""),57429829)</f>
        <v>57429829</v>
      </c>
    </row>
    <row r="1934" spans="1:6" x14ac:dyDescent="0.35">
      <c r="A1934" s="2">
        <f ca="1">IFERROR(__xludf.DUMMYFUNCTION("""COMPUTED_VALUE"""),44810.6666666666)</f>
        <v>44810.666666666599</v>
      </c>
      <c r="B1934" s="1">
        <f ca="1">IFERROR(__xludf.DUMMYFUNCTION("""COMPUTED_VALUE"""),127.92)</f>
        <v>127.92</v>
      </c>
      <c r="C1934" s="1">
        <f ca="1">IFERROR(__xludf.DUMMYFUNCTION("""COMPUTED_VALUE"""),128.62)</f>
        <v>128.62</v>
      </c>
      <c r="D1934" s="1">
        <f ca="1">IFERROR(__xludf.DUMMYFUNCTION("""COMPUTED_VALUE"""),124.74)</f>
        <v>124.74</v>
      </c>
      <c r="E1934" s="1">
        <f ca="1">IFERROR(__xludf.DUMMYFUNCTION("""COMPUTED_VALUE"""),126.11)</f>
        <v>126.11</v>
      </c>
      <c r="F1934" s="1">
        <f ca="1">IFERROR(__xludf.DUMMYFUNCTION("""COMPUTED_VALUE"""),43888587)</f>
        <v>43888587</v>
      </c>
    </row>
    <row r="1935" spans="1:6" x14ac:dyDescent="0.35">
      <c r="A1935" s="2">
        <f ca="1">IFERROR(__xludf.DUMMYFUNCTION("""COMPUTED_VALUE"""),44811.6666666666)</f>
        <v>44811.666666666599</v>
      </c>
      <c r="B1935" s="1">
        <f ca="1">IFERROR(__xludf.DUMMYFUNCTION("""COMPUTED_VALUE"""),126.12)</f>
        <v>126.12</v>
      </c>
      <c r="C1935" s="1">
        <f ca="1">IFERROR(__xludf.DUMMYFUNCTION("""COMPUTED_VALUE"""),129.82)</f>
        <v>129.82</v>
      </c>
      <c r="D1935" s="1">
        <f ca="1">IFERROR(__xludf.DUMMYFUNCTION("""COMPUTED_VALUE"""),125.4)</f>
        <v>125.4</v>
      </c>
      <c r="E1935" s="1">
        <f ca="1">IFERROR(__xludf.DUMMYFUNCTION("""COMPUTED_VALUE"""),129.48)</f>
        <v>129.47999999999999</v>
      </c>
      <c r="F1935" s="1">
        <f ca="1">IFERROR(__xludf.DUMMYFUNCTION("""COMPUTED_VALUE"""),47834487)</f>
        <v>47834487</v>
      </c>
    </row>
    <row r="1936" spans="1:6" x14ac:dyDescent="0.35">
      <c r="A1936" s="2">
        <f ca="1">IFERROR(__xludf.DUMMYFUNCTION("""COMPUTED_VALUE"""),44812.6666666666)</f>
        <v>44812.666666666599</v>
      </c>
      <c r="B1936" s="1">
        <f ca="1">IFERROR(__xludf.DUMMYFUNCTION("""COMPUTED_VALUE"""),127.72)</f>
        <v>127.72</v>
      </c>
      <c r="C1936" s="1">
        <f ca="1">IFERROR(__xludf.DUMMYFUNCTION("""COMPUTED_VALUE"""),130.28)</f>
        <v>130.28</v>
      </c>
      <c r="D1936" s="1">
        <f ca="1">IFERROR(__xludf.DUMMYFUNCTION("""COMPUTED_VALUE"""),127.1)</f>
        <v>127.1</v>
      </c>
      <c r="E1936" s="1">
        <f ca="1">IFERROR(__xludf.DUMMYFUNCTION("""COMPUTED_VALUE"""),129.82)</f>
        <v>129.82</v>
      </c>
      <c r="F1936" s="1">
        <f ca="1">IFERROR(__xludf.DUMMYFUNCTION("""COMPUTED_VALUE"""),43988509)</f>
        <v>43988509</v>
      </c>
    </row>
    <row r="1937" spans="1:6" x14ac:dyDescent="0.35">
      <c r="A1937" s="2">
        <f ca="1">IFERROR(__xludf.DUMMYFUNCTION("""COMPUTED_VALUE"""),44813.6666666666)</f>
        <v>44813.666666666599</v>
      </c>
      <c r="B1937" s="1">
        <f ca="1">IFERROR(__xludf.DUMMYFUNCTION("""COMPUTED_VALUE"""),130.91)</f>
        <v>130.91</v>
      </c>
      <c r="C1937" s="1">
        <f ca="1">IFERROR(__xludf.DUMMYFUNCTION("""COMPUTED_VALUE"""),133.69)</f>
        <v>133.69</v>
      </c>
      <c r="D1937" s="1">
        <f ca="1">IFERROR(__xludf.DUMMYFUNCTION("""COMPUTED_VALUE"""),130.76)</f>
        <v>130.76</v>
      </c>
      <c r="E1937" s="1">
        <f ca="1">IFERROR(__xludf.DUMMYFUNCTION("""COMPUTED_VALUE"""),133.27)</f>
        <v>133.27000000000001</v>
      </c>
      <c r="F1937" s="1">
        <f ca="1">IFERROR(__xludf.DUMMYFUNCTION("""COMPUTED_VALUE"""),49422259)</f>
        <v>49422259</v>
      </c>
    </row>
    <row r="1938" spans="1:6" x14ac:dyDescent="0.35">
      <c r="A1938" s="2">
        <f ca="1">IFERROR(__xludf.DUMMYFUNCTION("""COMPUTED_VALUE"""),44816.6666666666)</f>
        <v>44816.666666666599</v>
      </c>
      <c r="B1938" s="1">
        <f ca="1">IFERROR(__xludf.DUMMYFUNCTION("""COMPUTED_VALUE"""),134.1)</f>
        <v>134.1</v>
      </c>
      <c r="C1938" s="1">
        <f ca="1">IFERROR(__xludf.DUMMYFUNCTION("""COMPUTED_VALUE"""),136.49)</f>
        <v>136.49</v>
      </c>
      <c r="D1938" s="1">
        <f ca="1">IFERROR(__xludf.DUMMYFUNCTION("""COMPUTED_VALUE"""),134)</f>
        <v>134</v>
      </c>
      <c r="E1938" s="1">
        <f ca="1">IFERROR(__xludf.DUMMYFUNCTION("""COMPUTED_VALUE"""),136.45)</f>
        <v>136.44999999999999</v>
      </c>
      <c r="F1938" s="1">
        <f ca="1">IFERROR(__xludf.DUMMYFUNCTION("""COMPUTED_VALUE"""),53826859)</f>
        <v>53826859</v>
      </c>
    </row>
    <row r="1939" spans="1:6" x14ac:dyDescent="0.35">
      <c r="A1939" s="2">
        <f ca="1">IFERROR(__xludf.DUMMYFUNCTION("""COMPUTED_VALUE"""),44817.6666666666)</f>
        <v>44817.666666666599</v>
      </c>
      <c r="B1939" s="1">
        <f ca="1">IFERROR(__xludf.DUMMYFUNCTION("""COMPUTED_VALUE"""),131.01)</f>
        <v>131.01</v>
      </c>
      <c r="C1939" s="1">
        <f ca="1">IFERROR(__xludf.DUMMYFUNCTION("""COMPUTED_VALUE"""),131.4)</f>
        <v>131.4</v>
      </c>
      <c r="D1939" s="1">
        <f ca="1">IFERROR(__xludf.DUMMYFUNCTION("""COMPUTED_VALUE"""),126.27)</f>
        <v>126.27</v>
      </c>
      <c r="E1939" s="1">
        <f ca="1">IFERROR(__xludf.DUMMYFUNCTION("""COMPUTED_VALUE"""),126.82)</f>
        <v>126.82</v>
      </c>
      <c r="F1939" s="1">
        <f ca="1">IFERROR(__xludf.DUMMYFUNCTION("""COMPUTED_VALUE"""),72694010)</f>
        <v>72694010</v>
      </c>
    </row>
    <row r="1940" spans="1:6" x14ac:dyDescent="0.35">
      <c r="A1940" s="2">
        <f ca="1">IFERROR(__xludf.DUMMYFUNCTION("""COMPUTED_VALUE"""),44818.6666666666)</f>
        <v>44818.666666666599</v>
      </c>
      <c r="B1940" s="1">
        <f ca="1">IFERROR(__xludf.DUMMYFUNCTION("""COMPUTED_VALUE"""),127.36)</f>
        <v>127.36</v>
      </c>
      <c r="C1940" s="1">
        <f ca="1">IFERROR(__xludf.DUMMYFUNCTION("""COMPUTED_VALUE"""),128.84)</f>
        <v>128.84</v>
      </c>
      <c r="D1940" s="1">
        <f ca="1">IFERROR(__xludf.DUMMYFUNCTION("""COMPUTED_VALUE"""),126.33)</f>
        <v>126.33</v>
      </c>
      <c r="E1940" s="1">
        <f ca="1">IFERROR(__xludf.DUMMYFUNCTION("""COMPUTED_VALUE"""),128.55)</f>
        <v>128.55000000000001</v>
      </c>
      <c r="F1940" s="1">
        <f ca="1">IFERROR(__xludf.DUMMYFUNCTION("""COMPUTED_VALUE"""),45316772)</f>
        <v>45316772</v>
      </c>
    </row>
    <row r="1941" spans="1:6" x14ac:dyDescent="0.35">
      <c r="A1941" s="2">
        <f ca="1">IFERROR(__xludf.DUMMYFUNCTION("""COMPUTED_VALUE"""),44819.6666666666)</f>
        <v>44819.666666666599</v>
      </c>
      <c r="B1941" s="1">
        <f ca="1">IFERROR(__xludf.DUMMYFUNCTION("""COMPUTED_VALUE"""),127.38)</f>
        <v>127.38</v>
      </c>
      <c r="C1941" s="1">
        <f ca="1">IFERROR(__xludf.DUMMYFUNCTION("""COMPUTED_VALUE"""),130.37)</f>
        <v>130.37</v>
      </c>
      <c r="D1941" s="1">
        <f ca="1">IFERROR(__xludf.DUMMYFUNCTION("""COMPUTED_VALUE"""),125.5)</f>
        <v>125.5</v>
      </c>
      <c r="E1941" s="1">
        <f ca="1">IFERROR(__xludf.DUMMYFUNCTION("""COMPUTED_VALUE"""),126.28)</f>
        <v>126.28</v>
      </c>
      <c r="F1941" s="1">
        <f ca="1">IFERROR(__xludf.DUMMYFUNCTION("""COMPUTED_VALUE"""),52887196)</f>
        <v>52887196</v>
      </c>
    </row>
    <row r="1942" spans="1:6" x14ac:dyDescent="0.35">
      <c r="A1942" s="2">
        <f ca="1">IFERROR(__xludf.DUMMYFUNCTION("""COMPUTED_VALUE"""),44820.6666666666)</f>
        <v>44820.666666666599</v>
      </c>
      <c r="B1942" s="1">
        <f ca="1">IFERROR(__xludf.DUMMYFUNCTION("""COMPUTED_VALUE"""),122.78)</f>
        <v>122.78</v>
      </c>
      <c r="C1942" s="1">
        <f ca="1">IFERROR(__xludf.DUMMYFUNCTION("""COMPUTED_VALUE"""),123.87)</f>
        <v>123.87</v>
      </c>
      <c r="D1942" s="1">
        <f ca="1">IFERROR(__xludf.DUMMYFUNCTION("""COMPUTED_VALUE"""),120.7)</f>
        <v>120.7</v>
      </c>
      <c r="E1942" s="1">
        <f ca="1">IFERROR(__xludf.DUMMYFUNCTION("""COMPUTED_VALUE"""),123.53)</f>
        <v>123.53</v>
      </c>
      <c r="F1942" s="1">
        <f ca="1">IFERROR(__xludf.DUMMYFUNCTION("""COMPUTED_VALUE"""),115667804)</f>
        <v>115667804</v>
      </c>
    </row>
    <row r="1943" spans="1:6" x14ac:dyDescent="0.35">
      <c r="A1943" s="2">
        <f ca="1">IFERROR(__xludf.DUMMYFUNCTION("""COMPUTED_VALUE"""),44823.6666666666)</f>
        <v>44823.666666666599</v>
      </c>
      <c r="B1943" s="1">
        <f ca="1">IFERROR(__xludf.DUMMYFUNCTION("""COMPUTED_VALUE"""),122.16)</f>
        <v>122.16</v>
      </c>
      <c r="C1943" s="1">
        <f ca="1">IFERROR(__xludf.DUMMYFUNCTION("""COMPUTED_VALUE"""),124.71)</f>
        <v>124.71</v>
      </c>
      <c r="D1943" s="1">
        <f ca="1">IFERROR(__xludf.DUMMYFUNCTION("""COMPUTED_VALUE"""),121.8)</f>
        <v>121.8</v>
      </c>
      <c r="E1943" s="1">
        <f ca="1">IFERROR(__xludf.DUMMYFUNCTION("""COMPUTED_VALUE"""),124.66)</f>
        <v>124.66</v>
      </c>
      <c r="F1943" s="1">
        <f ca="1">IFERROR(__xludf.DUMMYFUNCTION("""COMPUTED_VALUE"""),47279727)</f>
        <v>47279727</v>
      </c>
    </row>
    <row r="1944" spans="1:6" x14ac:dyDescent="0.35">
      <c r="A1944" s="2">
        <f ca="1">IFERROR(__xludf.DUMMYFUNCTION("""COMPUTED_VALUE"""),44824.6666666666)</f>
        <v>44824.666666666599</v>
      </c>
      <c r="B1944" s="1">
        <f ca="1">IFERROR(__xludf.DUMMYFUNCTION("""COMPUTED_VALUE"""),123.35)</f>
        <v>123.35</v>
      </c>
      <c r="C1944" s="1">
        <f ca="1">IFERROR(__xludf.DUMMYFUNCTION("""COMPUTED_VALUE"""),124.4)</f>
        <v>124.4</v>
      </c>
      <c r="D1944" s="1">
        <f ca="1">IFERROR(__xludf.DUMMYFUNCTION("""COMPUTED_VALUE"""),121.14)</f>
        <v>121.14</v>
      </c>
      <c r="E1944" s="1">
        <f ca="1">IFERROR(__xludf.DUMMYFUNCTION("""COMPUTED_VALUE"""),122.19)</f>
        <v>122.19</v>
      </c>
      <c r="F1944" s="1">
        <f ca="1">IFERROR(__xludf.DUMMYFUNCTION("""COMPUTED_VALUE"""),47698432)</f>
        <v>47698432</v>
      </c>
    </row>
    <row r="1945" spans="1:6" x14ac:dyDescent="0.35">
      <c r="A1945" s="2">
        <f ca="1">IFERROR(__xludf.DUMMYFUNCTION("""COMPUTED_VALUE"""),44825.6666666666)</f>
        <v>44825.666666666599</v>
      </c>
      <c r="B1945" s="1">
        <f ca="1">IFERROR(__xludf.DUMMYFUNCTION("""COMPUTED_VALUE"""),122.49)</f>
        <v>122.49</v>
      </c>
      <c r="C1945" s="1">
        <f ca="1">IFERROR(__xludf.DUMMYFUNCTION("""COMPUTED_VALUE"""),123.76)</f>
        <v>123.76</v>
      </c>
      <c r="D1945" s="1">
        <f ca="1">IFERROR(__xludf.DUMMYFUNCTION("""COMPUTED_VALUE"""),118.45)</f>
        <v>118.45</v>
      </c>
      <c r="E1945" s="1">
        <f ca="1">IFERROR(__xludf.DUMMYFUNCTION("""COMPUTED_VALUE"""),118.54)</f>
        <v>118.54</v>
      </c>
      <c r="F1945" s="1">
        <f ca="1">IFERROR(__xludf.DUMMYFUNCTION("""COMPUTED_VALUE"""),58498887)</f>
        <v>58498887</v>
      </c>
    </row>
    <row r="1946" spans="1:6" x14ac:dyDescent="0.35">
      <c r="A1946" s="2">
        <f ca="1">IFERROR(__xludf.DUMMYFUNCTION("""COMPUTED_VALUE"""),44826.6666666666)</f>
        <v>44826.666666666599</v>
      </c>
      <c r="B1946" s="1">
        <f ca="1">IFERROR(__xludf.DUMMYFUNCTION("""COMPUTED_VALUE"""),117.08)</f>
        <v>117.08</v>
      </c>
      <c r="C1946" s="1">
        <f ca="1">IFERROR(__xludf.DUMMYFUNCTION("""COMPUTED_VALUE"""),118.79)</f>
        <v>118.79</v>
      </c>
      <c r="D1946" s="1">
        <f ca="1">IFERROR(__xludf.DUMMYFUNCTION("""COMPUTED_VALUE"""),116.26)</f>
        <v>116.26</v>
      </c>
      <c r="E1946" s="1">
        <f ca="1">IFERROR(__xludf.DUMMYFUNCTION("""COMPUTED_VALUE"""),117.31)</f>
        <v>117.31</v>
      </c>
      <c r="F1946" s="1">
        <f ca="1">IFERROR(__xludf.DUMMYFUNCTION("""COMPUTED_VALUE"""),55229190)</f>
        <v>55229190</v>
      </c>
    </row>
    <row r="1947" spans="1:6" x14ac:dyDescent="0.35">
      <c r="A1947" s="2">
        <f ca="1">IFERROR(__xludf.DUMMYFUNCTION("""COMPUTED_VALUE"""),44827.6666666666)</f>
        <v>44827.666666666599</v>
      </c>
      <c r="B1947" s="1">
        <f ca="1">IFERROR(__xludf.DUMMYFUNCTION("""COMPUTED_VALUE"""),116)</f>
        <v>116</v>
      </c>
      <c r="C1947" s="1">
        <f ca="1">IFERROR(__xludf.DUMMYFUNCTION("""COMPUTED_VALUE"""),116.05)</f>
        <v>116.05</v>
      </c>
      <c r="D1947" s="1">
        <f ca="1">IFERROR(__xludf.DUMMYFUNCTION("""COMPUTED_VALUE"""),112.06)</f>
        <v>112.06</v>
      </c>
      <c r="E1947" s="1">
        <f ca="1">IFERROR(__xludf.DUMMYFUNCTION("""COMPUTED_VALUE"""),113.78)</f>
        <v>113.78</v>
      </c>
      <c r="F1947" s="1">
        <f ca="1">IFERROR(__xludf.DUMMYFUNCTION("""COMPUTED_VALUE"""),65126665)</f>
        <v>65126665</v>
      </c>
    </row>
    <row r="1948" spans="1:6" x14ac:dyDescent="0.35">
      <c r="A1948" s="2">
        <f ca="1">IFERROR(__xludf.DUMMYFUNCTION("""COMPUTED_VALUE"""),44830.6666666666)</f>
        <v>44830.666666666599</v>
      </c>
      <c r="B1948" s="1">
        <f ca="1">IFERROR(__xludf.DUMMYFUNCTION("""COMPUTED_VALUE"""),113.3)</f>
        <v>113.3</v>
      </c>
      <c r="C1948" s="1">
        <f ca="1">IFERROR(__xludf.DUMMYFUNCTION("""COMPUTED_VALUE"""),117.34)</f>
        <v>117.34</v>
      </c>
      <c r="D1948" s="1">
        <f ca="1">IFERROR(__xludf.DUMMYFUNCTION("""COMPUTED_VALUE"""),113.13)</f>
        <v>113.13</v>
      </c>
      <c r="E1948" s="1">
        <f ca="1">IFERROR(__xludf.DUMMYFUNCTION("""COMPUTED_VALUE"""),115.15)</f>
        <v>115.15</v>
      </c>
      <c r="F1948" s="1">
        <f ca="1">IFERROR(__xludf.DUMMYFUNCTION("""COMPUTED_VALUE"""),62723268)</f>
        <v>62723268</v>
      </c>
    </row>
    <row r="1949" spans="1:6" x14ac:dyDescent="0.35">
      <c r="A1949" s="2">
        <f ca="1">IFERROR(__xludf.DUMMYFUNCTION("""COMPUTED_VALUE"""),44831.6666666666)</f>
        <v>44831.666666666599</v>
      </c>
      <c r="B1949" s="1">
        <f ca="1">IFERROR(__xludf.DUMMYFUNCTION("""COMPUTED_VALUE"""),117.2)</f>
        <v>117.2</v>
      </c>
      <c r="C1949" s="1">
        <f ca="1">IFERROR(__xludf.DUMMYFUNCTION("""COMPUTED_VALUE"""),118.32)</f>
        <v>118.32</v>
      </c>
      <c r="D1949" s="1">
        <f ca="1">IFERROR(__xludf.DUMMYFUNCTION("""COMPUTED_VALUE"""),113.05)</f>
        <v>113.05</v>
      </c>
      <c r="E1949" s="1">
        <f ca="1">IFERROR(__xludf.DUMMYFUNCTION("""COMPUTED_VALUE"""),114.41)</f>
        <v>114.41</v>
      </c>
      <c r="F1949" s="1">
        <f ca="1">IFERROR(__xludf.DUMMYFUNCTION("""COMPUTED_VALUE"""),60094693)</f>
        <v>60094693</v>
      </c>
    </row>
    <row r="1950" spans="1:6" x14ac:dyDescent="0.35">
      <c r="A1950" s="2">
        <f ca="1">IFERROR(__xludf.DUMMYFUNCTION("""COMPUTED_VALUE"""),44832.6666666666)</f>
        <v>44832.666666666599</v>
      </c>
      <c r="B1950" s="1">
        <f ca="1">IFERROR(__xludf.DUMMYFUNCTION("""COMPUTED_VALUE"""),114.38)</f>
        <v>114.38</v>
      </c>
      <c r="C1950" s="1">
        <f ca="1">IFERROR(__xludf.DUMMYFUNCTION("""COMPUTED_VALUE"""),118.7)</f>
        <v>118.7</v>
      </c>
      <c r="D1950" s="1">
        <f ca="1">IFERROR(__xludf.DUMMYFUNCTION("""COMPUTED_VALUE"""),113.8)</f>
        <v>113.8</v>
      </c>
      <c r="E1950" s="1">
        <f ca="1">IFERROR(__xludf.DUMMYFUNCTION("""COMPUTED_VALUE"""),118.01)</f>
        <v>118.01</v>
      </c>
      <c r="F1950" s="1">
        <f ca="1">IFERROR(__xludf.DUMMYFUNCTION("""COMPUTED_VALUE"""),55763750)</f>
        <v>55763750</v>
      </c>
    </row>
    <row r="1951" spans="1:6" x14ac:dyDescent="0.35">
      <c r="A1951" s="2">
        <f ca="1">IFERROR(__xludf.DUMMYFUNCTION("""COMPUTED_VALUE"""),44833.6666666666)</f>
        <v>44833.666666666599</v>
      </c>
      <c r="B1951" s="1">
        <f ca="1">IFERROR(__xludf.DUMMYFUNCTION("""COMPUTED_VALUE"""),115.6)</f>
        <v>115.6</v>
      </c>
      <c r="C1951" s="1">
        <f ca="1">IFERROR(__xludf.DUMMYFUNCTION("""COMPUTED_VALUE"""),116.07)</f>
        <v>116.07</v>
      </c>
      <c r="D1951" s="1">
        <f ca="1">IFERROR(__xludf.DUMMYFUNCTION("""COMPUTED_VALUE"""),113.06)</f>
        <v>113.06</v>
      </c>
      <c r="E1951" s="1">
        <f ca="1">IFERROR(__xludf.DUMMYFUNCTION("""COMPUTED_VALUE"""),114.8)</f>
        <v>114.8</v>
      </c>
      <c r="F1951" s="1">
        <f ca="1">IFERROR(__xludf.DUMMYFUNCTION("""COMPUTED_VALUE"""),58969714)</f>
        <v>58969714</v>
      </c>
    </row>
    <row r="1952" spans="1:6" x14ac:dyDescent="0.35">
      <c r="A1952" s="2">
        <f ca="1">IFERROR(__xludf.DUMMYFUNCTION("""COMPUTED_VALUE"""),44834.6666666666)</f>
        <v>44834.666666666599</v>
      </c>
      <c r="B1952" s="1">
        <f ca="1">IFERROR(__xludf.DUMMYFUNCTION("""COMPUTED_VALUE"""),114.08)</f>
        <v>114.08</v>
      </c>
      <c r="C1952" s="1">
        <f ca="1">IFERROR(__xludf.DUMMYFUNCTION("""COMPUTED_VALUE"""),116.92)</f>
        <v>116.92</v>
      </c>
      <c r="D1952" s="1">
        <f ca="1">IFERROR(__xludf.DUMMYFUNCTION("""COMPUTED_VALUE"""),112.84)</f>
        <v>112.84</v>
      </c>
      <c r="E1952" s="1">
        <f ca="1">IFERROR(__xludf.DUMMYFUNCTION("""COMPUTED_VALUE"""),113)</f>
        <v>113</v>
      </c>
      <c r="F1952" s="1">
        <f ca="1">IFERROR(__xludf.DUMMYFUNCTION("""COMPUTED_VALUE"""),59479586)</f>
        <v>59479586</v>
      </c>
    </row>
    <row r="1953" spans="1:6" x14ac:dyDescent="0.35">
      <c r="A1953" s="2">
        <f ca="1">IFERROR(__xludf.DUMMYFUNCTION("""COMPUTED_VALUE"""),44837.6666666666)</f>
        <v>44837.666666666599</v>
      </c>
      <c r="B1953" s="1">
        <f ca="1">IFERROR(__xludf.DUMMYFUNCTION("""COMPUTED_VALUE"""),113.58)</f>
        <v>113.58</v>
      </c>
      <c r="C1953" s="1">
        <f ca="1">IFERROR(__xludf.DUMMYFUNCTION("""COMPUTED_VALUE"""),116.91)</f>
        <v>116.91</v>
      </c>
      <c r="D1953" s="1">
        <f ca="1">IFERROR(__xludf.DUMMYFUNCTION("""COMPUTED_VALUE"""),112.45)</f>
        <v>112.45</v>
      </c>
      <c r="E1953" s="1">
        <f ca="1">IFERROR(__xludf.DUMMYFUNCTION("""COMPUTED_VALUE"""),115.88)</f>
        <v>115.88</v>
      </c>
      <c r="F1953" s="1">
        <f ca="1">IFERROR(__xludf.DUMMYFUNCTION("""COMPUTED_VALUE"""),50941854)</f>
        <v>50941854</v>
      </c>
    </row>
    <row r="1954" spans="1:6" x14ac:dyDescent="0.35">
      <c r="A1954" s="2">
        <f ca="1">IFERROR(__xludf.DUMMYFUNCTION("""COMPUTED_VALUE"""),44838.6666666666)</f>
        <v>44838.666666666599</v>
      </c>
      <c r="B1954" s="1">
        <f ca="1">IFERROR(__xludf.DUMMYFUNCTION("""COMPUTED_VALUE"""),119.89)</f>
        <v>119.89</v>
      </c>
      <c r="C1954" s="1">
        <f ca="1">IFERROR(__xludf.DUMMYFUNCTION("""COMPUTED_VALUE"""),123)</f>
        <v>123</v>
      </c>
      <c r="D1954" s="1">
        <f ca="1">IFERROR(__xludf.DUMMYFUNCTION("""COMPUTED_VALUE"""),119.79)</f>
        <v>119.79</v>
      </c>
      <c r="E1954" s="1">
        <f ca="1">IFERROR(__xludf.DUMMYFUNCTION("""COMPUTED_VALUE"""),121.09)</f>
        <v>121.09</v>
      </c>
      <c r="F1954" s="1">
        <f ca="1">IFERROR(__xludf.DUMMYFUNCTION("""COMPUTED_VALUE"""),62812564)</f>
        <v>62812564</v>
      </c>
    </row>
    <row r="1955" spans="1:6" x14ac:dyDescent="0.35">
      <c r="A1955" s="2">
        <f ca="1">IFERROR(__xludf.DUMMYFUNCTION("""COMPUTED_VALUE"""),44839.6666666666)</f>
        <v>44839.666666666599</v>
      </c>
      <c r="B1955" s="1">
        <f ca="1">IFERROR(__xludf.DUMMYFUNCTION("""COMPUTED_VALUE"""),118.58)</f>
        <v>118.58</v>
      </c>
      <c r="C1955" s="1">
        <f ca="1">IFERROR(__xludf.DUMMYFUNCTION("""COMPUTED_VALUE"""),121.75)</f>
        <v>121.75</v>
      </c>
      <c r="D1955" s="1">
        <f ca="1">IFERROR(__xludf.DUMMYFUNCTION("""COMPUTED_VALUE"""),117.69)</f>
        <v>117.69</v>
      </c>
      <c r="E1955" s="1">
        <f ca="1">IFERROR(__xludf.DUMMYFUNCTION("""COMPUTED_VALUE"""),120.95)</f>
        <v>120.95</v>
      </c>
      <c r="F1955" s="1">
        <f ca="1">IFERROR(__xludf.DUMMYFUNCTION("""COMPUTED_VALUE"""),48217535)</f>
        <v>48217535</v>
      </c>
    </row>
    <row r="1956" spans="1:6" x14ac:dyDescent="0.35">
      <c r="A1956" s="2">
        <f ca="1">IFERROR(__xludf.DUMMYFUNCTION("""COMPUTED_VALUE"""),44840.6666666666)</f>
        <v>44840.666666666599</v>
      </c>
      <c r="B1956" s="1">
        <f ca="1">IFERROR(__xludf.DUMMYFUNCTION("""COMPUTED_VALUE"""),120.77)</f>
        <v>120.77</v>
      </c>
      <c r="C1956" s="1">
        <f ca="1">IFERROR(__xludf.DUMMYFUNCTION("""COMPUTED_VALUE"""),121.53)</f>
        <v>121.53</v>
      </c>
      <c r="D1956" s="1">
        <f ca="1">IFERROR(__xludf.DUMMYFUNCTION("""COMPUTED_VALUE"""),119.5)</f>
        <v>119.5</v>
      </c>
      <c r="E1956" s="1">
        <f ca="1">IFERROR(__xludf.DUMMYFUNCTION("""COMPUTED_VALUE"""),120.3)</f>
        <v>120.3</v>
      </c>
      <c r="F1956" s="1">
        <f ca="1">IFERROR(__xludf.DUMMYFUNCTION("""COMPUTED_VALUE"""),42253755)</f>
        <v>42253755</v>
      </c>
    </row>
    <row r="1957" spans="1:6" x14ac:dyDescent="0.35">
      <c r="A1957" s="2">
        <f ca="1">IFERROR(__xludf.DUMMYFUNCTION("""COMPUTED_VALUE"""),44841.6666666666)</f>
        <v>44841.666666666599</v>
      </c>
      <c r="B1957" s="1">
        <f ca="1">IFERROR(__xludf.DUMMYFUNCTION("""COMPUTED_VALUE"""),118)</f>
        <v>118</v>
      </c>
      <c r="C1957" s="1">
        <f ca="1">IFERROR(__xludf.DUMMYFUNCTION("""COMPUTED_VALUE"""),118.17)</f>
        <v>118.17</v>
      </c>
      <c r="D1957" s="1">
        <f ca="1">IFERROR(__xludf.DUMMYFUNCTION("""COMPUTED_VALUE"""),113.88)</f>
        <v>113.88</v>
      </c>
      <c r="E1957" s="1">
        <f ca="1">IFERROR(__xludf.DUMMYFUNCTION("""COMPUTED_VALUE"""),114.56)</f>
        <v>114.56</v>
      </c>
      <c r="F1957" s="1">
        <f ca="1">IFERROR(__xludf.DUMMYFUNCTION("""COMPUTED_VALUE"""),54677980)</f>
        <v>54677980</v>
      </c>
    </row>
    <row r="1958" spans="1:6" x14ac:dyDescent="0.35">
      <c r="A1958" s="2">
        <f ca="1">IFERROR(__xludf.DUMMYFUNCTION("""COMPUTED_VALUE"""),44844.6666666666)</f>
        <v>44844.666666666599</v>
      </c>
      <c r="B1958" s="1">
        <f ca="1">IFERROR(__xludf.DUMMYFUNCTION("""COMPUTED_VALUE"""),115.1)</f>
        <v>115.1</v>
      </c>
      <c r="C1958" s="1">
        <f ca="1">IFERROR(__xludf.DUMMYFUNCTION("""COMPUTED_VALUE"""),116.25)</f>
        <v>116.25</v>
      </c>
      <c r="D1958" s="1">
        <f ca="1">IFERROR(__xludf.DUMMYFUNCTION("""COMPUTED_VALUE"""),112.43)</f>
        <v>112.43</v>
      </c>
      <c r="E1958" s="1">
        <f ca="1">IFERROR(__xludf.DUMMYFUNCTION("""COMPUTED_VALUE"""),113.67)</f>
        <v>113.67</v>
      </c>
      <c r="F1958" s="1">
        <f ca="1">IFERROR(__xludf.DUMMYFUNCTION("""COMPUTED_VALUE"""),42339675)</f>
        <v>42339675</v>
      </c>
    </row>
    <row r="1959" spans="1:6" x14ac:dyDescent="0.35">
      <c r="A1959" s="2">
        <f ca="1">IFERROR(__xludf.DUMMYFUNCTION("""COMPUTED_VALUE"""),44845.6666666666)</f>
        <v>44845.666666666599</v>
      </c>
      <c r="B1959" s="1">
        <f ca="1">IFERROR(__xludf.DUMMYFUNCTION("""COMPUTED_VALUE"""),112.71)</f>
        <v>112.71</v>
      </c>
      <c r="C1959" s="1">
        <f ca="1">IFERROR(__xludf.DUMMYFUNCTION("""COMPUTED_VALUE"""),115.48)</f>
        <v>115.48</v>
      </c>
      <c r="D1959" s="1">
        <f ca="1">IFERROR(__xludf.DUMMYFUNCTION("""COMPUTED_VALUE"""),110.39)</f>
        <v>110.39</v>
      </c>
      <c r="E1959" s="1">
        <f ca="1">IFERROR(__xludf.DUMMYFUNCTION("""COMPUTED_VALUE"""),112.21)</f>
        <v>112.21</v>
      </c>
      <c r="F1959" s="1">
        <f ca="1">IFERROR(__xludf.DUMMYFUNCTION("""COMPUTED_VALUE"""),56432233)</f>
        <v>56432233</v>
      </c>
    </row>
    <row r="1960" spans="1:6" x14ac:dyDescent="0.35">
      <c r="A1960" s="2">
        <f ca="1">IFERROR(__xludf.DUMMYFUNCTION("""COMPUTED_VALUE"""),44846.6666666666)</f>
        <v>44846.666666666599</v>
      </c>
      <c r="B1960" s="1">
        <f ca="1">IFERROR(__xludf.DUMMYFUNCTION("""COMPUTED_VALUE"""),112.49)</f>
        <v>112.49</v>
      </c>
      <c r="C1960" s="1">
        <f ca="1">IFERROR(__xludf.DUMMYFUNCTION("""COMPUTED_VALUE"""),113.83)</f>
        <v>113.83</v>
      </c>
      <c r="D1960" s="1">
        <f ca="1">IFERROR(__xludf.DUMMYFUNCTION("""COMPUTED_VALUE"""),111.4)</f>
        <v>111.4</v>
      </c>
      <c r="E1960" s="1">
        <f ca="1">IFERROR(__xludf.DUMMYFUNCTION("""COMPUTED_VALUE"""),112.9)</f>
        <v>112.9</v>
      </c>
      <c r="F1960" s="1">
        <f ca="1">IFERROR(__xludf.DUMMYFUNCTION("""COMPUTED_VALUE"""),45728660)</f>
        <v>45728660</v>
      </c>
    </row>
    <row r="1961" spans="1:6" x14ac:dyDescent="0.35">
      <c r="A1961" s="2">
        <f ca="1">IFERROR(__xludf.DUMMYFUNCTION("""COMPUTED_VALUE"""),44847.6666666666)</f>
        <v>44847.666666666599</v>
      </c>
      <c r="B1961" s="1">
        <f ca="1">IFERROR(__xludf.DUMMYFUNCTION("""COMPUTED_VALUE"""),107.88)</f>
        <v>107.88</v>
      </c>
      <c r="C1961" s="1">
        <f ca="1">IFERROR(__xludf.DUMMYFUNCTION("""COMPUTED_VALUE"""),113.44)</f>
        <v>113.44</v>
      </c>
      <c r="D1961" s="1">
        <f ca="1">IFERROR(__xludf.DUMMYFUNCTION("""COMPUTED_VALUE"""),105.35)</f>
        <v>105.35</v>
      </c>
      <c r="E1961" s="1">
        <f ca="1">IFERROR(__xludf.DUMMYFUNCTION("""COMPUTED_VALUE"""),112.53)</f>
        <v>112.53</v>
      </c>
      <c r="F1961" s="1">
        <f ca="1">IFERROR(__xludf.DUMMYFUNCTION("""COMPUTED_VALUE"""),86868103)</f>
        <v>86868103</v>
      </c>
    </row>
    <row r="1962" spans="1:6" x14ac:dyDescent="0.35">
      <c r="A1962" s="2">
        <f ca="1">IFERROR(__xludf.DUMMYFUNCTION("""COMPUTED_VALUE"""),44848.6666666666)</f>
        <v>44848.666666666599</v>
      </c>
      <c r="B1962" s="1">
        <f ca="1">IFERROR(__xludf.DUMMYFUNCTION("""COMPUTED_VALUE"""),114.1)</f>
        <v>114.1</v>
      </c>
      <c r="C1962" s="1">
        <f ca="1">IFERROR(__xludf.DUMMYFUNCTION("""COMPUTED_VALUE"""),114.96)</f>
        <v>114.96</v>
      </c>
      <c r="D1962" s="1">
        <f ca="1">IFERROR(__xludf.DUMMYFUNCTION("""COMPUTED_VALUE"""),106.6)</f>
        <v>106.6</v>
      </c>
      <c r="E1962" s="1">
        <f ca="1">IFERROR(__xludf.DUMMYFUNCTION("""COMPUTED_VALUE"""),106.9)</f>
        <v>106.9</v>
      </c>
      <c r="F1962" s="1">
        <f ca="1">IFERROR(__xludf.DUMMYFUNCTION("""COMPUTED_VALUE"""),67737344)</f>
        <v>67737344</v>
      </c>
    </row>
    <row r="1963" spans="1:6" x14ac:dyDescent="0.35">
      <c r="A1963" s="2">
        <f ca="1">IFERROR(__xludf.DUMMYFUNCTION("""COMPUTED_VALUE"""),44851.6666666666)</f>
        <v>44851.666666666599</v>
      </c>
      <c r="B1963" s="1">
        <f ca="1">IFERROR(__xludf.DUMMYFUNCTION("""COMPUTED_VALUE"""),110.11)</f>
        <v>110.11</v>
      </c>
      <c r="C1963" s="1">
        <f ca="1">IFERROR(__xludf.DUMMYFUNCTION("""COMPUTED_VALUE"""),114.19)</f>
        <v>114.19</v>
      </c>
      <c r="D1963" s="1">
        <f ca="1">IFERROR(__xludf.DUMMYFUNCTION("""COMPUTED_VALUE"""),110.09)</f>
        <v>110.09</v>
      </c>
      <c r="E1963" s="1">
        <f ca="1">IFERROR(__xludf.DUMMYFUNCTION("""COMPUTED_VALUE"""),113.79)</f>
        <v>113.79</v>
      </c>
      <c r="F1963" s="1">
        <f ca="1">IFERROR(__xludf.DUMMYFUNCTION("""COMPUTED_VALUE"""),62781985)</f>
        <v>62781985</v>
      </c>
    </row>
    <row r="1964" spans="1:6" x14ac:dyDescent="0.35">
      <c r="A1964" s="2">
        <f ca="1">IFERROR(__xludf.DUMMYFUNCTION("""COMPUTED_VALUE"""),44852.6666666666)</f>
        <v>44852.666666666599</v>
      </c>
      <c r="B1964" s="1">
        <f ca="1">IFERROR(__xludf.DUMMYFUNCTION("""COMPUTED_VALUE"""),119.06)</f>
        <v>119.06</v>
      </c>
      <c r="C1964" s="1">
        <f ca="1">IFERROR(__xludf.DUMMYFUNCTION("""COMPUTED_VALUE"""),119.52)</f>
        <v>119.52</v>
      </c>
      <c r="D1964" s="1">
        <f ca="1">IFERROR(__xludf.DUMMYFUNCTION("""COMPUTED_VALUE"""),114.79)</f>
        <v>114.79</v>
      </c>
      <c r="E1964" s="1">
        <f ca="1">IFERROR(__xludf.DUMMYFUNCTION("""COMPUTED_VALUE"""),116.36)</f>
        <v>116.36</v>
      </c>
      <c r="F1964" s="1">
        <f ca="1">IFERROR(__xludf.DUMMYFUNCTION("""COMPUTED_VALUE"""),65607448)</f>
        <v>65607448</v>
      </c>
    </row>
    <row r="1965" spans="1:6" x14ac:dyDescent="0.35">
      <c r="A1965" s="2">
        <f ca="1">IFERROR(__xludf.DUMMYFUNCTION("""COMPUTED_VALUE"""),44853.6666666666)</f>
        <v>44853.666666666599</v>
      </c>
      <c r="B1965" s="1">
        <f ca="1">IFERROR(__xludf.DUMMYFUNCTION("""COMPUTED_VALUE"""),114.71)</f>
        <v>114.71</v>
      </c>
      <c r="C1965" s="1">
        <f ca="1">IFERROR(__xludf.DUMMYFUNCTION("""COMPUTED_VALUE"""),116.59)</f>
        <v>116.59</v>
      </c>
      <c r="D1965" s="1">
        <f ca="1">IFERROR(__xludf.DUMMYFUNCTION("""COMPUTED_VALUE"""),113.22)</f>
        <v>113.22</v>
      </c>
      <c r="E1965" s="1">
        <f ca="1">IFERROR(__xludf.DUMMYFUNCTION("""COMPUTED_VALUE"""),115.07)</f>
        <v>115.07</v>
      </c>
      <c r="F1965" s="1">
        <f ca="1">IFERROR(__xludf.DUMMYFUNCTION("""COMPUTED_VALUE"""),47198122)</f>
        <v>47198122</v>
      </c>
    </row>
    <row r="1966" spans="1:6" x14ac:dyDescent="0.35">
      <c r="A1966" s="2">
        <f ca="1">IFERROR(__xludf.DUMMYFUNCTION("""COMPUTED_VALUE"""),44854.6666666666)</f>
        <v>44854.666666666599</v>
      </c>
      <c r="B1966" s="1">
        <f ca="1">IFERROR(__xludf.DUMMYFUNCTION("""COMPUTED_VALUE"""),113.83)</f>
        <v>113.83</v>
      </c>
      <c r="C1966" s="1">
        <f ca="1">IFERROR(__xludf.DUMMYFUNCTION("""COMPUTED_VALUE"""),118.24)</f>
        <v>118.24</v>
      </c>
      <c r="D1966" s="1">
        <f ca="1">IFERROR(__xludf.DUMMYFUNCTION("""COMPUTED_VALUE"""),113.51)</f>
        <v>113.51</v>
      </c>
      <c r="E1966" s="1">
        <f ca="1">IFERROR(__xludf.DUMMYFUNCTION("""COMPUTED_VALUE"""),115.25)</f>
        <v>115.25</v>
      </c>
      <c r="F1966" s="1">
        <f ca="1">IFERROR(__xludf.DUMMYFUNCTION("""COMPUTED_VALUE"""),48795104)</f>
        <v>48795104</v>
      </c>
    </row>
    <row r="1967" spans="1:6" x14ac:dyDescent="0.35">
      <c r="A1967" s="2">
        <f ca="1">IFERROR(__xludf.DUMMYFUNCTION("""COMPUTED_VALUE"""),44855.6666666666)</f>
        <v>44855.666666666599</v>
      </c>
      <c r="B1967" s="1">
        <f ca="1">IFERROR(__xludf.DUMMYFUNCTION("""COMPUTED_VALUE"""),114.79)</f>
        <v>114.79</v>
      </c>
      <c r="C1967" s="1">
        <f ca="1">IFERROR(__xludf.DUMMYFUNCTION("""COMPUTED_VALUE"""),119.59)</f>
        <v>119.59</v>
      </c>
      <c r="D1967" s="1">
        <f ca="1">IFERROR(__xludf.DUMMYFUNCTION("""COMPUTED_VALUE"""),114.5)</f>
        <v>114.5</v>
      </c>
      <c r="E1967" s="1">
        <f ca="1">IFERROR(__xludf.DUMMYFUNCTION("""COMPUTED_VALUE"""),119.32)</f>
        <v>119.32</v>
      </c>
      <c r="F1967" s="1">
        <f ca="1">IFERROR(__xludf.DUMMYFUNCTION("""COMPUTED_VALUE"""),55660485)</f>
        <v>55660485</v>
      </c>
    </row>
    <row r="1968" spans="1:6" x14ac:dyDescent="0.35">
      <c r="A1968" s="2">
        <f ca="1">IFERROR(__xludf.DUMMYFUNCTION("""COMPUTED_VALUE"""),44858.6666666666)</f>
        <v>44858.666666666599</v>
      </c>
      <c r="B1968" s="1">
        <f ca="1">IFERROR(__xludf.DUMMYFUNCTION("""COMPUTED_VALUE"""),119.98)</f>
        <v>119.98</v>
      </c>
      <c r="C1968" s="1">
        <f ca="1">IFERROR(__xludf.DUMMYFUNCTION("""COMPUTED_VALUE"""),120.39)</f>
        <v>120.39</v>
      </c>
      <c r="D1968" s="1">
        <f ca="1">IFERROR(__xludf.DUMMYFUNCTION("""COMPUTED_VALUE"""),116.57)</f>
        <v>116.57</v>
      </c>
      <c r="E1968" s="1">
        <f ca="1">IFERROR(__xludf.DUMMYFUNCTION("""COMPUTED_VALUE"""),119.82)</f>
        <v>119.82</v>
      </c>
      <c r="F1968" s="1">
        <f ca="1">IFERROR(__xludf.DUMMYFUNCTION("""COMPUTED_VALUE"""),49531523)</f>
        <v>49531523</v>
      </c>
    </row>
    <row r="1969" spans="1:6" x14ac:dyDescent="0.35">
      <c r="A1969" s="2">
        <f ca="1">IFERROR(__xludf.DUMMYFUNCTION("""COMPUTED_VALUE"""),44859.6666666666)</f>
        <v>44859.666666666599</v>
      </c>
      <c r="B1969" s="1">
        <f ca="1">IFERROR(__xludf.DUMMYFUNCTION("""COMPUTED_VALUE"""),119.65)</f>
        <v>119.65</v>
      </c>
      <c r="C1969" s="1">
        <f ca="1">IFERROR(__xludf.DUMMYFUNCTION("""COMPUTED_VALUE"""),121.32)</f>
        <v>121.32</v>
      </c>
      <c r="D1969" s="1">
        <f ca="1">IFERROR(__xludf.DUMMYFUNCTION("""COMPUTED_VALUE"""),118.95)</f>
        <v>118.95</v>
      </c>
      <c r="E1969" s="1">
        <f ca="1">IFERROR(__xludf.DUMMYFUNCTION("""COMPUTED_VALUE"""),120.6)</f>
        <v>120.6</v>
      </c>
      <c r="F1969" s="1">
        <f ca="1">IFERROR(__xludf.DUMMYFUNCTION("""COMPUTED_VALUE"""),50934609)</f>
        <v>50934609</v>
      </c>
    </row>
    <row r="1970" spans="1:6" x14ac:dyDescent="0.35">
      <c r="A1970" s="2">
        <f ca="1">IFERROR(__xludf.DUMMYFUNCTION("""COMPUTED_VALUE"""),44860.6666666666)</f>
        <v>44860.666666666599</v>
      </c>
      <c r="B1970" s="1">
        <f ca="1">IFERROR(__xludf.DUMMYFUNCTION("""COMPUTED_VALUE"""),116)</f>
        <v>116</v>
      </c>
      <c r="C1970" s="1">
        <f ca="1">IFERROR(__xludf.DUMMYFUNCTION("""COMPUTED_VALUE"""),119.35)</f>
        <v>119.35</v>
      </c>
      <c r="D1970" s="1">
        <f ca="1">IFERROR(__xludf.DUMMYFUNCTION("""COMPUTED_VALUE"""),114.76)</f>
        <v>114.76</v>
      </c>
      <c r="E1970" s="1">
        <f ca="1">IFERROR(__xludf.DUMMYFUNCTION("""COMPUTED_VALUE"""),115.66)</f>
        <v>115.66</v>
      </c>
      <c r="F1970" s="1">
        <f ca="1">IFERROR(__xludf.DUMMYFUNCTION("""COMPUTED_VALUE"""),69002457)</f>
        <v>69002457</v>
      </c>
    </row>
    <row r="1971" spans="1:6" x14ac:dyDescent="0.35">
      <c r="A1971" s="2">
        <f ca="1">IFERROR(__xludf.DUMMYFUNCTION("""COMPUTED_VALUE"""),44861.6666666666)</f>
        <v>44861.666666666599</v>
      </c>
      <c r="B1971" s="1">
        <f ca="1">IFERROR(__xludf.DUMMYFUNCTION("""COMPUTED_VALUE"""),113.92)</f>
        <v>113.92</v>
      </c>
      <c r="C1971" s="1">
        <f ca="1">IFERROR(__xludf.DUMMYFUNCTION("""COMPUTED_VALUE"""),114.12)</f>
        <v>114.12</v>
      </c>
      <c r="D1971" s="1">
        <f ca="1">IFERROR(__xludf.DUMMYFUNCTION("""COMPUTED_VALUE"""),109.77)</f>
        <v>109.77</v>
      </c>
      <c r="E1971" s="1">
        <f ca="1">IFERROR(__xludf.DUMMYFUNCTION("""COMPUTED_VALUE"""),110.96)</f>
        <v>110.96</v>
      </c>
      <c r="F1971" s="1">
        <f ca="1">IFERROR(__xludf.DUMMYFUNCTION("""COMPUTED_VALUE"""),129605362)</f>
        <v>129605362</v>
      </c>
    </row>
    <row r="1972" spans="1:6" x14ac:dyDescent="0.35">
      <c r="A1972" s="2">
        <f ca="1">IFERROR(__xludf.DUMMYFUNCTION("""COMPUTED_VALUE"""),44862.6666666666)</f>
        <v>44862.666666666599</v>
      </c>
      <c r="B1972" s="1">
        <f ca="1">IFERROR(__xludf.DUMMYFUNCTION("""COMPUTED_VALUE"""),97.91)</f>
        <v>97.91</v>
      </c>
      <c r="C1972" s="1">
        <f ca="1">IFERROR(__xludf.DUMMYFUNCTION("""COMPUTED_VALUE"""),103.96)</f>
        <v>103.96</v>
      </c>
      <c r="D1972" s="1">
        <f ca="1">IFERROR(__xludf.DUMMYFUNCTION("""COMPUTED_VALUE"""),97.66)</f>
        <v>97.66</v>
      </c>
      <c r="E1972" s="1">
        <f ca="1">IFERROR(__xludf.DUMMYFUNCTION("""COMPUTED_VALUE"""),103.41)</f>
        <v>103.41</v>
      </c>
      <c r="F1972" s="1">
        <f ca="1">IFERROR(__xludf.DUMMYFUNCTION("""COMPUTED_VALUE"""),223133398)</f>
        <v>223133398</v>
      </c>
    </row>
    <row r="1973" spans="1:6" x14ac:dyDescent="0.35">
      <c r="A1973" s="2">
        <f ca="1">IFERROR(__xludf.DUMMYFUNCTION("""COMPUTED_VALUE"""),44865.6666666666)</f>
        <v>44865.666666666599</v>
      </c>
      <c r="B1973" s="1">
        <f ca="1">IFERROR(__xludf.DUMMYFUNCTION("""COMPUTED_VALUE"""),103.56)</f>
        <v>103.56</v>
      </c>
      <c r="C1973" s="1">
        <f ca="1">IFERROR(__xludf.DUMMYFUNCTION("""COMPUTED_VALUE"""),104.87)</f>
        <v>104.87</v>
      </c>
      <c r="D1973" s="1">
        <f ca="1">IFERROR(__xludf.DUMMYFUNCTION("""COMPUTED_VALUE"""),100.74)</f>
        <v>100.74</v>
      </c>
      <c r="E1973" s="1">
        <f ca="1">IFERROR(__xludf.DUMMYFUNCTION("""COMPUTED_VALUE"""),102.44)</f>
        <v>102.44</v>
      </c>
      <c r="F1973" s="1">
        <f ca="1">IFERROR(__xludf.DUMMYFUNCTION("""COMPUTED_VALUE"""),99251395)</f>
        <v>99251395</v>
      </c>
    </row>
    <row r="1974" spans="1:6" x14ac:dyDescent="0.35">
      <c r="A1974" s="2">
        <f ca="1">IFERROR(__xludf.DUMMYFUNCTION("""COMPUTED_VALUE"""),44866.6666666666)</f>
        <v>44866.666666666599</v>
      </c>
      <c r="B1974" s="1">
        <f ca="1">IFERROR(__xludf.DUMMYFUNCTION("""COMPUTED_VALUE"""),103.99)</f>
        <v>103.99</v>
      </c>
      <c r="C1974" s="1">
        <f ca="1">IFERROR(__xludf.DUMMYFUNCTION("""COMPUTED_VALUE"""),104.58)</f>
        <v>104.58</v>
      </c>
      <c r="D1974" s="1">
        <f ca="1">IFERROR(__xludf.DUMMYFUNCTION("""COMPUTED_VALUE"""),96.06)</f>
        <v>96.06</v>
      </c>
      <c r="E1974" s="1">
        <f ca="1">IFERROR(__xludf.DUMMYFUNCTION("""COMPUTED_VALUE"""),96.79)</f>
        <v>96.79</v>
      </c>
      <c r="F1974" s="1">
        <f ca="1">IFERROR(__xludf.DUMMYFUNCTION("""COMPUTED_VALUE"""),153370032)</f>
        <v>153370032</v>
      </c>
    </row>
    <row r="1975" spans="1:6" x14ac:dyDescent="0.35">
      <c r="A1975" s="2">
        <f ca="1">IFERROR(__xludf.DUMMYFUNCTION("""COMPUTED_VALUE"""),44867.6666666666)</f>
        <v>44867.666666666599</v>
      </c>
      <c r="B1975" s="1">
        <f ca="1">IFERROR(__xludf.DUMMYFUNCTION("""COMPUTED_VALUE"""),97.32)</f>
        <v>97.32</v>
      </c>
      <c r="C1975" s="1">
        <f ca="1">IFERROR(__xludf.DUMMYFUNCTION("""COMPUTED_VALUE"""),97.74)</f>
        <v>97.74</v>
      </c>
      <c r="D1975" s="1">
        <f ca="1">IFERROR(__xludf.DUMMYFUNCTION("""COMPUTED_VALUE"""),92.01)</f>
        <v>92.01</v>
      </c>
      <c r="E1975" s="1">
        <f ca="1">IFERROR(__xludf.DUMMYFUNCTION("""COMPUTED_VALUE"""),92.12)</f>
        <v>92.12</v>
      </c>
      <c r="F1975" s="1">
        <f ca="1">IFERROR(__xludf.DUMMYFUNCTION("""COMPUTED_VALUE"""),135761798)</f>
        <v>135761798</v>
      </c>
    </row>
    <row r="1976" spans="1:6" x14ac:dyDescent="0.35">
      <c r="A1976" s="2">
        <f ca="1">IFERROR(__xludf.DUMMYFUNCTION("""COMPUTED_VALUE"""),44868.6666666666)</f>
        <v>44868.666666666599</v>
      </c>
      <c r="B1976" s="1">
        <f ca="1">IFERROR(__xludf.DUMMYFUNCTION("""COMPUTED_VALUE"""),92.47)</f>
        <v>92.47</v>
      </c>
      <c r="C1976" s="1">
        <f ca="1">IFERROR(__xludf.DUMMYFUNCTION("""COMPUTED_VALUE"""),93.5)</f>
        <v>93.5</v>
      </c>
      <c r="D1976" s="1">
        <f ca="1">IFERROR(__xludf.DUMMYFUNCTION("""COMPUTED_VALUE"""),89.02)</f>
        <v>89.02</v>
      </c>
      <c r="E1976" s="1">
        <f ca="1">IFERROR(__xludf.DUMMYFUNCTION("""COMPUTED_VALUE"""),89.3)</f>
        <v>89.3</v>
      </c>
      <c r="F1976" s="1">
        <f ca="1">IFERROR(__xludf.DUMMYFUNCTION("""COMPUTED_VALUE"""),136683303)</f>
        <v>136683303</v>
      </c>
    </row>
    <row r="1977" spans="1:6" x14ac:dyDescent="0.35">
      <c r="A1977" s="2">
        <f ca="1">IFERROR(__xludf.DUMMYFUNCTION("""COMPUTED_VALUE"""),44869.6666666666)</f>
        <v>44869.666666666599</v>
      </c>
      <c r="B1977" s="1">
        <f ca="1">IFERROR(__xludf.DUMMYFUNCTION("""COMPUTED_VALUE"""),91.49)</f>
        <v>91.49</v>
      </c>
      <c r="C1977" s="1">
        <f ca="1">IFERROR(__xludf.DUMMYFUNCTION("""COMPUTED_VALUE"""),92.44)</f>
        <v>92.44</v>
      </c>
      <c r="D1977" s="1">
        <f ca="1">IFERROR(__xludf.DUMMYFUNCTION("""COMPUTED_VALUE"""),88.04)</f>
        <v>88.04</v>
      </c>
      <c r="E1977" s="1">
        <f ca="1">IFERROR(__xludf.DUMMYFUNCTION("""COMPUTED_VALUE"""),90.98)</f>
        <v>90.98</v>
      </c>
      <c r="F1977" s="1">
        <f ca="1">IFERROR(__xludf.DUMMYFUNCTION("""COMPUTED_VALUE"""),129101336)</f>
        <v>129101336</v>
      </c>
    </row>
    <row r="1978" spans="1:6" x14ac:dyDescent="0.35">
      <c r="A1978" s="2">
        <f ca="1">IFERROR(__xludf.DUMMYFUNCTION("""COMPUTED_VALUE"""),44872.6666666666)</f>
        <v>44872.666666666599</v>
      </c>
      <c r="B1978" s="1">
        <f ca="1">IFERROR(__xludf.DUMMYFUNCTION("""COMPUTED_VALUE"""),91.95)</f>
        <v>91.95</v>
      </c>
      <c r="C1978" s="1">
        <f ca="1">IFERROR(__xludf.DUMMYFUNCTION("""COMPUTED_VALUE"""),92.1)</f>
        <v>92.1</v>
      </c>
      <c r="D1978" s="1">
        <f ca="1">IFERROR(__xludf.DUMMYFUNCTION("""COMPUTED_VALUE"""),89.04)</f>
        <v>89.04</v>
      </c>
      <c r="E1978" s="1">
        <f ca="1">IFERROR(__xludf.DUMMYFUNCTION("""COMPUTED_VALUE"""),90.53)</f>
        <v>90.53</v>
      </c>
      <c r="F1978" s="1">
        <f ca="1">IFERROR(__xludf.DUMMYFUNCTION("""COMPUTED_VALUE"""),77495728)</f>
        <v>77495728</v>
      </c>
    </row>
    <row r="1979" spans="1:6" x14ac:dyDescent="0.35">
      <c r="A1979" s="2">
        <f ca="1">IFERROR(__xludf.DUMMYFUNCTION("""COMPUTED_VALUE"""),44873.6666666666)</f>
        <v>44873.666666666599</v>
      </c>
      <c r="B1979" s="1">
        <f ca="1">IFERROR(__xludf.DUMMYFUNCTION("""COMPUTED_VALUE"""),90.79)</f>
        <v>90.79</v>
      </c>
      <c r="C1979" s="1">
        <f ca="1">IFERROR(__xludf.DUMMYFUNCTION("""COMPUTED_VALUE"""),91.72)</f>
        <v>91.72</v>
      </c>
      <c r="D1979" s="1">
        <f ca="1">IFERROR(__xludf.DUMMYFUNCTION("""COMPUTED_VALUE"""),88.23)</f>
        <v>88.23</v>
      </c>
      <c r="E1979" s="1">
        <f ca="1">IFERROR(__xludf.DUMMYFUNCTION("""COMPUTED_VALUE"""),89.98)</f>
        <v>89.98</v>
      </c>
      <c r="F1979" s="1">
        <f ca="1">IFERROR(__xludf.DUMMYFUNCTION("""COMPUTED_VALUE"""),88703370)</f>
        <v>88703370</v>
      </c>
    </row>
    <row r="1980" spans="1:6" x14ac:dyDescent="0.35">
      <c r="A1980" s="2">
        <f ca="1">IFERROR(__xludf.DUMMYFUNCTION("""COMPUTED_VALUE"""),44874.6666666666)</f>
        <v>44874.666666666599</v>
      </c>
      <c r="B1980" s="1">
        <f ca="1">IFERROR(__xludf.DUMMYFUNCTION("""COMPUTED_VALUE"""),89.47)</f>
        <v>89.47</v>
      </c>
      <c r="C1980" s="1">
        <f ca="1">IFERROR(__xludf.DUMMYFUNCTION("""COMPUTED_VALUE"""),89.48)</f>
        <v>89.48</v>
      </c>
      <c r="D1980" s="1">
        <f ca="1">IFERROR(__xludf.DUMMYFUNCTION("""COMPUTED_VALUE"""),85.87)</f>
        <v>85.87</v>
      </c>
      <c r="E1980" s="1">
        <f ca="1">IFERROR(__xludf.DUMMYFUNCTION("""COMPUTED_VALUE"""),86.14)</f>
        <v>86.14</v>
      </c>
      <c r="F1980" s="1">
        <f ca="1">IFERROR(__xludf.DUMMYFUNCTION("""COMPUTED_VALUE"""),90796249)</f>
        <v>90796249</v>
      </c>
    </row>
    <row r="1981" spans="1:6" x14ac:dyDescent="0.35">
      <c r="A1981" s="2">
        <f ca="1">IFERROR(__xludf.DUMMYFUNCTION("""COMPUTED_VALUE"""),44875.6666666666)</f>
        <v>44875.666666666599</v>
      </c>
      <c r="B1981" s="1">
        <f ca="1">IFERROR(__xludf.DUMMYFUNCTION("""COMPUTED_VALUE"""),92.94)</f>
        <v>92.94</v>
      </c>
      <c r="C1981" s="1">
        <f ca="1">IFERROR(__xludf.DUMMYFUNCTION("""COMPUTED_VALUE"""),98.69)</f>
        <v>98.69</v>
      </c>
      <c r="D1981" s="1">
        <f ca="1">IFERROR(__xludf.DUMMYFUNCTION("""COMPUTED_VALUE"""),91.65)</f>
        <v>91.65</v>
      </c>
      <c r="E1981" s="1">
        <f ca="1">IFERROR(__xludf.DUMMYFUNCTION("""COMPUTED_VALUE"""),96.63)</f>
        <v>96.63</v>
      </c>
      <c r="F1981" s="1">
        <f ca="1">IFERROR(__xludf.DUMMYFUNCTION("""COMPUTED_VALUE"""),173414862)</f>
        <v>173414862</v>
      </c>
    </row>
    <row r="1982" spans="1:6" x14ac:dyDescent="0.35">
      <c r="A1982" s="2">
        <f ca="1">IFERROR(__xludf.DUMMYFUNCTION("""COMPUTED_VALUE"""),44876.6666666666)</f>
        <v>44876.666666666599</v>
      </c>
      <c r="B1982" s="1">
        <f ca="1">IFERROR(__xludf.DUMMYFUNCTION("""COMPUTED_VALUE"""),97.88)</f>
        <v>97.88</v>
      </c>
      <c r="C1982" s="1">
        <f ca="1">IFERROR(__xludf.DUMMYFUNCTION("""COMPUTED_VALUE"""),101.19)</f>
        <v>101.19</v>
      </c>
      <c r="D1982" s="1">
        <f ca="1">IFERROR(__xludf.DUMMYFUNCTION("""COMPUTED_VALUE"""),96.66)</f>
        <v>96.66</v>
      </c>
      <c r="E1982" s="1">
        <f ca="1">IFERROR(__xludf.DUMMYFUNCTION("""COMPUTED_VALUE"""),100.79)</f>
        <v>100.79</v>
      </c>
      <c r="F1982" s="1">
        <f ca="1">IFERROR(__xludf.DUMMYFUNCTION("""COMPUTED_VALUE"""),111590544)</f>
        <v>111590544</v>
      </c>
    </row>
    <row r="1983" spans="1:6" x14ac:dyDescent="0.35">
      <c r="A1983" s="2">
        <f ca="1">IFERROR(__xludf.DUMMYFUNCTION("""COMPUTED_VALUE"""),44879.6666666666)</f>
        <v>44879.666666666599</v>
      </c>
      <c r="B1983" s="1">
        <f ca="1">IFERROR(__xludf.DUMMYFUNCTION("""COMPUTED_VALUE"""),98.77)</f>
        <v>98.77</v>
      </c>
      <c r="C1983" s="1">
        <f ca="1">IFERROR(__xludf.DUMMYFUNCTION("""COMPUTED_VALUE"""),100.12)</f>
        <v>100.12</v>
      </c>
      <c r="D1983" s="1">
        <f ca="1">IFERROR(__xludf.DUMMYFUNCTION("""COMPUTED_VALUE"""),97.29)</f>
        <v>97.29</v>
      </c>
      <c r="E1983" s="1">
        <f ca="1">IFERROR(__xludf.DUMMYFUNCTION("""COMPUTED_VALUE"""),98.49)</f>
        <v>98.49</v>
      </c>
      <c r="F1983" s="1">
        <f ca="1">IFERROR(__xludf.DUMMYFUNCTION("""COMPUTED_VALUE"""),99533072)</f>
        <v>99533072</v>
      </c>
    </row>
    <row r="1984" spans="1:6" x14ac:dyDescent="0.35">
      <c r="A1984" s="2">
        <f ca="1">IFERROR(__xludf.DUMMYFUNCTION("""COMPUTED_VALUE"""),44880.6666666666)</f>
        <v>44880.666666666599</v>
      </c>
      <c r="B1984" s="1">
        <f ca="1">IFERROR(__xludf.DUMMYFUNCTION("""COMPUTED_VALUE"""),103.21)</f>
        <v>103.21</v>
      </c>
      <c r="C1984" s="1">
        <f ca="1">IFERROR(__xludf.DUMMYFUNCTION("""COMPUTED_VALUE"""),103.79)</f>
        <v>103.79</v>
      </c>
      <c r="D1984" s="1">
        <f ca="1">IFERROR(__xludf.DUMMYFUNCTION("""COMPUTED_VALUE"""),97.34)</f>
        <v>97.34</v>
      </c>
      <c r="E1984" s="1">
        <f ca="1">IFERROR(__xludf.DUMMYFUNCTION("""COMPUTED_VALUE"""),98.94)</f>
        <v>98.94</v>
      </c>
      <c r="F1984" s="1">
        <f ca="1">IFERROR(__xludf.DUMMYFUNCTION("""COMPUTED_VALUE"""),111336317)</f>
        <v>111336317</v>
      </c>
    </row>
    <row r="1985" spans="1:6" x14ac:dyDescent="0.35">
      <c r="A1985" s="2">
        <f ca="1">IFERROR(__xludf.DUMMYFUNCTION("""COMPUTED_VALUE"""),44881.6666666666)</f>
        <v>44881.666666666599</v>
      </c>
      <c r="B1985" s="1">
        <f ca="1">IFERROR(__xludf.DUMMYFUNCTION("""COMPUTED_VALUE"""),96.85)</f>
        <v>96.85</v>
      </c>
      <c r="C1985" s="1">
        <f ca="1">IFERROR(__xludf.DUMMYFUNCTION("""COMPUTED_VALUE"""),98.49)</f>
        <v>98.49</v>
      </c>
      <c r="D1985" s="1">
        <f ca="1">IFERROR(__xludf.DUMMYFUNCTION("""COMPUTED_VALUE"""),95.54)</f>
        <v>95.54</v>
      </c>
      <c r="E1985" s="1">
        <f ca="1">IFERROR(__xludf.DUMMYFUNCTION("""COMPUTED_VALUE"""),97.12)</f>
        <v>97.12</v>
      </c>
      <c r="F1985" s="1">
        <f ca="1">IFERROR(__xludf.DUMMYFUNCTION("""COMPUTED_VALUE"""),87958828)</f>
        <v>87958828</v>
      </c>
    </row>
    <row r="1986" spans="1:6" x14ac:dyDescent="0.35">
      <c r="A1986" s="2">
        <f ca="1">IFERROR(__xludf.DUMMYFUNCTION("""COMPUTED_VALUE"""),44882.6666666666)</f>
        <v>44882.666666666599</v>
      </c>
      <c r="B1986" s="1">
        <f ca="1">IFERROR(__xludf.DUMMYFUNCTION("""COMPUTED_VALUE"""),95.37)</f>
        <v>95.37</v>
      </c>
      <c r="C1986" s="1">
        <f ca="1">IFERROR(__xludf.DUMMYFUNCTION("""COMPUTED_VALUE"""),96.97)</f>
        <v>96.97</v>
      </c>
      <c r="D1986" s="1">
        <f ca="1">IFERROR(__xludf.DUMMYFUNCTION("""COMPUTED_VALUE"""),94.03)</f>
        <v>94.03</v>
      </c>
      <c r="E1986" s="1">
        <f ca="1">IFERROR(__xludf.DUMMYFUNCTION("""COMPUTED_VALUE"""),94.85)</f>
        <v>94.85</v>
      </c>
      <c r="F1986" s="1">
        <f ca="1">IFERROR(__xludf.DUMMYFUNCTION("""COMPUTED_VALUE"""),82617865)</f>
        <v>82617865</v>
      </c>
    </row>
    <row r="1987" spans="1:6" x14ac:dyDescent="0.35">
      <c r="A1987" s="2">
        <f ca="1">IFERROR(__xludf.DUMMYFUNCTION("""COMPUTED_VALUE"""),44883.6666666666)</f>
        <v>44883.666666666599</v>
      </c>
      <c r="B1987" s="1">
        <f ca="1">IFERROR(__xludf.DUMMYFUNCTION("""COMPUTED_VALUE"""),95.95)</f>
        <v>95.95</v>
      </c>
      <c r="C1987" s="1">
        <f ca="1">IFERROR(__xludf.DUMMYFUNCTION("""COMPUTED_VALUE"""),95.99)</f>
        <v>95.99</v>
      </c>
      <c r="D1987" s="1">
        <f ca="1">IFERROR(__xludf.DUMMYFUNCTION("""COMPUTED_VALUE"""),92.48)</f>
        <v>92.48</v>
      </c>
      <c r="E1987" s="1">
        <f ca="1">IFERROR(__xludf.DUMMYFUNCTION("""COMPUTED_VALUE"""),94.14)</f>
        <v>94.14</v>
      </c>
      <c r="F1987" s="1">
        <f ca="1">IFERROR(__xludf.DUMMYFUNCTION("""COMPUTED_VALUE"""),72428185)</f>
        <v>72428185</v>
      </c>
    </row>
    <row r="1988" spans="1:6" x14ac:dyDescent="0.35">
      <c r="A1988" s="2">
        <f ca="1">IFERROR(__xludf.DUMMYFUNCTION("""COMPUTED_VALUE"""),44886.6666666666)</f>
        <v>44886.666666666599</v>
      </c>
      <c r="B1988" s="1">
        <f ca="1">IFERROR(__xludf.DUMMYFUNCTION("""COMPUTED_VALUE"""),93.97)</f>
        <v>93.97</v>
      </c>
      <c r="C1988" s="1">
        <f ca="1">IFERROR(__xludf.DUMMYFUNCTION("""COMPUTED_VALUE"""),95.02)</f>
        <v>95.02</v>
      </c>
      <c r="D1988" s="1">
        <f ca="1">IFERROR(__xludf.DUMMYFUNCTION("""COMPUTED_VALUE"""),90.59)</f>
        <v>90.59</v>
      </c>
      <c r="E1988" s="1">
        <f ca="1">IFERROR(__xludf.DUMMYFUNCTION("""COMPUTED_VALUE"""),92.46)</f>
        <v>92.46</v>
      </c>
      <c r="F1988" s="1">
        <f ca="1">IFERROR(__xludf.DUMMYFUNCTION("""COMPUTED_VALUE"""),84330270)</f>
        <v>84330270</v>
      </c>
    </row>
    <row r="1989" spans="1:6" x14ac:dyDescent="0.35">
      <c r="A1989" s="2">
        <f ca="1">IFERROR(__xludf.DUMMYFUNCTION("""COMPUTED_VALUE"""),44887.6666666666)</f>
        <v>44887.666666666599</v>
      </c>
      <c r="B1989" s="1">
        <f ca="1">IFERROR(__xludf.DUMMYFUNCTION("""COMPUTED_VALUE"""),92.62)</f>
        <v>92.62</v>
      </c>
      <c r="C1989" s="1">
        <f ca="1">IFERROR(__xludf.DUMMYFUNCTION("""COMPUTED_VALUE"""),93.35)</f>
        <v>93.35</v>
      </c>
      <c r="D1989" s="1">
        <f ca="1">IFERROR(__xludf.DUMMYFUNCTION("""COMPUTED_VALUE"""),90.87)</f>
        <v>90.87</v>
      </c>
      <c r="E1989" s="1">
        <f ca="1">IFERROR(__xludf.DUMMYFUNCTION("""COMPUTED_VALUE"""),93.2)</f>
        <v>93.2</v>
      </c>
      <c r="F1989" s="1">
        <f ca="1">IFERROR(__xludf.DUMMYFUNCTION("""COMPUTED_VALUE"""),62191962)</f>
        <v>62191962</v>
      </c>
    </row>
    <row r="1990" spans="1:6" x14ac:dyDescent="0.35">
      <c r="A1990" s="2">
        <f ca="1">IFERROR(__xludf.DUMMYFUNCTION("""COMPUTED_VALUE"""),44888.6666666666)</f>
        <v>44888.666666666599</v>
      </c>
      <c r="B1990" s="1">
        <f ca="1">IFERROR(__xludf.DUMMYFUNCTION("""COMPUTED_VALUE"""),93.24)</f>
        <v>93.24</v>
      </c>
      <c r="C1990" s="1">
        <f ca="1">IFERROR(__xludf.DUMMYFUNCTION("""COMPUTED_VALUE"""),94.58)</f>
        <v>94.58</v>
      </c>
      <c r="D1990" s="1">
        <f ca="1">IFERROR(__xludf.DUMMYFUNCTION("""COMPUTED_VALUE"""),92.83)</f>
        <v>92.83</v>
      </c>
      <c r="E1990" s="1">
        <f ca="1">IFERROR(__xludf.DUMMYFUNCTION("""COMPUTED_VALUE"""),94.13)</f>
        <v>94.13</v>
      </c>
      <c r="F1990" s="1">
        <f ca="1">IFERROR(__xludf.DUMMYFUNCTION("""COMPUTED_VALUE"""),59414684)</f>
        <v>59414684</v>
      </c>
    </row>
    <row r="1991" spans="1:6" x14ac:dyDescent="0.35">
      <c r="A1991" s="2">
        <f ca="1">IFERROR(__xludf.DUMMYFUNCTION("""COMPUTED_VALUE"""),44890.5451388888)</f>
        <v>44890.545138888803</v>
      </c>
      <c r="B1991" s="1">
        <f ca="1">IFERROR(__xludf.DUMMYFUNCTION("""COMPUTED_VALUE"""),93.79)</f>
        <v>93.79</v>
      </c>
      <c r="C1991" s="1">
        <f ca="1">IFERROR(__xludf.DUMMYFUNCTION("""COMPUTED_VALUE"""),94.43)</f>
        <v>94.43</v>
      </c>
      <c r="D1991" s="1">
        <f ca="1">IFERROR(__xludf.DUMMYFUNCTION("""COMPUTED_VALUE"""),93.07)</f>
        <v>93.07</v>
      </c>
      <c r="E1991" s="1">
        <f ca="1">IFERROR(__xludf.DUMMYFUNCTION("""COMPUTED_VALUE"""),93.41)</f>
        <v>93.41</v>
      </c>
      <c r="F1991" s="1">
        <f ca="1">IFERROR(__xludf.DUMMYFUNCTION("""COMPUTED_VALUE"""),35088609)</f>
        <v>35088609</v>
      </c>
    </row>
    <row r="1992" spans="1:6" x14ac:dyDescent="0.35">
      <c r="A1992" s="2">
        <f ca="1">IFERROR(__xludf.DUMMYFUNCTION("""COMPUTED_VALUE"""),44893.6666666666)</f>
        <v>44893.666666666599</v>
      </c>
      <c r="B1992" s="1">
        <f ca="1">IFERROR(__xludf.DUMMYFUNCTION("""COMPUTED_VALUE"""),93.93)</f>
        <v>93.93</v>
      </c>
      <c r="C1992" s="1">
        <f ca="1">IFERROR(__xludf.DUMMYFUNCTION("""COMPUTED_VALUE"""),96.4)</f>
        <v>96.4</v>
      </c>
      <c r="D1992" s="1">
        <f ca="1">IFERROR(__xludf.DUMMYFUNCTION("""COMPUTED_VALUE"""),93.43)</f>
        <v>93.43</v>
      </c>
      <c r="E1992" s="1">
        <f ca="1">IFERROR(__xludf.DUMMYFUNCTION("""COMPUTED_VALUE"""),93.95)</f>
        <v>93.95</v>
      </c>
      <c r="F1992" s="1">
        <f ca="1">IFERROR(__xludf.DUMMYFUNCTION("""COMPUTED_VALUE"""),75062316)</f>
        <v>75062316</v>
      </c>
    </row>
    <row r="1993" spans="1:6" x14ac:dyDescent="0.35">
      <c r="A1993" s="2">
        <f ca="1">IFERROR(__xludf.DUMMYFUNCTION("""COMPUTED_VALUE"""),44894.6666666666)</f>
        <v>44894.666666666599</v>
      </c>
      <c r="B1993" s="1">
        <f ca="1">IFERROR(__xludf.DUMMYFUNCTION("""COMPUTED_VALUE"""),94.04)</f>
        <v>94.04</v>
      </c>
      <c r="C1993" s="1">
        <f ca="1">IFERROR(__xludf.DUMMYFUNCTION("""COMPUTED_VALUE"""),94.41)</f>
        <v>94.41</v>
      </c>
      <c r="D1993" s="1">
        <f ca="1">IFERROR(__xludf.DUMMYFUNCTION("""COMPUTED_VALUE"""),91.44)</f>
        <v>91.44</v>
      </c>
      <c r="E1993" s="1">
        <f ca="1">IFERROR(__xludf.DUMMYFUNCTION("""COMPUTED_VALUE"""),92.42)</f>
        <v>92.42</v>
      </c>
      <c r="F1993" s="1">
        <f ca="1">IFERROR(__xludf.DUMMYFUNCTION("""COMPUTED_VALUE"""),65567286)</f>
        <v>65567286</v>
      </c>
    </row>
    <row r="1994" spans="1:6" x14ac:dyDescent="0.35">
      <c r="A1994" s="2">
        <f ca="1">IFERROR(__xludf.DUMMYFUNCTION("""COMPUTED_VALUE"""),44895.6666666666)</f>
        <v>44895.666666666599</v>
      </c>
      <c r="B1994" s="1">
        <f ca="1">IFERROR(__xludf.DUMMYFUNCTION("""COMPUTED_VALUE"""),92.47)</f>
        <v>92.47</v>
      </c>
      <c r="C1994" s="1">
        <f ca="1">IFERROR(__xludf.DUMMYFUNCTION("""COMPUTED_VALUE"""),96.54)</f>
        <v>96.54</v>
      </c>
      <c r="D1994" s="1">
        <f ca="1">IFERROR(__xludf.DUMMYFUNCTION("""COMPUTED_VALUE"""),91.53)</f>
        <v>91.53</v>
      </c>
      <c r="E1994" s="1">
        <f ca="1">IFERROR(__xludf.DUMMYFUNCTION("""COMPUTED_VALUE"""),96.54)</f>
        <v>96.54</v>
      </c>
      <c r="F1994" s="1">
        <f ca="1">IFERROR(__xludf.DUMMYFUNCTION("""COMPUTED_VALUE"""),102805806)</f>
        <v>102805806</v>
      </c>
    </row>
    <row r="1995" spans="1:6" x14ac:dyDescent="0.35">
      <c r="A1995" s="2">
        <f ca="1">IFERROR(__xludf.DUMMYFUNCTION("""COMPUTED_VALUE"""),44896.6666666666)</f>
        <v>44896.666666666599</v>
      </c>
      <c r="B1995" s="1">
        <f ca="1">IFERROR(__xludf.DUMMYFUNCTION("""COMPUTED_VALUE"""),96.99)</f>
        <v>96.99</v>
      </c>
      <c r="C1995" s="1">
        <f ca="1">IFERROR(__xludf.DUMMYFUNCTION("""COMPUTED_VALUE"""),97.23)</f>
        <v>97.23</v>
      </c>
      <c r="D1995" s="1">
        <f ca="1">IFERROR(__xludf.DUMMYFUNCTION("""COMPUTED_VALUE"""),94.92)</f>
        <v>94.92</v>
      </c>
      <c r="E1995" s="1">
        <f ca="1">IFERROR(__xludf.DUMMYFUNCTION("""COMPUTED_VALUE"""),95.5)</f>
        <v>95.5</v>
      </c>
      <c r="F1995" s="1">
        <f ca="1">IFERROR(__xludf.DUMMYFUNCTION("""COMPUTED_VALUE"""),68487969)</f>
        <v>68487969</v>
      </c>
    </row>
    <row r="1996" spans="1:6" x14ac:dyDescent="0.35">
      <c r="A1996" s="2">
        <f ca="1">IFERROR(__xludf.DUMMYFUNCTION("""COMPUTED_VALUE"""),44897.6666666666)</f>
        <v>44897.666666666599</v>
      </c>
      <c r="B1996" s="1">
        <f ca="1">IFERROR(__xludf.DUMMYFUNCTION("""COMPUTED_VALUE"""),94.48)</f>
        <v>94.48</v>
      </c>
      <c r="C1996" s="1">
        <f ca="1">IFERROR(__xludf.DUMMYFUNCTION("""COMPUTED_VALUE"""),95.36)</f>
        <v>95.36</v>
      </c>
      <c r="D1996" s="1">
        <f ca="1">IFERROR(__xludf.DUMMYFUNCTION("""COMPUTED_VALUE"""),93.78)</f>
        <v>93.78</v>
      </c>
      <c r="E1996" s="1">
        <f ca="1">IFERROR(__xludf.DUMMYFUNCTION("""COMPUTED_VALUE"""),94.13)</f>
        <v>94.13</v>
      </c>
      <c r="F1996" s="1">
        <f ca="1">IFERROR(__xludf.DUMMYFUNCTION("""COMPUTED_VALUE"""),72496388)</f>
        <v>72496388</v>
      </c>
    </row>
    <row r="1997" spans="1:6" x14ac:dyDescent="0.35">
      <c r="A1997" s="2">
        <f ca="1">IFERROR(__xludf.DUMMYFUNCTION("""COMPUTED_VALUE"""),44900.6666666666)</f>
        <v>44900.666666666599</v>
      </c>
      <c r="B1997" s="1">
        <f ca="1">IFERROR(__xludf.DUMMYFUNCTION("""COMPUTED_VALUE"""),93.05)</f>
        <v>93.05</v>
      </c>
      <c r="C1997" s="1">
        <f ca="1">IFERROR(__xludf.DUMMYFUNCTION("""COMPUTED_VALUE"""),94.06)</f>
        <v>94.06</v>
      </c>
      <c r="D1997" s="1">
        <f ca="1">IFERROR(__xludf.DUMMYFUNCTION("""COMPUTED_VALUE"""),90.82)</f>
        <v>90.82</v>
      </c>
      <c r="E1997" s="1">
        <f ca="1">IFERROR(__xludf.DUMMYFUNCTION("""COMPUTED_VALUE"""),91.01)</f>
        <v>91.01</v>
      </c>
      <c r="F1997" s="1">
        <f ca="1">IFERROR(__xludf.DUMMYFUNCTION("""COMPUTED_VALUE"""),71535526)</f>
        <v>71535526</v>
      </c>
    </row>
    <row r="1998" spans="1:6" x14ac:dyDescent="0.35">
      <c r="A1998" s="2">
        <f ca="1">IFERROR(__xludf.DUMMYFUNCTION("""COMPUTED_VALUE"""),44901.6666666666)</f>
        <v>44901.666666666599</v>
      </c>
      <c r="B1998" s="1">
        <f ca="1">IFERROR(__xludf.DUMMYFUNCTION("""COMPUTED_VALUE"""),90.5)</f>
        <v>90.5</v>
      </c>
      <c r="C1998" s="1">
        <f ca="1">IFERROR(__xludf.DUMMYFUNCTION("""COMPUTED_VALUE"""),91.04)</f>
        <v>91.04</v>
      </c>
      <c r="D1998" s="1">
        <f ca="1">IFERROR(__xludf.DUMMYFUNCTION("""COMPUTED_VALUE"""),87.9)</f>
        <v>87.9</v>
      </c>
      <c r="E1998" s="1">
        <f ca="1">IFERROR(__xludf.DUMMYFUNCTION("""COMPUTED_VALUE"""),88.25)</f>
        <v>88.25</v>
      </c>
      <c r="F1998" s="1">
        <f ca="1">IFERROR(__xludf.DUMMYFUNCTION("""COMPUTED_VALUE"""),75503628)</f>
        <v>75503628</v>
      </c>
    </row>
    <row r="1999" spans="1:6" x14ac:dyDescent="0.35">
      <c r="A1999" s="2">
        <f ca="1">IFERROR(__xludf.DUMMYFUNCTION("""COMPUTED_VALUE"""),44902.6666666666)</f>
        <v>44902.666666666599</v>
      </c>
      <c r="B1999" s="1">
        <f ca="1">IFERROR(__xludf.DUMMYFUNCTION("""COMPUTED_VALUE"""),88.34)</f>
        <v>88.34</v>
      </c>
      <c r="C1999" s="1">
        <f ca="1">IFERROR(__xludf.DUMMYFUNCTION("""COMPUTED_VALUE"""),89.89)</f>
        <v>89.89</v>
      </c>
      <c r="D1999" s="1">
        <f ca="1">IFERROR(__xludf.DUMMYFUNCTION("""COMPUTED_VALUE"""),87.48)</f>
        <v>87.48</v>
      </c>
      <c r="E1999" s="1">
        <f ca="1">IFERROR(__xludf.DUMMYFUNCTION("""COMPUTED_VALUE"""),88.46)</f>
        <v>88.46</v>
      </c>
      <c r="F1999" s="1">
        <f ca="1">IFERROR(__xludf.DUMMYFUNCTION("""COMPUTED_VALUE"""),68086880)</f>
        <v>68086880</v>
      </c>
    </row>
    <row r="2000" spans="1:6" x14ac:dyDescent="0.35">
      <c r="A2000" s="2">
        <f ca="1">IFERROR(__xludf.DUMMYFUNCTION("""COMPUTED_VALUE"""),44903.6666666666)</f>
        <v>44903.666666666599</v>
      </c>
      <c r="B2000" s="1">
        <f ca="1">IFERROR(__xludf.DUMMYFUNCTION("""COMPUTED_VALUE"""),89.24)</f>
        <v>89.24</v>
      </c>
      <c r="C2000" s="1">
        <f ca="1">IFERROR(__xludf.DUMMYFUNCTION("""COMPUTED_VALUE"""),90.86)</f>
        <v>90.86</v>
      </c>
      <c r="D2000" s="1">
        <f ca="1">IFERROR(__xludf.DUMMYFUNCTION("""COMPUTED_VALUE"""),87.88)</f>
        <v>87.88</v>
      </c>
      <c r="E2000" s="1">
        <f ca="1">IFERROR(__xludf.DUMMYFUNCTION("""COMPUTED_VALUE"""),90.35)</f>
        <v>90.35</v>
      </c>
      <c r="F2000" s="1">
        <f ca="1">IFERROR(__xludf.DUMMYFUNCTION("""COMPUTED_VALUE"""),73305887)</f>
        <v>73305887</v>
      </c>
    </row>
    <row r="2001" spans="1:6" x14ac:dyDescent="0.35">
      <c r="A2001" s="2">
        <f ca="1">IFERROR(__xludf.DUMMYFUNCTION("""COMPUTED_VALUE"""),44904.6666666666)</f>
        <v>44904.666666666599</v>
      </c>
      <c r="B2001" s="1">
        <f ca="1">IFERROR(__xludf.DUMMYFUNCTION("""COMPUTED_VALUE"""),88.9)</f>
        <v>88.9</v>
      </c>
      <c r="C2001" s="1">
        <f ca="1">IFERROR(__xludf.DUMMYFUNCTION("""COMPUTED_VALUE"""),90.3)</f>
        <v>90.3</v>
      </c>
      <c r="D2001" s="1">
        <f ca="1">IFERROR(__xludf.DUMMYFUNCTION("""COMPUTED_VALUE"""),88.63)</f>
        <v>88.63</v>
      </c>
      <c r="E2001" s="1">
        <f ca="1">IFERROR(__xludf.DUMMYFUNCTION("""COMPUTED_VALUE"""),89.09)</f>
        <v>89.09</v>
      </c>
      <c r="F2001" s="1">
        <f ca="1">IFERROR(__xludf.DUMMYFUNCTION("""COMPUTED_VALUE"""),67398506)</f>
        <v>67398506</v>
      </c>
    </row>
    <row r="2002" spans="1:6" x14ac:dyDescent="0.35">
      <c r="A2002" s="2">
        <f ca="1">IFERROR(__xludf.DUMMYFUNCTION("""COMPUTED_VALUE"""),44907.6666666666)</f>
        <v>44907.666666666599</v>
      </c>
      <c r="B2002" s="1">
        <f ca="1">IFERROR(__xludf.DUMMYFUNCTION("""COMPUTED_VALUE"""),89.21)</f>
        <v>89.21</v>
      </c>
      <c r="C2002" s="1">
        <f ca="1">IFERROR(__xludf.DUMMYFUNCTION("""COMPUTED_VALUE"""),90.58)</f>
        <v>90.58</v>
      </c>
      <c r="D2002" s="1">
        <f ca="1">IFERROR(__xludf.DUMMYFUNCTION("""COMPUTED_VALUE"""),87.87)</f>
        <v>87.87</v>
      </c>
      <c r="E2002" s="1">
        <f ca="1">IFERROR(__xludf.DUMMYFUNCTION("""COMPUTED_VALUE"""),90.55)</f>
        <v>90.55</v>
      </c>
      <c r="F2002" s="1">
        <f ca="1">IFERROR(__xludf.DUMMYFUNCTION("""COMPUTED_VALUE"""),61999762)</f>
        <v>61999762</v>
      </c>
    </row>
    <row r="2003" spans="1:6" x14ac:dyDescent="0.35">
      <c r="A2003" s="2">
        <f ca="1">IFERROR(__xludf.DUMMYFUNCTION("""COMPUTED_VALUE"""),44908.6666666666)</f>
        <v>44908.666666666599</v>
      </c>
      <c r="B2003" s="1">
        <f ca="1">IFERROR(__xludf.DUMMYFUNCTION("""COMPUTED_VALUE"""),95.23)</f>
        <v>95.23</v>
      </c>
      <c r="C2003" s="1">
        <f ca="1">IFERROR(__xludf.DUMMYFUNCTION("""COMPUTED_VALUE"""),96.25)</f>
        <v>96.25</v>
      </c>
      <c r="D2003" s="1">
        <f ca="1">IFERROR(__xludf.DUMMYFUNCTION("""COMPUTED_VALUE"""),90.52)</f>
        <v>90.52</v>
      </c>
      <c r="E2003" s="1">
        <f ca="1">IFERROR(__xludf.DUMMYFUNCTION("""COMPUTED_VALUE"""),92.49)</f>
        <v>92.49</v>
      </c>
      <c r="F2003" s="1">
        <f ca="1">IFERROR(__xludf.DUMMYFUNCTION("""COMPUTED_VALUE"""),100212038)</f>
        <v>100212038</v>
      </c>
    </row>
    <row r="2004" spans="1:6" x14ac:dyDescent="0.35">
      <c r="A2004" s="2">
        <f ca="1">IFERROR(__xludf.DUMMYFUNCTION("""COMPUTED_VALUE"""),44909.6666666666)</f>
        <v>44909.666666666599</v>
      </c>
      <c r="B2004" s="1">
        <f ca="1">IFERROR(__xludf.DUMMYFUNCTION("""COMPUTED_VALUE"""),92.5)</f>
        <v>92.5</v>
      </c>
      <c r="C2004" s="1">
        <f ca="1">IFERROR(__xludf.DUMMYFUNCTION("""COMPUTED_VALUE"""),93.46)</f>
        <v>93.46</v>
      </c>
      <c r="D2004" s="1">
        <f ca="1">IFERROR(__xludf.DUMMYFUNCTION("""COMPUTED_VALUE"""),89.87)</f>
        <v>89.87</v>
      </c>
      <c r="E2004" s="1">
        <f ca="1">IFERROR(__xludf.DUMMYFUNCTION("""COMPUTED_VALUE"""),91.58)</f>
        <v>91.58</v>
      </c>
      <c r="F2004" s="1">
        <f ca="1">IFERROR(__xludf.DUMMYFUNCTION("""COMPUTED_VALUE"""),70298006)</f>
        <v>70298006</v>
      </c>
    </row>
    <row r="2005" spans="1:6" x14ac:dyDescent="0.35">
      <c r="A2005" s="2">
        <f ca="1">IFERROR(__xludf.DUMMYFUNCTION("""COMPUTED_VALUE"""),44910.6666666666)</f>
        <v>44910.666666666599</v>
      </c>
      <c r="B2005" s="1">
        <f ca="1">IFERROR(__xludf.DUMMYFUNCTION("""COMPUTED_VALUE"""),89.89)</f>
        <v>89.89</v>
      </c>
      <c r="C2005" s="1">
        <f ca="1">IFERROR(__xludf.DUMMYFUNCTION("""COMPUTED_VALUE"""),89.97)</f>
        <v>89.97</v>
      </c>
      <c r="D2005" s="1">
        <f ca="1">IFERROR(__xludf.DUMMYFUNCTION("""COMPUTED_VALUE"""),87.47)</f>
        <v>87.47</v>
      </c>
      <c r="E2005" s="1">
        <f ca="1">IFERROR(__xludf.DUMMYFUNCTION("""COMPUTED_VALUE"""),88.45)</f>
        <v>88.45</v>
      </c>
      <c r="F2005" s="1">
        <f ca="1">IFERROR(__xludf.DUMMYFUNCTION("""COMPUTED_VALUE"""),84802877)</f>
        <v>84802877</v>
      </c>
    </row>
    <row r="2006" spans="1:6" x14ac:dyDescent="0.35">
      <c r="A2006" s="2">
        <f ca="1">IFERROR(__xludf.DUMMYFUNCTION("""COMPUTED_VALUE"""),44911.6666666666)</f>
        <v>44911.666666666599</v>
      </c>
      <c r="B2006" s="1">
        <f ca="1">IFERROR(__xludf.DUMMYFUNCTION("""COMPUTED_VALUE"""),88.27)</f>
        <v>88.27</v>
      </c>
      <c r="C2006" s="1">
        <f ca="1">IFERROR(__xludf.DUMMYFUNCTION("""COMPUTED_VALUE"""),89.35)</f>
        <v>89.35</v>
      </c>
      <c r="D2006" s="1">
        <f ca="1">IFERROR(__xludf.DUMMYFUNCTION("""COMPUTED_VALUE"""),86.73)</f>
        <v>86.73</v>
      </c>
      <c r="E2006" s="1">
        <f ca="1">IFERROR(__xludf.DUMMYFUNCTION("""COMPUTED_VALUE"""),87.86)</f>
        <v>87.86</v>
      </c>
      <c r="F2006" s="1">
        <f ca="1">IFERROR(__xludf.DUMMYFUNCTION("""COMPUTED_VALUE"""),146144064)</f>
        <v>146144064</v>
      </c>
    </row>
    <row r="2007" spans="1:6" x14ac:dyDescent="0.35">
      <c r="A2007" s="2">
        <f ca="1">IFERROR(__xludf.DUMMYFUNCTION("""COMPUTED_VALUE"""),44914.6666666666)</f>
        <v>44914.666666666599</v>
      </c>
      <c r="B2007" s="1">
        <f ca="1">IFERROR(__xludf.DUMMYFUNCTION("""COMPUTED_VALUE"""),87.51)</f>
        <v>87.51</v>
      </c>
      <c r="C2007" s="1">
        <f ca="1">IFERROR(__xludf.DUMMYFUNCTION("""COMPUTED_VALUE"""),87.63)</f>
        <v>87.63</v>
      </c>
      <c r="D2007" s="1">
        <f ca="1">IFERROR(__xludf.DUMMYFUNCTION("""COMPUTED_VALUE"""),84.51)</f>
        <v>84.51</v>
      </c>
      <c r="E2007" s="1">
        <f ca="1">IFERROR(__xludf.DUMMYFUNCTION("""COMPUTED_VALUE"""),84.92)</f>
        <v>84.92</v>
      </c>
      <c r="F2007" s="1">
        <f ca="1">IFERROR(__xludf.DUMMYFUNCTION("""COMPUTED_VALUE"""),83531460)</f>
        <v>83531460</v>
      </c>
    </row>
    <row r="2008" spans="1:6" x14ac:dyDescent="0.35">
      <c r="A2008" s="2">
        <f ca="1">IFERROR(__xludf.DUMMYFUNCTION("""COMPUTED_VALUE"""),44915.6666666666)</f>
        <v>44915.666666666599</v>
      </c>
      <c r="B2008" s="1">
        <f ca="1">IFERROR(__xludf.DUMMYFUNCTION("""COMPUTED_VALUE"""),85.33)</f>
        <v>85.33</v>
      </c>
      <c r="C2008" s="1">
        <f ca="1">IFERROR(__xludf.DUMMYFUNCTION("""COMPUTED_VALUE"""),86.61)</f>
        <v>86.61</v>
      </c>
      <c r="D2008" s="1">
        <f ca="1">IFERROR(__xludf.DUMMYFUNCTION("""COMPUTED_VALUE"""),84.33)</f>
        <v>84.33</v>
      </c>
      <c r="E2008" s="1">
        <f ca="1">IFERROR(__xludf.DUMMYFUNCTION("""COMPUTED_VALUE"""),85.19)</f>
        <v>85.19</v>
      </c>
      <c r="F2008" s="1">
        <f ca="1">IFERROR(__xludf.DUMMYFUNCTION("""COMPUTED_VALUE"""),74348301)</f>
        <v>74348301</v>
      </c>
    </row>
    <row r="2009" spans="1:6" x14ac:dyDescent="0.35">
      <c r="A2009" s="2">
        <f ca="1">IFERROR(__xludf.DUMMYFUNCTION("""COMPUTED_VALUE"""),44916.6666666666)</f>
        <v>44916.666666666599</v>
      </c>
      <c r="B2009" s="1">
        <f ca="1">IFERROR(__xludf.DUMMYFUNCTION("""COMPUTED_VALUE"""),86.18)</f>
        <v>86.18</v>
      </c>
      <c r="C2009" s="1">
        <f ca="1">IFERROR(__xludf.DUMMYFUNCTION("""COMPUTED_VALUE"""),87.23)</f>
        <v>87.23</v>
      </c>
      <c r="D2009" s="1">
        <f ca="1">IFERROR(__xludf.DUMMYFUNCTION("""COMPUTED_VALUE"""),85.21)</f>
        <v>85.21</v>
      </c>
      <c r="E2009" s="1">
        <f ca="1">IFERROR(__xludf.DUMMYFUNCTION("""COMPUTED_VALUE"""),86.77)</f>
        <v>86.77</v>
      </c>
      <c r="F2009" s="1">
        <f ca="1">IFERROR(__xludf.DUMMYFUNCTION("""COMPUTED_VALUE"""),59267156)</f>
        <v>59267156</v>
      </c>
    </row>
    <row r="2010" spans="1:6" x14ac:dyDescent="0.35">
      <c r="A2010" s="2">
        <f ca="1">IFERROR(__xludf.DUMMYFUNCTION("""COMPUTED_VALUE"""),44917.6666666666)</f>
        <v>44917.666666666599</v>
      </c>
      <c r="B2010" s="1">
        <f ca="1">IFERROR(__xludf.DUMMYFUNCTION("""COMPUTED_VALUE"""),85.52)</f>
        <v>85.52</v>
      </c>
      <c r="C2010" s="1">
        <f ca="1">IFERROR(__xludf.DUMMYFUNCTION("""COMPUTED_VALUE"""),85.68)</f>
        <v>85.68</v>
      </c>
      <c r="D2010" s="1">
        <f ca="1">IFERROR(__xludf.DUMMYFUNCTION("""COMPUTED_VALUE"""),82.25)</f>
        <v>82.25</v>
      </c>
      <c r="E2010" s="1">
        <f ca="1">IFERROR(__xludf.DUMMYFUNCTION("""COMPUTED_VALUE"""),83.79)</f>
        <v>83.79</v>
      </c>
      <c r="F2010" s="1">
        <f ca="1">IFERROR(__xludf.DUMMYFUNCTION("""COMPUTED_VALUE"""),81431314)</f>
        <v>81431314</v>
      </c>
    </row>
    <row r="2011" spans="1:6" x14ac:dyDescent="0.35">
      <c r="A2011" s="2">
        <f ca="1">IFERROR(__xludf.DUMMYFUNCTION("""COMPUTED_VALUE"""),44918.6666666666)</f>
        <v>44918.666666666599</v>
      </c>
      <c r="B2011" s="1">
        <f ca="1">IFERROR(__xludf.DUMMYFUNCTION("""COMPUTED_VALUE"""),83.25)</f>
        <v>83.25</v>
      </c>
      <c r="C2011" s="1">
        <f ca="1">IFERROR(__xludf.DUMMYFUNCTION("""COMPUTED_VALUE"""),85.78)</f>
        <v>85.78</v>
      </c>
      <c r="D2011" s="1">
        <f ca="1">IFERROR(__xludf.DUMMYFUNCTION("""COMPUTED_VALUE"""),82.93)</f>
        <v>82.93</v>
      </c>
      <c r="E2011" s="1">
        <f ca="1">IFERROR(__xludf.DUMMYFUNCTION("""COMPUTED_VALUE"""),85.25)</f>
        <v>85.25</v>
      </c>
      <c r="F2011" s="1">
        <f ca="1">IFERROR(__xludf.DUMMYFUNCTION("""COMPUTED_VALUE"""),57433655)</f>
        <v>57433655</v>
      </c>
    </row>
    <row r="2012" spans="1:6" x14ac:dyDescent="0.35">
      <c r="A2012" s="2">
        <f ca="1">IFERROR(__xludf.DUMMYFUNCTION("""COMPUTED_VALUE"""),44922.6666666666)</f>
        <v>44922.666666666599</v>
      </c>
      <c r="B2012" s="1">
        <f ca="1">IFERROR(__xludf.DUMMYFUNCTION("""COMPUTED_VALUE"""),84.97)</f>
        <v>84.97</v>
      </c>
      <c r="C2012" s="1">
        <f ca="1">IFERROR(__xludf.DUMMYFUNCTION("""COMPUTED_VALUE"""),85.35)</f>
        <v>85.35</v>
      </c>
      <c r="D2012" s="1">
        <f ca="1">IFERROR(__xludf.DUMMYFUNCTION("""COMPUTED_VALUE"""),83)</f>
        <v>83</v>
      </c>
      <c r="E2012" s="1">
        <f ca="1">IFERROR(__xludf.DUMMYFUNCTION("""COMPUTED_VALUE"""),83.04)</f>
        <v>83.04</v>
      </c>
      <c r="F2012" s="1">
        <f ca="1">IFERROR(__xludf.DUMMYFUNCTION("""COMPUTED_VALUE"""),57284035)</f>
        <v>57284035</v>
      </c>
    </row>
    <row r="2013" spans="1:6" x14ac:dyDescent="0.35">
      <c r="A2013" s="2">
        <f ca="1">IFERROR(__xludf.DUMMYFUNCTION("""COMPUTED_VALUE"""),44923.6666666666)</f>
        <v>44923.666666666599</v>
      </c>
      <c r="B2013" s="1">
        <f ca="1">IFERROR(__xludf.DUMMYFUNCTION("""COMPUTED_VALUE"""),82.8)</f>
        <v>82.8</v>
      </c>
      <c r="C2013" s="1">
        <f ca="1">IFERROR(__xludf.DUMMYFUNCTION("""COMPUTED_VALUE"""),83.48)</f>
        <v>83.48</v>
      </c>
      <c r="D2013" s="1">
        <f ca="1">IFERROR(__xludf.DUMMYFUNCTION("""COMPUTED_VALUE"""),81.69)</f>
        <v>81.69</v>
      </c>
      <c r="E2013" s="1">
        <f ca="1">IFERROR(__xludf.DUMMYFUNCTION("""COMPUTED_VALUE"""),81.82)</f>
        <v>81.819999999999993</v>
      </c>
      <c r="F2013" s="1">
        <f ca="1">IFERROR(__xludf.DUMMYFUNCTION("""COMPUTED_VALUE"""),58228575)</f>
        <v>58228575</v>
      </c>
    </row>
    <row r="2014" spans="1:6" x14ac:dyDescent="0.35">
      <c r="A2014" s="2">
        <f ca="1">IFERROR(__xludf.DUMMYFUNCTION("""COMPUTED_VALUE"""),44924.6666666666)</f>
        <v>44924.666666666599</v>
      </c>
      <c r="B2014" s="1">
        <f ca="1">IFERROR(__xludf.DUMMYFUNCTION("""COMPUTED_VALUE"""),82.87)</f>
        <v>82.87</v>
      </c>
      <c r="C2014" s="1">
        <f ca="1">IFERROR(__xludf.DUMMYFUNCTION("""COMPUTED_VALUE"""),84.55)</f>
        <v>84.55</v>
      </c>
      <c r="D2014" s="1">
        <f ca="1">IFERROR(__xludf.DUMMYFUNCTION("""COMPUTED_VALUE"""),82.55)</f>
        <v>82.55</v>
      </c>
      <c r="E2014" s="1">
        <f ca="1">IFERROR(__xludf.DUMMYFUNCTION("""COMPUTED_VALUE"""),84.18)</f>
        <v>84.18</v>
      </c>
      <c r="F2014" s="1">
        <f ca="1">IFERROR(__xludf.DUMMYFUNCTION("""COMPUTED_VALUE"""),54995895)</f>
        <v>54995895</v>
      </c>
    </row>
    <row r="2015" spans="1:6" x14ac:dyDescent="0.35">
      <c r="A2015" s="2">
        <f ca="1">IFERROR(__xludf.DUMMYFUNCTION("""COMPUTED_VALUE"""),44925.6666666666)</f>
        <v>44925.666666666599</v>
      </c>
      <c r="B2015" s="1">
        <f ca="1">IFERROR(__xludf.DUMMYFUNCTION("""COMPUTED_VALUE"""),83.12)</f>
        <v>83.12</v>
      </c>
      <c r="C2015" s="1">
        <f ca="1">IFERROR(__xludf.DUMMYFUNCTION("""COMPUTED_VALUE"""),84.05)</f>
        <v>84.05</v>
      </c>
      <c r="D2015" s="1">
        <f ca="1">IFERROR(__xludf.DUMMYFUNCTION("""COMPUTED_VALUE"""),82.47)</f>
        <v>82.47</v>
      </c>
      <c r="E2015" s="1">
        <f ca="1">IFERROR(__xludf.DUMMYFUNCTION("""COMPUTED_VALUE"""),84)</f>
        <v>84</v>
      </c>
      <c r="F2015" s="1">
        <f ca="1">IFERROR(__xludf.DUMMYFUNCTION("""COMPUTED_VALUE"""),62401194)</f>
        <v>62401194</v>
      </c>
    </row>
    <row r="2016" spans="1:6" x14ac:dyDescent="0.35">
      <c r="A2016" s="2">
        <f ca="1">IFERROR(__xludf.DUMMYFUNCTION("""COMPUTED_VALUE"""),44929.6666666666)</f>
        <v>44929.666666666599</v>
      </c>
      <c r="B2016" s="1">
        <f ca="1">IFERROR(__xludf.DUMMYFUNCTION("""COMPUTED_VALUE"""),85.46)</f>
        <v>85.46</v>
      </c>
      <c r="C2016" s="1">
        <f ca="1">IFERROR(__xludf.DUMMYFUNCTION("""COMPUTED_VALUE"""),86.96)</f>
        <v>86.96</v>
      </c>
      <c r="D2016" s="1">
        <f ca="1">IFERROR(__xludf.DUMMYFUNCTION("""COMPUTED_VALUE"""),84.21)</f>
        <v>84.21</v>
      </c>
      <c r="E2016" s="1">
        <f ca="1">IFERROR(__xludf.DUMMYFUNCTION("""COMPUTED_VALUE"""),85.82)</f>
        <v>85.82</v>
      </c>
      <c r="F2016" s="1">
        <f ca="1">IFERROR(__xludf.DUMMYFUNCTION("""COMPUTED_VALUE"""),76706040)</f>
        <v>76706040</v>
      </c>
    </row>
    <row r="2017" spans="1:6" x14ac:dyDescent="0.35">
      <c r="A2017" s="2">
        <f ca="1">IFERROR(__xludf.DUMMYFUNCTION("""COMPUTED_VALUE"""),44930.6666666666)</f>
        <v>44930.666666666599</v>
      </c>
      <c r="B2017" s="1">
        <f ca="1">IFERROR(__xludf.DUMMYFUNCTION("""COMPUTED_VALUE"""),86.55)</f>
        <v>86.55</v>
      </c>
      <c r="C2017" s="1">
        <f ca="1">IFERROR(__xludf.DUMMYFUNCTION("""COMPUTED_VALUE"""),86.98)</f>
        <v>86.98</v>
      </c>
      <c r="D2017" s="1">
        <f ca="1">IFERROR(__xludf.DUMMYFUNCTION("""COMPUTED_VALUE"""),83.36)</f>
        <v>83.36</v>
      </c>
      <c r="E2017" s="1">
        <f ca="1">IFERROR(__xludf.DUMMYFUNCTION("""COMPUTED_VALUE"""),85.14)</f>
        <v>85.14</v>
      </c>
      <c r="F2017" s="1">
        <f ca="1">IFERROR(__xludf.DUMMYFUNCTION("""COMPUTED_VALUE"""),68885123)</f>
        <v>68885123</v>
      </c>
    </row>
    <row r="2018" spans="1:6" x14ac:dyDescent="0.35">
      <c r="A2018" s="2">
        <f ca="1">IFERROR(__xludf.DUMMYFUNCTION("""COMPUTED_VALUE"""),44931.6666666666)</f>
        <v>44931.666666666599</v>
      </c>
      <c r="B2018" s="1">
        <f ca="1">IFERROR(__xludf.DUMMYFUNCTION("""COMPUTED_VALUE"""),85.33)</f>
        <v>85.33</v>
      </c>
      <c r="C2018" s="1">
        <f ca="1">IFERROR(__xludf.DUMMYFUNCTION("""COMPUTED_VALUE"""),85.42)</f>
        <v>85.42</v>
      </c>
      <c r="D2018" s="1">
        <f ca="1">IFERROR(__xludf.DUMMYFUNCTION("""COMPUTED_VALUE"""),83.07)</f>
        <v>83.07</v>
      </c>
      <c r="E2018" s="1">
        <f ca="1">IFERROR(__xludf.DUMMYFUNCTION("""COMPUTED_VALUE"""),83.12)</f>
        <v>83.12</v>
      </c>
      <c r="F2018" s="1">
        <f ca="1">IFERROR(__xludf.DUMMYFUNCTION("""COMPUTED_VALUE"""),67930825)</f>
        <v>67930825</v>
      </c>
    </row>
    <row r="2019" spans="1:6" x14ac:dyDescent="0.35">
      <c r="A2019" s="2">
        <f ca="1">IFERROR(__xludf.DUMMYFUNCTION("""COMPUTED_VALUE"""),44932.6666666666)</f>
        <v>44932.666666666599</v>
      </c>
      <c r="B2019" s="1">
        <f ca="1">IFERROR(__xludf.DUMMYFUNCTION("""COMPUTED_VALUE"""),83.03)</f>
        <v>83.03</v>
      </c>
      <c r="C2019" s="1">
        <f ca="1">IFERROR(__xludf.DUMMYFUNCTION("""COMPUTED_VALUE"""),86.4)</f>
        <v>86.4</v>
      </c>
      <c r="D2019" s="1">
        <f ca="1">IFERROR(__xludf.DUMMYFUNCTION("""COMPUTED_VALUE"""),81.43)</f>
        <v>81.430000000000007</v>
      </c>
      <c r="E2019" s="1">
        <f ca="1">IFERROR(__xludf.DUMMYFUNCTION("""COMPUTED_VALUE"""),86.08)</f>
        <v>86.08</v>
      </c>
      <c r="F2019" s="1">
        <f ca="1">IFERROR(__xludf.DUMMYFUNCTION("""COMPUTED_VALUE"""),83303361)</f>
        <v>83303361</v>
      </c>
    </row>
    <row r="2020" spans="1:6" x14ac:dyDescent="0.35">
      <c r="A2020" s="2">
        <f ca="1">IFERROR(__xludf.DUMMYFUNCTION("""COMPUTED_VALUE"""),44935.6666666666)</f>
        <v>44935.666666666599</v>
      </c>
      <c r="B2020" s="1">
        <f ca="1">IFERROR(__xludf.DUMMYFUNCTION("""COMPUTED_VALUE"""),87.46)</f>
        <v>87.46</v>
      </c>
      <c r="C2020" s="1">
        <f ca="1">IFERROR(__xludf.DUMMYFUNCTION("""COMPUTED_VALUE"""),89.48)</f>
        <v>89.48</v>
      </c>
      <c r="D2020" s="1">
        <f ca="1">IFERROR(__xludf.DUMMYFUNCTION("""COMPUTED_VALUE"""),87.08)</f>
        <v>87.08</v>
      </c>
      <c r="E2020" s="1">
        <f ca="1">IFERROR(__xludf.DUMMYFUNCTION("""COMPUTED_VALUE"""),87.36)</f>
        <v>87.36</v>
      </c>
      <c r="F2020" s="1">
        <f ca="1">IFERROR(__xludf.DUMMYFUNCTION("""COMPUTED_VALUE"""),65266056)</f>
        <v>65266056</v>
      </c>
    </row>
    <row r="2021" spans="1:6" x14ac:dyDescent="0.35">
      <c r="A2021" s="2">
        <f ca="1">IFERROR(__xludf.DUMMYFUNCTION("""COMPUTED_VALUE"""),44936.6666666666)</f>
        <v>44936.666666666599</v>
      </c>
      <c r="B2021" s="1">
        <f ca="1">IFERROR(__xludf.DUMMYFUNCTION("""COMPUTED_VALUE"""),87.57)</f>
        <v>87.57</v>
      </c>
      <c r="C2021" s="1">
        <f ca="1">IFERROR(__xludf.DUMMYFUNCTION("""COMPUTED_VALUE"""),90.19)</f>
        <v>90.19</v>
      </c>
      <c r="D2021" s="1">
        <f ca="1">IFERROR(__xludf.DUMMYFUNCTION("""COMPUTED_VALUE"""),87.29)</f>
        <v>87.29</v>
      </c>
      <c r="E2021" s="1">
        <f ca="1">IFERROR(__xludf.DUMMYFUNCTION("""COMPUTED_VALUE"""),89.87)</f>
        <v>89.87</v>
      </c>
      <c r="F2021" s="1">
        <f ca="1">IFERROR(__xludf.DUMMYFUNCTION("""COMPUTED_VALUE"""),67756601)</f>
        <v>67756601</v>
      </c>
    </row>
    <row r="2022" spans="1:6" x14ac:dyDescent="0.35">
      <c r="A2022" s="2">
        <f ca="1">IFERROR(__xludf.DUMMYFUNCTION("""COMPUTED_VALUE"""),44937.6666666666)</f>
        <v>44937.666666666599</v>
      </c>
      <c r="B2022" s="1">
        <f ca="1">IFERROR(__xludf.DUMMYFUNCTION("""COMPUTED_VALUE"""),90.93)</f>
        <v>90.93</v>
      </c>
      <c r="C2022" s="1">
        <f ca="1">IFERROR(__xludf.DUMMYFUNCTION("""COMPUTED_VALUE"""),95.26)</f>
        <v>95.26</v>
      </c>
      <c r="D2022" s="1">
        <f ca="1">IFERROR(__xludf.DUMMYFUNCTION("""COMPUTED_VALUE"""),90.93)</f>
        <v>90.93</v>
      </c>
      <c r="E2022" s="1">
        <f ca="1">IFERROR(__xludf.DUMMYFUNCTION("""COMPUTED_VALUE"""),95.09)</f>
        <v>95.09</v>
      </c>
      <c r="F2022" s="1">
        <f ca="1">IFERROR(__xludf.DUMMYFUNCTION("""COMPUTED_VALUE"""),103126183)</f>
        <v>103126183</v>
      </c>
    </row>
    <row r="2023" spans="1:6" x14ac:dyDescent="0.35">
      <c r="A2023" s="2">
        <f ca="1">IFERROR(__xludf.DUMMYFUNCTION("""COMPUTED_VALUE"""),44938.6666666666)</f>
        <v>44938.666666666599</v>
      </c>
      <c r="B2023" s="1">
        <f ca="1">IFERROR(__xludf.DUMMYFUNCTION("""COMPUTED_VALUE"""),96.93)</f>
        <v>96.93</v>
      </c>
      <c r="C2023" s="1">
        <f ca="1">IFERROR(__xludf.DUMMYFUNCTION("""COMPUTED_VALUE"""),97.19)</f>
        <v>97.19</v>
      </c>
      <c r="D2023" s="1">
        <f ca="1">IFERROR(__xludf.DUMMYFUNCTION("""COMPUTED_VALUE"""),93.5)</f>
        <v>93.5</v>
      </c>
      <c r="E2023" s="1">
        <f ca="1">IFERROR(__xludf.DUMMYFUNCTION("""COMPUTED_VALUE"""),95.27)</f>
        <v>95.27</v>
      </c>
      <c r="F2023" s="1">
        <f ca="1">IFERROR(__xludf.DUMMYFUNCTION("""COMPUTED_VALUE"""),85254781)</f>
        <v>85254781</v>
      </c>
    </row>
    <row r="2024" spans="1:6" x14ac:dyDescent="0.35">
      <c r="A2024" s="2">
        <f ca="1">IFERROR(__xludf.DUMMYFUNCTION("""COMPUTED_VALUE"""),44939.6666666666)</f>
        <v>44939.666666666599</v>
      </c>
      <c r="B2024" s="1">
        <f ca="1">IFERROR(__xludf.DUMMYFUNCTION("""COMPUTED_VALUE"""),94.18)</f>
        <v>94.18</v>
      </c>
      <c r="C2024" s="1">
        <f ca="1">IFERROR(__xludf.DUMMYFUNCTION("""COMPUTED_VALUE"""),98.37)</f>
        <v>98.37</v>
      </c>
      <c r="D2024" s="1">
        <f ca="1">IFERROR(__xludf.DUMMYFUNCTION("""COMPUTED_VALUE"""),94.12)</f>
        <v>94.12</v>
      </c>
      <c r="E2024" s="1">
        <f ca="1">IFERROR(__xludf.DUMMYFUNCTION("""COMPUTED_VALUE"""),98.12)</f>
        <v>98.12</v>
      </c>
      <c r="F2024" s="1">
        <f ca="1">IFERROR(__xludf.DUMMYFUNCTION("""COMPUTED_VALUE"""),85549432)</f>
        <v>85549432</v>
      </c>
    </row>
    <row r="2025" spans="1:6" x14ac:dyDescent="0.35">
      <c r="A2025" s="2">
        <f ca="1">IFERROR(__xludf.DUMMYFUNCTION("""COMPUTED_VALUE"""),44943.6666666666)</f>
        <v>44943.666666666599</v>
      </c>
      <c r="B2025" s="1">
        <f ca="1">IFERROR(__xludf.DUMMYFUNCTION("""COMPUTED_VALUE"""),98.68)</f>
        <v>98.68</v>
      </c>
      <c r="C2025" s="1">
        <f ca="1">IFERROR(__xludf.DUMMYFUNCTION("""COMPUTED_VALUE"""),98.89)</f>
        <v>98.89</v>
      </c>
      <c r="D2025" s="1">
        <f ca="1">IFERROR(__xludf.DUMMYFUNCTION("""COMPUTED_VALUE"""),95.73)</f>
        <v>95.73</v>
      </c>
      <c r="E2025" s="1">
        <f ca="1">IFERROR(__xludf.DUMMYFUNCTION("""COMPUTED_VALUE"""),96.05)</f>
        <v>96.05</v>
      </c>
      <c r="F2025" s="1">
        <f ca="1">IFERROR(__xludf.DUMMYFUNCTION("""COMPUTED_VALUE"""),72755001)</f>
        <v>72755001</v>
      </c>
    </row>
    <row r="2026" spans="1:6" x14ac:dyDescent="0.35">
      <c r="A2026" s="2">
        <f ca="1">IFERROR(__xludf.DUMMYFUNCTION("""COMPUTED_VALUE"""),44944.6666666666)</f>
        <v>44944.666666666599</v>
      </c>
      <c r="B2026" s="1">
        <f ca="1">IFERROR(__xludf.DUMMYFUNCTION("""COMPUTED_VALUE"""),97.25)</f>
        <v>97.25</v>
      </c>
      <c r="C2026" s="1">
        <f ca="1">IFERROR(__xludf.DUMMYFUNCTION("""COMPUTED_VALUE"""),99.32)</f>
        <v>99.32</v>
      </c>
      <c r="D2026" s="1">
        <f ca="1">IFERROR(__xludf.DUMMYFUNCTION("""COMPUTED_VALUE"""),95.38)</f>
        <v>95.38</v>
      </c>
      <c r="E2026" s="1">
        <f ca="1">IFERROR(__xludf.DUMMYFUNCTION("""COMPUTED_VALUE"""),95.46)</f>
        <v>95.46</v>
      </c>
      <c r="F2026" s="1">
        <f ca="1">IFERROR(__xludf.DUMMYFUNCTION("""COMPUTED_VALUE"""),79570370)</f>
        <v>79570370</v>
      </c>
    </row>
    <row r="2027" spans="1:6" x14ac:dyDescent="0.35">
      <c r="A2027" s="2">
        <f ca="1">IFERROR(__xludf.DUMMYFUNCTION("""COMPUTED_VALUE"""),44945.6666666666)</f>
        <v>44945.666666666599</v>
      </c>
      <c r="B2027" s="1">
        <f ca="1">IFERROR(__xludf.DUMMYFUNCTION("""COMPUTED_VALUE"""),94.74)</f>
        <v>94.74</v>
      </c>
      <c r="C2027" s="1">
        <f ca="1">IFERROR(__xludf.DUMMYFUNCTION("""COMPUTED_VALUE"""),95.44)</f>
        <v>95.44</v>
      </c>
      <c r="D2027" s="1">
        <f ca="1">IFERROR(__xludf.DUMMYFUNCTION("""COMPUTED_VALUE"""),92.86)</f>
        <v>92.86</v>
      </c>
      <c r="E2027" s="1">
        <f ca="1">IFERROR(__xludf.DUMMYFUNCTION("""COMPUTED_VALUE"""),93.68)</f>
        <v>93.68</v>
      </c>
      <c r="F2027" s="1">
        <f ca="1">IFERROR(__xludf.DUMMYFUNCTION("""COMPUTED_VALUE"""),69002663)</f>
        <v>69002663</v>
      </c>
    </row>
    <row r="2028" spans="1:6" x14ac:dyDescent="0.35">
      <c r="A2028" s="2">
        <f ca="1">IFERROR(__xludf.DUMMYFUNCTION("""COMPUTED_VALUE"""),44946.6666666666)</f>
        <v>44946.666666666599</v>
      </c>
      <c r="B2028" s="1">
        <f ca="1">IFERROR(__xludf.DUMMYFUNCTION("""COMPUTED_VALUE"""),93.86)</f>
        <v>93.86</v>
      </c>
      <c r="C2028" s="1">
        <f ca="1">IFERROR(__xludf.DUMMYFUNCTION("""COMPUTED_VALUE"""),97.35)</f>
        <v>97.35</v>
      </c>
      <c r="D2028" s="1">
        <f ca="1">IFERROR(__xludf.DUMMYFUNCTION("""COMPUTED_VALUE"""),93.2)</f>
        <v>93.2</v>
      </c>
      <c r="E2028" s="1">
        <f ca="1">IFERROR(__xludf.DUMMYFUNCTION("""COMPUTED_VALUE"""),97.25)</f>
        <v>97.25</v>
      </c>
      <c r="F2028" s="1">
        <f ca="1">IFERROR(__xludf.DUMMYFUNCTION("""COMPUTED_VALUE"""),67481539)</f>
        <v>67481539</v>
      </c>
    </row>
    <row r="2029" spans="1:6" x14ac:dyDescent="0.35">
      <c r="A2029" s="2">
        <f ca="1">IFERROR(__xludf.DUMMYFUNCTION("""COMPUTED_VALUE"""),44949.6666666666)</f>
        <v>44949.666666666599</v>
      </c>
      <c r="B2029" s="1">
        <f ca="1">IFERROR(__xludf.DUMMYFUNCTION("""COMPUTED_VALUE"""),97.56)</f>
        <v>97.56</v>
      </c>
      <c r="C2029" s="1">
        <f ca="1">IFERROR(__xludf.DUMMYFUNCTION("""COMPUTED_VALUE"""),97.78)</f>
        <v>97.78</v>
      </c>
      <c r="D2029" s="1">
        <f ca="1">IFERROR(__xludf.DUMMYFUNCTION("""COMPUTED_VALUE"""),95.86)</f>
        <v>95.86</v>
      </c>
      <c r="E2029" s="1">
        <f ca="1">IFERROR(__xludf.DUMMYFUNCTION("""COMPUTED_VALUE"""),97.52)</f>
        <v>97.52</v>
      </c>
      <c r="F2029" s="1">
        <f ca="1">IFERROR(__xludf.DUMMYFUNCTION("""COMPUTED_VALUE"""),76501103)</f>
        <v>76501103</v>
      </c>
    </row>
    <row r="2030" spans="1:6" x14ac:dyDescent="0.35">
      <c r="A2030" s="2">
        <f ca="1">IFERROR(__xludf.DUMMYFUNCTION("""COMPUTED_VALUE"""),44950.6666666666)</f>
        <v>44950.666666666599</v>
      </c>
      <c r="B2030" s="1">
        <f ca="1">IFERROR(__xludf.DUMMYFUNCTION("""COMPUTED_VALUE"""),96.93)</f>
        <v>96.93</v>
      </c>
      <c r="C2030" s="1">
        <f ca="1">IFERROR(__xludf.DUMMYFUNCTION("""COMPUTED_VALUE"""),98.09)</f>
        <v>98.09</v>
      </c>
      <c r="D2030" s="1">
        <f ca="1">IFERROR(__xludf.DUMMYFUNCTION("""COMPUTED_VALUE"""),96)</f>
        <v>96</v>
      </c>
      <c r="E2030" s="1">
        <f ca="1">IFERROR(__xludf.DUMMYFUNCTION("""COMPUTED_VALUE"""),96.32)</f>
        <v>96.32</v>
      </c>
      <c r="F2030" s="1">
        <f ca="1">IFERROR(__xludf.DUMMYFUNCTION("""COMPUTED_VALUE"""),66929452)</f>
        <v>66929452</v>
      </c>
    </row>
    <row r="2031" spans="1:6" x14ac:dyDescent="0.35">
      <c r="A2031" s="2">
        <f ca="1">IFERROR(__xludf.DUMMYFUNCTION("""COMPUTED_VALUE"""),44951.6666666666)</f>
        <v>44951.666666666599</v>
      </c>
      <c r="B2031" s="1">
        <f ca="1">IFERROR(__xludf.DUMMYFUNCTION("""COMPUTED_VALUE"""),92.56)</f>
        <v>92.56</v>
      </c>
      <c r="C2031" s="1">
        <f ca="1">IFERROR(__xludf.DUMMYFUNCTION("""COMPUTED_VALUE"""),97.24)</f>
        <v>97.24</v>
      </c>
      <c r="D2031" s="1">
        <f ca="1">IFERROR(__xludf.DUMMYFUNCTION("""COMPUTED_VALUE"""),91.52)</f>
        <v>91.52</v>
      </c>
      <c r="E2031" s="1">
        <f ca="1">IFERROR(__xludf.DUMMYFUNCTION("""COMPUTED_VALUE"""),97.18)</f>
        <v>97.18</v>
      </c>
      <c r="F2031" s="1">
        <f ca="1">IFERROR(__xludf.DUMMYFUNCTION("""COMPUTED_VALUE"""),94261570)</f>
        <v>94261570</v>
      </c>
    </row>
    <row r="2032" spans="1:6" x14ac:dyDescent="0.35">
      <c r="A2032" s="2">
        <f ca="1">IFERROR(__xludf.DUMMYFUNCTION("""COMPUTED_VALUE"""),44952.6666666666)</f>
        <v>44952.666666666599</v>
      </c>
      <c r="B2032" s="1">
        <f ca="1">IFERROR(__xludf.DUMMYFUNCTION("""COMPUTED_VALUE"""),98.24)</f>
        <v>98.24</v>
      </c>
      <c r="C2032" s="1">
        <f ca="1">IFERROR(__xludf.DUMMYFUNCTION("""COMPUTED_VALUE"""),99.49)</f>
        <v>99.49</v>
      </c>
      <c r="D2032" s="1">
        <f ca="1">IFERROR(__xludf.DUMMYFUNCTION("""COMPUTED_VALUE"""),96.92)</f>
        <v>96.92</v>
      </c>
      <c r="E2032" s="1">
        <f ca="1">IFERROR(__xludf.DUMMYFUNCTION("""COMPUTED_VALUE"""),99.22)</f>
        <v>99.22</v>
      </c>
      <c r="F2032" s="1">
        <f ca="1">IFERROR(__xludf.DUMMYFUNCTION("""COMPUTED_VALUE"""),68523557)</f>
        <v>68523557</v>
      </c>
    </row>
    <row r="2033" spans="1:6" x14ac:dyDescent="0.35">
      <c r="A2033" s="2">
        <f ca="1">IFERROR(__xludf.DUMMYFUNCTION("""COMPUTED_VALUE"""),44953.6666666666)</f>
        <v>44953.666666666599</v>
      </c>
      <c r="B2033" s="1">
        <f ca="1">IFERROR(__xludf.DUMMYFUNCTION("""COMPUTED_VALUE"""),99.53)</f>
        <v>99.53</v>
      </c>
      <c r="C2033" s="1">
        <f ca="1">IFERROR(__xludf.DUMMYFUNCTION("""COMPUTED_VALUE"""),103.49)</f>
        <v>103.49</v>
      </c>
      <c r="D2033" s="1">
        <f ca="1">IFERROR(__xludf.DUMMYFUNCTION("""COMPUTED_VALUE"""),99.53)</f>
        <v>99.53</v>
      </c>
      <c r="E2033" s="1">
        <f ca="1">IFERROR(__xludf.DUMMYFUNCTION("""COMPUTED_VALUE"""),102.24)</f>
        <v>102.24</v>
      </c>
      <c r="F2033" s="1">
        <f ca="1">IFERROR(__xludf.DUMMYFUNCTION("""COMPUTED_VALUE"""),87775614)</f>
        <v>87775614</v>
      </c>
    </row>
    <row r="2034" spans="1:6" x14ac:dyDescent="0.35">
      <c r="A2034" s="2">
        <f ca="1">IFERROR(__xludf.DUMMYFUNCTION("""COMPUTED_VALUE"""),44956.6666666666)</f>
        <v>44956.666666666599</v>
      </c>
      <c r="B2034" s="1">
        <f ca="1">IFERROR(__xludf.DUMMYFUNCTION("""COMPUTED_VALUE"""),101.09)</f>
        <v>101.09</v>
      </c>
      <c r="C2034" s="1">
        <f ca="1">IFERROR(__xludf.DUMMYFUNCTION("""COMPUTED_VALUE"""),101.74)</f>
        <v>101.74</v>
      </c>
      <c r="D2034" s="1">
        <f ca="1">IFERROR(__xludf.DUMMYFUNCTION("""COMPUTED_VALUE"""),99.01)</f>
        <v>99.01</v>
      </c>
      <c r="E2034" s="1">
        <f ca="1">IFERROR(__xludf.DUMMYFUNCTION("""COMPUTED_VALUE"""),100.55)</f>
        <v>100.55</v>
      </c>
      <c r="F2034" s="1">
        <f ca="1">IFERROR(__xludf.DUMMYFUNCTION("""COMPUTED_VALUE"""),70691860)</f>
        <v>70691860</v>
      </c>
    </row>
    <row r="2035" spans="1:6" x14ac:dyDescent="0.35">
      <c r="A2035" s="2">
        <f ca="1">IFERROR(__xludf.DUMMYFUNCTION("""COMPUTED_VALUE"""),44957.6666666666)</f>
        <v>44957.666666666599</v>
      </c>
      <c r="B2035" s="1">
        <f ca="1">IFERROR(__xludf.DUMMYFUNCTION("""COMPUTED_VALUE"""),101.16)</f>
        <v>101.16</v>
      </c>
      <c r="C2035" s="1">
        <f ca="1">IFERROR(__xludf.DUMMYFUNCTION("""COMPUTED_VALUE"""),103.35)</f>
        <v>103.35</v>
      </c>
      <c r="D2035" s="1">
        <f ca="1">IFERROR(__xludf.DUMMYFUNCTION("""COMPUTED_VALUE"""),101.14)</f>
        <v>101.14</v>
      </c>
      <c r="E2035" s="1">
        <f ca="1">IFERROR(__xludf.DUMMYFUNCTION("""COMPUTED_VALUE"""),103.13)</f>
        <v>103.13</v>
      </c>
      <c r="F2035" s="1">
        <f ca="1">IFERROR(__xludf.DUMMYFUNCTION("""COMPUTED_VALUE"""),66527253)</f>
        <v>66527253</v>
      </c>
    </row>
    <row r="2036" spans="1:6" x14ac:dyDescent="0.35">
      <c r="A2036" s="2">
        <f ca="1">IFERROR(__xludf.DUMMYFUNCTION("""COMPUTED_VALUE"""),44958.6666666666)</f>
        <v>44958.666666666599</v>
      </c>
      <c r="B2036" s="1">
        <f ca="1">IFERROR(__xludf.DUMMYFUNCTION("""COMPUTED_VALUE"""),102.53)</f>
        <v>102.53</v>
      </c>
      <c r="C2036" s="1">
        <f ca="1">IFERROR(__xludf.DUMMYFUNCTION("""COMPUTED_VALUE"""),106.24)</f>
        <v>106.24</v>
      </c>
      <c r="D2036" s="1">
        <f ca="1">IFERROR(__xludf.DUMMYFUNCTION("""COMPUTED_VALUE"""),101.24)</f>
        <v>101.24</v>
      </c>
      <c r="E2036" s="1">
        <f ca="1">IFERROR(__xludf.DUMMYFUNCTION("""COMPUTED_VALUE"""),105.15)</f>
        <v>105.15</v>
      </c>
      <c r="F2036" s="1">
        <f ca="1">IFERROR(__xludf.DUMMYFUNCTION("""COMPUTED_VALUE"""),80450121)</f>
        <v>80450121</v>
      </c>
    </row>
    <row r="2037" spans="1:6" x14ac:dyDescent="0.35">
      <c r="A2037" s="2">
        <f ca="1">IFERROR(__xludf.DUMMYFUNCTION("""COMPUTED_VALUE"""),44959.6666666666)</f>
        <v>44959.666666666599</v>
      </c>
      <c r="B2037" s="1">
        <f ca="1">IFERROR(__xludf.DUMMYFUNCTION("""COMPUTED_VALUE"""),110.25)</f>
        <v>110.25</v>
      </c>
      <c r="C2037" s="1">
        <f ca="1">IFERROR(__xludf.DUMMYFUNCTION("""COMPUTED_VALUE"""),114)</f>
        <v>114</v>
      </c>
      <c r="D2037" s="1">
        <f ca="1">IFERROR(__xludf.DUMMYFUNCTION("""COMPUTED_VALUE"""),108.88)</f>
        <v>108.88</v>
      </c>
      <c r="E2037" s="1">
        <f ca="1">IFERROR(__xludf.DUMMYFUNCTION("""COMPUTED_VALUE"""),112.91)</f>
        <v>112.91</v>
      </c>
      <c r="F2037" s="1">
        <f ca="1">IFERROR(__xludf.DUMMYFUNCTION("""COMPUTED_VALUE"""),158154243)</f>
        <v>158154243</v>
      </c>
    </row>
    <row r="2038" spans="1:6" x14ac:dyDescent="0.35">
      <c r="A2038" s="2">
        <f ca="1">IFERROR(__xludf.DUMMYFUNCTION("""COMPUTED_VALUE"""),44960.6666666666)</f>
        <v>44960.666666666599</v>
      </c>
      <c r="B2038" s="1">
        <f ca="1">IFERROR(__xludf.DUMMYFUNCTION("""COMPUTED_VALUE"""),105.26)</f>
        <v>105.26</v>
      </c>
      <c r="C2038" s="1">
        <f ca="1">IFERROR(__xludf.DUMMYFUNCTION("""COMPUTED_VALUE"""),108.78)</f>
        <v>108.78</v>
      </c>
      <c r="D2038" s="1">
        <f ca="1">IFERROR(__xludf.DUMMYFUNCTION("""COMPUTED_VALUE"""),102.52)</f>
        <v>102.52</v>
      </c>
      <c r="E2038" s="1">
        <f ca="1">IFERROR(__xludf.DUMMYFUNCTION("""COMPUTED_VALUE"""),103.39)</f>
        <v>103.39</v>
      </c>
      <c r="F2038" s="1">
        <f ca="1">IFERROR(__xludf.DUMMYFUNCTION("""COMPUTED_VALUE"""),144374828)</f>
        <v>144374828</v>
      </c>
    </row>
    <row r="2039" spans="1:6" x14ac:dyDescent="0.35">
      <c r="A2039" s="2">
        <f ca="1">IFERROR(__xludf.DUMMYFUNCTION("""COMPUTED_VALUE"""),44963.6666666666)</f>
        <v>44963.666666666599</v>
      </c>
      <c r="B2039" s="1">
        <f ca="1">IFERROR(__xludf.DUMMYFUNCTION("""COMPUTED_VALUE"""),102.93)</f>
        <v>102.93</v>
      </c>
      <c r="C2039" s="1">
        <f ca="1">IFERROR(__xludf.DUMMYFUNCTION("""COMPUTED_VALUE"""),103.95)</f>
        <v>103.95</v>
      </c>
      <c r="D2039" s="1">
        <f ca="1">IFERROR(__xludf.DUMMYFUNCTION("""COMPUTED_VALUE"""),100.65)</f>
        <v>100.65</v>
      </c>
      <c r="E2039" s="1">
        <f ca="1">IFERROR(__xludf.DUMMYFUNCTION("""COMPUTED_VALUE"""),102.18)</f>
        <v>102.18</v>
      </c>
      <c r="F2039" s="1">
        <f ca="1">IFERROR(__xludf.DUMMYFUNCTION("""COMPUTED_VALUE"""),81945199)</f>
        <v>81945199</v>
      </c>
    </row>
    <row r="2040" spans="1:6" x14ac:dyDescent="0.35">
      <c r="A2040" s="2">
        <f ca="1">IFERROR(__xludf.DUMMYFUNCTION("""COMPUTED_VALUE"""),44964.6666666666)</f>
        <v>44964.666666666599</v>
      </c>
      <c r="B2040" s="1">
        <f ca="1">IFERROR(__xludf.DUMMYFUNCTION("""COMPUTED_VALUE"""),101.17)</f>
        <v>101.17</v>
      </c>
      <c r="C2040" s="1">
        <f ca="1">IFERROR(__xludf.DUMMYFUNCTION("""COMPUTED_VALUE"""),102.41)</f>
        <v>102.41</v>
      </c>
      <c r="D2040" s="1">
        <f ca="1">IFERROR(__xludf.DUMMYFUNCTION("""COMPUTED_VALUE"""),98.08)</f>
        <v>98.08</v>
      </c>
      <c r="E2040" s="1">
        <f ca="1">IFERROR(__xludf.DUMMYFUNCTION("""COMPUTED_VALUE"""),102.11)</f>
        <v>102.11</v>
      </c>
      <c r="F2040" s="1">
        <f ca="1">IFERROR(__xludf.DUMMYFUNCTION("""COMPUTED_VALUE"""),119501301)</f>
        <v>119501301</v>
      </c>
    </row>
    <row r="2041" spans="1:6" x14ac:dyDescent="0.35">
      <c r="A2041" s="2">
        <f ca="1">IFERROR(__xludf.DUMMYFUNCTION("""COMPUTED_VALUE"""),44965.6666666666)</f>
        <v>44965.666666666599</v>
      </c>
      <c r="B2041" s="1">
        <f ca="1">IFERROR(__xludf.DUMMYFUNCTION("""COMPUTED_VALUE"""),102.04)</f>
        <v>102.04</v>
      </c>
      <c r="C2041" s="1">
        <f ca="1">IFERROR(__xludf.DUMMYFUNCTION("""COMPUTED_VALUE"""),102.67)</f>
        <v>102.67</v>
      </c>
      <c r="D2041" s="1">
        <f ca="1">IFERROR(__xludf.DUMMYFUNCTION("""COMPUTED_VALUE"""),98.78)</f>
        <v>98.78</v>
      </c>
      <c r="E2041" s="1">
        <f ca="1">IFERROR(__xludf.DUMMYFUNCTION("""COMPUTED_VALUE"""),100.05)</f>
        <v>100.05</v>
      </c>
      <c r="F2041" s="1">
        <f ca="1">IFERROR(__xludf.DUMMYFUNCTION("""COMPUTED_VALUE"""),75878304)</f>
        <v>75878304</v>
      </c>
    </row>
    <row r="2042" spans="1:6" x14ac:dyDescent="0.35">
      <c r="A2042" s="2">
        <f ca="1">IFERROR(__xludf.DUMMYFUNCTION("""COMPUTED_VALUE"""),44966.6666666666)</f>
        <v>44966.666666666599</v>
      </c>
      <c r="B2042" s="1">
        <f ca="1">IFERROR(__xludf.DUMMYFUNCTION("""COMPUTED_VALUE"""),101.32)</f>
        <v>101.32</v>
      </c>
      <c r="C2042" s="1">
        <f ca="1">IFERROR(__xludf.DUMMYFUNCTION("""COMPUTED_VALUE"""),101.78)</f>
        <v>101.78</v>
      </c>
      <c r="D2042" s="1">
        <f ca="1">IFERROR(__xludf.DUMMYFUNCTION("""COMPUTED_VALUE"""),97.57)</f>
        <v>97.57</v>
      </c>
      <c r="E2042" s="1">
        <f ca="1">IFERROR(__xludf.DUMMYFUNCTION("""COMPUTED_VALUE"""),98.24)</f>
        <v>98.24</v>
      </c>
      <c r="F2042" s="1">
        <f ca="1">IFERROR(__xludf.DUMMYFUNCTION("""COMPUTED_VALUE"""),64622489)</f>
        <v>64622489</v>
      </c>
    </row>
    <row r="2043" spans="1:6" x14ac:dyDescent="0.35">
      <c r="A2043" s="2">
        <f ca="1">IFERROR(__xludf.DUMMYFUNCTION("""COMPUTED_VALUE"""),44967.6666666666)</f>
        <v>44967.666666666599</v>
      </c>
      <c r="B2043" s="1">
        <f ca="1">IFERROR(__xludf.DUMMYFUNCTION("""COMPUTED_VALUE"""),97.56)</f>
        <v>97.56</v>
      </c>
      <c r="C2043" s="1">
        <f ca="1">IFERROR(__xludf.DUMMYFUNCTION("""COMPUTED_VALUE"""),98.82)</f>
        <v>98.82</v>
      </c>
      <c r="D2043" s="1">
        <f ca="1">IFERROR(__xludf.DUMMYFUNCTION("""COMPUTED_VALUE"""),96.23)</f>
        <v>96.23</v>
      </c>
      <c r="E2043" s="1">
        <f ca="1">IFERROR(__xludf.DUMMYFUNCTION("""COMPUTED_VALUE"""),97.61)</f>
        <v>97.61</v>
      </c>
      <c r="F2043" s="1">
        <f ca="1">IFERROR(__xludf.DUMMYFUNCTION("""COMPUTED_VALUE"""),52740133)</f>
        <v>52740133</v>
      </c>
    </row>
    <row r="2044" spans="1:6" x14ac:dyDescent="0.35">
      <c r="A2044" s="2">
        <f ca="1">IFERROR(__xludf.DUMMYFUNCTION("""COMPUTED_VALUE"""),44970.6666666666)</f>
        <v>44970.666666666599</v>
      </c>
      <c r="B2044" s="1">
        <f ca="1">IFERROR(__xludf.DUMMYFUNCTION("""COMPUTED_VALUE"""),97.85)</f>
        <v>97.85</v>
      </c>
      <c r="C2044" s="1">
        <f ca="1">IFERROR(__xludf.DUMMYFUNCTION("""COMPUTED_VALUE"""),99.68)</f>
        <v>99.68</v>
      </c>
      <c r="D2044" s="1">
        <f ca="1">IFERROR(__xludf.DUMMYFUNCTION("""COMPUTED_VALUE"""),96.91)</f>
        <v>96.91</v>
      </c>
      <c r="E2044" s="1">
        <f ca="1">IFERROR(__xludf.DUMMYFUNCTION("""COMPUTED_VALUE"""),99.54)</f>
        <v>99.54</v>
      </c>
      <c r="F2044" s="1">
        <f ca="1">IFERROR(__xludf.DUMMYFUNCTION("""COMPUTED_VALUE"""),52841464)</f>
        <v>52841464</v>
      </c>
    </row>
    <row r="2045" spans="1:6" x14ac:dyDescent="0.35">
      <c r="A2045" s="2">
        <f ca="1">IFERROR(__xludf.DUMMYFUNCTION("""COMPUTED_VALUE"""),44971.6666666666)</f>
        <v>44971.666666666599</v>
      </c>
      <c r="B2045" s="1">
        <f ca="1">IFERROR(__xludf.DUMMYFUNCTION("""COMPUTED_VALUE"""),98.41)</f>
        <v>98.41</v>
      </c>
      <c r="C2045" s="1">
        <f ca="1">IFERROR(__xludf.DUMMYFUNCTION("""COMPUTED_VALUE"""),100.92)</f>
        <v>100.92</v>
      </c>
      <c r="D2045" s="1">
        <f ca="1">IFERROR(__xludf.DUMMYFUNCTION("""COMPUTED_VALUE"""),97.52)</f>
        <v>97.52</v>
      </c>
      <c r="E2045" s="1">
        <f ca="1">IFERROR(__xludf.DUMMYFUNCTION("""COMPUTED_VALUE"""),99.7)</f>
        <v>99.7</v>
      </c>
      <c r="F2045" s="1">
        <f ca="1">IFERROR(__xludf.DUMMYFUNCTION("""COMPUTED_VALUE"""),56202898)</f>
        <v>56202898</v>
      </c>
    </row>
    <row r="2046" spans="1:6" x14ac:dyDescent="0.35">
      <c r="A2046" s="2">
        <f ca="1">IFERROR(__xludf.DUMMYFUNCTION("""COMPUTED_VALUE"""),44972.6666666666)</f>
        <v>44972.666666666599</v>
      </c>
      <c r="B2046" s="1">
        <f ca="1">IFERROR(__xludf.DUMMYFUNCTION("""COMPUTED_VALUE"""),99.09)</f>
        <v>99.09</v>
      </c>
      <c r="C2046" s="1">
        <f ca="1">IFERROR(__xludf.DUMMYFUNCTION("""COMPUTED_VALUE"""),101.17)</f>
        <v>101.17</v>
      </c>
      <c r="D2046" s="1">
        <f ca="1">IFERROR(__xludf.DUMMYFUNCTION("""COMPUTED_VALUE"""),98.45)</f>
        <v>98.45</v>
      </c>
      <c r="E2046" s="1">
        <f ca="1">IFERROR(__xludf.DUMMYFUNCTION("""COMPUTED_VALUE"""),101.16)</f>
        <v>101.16</v>
      </c>
      <c r="F2046" s="1">
        <f ca="1">IFERROR(__xludf.DUMMYFUNCTION("""COMPUTED_VALUE"""),48053879)</f>
        <v>48053879</v>
      </c>
    </row>
    <row r="2047" spans="1:6" x14ac:dyDescent="0.35">
      <c r="A2047" s="2">
        <f ca="1">IFERROR(__xludf.DUMMYFUNCTION("""COMPUTED_VALUE"""),44973.6666666666)</f>
        <v>44973.666666666599</v>
      </c>
      <c r="B2047" s="1">
        <f ca="1">IFERROR(__xludf.DUMMYFUNCTION("""COMPUTED_VALUE"""),99.21)</f>
        <v>99.21</v>
      </c>
      <c r="C2047" s="1">
        <f ca="1">IFERROR(__xludf.DUMMYFUNCTION("""COMPUTED_VALUE"""),100.63)</f>
        <v>100.63</v>
      </c>
      <c r="D2047" s="1">
        <f ca="1">IFERROR(__xludf.DUMMYFUNCTION("""COMPUTED_VALUE"""),98.1)</f>
        <v>98.1</v>
      </c>
      <c r="E2047" s="1">
        <f ca="1">IFERROR(__xludf.DUMMYFUNCTION("""COMPUTED_VALUE"""),98.15)</f>
        <v>98.15</v>
      </c>
      <c r="F2047" s="1">
        <f ca="1">IFERROR(__xludf.DUMMYFUNCTION("""COMPUTED_VALUE"""),56339173)</f>
        <v>56339173</v>
      </c>
    </row>
    <row r="2048" spans="1:6" x14ac:dyDescent="0.35">
      <c r="A2048" s="2">
        <f ca="1">IFERROR(__xludf.DUMMYFUNCTION("""COMPUTED_VALUE"""),44974.6666666666)</f>
        <v>44974.666666666599</v>
      </c>
      <c r="B2048" s="1">
        <f ca="1">IFERROR(__xludf.DUMMYFUNCTION("""COMPUTED_VALUE"""),97.8)</f>
        <v>97.8</v>
      </c>
      <c r="C2048" s="1">
        <f ca="1">IFERROR(__xludf.DUMMYFUNCTION("""COMPUTED_VALUE"""),97.94)</f>
        <v>97.94</v>
      </c>
      <c r="D2048" s="1">
        <f ca="1">IFERROR(__xludf.DUMMYFUNCTION("""COMPUTED_VALUE"""),95.65)</f>
        <v>95.65</v>
      </c>
      <c r="E2048" s="1">
        <f ca="1">IFERROR(__xludf.DUMMYFUNCTION("""COMPUTED_VALUE"""),97.2)</f>
        <v>97.2</v>
      </c>
      <c r="F2048" s="1">
        <f ca="1">IFERROR(__xludf.DUMMYFUNCTION("""COMPUTED_VALUE"""),60029405)</f>
        <v>60029405</v>
      </c>
    </row>
    <row r="2049" spans="1:6" x14ac:dyDescent="0.35">
      <c r="A2049" s="2">
        <f ca="1">IFERROR(__xludf.DUMMYFUNCTION("""COMPUTED_VALUE"""),44978.6666666666)</f>
        <v>44978.666666666599</v>
      </c>
      <c r="B2049" s="1">
        <f ca="1">IFERROR(__xludf.DUMMYFUNCTION("""COMPUTED_VALUE"""),95.34)</f>
        <v>95.34</v>
      </c>
      <c r="C2049" s="1">
        <f ca="1">IFERROR(__xludf.DUMMYFUNCTION("""COMPUTED_VALUE"""),95.61)</f>
        <v>95.61</v>
      </c>
      <c r="D2049" s="1">
        <f ca="1">IFERROR(__xludf.DUMMYFUNCTION("""COMPUTED_VALUE"""),94.27)</f>
        <v>94.27</v>
      </c>
      <c r="E2049" s="1">
        <f ca="1">IFERROR(__xludf.DUMMYFUNCTION("""COMPUTED_VALUE"""),94.58)</f>
        <v>94.58</v>
      </c>
      <c r="F2049" s="1">
        <f ca="1">IFERROR(__xludf.DUMMYFUNCTION("""COMPUTED_VALUE"""),56580360)</f>
        <v>56580360</v>
      </c>
    </row>
    <row r="2050" spans="1:6" x14ac:dyDescent="0.35">
      <c r="A2050" s="2">
        <f ca="1">IFERROR(__xludf.DUMMYFUNCTION("""COMPUTED_VALUE"""),44979.6666666666)</f>
        <v>44979.666666666599</v>
      </c>
      <c r="B2050" s="1">
        <f ca="1">IFERROR(__xludf.DUMMYFUNCTION("""COMPUTED_VALUE"""),95.1)</f>
        <v>95.1</v>
      </c>
      <c r="C2050" s="1">
        <f ca="1">IFERROR(__xludf.DUMMYFUNCTION("""COMPUTED_VALUE"""),97.01)</f>
        <v>97.01</v>
      </c>
      <c r="D2050" s="1">
        <f ca="1">IFERROR(__xludf.DUMMYFUNCTION("""COMPUTED_VALUE"""),94.8)</f>
        <v>94.8</v>
      </c>
      <c r="E2050" s="1">
        <f ca="1">IFERROR(__xludf.DUMMYFUNCTION("""COMPUTED_VALUE"""),95.79)</f>
        <v>95.79</v>
      </c>
      <c r="F2050" s="1">
        <f ca="1">IFERROR(__xludf.DUMMYFUNCTION("""COMPUTED_VALUE"""),59534094)</f>
        <v>59534094</v>
      </c>
    </row>
    <row r="2051" spans="1:6" x14ac:dyDescent="0.35">
      <c r="A2051" s="2">
        <f ca="1">IFERROR(__xludf.DUMMYFUNCTION("""COMPUTED_VALUE"""),44980.6666666666)</f>
        <v>44980.666666666599</v>
      </c>
      <c r="B2051" s="1">
        <f ca="1">IFERROR(__xludf.DUMMYFUNCTION("""COMPUTED_VALUE"""),96.12)</f>
        <v>96.12</v>
      </c>
      <c r="C2051" s="1">
        <f ca="1">IFERROR(__xludf.DUMMYFUNCTION("""COMPUTED_VALUE"""),96.43)</f>
        <v>96.43</v>
      </c>
      <c r="D2051" s="1">
        <f ca="1">IFERROR(__xludf.DUMMYFUNCTION("""COMPUTED_VALUE"""),93.67)</f>
        <v>93.67</v>
      </c>
      <c r="E2051" s="1">
        <f ca="1">IFERROR(__xludf.DUMMYFUNCTION("""COMPUTED_VALUE"""),95.82)</f>
        <v>95.82</v>
      </c>
      <c r="F2051" s="1">
        <f ca="1">IFERROR(__xludf.DUMMYFUNCTION("""COMPUTED_VALUE"""),48466994)</f>
        <v>48466994</v>
      </c>
    </row>
    <row r="2052" spans="1:6" x14ac:dyDescent="0.35">
      <c r="A2052" s="2">
        <f ca="1">IFERROR(__xludf.DUMMYFUNCTION("""COMPUTED_VALUE"""),44981.6666666666)</f>
        <v>44981.666666666599</v>
      </c>
      <c r="B2052" s="1">
        <f ca="1">IFERROR(__xludf.DUMMYFUNCTION("""COMPUTED_VALUE"""),93.53)</f>
        <v>93.53</v>
      </c>
      <c r="C2052" s="1">
        <f ca="1">IFERROR(__xludf.DUMMYFUNCTION("""COMPUTED_VALUE"""),94.14)</f>
        <v>94.14</v>
      </c>
      <c r="D2052" s="1">
        <f ca="1">IFERROR(__xludf.DUMMYFUNCTION("""COMPUTED_VALUE"""),92.32)</f>
        <v>92.32</v>
      </c>
      <c r="E2052" s="1">
        <f ca="1">IFERROR(__xludf.DUMMYFUNCTION("""COMPUTED_VALUE"""),93.5)</f>
        <v>93.5</v>
      </c>
      <c r="F2052" s="1">
        <f ca="1">IFERROR(__xludf.DUMMYFUNCTION("""COMPUTED_VALUE"""),57053812)</f>
        <v>57053812</v>
      </c>
    </row>
    <row r="2053" spans="1:6" x14ac:dyDescent="0.35">
      <c r="A2053" s="2">
        <f ca="1">IFERROR(__xludf.DUMMYFUNCTION("""COMPUTED_VALUE"""),44984.6666666666)</f>
        <v>44984.666666666599</v>
      </c>
      <c r="B2053" s="1">
        <f ca="1">IFERROR(__xludf.DUMMYFUNCTION("""COMPUTED_VALUE"""),94.28)</f>
        <v>94.28</v>
      </c>
      <c r="C2053" s="1">
        <f ca="1">IFERROR(__xludf.DUMMYFUNCTION("""COMPUTED_VALUE"""),94.78)</f>
        <v>94.78</v>
      </c>
      <c r="D2053" s="1">
        <f ca="1">IFERROR(__xludf.DUMMYFUNCTION("""COMPUTED_VALUE"""),93.14)</f>
        <v>93.14</v>
      </c>
      <c r="E2053" s="1">
        <f ca="1">IFERROR(__xludf.DUMMYFUNCTION("""COMPUTED_VALUE"""),93.76)</f>
        <v>93.76</v>
      </c>
      <c r="F2053" s="1">
        <f ca="1">IFERROR(__xludf.DUMMYFUNCTION("""COMPUTED_VALUE"""),47470321)</f>
        <v>47470321</v>
      </c>
    </row>
    <row r="2054" spans="1:6" x14ac:dyDescent="0.35">
      <c r="A2054" s="2">
        <f ca="1">IFERROR(__xludf.DUMMYFUNCTION("""COMPUTED_VALUE"""),44985.6666666666)</f>
        <v>44985.666666666599</v>
      </c>
      <c r="B2054" s="1">
        <f ca="1">IFERROR(__xludf.DUMMYFUNCTION("""COMPUTED_VALUE"""),93.14)</f>
        <v>93.14</v>
      </c>
      <c r="C2054" s="1">
        <f ca="1">IFERROR(__xludf.DUMMYFUNCTION("""COMPUTED_VALUE"""),94.69)</f>
        <v>94.69</v>
      </c>
      <c r="D2054" s="1">
        <f ca="1">IFERROR(__xludf.DUMMYFUNCTION("""COMPUTED_VALUE"""),92.92)</f>
        <v>92.92</v>
      </c>
      <c r="E2054" s="1">
        <f ca="1">IFERROR(__xludf.DUMMYFUNCTION("""COMPUTED_VALUE"""),94.23)</f>
        <v>94.23</v>
      </c>
      <c r="F2054" s="1">
        <f ca="1">IFERROR(__xludf.DUMMYFUNCTION("""COMPUTED_VALUE"""),43959290)</f>
        <v>43959290</v>
      </c>
    </row>
    <row r="2055" spans="1:6" x14ac:dyDescent="0.35">
      <c r="A2055" s="2">
        <f ca="1">IFERROR(__xludf.DUMMYFUNCTION("""COMPUTED_VALUE"""),44986.6666666666)</f>
        <v>44986.666666666599</v>
      </c>
      <c r="B2055" s="1">
        <f ca="1">IFERROR(__xludf.DUMMYFUNCTION("""COMPUTED_VALUE"""),93.87)</f>
        <v>93.87</v>
      </c>
      <c r="C2055" s="1">
        <f ca="1">IFERROR(__xludf.DUMMYFUNCTION("""COMPUTED_VALUE"""),94.68)</f>
        <v>94.68</v>
      </c>
      <c r="D2055" s="1">
        <f ca="1">IFERROR(__xludf.DUMMYFUNCTION("""COMPUTED_VALUE"""),91.59)</f>
        <v>91.59</v>
      </c>
      <c r="E2055" s="1">
        <f ca="1">IFERROR(__xludf.DUMMYFUNCTION("""COMPUTED_VALUE"""),92.17)</f>
        <v>92.17</v>
      </c>
      <c r="F2055" s="1">
        <f ca="1">IFERROR(__xludf.DUMMYFUNCTION("""COMPUTED_VALUE"""),52299524)</f>
        <v>52299524</v>
      </c>
    </row>
    <row r="2056" spans="1:6" x14ac:dyDescent="0.35">
      <c r="A2056" s="2">
        <f ca="1">IFERROR(__xludf.DUMMYFUNCTION("""COMPUTED_VALUE"""),44987.6666666666)</f>
        <v>44987.666666666599</v>
      </c>
      <c r="B2056" s="1">
        <f ca="1">IFERROR(__xludf.DUMMYFUNCTION("""COMPUTED_VALUE"""),91.41)</f>
        <v>91.41</v>
      </c>
      <c r="C2056" s="1">
        <f ca="1">IFERROR(__xludf.DUMMYFUNCTION("""COMPUTED_VALUE"""),92.23)</f>
        <v>92.23</v>
      </c>
      <c r="D2056" s="1">
        <f ca="1">IFERROR(__xludf.DUMMYFUNCTION("""COMPUTED_VALUE"""),90.39)</f>
        <v>90.39</v>
      </c>
      <c r="E2056" s="1">
        <f ca="1">IFERROR(__xludf.DUMMYFUNCTION("""COMPUTED_VALUE"""),92.13)</f>
        <v>92.13</v>
      </c>
      <c r="F2056" s="1">
        <f ca="1">IFERROR(__xludf.DUMMYFUNCTION("""COMPUTED_VALUE"""),55574820)</f>
        <v>55574820</v>
      </c>
    </row>
    <row r="2057" spans="1:6" x14ac:dyDescent="0.35">
      <c r="A2057" s="2">
        <f ca="1">IFERROR(__xludf.DUMMYFUNCTION("""COMPUTED_VALUE"""),44988.6666666666)</f>
        <v>44988.666666666599</v>
      </c>
      <c r="B2057" s="1">
        <f ca="1">IFERROR(__xludf.DUMMYFUNCTION("""COMPUTED_VALUE"""),92.74)</f>
        <v>92.74</v>
      </c>
      <c r="C2057" s="1">
        <f ca="1">IFERROR(__xludf.DUMMYFUNCTION("""COMPUTED_VALUE"""),94.94)</f>
        <v>94.94</v>
      </c>
      <c r="D2057" s="1">
        <f ca="1">IFERROR(__xludf.DUMMYFUNCTION("""COMPUTED_VALUE"""),92.66)</f>
        <v>92.66</v>
      </c>
      <c r="E2057" s="1">
        <f ca="1">IFERROR(__xludf.DUMMYFUNCTION("""COMPUTED_VALUE"""),94.9)</f>
        <v>94.9</v>
      </c>
      <c r="F2057" s="1">
        <f ca="1">IFERROR(__xludf.DUMMYFUNCTION("""COMPUTED_VALUE"""),55759609)</f>
        <v>55759609</v>
      </c>
    </row>
    <row r="2058" spans="1:6" x14ac:dyDescent="0.35">
      <c r="A2058" s="2">
        <f ca="1">IFERROR(__xludf.DUMMYFUNCTION("""COMPUTED_VALUE"""),44991.6666666666)</f>
        <v>44991.666666666599</v>
      </c>
      <c r="B2058" s="1">
        <f ca="1">IFERROR(__xludf.DUMMYFUNCTION("""COMPUTED_VALUE"""),95.19)</f>
        <v>95.19</v>
      </c>
      <c r="C2058" s="1">
        <f ca="1">IFERROR(__xludf.DUMMYFUNCTION("""COMPUTED_VALUE"""),96.55)</f>
        <v>96.55</v>
      </c>
      <c r="D2058" s="1">
        <f ca="1">IFERROR(__xludf.DUMMYFUNCTION("""COMPUTED_VALUE"""),93.74)</f>
        <v>93.74</v>
      </c>
      <c r="E2058" s="1">
        <f ca="1">IFERROR(__xludf.DUMMYFUNCTION("""COMPUTED_VALUE"""),93.75)</f>
        <v>93.75</v>
      </c>
      <c r="F2058" s="1">
        <f ca="1">IFERROR(__xludf.DUMMYFUNCTION("""COMPUTED_VALUE"""),52112355)</f>
        <v>52112355</v>
      </c>
    </row>
    <row r="2059" spans="1:6" x14ac:dyDescent="0.35">
      <c r="A2059" s="2">
        <f ca="1">IFERROR(__xludf.DUMMYFUNCTION("""COMPUTED_VALUE"""),44992.6666666666)</f>
        <v>44992.666666666599</v>
      </c>
      <c r="B2059" s="1">
        <f ca="1">IFERROR(__xludf.DUMMYFUNCTION("""COMPUTED_VALUE"""),94.06)</f>
        <v>94.06</v>
      </c>
      <c r="C2059" s="1">
        <f ca="1">IFERROR(__xludf.DUMMYFUNCTION("""COMPUTED_VALUE"""),95.09)</f>
        <v>95.09</v>
      </c>
      <c r="D2059" s="1">
        <f ca="1">IFERROR(__xludf.DUMMYFUNCTION("""COMPUTED_VALUE"""),92.78)</f>
        <v>92.78</v>
      </c>
      <c r="E2059" s="1">
        <f ca="1">IFERROR(__xludf.DUMMYFUNCTION("""COMPUTED_VALUE"""),93.55)</f>
        <v>93.55</v>
      </c>
      <c r="F2059" s="1">
        <f ca="1">IFERROR(__xludf.DUMMYFUNCTION("""COMPUTED_VALUE"""),49100668)</f>
        <v>49100668</v>
      </c>
    </row>
    <row r="2060" spans="1:6" x14ac:dyDescent="0.35">
      <c r="A2060" s="2">
        <f ca="1">IFERROR(__xludf.DUMMYFUNCTION("""COMPUTED_VALUE"""),44993.6666666666)</f>
        <v>44993.666666666599</v>
      </c>
      <c r="B2060" s="1">
        <f ca="1">IFERROR(__xludf.DUMMYFUNCTION("""COMPUTED_VALUE"""),93.6)</f>
        <v>93.6</v>
      </c>
      <c r="C2060" s="1">
        <f ca="1">IFERROR(__xludf.DUMMYFUNCTION("""COMPUTED_VALUE"""),94.17)</f>
        <v>94.17</v>
      </c>
      <c r="D2060" s="1">
        <f ca="1">IFERROR(__xludf.DUMMYFUNCTION("""COMPUTED_VALUE"""),92.18)</f>
        <v>92.18</v>
      </c>
      <c r="E2060" s="1">
        <f ca="1">IFERROR(__xludf.DUMMYFUNCTION("""COMPUTED_VALUE"""),93.92)</f>
        <v>93.92</v>
      </c>
      <c r="F2060" s="1">
        <f ca="1">IFERROR(__xludf.DUMMYFUNCTION("""COMPUTED_VALUE"""),44899128)</f>
        <v>44899128</v>
      </c>
    </row>
    <row r="2061" spans="1:6" x14ac:dyDescent="0.35">
      <c r="A2061" s="2">
        <f ca="1">IFERROR(__xludf.DUMMYFUNCTION("""COMPUTED_VALUE"""),44994.6666666666)</f>
        <v>44994.666666666599</v>
      </c>
      <c r="B2061" s="1">
        <f ca="1">IFERROR(__xludf.DUMMYFUNCTION("""COMPUTED_VALUE"""),93.68)</f>
        <v>93.68</v>
      </c>
      <c r="C2061" s="1">
        <f ca="1">IFERROR(__xludf.DUMMYFUNCTION("""COMPUTED_VALUE"""),96.21)</f>
        <v>96.21</v>
      </c>
      <c r="D2061" s="1">
        <f ca="1">IFERROR(__xludf.DUMMYFUNCTION("""COMPUTED_VALUE"""),92.18)</f>
        <v>92.18</v>
      </c>
      <c r="E2061" s="1">
        <f ca="1">IFERROR(__xludf.DUMMYFUNCTION("""COMPUTED_VALUE"""),92.25)</f>
        <v>92.25</v>
      </c>
      <c r="F2061" s="1">
        <f ca="1">IFERROR(__xludf.DUMMYFUNCTION("""COMPUTED_VALUE"""),56218705)</f>
        <v>56218705</v>
      </c>
    </row>
    <row r="2062" spans="1:6" x14ac:dyDescent="0.35">
      <c r="A2062" s="2">
        <f ca="1">IFERROR(__xludf.DUMMYFUNCTION("""COMPUTED_VALUE"""),44995.6666666666)</f>
        <v>44995.666666666599</v>
      </c>
      <c r="B2062" s="1">
        <f ca="1">IFERROR(__xludf.DUMMYFUNCTION("""COMPUTED_VALUE"""),92.67)</f>
        <v>92.67</v>
      </c>
      <c r="C2062" s="1">
        <f ca="1">IFERROR(__xludf.DUMMYFUNCTION("""COMPUTED_VALUE"""),93.57)</f>
        <v>93.57</v>
      </c>
      <c r="D2062" s="1">
        <f ca="1">IFERROR(__xludf.DUMMYFUNCTION("""COMPUTED_VALUE"""),90.25)</f>
        <v>90.25</v>
      </c>
      <c r="E2062" s="1">
        <f ca="1">IFERROR(__xludf.DUMMYFUNCTION("""COMPUTED_VALUE"""),90.73)</f>
        <v>90.73</v>
      </c>
      <c r="F2062" s="1">
        <f ca="1">IFERROR(__xludf.DUMMYFUNCTION("""COMPUTED_VALUE"""),69827490)</f>
        <v>69827490</v>
      </c>
    </row>
    <row r="2063" spans="1:6" x14ac:dyDescent="0.35">
      <c r="A2063" s="2">
        <f ca="1">IFERROR(__xludf.DUMMYFUNCTION("""COMPUTED_VALUE"""),44998.6666666666)</f>
        <v>44998.666666666599</v>
      </c>
      <c r="B2063" s="1">
        <f ca="1">IFERROR(__xludf.DUMMYFUNCTION("""COMPUTED_VALUE"""),89.97)</f>
        <v>89.97</v>
      </c>
      <c r="C2063" s="1">
        <f ca="1">IFERROR(__xludf.DUMMYFUNCTION("""COMPUTED_VALUE"""),94.02)</f>
        <v>94.02</v>
      </c>
      <c r="D2063" s="1">
        <f ca="1">IFERROR(__xludf.DUMMYFUNCTION("""COMPUTED_VALUE"""),88.12)</f>
        <v>88.12</v>
      </c>
      <c r="E2063" s="1">
        <f ca="1">IFERROR(__xludf.DUMMYFUNCTION("""COMPUTED_VALUE"""),92.43)</f>
        <v>92.43</v>
      </c>
      <c r="F2063" s="1">
        <f ca="1">IFERROR(__xludf.DUMMYFUNCTION("""COMPUTED_VALUE"""),72397053)</f>
        <v>72397053</v>
      </c>
    </row>
    <row r="2064" spans="1:6" x14ac:dyDescent="0.35">
      <c r="A2064" s="2">
        <f ca="1">IFERROR(__xludf.DUMMYFUNCTION("""COMPUTED_VALUE"""),44999.6666666666)</f>
        <v>44999.666666666599</v>
      </c>
      <c r="B2064" s="1">
        <f ca="1">IFERROR(__xludf.DUMMYFUNCTION("""COMPUTED_VALUE"""),93.83)</f>
        <v>93.83</v>
      </c>
      <c r="C2064" s="1">
        <f ca="1">IFERROR(__xludf.DUMMYFUNCTION("""COMPUTED_VALUE"""),95.07)</f>
        <v>95.07</v>
      </c>
      <c r="D2064" s="1">
        <f ca="1">IFERROR(__xludf.DUMMYFUNCTION("""COMPUTED_VALUE"""),92.71)</f>
        <v>92.71</v>
      </c>
      <c r="E2064" s="1">
        <f ca="1">IFERROR(__xludf.DUMMYFUNCTION("""COMPUTED_VALUE"""),94.88)</f>
        <v>94.88</v>
      </c>
      <c r="F2064" s="1">
        <f ca="1">IFERROR(__xludf.DUMMYFUNCTION("""COMPUTED_VALUE"""),60912674)</f>
        <v>60912674</v>
      </c>
    </row>
    <row r="2065" spans="1:6" x14ac:dyDescent="0.35">
      <c r="A2065" s="2">
        <f ca="1">IFERROR(__xludf.DUMMYFUNCTION("""COMPUTED_VALUE"""),45000.6666666666)</f>
        <v>45000.666666666599</v>
      </c>
      <c r="B2065" s="1">
        <f ca="1">IFERROR(__xludf.DUMMYFUNCTION("""COMPUTED_VALUE"""),93.22)</f>
        <v>93.22</v>
      </c>
      <c r="C2065" s="1">
        <f ca="1">IFERROR(__xludf.DUMMYFUNCTION("""COMPUTED_VALUE"""),96.67)</f>
        <v>96.67</v>
      </c>
      <c r="D2065" s="1">
        <f ca="1">IFERROR(__xludf.DUMMYFUNCTION("""COMPUTED_VALUE"""),93.07)</f>
        <v>93.07</v>
      </c>
      <c r="E2065" s="1">
        <f ca="1">IFERROR(__xludf.DUMMYFUNCTION("""COMPUTED_VALUE"""),96.2)</f>
        <v>96.2</v>
      </c>
      <c r="F2065" s="1">
        <f ca="1">IFERROR(__xludf.DUMMYFUNCTION("""COMPUTED_VALUE"""),70731792)</f>
        <v>70731792</v>
      </c>
    </row>
    <row r="2066" spans="1:6" x14ac:dyDescent="0.35">
      <c r="A2066" s="2">
        <f ca="1">IFERROR(__xludf.DUMMYFUNCTION("""COMPUTED_VALUE"""),45001.6666666666)</f>
        <v>45001.666666666599</v>
      </c>
      <c r="B2066" s="1">
        <f ca="1">IFERROR(__xludf.DUMMYFUNCTION("""COMPUTED_VALUE"""),95.75)</f>
        <v>95.75</v>
      </c>
      <c r="C2066" s="1">
        <f ca="1">IFERROR(__xludf.DUMMYFUNCTION("""COMPUTED_VALUE"""),100.99)</f>
        <v>100.99</v>
      </c>
      <c r="D2066" s="1">
        <f ca="1">IFERROR(__xludf.DUMMYFUNCTION("""COMPUTED_VALUE"""),95.61)</f>
        <v>95.61</v>
      </c>
      <c r="E2066" s="1">
        <f ca="1">IFERROR(__xludf.DUMMYFUNCTION("""COMPUTED_VALUE"""),100.04)</f>
        <v>100.04</v>
      </c>
      <c r="F2066" s="1">
        <f ca="1">IFERROR(__xludf.DUMMYFUNCTION("""COMPUTED_VALUE"""),84558934)</f>
        <v>84558934</v>
      </c>
    </row>
    <row r="2067" spans="1:6" x14ac:dyDescent="0.35">
      <c r="A2067" s="2">
        <f ca="1">IFERROR(__xludf.DUMMYFUNCTION("""COMPUTED_VALUE"""),45002.6666666666)</f>
        <v>45002.666666666599</v>
      </c>
      <c r="B2067" s="1">
        <f ca="1">IFERROR(__xludf.DUMMYFUNCTION("""COMPUTED_VALUE"""),99.79)</f>
        <v>99.79</v>
      </c>
      <c r="C2067" s="1">
        <f ca="1">IFERROR(__xludf.DUMMYFUNCTION("""COMPUTED_VALUE"""),100.66)</f>
        <v>100.66</v>
      </c>
      <c r="D2067" s="1">
        <f ca="1">IFERROR(__xludf.DUMMYFUNCTION("""COMPUTED_VALUE"""),97.46)</f>
        <v>97.46</v>
      </c>
      <c r="E2067" s="1">
        <f ca="1">IFERROR(__xludf.DUMMYFUNCTION("""COMPUTED_VALUE"""),98.95)</f>
        <v>98.95</v>
      </c>
      <c r="F2067" s="1">
        <f ca="1">IFERROR(__xludf.DUMMYFUNCTION("""COMPUTED_VALUE"""),87300242)</f>
        <v>87300242</v>
      </c>
    </row>
    <row r="2068" spans="1:6" x14ac:dyDescent="0.35">
      <c r="A2068" s="2">
        <f ca="1">IFERROR(__xludf.DUMMYFUNCTION("""COMPUTED_VALUE"""),45005.6666666666)</f>
        <v>45005.666666666599</v>
      </c>
      <c r="B2068" s="1">
        <f ca="1">IFERROR(__xludf.DUMMYFUNCTION("""COMPUTED_VALUE"""),98.41)</f>
        <v>98.41</v>
      </c>
      <c r="C2068" s="1">
        <f ca="1">IFERROR(__xludf.DUMMYFUNCTION("""COMPUTED_VALUE"""),98.48)</f>
        <v>98.48</v>
      </c>
      <c r="D2068" s="1">
        <f ca="1">IFERROR(__xludf.DUMMYFUNCTION("""COMPUTED_VALUE"""),95.7)</f>
        <v>95.7</v>
      </c>
      <c r="E2068" s="1">
        <f ca="1">IFERROR(__xludf.DUMMYFUNCTION("""COMPUTED_VALUE"""),97.71)</f>
        <v>97.71</v>
      </c>
      <c r="F2068" s="1">
        <f ca="1">IFERROR(__xludf.DUMMYFUNCTION("""COMPUTED_VALUE"""),62388911)</f>
        <v>62388911</v>
      </c>
    </row>
    <row r="2069" spans="1:6" x14ac:dyDescent="0.35">
      <c r="A2069" s="2">
        <f ca="1">IFERROR(__xludf.DUMMYFUNCTION("""COMPUTED_VALUE"""),45006.6666666666)</f>
        <v>45006.666666666599</v>
      </c>
      <c r="B2069" s="1">
        <f ca="1">IFERROR(__xludf.DUMMYFUNCTION("""COMPUTED_VALUE"""),98.14)</f>
        <v>98.14</v>
      </c>
      <c r="C2069" s="1">
        <f ca="1">IFERROR(__xludf.DUMMYFUNCTION("""COMPUTED_VALUE"""),100.85)</f>
        <v>100.85</v>
      </c>
      <c r="D2069" s="1">
        <f ca="1">IFERROR(__xludf.DUMMYFUNCTION("""COMPUTED_VALUE"""),98)</f>
        <v>98</v>
      </c>
      <c r="E2069" s="1">
        <f ca="1">IFERROR(__xludf.DUMMYFUNCTION("""COMPUTED_VALUE"""),100.61)</f>
        <v>100.61</v>
      </c>
      <c r="F2069" s="1">
        <f ca="1">IFERROR(__xludf.DUMMYFUNCTION("""COMPUTED_VALUE"""),58597275)</f>
        <v>58597275</v>
      </c>
    </row>
    <row r="2070" spans="1:6" x14ac:dyDescent="0.35">
      <c r="A2070" s="2">
        <f ca="1">IFERROR(__xludf.DUMMYFUNCTION("""COMPUTED_VALUE"""),45007.6666666666)</f>
        <v>45007.666666666599</v>
      </c>
      <c r="B2070" s="1">
        <f ca="1">IFERROR(__xludf.DUMMYFUNCTION("""COMPUTED_VALUE"""),100.45)</f>
        <v>100.45</v>
      </c>
      <c r="C2070" s="1">
        <f ca="1">IFERROR(__xludf.DUMMYFUNCTION("""COMPUTED_VALUE"""),102.1)</f>
        <v>102.1</v>
      </c>
      <c r="D2070" s="1">
        <f ca="1">IFERROR(__xludf.DUMMYFUNCTION("""COMPUTED_VALUE"""),98.61)</f>
        <v>98.61</v>
      </c>
      <c r="E2070" s="1">
        <f ca="1">IFERROR(__xludf.DUMMYFUNCTION("""COMPUTED_VALUE"""),98.7)</f>
        <v>98.7</v>
      </c>
      <c r="F2070" s="1">
        <f ca="1">IFERROR(__xludf.DUMMYFUNCTION("""COMPUTED_VALUE"""),57475365)</f>
        <v>57475365</v>
      </c>
    </row>
    <row r="2071" spans="1:6" x14ac:dyDescent="0.35">
      <c r="A2071" s="2">
        <f ca="1">IFERROR(__xludf.DUMMYFUNCTION("""COMPUTED_VALUE"""),45008.6666666666)</f>
        <v>45008.666666666599</v>
      </c>
      <c r="B2071" s="1">
        <f ca="1">IFERROR(__xludf.DUMMYFUNCTION("""COMPUTED_VALUE"""),100.43)</f>
        <v>100.43</v>
      </c>
      <c r="C2071" s="1">
        <f ca="1">IFERROR(__xludf.DUMMYFUNCTION("""COMPUTED_VALUE"""),101.06)</f>
        <v>101.06</v>
      </c>
      <c r="D2071" s="1">
        <f ca="1">IFERROR(__xludf.DUMMYFUNCTION("""COMPUTED_VALUE"""),97.62)</f>
        <v>97.62</v>
      </c>
      <c r="E2071" s="1">
        <f ca="1">IFERROR(__xludf.DUMMYFUNCTION("""COMPUTED_VALUE"""),98.71)</f>
        <v>98.71</v>
      </c>
      <c r="F2071" s="1">
        <f ca="1">IFERROR(__xludf.DUMMYFUNCTION("""COMPUTED_VALUE"""),57559310)</f>
        <v>57559310</v>
      </c>
    </row>
    <row r="2072" spans="1:6" x14ac:dyDescent="0.35">
      <c r="A2072" s="2">
        <f ca="1">IFERROR(__xludf.DUMMYFUNCTION("""COMPUTED_VALUE"""),45009.6666666666)</f>
        <v>45009.666666666599</v>
      </c>
      <c r="B2072" s="1">
        <f ca="1">IFERROR(__xludf.DUMMYFUNCTION("""COMPUTED_VALUE"""),98.07)</f>
        <v>98.07</v>
      </c>
      <c r="C2072" s="1">
        <f ca="1">IFERROR(__xludf.DUMMYFUNCTION("""COMPUTED_VALUE"""),98.3)</f>
        <v>98.3</v>
      </c>
      <c r="D2072" s="1">
        <f ca="1">IFERROR(__xludf.DUMMYFUNCTION("""COMPUTED_VALUE"""),96.4)</f>
        <v>96.4</v>
      </c>
      <c r="E2072" s="1">
        <f ca="1">IFERROR(__xludf.DUMMYFUNCTION("""COMPUTED_VALUE"""),98.13)</f>
        <v>98.13</v>
      </c>
      <c r="F2072" s="1">
        <f ca="1">IFERROR(__xludf.DUMMYFUNCTION("""COMPUTED_VALUE"""),56144801)</f>
        <v>56144801</v>
      </c>
    </row>
    <row r="2073" spans="1:6" x14ac:dyDescent="0.35">
      <c r="A2073" s="2">
        <f ca="1">IFERROR(__xludf.DUMMYFUNCTION("""COMPUTED_VALUE"""),45012.6666666666)</f>
        <v>45012.666666666599</v>
      </c>
      <c r="B2073" s="1">
        <f ca="1">IFERROR(__xludf.DUMMYFUNCTION("""COMPUTED_VALUE"""),99.07)</f>
        <v>99.07</v>
      </c>
      <c r="C2073" s="1">
        <f ca="1">IFERROR(__xludf.DUMMYFUNCTION("""COMPUTED_VALUE"""),99.34)</f>
        <v>99.34</v>
      </c>
      <c r="D2073" s="1">
        <f ca="1">IFERROR(__xludf.DUMMYFUNCTION("""COMPUTED_VALUE"""),97.08)</f>
        <v>97.08</v>
      </c>
      <c r="E2073" s="1">
        <f ca="1">IFERROR(__xludf.DUMMYFUNCTION("""COMPUTED_VALUE"""),98.04)</f>
        <v>98.04</v>
      </c>
      <c r="F2073" s="1">
        <f ca="1">IFERROR(__xludf.DUMMYFUNCTION("""COMPUTED_VALUE"""),46721296)</f>
        <v>46721296</v>
      </c>
    </row>
    <row r="2074" spans="1:6" x14ac:dyDescent="0.35">
      <c r="A2074" s="2">
        <f ca="1">IFERROR(__xludf.DUMMYFUNCTION("""COMPUTED_VALUE"""),45013.6666666666)</f>
        <v>45013.666666666599</v>
      </c>
      <c r="B2074" s="1">
        <f ca="1">IFERROR(__xludf.DUMMYFUNCTION("""COMPUTED_VALUE"""),98.11)</f>
        <v>98.11</v>
      </c>
      <c r="C2074" s="1">
        <f ca="1">IFERROR(__xludf.DUMMYFUNCTION("""COMPUTED_VALUE"""),98.44)</f>
        <v>98.44</v>
      </c>
      <c r="D2074" s="1">
        <f ca="1">IFERROR(__xludf.DUMMYFUNCTION("""COMPUTED_VALUE"""),96.29)</f>
        <v>96.29</v>
      </c>
      <c r="E2074" s="1">
        <f ca="1">IFERROR(__xludf.DUMMYFUNCTION("""COMPUTED_VALUE"""),97.24)</f>
        <v>97.24</v>
      </c>
      <c r="F2074" s="1">
        <f ca="1">IFERROR(__xludf.DUMMYFUNCTION("""COMPUTED_VALUE"""),38720050)</f>
        <v>38720050</v>
      </c>
    </row>
    <row r="2075" spans="1:6" x14ac:dyDescent="0.35">
      <c r="A2075" s="2">
        <f ca="1">IFERROR(__xludf.DUMMYFUNCTION("""COMPUTED_VALUE"""),45014.6666666666)</f>
        <v>45014.666666666599</v>
      </c>
      <c r="B2075" s="1">
        <f ca="1">IFERROR(__xludf.DUMMYFUNCTION("""COMPUTED_VALUE"""),98.69)</f>
        <v>98.69</v>
      </c>
      <c r="C2075" s="1">
        <f ca="1">IFERROR(__xludf.DUMMYFUNCTION("""COMPUTED_VALUE"""),100.42)</f>
        <v>100.42</v>
      </c>
      <c r="D2075" s="1">
        <f ca="1">IFERROR(__xludf.DUMMYFUNCTION("""COMPUTED_VALUE"""),98.56)</f>
        <v>98.56</v>
      </c>
      <c r="E2075" s="1">
        <f ca="1">IFERROR(__xludf.DUMMYFUNCTION("""COMPUTED_VALUE"""),100.25)</f>
        <v>100.25</v>
      </c>
      <c r="F2075" s="1">
        <f ca="1">IFERROR(__xludf.DUMMYFUNCTION("""COMPUTED_VALUE"""),49783279)</f>
        <v>49783279</v>
      </c>
    </row>
    <row r="2076" spans="1:6" x14ac:dyDescent="0.35">
      <c r="A2076" s="2">
        <f ca="1">IFERROR(__xludf.DUMMYFUNCTION("""COMPUTED_VALUE"""),45015.6666666666)</f>
        <v>45015.666666666599</v>
      </c>
      <c r="B2076" s="1">
        <f ca="1">IFERROR(__xludf.DUMMYFUNCTION("""COMPUTED_VALUE"""),101.55)</f>
        <v>101.55</v>
      </c>
      <c r="C2076" s="1">
        <f ca="1">IFERROR(__xludf.DUMMYFUNCTION("""COMPUTED_VALUE"""),103.04)</f>
        <v>103.04</v>
      </c>
      <c r="D2076" s="1">
        <f ca="1">IFERROR(__xludf.DUMMYFUNCTION("""COMPUTED_VALUE"""),101.01)</f>
        <v>101.01</v>
      </c>
      <c r="E2076" s="1">
        <f ca="1">IFERROR(__xludf.DUMMYFUNCTION("""COMPUTED_VALUE"""),102)</f>
        <v>102</v>
      </c>
      <c r="F2076" s="1">
        <f ca="1">IFERROR(__xludf.DUMMYFUNCTION("""COMPUTED_VALUE"""),53633398)</f>
        <v>53633398</v>
      </c>
    </row>
    <row r="2077" spans="1:6" x14ac:dyDescent="0.35">
      <c r="A2077" s="2">
        <f ca="1">IFERROR(__xludf.DUMMYFUNCTION("""COMPUTED_VALUE"""),45016.6666666666)</f>
        <v>45016.666666666599</v>
      </c>
      <c r="B2077" s="1">
        <f ca="1">IFERROR(__xludf.DUMMYFUNCTION("""COMPUTED_VALUE"""),102.16)</f>
        <v>102.16</v>
      </c>
      <c r="C2077" s="1">
        <f ca="1">IFERROR(__xludf.DUMMYFUNCTION("""COMPUTED_VALUE"""),103.49)</f>
        <v>103.49</v>
      </c>
      <c r="D2077" s="1">
        <f ca="1">IFERROR(__xludf.DUMMYFUNCTION("""COMPUTED_VALUE"""),101.95)</f>
        <v>101.95</v>
      </c>
      <c r="E2077" s="1">
        <f ca="1">IFERROR(__xludf.DUMMYFUNCTION("""COMPUTED_VALUE"""),103.29)</f>
        <v>103.29</v>
      </c>
      <c r="F2077" s="1">
        <f ca="1">IFERROR(__xludf.DUMMYFUNCTION("""COMPUTED_VALUE"""),56750317)</f>
        <v>56750317</v>
      </c>
    </row>
    <row r="2078" spans="1:6" x14ac:dyDescent="0.35">
      <c r="A2078" s="2">
        <f ca="1">IFERROR(__xludf.DUMMYFUNCTION("""COMPUTED_VALUE"""),45019.6666666666)</f>
        <v>45019.666666666599</v>
      </c>
      <c r="B2078" s="1">
        <f ca="1">IFERROR(__xludf.DUMMYFUNCTION("""COMPUTED_VALUE"""),102.3)</f>
        <v>102.3</v>
      </c>
      <c r="C2078" s="1">
        <f ca="1">IFERROR(__xludf.DUMMYFUNCTION("""COMPUTED_VALUE"""),103.29)</f>
        <v>103.29</v>
      </c>
      <c r="D2078" s="1">
        <f ca="1">IFERROR(__xludf.DUMMYFUNCTION("""COMPUTED_VALUE"""),101.43)</f>
        <v>101.43</v>
      </c>
      <c r="E2078" s="1">
        <f ca="1">IFERROR(__xludf.DUMMYFUNCTION("""COMPUTED_VALUE"""),102.41)</f>
        <v>102.41</v>
      </c>
      <c r="F2078" s="1">
        <f ca="1">IFERROR(__xludf.DUMMYFUNCTION("""COMPUTED_VALUE"""),41135733)</f>
        <v>41135733</v>
      </c>
    </row>
    <row r="2079" spans="1:6" x14ac:dyDescent="0.35">
      <c r="A2079" s="2">
        <f ca="1">IFERROR(__xludf.DUMMYFUNCTION("""COMPUTED_VALUE"""),45020.6666666666)</f>
        <v>45020.666666666599</v>
      </c>
      <c r="B2079" s="1">
        <f ca="1">IFERROR(__xludf.DUMMYFUNCTION("""COMPUTED_VALUE"""),102.75)</f>
        <v>102.75</v>
      </c>
      <c r="C2079" s="1">
        <f ca="1">IFERROR(__xludf.DUMMYFUNCTION("""COMPUTED_VALUE"""),104.2)</f>
        <v>104.2</v>
      </c>
      <c r="D2079" s="1">
        <f ca="1">IFERROR(__xludf.DUMMYFUNCTION("""COMPUTED_VALUE"""),102.11)</f>
        <v>102.11</v>
      </c>
      <c r="E2079" s="1">
        <f ca="1">IFERROR(__xludf.DUMMYFUNCTION("""COMPUTED_VALUE"""),103.95)</f>
        <v>103.95</v>
      </c>
      <c r="F2079" s="1">
        <f ca="1">IFERROR(__xludf.DUMMYFUNCTION("""COMPUTED_VALUE"""),48662496)</f>
        <v>48662496</v>
      </c>
    </row>
    <row r="2080" spans="1:6" x14ac:dyDescent="0.35">
      <c r="A2080" s="2">
        <f ca="1">IFERROR(__xludf.DUMMYFUNCTION("""COMPUTED_VALUE"""),45021.6666666666)</f>
        <v>45021.666666666599</v>
      </c>
      <c r="B2080" s="1">
        <f ca="1">IFERROR(__xludf.DUMMYFUNCTION("""COMPUTED_VALUE"""),103.91)</f>
        <v>103.91</v>
      </c>
      <c r="C2080" s="1">
        <f ca="1">IFERROR(__xludf.DUMMYFUNCTION("""COMPUTED_VALUE"""),103.91)</f>
        <v>103.91</v>
      </c>
      <c r="D2080" s="1">
        <f ca="1">IFERROR(__xludf.DUMMYFUNCTION("""COMPUTED_VALUE"""),100.75)</f>
        <v>100.75</v>
      </c>
      <c r="E2080" s="1">
        <f ca="1">IFERROR(__xludf.DUMMYFUNCTION("""COMPUTED_VALUE"""),101.1)</f>
        <v>101.1</v>
      </c>
      <c r="F2080" s="1">
        <f ca="1">IFERROR(__xludf.DUMMYFUNCTION("""COMPUTED_VALUE"""),45175393)</f>
        <v>45175393</v>
      </c>
    </row>
    <row r="2081" spans="1:6" x14ac:dyDescent="0.35">
      <c r="A2081" s="2">
        <f ca="1">IFERROR(__xludf.DUMMYFUNCTION("""COMPUTED_VALUE"""),45022.6666666666)</f>
        <v>45022.666666666599</v>
      </c>
      <c r="B2081" s="1">
        <f ca="1">IFERROR(__xludf.DUMMYFUNCTION("""COMPUTED_VALUE"""),100.75)</f>
        <v>100.75</v>
      </c>
      <c r="C2081" s="1">
        <f ca="1">IFERROR(__xludf.DUMMYFUNCTION("""COMPUTED_VALUE"""),102.38)</f>
        <v>102.38</v>
      </c>
      <c r="D2081" s="1">
        <f ca="1">IFERROR(__xludf.DUMMYFUNCTION("""COMPUTED_VALUE"""),99.8)</f>
        <v>99.8</v>
      </c>
      <c r="E2081" s="1">
        <f ca="1">IFERROR(__xludf.DUMMYFUNCTION("""COMPUTED_VALUE"""),102.06)</f>
        <v>102.06</v>
      </c>
      <c r="F2081" s="1">
        <f ca="1">IFERROR(__xludf.DUMMYFUNCTION("""COMPUTED_VALUE"""),43808020)</f>
        <v>43808020</v>
      </c>
    </row>
    <row r="2082" spans="1:6" x14ac:dyDescent="0.35">
      <c r="A2082" s="2">
        <f ca="1">IFERROR(__xludf.DUMMYFUNCTION("""COMPUTED_VALUE"""),45026.6666666666)</f>
        <v>45026.666666666599</v>
      </c>
      <c r="B2082" s="1">
        <f ca="1">IFERROR(__xludf.DUMMYFUNCTION("""COMPUTED_VALUE"""),100.96)</f>
        <v>100.96</v>
      </c>
      <c r="C2082" s="1">
        <f ca="1">IFERROR(__xludf.DUMMYFUNCTION("""COMPUTED_VALUE"""),102.2)</f>
        <v>102.2</v>
      </c>
      <c r="D2082" s="1">
        <f ca="1">IFERROR(__xludf.DUMMYFUNCTION("""COMPUTED_VALUE"""),99.57)</f>
        <v>99.57</v>
      </c>
      <c r="E2082" s="1">
        <f ca="1">IFERROR(__xludf.DUMMYFUNCTION("""COMPUTED_VALUE"""),102.17)</f>
        <v>102.17</v>
      </c>
      <c r="F2082" s="1">
        <f ca="1">IFERROR(__xludf.DUMMYFUNCTION("""COMPUTED_VALUE"""),37261185)</f>
        <v>37261185</v>
      </c>
    </row>
    <row r="2083" spans="1:6" x14ac:dyDescent="0.35">
      <c r="A2083" s="2">
        <f ca="1">IFERROR(__xludf.DUMMYFUNCTION("""COMPUTED_VALUE"""),45027.6666666666)</f>
        <v>45027.666666666599</v>
      </c>
      <c r="B2083" s="1">
        <f ca="1">IFERROR(__xludf.DUMMYFUNCTION("""COMPUTED_VALUE"""),100.8)</f>
        <v>100.8</v>
      </c>
      <c r="C2083" s="1">
        <f ca="1">IFERROR(__xludf.DUMMYFUNCTION("""COMPUTED_VALUE"""),101)</f>
        <v>101</v>
      </c>
      <c r="D2083" s="1">
        <f ca="1">IFERROR(__xludf.DUMMYFUNCTION("""COMPUTED_VALUE"""),99.01)</f>
        <v>99.01</v>
      </c>
      <c r="E2083" s="1">
        <f ca="1">IFERROR(__xludf.DUMMYFUNCTION("""COMPUTED_VALUE"""),99.92)</f>
        <v>99.92</v>
      </c>
      <c r="F2083" s="1">
        <f ca="1">IFERROR(__xludf.DUMMYFUNCTION("""COMPUTED_VALUE"""),60417847)</f>
        <v>60417847</v>
      </c>
    </row>
    <row r="2084" spans="1:6" x14ac:dyDescent="0.35">
      <c r="A2084" s="2">
        <f ca="1">IFERROR(__xludf.DUMMYFUNCTION("""COMPUTED_VALUE"""),45028.6666666666)</f>
        <v>45028.666666666599</v>
      </c>
      <c r="B2084" s="1">
        <f ca="1">IFERROR(__xludf.DUMMYFUNCTION("""COMPUTED_VALUE"""),100.4)</f>
        <v>100.4</v>
      </c>
      <c r="C2084" s="1">
        <f ca="1">IFERROR(__xludf.DUMMYFUNCTION("""COMPUTED_VALUE"""),100.51)</f>
        <v>100.51</v>
      </c>
      <c r="D2084" s="1">
        <f ca="1">IFERROR(__xludf.DUMMYFUNCTION("""COMPUTED_VALUE"""),97.71)</f>
        <v>97.71</v>
      </c>
      <c r="E2084" s="1">
        <f ca="1">IFERROR(__xludf.DUMMYFUNCTION("""COMPUTED_VALUE"""),97.83)</f>
        <v>97.83</v>
      </c>
      <c r="F2084" s="1">
        <f ca="1">IFERROR(__xludf.DUMMYFUNCTION("""COMPUTED_VALUE"""),56735007)</f>
        <v>56735007</v>
      </c>
    </row>
    <row r="2085" spans="1:6" x14ac:dyDescent="0.35">
      <c r="A2085" s="2">
        <f ca="1">IFERROR(__xludf.DUMMYFUNCTION("""COMPUTED_VALUE"""),45029.6666666666)</f>
        <v>45029.666666666599</v>
      </c>
      <c r="B2085" s="1">
        <f ca="1">IFERROR(__xludf.DUMMYFUNCTION("""COMPUTED_VALUE"""),98.95)</f>
        <v>98.95</v>
      </c>
      <c r="C2085" s="1">
        <f ca="1">IFERROR(__xludf.DUMMYFUNCTION("""COMPUTED_VALUE"""),102.57)</f>
        <v>102.57</v>
      </c>
      <c r="D2085" s="1">
        <f ca="1">IFERROR(__xludf.DUMMYFUNCTION("""COMPUTED_VALUE"""),98.71)</f>
        <v>98.71</v>
      </c>
      <c r="E2085" s="1">
        <f ca="1">IFERROR(__xludf.DUMMYFUNCTION("""COMPUTED_VALUE"""),102.4)</f>
        <v>102.4</v>
      </c>
      <c r="F2085" s="1">
        <f ca="1">IFERROR(__xludf.DUMMYFUNCTION("""COMPUTED_VALUE"""),67925138)</f>
        <v>67925138</v>
      </c>
    </row>
    <row r="2086" spans="1:6" x14ac:dyDescent="0.35">
      <c r="A2086" s="2">
        <f ca="1">IFERROR(__xludf.DUMMYFUNCTION("""COMPUTED_VALUE"""),45030.6666666666)</f>
        <v>45030.666666666599</v>
      </c>
      <c r="B2086" s="1">
        <f ca="1">IFERROR(__xludf.DUMMYFUNCTION("""COMPUTED_VALUE"""),102.07)</f>
        <v>102.07</v>
      </c>
      <c r="C2086" s="1">
        <f ca="1">IFERROR(__xludf.DUMMYFUNCTION("""COMPUTED_VALUE"""),103.2)</f>
        <v>103.2</v>
      </c>
      <c r="D2086" s="1">
        <f ca="1">IFERROR(__xludf.DUMMYFUNCTION("""COMPUTED_VALUE"""),101.11)</f>
        <v>101.11</v>
      </c>
      <c r="E2086" s="1">
        <f ca="1">IFERROR(__xludf.DUMMYFUNCTION("""COMPUTED_VALUE"""),102.51)</f>
        <v>102.51</v>
      </c>
      <c r="F2086" s="1">
        <f ca="1">IFERROR(__xludf.DUMMYFUNCTION("""COMPUTED_VALUE"""),51450522)</f>
        <v>51450522</v>
      </c>
    </row>
    <row r="2087" spans="1:6" x14ac:dyDescent="0.35">
      <c r="A2087" s="2">
        <f ca="1">IFERROR(__xludf.DUMMYFUNCTION("""COMPUTED_VALUE"""),45033.6666666666)</f>
        <v>45033.666666666599</v>
      </c>
      <c r="B2087" s="1">
        <f ca="1">IFERROR(__xludf.DUMMYFUNCTION("""COMPUTED_VALUE"""),103.16)</f>
        <v>103.16</v>
      </c>
      <c r="C2087" s="1">
        <f ca="1">IFERROR(__xludf.DUMMYFUNCTION("""COMPUTED_VALUE"""),103.73)</f>
        <v>103.73</v>
      </c>
      <c r="D2087" s="1">
        <f ca="1">IFERROR(__xludf.DUMMYFUNCTION("""COMPUTED_VALUE"""),101.59)</f>
        <v>101.59</v>
      </c>
      <c r="E2087" s="1">
        <f ca="1">IFERROR(__xludf.DUMMYFUNCTION("""COMPUTED_VALUE"""),102.74)</f>
        <v>102.74</v>
      </c>
      <c r="F2087" s="1">
        <f ca="1">IFERROR(__xludf.DUMMYFUNCTION("""COMPUTED_VALUE"""),39919457)</f>
        <v>39919457</v>
      </c>
    </row>
    <row r="2088" spans="1:6" x14ac:dyDescent="0.35">
      <c r="A2088" s="2">
        <f ca="1">IFERROR(__xludf.DUMMYFUNCTION("""COMPUTED_VALUE"""),45034.6666666666)</f>
        <v>45034.666666666599</v>
      </c>
      <c r="B2088" s="1">
        <f ca="1">IFERROR(__xludf.DUMMYFUNCTION("""COMPUTED_VALUE"""),103.95)</f>
        <v>103.95</v>
      </c>
      <c r="C2088" s="1">
        <f ca="1">IFERROR(__xludf.DUMMYFUNCTION("""COMPUTED_VALUE"""),104.2)</f>
        <v>104.2</v>
      </c>
      <c r="D2088" s="1">
        <f ca="1">IFERROR(__xludf.DUMMYFUNCTION("""COMPUTED_VALUE"""),101.52)</f>
        <v>101.52</v>
      </c>
      <c r="E2088" s="1">
        <f ca="1">IFERROR(__xludf.DUMMYFUNCTION("""COMPUTED_VALUE"""),102.3)</f>
        <v>102.3</v>
      </c>
      <c r="F2088" s="1">
        <f ca="1">IFERROR(__xludf.DUMMYFUNCTION("""COMPUTED_VALUE"""),39790518)</f>
        <v>39790518</v>
      </c>
    </row>
    <row r="2089" spans="1:6" x14ac:dyDescent="0.35">
      <c r="A2089" s="2">
        <f ca="1">IFERROR(__xludf.DUMMYFUNCTION("""COMPUTED_VALUE"""),45035.6666666666)</f>
        <v>45035.666666666599</v>
      </c>
      <c r="B2089" s="1">
        <f ca="1">IFERROR(__xludf.DUMMYFUNCTION("""COMPUTED_VALUE"""),101.58)</f>
        <v>101.58</v>
      </c>
      <c r="C2089" s="1">
        <f ca="1">IFERROR(__xludf.DUMMYFUNCTION("""COMPUTED_VALUE"""),105.12)</f>
        <v>105.12</v>
      </c>
      <c r="D2089" s="1">
        <f ca="1">IFERROR(__xludf.DUMMYFUNCTION("""COMPUTED_VALUE"""),101.39)</f>
        <v>101.39</v>
      </c>
      <c r="E2089" s="1">
        <f ca="1">IFERROR(__xludf.DUMMYFUNCTION("""COMPUTED_VALUE"""),104.3)</f>
        <v>104.3</v>
      </c>
      <c r="F2089" s="1">
        <f ca="1">IFERROR(__xludf.DUMMYFUNCTION("""COMPUTED_VALUE"""),58398890)</f>
        <v>58398890</v>
      </c>
    </row>
    <row r="2090" spans="1:6" x14ac:dyDescent="0.35">
      <c r="A2090" s="2">
        <f ca="1">IFERROR(__xludf.DUMMYFUNCTION("""COMPUTED_VALUE"""),45036.6666666666)</f>
        <v>45036.666666666599</v>
      </c>
      <c r="B2090" s="1">
        <f ca="1">IFERROR(__xludf.DUMMYFUNCTION("""COMPUTED_VALUE"""),103.53)</f>
        <v>103.53</v>
      </c>
      <c r="C2090" s="1">
        <f ca="1">IFERROR(__xludf.DUMMYFUNCTION("""COMPUTED_VALUE"""),105.25)</f>
        <v>105.25</v>
      </c>
      <c r="D2090" s="1">
        <f ca="1">IFERROR(__xludf.DUMMYFUNCTION("""COMPUTED_VALUE"""),103.21)</f>
        <v>103.21</v>
      </c>
      <c r="E2090" s="1">
        <f ca="1">IFERROR(__xludf.DUMMYFUNCTION("""COMPUTED_VALUE"""),103.81)</f>
        <v>103.81</v>
      </c>
      <c r="F2090" s="1">
        <f ca="1">IFERROR(__xludf.DUMMYFUNCTION("""COMPUTED_VALUE"""),57696866)</f>
        <v>57696866</v>
      </c>
    </row>
    <row r="2091" spans="1:6" x14ac:dyDescent="0.35">
      <c r="A2091" s="2">
        <f ca="1">IFERROR(__xludf.DUMMYFUNCTION("""COMPUTED_VALUE"""),45037.6666666666)</f>
        <v>45037.666666666599</v>
      </c>
      <c r="B2091" s="1">
        <f ca="1">IFERROR(__xludf.DUMMYFUNCTION("""COMPUTED_VALUE"""),106.1)</f>
        <v>106.1</v>
      </c>
      <c r="C2091" s="1">
        <f ca="1">IFERROR(__xludf.DUMMYFUNCTION("""COMPUTED_VALUE"""),108.15)</f>
        <v>108.15</v>
      </c>
      <c r="D2091" s="1">
        <f ca="1">IFERROR(__xludf.DUMMYFUNCTION("""COMPUTED_VALUE"""),105.08)</f>
        <v>105.08</v>
      </c>
      <c r="E2091" s="1">
        <f ca="1">IFERROR(__xludf.DUMMYFUNCTION("""COMPUTED_VALUE"""),106.96)</f>
        <v>106.96</v>
      </c>
      <c r="F2091" s="1">
        <f ca="1">IFERROR(__xludf.DUMMYFUNCTION("""COMPUTED_VALUE"""),86774185)</f>
        <v>86774185</v>
      </c>
    </row>
    <row r="2092" spans="1:6" x14ac:dyDescent="0.35">
      <c r="A2092" s="2">
        <f ca="1">IFERROR(__xludf.DUMMYFUNCTION("""COMPUTED_VALUE"""),45040.6666666666)</f>
        <v>45040.666666666599</v>
      </c>
      <c r="B2092" s="1">
        <f ca="1">IFERROR(__xludf.DUMMYFUNCTION("""COMPUTED_VALUE"""),107.66)</f>
        <v>107.66</v>
      </c>
      <c r="C2092" s="1">
        <f ca="1">IFERROR(__xludf.DUMMYFUNCTION("""COMPUTED_VALUE"""),109.23)</f>
        <v>109.23</v>
      </c>
      <c r="D2092" s="1">
        <f ca="1">IFERROR(__xludf.DUMMYFUNCTION("""COMPUTED_VALUE"""),105.07)</f>
        <v>105.07</v>
      </c>
      <c r="E2092" s="1">
        <f ca="1">IFERROR(__xludf.DUMMYFUNCTION("""COMPUTED_VALUE"""),106.21)</f>
        <v>106.21</v>
      </c>
      <c r="F2092" s="1">
        <f ca="1">IFERROR(__xludf.DUMMYFUNCTION("""COMPUTED_VALUE"""),69575610)</f>
        <v>69575610</v>
      </c>
    </row>
    <row r="2093" spans="1:6" x14ac:dyDescent="0.35">
      <c r="A2093" s="2">
        <f ca="1">IFERROR(__xludf.DUMMYFUNCTION("""COMPUTED_VALUE"""),45041.6666666666)</f>
        <v>45041.666666666599</v>
      </c>
      <c r="B2093" s="1">
        <f ca="1">IFERROR(__xludf.DUMMYFUNCTION("""COMPUTED_VALUE"""),104.91)</f>
        <v>104.91</v>
      </c>
      <c r="C2093" s="1">
        <f ca="1">IFERROR(__xludf.DUMMYFUNCTION("""COMPUTED_VALUE"""),105.45)</f>
        <v>105.45</v>
      </c>
      <c r="D2093" s="1">
        <f ca="1">IFERROR(__xludf.DUMMYFUNCTION("""COMPUTED_VALUE"""),102.45)</f>
        <v>102.45</v>
      </c>
      <c r="E2093" s="1">
        <f ca="1">IFERROR(__xludf.DUMMYFUNCTION("""COMPUTED_VALUE"""),102.57)</f>
        <v>102.57</v>
      </c>
      <c r="F2093" s="1">
        <f ca="1">IFERROR(__xludf.DUMMYFUNCTION("""COMPUTED_VALUE"""),65026818)</f>
        <v>65026818</v>
      </c>
    </row>
    <row r="2094" spans="1:6" x14ac:dyDescent="0.35">
      <c r="A2094" s="2">
        <f ca="1">IFERROR(__xludf.DUMMYFUNCTION("""COMPUTED_VALUE"""),45042.6666666666)</f>
        <v>45042.666666666599</v>
      </c>
      <c r="B2094" s="1">
        <f ca="1">IFERROR(__xludf.DUMMYFUNCTION("""COMPUTED_VALUE"""),105.04)</f>
        <v>105.04</v>
      </c>
      <c r="C2094" s="1">
        <f ca="1">IFERROR(__xludf.DUMMYFUNCTION("""COMPUTED_VALUE"""),106.62)</f>
        <v>106.62</v>
      </c>
      <c r="D2094" s="1">
        <f ca="1">IFERROR(__xludf.DUMMYFUNCTION("""COMPUTED_VALUE"""),104.1)</f>
        <v>104.1</v>
      </c>
      <c r="E2094" s="1">
        <f ca="1">IFERROR(__xludf.DUMMYFUNCTION("""COMPUTED_VALUE"""),104.98)</f>
        <v>104.98</v>
      </c>
      <c r="F2094" s="1">
        <f ca="1">IFERROR(__xludf.DUMMYFUNCTION("""COMPUTED_VALUE"""),73803790)</f>
        <v>73803790</v>
      </c>
    </row>
    <row r="2095" spans="1:6" x14ac:dyDescent="0.35">
      <c r="A2095" s="2">
        <f ca="1">IFERROR(__xludf.DUMMYFUNCTION("""COMPUTED_VALUE"""),45043.6666666666)</f>
        <v>45043.666666666599</v>
      </c>
      <c r="B2095" s="1">
        <f ca="1">IFERROR(__xludf.DUMMYFUNCTION("""COMPUTED_VALUE"""),108.16)</f>
        <v>108.16</v>
      </c>
      <c r="C2095" s="1">
        <f ca="1">IFERROR(__xludf.DUMMYFUNCTION("""COMPUTED_VALUE"""),110.86)</f>
        <v>110.86</v>
      </c>
      <c r="D2095" s="1">
        <f ca="1">IFERROR(__xludf.DUMMYFUNCTION("""COMPUTED_VALUE"""),106.8)</f>
        <v>106.8</v>
      </c>
      <c r="E2095" s="1">
        <f ca="1">IFERROR(__xludf.DUMMYFUNCTION("""COMPUTED_VALUE"""),109.82)</f>
        <v>109.82</v>
      </c>
      <c r="F2095" s="1">
        <f ca="1">IFERROR(__xludf.DUMMYFUNCTION("""COMPUTED_VALUE"""),149961167)</f>
        <v>149961167</v>
      </c>
    </row>
    <row r="2096" spans="1:6" x14ac:dyDescent="0.35">
      <c r="A2096" s="2">
        <f ca="1">IFERROR(__xludf.DUMMYFUNCTION("""COMPUTED_VALUE"""),45044.6666666666)</f>
        <v>45044.666666666599</v>
      </c>
      <c r="B2096" s="1">
        <f ca="1">IFERROR(__xludf.DUMMYFUNCTION("""COMPUTED_VALUE"""),107.73)</f>
        <v>107.73</v>
      </c>
      <c r="C2096" s="1">
        <f ca="1">IFERROR(__xludf.DUMMYFUNCTION("""COMPUTED_VALUE"""),109.48)</f>
        <v>109.48</v>
      </c>
      <c r="D2096" s="1">
        <f ca="1">IFERROR(__xludf.DUMMYFUNCTION("""COMPUTED_VALUE"""),104.33)</f>
        <v>104.33</v>
      </c>
      <c r="E2096" s="1">
        <f ca="1">IFERROR(__xludf.DUMMYFUNCTION("""COMPUTED_VALUE"""),105.45)</f>
        <v>105.45</v>
      </c>
      <c r="F2096" s="1">
        <f ca="1">IFERROR(__xludf.DUMMYFUNCTION("""COMPUTED_VALUE"""),130715946)</f>
        <v>130715946</v>
      </c>
    </row>
    <row r="2097" spans="1:6" x14ac:dyDescent="0.35">
      <c r="A2097" s="2">
        <f ca="1">IFERROR(__xludf.DUMMYFUNCTION("""COMPUTED_VALUE"""),45047.6666666666)</f>
        <v>45047.666666666599</v>
      </c>
      <c r="B2097" s="1">
        <f ca="1">IFERROR(__xludf.DUMMYFUNCTION("""COMPUTED_VALUE"""),104.95)</f>
        <v>104.95</v>
      </c>
      <c r="C2097" s="1">
        <f ca="1">IFERROR(__xludf.DUMMYFUNCTION("""COMPUTED_VALUE"""),105.23)</f>
        <v>105.23</v>
      </c>
      <c r="D2097" s="1">
        <f ca="1">IFERROR(__xludf.DUMMYFUNCTION("""COMPUTED_VALUE"""),101.82)</f>
        <v>101.82</v>
      </c>
      <c r="E2097" s="1">
        <f ca="1">IFERROR(__xludf.DUMMYFUNCTION("""COMPUTED_VALUE"""),102.05)</f>
        <v>102.05</v>
      </c>
      <c r="F2097" s="1">
        <f ca="1">IFERROR(__xludf.DUMMYFUNCTION("""COMPUTED_VALUE"""),74728096)</f>
        <v>74728096</v>
      </c>
    </row>
    <row r="2098" spans="1:6" x14ac:dyDescent="0.35">
      <c r="A2098" s="2">
        <f ca="1">IFERROR(__xludf.DUMMYFUNCTION("""COMPUTED_VALUE"""),45048.6666666666)</f>
        <v>45048.666666666599</v>
      </c>
      <c r="B2098" s="1">
        <f ca="1">IFERROR(__xludf.DUMMYFUNCTION("""COMPUTED_VALUE"""),101.47)</f>
        <v>101.47</v>
      </c>
      <c r="C2098" s="1">
        <f ca="1">IFERROR(__xludf.DUMMYFUNCTION("""COMPUTED_VALUE"""),103.9)</f>
        <v>103.9</v>
      </c>
      <c r="D2098" s="1">
        <f ca="1">IFERROR(__xludf.DUMMYFUNCTION("""COMPUTED_VALUE"""),101.15)</f>
        <v>101.15</v>
      </c>
      <c r="E2098" s="1">
        <f ca="1">IFERROR(__xludf.DUMMYFUNCTION("""COMPUTED_VALUE"""),103.63)</f>
        <v>103.63</v>
      </c>
      <c r="F2098" s="1">
        <f ca="1">IFERROR(__xludf.DUMMYFUNCTION("""COMPUTED_VALUE"""),73469350)</f>
        <v>73469350</v>
      </c>
    </row>
    <row r="2099" spans="1:6" x14ac:dyDescent="0.35">
      <c r="A2099" s="2">
        <f ca="1">IFERROR(__xludf.DUMMYFUNCTION("""COMPUTED_VALUE"""),45049.6666666666)</f>
        <v>45049.666666666599</v>
      </c>
      <c r="B2099" s="1">
        <f ca="1">IFERROR(__xludf.DUMMYFUNCTION("""COMPUTED_VALUE"""),103.74)</f>
        <v>103.74</v>
      </c>
      <c r="C2099" s="1">
        <f ca="1">IFERROR(__xludf.DUMMYFUNCTION("""COMPUTED_VALUE"""),105.96)</f>
        <v>105.96</v>
      </c>
      <c r="D2099" s="1">
        <f ca="1">IFERROR(__xludf.DUMMYFUNCTION("""COMPUTED_VALUE"""),103.28)</f>
        <v>103.28</v>
      </c>
      <c r="E2099" s="1">
        <f ca="1">IFERROR(__xludf.DUMMYFUNCTION("""COMPUTED_VALUE"""),103.65)</f>
        <v>103.65</v>
      </c>
      <c r="F2099" s="1">
        <f ca="1">IFERROR(__xludf.DUMMYFUNCTION("""COMPUTED_VALUE"""),65051925)</f>
        <v>65051925</v>
      </c>
    </row>
    <row r="2100" spans="1:6" x14ac:dyDescent="0.35">
      <c r="A2100" s="2">
        <f ca="1">IFERROR(__xludf.DUMMYFUNCTION("""COMPUTED_VALUE"""),45050.6666666666)</f>
        <v>45050.666666666599</v>
      </c>
      <c r="B2100" s="1">
        <f ca="1">IFERROR(__xludf.DUMMYFUNCTION("""COMPUTED_VALUE"""),104.04)</f>
        <v>104.04</v>
      </c>
      <c r="C2100" s="1">
        <f ca="1">IFERROR(__xludf.DUMMYFUNCTION("""COMPUTED_VALUE"""),105.39)</f>
        <v>105.39</v>
      </c>
      <c r="D2100" s="1">
        <f ca="1">IFERROR(__xludf.DUMMYFUNCTION("""COMPUTED_VALUE"""),103.31)</f>
        <v>103.31</v>
      </c>
      <c r="E2100" s="1">
        <f ca="1">IFERROR(__xludf.DUMMYFUNCTION("""COMPUTED_VALUE"""),104)</f>
        <v>104</v>
      </c>
      <c r="F2100" s="1">
        <f ca="1">IFERROR(__xludf.DUMMYFUNCTION("""COMPUTED_VALUE"""),45345523)</f>
        <v>45345523</v>
      </c>
    </row>
    <row r="2101" spans="1:6" x14ac:dyDescent="0.35">
      <c r="A2101" s="2">
        <f ca="1">IFERROR(__xludf.DUMMYFUNCTION("""COMPUTED_VALUE"""),45051.6666666666)</f>
        <v>45051.666666666599</v>
      </c>
      <c r="B2101" s="1">
        <f ca="1">IFERROR(__xludf.DUMMYFUNCTION("""COMPUTED_VALUE"""),104.27)</f>
        <v>104.27</v>
      </c>
      <c r="C2101" s="1">
        <f ca="1">IFERROR(__xludf.DUMMYFUNCTION("""COMPUTED_VALUE"""),105.76)</f>
        <v>105.76</v>
      </c>
      <c r="D2101" s="1">
        <f ca="1">IFERROR(__xludf.DUMMYFUNCTION("""COMPUTED_VALUE"""),103.55)</f>
        <v>103.55</v>
      </c>
      <c r="E2101" s="1">
        <f ca="1">IFERROR(__xludf.DUMMYFUNCTION("""COMPUTED_VALUE"""),105.66)</f>
        <v>105.66</v>
      </c>
      <c r="F2101" s="1">
        <f ca="1">IFERROR(__xludf.DUMMYFUNCTION("""COMPUTED_VALUE"""),56951744)</f>
        <v>56951744</v>
      </c>
    </row>
    <row r="2102" spans="1:6" x14ac:dyDescent="0.35">
      <c r="A2102" s="2">
        <f ca="1">IFERROR(__xludf.DUMMYFUNCTION("""COMPUTED_VALUE"""),45054.6666666666)</f>
        <v>45054.666666666599</v>
      </c>
      <c r="B2102" s="1">
        <f ca="1">IFERROR(__xludf.DUMMYFUNCTION("""COMPUTED_VALUE"""),105.04)</f>
        <v>105.04</v>
      </c>
      <c r="C2102" s="1">
        <f ca="1">IFERROR(__xludf.DUMMYFUNCTION("""COMPUTED_VALUE"""),106.1)</f>
        <v>106.1</v>
      </c>
      <c r="D2102" s="1">
        <f ca="1">IFERROR(__xludf.DUMMYFUNCTION("""COMPUTED_VALUE"""),104.7)</f>
        <v>104.7</v>
      </c>
      <c r="E2102" s="1">
        <f ca="1">IFERROR(__xludf.DUMMYFUNCTION("""COMPUTED_VALUE"""),105.83)</f>
        <v>105.83</v>
      </c>
      <c r="F2102" s="1">
        <f ca="1">IFERROR(__xludf.DUMMYFUNCTION("""COMPUTED_VALUE"""),49430909)</f>
        <v>49430909</v>
      </c>
    </row>
    <row r="2103" spans="1:6" x14ac:dyDescent="0.35">
      <c r="A2103" s="2">
        <f ca="1">IFERROR(__xludf.DUMMYFUNCTION("""COMPUTED_VALUE"""),45055.6666666666)</f>
        <v>45055.666666666599</v>
      </c>
      <c r="B2103" s="1">
        <f ca="1">IFERROR(__xludf.DUMMYFUNCTION("""COMPUTED_VALUE"""),105.48)</f>
        <v>105.48</v>
      </c>
      <c r="C2103" s="1">
        <f ca="1">IFERROR(__xludf.DUMMYFUNCTION("""COMPUTED_VALUE"""),106.79)</f>
        <v>106.79</v>
      </c>
      <c r="D2103" s="1">
        <f ca="1">IFERROR(__xludf.DUMMYFUNCTION("""COMPUTED_VALUE"""),105.16)</f>
        <v>105.16</v>
      </c>
      <c r="E2103" s="1">
        <f ca="1">IFERROR(__xludf.DUMMYFUNCTION("""COMPUTED_VALUE"""),106.62)</f>
        <v>106.62</v>
      </c>
      <c r="F2103" s="1">
        <f ca="1">IFERROR(__xludf.DUMMYFUNCTION("""COMPUTED_VALUE"""),44089359)</f>
        <v>44089359</v>
      </c>
    </row>
    <row r="2104" spans="1:6" x14ac:dyDescent="0.35">
      <c r="A2104" s="2">
        <f ca="1">IFERROR(__xludf.DUMMYFUNCTION("""COMPUTED_VALUE"""),45056.6666666666)</f>
        <v>45056.666666666599</v>
      </c>
      <c r="B2104" s="1">
        <f ca="1">IFERROR(__xludf.DUMMYFUNCTION("""COMPUTED_VALUE"""),108.1)</f>
        <v>108.1</v>
      </c>
      <c r="C2104" s="1">
        <f ca="1">IFERROR(__xludf.DUMMYFUNCTION("""COMPUTED_VALUE"""),110.67)</f>
        <v>110.67</v>
      </c>
      <c r="D2104" s="1">
        <f ca="1">IFERROR(__xludf.DUMMYFUNCTION("""COMPUTED_VALUE"""),108.05)</f>
        <v>108.05</v>
      </c>
      <c r="E2104" s="1">
        <f ca="1">IFERROR(__xludf.DUMMYFUNCTION("""COMPUTED_VALUE"""),110.19)</f>
        <v>110.19</v>
      </c>
      <c r="F2104" s="1">
        <f ca="1">IFERROR(__xludf.DUMMYFUNCTION("""COMPUTED_VALUE"""),78627616)</f>
        <v>78627616</v>
      </c>
    </row>
    <row r="2105" spans="1:6" x14ac:dyDescent="0.35">
      <c r="A2105" s="2">
        <f ca="1">IFERROR(__xludf.DUMMYFUNCTION("""COMPUTED_VALUE"""),45057.6666666666)</f>
        <v>45057.666666666599</v>
      </c>
      <c r="B2105" s="1">
        <f ca="1">IFERROR(__xludf.DUMMYFUNCTION("""COMPUTED_VALUE"""),111.03)</f>
        <v>111.03</v>
      </c>
      <c r="C2105" s="1">
        <f ca="1">IFERROR(__xludf.DUMMYFUNCTION("""COMPUTED_VALUE"""),113.28)</f>
        <v>113.28</v>
      </c>
      <c r="D2105" s="1">
        <f ca="1">IFERROR(__xludf.DUMMYFUNCTION("""COMPUTED_VALUE"""),110.49)</f>
        <v>110.49</v>
      </c>
      <c r="E2105" s="1">
        <f ca="1">IFERROR(__xludf.DUMMYFUNCTION("""COMPUTED_VALUE"""),112.18)</f>
        <v>112.18</v>
      </c>
      <c r="F2105" s="1">
        <f ca="1">IFERROR(__xludf.DUMMYFUNCTION("""COMPUTED_VALUE"""),74924841)</f>
        <v>74924841</v>
      </c>
    </row>
    <row r="2106" spans="1:6" x14ac:dyDescent="0.35">
      <c r="A2106" s="2">
        <f ca="1">IFERROR(__xludf.DUMMYFUNCTION("""COMPUTED_VALUE"""),45058.6666666666)</f>
        <v>45058.666666666599</v>
      </c>
      <c r="B2106" s="1">
        <f ca="1">IFERROR(__xludf.DUMMYFUNCTION("""COMPUTED_VALUE"""),112.16)</f>
        <v>112.16</v>
      </c>
      <c r="C2106" s="1">
        <f ca="1">IFERROR(__xludf.DUMMYFUNCTION("""COMPUTED_VALUE"""),112.64)</f>
        <v>112.64</v>
      </c>
      <c r="D2106" s="1">
        <f ca="1">IFERROR(__xludf.DUMMYFUNCTION("""COMPUTED_VALUE"""),109.32)</f>
        <v>109.32</v>
      </c>
      <c r="E2106" s="1">
        <f ca="1">IFERROR(__xludf.DUMMYFUNCTION("""COMPUTED_VALUE"""),110.26)</f>
        <v>110.26</v>
      </c>
      <c r="F2106" s="1">
        <f ca="1">IFERROR(__xludf.DUMMYFUNCTION("""COMPUTED_VALUE"""),49852671)</f>
        <v>49852671</v>
      </c>
    </row>
    <row r="2107" spans="1:6" x14ac:dyDescent="0.35">
      <c r="A2107" s="2">
        <f ca="1">IFERROR(__xludf.DUMMYFUNCTION("""COMPUTED_VALUE"""),45061.6666666666)</f>
        <v>45061.666666666599</v>
      </c>
      <c r="B2107" s="1">
        <f ca="1">IFERROR(__xludf.DUMMYFUNCTION("""COMPUTED_VALUE"""),111.15)</f>
        <v>111.15</v>
      </c>
      <c r="C2107" s="1">
        <f ca="1">IFERROR(__xludf.DUMMYFUNCTION("""COMPUTED_VALUE"""),112.29)</f>
        <v>112.29</v>
      </c>
      <c r="D2107" s="1">
        <f ca="1">IFERROR(__xludf.DUMMYFUNCTION("""COMPUTED_VALUE"""),109.25)</f>
        <v>109.25</v>
      </c>
      <c r="E2107" s="1">
        <f ca="1">IFERROR(__xludf.DUMMYFUNCTION("""COMPUTED_VALUE"""),111.2)</f>
        <v>111.2</v>
      </c>
      <c r="F2107" s="1">
        <f ca="1">IFERROR(__xludf.DUMMYFUNCTION("""COMPUTED_VALUE"""),53011145)</f>
        <v>53011145</v>
      </c>
    </row>
    <row r="2108" spans="1:6" x14ac:dyDescent="0.35">
      <c r="A2108" s="2">
        <f ca="1">IFERROR(__xludf.DUMMYFUNCTION("""COMPUTED_VALUE"""),45062.6666666666)</f>
        <v>45062.666666666599</v>
      </c>
      <c r="B2108" s="1">
        <f ca="1">IFERROR(__xludf.DUMMYFUNCTION("""COMPUTED_VALUE"""),111.05)</f>
        <v>111.05</v>
      </c>
      <c r="C2108" s="1">
        <f ca="1">IFERROR(__xludf.DUMMYFUNCTION("""COMPUTED_VALUE"""),114.79)</f>
        <v>114.79</v>
      </c>
      <c r="D2108" s="1">
        <f ca="1">IFERROR(__xludf.DUMMYFUNCTION("""COMPUTED_VALUE"""),111.05)</f>
        <v>111.05</v>
      </c>
      <c r="E2108" s="1">
        <f ca="1">IFERROR(__xludf.DUMMYFUNCTION("""COMPUTED_VALUE"""),113.4)</f>
        <v>113.4</v>
      </c>
      <c r="F2108" s="1">
        <f ca="1">IFERROR(__xludf.DUMMYFUNCTION("""COMPUTED_VALUE"""),71472908)</f>
        <v>71472908</v>
      </c>
    </row>
    <row r="2109" spans="1:6" x14ac:dyDescent="0.35">
      <c r="A2109" s="2">
        <f ca="1">IFERROR(__xludf.DUMMYFUNCTION("""COMPUTED_VALUE"""),45063.6666666666)</f>
        <v>45063.666666666599</v>
      </c>
      <c r="B2109" s="1">
        <f ca="1">IFERROR(__xludf.DUMMYFUNCTION("""COMPUTED_VALUE"""),114.89)</f>
        <v>114.89</v>
      </c>
      <c r="C2109" s="1">
        <f ca="1">IFERROR(__xludf.DUMMYFUNCTION("""COMPUTED_VALUE"""),115.83)</f>
        <v>115.83</v>
      </c>
      <c r="D2109" s="1">
        <f ca="1">IFERROR(__xludf.DUMMYFUNCTION("""COMPUTED_VALUE"""),114.22)</f>
        <v>114.22</v>
      </c>
      <c r="E2109" s="1">
        <f ca="1">IFERROR(__xludf.DUMMYFUNCTION("""COMPUTED_VALUE"""),115.5)</f>
        <v>115.5</v>
      </c>
      <c r="F2109" s="1">
        <f ca="1">IFERROR(__xludf.DUMMYFUNCTION("""COMPUTED_VALUE"""),65655177)</f>
        <v>65655177</v>
      </c>
    </row>
    <row r="2110" spans="1:6" x14ac:dyDescent="0.35">
      <c r="A2110" s="2">
        <f ca="1">IFERROR(__xludf.DUMMYFUNCTION("""COMPUTED_VALUE"""),45064.6666666666)</f>
        <v>45064.666666666599</v>
      </c>
      <c r="B2110" s="1">
        <f ca="1">IFERROR(__xludf.DUMMYFUNCTION("""COMPUTED_VALUE"""),116.69)</f>
        <v>116.69</v>
      </c>
      <c r="C2110" s="1">
        <f ca="1">IFERROR(__xludf.DUMMYFUNCTION("""COMPUTED_VALUE"""),118.6)</f>
        <v>118.6</v>
      </c>
      <c r="D2110" s="1">
        <f ca="1">IFERROR(__xludf.DUMMYFUNCTION("""COMPUTED_VALUE"""),116.34)</f>
        <v>116.34</v>
      </c>
      <c r="E2110" s="1">
        <f ca="1">IFERROR(__xludf.DUMMYFUNCTION("""COMPUTED_VALUE"""),118.15)</f>
        <v>118.15</v>
      </c>
      <c r="F2110" s="1">
        <f ca="1">IFERROR(__xludf.DUMMYFUNCTION("""COMPUTED_VALUE"""),73174087)</f>
        <v>73174087</v>
      </c>
    </row>
    <row r="2111" spans="1:6" x14ac:dyDescent="0.35">
      <c r="A2111" s="2">
        <f ca="1">IFERROR(__xludf.DUMMYFUNCTION("""COMPUTED_VALUE"""),45065.6666666666)</f>
        <v>45065.666666666599</v>
      </c>
      <c r="B2111" s="1">
        <f ca="1">IFERROR(__xludf.DUMMYFUNCTION("""COMPUTED_VALUE"""),118.16)</f>
        <v>118.16</v>
      </c>
      <c r="C2111" s="1">
        <f ca="1">IFERROR(__xludf.DUMMYFUNCTION("""COMPUTED_VALUE"""),118.31)</f>
        <v>118.31</v>
      </c>
      <c r="D2111" s="1">
        <f ca="1">IFERROR(__xludf.DUMMYFUNCTION("""COMPUTED_VALUE"""),115.7)</f>
        <v>115.7</v>
      </c>
      <c r="E2111" s="1">
        <f ca="1">IFERROR(__xludf.DUMMYFUNCTION("""COMPUTED_VALUE"""),116.25)</f>
        <v>116.25</v>
      </c>
      <c r="F2111" s="1">
        <f ca="1">IFERROR(__xludf.DUMMYFUNCTION("""COMPUTED_VALUE"""),55056307)</f>
        <v>55056307</v>
      </c>
    </row>
    <row r="2112" spans="1:6" x14ac:dyDescent="0.35">
      <c r="A2112" s="2">
        <f ca="1">IFERROR(__xludf.DUMMYFUNCTION("""COMPUTED_VALUE"""),45068.6666666666)</f>
        <v>45068.666666666599</v>
      </c>
      <c r="B2112" s="1">
        <f ca="1">IFERROR(__xludf.DUMMYFUNCTION("""COMPUTED_VALUE"""),116.77)</f>
        <v>116.77</v>
      </c>
      <c r="C2112" s="1">
        <f ca="1">IFERROR(__xludf.DUMMYFUNCTION("""COMPUTED_VALUE"""),116.77)</f>
        <v>116.77</v>
      </c>
      <c r="D2112" s="1">
        <f ca="1">IFERROR(__xludf.DUMMYFUNCTION("""COMPUTED_VALUE"""),114.25)</f>
        <v>114.25</v>
      </c>
      <c r="E2112" s="1">
        <f ca="1">IFERROR(__xludf.DUMMYFUNCTION("""COMPUTED_VALUE"""),115.01)</f>
        <v>115.01</v>
      </c>
      <c r="F2112" s="1">
        <f ca="1">IFERROR(__xludf.DUMMYFUNCTION("""COMPUTED_VALUE"""),70741123)</f>
        <v>70741123</v>
      </c>
    </row>
    <row r="2113" spans="1:6" x14ac:dyDescent="0.35">
      <c r="A2113" s="2">
        <f ca="1">IFERROR(__xludf.DUMMYFUNCTION("""COMPUTED_VALUE"""),45069.6666666666)</f>
        <v>45069.666666666599</v>
      </c>
      <c r="B2113" s="1">
        <f ca="1">IFERROR(__xludf.DUMMYFUNCTION("""COMPUTED_VALUE"""),114.27)</f>
        <v>114.27</v>
      </c>
      <c r="C2113" s="1">
        <f ca="1">IFERROR(__xludf.DUMMYFUNCTION("""COMPUTED_VALUE"""),117.14)</f>
        <v>117.14</v>
      </c>
      <c r="D2113" s="1">
        <f ca="1">IFERROR(__xludf.DUMMYFUNCTION("""COMPUTED_VALUE"""),113.78)</f>
        <v>113.78</v>
      </c>
      <c r="E2113" s="1">
        <f ca="1">IFERROR(__xludf.DUMMYFUNCTION("""COMPUTED_VALUE"""),114.99)</f>
        <v>114.99</v>
      </c>
      <c r="F2113" s="1">
        <f ca="1">IFERROR(__xludf.DUMMYFUNCTION("""COMPUTED_VALUE"""),67576262)</f>
        <v>67576262</v>
      </c>
    </row>
    <row r="2114" spans="1:6" x14ac:dyDescent="0.35">
      <c r="A2114" s="2">
        <f ca="1">IFERROR(__xludf.DUMMYFUNCTION("""COMPUTED_VALUE"""),45070.6666666666)</f>
        <v>45070.666666666599</v>
      </c>
      <c r="B2114" s="1">
        <f ca="1">IFERROR(__xludf.DUMMYFUNCTION("""COMPUTED_VALUE"""),115.35)</f>
        <v>115.35</v>
      </c>
      <c r="C2114" s="1">
        <f ca="1">IFERROR(__xludf.DUMMYFUNCTION("""COMPUTED_VALUE"""),117.34)</f>
        <v>117.34</v>
      </c>
      <c r="D2114" s="1">
        <f ca="1">IFERROR(__xludf.DUMMYFUNCTION("""COMPUTED_VALUE"""),115.02)</f>
        <v>115.02</v>
      </c>
      <c r="E2114" s="1">
        <f ca="1">IFERROR(__xludf.DUMMYFUNCTION("""COMPUTED_VALUE"""),116.75)</f>
        <v>116.75</v>
      </c>
      <c r="F2114" s="1">
        <f ca="1">IFERROR(__xludf.DUMMYFUNCTION("""COMPUTED_VALUE"""),63487938)</f>
        <v>63487938</v>
      </c>
    </row>
    <row r="2115" spans="1:6" x14ac:dyDescent="0.35">
      <c r="A2115" s="2">
        <f ca="1">IFERROR(__xludf.DUMMYFUNCTION("""COMPUTED_VALUE"""),45071.6666666666)</f>
        <v>45071.666666666599</v>
      </c>
      <c r="B2115" s="1">
        <f ca="1">IFERROR(__xludf.DUMMYFUNCTION("""COMPUTED_VALUE"""),116.63)</f>
        <v>116.63</v>
      </c>
      <c r="C2115" s="1">
        <f ca="1">IFERROR(__xludf.DUMMYFUNCTION("""COMPUTED_VALUE"""),116.87)</f>
        <v>116.87</v>
      </c>
      <c r="D2115" s="1">
        <f ca="1">IFERROR(__xludf.DUMMYFUNCTION("""COMPUTED_VALUE"""),114.31)</f>
        <v>114.31</v>
      </c>
      <c r="E2115" s="1">
        <f ca="1">IFERROR(__xludf.DUMMYFUNCTION("""COMPUTED_VALUE"""),115)</f>
        <v>115</v>
      </c>
      <c r="F2115" s="1">
        <f ca="1">IFERROR(__xludf.DUMMYFUNCTION("""COMPUTED_VALUE"""),66496681)</f>
        <v>66496681</v>
      </c>
    </row>
    <row r="2116" spans="1:6" x14ac:dyDescent="0.35">
      <c r="A2116" s="2">
        <f ca="1">IFERROR(__xludf.DUMMYFUNCTION("""COMPUTED_VALUE"""),45072.6666666666)</f>
        <v>45072.666666666599</v>
      </c>
      <c r="B2116" s="1">
        <f ca="1">IFERROR(__xludf.DUMMYFUNCTION("""COMPUTED_VALUE"""),116.04)</f>
        <v>116.04</v>
      </c>
      <c r="C2116" s="1">
        <f ca="1">IFERROR(__xludf.DUMMYFUNCTION("""COMPUTED_VALUE"""),121.5)</f>
        <v>121.5</v>
      </c>
      <c r="D2116" s="1">
        <f ca="1">IFERROR(__xludf.DUMMYFUNCTION("""COMPUTED_VALUE"""),116.02)</f>
        <v>116.02</v>
      </c>
      <c r="E2116" s="1">
        <f ca="1">IFERROR(__xludf.DUMMYFUNCTION("""COMPUTED_VALUE"""),120.11)</f>
        <v>120.11</v>
      </c>
      <c r="F2116" s="1">
        <f ca="1">IFERROR(__xludf.DUMMYFUNCTION("""COMPUTED_VALUE"""),96779889)</f>
        <v>96779889</v>
      </c>
    </row>
    <row r="2117" spans="1:6" x14ac:dyDescent="0.35">
      <c r="A2117" s="2">
        <f ca="1">IFERROR(__xludf.DUMMYFUNCTION("""COMPUTED_VALUE"""),45076.6666666666)</f>
        <v>45076.666666666599</v>
      </c>
      <c r="B2117" s="1">
        <f ca="1">IFERROR(__xludf.DUMMYFUNCTION("""COMPUTED_VALUE"""),122.37)</f>
        <v>122.37</v>
      </c>
      <c r="C2117" s="1">
        <f ca="1">IFERROR(__xludf.DUMMYFUNCTION("""COMPUTED_VALUE"""),122.92)</f>
        <v>122.92</v>
      </c>
      <c r="D2117" s="1">
        <f ca="1">IFERROR(__xludf.DUMMYFUNCTION("""COMPUTED_VALUE"""),119.86)</f>
        <v>119.86</v>
      </c>
      <c r="E2117" s="1">
        <f ca="1">IFERROR(__xludf.DUMMYFUNCTION("""COMPUTED_VALUE"""),121.66)</f>
        <v>121.66</v>
      </c>
      <c r="F2117" s="1">
        <f ca="1">IFERROR(__xludf.DUMMYFUNCTION("""COMPUTED_VALUE"""),64314808)</f>
        <v>64314808</v>
      </c>
    </row>
    <row r="2118" spans="1:6" x14ac:dyDescent="0.35">
      <c r="A2118" s="2">
        <f ca="1">IFERROR(__xludf.DUMMYFUNCTION("""COMPUTED_VALUE"""),45077.6666666666)</f>
        <v>45077.666666666599</v>
      </c>
      <c r="B2118" s="1">
        <f ca="1">IFERROR(__xludf.DUMMYFUNCTION("""COMPUTED_VALUE"""),121.45)</f>
        <v>121.45</v>
      </c>
      <c r="C2118" s="1">
        <f ca="1">IFERROR(__xludf.DUMMYFUNCTION("""COMPUTED_VALUE"""),122.04)</f>
        <v>122.04</v>
      </c>
      <c r="D2118" s="1">
        <f ca="1">IFERROR(__xludf.DUMMYFUNCTION("""COMPUTED_VALUE"""),119.17)</f>
        <v>119.17</v>
      </c>
      <c r="E2118" s="1">
        <f ca="1">IFERROR(__xludf.DUMMYFUNCTION("""COMPUTED_VALUE"""),120.58)</f>
        <v>120.58</v>
      </c>
      <c r="F2118" s="1">
        <f ca="1">IFERROR(__xludf.DUMMYFUNCTION("""COMPUTED_VALUE"""),72800787)</f>
        <v>72800787</v>
      </c>
    </row>
    <row r="2119" spans="1:6" x14ac:dyDescent="0.35">
      <c r="A2119" s="2">
        <f ca="1">IFERROR(__xludf.DUMMYFUNCTION("""COMPUTED_VALUE"""),45078.6666666666)</f>
        <v>45078.666666666599</v>
      </c>
      <c r="B2119" s="1">
        <f ca="1">IFERROR(__xludf.DUMMYFUNCTION("""COMPUTED_VALUE"""),120.69)</f>
        <v>120.69</v>
      </c>
      <c r="C2119" s="1">
        <f ca="1">IFERROR(__xludf.DUMMYFUNCTION("""COMPUTED_VALUE"""),123.49)</f>
        <v>123.49</v>
      </c>
      <c r="D2119" s="1">
        <f ca="1">IFERROR(__xludf.DUMMYFUNCTION("""COMPUTED_VALUE"""),119.93)</f>
        <v>119.93</v>
      </c>
      <c r="E2119" s="1">
        <f ca="1">IFERROR(__xludf.DUMMYFUNCTION("""COMPUTED_VALUE"""),122.77)</f>
        <v>122.77</v>
      </c>
      <c r="F2119" s="1">
        <f ca="1">IFERROR(__xludf.DUMMYFUNCTION("""COMPUTED_VALUE"""),54375131)</f>
        <v>54375131</v>
      </c>
    </row>
    <row r="2120" spans="1:6" x14ac:dyDescent="0.35">
      <c r="A2120" s="2">
        <f ca="1">IFERROR(__xludf.DUMMYFUNCTION("""COMPUTED_VALUE"""),45079.6666666666)</f>
        <v>45079.666666666599</v>
      </c>
      <c r="B2120" s="1">
        <f ca="1">IFERROR(__xludf.DUMMYFUNCTION("""COMPUTED_VALUE"""),124.92)</f>
        <v>124.92</v>
      </c>
      <c r="C2120" s="1">
        <f ca="1">IFERROR(__xludf.DUMMYFUNCTION("""COMPUTED_VALUE"""),126.39)</f>
        <v>126.39</v>
      </c>
      <c r="D2120" s="1">
        <f ca="1">IFERROR(__xludf.DUMMYFUNCTION("""COMPUTED_VALUE"""),124.02)</f>
        <v>124.02</v>
      </c>
      <c r="E2120" s="1">
        <f ca="1">IFERROR(__xludf.DUMMYFUNCTION("""COMPUTED_VALUE"""),124.25)</f>
        <v>124.25</v>
      </c>
      <c r="F2120" s="1">
        <f ca="1">IFERROR(__xludf.DUMMYFUNCTION("""COMPUTED_VALUE"""),61264414)</f>
        <v>61264414</v>
      </c>
    </row>
    <row r="2121" spans="1:6" x14ac:dyDescent="0.35">
      <c r="A2121" s="2">
        <f ca="1">IFERROR(__xludf.DUMMYFUNCTION("""COMPUTED_VALUE"""),45082.6666666666)</f>
        <v>45082.666666666599</v>
      </c>
      <c r="B2121" s="1">
        <f ca="1">IFERROR(__xludf.DUMMYFUNCTION("""COMPUTED_VALUE"""),123.36)</f>
        <v>123.36</v>
      </c>
      <c r="C2121" s="1">
        <f ca="1">IFERROR(__xludf.DUMMYFUNCTION("""COMPUTED_VALUE"""),125.8)</f>
        <v>125.8</v>
      </c>
      <c r="D2121" s="1">
        <f ca="1">IFERROR(__xludf.DUMMYFUNCTION("""COMPUTED_VALUE"""),123.03)</f>
        <v>123.03</v>
      </c>
      <c r="E2121" s="1">
        <f ca="1">IFERROR(__xludf.DUMMYFUNCTION("""COMPUTED_VALUE"""),125.3)</f>
        <v>125.3</v>
      </c>
      <c r="F2121" s="1">
        <f ca="1">IFERROR(__xludf.DUMMYFUNCTION("""COMPUTED_VALUE"""),47950128)</f>
        <v>47950128</v>
      </c>
    </row>
    <row r="2122" spans="1:6" x14ac:dyDescent="0.35">
      <c r="A2122" s="2">
        <f ca="1">IFERROR(__xludf.DUMMYFUNCTION("""COMPUTED_VALUE"""),45083.6666666666)</f>
        <v>45083.666666666599</v>
      </c>
      <c r="B2122" s="1">
        <f ca="1">IFERROR(__xludf.DUMMYFUNCTION("""COMPUTED_VALUE"""),125.07)</f>
        <v>125.07</v>
      </c>
      <c r="C2122" s="1">
        <f ca="1">IFERROR(__xludf.DUMMYFUNCTION("""COMPUTED_VALUE"""),127.4)</f>
        <v>127.4</v>
      </c>
      <c r="D2122" s="1">
        <f ca="1">IFERROR(__xludf.DUMMYFUNCTION("""COMPUTED_VALUE"""),125)</f>
        <v>125</v>
      </c>
      <c r="E2122" s="1">
        <f ca="1">IFERROR(__xludf.DUMMYFUNCTION("""COMPUTED_VALUE"""),126.61)</f>
        <v>126.61</v>
      </c>
      <c r="F2122" s="1">
        <f ca="1">IFERROR(__xludf.DUMMYFUNCTION("""COMPUTED_VALUE"""),45695212)</f>
        <v>45695212</v>
      </c>
    </row>
    <row r="2123" spans="1:6" x14ac:dyDescent="0.35">
      <c r="A2123" s="2">
        <f ca="1">IFERROR(__xludf.DUMMYFUNCTION("""COMPUTED_VALUE"""),45084.6666666666)</f>
        <v>45084.666666666599</v>
      </c>
      <c r="B2123" s="1">
        <f ca="1">IFERROR(__xludf.DUMMYFUNCTION("""COMPUTED_VALUE"""),127.01)</f>
        <v>127.01</v>
      </c>
      <c r="C2123" s="1">
        <f ca="1">IFERROR(__xludf.DUMMYFUNCTION("""COMPUTED_VALUE"""),127.37)</f>
        <v>127.37</v>
      </c>
      <c r="D2123" s="1">
        <f ca="1">IFERROR(__xludf.DUMMYFUNCTION("""COMPUTED_VALUE"""),120.63)</f>
        <v>120.63</v>
      </c>
      <c r="E2123" s="1">
        <f ca="1">IFERROR(__xludf.DUMMYFUNCTION("""COMPUTED_VALUE"""),121.23)</f>
        <v>121.23</v>
      </c>
      <c r="F2123" s="1">
        <f ca="1">IFERROR(__xludf.DUMMYFUNCTION("""COMPUTED_VALUE"""),95663275)</f>
        <v>95663275</v>
      </c>
    </row>
    <row r="2124" spans="1:6" x14ac:dyDescent="0.35">
      <c r="A2124" s="2">
        <f ca="1">IFERROR(__xludf.DUMMYFUNCTION("""COMPUTED_VALUE"""),45085.6666666666)</f>
        <v>45085.666666666599</v>
      </c>
      <c r="B2124" s="1">
        <f ca="1">IFERROR(__xludf.DUMMYFUNCTION("""COMPUTED_VALUE"""),123.01)</f>
        <v>123.01</v>
      </c>
      <c r="C2124" s="1">
        <f ca="1">IFERROR(__xludf.DUMMYFUNCTION("""COMPUTED_VALUE"""),125.63)</f>
        <v>125.63</v>
      </c>
      <c r="D2124" s="1">
        <f ca="1">IFERROR(__xludf.DUMMYFUNCTION("""COMPUTED_VALUE"""),122.26)</f>
        <v>122.26</v>
      </c>
      <c r="E2124" s="1">
        <f ca="1">IFERROR(__xludf.DUMMYFUNCTION("""COMPUTED_VALUE"""),124.25)</f>
        <v>124.25</v>
      </c>
      <c r="F2124" s="1">
        <f ca="1">IFERROR(__xludf.DUMMYFUNCTION("""COMPUTED_VALUE"""),62159270)</f>
        <v>62159270</v>
      </c>
    </row>
    <row r="2125" spans="1:6" x14ac:dyDescent="0.35">
      <c r="A2125" s="2">
        <f ca="1">IFERROR(__xludf.DUMMYFUNCTION("""COMPUTED_VALUE"""),45086.6666666666)</f>
        <v>45086.666666666599</v>
      </c>
      <c r="B2125" s="1">
        <f ca="1">IFERROR(__xludf.DUMMYFUNCTION("""COMPUTED_VALUE"""),124.08)</f>
        <v>124.08</v>
      </c>
      <c r="C2125" s="1">
        <f ca="1">IFERROR(__xludf.DUMMYFUNCTION("""COMPUTED_VALUE"""),125.8)</f>
        <v>125.8</v>
      </c>
      <c r="D2125" s="1">
        <f ca="1">IFERROR(__xludf.DUMMYFUNCTION("""COMPUTED_VALUE"""),123.19)</f>
        <v>123.19</v>
      </c>
      <c r="E2125" s="1">
        <f ca="1">IFERROR(__xludf.DUMMYFUNCTION("""COMPUTED_VALUE"""),123.43)</f>
        <v>123.43</v>
      </c>
      <c r="F2125" s="1">
        <f ca="1">IFERROR(__xludf.DUMMYFUNCTION("""COMPUTED_VALUE"""),51396018)</f>
        <v>51396018</v>
      </c>
    </row>
    <row r="2126" spans="1:6" x14ac:dyDescent="0.35">
      <c r="A2126" s="2">
        <f ca="1">IFERROR(__xludf.DUMMYFUNCTION("""COMPUTED_VALUE"""),45089.6666666666)</f>
        <v>45089.666666666599</v>
      </c>
      <c r="B2126" s="1">
        <f ca="1">IFERROR(__xludf.DUMMYFUNCTION("""COMPUTED_VALUE"""),124.02)</f>
        <v>124.02</v>
      </c>
      <c r="C2126" s="1">
        <f ca="1">IFERROR(__xludf.DUMMYFUNCTION("""COMPUTED_VALUE"""),126.78)</f>
        <v>126.78</v>
      </c>
      <c r="D2126" s="1">
        <f ca="1">IFERROR(__xludf.DUMMYFUNCTION("""COMPUTED_VALUE"""),123.53)</f>
        <v>123.53</v>
      </c>
      <c r="E2126" s="1">
        <f ca="1">IFERROR(__xludf.DUMMYFUNCTION("""COMPUTED_VALUE"""),126.57)</f>
        <v>126.57</v>
      </c>
      <c r="F2126" s="1">
        <f ca="1">IFERROR(__xludf.DUMMYFUNCTION("""COMPUTED_VALUE"""),51473376)</f>
        <v>51473376</v>
      </c>
    </row>
    <row r="2127" spans="1:6" x14ac:dyDescent="0.35">
      <c r="A2127" s="2">
        <f ca="1">IFERROR(__xludf.DUMMYFUNCTION("""COMPUTED_VALUE"""),45090.6666666666)</f>
        <v>45090.666666666599</v>
      </c>
      <c r="B2127" s="1">
        <f ca="1">IFERROR(__xludf.DUMMYFUNCTION("""COMPUTED_VALUE"""),128.12)</f>
        <v>128.12</v>
      </c>
      <c r="C2127" s="1">
        <f ca="1">IFERROR(__xludf.DUMMYFUNCTION("""COMPUTED_VALUE"""),128.41)</f>
        <v>128.41</v>
      </c>
      <c r="D2127" s="1">
        <f ca="1">IFERROR(__xludf.DUMMYFUNCTION("""COMPUTED_VALUE"""),125.18)</f>
        <v>125.18</v>
      </c>
      <c r="E2127" s="1">
        <f ca="1">IFERROR(__xludf.DUMMYFUNCTION("""COMPUTED_VALUE"""),126.66)</f>
        <v>126.66</v>
      </c>
      <c r="F2127" s="1">
        <f ca="1">IFERROR(__xludf.DUMMYFUNCTION("""COMPUTED_VALUE"""),50564785)</f>
        <v>50564785</v>
      </c>
    </row>
    <row r="2128" spans="1:6" x14ac:dyDescent="0.35">
      <c r="A2128" s="2">
        <f ca="1">IFERROR(__xludf.DUMMYFUNCTION("""COMPUTED_VALUE"""),45091.6666666666)</f>
        <v>45091.666666666599</v>
      </c>
      <c r="B2128" s="1">
        <f ca="1">IFERROR(__xludf.DUMMYFUNCTION("""COMPUTED_VALUE"""),126.7)</f>
        <v>126.7</v>
      </c>
      <c r="C2128" s="1">
        <f ca="1">IFERROR(__xludf.DUMMYFUNCTION("""COMPUTED_VALUE"""),126.95)</f>
        <v>126.95</v>
      </c>
      <c r="D2128" s="1">
        <f ca="1">IFERROR(__xludf.DUMMYFUNCTION("""COMPUTED_VALUE"""),124.12)</f>
        <v>124.12</v>
      </c>
      <c r="E2128" s="1">
        <f ca="1">IFERROR(__xludf.DUMMYFUNCTION("""COMPUTED_VALUE"""),126.42)</f>
        <v>126.42</v>
      </c>
      <c r="F2128" s="1">
        <f ca="1">IFERROR(__xludf.DUMMYFUNCTION("""COMPUTED_VALUE"""),52422463)</f>
        <v>52422463</v>
      </c>
    </row>
    <row r="2129" spans="1:6" x14ac:dyDescent="0.35">
      <c r="A2129" s="2">
        <f ca="1">IFERROR(__xludf.DUMMYFUNCTION("""COMPUTED_VALUE"""),45092.6666666666)</f>
        <v>45092.666666666599</v>
      </c>
      <c r="B2129" s="1">
        <f ca="1">IFERROR(__xludf.DUMMYFUNCTION("""COMPUTED_VALUE"""),125.21)</f>
        <v>125.21</v>
      </c>
      <c r="C2129" s="1">
        <f ca="1">IFERROR(__xludf.DUMMYFUNCTION("""COMPUTED_VALUE"""),127.69)</f>
        <v>127.69</v>
      </c>
      <c r="D2129" s="1">
        <f ca="1">IFERROR(__xludf.DUMMYFUNCTION("""COMPUTED_VALUE"""),124.32)</f>
        <v>124.32</v>
      </c>
      <c r="E2129" s="1">
        <f ca="1">IFERROR(__xludf.DUMMYFUNCTION("""COMPUTED_VALUE"""),127.11)</f>
        <v>127.11</v>
      </c>
      <c r="F2129" s="1">
        <f ca="1">IFERROR(__xludf.DUMMYFUNCTION("""COMPUTED_VALUE"""),60458471)</f>
        <v>60458471</v>
      </c>
    </row>
    <row r="2130" spans="1:6" x14ac:dyDescent="0.35">
      <c r="A2130" s="2">
        <f ca="1">IFERROR(__xludf.DUMMYFUNCTION("""COMPUTED_VALUE"""),45093.6666666666)</f>
        <v>45093.666666666599</v>
      </c>
      <c r="B2130" s="1">
        <f ca="1">IFERROR(__xludf.DUMMYFUNCTION("""COMPUTED_VALUE"""),127.71)</f>
        <v>127.71</v>
      </c>
      <c r="C2130" s="1">
        <f ca="1">IFERROR(__xludf.DUMMYFUNCTION("""COMPUTED_VALUE"""),127.9)</f>
        <v>127.9</v>
      </c>
      <c r="D2130" s="1">
        <f ca="1">IFERROR(__xludf.DUMMYFUNCTION("""COMPUTED_VALUE"""),125.3)</f>
        <v>125.3</v>
      </c>
      <c r="E2130" s="1">
        <f ca="1">IFERROR(__xludf.DUMMYFUNCTION("""COMPUTED_VALUE"""),125.49)</f>
        <v>125.49</v>
      </c>
      <c r="F2130" s="1">
        <f ca="1">IFERROR(__xludf.DUMMYFUNCTION("""COMPUTED_VALUE"""),84247104)</f>
        <v>84247104</v>
      </c>
    </row>
    <row r="2131" spans="1:6" x14ac:dyDescent="0.35">
      <c r="A2131" s="2">
        <f ca="1">IFERROR(__xludf.DUMMYFUNCTION("""COMPUTED_VALUE"""),45097.6666666666)</f>
        <v>45097.666666666599</v>
      </c>
      <c r="B2131" s="1">
        <f ca="1">IFERROR(__xludf.DUMMYFUNCTION("""COMPUTED_VALUE"""),124.97)</f>
        <v>124.97</v>
      </c>
      <c r="C2131" s="1">
        <f ca="1">IFERROR(__xludf.DUMMYFUNCTION("""COMPUTED_VALUE"""),127.25)</f>
        <v>127.25</v>
      </c>
      <c r="D2131" s="1">
        <f ca="1">IFERROR(__xludf.DUMMYFUNCTION("""COMPUTED_VALUE"""),124.5)</f>
        <v>124.5</v>
      </c>
      <c r="E2131" s="1">
        <f ca="1">IFERROR(__xludf.DUMMYFUNCTION("""COMPUTED_VALUE"""),125.78)</f>
        <v>125.78</v>
      </c>
      <c r="F2131" s="1">
        <f ca="1">IFERROR(__xludf.DUMMYFUNCTION("""COMPUTED_VALUE"""),56930122)</f>
        <v>56930122</v>
      </c>
    </row>
    <row r="2132" spans="1:6" x14ac:dyDescent="0.35">
      <c r="A2132" s="2">
        <f ca="1">IFERROR(__xludf.DUMMYFUNCTION("""COMPUTED_VALUE"""),45098.6666666666)</f>
        <v>45098.666666666599</v>
      </c>
      <c r="B2132" s="1">
        <f ca="1">IFERROR(__xludf.DUMMYFUNCTION("""COMPUTED_VALUE"""),125.64)</f>
        <v>125.64</v>
      </c>
      <c r="C2132" s="1">
        <f ca="1">IFERROR(__xludf.DUMMYFUNCTION("""COMPUTED_VALUE"""),126.73)</f>
        <v>126.73</v>
      </c>
      <c r="D2132" s="1">
        <f ca="1">IFERROR(__xludf.DUMMYFUNCTION("""COMPUTED_VALUE"""),123.85)</f>
        <v>123.85</v>
      </c>
      <c r="E2132" s="1">
        <f ca="1">IFERROR(__xludf.DUMMYFUNCTION("""COMPUTED_VALUE"""),124.83)</f>
        <v>124.83</v>
      </c>
      <c r="F2132" s="1">
        <f ca="1">IFERROR(__xludf.DUMMYFUNCTION("""COMPUTED_VALUE"""),52137670)</f>
        <v>52137670</v>
      </c>
    </row>
    <row r="2133" spans="1:6" x14ac:dyDescent="0.35">
      <c r="A2133" s="2">
        <f ca="1">IFERROR(__xludf.DUMMYFUNCTION("""COMPUTED_VALUE"""),45099.6666666666)</f>
        <v>45099.666666666599</v>
      </c>
      <c r="B2133" s="1">
        <f ca="1">IFERROR(__xludf.DUMMYFUNCTION("""COMPUTED_VALUE"""),125.31)</f>
        <v>125.31</v>
      </c>
      <c r="C2133" s="1">
        <f ca="1">IFERROR(__xludf.DUMMYFUNCTION("""COMPUTED_VALUE"""),130.33)</f>
        <v>130.33000000000001</v>
      </c>
      <c r="D2133" s="1">
        <f ca="1">IFERROR(__xludf.DUMMYFUNCTION("""COMPUTED_VALUE"""),125.14)</f>
        <v>125.14</v>
      </c>
      <c r="E2133" s="1">
        <f ca="1">IFERROR(__xludf.DUMMYFUNCTION("""COMPUTED_VALUE"""),130.15)</f>
        <v>130.15</v>
      </c>
      <c r="F2133" s="1">
        <f ca="1">IFERROR(__xludf.DUMMYFUNCTION("""COMPUTED_VALUE"""),90354572)</f>
        <v>90354572</v>
      </c>
    </row>
    <row r="2134" spans="1:6" x14ac:dyDescent="0.35">
      <c r="A2134" s="2">
        <f ca="1">IFERROR(__xludf.DUMMYFUNCTION("""COMPUTED_VALUE"""),45100.6666666666)</f>
        <v>45100.666666666599</v>
      </c>
      <c r="B2134" s="1">
        <f ca="1">IFERROR(__xludf.DUMMYFUNCTION("""COMPUTED_VALUE"""),129.11)</f>
        <v>129.11000000000001</v>
      </c>
      <c r="C2134" s="1">
        <f ca="1">IFERROR(__xludf.DUMMYFUNCTION("""COMPUTED_VALUE"""),130.84)</f>
        <v>130.84</v>
      </c>
      <c r="D2134" s="1">
        <f ca="1">IFERROR(__xludf.DUMMYFUNCTION("""COMPUTED_VALUE"""),128.28)</f>
        <v>128.28</v>
      </c>
      <c r="E2134" s="1">
        <f ca="1">IFERROR(__xludf.DUMMYFUNCTION("""COMPUTED_VALUE"""),129.33)</f>
        <v>129.33000000000001</v>
      </c>
      <c r="F2134" s="1">
        <f ca="1">IFERROR(__xludf.DUMMYFUNCTION("""COMPUTED_VALUE"""),71927776)</f>
        <v>71927776</v>
      </c>
    </row>
    <row r="2135" spans="1:6" x14ac:dyDescent="0.35">
      <c r="A2135" s="2">
        <f ca="1">IFERROR(__xludf.DUMMYFUNCTION("""COMPUTED_VALUE"""),45103.6666666666)</f>
        <v>45103.666666666599</v>
      </c>
      <c r="B2135" s="1">
        <f ca="1">IFERROR(__xludf.DUMMYFUNCTION("""COMPUTED_VALUE"""),129.33)</f>
        <v>129.33000000000001</v>
      </c>
      <c r="C2135" s="1">
        <f ca="1">IFERROR(__xludf.DUMMYFUNCTION("""COMPUTED_VALUE"""),131.49)</f>
        <v>131.49</v>
      </c>
      <c r="D2135" s="1">
        <f ca="1">IFERROR(__xludf.DUMMYFUNCTION("""COMPUTED_VALUE"""),127.1)</f>
        <v>127.1</v>
      </c>
      <c r="E2135" s="1">
        <f ca="1">IFERROR(__xludf.DUMMYFUNCTION("""COMPUTED_VALUE"""),127.33)</f>
        <v>127.33</v>
      </c>
      <c r="F2135" s="1">
        <f ca="1">IFERROR(__xludf.DUMMYFUNCTION("""COMPUTED_VALUE"""),59989317)</f>
        <v>59989317</v>
      </c>
    </row>
    <row r="2136" spans="1:6" x14ac:dyDescent="0.35">
      <c r="A2136" s="2">
        <f ca="1">IFERROR(__xludf.DUMMYFUNCTION("""COMPUTED_VALUE"""),45104.6666666666)</f>
        <v>45104.666666666599</v>
      </c>
      <c r="B2136" s="1">
        <f ca="1">IFERROR(__xludf.DUMMYFUNCTION("""COMPUTED_VALUE"""),128.63)</f>
        <v>128.63</v>
      </c>
      <c r="C2136" s="1">
        <f ca="1">IFERROR(__xludf.DUMMYFUNCTION("""COMPUTED_VALUE"""),130.09)</f>
        <v>130.09</v>
      </c>
      <c r="D2136" s="1">
        <f ca="1">IFERROR(__xludf.DUMMYFUNCTION("""COMPUTED_VALUE"""),127.55)</f>
        <v>127.55</v>
      </c>
      <c r="E2136" s="1">
        <f ca="1">IFERROR(__xludf.DUMMYFUNCTION("""COMPUTED_VALUE"""),129.18)</f>
        <v>129.18</v>
      </c>
      <c r="F2136" s="1">
        <f ca="1">IFERROR(__xludf.DUMMYFUNCTION("""COMPUTED_VALUE"""),46801008)</f>
        <v>46801008</v>
      </c>
    </row>
    <row r="2137" spans="1:6" x14ac:dyDescent="0.35">
      <c r="A2137" s="2">
        <f ca="1">IFERROR(__xludf.DUMMYFUNCTION("""COMPUTED_VALUE"""),45105.6666666666)</f>
        <v>45105.666666666599</v>
      </c>
      <c r="B2137" s="1">
        <f ca="1">IFERROR(__xludf.DUMMYFUNCTION("""COMPUTED_VALUE"""),128.94)</f>
        <v>128.94</v>
      </c>
      <c r="C2137" s="1">
        <f ca="1">IFERROR(__xludf.DUMMYFUNCTION("""COMPUTED_VALUE"""),131.48)</f>
        <v>131.47999999999999</v>
      </c>
      <c r="D2137" s="1">
        <f ca="1">IFERROR(__xludf.DUMMYFUNCTION("""COMPUTED_VALUE"""),128.44)</f>
        <v>128.44</v>
      </c>
      <c r="E2137" s="1">
        <f ca="1">IFERROR(__xludf.DUMMYFUNCTION("""COMPUTED_VALUE"""),129.04)</f>
        <v>129.04</v>
      </c>
      <c r="F2137" s="1">
        <f ca="1">IFERROR(__xludf.DUMMYFUNCTION("""COMPUTED_VALUE"""),52149512)</f>
        <v>52149512</v>
      </c>
    </row>
    <row r="2138" spans="1:6" x14ac:dyDescent="0.35">
      <c r="A2138" s="2">
        <f ca="1">IFERROR(__xludf.DUMMYFUNCTION("""COMPUTED_VALUE"""),45106.6666666666)</f>
        <v>45106.666666666599</v>
      </c>
      <c r="B2138" s="1">
        <f ca="1">IFERROR(__xludf.DUMMYFUNCTION("""COMPUTED_VALUE"""),128.77)</f>
        <v>128.77000000000001</v>
      </c>
      <c r="C2138" s="1">
        <f ca="1">IFERROR(__xludf.DUMMYFUNCTION("""COMPUTED_VALUE"""),129.26)</f>
        <v>129.26</v>
      </c>
      <c r="D2138" s="1">
        <f ca="1">IFERROR(__xludf.DUMMYFUNCTION("""COMPUTED_VALUE"""),127.26)</f>
        <v>127.26</v>
      </c>
      <c r="E2138" s="1">
        <f ca="1">IFERROR(__xludf.DUMMYFUNCTION("""COMPUTED_VALUE"""),127.9)</f>
        <v>127.9</v>
      </c>
      <c r="F2138" s="1">
        <f ca="1">IFERROR(__xludf.DUMMYFUNCTION("""COMPUTED_VALUE"""),40760959)</f>
        <v>40760959</v>
      </c>
    </row>
    <row r="2139" spans="1:6" x14ac:dyDescent="0.35">
      <c r="A2139" s="2">
        <f ca="1">IFERROR(__xludf.DUMMYFUNCTION("""COMPUTED_VALUE"""),45107.6666666666)</f>
        <v>45107.666666666599</v>
      </c>
      <c r="B2139" s="1">
        <f ca="1">IFERROR(__xludf.DUMMYFUNCTION("""COMPUTED_VALUE"""),129.47)</f>
        <v>129.47</v>
      </c>
      <c r="C2139" s="1">
        <f ca="1">IFERROR(__xludf.DUMMYFUNCTION("""COMPUTED_VALUE"""),131.25)</f>
        <v>131.25</v>
      </c>
      <c r="D2139" s="1">
        <f ca="1">IFERROR(__xludf.DUMMYFUNCTION("""COMPUTED_VALUE"""),128.95)</f>
        <v>128.94999999999999</v>
      </c>
      <c r="E2139" s="1">
        <f ca="1">IFERROR(__xludf.DUMMYFUNCTION("""COMPUTED_VALUE"""),130.36)</f>
        <v>130.36000000000001</v>
      </c>
      <c r="F2139" s="1">
        <f ca="1">IFERROR(__xludf.DUMMYFUNCTION("""COMPUTED_VALUE"""),54350684)</f>
        <v>54350684</v>
      </c>
    </row>
    <row r="2140" spans="1:6" x14ac:dyDescent="0.35">
      <c r="A2140" s="2">
        <f ca="1">IFERROR(__xludf.DUMMYFUNCTION("""COMPUTED_VALUE"""),45110.5451388888)</f>
        <v>45110.545138888803</v>
      </c>
      <c r="B2140" s="1">
        <f ca="1">IFERROR(__xludf.DUMMYFUNCTION("""COMPUTED_VALUE"""),130.82)</f>
        <v>130.82</v>
      </c>
      <c r="C2140" s="1">
        <f ca="1">IFERROR(__xludf.DUMMYFUNCTION("""COMPUTED_VALUE"""),131.85)</f>
        <v>131.85</v>
      </c>
      <c r="D2140" s="1">
        <f ca="1">IFERROR(__xludf.DUMMYFUNCTION("""COMPUTED_VALUE"""),130.07)</f>
        <v>130.07</v>
      </c>
      <c r="E2140" s="1">
        <f ca="1">IFERROR(__xludf.DUMMYFUNCTION("""COMPUTED_VALUE"""),130.22)</f>
        <v>130.22</v>
      </c>
      <c r="F2140" s="1">
        <f ca="1">IFERROR(__xludf.DUMMYFUNCTION("""COMPUTED_VALUE"""),28264785)</f>
        <v>28264785</v>
      </c>
    </row>
    <row r="2141" spans="1:6" x14ac:dyDescent="0.35">
      <c r="A2141" s="2">
        <f ca="1">IFERROR(__xludf.DUMMYFUNCTION("""COMPUTED_VALUE"""),45112.6666666666)</f>
        <v>45112.666666666599</v>
      </c>
      <c r="B2141" s="1">
        <f ca="1">IFERROR(__xludf.DUMMYFUNCTION("""COMPUTED_VALUE"""),130.24)</f>
        <v>130.24</v>
      </c>
      <c r="C2141" s="1">
        <f ca="1">IFERROR(__xludf.DUMMYFUNCTION("""COMPUTED_VALUE"""),131.4)</f>
        <v>131.4</v>
      </c>
      <c r="D2141" s="1">
        <f ca="1">IFERROR(__xludf.DUMMYFUNCTION("""COMPUTED_VALUE"""),129.64)</f>
        <v>129.63999999999999</v>
      </c>
      <c r="E2141" s="1">
        <f ca="1">IFERROR(__xludf.DUMMYFUNCTION("""COMPUTED_VALUE"""),130.38)</f>
        <v>130.38</v>
      </c>
      <c r="F2141" s="1">
        <f ca="1">IFERROR(__xludf.DUMMYFUNCTION("""COMPUTED_VALUE"""),35895409)</f>
        <v>35895409</v>
      </c>
    </row>
    <row r="2142" spans="1:6" x14ac:dyDescent="0.35">
      <c r="A2142" s="2">
        <f ca="1">IFERROR(__xludf.DUMMYFUNCTION("""COMPUTED_VALUE"""),45113.6666666666)</f>
        <v>45113.666666666599</v>
      </c>
      <c r="B2142" s="1">
        <f ca="1">IFERROR(__xludf.DUMMYFUNCTION("""COMPUTED_VALUE"""),128.25)</f>
        <v>128.25</v>
      </c>
      <c r="C2142" s="1">
        <f ca="1">IFERROR(__xludf.DUMMYFUNCTION("""COMPUTED_VALUE"""),128.73)</f>
        <v>128.72999999999999</v>
      </c>
      <c r="D2142" s="1">
        <f ca="1">IFERROR(__xludf.DUMMYFUNCTION("""COMPUTED_VALUE"""),127.37)</f>
        <v>127.37</v>
      </c>
      <c r="E2142" s="1">
        <f ca="1">IFERROR(__xludf.DUMMYFUNCTION("""COMPUTED_VALUE"""),128.36)</f>
        <v>128.36000000000001</v>
      </c>
      <c r="F2142" s="1">
        <f ca="1">IFERROR(__xludf.DUMMYFUNCTION("""COMPUTED_VALUE"""),40697848)</f>
        <v>40697848</v>
      </c>
    </row>
    <row r="2143" spans="1:6" x14ac:dyDescent="0.35">
      <c r="A2143" s="2">
        <f ca="1">IFERROR(__xludf.DUMMYFUNCTION("""COMPUTED_VALUE"""),45114.6666666666)</f>
        <v>45114.666666666599</v>
      </c>
      <c r="B2143" s="1">
        <f ca="1">IFERROR(__xludf.DUMMYFUNCTION("""COMPUTED_VALUE"""),128.59)</f>
        <v>128.59</v>
      </c>
      <c r="C2143" s="1">
        <f ca="1">IFERROR(__xludf.DUMMYFUNCTION("""COMPUTED_VALUE"""),130.97)</f>
        <v>130.97</v>
      </c>
      <c r="D2143" s="1">
        <f ca="1">IFERROR(__xludf.DUMMYFUNCTION("""COMPUTED_VALUE"""),128.13)</f>
        <v>128.13</v>
      </c>
      <c r="E2143" s="1">
        <f ca="1">IFERROR(__xludf.DUMMYFUNCTION("""COMPUTED_VALUE"""),129.78)</f>
        <v>129.78</v>
      </c>
      <c r="F2143" s="1">
        <f ca="1">IFERROR(__xludf.DUMMYFUNCTION("""COMPUTED_VALUE"""),41992251)</f>
        <v>41992251</v>
      </c>
    </row>
    <row r="2144" spans="1:6" x14ac:dyDescent="0.35">
      <c r="A2144" s="2">
        <f ca="1">IFERROR(__xludf.DUMMYFUNCTION("""COMPUTED_VALUE"""),45117.6666666666)</f>
        <v>45117.666666666599</v>
      </c>
      <c r="B2144" s="1">
        <f ca="1">IFERROR(__xludf.DUMMYFUNCTION("""COMPUTED_VALUE"""),129.07)</f>
        <v>129.07</v>
      </c>
      <c r="C2144" s="1">
        <f ca="1">IFERROR(__xludf.DUMMYFUNCTION("""COMPUTED_VALUE"""),129.28)</f>
        <v>129.28</v>
      </c>
      <c r="D2144" s="1">
        <f ca="1">IFERROR(__xludf.DUMMYFUNCTION("""COMPUTED_VALUE"""),125.92)</f>
        <v>125.92</v>
      </c>
      <c r="E2144" s="1">
        <f ca="1">IFERROR(__xludf.DUMMYFUNCTION("""COMPUTED_VALUE"""),127.13)</f>
        <v>127.13</v>
      </c>
      <c r="F2144" s="1">
        <f ca="1">IFERROR(__xludf.DUMMYFUNCTION("""COMPUTED_VALUE"""),61889289)</f>
        <v>61889289</v>
      </c>
    </row>
    <row r="2145" spans="1:6" x14ac:dyDescent="0.35">
      <c r="A2145" s="2">
        <f ca="1">IFERROR(__xludf.DUMMYFUNCTION("""COMPUTED_VALUE"""),45118.6666666666)</f>
        <v>45118.666666666599</v>
      </c>
      <c r="B2145" s="1">
        <f ca="1">IFERROR(__xludf.DUMMYFUNCTION("""COMPUTED_VALUE"""),127.75)</f>
        <v>127.75</v>
      </c>
      <c r="C2145" s="1">
        <f ca="1">IFERROR(__xludf.DUMMYFUNCTION("""COMPUTED_VALUE"""),129.77)</f>
        <v>129.77000000000001</v>
      </c>
      <c r="D2145" s="1">
        <f ca="1">IFERROR(__xludf.DUMMYFUNCTION("""COMPUTED_VALUE"""),127.35)</f>
        <v>127.35</v>
      </c>
      <c r="E2145" s="1">
        <f ca="1">IFERROR(__xludf.DUMMYFUNCTION("""COMPUTED_VALUE"""),128.78)</f>
        <v>128.78</v>
      </c>
      <c r="F2145" s="1">
        <f ca="1">IFERROR(__xludf.DUMMYFUNCTION("""COMPUTED_VALUE"""),49951460)</f>
        <v>49951460</v>
      </c>
    </row>
    <row r="2146" spans="1:6" x14ac:dyDescent="0.35">
      <c r="A2146" s="2">
        <f ca="1">IFERROR(__xludf.DUMMYFUNCTION("""COMPUTED_VALUE"""),45119.6666666666)</f>
        <v>45119.666666666599</v>
      </c>
      <c r="B2146" s="1">
        <f ca="1">IFERROR(__xludf.DUMMYFUNCTION("""COMPUTED_VALUE"""),130.31)</f>
        <v>130.31</v>
      </c>
      <c r="C2146" s="1">
        <f ca="1">IFERROR(__xludf.DUMMYFUNCTION("""COMPUTED_VALUE"""),131.26)</f>
        <v>131.26</v>
      </c>
      <c r="D2146" s="1">
        <f ca="1">IFERROR(__xludf.DUMMYFUNCTION("""COMPUTED_VALUE"""),128.83)</f>
        <v>128.83000000000001</v>
      </c>
      <c r="E2146" s="1">
        <f ca="1">IFERROR(__xludf.DUMMYFUNCTION("""COMPUTED_VALUE"""),130.8)</f>
        <v>130.80000000000001</v>
      </c>
      <c r="F2146" s="1">
        <f ca="1">IFERROR(__xludf.DUMMYFUNCTION("""COMPUTED_VALUE"""),54022847)</f>
        <v>54022847</v>
      </c>
    </row>
    <row r="2147" spans="1:6" x14ac:dyDescent="0.35">
      <c r="A2147" s="2">
        <f ca="1">IFERROR(__xludf.DUMMYFUNCTION("""COMPUTED_VALUE"""),45120.6666666666)</f>
        <v>45120.666666666599</v>
      </c>
      <c r="B2147" s="1">
        <f ca="1">IFERROR(__xludf.DUMMYFUNCTION("""COMPUTED_VALUE"""),134.04)</f>
        <v>134.04</v>
      </c>
      <c r="C2147" s="1">
        <f ca="1">IFERROR(__xludf.DUMMYFUNCTION("""COMPUTED_VALUE"""),134.67)</f>
        <v>134.66999999999999</v>
      </c>
      <c r="D2147" s="1">
        <f ca="1">IFERROR(__xludf.DUMMYFUNCTION("""COMPUTED_VALUE"""),132.71)</f>
        <v>132.71</v>
      </c>
      <c r="E2147" s="1">
        <f ca="1">IFERROR(__xludf.DUMMYFUNCTION("""COMPUTED_VALUE"""),134.3)</f>
        <v>134.30000000000001</v>
      </c>
      <c r="F2147" s="1">
        <f ca="1">IFERROR(__xludf.DUMMYFUNCTION("""COMPUTED_VALUE"""),61170883)</f>
        <v>61170883</v>
      </c>
    </row>
    <row r="2148" spans="1:6" x14ac:dyDescent="0.35">
      <c r="A2148" s="2">
        <f ca="1">IFERROR(__xludf.DUMMYFUNCTION("""COMPUTED_VALUE"""),45121.6666666666)</f>
        <v>45121.666666666599</v>
      </c>
      <c r="B2148" s="1">
        <f ca="1">IFERROR(__xludf.DUMMYFUNCTION("""COMPUTED_VALUE"""),134.06)</f>
        <v>134.06</v>
      </c>
      <c r="C2148" s="1">
        <f ca="1">IFERROR(__xludf.DUMMYFUNCTION("""COMPUTED_VALUE"""),136.65)</f>
        <v>136.65</v>
      </c>
      <c r="D2148" s="1">
        <f ca="1">IFERROR(__xludf.DUMMYFUNCTION("""COMPUTED_VALUE"""),134.06)</f>
        <v>134.06</v>
      </c>
      <c r="E2148" s="1">
        <f ca="1">IFERROR(__xludf.DUMMYFUNCTION("""COMPUTED_VALUE"""),134.68)</f>
        <v>134.68</v>
      </c>
      <c r="F2148" s="1">
        <f ca="1">IFERROR(__xludf.DUMMYFUNCTION("""COMPUTED_VALUE"""),54487090)</f>
        <v>54487090</v>
      </c>
    </row>
    <row r="2149" spans="1:6" x14ac:dyDescent="0.35">
      <c r="A2149" s="2">
        <f ca="1">IFERROR(__xludf.DUMMYFUNCTION("""COMPUTED_VALUE"""),45124.6666666666)</f>
        <v>45124.666666666599</v>
      </c>
      <c r="B2149" s="1">
        <f ca="1">IFERROR(__xludf.DUMMYFUNCTION("""COMPUTED_VALUE"""),134.56)</f>
        <v>134.56</v>
      </c>
      <c r="C2149" s="1">
        <f ca="1">IFERROR(__xludf.DUMMYFUNCTION("""COMPUTED_VALUE"""),135.62)</f>
        <v>135.62</v>
      </c>
      <c r="D2149" s="1">
        <f ca="1">IFERROR(__xludf.DUMMYFUNCTION("""COMPUTED_VALUE"""),133.21)</f>
        <v>133.21</v>
      </c>
      <c r="E2149" s="1">
        <f ca="1">IFERROR(__xludf.DUMMYFUNCTION("""COMPUTED_VALUE"""),133.56)</f>
        <v>133.56</v>
      </c>
      <c r="F2149" s="1">
        <f ca="1">IFERROR(__xludf.DUMMYFUNCTION("""COMPUTED_VALUE"""),48450198)</f>
        <v>48450198</v>
      </c>
    </row>
    <row r="2150" spans="1:6" x14ac:dyDescent="0.35">
      <c r="A2150" s="2">
        <f ca="1">IFERROR(__xludf.DUMMYFUNCTION("""COMPUTED_VALUE"""),45125.6666666666)</f>
        <v>45125.666666666599</v>
      </c>
      <c r="B2150" s="1">
        <f ca="1">IFERROR(__xludf.DUMMYFUNCTION("""COMPUTED_VALUE"""),132.71)</f>
        <v>132.71</v>
      </c>
      <c r="C2150" s="1">
        <f ca="1">IFERROR(__xludf.DUMMYFUNCTION("""COMPUTED_VALUE"""),133.86)</f>
        <v>133.86000000000001</v>
      </c>
      <c r="D2150" s="1">
        <f ca="1">IFERROR(__xludf.DUMMYFUNCTION("""COMPUTED_VALUE"""),131.35)</f>
        <v>131.35</v>
      </c>
      <c r="E2150" s="1">
        <f ca="1">IFERROR(__xludf.DUMMYFUNCTION("""COMPUTED_VALUE"""),132.83)</f>
        <v>132.83000000000001</v>
      </c>
      <c r="F2150" s="1">
        <f ca="1">IFERROR(__xludf.DUMMYFUNCTION("""COMPUTED_VALUE"""),54969133)</f>
        <v>54969133</v>
      </c>
    </row>
    <row r="2151" spans="1:6" x14ac:dyDescent="0.35">
      <c r="A2151" s="2">
        <f ca="1">IFERROR(__xludf.DUMMYFUNCTION("""COMPUTED_VALUE"""),45126.6666666666)</f>
        <v>45126.666666666599</v>
      </c>
      <c r="B2151" s="1">
        <f ca="1">IFERROR(__xludf.DUMMYFUNCTION("""COMPUTED_VALUE"""),133.39)</f>
        <v>133.38999999999999</v>
      </c>
      <c r="C2151" s="1">
        <f ca="1">IFERROR(__xludf.DUMMYFUNCTION("""COMPUTED_VALUE"""),135.99)</f>
        <v>135.99</v>
      </c>
      <c r="D2151" s="1">
        <f ca="1">IFERROR(__xludf.DUMMYFUNCTION("""COMPUTED_VALUE"""),132.53)</f>
        <v>132.53</v>
      </c>
      <c r="E2151" s="1">
        <f ca="1">IFERROR(__xludf.DUMMYFUNCTION("""COMPUTED_VALUE"""),135.36)</f>
        <v>135.36000000000001</v>
      </c>
      <c r="F2151" s="1">
        <f ca="1">IFERROR(__xludf.DUMMYFUNCTION("""COMPUTED_VALUE"""),54531037)</f>
        <v>54531037</v>
      </c>
    </row>
    <row r="2152" spans="1:6" x14ac:dyDescent="0.35">
      <c r="A2152" s="2">
        <f ca="1">IFERROR(__xludf.DUMMYFUNCTION("""COMPUTED_VALUE"""),45127.6666666666)</f>
        <v>45127.666666666599</v>
      </c>
      <c r="B2152" s="1">
        <f ca="1">IFERROR(__xludf.DUMMYFUNCTION("""COMPUTED_VALUE"""),134.07)</f>
        <v>134.07</v>
      </c>
      <c r="C2152" s="1">
        <f ca="1">IFERROR(__xludf.DUMMYFUNCTION("""COMPUTED_VALUE"""),134.79)</f>
        <v>134.79</v>
      </c>
      <c r="D2152" s="1">
        <f ca="1">IFERROR(__xludf.DUMMYFUNCTION("""COMPUTED_VALUE"""),129.33)</f>
        <v>129.33000000000001</v>
      </c>
      <c r="E2152" s="1">
        <f ca="1">IFERROR(__xludf.DUMMYFUNCTION("""COMPUTED_VALUE"""),129.96)</f>
        <v>129.96</v>
      </c>
      <c r="F2152" s="1">
        <f ca="1">IFERROR(__xludf.DUMMYFUNCTION("""COMPUTED_VALUE"""),59820579)</f>
        <v>59820579</v>
      </c>
    </row>
    <row r="2153" spans="1:6" x14ac:dyDescent="0.35">
      <c r="A2153" s="2">
        <f ca="1">IFERROR(__xludf.DUMMYFUNCTION("""COMPUTED_VALUE"""),45128.6666666666)</f>
        <v>45128.666666666599</v>
      </c>
      <c r="B2153" s="1">
        <f ca="1">IFERROR(__xludf.DUMMYFUNCTION("""COMPUTED_VALUE"""),131.34)</f>
        <v>131.34</v>
      </c>
      <c r="C2153" s="1">
        <f ca="1">IFERROR(__xludf.DUMMYFUNCTION("""COMPUTED_VALUE"""),131.37)</f>
        <v>131.37</v>
      </c>
      <c r="D2153" s="1">
        <f ca="1">IFERROR(__xludf.DUMMYFUNCTION("""COMPUTED_VALUE"""),128.42)</f>
        <v>128.41999999999999</v>
      </c>
      <c r="E2153" s="1">
        <f ca="1">IFERROR(__xludf.DUMMYFUNCTION("""COMPUTED_VALUE"""),130)</f>
        <v>130</v>
      </c>
      <c r="F2153" s="1">
        <f ca="1">IFERROR(__xludf.DUMMYFUNCTION("""COMPUTED_VALUE"""),133307294)</f>
        <v>133307294</v>
      </c>
    </row>
    <row r="2154" spans="1:6" x14ac:dyDescent="0.35">
      <c r="A2154" s="2">
        <f ca="1">IFERROR(__xludf.DUMMYFUNCTION("""COMPUTED_VALUE"""),45131.6666666666)</f>
        <v>45131.666666666599</v>
      </c>
      <c r="B2154" s="1">
        <f ca="1">IFERROR(__xludf.DUMMYFUNCTION("""COMPUTED_VALUE"""),130.31)</f>
        <v>130.31</v>
      </c>
      <c r="C2154" s="1">
        <f ca="1">IFERROR(__xludf.DUMMYFUNCTION("""COMPUTED_VALUE"""),131.66)</f>
        <v>131.66</v>
      </c>
      <c r="D2154" s="1">
        <f ca="1">IFERROR(__xludf.DUMMYFUNCTION("""COMPUTED_VALUE"""),128.35)</f>
        <v>128.35</v>
      </c>
      <c r="E2154" s="1">
        <f ca="1">IFERROR(__xludf.DUMMYFUNCTION("""COMPUTED_VALUE"""),128.8)</f>
        <v>128.80000000000001</v>
      </c>
      <c r="F2154" s="1">
        <f ca="1">IFERROR(__xludf.DUMMYFUNCTION("""COMPUTED_VALUE"""),45671535)</f>
        <v>45671535</v>
      </c>
    </row>
    <row r="2155" spans="1:6" x14ac:dyDescent="0.35">
      <c r="A2155" s="2">
        <f ca="1">IFERROR(__xludf.DUMMYFUNCTION("""COMPUTED_VALUE"""),45132.6666666666)</f>
        <v>45132.666666666599</v>
      </c>
      <c r="B2155" s="1">
        <f ca="1">IFERROR(__xludf.DUMMYFUNCTION("""COMPUTED_VALUE"""),129.31)</f>
        <v>129.31</v>
      </c>
      <c r="C2155" s="1">
        <f ca="1">IFERROR(__xludf.DUMMYFUNCTION("""COMPUTED_VALUE"""),129.58)</f>
        <v>129.58000000000001</v>
      </c>
      <c r="D2155" s="1">
        <f ca="1">IFERROR(__xludf.DUMMYFUNCTION("""COMPUTED_VALUE"""),128.53)</f>
        <v>128.53</v>
      </c>
      <c r="E2155" s="1">
        <f ca="1">IFERROR(__xludf.DUMMYFUNCTION("""COMPUTED_VALUE"""),129.13)</f>
        <v>129.13</v>
      </c>
      <c r="F2155" s="1">
        <f ca="1">IFERROR(__xludf.DUMMYFUNCTION("""COMPUTED_VALUE"""),39236663)</f>
        <v>39236663</v>
      </c>
    </row>
    <row r="2156" spans="1:6" x14ac:dyDescent="0.35">
      <c r="A2156" s="2">
        <f ca="1">IFERROR(__xludf.DUMMYFUNCTION("""COMPUTED_VALUE"""),45133.6666666666)</f>
        <v>45133.666666666599</v>
      </c>
      <c r="B2156" s="1">
        <f ca="1">IFERROR(__xludf.DUMMYFUNCTION("""COMPUTED_VALUE"""),126.51)</f>
        <v>126.51</v>
      </c>
      <c r="C2156" s="1">
        <f ca="1">IFERROR(__xludf.DUMMYFUNCTION("""COMPUTED_VALUE"""),129.08)</f>
        <v>129.08000000000001</v>
      </c>
      <c r="D2156" s="1">
        <f ca="1">IFERROR(__xludf.DUMMYFUNCTION("""COMPUTED_VALUE"""),126.11)</f>
        <v>126.11</v>
      </c>
      <c r="E2156" s="1">
        <f ca="1">IFERROR(__xludf.DUMMYFUNCTION("""COMPUTED_VALUE"""),128.15)</f>
        <v>128.15</v>
      </c>
      <c r="F2156" s="1">
        <f ca="1">IFERROR(__xludf.DUMMYFUNCTION("""COMPUTED_VALUE"""),53910087)</f>
        <v>53910087</v>
      </c>
    </row>
    <row r="2157" spans="1:6" x14ac:dyDescent="0.35">
      <c r="A2157" s="2">
        <f ca="1">IFERROR(__xludf.DUMMYFUNCTION("""COMPUTED_VALUE"""),45134.6666666666)</f>
        <v>45134.666666666599</v>
      </c>
      <c r="B2157" s="1">
        <f ca="1">IFERROR(__xludf.DUMMYFUNCTION("""COMPUTED_VALUE"""),131)</f>
        <v>131</v>
      </c>
      <c r="C2157" s="1">
        <f ca="1">IFERROR(__xludf.DUMMYFUNCTION("""COMPUTED_VALUE"""),132.63)</f>
        <v>132.63</v>
      </c>
      <c r="D2157" s="1">
        <f ca="1">IFERROR(__xludf.DUMMYFUNCTION("""COMPUTED_VALUE"""),127.79)</f>
        <v>127.79</v>
      </c>
      <c r="E2157" s="1">
        <f ca="1">IFERROR(__xludf.DUMMYFUNCTION("""COMPUTED_VALUE"""),128.25)</f>
        <v>128.25</v>
      </c>
      <c r="F2157" s="1">
        <f ca="1">IFERROR(__xludf.DUMMYFUNCTION("""COMPUTED_VALUE"""),52610661)</f>
        <v>52610661</v>
      </c>
    </row>
    <row r="2158" spans="1:6" x14ac:dyDescent="0.35">
      <c r="A2158" s="2">
        <f ca="1">IFERROR(__xludf.DUMMYFUNCTION("""COMPUTED_VALUE"""),45135.6666666666)</f>
        <v>45135.666666666599</v>
      </c>
      <c r="B2158" s="1">
        <f ca="1">IFERROR(__xludf.DUMMYFUNCTION("""COMPUTED_VALUE"""),129.69)</f>
        <v>129.69</v>
      </c>
      <c r="C2158" s="1">
        <f ca="1">IFERROR(__xludf.DUMMYFUNCTION("""COMPUTED_VALUE"""),133.01)</f>
        <v>133.01</v>
      </c>
      <c r="D2158" s="1">
        <f ca="1">IFERROR(__xludf.DUMMYFUNCTION("""COMPUTED_VALUE"""),129.33)</f>
        <v>129.33000000000001</v>
      </c>
      <c r="E2158" s="1">
        <f ca="1">IFERROR(__xludf.DUMMYFUNCTION("""COMPUTED_VALUE"""),132.21)</f>
        <v>132.21</v>
      </c>
      <c r="F2158" s="1">
        <f ca="1">IFERROR(__xludf.DUMMYFUNCTION("""COMPUTED_VALUE"""),46317381)</f>
        <v>46317381</v>
      </c>
    </row>
    <row r="2159" spans="1:6" x14ac:dyDescent="0.35">
      <c r="A2159" s="2">
        <f ca="1">IFERROR(__xludf.DUMMYFUNCTION("""COMPUTED_VALUE"""),45138.6666666666)</f>
        <v>45138.666666666599</v>
      </c>
      <c r="B2159" s="1">
        <f ca="1">IFERROR(__xludf.DUMMYFUNCTION("""COMPUTED_VALUE"""),133.2)</f>
        <v>133.19999999999999</v>
      </c>
      <c r="C2159" s="1">
        <f ca="1">IFERROR(__xludf.DUMMYFUNCTION("""COMPUTED_VALUE"""),133.87)</f>
        <v>133.87</v>
      </c>
      <c r="D2159" s="1">
        <f ca="1">IFERROR(__xludf.DUMMYFUNCTION("""COMPUTED_VALUE"""),132.38)</f>
        <v>132.38</v>
      </c>
      <c r="E2159" s="1">
        <f ca="1">IFERROR(__xludf.DUMMYFUNCTION("""COMPUTED_VALUE"""),133.68)</f>
        <v>133.68</v>
      </c>
      <c r="F2159" s="1">
        <f ca="1">IFERROR(__xludf.DUMMYFUNCTION("""COMPUTED_VALUE"""),41901516)</f>
        <v>41901516</v>
      </c>
    </row>
    <row r="2160" spans="1:6" x14ac:dyDescent="0.35">
      <c r="A2160" s="2">
        <f ca="1">IFERROR(__xludf.DUMMYFUNCTION("""COMPUTED_VALUE"""),45139.6666666666)</f>
        <v>45139.666666666599</v>
      </c>
      <c r="B2160" s="1">
        <f ca="1">IFERROR(__xludf.DUMMYFUNCTION("""COMPUTED_VALUE"""),133.55)</f>
        <v>133.55000000000001</v>
      </c>
      <c r="C2160" s="1">
        <f ca="1">IFERROR(__xludf.DUMMYFUNCTION("""COMPUTED_VALUE"""),133.69)</f>
        <v>133.69</v>
      </c>
      <c r="D2160" s="1">
        <f ca="1">IFERROR(__xludf.DUMMYFUNCTION("""COMPUTED_VALUE"""),131.62)</f>
        <v>131.62</v>
      </c>
      <c r="E2160" s="1">
        <f ca="1">IFERROR(__xludf.DUMMYFUNCTION("""COMPUTED_VALUE"""),131.69)</f>
        <v>131.69</v>
      </c>
      <c r="F2160" s="1">
        <f ca="1">IFERROR(__xludf.DUMMYFUNCTION("""COMPUTED_VALUE"""),42298925)</f>
        <v>42298925</v>
      </c>
    </row>
    <row r="2161" spans="1:6" x14ac:dyDescent="0.35">
      <c r="A2161" s="2">
        <f ca="1">IFERROR(__xludf.DUMMYFUNCTION("""COMPUTED_VALUE"""),45140.6666666666)</f>
        <v>45140.666666666599</v>
      </c>
      <c r="B2161" s="1">
        <f ca="1">IFERROR(__xludf.DUMMYFUNCTION("""COMPUTED_VALUE"""),130.15)</f>
        <v>130.15</v>
      </c>
      <c r="C2161" s="1">
        <f ca="1">IFERROR(__xludf.DUMMYFUNCTION("""COMPUTED_VALUE"""),130.23)</f>
        <v>130.22999999999999</v>
      </c>
      <c r="D2161" s="1">
        <f ca="1">IFERROR(__xludf.DUMMYFUNCTION("""COMPUTED_VALUE"""),126.82)</f>
        <v>126.82</v>
      </c>
      <c r="E2161" s="1">
        <f ca="1">IFERROR(__xludf.DUMMYFUNCTION("""COMPUTED_VALUE"""),128.21)</f>
        <v>128.21</v>
      </c>
      <c r="F2161" s="1">
        <f ca="1">IFERROR(__xludf.DUMMYFUNCTION("""COMPUTED_VALUE"""),51027614)</f>
        <v>51027614</v>
      </c>
    </row>
    <row r="2162" spans="1:6" x14ac:dyDescent="0.35">
      <c r="A2162" s="2">
        <f ca="1">IFERROR(__xludf.DUMMYFUNCTION("""COMPUTED_VALUE"""),45141.6666666666)</f>
        <v>45141.666666666599</v>
      </c>
      <c r="B2162" s="1">
        <f ca="1">IFERROR(__xludf.DUMMYFUNCTION("""COMPUTED_VALUE"""),127.48)</f>
        <v>127.48</v>
      </c>
      <c r="C2162" s="1">
        <f ca="1">IFERROR(__xludf.DUMMYFUNCTION("""COMPUTED_VALUE"""),129.84)</f>
        <v>129.84</v>
      </c>
      <c r="D2162" s="1">
        <f ca="1">IFERROR(__xludf.DUMMYFUNCTION("""COMPUTED_VALUE"""),126.41)</f>
        <v>126.41</v>
      </c>
      <c r="E2162" s="1">
        <f ca="1">IFERROR(__xludf.DUMMYFUNCTION("""COMPUTED_VALUE"""),128.91)</f>
        <v>128.91</v>
      </c>
      <c r="F2162" s="1">
        <f ca="1">IFERROR(__xludf.DUMMYFUNCTION("""COMPUTED_VALUE"""),91163736)</f>
        <v>91163736</v>
      </c>
    </row>
    <row r="2163" spans="1:6" x14ac:dyDescent="0.35">
      <c r="A2163" s="2">
        <f ca="1">IFERROR(__xludf.DUMMYFUNCTION("""COMPUTED_VALUE"""),45142.6666666666)</f>
        <v>45142.666666666599</v>
      </c>
      <c r="B2163" s="1">
        <f ca="1">IFERROR(__xludf.DUMMYFUNCTION("""COMPUTED_VALUE"""),141.06)</f>
        <v>141.06</v>
      </c>
      <c r="C2163" s="1">
        <f ca="1">IFERROR(__xludf.DUMMYFUNCTION("""COMPUTED_VALUE"""),143.63)</f>
        <v>143.63</v>
      </c>
      <c r="D2163" s="1">
        <f ca="1">IFERROR(__xludf.DUMMYFUNCTION("""COMPUTED_VALUE"""),139.32)</f>
        <v>139.32</v>
      </c>
      <c r="E2163" s="1">
        <f ca="1">IFERROR(__xludf.DUMMYFUNCTION("""COMPUTED_VALUE"""),139.57)</f>
        <v>139.57</v>
      </c>
      <c r="F2163" s="1">
        <f ca="1">IFERROR(__xludf.DUMMYFUNCTION("""COMPUTED_VALUE"""),153128470)</f>
        <v>153128470</v>
      </c>
    </row>
    <row r="2164" spans="1:6" x14ac:dyDescent="0.35">
      <c r="A2164" s="2">
        <f ca="1">IFERROR(__xludf.DUMMYFUNCTION("""COMPUTED_VALUE"""),45145.6666666666)</f>
        <v>45145.666666666599</v>
      </c>
      <c r="B2164" s="1">
        <f ca="1">IFERROR(__xludf.DUMMYFUNCTION("""COMPUTED_VALUE"""),140.99)</f>
        <v>140.99</v>
      </c>
      <c r="C2164" s="1">
        <f ca="1">IFERROR(__xludf.DUMMYFUNCTION("""COMPUTED_VALUE"""),142.54)</f>
        <v>142.54</v>
      </c>
      <c r="D2164" s="1">
        <f ca="1">IFERROR(__xludf.DUMMYFUNCTION("""COMPUTED_VALUE"""),138.95)</f>
        <v>138.94999999999999</v>
      </c>
      <c r="E2164" s="1">
        <f ca="1">IFERROR(__xludf.DUMMYFUNCTION("""COMPUTED_VALUE"""),142.22)</f>
        <v>142.22</v>
      </c>
      <c r="F2164" s="1">
        <f ca="1">IFERROR(__xludf.DUMMYFUNCTION("""COMPUTED_VALUE"""),71213112)</f>
        <v>71213112</v>
      </c>
    </row>
    <row r="2165" spans="1:6" x14ac:dyDescent="0.35">
      <c r="A2165" s="2">
        <f ca="1">IFERROR(__xludf.DUMMYFUNCTION("""COMPUTED_VALUE"""),45146.6666666666)</f>
        <v>45146.666666666599</v>
      </c>
      <c r="B2165" s="1">
        <f ca="1">IFERROR(__xludf.DUMMYFUNCTION("""COMPUTED_VALUE"""),140.62)</f>
        <v>140.62</v>
      </c>
      <c r="C2165" s="1">
        <f ca="1">IFERROR(__xludf.DUMMYFUNCTION("""COMPUTED_VALUE"""),140.84)</f>
        <v>140.84</v>
      </c>
      <c r="D2165" s="1">
        <f ca="1">IFERROR(__xludf.DUMMYFUNCTION("""COMPUTED_VALUE"""),138.42)</f>
        <v>138.41999999999999</v>
      </c>
      <c r="E2165" s="1">
        <f ca="1">IFERROR(__xludf.DUMMYFUNCTION("""COMPUTED_VALUE"""),139.94)</f>
        <v>139.94</v>
      </c>
      <c r="F2165" s="1">
        <f ca="1">IFERROR(__xludf.DUMMYFUNCTION("""COMPUTED_VALUE"""),51710497)</f>
        <v>51710497</v>
      </c>
    </row>
    <row r="2166" spans="1:6" x14ac:dyDescent="0.35">
      <c r="A2166" s="2">
        <f ca="1">IFERROR(__xludf.DUMMYFUNCTION("""COMPUTED_VALUE"""),45147.6666666666)</f>
        <v>45147.666666666599</v>
      </c>
      <c r="B2166" s="1">
        <f ca="1">IFERROR(__xludf.DUMMYFUNCTION("""COMPUTED_VALUE"""),139.97)</f>
        <v>139.97</v>
      </c>
      <c r="C2166" s="1">
        <f ca="1">IFERROR(__xludf.DUMMYFUNCTION("""COMPUTED_VALUE"""),140.32)</f>
        <v>140.32</v>
      </c>
      <c r="D2166" s="1">
        <f ca="1">IFERROR(__xludf.DUMMYFUNCTION("""COMPUTED_VALUE"""),137.1)</f>
        <v>137.1</v>
      </c>
      <c r="E2166" s="1">
        <f ca="1">IFERROR(__xludf.DUMMYFUNCTION("""COMPUTED_VALUE"""),137.85)</f>
        <v>137.85</v>
      </c>
      <c r="F2166" s="1">
        <f ca="1">IFERROR(__xludf.DUMMYFUNCTION("""COMPUTED_VALUE"""),50017349)</f>
        <v>50017349</v>
      </c>
    </row>
    <row r="2167" spans="1:6" x14ac:dyDescent="0.35">
      <c r="A2167" s="2">
        <f ca="1">IFERROR(__xludf.DUMMYFUNCTION("""COMPUTED_VALUE"""),45148.6666666666)</f>
        <v>45148.666666666599</v>
      </c>
      <c r="B2167" s="1">
        <f ca="1">IFERROR(__xludf.DUMMYFUNCTION("""COMPUTED_VALUE"""),139.07)</f>
        <v>139.07</v>
      </c>
      <c r="C2167" s="1">
        <f ca="1">IFERROR(__xludf.DUMMYFUNCTION("""COMPUTED_VALUE"""),140.41)</f>
        <v>140.41</v>
      </c>
      <c r="D2167" s="1">
        <f ca="1">IFERROR(__xludf.DUMMYFUNCTION("""COMPUTED_VALUE"""),137.49)</f>
        <v>137.49</v>
      </c>
      <c r="E2167" s="1">
        <f ca="1">IFERROR(__xludf.DUMMYFUNCTION("""COMPUTED_VALUE"""),138.56)</f>
        <v>138.56</v>
      </c>
      <c r="F2167" s="1">
        <f ca="1">IFERROR(__xludf.DUMMYFUNCTION("""COMPUTED_VALUE"""),58928402)</f>
        <v>58928402</v>
      </c>
    </row>
    <row r="2168" spans="1:6" x14ac:dyDescent="0.35">
      <c r="A2168" s="2">
        <f ca="1">IFERROR(__xludf.DUMMYFUNCTION("""COMPUTED_VALUE"""),45149.6666666666)</f>
        <v>45149.666666666599</v>
      </c>
      <c r="B2168" s="1">
        <f ca="1">IFERROR(__xludf.DUMMYFUNCTION("""COMPUTED_VALUE"""),137.4)</f>
        <v>137.4</v>
      </c>
      <c r="C2168" s="1">
        <f ca="1">IFERROR(__xludf.DUMMYFUNCTION("""COMPUTED_VALUE"""),139.33)</f>
        <v>139.33000000000001</v>
      </c>
      <c r="D2168" s="1">
        <f ca="1">IFERROR(__xludf.DUMMYFUNCTION("""COMPUTED_VALUE"""),137)</f>
        <v>137</v>
      </c>
      <c r="E2168" s="1">
        <f ca="1">IFERROR(__xludf.DUMMYFUNCTION("""COMPUTED_VALUE"""),138.41)</f>
        <v>138.41</v>
      </c>
      <c r="F2168" s="1">
        <f ca="1">IFERROR(__xludf.DUMMYFUNCTION("""COMPUTED_VALUE"""),42905833)</f>
        <v>42905833</v>
      </c>
    </row>
    <row r="2169" spans="1:6" x14ac:dyDescent="0.35">
      <c r="A2169" s="2">
        <f ca="1">IFERROR(__xludf.DUMMYFUNCTION("""COMPUTED_VALUE"""),45152.6666666666)</f>
        <v>45152.666666666599</v>
      </c>
      <c r="B2169" s="1">
        <f ca="1">IFERROR(__xludf.DUMMYFUNCTION("""COMPUTED_VALUE"""),138.3)</f>
        <v>138.30000000000001</v>
      </c>
      <c r="C2169" s="1">
        <f ca="1">IFERROR(__xludf.DUMMYFUNCTION("""COMPUTED_VALUE"""),140.59)</f>
        <v>140.59</v>
      </c>
      <c r="D2169" s="1">
        <f ca="1">IFERROR(__xludf.DUMMYFUNCTION("""COMPUTED_VALUE"""),137.75)</f>
        <v>137.75</v>
      </c>
      <c r="E2169" s="1">
        <f ca="1">IFERROR(__xludf.DUMMYFUNCTION("""COMPUTED_VALUE"""),140.57)</f>
        <v>140.57</v>
      </c>
      <c r="F2169" s="1">
        <f ca="1">IFERROR(__xludf.DUMMYFUNCTION("""COMPUTED_VALUE"""),47148699)</f>
        <v>47148699</v>
      </c>
    </row>
    <row r="2170" spans="1:6" x14ac:dyDescent="0.35">
      <c r="A2170" s="2">
        <f ca="1">IFERROR(__xludf.DUMMYFUNCTION("""COMPUTED_VALUE"""),45153.6666666666)</f>
        <v>45153.666666666599</v>
      </c>
      <c r="B2170" s="1">
        <f ca="1">IFERROR(__xludf.DUMMYFUNCTION("""COMPUTED_VALUE"""),140.05)</f>
        <v>140.05000000000001</v>
      </c>
      <c r="C2170" s="1">
        <f ca="1">IFERROR(__xludf.DUMMYFUNCTION("""COMPUTED_VALUE"""),141.28)</f>
        <v>141.28</v>
      </c>
      <c r="D2170" s="1">
        <f ca="1">IFERROR(__xludf.DUMMYFUNCTION("""COMPUTED_VALUE"""),137.23)</f>
        <v>137.22999999999999</v>
      </c>
      <c r="E2170" s="1">
        <f ca="1">IFERROR(__xludf.DUMMYFUNCTION("""COMPUTED_VALUE"""),137.67)</f>
        <v>137.66999999999999</v>
      </c>
      <c r="F2170" s="1">
        <f ca="1">IFERROR(__xludf.DUMMYFUNCTION("""COMPUTED_VALUE"""),42781521)</f>
        <v>42781521</v>
      </c>
    </row>
    <row r="2171" spans="1:6" x14ac:dyDescent="0.35">
      <c r="A2171" s="2">
        <f ca="1">IFERROR(__xludf.DUMMYFUNCTION("""COMPUTED_VALUE"""),45154.6666666666)</f>
        <v>45154.666666666599</v>
      </c>
      <c r="B2171" s="1">
        <f ca="1">IFERROR(__xludf.DUMMYFUNCTION("""COMPUTED_VALUE"""),137.19)</f>
        <v>137.19</v>
      </c>
      <c r="C2171" s="1">
        <f ca="1">IFERROR(__xludf.DUMMYFUNCTION("""COMPUTED_VALUE"""),137.27)</f>
        <v>137.27000000000001</v>
      </c>
      <c r="D2171" s="1">
        <f ca="1">IFERROR(__xludf.DUMMYFUNCTION("""COMPUTED_VALUE"""),135.01)</f>
        <v>135.01</v>
      </c>
      <c r="E2171" s="1">
        <f ca="1">IFERROR(__xludf.DUMMYFUNCTION("""COMPUTED_VALUE"""),135.07)</f>
        <v>135.07</v>
      </c>
      <c r="F2171" s="1">
        <f ca="1">IFERROR(__xludf.DUMMYFUNCTION("""COMPUTED_VALUE"""),41675903)</f>
        <v>41675903</v>
      </c>
    </row>
    <row r="2172" spans="1:6" x14ac:dyDescent="0.35">
      <c r="A2172" s="2">
        <f ca="1">IFERROR(__xludf.DUMMYFUNCTION("""COMPUTED_VALUE"""),45155.6666666666)</f>
        <v>45155.666666666599</v>
      </c>
      <c r="B2172" s="1">
        <f ca="1">IFERROR(__xludf.DUMMYFUNCTION("""COMPUTED_VALUE"""),135.46)</f>
        <v>135.46</v>
      </c>
      <c r="C2172" s="1">
        <f ca="1">IFERROR(__xludf.DUMMYFUNCTION("""COMPUTED_VALUE"""),136.09)</f>
        <v>136.09</v>
      </c>
      <c r="D2172" s="1">
        <f ca="1">IFERROR(__xludf.DUMMYFUNCTION("""COMPUTED_VALUE"""),133.53)</f>
        <v>133.53</v>
      </c>
      <c r="E2172" s="1">
        <f ca="1">IFERROR(__xludf.DUMMYFUNCTION("""COMPUTED_VALUE"""),133.98)</f>
        <v>133.97999999999999</v>
      </c>
      <c r="F2172" s="1">
        <f ca="1">IFERROR(__xludf.DUMMYFUNCTION("""COMPUTED_VALUE"""),48354085)</f>
        <v>48354085</v>
      </c>
    </row>
    <row r="2173" spans="1:6" x14ac:dyDescent="0.35">
      <c r="A2173" s="2">
        <f ca="1">IFERROR(__xludf.DUMMYFUNCTION("""COMPUTED_VALUE"""),45156.6666666666)</f>
        <v>45156.666666666599</v>
      </c>
      <c r="B2173" s="1">
        <f ca="1">IFERROR(__xludf.DUMMYFUNCTION("""COMPUTED_VALUE"""),131.62)</f>
        <v>131.62</v>
      </c>
      <c r="C2173" s="1">
        <f ca="1">IFERROR(__xludf.DUMMYFUNCTION("""COMPUTED_VALUE"""),134.07)</f>
        <v>134.07</v>
      </c>
      <c r="D2173" s="1">
        <f ca="1">IFERROR(__xludf.DUMMYFUNCTION("""COMPUTED_VALUE"""),131.15)</f>
        <v>131.15</v>
      </c>
      <c r="E2173" s="1">
        <f ca="1">IFERROR(__xludf.DUMMYFUNCTION("""COMPUTED_VALUE"""),133.22)</f>
        <v>133.22</v>
      </c>
      <c r="F2173" s="1">
        <f ca="1">IFERROR(__xludf.DUMMYFUNCTION("""COMPUTED_VALUE"""),48497698)</f>
        <v>48497698</v>
      </c>
    </row>
    <row r="2174" spans="1:6" x14ac:dyDescent="0.35">
      <c r="A2174" s="2">
        <f ca="1">IFERROR(__xludf.DUMMYFUNCTION("""COMPUTED_VALUE"""),45159.6666666666)</f>
        <v>45159.666666666599</v>
      </c>
      <c r="B2174" s="1">
        <f ca="1">IFERROR(__xludf.DUMMYFUNCTION("""COMPUTED_VALUE"""),133.74)</f>
        <v>133.74</v>
      </c>
      <c r="C2174" s="1">
        <f ca="1">IFERROR(__xludf.DUMMYFUNCTION("""COMPUTED_VALUE"""),135.19)</f>
        <v>135.19</v>
      </c>
      <c r="D2174" s="1">
        <f ca="1">IFERROR(__xludf.DUMMYFUNCTION("""COMPUTED_VALUE"""),132.71)</f>
        <v>132.71</v>
      </c>
      <c r="E2174" s="1">
        <f ca="1">IFERROR(__xludf.DUMMYFUNCTION("""COMPUTED_VALUE"""),134.68)</f>
        <v>134.68</v>
      </c>
      <c r="F2174" s="1">
        <f ca="1">IFERROR(__xludf.DUMMYFUNCTION("""COMPUTED_VALUE"""),41442483)</f>
        <v>41442483</v>
      </c>
    </row>
    <row r="2175" spans="1:6" x14ac:dyDescent="0.35">
      <c r="A2175" s="2">
        <f ca="1">IFERROR(__xludf.DUMMYFUNCTION("""COMPUTED_VALUE"""),45160.6666666666)</f>
        <v>45160.666666666599</v>
      </c>
      <c r="B2175" s="1">
        <f ca="1">IFERROR(__xludf.DUMMYFUNCTION("""COMPUTED_VALUE"""),135.08)</f>
        <v>135.08000000000001</v>
      </c>
      <c r="C2175" s="1">
        <f ca="1">IFERROR(__xludf.DUMMYFUNCTION("""COMPUTED_VALUE"""),135.65)</f>
        <v>135.65</v>
      </c>
      <c r="D2175" s="1">
        <f ca="1">IFERROR(__xludf.DUMMYFUNCTION("""COMPUTED_VALUE"""),133.73)</f>
        <v>133.72999999999999</v>
      </c>
      <c r="E2175" s="1">
        <f ca="1">IFERROR(__xludf.DUMMYFUNCTION("""COMPUTED_VALUE"""),134.25)</f>
        <v>134.25</v>
      </c>
      <c r="F2175" s="1">
        <f ca="1">IFERROR(__xludf.DUMMYFUNCTION("""COMPUTED_VALUE"""),32935104)</f>
        <v>32935104</v>
      </c>
    </row>
    <row r="2176" spans="1:6" x14ac:dyDescent="0.35">
      <c r="A2176" s="2">
        <f ca="1">IFERROR(__xludf.DUMMYFUNCTION("""COMPUTED_VALUE"""),45161.6666666666)</f>
        <v>45161.666666666599</v>
      </c>
      <c r="B2176" s="1">
        <f ca="1">IFERROR(__xludf.DUMMYFUNCTION("""COMPUTED_VALUE"""),134.5)</f>
        <v>134.5</v>
      </c>
      <c r="C2176" s="1">
        <f ca="1">IFERROR(__xludf.DUMMYFUNCTION("""COMPUTED_VALUE"""),135.95)</f>
        <v>135.94999999999999</v>
      </c>
      <c r="D2176" s="1">
        <f ca="1">IFERROR(__xludf.DUMMYFUNCTION("""COMPUTED_VALUE"""),133.22)</f>
        <v>133.22</v>
      </c>
      <c r="E2176" s="1">
        <f ca="1">IFERROR(__xludf.DUMMYFUNCTION("""COMPUTED_VALUE"""),135.52)</f>
        <v>135.52000000000001</v>
      </c>
      <c r="F2176" s="1">
        <f ca="1">IFERROR(__xludf.DUMMYFUNCTION("""COMPUTED_VALUE"""),42801043)</f>
        <v>42801043</v>
      </c>
    </row>
    <row r="2177" spans="1:6" x14ac:dyDescent="0.35">
      <c r="A2177" s="2">
        <f ca="1">IFERROR(__xludf.DUMMYFUNCTION("""COMPUTED_VALUE"""),45162.6666666666)</f>
        <v>45162.666666666599</v>
      </c>
      <c r="B2177" s="1">
        <f ca="1">IFERROR(__xludf.DUMMYFUNCTION("""COMPUTED_VALUE"""),136.4)</f>
        <v>136.4</v>
      </c>
      <c r="C2177" s="1">
        <f ca="1">IFERROR(__xludf.DUMMYFUNCTION("""COMPUTED_VALUE"""),136.78)</f>
        <v>136.78</v>
      </c>
      <c r="D2177" s="1">
        <f ca="1">IFERROR(__xludf.DUMMYFUNCTION("""COMPUTED_VALUE"""),131.83)</f>
        <v>131.83000000000001</v>
      </c>
      <c r="E2177" s="1">
        <f ca="1">IFERROR(__xludf.DUMMYFUNCTION("""COMPUTED_VALUE"""),131.84)</f>
        <v>131.84</v>
      </c>
      <c r="F2177" s="1">
        <f ca="1">IFERROR(__xludf.DUMMYFUNCTION("""COMPUTED_VALUE"""),43646250)</f>
        <v>43646250</v>
      </c>
    </row>
    <row r="2178" spans="1:6" x14ac:dyDescent="0.35">
      <c r="A2178" s="2">
        <f ca="1">IFERROR(__xludf.DUMMYFUNCTION("""COMPUTED_VALUE"""),45163.6666666666)</f>
        <v>45163.666666666599</v>
      </c>
      <c r="B2178" s="1">
        <f ca="1">IFERROR(__xludf.DUMMYFUNCTION("""COMPUTED_VALUE"""),132.47)</f>
        <v>132.47</v>
      </c>
      <c r="C2178" s="1">
        <f ca="1">IFERROR(__xludf.DUMMYFUNCTION("""COMPUTED_VALUE"""),133.87)</f>
        <v>133.87</v>
      </c>
      <c r="D2178" s="1">
        <f ca="1">IFERROR(__xludf.DUMMYFUNCTION("""COMPUTED_VALUE"""),130.58)</f>
        <v>130.58000000000001</v>
      </c>
      <c r="E2178" s="1">
        <f ca="1">IFERROR(__xludf.DUMMYFUNCTION("""COMPUTED_VALUE"""),133.26)</f>
        <v>133.26</v>
      </c>
      <c r="F2178" s="1">
        <f ca="1">IFERROR(__xludf.DUMMYFUNCTION("""COMPUTED_VALUE"""),44147451)</f>
        <v>44147451</v>
      </c>
    </row>
    <row r="2179" spans="1:6" x14ac:dyDescent="0.35">
      <c r="A2179" s="2">
        <f ca="1">IFERROR(__xludf.DUMMYFUNCTION("""COMPUTED_VALUE"""),45166.6666666666)</f>
        <v>45166.666666666599</v>
      </c>
      <c r="B2179" s="1">
        <f ca="1">IFERROR(__xludf.DUMMYFUNCTION("""COMPUTED_VALUE"""),133.78)</f>
        <v>133.78</v>
      </c>
      <c r="C2179" s="1">
        <f ca="1">IFERROR(__xludf.DUMMYFUNCTION("""COMPUTED_VALUE"""),133.95)</f>
        <v>133.94999999999999</v>
      </c>
      <c r="D2179" s="1">
        <f ca="1">IFERROR(__xludf.DUMMYFUNCTION("""COMPUTED_VALUE"""),131.85)</f>
        <v>131.85</v>
      </c>
      <c r="E2179" s="1">
        <f ca="1">IFERROR(__xludf.DUMMYFUNCTION("""COMPUTED_VALUE"""),133.14)</f>
        <v>133.13999999999999</v>
      </c>
      <c r="F2179" s="1">
        <f ca="1">IFERROR(__xludf.DUMMYFUNCTION("""COMPUTED_VALUE"""),34108410)</f>
        <v>34108410</v>
      </c>
    </row>
    <row r="2180" spans="1:6" x14ac:dyDescent="0.35">
      <c r="A2180" s="2">
        <f ca="1">IFERROR(__xludf.DUMMYFUNCTION("""COMPUTED_VALUE"""),45167.6666666666)</f>
        <v>45167.666666666599</v>
      </c>
      <c r="B2180" s="1">
        <f ca="1">IFERROR(__xludf.DUMMYFUNCTION("""COMPUTED_VALUE"""),133.38)</f>
        <v>133.38</v>
      </c>
      <c r="C2180" s="1">
        <f ca="1">IFERROR(__xludf.DUMMYFUNCTION("""COMPUTED_VALUE"""),135.14)</f>
        <v>135.13999999999999</v>
      </c>
      <c r="D2180" s="1">
        <f ca="1">IFERROR(__xludf.DUMMYFUNCTION("""COMPUTED_VALUE"""),133.25)</f>
        <v>133.25</v>
      </c>
      <c r="E2180" s="1">
        <f ca="1">IFERROR(__xludf.DUMMYFUNCTION("""COMPUTED_VALUE"""),134.91)</f>
        <v>134.91</v>
      </c>
      <c r="F2180" s="1">
        <f ca="1">IFERROR(__xludf.DUMMYFUNCTION("""COMPUTED_VALUE"""),38646093)</f>
        <v>38646093</v>
      </c>
    </row>
    <row r="2181" spans="1:6" x14ac:dyDescent="0.35">
      <c r="A2181" s="2">
        <f ca="1">IFERROR(__xludf.DUMMYFUNCTION("""COMPUTED_VALUE"""),45168.6666666666)</f>
        <v>45168.666666666599</v>
      </c>
      <c r="B2181" s="1">
        <f ca="1">IFERROR(__xludf.DUMMYFUNCTION("""COMPUTED_VALUE"""),134.93)</f>
        <v>134.93</v>
      </c>
      <c r="C2181" s="1">
        <f ca="1">IFERROR(__xludf.DUMMYFUNCTION("""COMPUTED_VALUE"""),135.68)</f>
        <v>135.68</v>
      </c>
      <c r="D2181" s="1">
        <f ca="1">IFERROR(__xludf.DUMMYFUNCTION("""COMPUTED_VALUE"""),133.92)</f>
        <v>133.91999999999999</v>
      </c>
      <c r="E2181" s="1">
        <f ca="1">IFERROR(__xludf.DUMMYFUNCTION("""COMPUTED_VALUE"""),135.07)</f>
        <v>135.07</v>
      </c>
      <c r="F2181" s="1">
        <f ca="1">IFERROR(__xludf.DUMMYFUNCTION("""COMPUTED_VALUE"""),36137015)</f>
        <v>36137015</v>
      </c>
    </row>
    <row r="2182" spans="1:6" x14ac:dyDescent="0.35">
      <c r="A2182" s="2">
        <f ca="1">IFERROR(__xludf.DUMMYFUNCTION("""COMPUTED_VALUE"""),45169.6666666666)</f>
        <v>45169.666666666599</v>
      </c>
      <c r="B2182" s="1">
        <f ca="1">IFERROR(__xludf.DUMMYFUNCTION("""COMPUTED_VALUE"""),135.06)</f>
        <v>135.06</v>
      </c>
      <c r="C2182" s="1">
        <f ca="1">IFERROR(__xludf.DUMMYFUNCTION("""COMPUTED_VALUE"""),138.79)</f>
        <v>138.79</v>
      </c>
      <c r="D2182" s="1">
        <f ca="1">IFERROR(__xludf.DUMMYFUNCTION("""COMPUTED_VALUE"""),135)</f>
        <v>135</v>
      </c>
      <c r="E2182" s="1">
        <f ca="1">IFERROR(__xludf.DUMMYFUNCTION("""COMPUTED_VALUE"""),138.01)</f>
        <v>138.01</v>
      </c>
      <c r="F2182" s="1">
        <f ca="1">IFERROR(__xludf.DUMMYFUNCTION("""COMPUTED_VALUE"""),58781314)</f>
        <v>58781314</v>
      </c>
    </row>
    <row r="2183" spans="1:6" x14ac:dyDescent="0.35">
      <c r="A2183" s="2">
        <f ca="1">IFERROR(__xludf.DUMMYFUNCTION("""COMPUTED_VALUE"""),45170.6666666666)</f>
        <v>45170.666666666599</v>
      </c>
      <c r="B2183" s="1">
        <f ca="1">IFERROR(__xludf.DUMMYFUNCTION("""COMPUTED_VALUE"""),139.46)</f>
        <v>139.46</v>
      </c>
      <c r="C2183" s="1">
        <f ca="1">IFERROR(__xludf.DUMMYFUNCTION("""COMPUTED_VALUE"""),139.96)</f>
        <v>139.96</v>
      </c>
      <c r="D2183" s="1">
        <f ca="1">IFERROR(__xludf.DUMMYFUNCTION("""COMPUTED_VALUE"""),136.88)</f>
        <v>136.88</v>
      </c>
      <c r="E2183" s="1">
        <f ca="1">IFERROR(__xludf.DUMMYFUNCTION("""COMPUTED_VALUE"""),138.12)</f>
        <v>138.12</v>
      </c>
      <c r="F2183" s="1">
        <f ca="1">IFERROR(__xludf.DUMMYFUNCTION("""COMPUTED_VALUE"""),40991536)</f>
        <v>40991536</v>
      </c>
    </row>
    <row r="2184" spans="1:6" x14ac:dyDescent="0.35">
      <c r="A2184" s="2">
        <f ca="1">IFERROR(__xludf.DUMMYFUNCTION("""COMPUTED_VALUE"""),45174.6666666666)</f>
        <v>45174.666666666599</v>
      </c>
      <c r="B2184" s="1">
        <f ca="1">IFERROR(__xludf.DUMMYFUNCTION("""COMPUTED_VALUE"""),137.73)</f>
        <v>137.72999999999999</v>
      </c>
      <c r="C2184" s="1">
        <f ca="1">IFERROR(__xludf.DUMMYFUNCTION("""COMPUTED_VALUE"""),137.8)</f>
        <v>137.80000000000001</v>
      </c>
      <c r="D2184" s="1">
        <f ca="1">IFERROR(__xludf.DUMMYFUNCTION("""COMPUTED_VALUE"""),135.82)</f>
        <v>135.82</v>
      </c>
      <c r="E2184" s="1">
        <f ca="1">IFERROR(__xludf.DUMMYFUNCTION("""COMPUTED_VALUE"""),137.27)</f>
        <v>137.27000000000001</v>
      </c>
      <c r="F2184" s="1">
        <f ca="1">IFERROR(__xludf.DUMMYFUNCTION("""COMPUTED_VALUE"""),40636738)</f>
        <v>40636738</v>
      </c>
    </row>
    <row r="2185" spans="1:6" x14ac:dyDescent="0.35">
      <c r="A2185" s="2">
        <f ca="1">IFERROR(__xludf.DUMMYFUNCTION("""COMPUTED_VALUE"""),45175.6666666666)</f>
        <v>45175.666666666599</v>
      </c>
      <c r="B2185" s="1">
        <f ca="1">IFERROR(__xludf.DUMMYFUNCTION("""COMPUTED_VALUE"""),136.32)</f>
        <v>136.32</v>
      </c>
      <c r="C2185" s="1">
        <f ca="1">IFERROR(__xludf.DUMMYFUNCTION("""COMPUTED_VALUE"""),137.45)</f>
        <v>137.44999999999999</v>
      </c>
      <c r="D2185" s="1">
        <f ca="1">IFERROR(__xludf.DUMMYFUNCTION("""COMPUTED_VALUE"""),134.61)</f>
        <v>134.61000000000001</v>
      </c>
      <c r="E2185" s="1">
        <f ca="1">IFERROR(__xludf.DUMMYFUNCTION("""COMPUTED_VALUE"""),135.36)</f>
        <v>135.36000000000001</v>
      </c>
      <c r="F2185" s="1">
        <f ca="1">IFERROR(__xludf.DUMMYFUNCTION("""COMPUTED_VALUE"""),41785507)</f>
        <v>41785507</v>
      </c>
    </row>
    <row r="2186" spans="1:6" x14ac:dyDescent="0.35">
      <c r="A2186" s="2">
        <f ca="1">IFERROR(__xludf.DUMMYFUNCTION("""COMPUTED_VALUE"""),45176.6666666666)</f>
        <v>45176.666666666599</v>
      </c>
      <c r="B2186" s="1">
        <f ca="1">IFERROR(__xludf.DUMMYFUNCTION("""COMPUTED_VALUE"""),133.9)</f>
        <v>133.9</v>
      </c>
      <c r="C2186" s="1">
        <f ca="1">IFERROR(__xludf.DUMMYFUNCTION("""COMPUTED_VALUE"""),138.03)</f>
        <v>138.03</v>
      </c>
      <c r="D2186" s="1">
        <f ca="1">IFERROR(__xludf.DUMMYFUNCTION("""COMPUTED_VALUE"""),133.16)</f>
        <v>133.16</v>
      </c>
      <c r="E2186" s="1">
        <f ca="1">IFERROR(__xludf.DUMMYFUNCTION("""COMPUTED_VALUE"""),137.85)</f>
        <v>137.85</v>
      </c>
      <c r="F2186" s="1">
        <f ca="1">IFERROR(__xludf.DUMMYFUNCTION("""COMPUTED_VALUE"""),48498912)</f>
        <v>48498912</v>
      </c>
    </row>
    <row r="2187" spans="1:6" x14ac:dyDescent="0.35">
      <c r="A2187" s="2">
        <f ca="1">IFERROR(__xludf.DUMMYFUNCTION("""COMPUTED_VALUE"""),45177.6666666666)</f>
        <v>45177.666666666599</v>
      </c>
      <c r="B2187" s="1">
        <f ca="1">IFERROR(__xludf.DUMMYFUNCTION("""COMPUTED_VALUE"""),136.86)</f>
        <v>136.86000000000001</v>
      </c>
      <c r="C2187" s="1">
        <f ca="1">IFERROR(__xludf.DUMMYFUNCTION("""COMPUTED_VALUE"""),138.85)</f>
        <v>138.85</v>
      </c>
      <c r="D2187" s="1">
        <f ca="1">IFERROR(__xludf.DUMMYFUNCTION("""COMPUTED_VALUE"""),136.75)</f>
        <v>136.75</v>
      </c>
      <c r="E2187" s="1">
        <f ca="1">IFERROR(__xludf.DUMMYFUNCTION("""COMPUTED_VALUE"""),138.23)</f>
        <v>138.22999999999999</v>
      </c>
      <c r="F2187" s="1">
        <f ca="1">IFERROR(__xludf.DUMMYFUNCTION("""COMPUTED_VALUE"""),38365929)</f>
        <v>38365929</v>
      </c>
    </row>
    <row r="2188" spans="1:6" x14ac:dyDescent="0.35">
      <c r="A2188" s="2">
        <f ca="1">IFERROR(__xludf.DUMMYFUNCTION("""COMPUTED_VALUE"""),45180.6666666666)</f>
        <v>45180.666666666599</v>
      </c>
      <c r="B2188" s="1">
        <f ca="1">IFERROR(__xludf.DUMMYFUNCTION("""COMPUTED_VALUE"""),138.75)</f>
        <v>138.75</v>
      </c>
      <c r="C2188" s="1">
        <f ca="1">IFERROR(__xludf.DUMMYFUNCTION("""COMPUTED_VALUE"""),143.62)</f>
        <v>143.62</v>
      </c>
      <c r="D2188" s="1">
        <f ca="1">IFERROR(__xludf.DUMMYFUNCTION("""COMPUTED_VALUE"""),138.64)</f>
        <v>138.63999999999999</v>
      </c>
      <c r="E2188" s="1">
        <f ca="1">IFERROR(__xludf.DUMMYFUNCTION("""COMPUTED_VALUE"""),143.1)</f>
        <v>143.1</v>
      </c>
      <c r="F2188" s="1">
        <f ca="1">IFERROR(__xludf.DUMMYFUNCTION("""COMPUTED_VALUE"""),56764525)</f>
        <v>56764525</v>
      </c>
    </row>
    <row r="2189" spans="1:6" x14ac:dyDescent="0.35">
      <c r="A2189" s="2">
        <f ca="1">IFERROR(__xludf.DUMMYFUNCTION("""COMPUTED_VALUE"""),45181.6666666666)</f>
        <v>45181.666666666599</v>
      </c>
      <c r="B2189" s="1">
        <f ca="1">IFERROR(__xludf.DUMMYFUNCTION("""COMPUTED_VALUE"""),142.32)</f>
        <v>142.32</v>
      </c>
      <c r="C2189" s="1">
        <f ca="1">IFERROR(__xludf.DUMMYFUNCTION("""COMPUTED_VALUE"""),143)</f>
        <v>143</v>
      </c>
      <c r="D2189" s="1">
        <f ca="1">IFERROR(__xludf.DUMMYFUNCTION("""COMPUTED_VALUE"""),140.61)</f>
        <v>140.61000000000001</v>
      </c>
      <c r="E2189" s="1">
        <f ca="1">IFERROR(__xludf.DUMMYFUNCTION("""COMPUTED_VALUE"""),141.23)</f>
        <v>141.22999999999999</v>
      </c>
      <c r="F2189" s="1">
        <f ca="1">IFERROR(__xludf.DUMMYFUNCTION("""COMPUTED_VALUE"""),42668452)</f>
        <v>42668452</v>
      </c>
    </row>
    <row r="2190" spans="1:6" x14ac:dyDescent="0.35">
      <c r="A2190" s="2">
        <f ca="1">IFERROR(__xludf.DUMMYFUNCTION("""COMPUTED_VALUE"""),45182.6666666666)</f>
        <v>45182.666666666599</v>
      </c>
      <c r="B2190" s="1">
        <f ca="1">IFERROR(__xludf.DUMMYFUNCTION("""COMPUTED_VALUE"""),140.95)</f>
        <v>140.94999999999999</v>
      </c>
      <c r="C2190" s="1">
        <f ca="1">IFERROR(__xludf.DUMMYFUNCTION("""COMPUTED_VALUE"""),144.98)</f>
        <v>144.97999999999999</v>
      </c>
      <c r="D2190" s="1">
        <f ca="1">IFERROR(__xludf.DUMMYFUNCTION("""COMPUTED_VALUE"""),140.87)</f>
        <v>140.87</v>
      </c>
      <c r="E2190" s="1">
        <f ca="1">IFERROR(__xludf.DUMMYFUNCTION("""COMPUTED_VALUE"""),144.85)</f>
        <v>144.85</v>
      </c>
      <c r="F2190" s="1">
        <f ca="1">IFERROR(__xludf.DUMMYFUNCTION("""COMPUTED_VALUE"""),60465175)</f>
        <v>60465175</v>
      </c>
    </row>
    <row r="2191" spans="1:6" x14ac:dyDescent="0.35">
      <c r="A2191" s="2">
        <f ca="1">IFERROR(__xludf.DUMMYFUNCTION("""COMPUTED_VALUE"""),45183.6666666666)</f>
        <v>45183.666666666599</v>
      </c>
      <c r="B2191" s="1">
        <f ca="1">IFERROR(__xludf.DUMMYFUNCTION("""COMPUTED_VALUE"""),145.08)</f>
        <v>145.08000000000001</v>
      </c>
      <c r="C2191" s="1">
        <f ca="1">IFERROR(__xludf.DUMMYFUNCTION("""COMPUTED_VALUE"""),145.86)</f>
        <v>145.86000000000001</v>
      </c>
      <c r="D2191" s="1">
        <f ca="1">IFERROR(__xludf.DUMMYFUNCTION("""COMPUTED_VALUE"""),142.95)</f>
        <v>142.94999999999999</v>
      </c>
      <c r="E2191" s="1">
        <f ca="1">IFERROR(__xludf.DUMMYFUNCTION("""COMPUTED_VALUE"""),144.72)</f>
        <v>144.72</v>
      </c>
      <c r="F2191" s="1">
        <f ca="1">IFERROR(__xludf.DUMMYFUNCTION("""COMPUTED_VALUE"""),64033607)</f>
        <v>64033607</v>
      </c>
    </row>
    <row r="2192" spans="1:6" x14ac:dyDescent="0.35">
      <c r="A2192" s="2">
        <f ca="1">IFERROR(__xludf.DUMMYFUNCTION("""COMPUTED_VALUE"""),45184.6666666666)</f>
        <v>45184.666666666599</v>
      </c>
      <c r="B2192" s="1">
        <f ca="1">IFERROR(__xludf.DUMMYFUNCTION("""COMPUTED_VALUE"""),142.69)</f>
        <v>142.69</v>
      </c>
      <c r="C2192" s="1">
        <f ca="1">IFERROR(__xludf.DUMMYFUNCTION("""COMPUTED_VALUE"""),143.57)</f>
        <v>143.57</v>
      </c>
      <c r="D2192" s="1">
        <f ca="1">IFERROR(__xludf.DUMMYFUNCTION("""COMPUTED_VALUE"""),140.09)</f>
        <v>140.09</v>
      </c>
      <c r="E2192" s="1">
        <f ca="1">IFERROR(__xludf.DUMMYFUNCTION("""COMPUTED_VALUE"""),140.39)</f>
        <v>140.38999999999999</v>
      </c>
      <c r="F2192" s="1">
        <f ca="1">IFERROR(__xludf.DUMMYFUNCTION("""COMPUTED_VALUE"""),102909327)</f>
        <v>102909327</v>
      </c>
    </row>
    <row r="2193" spans="1:6" x14ac:dyDescent="0.35">
      <c r="A2193" s="2">
        <f ca="1">IFERROR(__xludf.DUMMYFUNCTION("""COMPUTED_VALUE"""),45187.6666666666)</f>
        <v>45187.666666666599</v>
      </c>
      <c r="B2193" s="1">
        <f ca="1">IFERROR(__xludf.DUMMYFUNCTION("""COMPUTED_VALUE"""),140.48)</f>
        <v>140.47999999999999</v>
      </c>
      <c r="C2193" s="1">
        <f ca="1">IFERROR(__xludf.DUMMYFUNCTION("""COMPUTED_VALUE"""),141.75)</f>
        <v>141.75</v>
      </c>
      <c r="D2193" s="1">
        <f ca="1">IFERROR(__xludf.DUMMYFUNCTION("""COMPUTED_VALUE"""),139.22)</f>
        <v>139.22</v>
      </c>
      <c r="E2193" s="1">
        <f ca="1">IFERROR(__xludf.DUMMYFUNCTION("""COMPUTED_VALUE"""),139.98)</f>
        <v>139.97999999999999</v>
      </c>
      <c r="F2193" s="1">
        <f ca="1">IFERROR(__xludf.DUMMYFUNCTION("""COMPUTED_VALUE"""),42823480)</f>
        <v>42823480</v>
      </c>
    </row>
    <row r="2194" spans="1:6" x14ac:dyDescent="0.35">
      <c r="A2194" s="2">
        <f ca="1">IFERROR(__xludf.DUMMYFUNCTION("""COMPUTED_VALUE"""),45188.6666666666)</f>
        <v>45188.666666666599</v>
      </c>
      <c r="B2194" s="1">
        <f ca="1">IFERROR(__xludf.DUMMYFUNCTION("""COMPUTED_VALUE"""),138.7)</f>
        <v>138.69999999999999</v>
      </c>
      <c r="C2194" s="1">
        <f ca="1">IFERROR(__xludf.DUMMYFUNCTION("""COMPUTED_VALUE"""),138.84)</f>
        <v>138.84</v>
      </c>
      <c r="D2194" s="1">
        <f ca="1">IFERROR(__xludf.DUMMYFUNCTION("""COMPUTED_VALUE"""),135.56)</f>
        <v>135.56</v>
      </c>
      <c r="E2194" s="1">
        <f ca="1">IFERROR(__xludf.DUMMYFUNCTION("""COMPUTED_VALUE"""),137.63)</f>
        <v>137.63</v>
      </c>
      <c r="F2194" s="1">
        <f ca="1">IFERROR(__xludf.DUMMYFUNCTION("""COMPUTED_VALUE"""),61482470)</f>
        <v>61482470</v>
      </c>
    </row>
    <row r="2195" spans="1:6" x14ac:dyDescent="0.35">
      <c r="A2195" s="2">
        <f ca="1">IFERROR(__xludf.DUMMYFUNCTION("""COMPUTED_VALUE"""),45189.6666666666)</f>
        <v>45189.666666666599</v>
      </c>
      <c r="B2195" s="1">
        <f ca="1">IFERROR(__xludf.DUMMYFUNCTION("""COMPUTED_VALUE"""),138.55)</f>
        <v>138.55000000000001</v>
      </c>
      <c r="C2195" s="1">
        <f ca="1">IFERROR(__xludf.DUMMYFUNCTION("""COMPUTED_VALUE"""),139.37)</f>
        <v>139.37</v>
      </c>
      <c r="D2195" s="1">
        <f ca="1">IFERROR(__xludf.DUMMYFUNCTION("""COMPUTED_VALUE"""),135.2)</f>
        <v>135.19999999999999</v>
      </c>
      <c r="E2195" s="1">
        <f ca="1">IFERROR(__xludf.DUMMYFUNCTION("""COMPUTED_VALUE"""),135.29)</f>
        <v>135.29</v>
      </c>
      <c r="F2195" s="1">
        <f ca="1">IFERROR(__xludf.DUMMYFUNCTION("""COMPUTED_VALUE"""),46263716)</f>
        <v>46263716</v>
      </c>
    </row>
    <row r="2196" spans="1:6" x14ac:dyDescent="0.35">
      <c r="A2196" s="2">
        <f ca="1">IFERROR(__xludf.DUMMYFUNCTION("""COMPUTED_VALUE"""),45190.6666666666)</f>
        <v>45190.666666666599</v>
      </c>
      <c r="B2196" s="1">
        <f ca="1">IFERROR(__xludf.DUMMYFUNCTION("""COMPUTED_VALUE"""),131.94)</f>
        <v>131.94</v>
      </c>
      <c r="C2196" s="1">
        <f ca="1">IFERROR(__xludf.DUMMYFUNCTION("""COMPUTED_VALUE"""),132.24)</f>
        <v>132.24</v>
      </c>
      <c r="D2196" s="1">
        <f ca="1">IFERROR(__xludf.DUMMYFUNCTION("""COMPUTED_VALUE"""),129.31)</f>
        <v>129.31</v>
      </c>
      <c r="E2196" s="1">
        <f ca="1">IFERROR(__xludf.DUMMYFUNCTION("""COMPUTED_VALUE"""),129.33)</f>
        <v>129.33000000000001</v>
      </c>
      <c r="F2196" s="1">
        <f ca="1">IFERROR(__xludf.DUMMYFUNCTION("""COMPUTED_VALUE"""),70343342)</f>
        <v>70343342</v>
      </c>
    </row>
    <row r="2197" spans="1:6" x14ac:dyDescent="0.35">
      <c r="A2197" s="2">
        <f ca="1">IFERROR(__xludf.DUMMYFUNCTION("""COMPUTED_VALUE"""),45191.6666666666)</f>
        <v>45191.666666666599</v>
      </c>
      <c r="B2197" s="1">
        <f ca="1">IFERROR(__xludf.DUMMYFUNCTION("""COMPUTED_VALUE"""),131.11)</f>
        <v>131.11000000000001</v>
      </c>
      <c r="C2197" s="1">
        <f ca="1">IFERROR(__xludf.DUMMYFUNCTION("""COMPUTED_VALUE"""),132.03)</f>
        <v>132.03</v>
      </c>
      <c r="D2197" s="1">
        <f ca="1">IFERROR(__xludf.DUMMYFUNCTION("""COMPUTED_VALUE"""),128.52)</f>
        <v>128.52000000000001</v>
      </c>
      <c r="E2197" s="1">
        <f ca="1">IFERROR(__xludf.DUMMYFUNCTION("""COMPUTED_VALUE"""),129.12)</f>
        <v>129.12</v>
      </c>
      <c r="F2197" s="1">
        <f ca="1">IFERROR(__xludf.DUMMYFUNCTION("""COMPUTED_VALUE"""),59904348)</f>
        <v>59904348</v>
      </c>
    </row>
    <row r="2198" spans="1:6" x14ac:dyDescent="0.35">
      <c r="A2198" s="2">
        <f ca="1">IFERROR(__xludf.DUMMYFUNCTION("""COMPUTED_VALUE"""),45194.6666666666)</f>
        <v>45194.666666666599</v>
      </c>
      <c r="B2198" s="1">
        <f ca="1">IFERROR(__xludf.DUMMYFUNCTION("""COMPUTED_VALUE"""),129.36)</f>
        <v>129.36000000000001</v>
      </c>
      <c r="C2198" s="1">
        <f ca="1">IFERROR(__xludf.DUMMYFUNCTION("""COMPUTED_VALUE"""),131.78)</f>
        <v>131.78</v>
      </c>
      <c r="D2198" s="1">
        <f ca="1">IFERROR(__xludf.DUMMYFUNCTION("""COMPUTED_VALUE"""),128.77)</f>
        <v>128.77000000000001</v>
      </c>
      <c r="E2198" s="1">
        <f ca="1">IFERROR(__xludf.DUMMYFUNCTION("""COMPUTED_VALUE"""),131.27)</f>
        <v>131.27000000000001</v>
      </c>
      <c r="F2198" s="1">
        <f ca="1">IFERROR(__xludf.DUMMYFUNCTION("""COMPUTED_VALUE"""),46017825)</f>
        <v>46017825</v>
      </c>
    </row>
    <row r="2199" spans="1:6" x14ac:dyDescent="0.35">
      <c r="A2199" s="2">
        <f ca="1">IFERROR(__xludf.DUMMYFUNCTION("""COMPUTED_VALUE"""),45195.6666666666)</f>
        <v>45195.666666666599</v>
      </c>
      <c r="B2199" s="1">
        <f ca="1">IFERROR(__xludf.DUMMYFUNCTION("""COMPUTED_VALUE"""),130.12)</f>
        <v>130.12</v>
      </c>
      <c r="C2199" s="1">
        <f ca="1">IFERROR(__xludf.DUMMYFUNCTION("""COMPUTED_VALUE"""),130.39)</f>
        <v>130.38999999999999</v>
      </c>
      <c r="D2199" s="1">
        <f ca="1">IFERROR(__xludf.DUMMYFUNCTION("""COMPUTED_VALUE"""),125.28)</f>
        <v>125.28</v>
      </c>
      <c r="E2199" s="1">
        <f ca="1">IFERROR(__xludf.DUMMYFUNCTION("""COMPUTED_VALUE"""),125.98)</f>
        <v>125.98</v>
      </c>
      <c r="F2199" s="1">
        <f ca="1">IFERROR(__xludf.DUMMYFUNCTION("""COMPUTED_VALUE"""),73048207)</f>
        <v>73048207</v>
      </c>
    </row>
    <row r="2200" spans="1:6" x14ac:dyDescent="0.35">
      <c r="A2200" s="2">
        <f ca="1">IFERROR(__xludf.DUMMYFUNCTION("""COMPUTED_VALUE"""),45196.6666666666)</f>
        <v>45196.666666666599</v>
      </c>
      <c r="B2200" s="1">
        <f ca="1">IFERROR(__xludf.DUMMYFUNCTION("""COMPUTED_VALUE"""),125.76)</f>
        <v>125.76</v>
      </c>
      <c r="C2200" s="1">
        <f ca="1">IFERROR(__xludf.DUMMYFUNCTION("""COMPUTED_VALUE"""),127.48)</f>
        <v>127.48</v>
      </c>
      <c r="D2200" s="1">
        <f ca="1">IFERROR(__xludf.DUMMYFUNCTION("""COMPUTED_VALUE"""),124.13)</f>
        <v>124.13</v>
      </c>
      <c r="E2200" s="1">
        <f ca="1">IFERROR(__xludf.DUMMYFUNCTION("""COMPUTED_VALUE"""),125.98)</f>
        <v>125.98</v>
      </c>
      <c r="F2200" s="1">
        <f ca="1">IFERROR(__xludf.DUMMYFUNCTION("""COMPUTED_VALUE"""),66553449)</f>
        <v>66553449</v>
      </c>
    </row>
    <row r="2201" spans="1:6" x14ac:dyDescent="0.35">
      <c r="A2201" s="2">
        <f ca="1">IFERROR(__xludf.DUMMYFUNCTION("""COMPUTED_VALUE"""),45197.6666666666)</f>
        <v>45197.666666666599</v>
      </c>
      <c r="B2201" s="1">
        <f ca="1">IFERROR(__xludf.DUMMYFUNCTION("""COMPUTED_VALUE"""),124.04)</f>
        <v>124.04</v>
      </c>
      <c r="C2201" s="1">
        <f ca="1">IFERROR(__xludf.DUMMYFUNCTION("""COMPUTED_VALUE"""),126.58)</f>
        <v>126.58</v>
      </c>
      <c r="D2201" s="1">
        <f ca="1">IFERROR(__xludf.DUMMYFUNCTION("""COMPUTED_VALUE"""),123.04)</f>
        <v>123.04</v>
      </c>
      <c r="E2201" s="1">
        <f ca="1">IFERROR(__xludf.DUMMYFUNCTION("""COMPUTED_VALUE"""),125.98)</f>
        <v>125.98</v>
      </c>
      <c r="F2201" s="1">
        <f ca="1">IFERROR(__xludf.DUMMYFUNCTION("""COMPUTED_VALUE"""),54554968)</f>
        <v>54554968</v>
      </c>
    </row>
    <row r="2202" spans="1:6" x14ac:dyDescent="0.35">
      <c r="A2202" s="2">
        <f ca="1">IFERROR(__xludf.DUMMYFUNCTION("""COMPUTED_VALUE"""),45198.6666666666)</f>
        <v>45198.666666666599</v>
      </c>
      <c r="B2202" s="1">
        <f ca="1">IFERROR(__xludf.DUMMYFUNCTION("""COMPUTED_VALUE"""),128.2)</f>
        <v>128.19999999999999</v>
      </c>
      <c r="C2202" s="1">
        <f ca="1">IFERROR(__xludf.DUMMYFUNCTION("""COMPUTED_VALUE"""),129.15)</f>
        <v>129.15</v>
      </c>
      <c r="D2202" s="1">
        <f ca="1">IFERROR(__xludf.DUMMYFUNCTION("""COMPUTED_VALUE"""),126.32)</f>
        <v>126.32</v>
      </c>
      <c r="E2202" s="1">
        <f ca="1">IFERROR(__xludf.DUMMYFUNCTION("""COMPUTED_VALUE"""),127.12)</f>
        <v>127.12</v>
      </c>
      <c r="F2202" s="1">
        <f ca="1">IFERROR(__xludf.DUMMYFUNCTION("""COMPUTED_VALUE"""),62411730)</f>
        <v>62411730</v>
      </c>
    </row>
    <row r="2203" spans="1:6" x14ac:dyDescent="0.35">
      <c r="A2203" s="2">
        <f ca="1">IFERROR(__xludf.DUMMYFUNCTION("""COMPUTED_VALUE"""),45201.6666666666)</f>
        <v>45201.666666666599</v>
      </c>
      <c r="B2203" s="1">
        <f ca="1">IFERROR(__xludf.DUMMYFUNCTION("""COMPUTED_VALUE"""),127.28)</f>
        <v>127.28</v>
      </c>
      <c r="C2203" s="1">
        <f ca="1">IFERROR(__xludf.DUMMYFUNCTION("""COMPUTED_VALUE"""),130.47)</f>
        <v>130.47</v>
      </c>
      <c r="D2203" s="1">
        <f ca="1">IFERROR(__xludf.DUMMYFUNCTION("""COMPUTED_VALUE"""),126.54)</f>
        <v>126.54</v>
      </c>
      <c r="E2203" s="1">
        <f ca="1">IFERROR(__xludf.DUMMYFUNCTION("""COMPUTED_VALUE"""),129.46)</f>
        <v>129.46</v>
      </c>
      <c r="F2203" s="1">
        <f ca="1">IFERROR(__xludf.DUMMYFUNCTION("""COMPUTED_VALUE"""),48029744)</f>
        <v>48029744</v>
      </c>
    </row>
    <row r="2204" spans="1:6" x14ac:dyDescent="0.35">
      <c r="A2204" s="2">
        <f ca="1">IFERROR(__xludf.DUMMYFUNCTION("""COMPUTED_VALUE"""),45202.6666666666)</f>
        <v>45202.666666666599</v>
      </c>
      <c r="B2204" s="1">
        <f ca="1">IFERROR(__xludf.DUMMYFUNCTION("""COMPUTED_VALUE"""),128.06)</f>
        <v>128.06</v>
      </c>
      <c r="C2204" s="1">
        <f ca="1">IFERROR(__xludf.DUMMYFUNCTION("""COMPUTED_VALUE"""),128.52)</f>
        <v>128.52000000000001</v>
      </c>
      <c r="D2204" s="1">
        <f ca="1">IFERROR(__xludf.DUMMYFUNCTION("""COMPUTED_VALUE"""),124.25)</f>
        <v>124.25</v>
      </c>
      <c r="E2204" s="1">
        <f ca="1">IFERROR(__xludf.DUMMYFUNCTION("""COMPUTED_VALUE"""),124.72)</f>
        <v>124.72</v>
      </c>
      <c r="F2204" s="1">
        <f ca="1">IFERROR(__xludf.DUMMYFUNCTION("""COMPUTED_VALUE"""),51564991)</f>
        <v>51564991</v>
      </c>
    </row>
    <row r="2205" spans="1:6" x14ac:dyDescent="0.35">
      <c r="A2205" s="2">
        <f ca="1">IFERROR(__xludf.DUMMYFUNCTION("""COMPUTED_VALUE"""),45203.6666666666)</f>
        <v>45203.666666666599</v>
      </c>
      <c r="B2205" s="1">
        <f ca="1">IFERROR(__xludf.DUMMYFUNCTION("""COMPUTED_VALUE"""),126.06)</f>
        <v>126.06</v>
      </c>
      <c r="C2205" s="1">
        <f ca="1">IFERROR(__xludf.DUMMYFUNCTION("""COMPUTED_VALUE"""),127.36)</f>
        <v>127.36</v>
      </c>
      <c r="D2205" s="1">
        <f ca="1">IFERROR(__xludf.DUMMYFUNCTION("""COMPUTED_VALUE"""),125.68)</f>
        <v>125.68</v>
      </c>
      <c r="E2205" s="1">
        <f ca="1">IFERROR(__xludf.DUMMYFUNCTION("""COMPUTED_VALUE"""),127)</f>
        <v>127</v>
      </c>
      <c r="F2205" s="1">
        <f ca="1">IFERROR(__xludf.DUMMYFUNCTION("""COMPUTED_VALUE"""),44203870)</f>
        <v>44203870</v>
      </c>
    </row>
    <row r="2206" spans="1:6" x14ac:dyDescent="0.35">
      <c r="A2206" s="2">
        <f ca="1">IFERROR(__xludf.DUMMYFUNCTION("""COMPUTED_VALUE"""),45204.6666666666)</f>
        <v>45204.666666666599</v>
      </c>
      <c r="B2206" s="1">
        <f ca="1">IFERROR(__xludf.DUMMYFUNCTION("""COMPUTED_VALUE"""),126.71)</f>
        <v>126.71</v>
      </c>
      <c r="C2206" s="1">
        <f ca="1">IFERROR(__xludf.DUMMYFUNCTION("""COMPUTED_VALUE"""),126.73)</f>
        <v>126.73</v>
      </c>
      <c r="D2206" s="1">
        <f ca="1">IFERROR(__xludf.DUMMYFUNCTION("""COMPUTED_VALUE"""),124.33)</f>
        <v>124.33</v>
      </c>
      <c r="E2206" s="1">
        <f ca="1">IFERROR(__xludf.DUMMYFUNCTION("""COMPUTED_VALUE"""),125.96)</f>
        <v>125.96</v>
      </c>
      <c r="F2206" s="1">
        <f ca="1">IFERROR(__xludf.DUMMYFUNCTION("""COMPUTED_VALUE"""),39660643)</f>
        <v>39660643</v>
      </c>
    </row>
    <row r="2207" spans="1:6" x14ac:dyDescent="0.35">
      <c r="A2207" s="2">
        <f ca="1">IFERROR(__xludf.DUMMYFUNCTION("""COMPUTED_VALUE"""),45205.6666666666)</f>
        <v>45205.666666666599</v>
      </c>
      <c r="B2207" s="1">
        <f ca="1">IFERROR(__xludf.DUMMYFUNCTION("""COMPUTED_VALUE"""),124.16)</f>
        <v>124.16</v>
      </c>
      <c r="C2207" s="1">
        <f ca="1">IFERROR(__xludf.DUMMYFUNCTION("""COMPUTED_VALUE"""),128.45)</f>
        <v>128.44999999999999</v>
      </c>
      <c r="D2207" s="1">
        <f ca="1">IFERROR(__xludf.DUMMYFUNCTION("""COMPUTED_VALUE"""),124.13)</f>
        <v>124.13</v>
      </c>
      <c r="E2207" s="1">
        <f ca="1">IFERROR(__xludf.DUMMYFUNCTION("""COMPUTED_VALUE"""),127.96)</f>
        <v>127.96</v>
      </c>
      <c r="F2207" s="1">
        <f ca="1">IFERROR(__xludf.DUMMYFUNCTION("""COMPUTED_VALUE"""),46836698)</f>
        <v>46836698</v>
      </c>
    </row>
    <row r="2208" spans="1:6" x14ac:dyDescent="0.35">
      <c r="A2208" s="2">
        <f ca="1">IFERROR(__xludf.DUMMYFUNCTION("""COMPUTED_VALUE"""),45208.6666666666)</f>
        <v>45208.666666666599</v>
      </c>
      <c r="B2208" s="1">
        <f ca="1">IFERROR(__xludf.DUMMYFUNCTION("""COMPUTED_VALUE"""),126.22)</f>
        <v>126.22</v>
      </c>
      <c r="C2208" s="1">
        <f ca="1">IFERROR(__xludf.DUMMYFUNCTION("""COMPUTED_VALUE"""),128.79)</f>
        <v>128.79</v>
      </c>
      <c r="D2208" s="1">
        <f ca="1">IFERROR(__xludf.DUMMYFUNCTION("""COMPUTED_VALUE"""),124.76)</f>
        <v>124.76</v>
      </c>
      <c r="E2208" s="1">
        <f ca="1">IFERROR(__xludf.DUMMYFUNCTION("""COMPUTED_VALUE"""),128.26)</f>
        <v>128.26</v>
      </c>
      <c r="F2208" s="1">
        <f ca="1">IFERROR(__xludf.DUMMYFUNCTION("""COMPUTED_VALUE"""),38773738)</f>
        <v>38773738</v>
      </c>
    </row>
    <row r="2209" spans="1:6" x14ac:dyDescent="0.35">
      <c r="A2209" s="2">
        <f ca="1">IFERROR(__xludf.DUMMYFUNCTION("""COMPUTED_VALUE"""),45209.6666666666)</f>
        <v>45209.666666666599</v>
      </c>
      <c r="B2209" s="1">
        <f ca="1">IFERROR(__xludf.DUMMYFUNCTION("""COMPUTED_VALUE"""),128.82)</f>
        <v>128.82</v>
      </c>
      <c r="C2209" s="1">
        <f ca="1">IFERROR(__xludf.DUMMYFUNCTION("""COMPUTED_VALUE"""),130.74)</f>
        <v>130.74</v>
      </c>
      <c r="D2209" s="1">
        <f ca="1">IFERROR(__xludf.DUMMYFUNCTION("""COMPUTED_VALUE"""),128.05)</f>
        <v>128.05000000000001</v>
      </c>
      <c r="E2209" s="1">
        <f ca="1">IFERROR(__xludf.DUMMYFUNCTION("""COMPUTED_VALUE"""),129.48)</f>
        <v>129.47999999999999</v>
      </c>
      <c r="F2209" s="1">
        <f ca="1">IFERROR(__xludf.DUMMYFUNCTION("""COMPUTED_VALUE"""),42178619)</f>
        <v>42178619</v>
      </c>
    </row>
    <row r="2210" spans="1:6" x14ac:dyDescent="0.35">
      <c r="A2210" s="2">
        <f ca="1">IFERROR(__xludf.DUMMYFUNCTION("""COMPUTED_VALUE"""),45210.6666666666)</f>
        <v>45210.666666666599</v>
      </c>
      <c r="B2210" s="1">
        <f ca="1">IFERROR(__xludf.DUMMYFUNCTION("""COMPUTED_VALUE"""),129.74)</f>
        <v>129.74</v>
      </c>
      <c r="C2210" s="1">
        <f ca="1">IFERROR(__xludf.DUMMYFUNCTION("""COMPUTED_VALUE"""),132.05)</f>
        <v>132.05000000000001</v>
      </c>
      <c r="D2210" s="1">
        <f ca="1">IFERROR(__xludf.DUMMYFUNCTION("""COMPUTED_VALUE"""),129.61)</f>
        <v>129.61000000000001</v>
      </c>
      <c r="E2210" s="1">
        <f ca="1">IFERROR(__xludf.DUMMYFUNCTION("""COMPUTED_VALUE"""),131.83)</f>
        <v>131.83000000000001</v>
      </c>
      <c r="F2210" s="1">
        <f ca="1">IFERROR(__xludf.DUMMYFUNCTION("""COMPUTED_VALUE"""),40741842)</f>
        <v>40741842</v>
      </c>
    </row>
    <row r="2211" spans="1:6" x14ac:dyDescent="0.35">
      <c r="A2211" s="2">
        <f ca="1">IFERROR(__xludf.DUMMYFUNCTION("""COMPUTED_VALUE"""),45211.6666666666)</f>
        <v>45211.666666666599</v>
      </c>
      <c r="B2211" s="1">
        <f ca="1">IFERROR(__xludf.DUMMYFUNCTION("""COMPUTED_VALUE"""),132.17)</f>
        <v>132.16999999999999</v>
      </c>
      <c r="C2211" s="1">
        <f ca="1">IFERROR(__xludf.DUMMYFUNCTION("""COMPUTED_VALUE"""),134.48)</f>
        <v>134.47999999999999</v>
      </c>
      <c r="D2211" s="1">
        <f ca="1">IFERROR(__xludf.DUMMYFUNCTION("""COMPUTED_VALUE"""),131.23)</f>
        <v>131.22999999999999</v>
      </c>
      <c r="E2211" s="1">
        <f ca="1">IFERROR(__xludf.DUMMYFUNCTION("""COMPUTED_VALUE"""),132.33)</f>
        <v>132.33000000000001</v>
      </c>
      <c r="F2211" s="1">
        <f ca="1">IFERROR(__xludf.DUMMYFUNCTION("""COMPUTED_VALUE"""),55528581)</f>
        <v>55528581</v>
      </c>
    </row>
    <row r="2212" spans="1:6" x14ac:dyDescent="0.35">
      <c r="A2212" s="2">
        <f ca="1">IFERROR(__xludf.DUMMYFUNCTION("""COMPUTED_VALUE"""),45212.6666666666)</f>
        <v>45212.666666666599</v>
      </c>
      <c r="B2212" s="1">
        <f ca="1">IFERROR(__xludf.DUMMYFUNCTION("""COMPUTED_VALUE"""),132.98)</f>
        <v>132.97999999999999</v>
      </c>
      <c r="C2212" s="1">
        <f ca="1">IFERROR(__xludf.DUMMYFUNCTION("""COMPUTED_VALUE"""),133.31)</f>
        <v>133.31</v>
      </c>
      <c r="D2212" s="1">
        <f ca="1">IFERROR(__xludf.DUMMYFUNCTION("""COMPUTED_VALUE"""),128.95)</f>
        <v>128.94999999999999</v>
      </c>
      <c r="E2212" s="1">
        <f ca="1">IFERROR(__xludf.DUMMYFUNCTION("""COMPUTED_VALUE"""),129.79)</f>
        <v>129.79</v>
      </c>
      <c r="F2212" s="1">
        <f ca="1">IFERROR(__xludf.DUMMYFUNCTION("""COMPUTED_VALUE"""),45824685)</f>
        <v>45824685</v>
      </c>
    </row>
    <row r="2213" spans="1:6" x14ac:dyDescent="0.35">
      <c r="A2213" s="2">
        <f ca="1">IFERROR(__xludf.DUMMYFUNCTION("""COMPUTED_VALUE"""),45215.6666666666)</f>
        <v>45215.666666666599</v>
      </c>
      <c r="B2213" s="1">
        <f ca="1">IFERROR(__xludf.DUMMYFUNCTION("""COMPUTED_VALUE"""),130.69)</f>
        <v>130.69</v>
      </c>
      <c r="C2213" s="1">
        <f ca="1">IFERROR(__xludf.DUMMYFUNCTION("""COMPUTED_VALUE"""),133.07)</f>
        <v>133.07</v>
      </c>
      <c r="D2213" s="1">
        <f ca="1">IFERROR(__xludf.DUMMYFUNCTION("""COMPUTED_VALUE"""),130.43)</f>
        <v>130.43</v>
      </c>
      <c r="E2213" s="1">
        <f ca="1">IFERROR(__xludf.DUMMYFUNCTION("""COMPUTED_VALUE"""),132.55)</f>
        <v>132.55000000000001</v>
      </c>
      <c r="F2213" s="1">
        <f ca="1">IFERROR(__xludf.DUMMYFUNCTION("""COMPUTED_VALUE"""),42832918)</f>
        <v>42832918</v>
      </c>
    </row>
    <row r="2214" spans="1:6" x14ac:dyDescent="0.35">
      <c r="A2214" s="2">
        <f ca="1">IFERROR(__xludf.DUMMYFUNCTION("""COMPUTED_VALUE"""),45216.6666666666)</f>
        <v>45216.666666666599</v>
      </c>
      <c r="B2214" s="1">
        <f ca="1">IFERROR(__xludf.DUMMYFUNCTION("""COMPUTED_VALUE"""),130.39)</f>
        <v>130.38999999999999</v>
      </c>
      <c r="C2214" s="1">
        <f ca="1">IFERROR(__xludf.DUMMYFUNCTION("""COMPUTED_VALUE"""),132.58)</f>
        <v>132.58000000000001</v>
      </c>
      <c r="D2214" s="1">
        <f ca="1">IFERROR(__xludf.DUMMYFUNCTION("""COMPUTED_VALUE"""),128.71)</f>
        <v>128.71</v>
      </c>
      <c r="E2214" s="1">
        <f ca="1">IFERROR(__xludf.DUMMYFUNCTION("""COMPUTED_VALUE"""),131.47)</f>
        <v>131.47</v>
      </c>
      <c r="F2214" s="1">
        <f ca="1">IFERROR(__xludf.DUMMYFUNCTION("""COMPUTED_VALUE"""),49344550)</f>
        <v>49344550</v>
      </c>
    </row>
    <row r="2215" spans="1:6" x14ac:dyDescent="0.35">
      <c r="A2215" s="2">
        <f ca="1">IFERROR(__xludf.DUMMYFUNCTION("""COMPUTED_VALUE"""),45217.6666666666)</f>
        <v>45217.666666666599</v>
      </c>
      <c r="B2215" s="1">
        <f ca="1">IFERROR(__xludf.DUMMYFUNCTION("""COMPUTED_VALUE"""),129.9)</f>
        <v>129.9</v>
      </c>
      <c r="C2215" s="1">
        <f ca="1">IFERROR(__xludf.DUMMYFUNCTION("""COMPUTED_VALUE"""),130.67)</f>
        <v>130.66999999999999</v>
      </c>
      <c r="D2215" s="1">
        <f ca="1">IFERROR(__xludf.DUMMYFUNCTION("""COMPUTED_VALUE"""),127.51)</f>
        <v>127.51</v>
      </c>
      <c r="E2215" s="1">
        <f ca="1">IFERROR(__xludf.DUMMYFUNCTION("""COMPUTED_VALUE"""),128.13)</f>
        <v>128.13</v>
      </c>
      <c r="F2215" s="1">
        <f ca="1">IFERROR(__xludf.DUMMYFUNCTION("""COMPUTED_VALUE"""),42699479)</f>
        <v>42699479</v>
      </c>
    </row>
    <row r="2216" spans="1:6" x14ac:dyDescent="0.35">
      <c r="A2216" s="2">
        <f ca="1">IFERROR(__xludf.DUMMYFUNCTION("""COMPUTED_VALUE"""),45218.6666666666)</f>
        <v>45218.666666666599</v>
      </c>
      <c r="B2216" s="1">
        <f ca="1">IFERROR(__xludf.DUMMYFUNCTION("""COMPUTED_VALUE"""),130.57)</f>
        <v>130.57</v>
      </c>
      <c r="C2216" s="1">
        <f ca="1">IFERROR(__xludf.DUMMYFUNCTION("""COMPUTED_VALUE"""),132.24)</f>
        <v>132.24</v>
      </c>
      <c r="D2216" s="1">
        <f ca="1">IFERROR(__xludf.DUMMYFUNCTION("""COMPUTED_VALUE"""),127.47)</f>
        <v>127.47</v>
      </c>
      <c r="E2216" s="1">
        <f ca="1">IFERROR(__xludf.DUMMYFUNCTION("""COMPUTED_VALUE"""),128.4)</f>
        <v>128.4</v>
      </c>
      <c r="F2216" s="1">
        <f ca="1">IFERROR(__xludf.DUMMYFUNCTION("""COMPUTED_VALUE"""),60961355)</f>
        <v>60961355</v>
      </c>
    </row>
    <row r="2217" spans="1:6" x14ac:dyDescent="0.35">
      <c r="A2217" s="2">
        <f ca="1">IFERROR(__xludf.DUMMYFUNCTION("""COMPUTED_VALUE"""),45219.6666666666)</f>
        <v>45219.666666666599</v>
      </c>
      <c r="B2217" s="1">
        <f ca="1">IFERROR(__xludf.DUMMYFUNCTION("""COMPUTED_VALUE"""),128.05)</f>
        <v>128.05000000000001</v>
      </c>
      <c r="C2217" s="1">
        <f ca="1">IFERROR(__xludf.DUMMYFUNCTION("""COMPUTED_VALUE"""),128.17)</f>
        <v>128.16999999999999</v>
      </c>
      <c r="D2217" s="1">
        <f ca="1">IFERROR(__xludf.DUMMYFUNCTION("""COMPUTED_VALUE"""),124.97)</f>
        <v>124.97</v>
      </c>
      <c r="E2217" s="1">
        <f ca="1">IFERROR(__xludf.DUMMYFUNCTION("""COMPUTED_VALUE"""),125.17)</f>
        <v>125.17</v>
      </c>
      <c r="F2217" s="1">
        <f ca="1">IFERROR(__xludf.DUMMYFUNCTION("""COMPUTED_VALUE"""),56406410)</f>
        <v>56406410</v>
      </c>
    </row>
    <row r="2218" spans="1:6" x14ac:dyDescent="0.35">
      <c r="A2218" s="2">
        <f ca="1">IFERROR(__xludf.DUMMYFUNCTION("""COMPUTED_VALUE"""),45222.6666666666)</f>
        <v>45222.666666666599</v>
      </c>
      <c r="B2218" s="1">
        <f ca="1">IFERROR(__xludf.DUMMYFUNCTION("""COMPUTED_VALUE"""),124.63)</f>
        <v>124.63</v>
      </c>
      <c r="C2218" s="1">
        <f ca="1">IFERROR(__xludf.DUMMYFUNCTION("""COMPUTED_VALUE"""),127.88)</f>
        <v>127.88</v>
      </c>
      <c r="D2218" s="1">
        <f ca="1">IFERROR(__xludf.DUMMYFUNCTION("""COMPUTED_VALUE"""),123.98)</f>
        <v>123.98</v>
      </c>
      <c r="E2218" s="1">
        <f ca="1">IFERROR(__xludf.DUMMYFUNCTION("""COMPUTED_VALUE"""),126.56)</f>
        <v>126.56</v>
      </c>
      <c r="F2218" s="1">
        <f ca="1">IFERROR(__xludf.DUMMYFUNCTION("""COMPUTED_VALUE"""),48259953)</f>
        <v>48259953</v>
      </c>
    </row>
    <row r="2219" spans="1:6" x14ac:dyDescent="0.35">
      <c r="A2219" s="2">
        <f ca="1">IFERROR(__xludf.DUMMYFUNCTION("""COMPUTED_VALUE"""),45223.6666666666)</f>
        <v>45223.666666666599</v>
      </c>
      <c r="B2219" s="1">
        <f ca="1">IFERROR(__xludf.DUMMYFUNCTION("""COMPUTED_VALUE"""),127.74)</f>
        <v>127.74</v>
      </c>
      <c r="C2219" s="1">
        <f ca="1">IFERROR(__xludf.DUMMYFUNCTION("""COMPUTED_VALUE"""),128.8)</f>
        <v>128.80000000000001</v>
      </c>
      <c r="D2219" s="1">
        <f ca="1">IFERROR(__xludf.DUMMYFUNCTION("""COMPUTED_VALUE"""),126.34)</f>
        <v>126.34</v>
      </c>
      <c r="E2219" s="1">
        <f ca="1">IFERROR(__xludf.DUMMYFUNCTION("""COMPUTED_VALUE"""),128.56)</f>
        <v>128.56</v>
      </c>
      <c r="F2219" s="1">
        <f ca="1">IFERROR(__xludf.DUMMYFUNCTION("""COMPUTED_VALUE"""),46477355)</f>
        <v>46477355</v>
      </c>
    </row>
    <row r="2220" spans="1:6" x14ac:dyDescent="0.35">
      <c r="A2220" s="2">
        <f ca="1">IFERROR(__xludf.DUMMYFUNCTION("""COMPUTED_VALUE"""),45224.6666666666)</f>
        <v>45224.666666666599</v>
      </c>
      <c r="B2220" s="1">
        <f ca="1">IFERROR(__xludf.DUMMYFUNCTION("""COMPUTED_VALUE"""),126.04)</f>
        <v>126.04</v>
      </c>
      <c r="C2220" s="1">
        <f ca="1">IFERROR(__xludf.DUMMYFUNCTION("""COMPUTED_VALUE"""),126.34)</f>
        <v>126.34</v>
      </c>
      <c r="D2220" s="1">
        <f ca="1">IFERROR(__xludf.DUMMYFUNCTION("""COMPUTED_VALUE"""),120.79)</f>
        <v>120.79</v>
      </c>
      <c r="E2220" s="1">
        <f ca="1">IFERROR(__xludf.DUMMYFUNCTION("""COMPUTED_VALUE"""),121.39)</f>
        <v>121.39</v>
      </c>
      <c r="F2220" s="1">
        <f ca="1">IFERROR(__xludf.DUMMYFUNCTION("""COMPUTED_VALUE"""),74577544)</f>
        <v>74577544</v>
      </c>
    </row>
    <row r="2221" spans="1:6" x14ac:dyDescent="0.35">
      <c r="A2221" s="2">
        <f ca="1">IFERROR(__xludf.DUMMYFUNCTION("""COMPUTED_VALUE"""),45225.6666666666)</f>
        <v>45225.666666666599</v>
      </c>
      <c r="B2221" s="1">
        <f ca="1">IFERROR(__xludf.DUMMYFUNCTION("""COMPUTED_VALUE"""),120.63)</f>
        <v>120.63</v>
      </c>
      <c r="C2221" s="1">
        <f ca="1">IFERROR(__xludf.DUMMYFUNCTION("""COMPUTED_VALUE"""),121.64)</f>
        <v>121.64</v>
      </c>
      <c r="D2221" s="1">
        <f ca="1">IFERROR(__xludf.DUMMYFUNCTION("""COMPUTED_VALUE"""),118.35)</f>
        <v>118.35</v>
      </c>
      <c r="E2221" s="1">
        <f ca="1">IFERROR(__xludf.DUMMYFUNCTION("""COMPUTED_VALUE"""),119.57)</f>
        <v>119.57</v>
      </c>
      <c r="F2221" s="1">
        <f ca="1">IFERROR(__xludf.DUMMYFUNCTION("""COMPUTED_VALUE"""),100419516)</f>
        <v>100419516</v>
      </c>
    </row>
    <row r="2222" spans="1:6" x14ac:dyDescent="0.35">
      <c r="A2222" s="2">
        <f ca="1">IFERROR(__xludf.DUMMYFUNCTION("""COMPUTED_VALUE"""),45226.6666666666)</f>
        <v>45226.666666666599</v>
      </c>
      <c r="B2222" s="1">
        <f ca="1">IFERROR(__xludf.DUMMYFUNCTION("""COMPUTED_VALUE"""),126.2)</f>
        <v>126.2</v>
      </c>
      <c r="C2222" s="1">
        <f ca="1">IFERROR(__xludf.DUMMYFUNCTION("""COMPUTED_VALUE"""),130.02)</f>
        <v>130.02000000000001</v>
      </c>
      <c r="D2222" s="1">
        <f ca="1">IFERROR(__xludf.DUMMYFUNCTION("""COMPUTED_VALUE"""),125.52)</f>
        <v>125.52</v>
      </c>
      <c r="E2222" s="1">
        <f ca="1">IFERROR(__xludf.DUMMYFUNCTION("""COMPUTED_VALUE"""),127.74)</f>
        <v>127.74</v>
      </c>
      <c r="F2222" s="1">
        <f ca="1">IFERROR(__xludf.DUMMYFUNCTION("""COMPUTED_VALUE"""),125309313)</f>
        <v>125309313</v>
      </c>
    </row>
    <row r="2223" spans="1:6" x14ac:dyDescent="0.35">
      <c r="A2223" s="2">
        <f ca="1">IFERROR(__xludf.DUMMYFUNCTION("""COMPUTED_VALUE"""),45229.6666666666)</f>
        <v>45229.666666666599</v>
      </c>
      <c r="B2223" s="1">
        <f ca="1">IFERROR(__xludf.DUMMYFUNCTION("""COMPUTED_VALUE"""),129.72)</f>
        <v>129.72</v>
      </c>
      <c r="C2223" s="1">
        <f ca="1">IFERROR(__xludf.DUMMYFUNCTION("""COMPUTED_VALUE"""),133)</f>
        <v>133</v>
      </c>
      <c r="D2223" s="1">
        <f ca="1">IFERROR(__xludf.DUMMYFUNCTION("""COMPUTED_VALUE"""),128.56)</f>
        <v>128.56</v>
      </c>
      <c r="E2223" s="1">
        <f ca="1">IFERROR(__xludf.DUMMYFUNCTION("""COMPUTED_VALUE"""),132.71)</f>
        <v>132.71</v>
      </c>
      <c r="F2223" s="1">
        <f ca="1">IFERROR(__xludf.DUMMYFUNCTION("""COMPUTED_VALUE"""),72485542)</f>
        <v>72485542</v>
      </c>
    </row>
    <row r="2224" spans="1:6" x14ac:dyDescent="0.35">
      <c r="A2224" s="2">
        <f ca="1">IFERROR(__xludf.DUMMYFUNCTION("""COMPUTED_VALUE"""),45230.6666666666)</f>
        <v>45230.666666666599</v>
      </c>
      <c r="B2224" s="1">
        <f ca="1">IFERROR(__xludf.DUMMYFUNCTION("""COMPUTED_VALUE"""),132.75)</f>
        <v>132.75</v>
      </c>
      <c r="C2224" s="1">
        <f ca="1">IFERROR(__xludf.DUMMYFUNCTION("""COMPUTED_VALUE"""),133.57)</f>
        <v>133.57</v>
      </c>
      <c r="D2224" s="1">
        <f ca="1">IFERROR(__xludf.DUMMYFUNCTION("""COMPUTED_VALUE"""),131.71)</f>
        <v>131.71</v>
      </c>
      <c r="E2224" s="1">
        <f ca="1">IFERROR(__xludf.DUMMYFUNCTION("""COMPUTED_VALUE"""),133.09)</f>
        <v>133.09</v>
      </c>
      <c r="F2224" s="1">
        <f ca="1">IFERROR(__xludf.DUMMYFUNCTION("""COMPUTED_VALUE"""),51589380)</f>
        <v>51589380</v>
      </c>
    </row>
    <row r="2225" spans="1:6" x14ac:dyDescent="0.35">
      <c r="A2225" s="2">
        <f ca="1">IFERROR(__xludf.DUMMYFUNCTION("""COMPUTED_VALUE"""),45231.6666666666)</f>
        <v>45231.666666666599</v>
      </c>
      <c r="B2225" s="1">
        <f ca="1">IFERROR(__xludf.DUMMYFUNCTION("""COMPUTED_VALUE"""),133.96)</f>
        <v>133.96</v>
      </c>
      <c r="C2225" s="1">
        <f ca="1">IFERROR(__xludf.DUMMYFUNCTION("""COMPUTED_VALUE"""),137.35)</f>
        <v>137.35</v>
      </c>
      <c r="D2225" s="1">
        <f ca="1">IFERROR(__xludf.DUMMYFUNCTION("""COMPUTED_VALUE"""),133.71)</f>
        <v>133.71</v>
      </c>
      <c r="E2225" s="1">
        <f ca="1">IFERROR(__xludf.DUMMYFUNCTION("""COMPUTED_VALUE"""),137)</f>
        <v>137</v>
      </c>
      <c r="F2225" s="1">
        <f ca="1">IFERROR(__xludf.DUMMYFUNCTION("""COMPUTED_VALUE"""),61529409)</f>
        <v>61529409</v>
      </c>
    </row>
    <row r="2226" spans="1:6" x14ac:dyDescent="0.35">
      <c r="A2226" s="2">
        <f ca="1">IFERROR(__xludf.DUMMYFUNCTION("""COMPUTED_VALUE"""),45232.6666666666)</f>
        <v>45232.666666666599</v>
      </c>
      <c r="B2226" s="1">
        <f ca="1">IFERROR(__xludf.DUMMYFUNCTION("""COMPUTED_VALUE"""),138.73)</f>
        <v>138.72999999999999</v>
      </c>
      <c r="C2226" s="1">
        <f ca="1">IFERROR(__xludf.DUMMYFUNCTION("""COMPUTED_VALUE"""),138.81)</f>
        <v>138.81</v>
      </c>
      <c r="D2226" s="1">
        <f ca="1">IFERROR(__xludf.DUMMYFUNCTION("""COMPUTED_VALUE"""),136.47)</f>
        <v>136.47</v>
      </c>
      <c r="E2226" s="1">
        <f ca="1">IFERROR(__xludf.DUMMYFUNCTION("""COMPUTED_VALUE"""),138.07)</f>
        <v>138.07</v>
      </c>
      <c r="F2226" s="1">
        <f ca="1">IFERROR(__xludf.DUMMYFUNCTION("""COMPUTED_VALUE"""),52236693)</f>
        <v>52236693</v>
      </c>
    </row>
    <row r="2227" spans="1:6" x14ac:dyDescent="0.35">
      <c r="A2227" s="2">
        <f ca="1">IFERROR(__xludf.DUMMYFUNCTION("""COMPUTED_VALUE"""),45233.6666666666)</f>
        <v>45233.666666666599</v>
      </c>
      <c r="B2227" s="1">
        <f ca="1">IFERROR(__xludf.DUMMYFUNCTION("""COMPUTED_VALUE"""),138.99)</f>
        <v>138.99</v>
      </c>
      <c r="C2227" s="1">
        <f ca="1">IFERROR(__xludf.DUMMYFUNCTION("""COMPUTED_VALUE"""),139.49)</f>
        <v>139.49</v>
      </c>
      <c r="D2227" s="1">
        <f ca="1">IFERROR(__xludf.DUMMYFUNCTION("""COMPUTED_VALUE"""),137.45)</f>
        <v>137.44999999999999</v>
      </c>
      <c r="E2227" s="1">
        <f ca="1">IFERROR(__xludf.DUMMYFUNCTION("""COMPUTED_VALUE"""),138.6)</f>
        <v>138.6</v>
      </c>
      <c r="F2227" s="1">
        <f ca="1">IFERROR(__xludf.DUMMYFUNCTION("""COMPUTED_VALUE"""),44059805)</f>
        <v>44059805</v>
      </c>
    </row>
    <row r="2228" spans="1:6" x14ac:dyDescent="0.35">
      <c r="A2228" s="2">
        <f ca="1">IFERROR(__xludf.DUMMYFUNCTION("""COMPUTED_VALUE"""),45236.6666666666)</f>
        <v>45236.666666666599</v>
      </c>
      <c r="B2228" s="1">
        <f ca="1">IFERROR(__xludf.DUMMYFUNCTION("""COMPUTED_VALUE"""),138.76)</f>
        <v>138.76</v>
      </c>
      <c r="C2228" s="1">
        <f ca="1">IFERROR(__xludf.DUMMYFUNCTION("""COMPUTED_VALUE"""),140.73)</f>
        <v>140.72999999999999</v>
      </c>
      <c r="D2228" s="1">
        <f ca="1">IFERROR(__xludf.DUMMYFUNCTION("""COMPUTED_VALUE"""),138.36)</f>
        <v>138.36000000000001</v>
      </c>
      <c r="E2228" s="1">
        <f ca="1">IFERROR(__xludf.DUMMYFUNCTION("""COMPUTED_VALUE"""),139.74)</f>
        <v>139.74</v>
      </c>
      <c r="F2228" s="1">
        <f ca="1">IFERROR(__xludf.DUMMYFUNCTION("""COMPUTED_VALUE"""),44970417)</f>
        <v>44970417</v>
      </c>
    </row>
    <row r="2229" spans="1:6" x14ac:dyDescent="0.35">
      <c r="A2229" s="2">
        <f ca="1">IFERROR(__xludf.DUMMYFUNCTION("""COMPUTED_VALUE"""),45237.6666666666)</f>
        <v>45237.666666666599</v>
      </c>
      <c r="B2229" s="1">
        <f ca="1">IFERROR(__xludf.DUMMYFUNCTION("""COMPUTED_VALUE"""),140.55)</f>
        <v>140.55000000000001</v>
      </c>
      <c r="C2229" s="1">
        <f ca="1">IFERROR(__xludf.DUMMYFUNCTION("""COMPUTED_VALUE"""),143.37)</f>
        <v>143.37</v>
      </c>
      <c r="D2229" s="1">
        <f ca="1">IFERROR(__xludf.DUMMYFUNCTION("""COMPUTED_VALUE"""),140.5)</f>
        <v>140.5</v>
      </c>
      <c r="E2229" s="1">
        <f ca="1">IFERROR(__xludf.DUMMYFUNCTION("""COMPUTED_VALUE"""),142.71)</f>
        <v>142.71</v>
      </c>
      <c r="F2229" s="1">
        <f ca="1">IFERROR(__xludf.DUMMYFUNCTION("""COMPUTED_VALUE"""),53553537)</f>
        <v>53553537</v>
      </c>
    </row>
    <row r="2230" spans="1:6" x14ac:dyDescent="0.35">
      <c r="A2230" s="2">
        <f ca="1">IFERROR(__xludf.DUMMYFUNCTION("""COMPUTED_VALUE"""),45238.6666666666)</f>
        <v>45238.666666666599</v>
      </c>
      <c r="B2230" s="1">
        <f ca="1">IFERROR(__xludf.DUMMYFUNCTION("""COMPUTED_VALUE"""),142.97)</f>
        <v>142.97</v>
      </c>
      <c r="C2230" s="1">
        <f ca="1">IFERROR(__xludf.DUMMYFUNCTION("""COMPUTED_VALUE"""),143.12)</f>
        <v>143.12</v>
      </c>
      <c r="D2230" s="1">
        <f ca="1">IFERROR(__xludf.DUMMYFUNCTION("""COMPUTED_VALUE"""),141.22)</f>
        <v>141.22</v>
      </c>
      <c r="E2230" s="1">
        <f ca="1">IFERROR(__xludf.DUMMYFUNCTION("""COMPUTED_VALUE"""),142.08)</f>
        <v>142.08000000000001</v>
      </c>
      <c r="F2230" s="1">
        <f ca="1">IFERROR(__xludf.DUMMYFUNCTION("""COMPUTED_VALUE"""),44521658)</f>
        <v>44521658</v>
      </c>
    </row>
    <row r="2231" spans="1:6" x14ac:dyDescent="0.35">
      <c r="A2231" s="2">
        <f ca="1">IFERROR(__xludf.DUMMYFUNCTION("""COMPUTED_VALUE"""),45239.6666666666)</f>
        <v>45239.666666666599</v>
      </c>
      <c r="B2231" s="1">
        <f ca="1">IFERROR(__xludf.DUMMYFUNCTION("""COMPUTED_VALUE"""),142.02)</f>
        <v>142.02000000000001</v>
      </c>
      <c r="C2231" s="1">
        <f ca="1">IFERROR(__xludf.DUMMYFUNCTION("""COMPUTED_VALUE"""),142.65)</f>
        <v>142.65</v>
      </c>
      <c r="D2231" s="1">
        <f ca="1">IFERROR(__xludf.DUMMYFUNCTION("""COMPUTED_VALUE"""),139.84)</f>
        <v>139.84</v>
      </c>
      <c r="E2231" s="1">
        <f ca="1">IFERROR(__xludf.DUMMYFUNCTION("""COMPUTED_VALUE"""),140.6)</f>
        <v>140.6</v>
      </c>
      <c r="F2231" s="1">
        <f ca="1">IFERROR(__xludf.DUMMYFUNCTION("""COMPUTED_VALUE"""),36235367)</f>
        <v>36235367</v>
      </c>
    </row>
    <row r="2232" spans="1:6" x14ac:dyDescent="0.35">
      <c r="A2232" s="2">
        <f ca="1">IFERROR(__xludf.DUMMYFUNCTION("""COMPUTED_VALUE"""),45240.6666666666)</f>
        <v>45240.666666666599</v>
      </c>
      <c r="B2232" s="1">
        <f ca="1">IFERROR(__xludf.DUMMYFUNCTION("""COMPUTED_VALUE"""),140.46)</f>
        <v>140.46</v>
      </c>
      <c r="C2232" s="1">
        <f ca="1">IFERROR(__xludf.DUMMYFUNCTION("""COMPUTED_VALUE"""),143.65)</f>
        <v>143.65</v>
      </c>
      <c r="D2232" s="1">
        <f ca="1">IFERROR(__xludf.DUMMYFUNCTION("""COMPUTED_VALUE"""),139.91)</f>
        <v>139.91</v>
      </c>
      <c r="E2232" s="1">
        <f ca="1">IFERROR(__xludf.DUMMYFUNCTION("""COMPUTED_VALUE"""),143.56)</f>
        <v>143.56</v>
      </c>
      <c r="F2232" s="1">
        <f ca="1">IFERROR(__xludf.DUMMYFUNCTION("""COMPUTED_VALUE"""),49349937)</f>
        <v>49349937</v>
      </c>
    </row>
    <row r="2233" spans="1:6" x14ac:dyDescent="0.35">
      <c r="A2233" s="2">
        <f ca="1">IFERROR(__xludf.DUMMYFUNCTION("""COMPUTED_VALUE"""),45243.6666666666)</f>
        <v>45243.666666666599</v>
      </c>
      <c r="B2233" s="1">
        <f ca="1">IFERROR(__xludf.DUMMYFUNCTION("""COMPUTED_VALUE"""),142.08)</f>
        <v>142.08000000000001</v>
      </c>
      <c r="C2233" s="1">
        <f ca="1">IFERROR(__xludf.DUMMYFUNCTION("""COMPUTED_VALUE"""),143.23)</f>
        <v>143.22999999999999</v>
      </c>
      <c r="D2233" s="1">
        <f ca="1">IFERROR(__xludf.DUMMYFUNCTION("""COMPUTED_VALUE"""),140.67)</f>
        <v>140.66999999999999</v>
      </c>
      <c r="E2233" s="1">
        <f ca="1">IFERROR(__xludf.DUMMYFUNCTION("""COMPUTED_VALUE"""),142.59)</f>
        <v>142.59</v>
      </c>
      <c r="F2233" s="1">
        <f ca="1">IFERROR(__xludf.DUMMYFUNCTION("""COMPUTED_VALUE"""),35680570)</f>
        <v>35680570</v>
      </c>
    </row>
    <row r="2234" spans="1:6" x14ac:dyDescent="0.35">
      <c r="A2234" s="2">
        <f ca="1">IFERROR(__xludf.DUMMYFUNCTION("""COMPUTED_VALUE"""),45244.6666666666)</f>
        <v>45244.666666666599</v>
      </c>
      <c r="B2234" s="1">
        <f ca="1">IFERROR(__xludf.DUMMYFUNCTION("""COMPUTED_VALUE"""),145)</f>
        <v>145</v>
      </c>
      <c r="C2234" s="1">
        <f ca="1">IFERROR(__xludf.DUMMYFUNCTION("""COMPUTED_VALUE"""),147.26)</f>
        <v>147.26</v>
      </c>
      <c r="D2234" s="1">
        <f ca="1">IFERROR(__xludf.DUMMYFUNCTION("""COMPUTED_VALUE"""),144.68)</f>
        <v>144.68</v>
      </c>
      <c r="E2234" s="1">
        <f ca="1">IFERROR(__xludf.DUMMYFUNCTION("""COMPUTED_VALUE"""),145.8)</f>
        <v>145.80000000000001</v>
      </c>
      <c r="F2234" s="1">
        <f ca="1">IFERROR(__xludf.DUMMYFUNCTION("""COMPUTED_VALUE"""),56674551)</f>
        <v>56674551</v>
      </c>
    </row>
    <row r="2235" spans="1:6" x14ac:dyDescent="0.35">
      <c r="A2235" s="2">
        <f ca="1">IFERROR(__xludf.DUMMYFUNCTION("""COMPUTED_VALUE"""),45245.6666666666)</f>
        <v>45245.666666666599</v>
      </c>
      <c r="B2235" s="1">
        <f ca="1">IFERROR(__xludf.DUMMYFUNCTION("""COMPUTED_VALUE"""),147.06)</f>
        <v>147.06</v>
      </c>
      <c r="C2235" s="1">
        <f ca="1">IFERROR(__xludf.DUMMYFUNCTION("""COMPUTED_VALUE"""),147.29)</f>
        <v>147.29</v>
      </c>
      <c r="D2235" s="1">
        <f ca="1">IFERROR(__xludf.DUMMYFUNCTION("""COMPUTED_VALUE"""),142.59)</f>
        <v>142.59</v>
      </c>
      <c r="E2235" s="1">
        <f ca="1">IFERROR(__xludf.DUMMYFUNCTION("""COMPUTED_VALUE"""),143.2)</f>
        <v>143.19999999999999</v>
      </c>
      <c r="F2235" s="1">
        <f ca="1">IFERROR(__xludf.DUMMYFUNCTION("""COMPUTED_VALUE"""),63875720)</f>
        <v>63875720</v>
      </c>
    </row>
    <row r="2236" spans="1:6" x14ac:dyDescent="0.35">
      <c r="A2236" s="2">
        <f ca="1">IFERROR(__xludf.DUMMYFUNCTION("""COMPUTED_VALUE"""),45246.6666666666)</f>
        <v>45246.666666666599</v>
      </c>
      <c r="B2236" s="1">
        <f ca="1">IFERROR(__xludf.DUMMYFUNCTION("""COMPUTED_VALUE"""),140.91)</f>
        <v>140.91</v>
      </c>
      <c r="C2236" s="1">
        <f ca="1">IFERROR(__xludf.DUMMYFUNCTION("""COMPUTED_VALUE"""),143.32)</f>
        <v>143.32</v>
      </c>
      <c r="D2236" s="1">
        <f ca="1">IFERROR(__xludf.DUMMYFUNCTION("""COMPUTED_VALUE"""),139.52)</f>
        <v>139.52000000000001</v>
      </c>
      <c r="E2236" s="1">
        <f ca="1">IFERROR(__xludf.DUMMYFUNCTION("""COMPUTED_VALUE"""),142.83)</f>
        <v>142.83000000000001</v>
      </c>
      <c r="F2236" s="1">
        <f ca="1">IFERROR(__xludf.DUMMYFUNCTION("""COMPUTED_VALUE"""),49653512)</f>
        <v>49653512</v>
      </c>
    </row>
    <row r="2237" spans="1:6" x14ac:dyDescent="0.35">
      <c r="A2237" s="2">
        <f ca="1">IFERROR(__xludf.DUMMYFUNCTION("""COMPUTED_VALUE"""),45247.6666666666)</f>
        <v>45247.666666666599</v>
      </c>
      <c r="B2237" s="1">
        <f ca="1">IFERROR(__xludf.DUMMYFUNCTION("""COMPUTED_VALUE"""),142.66)</f>
        <v>142.66</v>
      </c>
      <c r="C2237" s="1">
        <f ca="1">IFERROR(__xludf.DUMMYFUNCTION("""COMPUTED_VALUE"""),145.23)</f>
        <v>145.22999999999999</v>
      </c>
      <c r="D2237" s="1">
        <f ca="1">IFERROR(__xludf.DUMMYFUNCTION("""COMPUTED_VALUE"""),142.54)</f>
        <v>142.54</v>
      </c>
      <c r="E2237" s="1">
        <f ca="1">IFERROR(__xludf.DUMMYFUNCTION("""COMPUTED_VALUE"""),145.18)</f>
        <v>145.18</v>
      </c>
      <c r="F2237" s="1">
        <f ca="1">IFERROR(__xludf.DUMMYFUNCTION("""COMPUTED_VALUE"""),49678437)</f>
        <v>49678437</v>
      </c>
    </row>
    <row r="2238" spans="1:6" x14ac:dyDescent="0.35">
      <c r="A2238" s="2">
        <f ca="1">IFERROR(__xludf.DUMMYFUNCTION("""COMPUTED_VALUE"""),45250.6666666666)</f>
        <v>45250.666666666599</v>
      </c>
      <c r="B2238" s="1">
        <f ca="1">IFERROR(__xludf.DUMMYFUNCTION("""COMPUTED_VALUE"""),145.13)</f>
        <v>145.13</v>
      </c>
      <c r="C2238" s="1">
        <f ca="1">IFERROR(__xludf.DUMMYFUNCTION("""COMPUTED_VALUE"""),146.63)</f>
        <v>146.63</v>
      </c>
      <c r="D2238" s="1">
        <f ca="1">IFERROR(__xludf.DUMMYFUNCTION("""COMPUTED_VALUE"""),144.73)</f>
        <v>144.72999999999999</v>
      </c>
      <c r="E2238" s="1">
        <f ca="1">IFERROR(__xludf.DUMMYFUNCTION("""COMPUTED_VALUE"""),146.13)</f>
        <v>146.13</v>
      </c>
      <c r="F2238" s="1">
        <f ca="1">IFERROR(__xludf.DUMMYFUNCTION("""COMPUTED_VALUE"""),41978766)</f>
        <v>41978766</v>
      </c>
    </row>
    <row r="2239" spans="1:6" x14ac:dyDescent="0.35">
      <c r="A2239" s="2">
        <f ca="1">IFERROR(__xludf.DUMMYFUNCTION("""COMPUTED_VALUE"""),45251.6666666666)</f>
        <v>45251.666666666599</v>
      </c>
      <c r="B2239" s="1">
        <f ca="1">IFERROR(__xludf.DUMMYFUNCTION("""COMPUTED_VALUE"""),143.91)</f>
        <v>143.91</v>
      </c>
      <c r="C2239" s="1">
        <f ca="1">IFERROR(__xludf.DUMMYFUNCTION("""COMPUTED_VALUE"""),144.05)</f>
        <v>144.05000000000001</v>
      </c>
      <c r="D2239" s="1">
        <f ca="1">IFERROR(__xludf.DUMMYFUNCTION("""COMPUTED_VALUE"""),141.5)</f>
        <v>141.5</v>
      </c>
      <c r="E2239" s="1">
        <f ca="1">IFERROR(__xludf.DUMMYFUNCTION("""COMPUTED_VALUE"""),143.9)</f>
        <v>143.9</v>
      </c>
      <c r="F2239" s="1">
        <f ca="1">IFERROR(__xludf.DUMMYFUNCTION("""COMPUTED_VALUE"""),71225992)</f>
        <v>71225992</v>
      </c>
    </row>
    <row r="2240" spans="1:6" x14ac:dyDescent="0.35">
      <c r="A2240" s="2">
        <f ca="1">IFERROR(__xludf.DUMMYFUNCTION("""COMPUTED_VALUE"""),45252.6666666666)</f>
        <v>45252.666666666599</v>
      </c>
      <c r="B2240" s="1">
        <f ca="1">IFERROR(__xludf.DUMMYFUNCTION("""COMPUTED_VALUE"""),144.57)</f>
        <v>144.57</v>
      </c>
      <c r="C2240" s="1">
        <f ca="1">IFERROR(__xludf.DUMMYFUNCTION("""COMPUTED_VALUE"""),147.74)</f>
        <v>147.74</v>
      </c>
      <c r="D2240" s="1">
        <f ca="1">IFERROR(__xludf.DUMMYFUNCTION("""COMPUTED_VALUE"""),144.57)</f>
        <v>144.57</v>
      </c>
      <c r="E2240" s="1">
        <f ca="1">IFERROR(__xludf.DUMMYFUNCTION("""COMPUTED_VALUE"""),146.71)</f>
        <v>146.71</v>
      </c>
      <c r="F2240" s="1">
        <f ca="1">IFERROR(__xludf.DUMMYFUNCTION("""COMPUTED_VALUE"""),45700002)</f>
        <v>45700002</v>
      </c>
    </row>
    <row r="2241" spans="1:6" x14ac:dyDescent="0.35">
      <c r="A2241" s="2">
        <f ca="1">IFERROR(__xludf.DUMMYFUNCTION("""COMPUTED_VALUE"""),45254.5451388888)</f>
        <v>45254.545138888803</v>
      </c>
      <c r="B2241" s="1">
        <f ca="1">IFERROR(__xludf.DUMMYFUNCTION("""COMPUTED_VALUE"""),146.7)</f>
        <v>146.69999999999999</v>
      </c>
      <c r="C2241" s="1">
        <f ca="1">IFERROR(__xludf.DUMMYFUNCTION("""COMPUTED_VALUE"""),147.2)</f>
        <v>147.19999999999999</v>
      </c>
      <c r="D2241" s="1">
        <f ca="1">IFERROR(__xludf.DUMMYFUNCTION("""COMPUTED_VALUE"""),145.32)</f>
        <v>145.32</v>
      </c>
      <c r="E2241" s="1">
        <f ca="1">IFERROR(__xludf.DUMMYFUNCTION("""COMPUTED_VALUE"""),146.74)</f>
        <v>146.74</v>
      </c>
      <c r="F2241" s="1">
        <f ca="1">IFERROR(__xludf.DUMMYFUNCTION("""COMPUTED_VALUE"""),22378379)</f>
        <v>22378379</v>
      </c>
    </row>
    <row r="2242" spans="1:6" x14ac:dyDescent="0.35">
      <c r="A2242" s="2">
        <f ca="1">IFERROR(__xludf.DUMMYFUNCTION("""COMPUTED_VALUE"""),45257.6666666666)</f>
        <v>45257.666666666599</v>
      </c>
      <c r="B2242" s="1">
        <f ca="1">IFERROR(__xludf.DUMMYFUNCTION("""COMPUTED_VALUE"""),147.53)</f>
        <v>147.53</v>
      </c>
      <c r="C2242" s="1">
        <f ca="1">IFERROR(__xludf.DUMMYFUNCTION("""COMPUTED_VALUE"""),149.26)</f>
        <v>149.26</v>
      </c>
      <c r="D2242" s="1">
        <f ca="1">IFERROR(__xludf.DUMMYFUNCTION("""COMPUTED_VALUE"""),146.88)</f>
        <v>146.88</v>
      </c>
      <c r="E2242" s="1">
        <f ca="1">IFERROR(__xludf.DUMMYFUNCTION("""COMPUTED_VALUE"""),147.73)</f>
        <v>147.72999999999999</v>
      </c>
      <c r="F2242" s="1">
        <f ca="1">IFERROR(__xludf.DUMMYFUNCTION("""COMPUTED_VALUE"""),53762428)</f>
        <v>53762428</v>
      </c>
    </row>
    <row r="2243" spans="1:6" x14ac:dyDescent="0.35">
      <c r="A2243" s="2">
        <f ca="1">IFERROR(__xludf.DUMMYFUNCTION("""COMPUTED_VALUE"""),45258.6666666666)</f>
        <v>45258.666666666599</v>
      </c>
      <c r="B2243" s="1">
        <f ca="1">IFERROR(__xludf.DUMMYFUNCTION("""COMPUTED_VALUE"""),146.98)</f>
        <v>146.97999999999999</v>
      </c>
      <c r="C2243" s="1">
        <f ca="1">IFERROR(__xludf.DUMMYFUNCTION("""COMPUTED_VALUE"""),147.6)</f>
        <v>147.6</v>
      </c>
      <c r="D2243" s="1">
        <f ca="1">IFERROR(__xludf.DUMMYFUNCTION("""COMPUTED_VALUE"""),145.53)</f>
        <v>145.53</v>
      </c>
      <c r="E2243" s="1">
        <f ca="1">IFERROR(__xludf.DUMMYFUNCTION("""COMPUTED_VALUE"""),147.03)</f>
        <v>147.03</v>
      </c>
      <c r="F2243" s="1">
        <f ca="1">IFERROR(__xludf.DUMMYFUNCTION("""COMPUTED_VALUE"""),42711682)</f>
        <v>42711682</v>
      </c>
    </row>
    <row r="2244" spans="1:6" x14ac:dyDescent="0.35">
      <c r="A2244" s="2">
        <f ca="1">IFERROR(__xludf.DUMMYFUNCTION("""COMPUTED_VALUE"""),45259.6666666666)</f>
        <v>45259.666666666599</v>
      </c>
      <c r="B2244" s="1">
        <f ca="1">IFERROR(__xludf.DUMMYFUNCTION("""COMPUTED_VALUE"""),147.85)</f>
        <v>147.85</v>
      </c>
      <c r="C2244" s="1">
        <f ca="1">IFERROR(__xludf.DUMMYFUNCTION("""COMPUTED_VALUE"""),148.54)</f>
        <v>148.54</v>
      </c>
      <c r="D2244" s="1">
        <f ca="1">IFERROR(__xludf.DUMMYFUNCTION("""COMPUTED_VALUE"""),145.97)</f>
        <v>145.97</v>
      </c>
      <c r="E2244" s="1">
        <f ca="1">IFERROR(__xludf.DUMMYFUNCTION("""COMPUTED_VALUE"""),146.32)</f>
        <v>146.32</v>
      </c>
      <c r="F2244" s="1">
        <f ca="1">IFERROR(__xludf.DUMMYFUNCTION("""COMPUTED_VALUE"""),40610907)</f>
        <v>40610907</v>
      </c>
    </row>
    <row r="2245" spans="1:6" x14ac:dyDescent="0.35">
      <c r="A2245" s="2">
        <f ca="1">IFERROR(__xludf.DUMMYFUNCTION("""COMPUTED_VALUE"""),45260.6666666666)</f>
        <v>45260.666666666599</v>
      </c>
      <c r="B2245" s="1">
        <f ca="1">IFERROR(__xludf.DUMMYFUNCTION("""COMPUTED_VALUE"""),144.76)</f>
        <v>144.76</v>
      </c>
      <c r="C2245" s="1">
        <f ca="1">IFERROR(__xludf.DUMMYFUNCTION("""COMPUTED_VALUE"""),146.93)</f>
        <v>146.93</v>
      </c>
      <c r="D2245" s="1">
        <f ca="1">IFERROR(__xludf.DUMMYFUNCTION("""COMPUTED_VALUE"""),144.33)</f>
        <v>144.33000000000001</v>
      </c>
      <c r="E2245" s="1">
        <f ca="1">IFERROR(__xludf.DUMMYFUNCTION("""COMPUTED_VALUE"""),146.09)</f>
        <v>146.09</v>
      </c>
      <c r="F2245" s="1">
        <f ca="1">IFERROR(__xludf.DUMMYFUNCTION("""COMPUTED_VALUE"""),65814022)</f>
        <v>65814022</v>
      </c>
    </row>
    <row r="2246" spans="1:6" x14ac:dyDescent="0.35">
      <c r="A2246" s="2">
        <f ca="1">IFERROR(__xludf.DUMMYFUNCTION("""COMPUTED_VALUE"""),45261.6666666666)</f>
        <v>45261.666666666599</v>
      </c>
      <c r="B2246" s="1">
        <f ca="1">IFERROR(__xludf.DUMMYFUNCTION("""COMPUTED_VALUE"""),146)</f>
        <v>146</v>
      </c>
      <c r="C2246" s="1">
        <f ca="1">IFERROR(__xludf.DUMMYFUNCTION("""COMPUTED_VALUE"""),147.25)</f>
        <v>147.25</v>
      </c>
      <c r="D2246" s="1">
        <f ca="1">IFERROR(__xludf.DUMMYFUNCTION("""COMPUTED_VALUE"""),145.55)</f>
        <v>145.55000000000001</v>
      </c>
      <c r="E2246" s="1">
        <f ca="1">IFERROR(__xludf.DUMMYFUNCTION("""COMPUTED_VALUE"""),147.03)</f>
        <v>147.03</v>
      </c>
      <c r="F2246" s="1">
        <f ca="1">IFERROR(__xludf.DUMMYFUNCTION("""COMPUTED_VALUE"""),39951833)</f>
        <v>39951833</v>
      </c>
    </row>
    <row r="2247" spans="1:6" x14ac:dyDescent="0.35">
      <c r="A2247" s="2">
        <f ca="1">IFERROR(__xludf.DUMMYFUNCTION("""COMPUTED_VALUE"""),45264.6666666666)</f>
        <v>45264.666666666599</v>
      </c>
      <c r="B2247" s="1">
        <f ca="1">IFERROR(__xludf.DUMMYFUNCTION("""COMPUTED_VALUE"""),145.25)</f>
        <v>145.25</v>
      </c>
      <c r="C2247" s="1">
        <f ca="1">IFERROR(__xludf.DUMMYFUNCTION("""COMPUTED_VALUE"""),145.35)</f>
        <v>145.35</v>
      </c>
      <c r="D2247" s="1">
        <f ca="1">IFERROR(__xludf.DUMMYFUNCTION("""COMPUTED_VALUE"""),142.81)</f>
        <v>142.81</v>
      </c>
      <c r="E2247" s="1">
        <f ca="1">IFERROR(__xludf.DUMMYFUNCTION("""COMPUTED_VALUE"""),144.84)</f>
        <v>144.84</v>
      </c>
      <c r="F2247" s="1">
        <f ca="1">IFERROR(__xludf.DUMMYFUNCTION("""COMPUTED_VALUE"""),48294244)</f>
        <v>48294244</v>
      </c>
    </row>
    <row r="2248" spans="1:6" x14ac:dyDescent="0.35">
      <c r="A2248" s="2">
        <f ca="1">IFERROR(__xludf.DUMMYFUNCTION("""COMPUTED_VALUE"""),45265.6666666666)</f>
        <v>45265.666666666599</v>
      </c>
      <c r="B2248" s="1">
        <f ca="1">IFERROR(__xludf.DUMMYFUNCTION("""COMPUTED_VALUE"""),143.55)</f>
        <v>143.55000000000001</v>
      </c>
      <c r="C2248" s="1">
        <f ca="1">IFERROR(__xludf.DUMMYFUNCTION("""COMPUTED_VALUE"""),148.57)</f>
        <v>148.57</v>
      </c>
      <c r="D2248" s="1">
        <f ca="1">IFERROR(__xludf.DUMMYFUNCTION("""COMPUTED_VALUE"""),143.13)</f>
        <v>143.13</v>
      </c>
      <c r="E2248" s="1">
        <f ca="1">IFERROR(__xludf.DUMMYFUNCTION("""COMPUTED_VALUE"""),146.88)</f>
        <v>146.88</v>
      </c>
      <c r="F2248" s="1">
        <f ca="1">IFERROR(__xludf.DUMMYFUNCTION("""COMPUTED_VALUE"""),46822411)</f>
        <v>46822411</v>
      </c>
    </row>
    <row r="2249" spans="1:6" x14ac:dyDescent="0.35">
      <c r="A2249" s="2">
        <f ca="1">IFERROR(__xludf.DUMMYFUNCTION("""COMPUTED_VALUE"""),45266.6666666666)</f>
        <v>45266.666666666599</v>
      </c>
      <c r="B2249" s="1">
        <f ca="1">IFERROR(__xludf.DUMMYFUNCTION("""COMPUTED_VALUE"""),147.58)</f>
        <v>147.58000000000001</v>
      </c>
      <c r="C2249" s="1">
        <f ca="1">IFERROR(__xludf.DUMMYFUNCTION("""COMPUTED_VALUE"""),147.85)</f>
        <v>147.85</v>
      </c>
      <c r="D2249" s="1">
        <f ca="1">IFERROR(__xludf.DUMMYFUNCTION("""COMPUTED_VALUE"""),144.28)</f>
        <v>144.28</v>
      </c>
      <c r="E2249" s="1">
        <f ca="1">IFERROR(__xludf.DUMMYFUNCTION("""COMPUTED_VALUE"""),144.52)</f>
        <v>144.52000000000001</v>
      </c>
      <c r="F2249" s="1">
        <f ca="1">IFERROR(__xludf.DUMMYFUNCTION("""COMPUTED_VALUE"""),39678960)</f>
        <v>39678960</v>
      </c>
    </row>
    <row r="2250" spans="1:6" x14ac:dyDescent="0.35">
      <c r="A2250" s="2">
        <f ca="1">IFERROR(__xludf.DUMMYFUNCTION("""COMPUTED_VALUE"""),45267.6666666666)</f>
        <v>45267.666666666599</v>
      </c>
      <c r="B2250" s="1">
        <f ca="1">IFERROR(__xludf.DUMMYFUNCTION("""COMPUTED_VALUE"""),146.15)</f>
        <v>146.15</v>
      </c>
      <c r="C2250" s="1">
        <f ca="1">IFERROR(__xludf.DUMMYFUNCTION("""COMPUTED_VALUE"""),147.92)</f>
        <v>147.91999999999999</v>
      </c>
      <c r="D2250" s="1">
        <f ca="1">IFERROR(__xludf.DUMMYFUNCTION("""COMPUTED_VALUE"""),145.34)</f>
        <v>145.34</v>
      </c>
      <c r="E2250" s="1">
        <f ca="1">IFERROR(__xludf.DUMMYFUNCTION("""COMPUTED_VALUE"""),146.88)</f>
        <v>146.88</v>
      </c>
      <c r="F2250" s="1">
        <f ca="1">IFERROR(__xludf.DUMMYFUNCTION("""COMPUTED_VALUE"""),52352830)</f>
        <v>52352830</v>
      </c>
    </row>
    <row r="2251" spans="1:6" x14ac:dyDescent="0.35">
      <c r="A2251" s="2">
        <f ca="1">IFERROR(__xludf.DUMMYFUNCTION("""COMPUTED_VALUE"""),45268.6666666666)</f>
        <v>45268.666666666599</v>
      </c>
      <c r="B2251" s="1">
        <f ca="1">IFERROR(__xludf.DUMMYFUNCTION("""COMPUTED_VALUE"""),145.48)</f>
        <v>145.47999999999999</v>
      </c>
      <c r="C2251" s="1">
        <f ca="1">IFERROR(__xludf.DUMMYFUNCTION("""COMPUTED_VALUE"""),147.84)</f>
        <v>147.84</v>
      </c>
      <c r="D2251" s="1">
        <f ca="1">IFERROR(__xludf.DUMMYFUNCTION("""COMPUTED_VALUE"""),145.4)</f>
        <v>145.4</v>
      </c>
      <c r="E2251" s="1">
        <f ca="1">IFERROR(__xludf.DUMMYFUNCTION("""COMPUTED_VALUE"""),147.42)</f>
        <v>147.41999999999999</v>
      </c>
      <c r="F2251" s="1">
        <f ca="1">IFERROR(__xludf.DUMMYFUNCTION("""COMPUTED_VALUE"""),41905965)</f>
        <v>41905965</v>
      </c>
    </row>
    <row r="2252" spans="1:6" x14ac:dyDescent="0.35">
      <c r="A2252" s="2">
        <f ca="1">IFERROR(__xludf.DUMMYFUNCTION("""COMPUTED_VALUE"""),45271.6666666666)</f>
        <v>45271.666666666599</v>
      </c>
      <c r="B2252" s="1">
        <f ca="1">IFERROR(__xludf.DUMMYFUNCTION("""COMPUTED_VALUE"""),145.66)</f>
        <v>145.66</v>
      </c>
      <c r="C2252" s="1">
        <f ca="1">IFERROR(__xludf.DUMMYFUNCTION("""COMPUTED_VALUE"""),146.19)</f>
        <v>146.19</v>
      </c>
      <c r="D2252" s="1">
        <f ca="1">IFERROR(__xludf.DUMMYFUNCTION("""COMPUTED_VALUE"""),143.64)</f>
        <v>143.63999999999999</v>
      </c>
      <c r="E2252" s="1">
        <f ca="1">IFERROR(__xludf.DUMMYFUNCTION("""COMPUTED_VALUE"""),145.89)</f>
        <v>145.88999999999999</v>
      </c>
      <c r="F2252" s="1">
        <f ca="1">IFERROR(__xludf.DUMMYFUNCTION("""COMPUTED_VALUE"""),50907288)</f>
        <v>50907288</v>
      </c>
    </row>
    <row r="2253" spans="1:6" x14ac:dyDescent="0.35">
      <c r="A2253" s="2">
        <f ca="1">IFERROR(__xludf.DUMMYFUNCTION("""COMPUTED_VALUE"""),45272.6666666666)</f>
        <v>45272.666666666599</v>
      </c>
      <c r="B2253" s="1">
        <f ca="1">IFERROR(__xludf.DUMMYFUNCTION("""COMPUTED_VALUE"""),145.52)</f>
        <v>145.52000000000001</v>
      </c>
      <c r="C2253" s="1">
        <f ca="1">IFERROR(__xludf.DUMMYFUNCTION("""COMPUTED_VALUE"""),147.5)</f>
        <v>147.5</v>
      </c>
      <c r="D2253" s="1">
        <f ca="1">IFERROR(__xludf.DUMMYFUNCTION("""COMPUTED_VALUE"""),145.3)</f>
        <v>145.30000000000001</v>
      </c>
      <c r="E2253" s="1">
        <f ca="1">IFERROR(__xludf.DUMMYFUNCTION("""COMPUTED_VALUE"""),147.48)</f>
        <v>147.47999999999999</v>
      </c>
      <c r="F2253" s="1">
        <f ca="1">IFERROR(__xludf.DUMMYFUNCTION("""COMPUTED_VALUE"""),44944264)</f>
        <v>44944264</v>
      </c>
    </row>
    <row r="2254" spans="1:6" x14ac:dyDescent="0.35">
      <c r="A2254" s="2">
        <f ca="1">IFERROR(__xludf.DUMMYFUNCTION("""COMPUTED_VALUE"""),45273.6666666666)</f>
        <v>45273.666666666599</v>
      </c>
      <c r="B2254" s="1">
        <f ca="1">IFERROR(__xludf.DUMMYFUNCTION("""COMPUTED_VALUE"""),148.12)</f>
        <v>148.12</v>
      </c>
      <c r="C2254" s="1">
        <f ca="1">IFERROR(__xludf.DUMMYFUNCTION("""COMPUTED_VALUE"""),149.46)</f>
        <v>149.46</v>
      </c>
      <c r="D2254" s="1">
        <f ca="1">IFERROR(__xludf.DUMMYFUNCTION("""COMPUTED_VALUE"""),146.82)</f>
        <v>146.82</v>
      </c>
      <c r="E2254" s="1">
        <f ca="1">IFERROR(__xludf.DUMMYFUNCTION("""COMPUTED_VALUE"""),148.84)</f>
        <v>148.84</v>
      </c>
      <c r="F2254" s="1">
        <f ca="1">IFERROR(__xludf.DUMMYFUNCTION("""COMPUTED_VALUE"""),52766196)</f>
        <v>52766196</v>
      </c>
    </row>
    <row r="2255" spans="1:6" x14ac:dyDescent="0.35">
      <c r="A2255" s="2">
        <f ca="1">IFERROR(__xludf.DUMMYFUNCTION("""COMPUTED_VALUE"""),45274.6666666666)</f>
        <v>45274.666666666599</v>
      </c>
      <c r="B2255" s="1">
        <f ca="1">IFERROR(__xludf.DUMMYFUNCTION("""COMPUTED_VALUE"""),149.93)</f>
        <v>149.93</v>
      </c>
      <c r="C2255" s="1">
        <f ca="1">IFERROR(__xludf.DUMMYFUNCTION("""COMPUTED_VALUE"""),150.54)</f>
        <v>150.54</v>
      </c>
      <c r="D2255" s="1">
        <f ca="1">IFERROR(__xludf.DUMMYFUNCTION("""COMPUTED_VALUE"""),145.52)</f>
        <v>145.52000000000001</v>
      </c>
      <c r="E2255" s="1">
        <f ca="1">IFERROR(__xludf.DUMMYFUNCTION("""COMPUTED_VALUE"""),147.42)</f>
        <v>147.41999999999999</v>
      </c>
      <c r="F2255" s="1">
        <f ca="1">IFERROR(__xludf.DUMMYFUNCTION("""COMPUTED_VALUE"""),58400848)</f>
        <v>58400848</v>
      </c>
    </row>
    <row r="2256" spans="1:6" x14ac:dyDescent="0.35">
      <c r="A2256" s="2">
        <f ca="1">IFERROR(__xludf.DUMMYFUNCTION("""COMPUTED_VALUE"""),45275.6666666666)</f>
        <v>45275.666666666599</v>
      </c>
      <c r="B2256" s="1">
        <f ca="1">IFERROR(__xludf.DUMMYFUNCTION("""COMPUTED_VALUE"""),148.38)</f>
        <v>148.38</v>
      </c>
      <c r="C2256" s="1">
        <f ca="1">IFERROR(__xludf.DUMMYFUNCTION("""COMPUTED_VALUE"""),150.57)</f>
        <v>150.57</v>
      </c>
      <c r="D2256" s="1">
        <f ca="1">IFERROR(__xludf.DUMMYFUNCTION("""COMPUTED_VALUE"""),147.88)</f>
        <v>147.88</v>
      </c>
      <c r="E2256" s="1">
        <f ca="1">IFERROR(__xludf.DUMMYFUNCTION("""COMPUTED_VALUE"""),149.97)</f>
        <v>149.97</v>
      </c>
      <c r="F2256" s="1">
        <f ca="1">IFERROR(__xludf.DUMMYFUNCTION("""COMPUTED_VALUE"""),110089342)</f>
        <v>110089342</v>
      </c>
    </row>
    <row r="2257" spans="1:6" x14ac:dyDescent="0.35">
      <c r="A2257" s="2">
        <f ca="1">IFERROR(__xludf.DUMMYFUNCTION("""COMPUTED_VALUE"""),45278.6666666666)</f>
        <v>45278.666666666599</v>
      </c>
      <c r="B2257" s="1">
        <f ca="1">IFERROR(__xludf.DUMMYFUNCTION("""COMPUTED_VALUE"""),150.56)</f>
        <v>150.56</v>
      </c>
      <c r="C2257" s="1">
        <f ca="1">IFERROR(__xludf.DUMMYFUNCTION("""COMPUTED_VALUE"""),154.85)</f>
        <v>154.85</v>
      </c>
      <c r="D2257" s="1">
        <f ca="1">IFERROR(__xludf.DUMMYFUNCTION("""COMPUTED_VALUE"""),150.05)</f>
        <v>150.05000000000001</v>
      </c>
      <c r="E2257" s="1">
        <f ca="1">IFERROR(__xludf.DUMMYFUNCTION("""COMPUTED_VALUE"""),154.07)</f>
        <v>154.07</v>
      </c>
      <c r="F2257" s="1">
        <f ca="1">IFERROR(__xludf.DUMMYFUNCTION("""COMPUTED_VALUE"""),62512828)</f>
        <v>62512828</v>
      </c>
    </row>
    <row r="2258" spans="1:6" x14ac:dyDescent="0.35">
      <c r="A2258" s="2">
        <f ca="1">IFERROR(__xludf.DUMMYFUNCTION("""COMPUTED_VALUE"""),45279.6666666666)</f>
        <v>45279.666666666599</v>
      </c>
      <c r="B2258" s="1">
        <f ca="1">IFERROR(__xludf.DUMMYFUNCTION("""COMPUTED_VALUE"""),154.4)</f>
        <v>154.4</v>
      </c>
      <c r="C2258" s="1">
        <f ca="1">IFERROR(__xludf.DUMMYFUNCTION("""COMPUTED_VALUE"""),155.12)</f>
        <v>155.12</v>
      </c>
      <c r="D2258" s="1">
        <f ca="1">IFERROR(__xludf.DUMMYFUNCTION("""COMPUTED_VALUE"""),152.69)</f>
        <v>152.69</v>
      </c>
      <c r="E2258" s="1">
        <f ca="1">IFERROR(__xludf.DUMMYFUNCTION("""COMPUTED_VALUE"""),153.79)</f>
        <v>153.79</v>
      </c>
      <c r="F2258" s="1">
        <f ca="1">IFERROR(__xludf.DUMMYFUNCTION("""COMPUTED_VALUE"""),43171292)</f>
        <v>43171292</v>
      </c>
    </row>
    <row r="2259" spans="1:6" x14ac:dyDescent="0.35">
      <c r="A2259" s="2">
        <f ca="1">IFERROR(__xludf.DUMMYFUNCTION("""COMPUTED_VALUE"""),45280.6666666666)</f>
        <v>45280.666666666599</v>
      </c>
      <c r="B2259" s="1">
        <f ca="1">IFERROR(__xludf.DUMMYFUNCTION("""COMPUTED_VALUE"""),152.9)</f>
        <v>152.9</v>
      </c>
      <c r="C2259" s="1">
        <f ca="1">IFERROR(__xludf.DUMMYFUNCTION("""COMPUTED_VALUE"""),155.63)</f>
        <v>155.63</v>
      </c>
      <c r="D2259" s="1">
        <f ca="1">IFERROR(__xludf.DUMMYFUNCTION("""COMPUTED_VALUE"""),151.56)</f>
        <v>151.56</v>
      </c>
      <c r="E2259" s="1">
        <f ca="1">IFERROR(__xludf.DUMMYFUNCTION("""COMPUTED_VALUE"""),152.12)</f>
        <v>152.12</v>
      </c>
      <c r="F2259" s="1">
        <f ca="1">IFERROR(__xludf.DUMMYFUNCTION("""COMPUTED_VALUE"""),50322106)</f>
        <v>50322106</v>
      </c>
    </row>
    <row r="2260" spans="1:6" x14ac:dyDescent="0.35">
      <c r="A2260" s="2">
        <f ca="1">IFERROR(__xludf.DUMMYFUNCTION("""COMPUTED_VALUE"""),45281.6666666666)</f>
        <v>45281.666666666599</v>
      </c>
      <c r="B2260" s="1">
        <f ca="1">IFERROR(__xludf.DUMMYFUNCTION("""COMPUTED_VALUE"""),153.3)</f>
        <v>153.30000000000001</v>
      </c>
      <c r="C2260" s="1">
        <f ca="1">IFERROR(__xludf.DUMMYFUNCTION("""COMPUTED_VALUE"""),153.97)</f>
        <v>153.97</v>
      </c>
      <c r="D2260" s="1">
        <f ca="1">IFERROR(__xludf.DUMMYFUNCTION("""COMPUTED_VALUE"""),152.1)</f>
        <v>152.1</v>
      </c>
      <c r="E2260" s="1">
        <f ca="1">IFERROR(__xludf.DUMMYFUNCTION("""COMPUTED_VALUE"""),153.84)</f>
        <v>153.84</v>
      </c>
      <c r="F2260" s="1">
        <f ca="1">IFERROR(__xludf.DUMMYFUNCTION("""COMPUTED_VALUE"""),36305733)</f>
        <v>36305733</v>
      </c>
    </row>
    <row r="2261" spans="1:6" x14ac:dyDescent="0.35">
      <c r="A2261" s="2">
        <f ca="1">IFERROR(__xludf.DUMMYFUNCTION("""COMPUTED_VALUE"""),45282.6666666666)</f>
        <v>45282.666666666599</v>
      </c>
      <c r="B2261" s="1">
        <f ca="1">IFERROR(__xludf.DUMMYFUNCTION("""COMPUTED_VALUE"""),153.77)</f>
        <v>153.77000000000001</v>
      </c>
      <c r="C2261" s="1">
        <f ca="1">IFERROR(__xludf.DUMMYFUNCTION("""COMPUTED_VALUE"""),154.35)</f>
        <v>154.35</v>
      </c>
      <c r="D2261" s="1">
        <f ca="1">IFERROR(__xludf.DUMMYFUNCTION("""COMPUTED_VALUE"""),152.71)</f>
        <v>152.71</v>
      </c>
      <c r="E2261" s="1">
        <f ca="1">IFERROR(__xludf.DUMMYFUNCTION("""COMPUTED_VALUE"""),153.42)</f>
        <v>153.41999999999999</v>
      </c>
      <c r="F2261" s="1">
        <f ca="1">IFERROR(__xludf.DUMMYFUNCTION("""COMPUTED_VALUE"""),29514093)</f>
        <v>29514093</v>
      </c>
    </row>
    <row r="2262" spans="1:6" x14ac:dyDescent="0.35">
      <c r="A2262" s="2">
        <f ca="1">IFERROR(__xludf.DUMMYFUNCTION("""COMPUTED_VALUE"""),45286.6666666666)</f>
        <v>45286.666666666599</v>
      </c>
      <c r="B2262" s="1">
        <f ca="1">IFERROR(__xludf.DUMMYFUNCTION("""COMPUTED_VALUE"""),153.56)</f>
        <v>153.56</v>
      </c>
      <c r="C2262" s="1">
        <f ca="1">IFERROR(__xludf.DUMMYFUNCTION("""COMPUTED_VALUE"""),153.98)</f>
        <v>153.97999999999999</v>
      </c>
      <c r="D2262" s="1">
        <f ca="1">IFERROR(__xludf.DUMMYFUNCTION("""COMPUTED_VALUE"""),153.03)</f>
        <v>153.03</v>
      </c>
      <c r="E2262" s="1">
        <f ca="1">IFERROR(__xludf.DUMMYFUNCTION("""COMPUTED_VALUE"""),153.41)</f>
        <v>153.41</v>
      </c>
      <c r="F2262" s="1">
        <f ca="1">IFERROR(__xludf.DUMMYFUNCTION("""COMPUTED_VALUE"""),25067222)</f>
        <v>25067222</v>
      </c>
    </row>
    <row r="2263" spans="1:6" x14ac:dyDescent="0.35">
      <c r="A2263" s="2">
        <f ca="1">IFERROR(__xludf.DUMMYFUNCTION("""COMPUTED_VALUE"""),45287.6666666666)</f>
        <v>45287.666666666599</v>
      </c>
      <c r="B2263" s="1">
        <f ca="1">IFERROR(__xludf.DUMMYFUNCTION("""COMPUTED_VALUE"""),153.56)</f>
        <v>153.56</v>
      </c>
      <c r="C2263" s="1">
        <f ca="1">IFERROR(__xludf.DUMMYFUNCTION("""COMPUTED_VALUE"""),154.78)</f>
        <v>154.78</v>
      </c>
      <c r="D2263" s="1">
        <f ca="1">IFERROR(__xludf.DUMMYFUNCTION("""COMPUTED_VALUE"""),153.12)</f>
        <v>153.12</v>
      </c>
      <c r="E2263" s="1">
        <f ca="1">IFERROR(__xludf.DUMMYFUNCTION("""COMPUTED_VALUE"""),153.34)</f>
        <v>153.34</v>
      </c>
      <c r="F2263" s="1">
        <f ca="1">IFERROR(__xludf.DUMMYFUNCTION("""COMPUTED_VALUE"""),31434733)</f>
        <v>31434733</v>
      </c>
    </row>
    <row r="2264" spans="1:6" x14ac:dyDescent="0.35">
      <c r="A2264" s="2">
        <f ca="1">IFERROR(__xludf.DUMMYFUNCTION("""COMPUTED_VALUE"""),45288.6666666666)</f>
        <v>45288.666666666599</v>
      </c>
      <c r="B2264" s="1">
        <f ca="1">IFERROR(__xludf.DUMMYFUNCTION("""COMPUTED_VALUE"""),153.72)</f>
        <v>153.72</v>
      </c>
      <c r="C2264" s="1">
        <f ca="1">IFERROR(__xludf.DUMMYFUNCTION("""COMPUTED_VALUE"""),154.08)</f>
        <v>154.08000000000001</v>
      </c>
      <c r="D2264" s="1">
        <f ca="1">IFERROR(__xludf.DUMMYFUNCTION("""COMPUTED_VALUE"""),152.95)</f>
        <v>152.94999999999999</v>
      </c>
      <c r="E2264" s="1">
        <f ca="1">IFERROR(__xludf.DUMMYFUNCTION("""COMPUTED_VALUE"""),153.38)</f>
        <v>153.38</v>
      </c>
      <c r="F2264" s="1">
        <f ca="1">IFERROR(__xludf.DUMMYFUNCTION("""COMPUTED_VALUE"""),27057002)</f>
        <v>27057002</v>
      </c>
    </row>
    <row r="2265" spans="1:6" x14ac:dyDescent="0.35">
      <c r="A2265" s="2">
        <f ca="1">IFERROR(__xludf.DUMMYFUNCTION("""COMPUTED_VALUE"""),45289.6666666666)</f>
        <v>45289.666666666599</v>
      </c>
      <c r="B2265" s="1">
        <f ca="1">IFERROR(__xludf.DUMMYFUNCTION("""COMPUTED_VALUE"""),153.1)</f>
        <v>153.1</v>
      </c>
      <c r="C2265" s="1">
        <f ca="1">IFERROR(__xludf.DUMMYFUNCTION("""COMPUTED_VALUE"""),153.89)</f>
        <v>153.88999999999999</v>
      </c>
      <c r="D2265" s="1">
        <f ca="1">IFERROR(__xludf.DUMMYFUNCTION("""COMPUTED_VALUE"""),151.03)</f>
        <v>151.03</v>
      </c>
      <c r="E2265" s="1">
        <f ca="1">IFERROR(__xludf.DUMMYFUNCTION("""COMPUTED_VALUE"""),151.94)</f>
        <v>151.94</v>
      </c>
      <c r="F2265" s="1">
        <f ca="1">IFERROR(__xludf.DUMMYFUNCTION("""COMPUTED_VALUE"""),39823204)</f>
        <v>39823204</v>
      </c>
    </row>
    <row r="2266" spans="1:6" x14ac:dyDescent="0.35">
      <c r="A2266" s="2">
        <f ca="1">IFERROR(__xludf.DUMMYFUNCTION("""COMPUTED_VALUE"""),45293.6666666666)</f>
        <v>45293.666666666599</v>
      </c>
      <c r="B2266" s="1">
        <f ca="1">IFERROR(__xludf.DUMMYFUNCTION("""COMPUTED_VALUE"""),151.54)</f>
        <v>151.54</v>
      </c>
      <c r="C2266" s="1">
        <f ca="1">IFERROR(__xludf.DUMMYFUNCTION("""COMPUTED_VALUE"""),152.38)</f>
        <v>152.38</v>
      </c>
      <c r="D2266" s="1">
        <f ca="1">IFERROR(__xludf.DUMMYFUNCTION("""COMPUTED_VALUE"""),148.39)</f>
        <v>148.38999999999999</v>
      </c>
      <c r="E2266" s="1">
        <f ca="1">IFERROR(__xludf.DUMMYFUNCTION("""COMPUTED_VALUE"""),149.93)</f>
        <v>149.93</v>
      </c>
      <c r="F2266" s="1">
        <f ca="1">IFERROR(__xludf.DUMMYFUNCTION("""COMPUTED_VALUE"""),47339424)</f>
        <v>47339424</v>
      </c>
    </row>
    <row r="2267" spans="1:6" x14ac:dyDescent="0.35">
      <c r="A2267" s="2">
        <f ca="1">IFERROR(__xludf.DUMMYFUNCTION("""COMPUTED_VALUE"""),45294.6666666666)</f>
        <v>45294.666666666599</v>
      </c>
      <c r="B2267" s="1">
        <f ca="1">IFERROR(__xludf.DUMMYFUNCTION("""COMPUTED_VALUE"""),149.2)</f>
        <v>149.19999999999999</v>
      </c>
      <c r="C2267" s="1">
        <f ca="1">IFERROR(__xludf.DUMMYFUNCTION("""COMPUTED_VALUE"""),151.05)</f>
        <v>151.05000000000001</v>
      </c>
      <c r="D2267" s="1">
        <f ca="1">IFERROR(__xludf.DUMMYFUNCTION("""COMPUTED_VALUE"""),148.33)</f>
        <v>148.33000000000001</v>
      </c>
      <c r="E2267" s="1">
        <f ca="1">IFERROR(__xludf.DUMMYFUNCTION("""COMPUTED_VALUE"""),148.47)</f>
        <v>148.47</v>
      </c>
      <c r="F2267" s="1">
        <f ca="1">IFERROR(__xludf.DUMMYFUNCTION("""COMPUTED_VALUE"""),49425495)</f>
        <v>49425495</v>
      </c>
    </row>
    <row r="2268" spans="1:6" x14ac:dyDescent="0.35">
      <c r="A2268" s="2">
        <f ca="1">IFERROR(__xludf.DUMMYFUNCTION("""COMPUTED_VALUE"""),45295.6666666666)</f>
        <v>45295.666666666599</v>
      </c>
      <c r="B2268" s="1">
        <f ca="1">IFERROR(__xludf.DUMMYFUNCTION("""COMPUTED_VALUE"""),145.59)</f>
        <v>145.59</v>
      </c>
      <c r="C2268" s="1">
        <f ca="1">IFERROR(__xludf.DUMMYFUNCTION("""COMPUTED_VALUE"""),147.38)</f>
        <v>147.38</v>
      </c>
      <c r="D2268" s="1">
        <f ca="1">IFERROR(__xludf.DUMMYFUNCTION("""COMPUTED_VALUE"""),144.05)</f>
        <v>144.05000000000001</v>
      </c>
      <c r="E2268" s="1">
        <f ca="1">IFERROR(__xludf.DUMMYFUNCTION("""COMPUTED_VALUE"""),144.57)</f>
        <v>144.57</v>
      </c>
      <c r="F2268" s="1">
        <f ca="1">IFERROR(__xludf.DUMMYFUNCTION("""COMPUTED_VALUE"""),56039807)</f>
        <v>56039807</v>
      </c>
    </row>
    <row r="2269" spans="1:6" x14ac:dyDescent="0.35">
      <c r="A2269" s="2">
        <f ca="1">IFERROR(__xludf.DUMMYFUNCTION("""COMPUTED_VALUE"""),45296.6666666666)</f>
        <v>45296.666666666599</v>
      </c>
      <c r="B2269" s="1">
        <f ca="1">IFERROR(__xludf.DUMMYFUNCTION("""COMPUTED_VALUE"""),144.69)</f>
        <v>144.69</v>
      </c>
      <c r="C2269" s="1">
        <f ca="1">IFERROR(__xludf.DUMMYFUNCTION("""COMPUTED_VALUE"""),146.59)</f>
        <v>146.59</v>
      </c>
      <c r="D2269" s="1">
        <f ca="1">IFERROR(__xludf.DUMMYFUNCTION("""COMPUTED_VALUE"""),144.53)</f>
        <v>144.53</v>
      </c>
      <c r="E2269" s="1">
        <f ca="1">IFERROR(__xludf.DUMMYFUNCTION("""COMPUTED_VALUE"""),145.24)</f>
        <v>145.24</v>
      </c>
      <c r="F2269" s="1">
        <f ca="1">IFERROR(__xludf.DUMMYFUNCTION("""COMPUTED_VALUE"""),45153147)</f>
        <v>45153147</v>
      </c>
    </row>
    <row r="2270" spans="1:6" x14ac:dyDescent="0.35">
      <c r="A2270" s="2">
        <f ca="1">IFERROR(__xludf.DUMMYFUNCTION("""COMPUTED_VALUE"""),45299.6666666666)</f>
        <v>45299.666666666599</v>
      </c>
      <c r="B2270" s="1">
        <f ca="1">IFERROR(__xludf.DUMMYFUNCTION("""COMPUTED_VALUE"""),146.74)</f>
        <v>146.74</v>
      </c>
      <c r="C2270" s="1">
        <f ca="1">IFERROR(__xludf.DUMMYFUNCTION("""COMPUTED_VALUE"""),149.4)</f>
        <v>149.4</v>
      </c>
      <c r="D2270" s="1">
        <f ca="1">IFERROR(__xludf.DUMMYFUNCTION("""COMPUTED_VALUE"""),146.15)</f>
        <v>146.15</v>
      </c>
      <c r="E2270" s="1">
        <f ca="1">IFERROR(__xludf.DUMMYFUNCTION("""COMPUTED_VALUE"""),149.1)</f>
        <v>149.1</v>
      </c>
      <c r="F2270" s="1">
        <f ca="1">IFERROR(__xludf.DUMMYFUNCTION("""COMPUTED_VALUE"""),46757053)</f>
        <v>46757053</v>
      </c>
    </row>
    <row r="2271" spans="1:6" x14ac:dyDescent="0.35">
      <c r="A2271" s="2">
        <f ca="1">IFERROR(__xludf.DUMMYFUNCTION("""COMPUTED_VALUE"""),45300.6666666666)</f>
        <v>45300.666666666599</v>
      </c>
      <c r="B2271" s="1">
        <f ca="1">IFERROR(__xludf.DUMMYFUNCTION("""COMPUTED_VALUE"""),148.33)</f>
        <v>148.33000000000001</v>
      </c>
      <c r="C2271" s="1">
        <f ca="1">IFERROR(__xludf.DUMMYFUNCTION("""COMPUTED_VALUE"""),151.71)</f>
        <v>151.71</v>
      </c>
      <c r="D2271" s="1">
        <f ca="1">IFERROR(__xludf.DUMMYFUNCTION("""COMPUTED_VALUE"""),148.21)</f>
        <v>148.21</v>
      </c>
      <c r="E2271" s="1">
        <f ca="1">IFERROR(__xludf.DUMMYFUNCTION("""COMPUTED_VALUE"""),151.37)</f>
        <v>151.37</v>
      </c>
      <c r="F2271" s="1">
        <f ca="1">IFERROR(__xludf.DUMMYFUNCTION("""COMPUTED_VALUE"""),43812567)</f>
        <v>43812567</v>
      </c>
    </row>
    <row r="2272" spans="1:6" x14ac:dyDescent="0.35">
      <c r="A2272" s="2">
        <f ca="1">IFERROR(__xludf.DUMMYFUNCTION("""COMPUTED_VALUE"""),45301.6666666666)</f>
        <v>45301.666666666599</v>
      </c>
      <c r="B2272" s="1">
        <f ca="1">IFERROR(__xludf.DUMMYFUNCTION("""COMPUTED_VALUE"""),152.06)</f>
        <v>152.06</v>
      </c>
      <c r="C2272" s="1">
        <f ca="1">IFERROR(__xludf.DUMMYFUNCTION("""COMPUTED_VALUE"""),154.42)</f>
        <v>154.41999999999999</v>
      </c>
      <c r="D2272" s="1">
        <f ca="1">IFERROR(__xludf.DUMMYFUNCTION("""COMPUTED_VALUE"""),151.88)</f>
        <v>151.88</v>
      </c>
      <c r="E2272" s="1">
        <f ca="1">IFERROR(__xludf.DUMMYFUNCTION("""COMPUTED_VALUE"""),153.73)</f>
        <v>153.72999999999999</v>
      </c>
      <c r="F2272" s="1">
        <f ca="1">IFERROR(__xludf.DUMMYFUNCTION("""COMPUTED_VALUE"""),44421830)</f>
        <v>44421830</v>
      </c>
    </row>
    <row r="2273" spans="1:6" x14ac:dyDescent="0.35">
      <c r="A2273" s="2">
        <f ca="1">IFERROR(__xludf.DUMMYFUNCTION("""COMPUTED_VALUE"""),45302.6666666666)</f>
        <v>45302.666666666599</v>
      </c>
      <c r="B2273" s="1">
        <f ca="1">IFERROR(__xludf.DUMMYFUNCTION("""COMPUTED_VALUE"""),155.04)</f>
        <v>155.04</v>
      </c>
      <c r="C2273" s="1">
        <f ca="1">IFERROR(__xludf.DUMMYFUNCTION("""COMPUTED_VALUE"""),157.17)</f>
        <v>157.16999999999999</v>
      </c>
      <c r="D2273" s="1">
        <f ca="1">IFERROR(__xludf.DUMMYFUNCTION("""COMPUTED_VALUE"""),153.12)</f>
        <v>153.12</v>
      </c>
      <c r="E2273" s="1">
        <f ca="1">IFERROR(__xludf.DUMMYFUNCTION("""COMPUTED_VALUE"""),155.18)</f>
        <v>155.18</v>
      </c>
      <c r="F2273" s="1">
        <f ca="1">IFERROR(__xludf.DUMMYFUNCTION("""COMPUTED_VALUE"""),49072691)</f>
        <v>49072691</v>
      </c>
    </row>
    <row r="2274" spans="1:6" x14ac:dyDescent="0.35">
      <c r="A2274" s="2">
        <f ca="1">IFERROR(__xludf.DUMMYFUNCTION("""COMPUTED_VALUE"""),45303.6666666666)</f>
        <v>45303.666666666599</v>
      </c>
      <c r="B2274" s="1">
        <f ca="1">IFERROR(__xludf.DUMMYFUNCTION("""COMPUTED_VALUE"""),155.39)</f>
        <v>155.38999999999999</v>
      </c>
      <c r="C2274" s="1">
        <f ca="1">IFERROR(__xludf.DUMMYFUNCTION("""COMPUTED_VALUE"""),156.2)</f>
        <v>156.19999999999999</v>
      </c>
      <c r="D2274" s="1">
        <f ca="1">IFERROR(__xludf.DUMMYFUNCTION("""COMPUTED_VALUE"""),154.01)</f>
        <v>154.01</v>
      </c>
      <c r="E2274" s="1">
        <f ca="1">IFERROR(__xludf.DUMMYFUNCTION("""COMPUTED_VALUE"""),154.62)</f>
        <v>154.62</v>
      </c>
      <c r="F2274" s="1">
        <f ca="1">IFERROR(__xludf.DUMMYFUNCTION("""COMPUTED_VALUE"""),40484155)</f>
        <v>40484155</v>
      </c>
    </row>
    <row r="2275" spans="1:6" x14ac:dyDescent="0.35">
      <c r="A2275" s="2">
        <f ca="1">IFERROR(__xludf.DUMMYFUNCTION("""COMPUTED_VALUE"""),45307.6666666666)</f>
        <v>45307.666666666599</v>
      </c>
      <c r="B2275" s="1">
        <f ca="1">IFERROR(__xludf.DUMMYFUNCTION("""COMPUTED_VALUE"""),153.53)</f>
        <v>153.53</v>
      </c>
      <c r="C2275" s="1">
        <f ca="1">IFERROR(__xludf.DUMMYFUNCTION("""COMPUTED_VALUE"""),154.99)</f>
        <v>154.99</v>
      </c>
      <c r="D2275" s="1">
        <f ca="1">IFERROR(__xludf.DUMMYFUNCTION("""COMPUTED_VALUE"""),152.15)</f>
        <v>152.15</v>
      </c>
      <c r="E2275" s="1">
        <f ca="1">IFERROR(__xludf.DUMMYFUNCTION("""COMPUTED_VALUE"""),153.16)</f>
        <v>153.16</v>
      </c>
      <c r="F2275" s="1">
        <f ca="1">IFERROR(__xludf.DUMMYFUNCTION("""COMPUTED_VALUE"""),41384636)</f>
        <v>41384636</v>
      </c>
    </row>
    <row r="2276" spans="1:6" x14ac:dyDescent="0.35">
      <c r="A2276" s="2">
        <f ca="1">IFERROR(__xludf.DUMMYFUNCTION("""COMPUTED_VALUE"""),45308.6666666666)</f>
        <v>45308.666666666599</v>
      </c>
      <c r="B2276" s="1">
        <f ca="1">IFERROR(__xludf.DUMMYFUNCTION("""COMPUTED_VALUE"""),151.49)</f>
        <v>151.49</v>
      </c>
      <c r="C2276" s="1">
        <f ca="1">IFERROR(__xludf.DUMMYFUNCTION("""COMPUTED_VALUE"""),152.15)</f>
        <v>152.15</v>
      </c>
      <c r="D2276" s="1">
        <f ca="1">IFERROR(__xludf.DUMMYFUNCTION("""COMPUTED_VALUE"""),149.91)</f>
        <v>149.91</v>
      </c>
      <c r="E2276" s="1">
        <f ca="1">IFERROR(__xludf.DUMMYFUNCTION("""COMPUTED_VALUE"""),151.71)</f>
        <v>151.71</v>
      </c>
      <c r="F2276" s="1">
        <f ca="1">IFERROR(__xludf.DUMMYFUNCTION("""COMPUTED_VALUE"""),34953363)</f>
        <v>34953363</v>
      </c>
    </row>
    <row r="2277" spans="1:6" x14ac:dyDescent="0.35">
      <c r="A2277" s="2">
        <f ca="1">IFERROR(__xludf.DUMMYFUNCTION("""COMPUTED_VALUE"""),45309.6666666666)</f>
        <v>45309.666666666599</v>
      </c>
      <c r="B2277" s="1">
        <f ca="1">IFERROR(__xludf.DUMMYFUNCTION("""COMPUTED_VALUE"""),152.77)</f>
        <v>152.77000000000001</v>
      </c>
      <c r="C2277" s="1">
        <f ca="1">IFERROR(__xludf.DUMMYFUNCTION("""COMPUTED_VALUE"""),153.78)</f>
        <v>153.78</v>
      </c>
      <c r="D2277" s="1">
        <f ca="1">IFERROR(__xludf.DUMMYFUNCTION("""COMPUTED_VALUE"""),151.82)</f>
        <v>151.82</v>
      </c>
      <c r="E2277" s="1">
        <f ca="1">IFERROR(__xludf.DUMMYFUNCTION("""COMPUTED_VALUE"""),153.5)</f>
        <v>153.5</v>
      </c>
      <c r="F2277" s="1">
        <f ca="1">IFERROR(__xludf.DUMMYFUNCTION("""COMPUTED_VALUE"""),37850245)</f>
        <v>37850245</v>
      </c>
    </row>
    <row r="2278" spans="1:6" x14ac:dyDescent="0.35">
      <c r="A2278" s="2">
        <f ca="1">IFERROR(__xludf.DUMMYFUNCTION("""COMPUTED_VALUE"""),45310.6666666666)</f>
        <v>45310.666666666599</v>
      </c>
      <c r="B2278" s="1">
        <f ca="1">IFERROR(__xludf.DUMMYFUNCTION("""COMPUTED_VALUE"""),153.83)</f>
        <v>153.83000000000001</v>
      </c>
      <c r="C2278" s="1">
        <f ca="1">IFERROR(__xludf.DUMMYFUNCTION("""COMPUTED_VALUE"""),155.76)</f>
        <v>155.76</v>
      </c>
      <c r="D2278" s="1">
        <f ca="1">IFERROR(__xludf.DUMMYFUNCTION("""COMPUTED_VALUE"""),152.74)</f>
        <v>152.74</v>
      </c>
      <c r="E2278" s="1">
        <f ca="1">IFERROR(__xludf.DUMMYFUNCTION("""COMPUTED_VALUE"""),155.34)</f>
        <v>155.34</v>
      </c>
      <c r="F2278" s="1">
        <f ca="1">IFERROR(__xludf.DUMMYFUNCTION("""COMPUTED_VALUE"""),51651628)</f>
        <v>51651628</v>
      </c>
    </row>
    <row r="2279" spans="1:6" x14ac:dyDescent="0.35">
      <c r="A2279" s="2">
        <f ca="1">IFERROR(__xludf.DUMMYFUNCTION("""COMPUTED_VALUE"""),45313.6666666666)</f>
        <v>45313.666666666599</v>
      </c>
      <c r="B2279" s="1">
        <f ca="1">IFERROR(__xludf.DUMMYFUNCTION("""COMPUTED_VALUE"""),156.89)</f>
        <v>156.88999999999999</v>
      </c>
      <c r="C2279" s="1">
        <f ca="1">IFERROR(__xludf.DUMMYFUNCTION("""COMPUTED_VALUE"""),157.05)</f>
        <v>157.05000000000001</v>
      </c>
      <c r="D2279" s="1">
        <f ca="1">IFERROR(__xludf.DUMMYFUNCTION("""COMPUTED_VALUE"""),153.9)</f>
        <v>153.9</v>
      </c>
      <c r="E2279" s="1">
        <f ca="1">IFERROR(__xludf.DUMMYFUNCTION("""COMPUTED_VALUE"""),154.78)</f>
        <v>154.78</v>
      </c>
      <c r="F2279" s="1">
        <f ca="1">IFERROR(__xludf.DUMMYFUNCTION("""COMPUTED_VALUE"""),43687468)</f>
        <v>43687468</v>
      </c>
    </row>
    <row r="2280" spans="1:6" x14ac:dyDescent="0.35">
      <c r="A2280" s="2">
        <f ca="1">IFERROR(__xludf.DUMMYFUNCTION("""COMPUTED_VALUE"""),45314.6666666666)</f>
        <v>45314.666666666599</v>
      </c>
      <c r="B2280" s="1">
        <f ca="1">IFERROR(__xludf.DUMMYFUNCTION("""COMPUTED_VALUE"""),154.85)</f>
        <v>154.85</v>
      </c>
      <c r="C2280" s="1">
        <f ca="1">IFERROR(__xludf.DUMMYFUNCTION("""COMPUTED_VALUE"""),156.21)</f>
        <v>156.21</v>
      </c>
      <c r="D2280" s="1">
        <f ca="1">IFERROR(__xludf.DUMMYFUNCTION("""COMPUTED_VALUE"""),153.93)</f>
        <v>153.93</v>
      </c>
      <c r="E2280" s="1">
        <f ca="1">IFERROR(__xludf.DUMMYFUNCTION("""COMPUTED_VALUE"""),156.02)</f>
        <v>156.02000000000001</v>
      </c>
      <c r="F2280" s="1">
        <f ca="1">IFERROR(__xludf.DUMMYFUNCTION("""COMPUTED_VALUE"""),37986039)</f>
        <v>37986039</v>
      </c>
    </row>
    <row r="2281" spans="1:6" x14ac:dyDescent="0.35">
      <c r="A2281" s="2">
        <f ca="1">IFERROR(__xludf.DUMMYFUNCTION("""COMPUTED_VALUE"""),45315.6666666666)</f>
        <v>45315.666666666599</v>
      </c>
      <c r="B2281" s="1">
        <f ca="1">IFERROR(__xludf.DUMMYFUNCTION("""COMPUTED_VALUE"""),157.8)</f>
        <v>157.80000000000001</v>
      </c>
      <c r="C2281" s="1">
        <f ca="1">IFERROR(__xludf.DUMMYFUNCTION("""COMPUTED_VALUE"""),158.51)</f>
        <v>158.51</v>
      </c>
      <c r="D2281" s="1">
        <f ca="1">IFERROR(__xludf.DUMMYFUNCTION("""COMPUTED_VALUE"""),156.48)</f>
        <v>156.47999999999999</v>
      </c>
      <c r="E2281" s="1">
        <f ca="1">IFERROR(__xludf.DUMMYFUNCTION("""COMPUTED_VALUE"""),156.87)</f>
        <v>156.87</v>
      </c>
      <c r="F2281" s="1">
        <f ca="1">IFERROR(__xludf.DUMMYFUNCTION("""COMPUTED_VALUE"""),48547315)</f>
        <v>48547315</v>
      </c>
    </row>
    <row r="2282" spans="1:6" x14ac:dyDescent="0.35">
      <c r="A2282" s="2">
        <f ca="1">IFERROR(__xludf.DUMMYFUNCTION("""COMPUTED_VALUE"""),45316.6666666666)</f>
        <v>45316.666666666599</v>
      </c>
      <c r="B2282" s="1">
        <f ca="1">IFERROR(__xludf.DUMMYFUNCTION("""COMPUTED_VALUE"""),156.95)</f>
        <v>156.94999999999999</v>
      </c>
      <c r="C2282" s="1">
        <f ca="1">IFERROR(__xludf.DUMMYFUNCTION("""COMPUTED_VALUE"""),158.51)</f>
        <v>158.51</v>
      </c>
      <c r="D2282" s="1">
        <f ca="1">IFERROR(__xludf.DUMMYFUNCTION("""COMPUTED_VALUE"""),154.55)</f>
        <v>154.55000000000001</v>
      </c>
      <c r="E2282" s="1">
        <f ca="1">IFERROR(__xludf.DUMMYFUNCTION("""COMPUTED_VALUE"""),157.75)</f>
        <v>157.75</v>
      </c>
      <c r="F2282" s="1">
        <f ca="1">IFERROR(__xludf.DUMMYFUNCTION("""COMPUTED_VALUE"""),43638592)</f>
        <v>43638592</v>
      </c>
    </row>
    <row r="2283" spans="1:6" x14ac:dyDescent="0.35">
      <c r="A2283" s="2">
        <f ca="1">IFERROR(__xludf.DUMMYFUNCTION("""COMPUTED_VALUE"""),45317.6666666666)</f>
        <v>45317.666666666599</v>
      </c>
      <c r="B2283" s="1">
        <f ca="1">IFERROR(__xludf.DUMMYFUNCTION("""COMPUTED_VALUE"""),158.42)</f>
        <v>158.41999999999999</v>
      </c>
      <c r="C2283" s="1">
        <f ca="1">IFERROR(__xludf.DUMMYFUNCTION("""COMPUTED_VALUE"""),160.72)</f>
        <v>160.72</v>
      </c>
      <c r="D2283" s="1">
        <f ca="1">IFERROR(__xludf.DUMMYFUNCTION("""COMPUTED_VALUE"""),157.91)</f>
        <v>157.91</v>
      </c>
      <c r="E2283" s="1">
        <f ca="1">IFERROR(__xludf.DUMMYFUNCTION("""COMPUTED_VALUE"""),159.12)</f>
        <v>159.12</v>
      </c>
      <c r="F2283" s="1">
        <f ca="1">IFERROR(__xludf.DUMMYFUNCTION("""COMPUTED_VALUE"""),51047353)</f>
        <v>51047353</v>
      </c>
    </row>
    <row r="2284" spans="1:6" x14ac:dyDescent="0.35">
      <c r="A2284" s="2">
        <f ca="1">IFERROR(__xludf.DUMMYFUNCTION("""COMPUTED_VALUE"""),45320.6666666666)</f>
        <v>45320.666666666599</v>
      </c>
      <c r="B2284" s="1">
        <f ca="1">IFERROR(__xludf.DUMMYFUNCTION("""COMPUTED_VALUE"""),159.34)</f>
        <v>159.34</v>
      </c>
      <c r="C2284" s="1">
        <f ca="1">IFERROR(__xludf.DUMMYFUNCTION("""COMPUTED_VALUE"""),161.29)</f>
        <v>161.29</v>
      </c>
      <c r="D2284" s="1">
        <f ca="1">IFERROR(__xludf.DUMMYFUNCTION("""COMPUTED_VALUE"""),158.9)</f>
        <v>158.9</v>
      </c>
      <c r="E2284" s="1">
        <f ca="1">IFERROR(__xludf.DUMMYFUNCTION("""COMPUTED_VALUE"""),161.26)</f>
        <v>161.26</v>
      </c>
      <c r="F2284" s="1">
        <f ca="1">IFERROR(__xludf.DUMMYFUNCTION("""COMPUTED_VALUE"""),45270385)</f>
        <v>45270385</v>
      </c>
    </row>
    <row r="2285" spans="1:6" x14ac:dyDescent="0.35">
      <c r="A2285" s="2">
        <f ca="1">IFERROR(__xludf.DUMMYFUNCTION("""COMPUTED_VALUE"""),45321.6666666666)</f>
        <v>45321.666666666599</v>
      </c>
      <c r="B2285" s="1">
        <f ca="1">IFERROR(__xludf.DUMMYFUNCTION("""COMPUTED_VALUE"""),160.7)</f>
        <v>160.69999999999999</v>
      </c>
      <c r="C2285" s="1">
        <f ca="1">IFERROR(__xludf.DUMMYFUNCTION("""COMPUTED_VALUE"""),161.73)</f>
        <v>161.72999999999999</v>
      </c>
      <c r="D2285" s="1">
        <f ca="1">IFERROR(__xludf.DUMMYFUNCTION("""COMPUTED_VALUE"""),158.49)</f>
        <v>158.49</v>
      </c>
      <c r="E2285" s="1">
        <f ca="1">IFERROR(__xludf.DUMMYFUNCTION("""COMPUTED_VALUE"""),159)</f>
        <v>159</v>
      </c>
      <c r="F2285" s="1">
        <f ca="1">IFERROR(__xludf.DUMMYFUNCTION("""COMPUTED_VALUE"""),45207430)</f>
        <v>45207430</v>
      </c>
    </row>
    <row r="2286" spans="1:6" x14ac:dyDescent="0.35">
      <c r="A2286" s="2">
        <f ca="1">IFERROR(__xludf.DUMMYFUNCTION("""COMPUTED_VALUE"""),45322.6666666666)</f>
        <v>45322.666666666599</v>
      </c>
      <c r="B2286" s="1">
        <f ca="1">IFERROR(__xludf.DUMMYFUNCTION("""COMPUTED_VALUE"""),157)</f>
        <v>157</v>
      </c>
      <c r="C2286" s="1">
        <f ca="1">IFERROR(__xludf.DUMMYFUNCTION("""COMPUTED_VALUE"""),159.01)</f>
        <v>159.01</v>
      </c>
      <c r="D2286" s="1">
        <f ca="1">IFERROR(__xludf.DUMMYFUNCTION("""COMPUTED_VALUE"""),154.81)</f>
        <v>154.81</v>
      </c>
      <c r="E2286" s="1">
        <f ca="1">IFERROR(__xludf.DUMMYFUNCTION("""COMPUTED_VALUE"""),155.2)</f>
        <v>155.19999999999999</v>
      </c>
      <c r="F2286" s="1">
        <f ca="1">IFERROR(__xludf.DUMMYFUNCTION("""COMPUTED_VALUE"""),50284371)</f>
        <v>50284371</v>
      </c>
    </row>
    <row r="2287" spans="1:6" x14ac:dyDescent="0.35">
      <c r="A2287" s="2">
        <f ca="1">IFERROR(__xludf.DUMMYFUNCTION("""COMPUTED_VALUE"""),45323.6666666666)</f>
        <v>45323.666666666599</v>
      </c>
      <c r="B2287" s="1">
        <f ca="1">IFERROR(__xludf.DUMMYFUNCTION("""COMPUTED_VALUE"""),155.87)</f>
        <v>155.87</v>
      </c>
      <c r="C2287" s="1">
        <f ca="1">IFERROR(__xludf.DUMMYFUNCTION("""COMPUTED_VALUE"""),159.76)</f>
        <v>159.76</v>
      </c>
      <c r="D2287" s="1">
        <f ca="1">IFERROR(__xludf.DUMMYFUNCTION("""COMPUTED_VALUE"""),155.62)</f>
        <v>155.62</v>
      </c>
      <c r="E2287" s="1">
        <f ca="1">IFERROR(__xludf.DUMMYFUNCTION("""COMPUTED_VALUE"""),159.28)</f>
        <v>159.28</v>
      </c>
      <c r="F2287" s="1">
        <f ca="1">IFERROR(__xludf.DUMMYFUNCTION("""COMPUTED_VALUE"""),76542419)</f>
        <v>76542419</v>
      </c>
    </row>
    <row r="2288" spans="1:6" x14ac:dyDescent="0.35">
      <c r="A2288" s="2">
        <f ca="1">IFERROR(__xludf.DUMMYFUNCTION("""COMPUTED_VALUE"""),45324.6666666666)</f>
        <v>45324.666666666599</v>
      </c>
      <c r="B2288" s="1">
        <f ca="1">IFERROR(__xludf.DUMMYFUNCTION("""COMPUTED_VALUE"""),169.19)</f>
        <v>169.19</v>
      </c>
      <c r="C2288" s="1">
        <f ca="1">IFERROR(__xludf.DUMMYFUNCTION("""COMPUTED_VALUE"""),172.5)</f>
        <v>172.5</v>
      </c>
      <c r="D2288" s="1">
        <f ca="1">IFERROR(__xludf.DUMMYFUNCTION("""COMPUTED_VALUE"""),167.33)</f>
        <v>167.33</v>
      </c>
      <c r="E2288" s="1">
        <f ca="1">IFERROR(__xludf.DUMMYFUNCTION("""COMPUTED_VALUE"""),171.81)</f>
        <v>171.81</v>
      </c>
      <c r="F2288" s="1">
        <f ca="1">IFERROR(__xludf.DUMMYFUNCTION("""COMPUTED_VALUE"""),117218313)</f>
        <v>117218313</v>
      </c>
    </row>
    <row r="2289" spans="1:6" x14ac:dyDescent="0.35">
      <c r="A2289" s="2">
        <f ca="1">IFERROR(__xludf.DUMMYFUNCTION("""COMPUTED_VALUE"""),45327.6666666666)</f>
        <v>45327.666666666599</v>
      </c>
      <c r="B2289" s="1">
        <f ca="1">IFERROR(__xludf.DUMMYFUNCTION("""COMPUTED_VALUE"""),170.2)</f>
        <v>170.2</v>
      </c>
      <c r="C2289" s="1">
        <f ca="1">IFERROR(__xludf.DUMMYFUNCTION("""COMPUTED_VALUE"""),170.55)</f>
        <v>170.55</v>
      </c>
      <c r="D2289" s="1">
        <f ca="1">IFERROR(__xludf.DUMMYFUNCTION("""COMPUTED_VALUE"""),167.7)</f>
        <v>167.7</v>
      </c>
      <c r="E2289" s="1">
        <f ca="1">IFERROR(__xludf.DUMMYFUNCTION("""COMPUTED_VALUE"""),170.31)</f>
        <v>170.31</v>
      </c>
      <c r="F2289" s="1">
        <f ca="1">IFERROR(__xludf.DUMMYFUNCTION("""COMPUTED_VALUE"""),55081297)</f>
        <v>55081297</v>
      </c>
    </row>
    <row r="2290" spans="1:6" x14ac:dyDescent="0.35">
      <c r="A2290" s="2">
        <f ca="1">IFERROR(__xludf.DUMMYFUNCTION("""COMPUTED_VALUE"""),45328.6666666666)</f>
        <v>45328.666666666599</v>
      </c>
      <c r="B2290" s="1">
        <f ca="1">IFERROR(__xludf.DUMMYFUNCTION("""COMPUTED_VALUE"""),169.39)</f>
        <v>169.39</v>
      </c>
      <c r="C2290" s="1">
        <f ca="1">IFERROR(__xludf.DUMMYFUNCTION("""COMPUTED_VALUE"""),170.71)</f>
        <v>170.71</v>
      </c>
      <c r="D2290" s="1">
        <f ca="1">IFERROR(__xludf.DUMMYFUNCTION("""COMPUTED_VALUE"""),167.65)</f>
        <v>167.65</v>
      </c>
      <c r="E2290" s="1">
        <f ca="1">IFERROR(__xludf.DUMMYFUNCTION("""COMPUTED_VALUE"""),169.15)</f>
        <v>169.15</v>
      </c>
      <c r="F2290" s="1">
        <f ca="1">IFERROR(__xludf.DUMMYFUNCTION("""COMPUTED_VALUE"""),42505518)</f>
        <v>42505518</v>
      </c>
    </row>
    <row r="2291" spans="1:6" x14ac:dyDescent="0.35">
      <c r="A2291" s="2">
        <f ca="1">IFERROR(__xludf.DUMMYFUNCTION("""COMPUTED_VALUE"""),45329.6666666666)</f>
        <v>45329.666666666599</v>
      </c>
      <c r="B2291" s="1">
        <f ca="1">IFERROR(__xludf.DUMMYFUNCTION("""COMPUTED_VALUE"""),169.48)</f>
        <v>169.48</v>
      </c>
      <c r="C2291" s="1">
        <f ca="1">IFERROR(__xludf.DUMMYFUNCTION("""COMPUTED_VALUE"""),170.88)</f>
        <v>170.88</v>
      </c>
      <c r="D2291" s="1">
        <f ca="1">IFERROR(__xludf.DUMMYFUNCTION("""COMPUTED_VALUE"""),168.94)</f>
        <v>168.94</v>
      </c>
      <c r="E2291" s="1">
        <f ca="1">IFERROR(__xludf.DUMMYFUNCTION("""COMPUTED_VALUE"""),170.53)</f>
        <v>170.53</v>
      </c>
      <c r="F2291" s="1">
        <f ca="1">IFERROR(__xludf.DUMMYFUNCTION("""COMPUTED_VALUE"""),47174060)</f>
        <v>47174060</v>
      </c>
    </row>
    <row r="2292" spans="1:6" x14ac:dyDescent="0.35">
      <c r="A2292" s="2">
        <f ca="1">IFERROR(__xludf.DUMMYFUNCTION("""COMPUTED_VALUE"""),45330.6666666666)</f>
        <v>45330.666666666599</v>
      </c>
      <c r="B2292" s="1">
        <f ca="1">IFERROR(__xludf.DUMMYFUNCTION("""COMPUTED_VALUE"""),169.65)</f>
        <v>169.65</v>
      </c>
      <c r="C2292" s="1">
        <f ca="1">IFERROR(__xludf.DUMMYFUNCTION("""COMPUTED_VALUE"""),171.43)</f>
        <v>171.43</v>
      </c>
      <c r="D2292" s="1">
        <f ca="1">IFERROR(__xludf.DUMMYFUNCTION("""COMPUTED_VALUE"""),168.88)</f>
        <v>168.88</v>
      </c>
      <c r="E2292" s="1">
        <f ca="1">IFERROR(__xludf.DUMMYFUNCTION("""COMPUTED_VALUE"""),169.84)</f>
        <v>169.84</v>
      </c>
      <c r="F2292" s="1">
        <f ca="1">IFERROR(__xludf.DUMMYFUNCTION("""COMPUTED_VALUE"""),42316454)</f>
        <v>42316454</v>
      </c>
    </row>
    <row r="2293" spans="1:6" x14ac:dyDescent="0.35">
      <c r="A2293" s="2">
        <f ca="1">IFERROR(__xludf.DUMMYFUNCTION("""COMPUTED_VALUE"""),45331.6666666666)</f>
        <v>45331.666666666599</v>
      </c>
      <c r="B2293" s="1">
        <f ca="1">IFERROR(__xludf.DUMMYFUNCTION("""COMPUTED_VALUE"""),170.9)</f>
        <v>170.9</v>
      </c>
      <c r="C2293" s="1">
        <f ca="1">IFERROR(__xludf.DUMMYFUNCTION("""COMPUTED_VALUE"""),175)</f>
        <v>175</v>
      </c>
      <c r="D2293" s="1">
        <f ca="1">IFERROR(__xludf.DUMMYFUNCTION("""COMPUTED_VALUE"""),170.58)</f>
        <v>170.58</v>
      </c>
      <c r="E2293" s="1">
        <f ca="1">IFERROR(__xludf.DUMMYFUNCTION("""COMPUTED_VALUE"""),174.45)</f>
        <v>174.45</v>
      </c>
      <c r="F2293" s="1">
        <f ca="1">IFERROR(__xludf.DUMMYFUNCTION("""COMPUTED_VALUE"""),56985986)</f>
        <v>56985986</v>
      </c>
    </row>
    <row r="2294" spans="1:6" x14ac:dyDescent="0.35">
      <c r="A2294" s="2">
        <f ca="1">IFERROR(__xludf.DUMMYFUNCTION("""COMPUTED_VALUE"""),45334.6666666666)</f>
        <v>45334.666666666599</v>
      </c>
      <c r="B2294" s="1">
        <f ca="1">IFERROR(__xludf.DUMMYFUNCTION("""COMPUTED_VALUE"""),174.8)</f>
        <v>174.8</v>
      </c>
      <c r="C2294" s="1">
        <f ca="1">IFERROR(__xludf.DUMMYFUNCTION("""COMPUTED_VALUE"""),175.39)</f>
        <v>175.39</v>
      </c>
      <c r="D2294" s="1">
        <f ca="1">IFERROR(__xludf.DUMMYFUNCTION("""COMPUTED_VALUE"""),171.54)</f>
        <v>171.54</v>
      </c>
      <c r="E2294" s="1">
        <f ca="1">IFERROR(__xludf.DUMMYFUNCTION("""COMPUTED_VALUE"""),172.34)</f>
        <v>172.34</v>
      </c>
      <c r="F2294" s="1">
        <f ca="1">IFERROR(__xludf.DUMMYFUNCTION("""COMPUTED_VALUE"""),51050440)</f>
        <v>51050440</v>
      </c>
    </row>
    <row r="2295" spans="1:6" x14ac:dyDescent="0.35">
      <c r="A2295" s="2">
        <f ca="1">IFERROR(__xludf.DUMMYFUNCTION("""COMPUTED_VALUE"""),45335.6666666666)</f>
        <v>45335.666666666599</v>
      </c>
      <c r="B2295" s="1">
        <f ca="1">IFERROR(__xludf.DUMMYFUNCTION("""COMPUTED_VALUE"""),167.73)</f>
        <v>167.73</v>
      </c>
      <c r="C2295" s="1">
        <f ca="1">IFERROR(__xludf.DUMMYFUNCTION("""COMPUTED_VALUE"""),170.95)</f>
        <v>170.95</v>
      </c>
      <c r="D2295" s="1">
        <f ca="1">IFERROR(__xludf.DUMMYFUNCTION("""COMPUTED_VALUE"""),165.75)</f>
        <v>165.75</v>
      </c>
      <c r="E2295" s="1">
        <f ca="1">IFERROR(__xludf.DUMMYFUNCTION("""COMPUTED_VALUE"""),168.64)</f>
        <v>168.64</v>
      </c>
      <c r="F2295" s="1">
        <f ca="1">IFERROR(__xludf.DUMMYFUNCTION("""COMPUTED_VALUE"""),56345122)</f>
        <v>56345122</v>
      </c>
    </row>
    <row r="2296" spans="1:6" x14ac:dyDescent="0.35">
      <c r="A2296" s="2">
        <f ca="1">IFERROR(__xludf.DUMMYFUNCTION("""COMPUTED_VALUE"""),45336.6666666666)</f>
        <v>45336.666666666599</v>
      </c>
      <c r="B2296" s="1">
        <f ca="1">IFERROR(__xludf.DUMMYFUNCTION("""COMPUTED_VALUE"""),169.21)</f>
        <v>169.21</v>
      </c>
      <c r="C2296" s="1">
        <f ca="1">IFERROR(__xludf.DUMMYFUNCTION("""COMPUTED_VALUE"""),171.21)</f>
        <v>171.21</v>
      </c>
      <c r="D2296" s="1">
        <f ca="1">IFERROR(__xludf.DUMMYFUNCTION("""COMPUTED_VALUE"""),168.28)</f>
        <v>168.28</v>
      </c>
      <c r="E2296" s="1">
        <f ca="1">IFERROR(__xludf.DUMMYFUNCTION("""COMPUTED_VALUE"""),170.98)</f>
        <v>170.98</v>
      </c>
      <c r="F2296" s="1">
        <f ca="1">IFERROR(__xludf.DUMMYFUNCTION("""COMPUTED_VALUE"""),42815544)</f>
        <v>42815544</v>
      </c>
    </row>
    <row r="2297" spans="1:6" x14ac:dyDescent="0.35">
      <c r="A2297" s="2">
        <f ca="1">IFERROR(__xludf.DUMMYFUNCTION("""COMPUTED_VALUE"""),45337.6666666666)</f>
        <v>45337.666666666599</v>
      </c>
      <c r="B2297" s="1">
        <f ca="1">IFERROR(__xludf.DUMMYFUNCTION("""COMPUTED_VALUE"""),170.58)</f>
        <v>170.58</v>
      </c>
      <c r="C2297" s="1">
        <f ca="1">IFERROR(__xludf.DUMMYFUNCTION("""COMPUTED_VALUE"""),171.17)</f>
        <v>171.17</v>
      </c>
      <c r="D2297" s="1">
        <f ca="1">IFERROR(__xludf.DUMMYFUNCTION("""COMPUTED_VALUE"""),167.59)</f>
        <v>167.59</v>
      </c>
      <c r="E2297" s="1">
        <f ca="1">IFERROR(__xludf.DUMMYFUNCTION("""COMPUTED_VALUE"""),169.8)</f>
        <v>169.8</v>
      </c>
      <c r="F2297" s="1">
        <f ca="1">IFERROR(__xludf.DUMMYFUNCTION("""COMPUTED_VALUE"""),49855196)</f>
        <v>49855196</v>
      </c>
    </row>
    <row r="2298" spans="1:6" x14ac:dyDescent="0.35">
      <c r="A2298" s="2">
        <f ca="1">IFERROR(__xludf.DUMMYFUNCTION("""COMPUTED_VALUE"""),45338.6666666666)</f>
        <v>45338.666666666599</v>
      </c>
      <c r="B2298" s="1">
        <f ca="1">IFERROR(__xludf.DUMMYFUNCTION("""COMPUTED_VALUE"""),168.74)</f>
        <v>168.74</v>
      </c>
      <c r="C2298" s="1">
        <f ca="1">IFERROR(__xludf.DUMMYFUNCTION("""COMPUTED_VALUE"""),170.42)</f>
        <v>170.42</v>
      </c>
      <c r="D2298" s="1">
        <f ca="1">IFERROR(__xludf.DUMMYFUNCTION("""COMPUTED_VALUE"""),167.17)</f>
        <v>167.17</v>
      </c>
      <c r="E2298" s="1">
        <f ca="1">IFERROR(__xludf.DUMMYFUNCTION("""COMPUTED_VALUE"""),169.51)</f>
        <v>169.51</v>
      </c>
      <c r="F2298" s="1">
        <f ca="1">IFERROR(__xludf.DUMMYFUNCTION("""COMPUTED_VALUE"""),48107744)</f>
        <v>48107744</v>
      </c>
    </row>
    <row r="2299" spans="1:6" x14ac:dyDescent="0.35">
      <c r="A2299" s="2">
        <f ca="1">IFERROR(__xludf.DUMMYFUNCTION("""COMPUTED_VALUE"""),45342.6666666666)</f>
        <v>45342.666666666599</v>
      </c>
      <c r="B2299" s="1">
        <f ca="1">IFERROR(__xludf.DUMMYFUNCTION("""COMPUTED_VALUE"""),167.83)</f>
        <v>167.83</v>
      </c>
      <c r="C2299" s="1">
        <f ca="1">IFERROR(__xludf.DUMMYFUNCTION("""COMPUTED_VALUE"""),168.71)</f>
        <v>168.71</v>
      </c>
      <c r="D2299" s="1">
        <f ca="1">IFERROR(__xludf.DUMMYFUNCTION("""COMPUTED_VALUE"""),165.74)</f>
        <v>165.74</v>
      </c>
      <c r="E2299" s="1">
        <f ca="1">IFERROR(__xludf.DUMMYFUNCTION("""COMPUTED_VALUE"""),167.08)</f>
        <v>167.08</v>
      </c>
      <c r="F2299" s="1">
        <f ca="1">IFERROR(__xludf.DUMMYFUNCTION("""COMPUTED_VALUE"""),41980326)</f>
        <v>41980326</v>
      </c>
    </row>
    <row r="2300" spans="1:6" x14ac:dyDescent="0.35">
      <c r="A2300" s="2">
        <f ca="1">IFERROR(__xludf.DUMMYFUNCTION("""COMPUTED_VALUE"""),45343.6666666666)</f>
        <v>45343.666666666599</v>
      </c>
      <c r="B2300" s="1">
        <f ca="1">IFERROR(__xludf.DUMMYFUNCTION("""COMPUTED_VALUE"""),168.94)</f>
        <v>168.94</v>
      </c>
      <c r="C2300" s="1">
        <f ca="1">IFERROR(__xludf.DUMMYFUNCTION("""COMPUTED_VALUE"""),170.23)</f>
        <v>170.23</v>
      </c>
      <c r="D2300" s="1">
        <f ca="1">IFERROR(__xludf.DUMMYFUNCTION("""COMPUTED_VALUE"""),167.14)</f>
        <v>167.14</v>
      </c>
      <c r="E2300" s="1">
        <f ca="1">IFERROR(__xludf.DUMMYFUNCTION("""COMPUTED_VALUE"""),168.59)</f>
        <v>168.59</v>
      </c>
      <c r="F2300" s="1">
        <f ca="1">IFERROR(__xludf.DUMMYFUNCTION("""COMPUTED_VALUE"""),44575623)</f>
        <v>44575623</v>
      </c>
    </row>
    <row r="2301" spans="1:6" x14ac:dyDescent="0.35">
      <c r="A2301" s="2">
        <f ca="1">IFERROR(__xludf.DUMMYFUNCTION("""COMPUTED_VALUE"""),45344.6666666666)</f>
        <v>45344.666666666599</v>
      </c>
      <c r="B2301" s="1">
        <f ca="1">IFERROR(__xludf.DUMMYFUNCTION("""COMPUTED_VALUE"""),173.1)</f>
        <v>173.1</v>
      </c>
      <c r="C2301" s="1">
        <f ca="1">IFERROR(__xludf.DUMMYFUNCTION("""COMPUTED_VALUE"""),174.8)</f>
        <v>174.8</v>
      </c>
      <c r="D2301" s="1">
        <f ca="1">IFERROR(__xludf.DUMMYFUNCTION("""COMPUTED_VALUE"""),171.77)</f>
        <v>171.77</v>
      </c>
      <c r="E2301" s="1">
        <f ca="1">IFERROR(__xludf.DUMMYFUNCTION("""COMPUTED_VALUE"""),174.58)</f>
        <v>174.58</v>
      </c>
      <c r="F2301" s="1">
        <f ca="1">IFERROR(__xludf.DUMMYFUNCTION("""COMPUTED_VALUE"""),55392354)</f>
        <v>55392354</v>
      </c>
    </row>
    <row r="2302" spans="1:6" x14ac:dyDescent="0.35">
      <c r="A2302" s="2">
        <f ca="1">IFERROR(__xludf.DUMMYFUNCTION("""COMPUTED_VALUE"""),45345.6666666666)</f>
        <v>45345.666666666599</v>
      </c>
      <c r="B2302" s="1">
        <f ca="1">IFERROR(__xludf.DUMMYFUNCTION("""COMPUTED_VALUE"""),174.28)</f>
        <v>174.28</v>
      </c>
      <c r="C2302" s="1">
        <f ca="1">IFERROR(__xludf.DUMMYFUNCTION("""COMPUTED_VALUE"""),175.75)</f>
        <v>175.75</v>
      </c>
      <c r="D2302" s="1">
        <f ca="1">IFERROR(__xludf.DUMMYFUNCTION("""COMPUTED_VALUE"""),173.7)</f>
        <v>173.7</v>
      </c>
      <c r="E2302" s="1">
        <f ca="1">IFERROR(__xludf.DUMMYFUNCTION("""COMPUTED_VALUE"""),174.99)</f>
        <v>174.99</v>
      </c>
      <c r="F2302" s="1">
        <f ca="1">IFERROR(__xludf.DUMMYFUNCTION("""COMPUTED_VALUE"""),59715243)</f>
        <v>59715243</v>
      </c>
    </row>
    <row r="2303" spans="1:6" x14ac:dyDescent="0.35">
      <c r="A2303" s="2">
        <f ca="1">IFERROR(__xludf.DUMMYFUNCTION("""COMPUTED_VALUE"""),45348.6666666666)</f>
        <v>45348.666666666599</v>
      </c>
      <c r="B2303" s="1">
        <f ca="1">IFERROR(__xludf.DUMMYFUNCTION("""COMPUTED_VALUE"""),175.7)</f>
        <v>175.7</v>
      </c>
      <c r="C2303" s="1">
        <f ca="1">IFERROR(__xludf.DUMMYFUNCTION("""COMPUTED_VALUE"""),176.37)</f>
        <v>176.37</v>
      </c>
      <c r="D2303" s="1">
        <f ca="1">IFERROR(__xludf.DUMMYFUNCTION("""COMPUTED_VALUE"""),174.26)</f>
        <v>174.26</v>
      </c>
      <c r="E2303" s="1">
        <f ca="1">IFERROR(__xludf.DUMMYFUNCTION("""COMPUTED_VALUE"""),174.73)</f>
        <v>174.73</v>
      </c>
      <c r="F2303" s="1">
        <f ca="1">IFERROR(__xludf.DUMMYFUNCTION("""COMPUTED_VALUE"""),44368614)</f>
        <v>44368614</v>
      </c>
    </row>
    <row r="2304" spans="1:6" x14ac:dyDescent="0.35">
      <c r="A2304" s="2">
        <f ca="1">IFERROR(__xludf.DUMMYFUNCTION("""COMPUTED_VALUE"""),45349.6666666666)</f>
        <v>45349.666666666599</v>
      </c>
      <c r="B2304" s="1">
        <f ca="1">IFERROR(__xludf.DUMMYFUNCTION("""COMPUTED_VALUE"""),174.08)</f>
        <v>174.08</v>
      </c>
      <c r="C2304" s="1">
        <f ca="1">IFERROR(__xludf.DUMMYFUNCTION("""COMPUTED_VALUE"""),174.62)</f>
        <v>174.62</v>
      </c>
      <c r="D2304" s="1">
        <f ca="1">IFERROR(__xludf.DUMMYFUNCTION("""COMPUTED_VALUE"""),172.86)</f>
        <v>172.86</v>
      </c>
      <c r="E2304" s="1">
        <f ca="1">IFERROR(__xludf.DUMMYFUNCTION("""COMPUTED_VALUE"""),173.54)</f>
        <v>173.54</v>
      </c>
      <c r="F2304" s="1">
        <f ca="1">IFERROR(__xludf.DUMMYFUNCTION("""COMPUTED_VALUE"""),31141732)</f>
        <v>31141732</v>
      </c>
    </row>
    <row r="2305" spans="1:6" x14ac:dyDescent="0.35">
      <c r="A2305" s="2">
        <f ca="1">IFERROR(__xludf.DUMMYFUNCTION("""COMPUTED_VALUE"""),45350.6666666666)</f>
        <v>45350.666666666599</v>
      </c>
      <c r="B2305" s="1">
        <f ca="1">IFERROR(__xludf.DUMMYFUNCTION("""COMPUTED_VALUE"""),172.44)</f>
        <v>172.44</v>
      </c>
      <c r="C2305" s="1">
        <f ca="1">IFERROR(__xludf.DUMMYFUNCTION("""COMPUTED_VALUE"""),174.05)</f>
        <v>174.05</v>
      </c>
      <c r="D2305" s="1">
        <f ca="1">IFERROR(__xludf.DUMMYFUNCTION("""COMPUTED_VALUE"""),172.27)</f>
        <v>172.27</v>
      </c>
      <c r="E2305" s="1">
        <f ca="1">IFERROR(__xludf.DUMMYFUNCTION("""COMPUTED_VALUE"""),173.16)</f>
        <v>173.16</v>
      </c>
      <c r="F2305" s="1">
        <f ca="1">IFERROR(__xludf.DUMMYFUNCTION("""COMPUTED_VALUE"""),28180482)</f>
        <v>28180482</v>
      </c>
    </row>
    <row r="2306" spans="1:6" x14ac:dyDescent="0.35">
      <c r="A2306" s="2">
        <f ca="1">IFERROR(__xludf.DUMMYFUNCTION("""COMPUTED_VALUE"""),45351.6666666666)</f>
        <v>45351.666666666599</v>
      </c>
      <c r="B2306" s="1">
        <f ca="1">IFERROR(__xludf.DUMMYFUNCTION("""COMPUTED_VALUE"""),173.01)</f>
        <v>173.01</v>
      </c>
      <c r="C2306" s="1">
        <f ca="1">IFERROR(__xludf.DUMMYFUNCTION("""COMPUTED_VALUE"""),177.22)</f>
        <v>177.22</v>
      </c>
      <c r="D2306" s="1">
        <f ca="1">IFERROR(__xludf.DUMMYFUNCTION("""COMPUTED_VALUE"""),172.85)</f>
        <v>172.85</v>
      </c>
      <c r="E2306" s="1">
        <f ca="1">IFERROR(__xludf.DUMMYFUNCTION("""COMPUTED_VALUE"""),176.76)</f>
        <v>176.76</v>
      </c>
      <c r="F2306" s="1">
        <f ca="1">IFERROR(__xludf.DUMMYFUNCTION("""COMPUTED_VALUE"""),53805359)</f>
        <v>53805359</v>
      </c>
    </row>
    <row r="2307" spans="1:6" x14ac:dyDescent="0.35">
      <c r="A2307" s="2">
        <f ca="1">IFERROR(__xludf.DUMMYFUNCTION("""COMPUTED_VALUE"""),45352.6666666666)</f>
        <v>45352.666666666599</v>
      </c>
      <c r="B2307" s="1">
        <f ca="1">IFERROR(__xludf.DUMMYFUNCTION("""COMPUTED_VALUE"""),176.75)</f>
        <v>176.75</v>
      </c>
      <c r="C2307" s="1">
        <f ca="1">IFERROR(__xludf.DUMMYFUNCTION("""COMPUTED_VALUE"""),178.73)</f>
        <v>178.73</v>
      </c>
      <c r="D2307" s="1">
        <f ca="1">IFERROR(__xludf.DUMMYFUNCTION("""COMPUTED_VALUE"""),176.07)</f>
        <v>176.07</v>
      </c>
      <c r="E2307" s="1">
        <f ca="1">IFERROR(__xludf.DUMMYFUNCTION("""COMPUTED_VALUE"""),178.22)</f>
        <v>178.22</v>
      </c>
      <c r="F2307" s="1">
        <f ca="1">IFERROR(__xludf.DUMMYFUNCTION("""COMPUTED_VALUE"""),31981152)</f>
        <v>31981152</v>
      </c>
    </row>
    <row r="2308" spans="1:6" x14ac:dyDescent="0.35">
      <c r="A2308" s="2">
        <f ca="1">IFERROR(__xludf.DUMMYFUNCTION("""COMPUTED_VALUE"""),45355.6666666666)</f>
        <v>45355.666666666599</v>
      </c>
      <c r="B2308" s="1">
        <f ca="1">IFERROR(__xludf.DUMMYFUNCTION("""COMPUTED_VALUE"""),177.53)</f>
        <v>177.53</v>
      </c>
      <c r="C2308" s="1">
        <f ca="1">IFERROR(__xludf.DUMMYFUNCTION("""COMPUTED_VALUE"""),180.14)</f>
        <v>180.14</v>
      </c>
      <c r="D2308" s="1">
        <f ca="1">IFERROR(__xludf.DUMMYFUNCTION("""COMPUTED_VALUE"""),177.49)</f>
        <v>177.49</v>
      </c>
      <c r="E2308" s="1">
        <f ca="1">IFERROR(__xludf.DUMMYFUNCTION("""COMPUTED_VALUE"""),177.58)</f>
        <v>177.58</v>
      </c>
      <c r="F2308" s="1">
        <f ca="1">IFERROR(__xludf.DUMMYFUNCTION("""COMPUTED_VALUE"""),37381520)</f>
        <v>37381520</v>
      </c>
    </row>
    <row r="2309" spans="1:6" x14ac:dyDescent="0.35">
      <c r="A2309" s="2">
        <f ca="1">IFERROR(__xludf.DUMMYFUNCTION("""COMPUTED_VALUE"""),45356.6666666666)</f>
        <v>45356.666666666599</v>
      </c>
      <c r="B2309" s="1">
        <f ca="1">IFERROR(__xludf.DUMMYFUNCTION("""COMPUTED_VALUE"""),176.93)</f>
        <v>176.93</v>
      </c>
      <c r="C2309" s="1">
        <f ca="1">IFERROR(__xludf.DUMMYFUNCTION("""COMPUTED_VALUE"""),176.93)</f>
        <v>176.93</v>
      </c>
      <c r="D2309" s="1">
        <f ca="1">IFERROR(__xludf.DUMMYFUNCTION("""COMPUTED_VALUE"""),173.3)</f>
        <v>173.3</v>
      </c>
      <c r="E2309" s="1">
        <f ca="1">IFERROR(__xludf.DUMMYFUNCTION("""COMPUTED_VALUE"""),174.12)</f>
        <v>174.12</v>
      </c>
      <c r="F2309" s="1">
        <f ca="1">IFERROR(__xludf.DUMMYFUNCTION("""COMPUTED_VALUE"""),37228343)</f>
        <v>37228343</v>
      </c>
    </row>
    <row r="2310" spans="1:6" x14ac:dyDescent="0.35">
      <c r="A2310" s="2">
        <f ca="1">IFERROR(__xludf.DUMMYFUNCTION("""COMPUTED_VALUE"""),45357.6666666666)</f>
        <v>45357.666666666599</v>
      </c>
      <c r="B2310" s="1">
        <f ca="1">IFERROR(__xludf.DUMMYFUNCTION("""COMPUTED_VALUE"""),175.54)</f>
        <v>175.54</v>
      </c>
      <c r="C2310" s="1">
        <f ca="1">IFERROR(__xludf.DUMMYFUNCTION("""COMPUTED_VALUE"""),176.46)</f>
        <v>176.46</v>
      </c>
      <c r="D2310" s="1">
        <f ca="1">IFERROR(__xludf.DUMMYFUNCTION("""COMPUTED_VALUE"""),173.26)</f>
        <v>173.26</v>
      </c>
      <c r="E2310" s="1">
        <f ca="1">IFERROR(__xludf.DUMMYFUNCTION("""COMPUTED_VALUE"""),173.51)</f>
        <v>173.51</v>
      </c>
      <c r="F2310" s="1">
        <f ca="1">IFERROR(__xludf.DUMMYFUNCTION("""COMPUTED_VALUE"""),32090926)</f>
        <v>32090926</v>
      </c>
    </row>
    <row r="2311" spans="1:6" x14ac:dyDescent="0.35">
      <c r="A2311" s="2">
        <f ca="1">IFERROR(__xludf.DUMMYFUNCTION("""COMPUTED_VALUE"""),45358.6666666666)</f>
        <v>45358.666666666599</v>
      </c>
      <c r="B2311" s="1">
        <f ca="1">IFERROR(__xludf.DUMMYFUNCTION("""COMPUTED_VALUE"""),174.83)</f>
        <v>174.83</v>
      </c>
      <c r="C2311" s="1">
        <f ca="1">IFERROR(__xludf.DUMMYFUNCTION("""COMPUTED_VALUE"""),177.99)</f>
        <v>177.99</v>
      </c>
      <c r="D2311" s="1">
        <f ca="1">IFERROR(__xludf.DUMMYFUNCTION("""COMPUTED_VALUE"""),173.72)</f>
        <v>173.72</v>
      </c>
      <c r="E2311" s="1">
        <f ca="1">IFERROR(__xludf.DUMMYFUNCTION("""COMPUTED_VALUE"""),176.82)</f>
        <v>176.82</v>
      </c>
      <c r="F2311" s="1">
        <f ca="1">IFERROR(__xludf.DUMMYFUNCTION("""COMPUTED_VALUE"""),34063283)</f>
        <v>34063283</v>
      </c>
    </row>
    <row r="2312" spans="1:6" x14ac:dyDescent="0.35">
      <c r="A2312" s="2">
        <f ca="1">IFERROR(__xludf.DUMMYFUNCTION("""COMPUTED_VALUE"""),45359.6666666666)</f>
        <v>45359.666666666599</v>
      </c>
      <c r="B2312" s="1">
        <f ca="1">IFERROR(__xludf.DUMMYFUNCTION("""COMPUTED_VALUE"""),176.44)</f>
        <v>176.44</v>
      </c>
      <c r="C2312" s="1">
        <f ca="1">IFERROR(__xludf.DUMMYFUNCTION("""COMPUTED_VALUE"""),178.79)</f>
        <v>178.79</v>
      </c>
      <c r="D2312" s="1">
        <f ca="1">IFERROR(__xludf.DUMMYFUNCTION("""COMPUTED_VALUE"""),174.33)</f>
        <v>174.33</v>
      </c>
      <c r="E2312" s="1">
        <f ca="1">IFERROR(__xludf.DUMMYFUNCTION("""COMPUTED_VALUE"""),175.35)</f>
        <v>175.35</v>
      </c>
      <c r="F2312" s="1">
        <f ca="1">IFERROR(__xludf.DUMMYFUNCTION("""COMPUTED_VALUE"""),37893242)</f>
        <v>37893242</v>
      </c>
    </row>
    <row r="2313" spans="1:6" x14ac:dyDescent="0.35">
      <c r="A2313" s="2">
        <f ca="1">IFERROR(__xludf.DUMMYFUNCTION("""COMPUTED_VALUE"""),45362.6666666666)</f>
        <v>45362.666666666599</v>
      </c>
      <c r="B2313" s="1">
        <f ca="1">IFERROR(__xludf.DUMMYFUNCTION("""COMPUTED_VALUE"""),174.31)</f>
        <v>174.31</v>
      </c>
      <c r="C2313" s="1">
        <f ca="1">IFERROR(__xludf.DUMMYFUNCTION("""COMPUTED_VALUE"""),174.47)</f>
        <v>174.47</v>
      </c>
      <c r="D2313" s="1">
        <f ca="1">IFERROR(__xludf.DUMMYFUNCTION("""COMPUTED_VALUE"""),171.47)</f>
        <v>171.47</v>
      </c>
      <c r="E2313" s="1">
        <f ca="1">IFERROR(__xludf.DUMMYFUNCTION("""COMPUTED_VALUE"""),171.96)</f>
        <v>171.96</v>
      </c>
      <c r="F2313" s="1">
        <f ca="1">IFERROR(__xludf.DUMMYFUNCTION("""COMPUTED_VALUE"""),28484777)</f>
        <v>28484777</v>
      </c>
    </row>
    <row r="2314" spans="1:6" x14ac:dyDescent="0.35">
      <c r="A2314" s="2">
        <f ca="1">IFERROR(__xludf.DUMMYFUNCTION("""COMPUTED_VALUE"""),45363.6666666666)</f>
        <v>45363.666666666599</v>
      </c>
      <c r="B2314" s="1">
        <f ca="1">IFERROR(__xludf.DUMMYFUNCTION("""COMPUTED_VALUE"""),173.5)</f>
        <v>173.5</v>
      </c>
      <c r="C2314" s="1">
        <f ca="1">IFERROR(__xludf.DUMMYFUNCTION("""COMPUTED_VALUE"""),176.76)</f>
        <v>176.76</v>
      </c>
      <c r="D2314" s="1">
        <f ca="1">IFERROR(__xludf.DUMMYFUNCTION("""COMPUTED_VALUE"""),171.98)</f>
        <v>171.98</v>
      </c>
      <c r="E2314" s="1">
        <f ca="1">IFERROR(__xludf.DUMMYFUNCTION("""COMPUTED_VALUE"""),175.39)</f>
        <v>175.39</v>
      </c>
      <c r="F2314" s="1">
        <f ca="1">IFERROR(__xludf.DUMMYFUNCTION("""COMPUTED_VALUE"""),36610604)</f>
        <v>36610604</v>
      </c>
    </row>
    <row r="2315" spans="1:6" x14ac:dyDescent="0.35">
      <c r="A2315" s="2">
        <f ca="1">IFERROR(__xludf.DUMMYFUNCTION("""COMPUTED_VALUE"""),45364.6666666666)</f>
        <v>45364.666666666599</v>
      </c>
      <c r="B2315" s="1">
        <f ca="1">IFERROR(__xludf.DUMMYFUNCTION("""COMPUTED_VALUE"""),175.9)</f>
        <v>175.9</v>
      </c>
      <c r="C2315" s="1">
        <f ca="1">IFERROR(__xludf.DUMMYFUNCTION("""COMPUTED_VALUE"""),177.62)</f>
        <v>177.62</v>
      </c>
      <c r="D2315" s="1">
        <f ca="1">IFERROR(__xludf.DUMMYFUNCTION("""COMPUTED_VALUE"""),175.55)</f>
        <v>175.55</v>
      </c>
      <c r="E2315" s="1">
        <f ca="1">IFERROR(__xludf.DUMMYFUNCTION("""COMPUTED_VALUE"""),176.56)</f>
        <v>176.56</v>
      </c>
      <c r="F2315" s="1">
        <f ca="1">IFERROR(__xludf.DUMMYFUNCTION("""COMPUTED_VALUE"""),30772600)</f>
        <v>30772600</v>
      </c>
    </row>
    <row r="2316" spans="1:6" x14ac:dyDescent="0.35">
      <c r="A2316" s="2">
        <f ca="1">IFERROR(__xludf.DUMMYFUNCTION("""COMPUTED_VALUE"""),45365.6666666666)</f>
        <v>45365.666666666599</v>
      </c>
      <c r="B2316" s="1">
        <f ca="1">IFERROR(__xludf.DUMMYFUNCTION("""COMPUTED_VALUE"""),177.69)</f>
        <v>177.69</v>
      </c>
      <c r="C2316" s="1">
        <f ca="1">IFERROR(__xludf.DUMMYFUNCTION("""COMPUTED_VALUE"""),179.53)</f>
        <v>179.53</v>
      </c>
      <c r="D2316" s="1">
        <f ca="1">IFERROR(__xludf.DUMMYFUNCTION("""COMPUTED_VALUE"""),176.47)</f>
        <v>176.47</v>
      </c>
      <c r="E2316" s="1">
        <f ca="1">IFERROR(__xludf.DUMMYFUNCTION("""COMPUTED_VALUE"""),178.75)</f>
        <v>178.75</v>
      </c>
      <c r="F2316" s="1">
        <f ca="1">IFERROR(__xludf.DUMMYFUNCTION("""COMPUTED_VALUE"""),43705840)</f>
        <v>43705840</v>
      </c>
    </row>
    <row r="2317" spans="1:6" x14ac:dyDescent="0.35">
      <c r="A2317" s="2">
        <f ca="1">IFERROR(__xludf.DUMMYFUNCTION("""COMPUTED_VALUE"""),45366.6666666666)</f>
        <v>45366.666666666599</v>
      </c>
      <c r="B2317" s="1">
        <f ca="1">IFERROR(__xludf.DUMMYFUNCTION("""COMPUTED_VALUE"""),176.64)</f>
        <v>176.64</v>
      </c>
      <c r="C2317" s="1">
        <f ca="1">IFERROR(__xludf.DUMMYFUNCTION("""COMPUTED_VALUE"""),177.93)</f>
        <v>177.93</v>
      </c>
      <c r="D2317" s="1">
        <f ca="1">IFERROR(__xludf.DUMMYFUNCTION("""COMPUTED_VALUE"""),173.9)</f>
        <v>173.9</v>
      </c>
      <c r="E2317" s="1">
        <f ca="1">IFERROR(__xludf.DUMMYFUNCTION("""COMPUTED_VALUE"""),174.42)</f>
        <v>174.42</v>
      </c>
      <c r="F2317" s="1">
        <f ca="1">IFERROR(__xludf.DUMMYFUNCTION("""COMPUTED_VALUE"""),72147390)</f>
        <v>72147390</v>
      </c>
    </row>
    <row r="2318" spans="1:6" x14ac:dyDescent="0.35">
      <c r="A2318" s="2">
        <f ca="1">IFERROR(__xludf.DUMMYFUNCTION("""COMPUTED_VALUE"""),45369.6666666666)</f>
        <v>45369.666666666599</v>
      </c>
      <c r="B2318" s="1">
        <f ca="1">IFERROR(__xludf.DUMMYFUNCTION("""COMPUTED_VALUE"""),175.8)</f>
        <v>175.8</v>
      </c>
      <c r="C2318" s="1">
        <f ca="1">IFERROR(__xludf.DUMMYFUNCTION("""COMPUTED_VALUE"""),176.69)</f>
        <v>176.69</v>
      </c>
      <c r="D2318" s="1">
        <f ca="1">IFERROR(__xludf.DUMMYFUNCTION("""COMPUTED_VALUE"""),174.28)</f>
        <v>174.28</v>
      </c>
      <c r="E2318" s="1">
        <f ca="1">IFERROR(__xludf.DUMMYFUNCTION("""COMPUTED_VALUE"""),174.48)</f>
        <v>174.48</v>
      </c>
      <c r="F2318" s="1">
        <f ca="1">IFERROR(__xludf.DUMMYFUNCTION("""COMPUTED_VALUE"""),31250688)</f>
        <v>31250688</v>
      </c>
    </row>
    <row r="2319" spans="1:6" x14ac:dyDescent="0.35">
      <c r="A2319" s="2">
        <f ca="1">IFERROR(__xludf.DUMMYFUNCTION("""COMPUTED_VALUE"""),45370.6666666666)</f>
        <v>45370.666666666599</v>
      </c>
      <c r="B2319" s="1">
        <f ca="1">IFERROR(__xludf.DUMMYFUNCTION("""COMPUTED_VALUE"""),174.22)</f>
        <v>174.22</v>
      </c>
      <c r="C2319" s="1">
        <f ca="1">IFERROR(__xludf.DUMMYFUNCTION("""COMPUTED_VALUE"""),176.09)</f>
        <v>176.09</v>
      </c>
      <c r="D2319" s="1">
        <f ca="1">IFERROR(__xludf.DUMMYFUNCTION("""COMPUTED_VALUE"""),173.52)</f>
        <v>173.52</v>
      </c>
      <c r="E2319" s="1">
        <f ca="1">IFERROR(__xludf.DUMMYFUNCTION("""COMPUTED_VALUE"""),175.9)</f>
        <v>175.9</v>
      </c>
      <c r="F2319" s="1">
        <f ca="1">IFERROR(__xludf.DUMMYFUNCTION("""COMPUTED_VALUE"""),26880893)</f>
        <v>26880893</v>
      </c>
    </row>
    <row r="2320" spans="1:6" x14ac:dyDescent="0.35">
      <c r="A2320" s="2">
        <f ca="1">IFERROR(__xludf.DUMMYFUNCTION("""COMPUTED_VALUE"""),45371.6666666666)</f>
        <v>45371.666666666599</v>
      </c>
      <c r="B2320" s="1">
        <f ca="1">IFERROR(__xludf.DUMMYFUNCTION("""COMPUTED_VALUE"""),176.14)</f>
        <v>176.14</v>
      </c>
      <c r="C2320" s="1">
        <f ca="1">IFERROR(__xludf.DUMMYFUNCTION("""COMPUTED_VALUE"""),178.53)</f>
        <v>178.53</v>
      </c>
      <c r="D2320" s="1">
        <f ca="1">IFERROR(__xludf.DUMMYFUNCTION("""COMPUTED_VALUE"""),174.64)</f>
        <v>174.64</v>
      </c>
      <c r="E2320" s="1">
        <f ca="1">IFERROR(__xludf.DUMMYFUNCTION("""COMPUTED_VALUE"""),178.15)</f>
        <v>178.15</v>
      </c>
      <c r="F2320" s="1">
        <f ca="1">IFERROR(__xludf.DUMMYFUNCTION("""COMPUTED_VALUE"""),29947150)</f>
        <v>29947150</v>
      </c>
    </row>
    <row r="2321" spans="1:6" x14ac:dyDescent="0.35">
      <c r="A2321" s="2">
        <f ca="1">IFERROR(__xludf.DUMMYFUNCTION("""COMPUTED_VALUE"""),45372.6666666666)</f>
        <v>45372.666666666599</v>
      </c>
      <c r="B2321" s="1">
        <f ca="1">IFERROR(__xludf.DUMMYFUNCTION("""COMPUTED_VALUE"""),179.99)</f>
        <v>179.99</v>
      </c>
      <c r="C2321" s="1">
        <f ca="1">IFERROR(__xludf.DUMMYFUNCTION("""COMPUTED_VALUE"""),181.42)</f>
        <v>181.42</v>
      </c>
      <c r="D2321" s="1">
        <f ca="1">IFERROR(__xludf.DUMMYFUNCTION("""COMPUTED_VALUE"""),178.15)</f>
        <v>178.15</v>
      </c>
      <c r="E2321" s="1">
        <f ca="1">IFERROR(__xludf.DUMMYFUNCTION("""COMPUTED_VALUE"""),178.15)</f>
        <v>178.15</v>
      </c>
      <c r="F2321" s="1">
        <f ca="1">IFERROR(__xludf.DUMMYFUNCTION("""COMPUTED_VALUE"""),32824320)</f>
        <v>32824320</v>
      </c>
    </row>
    <row r="2322" spans="1:6" x14ac:dyDescent="0.35">
      <c r="A2322" s="2">
        <f ca="1">IFERROR(__xludf.DUMMYFUNCTION("""COMPUTED_VALUE"""),45373.6666666666)</f>
        <v>45373.666666666599</v>
      </c>
      <c r="B2322" s="1">
        <f ca="1">IFERROR(__xludf.DUMMYFUNCTION("""COMPUTED_VALUE"""),177.75)</f>
        <v>177.75</v>
      </c>
      <c r="C2322" s="1">
        <f ca="1">IFERROR(__xludf.DUMMYFUNCTION("""COMPUTED_VALUE"""),179.26)</f>
        <v>179.26</v>
      </c>
      <c r="D2322" s="1">
        <f ca="1">IFERROR(__xludf.DUMMYFUNCTION("""COMPUTED_VALUE"""),176.75)</f>
        <v>176.75</v>
      </c>
      <c r="E2322" s="1">
        <f ca="1">IFERROR(__xludf.DUMMYFUNCTION("""COMPUTED_VALUE"""),178.87)</f>
        <v>178.87</v>
      </c>
      <c r="F2322" s="1">
        <f ca="1">IFERROR(__xludf.DUMMYFUNCTION("""COMPUTED_VALUE"""),27995378)</f>
        <v>27995378</v>
      </c>
    </row>
    <row r="2323" spans="1:6" x14ac:dyDescent="0.35">
      <c r="A2323" s="2">
        <f ca="1">IFERROR(__xludf.DUMMYFUNCTION("""COMPUTED_VALUE"""),45376.6666666666)</f>
        <v>45376.666666666599</v>
      </c>
      <c r="B2323" s="1">
        <f ca="1">IFERROR(__xludf.DUMMYFUNCTION("""COMPUTED_VALUE"""),178.01)</f>
        <v>178.01</v>
      </c>
      <c r="C2323" s="1">
        <f ca="1">IFERROR(__xludf.DUMMYFUNCTION("""COMPUTED_VALUE"""),180.99)</f>
        <v>180.99</v>
      </c>
      <c r="D2323" s="1">
        <f ca="1">IFERROR(__xludf.DUMMYFUNCTION("""COMPUTED_VALUE"""),177.24)</f>
        <v>177.24</v>
      </c>
      <c r="E2323" s="1">
        <f ca="1">IFERROR(__xludf.DUMMYFUNCTION("""COMPUTED_VALUE"""),179.71)</f>
        <v>179.71</v>
      </c>
      <c r="F2323" s="1">
        <f ca="1">IFERROR(__xludf.DUMMYFUNCTION("""COMPUTED_VALUE"""),29815464)</f>
        <v>29815464</v>
      </c>
    </row>
    <row r="2324" spans="1:6" x14ac:dyDescent="0.35">
      <c r="A2324" s="2">
        <f ca="1">IFERROR(__xludf.DUMMYFUNCTION("""COMPUTED_VALUE"""),45377.6666666666)</f>
        <v>45377.666666666599</v>
      </c>
      <c r="B2324" s="1">
        <f ca="1">IFERROR(__xludf.DUMMYFUNCTION("""COMPUTED_VALUE"""),180.15)</f>
        <v>180.15</v>
      </c>
      <c r="C2324" s="1">
        <f ca="1">IFERROR(__xludf.DUMMYFUNCTION("""COMPUTED_VALUE"""),180.45)</f>
        <v>180.45</v>
      </c>
      <c r="D2324" s="1">
        <f ca="1">IFERROR(__xludf.DUMMYFUNCTION("""COMPUTED_VALUE"""),177.95)</f>
        <v>177.95</v>
      </c>
      <c r="E2324" s="1">
        <f ca="1">IFERROR(__xludf.DUMMYFUNCTION("""COMPUTED_VALUE"""),178.3)</f>
        <v>178.3</v>
      </c>
      <c r="F2324" s="1">
        <f ca="1">IFERROR(__xludf.DUMMYFUNCTION("""COMPUTED_VALUE"""),29658982)</f>
        <v>29658982</v>
      </c>
    </row>
    <row r="2325" spans="1:6" x14ac:dyDescent="0.35">
      <c r="A2325" s="2">
        <f ca="1">IFERROR(__xludf.DUMMYFUNCTION("""COMPUTED_VALUE"""),45378.6666666666)</f>
        <v>45378.666666666599</v>
      </c>
      <c r="B2325" s="1">
        <f ca="1">IFERROR(__xludf.DUMMYFUNCTION("""COMPUTED_VALUE"""),179.88)</f>
        <v>179.88</v>
      </c>
      <c r="C2325" s="1">
        <f ca="1">IFERROR(__xludf.DUMMYFUNCTION("""COMPUTED_VALUE"""),180)</f>
        <v>180</v>
      </c>
      <c r="D2325" s="1">
        <f ca="1">IFERROR(__xludf.DUMMYFUNCTION("""COMPUTED_VALUE"""),177.31)</f>
        <v>177.31</v>
      </c>
      <c r="E2325" s="1">
        <f ca="1">IFERROR(__xludf.DUMMYFUNCTION("""COMPUTED_VALUE"""),179.83)</f>
        <v>179.83</v>
      </c>
      <c r="F2325" s="1">
        <f ca="1">IFERROR(__xludf.DUMMYFUNCTION("""COMPUTED_VALUE"""),33272551)</f>
        <v>33272551</v>
      </c>
    </row>
    <row r="2326" spans="1:6" x14ac:dyDescent="0.35">
      <c r="A2326" s="2">
        <f ca="1">IFERROR(__xludf.DUMMYFUNCTION("""COMPUTED_VALUE"""),45379.6666666666)</f>
        <v>45379.666666666599</v>
      </c>
      <c r="B2326" s="1">
        <f ca="1">IFERROR(__xludf.DUMMYFUNCTION("""COMPUTED_VALUE"""),180.17)</f>
        <v>180.17</v>
      </c>
      <c r="C2326" s="1">
        <f ca="1">IFERROR(__xludf.DUMMYFUNCTION("""COMPUTED_VALUE"""),181.7)</f>
        <v>181.7</v>
      </c>
      <c r="D2326" s="1">
        <f ca="1">IFERROR(__xludf.DUMMYFUNCTION("""COMPUTED_VALUE"""),179.26)</f>
        <v>179.26</v>
      </c>
      <c r="E2326" s="1">
        <f ca="1">IFERROR(__xludf.DUMMYFUNCTION("""COMPUTED_VALUE"""),180.38)</f>
        <v>180.38</v>
      </c>
      <c r="F2326" s="1">
        <f ca="1">IFERROR(__xludf.DUMMYFUNCTION("""COMPUTED_VALUE"""),38051588)</f>
        <v>38051588</v>
      </c>
    </row>
    <row r="2327" spans="1:6" x14ac:dyDescent="0.35">
      <c r="A2327" s="2">
        <f ca="1">IFERROR(__xludf.DUMMYFUNCTION("""COMPUTED_VALUE"""),45383.6666666666)</f>
        <v>45383.666666666599</v>
      </c>
      <c r="B2327" s="1">
        <f ca="1">IFERROR(__xludf.DUMMYFUNCTION("""COMPUTED_VALUE"""),180.79)</f>
        <v>180.79</v>
      </c>
      <c r="C2327" s="1">
        <f ca="1">IFERROR(__xludf.DUMMYFUNCTION("""COMPUTED_VALUE"""),183)</f>
        <v>183</v>
      </c>
      <c r="D2327" s="1">
        <f ca="1">IFERROR(__xludf.DUMMYFUNCTION("""COMPUTED_VALUE"""),179.95)</f>
        <v>179.95</v>
      </c>
      <c r="E2327" s="1">
        <f ca="1">IFERROR(__xludf.DUMMYFUNCTION("""COMPUTED_VALUE"""),180.97)</f>
        <v>180.97</v>
      </c>
      <c r="F2327" s="1">
        <f ca="1">IFERROR(__xludf.DUMMYFUNCTION("""COMPUTED_VALUE"""),29174521)</f>
        <v>29174521</v>
      </c>
    </row>
    <row r="2328" spans="1:6" x14ac:dyDescent="0.35">
      <c r="A2328" s="2">
        <f ca="1">IFERROR(__xludf.DUMMYFUNCTION("""COMPUTED_VALUE"""),45384.6666666666)</f>
        <v>45384.666666666599</v>
      </c>
      <c r="B2328" s="1">
        <f ca="1">IFERROR(__xludf.DUMMYFUNCTION("""COMPUTED_VALUE"""),179.07)</f>
        <v>179.07</v>
      </c>
      <c r="C2328" s="1">
        <f ca="1">IFERROR(__xludf.DUMMYFUNCTION("""COMPUTED_VALUE"""),180.79)</f>
        <v>180.79</v>
      </c>
      <c r="D2328" s="1">
        <f ca="1">IFERROR(__xludf.DUMMYFUNCTION("""COMPUTED_VALUE"""),178.38)</f>
        <v>178.38</v>
      </c>
      <c r="E2328" s="1">
        <f ca="1">IFERROR(__xludf.DUMMYFUNCTION("""COMPUTED_VALUE"""),180.69)</f>
        <v>180.69</v>
      </c>
      <c r="F2328" s="1">
        <f ca="1">IFERROR(__xludf.DUMMYFUNCTION("""COMPUTED_VALUE"""),32611546)</f>
        <v>32611546</v>
      </c>
    </row>
    <row r="2329" spans="1:6" x14ac:dyDescent="0.35">
      <c r="A2329" s="2">
        <f ca="1">IFERROR(__xludf.DUMMYFUNCTION("""COMPUTED_VALUE"""),45385.6666666666)</f>
        <v>45385.666666666599</v>
      </c>
      <c r="B2329" s="1">
        <f ca="1">IFERROR(__xludf.DUMMYFUNCTION("""COMPUTED_VALUE"""),179.9)</f>
        <v>179.9</v>
      </c>
      <c r="C2329" s="1">
        <f ca="1">IFERROR(__xludf.DUMMYFUNCTION("""COMPUTED_VALUE"""),182.87)</f>
        <v>182.87</v>
      </c>
      <c r="D2329" s="1">
        <f ca="1">IFERROR(__xludf.DUMMYFUNCTION("""COMPUTED_VALUE"""),179.8)</f>
        <v>179.8</v>
      </c>
      <c r="E2329" s="1">
        <f ca="1">IFERROR(__xludf.DUMMYFUNCTION("""COMPUTED_VALUE"""),182.41)</f>
        <v>182.41</v>
      </c>
      <c r="F2329" s="1">
        <f ca="1">IFERROR(__xludf.DUMMYFUNCTION("""COMPUTED_VALUE"""),31046638)</f>
        <v>31046638</v>
      </c>
    </row>
    <row r="2330" spans="1:6" x14ac:dyDescent="0.35">
      <c r="A2330" s="2">
        <f ca="1">IFERROR(__xludf.DUMMYFUNCTION("""COMPUTED_VALUE"""),45386.6666666666)</f>
        <v>45386.666666666599</v>
      </c>
      <c r="B2330" s="1">
        <f ca="1">IFERROR(__xludf.DUMMYFUNCTION("""COMPUTED_VALUE"""),184)</f>
        <v>184</v>
      </c>
      <c r="C2330" s="1">
        <f ca="1">IFERROR(__xludf.DUMMYFUNCTION("""COMPUTED_VALUE"""),185.1)</f>
        <v>185.1</v>
      </c>
      <c r="D2330" s="1">
        <f ca="1">IFERROR(__xludf.DUMMYFUNCTION("""COMPUTED_VALUE"""),180)</f>
        <v>180</v>
      </c>
      <c r="E2330" s="1">
        <f ca="1">IFERROR(__xludf.DUMMYFUNCTION("""COMPUTED_VALUE"""),180)</f>
        <v>180</v>
      </c>
      <c r="F2330" s="1">
        <f ca="1">IFERROR(__xludf.DUMMYFUNCTION("""COMPUTED_VALUE"""),41624261)</f>
        <v>41624261</v>
      </c>
    </row>
    <row r="2331" spans="1:6" x14ac:dyDescent="0.35">
      <c r="A2331" s="2">
        <f ca="1">IFERROR(__xludf.DUMMYFUNCTION("""COMPUTED_VALUE"""),45387.6666666666)</f>
        <v>45387.666666666599</v>
      </c>
      <c r="B2331" s="1">
        <f ca="1">IFERROR(__xludf.DUMMYFUNCTION("""COMPUTED_VALUE"""),182.38)</f>
        <v>182.38</v>
      </c>
      <c r="C2331" s="1">
        <f ca="1">IFERROR(__xludf.DUMMYFUNCTION("""COMPUTED_VALUE"""),186.27)</f>
        <v>186.27</v>
      </c>
      <c r="D2331" s="1">
        <f ca="1">IFERROR(__xludf.DUMMYFUNCTION("""COMPUTED_VALUE"""),181.97)</f>
        <v>181.97</v>
      </c>
      <c r="E2331" s="1">
        <f ca="1">IFERROR(__xludf.DUMMYFUNCTION("""COMPUTED_VALUE"""),185.07)</f>
        <v>185.07</v>
      </c>
      <c r="F2331" s="1">
        <f ca="1">IFERROR(__xludf.DUMMYFUNCTION("""COMPUTED_VALUE"""),42373992)</f>
        <v>42373992</v>
      </c>
    </row>
    <row r="2332" spans="1:6" x14ac:dyDescent="0.35">
      <c r="A2332" s="2">
        <f ca="1">IFERROR(__xludf.DUMMYFUNCTION("""COMPUTED_VALUE"""),45390.6666666666)</f>
        <v>45390.666666666599</v>
      </c>
      <c r="B2332" s="1">
        <f ca="1">IFERROR(__xludf.DUMMYFUNCTION("""COMPUTED_VALUE"""),186.9)</f>
        <v>186.9</v>
      </c>
      <c r="C2332" s="1">
        <f ca="1">IFERROR(__xludf.DUMMYFUNCTION("""COMPUTED_VALUE"""),187.29)</f>
        <v>187.29</v>
      </c>
      <c r="D2332" s="1">
        <f ca="1">IFERROR(__xludf.DUMMYFUNCTION("""COMPUTED_VALUE"""),184.81)</f>
        <v>184.81</v>
      </c>
      <c r="E2332" s="1">
        <f ca="1">IFERROR(__xludf.DUMMYFUNCTION("""COMPUTED_VALUE"""),185.19)</f>
        <v>185.19</v>
      </c>
      <c r="F2332" s="1">
        <f ca="1">IFERROR(__xludf.DUMMYFUNCTION("""COMPUTED_VALUE"""),39221282)</f>
        <v>39221282</v>
      </c>
    </row>
    <row r="2333" spans="1:6" x14ac:dyDescent="0.35">
      <c r="A2333" s="2">
        <f ca="1">IFERROR(__xludf.DUMMYFUNCTION("""COMPUTED_VALUE"""),45391.6666666666)</f>
        <v>45391.666666666599</v>
      </c>
      <c r="B2333" s="1">
        <f ca="1">IFERROR(__xludf.DUMMYFUNCTION("""COMPUTED_VALUE"""),187.24)</f>
        <v>187.24</v>
      </c>
      <c r="C2333" s="1">
        <f ca="1">IFERROR(__xludf.DUMMYFUNCTION("""COMPUTED_VALUE"""),187.34)</f>
        <v>187.34</v>
      </c>
      <c r="D2333" s="1">
        <f ca="1">IFERROR(__xludf.DUMMYFUNCTION("""COMPUTED_VALUE"""),184.2)</f>
        <v>184.2</v>
      </c>
      <c r="E2333" s="1">
        <f ca="1">IFERROR(__xludf.DUMMYFUNCTION("""COMPUTED_VALUE"""),185.67)</f>
        <v>185.67</v>
      </c>
      <c r="F2333" s="1">
        <f ca="1">IFERROR(__xludf.DUMMYFUNCTION("""COMPUTED_VALUE"""),36546946)</f>
        <v>36546946</v>
      </c>
    </row>
    <row r="2334" spans="1:6" x14ac:dyDescent="0.35">
      <c r="A2334" s="2">
        <f ca="1">IFERROR(__xludf.DUMMYFUNCTION("""COMPUTED_VALUE"""),45392.6666666666)</f>
        <v>45392.666666666599</v>
      </c>
      <c r="B2334" s="1">
        <f ca="1">IFERROR(__xludf.DUMMYFUNCTION("""COMPUTED_VALUE"""),182.77)</f>
        <v>182.77</v>
      </c>
      <c r="C2334" s="1">
        <f ca="1">IFERROR(__xludf.DUMMYFUNCTION("""COMPUTED_VALUE"""),186.27)</f>
        <v>186.27</v>
      </c>
      <c r="D2334" s="1">
        <f ca="1">IFERROR(__xludf.DUMMYFUNCTION("""COMPUTED_VALUE"""),182.67)</f>
        <v>182.67</v>
      </c>
      <c r="E2334" s="1">
        <f ca="1">IFERROR(__xludf.DUMMYFUNCTION("""COMPUTED_VALUE"""),185.95)</f>
        <v>185.95</v>
      </c>
      <c r="F2334" s="1">
        <f ca="1">IFERROR(__xludf.DUMMYFUNCTION("""COMPUTED_VALUE"""),35879151)</f>
        <v>35879151</v>
      </c>
    </row>
    <row r="2335" spans="1:6" x14ac:dyDescent="0.35">
      <c r="A2335" s="2">
        <f ca="1">IFERROR(__xludf.DUMMYFUNCTION("""COMPUTED_VALUE"""),45393.6666666666)</f>
        <v>45393.666666666599</v>
      </c>
      <c r="B2335" s="1">
        <f ca="1">IFERROR(__xludf.DUMMYFUNCTION("""COMPUTED_VALUE"""),186.74)</f>
        <v>186.74</v>
      </c>
      <c r="C2335" s="1">
        <f ca="1">IFERROR(__xludf.DUMMYFUNCTION("""COMPUTED_VALUE"""),189.77)</f>
        <v>189.77</v>
      </c>
      <c r="D2335" s="1">
        <f ca="1">IFERROR(__xludf.DUMMYFUNCTION("""COMPUTED_VALUE"""),185.51)</f>
        <v>185.51</v>
      </c>
      <c r="E2335" s="1">
        <f ca="1">IFERROR(__xludf.DUMMYFUNCTION("""COMPUTED_VALUE"""),189.05)</f>
        <v>189.05</v>
      </c>
      <c r="F2335" s="1">
        <f ca="1">IFERROR(__xludf.DUMMYFUNCTION("""COMPUTED_VALUE"""),40020742)</f>
        <v>40020742</v>
      </c>
    </row>
    <row r="2336" spans="1:6" x14ac:dyDescent="0.35">
      <c r="A2336" s="2">
        <f ca="1">IFERROR(__xludf.DUMMYFUNCTION("""COMPUTED_VALUE"""),45394.6666666666)</f>
        <v>45394.666666666599</v>
      </c>
      <c r="B2336" s="1">
        <f ca="1">IFERROR(__xludf.DUMMYFUNCTION("""COMPUTED_VALUE"""),187.72)</f>
        <v>187.72</v>
      </c>
      <c r="C2336" s="1">
        <f ca="1">IFERROR(__xludf.DUMMYFUNCTION("""COMPUTED_VALUE"""),188.38)</f>
        <v>188.38</v>
      </c>
      <c r="D2336" s="1">
        <f ca="1">IFERROR(__xludf.DUMMYFUNCTION("""COMPUTED_VALUE"""),185.08)</f>
        <v>185.08</v>
      </c>
      <c r="E2336" s="1">
        <f ca="1">IFERROR(__xludf.DUMMYFUNCTION("""COMPUTED_VALUE"""),186.13)</f>
        <v>186.13</v>
      </c>
      <c r="F2336" s="1">
        <f ca="1">IFERROR(__xludf.DUMMYFUNCTION("""COMPUTED_VALUE"""),38608849)</f>
        <v>38608849</v>
      </c>
    </row>
    <row r="2337" spans="1:6" x14ac:dyDescent="0.35">
      <c r="A2337" s="2">
        <f ca="1">IFERROR(__xludf.DUMMYFUNCTION("""COMPUTED_VALUE"""),45397.6666666666)</f>
        <v>45397.666666666599</v>
      </c>
      <c r="B2337" s="1">
        <f ca="1">IFERROR(__xludf.DUMMYFUNCTION("""COMPUTED_VALUE"""),187.43)</f>
        <v>187.43</v>
      </c>
      <c r="C2337" s="1">
        <f ca="1">IFERROR(__xludf.DUMMYFUNCTION("""COMPUTED_VALUE"""),188.69)</f>
        <v>188.69</v>
      </c>
      <c r="D2337" s="1">
        <f ca="1">IFERROR(__xludf.DUMMYFUNCTION("""COMPUTED_VALUE"""),183)</f>
        <v>183</v>
      </c>
      <c r="E2337" s="1">
        <f ca="1">IFERROR(__xludf.DUMMYFUNCTION("""COMPUTED_VALUE"""),183.62)</f>
        <v>183.62</v>
      </c>
      <c r="F2337" s="1">
        <f ca="1">IFERROR(__xludf.DUMMYFUNCTION("""COMPUTED_VALUE"""),48052395)</f>
        <v>48052395</v>
      </c>
    </row>
    <row r="2338" spans="1:6" x14ac:dyDescent="0.35">
      <c r="A2338" s="2">
        <f ca="1">IFERROR(__xludf.DUMMYFUNCTION("""COMPUTED_VALUE"""),45398.6666666666)</f>
        <v>45398.666666666599</v>
      </c>
      <c r="B2338" s="1">
        <f ca="1">IFERROR(__xludf.DUMMYFUNCTION("""COMPUTED_VALUE"""),183.27)</f>
        <v>183.27</v>
      </c>
      <c r="C2338" s="1">
        <f ca="1">IFERROR(__xludf.DUMMYFUNCTION("""COMPUTED_VALUE"""),184.83)</f>
        <v>184.83</v>
      </c>
      <c r="D2338" s="1">
        <f ca="1">IFERROR(__xludf.DUMMYFUNCTION("""COMPUTED_VALUE"""),182.26)</f>
        <v>182.26</v>
      </c>
      <c r="E2338" s="1">
        <f ca="1">IFERROR(__xludf.DUMMYFUNCTION("""COMPUTED_VALUE"""),183.32)</f>
        <v>183.32</v>
      </c>
      <c r="F2338" s="1">
        <f ca="1">IFERROR(__xludf.DUMMYFUNCTION("""COMPUTED_VALUE"""),32891265)</f>
        <v>32891265</v>
      </c>
    </row>
    <row r="2339" spans="1:6" x14ac:dyDescent="0.35">
      <c r="A2339" s="2">
        <f ca="1">IFERROR(__xludf.DUMMYFUNCTION("""COMPUTED_VALUE"""),45399.6666666666)</f>
        <v>45399.666666666599</v>
      </c>
      <c r="B2339" s="1">
        <f ca="1">IFERROR(__xludf.DUMMYFUNCTION("""COMPUTED_VALUE"""),184.31)</f>
        <v>184.31</v>
      </c>
      <c r="C2339" s="1">
        <f ca="1">IFERROR(__xludf.DUMMYFUNCTION("""COMPUTED_VALUE"""),184.57)</f>
        <v>184.57</v>
      </c>
      <c r="D2339" s="1">
        <f ca="1">IFERROR(__xludf.DUMMYFUNCTION("""COMPUTED_VALUE"""),179.82)</f>
        <v>179.82</v>
      </c>
      <c r="E2339" s="1">
        <f ca="1">IFERROR(__xludf.DUMMYFUNCTION("""COMPUTED_VALUE"""),181.28)</f>
        <v>181.28</v>
      </c>
      <c r="F2339" s="1">
        <f ca="1">IFERROR(__xludf.DUMMYFUNCTION("""COMPUTED_VALUE"""),31359673)</f>
        <v>31359673</v>
      </c>
    </row>
    <row r="2340" spans="1:6" x14ac:dyDescent="0.35">
      <c r="A2340" s="2">
        <f ca="1">IFERROR(__xludf.DUMMYFUNCTION("""COMPUTED_VALUE"""),45400.6666666666)</f>
        <v>45400.666666666599</v>
      </c>
      <c r="B2340" s="1">
        <f ca="1">IFERROR(__xludf.DUMMYFUNCTION("""COMPUTED_VALUE"""),181.47)</f>
        <v>181.47</v>
      </c>
      <c r="C2340" s="1">
        <f ca="1">IFERROR(__xludf.DUMMYFUNCTION("""COMPUTED_VALUE"""),182.39)</f>
        <v>182.39</v>
      </c>
      <c r="D2340" s="1">
        <f ca="1">IFERROR(__xludf.DUMMYFUNCTION("""COMPUTED_VALUE"""),178.65)</f>
        <v>178.65</v>
      </c>
      <c r="E2340" s="1">
        <f ca="1">IFERROR(__xludf.DUMMYFUNCTION("""COMPUTED_VALUE"""),179.22)</f>
        <v>179.22</v>
      </c>
      <c r="F2340" s="1">
        <f ca="1">IFERROR(__xludf.DUMMYFUNCTION("""COMPUTED_VALUE"""),30723793)</f>
        <v>30723793</v>
      </c>
    </row>
    <row r="2341" spans="1:6" x14ac:dyDescent="0.35">
      <c r="A2341" s="2">
        <f ca="1">IFERROR(__xludf.DUMMYFUNCTION("""COMPUTED_VALUE"""),45401.6666666666)</f>
        <v>45401.666666666599</v>
      </c>
      <c r="B2341" s="1">
        <f ca="1">IFERROR(__xludf.DUMMYFUNCTION("""COMPUTED_VALUE"""),178.74)</f>
        <v>178.74</v>
      </c>
      <c r="C2341" s="1">
        <f ca="1">IFERROR(__xludf.DUMMYFUNCTION("""COMPUTED_VALUE"""),179)</f>
        <v>179</v>
      </c>
      <c r="D2341" s="1">
        <f ca="1">IFERROR(__xludf.DUMMYFUNCTION("""COMPUTED_VALUE"""),173.44)</f>
        <v>173.44</v>
      </c>
      <c r="E2341" s="1">
        <f ca="1">IFERROR(__xludf.DUMMYFUNCTION("""COMPUTED_VALUE"""),174.63)</f>
        <v>174.63</v>
      </c>
      <c r="F2341" s="1">
        <f ca="1">IFERROR(__xludf.DUMMYFUNCTION("""COMPUTED_VALUE"""),56000729)</f>
        <v>56000729</v>
      </c>
    </row>
    <row r="2342" spans="1:6" x14ac:dyDescent="0.35">
      <c r="A2342" s="2">
        <f ca="1">IFERROR(__xludf.DUMMYFUNCTION("""COMPUTED_VALUE"""),45404.6666666666)</f>
        <v>45404.666666666599</v>
      </c>
      <c r="B2342" s="1">
        <f ca="1">IFERROR(__xludf.DUMMYFUNCTION("""COMPUTED_VALUE"""),176.94)</f>
        <v>176.94</v>
      </c>
      <c r="C2342" s="1">
        <f ca="1">IFERROR(__xludf.DUMMYFUNCTION("""COMPUTED_VALUE"""),178.87)</f>
        <v>178.87</v>
      </c>
      <c r="D2342" s="1">
        <f ca="1">IFERROR(__xludf.DUMMYFUNCTION("""COMPUTED_VALUE"""),174.56)</f>
        <v>174.56</v>
      </c>
      <c r="E2342" s="1">
        <f ca="1">IFERROR(__xludf.DUMMYFUNCTION("""COMPUTED_VALUE"""),177.23)</f>
        <v>177.23</v>
      </c>
      <c r="F2342" s="1">
        <f ca="1">IFERROR(__xludf.DUMMYFUNCTION("""COMPUTED_VALUE"""),37924890)</f>
        <v>37924890</v>
      </c>
    </row>
    <row r="2343" spans="1:6" x14ac:dyDescent="0.35">
      <c r="A2343" s="2">
        <f ca="1">IFERROR(__xludf.DUMMYFUNCTION("""COMPUTED_VALUE"""),45405.6666666666)</f>
        <v>45405.666666666599</v>
      </c>
      <c r="B2343" s="1">
        <f ca="1">IFERROR(__xludf.DUMMYFUNCTION("""COMPUTED_VALUE"""),178.08)</f>
        <v>178.08</v>
      </c>
      <c r="C2343" s="1">
        <f ca="1">IFERROR(__xludf.DUMMYFUNCTION("""COMPUTED_VALUE"""),179.93)</f>
        <v>179.93</v>
      </c>
      <c r="D2343" s="1">
        <f ca="1">IFERROR(__xludf.DUMMYFUNCTION("""COMPUTED_VALUE"""),175.98)</f>
        <v>175.98</v>
      </c>
      <c r="E2343" s="1">
        <f ca="1">IFERROR(__xludf.DUMMYFUNCTION("""COMPUTED_VALUE"""),179.54)</f>
        <v>179.54</v>
      </c>
      <c r="F2343" s="1">
        <f ca="1">IFERROR(__xludf.DUMMYFUNCTION("""COMPUTED_VALUE"""),37046519)</f>
        <v>37046519</v>
      </c>
    </row>
    <row r="2344" spans="1:6" x14ac:dyDescent="0.35">
      <c r="A2344" s="2">
        <f ca="1">IFERROR(__xludf.DUMMYFUNCTION("""COMPUTED_VALUE"""),45406.6666666666)</f>
        <v>45406.666666666599</v>
      </c>
      <c r="B2344" s="1">
        <f ca="1">IFERROR(__xludf.DUMMYFUNCTION("""COMPUTED_VALUE"""),179.94)</f>
        <v>179.94</v>
      </c>
      <c r="C2344" s="1">
        <f ca="1">IFERROR(__xludf.DUMMYFUNCTION("""COMPUTED_VALUE"""),180.32)</f>
        <v>180.32</v>
      </c>
      <c r="D2344" s="1">
        <f ca="1">IFERROR(__xludf.DUMMYFUNCTION("""COMPUTED_VALUE"""),176.18)</f>
        <v>176.18</v>
      </c>
      <c r="E2344" s="1">
        <f ca="1">IFERROR(__xludf.DUMMYFUNCTION("""COMPUTED_VALUE"""),176.59)</f>
        <v>176.59</v>
      </c>
      <c r="F2344" s="1">
        <f ca="1">IFERROR(__xludf.DUMMYFUNCTION("""COMPUTED_VALUE"""),34185109)</f>
        <v>34185109</v>
      </c>
    </row>
    <row r="2345" spans="1:6" x14ac:dyDescent="0.35">
      <c r="A2345" s="2">
        <f ca="1">IFERROR(__xludf.DUMMYFUNCTION("""COMPUTED_VALUE"""),45407.6666666666)</f>
        <v>45407.666666666599</v>
      </c>
      <c r="B2345" s="1">
        <f ca="1">IFERROR(__xludf.DUMMYFUNCTION("""COMPUTED_VALUE"""),169.68)</f>
        <v>169.68</v>
      </c>
      <c r="C2345" s="1">
        <f ca="1">IFERROR(__xludf.DUMMYFUNCTION("""COMPUTED_VALUE"""),173.92)</f>
        <v>173.92</v>
      </c>
      <c r="D2345" s="1">
        <f ca="1">IFERROR(__xludf.DUMMYFUNCTION("""COMPUTED_VALUE"""),166.32)</f>
        <v>166.32</v>
      </c>
      <c r="E2345" s="1">
        <f ca="1">IFERROR(__xludf.DUMMYFUNCTION("""COMPUTED_VALUE"""),173.67)</f>
        <v>173.67</v>
      </c>
      <c r="F2345" s="1">
        <f ca="1">IFERROR(__xludf.DUMMYFUNCTION("""COMPUTED_VALUE"""),49249390)</f>
        <v>49249390</v>
      </c>
    </row>
    <row r="2346" spans="1:6" x14ac:dyDescent="0.35">
      <c r="A2346" s="2">
        <f ca="1">IFERROR(__xludf.DUMMYFUNCTION("""COMPUTED_VALUE"""),45408.6666666666)</f>
        <v>45408.666666666599</v>
      </c>
      <c r="B2346" s="1">
        <f ca="1">IFERROR(__xludf.DUMMYFUNCTION("""COMPUTED_VALUE"""),177.8)</f>
        <v>177.8</v>
      </c>
      <c r="C2346" s="1">
        <f ca="1">IFERROR(__xludf.DUMMYFUNCTION("""COMPUTED_VALUE"""),180.82)</f>
        <v>180.82</v>
      </c>
      <c r="D2346" s="1">
        <f ca="1">IFERROR(__xludf.DUMMYFUNCTION("""COMPUTED_VALUE"""),176.13)</f>
        <v>176.13</v>
      </c>
      <c r="E2346" s="1">
        <f ca="1">IFERROR(__xludf.DUMMYFUNCTION("""COMPUTED_VALUE"""),179.62)</f>
        <v>179.62</v>
      </c>
      <c r="F2346" s="1">
        <f ca="1">IFERROR(__xludf.DUMMYFUNCTION("""COMPUTED_VALUE"""),43919765)</f>
        <v>43919765</v>
      </c>
    </row>
    <row r="2347" spans="1:6" x14ac:dyDescent="0.35">
      <c r="A2347" s="2">
        <f ca="1">IFERROR(__xludf.DUMMYFUNCTION("""COMPUTED_VALUE"""),45411.6666666666)</f>
        <v>45411.666666666599</v>
      </c>
      <c r="B2347" s="1">
        <f ca="1">IFERROR(__xludf.DUMMYFUNCTION("""COMPUTED_VALUE"""),182.75)</f>
        <v>182.75</v>
      </c>
      <c r="C2347" s="1">
        <f ca="1">IFERROR(__xludf.DUMMYFUNCTION("""COMPUTED_VALUE"""),183.53)</f>
        <v>183.53</v>
      </c>
      <c r="D2347" s="1">
        <f ca="1">IFERROR(__xludf.DUMMYFUNCTION("""COMPUTED_VALUE"""),179.39)</f>
        <v>179.39</v>
      </c>
      <c r="E2347" s="1">
        <f ca="1">IFERROR(__xludf.DUMMYFUNCTION("""COMPUTED_VALUE"""),180.96)</f>
        <v>180.96</v>
      </c>
      <c r="F2347" s="1">
        <f ca="1">IFERROR(__xludf.DUMMYFUNCTION("""COMPUTED_VALUE"""),54063937)</f>
        <v>54063937</v>
      </c>
    </row>
    <row r="2348" spans="1:6" x14ac:dyDescent="0.35">
      <c r="A2348" s="2">
        <f ca="1">IFERROR(__xludf.DUMMYFUNCTION("""COMPUTED_VALUE"""),45412.6666666666)</f>
        <v>45412.666666666599</v>
      </c>
      <c r="B2348" s="1">
        <f ca="1">IFERROR(__xludf.DUMMYFUNCTION("""COMPUTED_VALUE"""),181.09)</f>
        <v>181.09</v>
      </c>
      <c r="C2348" s="1">
        <f ca="1">IFERROR(__xludf.DUMMYFUNCTION("""COMPUTED_VALUE"""),182.99)</f>
        <v>182.99</v>
      </c>
      <c r="D2348" s="1">
        <f ca="1">IFERROR(__xludf.DUMMYFUNCTION("""COMPUTED_VALUE"""),174.8)</f>
        <v>174.8</v>
      </c>
      <c r="E2348" s="1">
        <f ca="1">IFERROR(__xludf.DUMMYFUNCTION("""COMPUTED_VALUE"""),175)</f>
        <v>175</v>
      </c>
      <c r="F2348" s="1">
        <f ca="1">IFERROR(__xludf.DUMMYFUNCTION("""COMPUTED_VALUE"""),94639786)</f>
        <v>94639786</v>
      </c>
    </row>
    <row r="2349" spans="1:6" x14ac:dyDescent="0.35">
      <c r="A2349" s="2">
        <f ca="1">IFERROR(__xludf.DUMMYFUNCTION("""COMPUTED_VALUE"""),45413.6666666666)</f>
        <v>45413.666666666599</v>
      </c>
      <c r="B2349" s="1">
        <f ca="1">IFERROR(__xludf.DUMMYFUNCTION("""COMPUTED_VALUE"""),181.64)</f>
        <v>181.64</v>
      </c>
      <c r="C2349" s="1">
        <f ca="1">IFERROR(__xludf.DUMMYFUNCTION("""COMPUTED_VALUE"""),185.15)</f>
        <v>185.15</v>
      </c>
      <c r="D2349" s="1">
        <f ca="1">IFERROR(__xludf.DUMMYFUNCTION("""COMPUTED_VALUE"""),176.56)</f>
        <v>176.56</v>
      </c>
      <c r="E2349" s="1">
        <f ca="1">IFERROR(__xludf.DUMMYFUNCTION("""COMPUTED_VALUE"""),179)</f>
        <v>179</v>
      </c>
      <c r="F2349" s="1">
        <f ca="1">IFERROR(__xludf.DUMMYFUNCTION("""COMPUTED_VALUE"""),94645148)</f>
        <v>94645148</v>
      </c>
    </row>
    <row r="2350" spans="1:6" x14ac:dyDescent="0.35">
      <c r="A2350" s="2">
        <f ca="1">IFERROR(__xludf.DUMMYFUNCTION("""COMPUTED_VALUE"""),45414.6666666666)</f>
        <v>45414.666666666599</v>
      </c>
      <c r="B2350" s="1">
        <f ca="1">IFERROR(__xludf.DUMMYFUNCTION("""COMPUTED_VALUE"""),180.85)</f>
        <v>180.85</v>
      </c>
      <c r="C2350" s="1">
        <f ca="1">IFERROR(__xludf.DUMMYFUNCTION("""COMPUTED_VALUE"""),185.1)</f>
        <v>185.1</v>
      </c>
      <c r="D2350" s="1">
        <f ca="1">IFERROR(__xludf.DUMMYFUNCTION("""COMPUTED_VALUE"""),179.91)</f>
        <v>179.91</v>
      </c>
      <c r="E2350" s="1">
        <f ca="1">IFERROR(__xludf.DUMMYFUNCTION("""COMPUTED_VALUE"""),184.72)</f>
        <v>184.72</v>
      </c>
      <c r="F2350" s="1">
        <f ca="1">IFERROR(__xludf.DUMMYFUNCTION("""COMPUTED_VALUE"""),54303510)</f>
        <v>54303510</v>
      </c>
    </row>
    <row r="2351" spans="1:6" x14ac:dyDescent="0.35">
      <c r="A2351" s="2">
        <f ca="1">IFERROR(__xludf.DUMMYFUNCTION("""COMPUTED_VALUE"""),45415.6666666666)</f>
        <v>45415.666666666599</v>
      </c>
      <c r="B2351" s="1">
        <f ca="1">IFERROR(__xludf.DUMMYFUNCTION("""COMPUTED_VALUE"""),186.99)</f>
        <v>186.99</v>
      </c>
      <c r="C2351" s="1">
        <f ca="1">IFERROR(__xludf.DUMMYFUNCTION("""COMPUTED_VALUE"""),187.87)</f>
        <v>187.87</v>
      </c>
      <c r="D2351" s="1">
        <f ca="1">IFERROR(__xludf.DUMMYFUNCTION("""COMPUTED_VALUE"""),185.42)</f>
        <v>185.42</v>
      </c>
      <c r="E2351" s="1">
        <f ca="1">IFERROR(__xludf.DUMMYFUNCTION("""COMPUTED_VALUE"""),186.21)</f>
        <v>186.21</v>
      </c>
      <c r="F2351" s="1">
        <f ca="1">IFERROR(__xludf.DUMMYFUNCTION("""COMPUTED_VALUE"""),39172004)</f>
        <v>39172004</v>
      </c>
    </row>
    <row r="2352" spans="1:6" x14ac:dyDescent="0.35">
      <c r="A2352" s="2">
        <f ca="1">IFERROR(__xludf.DUMMYFUNCTION("""COMPUTED_VALUE"""),45418.6666666666)</f>
        <v>45418.666666666599</v>
      </c>
      <c r="B2352" s="1">
        <f ca="1">IFERROR(__xludf.DUMMYFUNCTION("""COMPUTED_VALUE"""),186.28)</f>
        <v>186.28</v>
      </c>
      <c r="C2352" s="1">
        <f ca="1">IFERROR(__xludf.DUMMYFUNCTION("""COMPUTED_VALUE"""),188.75)</f>
        <v>188.75</v>
      </c>
      <c r="D2352" s="1">
        <f ca="1">IFERROR(__xludf.DUMMYFUNCTION("""COMPUTED_VALUE"""),184.8)</f>
        <v>184.8</v>
      </c>
      <c r="E2352" s="1">
        <f ca="1">IFERROR(__xludf.DUMMYFUNCTION("""COMPUTED_VALUE"""),188.7)</f>
        <v>188.7</v>
      </c>
      <c r="F2352" s="1">
        <f ca="1">IFERROR(__xludf.DUMMYFUNCTION("""COMPUTED_VALUE"""),34725295)</f>
        <v>34725295</v>
      </c>
    </row>
    <row r="2353" spans="1:6" x14ac:dyDescent="0.35">
      <c r="A2353" s="2">
        <f ca="1">IFERROR(__xludf.DUMMYFUNCTION("""COMPUTED_VALUE"""),45419.6666666666)</f>
        <v>45419.666666666599</v>
      </c>
      <c r="B2353" s="1">
        <f ca="1">IFERROR(__xludf.DUMMYFUNCTION("""COMPUTED_VALUE"""),188.92)</f>
        <v>188.92</v>
      </c>
      <c r="C2353" s="1">
        <f ca="1">IFERROR(__xludf.DUMMYFUNCTION("""COMPUTED_VALUE"""),189.94)</f>
        <v>189.94</v>
      </c>
      <c r="D2353" s="1">
        <f ca="1">IFERROR(__xludf.DUMMYFUNCTION("""COMPUTED_VALUE"""),187.31)</f>
        <v>187.31</v>
      </c>
      <c r="E2353" s="1">
        <f ca="1">IFERROR(__xludf.DUMMYFUNCTION("""COMPUTED_VALUE"""),188.76)</f>
        <v>188.76</v>
      </c>
      <c r="F2353" s="1">
        <f ca="1">IFERROR(__xludf.DUMMYFUNCTION("""COMPUTED_VALUE"""),34048902)</f>
        <v>34048902</v>
      </c>
    </row>
    <row r="2354" spans="1:6" x14ac:dyDescent="0.35">
      <c r="A2354" s="2">
        <f ca="1">IFERROR(__xludf.DUMMYFUNCTION("""COMPUTED_VALUE"""),45420.6666666666)</f>
        <v>45420.666666666599</v>
      </c>
      <c r="B2354" s="1">
        <f ca="1">IFERROR(__xludf.DUMMYFUNCTION("""COMPUTED_VALUE"""),187.44)</f>
        <v>187.44</v>
      </c>
      <c r="C2354" s="1">
        <f ca="1">IFERROR(__xludf.DUMMYFUNCTION("""COMPUTED_VALUE"""),188.43)</f>
        <v>188.43</v>
      </c>
      <c r="D2354" s="1">
        <f ca="1">IFERROR(__xludf.DUMMYFUNCTION("""COMPUTED_VALUE"""),186.39)</f>
        <v>186.39</v>
      </c>
      <c r="E2354" s="1">
        <f ca="1">IFERROR(__xludf.DUMMYFUNCTION("""COMPUTED_VALUE"""),188)</f>
        <v>188</v>
      </c>
      <c r="F2354" s="1">
        <f ca="1">IFERROR(__xludf.DUMMYFUNCTION("""COMPUTED_VALUE"""),26136350)</f>
        <v>26136350</v>
      </c>
    </row>
    <row r="2355" spans="1:6" x14ac:dyDescent="0.35">
      <c r="A2355" s="2">
        <f ca="1">IFERROR(__xludf.DUMMYFUNCTION("""COMPUTED_VALUE"""),45421.6666666666)</f>
        <v>45421.666666666599</v>
      </c>
      <c r="B2355" s="1">
        <f ca="1">IFERROR(__xludf.DUMMYFUNCTION("""COMPUTED_VALUE"""),188.88)</f>
        <v>188.88</v>
      </c>
      <c r="C2355" s="1">
        <f ca="1">IFERROR(__xludf.DUMMYFUNCTION("""COMPUTED_VALUE"""),191.7)</f>
        <v>191.7</v>
      </c>
      <c r="D2355" s="1">
        <f ca="1">IFERROR(__xludf.DUMMYFUNCTION("""COMPUTED_VALUE"""),187.44)</f>
        <v>187.44</v>
      </c>
      <c r="E2355" s="1">
        <f ca="1">IFERROR(__xludf.DUMMYFUNCTION("""COMPUTED_VALUE"""),189.5)</f>
        <v>189.5</v>
      </c>
      <c r="F2355" s="1">
        <f ca="1">IFERROR(__xludf.DUMMYFUNCTION("""COMPUTED_VALUE"""),43368377)</f>
        <v>43368377</v>
      </c>
    </row>
    <row r="2356" spans="1:6" x14ac:dyDescent="0.35">
      <c r="A2356" s="2">
        <f ca="1">IFERROR(__xludf.DUMMYFUNCTION("""COMPUTED_VALUE"""),45422.6666666666)</f>
        <v>45422.666666666599</v>
      </c>
      <c r="B2356" s="1">
        <f ca="1">IFERROR(__xludf.DUMMYFUNCTION("""COMPUTED_VALUE"""),189.16)</f>
        <v>189.16</v>
      </c>
      <c r="C2356" s="1">
        <f ca="1">IFERROR(__xludf.DUMMYFUNCTION("""COMPUTED_VALUE"""),189.89)</f>
        <v>189.89</v>
      </c>
      <c r="D2356" s="1">
        <f ca="1">IFERROR(__xludf.DUMMYFUNCTION("""COMPUTED_VALUE"""),186.93)</f>
        <v>186.93</v>
      </c>
      <c r="E2356" s="1">
        <f ca="1">IFERROR(__xludf.DUMMYFUNCTION("""COMPUTED_VALUE"""),187.48)</f>
        <v>187.48</v>
      </c>
      <c r="F2356" s="1">
        <f ca="1">IFERROR(__xludf.DUMMYFUNCTION("""COMPUTED_VALUE"""),34141771)</f>
        <v>34141771</v>
      </c>
    </row>
    <row r="2357" spans="1:6" x14ac:dyDescent="0.35">
      <c r="A2357" s="2">
        <f ca="1">IFERROR(__xludf.DUMMYFUNCTION("""COMPUTED_VALUE"""),45425.6666666666)</f>
        <v>45425.666666666599</v>
      </c>
      <c r="B2357" s="1">
        <f ca="1">IFERROR(__xludf.DUMMYFUNCTION("""COMPUTED_VALUE"""),188)</f>
        <v>188</v>
      </c>
      <c r="C2357" s="1">
        <f ca="1">IFERROR(__xludf.DUMMYFUNCTION("""COMPUTED_VALUE"""),188.31)</f>
        <v>188.31</v>
      </c>
      <c r="D2357" s="1">
        <f ca="1">IFERROR(__xludf.DUMMYFUNCTION("""COMPUTED_VALUE"""),185.36)</f>
        <v>185.36</v>
      </c>
      <c r="E2357" s="1">
        <f ca="1">IFERROR(__xludf.DUMMYFUNCTION("""COMPUTED_VALUE"""),186.57)</f>
        <v>186.57</v>
      </c>
      <c r="F2357" s="1">
        <f ca="1">IFERROR(__xludf.DUMMYFUNCTION("""COMPUTED_VALUE"""),24898613)</f>
        <v>24898613</v>
      </c>
    </row>
    <row r="2358" spans="1:6" x14ac:dyDescent="0.35">
      <c r="A2358" s="2">
        <f ca="1">IFERROR(__xludf.DUMMYFUNCTION("""COMPUTED_VALUE"""),45426.6666666666)</f>
        <v>45426.666666666599</v>
      </c>
      <c r="B2358" s="1">
        <f ca="1">IFERROR(__xludf.DUMMYFUNCTION("""COMPUTED_VALUE"""),183.82)</f>
        <v>183.82</v>
      </c>
      <c r="C2358" s="1">
        <f ca="1">IFERROR(__xludf.DUMMYFUNCTION("""COMPUTED_VALUE"""),187.72)</f>
        <v>187.72</v>
      </c>
      <c r="D2358" s="1">
        <f ca="1">IFERROR(__xludf.DUMMYFUNCTION("""COMPUTED_VALUE"""),183.45)</f>
        <v>183.45</v>
      </c>
      <c r="E2358" s="1">
        <f ca="1">IFERROR(__xludf.DUMMYFUNCTION("""COMPUTED_VALUE"""),187.07)</f>
        <v>187.07</v>
      </c>
      <c r="F2358" s="1">
        <f ca="1">IFERROR(__xludf.DUMMYFUNCTION("""COMPUTED_VALUE"""),38698155)</f>
        <v>38698155</v>
      </c>
    </row>
    <row r="2359" spans="1:6" x14ac:dyDescent="0.35">
      <c r="A2359" s="2">
        <f ca="1">IFERROR(__xludf.DUMMYFUNCTION("""COMPUTED_VALUE"""),45427.6666666666)</f>
        <v>45427.666666666599</v>
      </c>
      <c r="B2359" s="1">
        <f ca="1">IFERROR(__xludf.DUMMYFUNCTION("""COMPUTED_VALUE"""),185.97)</f>
        <v>185.97</v>
      </c>
      <c r="C2359" s="1">
        <f ca="1">IFERROR(__xludf.DUMMYFUNCTION("""COMPUTED_VALUE"""),186.72)</f>
        <v>186.72</v>
      </c>
      <c r="D2359" s="1">
        <f ca="1">IFERROR(__xludf.DUMMYFUNCTION("""COMPUTED_VALUE"""),182.73)</f>
        <v>182.73</v>
      </c>
      <c r="E2359" s="1">
        <f ca="1">IFERROR(__xludf.DUMMYFUNCTION("""COMPUTED_VALUE"""),185.99)</f>
        <v>185.99</v>
      </c>
      <c r="F2359" s="1">
        <f ca="1">IFERROR(__xludf.DUMMYFUNCTION("""COMPUTED_VALUE"""),75459927)</f>
        <v>75459927</v>
      </c>
    </row>
    <row r="2360" spans="1:6" x14ac:dyDescent="0.35">
      <c r="A2360" s="2">
        <f ca="1">IFERROR(__xludf.DUMMYFUNCTION("""COMPUTED_VALUE"""),45428.6666666666)</f>
        <v>45428.666666666599</v>
      </c>
      <c r="B2360" s="1">
        <f ca="1">IFERROR(__xludf.DUMMYFUNCTION("""COMPUTED_VALUE"""),185.6)</f>
        <v>185.6</v>
      </c>
      <c r="C2360" s="1">
        <f ca="1">IFERROR(__xludf.DUMMYFUNCTION("""COMPUTED_VALUE"""),187.31)</f>
        <v>187.31</v>
      </c>
      <c r="D2360" s="1">
        <f ca="1">IFERROR(__xludf.DUMMYFUNCTION("""COMPUTED_VALUE"""),183.46)</f>
        <v>183.46</v>
      </c>
      <c r="E2360" s="1">
        <f ca="1">IFERROR(__xludf.DUMMYFUNCTION("""COMPUTED_VALUE"""),183.63)</f>
        <v>183.63</v>
      </c>
      <c r="F2360" s="1">
        <f ca="1">IFERROR(__xludf.DUMMYFUNCTION("""COMPUTED_VALUE"""),38834450)</f>
        <v>38834450</v>
      </c>
    </row>
    <row r="2361" spans="1:6" x14ac:dyDescent="0.35">
      <c r="A2361" s="2">
        <f ca="1">IFERROR(__xludf.DUMMYFUNCTION("""COMPUTED_VALUE"""),45429.6666666666)</f>
        <v>45429.666666666599</v>
      </c>
      <c r="B2361" s="1">
        <f ca="1">IFERROR(__xludf.DUMMYFUNCTION("""COMPUTED_VALUE"""),183.76)</f>
        <v>183.76</v>
      </c>
      <c r="C2361" s="1">
        <f ca="1">IFERROR(__xludf.DUMMYFUNCTION("""COMPUTED_VALUE"""),185.3)</f>
        <v>185.3</v>
      </c>
      <c r="D2361" s="1">
        <f ca="1">IFERROR(__xludf.DUMMYFUNCTION("""COMPUTED_VALUE"""),183.35)</f>
        <v>183.35</v>
      </c>
      <c r="E2361" s="1">
        <f ca="1">IFERROR(__xludf.DUMMYFUNCTION("""COMPUTED_VALUE"""),184.7)</f>
        <v>184.7</v>
      </c>
      <c r="F2361" s="1">
        <f ca="1">IFERROR(__xludf.DUMMYFUNCTION("""COMPUTED_VALUE"""),33175655)</f>
        <v>33175655</v>
      </c>
    </row>
    <row r="2362" spans="1:6" x14ac:dyDescent="0.35">
      <c r="A2362" s="2">
        <f ca="1">IFERROR(__xludf.DUMMYFUNCTION("""COMPUTED_VALUE"""),45432.6666666666)</f>
        <v>45432.666666666599</v>
      </c>
      <c r="B2362" s="1">
        <f ca="1">IFERROR(__xludf.DUMMYFUNCTION("""COMPUTED_VALUE"""),184.34)</f>
        <v>184.34</v>
      </c>
      <c r="C2362" s="1">
        <f ca="1">IFERROR(__xludf.DUMMYFUNCTION("""COMPUTED_VALUE"""),186.67)</f>
        <v>186.67</v>
      </c>
      <c r="D2362" s="1">
        <f ca="1">IFERROR(__xludf.DUMMYFUNCTION("""COMPUTED_VALUE"""),183.28)</f>
        <v>183.28</v>
      </c>
      <c r="E2362" s="1">
        <f ca="1">IFERROR(__xludf.DUMMYFUNCTION("""COMPUTED_VALUE"""),183.54)</f>
        <v>183.54</v>
      </c>
      <c r="F2362" s="1">
        <f ca="1">IFERROR(__xludf.DUMMYFUNCTION("""COMPUTED_VALUE"""),30511768)</f>
        <v>30511768</v>
      </c>
    </row>
    <row r="2363" spans="1:6" x14ac:dyDescent="0.35">
      <c r="A2363" s="2">
        <f ca="1">IFERROR(__xludf.DUMMYFUNCTION("""COMPUTED_VALUE"""),45433.6666666666)</f>
        <v>45433.666666666599</v>
      </c>
      <c r="B2363" s="1">
        <f ca="1">IFERROR(__xludf.DUMMYFUNCTION("""COMPUTED_VALUE"""),182.3)</f>
        <v>182.3</v>
      </c>
      <c r="C2363" s="1">
        <f ca="1">IFERROR(__xludf.DUMMYFUNCTION("""COMPUTED_VALUE"""),183.26)</f>
        <v>183.26</v>
      </c>
      <c r="D2363" s="1">
        <f ca="1">IFERROR(__xludf.DUMMYFUNCTION("""COMPUTED_VALUE"""),180.75)</f>
        <v>180.75</v>
      </c>
      <c r="E2363" s="1">
        <f ca="1">IFERROR(__xludf.DUMMYFUNCTION("""COMPUTED_VALUE"""),183.15)</f>
        <v>183.15</v>
      </c>
      <c r="F2363" s="1">
        <f ca="1">IFERROR(__xludf.DUMMYFUNCTION("""COMPUTED_VALUE"""),50839129)</f>
        <v>50839129</v>
      </c>
    </row>
    <row r="2364" spans="1:6" x14ac:dyDescent="0.35">
      <c r="A2364" s="2">
        <f ca="1">IFERROR(__xludf.DUMMYFUNCTION("""COMPUTED_VALUE"""),45434.6666666666)</f>
        <v>45434.666666666599</v>
      </c>
      <c r="B2364" s="1">
        <f ca="1">IFERROR(__xludf.DUMMYFUNCTION("""COMPUTED_VALUE"""),183.88)</f>
        <v>183.88</v>
      </c>
      <c r="C2364" s="1">
        <f ca="1">IFERROR(__xludf.DUMMYFUNCTION("""COMPUTED_VALUE"""),185.22)</f>
        <v>185.22</v>
      </c>
      <c r="D2364" s="1">
        <f ca="1">IFERROR(__xludf.DUMMYFUNCTION("""COMPUTED_VALUE"""),181.97)</f>
        <v>181.97</v>
      </c>
      <c r="E2364" s="1">
        <f ca="1">IFERROR(__xludf.DUMMYFUNCTION("""COMPUTED_VALUE"""),183.13)</f>
        <v>183.13</v>
      </c>
      <c r="F2364" s="1">
        <f ca="1">IFERROR(__xludf.DUMMYFUNCTION("""COMPUTED_VALUE"""),28148784)</f>
        <v>28148784</v>
      </c>
    </row>
    <row r="2365" spans="1:6" x14ac:dyDescent="0.35">
      <c r="A2365" s="2">
        <f ca="1">IFERROR(__xludf.DUMMYFUNCTION("""COMPUTED_VALUE"""),45435.6666666666)</f>
        <v>45435.666666666599</v>
      </c>
      <c r="B2365" s="1">
        <f ca="1">IFERROR(__xludf.DUMMYFUNCTION("""COMPUTED_VALUE"""),183.66)</f>
        <v>183.66</v>
      </c>
      <c r="C2365" s="1">
        <f ca="1">IFERROR(__xludf.DUMMYFUNCTION("""COMPUTED_VALUE"""),184.76)</f>
        <v>184.76</v>
      </c>
      <c r="D2365" s="1">
        <f ca="1">IFERROR(__xludf.DUMMYFUNCTION("""COMPUTED_VALUE"""),180.08)</f>
        <v>180.08</v>
      </c>
      <c r="E2365" s="1">
        <f ca="1">IFERROR(__xludf.DUMMYFUNCTION("""COMPUTED_VALUE"""),181.05)</f>
        <v>181.05</v>
      </c>
      <c r="F2365" s="1">
        <f ca="1">IFERROR(__xludf.DUMMYFUNCTION("""COMPUTED_VALUE"""),33670173)</f>
        <v>33670173</v>
      </c>
    </row>
    <row r="2366" spans="1:6" x14ac:dyDescent="0.35">
      <c r="A2366" s="2">
        <f ca="1">IFERROR(__xludf.DUMMYFUNCTION("""COMPUTED_VALUE"""),45436.6666666666)</f>
        <v>45436.666666666599</v>
      </c>
      <c r="B2366" s="1">
        <f ca="1">IFERROR(__xludf.DUMMYFUNCTION("""COMPUTED_VALUE"""),181.65)</f>
        <v>181.65</v>
      </c>
      <c r="C2366" s="1">
        <f ca="1">IFERROR(__xludf.DUMMYFUNCTION("""COMPUTED_VALUE"""),182.44)</f>
        <v>182.44</v>
      </c>
      <c r="D2366" s="1">
        <f ca="1">IFERROR(__xludf.DUMMYFUNCTION("""COMPUTED_VALUE"""),180.3)</f>
        <v>180.3</v>
      </c>
      <c r="E2366" s="1">
        <f ca="1">IFERROR(__xludf.DUMMYFUNCTION("""COMPUTED_VALUE"""),180.75)</f>
        <v>180.75</v>
      </c>
      <c r="F2366" s="1">
        <f ca="1">IFERROR(__xludf.DUMMYFUNCTION("""COMPUTED_VALUE"""),27471640)</f>
        <v>27471640</v>
      </c>
    </row>
    <row r="2367" spans="1:6" x14ac:dyDescent="0.35">
      <c r="A2367" s="2">
        <f ca="1">IFERROR(__xludf.DUMMYFUNCTION("""COMPUTED_VALUE"""),45440.6666666666)</f>
        <v>45440.666666666599</v>
      </c>
      <c r="B2367" s="1">
        <f ca="1">IFERROR(__xludf.DUMMYFUNCTION("""COMPUTED_VALUE"""),179.93)</f>
        <v>179.93</v>
      </c>
      <c r="C2367" s="1">
        <f ca="1">IFERROR(__xludf.DUMMYFUNCTION("""COMPUTED_VALUE"""),182.24)</f>
        <v>182.24</v>
      </c>
      <c r="D2367" s="1">
        <f ca="1">IFERROR(__xludf.DUMMYFUNCTION("""COMPUTED_VALUE"""),179.49)</f>
        <v>179.49</v>
      </c>
      <c r="E2367" s="1">
        <f ca="1">IFERROR(__xludf.DUMMYFUNCTION("""COMPUTED_VALUE"""),182.15)</f>
        <v>182.15</v>
      </c>
      <c r="F2367" s="1">
        <f ca="1">IFERROR(__xludf.DUMMYFUNCTION("""COMPUTED_VALUE"""),29926963)</f>
        <v>29926963</v>
      </c>
    </row>
    <row r="2368" spans="1:6" x14ac:dyDescent="0.35">
      <c r="A2368" s="2">
        <f ca="1">IFERROR(__xludf.DUMMYFUNCTION("""COMPUTED_VALUE"""),45441.6666666666)</f>
        <v>45441.666666666599</v>
      </c>
      <c r="B2368" s="1">
        <f ca="1">IFERROR(__xludf.DUMMYFUNCTION("""COMPUTED_VALUE"""),181.7)</f>
        <v>181.7</v>
      </c>
      <c r="C2368" s="1">
        <f ca="1">IFERROR(__xludf.DUMMYFUNCTION("""COMPUTED_VALUE"""),184.08)</f>
        <v>184.08</v>
      </c>
      <c r="D2368" s="1">
        <f ca="1">IFERROR(__xludf.DUMMYFUNCTION("""COMPUTED_VALUE"""),181.55)</f>
        <v>181.55</v>
      </c>
      <c r="E2368" s="1">
        <f ca="1">IFERROR(__xludf.DUMMYFUNCTION("""COMPUTED_VALUE"""),182.02)</f>
        <v>182.02</v>
      </c>
      <c r="F2368" s="1">
        <f ca="1">IFERROR(__xludf.DUMMYFUNCTION("""COMPUTED_VALUE"""),32009294)</f>
        <v>32009294</v>
      </c>
    </row>
    <row r="2369" spans="1:6" x14ac:dyDescent="0.35">
      <c r="A2369" s="2">
        <f ca="1">IFERROR(__xludf.DUMMYFUNCTION("""COMPUTED_VALUE"""),45442.6666666666)</f>
        <v>45442.666666666599</v>
      </c>
      <c r="B2369" s="1">
        <f ca="1">IFERROR(__xludf.DUMMYFUNCTION("""COMPUTED_VALUE"""),181.31)</f>
        <v>181.31</v>
      </c>
      <c r="C2369" s="1">
        <f ca="1">IFERROR(__xludf.DUMMYFUNCTION("""COMPUTED_VALUE"""),181.34)</f>
        <v>181.34</v>
      </c>
      <c r="D2369" s="1">
        <f ca="1">IFERROR(__xludf.DUMMYFUNCTION("""COMPUTED_VALUE"""),178.36)</f>
        <v>178.36</v>
      </c>
      <c r="E2369" s="1">
        <f ca="1">IFERROR(__xludf.DUMMYFUNCTION("""COMPUTED_VALUE"""),179.32)</f>
        <v>179.32</v>
      </c>
      <c r="F2369" s="1">
        <f ca="1">IFERROR(__xludf.DUMMYFUNCTION("""COMPUTED_VALUE"""),29249229)</f>
        <v>29249229</v>
      </c>
    </row>
    <row r="2370" spans="1:6" x14ac:dyDescent="0.35">
      <c r="A2370" s="2">
        <f ca="1">IFERROR(__xludf.DUMMYFUNCTION("""COMPUTED_VALUE"""),45443.6666666666)</f>
        <v>45443.666666666599</v>
      </c>
      <c r="B2370" s="1">
        <f ca="1">IFERROR(__xludf.DUMMYFUNCTION("""COMPUTED_VALUE"""),178.3)</f>
        <v>178.3</v>
      </c>
      <c r="C2370" s="1">
        <f ca="1">IFERROR(__xludf.DUMMYFUNCTION("""COMPUTED_VALUE"""),179.21)</f>
        <v>179.21</v>
      </c>
      <c r="D2370" s="1">
        <f ca="1">IFERROR(__xludf.DUMMYFUNCTION("""COMPUTED_VALUE"""),173.87)</f>
        <v>173.87</v>
      </c>
      <c r="E2370" s="1">
        <f ca="1">IFERROR(__xludf.DUMMYFUNCTION("""COMPUTED_VALUE"""),176.44)</f>
        <v>176.44</v>
      </c>
      <c r="F2370" s="1">
        <f ca="1">IFERROR(__xludf.DUMMYFUNCTION("""COMPUTED_VALUE"""),58903939)</f>
        <v>58903939</v>
      </c>
    </row>
    <row r="2371" spans="1:6" x14ac:dyDescent="0.35">
      <c r="A2371" s="2">
        <f ca="1">IFERROR(__xludf.DUMMYFUNCTION("""COMPUTED_VALUE"""),45446.6666666666)</f>
        <v>45446.666666666599</v>
      </c>
      <c r="B2371" s="1">
        <f ca="1">IFERROR(__xludf.DUMMYFUNCTION("""COMPUTED_VALUE"""),177.7)</f>
        <v>177.7</v>
      </c>
      <c r="C2371" s="1">
        <f ca="1">IFERROR(__xludf.DUMMYFUNCTION("""COMPUTED_VALUE"""),178.7)</f>
        <v>178.7</v>
      </c>
      <c r="D2371" s="1">
        <f ca="1">IFERROR(__xludf.DUMMYFUNCTION("""COMPUTED_VALUE"""),175.92)</f>
        <v>175.92</v>
      </c>
      <c r="E2371" s="1">
        <f ca="1">IFERROR(__xludf.DUMMYFUNCTION("""COMPUTED_VALUE"""),178.34)</f>
        <v>178.34</v>
      </c>
      <c r="F2371" s="1">
        <f ca="1">IFERROR(__xludf.DUMMYFUNCTION("""COMPUTED_VALUE"""),30786640)</f>
        <v>30786640</v>
      </c>
    </row>
    <row r="2372" spans="1:6" x14ac:dyDescent="0.35">
      <c r="A2372" s="2">
        <f ca="1">IFERROR(__xludf.DUMMYFUNCTION("""COMPUTED_VALUE"""),45447.6666666666)</f>
        <v>45447.666666666599</v>
      </c>
      <c r="B2372" s="1">
        <f ca="1">IFERROR(__xludf.DUMMYFUNCTION("""COMPUTED_VALUE"""),177.64)</f>
        <v>177.64</v>
      </c>
      <c r="C2372" s="1">
        <f ca="1">IFERROR(__xludf.DUMMYFUNCTION("""COMPUTED_VALUE"""),179.82)</f>
        <v>179.82</v>
      </c>
      <c r="D2372" s="1">
        <f ca="1">IFERROR(__xludf.DUMMYFUNCTION("""COMPUTED_VALUE"""),176.44)</f>
        <v>176.44</v>
      </c>
      <c r="E2372" s="1">
        <f ca="1">IFERROR(__xludf.DUMMYFUNCTION("""COMPUTED_VALUE"""),179.34)</f>
        <v>179.34</v>
      </c>
      <c r="F2372" s="1">
        <f ca="1">IFERROR(__xludf.DUMMYFUNCTION("""COMPUTED_VALUE"""),27198388)</f>
        <v>27198388</v>
      </c>
    </row>
    <row r="2373" spans="1:6" x14ac:dyDescent="0.35">
      <c r="A2373" s="2">
        <f ca="1">IFERROR(__xludf.DUMMYFUNCTION("""COMPUTED_VALUE"""),45448.6666666666)</f>
        <v>45448.666666666599</v>
      </c>
      <c r="B2373" s="1">
        <f ca="1">IFERROR(__xludf.DUMMYFUNCTION("""COMPUTED_VALUE"""),180.1)</f>
        <v>180.1</v>
      </c>
      <c r="C2373" s="1">
        <f ca="1">IFERROR(__xludf.DUMMYFUNCTION("""COMPUTED_VALUE"""),181.5)</f>
        <v>181.5</v>
      </c>
      <c r="D2373" s="1">
        <f ca="1">IFERROR(__xludf.DUMMYFUNCTION("""COMPUTED_VALUE"""),178.75)</f>
        <v>178.75</v>
      </c>
      <c r="E2373" s="1">
        <f ca="1">IFERROR(__xludf.DUMMYFUNCTION("""COMPUTED_VALUE"""),181.28)</f>
        <v>181.28</v>
      </c>
      <c r="F2373" s="1">
        <f ca="1">IFERROR(__xludf.DUMMYFUNCTION("""COMPUTED_VALUE"""),32116394)</f>
        <v>32116394</v>
      </c>
    </row>
    <row r="2374" spans="1:6" x14ac:dyDescent="0.35">
      <c r="A2374" s="2">
        <f ca="1">IFERROR(__xludf.DUMMYFUNCTION("""COMPUTED_VALUE"""),45449.6666666666)</f>
        <v>45449.666666666599</v>
      </c>
      <c r="B2374" s="1">
        <f ca="1">IFERROR(__xludf.DUMMYFUNCTION("""COMPUTED_VALUE"""),181.75)</f>
        <v>181.75</v>
      </c>
      <c r="C2374" s="1">
        <f ca="1">IFERROR(__xludf.DUMMYFUNCTION("""COMPUTED_VALUE"""),185)</f>
        <v>185</v>
      </c>
      <c r="D2374" s="1">
        <f ca="1">IFERROR(__xludf.DUMMYFUNCTION("""COMPUTED_VALUE"""),181.49)</f>
        <v>181.49</v>
      </c>
      <c r="E2374" s="1">
        <f ca="1">IFERROR(__xludf.DUMMYFUNCTION("""COMPUTED_VALUE"""),185)</f>
        <v>185</v>
      </c>
      <c r="F2374" s="1">
        <f ca="1">IFERROR(__xludf.DUMMYFUNCTION("""COMPUTED_VALUE"""),31371151)</f>
        <v>31371151</v>
      </c>
    </row>
    <row r="2375" spans="1:6" x14ac:dyDescent="0.35">
      <c r="A2375" s="2">
        <f ca="1">IFERROR(__xludf.DUMMYFUNCTION("""COMPUTED_VALUE"""),45450.6666666666)</f>
        <v>45450.666666666599</v>
      </c>
      <c r="B2375" s="1">
        <f ca="1">IFERROR(__xludf.DUMMYFUNCTION("""COMPUTED_VALUE"""),184.9)</f>
        <v>184.9</v>
      </c>
      <c r="C2375" s="1">
        <f ca="1">IFERROR(__xludf.DUMMYFUNCTION("""COMPUTED_VALUE"""),186.29)</f>
        <v>186.29</v>
      </c>
      <c r="D2375" s="1">
        <f ca="1">IFERROR(__xludf.DUMMYFUNCTION("""COMPUTED_VALUE"""),183.36)</f>
        <v>183.36</v>
      </c>
      <c r="E2375" s="1">
        <f ca="1">IFERROR(__xludf.DUMMYFUNCTION("""COMPUTED_VALUE"""),184.3)</f>
        <v>184.3</v>
      </c>
      <c r="F2375" s="1">
        <f ca="1">IFERROR(__xludf.DUMMYFUNCTION("""COMPUTED_VALUE"""),28021473)</f>
        <v>28021473</v>
      </c>
    </row>
    <row r="2376" spans="1:6" x14ac:dyDescent="0.35">
      <c r="A2376" s="2">
        <f ca="1">IFERROR(__xludf.DUMMYFUNCTION("""COMPUTED_VALUE"""),45453.6666666666)</f>
        <v>45453.666666666599</v>
      </c>
      <c r="B2376" s="1">
        <f ca="1">IFERROR(__xludf.DUMMYFUNCTION("""COMPUTED_VALUE"""),184.07)</f>
        <v>184.07</v>
      </c>
      <c r="C2376" s="1">
        <f ca="1">IFERROR(__xludf.DUMMYFUNCTION("""COMPUTED_VALUE"""),187.23)</f>
        <v>187.23</v>
      </c>
      <c r="D2376" s="1">
        <f ca="1">IFERROR(__xludf.DUMMYFUNCTION("""COMPUTED_VALUE"""),183.79)</f>
        <v>183.79</v>
      </c>
      <c r="E2376" s="1">
        <f ca="1">IFERROR(__xludf.DUMMYFUNCTION("""COMPUTED_VALUE"""),187.06)</f>
        <v>187.06</v>
      </c>
      <c r="F2376" s="1">
        <f ca="1">IFERROR(__xludf.DUMMYFUNCTION("""COMPUTED_VALUE"""),34494498)</f>
        <v>34494498</v>
      </c>
    </row>
    <row r="2377" spans="1:6" x14ac:dyDescent="0.35">
      <c r="A2377" s="2">
        <f ca="1">IFERROR(__xludf.DUMMYFUNCTION("""COMPUTED_VALUE"""),45454.6666666666)</f>
        <v>45454.666666666599</v>
      </c>
      <c r="B2377" s="1">
        <f ca="1">IFERROR(__xludf.DUMMYFUNCTION("""COMPUTED_VALUE"""),187.06)</f>
        <v>187.06</v>
      </c>
      <c r="C2377" s="1">
        <f ca="1">IFERROR(__xludf.DUMMYFUNCTION("""COMPUTED_VALUE"""),187.77)</f>
        <v>187.77</v>
      </c>
      <c r="D2377" s="1">
        <f ca="1">IFERROR(__xludf.DUMMYFUNCTION("""COMPUTED_VALUE"""),184.54)</f>
        <v>184.54</v>
      </c>
      <c r="E2377" s="1">
        <f ca="1">IFERROR(__xludf.DUMMYFUNCTION("""COMPUTED_VALUE"""),187.23)</f>
        <v>187.23</v>
      </c>
      <c r="F2377" s="1">
        <f ca="1">IFERROR(__xludf.DUMMYFUNCTION("""COMPUTED_VALUE"""),27265108)</f>
        <v>27265108</v>
      </c>
    </row>
    <row r="2378" spans="1:6" x14ac:dyDescent="0.35">
      <c r="A2378" s="2">
        <f ca="1">IFERROR(__xludf.DUMMYFUNCTION("""COMPUTED_VALUE"""),45455.6666666666)</f>
        <v>45455.666666666599</v>
      </c>
      <c r="B2378" s="1">
        <f ca="1">IFERROR(__xludf.DUMMYFUNCTION("""COMPUTED_VALUE"""),188.02)</f>
        <v>188.02</v>
      </c>
      <c r="C2378" s="1">
        <f ca="1">IFERROR(__xludf.DUMMYFUNCTION("""COMPUTED_VALUE"""),188.35)</f>
        <v>188.35</v>
      </c>
      <c r="D2378" s="1">
        <f ca="1">IFERROR(__xludf.DUMMYFUNCTION("""COMPUTED_VALUE"""),185.43)</f>
        <v>185.43</v>
      </c>
      <c r="E2378" s="1">
        <f ca="1">IFERROR(__xludf.DUMMYFUNCTION("""COMPUTED_VALUE"""),186.89)</f>
        <v>186.89</v>
      </c>
      <c r="F2378" s="1">
        <f ca="1">IFERROR(__xludf.DUMMYFUNCTION("""COMPUTED_VALUE"""),33984216)</f>
        <v>33984216</v>
      </c>
    </row>
    <row r="2379" spans="1:6" x14ac:dyDescent="0.35">
      <c r="A2379" s="2">
        <f ca="1">IFERROR(__xludf.DUMMYFUNCTION("""COMPUTED_VALUE"""),45456.6666666666)</f>
        <v>45456.666666666599</v>
      </c>
      <c r="B2379" s="1">
        <f ca="1">IFERROR(__xludf.DUMMYFUNCTION("""COMPUTED_VALUE"""),186.09)</f>
        <v>186.09</v>
      </c>
      <c r="C2379" s="1">
        <f ca="1">IFERROR(__xludf.DUMMYFUNCTION("""COMPUTED_VALUE"""),187.67)</f>
        <v>187.67</v>
      </c>
      <c r="D2379" s="1">
        <f ca="1">IFERROR(__xludf.DUMMYFUNCTION("""COMPUTED_VALUE"""),182.67)</f>
        <v>182.67</v>
      </c>
      <c r="E2379" s="1">
        <f ca="1">IFERROR(__xludf.DUMMYFUNCTION("""COMPUTED_VALUE"""),183.83)</f>
        <v>183.83</v>
      </c>
      <c r="F2379" s="1">
        <f ca="1">IFERROR(__xludf.DUMMYFUNCTION("""COMPUTED_VALUE"""),39721545)</f>
        <v>39721545</v>
      </c>
    </row>
    <row r="2380" spans="1:6" x14ac:dyDescent="0.35">
      <c r="A2380" s="2">
        <f ca="1">IFERROR(__xludf.DUMMYFUNCTION("""COMPUTED_VALUE"""),45457.6666666666)</f>
        <v>45457.666666666599</v>
      </c>
      <c r="B2380" s="1">
        <f ca="1">IFERROR(__xludf.DUMMYFUNCTION("""COMPUTED_VALUE"""),183.08)</f>
        <v>183.08</v>
      </c>
      <c r="C2380" s="1">
        <f ca="1">IFERROR(__xludf.DUMMYFUNCTION("""COMPUTED_VALUE"""),183.72)</f>
        <v>183.72</v>
      </c>
      <c r="D2380" s="1">
        <f ca="1">IFERROR(__xludf.DUMMYFUNCTION("""COMPUTED_VALUE"""),182.23)</f>
        <v>182.23</v>
      </c>
      <c r="E2380" s="1">
        <f ca="1">IFERROR(__xludf.DUMMYFUNCTION("""COMPUTED_VALUE"""),183.66)</f>
        <v>183.66</v>
      </c>
      <c r="F2380" s="1">
        <f ca="1">IFERROR(__xludf.DUMMYFUNCTION("""COMPUTED_VALUE"""),25456410)</f>
        <v>25456410</v>
      </c>
    </row>
    <row r="2381" spans="1:6" x14ac:dyDescent="0.35">
      <c r="A2381" s="2">
        <f ca="1">IFERROR(__xludf.DUMMYFUNCTION("""COMPUTED_VALUE"""),45460.6666666666)</f>
        <v>45460.666666666599</v>
      </c>
      <c r="B2381" s="1">
        <f ca="1">IFERROR(__xludf.DUMMYFUNCTION("""COMPUTED_VALUE"""),182.52)</f>
        <v>182.52</v>
      </c>
      <c r="C2381" s="1">
        <f ca="1">IFERROR(__xludf.DUMMYFUNCTION("""COMPUTED_VALUE"""),185)</f>
        <v>185</v>
      </c>
      <c r="D2381" s="1">
        <f ca="1">IFERROR(__xludf.DUMMYFUNCTION("""COMPUTED_VALUE"""),181.22)</f>
        <v>181.22</v>
      </c>
      <c r="E2381" s="1">
        <f ca="1">IFERROR(__xludf.DUMMYFUNCTION("""COMPUTED_VALUE"""),184.06)</f>
        <v>184.06</v>
      </c>
      <c r="F2381" s="1">
        <f ca="1">IFERROR(__xludf.DUMMYFUNCTION("""COMPUTED_VALUE"""),35601907)</f>
        <v>35601907</v>
      </c>
    </row>
    <row r="2382" spans="1:6" x14ac:dyDescent="0.35">
      <c r="A2382" s="2">
        <f ca="1">IFERROR(__xludf.DUMMYFUNCTION("""COMPUTED_VALUE"""),45461.6666666666)</f>
        <v>45461.666666666599</v>
      </c>
      <c r="B2382" s="1">
        <f ca="1">IFERROR(__xludf.DUMMYFUNCTION("""COMPUTED_VALUE"""),183.74)</f>
        <v>183.74</v>
      </c>
      <c r="C2382" s="1">
        <f ca="1">IFERROR(__xludf.DUMMYFUNCTION("""COMPUTED_VALUE"""),184.29)</f>
        <v>184.29</v>
      </c>
      <c r="D2382" s="1">
        <f ca="1">IFERROR(__xludf.DUMMYFUNCTION("""COMPUTED_VALUE"""),181.43)</f>
        <v>181.43</v>
      </c>
      <c r="E2382" s="1">
        <f ca="1">IFERROR(__xludf.DUMMYFUNCTION("""COMPUTED_VALUE"""),182.81)</f>
        <v>182.81</v>
      </c>
      <c r="F2382" s="1">
        <f ca="1">IFERROR(__xludf.DUMMYFUNCTION("""COMPUTED_VALUE"""),36659157)</f>
        <v>36659157</v>
      </c>
    </row>
    <row r="2383" spans="1:6" x14ac:dyDescent="0.35">
      <c r="A2383" s="2">
        <f ca="1">IFERROR(__xludf.DUMMYFUNCTION("""COMPUTED_VALUE"""),45463.6666666666)</f>
        <v>45463.666666666599</v>
      </c>
      <c r="B2383" s="1">
        <f ca="1">IFERROR(__xludf.DUMMYFUNCTION("""COMPUTED_VALUE"""),182.91)</f>
        <v>182.91</v>
      </c>
      <c r="C2383" s="1">
        <f ca="1">IFERROR(__xludf.DUMMYFUNCTION("""COMPUTED_VALUE"""),186.51)</f>
        <v>186.51</v>
      </c>
      <c r="D2383" s="1">
        <f ca="1">IFERROR(__xludf.DUMMYFUNCTION("""COMPUTED_VALUE"""),182.72)</f>
        <v>182.72</v>
      </c>
      <c r="E2383" s="1">
        <f ca="1">IFERROR(__xludf.DUMMYFUNCTION("""COMPUTED_VALUE"""),186.1)</f>
        <v>186.1</v>
      </c>
      <c r="F2383" s="1">
        <f ca="1">IFERROR(__xludf.DUMMYFUNCTION("""COMPUTED_VALUE"""),44726779)</f>
        <v>44726779</v>
      </c>
    </row>
    <row r="2384" spans="1:6" x14ac:dyDescent="0.35">
      <c r="A2384" s="2">
        <f ca="1">IFERROR(__xludf.DUMMYFUNCTION("""COMPUTED_VALUE"""),45464.6666666666)</f>
        <v>45464.666666666599</v>
      </c>
      <c r="B2384" s="1">
        <f ca="1">IFERROR(__xludf.DUMMYFUNCTION("""COMPUTED_VALUE"""),187.8)</f>
        <v>187.8</v>
      </c>
      <c r="C2384" s="1">
        <f ca="1">IFERROR(__xludf.DUMMYFUNCTION("""COMPUTED_VALUE"""),189.28)</f>
        <v>189.28</v>
      </c>
      <c r="D2384" s="1">
        <f ca="1">IFERROR(__xludf.DUMMYFUNCTION("""COMPUTED_VALUE"""),185.86)</f>
        <v>185.86</v>
      </c>
      <c r="E2384" s="1">
        <f ca="1">IFERROR(__xludf.DUMMYFUNCTION("""COMPUTED_VALUE"""),189.08)</f>
        <v>189.08</v>
      </c>
      <c r="F2384" s="1">
        <f ca="1">IFERROR(__xludf.DUMMYFUNCTION("""COMPUTED_VALUE"""),72931754)</f>
        <v>72931754</v>
      </c>
    </row>
    <row r="2385" spans="1:6" x14ac:dyDescent="0.35">
      <c r="A2385" s="2">
        <f ca="1">IFERROR(__xludf.DUMMYFUNCTION("""COMPUTED_VALUE"""),45467.6666666666)</f>
        <v>45467.666666666599</v>
      </c>
      <c r="B2385" s="1">
        <f ca="1">IFERROR(__xludf.DUMMYFUNCTION("""COMPUTED_VALUE"""),189.33)</f>
        <v>189.33</v>
      </c>
      <c r="C2385" s="1">
        <f ca="1">IFERROR(__xludf.DUMMYFUNCTION("""COMPUTED_VALUE"""),191)</f>
        <v>191</v>
      </c>
      <c r="D2385" s="1">
        <f ca="1">IFERROR(__xludf.DUMMYFUNCTION("""COMPUTED_VALUE"""),185.33)</f>
        <v>185.33</v>
      </c>
      <c r="E2385" s="1">
        <f ca="1">IFERROR(__xludf.DUMMYFUNCTION("""COMPUTED_VALUE"""),185.57)</f>
        <v>185.57</v>
      </c>
      <c r="F2385" s="1">
        <f ca="1">IFERROR(__xludf.DUMMYFUNCTION("""COMPUTED_VALUE"""),50610379)</f>
        <v>50610379</v>
      </c>
    </row>
    <row r="2386" spans="1:6" x14ac:dyDescent="0.35">
      <c r="A2386" s="2">
        <f ca="1">IFERROR(__xludf.DUMMYFUNCTION("""COMPUTED_VALUE"""),45468.6666666666)</f>
        <v>45468.666666666599</v>
      </c>
      <c r="B2386" s="1">
        <f ca="1">IFERROR(__xludf.DUMMYFUNCTION("""COMPUTED_VALUE"""),186.81)</f>
        <v>186.81</v>
      </c>
      <c r="C2386" s="1">
        <f ca="1">IFERROR(__xludf.DUMMYFUNCTION("""COMPUTED_VALUE"""),188.84)</f>
        <v>188.84</v>
      </c>
      <c r="D2386" s="1">
        <f ca="1">IFERROR(__xludf.DUMMYFUNCTION("""COMPUTED_VALUE"""),185.42)</f>
        <v>185.42</v>
      </c>
      <c r="E2386" s="1">
        <f ca="1">IFERROR(__xludf.DUMMYFUNCTION("""COMPUTED_VALUE"""),186.34)</f>
        <v>186.34</v>
      </c>
      <c r="F2386" s="1">
        <f ca="1">IFERROR(__xludf.DUMMYFUNCTION("""COMPUTED_VALUE"""),45898475)</f>
        <v>45898475</v>
      </c>
    </row>
    <row r="2387" spans="1:6" x14ac:dyDescent="0.35">
      <c r="A2387" s="2">
        <f ca="1">IFERROR(__xludf.DUMMYFUNCTION("""COMPUTED_VALUE"""),45469.6666666666)</f>
        <v>45469.666666666599</v>
      </c>
      <c r="B2387" s="1">
        <f ca="1">IFERROR(__xludf.DUMMYFUNCTION("""COMPUTED_VALUE"""),186.92)</f>
        <v>186.92</v>
      </c>
      <c r="C2387" s="1">
        <f ca="1">IFERROR(__xludf.DUMMYFUNCTION("""COMPUTED_VALUE"""),194.8)</f>
        <v>194.8</v>
      </c>
      <c r="D2387" s="1">
        <f ca="1">IFERROR(__xludf.DUMMYFUNCTION("""COMPUTED_VALUE"""),186.26)</f>
        <v>186.26</v>
      </c>
      <c r="E2387" s="1">
        <f ca="1">IFERROR(__xludf.DUMMYFUNCTION("""COMPUTED_VALUE"""),193.61)</f>
        <v>193.61</v>
      </c>
      <c r="F2387" s="1">
        <f ca="1">IFERROR(__xludf.DUMMYFUNCTION("""COMPUTED_VALUE"""),65103893)</f>
        <v>65103893</v>
      </c>
    </row>
    <row r="2388" spans="1:6" x14ac:dyDescent="0.35">
      <c r="A2388" s="2">
        <f ca="1">IFERROR(__xludf.DUMMYFUNCTION("""COMPUTED_VALUE"""),45470.6666666666)</f>
        <v>45470.666666666599</v>
      </c>
      <c r="B2388" s="1">
        <f ca="1">IFERROR(__xludf.DUMMYFUNCTION("""COMPUTED_VALUE"""),195.01)</f>
        <v>195.01</v>
      </c>
      <c r="C2388" s="1">
        <f ca="1">IFERROR(__xludf.DUMMYFUNCTION("""COMPUTED_VALUE"""),199.84)</f>
        <v>199.84</v>
      </c>
      <c r="D2388" s="1">
        <f ca="1">IFERROR(__xludf.DUMMYFUNCTION("""COMPUTED_VALUE"""),194.2)</f>
        <v>194.2</v>
      </c>
      <c r="E2388" s="1">
        <f ca="1">IFERROR(__xludf.DUMMYFUNCTION("""COMPUTED_VALUE"""),197.85)</f>
        <v>197.85</v>
      </c>
      <c r="F2388" s="1">
        <f ca="1">IFERROR(__xludf.DUMMYFUNCTION("""COMPUTED_VALUE"""),74397491)</f>
        <v>74397491</v>
      </c>
    </row>
    <row r="2389" spans="1:6" x14ac:dyDescent="0.35">
      <c r="A2389" s="2">
        <f ca="1">IFERROR(__xludf.DUMMYFUNCTION("""COMPUTED_VALUE"""),45471.6666666666)</f>
        <v>45471.666666666599</v>
      </c>
      <c r="B2389" s="1">
        <f ca="1">IFERROR(__xludf.DUMMYFUNCTION("""COMPUTED_VALUE"""),197.73)</f>
        <v>197.73</v>
      </c>
      <c r="C2389" s="1">
        <f ca="1">IFERROR(__xludf.DUMMYFUNCTION("""COMPUTED_VALUE"""),198.85)</f>
        <v>198.85</v>
      </c>
      <c r="D2389" s="1">
        <f ca="1">IFERROR(__xludf.DUMMYFUNCTION("""COMPUTED_VALUE"""),192.5)</f>
        <v>192.5</v>
      </c>
      <c r="E2389" s="1">
        <f ca="1">IFERROR(__xludf.DUMMYFUNCTION("""COMPUTED_VALUE"""),193.25)</f>
        <v>193.25</v>
      </c>
      <c r="F2389" s="1">
        <f ca="1">IFERROR(__xludf.DUMMYFUNCTION("""COMPUTED_VALUE"""),76930192)</f>
        <v>76930192</v>
      </c>
    </row>
    <row r="2390" spans="1:6" x14ac:dyDescent="0.35">
      <c r="A2390" s="2">
        <f ca="1">IFERROR(__xludf.DUMMYFUNCTION("""COMPUTED_VALUE"""),45474.6666666666)</f>
        <v>45474.666666666599</v>
      </c>
      <c r="B2390" s="1">
        <f ca="1">IFERROR(__xludf.DUMMYFUNCTION("""COMPUTED_VALUE"""),193.49)</f>
        <v>193.49</v>
      </c>
      <c r="C2390" s="1">
        <f ca="1">IFERROR(__xludf.DUMMYFUNCTION("""COMPUTED_VALUE"""),198.3)</f>
        <v>198.3</v>
      </c>
      <c r="D2390" s="1">
        <f ca="1">IFERROR(__xludf.DUMMYFUNCTION("""COMPUTED_VALUE"""),192.82)</f>
        <v>192.82</v>
      </c>
      <c r="E2390" s="1">
        <f ca="1">IFERROR(__xludf.DUMMYFUNCTION("""COMPUTED_VALUE"""),197.2)</f>
        <v>197.2</v>
      </c>
      <c r="F2390" s="1">
        <f ca="1">IFERROR(__xludf.DUMMYFUNCTION("""COMPUTED_VALUE"""),41192011)</f>
        <v>41192011</v>
      </c>
    </row>
    <row r="2391" spans="1:6" x14ac:dyDescent="0.35">
      <c r="A2391" s="2">
        <f ca="1">IFERROR(__xludf.DUMMYFUNCTION("""COMPUTED_VALUE"""),45475.6666666666)</f>
        <v>45475.666666666599</v>
      </c>
      <c r="B2391" s="1">
        <f ca="1">IFERROR(__xludf.DUMMYFUNCTION("""COMPUTED_VALUE"""),197.28)</f>
        <v>197.28</v>
      </c>
      <c r="C2391" s="1">
        <f ca="1">IFERROR(__xludf.DUMMYFUNCTION("""COMPUTED_VALUE"""),200.43)</f>
        <v>200.43</v>
      </c>
      <c r="D2391" s="1">
        <f ca="1">IFERROR(__xludf.DUMMYFUNCTION("""COMPUTED_VALUE"""),195.93)</f>
        <v>195.93</v>
      </c>
      <c r="E2391" s="1">
        <f ca="1">IFERROR(__xludf.DUMMYFUNCTION("""COMPUTED_VALUE"""),200)</f>
        <v>200</v>
      </c>
      <c r="F2391" s="1">
        <f ca="1">IFERROR(__xludf.DUMMYFUNCTION("""COMPUTED_VALUE"""),45600013)</f>
        <v>45600013</v>
      </c>
    </row>
    <row r="2392" spans="1:6" x14ac:dyDescent="0.35">
      <c r="A2392" s="2">
        <f ca="1">IFERROR(__xludf.DUMMYFUNCTION("""COMPUTED_VALUE"""),45476.5451388888)</f>
        <v>45476.545138888803</v>
      </c>
      <c r="B2392" s="1">
        <f ca="1">IFERROR(__xludf.DUMMYFUNCTION("""COMPUTED_VALUE"""),199.94)</f>
        <v>199.94</v>
      </c>
      <c r="C2392" s="1">
        <f ca="1">IFERROR(__xludf.DUMMYFUNCTION("""COMPUTED_VALUE"""),200.03)</f>
        <v>200.03</v>
      </c>
      <c r="D2392" s="1">
        <f ca="1">IFERROR(__xludf.DUMMYFUNCTION("""COMPUTED_VALUE"""),196.76)</f>
        <v>196.76</v>
      </c>
      <c r="E2392" s="1">
        <f ca="1">IFERROR(__xludf.DUMMYFUNCTION("""COMPUTED_VALUE"""),197.59)</f>
        <v>197.59</v>
      </c>
      <c r="F2392" s="1">
        <f ca="1">IFERROR(__xludf.DUMMYFUNCTION("""COMPUTED_VALUE"""),31597926)</f>
        <v>31597926</v>
      </c>
    </row>
    <row r="2393" spans="1:6" x14ac:dyDescent="0.35">
      <c r="A2393" s="2">
        <f ca="1">IFERROR(__xludf.DUMMYFUNCTION("""COMPUTED_VALUE"""),45478.6666666666)</f>
        <v>45478.666666666599</v>
      </c>
      <c r="B2393" s="1">
        <f ca="1">IFERROR(__xludf.DUMMYFUNCTION("""COMPUTED_VALUE"""),198.65)</f>
        <v>198.65</v>
      </c>
      <c r="C2393" s="1">
        <f ca="1">IFERROR(__xludf.DUMMYFUNCTION("""COMPUTED_VALUE"""),200.55)</f>
        <v>200.55</v>
      </c>
      <c r="D2393" s="1">
        <f ca="1">IFERROR(__xludf.DUMMYFUNCTION("""COMPUTED_VALUE"""),198.17)</f>
        <v>198.17</v>
      </c>
      <c r="E2393" s="1">
        <f ca="1">IFERROR(__xludf.DUMMYFUNCTION("""COMPUTED_VALUE"""),200)</f>
        <v>200</v>
      </c>
      <c r="F2393" s="1">
        <f ca="1">IFERROR(__xludf.DUMMYFUNCTION("""COMPUTED_VALUE"""),39858885)</f>
        <v>39858885</v>
      </c>
    </row>
    <row r="2394" spans="1:6" x14ac:dyDescent="0.35">
      <c r="A2394" s="2">
        <f ca="1">IFERROR(__xludf.DUMMYFUNCTION("""COMPUTED_VALUE"""),45481.6666666666)</f>
        <v>45481.666666666599</v>
      </c>
      <c r="B2394" s="1">
        <f ca="1">IFERROR(__xludf.DUMMYFUNCTION("""COMPUTED_VALUE"""),200.04)</f>
        <v>200.04</v>
      </c>
      <c r="C2394" s="1">
        <f ca="1">IFERROR(__xludf.DUMMYFUNCTION("""COMPUTED_VALUE"""),201.2)</f>
        <v>201.2</v>
      </c>
      <c r="D2394" s="1">
        <f ca="1">IFERROR(__xludf.DUMMYFUNCTION("""COMPUTED_VALUE"""),197.96)</f>
        <v>197.96</v>
      </c>
      <c r="E2394" s="1">
        <f ca="1">IFERROR(__xludf.DUMMYFUNCTION("""COMPUTED_VALUE"""),199.29)</f>
        <v>199.29</v>
      </c>
      <c r="F2394" s="1">
        <f ca="1">IFERROR(__xludf.DUMMYFUNCTION("""COMPUTED_VALUE"""),34767261)</f>
        <v>34767261</v>
      </c>
    </row>
    <row r="2395" spans="1:6" x14ac:dyDescent="0.35">
      <c r="A2395" s="2">
        <f ca="1">IFERROR(__xludf.DUMMYFUNCTION("""COMPUTED_VALUE"""),45482.6666666666)</f>
        <v>45482.666666666599</v>
      </c>
      <c r="B2395" s="1">
        <f ca="1">IFERROR(__xludf.DUMMYFUNCTION("""COMPUTED_VALUE"""),199.4)</f>
        <v>199.4</v>
      </c>
      <c r="C2395" s="1">
        <f ca="1">IFERROR(__xludf.DUMMYFUNCTION("""COMPUTED_VALUE"""),200.57)</f>
        <v>200.57</v>
      </c>
      <c r="D2395" s="1">
        <f ca="1">IFERROR(__xludf.DUMMYFUNCTION("""COMPUTED_VALUE"""),199.05)</f>
        <v>199.05</v>
      </c>
      <c r="E2395" s="1">
        <f ca="1">IFERROR(__xludf.DUMMYFUNCTION("""COMPUTED_VALUE"""),199.34)</f>
        <v>199.34</v>
      </c>
      <c r="F2395" s="1">
        <f ca="1">IFERROR(__xludf.DUMMYFUNCTION("""COMPUTED_VALUE"""),32756736)</f>
        <v>32756736</v>
      </c>
    </row>
    <row r="2396" spans="1:6" x14ac:dyDescent="0.35">
      <c r="A2396" s="2">
        <f ca="1">IFERROR(__xludf.DUMMYFUNCTION("""COMPUTED_VALUE"""),45483.6666666666)</f>
        <v>45483.666666666599</v>
      </c>
      <c r="B2396" s="1">
        <f ca="1">IFERROR(__xludf.DUMMYFUNCTION("""COMPUTED_VALUE"""),200)</f>
        <v>200</v>
      </c>
      <c r="C2396" s="1">
        <f ca="1">IFERROR(__xludf.DUMMYFUNCTION("""COMPUTED_VALUE"""),200.11)</f>
        <v>200.11</v>
      </c>
      <c r="D2396" s="1">
        <f ca="1">IFERROR(__xludf.DUMMYFUNCTION("""COMPUTED_VALUE"""),197.69)</f>
        <v>197.69</v>
      </c>
      <c r="E2396" s="1">
        <f ca="1">IFERROR(__xludf.DUMMYFUNCTION("""COMPUTED_VALUE"""),199.79)</f>
        <v>199.79</v>
      </c>
      <c r="F2396" s="1">
        <f ca="1">IFERROR(__xludf.DUMMYFUNCTION("""COMPUTED_VALUE"""),32883753)</f>
        <v>32883753</v>
      </c>
    </row>
    <row r="2397" spans="1:6" x14ac:dyDescent="0.35">
      <c r="A2397" s="2">
        <f ca="1">IFERROR(__xludf.DUMMYFUNCTION("""COMPUTED_VALUE"""),45484.6666666666)</f>
        <v>45484.666666666599</v>
      </c>
      <c r="B2397" s="1">
        <f ca="1">IFERROR(__xludf.DUMMYFUNCTION("""COMPUTED_VALUE"""),200.09)</f>
        <v>200.09</v>
      </c>
      <c r="C2397" s="1">
        <f ca="1">IFERROR(__xludf.DUMMYFUNCTION("""COMPUTED_VALUE"""),200.27)</f>
        <v>200.27</v>
      </c>
      <c r="D2397" s="1">
        <f ca="1">IFERROR(__xludf.DUMMYFUNCTION("""COMPUTED_VALUE"""),192.86)</f>
        <v>192.86</v>
      </c>
      <c r="E2397" s="1">
        <f ca="1">IFERROR(__xludf.DUMMYFUNCTION("""COMPUTED_VALUE"""),195.05)</f>
        <v>195.05</v>
      </c>
      <c r="F2397" s="1">
        <f ca="1">IFERROR(__xludf.DUMMYFUNCTION("""COMPUTED_VALUE"""),44565041)</f>
        <v>44565041</v>
      </c>
    </row>
    <row r="2398" spans="1:6" x14ac:dyDescent="0.35">
      <c r="A2398" s="2">
        <f ca="1">IFERROR(__xludf.DUMMYFUNCTION("""COMPUTED_VALUE"""),45485.6666666666)</f>
        <v>45485.666666666599</v>
      </c>
      <c r="B2398" s="1">
        <f ca="1">IFERROR(__xludf.DUMMYFUNCTION("""COMPUTED_VALUE"""),194.8)</f>
        <v>194.8</v>
      </c>
      <c r="C2398" s="1">
        <f ca="1">IFERROR(__xludf.DUMMYFUNCTION("""COMPUTED_VALUE"""),196.47)</f>
        <v>196.47</v>
      </c>
      <c r="D2398" s="1">
        <f ca="1">IFERROR(__xludf.DUMMYFUNCTION("""COMPUTED_VALUE"""),193.83)</f>
        <v>193.83</v>
      </c>
      <c r="E2398" s="1">
        <f ca="1">IFERROR(__xludf.DUMMYFUNCTION("""COMPUTED_VALUE"""),194.49)</f>
        <v>194.49</v>
      </c>
      <c r="F2398" s="1">
        <f ca="1">IFERROR(__xludf.DUMMYFUNCTION("""COMPUTED_VALUE"""),30598525)</f>
        <v>30598525</v>
      </c>
    </row>
    <row r="2399" spans="1:6" x14ac:dyDescent="0.35">
      <c r="A2399" s="2">
        <f ca="1">IFERROR(__xludf.DUMMYFUNCTION("""COMPUTED_VALUE"""),45488.6666666666)</f>
        <v>45488.666666666599</v>
      </c>
      <c r="B2399" s="1">
        <f ca="1">IFERROR(__xludf.DUMMYFUNCTION("""COMPUTED_VALUE"""),194.56)</f>
        <v>194.56</v>
      </c>
      <c r="C2399" s="1">
        <f ca="1">IFERROR(__xludf.DUMMYFUNCTION("""COMPUTED_VALUE"""),196.19)</f>
        <v>196.19</v>
      </c>
      <c r="D2399" s="1">
        <f ca="1">IFERROR(__xludf.DUMMYFUNCTION("""COMPUTED_VALUE"""),190.83)</f>
        <v>190.83</v>
      </c>
      <c r="E2399" s="1">
        <f ca="1">IFERROR(__xludf.DUMMYFUNCTION("""COMPUTED_VALUE"""),192.72)</f>
        <v>192.72</v>
      </c>
      <c r="F2399" s="1">
        <f ca="1">IFERROR(__xludf.DUMMYFUNCTION("""COMPUTED_VALUE"""),40683227)</f>
        <v>40683227</v>
      </c>
    </row>
    <row r="2400" spans="1:6" x14ac:dyDescent="0.35">
      <c r="A2400" s="2">
        <f ca="1">IFERROR(__xludf.DUMMYFUNCTION("""COMPUTED_VALUE"""),45489.6666666666)</f>
        <v>45489.666666666599</v>
      </c>
      <c r="B2400" s="1">
        <f ca="1">IFERROR(__xludf.DUMMYFUNCTION("""COMPUTED_VALUE"""),195.59)</f>
        <v>195.59</v>
      </c>
      <c r="C2400" s="1">
        <f ca="1">IFERROR(__xludf.DUMMYFUNCTION("""COMPUTED_VALUE"""),196.62)</f>
        <v>196.62</v>
      </c>
      <c r="D2400" s="1">
        <f ca="1">IFERROR(__xludf.DUMMYFUNCTION("""COMPUTED_VALUE"""),192.24)</f>
        <v>192.24</v>
      </c>
      <c r="E2400" s="1">
        <f ca="1">IFERROR(__xludf.DUMMYFUNCTION("""COMPUTED_VALUE"""),193.02)</f>
        <v>193.02</v>
      </c>
      <c r="F2400" s="1">
        <f ca="1">IFERROR(__xludf.DUMMYFUNCTION("""COMPUTED_VALUE"""),33994714)</f>
        <v>33994714</v>
      </c>
    </row>
    <row r="2401" spans="1:6" x14ac:dyDescent="0.35">
      <c r="A2401" s="2">
        <f ca="1">IFERROR(__xludf.DUMMYFUNCTION("""COMPUTED_VALUE"""),45490.6666666666)</f>
        <v>45490.666666666599</v>
      </c>
      <c r="B2401" s="1">
        <f ca="1">IFERROR(__xludf.DUMMYFUNCTION("""COMPUTED_VALUE"""),191.35)</f>
        <v>191.35</v>
      </c>
      <c r="C2401" s="1">
        <f ca="1">IFERROR(__xludf.DUMMYFUNCTION("""COMPUTED_VALUE"""),191.58)</f>
        <v>191.58</v>
      </c>
      <c r="D2401" s="1">
        <f ca="1">IFERROR(__xludf.DUMMYFUNCTION("""COMPUTED_VALUE"""),185.99)</f>
        <v>185.99</v>
      </c>
      <c r="E2401" s="1">
        <f ca="1">IFERROR(__xludf.DUMMYFUNCTION("""COMPUTED_VALUE"""),187.93)</f>
        <v>187.93</v>
      </c>
      <c r="F2401" s="1">
        <f ca="1">IFERROR(__xludf.DUMMYFUNCTION("""COMPUTED_VALUE"""),48076139)</f>
        <v>48076139</v>
      </c>
    </row>
    <row r="2402" spans="1:6" x14ac:dyDescent="0.35">
      <c r="A2402" s="2">
        <f ca="1">IFERROR(__xludf.DUMMYFUNCTION("""COMPUTED_VALUE"""),45491.6666666666)</f>
        <v>45491.666666666599</v>
      </c>
      <c r="B2402" s="1">
        <f ca="1">IFERROR(__xludf.DUMMYFUNCTION("""COMPUTED_VALUE"""),189.59)</f>
        <v>189.59</v>
      </c>
      <c r="C2402" s="1">
        <f ca="1">IFERROR(__xludf.DUMMYFUNCTION("""COMPUTED_VALUE"""),189.68)</f>
        <v>189.68</v>
      </c>
      <c r="D2402" s="1">
        <f ca="1">IFERROR(__xludf.DUMMYFUNCTION("""COMPUTED_VALUE"""),181.45)</f>
        <v>181.45</v>
      </c>
      <c r="E2402" s="1">
        <f ca="1">IFERROR(__xludf.DUMMYFUNCTION("""COMPUTED_VALUE"""),183.75)</f>
        <v>183.75</v>
      </c>
      <c r="F2402" s="1">
        <f ca="1">IFERROR(__xludf.DUMMYFUNCTION("""COMPUTED_VALUE"""),51043626)</f>
        <v>51043626</v>
      </c>
    </row>
    <row r="2403" spans="1:6" x14ac:dyDescent="0.35">
      <c r="A2403" s="2">
        <f ca="1">IFERROR(__xludf.DUMMYFUNCTION("""COMPUTED_VALUE"""),45492.6666666666)</f>
        <v>45492.666666666599</v>
      </c>
      <c r="B2403" s="1">
        <f ca="1">IFERROR(__xludf.DUMMYFUNCTION("""COMPUTED_VALUE"""),181.14)</f>
        <v>181.14</v>
      </c>
      <c r="C2403" s="1">
        <f ca="1">IFERROR(__xludf.DUMMYFUNCTION("""COMPUTED_VALUE"""),184.93)</f>
        <v>184.93</v>
      </c>
      <c r="D2403" s="1">
        <f ca="1">IFERROR(__xludf.DUMMYFUNCTION("""COMPUTED_VALUE"""),180.11)</f>
        <v>180.11</v>
      </c>
      <c r="E2403" s="1">
        <f ca="1">IFERROR(__xludf.DUMMYFUNCTION("""COMPUTED_VALUE"""),183.13)</f>
        <v>183.13</v>
      </c>
      <c r="F2403" s="1">
        <f ca="1">IFERROR(__xludf.DUMMYFUNCTION("""COMPUTED_VALUE"""),43081829)</f>
        <v>43081829</v>
      </c>
    </row>
    <row r="2404" spans="1:6" x14ac:dyDescent="0.35">
      <c r="A2404" s="2">
        <f ca="1">IFERROR(__xludf.DUMMYFUNCTION("""COMPUTED_VALUE"""),45495.6666666666)</f>
        <v>45495.666666666599</v>
      </c>
      <c r="B2404" s="1">
        <f ca="1">IFERROR(__xludf.DUMMYFUNCTION("""COMPUTED_VALUE"""),185)</f>
        <v>185</v>
      </c>
      <c r="C2404" s="1">
        <f ca="1">IFERROR(__xludf.DUMMYFUNCTION("""COMPUTED_VALUE"""),185.06)</f>
        <v>185.06</v>
      </c>
      <c r="D2404" s="1">
        <f ca="1">IFERROR(__xludf.DUMMYFUNCTION("""COMPUTED_VALUE"""),182.48)</f>
        <v>182.48</v>
      </c>
      <c r="E2404" s="1">
        <f ca="1">IFERROR(__xludf.DUMMYFUNCTION("""COMPUTED_VALUE"""),182.55)</f>
        <v>182.55</v>
      </c>
      <c r="F2404" s="1">
        <f ca="1">IFERROR(__xludf.DUMMYFUNCTION("""COMPUTED_VALUE"""),39931923)</f>
        <v>39931923</v>
      </c>
    </row>
    <row r="2405" spans="1:6" x14ac:dyDescent="0.35">
      <c r="A2405" s="2">
        <f ca="1">IFERROR(__xludf.DUMMYFUNCTION("""COMPUTED_VALUE"""),45496.6666666666)</f>
        <v>45496.666666666599</v>
      </c>
      <c r="B2405" s="1">
        <f ca="1">IFERROR(__xludf.DUMMYFUNCTION("""COMPUTED_VALUE"""),184.1)</f>
        <v>184.1</v>
      </c>
      <c r="C2405" s="1">
        <f ca="1">IFERROR(__xludf.DUMMYFUNCTION("""COMPUTED_VALUE"""),189.39)</f>
        <v>189.39</v>
      </c>
      <c r="D2405" s="1">
        <f ca="1">IFERROR(__xludf.DUMMYFUNCTION("""COMPUTED_VALUE"""),183.56)</f>
        <v>183.56</v>
      </c>
      <c r="E2405" s="1">
        <f ca="1">IFERROR(__xludf.DUMMYFUNCTION("""COMPUTED_VALUE"""),186.41)</f>
        <v>186.41</v>
      </c>
      <c r="F2405" s="1">
        <f ca="1">IFERROR(__xludf.DUMMYFUNCTION("""COMPUTED_VALUE"""),47537670)</f>
        <v>47537670</v>
      </c>
    </row>
    <row r="2406" spans="1:6" x14ac:dyDescent="0.35">
      <c r="A2406" s="2">
        <f ca="1">IFERROR(__xludf.DUMMYFUNCTION("""COMPUTED_VALUE"""),45497.6666666666)</f>
        <v>45497.666666666599</v>
      </c>
      <c r="B2406" s="1">
        <f ca="1">IFERROR(__xludf.DUMMYFUNCTION("""COMPUTED_VALUE"""),183.2)</f>
        <v>183.2</v>
      </c>
      <c r="C2406" s="1">
        <f ca="1">IFERROR(__xludf.DUMMYFUNCTION("""COMPUTED_VALUE"""),185.45)</f>
        <v>185.45</v>
      </c>
      <c r="D2406" s="1">
        <f ca="1">IFERROR(__xludf.DUMMYFUNCTION("""COMPUTED_VALUE"""),180.41)</f>
        <v>180.41</v>
      </c>
      <c r="E2406" s="1">
        <f ca="1">IFERROR(__xludf.DUMMYFUNCTION("""COMPUTED_VALUE"""),180.83)</f>
        <v>180.83</v>
      </c>
      <c r="F2406" s="1">
        <f ca="1">IFERROR(__xludf.DUMMYFUNCTION("""COMPUTED_VALUE"""),41532360)</f>
        <v>41532360</v>
      </c>
    </row>
    <row r="2407" spans="1:6" x14ac:dyDescent="0.35">
      <c r="A2407" s="2">
        <f ca="1">IFERROR(__xludf.DUMMYFUNCTION("""COMPUTED_VALUE"""),45498.6666666666)</f>
        <v>45498.666666666599</v>
      </c>
      <c r="B2407" s="1">
        <f ca="1">IFERROR(__xludf.DUMMYFUNCTION("""COMPUTED_VALUE"""),182.91)</f>
        <v>182.91</v>
      </c>
      <c r="C2407" s="1">
        <f ca="1">IFERROR(__xludf.DUMMYFUNCTION("""COMPUTED_VALUE"""),183.9)</f>
        <v>183.9</v>
      </c>
      <c r="D2407" s="1">
        <f ca="1">IFERROR(__xludf.DUMMYFUNCTION("""COMPUTED_VALUE"""),176.8)</f>
        <v>176.8</v>
      </c>
      <c r="E2407" s="1">
        <f ca="1">IFERROR(__xludf.DUMMYFUNCTION("""COMPUTED_VALUE"""),179.85)</f>
        <v>179.85</v>
      </c>
      <c r="F2407" s="1">
        <f ca="1">IFERROR(__xludf.DUMMYFUNCTION("""COMPUTED_VALUE"""),44464163)</f>
        <v>44464163</v>
      </c>
    </row>
    <row r="2408" spans="1:6" x14ac:dyDescent="0.35">
      <c r="A2408" s="2">
        <f ca="1">IFERROR(__xludf.DUMMYFUNCTION("""COMPUTED_VALUE"""),45499.6666666666)</f>
        <v>45499.666666666599</v>
      </c>
      <c r="B2408" s="1">
        <f ca="1">IFERROR(__xludf.DUMMYFUNCTION("""COMPUTED_VALUE"""),180.39)</f>
        <v>180.39</v>
      </c>
      <c r="C2408" s="1">
        <f ca="1">IFERROR(__xludf.DUMMYFUNCTION("""COMPUTED_VALUE"""),183.19)</f>
        <v>183.19</v>
      </c>
      <c r="D2408" s="1">
        <f ca="1">IFERROR(__xludf.DUMMYFUNCTION("""COMPUTED_VALUE"""),180.24)</f>
        <v>180.24</v>
      </c>
      <c r="E2408" s="1">
        <f ca="1">IFERROR(__xludf.DUMMYFUNCTION("""COMPUTED_VALUE"""),182.5)</f>
        <v>182.5</v>
      </c>
      <c r="F2408" s="1">
        <f ca="1">IFERROR(__xludf.DUMMYFUNCTION("""COMPUTED_VALUE"""),29505964)</f>
        <v>29505964</v>
      </c>
    </row>
    <row r="2409" spans="1:6" x14ac:dyDescent="0.35">
      <c r="A2409" s="2">
        <f ca="1">IFERROR(__xludf.DUMMYFUNCTION("""COMPUTED_VALUE"""),45502.6666666666)</f>
        <v>45502.666666666599</v>
      </c>
      <c r="B2409" s="1">
        <f ca="1">IFERROR(__xludf.DUMMYFUNCTION("""COMPUTED_VALUE"""),183.84)</f>
        <v>183.84</v>
      </c>
      <c r="C2409" s="1">
        <f ca="1">IFERROR(__xludf.DUMMYFUNCTION("""COMPUTED_VALUE"""),184.75)</f>
        <v>184.75</v>
      </c>
      <c r="D2409" s="1">
        <f ca="1">IFERROR(__xludf.DUMMYFUNCTION("""COMPUTED_VALUE"""),182.38)</f>
        <v>182.38</v>
      </c>
      <c r="E2409" s="1">
        <f ca="1">IFERROR(__xludf.DUMMYFUNCTION("""COMPUTED_VALUE"""),183.2)</f>
        <v>183.2</v>
      </c>
      <c r="F2409" s="1">
        <f ca="1">IFERROR(__xludf.DUMMYFUNCTION("""COMPUTED_VALUE"""),33270123)</f>
        <v>33270123</v>
      </c>
    </row>
    <row r="2410" spans="1:6" x14ac:dyDescent="0.35">
      <c r="A2410" s="2">
        <f ca="1">IFERROR(__xludf.DUMMYFUNCTION("""COMPUTED_VALUE"""),45503.6666666666)</f>
        <v>45503.666666666599</v>
      </c>
      <c r="B2410" s="1">
        <f ca="1">IFERROR(__xludf.DUMMYFUNCTION("""COMPUTED_VALUE"""),184.72)</f>
        <v>184.72</v>
      </c>
      <c r="C2410" s="1">
        <f ca="1">IFERROR(__xludf.DUMMYFUNCTION("""COMPUTED_VALUE"""),185.86)</f>
        <v>185.86</v>
      </c>
      <c r="D2410" s="1">
        <f ca="1">IFERROR(__xludf.DUMMYFUNCTION("""COMPUTED_VALUE"""),179.38)</f>
        <v>179.38</v>
      </c>
      <c r="E2410" s="1">
        <f ca="1">IFERROR(__xludf.DUMMYFUNCTION("""COMPUTED_VALUE"""),181.71)</f>
        <v>181.71</v>
      </c>
      <c r="F2410" s="1">
        <f ca="1">IFERROR(__xludf.DUMMYFUNCTION("""COMPUTED_VALUE"""),39508574)</f>
        <v>39508574</v>
      </c>
    </row>
    <row r="2411" spans="1:6" x14ac:dyDescent="0.35">
      <c r="A2411" s="2">
        <f ca="1">IFERROR(__xludf.DUMMYFUNCTION("""COMPUTED_VALUE"""),45504.6666666666)</f>
        <v>45504.666666666599</v>
      </c>
      <c r="B2411" s="1">
        <f ca="1">IFERROR(__xludf.DUMMYFUNCTION("""COMPUTED_VALUE"""),185.05)</f>
        <v>185.05</v>
      </c>
      <c r="C2411" s="1">
        <f ca="1">IFERROR(__xludf.DUMMYFUNCTION("""COMPUTED_VALUE"""),187.94)</f>
        <v>187.94</v>
      </c>
      <c r="D2411" s="1">
        <f ca="1">IFERROR(__xludf.DUMMYFUNCTION("""COMPUTED_VALUE"""),184.46)</f>
        <v>184.46</v>
      </c>
      <c r="E2411" s="1">
        <f ca="1">IFERROR(__xludf.DUMMYFUNCTION("""COMPUTED_VALUE"""),186.98)</f>
        <v>186.98</v>
      </c>
      <c r="F2411" s="1">
        <f ca="1">IFERROR(__xludf.DUMMYFUNCTION("""COMPUTED_VALUE"""),41667326)</f>
        <v>41667326</v>
      </c>
    </row>
    <row r="2412" spans="1:6" x14ac:dyDescent="0.35">
      <c r="A2412" s="2">
        <f ca="1">IFERROR(__xludf.DUMMYFUNCTION("""COMPUTED_VALUE"""),45505.6666666666)</f>
        <v>45505.666666666599</v>
      </c>
      <c r="B2412" s="1">
        <f ca="1">IFERROR(__xludf.DUMMYFUNCTION("""COMPUTED_VALUE"""),189.29)</f>
        <v>189.29</v>
      </c>
      <c r="C2412" s="1">
        <f ca="1">IFERROR(__xludf.DUMMYFUNCTION("""COMPUTED_VALUE"""),190.6)</f>
        <v>190.6</v>
      </c>
      <c r="D2412" s="1">
        <f ca="1">IFERROR(__xludf.DUMMYFUNCTION("""COMPUTED_VALUE"""),181.87)</f>
        <v>181.87</v>
      </c>
      <c r="E2412" s="1">
        <f ca="1">IFERROR(__xludf.DUMMYFUNCTION("""COMPUTED_VALUE"""),184.07)</f>
        <v>184.07</v>
      </c>
      <c r="F2412" s="1">
        <f ca="1">IFERROR(__xludf.DUMMYFUNCTION("""COMPUTED_VALUE"""),70435635)</f>
        <v>70435635</v>
      </c>
    </row>
    <row r="2413" spans="1:6" x14ac:dyDescent="0.35">
      <c r="A2413" s="2">
        <f ca="1">IFERROR(__xludf.DUMMYFUNCTION("""COMPUTED_VALUE"""),45506.6666666666)</f>
        <v>45506.666666666599</v>
      </c>
      <c r="B2413" s="1">
        <f ca="1">IFERROR(__xludf.DUMMYFUNCTION("""COMPUTED_VALUE"""),166.75)</f>
        <v>166.75</v>
      </c>
      <c r="C2413" s="1">
        <f ca="1">IFERROR(__xludf.DUMMYFUNCTION("""COMPUTED_VALUE"""),168.77)</f>
        <v>168.77</v>
      </c>
      <c r="D2413" s="1">
        <f ca="1">IFERROR(__xludf.DUMMYFUNCTION("""COMPUTED_VALUE"""),160.55)</f>
        <v>160.55000000000001</v>
      </c>
      <c r="E2413" s="1">
        <f ca="1">IFERROR(__xludf.DUMMYFUNCTION("""COMPUTED_VALUE"""),167.9)</f>
        <v>167.9</v>
      </c>
      <c r="F2413" s="1">
        <f ca="1">IFERROR(__xludf.DUMMYFUNCTION("""COMPUTED_VALUE"""),141448365)</f>
        <v>141448365</v>
      </c>
    </row>
    <row r="2414" spans="1:6" x14ac:dyDescent="0.35">
      <c r="A2414" s="2">
        <f ca="1">IFERROR(__xludf.DUMMYFUNCTION("""COMPUTED_VALUE"""),45509.6666666666)</f>
        <v>45509.666666666599</v>
      </c>
      <c r="B2414" s="1">
        <f ca="1">IFERROR(__xludf.DUMMYFUNCTION("""COMPUTED_VALUE"""),154.21)</f>
        <v>154.21</v>
      </c>
      <c r="C2414" s="1">
        <f ca="1">IFERROR(__xludf.DUMMYFUNCTION("""COMPUTED_VALUE"""),162.96)</f>
        <v>162.96</v>
      </c>
      <c r="D2414" s="1">
        <f ca="1">IFERROR(__xludf.DUMMYFUNCTION("""COMPUTED_VALUE"""),151.61)</f>
        <v>151.61000000000001</v>
      </c>
      <c r="E2414" s="1">
        <f ca="1">IFERROR(__xludf.DUMMYFUNCTION("""COMPUTED_VALUE"""),161.02)</f>
        <v>161.02000000000001</v>
      </c>
      <c r="F2414" s="1">
        <f ca="1">IFERROR(__xludf.DUMMYFUNCTION("""COMPUTED_VALUE"""),83149437)</f>
        <v>83149437</v>
      </c>
    </row>
    <row r="2415" spans="1:6" x14ac:dyDescent="0.35">
      <c r="A2415" s="2">
        <f ca="1">IFERROR(__xludf.DUMMYFUNCTION("""COMPUTED_VALUE"""),45510.6666666666)</f>
        <v>45510.666666666599</v>
      </c>
      <c r="B2415" s="1">
        <f ca="1">IFERROR(__xludf.DUMMYFUNCTION("""COMPUTED_VALUE"""),161.71)</f>
        <v>161.71</v>
      </c>
      <c r="C2415" s="1">
        <f ca="1">IFERROR(__xludf.DUMMYFUNCTION("""COMPUTED_VALUE"""),165.08)</f>
        <v>165.08</v>
      </c>
      <c r="D2415" s="1">
        <f ca="1">IFERROR(__xludf.DUMMYFUNCTION("""COMPUTED_VALUE"""),158.54)</f>
        <v>158.54</v>
      </c>
      <c r="E2415" s="1">
        <f ca="1">IFERROR(__xludf.DUMMYFUNCTION("""COMPUTED_VALUE"""),161.93)</f>
        <v>161.93</v>
      </c>
      <c r="F2415" s="1">
        <f ca="1">IFERROR(__xludf.DUMMYFUNCTION("""COMPUTED_VALUE"""),59950830)</f>
        <v>59950830</v>
      </c>
    </row>
    <row r="2416" spans="1:6" x14ac:dyDescent="0.35">
      <c r="A2416" s="2">
        <f ca="1">IFERROR(__xludf.DUMMYFUNCTION("""COMPUTED_VALUE"""),45511.6666666666)</f>
        <v>45511.666666666599</v>
      </c>
      <c r="B2416" s="1">
        <f ca="1">IFERROR(__xludf.DUMMYFUNCTION("""COMPUTED_VALUE"""),166.55)</f>
        <v>166.55</v>
      </c>
      <c r="C2416" s="1">
        <f ca="1">IFERROR(__xludf.DUMMYFUNCTION("""COMPUTED_VALUE"""),167.58)</f>
        <v>167.58</v>
      </c>
      <c r="D2416" s="1">
        <f ca="1">IFERROR(__xludf.DUMMYFUNCTION("""COMPUTED_VALUE"""),161.43)</f>
        <v>161.43</v>
      </c>
      <c r="E2416" s="1">
        <f ca="1">IFERROR(__xludf.DUMMYFUNCTION("""COMPUTED_VALUE"""),162.77)</f>
        <v>162.77000000000001</v>
      </c>
      <c r="F2416" s="1">
        <f ca="1">IFERROR(__xludf.DUMMYFUNCTION("""COMPUTED_VALUE"""),48408240)</f>
        <v>48408240</v>
      </c>
    </row>
    <row r="2417" spans="1:6" x14ac:dyDescent="0.35">
      <c r="A2417" s="2">
        <f ca="1">IFERROR(__xludf.DUMMYFUNCTION("""COMPUTED_VALUE"""),45512.6666666666)</f>
        <v>45512.666666666599</v>
      </c>
      <c r="B2417" s="1">
        <f ca="1">IFERROR(__xludf.DUMMYFUNCTION("""COMPUTED_VALUE"""),165.17)</f>
        <v>165.17</v>
      </c>
      <c r="C2417" s="1">
        <f ca="1">IFERROR(__xludf.DUMMYFUNCTION("""COMPUTED_VALUE"""),166.69)</f>
        <v>166.69</v>
      </c>
      <c r="D2417" s="1">
        <f ca="1">IFERROR(__xludf.DUMMYFUNCTION("""COMPUTED_VALUE"""),162.55)</f>
        <v>162.55000000000001</v>
      </c>
      <c r="E2417" s="1">
        <f ca="1">IFERROR(__xludf.DUMMYFUNCTION("""COMPUTED_VALUE"""),165.8)</f>
        <v>165.8</v>
      </c>
      <c r="F2417" s="1">
        <f ca="1">IFERROR(__xludf.DUMMYFUNCTION("""COMPUTED_VALUE"""),44616206)</f>
        <v>44616206</v>
      </c>
    </row>
    <row r="2418" spans="1:6" x14ac:dyDescent="0.35">
      <c r="A2418" s="2">
        <f ca="1">IFERROR(__xludf.DUMMYFUNCTION("""COMPUTED_VALUE"""),45513.6666666666)</f>
        <v>45513.666666666599</v>
      </c>
      <c r="B2418" s="1">
        <f ca="1">IFERROR(__xludf.DUMMYFUNCTION("""COMPUTED_VALUE"""),166.4)</f>
        <v>166.4</v>
      </c>
      <c r="C2418" s="1">
        <f ca="1">IFERROR(__xludf.DUMMYFUNCTION("""COMPUTED_VALUE"""),168.55)</f>
        <v>168.55</v>
      </c>
      <c r="D2418" s="1">
        <f ca="1">IFERROR(__xludf.DUMMYFUNCTION("""COMPUTED_VALUE"""),165.85)</f>
        <v>165.85</v>
      </c>
      <c r="E2418" s="1">
        <f ca="1">IFERROR(__xludf.DUMMYFUNCTION("""COMPUTED_VALUE"""),166.94)</f>
        <v>166.94</v>
      </c>
      <c r="F2418" s="1">
        <f ca="1">IFERROR(__xludf.DUMMYFUNCTION("""COMPUTED_VALUE"""),36401049)</f>
        <v>36401049</v>
      </c>
    </row>
    <row r="2419" spans="1:6" x14ac:dyDescent="0.35">
      <c r="A2419" s="2">
        <f ca="1">IFERROR(__xludf.DUMMYFUNCTION("""COMPUTED_VALUE"""),45516.6666666666)</f>
        <v>45516.666666666599</v>
      </c>
      <c r="B2419" s="1">
        <f ca="1">IFERROR(__xludf.DUMMYFUNCTION("""COMPUTED_VALUE"""),168.14)</f>
        <v>168.14</v>
      </c>
      <c r="C2419" s="1">
        <f ca="1">IFERROR(__xludf.DUMMYFUNCTION("""COMPUTED_VALUE"""),168.55)</f>
        <v>168.55</v>
      </c>
      <c r="D2419" s="1">
        <f ca="1">IFERROR(__xludf.DUMMYFUNCTION("""COMPUTED_VALUE"""),166.11)</f>
        <v>166.11</v>
      </c>
      <c r="E2419" s="1">
        <f ca="1">IFERROR(__xludf.DUMMYFUNCTION("""COMPUTED_VALUE"""),166.8)</f>
        <v>166.8</v>
      </c>
      <c r="F2419" s="1">
        <f ca="1">IFERROR(__xludf.DUMMYFUNCTION("""COMPUTED_VALUE"""),30072788)</f>
        <v>30072788</v>
      </c>
    </row>
    <row r="2420" spans="1:6" x14ac:dyDescent="0.35">
      <c r="A2420" s="2">
        <f ca="1">IFERROR(__xludf.DUMMYFUNCTION("""COMPUTED_VALUE"""),45517.6666666666)</f>
        <v>45517.666666666599</v>
      </c>
      <c r="B2420" s="1">
        <f ca="1">IFERROR(__xludf.DUMMYFUNCTION("""COMPUTED_VALUE"""),167.81)</f>
        <v>167.81</v>
      </c>
      <c r="C2420" s="1">
        <f ca="1">IFERROR(__xludf.DUMMYFUNCTION("""COMPUTED_VALUE"""),171.04)</f>
        <v>171.04</v>
      </c>
      <c r="D2420" s="1">
        <f ca="1">IFERROR(__xludf.DUMMYFUNCTION("""COMPUTED_VALUE"""),167.1)</f>
        <v>167.1</v>
      </c>
      <c r="E2420" s="1">
        <f ca="1">IFERROR(__xludf.DUMMYFUNCTION("""COMPUTED_VALUE"""),170.23)</f>
        <v>170.23</v>
      </c>
      <c r="F2420" s="1">
        <f ca="1">IFERROR(__xludf.DUMMYFUNCTION("""COMPUTED_VALUE"""),39237915)</f>
        <v>39237915</v>
      </c>
    </row>
    <row r="2421" spans="1:6" x14ac:dyDescent="0.35">
      <c r="A2421" s="2">
        <f ca="1">IFERROR(__xludf.DUMMYFUNCTION("""COMPUTED_VALUE"""),45518.6666666666)</f>
        <v>45518.666666666599</v>
      </c>
      <c r="B2421" s="1">
        <f ca="1">IFERROR(__xludf.DUMMYFUNCTION("""COMPUTED_VALUE"""),172.11)</f>
        <v>172.11</v>
      </c>
      <c r="C2421" s="1">
        <f ca="1">IFERROR(__xludf.DUMMYFUNCTION("""COMPUTED_VALUE"""),172.28)</f>
        <v>172.28</v>
      </c>
      <c r="D2421" s="1">
        <f ca="1">IFERROR(__xludf.DUMMYFUNCTION("""COMPUTED_VALUE"""),168.86)</f>
        <v>168.86</v>
      </c>
      <c r="E2421" s="1">
        <f ca="1">IFERROR(__xludf.DUMMYFUNCTION("""COMPUTED_VALUE"""),170.1)</f>
        <v>170.1</v>
      </c>
      <c r="F2421" s="1">
        <f ca="1">IFERROR(__xludf.DUMMYFUNCTION("""COMPUTED_VALUE"""),28843804)</f>
        <v>28843804</v>
      </c>
    </row>
    <row r="2422" spans="1:6" x14ac:dyDescent="0.35">
      <c r="A2422" s="2">
        <f ca="1">IFERROR(__xludf.DUMMYFUNCTION("""COMPUTED_VALUE"""),45519.6666666666)</f>
        <v>45519.666666666599</v>
      </c>
      <c r="B2422" s="1">
        <f ca="1">IFERROR(__xludf.DUMMYFUNCTION("""COMPUTED_VALUE"""),174.86)</f>
        <v>174.86</v>
      </c>
      <c r="C2422" s="1">
        <f ca="1">IFERROR(__xludf.DUMMYFUNCTION("""COMPUTED_VALUE"""),177.91)</f>
        <v>177.91</v>
      </c>
      <c r="D2422" s="1">
        <f ca="1">IFERROR(__xludf.DUMMYFUNCTION("""COMPUTED_VALUE"""),173.99)</f>
        <v>173.99</v>
      </c>
      <c r="E2422" s="1">
        <f ca="1">IFERROR(__xludf.DUMMYFUNCTION("""COMPUTED_VALUE"""),177.59)</f>
        <v>177.59</v>
      </c>
      <c r="F2422" s="1">
        <f ca="1">IFERROR(__xludf.DUMMYFUNCTION("""COMPUTED_VALUE"""),51698513)</f>
        <v>51698513</v>
      </c>
    </row>
    <row r="2423" spans="1:6" x14ac:dyDescent="0.35">
      <c r="A2423" s="2">
        <f ca="1">IFERROR(__xludf.DUMMYFUNCTION("""COMPUTED_VALUE"""),45520.6666666666)</f>
        <v>45520.666666666599</v>
      </c>
      <c r="B2423" s="1">
        <f ca="1">IFERROR(__xludf.DUMMYFUNCTION("""COMPUTED_VALUE"""),177.04)</f>
        <v>177.04</v>
      </c>
      <c r="C2423" s="1">
        <f ca="1">IFERROR(__xludf.DUMMYFUNCTION("""COMPUTED_VALUE"""),178.34)</f>
        <v>178.34</v>
      </c>
      <c r="D2423" s="1">
        <f ca="1">IFERROR(__xludf.DUMMYFUNCTION("""COMPUTED_VALUE"""),176.26)</f>
        <v>176.26</v>
      </c>
      <c r="E2423" s="1">
        <f ca="1">IFERROR(__xludf.DUMMYFUNCTION("""COMPUTED_VALUE"""),177.06)</f>
        <v>177.06</v>
      </c>
      <c r="F2423" s="1">
        <f ca="1">IFERROR(__xludf.DUMMYFUNCTION("""COMPUTED_VALUE"""),31489175)</f>
        <v>31489175</v>
      </c>
    </row>
    <row r="2424" spans="1:6" x14ac:dyDescent="0.35">
      <c r="A2424" s="2">
        <f ca="1">IFERROR(__xludf.DUMMYFUNCTION("""COMPUTED_VALUE"""),45523.6666666666)</f>
        <v>45523.666666666599</v>
      </c>
      <c r="B2424" s="1">
        <f ca="1">IFERROR(__xludf.DUMMYFUNCTION("""COMPUTED_VALUE"""),177.64)</f>
        <v>177.64</v>
      </c>
      <c r="C2424" s="1">
        <f ca="1">IFERROR(__xludf.DUMMYFUNCTION("""COMPUTED_VALUE"""),178.3)</f>
        <v>178.3</v>
      </c>
      <c r="D2424" s="1">
        <f ca="1">IFERROR(__xludf.DUMMYFUNCTION("""COMPUTED_VALUE"""),176.16)</f>
        <v>176.16</v>
      </c>
      <c r="E2424" s="1">
        <f ca="1">IFERROR(__xludf.DUMMYFUNCTION("""COMPUTED_VALUE"""),178.22)</f>
        <v>178.22</v>
      </c>
      <c r="F2424" s="1">
        <f ca="1">IFERROR(__xludf.DUMMYFUNCTION("""COMPUTED_VALUE"""),31129807)</f>
        <v>31129807</v>
      </c>
    </row>
    <row r="2425" spans="1:6" x14ac:dyDescent="0.35">
      <c r="A2425" s="2">
        <f ca="1">IFERROR(__xludf.DUMMYFUNCTION("""COMPUTED_VALUE"""),45524.6666666666)</f>
        <v>45524.666666666599</v>
      </c>
      <c r="B2425" s="1">
        <f ca="1">IFERROR(__xludf.DUMMYFUNCTION("""COMPUTED_VALUE"""),177.92)</f>
        <v>177.92</v>
      </c>
      <c r="C2425" s="1">
        <f ca="1">IFERROR(__xludf.DUMMYFUNCTION("""COMPUTED_VALUE"""),179.01)</f>
        <v>179.01</v>
      </c>
      <c r="D2425" s="1">
        <f ca="1">IFERROR(__xludf.DUMMYFUNCTION("""COMPUTED_VALUE"""),177.43)</f>
        <v>177.43</v>
      </c>
      <c r="E2425" s="1">
        <f ca="1">IFERROR(__xludf.DUMMYFUNCTION("""COMPUTED_VALUE"""),178.88)</f>
        <v>178.88</v>
      </c>
      <c r="F2425" s="1">
        <f ca="1">IFERROR(__xludf.DUMMYFUNCTION("""COMPUTED_VALUE"""),26255204)</f>
        <v>26255204</v>
      </c>
    </row>
    <row r="2426" spans="1:6" x14ac:dyDescent="0.35">
      <c r="A2426" s="2">
        <f ca="1">IFERROR(__xludf.DUMMYFUNCTION("""COMPUTED_VALUE"""),45525.6666666666)</f>
        <v>45525.666666666599</v>
      </c>
      <c r="B2426" s="1">
        <f ca="1">IFERROR(__xludf.DUMMYFUNCTION("""COMPUTED_VALUE"""),179.92)</f>
        <v>179.92</v>
      </c>
      <c r="C2426" s="1">
        <f ca="1">IFERROR(__xludf.DUMMYFUNCTION("""COMPUTED_VALUE"""),182.39)</f>
        <v>182.39</v>
      </c>
      <c r="D2426" s="1">
        <f ca="1">IFERROR(__xludf.DUMMYFUNCTION("""COMPUTED_VALUE"""),178.89)</f>
        <v>178.89</v>
      </c>
      <c r="E2426" s="1">
        <f ca="1">IFERROR(__xludf.DUMMYFUNCTION("""COMPUTED_VALUE"""),180.11)</f>
        <v>180.11</v>
      </c>
      <c r="F2426" s="1">
        <f ca="1">IFERROR(__xludf.DUMMYFUNCTION("""COMPUTED_VALUE"""),35599120)</f>
        <v>35599120</v>
      </c>
    </row>
    <row r="2427" spans="1:6" x14ac:dyDescent="0.35">
      <c r="A2427" s="2">
        <f ca="1">IFERROR(__xludf.DUMMYFUNCTION("""COMPUTED_VALUE"""),45526.6666666666)</f>
        <v>45526.666666666599</v>
      </c>
      <c r="B2427" s="1">
        <f ca="1">IFERROR(__xludf.DUMMYFUNCTION("""COMPUTED_VALUE"""),181.38)</f>
        <v>181.38</v>
      </c>
      <c r="C2427" s="1">
        <f ca="1">IFERROR(__xludf.DUMMYFUNCTION("""COMPUTED_VALUE"""),181.47)</f>
        <v>181.47</v>
      </c>
      <c r="D2427" s="1">
        <f ca="1">IFERROR(__xludf.DUMMYFUNCTION("""COMPUTED_VALUE"""),175.68)</f>
        <v>175.68</v>
      </c>
      <c r="E2427" s="1">
        <f ca="1">IFERROR(__xludf.DUMMYFUNCTION("""COMPUTED_VALUE"""),176.13)</f>
        <v>176.13</v>
      </c>
      <c r="F2427" s="1">
        <f ca="1">IFERROR(__xludf.DUMMYFUNCTION("""COMPUTED_VALUE"""),32047482)</f>
        <v>32047482</v>
      </c>
    </row>
    <row r="2428" spans="1:6" x14ac:dyDescent="0.35">
      <c r="A2428" s="2">
        <f ca="1">IFERROR(__xludf.DUMMYFUNCTION("""COMPUTED_VALUE"""),45527.6666666666)</f>
        <v>45527.666666666599</v>
      </c>
      <c r="B2428" s="1">
        <f ca="1">IFERROR(__xludf.DUMMYFUNCTION("""COMPUTED_VALUE"""),177.34)</f>
        <v>177.34</v>
      </c>
      <c r="C2428" s="1">
        <f ca="1">IFERROR(__xludf.DUMMYFUNCTION("""COMPUTED_VALUE"""),178.97)</f>
        <v>178.97</v>
      </c>
      <c r="D2428" s="1">
        <f ca="1">IFERROR(__xludf.DUMMYFUNCTION("""COMPUTED_VALUE"""),175.24)</f>
        <v>175.24</v>
      </c>
      <c r="E2428" s="1">
        <f ca="1">IFERROR(__xludf.DUMMYFUNCTION("""COMPUTED_VALUE"""),177.04)</f>
        <v>177.04</v>
      </c>
      <c r="F2428" s="1">
        <f ca="1">IFERROR(__xludf.DUMMYFUNCTION("""COMPUTED_VALUE"""),29150091)</f>
        <v>29150091</v>
      </c>
    </row>
    <row r="2429" spans="1:6" x14ac:dyDescent="0.35">
      <c r="A2429" s="2">
        <f ca="1">IFERROR(__xludf.DUMMYFUNCTION("""COMPUTED_VALUE"""),45530.6666666666)</f>
        <v>45530.666666666599</v>
      </c>
      <c r="B2429" s="1">
        <f ca="1">IFERROR(__xludf.DUMMYFUNCTION("""COMPUTED_VALUE"""),176.7)</f>
        <v>176.7</v>
      </c>
      <c r="C2429" s="1">
        <f ca="1">IFERROR(__xludf.DUMMYFUNCTION("""COMPUTED_VALUE"""),177.47)</f>
        <v>177.47</v>
      </c>
      <c r="D2429" s="1">
        <f ca="1">IFERROR(__xludf.DUMMYFUNCTION("""COMPUTED_VALUE"""),174.3)</f>
        <v>174.3</v>
      </c>
      <c r="E2429" s="1">
        <f ca="1">IFERROR(__xludf.DUMMYFUNCTION("""COMPUTED_VALUE"""),175.5)</f>
        <v>175.5</v>
      </c>
      <c r="F2429" s="1">
        <f ca="1">IFERROR(__xludf.DUMMYFUNCTION("""COMPUTED_VALUE"""),22366236)</f>
        <v>22366236</v>
      </c>
    </row>
    <row r="2430" spans="1:6" x14ac:dyDescent="0.35">
      <c r="A2430" s="2">
        <f ca="1">IFERROR(__xludf.DUMMYFUNCTION("""COMPUTED_VALUE"""),45531.6666666666)</f>
        <v>45531.666666666599</v>
      </c>
      <c r="B2430" s="1">
        <f ca="1">IFERROR(__xludf.DUMMYFUNCTION("""COMPUTED_VALUE"""),174.15)</f>
        <v>174.15</v>
      </c>
      <c r="C2430" s="1">
        <f ca="1">IFERROR(__xludf.DUMMYFUNCTION("""COMPUTED_VALUE"""),174.89)</f>
        <v>174.89</v>
      </c>
      <c r="D2430" s="1">
        <f ca="1">IFERROR(__xludf.DUMMYFUNCTION("""COMPUTED_VALUE"""),172.25)</f>
        <v>172.25</v>
      </c>
      <c r="E2430" s="1">
        <f ca="1">IFERROR(__xludf.DUMMYFUNCTION("""COMPUTED_VALUE"""),173.12)</f>
        <v>173.12</v>
      </c>
      <c r="F2430" s="1">
        <f ca="1">IFERROR(__xludf.DUMMYFUNCTION("""COMPUTED_VALUE"""),29841979)</f>
        <v>29841979</v>
      </c>
    </row>
    <row r="2431" spans="1:6" x14ac:dyDescent="0.35">
      <c r="A2431" s="2">
        <f ca="1">IFERROR(__xludf.DUMMYFUNCTION("""COMPUTED_VALUE"""),45532.6666666666)</f>
        <v>45532.666666666599</v>
      </c>
      <c r="B2431" s="1">
        <f ca="1">IFERROR(__xludf.DUMMYFUNCTION("""COMPUTED_VALUE"""),173.69)</f>
        <v>173.69</v>
      </c>
      <c r="C2431" s="1">
        <f ca="1">IFERROR(__xludf.DUMMYFUNCTION("""COMPUTED_VALUE"""),173.69)</f>
        <v>173.69</v>
      </c>
      <c r="D2431" s="1">
        <f ca="1">IFERROR(__xludf.DUMMYFUNCTION("""COMPUTED_VALUE"""),168.92)</f>
        <v>168.92</v>
      </c>
      <c r="E2431" s="1">
        <f ca="1">IFERROR(__xludf.DUMMYFUNCTION("""COMPUTED_VALUE"""),170.8)</f>
        <v>170.8</v>
      </c>
      <c r="F2431" s="1">
        <f ca="1">IFERROR(__xludf.DUMMYFUNCTION("""COMPUTED_VALUE"""),29045025)</f>
        <v>29045025</v>
      </c>
    </row>
    <row r="2432" spans="1:6" x14ac:dyDescent="0.35">
      <c r="A2432" s="2">
        <f ca="1">IFERROR(__xludf.DUMMYFUNCTION("""COMPUTED_VALUE"""),45533.6666666666)</f>
        <v>45533.666666666599</v>
      </c>
      <c r="B2432" s="1">
        <f ca="1">IFERROR(__xludf.DUMMYFUNCTION("""COMPUTED_VALUE"""),173.22)</f>
        <v>173.22</v>
      </c>
      <c r="C2432" s="1">
        <f ca="1">IFERROR(__xludf.DUMMYFUNCTION("""COMPUTED_VALUE"""),174.29)</f>
        <v>174.29</v>
      </c>
      <c r="D2432" s="1">
        <f ca="1">IFERROR(__xludf.DUMMYFUNCTION("""COMPUTED_VALUE"""),170.81)</f>
        <v>170.81</v>
      </c>
      <c r="E2432" s="1">
        <f ca="1">IFERROR(__xludf.DUMMYFUNCTION("""COMPUTED_VALUE"""),172.12)</f>
        <v>172.12</v>
      </c>
      <c r="F2432" s="1">
        <f ca="1">IFERROR(__xludf.DUMMYFUNCTION("""COMPUTED_VALUE"""),26407815)</f>
        <v>26407815</v>
      </c>
    </row>
    <row r="2433" spans="1:6" x14ac:dyDescent="0.35">
      <c r="A2433" s="2">
        <f ca="1">IFERROR(__xludf.DUMMYFUNCTION("""COMPUTED_VALUE"""),45534.6666666666)</f>
        <v>45534.666666666599</v>
      </c>
      <c r="B2433" s="1">
        <f ca="1">IFERROR(__xludf.DUMMYFUNCTION("""COMPUTED_VALUE"""),172.78)</f>
        <v>172.78</v>
      </c>
      <c r="C2433" s="1">
        <f ca="1">IFERROR(__xludf.DUMMYFUNCTION("""COMPUTED_VALUE"""),178.9)</f>
        <v>178.9</v>
      </c>
      <c r="D2433" s="1">
        <f ca="1">IFERROR(__xludf.DUMMYFUNCTION("""COMPUTED_VALUE"""),172.6)</f>
        <v>172.6</v>
      </c>
      <c r="E2433" s="1">
        <f ca="1">IFERROR(__xludf.DUMMYFUNCTION("""COMPUTED_VALUE"""),178.5)</f>
        <v>178.5</v>
      </c>
      <c r="F2433" s="1">
        <f ca="1">IFERROR(__xludf.DUMMYFUNCTION("""COMPUTED_VALUE"""),43429355)</f>
        <v>43429355</v>
      </c>
    </row>
    <row r="2434" spans="1:6" x14ac:dyDescent="0.35">
      <c r="A2434" s="2">
        <f ca="1">IFERROR(__xludf.DUMMYFUNCTION("""COMPUTED_VALUE"""),45538.6666666666)</f>
        <v>45538.666666666599</v>
      </c>
      <c r="B2434" s="1">
        <f ca="1">IFERROR(__xludf.DUMMYFUNCTION("""COMPUTED_VALUE"""),177.55)</f>
        <v>177.55</v>
      </c>
      <c r="C2434" s="1">
        <f ca="1">IFERROR(__xludf.DUMMYFUNCTION("""COMPUTED_VALUE"""),178.26)</f>
        <v>178.26</v>
      </c>
      <c r="D2434" s="1">
        <f ca="1">IFERROR(__xludf.DUMMYFUNCTION("""COMPUTED_VALUE"""),175.26)</f>
        <v>175.26</v>
      </c>
      <c r="E2434" s="1">
        <f ca="1">IFERROR(__xludf.DUMMYFUNCTION("""COMPUTED_VALUE"""),176.25)</f>
        <v>176.25</v>
      </c>
      <c r="F2434" s="1">
        <f ca="1">IFERROR(__xludf.DUMMYFUNCTION("""COMPUTED_VALUE"""),37817511)</f>
        <v>37817511</v>
      </c>
    </row>
    <row r="2435" spans="1:6" x14ac:dyDescent="0.35">
      <c r="A2435" s="2">
        <f ca="1">IFERROR(__xludf.DUMMYFUNCTION("""COMPUTED_VALUE"""),45539.6666666666)</f>
        <v>45539.666666666599</v>
      </c>
      <c r="B2435" s="1">
        <f ca="1">IFERROR(__xludf.DUMMYFUNCTION("""COMPUTED_VALUE"""),174.48)</f>
        <v>174.48</v>
      </c>
      <c r="C2435" s="1">
        <f ca="1">IFERROR(__xludf.DUMMYFUNCTION("""COMPUTED_VALUE"""),175.98)</f>
        <v>175.98</v>
      </c>
      <c r="D2435" s="1">
        <f ca="1">IFERROR(__xludf.DUMMYFUNCTION("""COMPUTED_VALUE"""),172.54)</f>
        <v>172.54</v>
      </c>
      <c r="E2435" s="1">
        <f ca="1">IFERROR(__xludf.DUMMYFUNCTION("""COMPUTED_VALUE"""),173.33)</f>
        <v>173.33</v>
      </c>
      <c r="F2435" s="1">
        <f ca="1">IFERROR(__xludf.DUMMYFUNCTION("""COMPUTED_VALUE"""),30309225)</f>
        <v>30309225</v>
      </c>
    </row>
    <row r="2436" spans="1:6" x14ac:dyDescent="0.35">
      <c r="A2436" s="2">
        <f ca="1">IFERROR(__xludf.DUMMYFUNCTION("""COMPUTED_VALUE"""),45540.6666666666)</f>
        <v>45540.666666666599</v>
      </c>
      <c r="B2436" s="1">
        <f ca="1">IFERROR(__xludf.DUMMYFUNCTION("""COMPUTED_VALUE"""),175)</f>
        <v>175</v>
      </c>
      <c r="C2436" s="1">
        <f ca="1">IFERROR(__xludf.DUMMYFUNCTION("""COMPUTED_VALUE"""),179.88)</f>
        <v>179.88</v>
      </c>
      <c r="D2436" s="1">
        <f ca="1">IFERROR(__xludf.DUMMYFUNCTION("""COMPUTED_VALUE"""),175)</f>
        <v>175</v>
      </c>
      <c r="E2436" s="1">
        <f ca="1">IFERROR(__xludf.DUMMYFUNCTION("""COMPUTED_VALUE"""),177.89)</f>
        <v>177.89</v>
      </c>
      <c r="F2436" s="1">
        <f ca="1">IFERROR(__xludf.DUMMYFUNCTION("""COMPUTED_VALUE"""),40170526)</f>
        <v>40170526</v>
      </c>
    </row>
    <row r="2437" spans="1:6" x14ac:dyDescent="0.35">
      <c r="A2437" s="2">
        <f ca="1">IFERROR(__xludf.DUMMYFUNCTION("""COMPUTED_VALUE"""),45541.6666666666)</f>
        <v>45541.666666666599</v>
      </c>
      <c r="B2437" s="1">
        <f ca="1">IFERROR(__xludf.DUMMYFUNCTION("""COMPUTED_VALUE"""),177.24)</f>
        <v>177.24</v>
      </c>
      <c r="C2437" s="1">
        <f ca="1">IFERROR(__xludf.DUMMYFUNCTION("""COMPUTED_VALUE"""),178.38)</f>
        <v>178.38</v>
      </c>
      <c r="D2437" s="1">
        <f ca="1">IFERROR(__xludf.DUMMYFUNCTION("""COMPUTED_VALUE"""),171.16)</f>
        <v>171.16</v>
      </c>
      <c r="E2437" s="1">
        <f ca="1">IFERROR(__xludf.DUMMYFUNCTION("""COMPUTED_VALUE"""),171.39)</f>
        <v>171.39</v>
      </c>
      <c r="F2437" s="1">
        <f ca="1">IFERROR(__xludf.DUMMYFUNCTION("""COMPUTED_VALUE"""),41466537)</f>
        <v>41466537</v>
      </c>
    </row>
    <row r="2438" spans="1:6" x14ac:dyDescent="0.35">
      <c r="A2438" s="2">
        <f ca="1">IFERROR(__xludf.DUMMYFUNCTION("""COMPUTED_VALUE"""),45544.6666666666)</f>
        <v>45544.666666666599</v>
      </c>
      <c r="B2438" s="1">
        <f ca="1">IFERROR(__xludf.DUMMYFUNCTION("""COMPUTED_VALUE"""),174.53)</f>
        <v>174.53</v>
      </c>
      <c r="C2438" s="1">
        <f ca="1">IFERROR(__xludf.DUMMYFUNCTION("""COMPUTED_VALUE"""),175.85)</f>
        <v>175.85</v>
      </c>
      <c r="D2438" s="1">
        <f ca="1">IFERROR(__xludf.DUMMYFUNCTION("""COMPUTED_VALUE"""),173.51)</f>
        <v>173.51</v>
      </c>
      <c r="E2438" s="1">
        <f ca="1">IFERROR(__xludf.DUMMYFUNCTION("""COMPUTED_VALUE"""),175.4)</f>
        <v>175.4</v>
      </c>
      <c r="F2438" s="1">
        <f ca="1">IFERROR(__xludf.DUMMYFUNCTION("""COMPUTED_VALUE"""),29037362)</f>
        <v>29037362</v>
      </c>
    </row>
    <row r="2439" spans="1:6" x14ac:dyDescent="0.35">
      <c r="A2439" s="2">
        <f ca="1">IFERROR(__xludf.DUMMYFUNCTION("""COMPUTED_VALUE"""),45545.6666666666)</f>
        <v>45545.666666666599</v>
      </c>
      <c r="B2439" s="1">
        <f ca="1">IFERROR(__xludf.DUMMYFUNCTION("""COMPUTED_VALUE"""),177.49)</f>
        <v>177.49</v>
      </c>
      <c r="C2439" s="1">
        <f ca="1">IFERROR(__xludf.DUMMYFUNCTION("""COMPUTED_VALUE"""),180.5)</f>
        <v>180.5</v>
      </c>
      <c r="D2439" s="1">
        <f ca="1">IFERROR(__xludf.DUMMYFUNCTION("""COMPUTED_VALUE"""),176.79)</f>
        <v>176.79</v>
      </c>
      <c r="E2439" s="1">
        <f ca="1">IFERROR(__xludf.DUMMYFUNCTION("""COMPUTED_VALUE"""),179.55)</f>
        <v>179.55</v>
      </c>
      <c r="F2439" s="1">
        <f ca="1">IFERROR(__xludf.DUMMYFUNCTION("""COMPUTED_VALUE"""),36233796)</f>
        <v>36233796</v>
      </c>
    </row>
    <row r="2440" spans="1:6" x14ac:dyDescent="0.35">
      <c r="A2440" s="2">
        <f ca="1">IFERROR(__xludf.DUMMYFUNCTION("""COMPUTED_VALUE"""),45546.6666666666)</f>
        <v>45546.666666666599</v>
      </c>
      <c r="B2440" s="1">
        <f ca="1">IFERROR(__xludf.DUMMYFUNCTION("""COMPUTED_VALUE"""),180.1)</f>
        <v>180.1</v>
      </c>
      <c r="C2440" s="1">
        <f ca="1">IFERROR(__xludf.DUMMYFUNCTION("""COMPUTED_VALUE"""),184.99)</f>
        <v>184.99</v>
      </c>
      <c r="D2440" s="1">
        <f ca="1">IFERROR(__xludf.DUMMYFUNCTION("""COMPUTED_VALUE"""),175.73)</f>
        <v>175.73</v>
      </c>
      <c r="E2440" s="1">
        <f ca="1">IFERROR(__xludf.DUMMYFUNCTION("""COMPUTED_VALUE"""),184.52)</f>
        <v>184.52</v>
      </c>
      <c r="F2440" s="1">
        <f ca="1">IFERROR(__xludf.DUMMYFUNCTION("""COMPUTED_VALUE"""),42564698)</f>
        <v>42564698</v>
      </c>
    </row>
    <row r="2441" spans="1:6" x14ac:dyDescent="0.35">
      <c r="A2441" s="2">
        <f ca="1">IFERROR(__xludf.DUMMYFUNCTION("""COMPUTED_VALUE"""),45547.6666666666)</f>
        <v>45547.666666666599</v>
      </c>
      <c r="B2441" s="1">
        <f ca="1">IFERROR(__xludf.DUMMYFUNCTION("""COMPUTED_VALUE"""),184.8)</f>
        <v>184.8</v>
      </c>
      <c r="C2441" s="1">
        <f ca="1">IFERROR(__xludf.DUMMYFUNCTION("""COMPUTED_VALUE"""),187.41)</f>
        <v>187.41</v>
      </c>
      <c r="D2441" s="1">
        <f ca="1">IFERROR(__xludf.DUMMYFUNCTION("""COMPUTED_VALUE"""),183.54)</f>
        <v>183.54</v>
      </c>
      <c r="E2441" s="1">
        <f ca="1">IFERROR(__xludf.DUMMYFUNCTION("""COMPUTED_VALUE"""),187)</f>
        <v>187</v>
      </c>
      <c r="F2441" s="1">
        <f ca="1">IFERROR(__xludf.DUMMYFUNCTION("""COMPUTED_VALUE"""),33622483)</f>
        <v>33622483</v>
      </c>
    </row>
    <row r="2442" spans="1:6" x14ac:dyDescent="0.35">
      <c r="A2442" s="2">
        <f ca="1">IFERROR(__xludf.DUMMYFUNCTION("""COMPUTED_VALUE"""),45548.6666666666)</f>
        <v>45548.666666666599</v>
      </c>
      <c r="B2442" s="1">
        <f ca="1">IFERROR(__xludf.DUMMYFUNCTION("""COMPUTED_VALUE"""),187)</f>
        <v>187</v>
      </c>
      <c r="C2442" s="1">
        <f ca="1">IFERROR(__xludf.DUMMYFUNCTION("""COMPUTED_VALUE"""),188.5)</f>
        <v>188.5</v>
      </c>
      <c r="D2442" s="1">
        <f ca="1">IFERROR(__xludf.DUMMYFUNCTION("""COMPUTED_VALUE"""),185.91)</f>
        <v>185.91</v>
      </c>
      <c r="E2442" s="1">
        <f ca="1">IFERROR(__xludf.DUMMYFUNCTION("""COMPUTED_VALUE"""),186.49)</f>
        <v>186.49</v>
      </c>
      <c r="F2442" s="1">
        <f ca="1">IFERROR(__xludf.DUMMYFUNCTION("""COMPUTED_VALUE"""),26495351)</f>
        <v>26495351</v>
      </c>
    </row>
    <row r="2443" spans="1:6" x14ac:dyDescent="0.35">
      <c r="A2443" s="2">
        <f ca="1">IFERROR(__xludf.DUMMYFUNCTION("""COMPUTED_VALUE"""),45551.6666666666)</f>
        <v>45551.666666666599</v>
      </c>
      <c r="B2443" s="1">
        <f ca="1">IFERROR(__xludf.DUMMYFUNCTION("""COMPUTED_VALUE"""),185.29)</f>
        <v>185.29</v>
      </c>
      <c r="C2443" s="1">
        <f ca="1">IFERROR(__xludf.DUMMYFUNCTION("""COMPUTED_VALUE"""),185.81)</f>
        <v>185.81</v>
      </c>
      <c r="D2443" s="1">
        <f ca="1">IFERROR(__xludf.DUMMYFUNCTION("""COMPUTED_VALUE"""),183.36)</f>
        <v>183.36</v>
      </c>
      <c r="E2443" s="1">
        <f ca="1">IFERROR(__xludf.DUMMYFUNCTION("""COMPUTED_VALUE"""),184.89)</f>
        <v>184.89</v>
      </c>
      <c r="F2443" s="1">
        <f ca="1">IFERROR(__xludf.DUMMYFUNCTION("""COMPUTED_VALUE"""),26065485)</f>
        <v>26065485</v>
      </c>
    </row>
    <row r="2444" spans="1:6" x14ac:dyDescent="0.35">
      <c r="A2444" s="2">
        <f ca="1">IFERROR(__xludf.DUMMYFUNCTION("""COMPUTED_VALUE"""),45552.6666666666)</f>
        <v>45552.666666666599</v>
      </c>
      <c r="B2444" s="1">
        <f ca="1">IFERROR(__xludf.DUMMYFUNCTION("""COMPUTED_VALUE"""),186.85)</f>
        <v>186.85</v>
      </c>
      <c r="C2444" s="1">
        <f ca="1">IFERROR(__xludf.DUMMYFUNCTION("""COMPUTED_VALUE"""),189.45)</f>
        <v>189.45</v>
      </c>
      <c r="D2444" s="1">
        <f ca="1">IFERROR(__xludf.DUMMYFUNCTION("""COMPUTED_VALUE"""),186.14)</f>
        <v>186.14</v>
      </c>
      <c r="E2444" s="1">
        <f ca="1">IFERROR(__xludf.DUMMYFUNCTION("""COMPUTED_VALUE"""),186.88)</f>
        <v>186.88</v>
      </c>
      <c r="F2444" s="1">
        <f ca="1">IFERROR(__xludf.DUMMYFUNCTION("""COMPUTED_VALUE"""),26091682)</f>
        <v>26091682</v>
      </c>
    </row>
    <row r="2445" spans="1:6" x14ac:dyDescent="0.35">
      <c r="A2445" s="2">
        <f ca="1">IFERROR(__xludf.DUMMYFUNCTION("""COMPUTED_VALUE"""),45553.6666666666)</f>
        <v>45553.666666666599</v>
      </c>
      <c r="B2445" s="1">
        <f ca="1">IFERROR(__xludf.DUMMYFUNCTION("""COMPUTED_VALUE"""),186.45)</f>
        <v>186.45</v>
      </c>
      <c r="C2445" s="1">
        <f ca="1">IFERROR(__xludf.DUMMYFUNCTION("""COMPUTED_VALUE"""),188.8)</f>
        <v>188.8</v>
      </c>
      <c r="D2445" s="1">
        <f ca="1">IFERROR(__xludf.DUMMYFUNCTION("""COMPUTED_VALUE"""),185.06)</f>
        <v>185.06</v>
      </c>
      <c r="E2445" s="1">
        <f ca="1">IFERROR(__xludf.DUMMYFUNCTION("""COMPUTED_VALUE"""),186.43)</f>
        <v>186.43</v>
      </c>
      <c r="F2445" s="1">
        <f ca="1">IFERROR(__xludf.DUMMYFUNCTION("""COMPUTED_VALUE"""),34448130)</f>
        <v>34448130</v>
      </c>
    </row>
    <row r="2446" spans="1:6" x14ac:dyDescent="0.35">
      <c r="A2446" s="2">
        <f ca="1">IFERROR(__xludf.DUMMYFUNCTION("""COMPUTED_VALUE"""),45554.6666666666)</f>
        <v>45554.666666666599</v>
      </c>
      <c r="B2446" s="1">
        <f ca="1">IFERROR(__xludf.DUMMYFUNCTION("""COMPUTED_VALUE"""),190.04)</f>
        <v>190.04</v>
      </c>
      <c r="C2446" s="1">
        <f ca="1">IFERROR(__xludf.DUMMYFUNCTION("""COMPUTED_VALUE"""),190.99)</f>
        <v>190.99</v>
      </c>
      <c r="D2446" s="1">
        <f ca="1">IFERROR(__xludf.DUMMYFUNCTION("""COMPUTED_VALUE"""),188.47)</f>
        <v>188.47</v>
      </c>
      <c r="E2446" s="1">
        <f ca="1">IFERROR(__xludf.DUMMYFUNCTION("""COMPUTED_VALUE"""),189.87)</f>
        <v>189.87</v>
      </c>
      <c r="F2446" s="1">
        <f ca="1">IFERROR(__xludf.DUMMYFUNCTION("""COMPUTED_VALUE"""),39543168)</f>
        <v>39543168</v>
      </c>
    </row>
    <row r="2447" spans="1:6" x14ac:dyDescent="0.35">
      <c r="A2447" s="2">
        <f ca="1">IFERROR(__xludf.DUMMYFUNCTION("""COMPUTED_VALUE"""),45555.6666666666)</f>
        <v>45555.666666666599</v>
      </c>
      <c r="B2447" s="1">
        <f ca="1">IFERROR(__xludf.DUMMYFUNCTION("""COMPUTED_VALUE"""),190.23)</f>
        <v>190.23</v>
      </c>
      <c r="C2447" s="1">
        <f ca="1">IFERROR(__xludf.DUMMYFUNCTION("""COMPUTED_VALUE"""),191.84)</f>
        <v>191.84</v>
      </c>
      <c r="D2447" s="1">
        <f ca="1">IFERROR(__xludf.DUMMYFUNCTION("""COMPUTED_VALUE"""),187.41)</f>
        <v>187.41</v>
      </c>
      <c r="E2447" s="1">
        <f ca="1">IFERROR(__xludf.DUMMYFUNCTION("""COMPUTED_VALUE"""),191.6)</f>
        <v>191.6</v>
      </c>
      <c r="F2447" s="1">
        <f ca="1">IFERROR(__xludf.DUMMYFUNCTION("""COMPUTED_VALUE"""),100378553)</f>
        <v>100378553</v>
      </c>
    </row>
    <row r="2448" spans="1:6" x14ac:dyDescent="0.35">
      <c r="A2448" s="2">
        <f ca="1">IFERROR(__xludf.DUMMYFUNCTION("""COMPUTED_VALUE"""),45558.6666666666)</f>
        <v>45558.666666666599</v>
      </c>
      <c r="B2448" s="1">
        <f ca="1">IFERROR(__xludf.DUMMYFUNCTION("""COMPUTED_VALUE"""),191.64)</f>
        <v>191.64</v>
      </c>
      <c r="C2448" s="1">
        <f ca="1">IFERROR(__xludf.DUMMYFUNCTION("""COMPUTED_VALUE"""),194.45)</f>
        <v>194.45</v>
      </c>
      <c r="D2448" s="1">
        <f ca="1">IFERROR(__xludf.DUMMYFUNCTION("""COMPUTED_VALUE"""),190.57)</f>
        <v>190.57</v>
      </c>
      <c r="E2448" s="1">
        <f ca="1">IFERROR(__xludf.DUMMYFUNCTION("""COMPUTED_VALUE"""),193.88)</f>
        <v>193.88</v>
      </c>
      <c r="F2448" s="1">
        <f ca="1">IFERROR(__xludf.DUMMYFUNCTION("""COMPUTED_VALUE"""),36993111)</f>
        <v>36993111</v>
      </c>
    </row>
    <row r="2449" spans="1:6" x14ac:dyDescent="0.35">
      <c r="A2449" s="2">
        <f ca="1">IFERROR(__xludf.DUMMYFUNCTION("""COMPUTED_VALUE"""),45559.6666666666)</f>
        <v>45559.666666666599</v>
      </c>
      <c r="B2449" s="1">
        <f ca="1">IFERROR(__xludf.DUMMYFUNCTION("""COMPUTED_VALUE"""),194.27)</f>
        <v>194.27</v>
      </c>
      <c r="C2449" s="1">
        <f ca="1">IFERROR(__xludf.DUMMYFUNCTION("""COMPUTED_VALUE"""),195.37)</f>
        <v>195.37</v>
      </c>
      <c r="D2449" s="1">
        <f ca="1">IFERROR(__xludf.DUMMYFUNCTION("""COMPUTED_VALUE"""),190.13)</f>
        <v>190.13</v>
      </c>
      <c r="E2449" s="1">
        <f ca="1">IFERROR(__xludf.DUMMYFUNCTION("""COMPUTED_VALUE"""),193.96)</f>
        <v>193.96</v>
      </c>
      <c r="F2449" s="1">
        <f ca="1">IFERROR(__xludf.DUMMYFUNCTION("""COMPUTED_VALUE"""),43478926)</f>
        <v>43478926</v>
      </c>
    </row>
    <row r="2450" spans="1:6" x14ac:dyDescent="0.35">
      <c r="A2450" s="2">
        <f ca="1">IFERROR(__xludf.DUMMYFUNCTION("""COMPUTED_VALUE"""),45560.6666666666)</f>
        <v>45560.666666666599</v>
      </c>
      <c r="B2450" s="1">
        <f ca="1">IFERROR(__xludf.DUMMYFUNCTION("""COMPUTED_VALUE"""),193.75)</f>
        <v>193.75</v>
      </c>
      <c r="C2450" s="1">
        <f ca="1">IFERROR(__xludf.DUMMYFUNCTION("""COMPUTED_VALUE"""),193.95)</f>
        <v>193.95</v>
      </c>
      <c r="D2450" s="1">
        <f ca="1">IFERROR(__xludf.DUMMYFUNCTION("""COMPUTED_VALUE"""),192.16)</f>
        <v>192.16</v>
      </c>
      <c r="E2450" s="1">
        <f ca="1">IFERROR(__xludf.DUMMYFUNCTION("""COMPUTED_VALUE"""),192.53)</f>
        <v>192.53</v>
      </c>
      <c r="F2450" s="1">
        <f ca="1">IFERROR(__xludf.DUMMYFUNCTION("""COMPUTED_VALUE"""),26391144)</f>
        <v>26391144</v>
      </c>
    </row>
    <row r="2451" spans="1:6" x14ac:dyDescent="0.35">
      <c r="A2451" s="2">
        <f ca="1">IFERROR(__xludf.DUMMYFUNCTION("""COMPUTED_VALUE"""),45561.6666666666)</f>
        <v>45561.666666666599</v>
      </c>
      <c r="B2451" s="1">
        <f ca="1">IFERROR(__xludf.DUMMYFUNCTION("""COMPUTED_VALUE"""),194.31)</f>
        <v>194.31</v>
      </c>
      <c r="C2451" s="1">
        <f ca="1">IFERROR(__xludf.DUMMYFUNCTION("""COMPUTED_VALUE"""),194.53)</f>
        <v>194.53</v>
      </c>
      <c r="D2451" s="1">
        <f ca="1">IFERROR(__xludf.DUMMYFUNCTION("""COMPUTED_VALUE"""),189.54)</f>
        <v>189.54</v>
      </c>
      <c r="E2451" s="1">
        <f ca="1">IFERROR(__xludf.DUMMYFUNCTION("""COMPUTED_VALUE"""),191.16)</f>
        <v>191.16</v>
      </c>
      <c r="F2451" s="1">
        <f ca="1">IFERROR(__xludf.DUMMYFUNCTION("""COMPUTED_VALUE"""),36334854)</f>
        <v>36334854</v>
      </c>
    </row>
    <row r="2452" spans="1:6" x14ac:dyDescent="0.35">
      <c r="A2452" s="2">
        <f ca="1">IFERROR(__xludf.DUMMYFUNCTION("""COMPUTED_VALUE"""),45562.6666666666)</f>
        <v>45562.666666666599</v>
      </c>
      <c r="B2452" s="1">
        <f ca="1">IFERROR(__xludf.DUMMYFUNCTION("""COMPUTED_VALUE"""),190.68)</f>
        <v>190.68</v>
      </c>
      <c r="C2452" s="1">
        <f ca="1">IFERROR(__xludf.DUMMYFUNCTION("""COMPUTED_VALUE"""),190.9)</f>
        <v>190.9</v>
      </c>
      <c r="D2452" s="1">
        <f ca="1">IFERROR(__xludf.DUMMYFUNCTION("""COMPUTED_VALUE"""),187.34)</f>
        <v>187.34</v>
      </c>
      <c r="E2452" s="1">
        <f ca="1">IFERROR(__xludf.DUMMYFUNCTION("""COMPUTED_VALUE"""),187.97)</f>
        <v>187.97</v>
      </c>
      <c r="F2452" s="1">
        <f ca="1">IFERROR(__xludf.DUMMYFUNCTION("""COMPUTED_VALUE"""),36002316)</f>
        <v>36002316</v>
      </c>
    </row>
    <row r="2453" spans="1:6" x14ac:dyDescent="0.35">
      <c r="A2453" s="2">
        <f ca="1">IFERROR(__xludf.DUMMYFUNCTION("""COMPUTED_VALUE"""),45565.6666666666)</f>
        <v>45565.666666666599</v>
      </c>
      <c r="B2453" s="1">
        <f ca="1">IFERROR(__xludf.DUMMYFUNCTION("""COMPUTED_VALUE"""),187.14)</f>
        <v>187.14</v>
      </c>
      <c r="C2453" s="1">
        <f ca="1">IFERROR(__xludf.DUMMYFUNCTION("""COMPUTED_VALUE"""),188.49)</f>
        <v>188.49</v>
      </c>
      <c r="D2453" s="1">
        <f ca="1">IFERROR(__xludf.DUMMYFUNCTION("""COMPUTED_VALUE"""),184.65)</f>
        <v>184.65</v>
      </c>
      <c r="E2453" s="1">
        <f ca="1">IFERROR(__xludf.DUMMYFUNCTION("""COMPUTED_VALUE"""),186.33)</f>
        <v>186.33</v>
      </c>
      <c r="F2453" s="1">
        <f ca="1">IFERROR(__xludf.DUMMYFUNCTION("""COMPUTED_VALUE"""),41680400)</f>
        <v>41680400</v>
      </c>
    </row>
    <row r="2454" spans="1:6" x14ac:dyDescent="0.35">
      <c r="A2454" s="2">
        <f ca="1">IFERROR(__xludf.DUMMYFUNCTION("""COMPUTED_VALUE"""),45566.6666666666)</f>
        <v>45566.666666666599</v>
      </c>
      <c r="B2454" s="1">
        <f ca="1">IFERROR(__xludf.DUMMYFUNCTION("""COMPUTED_VALUE"""),184.9)</f>
        <v>184.9</v>
      </c>
      <c r="C2454" s="1">
        <f ca="1">IFERROR(__xludf.DUMMYFUNCTION("""COMPUTED_VALUE"""),186.19)</f>
        <v>186.19</v>
      </c>
      <c r="D2454" s="1">
        <f ca="1">IFERROR(__xludf.DUMMYFUNCTION("""COMPUTED_VALUE"""),183.45)</f>
        <v>183.45</v>
      </c>
      <c r="E2454" s="1">
        <f ca="1">IFERROR(__xludf.DUMMYFUNCTION("""COMPUTED_VALUE"""),185.13)</f>
        <v>185.13</v>
      </c>
      <c r="F2454" s="1">
        <f ca="1">IFERROR(__xludf.DUMMYFUNCTION("""COMPUTED_VALUE"""),36044906)</f>
        <v>36044906</v>
      </c>
    </row>
    <row r="2455" spans="1:6" x14ac:dyDescent="0.35">
      <c r="A2455" s="2">
        <f ca="1">IFERROR(__xludf.DUMMYFUNCTION("""COMPUTED_VALUE"""),45567.6666666666)</f>
        <v>45567.666666666599</v>
      </c>
      <c r="B2455" s="1">
        <f ca="1">IFERROR(__xludf.DUMMYFUNCTION("""COMPUTED_VALUE"""),184.44)</f>
        <v>184.44</v>
      </c>
      <c r="C2455" s="1">
        <f ca="1">IFERROR(__xludf.DUMMYFUNCTION("""COMPUTED_VALUE"""),186.6)</f>
        <v>186.6</v>
      </c>
      <c r="D2455" s="1">
        <f ca="1">IFERROR(__xludf.DUMMYFUNCTION("""COMPUTED_VALUE"""),184.04)</f>
        <v>184.04</v>
      </c>
      <c r="E2455" s="1">
        <f ca="1">IFERROR(__xludf.DUMMYFUNCTION("""COMPUTED_VALUE"""),184.76)</f>
        <v>184.76</v>
      </c>
      <c r="F2455" s="1">
        <f ca="1">IFERROR(__xludf.DUMMYFUNCTION("""COMPUTED_VALUE"""),23704056)</f>
        <v>23704056</v>
      </c>
    </row>
    <row r="2456" spans="1:6" x14ac:dyDescent="0.35">
      <c r="A2456" s="2">
        <f ca="1">IFERROR(__xludf.DUMMYFUNCTION("""COMPUTED_VALUE"""),45568.6666666666)</f>
        <v>45568.666666666599</v>
      </c>
      <c r="B2456" s="1">
        <f ca="1">IFERROR(__xludf.DUMMYFUNCTION("""COMPUTED_VALUE"""),183.05)</f>
        <v>183.05</v>
      </c>
      <c r="C2456" s="1">
        <f ca="1">IFERROR(__xludf.DUMMYFUNCTION("""COMPUTED_VALUE"""),183.44)</f>
        <v>183.44</v>
      </c>
      <c r="D2456" s="1">
        <f ca="1">IFERROR(__xludf.DUMMYFUNCTION("""COMPUTED_VALUE"""),180.88)</f>
        <v>180.88</v>
      </c>
      <c r="E2456" s="1">
        <f ca="1">IFERROR(__xludf.DUMMYFUNCTION("""COMPUTED_VALUE"""),181.96)</f>
        <v>181.96</v>
      </c>
      <c r="F2456" s="1">
        <f ca="1">IFERROR(__xludf.DUMMYFUNCTION("""COMPUTED_VALUE"""),30204302)</f>
        <v>30204302</v>
      </c>
    </row>
    <row r="2457" spans="1:6" x14ac:dyDescent="0.35">
      <c r="A2457" s="2">
        <f ca="1">IFERROR(__xludf.DUMMYFUNCTION("""COMPUTED_VALUE"""),45569.6666666666)</f>
        <v>45569.666666666599</v>
      </c>
      <c r="B2457" s="1">
        <f ca="1">IFERROR(__xludf.DUMMYFUNCTION("""COMPUTED_VALUE"""),185.75)</f>
        <v>185.75</v>
      </c>
      <c r="C2457" s="1">
        <f ca="1">IFERROR(__xludf.DUMMYFUNCTION("""COMPUTED_VALUE"""),187.6)</f>
        <v>187.6</v>
      </c>
      <c r="D2457" s="1">
        <f ca="1">IFERROR(__xludf.DUMMYFUNCTION("""COMPUTED_VALUE"""),183.6)</f>
        <v>183.6</v>
      </c>
      <c r="E2457" s="1">
        <f ca="1">IFERROR(__xludf.DUMMYFUNCTION("""COMPUTED_VALUE"""),186.51)</f>
        <v>186.51</v>
      </c>
      <c r="F2457" s="1">
        <f ca="1">IFERROR(__xludf.DUMMYFUNCTION("""COMPUTED_VALUE"""),41079011)</f>
        <v>41079011</v>
      </c>
    </row>
    <row r="2458" spans="1:6" x14ac:dyDescent="0.35">
      <c r="A2458" s="2">
        <f ca="1">IFERROR(__xludf.DUMMYFUNCTION("""COMPUTED_VALUE"""),45572.6666666666)</f>
        <v>45572.666666666599</v>
      </c>
      <c r="B2458" s="1">
        <f ca="1">IFERROR(__xludf.DUMMYFUNCTION("""COMPUTED_VALUE"""),182.95)</f>
        <v>182.95</v>
      </c>
      <c r="C2458" s="1">
        <f ca="1">IFERROR(__xludf.DUMMYFUNCTION("""COMPUTED_VALUE"""),183.6)</f>
        <v>183.6</v>
      </c>
      <c r="D2458" s="1">
        <f ca="1">IFERROR(__xludf.DUMMYFUNCTION("""COMPUTED_VALUE"""),180.25)</f>
        <v>180.25</v>
      </c>
      <c r="E2458" s="1">
        <f ca="1">IFERROR(__xludf.DUMMYFUNCTION("""COMPUTED_VALUE"""),180.8)</f>
        <v>180.8</v>
      </c>
      <c r="F2458" s="1">
        <f ca="1">IFERROR(__xludf.DUMMYFUNCTION("""COMPUTED_VALUE"""),42364201)</f>
        <v>42364201</v>
      </c>
    </row>
    <row r="2459" spans="1:6" x14ac:dyDescent="0.35">
      <c r="A2459" s="2">
        <f ca="1">IFERROR(__xludf.DUMMYFUNCTION("""COMPUTED_VALUE"""),45573.6666666666)</f>
        <v>45573.666666666599</v>
      </c>
      <c r="B2459" s="1">
        <f ca="1">IFERROR(__xludf.DUMMYFUNCTION("""COMPUTED_VALUE"""),181.92)</f>
        <v>181.92</v>
      </c>
      <c r="C2459" s="1">
        <f ca="1">IFERROR(__xludf.DUMMYFUNCTION("""COMPUTED_VALUE"""),183.09)</f>
        <v>183.09</v>
      </c>
      <c r="D2459" s="1">
        <f ca="1">IFERROR(__xludf.DUMMYFUNCTION("""COMPUTED_VALUE"""),180.92)</f>
        <v>180.92</v>
      </c>
      <c r="E2459" s="1">
        <f ca="1">IFERROR(__xludf.DUMMYFUNCTION("""COMPUTED_VALUE"""),182.72)</f>
        <v>182.72</v>
      </c>
      <c r="F2459" s="1">
        <f ca="1">IFERROR(__xludf.DUMMYFUNCTION("""COMPUTED_VALUE"""),26372086)</f>
        <v>26372086</v>
      </c>
    </row>
    <row r="2460" spans="1:6" x14ac:dyDescent="0.35">
      <c r="A2460" s="2">
        <f ca="1">IFERROR(__xludf.DUMMYFUNCTION("""COMPUTED_VALUE"""),45574.6666666666)</f>
        <v>45574.666666666599</v>
      </c>
      <c r="B2460" s="1">
        <f ca="1">IFERROR(__xludf.DUMMYFUNCTION("""COMPUTED_VALUE"""),182.82)</f>
        <v>182.82</v>
      </c>
      <c r="C2460" s="1">
        <f ca="1">IFERROR(__xludf.DUMMYFUNCTION("""COMPUTED_VALUE"""),185.85)</f>
        <v>185.85</v>
      </c>
      <c r="D2460" s="1">
        <f ca="1">IFERROR(__xludf.DUMMYFUNCTION("""COMPUTED_VALUE"""),182.05)</f>
        <v>182.05</v>
      </c>
      <c r="E2460" s="1">
        <f ca="1">IFERROR(__xludf.DUMMYFUNCTION("""COMPUTED_VALUE"""),185.17)</f>
        <v>185.17</v>
      </c>
      <c r="F2460" s="1">
        <f ca="1">IFERROR(__xludf.DUMMYFUNCTION("""COMPUTED_VALUE"""),26343117)</f>
        <v>26343117</v>
      </c>
    </row>
    <row r="2461" spans="1:6" x14ac:dyDescent="0.35">
      <c r="A2461" s="2">
        <f ca="1">IFERROR(__xludf.DUMMYFUNCTION("""COMPUTED_VALUE"""),45575.6666666666)</f>
        <v>45575.666666666599</v>
      </c>
      <c r="B2461" s="1">
        <f ca="1">IFERROR(__xludf.DUMMYFUNCTION("""COMPUTED_VALUE"""),187.13)</f>
        <v>187.13</v>
      </c>
      <c r="C2461" s="1">
        <f ca="1">IFERROR(__xludf.DUMMYFUNCTION("""COMPUTED_VALUE"""),188.13)</f>
        <v>188.13</v>
      </c>
      <c r="D2461" s="1">
        <f ca="1">IFERROR(__xludf.DUMMYFUNCTION("""COMPUTED_VALUE"""),185.83)</f>
        <v>185.83</v>
      </c>
      <c r="E2461" s="1">
        <f ca="1">IFERROR(__xludf.DUMMYFUNCTION("""COMPUTED_VALUE"""),186.65)</f>
        <v>186.65</v>
      </c>
      <c r="F2461" s="1">
        <f ca="1">IFERROR(__xludf.DUMMYFUNCTION("""COMPUTED_VALUE"""),27785043)</f>
        <v>27785043</v>
      </c>
    </row>
    <row r="2462" spans="1:6" x14ac:dyDescent="0.35">
      <c r="A2462" s="2">
        <f ca="1">IFERROR(__xludf.DUMMYFUNCTION("""COMPUTED_VALUE"""),45576.6666666666)</f>
        <v>45576.666666666599</v>
      </c>
      <c r="B2462" s="1">
        <f ca="1">IFERROR(__xludf.DUMMYFUNCTION("""COMPUTED_VALUE"""),186.63)</f>
        <v>186.63</v>
      </c>
      <c r="C2462" s="1">
        <f ca="1">IFERROR(__xludf.DUMMYFUNCTION("""COMPUTED_VALUE"""),189.93)</f>
        <v>189.93</v>
      </c>
      <c r="D2462" s="1">
        <f ca="1">IFERROR(__xludf.DUMMYFUNCTION("""COMPUTED_VALUE"""),186.3)</f>
        <v>186.3</v>
      </c>
      <c r="E2462" s="1">
        <f ca="1">IFERROR(__xludf.DUMMYFUNCTION("""COMPUTED_VALUE"""),188.82)</f>
        <v>188.82</v>
      </c>
      <c r="F2462" s="1">
        <f ca="1">IFERROR(__xludf.DUMMYFUNCTION("""COMPUTED_VALUE"""),25751557)</f>
        <v>25751557</v>
      </c>
    </row>
    <row r="2463" spans="1:6" x14ac:dyDescent="0.35">
      <c r="A2463" s="2">
        <f ca="1">IFERROR(__xludf.DUMMYFUNCTION("""COMPUTED_VALUE"""),45579.6666666666)</f>
        <v>45579.666666666599</v>
      </c>
      <c r="B2463" s="1">
        <f ca="1">IFERROR(__xludf.DUMMYFUNCTION("""COMPUTED_VALUE"""),189.78)</f>
        <v>189.78</v>
      </c>
      <c r="C2463" s="1">
        <f ca="1">IFERROR(__xludf.DUMMYFUNCTION("""COMPUTED_VALUE"""),189.83)</f>
        <v>189.83</v>
      </c>
      <c r="D2463" s="1">
        <f ca="1">IFERROR(__xludf.DUMMYFUNCTION("""COMPUTED_VALUE"""),187.36)</f>
        <v>187.36</v>
      </c>
      <c r="E2463" s="1">
        <f ca="1">IFERROR(__xludf.DUMMYFUNCTION("""COMPUTED_VALUE"""),187.54)</f>
        <v>187.54</v>
      </c>
      <c r="F2463" s="1">
        <f ca="1">IFERROR(__xludf.DUMMYFUNCTION("""COMPUTED_VALUE"""),22614407)</f>
        <v>22614407</v>
      </c>
    </row>
    <row r="2464" spans="1:6" x14ac:dyDescent="0.35">
      <c r="A2464" s="2">
        <f ca="1">IFERROR(__xludf.DUMMYFUNCTION("""COMPUTED_VALUE"""),45580.6666666666)</f>
        <v>45580.666666666599</v>
      </c>
      <c r="B2464" s="1">
        <f ca="1">IFERROR(__xludf.DUMMYFUNCTION("""COMPUTED_VALUE"""),189.78)</f>
        <v>189.78</v>
      </c>
      <c r="C2464" s="1">
        <f ca="1">IFERROR(__xludf.DUMMYFUNCTION("""COMPUTED_VALUE"""),189.83)</f>
        <v>189.83</v>
      </c>
      <c r="D2464" s="1">
        <f ca="1">IFERROR(__xludf.DUMMYFUNCTION("""COMPUTED_VALUE"""),187.36)</f>
        <v>187.36</v>
      </c>
      <c r="E2464" s="1">
        <f ca="1">IFERROR(__xludf.DUMMYFUNCTION("""COMPUTED_VALUE"""),187.54)</f>
        <v>187.54</v>
      </c>
      <c r="F2464" s="1">
        <f ca="1">IFERROR(__xludf.DUMMYFUNCTION("""COMPUTED_VALUE"""),323448)</f>
        <v>323448</v>
      </c>
    </row>
    <row r="2465" spans="1:6" x14ac:dyDescent="0.35">
      <c r="A2465" s="2">
        <f ca="1">IFERROR(__xludf.DUMMYFUNCTION("""COMPUTED_VALUE"""),45581.6666666666)</f>
        <v>45581.666666666599</v>
      </c>
      <c r="B2465" s="1">
        <f ca="1">IFERROR(__xludf.DUMMYFUNCTION("""COMPUTED_VALUE"""),187.05)</f>
        <v>187.05</v>
      </c>
      <c r="C2465" s="1">
        <f ca="1">IFERROR(__xludf.DUMMYFUNCTION("""COMPUTED_VALUE"""),187.78)</f>
        <v>187.78</v>
      </c>
      <c r="D2465" s="1">
        <f ca="1">IFERROR(__xludf.DUMMYFUNCTION("""COMPUTED_VALUE"""),185.61)</f>
        <v>185.61</v>
      </c>
      <c r="E2465" s="1">
        <f ca="1">IFERROR(__xludf.DUMMYFUNCTION("""COMPUTED_VALUE"""),186.89)</f>
        <v>186.89</v>
      </c>
      <c r="F2465" s="1">
        <f ca="1">IFERROR(__xludf.DUMMYFUNCTION("""COMPUTED_VALUE"""),23456812)</f>
        <v>23456812</v>
      </c>
    </row>
    <row r="2466" spans="1:6" x14ac:dyDescent="0.35">
      <c r="A2466" s="2">
        <f ca="1">IFERROR(__xludf.DUMMYFUNCTION("""COMPUTED_VALUE"""),45582.6666666666)</f>
        <v>45582.666666666599</v>
      </c>
      <c r="B2466" s="1">
        <f ca="1">IFERROR(__xludf.DUMMYFUNCTION("""COMPUTED_VALUE"""),188.22)</f>
        <v>188.22</v>
      </c>
      <c r="C2466" s="1">
        <f ca="1">IFERROR(__xludf.DUMMYFUNCTION("""COMPUTED_VALUE"""),188.94)</f>
        <v>188.94</v>
      </c>
      <c r="D2466" s="1">
        <f ca="1">IFERROR(__xludf.DUMMYFUNCTION("""COMPUTED_VALUE"""),186)</f>
        <v>186</v>
      </c>
      <c r="E2466" s="1">
        <f ca="1">IFERROR(__xludf.DUMMYFUNCTION("""COMPUTED_VALUE"""),187.53)</f>
        <v>187.53</v>
      </c>
      <c r="F2466" s="1">
        <f ca="1">IFERROR(__xludf.DUMMYFUNCTION("""COMPUTED_VALUE"""),25039414)</f>
        <v>25039414</v>
      </c>
    </row>
    <row r="2467" spans="1:6" x14ac:dyDescent="0.35">
      <c r="A2467" s="2">
        <f ca="1">IFERROR(__xludf.DUMMYFUNCTION("""COMPUTED_VALUE"""),45583.6666666666)</f>
        <v>45583.666666666599</v>
      </c>
      <c r="B2467" s="1">
        <f ca="1">IFERROR(__xludf.DUMMYFUNCTION("""COMPUTED_VALUE"""),187.15)</f>
        <v>187.15</v>
      </c>
      <c r="C2467" s="1">
        <f ca="1">IFERROR(__xludf.DUMMYFUNCTION("""COMPUTED_VALUE"""),190.74)</f>
        <v>190.74</v>
      </c>
      <c r="D2467" s="1">
        <f ca="1">IFERROR(__xludf.DUMMYFUNCTION("""COMPUTED_VALUE"""),186.28)</f>
        <v>186.28</v>
      </c>
      <c r="E2467" s="1">
        <f ca="1">IFERROR(__xludf.DUMMYFUNCTION("""COMPUTED_VALUE"""),188.99)</f>
        <v>188.99</v>
      </c>
      <c r="F2467" s="1">
        <f ca="1">IFERROR(__xludf.DUMMYFUNCTION("""COMPUTED_VALUE"""),37417670)</f>
        <v>37417670</v>
      </c>
    </row>
    <row r="2468" spans="1:6" x14ac:dyDescent="0.35">
      <c r="A2468" s="2">
        <f ca="1">IFERROR(__xludf.DUMMYFUNCTION("""COMPUTED_VALUE"""),45586.6666666666)</f>
        <v>45586.666666666599</v>
      </c>
      <c r="B2468" s="1">
        <f ca="1">IFERROR(__xludf.DUMMYFUNCTION("""COMPUTED_VALUE"""),188.05)</f>
        <v>188.05</v>
      </c>
      <c r="C2468" s="1">
        <f ca="1">IFERROR(__xludf.DUMMYFUNCTION("""COMPUTED_VALUE"""),189.46)</f>
        <v>189.46</v>
      </c>
      <c r="D2468" s="1">
        <f ca="1">IFERROR(__xludf.DUMMYFUNCTION("""COMPUTED_VALUE"""),186.4)</f>
        <v>186.4</v>
      </c>
      <c r="E2468" s="1">
        <f ca="1">IFERROR(__xludf.DUMMYFUNCTION("""COMPUTED_VALUE"""),189.07)</f>
        <v>189.07</v>
      </c>
      <c r="F2468" s="1">
        <f ca="1">IFERROR(__xludf.DUMMYFUNCTION("""COMPUTED_VALUE"""),24639393)</f>
        <v>24639393</v>
      </c>
    </row>
    <row r="2469" spans="1:6" x14ac:dyDescent="0.35">
      <c r="A2469" s="2">
        <f ca="1">IFERROR(__xludf.DUMMYFUNCTION("""COMPUTED_VALUE"""),45587.6666666666)</f>
        <v>45587.666666666599</v>
      </c>
      <c r="B2469" s="1">
        <f ca="1">IFERROR(__xludf.DUMMYFUNCTION("""COMPUTED_VALUE"""),188.35)</f>
        <v>188.35</v>
      </c>
      <c r="C2469" s="1">
        <f ca="1">IFERROR(__xludf.DUMMYFUNCTION("""COMPUTED_VALUE"""),191.52)</f>
        <v>191.52</v>
      </c>
      <c r="D2469" s="1">
        <f ca="1">IFERROR(__xludf.DUMMYFUNCTION("""COMPUTED_VALUE"""),186.98)</f>
        <v>186.98</v>
      </c>
      <c r="E2469" s="1">
        <f ca="1">IFERROR(__xludf.DUMMYFUNCTION("""COMPUTED_VALUE"""),189.7)</f>
        <v>189.7</v>
      </c>
      <c r="F2469" s="1">
        <f ca="1">IFERROR(__xludf.DUMMYFUNCTION("""COMPUTED_VALUE"""),29650593)</f>
        <v>29650593</v>
      </c>
    </row>
    <row r="2470" spans="1:6" x14ac:dyDescent="0.35">
      <c r="A2470" s="2">
        <f ca="1">IFERROR(__xludf.DUMMYFUNCTION("""COMPUTED_VALUE"""),45588.6666666666)</f>
        <v>45588.666666666599</v>
      </c>
      <c r="B2470" s="1">
        <f ca="1">IFERROR(__xludf.DUMMYFUNCTION("""COMPUTED_VALUE"""),188.85)</f>
        <v>188.85</v>
      </c>
      <c r="C2470" s="1">
        <f ca="1">IFERROR(__xludf.DUMMYFUNCTION("""COMPUTED_VALUE"""),189.16)</f>
        <v>189.16</v>
      </c>
      <c r="D2470" s="1">
        <f ca="1">IFERROR(__xludf.DUMMYFUNCTION("""COMPUTED_VALUE"""),183.69)</f>
        <v>183.69</v>
      </c>
      <c r="E2470" s="1">
        <f ca="1">IFERROR(__xludf.DUMMYFUNCTION("""COMPUTED_VALUE"""),184.71)</f>
        <v>184.71</v>
      </c>
      <c r="F2470" s="1">
        <f ca="1">IFERROR(__xludf.DUMMYFUNCTION("""COMPUTED_VALUE"""),31937089)</f>
        <v>31937089</v>
      </c>
    </row>
    <row r="2471" spans="1:6" x14ac:dyDescent="0.35">
      <c r="A2471" s="2">
        <f ca="1">IFERROR(__xludf.DUMMYFUNCTION("""COMPUTED_VALUE"""),45589.6666666666)</f>
        <v>45589.666666666599</v>
      </c>
      <c r="B2471" s="1">
        <f ca="1">IFERROR(__xludf.DUMMYFUNCTION("""COMPUTED_VALUE"""),185.25)</f>
        <v>185.25</v>
      </c>
      <c r="C2471" s="1">
        <f ca="1">IFERROR(__xludf.DUMMYFUNCTION("""COMPUTED_VALUE"""),187.11)</f>
        <v>187.11</v>
      </c>
      <c r="D2471" s="1">
        <f ca="1">IFERROR(__xludf.DUMMYFUNCTION("""COMPUTED_VALUE"""),183.86)</f>
        <v>183.86</v>
      </c>
      <c r="E2471" s="1">
        <f ca="1">IFERROR(__xludf.DUMMYFUNCTION("""COMPUTED_VALUE"""),186.38)</f>
        <v>186.38</v>
      </c>
      <c r="F2471" s="1">
        <f ca="1">IFERROR(__xludf.DUMMYFUNCTION("""COMPUTED_VALUE"""),21647395)</f>
        <v>21647395</v>
      </c>
    </row>
    <row r="2472" spans="1:6" x14ac:dyDescent="0.35">
      <c r="A2472" s="2">
        <f ca="1">IFERROR(__xludf.DUMMYFUNCTION("""COMPUTED_VALUE"""),45590.6666666666)</f>
        <v>45590.666666666599</v>
      </c>
      <c r="B2472" s="1">
        <f ca="1">IFERROR(__xludf.DUMMYFUNCTION("""COMPUTED_VALUE"""),187.85)</f>
        <v>187.85</v>
      </c>
      <c r="C2472" s="1">
        <f ca="1">IFERROR(__xludf.DUMMYFUNCTION("""COMPUTED_VALUE"""),190.45)</f>
        <v>190.45</v>
      </c>
      <c r="D2472" s="1">
        <f ca="1">IFERROR(__xludf.DUMMYFUNCTION("""COMPUTED_VALUE"""),187.53)</f>
        <v>187.53</v>
      </c>
      <c r="E2472" s="1">
        <f ca="1">IFERROR(__xludf.DUMMYFUNCTION("""COMPUTED_VALUE"""),187.83)</f>
        <v>187.83</v>
      </c>
      <c r="F2472" s="1">
        <f ca="1">IFERROR(__xludf.DUMMYFUNCTION("""COMPUTED_VALUE"""),29362060)</f>
        <v>29362060</v>
      </c>
    </row>
    <row r="2473" spans="1:6" x14ac:dyDescent="0.35">
      <c r="A2473" s="2">
        <f ca="1">IFERROR(__xludf.DUMMYFUNCTION("""COMPUTED_VALUE"""),45593.6666666666)</f>
        <v>45593.666666666599</v>
      </c>
      <c r="B2473" s="1">
        <f ca="1">IFERROR(__xludf.DUMMYFUNCTION("""COMPUTED_VALUE"""),189.57)</f>
        <v>189.57</v>
      </c>
      <c r="C2473" s="1">
        <f ca="1">IFERROR(__xludf.DUMMYFUNCTION("""COMPUTED_VALUE"""),190.21)</f>
        <v>190.21</v>
      </c>
      <c r="D2473" s="1">
        <f ca="1">IFERROR(__xludf.DUMMYFUNCTION("""COMPUTED_VALUE"""),188.21)</f>
        <v>188.21</v>
      </c>
      <c r="E2473" s="1">
        <f ca="1">IFERROR(__xludf.DUMMYFUNCTION("""COMPUTED_VALUE"""),188.39)</f>
        <v>188.39</v>
      </c>
      <c r="F2473" s="1">
        <f ca="1">IFERROR(__xludf.DUMMYFUNCTION("""COMPUTED_VALUE"""),27930836)</f>
        <v>27930836</v>
      </c>
    </row>
    <row r="2474" spans="1:6" x14ac:dyDescent="0.35">
      <c r="A2474" s="2">
        <f ca="1">IFERROR(__xludf.DUMMYFUNCTION("""COMPUTED_VALUE"""),45595.6666666666)</f>
        <v>45595.666666666599</v>
      </c>
      <c r="B2474" s="1">
        <f ca="1">IFERROR(__xludf.DUMMYFUNCTION("""COMPUTED_VALUE"""),194.7)</f>
        <v>194.7</v>
      </c>
      <c r="C2474" s="1">
        <f ca="1">IFERROR(__xludf.DUMMYFUNCTION("""COMPUTED_VALUE"""),195.61)</f>
        <v>195.61</v>
      </c>
      <c r="D2474" s="1">
        <f ca="1">IFERROR(__xludf.DUMMYFUNCTION("""COMPUTED_VALUE"""),192.42)</f>
        <v>192.42</v>
      </c>
      <c r="E2474" s="1">
        <f ca="1">IFERROR(__xludf.DUMMYFUNCTION("""COMPUTED_VALUE"""),192.73)</f>
        <v>192.73</v>
      </c>
      <c r="F2474" s="1">
        <f ca="1">IFERROR(__xludf.DUMMYFUNCTION("""COMPUTED_VALUE"""),37707550)</f>
        <v>37707550</v>
      </c>
    </row>
    <row r="2475" spans="1:6" x14ac:dyDescent="0.35">
      <c r="A2475" s="2">
        <f ca="1">IFERROR(__xludf.DUMMYFUNCTION("""COMPUTED_VALUE"""),45596.6666666666)</f>
        <v>45596.666666666599</v>
      </c>
      <c r="B2475" s="1">
        <f ca="1">IFERROR(__xludf.DUMMYFUNCTION("""COMPUTED_VALUE"""),190.51)</f>
        <v>190.51</v>
      </c>
      <c r="C2475" s="1">
        <f ca="1">IFERROR(__xludf.DUMMYFUNCTION("""COMPUTED_VALUE"""),190.6)</f>
        <v>190.6</v>
      </c>
      <c r="D2475" s="1">
        <f ca="1">IFERROR(__xludf.DUMMYFUNCTION("""COMPUTED_VALUE"""),185.23)</f>
        <v>185.23</v>
      </c>
      <c r="E2475" s="1">
        <f ca="1">IFERROR(__xludf.DUMMYFUNCTION("""COMPUTED_VALUE"""),186.4)</f>
        <v>186.4</v>
      </c>
      <c r="F2475" s="1">
        <f ca="1">IFERROR(__xludf.DUMMYFUNCTION("""COMPUTED_VALUE"""),75146759)</f>
        <v>75146759</v>
      </c>
    </row>
    <row r="2476" spans="1:6" x14ac:dyDescent="0.35">
      <c r="A2476" s="2">
        <f ca="1">IFERROR(__xludf.DUMMYFUNCTION("""COMPUTED_VALUE"""),45597.6666666666)</f>
        <v>45597.666666666599</v>
      </c>
      <c r="B2476" s="1">
        <f ca="1">IFERROR(__xludf.DUMMYFUNCTION("""COMPUTED_VALUE"""),199)</f>
        <v>199</v>
      </c>
      <c r="C2476" s="1">
        <f ca="1">IFERROR(__xludf.DUMMYFUNCTION("""COMPUTED_VALUE"""),200.5)</f>
        <v>200.5</v>
      </c>
      <c r="D2476" s="1">
        <f ca="1">IFERROR(__xludf.DUMMYFUNCTION("""COMPUTED_VALUE"""),197.02)</f>
        <v>197.02</v>
      </c>
      <c r="E2476" s="1">
        <f ca="1">IFERROR(__xludf.DUMMYFUNCTION("""COMPUTED_VALUE"""),197.93)</f>
        <v>197.93</v>
      </c>
      <c r="F2476" s="1">
        <f ca="1">IFERROR(__xludf.DUMMYFUNCTION("""COMPUTED_VALUE"""),99687847)</f>
        <v>99687847</v>
      </c>
    </row>
    <row r="2477" spans="1:6" x14ac:dyDescent="0.35">
      <c r="A2477" s="2">
        <f ca="1">IFERROR(__xludf.DUMMYFUNCTION("""COMPUTED_VALUE"""),45600.6666666666)</f>
        <v>45600.666666666599</v>
      </c>
      <c r="B2477" s="1">
        <f ca="1">IFERROR(__xludf.DUMMYFUNCTION("""COMPUTED_VALUE"""),196.45)</f>
        <v>196.45</v>
      </c>
      <c r="C2477" s="1">
        <f ca="1">IFERROR(__xludf.DUMMYFUNCTION("""COMPUTED_VALUE"""),197.33)</f>
        <v>197.33</v>
      </c>
      <c r="D2477" s="1">
        <f ca="1">IFERROR(__xludf.DUMMYFUNCTION("""COMPUTED_VALUE"""),194.31)</f>
        <v>194.31</v>
      </c>
      <c r="E2477" s="1">
        <f ca="1">IFERROR(__xludf.DUMMYFUNCTION("""COMPUTED_VALUE"""),195.78)</f>
        <v>195.78</v>
      </c>
      <c r="F2477" s="1">
        <f ca="1">IFERROR(__xludf.DUMMYFUNCTION("""COMPUTED_VALUE"""),38492062)</f>
        <v>38492062</v>
      </c>
    </row>
    <row r="2478" spans="1:6" x14ac:dyDescent="0.35">
      <c r="A2478" s="2">
        <f ca="1">IFERROR(__xludf.DUMMYFUNCTION("""COMPUTED_VALUE"""),45601.6666666666)</f>
        <v>45601.666666666599</v>
      </c>
      <c r="B2478" s="1">
        <f ca="1">IFERROR(__xludf.DUMMYFUNCTION("""COMPUTED_VALUE"""),196.04)</f>
        <v>196.04</v>
      </c>
      <c r="C2478" s="1">
        <f ca="1">IFERROR(__xludf.DUMMYFUNCTION("""COMPUTED_VALUE"""),199.82)</f>
        <v>199.82</v>
      </c>
      <c r="D2478" s="1">
        <f ca="1">IFERROR(__xludf.DUMMYFUNCTION("""COMPUTED_VALUE"""),195.99)</f>
        <v>195.99</v>
      </c>
      <c r="E2478" s="1">
        <f ca="1">IFERROR(__xludf.DUMMYFUNCTION("""COMPUTED_VALUE"""),199.5)</f>
        <v>199.5</v>
      </c>
      <c r="F2478" s="1">
        <f ca="1">IFERROR(__xludf.DUMMYFUNCTION("""COMPUTED_VALUE"""),30564784)</f>
        <v>30564784</v>
      </c>
    </row>
    <row r="2479" spans="1:6" x14ac:dyDescent="0.35">
      <c r="A2479" s="2">
        <f ca="1">IFERROR(__xludf.DUMMYFUNCTION("""COMPUTED_VALUE"""),45602.6666666666)</f>
        <v>45602.666666666599</v>
      </c>
      <c r="B2479" s="1">
        <f ca="1">IFERROR(__xludf.DUMMYFUNCTION("""COMPUTED_VALUE"""),200.01)</f>
        <v>200.01</v>
      </c>
      <c r="C2479" s="1">
        <f ca="1">IFERROR(__xludf.DUMMYFUNCTION("""COMPUTED_VALUE"""),207.55)</f>
        <v>207.55</v>
      </c>
      <c r="D2479" s="1">
        <f ca="1">IFERROR(__xludf.DUMMYFUNCTION("""COMPUTED_VALUE"""),199.14)</f>
        <v>199.14</v>
      </c>
      <c r="E2479" s="1">
        <f ca="1">IFERROR(__xludf.DUMMYFUNCTION("""COMPUTED_VALUE"""),207.09)</f>
        <v>207.09</v>
      </c>
      <c r="F2479" s="1">
        <f ca="1">IFERROR(__xludf.DUMMYFUNCTION("""COMPUTED_VALUE"""),72292167)</f>
        <v>72292167</v>
      </c>
    </row>
    <row r="2480" spans="1:6" x14ac:dyDescent="0.35">
      <c r="A2480" s="2">
        <f ca="1">IFERROR(__xludf.DUMMYFUNCTION("""COMPUTED_VALUE"""),45603.6666666666)</f>
        <v>45603.666666666599</v>
      </c>
      <c r="B2480" s="1">
        <f ca="1">IFERROR(__xludf.DUMMYFUNCTION("""COMPUTED_VALUE"""),207.44)</f>
        <v>207.44</v>
      </c>
      <c r="C2480" s="1">
        <f ca="1">IFERROR(__xludf.DUMMYFUNCTION("""COMPUTED_VALUE"""),212.25)</f>
        <v>212.25</v>
      </c>
      <c r="D2480" s="1">
        <f ca="1">IFERROR(__xludf.DUMMYFUNCTION("""COMPUTED_VALUE"""),207.19)</f>
        <v>207.19</v>
      </c>
      <c r="E2480" s="1">
        <f ca="1">IFERROR(__xludf.DUMMYFUNCTION("""COMPUTED_VALUE"""),210.05)</f>
        <v>210.05</v>
      </c>
      <c r="F2480" s="1">
        <f ca="1">IFERROR(__xludf.DUMMYFUNCTION("""COMPUTED_VALUE"""),52878383)</f>
        <v>52878383</v>
      </c>
    </row>
    <row r="2481" spans="1:6" x14ac:dyDescent="0.35">
      <c r="A2481" s="2">
        <f ca="1">IFERROR(__xludf.DUMMYFUNCTION("""COMPUTED_VALUE"""),45604.6666666666)</f>
        <v>45604.666666666599</v>
      </c>
      <c r="B2481" s="1">
        <f ca="1">IFERROR(__xludf.DUMMYFUNCTION("""COMPUTED_VALUE"""),209.72)</f>
        <v>209.72</v>
      </c>
      <c r="C2481" s="1">
        <f ca="1">IFERROR(__xludf.DUMMYFUNCTION("""COMPUTED_VALUE"""),209.96)</f>
        <v>209.96</v>
      </c>
      <c r="D2481" s="1">
        <f ca="1">IFERROR(__xludf.DUMMYFUNCTION("""COMPUTED_VALUE"""),207.44)</f>
        <v>207.44</v>
      </c>
      <c r="E2481" s="1">
        <f ca="1">IFERROR(__xludf.DUMMYFUNCTION("""COMPUTED_VALUE"""),208.18)</f>
        <v>208.18</v>
      </c>
      <c r="F2481" s="1">
        <f ca="1">IFERROR(__xludf.DUMMYFUNCTION("""COMPUTED_VALUE"""),36075846)</f>
        <v>36075846</v>
      </c>
    </row>
    <row r="2482" spans="1:6" x14ac:dyDescent="0.35">
      <c r="A2482" s="2">
        <f ca="1">IFERROR(__xludf.DUMMYFUNCTION("""COMPUTED_VALUE"""),45607.6666666666)</f>
        <v>45607.666666666599</v>
      </c>
      <c r="B2482" s="1">
        <f ca="1">IFERROR(__xludf.DUMMYFUNCTION("""COMPUTED_VALUE"""),208.5)</f>
        <v>208.5</v>
      </c>
      <c r="C2482" s="1">
        <f ca="1">IFERROR(__xludf.DUMMYFUNCTION("""COMPUTED_VALUE"""),209.65)</f>
        <v>209.65</v>
      </c>
      <c r="D2482" s="1">
        <f ca="1">IFERROR(__xludf.DUMMYFUNCTION("""COMPUTED_VALUE"""),205.59)</f>
        <v>205.59</v>
      </c>
      <c r="E2482" s="1">
        <f ca="1">IFERROR(__xludf.DUMMYFUNCTION("""COMPUTED_VALUE"""),206.84)</f>
        <v>206.84</v>
      </c>
      <c r="F2482" s="1">
        <f ca="1">IFERROR(__xludf.DUMMYFUNCTION("""COMPUTED_VALUE"""),35456012)</f>
        <v>35456012</v>
      </c>
    </row>
    <row r="2483" spans="1:6" x14ac:dyDescent="0.35">
      <c r="A2483" s="2">
        <f ca="1">IFERROR(__xludf.DUMMYFUNCTION("""COMPUTED_VALUE"""),45608.6666666666)</f>
        <v>45608.666666666599</v>
      </c>
      <c r="B2483" s="1">
        <f ca="1">IFERROR(__xludf.DUMMYFUNCTION("""COMPUTED_VALUE"""),208.37)</f>
        <v>208.37</v>
      </c>
      <c r="C2483" s="1">
        <f ca="1">IFERROR(__xludf.DUMMYFUNCTION("""COMPUTED_VALUE"""),209.54)</f>
        <v>209.54</v>
      </c>
      <c r="D2483" s="1">
        <f ca="1">IFERROR(__xludf.DUMMYFUNCTION("""COMPUTED_VALUE"""),206.01)</f>
        <v>206.01</v>
      </c>
      <c r="E2483" s="1">
        <f ca="1">IFERROR(__xludf.DUMMYFUNCTION("""COMPUTED_VALUE"""),208.91)</f>
        <v>208.91</v>
      </c>
      <c r="F2483" s="1">
        <f ca="1">IFERROR(__xludf.DUMMYFUNCTION("""COMPUTED_VALUE"""),38942918)</f>
        <v>38942918</v>
      </c>
    </row>
    <row r="2484" spans="1:6" x14ac:dyDescent="0.35">
      <c r="A2484" s="2">
        <f ca="1">IFERROR(__xludf.DUMMYFUNCTION("""COMPUTED_VALUE"""),45609.6666666666)</f>
        <v>45609.666666666599</v>
      </c>
      <c r="B2484" s="1">
        <f ca="1">IFERROR(__xludf.DUMMYFUNCTION("""COMPUTED_VALUE"""),209.4)</f>
        <v>209.4</v>
      </c>
      <c r="C2484" s="1">
        <f ca="1">IFERROR(__xludf.DUMMYFUNCTION("""COMPUTED_VALUE"""),215.09)</f>
        <v>215.09</v>
      </c>
      <c r="D2484" s="1">
        <f ca="1">IFERROR(__xludf.DUMMYFUNCTION("""COMPUTED_VALUE"""),209.14)</f>
        <v>209.14</v>
      </c>
      <c r="E2484" s="1">
        <f ca="1">IFERROR(__xludf.DUMMYFUNCTION("""COMPUTED_VALUE"""),214.1)</f>
        <v>214.1</v>
      </c>
      <c r="F2484" s="1">
        <f ca="1">IFERROR(__xludf.DUMMYFUNCTION("""COMPUTED_VALUE"""),46212943)</f>
        <v>46212943</v>
      </c>
    </row>
    <row r="2485" spans="1:6" x14ac:dyDescent="0.35">
      <c r="A2485" s="2">
        <f ca="1">IFERROR(__xludf.DUMMYFUNCTION("""COMPUTED_VALUE"""),45610.6666666666)</f>
        <v>45610.666666666599</v>
      </c>
      <c r="B2485" s="1">
        <f ca="1">IFERROR(__xludf.DUMMYFUNCTION("""COMPUTED_VALUE"""),214.16)</f>
        <v>214.16</v>
      </c>
      <c r="C2485" s="1">
        <f ca="1">IFERROR(__xludf.DUMMYFUNCTION("""COMPUTED_VALUE"""),215.9)</f>
        <v>215.9</v>
      </c>
      <c r="D2485" s="1">
        <f ca="1">IFERROR(__xludf.DUMMYFUNCTION("""COMPUTED_VALUE"""),210.88)</f>
        <v>210.88</v>
      </c>
      <c r="E2485" s="1">
        <f ca="1">IFERROR(__xludf.DUMMYFUNCTION("""COMPUTED_VALUE"""),211.48)</f>
        <v>211.48</v>
      </c>
      <c r="F2485" s="1">
        <f ca="1">IFERROR(__xludf.DUMMYFUNCTION("""COMPUTED_VALUE"""),42620309)</f>
        <v>42620309</v>
      </c>
    </row>
    <row r="2486" spans="1:6" x14ac:dyDescent="0.35">
      <c r="A2486" s="2">
        <f ca="1">IFERROR(__xludf.DUMMYFUNCTION("""COMPUTED_VALUE"""),45611.6666666666)</f>
        <v>45611.666666666599</v>
      </c>
      <c r="B2486" s="1">
        <f ca="1">IFERROR(__xludf.DUMMYFUNCTION("""COMPUTED_VALUE"""),206.76)</f>
        <v>206.76</v>
      </c>
      <c r="C2486" s="1">
        <f ca="1">IFERROR(__xludf.DUMMYFUNCTION("""COMPUTED_VALUE"""),207.34)</f>
        <v>207.34</v>
      </c>
      <c r="D2486" s="1">
        <f ca="1">IFERROR(__xludf.DUMMYFUNCTION("""COMPUTED_VALUE"""),199.61)</f>
        <v>199.61</v>
      </c>
      <c r="E2486" s="1">
        <f ca="1">IFERROR(__xludf.DUMMYFUNCTION("""COMPUTED_VALUE"""),202.61)</f>
        <v>202.61</v>
      </c>
      <c r="F2486" s="1">
        <f ca="1">IFERROR(__xludf.DUMMYFUNCTION("""COMPUTED_VALUE"""),86591144)</f>
        <v>86591144</v>
      </c>
    </row>
    <row r="2487" spans="1:6" x14ac:dyDescent="0.35">
      <c r="A2487" s="2">
        <f ca="1">IFERROR(__xludf.DUMMYFUNCTION("""COMPUTED_VALUE"""),45614.6666666666)</f>
        <v>45614.666666666599</v>
      </c>
      <c r="B2487" s="1">
        <f ca="1">IFERROR(__xludf.DUMMYFUNCTION("""COMPUTED_VALUE"""),204.15)</f>
        <v>204.15</v>
      </c>
      <c r="C2487" s="1">
        <f ca="1">IFERROR(__xludf.DUMMYFUNCTION("""COMPUTED_VALUE"""),204.67)</f>
        <v>204.67</v>
      </c>
      <c r="D2487" s="1">
        <f ca="1">IFERROR(__xludf.DUMMYFUNCTION("""COMPUTED_VALUE"""),200.95)</f>
        <v>200.95</v>
      </c>
      <c r="E2487" s="1">
        <f ca="1">IFERROR(__xludf.DUMMYFUNCTION("""COMPUTED_VALUE"""),201.7)</f>
        <v>201.7</v>
      </c>
      <c r="F2487" s="1">
        <f ca="1">IFERROR(__xludf.DUMMYFUNCTION("""COMPUTED_VALUE"""),36512465)</f>
        <v>36512465</v>
      </c>
    </row>
    <row r="2488" spans="1:6" x14ac:dyDescent="0.35">
      <c r="A2488" s="2">
        <f ca="1">IFERROR(__xludf.DUMMYFUNCTION("""COMPUTED_VALUE"""),45615.6666666666)</f>
        <v>45615.666666666599</v>
      </c>
      <c r="B2488" s="1">
        <f ca="1">IFERROR(__xludf.DUMMYFUNCTION("""COMPUTED_VALUE"""),199.33)</f>
        <v>199.33</v>
      </c>
      <c r="C2488" s="1">
        <f ca="1">IFERROR(__xludf.DUMMYFUNCTION("""COMPUTED_VALUE"""),205.3)</f>
        <v>205.3</v>
      </c>
      <c r="D2488" s="1">
        <f ca="1">IFERROR(__xludf.DUMMYFUNCTION("""COMPUTED_VALUE"""),198.78)</f>
        <v>198.78</v>
      </c>
      <c r="E2488" s="1">
        <f ca="1">IFERROR(__xludf.DUMMYFUNCTION("""COMPUTED_VALUE"""),204.61)</f>
        <v>204.61</v>
      </c>
      <c r="F2488" s="1">
        <f ca="1">IFERROR(__xludf.DUMMYFUNCTION("""COMPUTED_VALUE"""),31197867)</f>
        <v>31197867</v>
      </c>
    </row>
    <row r="2489" spans="1:6" x14ac:dyDescent="0.35">
      <c r="A2489" s="2">
        <f ca="1">IFERROR(__xludf.DUMMYFUNCTION("""COMPUTED_VALUE"""),45616.6666666666)</f>
        <v>45616.666666666599</v>
      </c>
      <c r="B2489" s="1">
        <f ca="1">IFERROR(__xludf.DUMMYFUNCTION("""COMPUTED_VALUE"""),202.98)</f>
        <v>202.98</v>
      </c>
      <c r="C2489" s="1">
        <f ca="1">IFERROR(__xludf.DUMMYFUNCTION("""COMPUTED_VALUE"""),203.13)</f>
        <v>203.13</v>
      </c>
      <c r="D2489" s="1">
        <f ca="1">IFERROR(__xludf.DUMMYFUNCTION("""COMPUTED_VALUE"""),199.45)</f>
        <v>199.45</v>
      </c>
      <c r="E2489" s="1">
        <f ca="1">IFERROR(__xludf.DUMMYFUNCTION("""COMPUTED_VALUE"""),202.88)</f>
        <v>202.88</v>
      </c>
      <c r="F2489" s="1">
        <f ca="1">IFERROR(__xludf.DUMMYFUNCTION("""COMPUTED_VALUE"""),32768989)</f>
        <v>32768989</v>
      </c>
    </row>
    <row r="2490" spans="1:6" x14ac:dyDescent="0.35">
      <c r="A2490" s="2">
        <f ca="1">IFERROR(__xludf.DUMMYFUNCTION("""COMPUTED_VALUE"""),45617.6666666666)</f>
        <v>45617.666666666599</v>
      </c>
      <c r="B2490" s="1">
        <f ca="1">IFERROR(__xludf.DUMMYFUNCTION("""COMPUTED_VALUE"""),203.49)</f>
        <v>203.49</v>
      </c>
      <c r="C2490" s="1">
        <f ca="1">IFERROR(__xludf.DUMMYFUNCTION("""COMPUTED_VALUE"""),203.49)</f>
        <v>203.49</v>
      </c>
      <c r="D2490" s="1">
        <f ca="1">IFERROR(__xludf.DUMMYFUNCTION("""COMPUTED_VALUE"""),195.75)</f>
        <v>195.75</v>
      </c>
      <c r="E2490" s="1">
        <f ca="1">IFERROR(__xludf.DUMMYFUNCTION("""COMPUTED_VALUE"""),198.38)</f>
        <v>198.38</v>
      </c>
      <c r="F2490" s="1">
        <f ca="1">IFERROR(__xludf.DUMMYFUNCTION("""COMPUTED_VALUE"""),58800042)</f>
        <v>58800042</v>
      </c>
    </row>
    <row r="2491" spans="1:6" x14ac:dyDescent="0.35">
      <c r="A2491" s="2">
        <f ca="1">IFERROR(__xludf.DUMMYFUNCTION("""COMPUTED_VALUE"""),45618.6666666666)</f>
        <v>45618.666666666599</v>
      </c>
      <c r="B2491" s="1">
        <f ca="1">IFERROR(__xludf.DUMMYFUNCTION("""COMPUTED_VALUE"""),198.25)</f>
        <v>198.25</v>
      </c>
      <c r="C2491" s="1">
        <f ca="1">IFERROR(__xludf.DUMMYFUNCTION("""COMPUTED_VALUE"""),199.26)</f>
        <v>199.26</v>
      </c>
      <c r="D2491" s="1">
        <f ca="1">IFERROR(__xludf.DUMMYFUNCTION("""COMPUTED_VALUE"""),196.75)</f>
        <v>196.75</v>
      </c>
      <c r="E2491" s="1">
        <f ca="1">IFERROR(__xludf.DUMMYFUNCTION("""COMPUTED_VALUE"""),197.12)</f>
        <v>197.12</v>
      </c>
      <c r="F2491" s="1">
        <f ca="1">IFERROR(__xludf.DUMMYFUNCTION("""COMPUTED_VALUE"""),31530844)</f>
        <v>31530844</v>
      </c>
    </row>
    <row r="2492" spans="1:6" x14ac:dyDescent="0.35">
      <c r="A2492" s="2">
        <f ca="1">IFERROR(__xludf.DUMMYFUNCTION("""COMPUTED_VALUE"""),45621.6666666666)</f>
        <v>45621.666666666599</v>
      </c>
      <c r="B2492" s="1">
        <f ca="1">IFERROR(__xludf.DUMMYFUNCTION("""COMPUTED_VALUE"""),199.28)</f>
        <v>199.28</v>
      </c>
      <c r="C2492" s="1">
        <f ca="1">IFERROR(__xludf.DUMMYFUNCTION("""COMPUTED_VALUE"""),201.95)</f>
        <v>201.95</v>
      </c>
      <c r="D2492" s="1">
        <f ca="1">IFERROR(__xludf.DUMMYFUNCTION("""COMPUTED_VALUE"""),199)</f>
        <v>199</v>
      </c>
      <c r="E2492" s="1">
        <f ca="1">IFERROR(__xludf.DUMMYFUNCTION("""COMPUTED_VALUE"""),201.45)</f>
        <v>201.45</v>
      </c>
      <c r="F2492" s="1">
        <f ca="1">IFERROR(__xludf.DUMMYFUNCTION("""COMPUTED_VALUE"""),40685672)</f>
        <v>40685672</v>
      </c>
    </row>
    <row r="2493" spans="1:6" x14ac:dyDescent="0.35">
      <c r="A2493" s="2">
        <f ca="1">IFERROR(__xludf.DUMMYFUNCTION("""COMPUTED_VALUE"""),45622.6666666666)</f>
        <v>45622.666666666599</v>
      </c>
      <c r="B2493" s="1">
        <f ca="1">IFERROR(__xludf.DUMMYFUNCTION("""COMPUTED_VALUE"""),201.9)</f>
        <v>201.9</v>
      </c>
      <c r="C2493" s="1">
        <f ca="1">IFERROR(__xludf.DUMMYFUNCTION("""COMPUTED_VALUE"""),208)</f>
        <v>208</v>
      </c>
      <c r="D2493" s="1">
        <f ca="1">IFERROR(__xludf.DUMMYFUNCTION("""COMPUTED_VALUE"""),201.79)</f>
        <v>201.79</v>
      </c>
      <c r="E2493" s="1">
        <f ca="1">IFERROR(__xludf.DUMMYFUNCTION("""COMPUTED_VALUE"""),207.86)</f>
        <v>207.86</v>
      </c>
      <c r="F2493" s="1">
        <f ca="1">IFERROR(__xludf.DUMMYFUNCTION("""COMPUTED_VALUE"""),41673737)</f>
        <v>41673737</v>
      </c>
    </row>
    <row r="2494" spans="1:6" x14ac:dyDescent="0.35">
      <c r="A2494" s="2">
        <f ca="1">IFERROR(__xludf.DUMMYFUNCTION("""COMPUTED_VALUE"""),45623.6666666666)</f>
        <v>45623.666666666599</v>
      </c>
      <c r="B2494" s="1">
        <f ca="1">IFERROR(__xludf.DUMMYFUNCTION("""COMPUTED_VALUE"""),206.98)</f>
        <v>206.98</v>
      </c>
      <c r="C2494" s="1">
        <f ca="1">IFERROR(__xludf.DUMMYFUNCTION("""COMPUTED_VALUE"""),207.64)</f>
        <v>207.64</v>
      </c>
      <c r="D2494" s="1">
        <f ca="1">IFERROR(__xludf.DUMMYFUNCTION("""COMPUTED_VALUE"""),205.05)</f>
        <v>205.05</v>
      </c>
      <c r="E2494" s="1">
        <f ca="1">IFERROR(__xludf.DUMMYFUNCTION("""COMPUTED_VALUE"""),205.74)</f>
        <v>205.74</v>
      </c>
      <c r="F2494" s="1">
        <f ca="1">IFERROR(__xludf.DUMMYFUNCTION("""COMPUTED_VALUE"""),28061638)</f>
        <v>28061638</v>
      </c>
    </row>
    <row r="2495" spans="1:6" x14ac:dyDescent="0.35">
      <c r="A2495" s="2">
        <f ca="1">IFERROR(__xludf.DUMMYFUNCTION("""COMPUTED_VALUE"""),45625.5451388888)</f>
        <v>45625.545138888803</v>
      </c>
      <c r="B2495" s="1">
        <f ca="1">IFERROR(__xludf.DUMMYFUNCTION("""COMPUTED_VALUE"""),205.83)</f>
        <v>205.83</v>
      </c>
      <c r="C2495" s="1">
        <f ca="1">IFERROR(__xludf.DUMMYFUNCTION("""COMPUTED_VALUE"""),208.2)</f>
        <v>208.2</v>
      </c>
      <c r="D2495" s="1">
        <f ca="1">IFERROR(__xludf.DUMMYFUNCTION("""COMPUTED_VALUE"""),204.59)</f>
        <v>204.59</v>
      </c>
      <c r="E2495" s="1">
        <f ca="1">IFERROR(__xludf.DUMMYFUNCTION("""COMPUTED_VALUE"""),207.89)</f>
        <v>207.89</v>
      </c>
      <c r="F2495" s="1">
        <f ca="1">IFERROR(__xludf.DUMMYFUNCTION("""COMPUTED_VALUE"""),24892447)</f>
        <v>24892447</v>
      </c>
    </row>
    <row r="2496" spans="1:6" x14ac:dyDescent="0.35">
      <c r="A2496" s="2">
        <f ca="1">IFERROR(__xludf.DUMMYFUNCTION("""COMPUTED_VALUE"""),45628.6666666666)</f>
        <v>45628.666666666599</v>
      </c>
      <c r="B2496" s="1">
        <f ca="1">IFERROR(__xludf.DUMMYFUNCTION("""COMPUTED_VALUE"""),209.96)</f>
        <v>209.96</v>
      </c>
      <c r="C2496" s="1">
        <f ca="1">IFERROR(__xludf.DUMMYFUNCTION("""COMPUTED_VALUE"""),212.99)</f>
        <v>212.99</v>
      </c>
      <c r="D2496" s="1">
        <f ca="1">IFERROR(__xludf.DUMMYFUNCTION("""COMPUTED_VALUE"""),209.51)</f>
        <v>209.51</v>
      </c>
      <c r="E2496" s="1">
        <f ca="1">IFERROR(__xludf.DUMMYFUNCTION("""COMPUTED_VALUE"""),210.71)</f>
        <v>210.71</v>
      </c>
      <c r="F2496" s="1">
        <f ca="1">IFERROR(__xludf.DUMMYFUNCTION("""COMPUTED_VALUE"""),39523185)</f>
        <v>39523185</v>
      </c>
    </row>
    <row r="2497" spans="1:6" x14ac:dyDescent="0.35">
      <c r="A2497" s="2">
        <f ca="1">IFERROR(__xludf.DUMMYFUNCTION("""COMPUTED_VALUE"""),45629.6666666666)</f>
        <v>45629.666666666599</v>
      </c>
      <c r="B2497" s="1">
        <f ca="1">IFERROR(__xludf.DUMMYFUNCTION("""COMPUTED_VALUE"""),210.31)</f>
        <v>210.31</v>
      </c>
      <c r="C2497" s="1">
        <f ca="1">IFERROR(__xludf.DUMMYFUNCTION("""COMPUTED_VALUE"""),214.02)</f>
        <v>214.02</v>
      </c>
      <c r="D2497" s="1">
        <f ca="1">IFERROR(__xludf.DUMMYFUNCTION("""COMPUTED_VALUE"""),209.65)</f>
        <v>209.65</v>
      </c>
      <c r="E2497" s="1">
        <f ca="1">IFERROR(__xludf.DUMMYFUNCTION("""COMPUTED_VALUE"""),213.44)</f>
        <v>213.44</v>
      </c>
      <c r="F2497" s="1">
        <f ca="1">IFERROR(__xludf.DUMMYFUNCTION("""COMPUTED_VALUE"""),32214828)</f>
        <v>32214828</v>
      </c>
    </row>
    <row r="2498" spans="1:6" x14ac:dyDescent="0.35">
      <c r="A2498" s="2">
        <f ca="1">IFERROR(__xludf.DUMMYFUNCTION("""COMPUTED_VALUE"""),45630.6666666666)</f>
        <v>45630.666666666599</v>
      </c>
      <c r="B2498" s="1">
        <f ca="1">IFERROR(__xludf.DUMMYFUNCTION("""COMPUTED_VALUE"""),215.96)</f>
        <v>215.96</v>
      </c>
      <c r="C2498" s="1">
        <f ca="1">IFERROR(__xludf.DUMMYFUNCTION("""COMPUTED_VALUE"""),220)</f>
        <v>220</v>
      </c>
      <c r="D2498" s="1">
        <f ca="1">IFERROR(__xludf.DUMMYFUNCTION("""COMPUTED_VALUE"""),215.75)</f>
        <v>215.75</v>
      </c>
      <c r="E2498" s="1">
        <f ca="1">IFERROR(__xludf.DUMMYFUNCTION("""COMPUTED_VALUE"""),218.16)</f>
        <v>218.16</v>
      </c>
      <c r="F2498" s="1">
        <f ca="1">IFERROR(__xludf.DUMMYFUNCTION("""COMPUTED_VALUE"""),48745716)</f>
        <v>48745716</v>
      </c>
    </row>
    <row r="2499" spans="1:6" x14ac:dyDescent="0.35">
      <c r="A2499" s="2">
        <f ca="1">IFERROR(__xludf.DUMMYFUNCTION("""COMPUTED_VALUE"""),45631.6666666666)</f>
        <v>45631.666666666599</v>
      </c>
      <c r="B2499" s="1">
        <f ca="1">IFERROR(__xludf.DUMMYFUNCTION("""COMPUTED_VALUE"""),218.03)</f>
        <v>218.03</v>
      </c>
      <c r="C2499" s="1">
        <f ca="1">IFERROR(__xludf.DUMMYFUNCTION("""COMPUTED_VALUE"""),222.15)</f>
        <v>222.15</v>
      </c>
      <c r="D2499" s="1">
        <f ca="1">IFERROR(__xludf.DUMMYFUNCTION("""COMPUTED_VALUE"""),217.3)</f>
        <v>217.3</v>
      </c>
      <c r="E2499" s="1">
        <f ca="1">IFERROR(__xludf.DUMMYFUNCTION("""COMPUTED_VALUE"""),220.55)</f>
        <v>220.55</v>
      </c>
      <c r="F2499" s="1">
        <f ca="1">IFERROR(__xludf.DUMMYFUNCTION("""COMPUTED_VALUE"""),41140220)</f>
        <v>41140220</v>
      </c>
    </row>
    <row r="2500" spans="1:6" x14ac:dyDescent="0.35">
      <c r="A2500" s="2">
        <f ca="1">IFERROR(__xludf.DUMMYFUNCTION("""COMPUTED_VALUE"""),45632.6666666666)</f>
        <v>45632.666666666599</v>
      </c>
      <c r="B2500" s="1">
        <f ca="1">IFERROR(__xludf.DUMMYFUNCTION("""COMPUTED_VALUE"""),220.75)</f>
        <v>220.75</v>
      </c>
      <c r="C2500" s="1">
        <f ca="1">IFERROR(__xludf.DUMMYFUNCTION("""COMPUTED_VALUE"""),227.15)</f>
        <v>227.15</v>
      </c>
      <c r="D2500" s="1">
        <f ca="1">IFERROR(__xludf.DUMMYFUNCTION("""COMPUTED_VALUE"""),220.6)</f>
        <v>220.6</v>
      </c>
      <c r="E2500" s="1">
        <f ca="1">IFERROR(__xludf.DUMMYFUNCTION("""COMPUTED_VALUE"""),227.03)</f>
        <v>227.03</v>
      </c>
      <c r="F2500" s="1">
        <f ca="1">IFERROR(__xludf.DUMMYFUNCTION("""COMPUTED_VALUE"""),44178069)</f>
        <v>44178069</v>
      </c>
    </row>
    <row r="2501" spans="1:6" x14ac:dyDescent="0.35">
      <c r="A2501" s="2">
        <f ca="1">IFERROR(__xludf.DUMMYFUNCTION("""COMPUTED_VALUE"""),45635.6666666666)</f>
        <v>45635.666666666599</v>
      </c>
      <c r="B2501" s="1">
        <f ca="1">IFERROR(__xludf.DUMMYFUNCTION("""COMPUTED_VALUE"""),227.21)</f>
        <v>227.21</v>
      </c>
      <c r="C2501" s="1">
        <f ca="1">IFERROR(__xludf.DUMMYFUNCTION("""COMPUTED_VALUE"""),230.08)</f>
        <v>230.08</v>
      </c>
      <c r="D2501" s="1">
        <f ca="1">IFERROR(__xludf.DUMMYFUNCTION("""COMPUTED_VALUE"""),225.67)</f>
        <v>225.67</v>
      </c>
      <c r="E2501" s="1">
        <f ca="1">IFERROR(__xludf.DUMMYFUNCTION("""COMPUTED_VALUE"""),226.09)</f>
        <v>226.09</v>
      </c>
      <c r="F2501" s="1">
        <f ca="1">IFERROR(__xludf.DUMMYFUNCTION("""COMPUTED_VALUE"""),46819363)</f>
        <v>46819363</v>
      </c>
    </row>
    <row r="2502" spans="1:6" x14ac:dyDescent="0.35">
      <c r="A2502" s="2">
        <f ca="1">IFERROR(__xludf.DUMMYFUNCTION("""COMPUTED_VALUE"""),45636.6666666666)</f>
        <v>45636.666666666599</v>
      </c>
      <c r="B2502" s="1">
        <f ca="1">IFERROR(__xludf.DUMMYFUNCTION("""COMPUTED_VALUE"""),226.09)</f>
        <v>226.09</v>
      </c>
      <c r="C2502" s="1">
        <f ca="1">IFERROR(__xludf.DUMMYFUNCTION("""COMPUTED_VALUE"""),229.06)</f>
        <v>229.06</v>
      </c>
      <c r="D2502" s="1">
        <f ca="1">IFERROR(__xludf.DUMMYFUNCTION("""COMPUTED_VALUE"""),224.2)</f>
        <v>224.2</v>
      </c>
      <c r="E2502" s="1">
        <f ca="1">IFERROR(__xludf.DUMMYFUNCTION("""COMPUTED_VALUE"""),225.04)</f>
        <v>225.04</v>
      </c>
      <c r="F2502" s="1">
        <f ca="1">IFERROR(__xludf.DUMMYFUNCTION("""COMPUTED_VALUE"""),404897)</f>
        <v>404897</v>
      </c>
    </row>
    <row r="2503" spans="1:6" x14ac:dyDescent="0.35">
      <c r="A2503" s="2">
        <f ca="1">IFERROR(__xludf.DUMMYFUNCTION("""COMPUTED_VALUE"""),45637.6666666666)</f>
        <v>45637.666666666599</v>
      </c>
      <c r="B2503" s="1">
        <f ca="1">IFERROR(__xludf.DUMMYFUNCTION("""COMPUTED_VALUE"""),226.41)</f>
        <v>226.41</v>
      </c>
      <c r="C2503" s="1">
        <f ca="1">IFERROR(__xludf.DUMMYFUNCTION("""COMPUTED_VALUE"""),231.2)</f>
        <v>231.2</v>
      </c>
      <c r="D2503" s="1">
        <f ca="1">IFERROR(__xludf.DUMMYFUNCTION("""COMPUTED_VALUE"""),226.26)</f>
        <v>226.26</v>
      </c>
      <c r="E2503" s="1">
        <f ca="1">IFERROR(__xludf.DUMMYFUNCTION("""COMPUTED_VALUE"""),230.26)</f>
        <v>230.26</v>
      </c>
      <c r="F2503" s="1">
        <f ca="1">IFERROR(__xludf.DUMMYFUNCTION("""COMPUTED_VALUE"""),35385785)</f>
        <v>35385785</v>
      </c>
    </row>
    <row r="2504" spans="1:6" x14ac:dyDescent="0.35">
      <c r="A2504" s="2">
        <f ca="1">IFERROR(__xludf.DUMMYFUNCTION("""COMPUTED_VALUE"""),45638.6666666666)</f>
        <v>45638.666666666599</v>
      </c>
      <c r="B2504" s="1">
        <f ca="1">IFERROR(__xludf.DUMMYFUNCTION("""COMPUTED_VALUE"""),229.83)</f>
        <v>229.83</v>
      </c>
      <c r="C2504" s="1">
        <f ca="1">IFERROR(__xludf.DUMMYFUNCTION("""COMPUTED_VALUE"""),231.09)</f>
        <v>231.09</v>
      </c>
      <c r="D2504" s="1">
        <f ca="1">IFERROR(__xludf.DUMMYFUNCTION("""COMPUTED_VALUE"""),227.63)</f>
        <v>227.63</v>
      </c>
      <c r="E2504" s="1">
        <f ca="1">IFERROR(__xludf.DUMMYFUNCTION("""COMPUTED_VALUE"""),228.97)</f>
        <v>228.97</v>
      </c>
      <c r="F2504" s="1">
        <f ca="1">IFERROR(__xludf.DUMMYFUNCTION("""COMPUTED_VALUE"""),28204084)</f>
        <v>28204084</v>
      </c>
    </row>
    <row r="2505" spans="1:6" x14ac:dyDescent="0.35">
      <c r="A2505" s="2">
        <f ca="1">IFERROR(__xludf.DUMMYFUNCTION("""COMPUTED_VALUE"""),45639.6666666666)</f>
        <v>45639.666666666599</v>
      </c>
      <c r="B2505" s="1">
        <f ca="1">IFERROR(__xludf.DUMMYFUNCTION("""COMPUTED_VALUE"""),228.4)</f>
        <v>228.4</v>
      </c>
      <c r="C2505" s="1">
        <f ca="1">IFERROR(__xludf.DUMMYFUNCTION("""COMPUTED_VALUE"""),230.2)</f>
        <v>230.2</v>
      </c>
      <c r="D2505" s="1">
        <f ca="1">IFERROR(__xludf.DUMMYFUNCTION("""COMPUTED_VALUE"""),225.86)</f>
        <v>225.86</v>
      </c>
      <c r="E2505" s="1">
        <f ca="1">IFERROR(__xludf.DUMMYFUNCTION("""COMPUTED_VALUE"""),227.46)</f>
        <v>227.46</v>
      </c>
      <c r="F2505" s="1">
        <f ca="1">IFERROR(__xludf.DUMMYFUNCTION("""COMPUTED_VALUE"""),28768080)</f>
        <v>28768080</v>
      </c>
    </row>
    <row r="2506" spans="1:6" x14ac:dyDescent="0.35">
      <c r="A2506" s="2">
        <f ca="1">IFERROR(__xludf.DUMMYFUNCTION("""COMPUTED_VALUE"""),45642.6666666666)</f>
        <v>45642.666666666599</v>
      </c>
      <c r="B2506" s="1">
        <f ca="1">IFERROR(__xludf.DUMMYFUNCTION("""COMPUTED_VALUE"""),230.23)</f>
        <v>230.23</v>
      </c>
      <c r="C2506" s="1">
        <f ca="1">IFERROR(__xludf.DUMMYFUNCTION("""COMPUTED_VALUE"""),233)</f>
        <v>233</v>
      </c>
      <c r="D2506" s="1">
        <f ca="1">IFERROR(__xludf.DUMMYFUNCTION("""COMPUTED_VALUE"""),228.01)</f>
        <v>228.01</v>
      </c>
      <c r="E2506" s="1">
        <f ca="1">IFERROR(__xludf.DUMMYFUNCTION("""COMPUTED_VALUE"""),232.93)</f>
        <v>232.93</v>
      </c>
      <c r="F2506" s="1">
        <f ca="1">IFERROR(__xludf.DUMMYFUNCTION("""COMPUTED_VALUE"""),37552096)</f>
        <v>37552096</v>
      </c>
    </row>
    <row r="2507" spans="1:6" x14ac:dyDescent="0.35">
      <c r="A2507" s="2">
        <f ca="1">IFERROR(__xludf.DUMMYFUNCTION("""COMPUTED_VALUE"""),45643.6666666666)</f>
        <v>45643.666666666599</v>
      </c>
      <c r="B2507" s="1">
        <f ca="1">IFERROR(__xludf.DUMMYFUNCTION("""COMPUTED_VALUE"""),232.39)</f>
        <v>232.39</v>
      </c>
      <c r="C2507" s="1">
        <f ca="1">IFERROR(__xludf.DUMMYFUNCTION("""COMPUTED_VALUE"""),232.73)</f>
        <v>232.73</v>
      </c>
      <c r="D2507" s="1">
        <f ca="1">IFERROR(__xludf.DUMMYFUNCTION("""COMPUTED_VALUE"""),227.85)</f>
        <v>227.85</v>
      </c>
      <c r="E2507" s="1">
        <f ca="1">IFERROR(__xludf.DUMMYFUNCTION("""COMPUTED_VALUE"""),231.15)</f>
        <v>231.15</v>
      </c>
      <c r="F2507" s="1">
        <f ca="1">IFERROR(__xludf.DUMMYFUNCTION("""COMPUTED_VALUE"""),35948131)</f>
        <v>35948131</v>
      </c>
    </row>
    <row r="2508" spans="1:6" x14ac:dyDescent="0.35">
      <c r="A2508" s="2">
        <f ca="1">IFERROR(__xludf.DUMMYFUNCTION("""COMPUTED_VALUE"""),45644.6666666666)</f>
        <v>45644.666666666599</v>
      </c>
      <c r="B2508" s="1">
        <f ca="1">IFERROR(__xludf.DUMMYFUNCTION("""COMPUTED_VALUE"""),230.77)</f>
        <v>230.77</v>
      </c>
      <c r="C2508" s="1">
        <f ca="1">IFERROR(__xludf.DUMMYFUNCTION("""COMPUTED_VALUE"""),231.4)</f>
        <v>231.4</v>
      </c>
      <c r="D2508" s="1">
        <f ca="1">IFERROR(__xludf.DUMMYFUNCTION("""COMPUTED_VALUE"""),220.11)</f>
        <v>220.11</v>
      </c>
      <c r="E2508" s="1">
        <f ca="1">IFERROR(__xludf.DUMMYFUNCTION("""COMPUTED_VALUE"""),220.52)</f>
        <v>220.52</v>
      </c>
      <c r="F2508" s="1">
        <f ca="1">IFERROR(__xludf.DUMMYFUNCTION("""COMPUTED_VALUE"""),43281443)</f>
        <v>43281443</v>
      </c>
    </row>
    <row r="2509" spans="1:6" x14ac:dyDescent="0.35">
      <c r="A2509" s="2">
        <f ca="1">IFERROR(__xludf.DUMMYFUNCTION("""COMPUTED_VALUE"""),45645.6666666666)</f>
        <v>45645.666666666599</v>
      </c>
      <c r="B2509" s="1">
        <f ca="1">IFERROR(__xludf.DUMMYFUNCTION("""COMPUTED_VALUE"""),224.91)</f>
        <v>224.91</v>
      </c>
      <c r="C2509" s="1">
        <f ca="1">IFERROR(__xludf.DUMMYFUNCTION("""COMPUTED_VALUE"""),226.09)</f>
        <v>226.09</v>
      </c>
      <c r="D2509" s="1">
        <f ca="1">IFERROR(__xludf.DUMMYFUNCTION("""COMPUTED_VALUE"""),222.92)</f>
        <v>222.92</v>
      </c>
      <c r="E2509" s="1">
        <f ca="1">IFERROR(__xludf.DUMMYFUNCTION("""COMPUTED_VALUE"""),223.29)</f>
        <v>223.29</v>
      </c>
      <c r="F2509" s="1">
        <f ca="1">IFERROR(__xludf.DUMMYFUNCTION("""COMPUTED_VALUE"""),39918739)</f>
        <v>39918739</v>
      </c>
    </row>
    <row r="2510" spans="1:6" x14ac:dyDescent="0.35">
      <c r="A2510" s="2">
        <f ca="1">IFERROR(__xludf.DUMMYFUNCTION("""COMPUTED_VALUE"""),45646.6666666666)</f>
        <v>45646.666666666599</v>
      </c>
      <c r="B2510" s="1">
        <f ca="1">IFERROR(__xludf.DUMMYFUNCTION("""COMPUTED_VALUE"""),219.84)</f>
        <v>219.84</v>
      </c>
      <c r="C2510" s="1">
        <f ca="1">IFERROR(__xludf.DUMMYFUNCTION("""COMPUTED_VALUE"""),226.21)</f>
        <v>226.21</v>
      </c>
      <c r="D2510" s="1">
        <f ca="1">IFERROR(__xludf.DUMMYFUNCTION("""COMPUTED_VALUE"""),218.73)</f>
        <v>218.73</v>
      </c>
      <c r="E2510" s="1">
        <f ca="1">IFERROR(__xludf.DUMMYFUNCTION("""COMPUTED_VALUE"""),224.92)</f>
        <v>224.92</v>
      </c>
      <c r="F2510" s="1">
        <f ca="1">IFERROR(__xludf.DUMMYFUNCTION("""COMPUTED_VALUE"""),88279184)</f>
        <v>88279184</v>
      </c>
    </row>
    <row r="2511" spans="1:6" x14ac:dyDescent="0.35">
      <c r="A2511" s="2">
        <f ca="1">IFERROR(__xludf.DUMMYFUNCTION("""COMPUTED_VALUE"""),45649.6666666666)</f>
        <v>45649.666666666599</v>
      </c>
      <c r="B2511" s="1">
        <f ca="1">IFERROR(__xludf.DUMMYFUNCTION("""COMPUTED_VALUE"""),225.01)</f>
        <v>225.01</v>
      </c>
      <c r="C2511" s="1">
        <f ca="1">IFERROR(__xludf.DUMMYFUNCTION("""COMPUTED_VALUE"""),226.88)</f>
        <v>226.88</v>
      </c>
      <c r="D2511" s="1">
        <f ca="1">IFERROR(__xludf.DUMMYFUNCTION("""COMPUTED_VALUE"""),223.9)</f>
        <v>223.9</v>
      </c>
      <c r="E2511" s="1">
        <f ca="1">IFERROR(__xludf.DUMMYFUNCTION("""COMPUTED_VALUE"""),225.06)</f>
        <v>225.06</v>
      </c>
      <c r="F2511" s="1">
        <f ca="1">IFERROR(__xludf.DUMMYFUNCTION("""COMPUTED_VALUE"""),28070007)</f>
        <v>28070007</v>
      </c>
    </row>
    <row r="2512" spans="1:6" x14ac:dyDescent="0.35">
      <c r="A2512" s="2">
        <f ca="1">IFERROR(__xludf.DUMMYFUNCTION("""COMPUTED_VALUE"""),45650.5451388888)</f>
        <v>45650.545138888803</v>
      </c>
      <c r="B2512" s="1">
        <f ca="1">IFERROR(__xludf.DUMMYFUNCTION("""COMPUTED_VALUE"""),226.94)</f>
        <v>226.94</v>
      </c>
      <c r="C2512" s="1">
        <f ca="1">IFERROR(__xludf.DUMMYFUNCTION("""COMPUTED_VALUE"""),229.14)</f>
        <v>229.14</v>
      </c>
      <c r="D2512" s="1">
        <f ca="1">IFERROR(__xludf.DUMMYFUNCTION("""COMPUTED_VALUE"""),226.13)</f>
        <v>226.13</v>
      </c>
      <c r="E2512" s="1">
        <f ca="1">IFERROR(__xludf.DUMMYFUNCTION("""COMPUTED_VALUE"""),229.05)</f>
        <v>229.05</v>
      </c>
      <c r="F2512" s="1">
        <f ca="1">IFERROR(__xludf.DUMMYFUNCTION("""COMPUTED_VALUE"""),15007497)</f>
        <v>15007497</v>
      </c>
    </row>
    <row r="2513" spans="1:6" x14ac:dyDescent="0.35">
      <c r="A2513" s="2">
        <f ca="1">IFERROR(__xludf.DUMMYFUNCTION("""COMPUTED_VALUE"""),45652.6666666666)</f>
        <v>45652.666666666599</v>
      </c>
      <c r="B2513" s="1">
        <f ca="1">IFERROR(__xludf.DUMMYFUNCTION("""COMPUTED_VALUE"""),228.5)</f>
        <v>228.5</v>
      </c>
      <c r="C2513" s="1">
        <f ca="1">IFERROR(__xludf.DUMMYFUNCTION("""COMPUTED_VALUE"""),228.5)</f>
        <v>228.5</v>
      </c>
      <c r="D2513" s="1">
        <f ca="1">IFERROR(__xludf.DUMMYFUNCTION("""COMPUTED_VALUE"""),226.67)</f>
        <v>226.67</v>
      </c>
      <c r="E2513" s="1">
        <f ca="1">IFERROR(__xludf.DUMMYFUNCTION("""COMPUTED_VALUE"""),227.05)</f>
        <v>227.05</v>
      </c>
      <c r="F2513" s="1">
        <f ca="1">IFERROR(__xludf.DUMMYFUNCTION("""COMPUTED_VALUE"""),16174500)</f>
        <v>16174500</v>
      </c>
    </row>
    <row r="2514" spans="1:6" x14ac:dyDescent="0.35">
      <c r="A2514" s="2">
        <f ca="1">IFERROR(__xludf.DUMMYFUNCTION("""COMPUTED_VALUE"""),45653.6666666666)</f>
        <v>45653.666666666599</v>
      </c>
      <c r="B2514" s="1">
        <f ca="1">IFERROR(__xludf.DUMMYFUNCTION("""COMPUTED_VALUE"""),225.6)</f>
        <v>225.6</v>
      </c>
      <c r="C2514" s="1">
        <f ca="1">IFERROR(__xludf.DUMMYFUNCTION("""COMPUTED_VALUE"""),226.03)</f>
        <v>226.03</v>
      </c>
      <c r="D2514" s="1">
        <f ca="1">IFERROR(__xludf.DUMMYFUNCTION("""COMPUTED_VALUE"""),220.9)</f>
        <v>220.9</v>
      </c>
      <c r="E2514" s="1">
        <f ca="1">IFERROR(__xludf.DUMMYFUNCTION("""COMPUTED_VALUE"""),223.75)</f>
        <v>223.75</v>
      </c>
      <c r="F2514" s="1">
        <f ca="1">IFERROR(__xludf.DUMMYFUNCTION("""COMPUTED_VALUE"""),27367147)</f>
        <v>27367147</v>
      </c>
    </row>
    <row r="2515" spans="1:6" x14ac:dyDescent="0.35">
      <c r="A2515" s="2">
        <f ca="1">IFERROR(__xludf.DUMMYFUNCTION("""COMPUTED_VALUE"""),45656.6666666666)</f>
        <v>45656.666666666599</v>
      </c>
      <c r="B2515" s="1">
        <f ca="1">IFERROR(__xludf.DUMMYFUNCTION("""COMPUTED_VALUE"""),220.06)</f>
        <v>220.06</v>
      </c>
      <c r="C2515" s="1">
        <f ca="1">IFERROR(__xludf.DUMMYFUNCTION("""COMPUTED_VALUE"""),223)</f>
        <v>223</v>
      </c>
      <c r="D2515" s="1">
        <f ca="1">IFERROR(__xludf.DUMMYFUNCTION("""COMPUTED_VALUE"""),218.43)</f>
        <v>218.43</v>
      </c>
      <c r="E2515" s="1">
        <f ca="1">IFERROR(__xludf.DUMMYFUNCTION("""COMPUTED_VALUE"""),221.3)</f>
        <v>221.3</v>
      </c>
      <c r="F2515" s="1">
        <f ca="1">IFERROR(__xludf.DUMMYFUNCTION("""COMPUTED_VALUE"""),28321240)</f>
        <v>28321240</v>
      </c>
    </row>
    <row r="2516" spans="1:6" x14ac:dyDescent="0.35">
      <c r="A2516" s="2">
        <f ca="1">IFERROR(__xludf.DUMMYFUNCTION("""COMPUTED_VALUE"""),45657.6666666666)</f>
        <v>45657.666666666599</v>
      </c>
      <c r="B2516" s="1">
        <f ca="1">IFERROR(__xludf.DUMMYFUNCTION("""COMPUTED_VALUE"""),222.97)</f>
        <v>222.97</v>
      </c>
      <c r="C2516" s="1">
        <f ca="1">IFERROR(__xludf.DUMMYFUNCTION("""COMPUTED_VALUE"""),223.23)</f>
        <v>223.23</v>
      </c>
      <c r="D2516" s="1">
        <f ca="1">IFERROR(__xludf.DUMMYFUNCTION("""COMPUTED_VALUE"""),218.94)</f>
        <v>218.94</v>
      </c>
      <c r="E2516" s="1">
        <f ca="1">IFERROR(__xludf.DUMMYFUNCTION("""COMPUTED_VALUE"""),219.39)</f>
        <v>219.39</v>
      </c>
      <c r="F2516" s="1">
        <f ca="1">IFERROR(__xludf.DUMMYFUNCTION("""COMPUTED_VALUE"""),24819655)</f>
        <v>24819655</v>
      </c>
    </row>
    <row r="2517" spans="1:6" x14ac:dyDescent="0.35">
      <c r="A2517" s="2">
        <f ca="1">IFERROR(__xludf.DUMMYFUNCTION("""COMPUTED_VALUE"""),45659.6666666666)</f>
        <v>45659.666666666599</v>
      </c>
      <c r="B2517" s="1">
        <f ca="1">IFERROR(__xludf.DUMMYFUNCTION("""COMPUTED_VALUE"""),222.03)</f>
        <v>222.03</v>
      </c>
      <c r="C2517" s="1">
        <f ca="1">IFERROR(__xludf.DUMMYFUNCTION("""COMPUTED_VALUE"""),225.15)</f>
        <v>225.15</v>
      </c>
      <c r="D2517" s="1">
        <f ca="1">IFERROR(__xludf.DUMMYFUNCTION("""COMPUTED_VALUE"""),218.19)</f>
        <v>218.19</v>
      </c>
      <c r="E2517" s="1">
        <f ca="1">IFERROR(__xludf.DUMMYFUNCTION("""COMPUTED_VALUE"""),220.22)</f>
        <v>220.22</v>
      </c>
      <c r="F2517" s="1">
        <f ca="1">IFERROR(__xludf.DUMMYFUNCTION("""COMPUTED_VALUE"""),33956579)</f>
        <v>33956579</v>
      </c>
    </row>
    <row r="2518" spans="1:6" x14ac:dyDescent="0.35">
      <c r="A2518" s="2">
        <f ca="1">IFERROR(__xludf.DUMMYFUNCTION("""COMPUTED_VALUE"""),45660.6666666666)</f>
        <v>45660.666666666599</v>
      </c>
      <c r="B2518" s="1">
        <f ca="1">IFERROR(__xludf.DUMMYFUNCTION("""COMPUTED_VALUE"""),222.51)</f>
        <v>222.51</v>
      </c>
      <c r="C2518" s="1">
        <f ca="1">IFERROR(__xludf.DUMMYFUNCTION("""COMPUTED_VALUE"""),225.36)</f>
        <v>225.36</v>
      </c>
      <c r="D2518" s="1">
        <f ca="1">IFERROR(__xludf.DUMMYFUNCTION("""COMPUTED_VALUE"""),221.62)</f>
        <v>221.62</v>
      </c>
      <c r="E2518" s="1">
        <f ca="1">IFERROR(__xludf.DUMMYFUNCTION("""COMPUTED_VALUE"""),224.19)</f>
        <v>224.19</v>
      </c>
      <c r="F2518" s="1">
        <f ca="1">IFERROR(__xludf.DUMMYFUNCTION("""COMPUTED_VALUE"""),27515606)</f>
        <v>27515606</v>
      </c>
    </row>
    <row r="2519" spans="1:6" x14ac:dyDescent="0.35">
      <c r="A2519" s="2">
        <f ca="1">IFERROR(__xludf.DUMMYFUNCTION("""COMPUTED_VALUE"""),45663.6666666666)</f>
        <v>45663.666666666599</v>
      </c>
      <c r="B2519" s="1">
        <f ca="1">IFERROR(__xludf.DUMMYFUNCTION("""COMPUTED_VALUE"""),226.78)</f>
        <v>226.78</v>
      </c>
      <c r="C2519" s="1">
        <f ca="1">IFERROR(__xludf.DUMMYFUNCTION("""COMPUTED_VALUE"""),228.84)</f>
        <v>228.84</v>
      </c>
      <c r="D2519" s="1">
        <f ca="1">IFERROR(__xludf.DUMMYFUNCTION("""COMPUTED_VALUE"""),224.84)</f>
        <v>224.84</v>
      </c>
      <c r="E2519" s="1">
        <f ca="1">IFERROR(__xludf.DUMMYFUNCTION("""COMPUTED_VALUE"""),227.61)</f>
        <v>227.61</v>
      </c>
      <c r="F2519" s="1">
        <f ca="1">IFERROR(__xludf.DUMMYFUNCTION("""COMPUTED_VALUE"""),31849831)</f>
        <v>31849831</v>
      </c>
    </row>
    <row r="2520" spans="1:6" x14ac:dyDescent="0.35">
      <c r="A2520" s="2">
        <f ca="1">IFERROR(__xludf.DUMMYFUNCTION("""COMPUTED_VALUE"""),45664.6666666666)</f>
        <v>45664.666666666599</v>
      </c>
      <c r="B2520" s="1">
        <f ca="1">IFERROR(__xludf.DUMMYFUNCTION("""COMPUTED_VALUE"""),227.9)</f>
        <v>227.9</v>
      </c>
      <c r="C2520" s="1">
        <f ca="1">IFERROR(__xludf.DUMMYFUNCTION("""COMPUTED_VALUE"""),228.38)</f>
        <v>228.38</v>
      </c>
      <c r="D2520" s="1">
        <f ca="1">IFERROR(__xludf.DUMMYFUNCTION("""COMPUTED_VALUE"""),221.46)</f>
        <v>221.46</v>
      </c>
      <c r="E2520" s="1">
        <f ca="1">IFERROR(__xludf.DUMMYFUNCTION("""COMPUTED_VALUE"""),222.11)</f>
        <v>222.11</v>
      </c>
      <c r="F2520" s="1">
        <f ca="1">IFERROR(__xludf.DUMMYFUNCTION("""COMPUTED_VALUE"""),28084164)</f>
        <v>28084164</v>
      </c>
    </row>
    <row r="2521" spans="1:6" x14ac:dyDescent="0.35">
      <c r="A2521" s="2">
        <f ca="1">IFERROR(__xludf.DUMMYFUNCTION("""COMPUTED_VALUE"""),45665.6666666666)</f>
        <v>45665.666666666599</v>
      </c>
      <c r="B2521" s="1">
        <f ca="1">IFERROR(__xludf.DUMMYFUNCTION("""COMPUTED_VALUE"""),223.19)</f>
        <v>223.19</v>
      </c>
      <c r="C2521" s="1">
        <f ca="1">IFERROR(__xludf.DUMMYFUNCTION("""COMPUTED_VALUE"""),223.52)</f>
        <v>223.52</v>
      </c>
      <c r="D2521" s="1">
        <f ca="1">IFERROR(__xludf.DUMMYFUNCTION("""COMPUTED_VALUE"""),220.2)</f>
        <v>220.2</v>
      </c>
      <c r="E2521" s="1">
        <f ca="1">IFERROR(__xludf.DUMMYFUNCTION("""COMPUTED_VALUE"""),222.13)</f>
        <v>222.13</v>
      </c>
      <c r="F2521" s="1">
        <f ca="1">IFERROR(__xludf.DUMMYFUNCTION("""COMPUTED_VALUE"""),25033292)</f>
        <v>25033292</v>
      </c>
    </row>
    <row r="2522" spans="1:6" x14ac:dyDescent="0.35">
      <c r="A2522" s="2">
        <f ca="1">IFERROR(__xludf.DUMMYFUNCTION("""COMPUTED_VALUE"""),45667.6666666666)</f>
        <v>45667.666666666599</v>
      </c>
      <c r="B2522" s="1">
        <f ca="1">IFERROR(__xludf.DUMMYFUNCTION("""COMPUTED_VALUE"""),221.46)</f>
        <v>221.46</v>
      </c>
      <c r="C2522" s="1">
        <f ca="1">IFERROR(__xludf.DUMMYFUNCTION("""COMPUTED_VALUE"""),221.71)</f>
        <v>221.71</v>
      </c>
      <c r="D2522" s="1">
        <f ca="1">IFERROR(__xludf.DUMMYFUNCTION("""COMPUTED_VALUE"""),216.5)</f>
        <v>216.5</v>
      </c>
      <c r="E2522" s="1">
        <f ca="1">IFERROR(__xludf.DUMMYFUNCTION("""COMPUTED_VALUE"""),218.94)</f>
        <v>218.94</v>
      </c>
      <c r="F2522" s="1">
        <f ca="1">IFERROR(__xludf.DUMMYFUNCTION("""COMPUTED_VALUE"""),36811525)</f>
        <v>36811525</v>
      </c>
    </row>
    <row r="2523" spans="1:6" x14ac:dyDescent="0.35">
      <c r="A2523" s="2">
        <f ca="1">IFERROR(__xludf.DUMMYFUNCTION("""COMPUTED_VALUE"""),45670.6666666666)</f>
        <v>45670.666666666599</v>
      </c>
      <c r="B2523" s="1">
        <f ca="1">IFERROR(__xludf.DUMMYFUNCTION("""COMPUTED_VALUE"""),218.06)</f>
        <v>218.06</v>
      </c>
      <c r="C2523" s="1">
        <f ca="1">IFERROR(__xludf.DUMMYFUNCTION("""COMPUTED_VALUE"""),219.4)</f>
        <v>219.4</v>
      </c>
      <c r="D2523" s="1">
        <f ca="1">IFERROR(__xludf.DUMMYFUNCTION("""COMPUTED_VALUE"""),216.47)</f>
        <v>216.47</v>
      </c>
      <c r="E2523" s="1">
        <f ca="1">IFERROR(__xludf.DUMMYFUNCTION("""COMPUTED_VALUE"""),218.46)</f>
        <v>218.46</v>
      </c>
      <c r="F2523" s="1">
        <f ca="1">IFERROR(__xludf.DUMMYFUNCTION("""COMPUTED_VALUE"""),27262655)</f>
        <v>27262655</v>
      </c>
    </row>
    <row r="2524" spans="1:6" x14ac:dyDescent="0.35">
      <c r="A2524" s="2">
        <f ca="1">IFERROR(__xludf.DUMMYFUNCTION("""COMPUTED_VALUE"""),45671.6666666666)</f>
        <v>45671.666666666599</v>
      </c>
      <c r="B2524" s="1">
        <f ca="1">IFERROR(__xludf.DUMMYFUNCTION("""COMPUTED_VALUE"""),220.44)</f>
        <v>220.44</v>
      </c>
      <c r="C2524" s="1">
        <f ca="1">IFERROR(__xludf.DUMMYFUNCTION("""COMPUTED_VALUE"""),221.82)</f>
        <v>221.82</v>
      </c>
      <c r="D2524" s="1">
        <f ca="1">IFERROR(__xludf.DUMMYFUNCTION("""COMPUTED_VALUE"""),216.2)</f>
        <v>216.2</v>
      </c>
      <c r="E2524" s="1">
        <f ca="1">IFERROR(__xludf.DUMMYFUNCTION("""COMPUTED_VALUE"""),217.76)</f>
        <v>217.76</v>
      </c>
      <c r="F2524" s="1">
        <f ca="1">IFERROR(__xludf.DUMMYFUNCTION("""COMPUTED_VALUE"""),24711650)</f>
        <v>24711650</v>
      </c>
    </row>
    <row r="2525" spans="1:6" x14ac:dyDescent="0.35">
      <c r="A2525" s="2">
        <f ca="1">IFERROR(__xludf.DUMMYFUNCTION("""COMPUTED_VALUE"""),45672.6666666666)</f>
        <v>45672.666666666599</v>
      </c>
      <c r="B2525" s="1">
        <f ca="1">IFERROR(__xludf.DUMMYFUNCTION("""COMPUTED_VALUE"""),222.83)</f>
        <v>222.83</v>
      </c>
      <c r="C2525" s="1">
        <f ca="1">IFERROR(__xludf.DUMMYFUNCTION("""COMPUTED_VALUE"""),223.57)</f>
        <v>223.57</v>
      </c>
      <c r="D2525" s="1">
        <f ca="1">IFERROR(__xludf.DUMMYFUNCTION("""COMPUTED_VALUE"""),220.75)</f>
        <v>220.75</v>
      </c>
      <c r="E2525" s="1">
        <f ca="1">IFERROR(__xludf.DUMMYFUNCTION("""COMPUTED_VALUE"""),223.35)</f>
        <v>223.35</v>
      </c>
      <c r="F2525" s="1">
        <f ca="1">IFERROR(__xludf.DUMMYFUNCTION("""COMPUTED_VALUE"""),31291257)</f>
        <v>31291257</v>
      </c>
    </row>
    <row r="2526" spans="1:6" x14ac:dyDescent="0.35">
      <c r="A2526" s="2">
        <f ca="1">IFERROR(__xludf.DUMMYFUNCTION("""COMPUTED_VALUE"""),45673.6666666666)</f>
        <v>45673.666666666599</v>
      </c>
      <c r="B2526" s="1">
        <f ca="1">IFERROR(__xludf.DUMMYFUNCTION("""COMPUTED_VALUE"""),224.42)</f>
        <v>224.42</v>
      </c>
      <c r="C2526" s="1">
        <f ca="1">IFERROR(__xludf.DUMMYFUNCTION("""COMPUTED_VALUE"""),224.65)</f>
        <v>224.65</v>
      </c>
      <c r="D2526" s="1">
        <f ca="1">IFERROR(__xludf.DUMMYFUNCTION("""COMPUTED_VALUE"""),220.31)</f>
        <v>220.31</v>
      </c>
      <c r="E2526" s="1">
        <f ca="1">IFERROR(__xludf.DUMMYFUNCTION("""COMPUTED_VALUE"""),220.66)</f>
        <v>220.66</v>
      </c>
      <c r="F2526" s="1">
        <f ca="1">IFERROR(__xludf.DUMMYFUNCTION("""COMPUTED_VALUE"""),24757276)</f>
        <v>24757276</v>
      </c>
    </row>
    <row r="2527" spans="1:6" x14ac:dyDescent="0.35">
      <c r="A2527" s="2">
        <f ca="1">IFERROR(__xludf.DUMMYFUNCTION("""COMPUTED_VALUE"""),45674.6666666666)</f>
        <v>45674.666666666599</v>
      </c>
      <c r="B2527" s="1">
        <f ca="1">IFERROR(__xludf.DUMMYFUNCTION("""COMPUTED_VALUE"""),225.84)</f>
        <v>225.84</v>
      </c>
      <c r="C2527" s="1">
        <f ca="1">IFERROR(__xludf.DUMMYFUNCTION("""COMPUTED_VALUE"""),226.51)</f>
        <v>226.51</v>
      </c>
      <c r="D2527" s="1">
        <f ca="1">IFERROR(__xludf.DUMMYFUNCTION("""COMPUTED_VALUE"""),223.08)</f>
        <v>223.08</v>
      </c>
      <c r="E2527" s="1">
        <f ca="1">IFERROR(__xludf.DUMMYFUNCTION("""COMPUTED_VALUE"""),225.94)</f>
        <v>225.94</v>
      </c>
      <c r="F2527" s="1">
        <f ca="1">IFERROR(__xludf.DUMMYFUNCTION("""COMPUTED_VALUE"""),42370123)</f>
        <v>42370123</v>
      </c>
    </row>
    <row r="2528" spans="1:6" x14ac:dyDescent="0.35">
      <c r="A2528" s="2">
        <f ca="1">IFERROR(__xludf.DUMMYFUNCTION("""COMPUTED_VALUE"""),45678.6666666666)</f>
        <v>45678.666666666599</v>
      </c>
      <c r="B2528" s="1">
        <f ca="1">IFERROR(__xludf.DUMMYFUNCTION("""COMPUTED_VALUE"""),228.9)</f>
        <v>228.9</v>
      </c>
      <c r="C2528" s="1">
        <f ca="1">IFERROR(__xludf.DUMMYFUNCTION("""COMPUTED_VALUE"""),231.78)</f>
        <v>231.78</v>
      </c>
      <c r="D2528" s="1">
        <f ca="1">IFERROR(__xludf.DUMMYFUNCTION("""COMPUTED_VALUE"""),226.94)</f>
        <v>226.94</v>
      </c>
      <c r="E2528" s="1">
        <f ca="1">IFERROR(__xludf.DUMMYFUNCTION("""COMPUTED_VALUE"""),230.71)</f>
        <v>230.71</v>
      </c>
      <c r="F2528" s="1">
        <f ca="1">IFERROR(__xludf.DUMMYFUNCTION("""COMPUTED_VALUE"""),39951456)</f>
        <v>39951456</v>
      </c>
    </row>
    <row r="2529" spans="1:6" x14ac:dyDescent="0.35">
      <c r="A2529" s="2">
        <f ca="1">IFERROR(__xludf.DUMMYFUNCTION("""COMPUTED_VALUE"""),45679.6666666666)</f>
        <v>45679.666666666599</v>
      </c>
      <c r="B2529" s="1">
        <f ca="1">IFERROR(__xludf.DUMMYFUNCTION("""COMPUTED_VALUE"""),232.02)</f>
        <v>232.02</v>
      </c>
      <c r="C2529" s="1">
        <f ca="1">IFERROR(__xludf.DUMMYFUNCTION("""COMPUTED_VALUE"""),235.44)</f>
        <v>235.44</v>
      </c>
      <c r="D2529" s="1">
        <f ca="1">IFERROR(__xludf.DUMMYFUNCTION("""COMPUTED_VALUE"""),231.19)</f>
        <v>231.19</v>
      </c>
      <c r="E2529" s="1">
        <f ca="1">IFERROR(__xludf.DUMMYFUNCTION("""COMPUTED_VALUE"""),235.01)</f>
        <v>235.01</v>
      </c>
      <c r="F2529" s="1">
        <f ca="1">IFERROR(__xludf.DUMMYFUNCTION("""COMPUTED_VALUE"""),41448217)</f>
        <v>41448217</v>
      </c>
    </row>
    <row r="2530" spans="1:6" x14ac:dyDescent="0.35">
      <c r="A2530" s="2">
        <f ca="1">IFERROR(__xludf.DUMMYFUNCTION("""COMPUTED_VALUE"""),45680.6666666666)</f>
        <v>45680.666666666599</v>
      </c>
      <c r="B2530" s="1">
        <f ca="1">IFERROR(__xludf.DUMMYFUNCTION("""COMPUTED_VALUE"""),234.1)</f>
        <v>234.1</v>
      </c>
      <c r="C2530" s="1">
        <f ca="1">IFERROR(__xludf.DUMMYFUNCTION("""COMPUTED_VALUE"""),235.52)</f>
        <v>235.52</v>
      </c>
      <c r="D2530" s="1">
        <f ca="1">IFERROR(__xludf.DUMMYFUNCTION("""COMPUTED_VALUE"""),231.51)</f>
        <v>231.51</v>
      </c>
      <c r="E2530" s="1">
        <f ca="1">IFERROR(__xludf.DUMMYFUNCTION("""COMPUTED_VALUE"""),235.42)</f>
        <v>235.42</v>
      </c>
      <c r="F2530" s="1">
        <f ca="1">IFERROR(__xludf.DUMMYFUNCTION("""COMPUTED_VALUE"""),26404364)</f>
        <v>26404364</v>
      </c>
    </row>
    <row r="2531" spans="1:6" x14ac:dyDescent="0.35">
      <c r="A2531" s="2">
        <f ca="1">IFERROR(__xludf.DUMMYFUNCTION("""COMPUTED_VALUE"""),45681.6666666666)</f>
        <v>45681.666666666599</v>
      </c>
      <c r="B2531" s="1">
        <f ca="1">IFERROR(__xludf.DUMMYFUNCTION("""COMPUTED_VALUE"""),234.5)</f>
        <v>234.5</v>
      </c>
      <c r="C2531" s="1">
        <f ca="1">IFERROR(__xludf.DUMMYFUNCTION("""COMPUTED_VALUE"""),236.4)</f>
        <v>236.4</v>
      </c>
      <c r="D2531" s="1">
        <f ca="1">IFERROR(__xludf.DUMMYFUNCTION("""COMPUTED_VALUE"""),232.93)</f>
        <v>232.93</v>
      </c>
      <c r="E2531" s="1">
        <f ca="1">IFERROR(__xludf.DUMMYFUNCTION("""COMPUTED_VALUE"""),234.85)</f>
        <v>234.85</v>
      </c>
      <c r="F2531" s="1">
        <f ca="1">IFERROR(__xludf.DUMMYFUNCTION("""COMPUTED_VALUE"""),25890738)</f>
        <v>25890738</v>
      </c>
    </row>
    <row r="2532" spans="1:6" x14ac:dyDescent="0.35">
      <c r="A2532" s="2">
        <f ca="1">IFERROR(__xludf.DUMMYFUNCTION("""COMPUTED_VALUE"""),45684.6666666666)</f>
        <v>45684.666666666599</v>
      </c>
      <c r="B2532" s="1">
        <f ca="1">IFERROR(__xludf.DUMMYFUNCTION("""COMPUTED_VALUE"""),226.21)</f>
        <v>226.21</v>
      </c>
      <c r="C2532" s="1">
        <f ca="1">IFERROR(__xludf.DUMMYFUNCTION("""COMPUTED_VALUE"""),235.61)</f>
        <v>235.61</v>
      </c>
      <c r="D2532" s="1">
        <f ca="1">IFERROR(__xludf.DUMMYFUNCTION("""COMPUTED_VALUE"""),225.86)</f>
        <v>225.86</v>
      </c>
      <c r="E2532" s="1">
        <f ca="1">IFERROR(__xludf.DUMMYFUNCTION("""COMPUTED_VALUE"""),235.42)</f>
        <v>235.42</v>
      </c>
      <c r="F2532" s="1">
        <f ca="1">IFERROR(__xludf.DUMMYFUNCTION("""COMPUTED_VALUE"""),49428332)</f>
        <v>49428332</v>
      </c>
    </row>
    <row r="2533" spans="1:6" x14ac:dyDescent="0.35">
      <c r="A2533" s="2">
        <f ca="1">IFERROR(__xludf.DUMMYFUNCTION("""COMPUTED_VALUE"""),45685.6666666666)</f>
        <v>45685.666666666599</v>
      </c>
      <c r="B2533" s="1">
        <f ca="1">IFERROR(__xludf.DUMMYFUNCTION("""COMPUTED_VALUE"""),234.29)</f>
        <v>234.29</v>
      </c>
      <c r="C2533" s="1">
        <f ca="1">IFERROR(__xludf.DUMMYFUNCTION("""COMPUTED_VALUE"""),241.77)</f>
        <v>241.77</v>
      </c>
      <c r="D2533" s="1">
        <f ca="1">IFERROR(__xludf.DUMMYFUNCTION("""COMPUTED_VALUE"""),233.98)</f>
        <v>233.98</v>
      </c>
      <c r="E2533" s="1">
        <f ca="1">IFERROR(__xludf.DUMMYFUNCTION("""COMPUTED_VALUE"""),238.15)</f>
        <v>238.15</v>
      </c>
      <c r="F2533" s="1">
        <f ca="1">IFERROR(__xludf.DUMMYFUNCTION("""COMPUTED_VALUE"""),41587188)</f>
        <v>41587188</v>
      </c>
    </row>
    <row r="2534" spans="1:6" x14ac:dyDescent="0.35">
      <c r="A2534" s="2">
        <f ca="1">IFERROR(__xludf.DUMMYFUNCTION("""COMPUTED_VALUE"""),45686.6666666666)</f>
        <v>45686.666666666599</v>
      </c>
      <c r="B2534" s="1">
        <f ca="1">IFERROR(__xludf.DUMMYFUNCTION("""COMPUTED_VALUE"""),239.02)</f>
        <v>239.02</v>
      </c>
      <c r="C2534" s="1">
        <f ca="1">IFERROR(__xludf.DUMMYFUNCTION("""COMPUTED_VALUE"""),240.39)</f>
        <v>240.39</v>
      </c>
      <c r="D2534" s="1">
        <f ca="1">IFERROR(__xludf.DUMMYFUNCTION("""COMPUTED_VALUE"""),236.15)</f>
        <v>236.15</v>
      </c>
      <c r="E2534" s="1">
        <f ca="1">IFERROR(__xludf.DUMMYFUNCTION("""COMPUTED_VALUE"""),237.07)</f>
        <v>237.07</v>
      </c>
      <c r="F2534" s="1">
        <f ca="1">IFERROR(__xludf.DUMMYFUNCTION("""COMPUTED_VALUE"""),26091716)</f>
        <v>26091716</v>
      </c>
    </row>
    <row r="2535" spans="1:6" x14ac:dyDescent="0.35">
      <c r="A2535" s="2">
        <f ca="1">IFERROR(__xludf.DUMMYFUNCTION("""COMPUTED_VALUE"""),45687.6666666666)</f>
        <v>45687.666666666599</v>
      </c>
      <c r="B2535" s="1">
        <f ca="1">IFERROR(__xludf.DUMMYFUNCTION("""COMPUTED_VALUE"""),237.14)</f>
        <v>237.14</v>
      </c>
      <c r="C2535" s="1">
        <f ca="1">IFERROR(__xludf.DUMMYFUNCTION("""COMPUTED_VALUE"""),237.95)</f>
        <v>237.95</v>
      </c>
      <c r="D2535" s="1">
        <f ca="1">IFERROR(__xludf.DUMMYFUNCTION("""COMPUTED_VALUE"""),232.22)</f>
        <v>232.22</v>
      </c>
      <c r="E2535" s="1">
        <f ca="1">IFERROR(__xludf.DUMMYFUNCTION("""COMPUTED_VALUE"""),234.64)</f>
        <v>234.64</v>
      </c>
      <c r="F2535" s="1">
        <f ca="1">IFERROR(__xludf.DUMMYFUNCTION("""COMPUTED_VALUE"""),32020728)</f>
        <v>32020728</v>
      </c>
    </row>
    <row r="2536" spans="1:6" x14ac:dyDescent="0.35">
      <c r="A2536" s="2">
        <f ca="1">IFERROR(__xludf.DUMMYFUNCTION("""COMPUTED_VALUE"""),45688.6666666666)</f>
        <v>45688.666666666599</v>
      </c>
      <c r="B2536" s="1">
        <f ca="1">IFERROR(__xludf.DUMMYFUNCTION("""COMPUTED_VALUE"""),236.5)</f>
        <v>236.5</v>
      </c>
      <c r="C2536" s="1">
        <f ca="1">IFERROR(__xludf.DUMMYFUNCTION("""COMPUTED_VALUE"""),240.29)</f>
        <v>240.29</v>
      </c>
      <c r="D2536" s="1">
        <f ca="1">IFERROR(__xludf.DUMMYFUNCTION("""COMPUTED_VALUE"""),236.41)</f>
        <v>236.41</v>
      </c>
      <c r="E2536" s="1">
        <f ca="1">IFERROR(__xludf.DUMMYFUNCTION("""COMPUTED_VALUE"""),237.68)</f>
        <v>237.68</v>
      </c>
      <c r="F2536" s="1">
        <f ca="1">IFERROR(__xludf.DUMMYFUNCTION("""COMPUTED_VALUE"""),36162377)</f>
        <v>36162377</v>
      </c>
    </row>
    <row r="2537" spans="1:6" x14ac:dyDescent="0.35">
      <c r="A2537" s="2">
        <f ca="1">IFERROR(__xludf.DUMMYFUNCTION("""COMPUTED_VALUE"""),45691.6666666666)</f>
        <v>45691.666666666599</v>
      </c>
      <c r="B2537" s="1">
        <f ca="1">IFERROR(__xludf.DUMMYFUNCTION("""COMPUTED_VALUE"""),234.06)</f>
        <v>234.06</v>
      </c>
      <c r="C2537" s="1">
        <f ca="1">IFERROR(__xludf.DUMMYFUNCTION("""COMPUTED_VALUE"""),239.25)</f>
        <v>239.25</v>
      </c>
      <c r="D2537" s="1">
        <f ca="1">IFERROR(__xludf.DUMMYFUNCTION("""COMPUTED_VALUE"""),232.9)</f>
        <v>232.9</v>
      </c>
      <c r="E2537" s="1">
        <f ca="1">IFERROR(__xludf.DUMMYFUNCTION("""COMPUTED_VALUE"""),237.42)</f>
        <v>237.42</v>
      </c>
      <c r="F2537" s="1">
        <f ca="1">IFERROR(__xludf.DUMMYFUNCTION("""COMPUTED_VALUE"""),37285868)</f>
        <v>37285868</v>
      </c>
    </row>
    <row r="2538" spans="1:6" x14ac:dyDescent="0.35">
      <c r="A2538" s="2">
        <f ca="1">IFERROR(__xludf.DUMMYFUNCTION("""COMPUTED_VALUE"""),45692.6666666666)</f>
        <v>45692.666666666599</v>
      </c>
      <c r="B2538" s="1">
        <f ca="1">IFERROR(__xludf.DUMMYFUNCTION("""COMPUTED_VALUE"""),239.01)</f>
        <v>239.01</v>
      </c>
      <c r="C2538" s="1">
        <f ca="1">IFERROR(__xludf.DUMMYFUNCTION("""COMPUTED_VALUE"""),242.52)</f>
        <v>242.52</v>
      </c>
      <c r="D2538" s="1">
        <f ca="1">IFERROR(__xludf.DUMMYFUNCTION("""COMPUTED_VALUE"""),238.03)</f>
        <v>238.03</v>
      </c>
      <c r="E2538" s="1">
        <f ca="1">IFERROR(__xludf.DUMMYFUNCTION("""COMPUTED_VALUE"""),242.06)</f>
        <v>242.06</v>
      </c>
      <c r="F2538" s="1">
        <f ca="1">IFERROR(__xludf.DUMMYFUNCTION("""COMPUTED_VALUE"""),29713812)</f>
        <v>29713812</v>
      </c>
    </row>
    <row r="2539" spans="1:6" x14ac:dyDescent="0.35">
      <c r="A2539" s="2">
        <f ca="1">IFERROR(__xludf.DUMMYFUNCTION("""COMPUTED_VALUE"""),45693.6666666666)</f>
        <v>45693.666666666599</v>
      </c>
      <c r="B2539" s="1">
        <f ca="1">IFERROR(__xludf.DUMMYFUNCTION("""COMPUTED_VALUE"""),237.02)</f>
        <v>237.02</v>
      </c>
      <c r="C2539" s="1">
        <f ca="1">IFERROR(__xludf.DUMMYFUNCTION("""COMPUTED_VALUE"""),238.32)</f>
        <v>238.32</v>
      </c>
      <c r="D2539" s="1">
        <f ca="1">IFERROR(__xludf.DUMMYFUNCTION("""COMPUTED_VALUE"""),235.2)</f>
        <v>235.2</v>
      </c>
      <c r="E2539" s="1">
        <f ca="1">IFERROR(__xludf.DUMMYFUNCTION("""COMPUTED_VALUE"""),236.17)</f>
        <v>236.17</v>
      </c>
      <c r="F2539" s="1">
        <f ca="1">IFERROR(__xludf.DUMMYFUNCTION("""COMPUTED_VALUE"""),38832042)</f>
        <v>38832042</v>
      </c>
    </row>
    <row r="2540" spans="1:6" x14ac:dyDescent="0.35">
      <c r="A2540" s="2">
        <f ca="1">IFERROR(__xludf.DUMMYFUNCTION("""COMPUTED_VALUE"""),45694.6666666666)</f>
        <v>45694.666666666599</v>
      </c>
      <c r="B2540" s="1">
        <f ca="1">IFERROR(__xludf.DUMMYFUNCTION("""COMPUTED_VALUE"""),238.01)</f>
        <v>238.01</v>
      </c>
      <c r="C2540" s="1">
        <f ca="1">IFERROR(__xludf.DUMMYFUNCTION("""COMPUTED_VALUE"""),239.66)</f>
        <v>239.66</v>
      </c>
      <c r="D2540" s="1">
        <f ca="1">IFERROR(__xludf.DUMMYFUNCTION("""COMPUTED_VALUE"""),236.01)</f>
        <v>236.01</v>
      </c>
      <c r="E2540" s="1">
        <f ca="1">IFERROR(__xludf.DUMMYFUNCTION("""COMPUTED_VALUE"""),238.83)</f>
        <v>238.83</v>
      </c>
      <c r="F2540" s="1">
        <f ca="1">IFERROR(__xludf.DUMMYFUNCTION("""COMPUTED_VALUE"""),60897095)</f>
        <v>60897095</v>
      </c>
    </row>
    <row r="2541" spans="1:6" x14ac:dyDescent="0.35">
      <c r="A2541" s="2">
        <f ca="1">IFERROR(__xludf.DUMMYFUNCTION("""COMPUTED_VALUE"""),45695.6666666666)</f>
        <v>45695.666666666599</v>
      </c>
      <c r="B2541" s="1">
        <f ca="1">IFERROR(__xludf.DUMMYFUNCTION("""COMPUTED_VALUE"""),232.5)</f>
        <v>232.5</v>
      </c>
      <c r="C2541" s="1">
        <f ca="1">IFERROR(__xludf.DUMMYFUNCTION("""COMPUTED_VALUE"""),234.81)</f>
        <v>234.81</v>
      </c>
      <c r="D2541" s="1">
        <f ca="1">IFERROR(__xludf.DUMMYFUNCTION("""COMPUTED_VALUE"""),228.06)</f>
        <v>228.06</v>
      </c>
      <c r="E2541" s="1">
        <f ca="1">IFERROR(__xludf.DUMMYFUNCTION("""COMPUTED_VALUE"""),229.15)</f>
        <v>229.15</v>
      </c>
      <c r="F2541" s="1">
        <f ca="1">IFERROR(__xludf.DUMMYFUNCTION("""COMPUTED_VALUE"""),77539276)</f>
        <v>77539276</v>
      </c>
    </row>
    <row r="2542" spans="1:6" x14ac:dyDescent="0.35">
      <c r="A2542" s="2">
        <f ca="1">IFERROR(__xludf.DUMMYFUNCTION("""COMPUTED_VALUE"""),45698.6666666666)</f>
        <v>45698.666666666599</v>
      </c>
      <c r="B2542" s="1">
        <f ca="1">IFERROR(__xludf.DUMMYFUNCTION("""COMPUTED_VALUE"""),230.55)</f>
        <v>230.55</v>
      </c>
      <c r="C2542" s="1">
        <f ca="1">IFERROR(__xludf.DUMMYFUNCTION("""COMPUTED_VALUE"""),233.92)</f>
        <v>233.92</v>
      </c>
      <c r="D2542" s="1">
        <f ca="1">IFERROR(__xludf.DUMMYFUNCTION("""COMPUTED_VALUE"""),229.2)</f>
        <v>229.2</v>
      </c>
      <c r="E2542" s="1">
        <f ca="1">IFERROR(__xludf.DUMMYFUNCTION("""COMPUTED_VALUE"""),233.14)</f>
        <v>233.14</v>
      </c>
      <c r="F2542" s="1">
        <f ca="1">IFERROR(__xludf.DUMMYFUNCTION("""COMPUTED_VALUE"""),35419926)</f>
        <v>35419926</v>
      </c>
    </row>
    <row r="2543" spans="1:6" x14ac:dyDescent="0.35">
      <c r="A2543" s="2">
        <f ca="1">IFERROR(__xludf.DUMMYFUNCTION("""COMPUTED_VALUE"""),45699.6666666666)</f>
        <v>45699.666666666599</v>
      </c>
      <c r="B2543" s="1">
        <f ca="1">IFERROR(__xludf.DUMMYFUNCTION("""COMPUTED_VALUE"""),231.92)</f>
        <v>231.92</v>
      </c>
      <c r="C2543" s="1">
        <f ca="1">IFERROR(__xludf.DUMMYFUNCTION("""COMPUTED_VALUE"""),233.44)</f>
        <v>233.44</v>
      </c>
      <c r="D2543" s="1">
        <f ca="1">IFERROR(__xludf.DUMMYFUNCTION("""COMPUTED_VALUE"""),230.13)</f>
        <v>230.13</v>
      </c>
      <c r="E2543" s="1">
        <f ca="1">IFERROR(__xludf.DUMMYFUNCTION("""COMPUTED_VALUE"""),232.76)</f>
        <v>232.76</v>
      </c>
      <c r="F2543" s="1">
        <f ca="1">IFERROR(__xludf.DUMMYFUNCTION("""COMPUTED_VALUE"""),23713726)</f>
        <v>23713726</v>
      </c>
    </row>
    <row r="2544" spans="1:6" x14ac:dyDescent="0.35">
      <c r="A2544" s="2">
        <f ca="1">IFERROR(__xludf.DUMMYFUNCTION("""COMPUTED_VALUE"""),45700.6666666666)</f>
        <v>45700.666666666599</v>
      </c>
      <c r="B2544" s="1">
        <f ca="1">IFERROR(__xludf.DUMMYFUNCTION("""COMPUTED_VALUE"""),230.46)</f>
        <v>230.46</v>
      </c>
      <c r="C2544" s="1">
        <f ca="1">IFERROR(__xludf.DUMMYFUNCTION("""COMPUTED_VALUE"""),231.18)</f>
        <v>231.18</v>
      </c>
      <c r="D2544" s="1">
        <f ca="1">IFERROR(__xludf.DUMMYFUNCTION("""COMPUTED_VALUE"""),228.16)</f>
        <v>228.16</v>
      </c>
      <c r="E2544" s="1">
        <f ca="1">IFERROR(__xludf.DUMMYFUNCTION("""COMPUTED_VALUE"""),228.93)</f>
        <v>228.93</v>
      </c>
      <c r="F2544" s="1">
        <f ca="1">IFERROR(__xludf.DUMMYFUNCTION("""COMPUTED_VALUE"""),32285249)</f>
        <v>32285249</v>
      </c>
    </row>
    <row r="2545" spans="1:6" x14ac:dyDescent="0.35">
      <c r="A2545" s="2">
        <f ca="1">IFERROR(__xludf.DUMMYFUNCTION("""COMPUTED_VALUE"""),45701.6666666666)</f>
        <v>45701.666666666599</v>
      </c>
      <c r="B2545" s="1">
        <f ca="1">IFERROR(__xludf.DUMMYFUNCTION("""COMPUTED_VALUE"""),228.85)</f>
        <v>228.85</v>
      </c>
      <c r="C2545" s="1">
        <f ca="1">IFERROR(__xludf.DUMMYFUNCTION("""COMPUTED_VALUE"""),230.42)</f>
        <v>230.42</v>
      </c>
      <c r="D2545" s="1">
        <f ca="1">IFERROR(__xludf.DUMMYFUNCTION("""COMPUTED_VALUE"""),227.52)</f>
        <v>227.52</v>
      </c>
      <c r="E2545" s="1">
        <f ca="1">IFERROR(__xludf.DUMMYFUNCTION("""COMPUTED_VALUE"""),230.37)</f>
        <v>230.37</v>
      </c>
      <c r="F2545" s="1">
        <f ca="1">IFERROR(__xludf.DUMMYFUNCTION("""COMPUTED_VALUE"""),31346512)</f>
        <v>31346512</v>
      </c>
    </row>
    <row r="2546" spans="1:6" x14ac:dyDescent="0.35">
      <c r="A2546" s="2">
        <f ca="1">IFERROR(__xludf.DUMMYFUNCTION("""COMPUTED_VALUE"""),45702.6666666666)</f>
        <v>45702.666666666599</v>
      </c>
      <c r="B2546" s="1">
        <f ca="1">IFERROR(__xludf.DUMMYFUNCTION("""COMPUTED_VALUE"""),229.2)</f>
        <v>229.2</v>
      </c>
      <c r="C2546" s="1">
        <f ca="1">IFERROR(__xludf.DUMMYFUNCTION("""COMPUTED_VALUE"""),229.89)</f>
        <v>229.89</v>
      </c>
      <c r="D2546" s="1">
        <f ca="1">IFERROR(__xludf.DUMMYFUNCTION("""COMPUTED_VALUE"""),227.23)</f>
        <v>227.23</v>
      </c>
      <c r="E2546" s="1">
        <f ca="1">IFERROR(__xludf.DUMMYFUNCTION("""COMPUTED_VALUE"""),228.68)</f>
        <v>228.68</v>
      </c>
      <c r="F2546" s="1">
        <f ca="1">IFERROR(__xludf.DUMMYFUNCTION("""COMPUTED_VALUE"""),27031084)</f>
        <v>27031084</v>
      </c>
    </row>
    <row r="2547" spans="1:6" x14ac:dyDescent="0.35">
      <c r="A2547" s="2">
        <f ca="1">IFERROR(__xludf.DUMMYFUNCTION("""COMPUTED_VALUE"""),45706.6666666666)</f>
        <v>45706.666666666599</v>
      </c>
      <c r="B2547" s="1">
        <f ca="1">IFERROR(__xludf.DUMMYFUNCTION("""COMPUTED_VALUE"""),228.82)</f>
        <v>228.82</v>
      </c>
      <c r="C2547" s="1">
        <f ca="1">IFERROR(__xludf.DUMMYFUNCTION("""COMPUTED_VALUE"""),229.3)</f>
        <v>229.3</v>
      </c>
      <c r="D2547" s="1">
        <f ca="1">IFERROR(__xludf.DUMMYFUNCTION("""COMPUTED_VALUE"""),223.72)</f>
        <v>223.72</v>
      </c>
      <c r="E2547" s="1">
        <f ca="1">IFERROR(__xludf.DUMMYFUNCTION("""COMPUTED_VALUE"""),226.65)</f>
        <v>226.65</v>
      </c>
      <c r="F2547" s="1">
        <f ca="1">IFERROR(__xludf.DUMMYFUNCTION("""COMPUTED_VALUE"""),42975133)</f>
        <v>42975133</v>
      </c>
    </row>
    <row r="2548" spans="1:6" x14ac:dyDescent="0.35">
      <c r="A2548" s="2">
        <f ca="1">IFERROR(__xludf.DUMMYFUNCTION("""COMPUTED_VALUE"""),45707.6666666666)</f>
        <v>45707.666666666599</v>
      </c>
      <c r="B2548" s="1">
        <f ca="1">IFERROR(__xludf.DUMMYFUNCTION("""COMPUTED_VALUE"""),225.52)</f>
        <v>225.52</v>
      </c>
      <c r="C2548" s="1">
        <f ca="1">IFERROR(__xludf.DUMMYFUNCTION("""COMPUTED_VALUE"""),226.83)</f>
        <v>226.83</v>
      </c>
      <c r="D2548" s="1">
        <f ca="1">IFERROR(__xludf.DUMMYFUNCTION("""COMPUTED_VALUE"""),223.71)</f>
        <v>223.71</v>
      </c>
      <c r="E2548" s="1">
        <f ca="1">IFERROR(__xludf.DUMMYFUNCTION("""COMPUTED_VALUE"""),226.63)</f>
        <v>226.63</v>
      </c>
      <c r="F2548" s="1">
        <f ca="1">IFERROR(__xludf.DUMMYFUNCTION("""COMPUTED_VALUE"""),28566709)</f>
        <v>28566709</v>
      </c>
    </row>
    <row r="2549" spans="1:6" x14ac:dyDescent="0.35">
      <c r="A2549" s="2">
        <f ca="1">IFERROR(__xludf.DUMMYFUNCTION("""COMPUTED_VALUE"""),45708.6666666666)</f>
        <v>45708.666666666599</v>
      </c>
      <c r="B2549" s="1">
        <f ca="1">IFERROR(__xludf.DUMMYFUNCTION("""COMPUTED_VALUE"""),224.78)</f>
        <v>224.78</v>
      </c>
      <c r="C2549" s="1">
        <f ca="1">IFERROR(__xludf.DUMMYFUNCTION("""COMPUTED_VALUE"""),225.13)</f>
        <v>225.13</v>
      </c>
      <c r="D2549" s="1">
        <f ca="1">IFERROR(__xludf.DUMMYFUNCTION("""COMPUTED_VALUE"""),221.81)</f>
        <v>221.81</v>
      </c>
      <c r="E2549" s="1">
        <f ca="1">IFERROR(__xludf.DUMMYFUNCTION("""COMPUTED_VALUE"""),222.88)</f>
        <v>222.88</v>
      </c>
      <c r="F2549" s="1">
        <f ca="1">IFERROR(__xludf.DUMMYFUNCTION("""COMPUTED_VALUE"""),30001665)</f>
        <v>30001665</v>
      </c>
    </row>
    <row r="2550" spans="1:6" x14ac:dyDescent="0.35">
      <c r="A2550" s="2">
        <f ca="1">IFERROR(__xludf.DUMMYFUNCTION("""COMPUTED_VALUE"""),45709.6666666666)</f>
        <v>45709.666666666599</v>
      </c>
      <c r="B2550" s="1">
        <f ca="1">IFERROR(__xludf.DUMMYFUNCTION("""COMPUTED_VALUE"""),223.28)</f>
        <v>223.28</v>
      </c>
      <c r="C2550" s="1">
        <f ca="1">IFERROR(__xludf.DUMMYFUNCTION("""COMPUTED_VALUE"""),223.31)</f>
        <v>223.31</v>
      </c>
      <c r="D2550" s="1">
        <f ca="1">IFERROR(__xludf.DUMMYFUNCTION("""COMPUTED_VALUE"""),214.74)</f>
        <v>214.74</v>
      </c>
      <c r="E2550" s="1">
        <f ca="1">IFERROR(__xludf.DUMMYFUNCTION("""COMPUTED_VALUE"""),216.58)</f>
        <v>216.58</v>
      </c>
      <c r="F2550" s="1">
        <f ca="1">IFERROR(__xludf.DUMMYFUNCTION("""COMPUTED_VALUE"""),55323850)</f>
        <v>55323850</v>
      </c>
    </row>
    <row r="2551" spans="1:6" x14ac:dyDescent="0.35">
      <c r="A2551" s="2">
        <f ca="1">IFERROR(__xludf.DUMMYFUNCTION("""COMPUTED_VALUE"""),45712.6666666666)</f>
        <v>45712.666666666599</v>
      </c>
      <c r="B2551" s="1">
        <f ca="1">IFERROR(__xludf.DUMMYFUNCTION("""COMPUTED_VALUE"""),217.45)</f>
        <v>217.45</v>
      </c>
      <c r="C2551" s="1">
        <f ca="1">IFERROR(__xludf.DUMMYFUNCTION("""COMPUTED_VALUE"""),217.72)</f>
        <v>217.72</v>
      </c>
      <c r="D2551" s="1">
        <f ca="1">IFERROR(__xludf.DUMMYFUNCTION("""COMPUTED_VALUE"""),212.42)</f>
        <v>212.42</v>
      </c>
      <c r="E2551" s="1">
        <f ca="1">IFERROR(__xludf.DUMMYFUNCTION("""COMPUTED_VALUE"""),212.71)</f>
        <v>212.71</v>
      </c>
      <c r="F2551" s="1">
        <f ca="1">IFERROR(__xludf.DUMMYFUNCTION("""COMPUTED_VALUE"""),42387585)</f>
        <v>42387585</v>
      </c>
    </row>
    <row r="2552" spans="1:6" x14ac:dyDescent="0.35">
      <c r="A2552" s="2">
        <f ca="1">IFERROR(__xludf.DUMMYFUNCTION("""COMPUTED_VALUE"""),45713.6666666666)</f>
        <v>45713.666666666599</v>
      </c>
      <c r="B2552" s="1">
        <f ca="1">IFERROR(__xludf.DUMMYFUNCTION("""COMPUTED_VALUE"""),211.63)</f>
        <v>211.63</v>
      </c>
      <c r="C2552" s="1">
        <f ca="1">IFERROR(__xludf.DUMMYFUNCTION("""COMPUTED_VALUE"""),213.34)</f>
        <v>213.34</v>
      </c>
      <c r="D2552" s="1">
        <f ca="1">IFERROR(__xludf.DUMMYFUNCTION("""COMPUTED_VALUE"""),204.16)</f>
        <v>204.16</v>
      </c>
      <c r="E2552" s="1">
        <f ca="1">IFERROR(__xludf.DUMMYFUNCTION("""COMPUTED_VALUE"""),212.8)</f>
        <v>212.8</v>
      </c>
      <c r="F2552" s="1">
        <f ca="1">IFERROR(__xludf.DUMMYFUNCTION("""COMPUTED_VALUE"""),58957977)</f>
        <v>58957977</v>
      </c>
    </row>
    <row r="2553" spans="1:6" x14ac:dyDescent="0.35">
      <c r="A2553" s="2">
        <f ca="1">IFERROR(__xludf.DUMMYFUNCTION("""COMPUTED_VALUE"""),45714.6666666666)</f>
        <v>45714.666666666599</v>
      </c>
      <c r="B2553" s="1">
        <f ca="1">IFERROR(__xludf.DUMMYFUNCTION("""COMPUTED_VALUE"""),214.94)</f>
        <v>214.94</v>
      </c>
      <c r="C2553" s="1">
        <f ca="1">IFERROR(__xludf.DUMMYFUNCTION("""COMPUTED_VALUE"""),218.16)</f>
        <v>218.16</v>
      </c>
      <c r="D2553" s="1">
        <f ca="1">IFERROR(__xludf.DUMMYFUNCTION("""COMPUTED_VALUE"""),213.09)</f>
        <v>213.09</v>
      </c>
      <c r="E2553" s="1">
        <f ca="1">IFERROR(__xludf.DUMMYFUNCTION("""COMPUTED_VALUE"""),214.35)</f>
        <v>214.35</v>
      </c>
      <c r="F2553" s="1">
        <f ca="1">IFERROR(__xludf.DUMMYFUNCTION("""COMPUTED_VALUE"""),39120603)</f>
        <v>39120603</v>
      </c>
    </row>
    <row r="2554" spans="1:6" x14ac:dyDescent="0.35">
      <c r="A2554" s="2">
        <f ca="1">IFERROR(__xludf.DUMMYFUNCTION("""COMPUTED_VALUE"""),45715.6666666666)</f>
        <v>45715.666666666599</v>
      </c>
      <c r="B2554" s="1">
        <f ca="1">IFERROR(__xludf.DUMMYFUNCTION("""COMPUTED_VALUE"""),218.35)</f>
        <v>218.35</v>
      </c>
      <c r="C2554" s="1">
        <f ca="1">IFERROR(__xludf.DUMMYFUNCTION("""COMPUTED_VALUE"""),219.97)</f>
        <v>219.97</v>
      </c>
      <c r="D2554" s="1">
        <f ca="1">IFERROR(__xludf.DUMMYFUNCTION("""COMPUTED_VALUE"""),208.37)</f>
        <v>208.37</v>
      </c>
      <c r="E2554" s="1">
        <f ca="1">IFERROR(__xludf.DUMMYFUNCTION("""COMPUTED_VALUE"""),208.74)</f>
        <v>208.74</v>
      </c>
      <c r="F2554" s="1">
        <f ca="1">IFERROR(__xludf.DUMMYFUNCTION("""COMPUTED_VALUE"""),40548571)</f>
        <v>40548571</v>
      </c>
    </row>
    <row r="2555" spans="1:6" x14ac:dyDescent="0.35">
      <c r="A2555" s="2">
        <f ca="1">IFERROR(__xludf.DUMMYFUNCTION("""COMPUTED_VALUE"""),45716.6666666666)</f>
        <v>45716.666666666599</v>
      </c>
      <c r="B2555" s="1">
        <f ca="1">IFERROR(__xludf.DUMMYFUNCTION("""COMPUTED_VALUE"""),208.65)</f>
        <v>208.65</v>
      </c>
      <c r="C2555" s="1">
        <f ca="1">IFERROR(__xludf.DUMMYFUNCTION("""COMPUTED_VALUE"""),212.62)</f>
        <v>212.62</v>
      </c>
      <c r="D2555" s="1">
        <f ca="1">IFERROR(__xludf.DUMMYFUNCTION("""COMPUTED_VALUE"""),206.99)</f>
        <v>206.99</v>
      </c>
      <c r="E2555" s="1">
        <f ca="1">IFERROR(__xludf.DUMMYFUNCTION("""COMPUTED_VALUE"""),212.28)</f>
        <v>212.28</v>
      </c>
      <c r="F2555" s="1">
        <f ca="1">IFERROR(__xludf.DUMMYFUNCTION("""COMPUTED_VALUE"""),51771737)</f>
        <v>51771737</v>
      </c>
    </row>
    <row r="2556" spans="1:6" x14ac:dyDescent="0.35">
      <c r="A2556" s="2">
        <f ca="1">IFERROR(__xludf.DUMMYFUNCTION("""COMPUTED_VALUE"""),45719.6666666666)</f>
        <v>45719.666666666599</v>
      </c>
      <c r="B2556" s="1">
        <f ca="1">IFERROR(__xludf.DUMMYFUNCTION("""COMPUTED_VALUE"""),213.35)</f>
        <v>213.35</v>
      </c>
      <c r="C2556" s="1">
        <f ca="1">IFERROR(__xludf.DUMMYFUNCTION("""COMPUTED_VALUE"""),214.01)</f>
        <v>214.01</v>
      </c>
      <c r="D2556" s="1">
        <f ca="1">IFERROR(__xludf.DUMMYFUNCTION("""COMPUTED_VALUE"""),202.55)</f>
        <v>202.55</v>
      </c>
      <c r="E2556" s="1">
        <f ca="1">IFERROR(__xludf.DUMMYFUNCTION("""COMPUTED_VALUE"""),205.02)</f>
        <v>205.02</v>
      </c>
      <c r="F2556" s="1">
        <f ca="1">IFERROR(__xludf.DUMMYFUNCTION("""COMPUTED_VALUE"""),42948447)</f>
        <v>42948447</v>
      </c>
    </row>
    <row r="2557" spans="1:6" x14ac:dyDescent="0.35">
      <c r="A2557" s="2">
        <f ca="1">IFERROR(__xludf.DUMMYFUNCTION("""COMPUTED_VALUE"""),45720.6666666666)</f>
        <v>45720.666666666599</v>
      </c>
      <c r="B2557" s="1">
        <f ca="1">IFERROR(__xludf.DUMMYFUNCTION("""COMPUTED_VALUE"""),200.11)</f>
        <v>200.11</v>
      </c>
      <c r="C2557" s="1">
        <f ca="1">IFERROR(__xludf.DUMMYFUNCTION("""COMPUTED_VALUE"""),206.8)</f>
        <v>206.8</v>
      </c>
      <c r="D2557" s="1">
        <f ca="1">IFERROR(__xludf.DUMMYFUNCTION("""COMPUTED_VALUE"""),197.43)</f>
        <v>197.43</v>
      </c>
      <c r="E2557" s="1">
        <f ca="1">IFERROR(__xludf.DUMMYFUNCTION("""COMPUTED_VALUE"""),203.8)</f>
        <v>203.8</v>
      </c>
      <c r="F2557" s="1">
        <f ca="1">IFERROR(__xludf.DUMMYFUNCTION("""COMPUTED_VALUE"""),60853084)</f>
        <v>60853084</v>
      </c>
    </row>
    <row r="2558" spans="1:6" x14ac:dyDescent="0.35">
      <c r="A2558" s="2">
        <f ca="1">IFERROR(__xludf.DUMMYFUNCTION("""COMPUTED_VALUE"""),45721.6666666666)</f>
        <v>45721.666666666599</v>
      </c>
      <c r="B2558" s="1">
        <f ca="1">IFERROR(__xludf.DUMMYFUNCTION("""COMPUTED_VALUE"""),204.8)</f>
        <v>204.8</v>
      </c>
      <c r="C2558" s="1">
        <f ca="1">IFERROR(__xludf.DUMMYFUNCTION("""COMPUTED_VALUE"""),209.98)</f>
        <v>209.98</v>
      </c>
      <c r="D2558" s="1">
        <f ca="1">IFERROR(__xludf.DUMMYFUNCTION("""COMPUTED_VALUE"""),203.26)</f>
        <v>203.26</v>
      </c>
      <c r="E2558" s="1">
        <f ca="1">IFERROR(__xludf.DUMMYFUNCTION("""COMPUTED_VALUE"""),208.36)</f>
        <v>208.36</v>
      </c>
      <c r="F2558" s="1">
        <f ca="1">IFERROR(__xludf.DUMMYFUNCTION("""COMPUTED_VALUE"""),38610085)</f>
        <v>38610085</v>
      </c>
    </row>
    <row r="2559" spans="1:6" x14ac:dyDescent="0.35">
      <c r="A2559" s="2">
        <f ca="1">IFERROR(__xludf.DUMMYFUNCTION("""COMPUTED_VALUE"""),45722.6666666666)</f>
        <v>45722.666666666599</v>
      </c>
      <c r="B2559" s="1">
        <f ca="1">IFERROR(__xludf.DUMMYFUNCTION("""COMPUTED_VALUE"""),204.4)</f>
        <v>204.4</v>
      </c>
      <c r="C2559" s="1">
        <f ca="1">IFERROR(__xludf.DUMMYFUNCTION("""COMPUTED_VALUE"""),205.77)</f>
        <v>205.77</v>
      </c>
      <c r="D2559" s="1">
        <f ca="1">IFERROR(__xludf.DUMMYFUNCTION("""COMPUTED_VALUE"""),198.3)</f>
        <v>198.3</v>
      </c>
      <c r="E2559" s="1">
        <f ca="1">IFERROR(__xludf.DUMMYFUNCTION("""COMPUTED_VALUE"""),200.7)</f>
        <v>200.7</v>
      </c>
      <c r="F2559" s="1">
        <f ca="1">IFERROR(__xludf.DUMMYFUNCTION("""COMPUTED_VALUE"""),49863755)</f>
        <v>49863755</v>
      </c>
    </row>
    <row r="2560" spans="1:6" x14ac:dyDescent="0.35">
      <c r="A2560" s="2">
        <f ca="1">IFERROR(__xludf.DUMMYFUNCTION("""COMPUTED_VALUE"""),45723.6666666666)</f>
        <v>45723.666666666599</v>
      </c>
      <c r="B2560" s="1">
        <f ca="1">IFERROR(__xludf.DUMMYFUNCTION("""COMPUTED_VALUE"""),199.49)</f>
        <v>199.49</v>
      </c>
      <c r="C2560" s="1">
        <f ca="1">IFERROR(__xludf.DUMMYFUNCTION("""COMPUTED_VALUE"""),202.27)</f>
        <v>202.27</v>
      </c>
      <c r="D2560" s="1">
        <f ca="1">IFERROR(__xludf.DUMMYFUNCTION("""COMPUTED_VALUE"""),192.53)</f>
        <v>192.53</v>
      </c>
      <c r="E2560" s="1">
        <f ca="1">IFERROR(__xludf.DUMMYFUNCTION("""COMPUTED_VALUE"""),199.25)</f>
        <v>199.25</v>
      </c>
      <c r="F2560" s="1">
        <f ca="1">IFERROR(__xludf.DUMMYFUNCTION("""COMPUTED_VALUE"""),59802821)</f>
        <v>59802821</v>
      </c>
    </row>
    <row r="2561" spans="1:6" x14ac:dyDescent="0.35">
      <c r="A2561" s="2">
        <f ca="1">IFERROR(__xludf.DUMMYFUNCTION("""COMPUTED_VALUE"""),45726.6666666666)</f>
        <v>45726.666666666599</v>
      </c>
      <c r="B2561" s="1">
        <f ca="1">IFERROR(__xludf.DUMMYFUNCTION("""COMPUTED_VALUE"""),195.6)</f>
        <v>195.6</v>
      </c>
      <c r="C2561" s="1">
        <f ca="1">IFERROR(__xludf.DUMMYFUNCTION("""COMPUTED_VALUE"""),196.73)</f>
        <v>196.73</v>
      </c>
      <c r="D2561" s="1">
        <f ca="1">IFERROR(__xludf.DUMMYFUNCTION("""COMPUTED_VALUE"""),190.85)</f>
        <v>190.85</v>
      </c>
      <c r="E2561" s="1">
        <f ca="1">IFERROR(__xludf.DUMMYFUNCTION("""COMPUTED_VALUE"""),194.54)</f>
        <v>194.54</v>
      </c>
      <c r="F2561" s="1">
        <f ca="1">IFERROR(__xludf.DUMMYFUNCTION("""COMPUTED_VALUE"""),62350926)</f>
        <v>62350926</v>
      </c>
    </row>
    <row r="2562" spans="1:6" x14ac:dyDescent="0.35">
      <c r="A2562" s="2">
        <f ca="1">IFERROR(__xludf.DUMMYFUNCTION("""COMPUTED_VALUE"""),45727.6666666666)</f>
        <v>45727.666666666599</v>
      </c>
      <c r="B2562" s="1">
        <f ca="1">IFERROR(__xludf.DUMMYFUNCTION("""COMPUTED_VALUE"""),193.9)</f>
        <v>193.9</v>
      </c>
      <c r="C2562" s="1">
        <f ca="1">IFERROR(__xludf.DUMMYFUNCTION("""COMPUTED_VALUE"""),200.18)</f>
        <v>200.18</v>
      </c>
      <c r="D2562" s="1">
        <f ca="1">IFERROR(__xludf.DUMMYFUNCTION("""COMPUTED_VALUE"""),193.4)</f>
        <v>193.4</v>
      </c>
      <c r="E2562" s="1">
        <f ca="1">IFERROR(__xludf.DUMMYFUNCTION("""COMPUTED_VALUE"""),196.59)</f>
        <v>196.59</v>
      </c>
      <c r="F2562" s="1">
        <f ca="1">IFERROR(__xludf.DUMMYFUNCTION("""COMPUTED_VALUE"""),54002880)</f>
        <v>54002880</v>
      </c>
    </row>
    <row r="2563" spans="1:6" x14ac:dyDescent="0.35">
      <c r="A2563" s="2">
        <f ca="1">IFERROR(__xludf.DUMMYFUNCTION("""COMPUTED_VALUE"""),45728.6666666666)</f>
        <v>45728.666666666599</v>
      </c>
      <c r="B2563" s="1">
        <f ca="1">IFERROR(__xludf.DUMMYFUNCTION("""COMPUTED_VALUE"""),200.72)</f>
        <v>200.72</v>
      </c>
      <c r="C2563" s="1">
        <f ca="1">IFERROR(__xludf.DUMMYFUNCTION("""COMPUTED_VALUE"""),201.52)</f>
        <v>201.52</v>
      </c>
      <c r="D2563" s="1">
        <f ca="1">IFERROR(__xludf.DUMMYFUNCTION("""COMPUTED_VALUE"""),195.29)</f>
        <v>195.29</v>
      </c>
      <c r="E2563" s="1">
        <f ca="1">IFERROR(__xludf.DUMMYFUNCTION("""COMPUTED_VALUE"""),198.89)</f>
        <v>198.89</v>
      </c>
      <c r="F2563" s="1">
        <f ca="1">IFERROR(__xludf.DUMMYFUNCTION("""COMPUTED_VALUE"""),43679284)</f>
        <v>43679284</v>
      </c>
    </row>
    <row r="2564" spans="1:6" x14ac:dyDescent="0.35">
      <c r="A2564" s="2">
        <f ca="1">IFERROR(__xludf.DUMMYFUNCTION("""COMPUTED_VALUE"""),45729.6666666666)</f>
        <v>45729.666666666599</v>
      </c>
      <c r="B2564" s="1">
        <f ca="1">IFERROR(__xludf.DUMMYFUNCTION("""COMPUTED_VALUE"""),198.17)</f>
        <v>198.17</v>
      </c>
      <c r="C2564" s="1">
        <f ca="1">IFERROR(__xludf.DUMMYFUNCTION("""COMPUTED_VALUE"""),198.88)</f>
        <v>198.88</v>
      </c>
      <c r="D2564" s="1">
        <f ca="1">IFERROR(__xludf.DUMMYFUNCTION("""COMPUTED_VALUE"""),191.82)</f>
        <v>191.82</v>
      </c>
      <c r="E2564" s="1">
        <f ca="1">IFERROR(__xludf.DUMMYFUNCTION("""COMPUTED_VALUE"""),193.89)</f>
        <v>193.89</v>
      </c>
      <c r="F2564" s="1">
        <f ca="1">IFERROR(__xludf.DUMMYFUNCTION("""COMPUTED_VALUE"""),41270761)</f>
        <v>41270761</v>
      </c>
    </row>
    <row r="2565" spans="1:6" x14ac:dyDescent="0.35">
      <c r="A2565" s="2">
        <f ca="1">IFERROR(__xludf.DUMMYFUNCTION("""COMPUTED_VALUE"""),45730.6666666666)</f>
        <v>45730.666666666599</v>
      </c>
      <c r="B2565" s="1">
        <f ca="1">IFERROR(__xludf.DUMMYFUNCTION("""COMPUTED_VALUE"""),197.41)</f>
        <v>197.41</v>
      </c>
      <c r="C2565" s="1">
        <f ca="1">IFERROR(__xludf.DUMMYFUNCTION("""COMPUTED_VALUE"""),198.65)</f>
        <v>198.65</v>
      </c>
      <c r="D2565" s="1">
        <f ca="1">IFERROR(__xludf.DUMMYFUNCTION("""COMPUTED_VALUE"""),195.32)</f>
        <v>195.32</v>
      </c>
      <c r="E2565" s="1">
        <f ca="1">IFERROR(__xludf.DUMMYFUNCTION("""COMPUTED_VALUE"""),197.95)</f>
        <v>197.95</v>
      </c>
      <c r="F2565" s="1">
        <f ca="1">IFERROR(__xludf.DUMMYFUNCTION("""COMPUTED_VALUE"""),38096663)</f>
        <v>38096663</v>
      </c>
    </row>
    <row r="2566" spans="1:6" x14ac:dyDescent="0.35">
      <c r="A2566" s="2">
        <f ca="1">IFERROR(__xludf.DUMMYFUNCTION("""COMPUTED_VALUE"""),45733.6666666666)</f>
        <v>45733.666666666599</v>
      </c>
      <c r="B2566" s="1">
        <f ca="1">IFERROR(__xludf.DUMMYFUNCTION("""COMPUTED_VALUE"""),198.77)</f>
        <v>198.77</v>
      </c>
      <c r="C2566" s="1">
        <f ca="1">IFERROR(__xludf.DUMMYFUNCTION("""COMPUTED_VALUE"""),199)</f>
        <v>199</v>
      </c>
      <c r="D2566" s="1">
        <f ca="1">IFERROR(__xludf.DUMMYFUNCTION("""COMPUTED_VALUE"""),194.32)</f>
        <v>194.32</v>
      </c>
      <c r="E2566" s="1">
        <f ca="1">IFERROR(__xludf.DUMMYFUNCTION("""COMPUTED_VALUE"""),195.74)</f>
        <v>195.74</v>
      </c>
      <c r="F2566" s="1">
        <f ca="1">IFERROR(__xludf.DUMMYFUNCTION("""COMPUTED_VALUE"""),47341752)</f>
        <v>47341752</v>
      </c>
    </row>
    <row r="2567" spans="1:6" x14ac:dyDescent="0.35">
      <c r="A2567" s="2">
        <f ca="1">IFERROR(__xludf.DUMMYFUNCTION("""COMPUTED_VALUE"""),45734.6666666666)</f>
        <v>45734.666666666599</v>
      </c>
      <c r="B2567" s="1">
        <f ca="1">IFERROR(__xludf.DUMMYFUNCTION("""COMPUTED_VALUE"""),192.52)</f>
        <v>192.52</v>
      </c>
      <c r="C2567" s="1">
        <f ca="1">IFERROR(__xludf.DUMMYFUNCTION("""COMPUTED_VALUE"""),194)</f>
        <v>194</v>
      </c>
      <c r="D2567" s="1">
        <f ca="1">IFERROR(__xludf.DUMMYFUNCTION("""COMPUTED_VALUE"""),189.38)</f>
        <v>189.38</v>
      </c>
      <c r="E2567" s="1">
        <f ca="1">IFERROR(__xludf.DUMMYFUNCTION("""COMPUTED_VALUE"""),192.82)</f>
        <v>192.82</v>
      </c>
      <c r="F2567" s="1">
        <f ca="1">IFERROR(__xludf.DUMMYFUNCTION("""COMPUTED_VALUE"""),40414867)</f>
        <v>40414867</v>
      </c>
    </row>
    <row r="2568" spans="1:6" x14ac:dyDescent="0.35">
      <c r="A2568" s="2">
        <f ca="1">IFERROR(__xludf.DUMMYFUNCTION("""COMPUTED_VALUE"""),45735.6666666666)</f>
        <v>45735.666666666599</v>
      </c>
      <c r="B2568" s="1">
        <f ca="1">IFERROR(__xludf.DUMMYFUNCTION("""COMPUTED_VALUE"""),193.38)</f>
        <v>193.38</v>
      </c>
      <c r="C2568" s="1">
        <f ca="1">IFERROR(__xludf.DUMMYFUNCTION("""COMPUTED_VALUE"""),195.97)</f>
        <v>195.97</v>
      </c>
      <c r="D2568" s="1">
        <f ca="1">IFERROR(__xludf.DUMMYFUNCTION("""COMPUTED_VALUE"""),191.96)</f>
        <v>191.96</v>
      </c>
      <c r="E2568" s="1">
        <f ca="1">IFERROR(__xludf.DUMMYFUNCTION("""COMPUTED_VALUE"""),195.54)</f>
        <v>195.54</v>
      </c>
      <c r="F2568" s="1">
        <f ca="1">IFERROR(__xludf.DUMMYFUNCTION("""COMPUTED_VALUE"""),39442878)</f>
        <v>39442878</v>
      </c>
    </row>
    <row r="2569" spans="1:6" x14ac:dyDescent="0.35">
      <c r="A2569" s="2">
        <f ca="1">IFERROR(__xludf.DUMMYFUNCTION("""COMPUTED_VALUE"""),45736.6666666666)</f>
        <v>45736.666666666599</v>
      </c>
      <c r="B2569" s="1">
        <f ca="1">IFERROR(__xludf.DUMMYFUNCTION("""COMPUTED_VALUE"""),193.07)</f>
        <v>193.07</v>
      </c>
      <c r="C2569" s="1">
        <f ca="1">IFERROR(__xludf.DUMMYFUNCTION("""COMPUTED_VALUE"""),199.32)</f>
        <v>199.32</v>
      </c>
      <c r="D2569" s="1">
        <f ca="1">IFERROR(__xludf.DUMMYFUNCTION("""COMPUTED_VALUE"""),192.3)</f>
        <v>192.3</v>
      </c>
      <c r="E2569" s="1">
        <f ca="1">IFERROR(__xludf.DUMMYFUNCTION("""COMPUTED_VALUE"""),194.95)</f>
        <v>194.95</v>
      </c>
      <c r="F2569" s="1">
        <f ca="1">IFERROR(__xludf.DUMMYFUNCTION("""COMPUTED_VALUE"""),38921113)</f>
        <v>38921113</v>
      </c>
    </row>
    <row r="2570" spans="1:6" x14ac:dyDescent="0.35">
      <c r="A2570" s="2">
        <f ca="1">IFERROR(__xludf.DUMMYFUNCTION("""COMPUTED_VALUE"""),45737.6666666666)</f>
        <v>45737.666666666599</v>
      </c>
      <c r="B2570" s="1">
        <f ca="1">IFERROR(__xludf.DUMMYFUNCTION("""COMPUTED_VALUE"""),192.9)</f>
        <v>192.9</v>
      </c>
      <c r="C2570" s="1">
        <f ca="1">IFERROR(__xludf.DUMMYFUNCTION("""COMPUTED_VALUE"""),196.99)</f>
        <v>196.99</v>
      </c>
      <c r="D2570" s="1">
        <f ca="1">IFERROR(__xludf.DUMMYFUNCTION("""COMPUTED_VALUE"""),192.52)</f>
        <v>192.52</v>
      </c>
      <c r="E2570" s="1">
        <f ca="1">IFERROR(__xludf.DUMMYFUNCTION("""COMPUTED_VALUE"""),196.21)</f>
        <v>196.21</v>
      </c>
      <c r="F2570" s="1">
        <f ca="1">IFERROR(__xludf.DUMMYFUNCTION("""COMPUTED_VALUE"""),60056917)</f>
        <v>60056917</v>
      </c>
    </row>
    <row r="2571" spans="1:6" x14ac:dyDescent="0.35">
      <c r="A2571" s="2">
        <f ca="1">IFERROR(__xludf.DUMMYFUNCTION("""COMPUTED_VALUE"""),45740.6666666666)</f>
        <v>45740.666666666599</v>
      </c>
      <c r="B2571" s="1">
        <f ca="1">IFERROR(__xludf.DUMMYFUNCTION("""COMPUTED_VALUE"""),200)</f>
        <v>200</v>
      </c>
      <c r="C2571" s="1">
        <f ca="1">IFERROR(__xludf.DUMMYFUNCTION("""COMPUTED_VALUE"""),203.64)</f>
        <v>203.64</v>
      </c>
      <c r="D2571" s="1">
        <f ca="1">IFERROR(__xludf.DUMMYFUNCTION("""COMPUTED_VALUE"""),199.95)</f>
        <v>199.95</v>
      </c>
      <c r="E2571" s="1">
        <f ca="1">IFERROR(__xludf.DUMMYFUNCTION("""COMPUTED_VALUE"""),203.26)</f>
        <v>203.26</v>
      </c>
      <c r="F2571" s="1">
        <f ca="1">IFERROR(__xludf.DUMMYFUNCTION("""COMPUTED_VALUE"""),41625365)</f>
        <v>41625365</v>
      </c>
    </row>
    <row r="2572" spans="1:6" x14ac:dyDescent="0.35">
      <c r="A2572" s="2">
        <f ca="1">IFERROR(__xludf.DUMMYFUNCTION("""COMPUTED_VALUE"""),45741.6666666666)</f>
        <v>45741.666666666599</v>
      </c>
      <c r="B2572" s="1">
        <f ca="1">IFERROR(__xludf.DUMMYFUNCTION("""COMPUTED_VALUE"""),203.6)</f>
        <v>203.6</v>
      </c>
      <c r="C2572" s="1">
        <f ca="1">IFERROR(__xludf.DUMMYFUNCTION("""COMPUTED_VALUE"""),206.21)</f>
        <v>206.21</v>
      </c>
      <c r="D2572" s="1">
        <f ca="1">IFERROR(__xludf.DUMMYFUNCTION("""COMPUTED_VALUE"""),203.22)</f>
        <v>203.22</v>
      </c>
      <c r="E2572" s="1">
        <f ca="1">IFERROR(__xludf.DUMMYFUNCTION("""COMPUTED_VALUE"""),205.71)</f>
        <v>205.71</v>
      </c>
      <c r="F2572" s="1">
        <f ca="1">IFERROR(__xludf.DUMMYFUNCTION("""COMPUTED_VALUE"""),31171161)</f>
        <v>31171161</v>
      </c>
    </row>
    <row r="2573" spans="1:6" x14ac:dyDescent="0.35">
      <c r="A2573" s="2">
        <f ca="1">IFERROR(__xludf.DUMMYFUNCTION("""COMPUTED_VALUE"""),45742.6666666666)</f>
        <v>45742.666666666599</v>
      </c>
      <c r="B2573" s="1">
        <f ca="1">IFERROR(__xludf.DUMMYFUNCTION("""COMPUTED_VALUE"""),205.84)</f>
        <v>205.84</v>
      </c>
      <c r="C2573" s="1">
        <f ca="1">IFERROR(__xludf.DUMMYFUNCTION("""COMPUTED_VALUE"""),206.01)</f>
        <v>206.01</v>
      </c>
      <c r="D2573" s="1">
        <f ca="1">IFERROR(__xludf.DUMMYFUNCTION("""COMPUTED_VALUE"""),199.93)</f>
        <v>199.93</v>
      </c>
      <c r="E2573" s="1">
        <f ca="1">IFERROR(__xludf.DUMMYFUNCTION("""COMPUTED_VALUE"""),201.13)</f>
        <v>201.13</v>
      </c>
      <c r="F2573" s="1">
        <f ca="1">IFERROR(__xludf.DUMMYFUNCTION("""COMPUTED_VALUE"""),32990973)</f>
        <v>32990973</v>
      </c>
    </row>
    <row r="2574" spans="1:6" x14ac:dyDescent="0.35">
      <c r="A2574" s="2">
        <f ca="1">IFERROR(__xludf.DUMMYFUNCTION("""COMPUTED_VALUE"""),45743.6666666666)</f>
        <v>45743.666666666599</v>
      </c>
      <c r="B2574" s="1">
        <f ca="1">IFERROR(__xludf.DUMMYFUNCTION("""COMPUTED_VALUE"""),200.89)</f>
        <v>200.89</v>
      </c>
      <c r="C2574" s="1">
        <f ca="1">IFERROR(__xludf.DUMMYFUNCTION("""COMPUTED_VALUE"""),203.79)</f>
        <v>203.79</v>
      </c>
      <c r="D2574" s="1">
        <f ca="1">IFERROR(__xludf.DUMMYFUNCTION("""COMPUTED_VALUE"""),199.28)</f>
        <v>199.28</v>
      </c>
      <c r="E2574" s="1">
        <f ca="1">IFERROR(__xludf.DUMMYFUNCTION("""COMPUTED_VALUE"""),201.36)</f>
        <v>201.36</v>
      </c>
      <c r="F2574" s="1">
        <f ca="1">IFERROR(__xludf.DUMMYFUNCTION("""COMPUTED_VALUE"""),27317661)</f>
        <v>27317661</v>
      </c>
    </row>
    <row r="2575" spans="1:6" x14ac:dyDescent="0.35">
      <c r="A2575" s="2">
        <f ca="1">IFERROR(__xludf.DUMMYFUNCTION("""COMPUTED_VALUE"""),45744.6666666666)</f>
        <v>45744.666666666599</v>
      </c>
      <c r="B2575" s="1">
        <f ca="1">IFERROR(__xludf.DUMMYFUNCTION("""COMPUTED_VALUE"""),198.42)</f>
        <v>198.42</v>
      </c>
      <c r="C2575" s="1">
        <f ca="1">IFERROR(__xludf.DUMMYFUNCTION("""COMPUTED_VALUE"""),199.26)</f>
        <v>199.26</v>
      </c>
      <c r="D2575" s="1">
        <f ca="1">IFERROR(__xludf.DUMMYFUNCTION("""COMPUTED_VALUE"""),191.88)</f>
        <v>191.88</v>
      </c>
      <c r="E2575" s="1">
        <f ca="1">IFERROR(__xludf.DUMMYFUNCTION("""COMPUTED_VALUE"""),192.72)</f>
        <v>192.72</v>
      </c>
      <c r="F2575" s="1">
        <f ca="1">IFERROR(__xludf.DUMMYFUNCTION("""COMPUTED_VALUE"""),52548226)</f>
        <v>52548226</v>
      </c>
    </row>
    <row r="2576" spans="1:6" x14ac:dyDescent="0.35">
      <c r="A2576" s="2">
        <f ca="1">IFERROR(__xludf.DUMMYFUNCTION("""COMPUTED_VALUE"""),45747.6666666666)</f>
        <v>45747.666666666599</v>
      </c>
      <c r="B2576" s="1">
        <f ca="1">IFERROR(__xludf.DUMMYFUNCTION("""COMPUTED_VALUE"""),188.19)</f>
        <v>188.19</v>
      </c>
      <c r="C2576" s="1">
        <f ca="1">IFERROR(__xludf.DUMMYFUNCTION("""COMPUTED_VALUE"""),191.33)</f>
        <v>191.33</v>
      </c>
      <c r="D2576" s="1">
        <f ca="1">IFERROR(__xludf.DUMMYFUNCTION("""COMPUTED_VALUE"""),184.4)</f>
        <v>184.4</v>
      </c>
      <c r="E2576" s="1">
        <f ca="1">IFERROR(__xludf.DUMMYFUNCTION("""COMPUTED_VALUE"""),190.26)</f>
        <v>190.26</v>
      </c>
      <c r="F2576" s="1">
        <f ca="1">IFERROR(__xludf.DUMMYFUNCTION("""COMPUTED_VALUE"""),63547558)</f>
        <v>63547558</v>
      </c>
    </row>
    <row r="2577" spans="1:6" x14ac:dyDescent="0.35">
      <c r="A2577" s="2">
        <f ca="1">IFERROR(__xludf.DUMMYFUNCTION("""COMPUTED_VALUE"""),45748.6666666666)</f>
        <v>45748.666666666599</v>
      </c>
      <c r="B2577" s="1">
        <f ca="1">IFERROR(__xludf.DUMMYFUNCTION("""COMPUTED_VALUE"""),187.86)</f>
        <v>187.86</v>
      </c>
      <c r="C2577" s="1">
        <f ca="1">IFERROR(__xludf.DUMMYFUNCTION("""COMPUTED_VALUE"""),193.93)</f>
        <v>193.93</v>
      </c>
      <c r="D2577" s="1">
        <f ca="1">IFERROR(__xludf.DUMMYFUNCTION("""COMPUTED_VALUE"""),187.2)</f>
        <v>187.2</v>
      </c>
      <c r="E2577" s="1">
        <f ca="1">IFERROR(__xludf.DUMMYFUNCTION("""COMPUTED_VALUE"""),192.17)</f>
        <v>192.17</v>
      </c>
      <c r="F2577" s="1">
        <f ca="1">IFERROR(__xludf.DUMMYFUNCTION("""COMPUTED_VALUE"""),41267315)</f>
        <v>41267315</v>
      </c>
    </row>
    <row r="2578" spans="1:6" x14ac:dyDescent="0.35">
      <c r="A2578" s="2">
        <f ca="1">IFERROR(__xludf.DUMMYFUNCTION("""COMPUTED_VALUE"""),45749.6666666666)</f>
        <v>45749.666666666599</v>
      </c>
      <c r="B2578" s="1">
        <f ca="1">IFERROR(__xludf.DUMMYFUNCTION("""COMPUTED_VALUE"""),187.66)</f>
        <v>187.66</v>
      </c>
      <c r="C2578" s="1">
        <f ca="1">IFERROR(__xludf.DUMMYFUNCTION("""COMPUTED_VALUE"""),198.34)</f>
        <v>198.34</v>
      </c>
      <c r="D2578" s="1">
        <f ca="1">IFERROR(__xludf.DUMMYFUNCTION("""COMPUTED_VALUE"""),187.66)</f>
        <v>187.66</v>
      </c>
      <c r="E2578" s="1">
        <f ca="1">IFERROR(__xludf.DUMMYFUNCTION("""COMPUTED_VALUE"""),196.01)</f>
        <v>196.01</v>
      </c>
      <c r="F2578" s="1">
        <f ca="1">IFERROR(__xludf.DUMMYFUNCTION("""COMPUTED_VALUE"""),53679198)</f>
        <v>53679198</v>
      </c>
    </row>
    <row r="2579" spans="1:6" x14ac:dyDescent="0.35">
      <c r="A2579" s="2">
        <f ca="1">IFERROR(__xludf.DUMMYFUNCTION("""COMPUTED_VALUE"""),45750.6666666666)</f>
        <v>45750.666666666599</v>
      </c>
      <c r="B2579" s="1">
        <f ca="1">IFERROR(__xludf.DUMMYFUNCTION("""COMPUTED_VALUE"""),183)</f>
        <v>183</v>
      </c>
      <c r="C2579" s="1">
        <f ca="1">IFERROR(__xludf.DUMMYFUNCTION("""COMPUTED_VALUE"""),184.13)</f>
        <v>184.13</v>
      </c>
      <c r="D2579" s="1">
        <f ca="1">IFERROR(__xludf.DUMMYFUNCTION("""COMPUTED_VALUE"""),176.92)</f>
        <v>176.92</v>
      </c>
      <c r="E2579" s="1">
        <f ca="1">IFERROR(__xludf.DUMMYFUNCTION("""COMPUTED_VALUE"""),178.41)</f>
        <v>178.41</v>
      </c>
      <c r="F2579" s="1">
        <f ca="1">IFERROR(__xludf.DUMMYFUNCTION("""COMPUTED_VALUE"""),95553617)</f>
        <v>95553617</v>
      </c>
    </row>
    <row r="2580" spans="1:6" x14ac:dyDescent="0.35">
      <c r="A2580" s="2">
        <f ca="1">IFERROR(__xludf.DUMMYFUNCTION("""COMPUTED_VALUE"""),45751.6666666666)</f>
        <v>45751.666666666599</v>
      </c>
      <c r="B2580" s="1">
        <f ca="1">IFERROR(__xludf.DUMMYFUNCTION("""COMPUTED_VALUE"""),167.15)</f>
        <v>167.15</v>
      </c>
      <c r="C2580" s="1">
        <f ca="1">IFERROR(__xludf.DUMMYFUNCTION("""COMPUTED_VALUE"""),178.14)</f>
        <v>178.14</v>
      </c>
      <c r="D2580" s="1">
        <f ca="1">IFERROR(__xludf.DUMMYFUNCTION("""COMPUTED_VALUE"""),166)</f>
        <v>166</v>
      </c>
      <c r="E2580" s="1">
        <f ca="1">IFERROR(__xludf.DUMMYFUNCTION("""COMPUTED_VALUE"""),171)</f>
        <v>171</v>
      </c>
      <c r="F2580" s="1">
        <f ca="1">IFERROR(__xludf.DUMMYFUNCTION("""COMPUTED_VALUE"""),123159359)</f>
        <v>123159359</v>
      </c>
    </row>
    <row r="2581" spans="1:6" x14ac:dyDescent="0.35">
      <c r="A2581" s="2">
        <f ca="1">IFERROR(__xludf.DUMMYFUNCTION("""COMPUTED_VALUE"""),45754.6666666666)</f>
        <v>45754.666666666599</v>
      </c>
      <c r="B2581" s="1">
        <f ca="1">IFERROR(__xludf.DUMMYFUNCTION("""COMPUTED_VALUE"""),162)</f>
        <v>162</v>
      </c>
      <c r="C2581" s="1">
        <f ca="1">IFERROR(__xludf.DUMMYFUNCTION("""COMPUTED_VALUE"""),183.41)</f>
        <v>183.41</v>
      </c>
      <c r="D2581" s="1">
        <f ca="1">IFERROR(__xludf.DUMMYFUNCTION("""COMPUTED_VALUE"""),161.38)</f>
        <v>161.38</v>
      </c>
      <c r="E2581" s="1">
        <f ca="1">IFERROR(__xludf.DUMMYFUNCTION("""COMPUTED_VALUE"""),175.26)</f>
        <v>175.26</v>
      </c>
      <c r="F2581" s="1">
        <f ca="1">IFERROR(__xludf.DUMMYFUNCTION("""COMPUTED_VALUE"""),109327115)</f>
        <v>109327115</v>
      </c>
    </row>
    <row r="2582" spans="1:6" x14ac:dyDescent="0.35">
      <c r="A2582" s="2">
        <f ca="1">IFERROR(__xludf.DUMMYFUNCTION("""COMPUTED_VALUE"""),45755.6666666666)</f>
        <v>45755.666666666599</v>
      </c>
      <c r="B2582" s="1">
        <f ca="1">IFERROR(__xludf.DUMMYFUNCTION("""COMPUTED_VALUE"""),185.23)</f>
        <v>185.23</v>
      </c>
      <c r="C2582" s="1">
        <f ca="1">IFERROR(__xludf.DUMMYFUNCTION("""COMPUTED_VALUE"""),185.9)</f>
        <v>185.9</v>
      </c>
      <c r="D2582" s="1">
        <f ca="1">IFERROR(__xludf.DUMMYFUNCTION("""COMPUTED_VALUE"""),168.57)</f>
        <v>168.57</v>
      </c>
      <c r="E2582" s="1">
        <f ca="1">IFERROR(__xludf.DUMMYFUNCTION("""COMPUTED_VALUE"""),170.66)</f>
        <v>170.66</v>
      </c>
      <c r="F2582" s="1">
        <f ca="1">IFERROR(__xludf.DUMMYFUNCTION("""COMPUTED_VALUE"""),87710360)</f>
        <v>87710360</v>
      </c>
    </row>
    <row r="2583" spans="1:6" x14ac:dyDescent="0.35">
      <c r="A2583" s="2">
        <f ca="1">IFERROR(__xludf.DUMMYFUNCTION("""COMPUTED_VALUE"""),45756.6666666666)</f>
        <v>45756.666666666599</v>
      </c>
      <c r="B2583" s="1">
        <f ca="1">IFERROR(__xludf.DUMMYFUNCTION("""COMPUTED_VALUE"""),172.12)</f>
        <v>172.12</v>
      </c>
      <c r="C2583" s="1">
        <f ca="1">IFERROR(__xludf.DUMMYFUNCTION("""COMPUTED_VALUE"""),192.65)</f>
        <v>192.65</v>
      </c>
      <c r="D2583" s="1">
        <f ca="1">IFERROR(__xludf.DUMMYFUNCTION("""COMPUTED_VALUE"""),169.93)</f>
        <v>169.93</v>
      </c>
      <c r="E2583" s="1">
        <f ca="1">IFERROR(__xludf.DUMMYFUNCTION("""COMPUTED_VALUE"""),191.1)</f>
        <v>191.1</v>
      </c>
      <c r="F2583" s="1">
        <f ca="1">IFERROR(__xludf.DUMMYFUNCTION("""COMPUTED_VALUE"""),116804328)</f>
        <v>116804328</v>
      </c>
    </row>
    <row r="2584" spans="1:6" x14ac:dyDescent="0.35">
      <c r="A2584" s="2">
        <f ca="1">IFERROR(__xludf.DUMMYFUNCTION("""COMPUTED_VALUE"""),45757.6666666666)</f>
        <v>45757.666666666599</v>
      </c>
      <c r="B2584" s="1">
        <f ca="1">IFERROR(__xludf.DUMMYFUNCTION("""COMPUTED_VALUE"""),185.44)</f>
        <v>185.44</v>
      </c>
      <c r="C2584" s="1">
        <f ca="1">IFERROR(__xludf.DUMMYFUNCTION("""COMPUTED_VALUE"""),186.87)</f>
        <v>186.87</v>
      </c>
      <c r="D2584" s="1">
        <f ca="1">IFERROR(__xludf.DUMMYFUNCTION("""COMPUTED_VALUE"""),175.85)</f>
        <v>175.85</v>
      </c>
      <c r="E2584" s="1">
        <f ca="1">IFERROR(__xludf.DUMMYFUNCTION("""COMPUTED_VALUE"""),181.22)</f>
        <v>181.22</v>
      </c>
      <c r="F2584" s="1">
        <f ca="1">IFERROR(__xludf.DUMMYFUNCTION("""COMPUTED_VALUE"""),68302045)</f>
        <v>68302045</v>
      </c>
    </row>
    <row r="2585" spans="1:6" x14ac:dyDescent="0.35">
      <c r="A2585" s="2">
        <f ca="1">IFERROR(__xludf.DUMMYFUNCTION("""COMPUTED_VALUE"""),45758.6666666666)</f>
        <v>45758.666666666599</v>
      </c>
      <c r="B2585" s="1">
        <f ca="1">IFERROR(__xludf.DUMMYFUNCTION("""COMPUTED_VALUE"""),179.93)</f>
        <v>179.93</v>
      </c>
      <c r="C2585" s="1">
        <f ca="1">IFERROR(__xludf.DUMMYFUNCTION("""COMPUTED_VALUE"""),185.86)</f>
        <v>185.86</v>
      </c>
      <c r="D2585" s="1">
        <f ca="1">IFERROR(__xludf.DUMMYFUNCTION("""COMPUTED_VALUE"""),178)</f>
        <v>178</v>
      </c>
      <c r="E2585" s="1">
        <f ca="1">IFERROR(__xludf.DUMMYFUNCTION("""COMPUTED_VALUE"""),184.87)</f>
        <v>184.87</v>
      </c>
      <c r="F2585" s="1">
        <f ca="1">IFERROR(__xludf.DUMMYFUNCTION("""COMPUTED_VALUE"""),50594339)</f>
        <v>50594339</v>
      </c>
    </row>
    <row r="2586" spans="1:6" x14ac:dyDescent="0.35">
      <c r="A2586" s="2">
        <f ca="1">IFERROR(__xludf.DUMMYFUNCTION("""COMPUTED_VALUE"""),45761.6666666666)</f>
        <v>45761.666666666599</v>
      </c>
      <c r="B2586" s="1">
        <f ca="1">IFERROR(__xludf.DUMMYFUNCTION("""COMPUTED_VALUE"""),186.84)</f>
        <v>186.84</v>
      </c>
      <c r="C2586" s="1">
        <f ca="1">IFERROR(__xludf.DUMMYFUNCTION("""COMPUTED_VALUE"""),187.44)</f>
        <v>187.44</v>
      </c>
      <c r="D2586" s="1">
        <f ca="1">IFERROR(__xludf.DUMMYFUNCTION("""COMPUTED_VALUE"""),179.23)</f>
        <v>179.23</v>
      </c>
      <c r="E2586" s="1">
        <f ca="1">IFERROR(__xludf.DUMMYFUNCTION("""COMPUTED_VALUE"""),182.12)</f>
        <v>182.12</v>
      </c>
      <c r="F2586" s="1">
        <f ca="1">IFERROR(__xludf.DUMMYFUNCTION("""COMPUTED_VALUE"""),48002540)</f>
        <v>48002540</v>
      </c>
    </row>
    <row r="2587" spans="1:6" x14ac:dyDescent="0.35">
      <c r="A2587" s="2">
        <f ca="1">IFERROR(__xludf.DUMMYFUNCTION("""COMPUTED_VALUE"""),45762.6666666666)</f>
        <v>45762.666666666599</v>
      </c>
      <c r="B2587" s="1">
        <f ca="1">IFERROR(__xludf.DUMMYFUNCTION("""COMPUTED_VALUE"""),181.41)</f>
        <v>181.41</v>
      </c>
      <c r="C2587" s="1">
        <f ca="1">IFERROR(__xludf.DUMMYFUNCTION("""COMPUTED_VALUE"""),182.35)</f>
        <v>182.35</v>
      </c>
      <c r="D2587" s="1">
        <f ca="1">IFERROR(__xludf.DUMMYFUNCTION("""COMPUTED_VALUE"""),177.93)</f>
        <v>177.93</v>
      </c>
      <c r="E2587" s="1">
        <f ca="1">IFERROR(__xludf.DUMMYFUNCTION("""COMPUTED_VALUE"""),179.59)</f>
        <v>179.59</v>
      </c>
      <c r="F2587" s="1">
        <f ca="1">IFERROR(__xludf.DUMMYFUNCTION("""COMPUTED_VALUE"""),43641952)</f>
        <v>43641952</v>
      </c>
    </row>
    <row r="2588" spans="1:6" x14ac:dyDescent="0.35">
      <c r="A2588" s="2">
        <f ca="1">IFERROR(__xludf.DUMMYFUNCTION("""COMPUTED_VALUE"""),45763.6666666666)</f>
        <v>45763.666666666599</v>
      </c>
      <c r="B2588" s="1">
        <f ca="1">IFERROR(__xludf.DUMMYFUNCTION("""COMPUTED_VALUE"""),176.29)</f>
        <v>176.29</v>
      </c>
      <c r="C2588" s="1">
        <f ca="1">IFERROR(__xludf.DUMMYFUNCTION("""COMPUTED_VALUE"""),179.1)</f>
        <v>179.1</v>
      </c>
      <c r="D2588" s="1">
        <f ca="1">IFERROR(__xludf.DUMMYFUNCTION("""COMPUTED_VALUE"""),171.41)</f>
        <v>171.41</v>
      </c>
      <c r="E2588" s="1">
        <f ca="1">IFERROR(__xludf.DUMMYFUNCTION("""COMPUTED_VALUE"""),174.33)</f>
        <v>174.33</v>
      </c>
      <c r="F2588" s="1">
        <f ca="1">IFERROR(__xludf.DUMMYFUNCTION("""COMPUTED_VALUE"""),51875316)</f>
        <v>51875316</v>
      </c>
    </row>
    <row r="2589" spans="1:6" x14ac:dyDescent="0.35">
      <c r="A2589" s="2">
        <f ca="1">IFERROR(__xludf.DUMMYFUNCTION("""COMPUTED_VALUE"""),45764.6666666666)</f>
        <v>45764.666666666599</v>
      </c>
      <c r="B2589" s="1">
        <f ca="1">IFERROR(__xludf.DUMMYFUNCTION("""COMPUTED_VALUE"""),176)</f>
        <v>176</v>
      </c>
      <c r="C2589" s="1">
        <f ca="1">IFERROR(__xludf.DUMMYFUNCTION("""COMPUTED_VALUE"""),176.21)</f>
        <v>176.21</v>
      </c>
      <c r="D2589" s="1">
        <f ca="1">IFERROR(__xludf.DUMMYFUNCTION("""COMPUTED_VALUE"""),172)</f>
        <v>172</v>
      </c>
      <c r="E2589" s="1">
        <f ca="1">IFERROR(__xludf.DUMMYFUNCTION("""COMPUTED_VALUE"""),172.61)</f>
        <v>172.61</v>
      </c>
      <c r="F2589" s="1">
        <f ca="1">IFERROR(__xludf.DUMMYFUNCTION("""COMPUTED_VALUE"""),44726453)</f>
        <v>44726453</v>
      </c>
    </row>
    <row r="2590" spans="1:6" x14ac:dyDescent="0.35">
      <c r="A2590" s="2">
        <f ca="1">IFERROR(__xludf.DUMMYFUNCTION("""COMPUTED_VALUE"""),45768.6666666666)</f>
        <v>45768.666666666599</v>
      </c>
      <c r="B2590" s="1">
        <f ca="1">IFERROR(__xludf.DUMMYFUNCTION("""COMPUTED_VALUE"""),169.6)</f>
        <v>169.6</v>
      </c>
      <c r="C2590" s="1">
        <f ca="1">IFERROR(__xludf.DUMMYFUNCTION("""COMPUTED_VALUE"""),169.6)</f>
        <v>169.6</v>
      </c>
      <c r="D2590" s="1">
        <f ca="1">IFERROR(__xludf.DUMMYFUNCTION("""COMPUTED_VALUE"""),165.29)</f>
        <v>165.29</v>
      </c>
      <c r="E2590" s="1">
        <f ca="1">IFERROR(__xludf.DUMMYFUNCTION("""COMPUTED_VALUE"""),167.32)</f>
        <v>167.32</v>
      </c>
      <c r="F2590" s="1">
        <f ca="1">IFERROR(__xludf.DUMMYFUNCTION("""COMPUTED_VALUE"""),48126111)</f>
        <v>48126111</v>
      </c>
    </row>
    <row r="2591" spans="1:6" x14ac:dyDescent="0.35">
      <c r="A2591" s="2">
        <f ca="1">IFERROR(__xludf.DUMMYFUNCTION("""COMPUTED_VALUE"""),45769.6666666666)</f>
        <v>45769.666666666599</v>
      </c>
      <c r="B2591" s="1">
        <f ca="1">IFERROR(__xludf.DUMMYFUNCTION("""COMPUTED_VALUE"""),169.85)</f>
        <v>169.85</v>
      </c>
      <c r="C2591" s="1">
        <f ca="1">IFERROR(__xludf.DUMMYFUNCTION("""COMPUTED_VALUE"""),176.78)</f>
        <v>176.78</v>
      </c>
      <c r="D2591" s="1">
        <f ca="1">IFERROR(__xludf.DUMMYFUNCTION("""COMPUTED_VALUE"""),169.35)</f>
        <v>169.35</v>
      </c>
      <c r="E2591" s="1">
        <f ca="1">IFERROR(__xludf.DUMMYFUNCTION("""COMPUTED_VALUE"""),173.18)</f>
        <v>173.18</v>
      </c>
      <c r="F2591" s="1">
        <f ca="1">IFERROR(__xludf.DUMMYFUNCTION("""COMPUTED_VALUE"""),56607202)</f>
        <v>56607202</v>
      </c>
    </row>
    <row r="2592" spans="1:6" x14ac:dyDescent="0.35">
      <c r="A2592" s="2">
        <f ca="1">IFERROR(__xludf.DUMMYFUNCTION("""COMPUTED_VALUE"""),45770.6666666666)</f>
        <v>45770.666666666599</v>
      </c>
      <c r="B2592" s="1">
        <f ca="1">IFERROR(__xludf.DUMMYFUNCTION("""COMPUTED_VALUE"""),183.45)</f>
        <v>183.45</v>
      </c>
      <c r="C2592" s="1">
        <f ca="1">IFERROR(__xludf.DUMMYFUNCTION("""COMPUTED_VALUE"""),187.38)</f>
        <v>187.38</v>
      </c>
      <c r="D2592" s="1">
        <f ca="1">IFERROR(__xludf.DUMMYFUNCTION("""COMPUTED_VALUE"""),180.19)</f>
        <v>180.19</v>
      </c>
      <c r="E2592" s="1">
        <f ca="1">IFERROR(__xludf.DUMMYFUNCTION("""COMPUTED_VALUE"""),180.6)</f>
        <v>180.6</v>
      </c>
      <c r="F2592" s="1">
        <f ca="1">IFERROR(__xludf.DUMMYFUNCTION("""COMPUTED_VALUE"""),63470149)</f>
        <v>63470149</v>
      </c>
    </row>
    <row r="2593" spans="1:6" x14ac:dyDescent="0.35">
      <c r="A2593" s="2">
        <f ca="1">IFERROR(__xludf.DUMMYFUNCTION("""COMPUTED_VALUE"""),45771.6666666666)</f>
        <v>45771.666666666599</v>
      </c>
      <c r="B2593" s="1">
        <f ca="1">IFERROR(__xludf.DUMMYFUNCTION("""COMPUTED_VALUE"""),180.92)</f>
        <v>180.92</v>
      </c>
      <c r="C2593" s="1">
        <f ca="1">IFERROR(__xludf.DUMMYFUNCTION("""COMPUTED_VALUE"""),186.74)</f>
        <v>186.74</v>
      </c>
      <c r="D2593" s="1">
        <f ca="1">IFERROR(__xludf.DUMMYFUNCTION("""COMPUTED_VALUE"""),180.18)</f>
        <v>180.18</v>
      </c>
      <c r="E2593" s="1">
        <f ca="1">IFERROR(__xludf.DUMMYFUNCTION("""COMPUTED_VALUE"""),186.54)</f>
        <v>186.54</v>
      </c>
      <c r="F2593" s="1">
        <f ca="1">IFERROR(__xludf.DUMMYFUNCTION("""COMPUTED_VALUE"""),43763196)</f>
        <v>43763196</v>
      </c>
    </row>
    <row r="2594" spans="1:6" x14ac:dyDescent="0.35">
      <c r="A2594" s="2">
        <f ca="1">IFERROR(__xludf.DUMMYFUNCTION("""COMPUTED_VALUE"""),45772.6666666666)</f>
        <v>45772.666666666599</v>
      </c>
      <c r="B2594" s="1">
        <f ca="1">IFERROR(__xludf.DUMMYFUNCTION("""COMPUTED_VALUE"""),187.62)</f>
        <v>187.62</v>
      </c>
      <c r="C2594" s="1">
        <f ca="1">IFERROR(__xludf.DUMMYFUNCTION("""COMPUTED_VALUE"""),189.94)</f>
        <v>189.94</v>
      </c>
      <c r="D2594" s="1">
        <f ca="1">IFERROR(__xludf.DUMMYFUNCTION("""COMPUTED_VALUE"""),185.49)</f>
        <v>185.49</v>
      </c>
      <c r="E2594" s="1">
        <f ca="1">IFERROR(__xludf.DUMMYFUNCTION("""COMPUTED_VALUE"""),188.99)</f>
        <v>188.99</v>
      </c>
      <c r="F2594" s="1">
        <f ca="1">IFERROR(__xludf.DUMMYFUNCTION("""COMPUTED_VALUE"""),36414330)</f>
        <v>36414330</v>
      </c>
    </row>
    <row r="2595" spans="1:6" x14ac:dyDescent="0.35">
      <c r="A2595" s="2">
        <f ca="1">IFERROR(__xludf.DUMMYFUNCTION("""COMPUTED_VALUE"""),45775.6666666666)</f>
        <v>45775.666666666599</v>
      </c>
      <c r="B2595" s="1">
        <f ca="1">IFERROR(__xludf.DUMMYFUNCTION("""COMPUTED_VALUE"""),190.11)</f>
        <v>190.11</v>
      </c>
      <c r="C2595" s="1">
        <f ca="1">IFERROR(__xludf.DUMMYFUNCTION("""COMPUTED_VALUE"""),190.22)</f>
        <v>190.22</v>
      </c>
      <c r="D2595" s="1">
        <f ca="1">IFERROR(__xludf.DUMMYFUNCTION("""COMPUTED_VALUE"""),184.89)</f>
        <v>184.89</v>
      </c>
      <c r="E2595" s="1">
        <f ca="1">IFERROR(__xludf.DUMMYFUNCTION("""COMPUTED_VALUE"""),187.7)</f>
        <v>187.7</v>
      </c>
      <c r="F2595" s="1">
        <f ca="1">IFERROR(__xludf.DUMMYFUNCTION("""COMPUTED_VALUE"""),33224732)</f>
        <v>33224732</v>
      </c>
    </row>
    <row r="2596" spans="1:6" x14ac:dyDescent="0.35">
      <c r="A2596" s="2">
        <f ca="1">IFERROR(__xludf.DUMMYFUNCTION("""COMPUTED_VALUE"""),45776.6666666666)</f>
        <v>45776.666666666599</v>
      </c>
      <c r="B2596" s="1">
        <f ca="1">IFERROR(__xludf.DUMMYFUNCTION("""COMPUTED_VALUE"""),183.99)</f>
        <v>183.99</v>
      </c>
      <c r="C2596" s="1">
        <f ca="1">IFERROR(__xludf.DUMMYFUNCTION("""COMPUTED_VALUE"""),188.02)</f>
        <v>188.02</v>
      </c>
      <c r="D2596" s="1">
        <f ca="1">IFERROR(__xludf.DUMMYFUNCTION("""COMPUTED_VALUE"""),183.68)</f>
        <v>183.68</v>
      </c>
      <c r="E2596" s="1">
        <f ca="1">IFERROR(__xludf.DUMMYFUNCTION("""COMPUTED_VALUE"""),187.39)</f>
        <v>187.39</v>
      </c>
      <c r="F2596" s="1">
        <f ca="1">IFERROR(__xludf.DUMMYFUNCTION("""COMPUTED_VALUE"""),41667255)</f>
        <v>41667255</v>
      </c>
    </row>
    <row r="2597" spans="1:6" x14ac:dyDescent="0.35">
      <c r="A2597" s="2">
        <f ca="1">IFERROR(__xludf.DUMMYFUNCTION("""COMPUTED_VALUE"""),45777.6666666666)</f>
        <v>45777.666666666599</v>
      </c>
      <c r="B2597" s="1">
        <f ca="1">IFERROR(__xludf.DUMMYFUNCTION("""COMPUTED_VALUE"""),182.17)</f>
        <v>182.17</v>
      </c>
      <c r="C2597" s="1">
        <f ca="1">IFERROR(__xludf.DUMMYFUNCTION("""COMPUTED_VALUE"""),185.05)</f>
        <v>185.05</v>
      </c>
      <c r="D2597" s="1">
        <f ca="1">IFERROR(__xludf.DUMMYFUNCTION("""COMPUTED_VALUE"""),178.85)</f>
        <v>178.85</v>
      </c>
      <c r="E2597" s="1">
        <f ca="1">IFERROR(__xludf.DUMMYFUNCTION("""COMPUTED_VALUE"""),184.42)</f>
        <v>184.42</v>
      </c>
      <c r="F2597" s="1">
        <f ca="1">IFERROR(__xludf.DUMMYFUNCTION("""COMPUTED_VALUE"""),55176543)</f>
        <v>55176543</v>
      </c>
    </row>
    <row r="2598" spans="1:6" x14ac:dyDescent="0.35">
      <c r="A2598" s="2">
        <f ca="1">IFERROR(__xludf.DUMMYFUNCTION("""COMPUTED_VALUE"""),45778.6666666666)</f>
        <v>45778.666666666599</v>
      </c>
      <c r="B2598" s="1">
        <f ca="1">IFERROR(__xludf.DUMMYFUNCTION("""COMPUTED_VALUE"""),190.63)</f>
        <v>190.63</v>
      </c>
      <c r="C2598" s="1">
        <f ca="1">IFERROR(__xludf.DUMMYFUNCTION("""COMPUTED_VALUE"""),191.81)</f>
        <v>191.81</v>
      </c>
      <c r="D2598" s="1">
        <f ca="1">IFERROR(__xludf.DUMMYFUNCTION("""COMPUTED_VALUE"""),187.5)</f>
        <v>187.5</v>
      </c>
      <c r="E2598" s="1">
        <f ca="1">IFERROR(__xludf.DUMMYFUNCTION("""COMPUTED_VALUE"""),190.2)</f>
        <v>190.2</v>
      </c>
      <c r="F2598" s="1">
        <f ca="1">IFERROR(__xludf.DUMMYFUNCTION("""COMPUTED_VALUE"""),74265963)</f>
        <v>74265963</v>
      </c>
    </row>
    <row r="2599" spans="1:6" x14ac:dyDescent="0.35">
      <c r="A2599" s="2">
        <f ca="1">IFERROR(__xludf.DUMMYFUNCTION("""COMPUTED_VALUE"""),45779.6666666666)</f>
        <v>45779.666666666599</v>
      </c>
      <c r="B2599" s="1">
        <f ca="1">IFERROR(__xludf.DUMMYFUNCTION("""COMPUTED_VALUE"""),191.44)</f>
        <v>191.44</v>
      </c>
      <c r="C2599" s="1">
        <f ca="1">IFERROR(__xludf.DUMMYFUNCTION("""COMPUTED_VALUE"""),192.88)</f>
        <v>192.88</v>
      </c>
      <c r="D2599" s="1">
        <f ca="1">IFERROR(__xludf.DUMMYFUNCTION("""COMPUTED_VALUE"""),186.4)</f>
        <v>186.4</v>
      </c>
      <c r="E2599" s="1">
        <f ca="1">IFERROR(__xludf.DUMMYFUNCTION("""COMPUTED_VALUE"""),189.98)</f>
        <v>189.98</v>
      </c>
      <c r="F2599" s="1">
        <f ca="1">IFERROR(__xludf.DUMMYFUNCTION("""COMPUTED_VALUE"""),77903487)</f>
        <v>77903487</v>
      </c>
    </row>
    <row r="2600" spans="1:6" x14ac:dyDescent="0.35">
      <c r="A2600" s="2">
        <f ca="1">IFERROR(__xludf.DUMMYFUNCTION("""COMPUTED_VALUE"""),45782.6666666666)</f>
        <v>45782.666666666599</v>
      </c>
      <c r="B2600" s="1">
        <f ca="1">IFERROR(__xludf.DUMMYFUNCTION("""COMPUTED_VALUE"""),186.51)</f>
        <v>186.51</v>
      </c>
      <c r="C2600" s="1">
        <f ca="1">IFERROR(__xludf.DUMMYFUNCTION("""COMPUTED_VALUE"""),188.18)</f>
        <v>188.18</v>
      </c>
      <c r="D2600" s="1">
        <f ca="1">IFERROR(__xludf.DUMMYFUNCTION("""COMPUTED_VALUE"""),185.53)</f>
        <v>185.53</v>
      </c>
      <c r="E2600" s="1">
        <f ca="1">IFERROR(__xludf.DUMMYFUNCTION("""COMPUTED_VALUE"""),186.35)</f>
        <v>186.35</v>
      </c>
      <c r="F2600" s="1">
        <f ca="1">IFERROR(__xludf.DUMMYFUNCTION("""COMPUTED_VALUE"""),35217469)</f>
        <v>35217469</v>
      </c>
    </row>
    <row r="2601" spans="1:6" x14ac:dyDescent="0.35">
      <c r="A2601" s="2">
        <f ca="1">IFERROR(__xludf.DUMMYFUNCTION("""COMPUTED_VALUE"""),45783.6666666666)</f>
        <v>45783.666666666599</v>
      </c>
      <c r="B2601" s="1">
        <f ca="1">IFERROR(__xludf.DUMMYFUNCTION("""COMPUTED_VALUE"""),184.57)</f>
        <v>184.57</v>
      </c>
      <c r="C2601" s="1">
        <f ca="1">IFERROR(__xludf.DUMMYFUNCTION("""COMPUTED_VALUE"""),187.93)</f>
        <v>187.93</v>
      </c>
      <c r="D2601" s="1">
        <f ca="1">IFERROR(__xludf.DUMMYFUNCTION("""COMPUTED_VALUE"""),183.85)</f>
        <v>183.85</v>
      </c>
      <c r="E2601" s="1">
        <f ca="1">IFERROR(__xludf.DUMMYFUNCTION("""COMPUTED_VALUE"""),185.01)</f>
        <v>185.01</v>
      </c>
      <c r="F2601" s="1">
        <f ca="1">IFERROR(__xludf.DUMMYFUNCTION("""COMPUTED_VALUE"""),29314055)</f>
        <v>29314055</v>
      </c>
    </row>
    <row r="2602" spans="1:6" x14ac:dyDescent="0.35">
      <c r="A2602" s="2">
        <f ca="1">IFERROR(__xludf.DUMMYFUNCTION("""COMPUTED_VALUE"""),45784.6666666666)</f>
        <v>45784.666666666599</v>
      </c>
      <c r="B2602" s="1">
        <f ca="1">IFERROR(__xludf.DUMMYFUNCTION("""COMPUTED_VALUE"""),185.56)</f>
        <v>185.56</v>
      </c>
      <c r="C2602" s="1">
        <f ca="1">IFERROR(__xludf.DUMMYFUNCTION("""COMPUTED_VALUE"""),190.99)</f>
        <v>190.99</v>
      </c>
      <c r="D2602" s="1">
        <f ca="1">IFERROR(__xludf.DUMMYFUNCTION("""COMPUTED_VALUE"""),185.01)</f>
        <v>185.01</v>
      </c>
      <c r="E2602" s="1">
        <f ca="1">IFERROR(__xludf.DUMMYFUNCTION("""COMPUTED_VALUE"""),188.71)</f>
        <v>188.71</v>
      </c>
      <c r="F2602" s="1">
        <f ca="1">IFERROR(__xludf.DUMMYFUNCTION("""COMPUTED_VALUE"""),44002926)</f>
        <v>44002926</v>
      </c>
    </row>
    <row r="2603" spans="1:6" x14ac:dyDescent="0.35">
      <c r="A2603" s="2">
        <f ca="1">IFERROR(__xludf.DUMMYFUNCTION("""COMPUTED_VALUE"""),45785.6666666666)</f>
        <v>45785.666666666599</v>
      </c>
      <c r="B2603" s="1">
        <f ca="1">IFERROR(__xludf.DUMMYFUNCTION("""COMPUTED_VALUE"""),191.43)</f>
        <v>191.43</v>
      </c>
      <c r="C2603" s="1">
        <f ca="1">IFERROR(__xludf.DUMMYFUNCTION("""COMPUTED_VALUE"""),194.33)</f>
        <v>194.33</v>
      </c>
      <c r="D2603" s="1">
        <f ca="1">IFERROR(__xludf.DUMMYFUNCTION("""COMPUTED_VALUE"""),188.82)</f>
        <v>188.82</v>
      </c>
      <c r="E2603" s="1">
        <f ca="1">IFERROR(__xludf.DUMMYFUNCTION("""COMPUTED_VALUE"""),192.08)</f>
        <v>192.08</v>
      </c>
      <c r="F2603" s="1">
        <f ca="1">IFERROR(__xludf.DUMMYFUNCTION("""COMPUTED_VALUE"""),41043620)</f>
        <v>41043620</v>
      </c>
    </row>
    <row r="2604" spans="1:6" x14ac:dyDescent="0.35">
      <c r="A2604" s="2">
        <f ca="1">IFERROR(__xludf.DUMMYFUNCTION("""COMPUTED_VALUE"""),45786.6666666666)</f>
        <v>45786.666666666599</v>
      </c>
      <c r="B2604" s="1">
        <f ca="1">IFERROR(__xludf.DUMMYFUNCTION("""COMPUTED_VALUE"""),193.38)</f>
        <v>193.38</v>
      </c>
      <c r="C2604" s="1">
        <f ca="1">IFERROR(__xludf.DUMMYFUNCTION("""COMPUTED_VALUE"""),194.69)</f>
        <v>194.69</v>
      </c>
      <c r="D2604" s="1">
        <f ca="1">IFERROR(__xludf.DUMMYFUNCTION("""COMPUTED_VALUE"""),191.16)</f>
        <v>191.16</v>
      </c>
      <c r="E2604" s="1">
        <f ca="1">IFERROR(__xludf.DUMMYFUNCTION("""COMPUTED_VALUE"""),193.06)</f>
        <v>193.06</v>
      </c>
      <c r="F2604" s="1">
        <f ca="1">IFERROR(__xludf.DUMMYFUNCTION("""COMPUTED_VALUE"""),29663143)</f>
        <v>29663143</v>
      </c>
    </row>
    <row r="2605" spans="1:6" x14ac:dyDescent="0.35">
      <c r="A2605" s="2">
        <f ca="1">IFERROR(__xludf.DUMMYFUNCTION("""COMPUTED_VALUE"""),45789.6666666666)</f>
        <v>45789.666666666599</v>
      </c>
      <c r="B2605" s="1">
        <f ca="1">IFERROR(__xludf.DUMMYFUNCTION("""COMPUTED_VALUE"""),210.71)</f>
        <v>210.71</v>
      </c>
      <c r="C2605" s="1">
        <f ca="1">IFERROR(__xludf.DUMMYFUNCTION("""COMPUTED_VALUE"""),211.66)</f>
        <v>211.66</v>
      </c>
      <c r="D2605" s="1">
        <f ca="1">IFERROR(__xludf.DUMMYFUNCTION("""COMPUTED_VALUE"""),205.75)</f>
        <v>205.75</v>
      </c>
      <c r="E2605" s="1">
        <f ca="1">IFERROR(__xludf.DUMMYFUNCTION("""COMPUTED_VALUE"""),208.64)</f>
        <v>208.64</v>
      </c>
      <c r="F2605" s="1">
        <f ca="1">IFERROR(__xludf.DUMMYFUNCTION("""COMPUTED_VALUE"""),75205042)</f>
        <v>75205042</v>
      </c>
    </row>
    <row r="2606" spans="1:6" x14ac:dyDescent="0.35">
      <c r="A2606" s="2">
        <f ca="1">IFERROR(__xludf.DUMMYFUNCTION("""COMPUTED_VALUE"""),45790.6666666666)</f>
        <v>45790.666666666599</v>
      </c>
      <c r="B2606" s="1">
        <f ca="1">IFERROR(__xludf.DUMMYFUNCTION("""COMPUTED_VALUE"""),211.08)</f>
        <v>211.08</v>
      </c>
      <c r="C2606" s="1">
        <f ca="1">IFERROR(__xludf.DUMMYFUNCTION("""COMPUTED_VALUE"""),214.84)</f>
        <v>214.84</v>
      </c>
      <c r="D2606" s="1">
        <f ca="1">IFERROR(__xludf.DUMMYFUNCTION("""COMPUTED_VALUE"""),210.1)</f>
        <v>210.1</v>
      </c>
      <c r="E2606" s="1">
        <f ca="1">IFERROR(__xludf.DUMMYFUNCTION("""COMPUTED_VALUE"""),211.37)</f>
        <v>211.37</v>
      </c>
      <c r="F2606" s="1">
        <f ca="1">IFERROR(__xludf.DUMMYFUNCTION("""COMPUTED_VALUE"""),56193682)</f>
        <v>56193682</v>
      </c>
    </row>
    <row r="2607" spans="1:6" x14ac:dyDescent="0.35">
      <c r="A2607" s="2">
        <f ca="1">IFERROR(__xludf.DUMMYFUNCTION("""COMPUTED_VALUE"""),45791.6666666666)</f>
        <v>45791.666666666599</v>
      </c>
      <c r="B2607" s="1">
        <f ca="1">IFERROR(__xludf.DUMMYFUNCTION("""COMPUTED_VALUE"""),211.45)</f>
        <v>211.45</v>
      </c>
      <c r="C2607" s="1">
        <f ca="1">IFERROR(__xludf.DUMMYFUNCTION("""COMPUTED_VALUE"""),211.93)</f>
        <v>211.93</v>
      </c>
      <c r="D2607" s="1">
        <f ca="1">IFERROR(__xludf.DUMMYFUNCTION("""COMPUTED_VALUE"""),208.85)</f>
        <v>208.85</v>
      </c>
      <c r="E2607" s="1">
        <f ca="1">IFERROR(__xludf.DUMMYFUNCTION("""COMPUTED_VALUE"""),210.25)</f>
        <v>210.25</v>
      </c>
      <c r="F2607" s="1">
        <f ca="1">IFERROR(__xludf.DUMMYFUNCTION("""COMPUTED_VALUE"""),38492128)</f>
        <v>38492128</v>
      </c>
    </row>
    <row r="2608" spans="1:6" x14ac:dyDescent="0.35">
      <c r="A2608" s="2">
        <f ca="1">IFERROR(__xludf.DUMMYFUNCTION("""COMPUTED_VALUE"""),45792.6666666666)</f>
        <v>45792.666666666599</v>
      </c>
      <c r="B2608" s="1">
        <f ca="1">IFERROR(__xludf.DUMMYFUNCTION("""COMPUTED_VALUE"""),206.45)</f>
        <v>206.45</v>
      </c>
      <c r="C2608" s="1">
        <f ca="1">IFERROR(__xludf.DUMMYFUNCTION("""COMPUTED_VALUE"""),206.88)</f>
        <v>206.88</v>
      </c>
      <c r="D2608" s="1">
        <f ca="1">IFERROR(__xludf.DUMMYFUNCTION("""COMPUTED_VALUE"""),202.67)</f>
        <v>202.67</v>
      </c>
      <c r="E2608" s="1">
        <f ca="1">IFERROR(__xludf.DUMMYFUNCTION("""COMPUTED_VALUE"""),205.17)</f>
        <v>205.17</v>
      </c>
      <c r="F2608" s="1">
        <f ca="1">IFERROR(__xludf.DUMMYFUNCTION("""COMPUTED_VALUE"""),64347317)</f>
        <v>64347317</v>
      </c>
    </row>
    <row r="2609" spans="1:6" x14ac:dyDescent="0.35">
      <c r="A2609" s="2">
        <f ca="1">IFERROR(__xludf.DUMMYFUNCTION("""COMPUTED_VALUE"""),45793.6666666666)</f>
        <v>45793.666666666599</v>
      </c>
      <c r="B2609" s="1">
        <f ca="1">IFERROR(__xludf.DUMMYFUNCTION("""COMPUTED_VALUE"""),206.85)</f>
        <v>206.85</v>
      </c>
      <c r="C2609" s="1">
        <f ca="1">IFERROR(__xludf.DUMMYFUNCTION("""COMPUTED_VALUE"""),206.85)</f>
        <v>206.85</v>
      </c>
      <c r="D2609" s="1">
        <f ca="1">IFERROR(__xludf.DUMMYFUNCTION("""COMPUTED_VALUE"""),204.37)</f>
        <v>204.37</v>
      </c>
      <c r="E2609" s="1">
        <f ca="1">IFERROR(__xludf.DUMMYFUNCTION("""COMPUTED_VALUE"""),205.59)</f>
        <v>205.59</v>
      </c>
      <c r="F2609" s="1">
        <f ca="1">IFERROR(__xludf.DUMMYFUNCTION("""COMPUTED_VALUE"""),43318478)</f>
        <v>43318478</v>
      </c>
    </row>
    <row r="2610" spans="1:6" x14ac:dyDescent="0.35">
      <c r="A2610" s="2">
        <f ca="1">IFERROR(__xludf.DUMMYFUNCTION("""COMPUTED_VALUE"""),45796.6666666666)</f>
        <v>45796.666666666599</v>
      </c>
      <c r="B2610" s="1">
        <f ca="1">IFERROR(__xludf.DUMMYFUNCTION("""COMPUTED_VALUE"""),201.65)</f>
        <v>201.65</v>
      </c>
      <c r="C2610" s="1">
        <f ca="1">IFERROR(__xludf.DUMMYFUNCTION("""COMPUTED_VALUE"""),206.62)</f>
        <v>206.62</v>
      </c>
      <c r="D2610" s="1">
        <f ca="1">IFERROR(__xludf.DUMMYFUNCTION("""COMPUTED_VALUE"""),201.26)</f>
        <v>201.26</v>
      </c>
      <c r="E2610" s="1">
        <f ca="1">IFERROR(__xludf.DUMMYFUNCTION("""COMPUTED_VALUE"""),206.16)</f>
        <v>206.16</v>
      </c>
      <c r="F2610" s="1">
        <f ca="1">IFERROR(__xludf.DUMMYFUNCTION("""COMPUTED_VALUE"""),34314810)</f>
        <v>34314810</v>
      </c>
    </row>
    <row r="2611" spans="1:6" x14ac:dyDescent="0.35">
      <c r="A2611" s="2">
        <f ca="1">IFERROR(__xludf.DUMMYFUNCTION("""COMPUTED_VALUE"""),45797.6666666666)</f>
        <v>45797.666666666599</v>
      </c>
      <c r="B2611" s="1">
        <f ca="1">IFERROR(__xludf.DUMMYFUNCTION("""COMPUTED_VALUE"""),204.63)</f>
        <v>204.63</v>
      </c>
      <c r="C2611" s="1">
        <f ca="1">IFERROR(__xludf.DUMMYFUNCTION("""COMPUTED_VALUE"""),205.59)</f>
        <v>205.59</v>
      </c>
      <c r="D2611" s="1">
        <f ca="1">IFERROR(__xludf.DUMMYFUNCTION("""COMPUTED_VALUE"""),202.65)</f>
        <v>202.65</v>
      </c>
      <c r="E2611" s="1">
        <f ca="1">IFERROR(__xludf.DUMMYFUNCTION("""COMPUTED_VALUE"""),204.07)</f>
        <v>204.07</v>
      </c>
      <c r="F2611" s="1">
        <f ca="1">IFERROR(__xludf.DUMMYFUNCTION("""COMPUTED_VALUE"""),29470373)</f>
        <v>29470373</v>
      </c>
    </row>
    <row r="2612" spans="1:6" x14ac:dyDescent="0.35">
      <c r="A2612" s="2">
        <f ca="1">IFERROR(__xludf.DUMMYFUNCTION("""COMPUTED_VALUE"""),45798.6666666666)</f>
        <v>45798.666666666599</v>
      </c>
      <c r="B2612" s="1">
        <f ca="1">IFERROR(__xludf.DUMMYFUNCTION("""COMPUTED_VALUE"""),201.61)</f>
        <v>201.61</v>
      </c>
      <c r="C2612" s="1">
        <f ca="1">IFERROR(__xludf.DUMMYFUNCTION("""COMPUTED_VALUE"""),203.46)</f>
        <v>203.46</v>
      </c>
      <c r="D2612" s="1">
        <f ca="1">IFERROR(__xludf.DUMMYFUNCTION("""COMPUTED_VALUE"""),200.06)</f>
        <v>200.06</v>
      </c>
      <c r="E2612" s="1">
        <f ca="1">IFERROR(__xludf.DUMMYFUNCTION("""COMPUTED_VALUE"""),201.12)</f>
        <v>201.12</v>
      </c>
      <c r="F2612" s="1">
        <f ca="1">IFERROR(__xludf.DUMMYFUNCTION("""COMPUTED_VALUE"""),42460924)</f>
        <v>42460924</v>
      </c>
    </row>
    <row r="2613" spans="1:6" x14ac:dyDescent="0.35">
      <c r="A2613" s="2">
        <f ca="1">IFERROR(__xludf.DUMMYFUNCTION("""COMPUTED_VALUE"""),45799.6666666666)</f>
        <v>45799.666666666599</v>
      </c>
      <c r="B2613" s="1">
        <f ca="1">IFERROR(__xludf.DUMMYFUNCTION("""COMPUTED_VALUE"""),201.61)</f>
        <v>201.61</v>
      </c>
      <c r="C2613" s="1">
        <f ca="1">IFERROR(__xludf.DUMMYFUNCTION("""COMPUTED_VALUE"""),203.46)</f>
        <v>203.46</v>
      </c>
      <c r="D2613" s="1">
        <f ca="1">IFERROR(__xludf.DUMMYFUNCTION("""COMPUTED_VALUE"""),200.06)</f>
        <v>200.06</v>
      </c>
      <c r="E2613" s="1">
        <f ca="1">IFERROR(__xludf.DUMMYFUNCTION("""COMPUTED_VALUE"""),201.12)</f>
        <v>201.12</v>
      </c>
      <c r="F2613" s="1">
        <f ca="1">IFERROR(__xludf.DUMMYFUNCTION("""COMPUTED_VALUE"""),566475)</f>
        <v>566475</v>
      </c>
    </row>
    <row r="2614" spans="1:6" x14ac:dyDescent="0.35">
      <c r="A2614" s="2">
        <f ca="1">IFERROR(__xludf.DUMMYFUNCTION("""COMPUTED_VALUE"""),45800.6666666666)</f>
        <v>45800.666666666599</v>
      </c>
      <c r="B2614" s="1">
        <f ca="1">IFERROR(__xludf.DUMMYFUNCTION("""COMPUTED_VALUE"""),198.9)</f>
        <v>198.9</v>
      </c>
      <c r="C2614" s="1">
        <f ca="1">IFERROR(__xludf.DUMMYFUNCTION("""COMPUTED_VALUE"""),202.37)</f>
        <v>202.37</v>
      </c>
      <c r="D2614" s="1">
        <f ca="1">IFERROR(__xludf.DUMMYFUNCTION("""COMPUTED_VALUE"""),197.85)</f>
        <v>197.85</v>
      </c>
      <c r="E2614" s="1">
        <f ca="1">IFERROR(__xludf.DUMMYFUNCTION("""COMPUTED_VALUE"""),200.99)</f>
        <v>200.99</v>
      </c>
      <c r="F2614" s="1">
        <f ca="1">IFERROR(__xludf.DUMMYFUNCTION("""COMPUTED_VALUE"""),33393545)</f>
        <v>33393545</v>
      </c>
    </row>
    <row r="2615" spans="1:6" x14ac:dyDescent="0.35">
      <c r="A2615" s="2">
        <f ca="1">IFERROR(__xludf.DUMMYFUNCTION("""COMPUTED_VALUE"""),45804.6666666666)</f>
        <v>45804.666666666599</v>
      </c>
      <c r="B2615" s="1">
        <f ca="1">IFERROR(__xludf.DUMMYFUNCTION("""COMPUTED_VALUE"""),203.09)</f>
        <v>203.09</v>
      </c>
      <c r="C2615" s="1">
        <f ca="1">IFERROR(__xludf.DUMMYFUNCTION("""COMPUTED_VALUE"""),206.69)</f>
        <v>206.69</v>
      </c>
      <c r="D2615" s="1">
        <f ca="1">IFERROR(__xludf.DUMMYFUNCTION("""COMPUTED_VALUE"""),202.19)</f>
        <v>202.19</v>
      </c>
      <c r="E2615" s="1">
        <f ca="1">IFERROR(__xludf.DUMMYFUNCTION("""COMPUTED_VALUE"""),206.02)</f>
        <v>206.02</v>
      </c>
      <c r="F2615" s="1">
        <f ca="1">IFERROR(__xludf.DUMMYFUNCTION("""COMPUTED_VALUE"""),34892044)</f>
        <v>34892044</v>
      </c>
    </row>
    <row r="2616" spans="1:6" x14ac:dyDescent="0.35">
      <c r="A2616" s="2">
        <f ca="1">IFERROR(__xludf.DUMMYFUNCTION("""COMPUTED_VALUE"""),45805.6666666666)</f>
        <v>45805.666666666599</v>
      </c>
      <c r="B2616" s="1">
        <f ca="1">IFERROR(__xludf.DUMMYFUNCTION("""COMPUTED_VALUE"""),205.92)</f>
        <v>205.92</v>
      </c>
      <c r="C2616" s="1">
        <f ca="1">IFERROR(__xludf.DUMMYFUNCTION("""COMPUTED_VALUE"""),207.66)</f>
        <v>207.66</v>
      </c>
      <c r="D2616" s="1">
        <f ca="1">IFERROR(__xludf.DUMMYFUNCTION("""COMPUTED_VALUE"""),204.41)</f>
        <v>204.41</v>
      </c>
      <c r="E2616" s="1">
        <f ca="1">IFERROR(__xludf.DUMMYFUNCTION("""COMPUTED_VALUE"""),204.72)</f>
        <v>204.72</v>
      </c>
      <c r="F2616" s="1">
        <f ca="1">IFERROR(__xludf.DUMMYFUNCTION("""COMPUTED_VALUE"""),28549753)</f>
        <v>28549753</v>
      </c>
    </row>
    <row r="2617" spans="1:6" x14ac:dyDescent="0.35">
      <c r="A2617" s="2">
        <f ca="1">IFERROR(__xludf.DUMMYFUNCTION("""COMPUTED_VALUE"""),45806.6666666666)</f>
        <v>45806.666666666599</v>
      </c>
      <c r="B2617" s="1">
        <f ca="1">IFERROR(__xludf.DUMMYFUNCTION("""COMPUTED_VALUE"""),208.03)</f>
        <v>208.03</v>
      </c>
      <c r="C2617" s="1">
        <f ca="1">IFERROR(__xludf.DUMMYFUNCTION("""COMPUTED_VALUE"""),208.81)</f>
        <v>208.81</v>
      </c>
      <c r="D2617" s="1">
        <f ca="1">IFERROR(__xludf.DUMMYFUNCTION("""COMPUTED_VALUE"""),204.23)</f>
        <v>204.23</v>
      </c>
      <c r="E2617" s="1">
        <f ca="1">IFERROR(__xludf.DUMMYFUNCTION("""COMPUTED_VALUE"""),205.7)</f>
        <v>205.7</v>
      </c>
      <c r="F2617" s="1">
        <f ca="1">IFERROR(__xludf.DUMMYFUNCTION("""COMPUTED_VALUE"""),34700005)</f>
        <v>34700005</v>
      </c>
    </row>
    <row r="2618" spans="1:6" x14ac:dyDescent="0.35">
      <c r="A2618" s="2">
        <f ca="1">IFERROR(__xludf.DUMMYFUNCTION("""COMPUTED_VALUE"""),45807.6666666666)</f>
        <v>45807.666666666599</v>
      </c>
      <c r="B2618" s="1">
        <f ca="1">IFERROR(__xludf.DUMMYFUNCTION("""COMPUTED_VALUE"""),204.84)</f>
        <v>204.84</v>
      </c>
      <c r="C2618" s="1">
        <f ca="1">IFERROR(__xludf.DUMMYFUNCTION("""COMPUTED_VALUE"""),205.99)</f>
        <v>205.99</v>
      </c>
      <c r="D2618" s="1">
        <f ca="1">IFERROR(__xludf.DUMMYFUNCTION("""COMPUTED_VALUE"""),201.7)</f>
        <v>201.7</v>
      </c>
      <c r="E2618" s="1">
        <f ca="1">IFERROR(__xludf.DUMMYFUNCTION("""COMPUTED_VALUE"""),205.01)</f>
        <v>205.01</v>
      </c>
      <c r="F2618" s="1">
        <f ca="1">IFERROR(__xludf.DUMMYFUNCTION("""COMPUTED_VALUE"""),51679406)</f>
        <v>51679406</v>
      </c>
    </row>
    <row r="2619" spans="1:6" x14ac:dyDescent="0.35">
      <c r="A2619" s="2">
        <f ca="1">IFERROR(__xludf.DUMMYFUNCTION("""COMPUTED_VALUE"""),45810.6666666666)</f>
        <v>45810.666666666599</v>
      </c>
      <c r="B2619" s="1">
        <f ca="1">IFERROR(__xludf.DUMMYFUNCTION("""COMPUTED_VALUE"""),204.98)</f>
        <v>204.98</v>
      </c>
      <c r="C2619" s="1">
        <f ca="1">IFERROR(__xludf.DUMMYFUNCTION("""COMPUTED_VALUE"""),207)</f>
        <v>207</v>
      </c>
      <c r="D2619" s="1">
        <f ca="1">IFERROR(__xludf.DUMMYFUNCTION("""COMPUTED_VALUE"""),202.68)</f>
        <v>202.68</v>
      </c>
      <c r="E2619" s="1">
        <f ca="1">IFERROR(__xludf.DUMMYFUNCTION("""COMPUTED_VALUE"""),206.65)</f>
        <v>206.65</v>
      </c>
      <c r="F2619" s="1">
        <f ca="1">IFERROR(__xludf.DUMMYFUNCTION("""COMPUTED_VALUE"""),29113319)</f>
        <v>29113319</v>
      </c>
    </row>
    <row r="2620" spans="1:6" x14ac:dyDescent="0.35">
      <c r="A2620" s="2">
        <f ca="1">IFERROR(__xludf.DUMMYFUNCTION("""COMPUTED_VALUE"""),45811.6666666666)</f>
        <v>45811.666666666599</v>
      </c>
      <c r="B2620" s="1">
        <f ca="1">IFERROR(__xludf.DUMMYFUNCTION("""COMPUTED_VALUE"""),207.11)</f>
        <v>207.11</v>
      </c>
      <c r="C2620" s="1">
        <f ca="1">IFERROR(__xludf.DUMMYFUNCTION("""COMPUTED_VALUE"""),208.95)</f>
        <v>208.95</v>
      </c>
      <c r="D2620" s="1">
        <f ca="1">IFERROR(__xludf.DUMMYFUNCTION("""COMPUTED_VALUE"""),205.03)</f>
        <v>205.03</v>
      </c>
      <c r="E2620" s="1">
        <f ca="1">IFERROR(__xludf.DUMMYFUNCTION("""COMPUTED_VALUE"""),205.71)</f>
        <v>205.71</v>
      </c>
      <c r="F2620" s="1">
        <f ca="1">IFERROR(__xludf.DUMMYFUNCTION("""COMPUTED_VALUE"""),33139121)</f>
        <v>33139121</v>
      </c>
    </row>
    <row r="2621" spans="1:6" x14ac:dyDescent="0.35">
      <c r="A2621" s="2">
        <f ca="1">IFERROR(__xludf.DUMMYFUNCTION("""COMPUTED_VALUE"""),45812.6666666666)</f>
        <v>45812.666666666599</v>
      </c>
      <c r="B2621" s="1">
        <f ca="1">IFERROR(__xludf.DUMMYFUNCTION("""COMPUTED_VALUE"""),206.55)</f>
        <v>206.55</v>
      </c>
      <c r="C2621" s="1">
        <f ca="1">IFERROR(__xludf.DUMMYFUNCTION("""COMPUTED_VALUE"""),208.18)</f>
        <v>208.18</v>
      </c>
      <c r="D2621" s="1">
        <f ca="1">IFERROR(__xludf.DUMMYFUNCTION("""COMPUTED_VALUE"""),205.18)</f>
        <v>205.18</v>
      </c>
      <c r="E2621" s="1">
        <f ca="1">IFERROR(__xludf.DUMMYFUNCTION("""COMPUTED_VALUE"""),207.23)</f>
        <v>207.23</v>
      </c>
      <c r="F2621" s="1">
        <f ca="1">IFERROR(__xludf.DUMMYFUNCTION("""COMPUTED_VALUE"""),29915592)</f>
        <v>29915592</v>
      </c>
    </row>
    <row r="2622" spans="1:6" x14ac:dyDescent="0.35">
      <c r="A2622" s="2">
        <f ca="1">IFERROR(__xludf.DUMMYFUNCTION("""COMPUTED_VALUE"""),45813.6666666666)</f>
        <v>45813.666666666599</v>
      </c>
      <c r="B2622" s="1">
        <f ca="1">IFERROR(__xludf.DUMMYFUNCTION("""COMPUTED_VALUE"""),209.55)</f>
        <v>209.55</v>
      </c>
      <c r="C2622" s="1">
        <f ca="1">IFERROR(__xludf.DUMMYFUNCTION("""COMPUTED_VALUE"""),212.81)</f>
        <v>212.81</v>
      </c>
      <c r="D2622" s="1">
        <f ca="1">IFERROR(__xludf.DUMMYFUNCTION("""COMPUTED_VALUE"""),207.56)</f>
        <v>207.56</v>
      </c>
      <c r="E2622" s="1">
        <f ca="1">IFERROR(__xludf.DUMMYFUNCTION("""COMPUTED_VALUE"""),207.91)</f>
        <v>207.91</v>
      </c>
      <c r="F2622" s="1">
        <f ca="1">IFERROR(__xludf.DUMMYFUNCTION("""COMPUTED_VALUE"""),51979243)</f>
        <v>51979243</v>
      </c>
    </row>
    <row r="2623" spans="1:6" x14ac:dyDescent="0.35">
      <c r="A2623" s="2">
        <f ca="1">IFERROR(__xludf.DUMMYFUNCTION("""COMPUTED_VALUE"""),45814.6666666666)</f>
        <v>45814.666666666599</v>
      </c>
      <c r="B2623" s="1">
        <f ca="1">IFERROR(__xludf.DUMMYFUNCTION("""COMPUTED_VALUE"""),212.4)</f>
        <v>212.4</v>
      </c>
      <c r="C2623" s="1">
        <f ca="1">IFERROR(__xludf.DUMMYFUNCTION("""COMPUTED_VALUE"""),213.87)</f>
        <v>213.87</v>
      </c>
      <c r="D2623" s="1">
        <f ca="1">IFERROR(__xludf.DUMMYFUNCTION("""COMPUTED_VALUE"""),210.5)</f>
        <v>210.5</v>
      </c>
      <c r="E2623" s="1">
        <f ca="1">IFERROR(__xludf.DUMMYFUNCTION("""COMPUTED_VALUE"""),213.57)</f>
        <v>213.57</v>
      </c>
      <c r="F2623" s="1">
        <f ca="1">IFERROR(__xludf.DUMMYFUNCTION("""COMPUTED_VALUE"""),39832500)</f>
        <v>39832500</v>
      </c>
    </row>
    <row r="2624" spans="1:6" x14ac:dyDescent="0.35">
      <c r="A2624" s="2">
        <f ca="1">IFERROR(__xludf.DUMMYFUNCTION("""COMPUTED_VALUE"""),45817.6666666666)</f>
        <v>45817.666666666599</v>
      </c>
      <c r="B2624" s="1">
        <f ca="1">IFERROR(__xludf.DUMMYFUNCTION("""COMPUTED_VALUE"""),214.75)</f>
        <v>214.75</v>
      </c>
      <c r="C2624" s="1">
        <f ca="1">IFERROR(__xludf.DUMMYFUNCTION("""COMPUTED_VALUE"""),217.85)</f>
        <v>217.85</v>
      </c>
      <c r="D2624" s="1">
        <f ca="1">IFERROR(__xludf.DUMMYFUNCTION("""COMPUTED_VALUE"""),212.88)</f>
        <v>212.88</v>
      </c>
      <c r="E2624" s="1">
        <f ca="1">IFERROR(__xludf.DUMMYFUNCTION("""COMPUTED_VALUE"""),216.98)</f>
        <v>216.98</v>
      </c>
      <c r="F2624" s="1">
        <f ca="1">IFERROR(__xludf.DUMMYFUNCTION("""COMPUTED_VALUE"""),38102502)</f>
        <v>38102502</v>
      </c>
    </row>
    <row r="2625" spans="1:6" x14ac:dyDescent="0.35">
      <c r="A2625" s="2">
        <f ca="1">IFERROR(__xludf.DUMMYFUNCTION("""COMPUTED_VALUE"""),45818.6666666666)</f>
        <v>45818.666666666599</v>
      </c>
      <c r="B2625" s="1">
        <f ca="1">IFERROR(__xludf.DUMMYFUNCTION("""COMPUTED_VALUE"""),216.78)</f>
        <v>216.78</v>
      </c>
      <c r="C2625" s="1">
        <f ca="1">IFERROR(__xludf.DUMMYFUNCTION("""COMPUTED_VALUE"""),217.69)</f>
        <v>217.69</v>
      </c>
      <c r="D2625" s="1">
        <f ca="1">IFERROR(__xludf.DUMMYFUNCTION("""COMPUTED_VALUE"""),214.15)</f>
        <v>214.15</v>
      </c>
      <c r="E2625" s="1">
        <f ca="1">IFERROR(__xludf.DUMMYFUNCTION("""COMPUTED_VALUE"""),217.61)</f>
        <v>217.61</v>
      </c>
      <c r="F2625" s="1">
        <f ca="1">IFERROR(__xludf.DUMMYFUNCTION("""COMPUTED_VALUE"""),31303317)</f>
        <v>31303317</v>
      </c>
    </row>
    <row r="2626" spans="1:6" x14ac:dyDescent="0.35">
      <c r="A2626" s="2">
        <f ca="1">IFERROR(__xludf.DUMMYFUNCTION("""COMPUTED_VALUE"""),45819.6666666666)</f>
        <v>45819.666666666599</v>
      </c>
      <c r="B2626" s="1">
        <f ca="1">IFERROR(__xludf.DUMMYFUNCTION("""COMPUTED_VALUE"""),217.41)</f>
        <v>217.41</v>
      </c>
      <c r="C2626" s="1">
        <f ca="1">IFERROR(__xludf.DUMMYFUNCTION("""COMPUTED_VALUE"""),218.4)</f>
        <v>218.4</v>
      </c>
      <c r="D2626" s="1">
        <f ca="1">IFERROR(__xludf.DUMMYFUNCTION("""COMPUTED_VALUE"""),212.89)</f>
        <v>212.89</v>
      </c>
      <c r="E2626" s="1">
        <f ca="1">IFERROR(__xludf.DUMMYFUNCTION("""COMPUTED_VALUE"""),213.2)</f>
        <v>213.2</v>
      </c>
      <c r="F2626" s="1">
        <f ca="1">IFERROR(__xludf.DUMMYFUNCTION("""COMPUTED_VALUE"""),39325981)</f>
        <v>39325981</v>
      </c>
    </row>
    <row r="2627" spans="1:6" x14ac:dyDescent="0.35">
      <c r="A2627" s="2">
        <f ca="1">IFERROR(__xludf.DUMMYFUNCTION("""COMPUTED_VALUE"""),45820.6666666666)</f>
        <v>45820.666666666599</v>
      </c>
      <c r="B2627" s="1">
        <f ca="1">IFERROR(__xludf.DUMMYFUNCTION("""COMPUTED_VALUE"""),211.78)</f>
        <v>211.78</v>
      </c>
      <c r="C2627" s="1">
        <f ca="1">IFERROR(__xludf.DUMMYFUNCTION("""COMPUTED_VALUE"""),213.58)</f>
        <v>213.58</v>
      </c>
      <c r="D2627" s="1">
        <f ca="1">IFERROR(__xludf.DUMMYFUNCTION("""COMPUTED_VALUE"""),211.33)</f>
        <v>211.33</v>
      </c>
      <c r="E2627" s="1">
        <f ca="1">IFERROR(__xludf.DUMMYFUNCTION("""COMPUTED_VALUE"""),213.24)</f>
        <v>213.24</v>
      </c>
      <c r="F2627" s="1">
        <f ca="1">IFERROR(__xludf.DUMMYFUNCTION("""COMPUTED_VALUE"""),27639991)</f>
        <v>27639991</v>
      </c>
    </row>
    <row r="2628" spans="1:6" x14ac:dyDescent="0.35">
      <c r="A2628" s="2">
        <f ca="1">IFERROR(__xludf.DUMMYFUNCTION("""COMPUTED_VALUE"""),45821.6666666666)</f>
        <v>45821.666666666599</v>
      </c>
      <c r="B2628" s="1">
        <f ca="1">IFERROR(__xludf.DUMMYFUNCTION("""COMPUTED_VALUE"""),209.96)</f>
        <v>209.96</v>
      </c>
      <c r="C2628" s="1">
        <f ca="1">IFERROR(__xludf.DUMMYFUNCTION("""COMPUTED_VALUE"""),214.05)</f>
        <v>214.05</v>
      </c>
      <c r="D2628" s="1">
        <f ca="1">IFERROR(__xludf.DUMMYFUNCTION("""COMPUTED_VALUE"""),209.62)</f>
        <v>209.62</v>
      </c>
      <c r="E2628" s="1">
        <f ca="1">IFERROR(__xludf.DUMMYFUNCTION("""COMPUTED_VALUE"""),212.1)</f>
        <v>212.1</v>
      </c>
      <c r="F2628" s="1">
        <f ca="1">IFERROR(__xludf.DUMMYFUNCTION("""COMPUTED_VALUE"""),29337763)</f>
        <v>29337763</v>
      </c>
    </row>
    <row r="2629" spans="1:6" x14ac:dyDescent="0.35">
      <c r="A2629" s="2">
        <f ca="1">IFERROR(__xludf.DUMMYFUNCTION("""COMPUTED_VALUE"""),45824.6666666666)</f>
        <v>45824.666666666599</v>
      </c>
      <c r="B2629" s="1">
        <f ca="1">IFERROR(__xludf.DUMMYFUNCTION("""COMPUTED_VALUE"""),212.31)</f>
        <v>212.31</v>
      </c>
      <c r="C2629" s="1">
        <f ca="1">IFERROR(__xludf.DUMMYFUNCTION("""COMPUTED_VALUE"""),217.06)</f>
        <v>217.06</v>
      </c>
      <c r="D2629" s="1">
        <f ca="1">IFERROR(__xludf.DUMMYFUNCTION("""COMPUTED_VALUE"""),211.6)</f>
        <v>211.6</v>
      </c>
      <c r="E2629" s="1">
        <f ca="1">IFERROR(__xludf.DUMMYFUNCTION("""COMPUTED_VALUE"""),216.1)</f>
        <v>216.1</v>
      </c>
      <c r="F2629" s="1">
        <f ca="1">IFERROR(__xludf.DUMMYFUNCTION("""COMPUTED_VALUE"""),33284158)</f>
        <v>33284158</v>
      </c>
    </row>
    <row r="2630" spans="1:6" x14ac:dyDescent="0.35">
      <c r="A2630" s="2">
        <f ca="1">IFERROR(__xludf.DUMMYFUNCTION("""COMPUTED_VALUE"""),45825.6666666666)</f>
        <v>45825.666666666599</v>
      </c>
      <c r="B2630" s="1">
        <f ca="1">IFERROR(__xludf.DUMMYFUNCTION("""COMPUTED_VALUE"""),215.2)</f>
        <v>215.2</v>
      </c>
      <c r="C2630" s="1">
        <f ca="1">IFERROR(__xludf.DUMMYFUNCTION("""COMPUTED_VALUE"""),217.41)</f>
        <v>217.41</v>
      </c>
      <c r="D2630" s="1">
        <f ca="1">IFERROR(__xludf.DUMMYFUNCTION("""COMPUTED_VALUE"""),214.56)</f>
        <v>214.56</v>
      </c>
      <c r="E2630" s="1">
        <f ca="1">IFERROR(__xludf.DUMMYFUNCTION("""COMPUTED_VALUE"""),214.82)</f>
        <v>214.82</v>
      </c>
      <c r="F2630" s="1">
        <f ca="1">IFERROR(__xludf.DUMMYFUNCTION("""COMPUTED_VALUE"""),32086262)</f>
        <v>32086262</v>
      </c>
    </row>
    <row r="2631" spans="1:6" x14ac:dyDescent="0.35">
      <c r="A2631" s="2">
        <f ca="1">IFERROR(__xludf.DUMMYFUNCTION("""COMPUTED_VALUE"""),45826.6666666666)</f>
        <v>45826.666666666599</v>
      </c>
      <c r="B2631" s="1">
        <f ca="1">IFERROR(__xludf.DUMMYFUNCTION("""COMPUTED_VALUE"""),215.09)</f>
        <v>215.09</v>
      </c>
      <c r="C2631" s="1">
        <f ca="1">IFERROR(__xludf.DUMMYFUNCTION("""COMPUTED_VALUE"""),217.96)</f>
        <v>217.96</v>
      </c>
      <c r="D2631" s="1">
        <f ca="1">IFERROR(__xludf.DUMMYFUNCTION("""COMPUTED_VALUE"""),212.34)</f>
        <v>212.34</v>
      </c>
      <c r="E2631" s="1">
        <f ca="1">IFERROR(__xludf.DUMMYFUNCTION("""COMPUTED_VALUE"""),212.52)</f>
        <v>212.52</v>
      </c>
      <c r="F2631" s="1">
        <f ca="1">IFERROR(__xludf.DUMMYFUNCTION("""COMPUTED_VALUE"""),44360509)</f>
        <v>44360509</v>
      </c>
    </row>
    <row r="2632" spans="1:6" x14ac:dyDescent="0.35">
      <c r="A2632" s="2">
        <f ca="1">IFERROR(__xludf.DUMMYFUNCTION("""COMPUTED_VALUE"""),45828.6666666666)</f>
        <v>45828.666666666599</v>
      </c>
      <c r="B2632" s="1">
        <f ca="1">IFERROR(__xludf.DUMMYFUNCTION("""COMPUTED_VALUE"""),214.68)</f>
        <v>214.68</v>
      </c>
      <c r="C2632" s="1">
        <f ca="1">IFERROR(__xludf.DUMMYFUNCTION("""COMPUTED_VALUE"""),214.89)</f>
        <v>214.89</v>
      </c>
      <c r="D2632" s="1">
        <f ca="1">IFERROR(__xludf.DUMMYFUNCTION("""COMPUTED_VALUE"""),208.27)</f>
        <v>208.27</v>
      </c>
      <c r="E2632" s="1">
        <f ca="1">IFERROR(__xludf.DUMMYFUNCTION("""COMPUTED_VALUE"""),209.69)</f>
        <v>209.69</v>
      </c>
      <c r="F2632" s="1">
        <f ca="1">IFERROR(__xludf.DUMMYFUNCTION("""COMPUTED_VALUE"""),75350733)</f>
        <v>75350733</v>
      </c>
    </row>
    <row r="2633" spans="1:6" x14ac:dyDescent="0.35">
      <c r="A2633" s="2">
        <f ca="1">IFERROR(__xludf.DUMMYFUNCTION("""COMPUTED_VALUE"""),45831.6666666666)</f>
        <v>45831.666666666599</v>
      </c>
      <c r="B2633" s="1">
        <f ca="1">IFERROR(__xludf.DUMMYFUNCTION("""COMPUTED_VALUE"""),209.79)</f>
        <v>209.79</v>
      </c>
      <c r="C2633" s="1">
        <f ca="1">IFERROR(__xludf.DUMMYFUNCTION("""COMPUTED_VALUE"""),210.39)</f>
        <v>210.39</v>
      </c>
      <c r="D2633" s="1">
        <f ca="1">IFERROR(__xludf.DUMMYFUNCTION("""COMPUTED_VALUE"""),207.31)</f>
        <v>207.31</v>
      </c>
      <c r="E2633" s="1">
        <f ca="1">IFERROR(__xludf.DUMMYFUNCTION("""COMPUTED_VALUE"""),208.47)</f>
        <v>208.47</v>
      </c>
      <c r="F2633" s="1">
        <f ca="1">IFERROR(__xludf.DUMMYFUNCTION("""COMPUTED_VALUE"""),37311725)</f>
        <v>37311725</v>
      </c>
    </row>
    <row r="2634" spans="1:6" x14ac:dyDescent="0.35">
      <c r="A2634" s="2">
        <f ca="1">IFERROR(__xludf.DUMMYFUNCTION("""COMPUTED_VALUE"""),45832.6666666666)</f>
        <v>45832.666666666599</v>
      </c>
      <c r="B2634" s="1">
        <f ca="1">IFERROR(__xludf.DUMMYFUNCTION("""COMPUTED_VALUE"""),212.14)</f>
        <v>212.14</v>
      </c>
      <c r="C2634" s="1">
        <f ca="1">IFERROR(__xludf.DUMMYFUNCTION("""COMPUTED_VALUE"""),214.34)</f>
        <v>214.34</v>
      </c>
      <c r="D2634" s="1">
        <f ca="1">IFERROR(__xludf.DUMMYFUNCTION("""COMPUTED_VALUE"""),211.05)</f>
        <v>211.05</v>
      </c>
      <c r="E2634" s="1">
        <f ca="1">IFERROR(__xludf.DUMMYFUNCTION("""COMPUTED_VALUE"""),212.77)</f>
        <v>212.77</v>
      </c>
      <c r="F2634" s="1">
        <f ca="1">IFERROR(__xludf.DUMMYFUNCTION("""COMPUTED_VALUE"""),38378757)</f>
        <v>38378757</v>
      </c>
    </row>
    <row r="2635" spans="1:6" x14ac:dyDescent="0.35">
      <c r="A2635" s="2">
        <f ca="1">IFERROR(__xludf.DUMMYFUNCTION("""COMPUTED_VALUE"""),45833.6666666666)</f>
        <v>45833.666666666599</v>
      </c>
      <c r="B2635" s="1">
        <f ca="1">IFERROR(__xludf.DUMMYFUNCTION("""COMPUTED_VALUE"""),214.62)</f>
        <v>214.62</v>
      </c>
      <c r="C2635" s="1">
        <f ca="1">IFERROR(__xludf.DUMMYFUNCTION("""COMPUTED_VALUE"""),216.03)</f>
        <v>216.03</v>
      </c>
      <c r="D2635" s="1">
        <f ca="1">IFERROR(__xludf.DUMMYFUNCTION("""COMPUTED_VALUE"""),211.11)</f>
        <v>211.11</v>
      </c>
      <c r="E2635" s="1">
        <f ca="1">IFERROR(__xludf.DUMMYFUNCTION("""COMPUTED_VALUE"""),211.99)</f>
        <v>211.99</v>
      </c>
      <c r="F2635" s="1">
        <f ca="1">IFERROR(__xludf.DUMMYFUNCTION("""COMPUTED_VALUE"""),31755698)</f>
        <v>31755698</v>
      </c>
    </row>
    <row r="2636" spans="1:6" x14ac:dyDescent="0.35">
      <c r="A2636" s="2">
        <f ca="1">IFERROR(__xludf.DUMMYFUNCTION("""COMPUTED_VALUE"""),45834.6666666666)</f>
        <v>45834.666666666599</v>
      </c>
      <c r="B2636" s="1">
        <f ca="1">IFERROR(__xludf.DUMMYFUNCTION("""COMPUTED_VALUE"""),213.12)</f>
        <v>213.12</v>
      </c>
      <c r="C2636" s="1">
        <f ca="1">IFERROR(__xludf.DUMMYFUNCTION("""COMPUTED_VALUE"""),218.04)</f>
        <v>218.04</v>
      </c>
      <c r="D2636" s="1">
        <f ca="1">IFERROR(__xludf.DUMMYFUNCTION("""COMPUTED_VALUE"""),212.01)</f>
        <v>212.01</v>
      </c>
      <c r="E2636" s="1">
        <f ca="1">IFERROR(__xludf.DUMMYFUNCTION("""COMPUTED_VALUE"""),217.12)</f>
        <v>217.12</v>
      </c>
      <c r="F2636" s="1">
        <f ca="1">IFERROR(__xludf.DUMMYFUNCTION("""COMPUTED_VALUE"""),50480814)</f>
        <v>50480814</v>
      </c>
    </row>
    <row r="2637" spans="1:6" x14ac:dyDescent="0.35">
      <c r="A2637" s="2">
        <f ca="1">IFERROR(__xludf.DUMMYFUNCTION("""COMPUTED_VALUE"""),45835.6666666666)</f>
        <v>45835.666666666599</v>
      </c>
      <c r="B2637" s="1">
        <f ca="1">IFERROR(__xludf.DUMMYFUNCTION("""COMPUTED_VALUE"""),219.92)</f>
        <v>219.92</v>
      </c>
      <c r="C2637" s="1">
        <f ca="1">IFERROR(__xludf.DUMMYFUNCTION("""COMPUTED_VALUE"""),223.3)</f>
        <v>223.3</v>
      </c>
      <c r="D2637" s="1">
        <f ca="1">IFERROR(__xludf.DUMMYFUNCTION("""COMPUTED_VALUE"""),216.74)</f>
        <v>216.74</v>
      </c>
      <c r="E2637" s="1">
        <f ca="1">IFERROR(__xludf.DUMMYFUNCTION("""COMPUTED_VALUE"""),223.3)</f>
        <v>223.3</v>
      </c>
      <c r="F2637" s="1">
        <f ca="1">IFERROR(__xludf.DUMMYFUNCTION("""COMPUTED_VALUE"""),119217138)</f>
        <v>119217138</v>
      </c>
    </row>
    <row r="2638" spans="1:6" x14ac:dyDescent="0.35">
      <c r="A2638" s="2">
        <f ca="1">IFERROR(__xludf.DUMMYFUNCTION("""COMPUTED_VALUE"""),45838.6666666666)</f>
        <v>45838.666666666599</v>
      </c>
      <c r="B2638" s="1">
        <f ca="1">IFERROR(__xludf.DUMMYFUNCTION("""COMPUTED_VALUE"""),223.52)</f>
        <v>223.52</v>
      </c>
      <c r="C2638" s="1">
        <f ca="1">IFERROR(__xludf.DUMMYFUNCTION("""COMPUTED_VALUE"""),223.82)</f>
        <v>223.82</v>
      </c>
      <c r="D2638" s="1">
        <f ca="1">IFERROR(__xludf.DUMMYFUNCTION("""COMPUTED_VALUE"""),219.12)</f>
        <v>219.12</v>
      </c>
      <c r="E2638" s="1">
        <f ca="1">IFERROR(__xludf.DUMMYFUNCTION("""COMPUTED_VALUE"""),219.39)</f>
        <v>219.39</v>
      </c>
      <c r="F2638" s="1">
        <f ca="1">IFERROR(__xludf.DUMMYFUNCTION("""COMPUTED_VALUE"""),58887780)</f>
        <v>58887780</v>
      </c>
    </row>
    <row r="2639" spans="1:6" x14ac:dyDescent="0.35">
      <c r="A2639" s="2">
        <f ca="1">IFERROR(__xludf.DUMMYFUNCTION("""COMPUTED_VALUE"""),45839.6666666666)</f>
        <v>45839.666666666599</v>
      </c>
      <c r="B2639" s="1">
        <f ca="1">IFERROR(__xludf.DUMMYFUNCTION("""COMPUTED_VALUE"""),219.5)</f>
        <v>219.5</v>
      </c>
      <c r="C2639" s="1">
        <f ca="1">IFERROR(__xludf.DUMMYFUNCTION("""COMPUTED_VALUE"""),221.88)</f>
        <v>221.88</v>
      </c>
      <c r="D2639" s="1">
        <f ca="1">IFERROR(__xludf.DUMMYFUNCTION("""COMPUTED_VALUE"""),217.93)</f>
        <v>217.93</v>
      </c>
      <c r="E2639" s="1">
        <f ca="1">IFERROR(__xludf.DUMMYFUNCTION("""COMPUTED_VALUE"""),220.46)</f>
        <v>220.46</v>
      </c>
      <c r="F2639" s="1">
        <f ca="1">IFERROR(__xludf.DUMMYFUNCTION("""COMPUTED_VALUE"""),39256830)</f>
        <v>39256830</v>
      </c>
    </row>
    <row r="2640" spans="1:6" x14ac:dyDescent="0.35">
      <c r="A2640" s="2">
        <f ca="1">IFERROR(__xludf.DUMMYFUNCTION("""COMPUTED_VALUE"""),45840.6666666666)</f>
        <v>45840.666666666599</v>
      </c>
      <c r="B2640" s="1">
        <f ca="1">IFERROR(__xludf.DUMMYFUNCTION("""COMPUTED_VALUE"""),219.73)</f>
        <v>219.73</v>
      </c>
      <c r="C2640" s="1">
        <f ca="1">IFERROR(__xludf.DUMMYFUNCTION("""COMPUTED_VALUE"""),221.6)</f>
        <v>221.6</v>
      </c>
      <c r="D2640" s="1">
        <f ca="1">IFERROR(__xludf.DUMMYFUNCTION("""COMPUTED_VALUE"""),219.06)</f>
        <v>219.06</v>
      </c>
      <c r="E2640" s="1">
        <f ca="1">IFERROR(__xludf.DUMMYFUNCTION("""COMPUTED_VALUE"""),219.92)</f>
        <v>219.92</v>
      </c>
      <c r="F2640" s="1">
        <f ca="1">IFERROR(__xludf.DUMMYFUNCTION("""COMPUTED_VALUE"""),30894178)</f>
        <v>30894178</v>
      </c>
    </row>
    <row r="2641" spans="1:6" x14ac:dyDescent="0.35">
      <c r="A2641" s="2">
        <f ca="1">IFERROR(__xludf.DUMMYFUNCTION("""COMPUTED_VALUE"""),45841.5451388888)</f>
        <v>45841.545138888803</v>
      </c>
      <c r="B2641" s="1">
        <f ca="1">IFERROR(__xludf.DUMMYFUNCTION("""COMPUTED_VALUE"""),221.82)</f>
        <v>221.82</v>
      </c>
      <c r="C2641" s="1">
        <f ca="1">IFERROR(__xludf.DUMMYFUNCTION("""COMPUTED_VALUE"""),224.01)</f>
        <v>224.01</v>
      </c>
      <c r="D2641" s="1">
        <f ca="1">IFERROR(__xludf.DUMMYFUNCTION("""COMPUTED_VALUE"""),221.36)</f>
        <v>221.36</v>
      </c>
      <c r="E2641" s="1">
        <f ca="1">IFERROR(__xludf.DUMMYFUNCTION("""COMPUTED_VALUE"""),223.41)</f>
        <v>223.41</v>
      </c>
      <c r="F2641" s="1">
        <f ca="1">IFERROR(__xludf.DUMMYFUNCTION("""COMPUTED_VALUE"""),29632353)</f>
        <v>29632353</v>
      </c>
    </row>
    <row r="2642" spans="1:6" x14ac:dyDescent="0.35">
      <c r="A2642" s="2">
        <f ca="1">IFERROR(__xludf.DUMMYFUNCTION("""COMPUTED_VALUE"""),45845.6666666666)</f>
        <v>45845.666666666599</v>
      </c>
      <c r="B2642" s="1">
        <f ca="1">IFERROR(__xludf.DUMMYFUNCTION("""COMPUTED_VALUE"""),223)</f>
        <v>223</v>
      </c>
      <c r="C2642" s="1">
        <f ca="1">IFERROR(__xludf.DUMMYFUNCTION("""COMPUTED_VALUE"""),224.29)</f>
        <v>224.29</v>
      </c>
      <c r="D2642" s="1">
        <f ca="1">IFERROR(__xludf.DUMMYFUNCTION("""COMPUTED_VALUE"""),222.37)</f>
        <v>222.37</v>
      </c>
      <c r="E2642" s="1">
        <f ca="1">IFERROR(__xludf.DUMMYFUNCTION("""COMPUTED_VALUE"""),223.47)</f>
        <v>223.47</v>
      </c>
      <c r="F2642" s="1">
        <f ca="1">IFERROR(__xludf.DUMMYFUNCTION("""COMPUTED_VALUE"""),36604139)</f>
        <v>36604139</v>
      </c>
    </row>
    <row r="2643" spans="1:6" x14ac:dyDescent="0.35">
      <c r="A2643" s="2">
        <f ca="1">IFERROR(__xludf.DUMMYFUNCTION("""COMPUTED_VALUE"""),45846.6666666666)</f>
        <v>45846.666666666599</v>
      </c>
      <c r="B2643" s="1">
        <f ca="1">IFERROR(__xludf.DUMMYFUNCTION("""COMPUTED_VALUE"""),223.92)</f>
        <v>223.92</v>
      </c>
      <c r="C2643" s="1">
        <f ca="1">IFERROR(__xludf.DUMMYFUNCTION("""COMPUTED_VALUE"""),224)</f>
        <v>224</v>
      </c>
      <c r="D2643" s="1">
        <f ca="1">IFERROR(__xludf.DUMMYFUNCTION("""COMPUTED_VALUE"""),218.43)</f>
        <v>218.43</v>
      </c>
      <c r="E2643" s="1">
        <f ca="1">IFERROR(__xludf.DUMMYFUNCTION("""COMPUTED_VALUE"""),219.36)</f>
        <v>219.36</v>
      </c>
      <c r="F2643" s="1">
        <f ca="1">IFERROR(__xludf.DUMMYFUNCTION("""COMPUTED_VALUE"""),45691987)</f>
        <v>45691987</v>
      </c>
    </row>
    <row r="2644" spans="1:6" x14ac:dyDescent="0.35">
      <c r="A2644" s="2">
        <f ca="1">IFERROR(__xludf.DUMMYFUNCTION("""COMPUTED_VALUE"""),45847.6666666666)</f>
        <v>45847.666666666599</v>
      </c>
      <c r="B2644" s="1">
        <f ca="1">IFERROR(__xludf.DUMMYFUNCTION("""COMPUTED_VALUE"""),221.07)</f>
        <v>221.07</v>
      </c>
      <c r="C2644" s="1">
        <f ca="1">IFERROR(__xludf.DUMMYFUNCTION("""COMPUTED_VALUE"""),224.29)</f>
        <v>224.29</v>
      </c>
      <c r="D2644" s="1">
        <f ca="1">IFERROR(__xludf.DUMMYFUNCTION("""COMPUTED_VALUE"""),220.47)</f>
        <v>220.47</v>
      </c>
      <c r="E2644" s="1">
        <f ca="1">IFERROR(__xludf.DUMMYFUNCTION("""COMPUTED_VALUE"""),222.54)</f>
        <v>222.54</v>
      </c>
      <c r="F2644" s="1">
        <f ca="1">IFERROR(__xludf.DUMMYFUNCTION("""COMPUTED_VALUE"""),38155121)</f>
        <v>38155121</v>
      </c>
    </row>
    <row r="2645" spans="1:6" x14ac:dyDescent="0.35">
      <c r="A2645" s="2">
        <f ca="1">IFERROR(__xludf.DUMMYFUNCTION("""COMPUTED_VALUE"""),45848.6666666666)</f>
        <v>45848.666666666599</v>
      </c>
      <c r="B2645" s="1">
        <f ca="1">IFERROR(__xludf.DUMMYFUNCTION("""COMPUTED_VALUE"""),221.55)</f>
        <v>221.55</v>
      </c>
      <c r="C2645" s="1">
        <f ca="1">IFERROR(__xludf.DUMMYFUNCTION("""COMPUTED_VALUE"""),222.79)</f>
        <v>222.79</v>
      </c>
      <c r="D2645" s="1">
        <f ca="1">IFERROR(__xludf.DUMMYFUNCTION("""COMPUTED_VALUE"""),219.7)</f>
        <v>219.7</v>
      </c>
      <c r="E2645" s="1">
        <f ca="1">IFERROR(__xludf.DUMMYFUNCTION("""COMPUTED_VALUE"""),222.26)</f>
        <v>222.26</v>
      </c>
      <c r="F2645" s="1">
        <f ca="1">IFERROR(__xludf.DUMMYFUNCTION("""COMPUTED_VALUE"""),30370591)</f>
        <v>30370591</v>
      </c>
    </row>
    <row r="2646" spans="1:6" x14ac:dyDescent="0.35">
      <c r="A2646" s="2">
        <f ca="1">IFERROR(__xludf.DUMMYFUNCTION("""COMPUTED_VALUE"""),45849.6666666666)</f>
        <v>45849.666666666599</v>
      </c>
      <c r="B2646" s="1">
        <f ca="1">IFERROR(__xludf.DUMMYFUNCTION("""COMPUTED_VALUE"""),223.58)</f>
        <v>223.58</v>
      </c>
      <c r="C2646" s="1">
        <f ca="1">IFERROR(__xludf.DUMMYFUNCTION("""COMPUTED_VALUE"""),226.68)</f>
        <v>226.68</v>
      </c>
      <c r="D2646" s="1">
        <f ca="1">IFERROR(__xludf.DUMMYFUNCTION("""COMPUTED_VALUE"""),222.37)</f>
        <v>222.37</v>
      </c>
      <c r="E2646" s="1">
        <f ca="1">IFERROR(__xludf.DUMMYFUNCTION("""COMPUTED_VALUE"""),225.02)</f>
        <v>225.02</v>
      </c>
      <c r="F2646" s="1">
        <f ca="1">IFERROR(__xludf.DUMMYFUNCTION("""COMPUTED_VALUE"""),50518307)</f>
        <v>50518307</v>
      </c>
    </row>
    <row r="2647" spans="1:6" x14ac:dyDescent="0.35">
      <c r="A2647" s="2">
        <f ca="1">IFERROR(__xludf.DUMMYFUNCTION("""COMPUTED_VALUE"""),45852.6666666666)</f>
        <v>45852.666666666599</v>
      </c>
      <c r="B2647" s="1">
        <f ca="1">IFERROR(__xludf.DUMMYFUNCTION("""COMPUTED_VALUE"""),225.07)</f>
        <v>225.07</v>
      </c>
      <c r="C2647" s="1">
        <f ca="1">IFERROR(__xludf.DUMMYFUNCTION("""COMPUTED_VALUE"""),226.66)</f>
        <v>226.66</v>
      </c>
      <c r="D2647" s="1">
        <f ca="1">IFERROR(__xludf.DUMMYFUNCTION("""COMPUTED_VALUE"""),224.24)</f>
        <v>224.24</v>
      </c>
      <c r="E2647" s="1">
        <f ca="1">IFERROR(__xludf.DUMMYFUNCTION("""COMPUTED_VALUE"""),225.69)</f>
        <v>225.69</v>
      </c>
      <c r="F2647" s="1">
        <f ca="1">IFERROR(__xludf.DUMMYFUNCTION("""COMPUTED_VALUE"""),35702597)</f>
        <v>35702597</v>
      </c>
    </row>
    <row r="2648" spans="1:6" x14ac:dyDescent="0.35">
      <c r="A2648" s="2">
        <f ca="1">IFERROR(__xludf.DUMMYFUNCTION("""COMPUTED_VALUE"""),45853.6666666666)</f>
        <v>45853.666666666599</v>
      </c>
      <c r="B2648" s="1">
        <f ca="1">IFERROR(__xludf.DUMMYFUNCTION("""COMPUTED_VALUE"""),226.2)</f>
        <v>226.2</v>
      </c>
      <c r="C2648" s="1">
        <f ca="1">IFERROR(__xludf.DUMMYFUNCTION("""COMPUTED_VALUE"""),227.27)</f>
        <v>227.27</v>
      </c>
      <c r="D2648" s="1">
        <f ca="1">IFERROR(__xludf.DUMMYFUNCTION("""COMPUTED_VALUE"""),225.46)</f>
        <v>225.46</v>
      </c>
      <c r="E2648" s="1">
        <f ca="1">IFERROR(__xludf.DUMMYFUNCTION("""COMPUTED_VALUE"""),226.35)</f>
        <v>226.35</v>
      </c>
      <c r="F2648" s="1">
        <f ca="1">IFERROR(__xludf.DUMMYFUNCTION("""COMPUTED_VALUE"""),34907294)</f>
        <v>34907294</v>
      </c>
    </row>
    <row r="2649" spans="1:6" x14ac:dyDescent="0.35">
      <c r="A2649" s="2">
        <f ca="1">IFERROR(__xludf.DUMMYFUNCTION("""COMPUTED_VALUE"""),45854.6666666666)</f>
        <v>45854.666666666599</v>
      </c>
      <c r="B2649" s="1">
        <f ca="1">IFERROR(__xludf.DUMMYFUNCTION("""COMPUTED_VALUE"""),225.88)</f>
        <v>225.88</v>
      </c>
      <c r="C2649" s="1">
        <f ca="1">IFERROR(__xludf.DUMMYFUNCTION("""COMPUTED_VALUE"""),226.1)</f>
        <v>226.1</v>
      </c>
      <c r="D2649" s="1">
        <f ca="1">IFERROR(__xludf.DUMMYFUNCTION("""COMPUTED_VALUE"""),222.18)</f>
        <v>222.18</v>
      </c>
      <c r="E2649" s="1">
        <f ca="1">IFERROR(__xludf.DUMMYFUNCTION("""COMPUTED_VALUE"""),223.19)</f>
        <v>223.19</v>
      </c>
      <c r="F2649" s="1">
        <f ca="1">IFERROR(__xludf.DUMMYFUNCTION("""COMPUTED_VALUE"""),39535926)</f>
        <v>39535926</v>
      </c>
    </row>
    <row r="2650" spans="1:6" x14ac:dyDescent="0.35">
      <c r="A2650" s="2">
        <f ca="1">IFERROR(__xludf.DUMMYFUNCTION("""COMPUTED_VALUE"""),45855.6666666666)</f>
        <v>45855.666666666599</v>
      </c>
      <c r="B2650" s="1">
        <f ca="1">IFERROR(__xludf.DUMMYFUNCTION("""COMPUTED_VALUE"""),223.32)</f>
        <v>223.32</v>
      </c>
      <c r="C2650" s="1">
        <f ca="1">IFERROR(__xludf.DUMMYFUNCTION("""COMPUTED_VALUE"""),224.5)</f>
        <v>224.5</v>
      </c>
      <c r="D2650" s="1">
        <f ca="1">IFERROR(__xludf.DUMMYFUNCTION("""COMPUTED_VALUE"""),222.51)</f>
        <v>222.51</v>
      </c>
      <c r="E2650" s="1">
        <f ca="1">IFERROR(__xludf.DUMMYFUNCTION("""COMPUTED_VALUE"""),223.88)</f>
        <v>223.88</v>
      </c>
      <c r="F2650" s="1">
        <f ca="1">IFERROR(__xludf.DUMMYFUNCTION("""COMPUTED_VALUE"""),31855831)</f>
        <v>31855831</v>
      </c>
    </row>
    <row r="2651" spans="1:6" x14ac:dyDescent="0.35">
      <c r="A2651" s="2">
        <f ca="1">IFERROR(__xludf.DUMMYFUNCTION("""COMPUTED_VALUE"""),45856.6666666666)</f>
        <v>45856.666666666599</v>
      </c>
      <c r="B2651" s="1">
        <f ca="1">IFERROR(__xludf.DUMMYFUNCTION("""COMPUTED_VALUE"""),225.14)</f>
        <v>225.14</v>
      </c>
      <c r="C2651" s="1">
        <f ca="1">IFERROR(__xludf.DUMMYFUNCTION("""COMPUTED_VALUE"""),226.4)</f>
        <v>226.4</v>
      </c>
      <c r="D2651" s="1">
        <f ca="1">IFERROR(__xludf.DUMMYFUNCTION("""COMPUTED_VALUE"""),222.98)</f>
        <v>222.98</v>
      </c>
      <c r="E2651" s="1">
        <f ca="1">IFERROR(__xludf.DUMMYFUNCTION("""COMPUTED_VALUE"""),226.13)</f>
        <v>226.13</v>
      </c>
      <c r="F2651" s="1">
        <f ca="1">IFERROR(__xludf.DUMMYFUNCTION("""COMPUTED_VALUE"""),37833807)</f>
        <v>37833807</v>
      </c>
    </row>
    <row r="2652" spans="1:6" x14ac:dyDescent="0.35">
      <c r="A2652" s="2">
        <f ca="1">IFERROR(__xludf.DUMMYFUNCTION("""COMPUTED_VALUE"""),45859.6666666666)</f>
        <v>45859.666666666599</v>
      </c>
      <c r="B2652" s="1">
        <f ca="1">IFERROR(__xludf.DUMMYFUNCTION("""COMPUTED_VALUE"""),225.84)</f>
        <v>225.84</v>
      </c>
      <c r="C2652" s="1">
        <f ca="1">IFERROR(__xludf.DUMMYFUNCTION("""COMPUTED_VALUE"""),229.69)</f>
        <v>229.69</v>
      </c>
      <c r="D2652" s="1">
        <f ca="1">IFERROR(__xludf.DUMMYFUNCTION("""COMPUTED_VALUE"""),225.65)</f>
        <v>225.65</v>
      </c>
      <c r="E2652" s="1">
        <f ca="1">IFERROR(__xludf.DUMMYFUNCTION("""COMPUTED_VALUE"""),229.3)</f>
        <v>229.3</v>
      </c>
      <c r="F2652" s="1">
        <f ca="1">IFERROR(__xludf.DUMMYFUNCTION("""COMPUTED_VALUE"""),40297556)</f>
        <v>40297556</v>
      </c>
    </row>
    <row r="2653" spans="1:6" x14ac:dyDescent="0.35">
      <c r="A2653" s="2">
        <f ca="1">IFERROR(__xludf.DUMMYFUNCTION("""COMPUTED_VALUE"""),45860.6666666666)</f>
        <v>45860.666666666599</v>
      </c>
      <c r="B2653" s="1">
        <f ca="1">IFERROR(__xludf.DUMMYFUNCTION("""COMPUTED_VALUE"""),229.68)</f>
        <v>229.68</v>
      </c>
      <c r="C2653" s="1">
        <f ca="1">IFERROR(__xludf.DUMMYFUNCTION("""COMPUTED_VALUE"""),230)</f>
        <v>230</v>
      </c>
      <c r="D2653" s="1">
        <f ca="1">IFERROR(__xludf.DUMMYFUNCTION("""COMPUTED_VALUE"""),226.35)</f>
        <v>226.35</v>
      </c>
      <c r="E2653" s="1">
        <f ca="1">IFERROR(__xludf.DUMMYFUNCTION("""COMPUTED_VALUE"""),227.47)</f>
        <v>227.47</v>
      </c>
      <c r="F2653" s="1">
        <f ca="1">IFERROR(__xludf.DUMMYFUNCTION("""COMPUTED_VALUE"""),37483702)</f>
        <v>37483702</v>
      </c>
    </row>
    <row r="2654" spans="1:6" x14ac:dyDescent="0.35">
      <c r="A2654" s="2">
        <f ca="1">IFERROR(__xludf.DUMMYFUNCTION("""COMPUTED_VALUE"""),45861.6666666666)</f>
        <v>45861.666666666599</v>
      </c>
      <c r="B2654" s="1">
        <f ca="1">IFERROR(__xludf.DUMMYFUNCTION("""COMPUTED_VALUE"""),228.47)</f>
        <v>228.47</v>
      </c>
      <c r="C2654" s="1">
        <f ca="1">IFERROR(__xludf.DUMMYFUNCTION("""COMPUTED_VALUE"""),228.79)</f>
        <v>228.79</v>
      </c>
      <c r="D2654" s="1">
        <f ca="1">IFERROR(__xludf.DUMMYFUNCTION("""COMPUTED_VALUE"""),227.09)</f>
        <v>227.09</v>
      </c>
      <c r="E2654" s="1">
        <f ca="1">IFERROR(__xludf.DUMMYFUNCTION("""COMPUTED_VALUE"""),228.29)</f>
        <v>228.29</v>
      </c>
      <c r="F2654" s="1">
        <f ca="1">IFERROR(__xludf.DUMMYFUNCTION("""COMPUTED_VALUE"""),28294852)</f>
        <v>28294852</v>
      </c>
    </row>
    <row r="2655" spans="1:6" x14ac:dyDescent="0.35">
      <c r="A2655" s="2">
        <f ca="1">IFERROR(__xludf.DUMMYFUNCTION("""COMPUTED_VALUE"""),45862.6666666666)</f>
        <v>45862.666666666599</v>
      </c>
      <c r="B2655" s="1">
        <f ca="1">IFERROR(__xludf.DUMMYFUNCTION("""COMPUTED_VALUE"""),229.17)</f>
        <v>229.17</v>
      </c>
      <c r="C2655" s="1">
        <f ca="1">IFERROR(__xludf.DUMMYFUNCTION("""COMPUTED_VALUE"""),236)</f>
        <v>236</v>
      </c>
      <c r="D2655" s="1">
        <f ca="1">IFERROR(__xludf.DUMMYFUNCTION("""COMPUTED_VALUE"""),228.64)</f>
        <v>228.64</v>
      </c>
      <c r="E2655" s="1">
        <f ca="1">IFERROR(__xludf.DUMMYFUNCTION("""COMPUTED_VALUE"""),232.23)</f>
        <v>232.23</v>
      </c>
      <c r="F2655" s="1">
        <f ca="1">IFERROR(__xludf.DUMMYFUNCTION("""COMPUTED_VALUE"""),42902266)</f>
        <v>42902266</v>
      </c>
    </row>
    <row r="2656" spans="1:6" x14ac:dyDescent="0.35">
      <c r="A2656" s="2">
        <f ca="1">IFERROR(__xludf.DUMMYFUNCTION("""COMPUTED_VALUE"""),45863.6666666666)</f>
        <v>45863.666666666599</v>
      </c>
      <c r="B2656" s="1">
        <f ca="1">IFERROR(__xludf.DUMMYFUNCTION("""COMPUTED_VALUE"""),232.22)</f>
        <v>232.22</v>
      </c>
      <c r="C2656" s="1">
        <f ca="1">IFERROR(__xludf.DUMMYFUNCTION("""COMPUTED_VALUE"""),232.48)</f>
        <v>232.48</v>
      </c>
      <c r="D2656" s="1">
        <f ca="1">IFERROR(__xludf.DUMMYFUNCTION("""COMPUTED_VALUE"""),231.18)</f>
        <v>231.18</v>
      </c>
      <c r="E2656" s="1">
        <f ca="1">IFERROR(__xludf.DUMMYFUNCTION("""COMPUTED_VALUE"""),231.44)</f>
        <v>231.44</v>
      </c>
      <c r="F2656" s="1">
        <f ca="1">IFERROR(__xludf.DUMMYFUNCTION("""COMPUTED_VALUE"""),28712095)</f>
        <v>28712095</v>
      </c>
    </row>
    <row r="2657" spans="1:6" x14ac:dyDescent="0.35">
      <c r="A2657" s="2">
        <f ca="1">IFERROR(__xludf.DUMMYFUNCTION("""COMPUTED_VALUE"""),45866.6666666666)</f>
        <v>45866.666666666599</v>
      </c>
      <c r="B2657" s="1">
        <f ca="1">IFERROR(__xludf.DUMMYFUNCTION("""COMPUTED_VALUE"""),233.35)</f>
        <v>233.35</v>
      </c>
      <c r="C2657" s="1">
        <f ca="1">IFERROR(__xludf.DUMMYFUNCTION("""COMPUTED_VALUE"""),234.29)</f>
        <v>234.29</v>
      </c>
      <c r="D2657" s="1">
        <f ca="1">IFERROR(__xludf.DUMMYFUNCTION("""COMPUTED_VALUE"""),232.25)</f>
        <v>232.25</v>
      </c>
      <c r="E2657" s="1">
        <f ca="1">IFERROR(__xludf.DUMMYFUNCTION("""COMPUTED_VALUE"""),232.79)</f>
        <v>232.79</v>
      </c>
      <c r="F2657" s="1">
        <f ca="1">IFERROR(__xludf.DUMMYFUNCTION("""COMPUTED_VALUE"""),26300138)</f>
        <v>26300138</v>
      </c>
    </row>
    <row r="2658" spans="1:6" x14ac:dyDescent="0.35">
      <c r="A2658" s="2">
        <f ca="1">IFERROR(__xludf.DUMMYFUNCTION("""COMPUTED_VALUE"""),45867.6666666666)</f>
        <v>45867.666666666599</v>
      </c>
      <c r="B2658" s="1">
        <f ca="1">IFERROR(__xludf.DUMMYFUNCTION("""COMPUTED_VALUE"""),234.15)</f>
        <v>234.15</v>
      </c>
      <c r="C2658" s="1">
        <f ca="1">IFERROR(__xludf.DUMMYFUNCTION("""COMPUTED_VALUE"""),234.72)</f>
        <v>234.72</v>
      </c>
      <c r="D2658" s="1">
        <f ca="1">IFERROR(__xludf.DUMMYFUNCTION("""COMPUTED_VALUE"""),230.31)</f>
        <v>230.31</v>
      </c>
      <c r="E2658" s="1">
        <f ca="1">IFERROR(__xludf.DUMMYFUNCTION("""COMPUTED_VALUE"""),231.01)</f>
        <v>231.01</v>
      </c>
      <c r="F2658" s="1">
        <f ca="1">IFERROR(__xludf.DUMMYFUNCTION("""COMPUTED_VALUE"""),33716220)</f>
        <v>33716220</v>
      </c>
    </row>
    <row r="2659" spans="1:6" x14ac:dyDescent="0.35">
      <c r="A2659" s="2">
        <f ca="1">IFERROR(__xludf.DUMMYFUNCTION("""COMPUTED_VALUE"""),45868.6666666666)</f>
        <v>45868.666666666599</v>
      </c>
      <c r="B2659" s="1">
        <f ca="1">IFERROR(__xludf.DUMMYFUNCTION("""COMPUTED_VALUE"""),231.64)</f>
        <v>231.64</v>
      </c>
      <c r="C2659" s="1">
        <f ca="1">IFERROR(__xludf.DUMMYFUNCTION("""COMPUTED_VALUE"""),231.8)</f>
        <v>231.8</v>
      </c>
      <c r="D2659" s="1">
        <f ca="1">IFERROR(__xludf.DUMMYFUNCTION("""COMPUTED_VALUE"""),229.29)</f>
        <v>229.29</v>
      </c>
      <c r="E2659" s="1">
        <f ca="1">IFERROR(__xludf.DUMMYFUNCTION("""COMPUTED_VALUE"""),230.19)</f>
        <v>230.19</v>
      </c>
      <c r="F2659" s="1">
        <f ca="1">IFERROR(__xludf.DUMMYFUNCTION("""COMPUTED_VALUE"""),32993273)</f>
        <v>32993273</v>
      </c>
    </row>
    <row r="2660" spans="1:6" x14ac:dyDescent="0.35">
      <c r="A2660" s="2">
        <f ca="1">IFERROR(__xludf.DUMMYFUNCTION("""COMPUTED_VALUE"""),45869.6666666666)</f>
        <v>45869.666666666599</v>
      </c>
      <c r="B2660" s="1">
        <f ca="1">IFERROR(__xludf.DUMMYFUNCTION("""COMPUTED_VALUE"""),235.77)</f>
        <v>235.77</v>
      </c>
      <c r="C2660" s="1">
        <f ca="1">IFERROR(__xludf.DUMMYFUNCTION("""COMPUTED_VALUE"""),236.53)</f>
        <v>236.53</v>
      </c>
      <c r="D2660" s="1">
        <f ca="1">IFERROR(__xludf.DUMMYFUNCTION("""COMPUTED_VALUE"""),231.4)</f>
        <v>231.4</v>
      </c>
      <c r="E2660" s="1">
        <f ca="1">IFERROR(__xludf.DUMMYFUNCTION("""COMPUTED_VALUE"""),234.11)</f>
        <v>234.11</v>
      </c>
      <c r="F2660" s="1">
        <f ca="1">IFERROR(__xludf.DUMMYFUNCTION("""COMPUTED_VALUE"""),104357263)</f>
        <v>104357263</v>
      </c>
    </row>
    <row r="2661" spans="1:6" x14ac:dyDescent="0.35">
      <c r="A2661" s="2">
        <f ca="1">IFERROR(__xludf.DUMMYFUNCTION("""COMPUTED_VALUE"""),45870.6666666666)</f>
        <v>45870.666666666599</v>
      </c>
      <c r="B2661" s="1">
        <f ca="1">IFERROR(__xludf.DUMMYFUNCTION("""COMPUTED_VALUE"""),217.21)</f>
        <v>217.21</v>
      </c>
      <c r="C2661" s="1">
        <f ca="1">IFERROR(__xludf.DUMMYFUNCTION("""COMPUTED_VALUE"""),220.44)</f>
        <v>220.44</v>
      </c>
      <c r="D2661" s="1">
        <f ca="1">IFERROR(__xludf.DUMMYFUNCTION("""COMPUTED_VALUE"""),212.8)</f>
        <v>212.8</v>
      </c>
      <c r="E2661" s="1">
        <f ca="1">IFERROR(__xludf.DUMMYFUNCTION("""COMPUTED_VALUE"""),214.75)</f>
        <v>214.75</v>
      </c>
      <c r="F2661" s="1">
        <f ca="1">IFERROR(__xludf.DUMMYFUNCTION("""COMPUTED_VALUE"""),122258801)</f>
        <v>122258801</v>
      </c>
    </row>
    <row r="2662" spans="1:6" x14ac:dyDescent="0.35">
      <c r="A2662" s="2">
        <f ca="1">IFERROR(__xludf.DUMMYFUNCTION("""COMPUTED_VALUE"""),45873.6666666666)</f>
        <v>45873.666666666599</v>
      </c>
      <c r="B2662" s="1">
        <f ca="1">IFERROR(__xludf.DUMMYFUNCTION("""COMPUTED_VALUE"""),217.4)</f>
        <v>217.4</v>
      </c>
      <c r="C2662" s="1">
        <f ca="1">IFERROR(__xludf.DUMMYFUNCTION("""COMPUTED_VALUE"""),217.44)</f>
        <v>217.44</v>
      </c>
      <c r="D2662" s="1">
        <f ca="1">IFERROR(__xludf.DUMMYFUNCTION("""COMPUTED_VALUE"""),211.42)</f>
        <v>211.42</v>
      </c>
      <c r="E2662" s="1">
        <f ca="1">IFERROR(__xludf.DUMMYFUNCTION("""COMPUTED_VALUE"""),211.65)</f>
        <v>211.65</v>
      </c>
      <c r="F2662" s="1">
        <f ca="1">IFERROR(__xludf.DUMMYFUNCTION("""COMPUTED_VALUE"""),77890146)</f>
        <v>77890146</v>
      </c>
    </row>
    <row r="2663" spans="1:6" x14ac:dyDescent="0.35">
      <c r="A2663" s="2">
        <f ca="1">IFERROR(__xludf.DUMMYFUNCTION("""COMPUTED_VALUE"""),45874.6666666666)</f>
        <v>45874.666666666599</v>
      </c>
      <c r="B2663" s="1">
        <f ca="1">IFERROR(__xludf.DUMMYFUNCTION("""COMPUTED_VALUE"""),213.05)</f>
        <v>213.05</v>
      </c>
      <c r="C2663" s="1">
        <f ca="1">IFERROR(__xludf.DUMMYFUNCTION("""COMPUTED_VALUE"""),216.3)</f>
        <v>216.3</v>
      </c>
      <c r="D2663" s="1">
        <f ca="1">IFERROR(__xludf.DUMMYFUNCTION("""COMPUTED_VALUE"""),212.87)</f>
        <v>212.87</v>
      </c>
      <c r="E2663" s="1">
        <f ca="1">IFERROR(__xludf.DUMMYFUNCTION("""COMPUTED_VALUE"""),213.75)</f>
        <v>213.75</v>
      </c>
      <c r="F2663" s="1">
        <f ca="1">IFERROR(__xludf.DUMMYFUNCTION("""COMPUTED_VALUE"""),51505121)</f>
        <v>51505121</v>
      </c>
    </row>
    <row r="2664" spans="1:6" x14ac:dyDescent="0.35">
      <c r="A2664" s="2">
        <f ca="1">IFERROR(__xludf.DUMMYFUNCTION("""COMPUTED_VALUE"""),45875.6666666666)</f>
        <v>45875.666666666599</v>
      </c>
      <c r="B2664" s="1">
        <f ca="1">IFERROR(__xludf.DUMMYFUNCTION("""COMPUTED_VALUE"""),214.7)</f>
        <v>214.7</v>
      </c>
      <c r="C2664" s="1">
        <f ca="1">IFERROR(__xludf.DUMMYFUNCTION("""COMPUTED_VALUE"""),222.65)</f>
        <v>222.65</v>
      </c>
      <c r="D2664" s="1">
        <f ca="1">IFERROR(__xludf.DUMMYFUNCTION("""COMPUTED_VALUE"""),213.74)</f>
        <v>213.74</v>
      </c>
      <c r="E2664" s="1">
        <f ca="1">IFERROR(__xludf.DUMMYFUNCTION("""COMPUTED_VALUE"""),222.31)</f>
        <v>222.31</v>
      </c>
      <c r="F2664" s="1">
        <f ca="1">IFERROR(__xludf.DUMMYFUNCTION("""COMPUTED_VALUE"""),54823045)</f>
        <v>54823045</v>
      </c>
    </row>
    <row r="2665" spans="1:6" x14ac:dyDescent="0.35">
      <c r="A2665" s="2">
        <f ca="1">IFERROR(__xludf.DUMMYFUNCTION("""COMPUTED_VALUE"""),45876.6666666666)</f>
        <v>45876.666666666599</v>
      </c>
      <c r="B2665" s="1">
        <f ca="1">IFERROR(__xludf.DUMMYFUNCTION("""COMPUTED_VALUE"""),221)</f>
        <v>221</v>
      </c>
      <c r="C2665" s="1">
        <f ca="1">IFERROR(__xludf.DUMMYFUNCTION("""COMPUTED_VALUE"""),226.22)</f>
        <v>226.22</v>
      </c>
      <c r="D2665" s="1">
        <f ca="1">IFERROR(__xludf.DUMMYFUNCTION("""COMPUTED_VALUE"""),220.82)</f>
        <v>220.82</v>
      </c>
      <c r="E2665" s="1">
        <f ca="1">IFERROR(__xludf.DUMMYFUNCTION("""COMPUTED_VALUE"""),223.13)</f>
        <v>223.13</v>
      </c>
      <c r="F2665" s="1">
        <f ca="1">IFERROR(__xludf.DUMMYFUNCTION("""COMPUTED_VALUE"""),40603513)</f>
        <v>40603513</v>
      </c>
    </row>
    <row r="2666" spans="1:6" x14ac:dyDescent="0.35">
      <c r="A2666" s="2">
        <f ca="1">IFERROR(__xludf.DUMMYFUNCTION("""COMPUTED_VALUE"""),45877.6666666666)</f>
        <v>45877.666666666599</v>
      </c>
      <c r="B2666" s="1">
        <f ca="1">IFERROR(__xludf.DUMMYFUNCTION("""COMPUTED_VALUE"""),223.14)</f>
        <v>223.14</v>
      </c>
      <c r="C2666" s="1">
        <f ca="1">IFERROR(__xludf.DUMMYFUNCTION("""COMPUTED_VALUE"""),223.8)</f>
        <v>223.8</v>
      </c>
      <c r="D2666" s="1">
        <f ca="1">IFERROR(__xludf.DUMMYFUNCTION("""COMPUTED_VALUE"""),221.88)</f>
        <v>221.88</v>
      </c>
      <c r="E2666" s="1">
        <f ca="1">IFERROR(__xludf.DUMMYFUNCTION("""COMPUTED_VALUE"""),222.69)</f>
        <v>222.69</v>
      </c>
      <c r="F2666" s="1">
        <f ca="1">IFERROR(__xludf.DUMMYFUNCTION("""COMPUTED_VALUE"""),32970477)</f>
        <v>32970477</v>
      </c>
    </row>
    <row r="2667" spans="1:6" x14ac:dyDescent="0.35">
      <c r="A2667" s="2">
        <f ca="1">IFERROR(__xludf.DUMMYFUNCTION("""COMPUTED_VALUE"""),45880.6666666666)</f>
        <v>45880.666666666599</v>
      </c>
      <c r="B2667" s="1">
        <f ca="1">IFERROR(__xludf.DUMMYFUNCTION("""COMPUTED_VALUE"""),221.78)</f>
        <v>221.78</v>
      </c>
      <c r="C2667" s="1">
        <f ca="1">IFERROR(__xludf.DUMMYFUNCTION("""COMPUTED_VALUE"""),223.05)</f>
        <v>223.05</v>
      </c>
      <c r="D2667" s="1">
        <f ca="1">IFERROR(__xludf.DUMMYFUNCTION("""COMPUTED_VALUE"""),220.4)</f>
        <v>220.4</v>
      </c>
      <c r="E2667" s="1">
        <f ca="1">IFERROR(__xludf.DUMMYFUNCTION("""COMPUTED_VALUE"""),221.3)</f>
        <v>221.3</v>
      </c>
      <c r="F2667" s="1">
        <f ca="1">IFERROR(__xludf.DUMMYFUNCTION("""COMPUTED_VALUE"""),31646222)</f>
        <v>31646222</v>
      </c>
    </row>
    <row r="2668" spans="1:6" x14ac:dyDescent="0.35">
      <c r="A2668" s="2">
        <f ca="1">IFERROR(__xludf.DUMMYFUNCTION("""COMPUTED_VALUE"""),45881.6666666666)</f>
        <v>45881.666666666599</v>
      </c>
      <c r="B2668" s="1">
        <f ca="1">IFERROR(__xludf.DUMMYFUNCTION("""COMPUTED_VALUE"""),222.23)</f>
        <v>222.23</v>
      </c>
      <c r="C2668" s="1">
        <f ca="1">IFERROR(__xludf.DUMMYFUNCTION("""COMPUTED_VALUE"""),223.5)</f>
        <v>223.5</v>
      </c>
      <c r="D2668" s="1">
        <f ca="1">IFERROR(__xludf.DUMMYFUNCTION("""COMPUTED_VALUE"""),219.05)</f>
        <v>219.05</v>
      </c>
      <c r="E2668" s="1">
        <f ca="1">IFERROR(__xludf.DUMMYFUNCTION("""COMPUTED_VALUE"""),221.47)</f>
        <v>221.47</v>
      </c>
      <c r="F2668" s="1">
        <f ca="1">IFERROR(__xludf.DUMMYFUNCTION("""COMPUTED_VALUE"""),37254707)</f>
        <v>37254707</v>
      </c>
    </row>
    <row r="2669" spans="1:6" x14ac:dyDescent="0.35">
      <c r="A2669" s="2">
        <f ca="1">IFERROR(__xludf.DUMMYFUNCTION("""COMPUTED_VALUE"""),45882.6666666666)</f>
        <v>45882.666666666599</v>
      </c>
      <c r="B2669" s="1">
        <f ca="1">IFERROR(__xludf.DUMMYFUNCTION("""COMPUTED_VALUE"""),222)</f>
        <v>222</v>
      </c>
      <c r="C2669" s="1">
        <f ca="1">IFERROR(__xludf.DUMMYFUNCTION("""COMPUTED_VALUE"""),224.92)</f>
        <v>224.92</v>
      </c>
      <c r="D2669" s="1">
        <f ca="1">IFERROR(__xludf.DUMMYFUNCTION("""COMPUTED_VALUE"""),222)</f>
        <v>222</v>
      </c>
      <c r="E2669" s="1">
        <f ca="1">IFERROR(__xludf.DUMMYFUNCTION("""COMPUTED_VALUE"""),224.56)</f>
        <v>224.56</v>
      </c>
      <c r="F2669" s="1">
        <f ca="1">IFERROR(__xludf.DUMMYFUNCTION("""COMPUTED_VALUE"""),36508335)</f>
        <v>36508335</v>
      </c>
    </row>
    <row r="2670" spans="1:6" x14ac:dyDescent="0.35">
      <c r="A2670" s="2">
        <f ca="1">IFERROR(__xludf.DUMMYFUNCTION("""COMPUTED_VALUE"""),45883.6666666666)</f>
        <v>45883.666666666599</v>
      </c>
      <c r="B2670" s="1">
        <f ca="1">IFERROR(__xludf.DUMMYFUNCTION("""COMPUTED_VALUE"""),227.4)</f>
        <v>227.4</v>
      </c>
      <c r="C2670" s="1">
        <f ca="1">IFERROR(__xludf.DUMMYFUNCTION("""COMPUTED_VALUE"""),233.11)</f>
        <v>233.11</v>
      </c>
      <c r="D2670" s="1">
        <f ca="1">IFERROR(__xludf.DUMMYFUNCTION("""COMPUTED_VALUE"""),227.02)</f>
        <v>227.02</v>
      </c>
      <c r="E2670" s="1">
        <f ca="1">IFERROR(__xludf.DUMMYFUNCTION("""COMPUTED_VALUE"""),230.98)</f>
        <v>230.98</v>
      </c>
      <c r="F2670" s="1">
        <f ca="1">IFERROR(__xludf.DUMMYFUNCTION("""COMPUTED_VALUE"""),61545824)</f>
        <v>61545824</v>
      </c>
    </row>
    <row r="2671" spans="1:6" x14ac:dyDescent="0.35">
      <c r="A2671" s="2">
        <f ca="1">IFERROR(__xludf.DUMMYFUNCTION("""COMPUTED_VALUE"""),45884.6666666666)</f>
        <v>45884.666666666599</v>
      </c>
      <c r="B2671" s="1">
        <f ca="1">IFERROR(__xludf.DUMMYFUNCTION("""COMPUTED_VALUE"""),232.58)</f>
        <v>232.58</v>
      </c>
      <c r="C2671" s="1">
        <f ca="1">IFERROR(__xludf.DUMMYFUNCTION("""COMPUTED_VALUE"""),234.08)</f>
        <v>234.08</v>
      </c>
      <c r="D2671" s="1">
        <f ca="1">IFERROR(__xludf.DUMMYFUNCTION("""COMPUTED_VALUE"""),229.81)</f>
        <v>229.81</v>
      </c>
      <c r="E2671" s="1">
        <f ca="1">IFERROR(__xludf.DUMMYFUNCTION("""COMPUTED_VALUE"""),231.03)</f>
        <v>231.03</v>
      </c>
      <c r="F2671" s="1">
        <f ca="1">IFERROR(__xludf.DUMMYFUNCTION("""COMPUTED_VALUE"""),39649244)</f>
        <v>39649244</v>
      </c>
    </row>
    <row r="2672" spans="1:6" x14ac:dyDescent="0.35">
      <c r="A2672" s="2">
        <f ca="1">IFERROR(__xludf.DUMMYFUNCTION("""COMPUTED_VALUE"""),45887.6666666666)</f>
        <v>45887.666666666599</v>
      </c>
      <c r="B2672" s="1">
        <f ca="1">IFERROR(__xludf.DUMMYFUNCTION("""COMPUTED_VALUE"""),230.23)</f>
        <v>230.23</v>
      </c>
      <c r="C2672" s="1">
        <f ca="1">IFERROR(__xludf.DUMMYFUNCTION("""COMPUTED_VALUE"""),231.91)</f>
        <v>231.91</v>
      </c>
      <c r="D2672" s="1">
        <f ca="1">IFERROR(__xludf.DUMMYFUNCTION("""COMPUTED_VALUE"""),228.33)</f>
        <v>228.33</v>
      </c>
      <c r="E2672" s="1">
        <f ca="1">IFERROR(__xludf.DUMMYFUNCTION("""COMPUTED_VALUE"""),231.49)</f>
        <v>231.49</v>
      </c>
      <c r="F2672" s="1">
        <f ca="1">IFERROR(__xludf.DUMMYFUNCTION("""COMPUTED_VALUE"""),25248890)</f>
        <v>25248890</v>
      </c>
    </row>
    <row r="2673" spans="1:6" x14ac:dyDescent="0.35">
      <c r="A2673" s="2">
        <f ca="1">IFERROR(__xludf.DUMMYFUNCTION("""COMPUTED_VALUE"""),45888.6666666666)</f>
        <v>45888.666666666599</v>
      </c>
      <c r="B2673" s="1">
        <f ca="1">IFERROR(__xludf.DUMMYFUNCTION("""COMPUTED_VALUE"""),230.09)</f>
        <v>230.09</v>
      </c>
      <c r="C2673" s="1">
        <f ca="1">IFERROR(__xludf.DUMMYFUNCTION("""COMPUTED_VALUE"""),230.53)</f>
        <v>230.53</v>
      </c>
      <c r="D2673" s="1">
        <f ca="1">IFERROR(__xludf.DUMMYFUNCTION("""COMPUTED_VALUE"""),227.12)</f>
        <v>227.12</v>
      </c>
      <c r="E2673" s="1">
        <f ca="1">IFERROR(__xludf.DUMMYFUNCTION("""COMPUTED_VALUE"""),228.01)</f>
        <v>228.01</v>
      </c>
      <c r="F2673" s="1">
        <f ca="1">IFERROR(__xludf.DUMMYFUNCTION("""COMPUTED_VALUE"""),29891012)</f>
        <v>29891012</v>
      </c>
    </row>
    <row r="2674" spans="1:6" x14ac:dyDescent="0.35">
      <c r="A2674" s="2">
        <f ca="1">IFERROR(__xludf.DUMMYFUNCTION("""COMPUTED_VALUE"""),45889.6666666666)</f>
        <v>45889.666666666599</v>
      </c>
      <c r="B2674" s="1">
        <f ca="1">IFERROR(__xludf.DUMMYFUNCTION("""COMPUTED_VALUE"""),227.12)</f>
        <v>227.12</v>
      </c>
      <c r="C2674" s="1">
        <f ca="1">IFERROR(__xludf.DUMMYFUNCTION("""COMPUTED_VALUE"""),227.27)</f>
        <v>227.27</v>
      </c>
      <c r="D2674" s="1">
        <f ca="1">IFERROR(__xludf.DUMMYFUNCTION("""COMPUTED_VALUE"""),220.92)</f>
        <v>220.92</v>
      </c>
      <c r="E2674" s="1">
        <f ca="1">IFERROR(__xludf.DUMMYFUNCTION("""COMPUTED_VALUE"""),223.81)</f>
        <v>223.81</v>
      </c>
      <c r="F2674" s="1">
        <f ca="1">IFERROR(__xludf.DUMMYFUNCTION("""COMPUTED_VALUE"""),36604319)</f>
        <v>36604319</v>
      </c>
    </row>
    <row r="2675" spans="1:6" x14ac:dyDescent="0.35">
      <c r="A2675" s="2">
        <f ca="1">IFERROR(__xludf.DUMMYFUNCTION("""COMPUTED_VALUE"""),45890.6666666666)</f>
        <v>45890.666666666599</v>
      </c>
      <c r="B2675" s="1">
        <f ca="1">IFERROR(__xludf.DUMMYFUNCTION("""COMPUTED_VALUE"""),222.65)</f>
        <v>222.65</v>
      </c>
      <c r="C2675" s="1">
        <f ca="1">IFERROR(__xludf.DUMMYFUNCTION("""COMPUTED_VALUE"""),222.78)</f>
        <v>222.78</v>
      </c>
      <c r="D2675" s="1">
        <f ca="1">IFERROR(__xludf.DUMMYFUNCTION("""COMPUTED_VALUE"""),220.5)</f>
        <v>220.5</v>
      </c>
      <c r="E2675" s="1">
        <f ca="1">IFERROR(__xludf.DUMMYFUNCTION("""COMPUTED_VALUE"""),221.95)</f>
        <v>221.95</v>
      </c>
      <c r="F2675" s="1">
        <f ca="1">IFERROR(__xludf.DUMMYFUNCTION("""COMPUTED_VALUE"""),32140459)</f>
        <v>32140459</v>
      </c>
    </row>
    <row r="2676" spans="1:6" x14ac:dyDescent="0.35">
      <c r="A2676" s="2">
        <f ca="1">IFERROR(__xludf.DUMMYFUNCTION("""COMPUTED_VALUE"""),45891.6666666666)</f>
        <v>45891.666666666599</v>
      </c>
      <c r="B2676" s="1">
        <f ca="1">IFERROR(__xludf.DUMMYFUNCTION("""COMPUTED_VALUE"""),222.79)</f>
        <v>222.79</v>
      </c>
      <c r="C2676" s="1">
        <f ca="1">IFERROR(__xludf.DUMMYFUNCTION("""COMPUTED_VALUE"""),229.14)</f>
        <v>229.14</v>
      </c>
      <c r="D2676" s="1">
        <f ca="1">IFERROR(__xludf.DUMMYFUNCTION("""COMPUTED_VALUE"""),220.82)</f>
        <v>220.82</v>
      </c>
      <c r="E2676" s="1">
        <f ca="1">IFERROR(__xludf.DUMMYFUNCTION("""COMPUTED_VALUE"""),228.84)</f>
        <v>228.84</v>
      </c>
      <c r="F2676" s="1">
        <f ca="1">IFERROR(__xludf.DUMMYFUNCTION("""COMPUTED_VALUE"""),37315341)</f>
        <v>37315341</v>
      </c>
    </row>
    <row r="2677" spans="1:6" x14ac:dyDescent="0.35">
      <c r="A2677" s="2">
        <f ca="1">IFERROR(__xludf.DUMMYFUNCTION("""COMPUTED_VALUE"""),45894.6666666666)</f>
        <v>45894.666666666599</v>
      </c>
      <c r="B2677" s="1">
        <f ca="1">IFERROR(__xludf.DUMMYFUNCTION("""COMPUTED_VALUE"""),227.35)</f>
        <v>227.35</v>
      </c>
      <c r="C2677" s="1">
        <f ca="1">IFERROR(__xludf.DUMMYFUNCTION("""COMPUTED_VALUE"""),229.6)</f>
        <v>229.6</v>
      </c>
      <c r="D2677" s="1">
        <f ca="1">IFERROR(__xludf.DUMMYFUNCTION("""COMPUTED_VALUE"""),227.31)</f>
        <v>227.31</v>
      </c>
      <c r="E2677" s="1">
        <f ca="1">IFERROR(__xludf.DUMMYFUNCTION("""COMPUTED_VALUE"""),227.94)</f>
        <v>227.94</v>
      </c>
      <c r="F2677" s="1">
        <f ca="1">IFERROR(__xludf.DUMMYFUNCTION("""COMPUTED_VALUE"""),22633695)</f>
        <v>22633695</v>
      </c>
    </row>
    <row r="2678" spans="1:6" x14ac:dyDescent="0.35">
      <c r="A2678" s="2">
        <f ca="1">IFERROR(__xludf.DUMMYFUNCTION("""COMPUTED_VALUE"""),45895.6666666666)</f>
        <v>45895.666666666599</v>
      </c>
      <c r="B2678" s="1">
        <f ca="1">IFERROR(__xludf.DUMMYFUNCTION("""COMPUTED_VALUE"""),227.11)</f>
        <v>227.11</v>
      </c>
      <c r="C2678" s="1">
        <f ca="1">IFERROR(__xludf.DUMMYFUNCTION("""COMPUTED_VALUE"""),229)</f>
        <v>229</v>
      </c>
      <c r="D2678" s="1">
        <f ca="1">IFERROR(__xludf.DUMMYFUNCTION("""COMPUTED_VALUE"""),226.02)</f>
        <v>226.02</v>
      </c>
      <c r="E2678" s="1">
        <f ca="1">IFERROR(__xludf.DUMMYFUNCTION("""COMPUTED_VALUE"""),228.71)</f>
        <v>228.71</v>
      </c>
      <c r="F2678" s="1">
        <f ca="1">IFERROR(__xludf.DUMMYFUNCTION("""COMPUTED_VALUE"""),26105373)</f>
        <v>26105373</v>
      </c>
    </row>
    <row r="2679" spans="1:6" x14ac:dyDescent="0.35">
      <c r="A2679" s="2">
        <f ca="1">IFERROR(__xludf.DUMMYFUNCTION("""COMPUTED_VALUE"""),45896.6666666666)</f>
        <v>45896.666666666599</v>
      </c>
      <c r="B2679" s="1">
        <f ca="1">IFERROR(__xludf.DUMMYFUNCTION("""COMPUTED_VALUE"""),228.57)</f>
        <v>228.57</v>
      </c>
      <c r="C2679" s="1">
        <f ca="1">IFERROR(__xludf.DUMMYFUNCTION("""COMPUTED_VALUE"""),229.87)</f>
        <v>229.87</v>
      </c>
      <c r="D2679" s="1">
        <f ca="1">IFERROR(__xludf.DUMMYFUNCTION("""COMPUTED_VALUE"""),227.81)</f>
        <v>227.81</v>
      </c>
      <c r="E2679" s="1">
        <f ca="1">IFERROR(__xludf.DUMMYFUNCTION("""COMPUTED_VALUE"""),229.12)</f>
        <v>229.12</v>
      </c>
      <c r="F2679" s="1">
        <f ca="1">IFERROR(__xludf.DUMMYFUNCTION("""COMPUTED_VALUE"""),21254479)</f>
        <v>21254479</v>
      </c>
    </row>
    <row r="2680" spans="1:6" x14ac:dyDescent="0.35">
      <c r="A2680" s="2">
        <f ca="1">IFERROR(__xludf.DUMMYFUNCTION("""COMPUTED_VALUE"""),45897.6666666666)</f>
        <v>45897.666666666599</v>
      </c>
      <c r="B2680" s="1">
        <f ca="1">IFERROR(__xludf.DUMMYFUNCTION("""COMPUTED_VALUE"""),229.01)</f>
        <v>229.01</v>
      </c>
      <c r="C2680" s="1">
        <f ca="1">IFERROR(__xludf.DUMMYFUNCTION("""COMPUTED_VALUE"""),232.71)</f>
        <v>232.71</v>
      </c>
      <c r="D2680" s="1">
        <f ca="1">IFERROR(__xludf.DUMMYFUNCTION("""COMPUTED_VALUE"""),228.02)</f>
        <v>228.02</v>
      </c>
      <c r="E2680" s="1">
        <f ca="1">IFERROR(__xludf.DUMMYFUNCTION("""COMPUTED_VALUE"""),231.6)</f>
        <v>231.6</v>
      </c>
      <c r="F2680" s="1">
        <f ca="1">IFERROR(__xludf.DUMMYFUNCTION("""COMPUTED_VALUE"""),33679585)</f>
        <v>33679585</v>
      </c>
    </row>
    <row r="2681" spans="1:6" x14ac:dyDescent="0.35">
      <c r="A2681" s="2">
        <f ca="1">IFERROR(__xludf.DUMMYFUNCTION("""COMPUTED_VALUE"""),45898.6666666666)</f>
        <v>45898.666666666599</v>
      </c>
      <c r="B2681" s="1">
        <f ca="1">IFERROR(__xludf.DUMMYFUNCTION("""COMPUTED_VALUE"""),231.32)</f>
        <v>231.32</v>
      </c>
      <c r="C2681" s="1">
        <f ca="1">IFERROR(__xludf.DUMMYFUNCTION("""COMPUTED_VALUE"""),231.81)</f>
        <v>231.81</v>
      </c>
      <c r="D2681" s="1">
        <f ca="1">IFERROR(__xludf.DUMMYFUNCTION("""COMPUTED_VALUE"""),228.16)</f>
        <v>228.16</v>
      </c>
      <c r="E2681" s="1">
        <f ca="1">IFERROR(__xludf.DUMMYFUNCTION("""COMPUTED_VALUE"""),229)</f>
        <v>229</v>
      </c>
      <c r="F2681" s="1">
        <f ca="1">IFERROR(__xludf.DUMMYFUNCTION("""COMPUTED_VALUE"""),26199170)</f>
        <v>26199170</v>
      </c>
    </row>
    <row r="2682" spans="1:6" x14ac:dyDescent="0.35">
      <c r="A2682" s="2">
        <f ca="1">IFERROR(__xludf.DUMMYFUNCTION("""COMPUTED_VALUE"""),45902.6666666666)</f>
        <v>45902.666666666599</v>
      </c>
      <c r="B2682" s="1">
        <f ca="1">IFERROR(__xludf.DUMMYFUNCTION("""COMPUTED_VALUE"""),223.52)</f>
        <v>223.52</v>
      </c>
      <c r="C2682" s="1">
        <f ca="1">IFERROR(__xludf.DUMMYFUNCTION("""COMPUTED_VALUE"""),226.17)</f>
        <v>226.17</v>
      </c>
      <c r="D2682" s="1">
        <f ca="1">IFERROR(__xludf.DUMMYFUNCTION("""COMPUTED_VALUE"""),221.83)</f>
        <v>221.83</v>
      </c>
      <c r="E2682" s="1">
        <f ca="1">IFERROR(__xludf.DUMMYFUNCTION("""COMPUTED_VALUE"""),225.34)</f>
        <v>225.34</v>
      </c>
      <c r="F2682" s="1">
        <f ca="1">IFERROR(__xludf.DUMMYFUNCTION("""COMPUTED_VALUE"""),38843883)</f>
        <v>38843883</v>
      </c>
    </row>
    <row r="2683" spans="1:6" x14ac:dyDescent="0.35">
      <c r="A2683" s="2">
        <f ca="1">IFERROR(__xludf.DUMMYFUNCTION("""COMPUTED_VALUE"""),45903.6666666666)</f>
        <v>45903.666666666599</v>
      </c>
      <c r="B2683" s="1">
        <f ca="1">IFERROR(__xludf.DUMMYFUNCTION("""COMPUTED_VALUE"""),225.21)</f>
        <v>225.21</v>
      </c>
      <c r="C2683" s="1">
        <f ca="1">IFERROR(__xludf.DUMMYFUNCTION("""COMPUTED_VALUE"""),227.17)</f>
        <v>227.17</v>
      </c>
      <c r="D2683" s="1">
        <f ca="1">IFERROR(__xludf.DUMMYFUNCTION("""COMPUTED_VALUE"""),224.36)</f>
        <v>224.36</v>
      </c>
      <c r="E2683" s="1">
        <f ca="1">IFERROR(__xludf.DUMMYFUNCTION("""COMPUTED_VALUE"""),225.99)</f>
        <v>225.99</v>
      </c>
      <c r="F2683" s="1">
        <f ca="1">IFERROR(__xludf.DUMMYFUNCTION("""COMPUTED_VALUE"""),29223134)</f>
        <v>29223134</v>
      </c>
    </row>
    <row r="2684" spans="1:6" x14ac:dyDescent="0.35">
      <c r="A2684" s="2">
        <f ca="1">IFERROR(__xludf.DUMMYFUNCTION("""COMPUTED_VALUE"""),45904.6666666666)</f>
        <v>45904.666666666599</v>
      </c>
      <c r="B2684" s="1">
        <f ca="1">IFERROR(__xludf.DUMMYFUNCTION("""COMPUTED_VALUE"""),231.19)</f>
        <v>231.19</v>
      </c>
      <c r="C2684" s="1">
        <f ca="1">IFERROR(__xludf.DUMMYFUNCTION("""COMPUTED_VALUE"""),235.77)</f>
        <v>235.77</v>
      </c>
      <c r="D2684" s="1">
        <f ca="1">IFERROR(__xludf.DUMMYFUNCTION("""COMPUTED_VALUE"""),230.78)</f>
        <v>230.78</v>
      </c>
      <c r="E2684" s="1">
        <f ca="1">IFERROR(__xludf.DUMMYFUNCTION("""COMPUTED_VALUE"""),235.68)</f>
        <v>235.68</v>
      </c>
      <c r="F2684" s="1">
        <f ca="1">IFERROR(__xludf.DUMMYFUNCTION("""COMPUTED_VALUE"""),59391779)</f>
        <v>59391779</v>
      </c>
    </row>
    <row r="2685" spans="1:6" x14ac:dyDescent="0.35">
      <c r="A2685" s="2">
        <f ca="1">IFERROR(__xludf.DUMMYFUNCTION("""COMPUTED_VALUE"""),45905.6666666666)</f>
        <v>45905.666666666599</v>
      </c>
      <c r="B2685" s="1">
        <f ca="1">IFERROR(__xludf.DUMMYFUNCTION("""COMPUTED_VALUE"""),235.19)</f>
        <v>235.19</v>
      </c>
      <c r="C2685" s="1">
        <f ca="1">IFERROR(__xludf.DUMMYFUNCTION("""COMPUTED_VALUE"""),236)</f>
        <v>236</v>
      </c>
      <c r="D2685" s="1">
        <f ca="1">IFERROR(__xludf.DUMMYFUNCTION("""COMPUTED_VALUE"""),231.93)</f>
        <v>231.93</v>
      </c>
      <c r="E2685" s="1">
        <f ca="1">IFERROR(__xludf.DUMMYFUNCTION("""COMPUTED_VALUE"""),232.33)</f>
        <v>232.33</v>
      </c>
      <c r="F2685" s="1">
        <f ca="1">IFERROR(__xludf.DUMMYFUNCTION("""COMPUTED_VALUE"""),36721802)</f>
        <v>36721802</v>
      </c>
    </row>
    <row r="2686" spans="1:6" x14ac:dyDescent="0.35">
      <c r="A2686" s="2">
        <f ca="1">IFERROR(__xludf.DUMMYFUNCTION("""COMPUTED_VALUE"""),45908.6666666666)</f>
        <v>45908.666666666599</v>
      </c>
      <c r="B2686" s="1">
        <f ca="1">IFERROR(__xludf.DUMMYFUNCTION("""COMPUTED_VALUE"""),234.94)</f>
        <v>234.94</v>
      </c>
      <c r="C2686" s="1">
        <f ca="1">IFERROR(__xludf.DUMMYFUNCTION("""COMPUTED_VALUE"""),237.6)</f>
        <v>237.6</v>
      </c>
      <c r="D2686" s="1">
        <f ca="1">IFERROR(__xludf.DUMMYFUNCTION("""COMPUTED_VALUE"""),233.75)</f>
        <v>233.75</v>
      </c>
      <c r="E2686" s="1">
        <f ca="1">IFERROR(__xludf.DUMMYFUNCTION("""COMPUTED_VALUE"""),235.84)</f>
        <v>235.84</v>
      </c>
      <c r="F2686" s="1">
        <f ca="1">IFERROR(__xludf.DUMMYFUNCTION("""COMPUTED_VALUE"""),33947104)</f>
        <v>33947104</v>
      </c>
    </row>
    <row r="2687" spans="1:6" x14ac:dyDescent="0.35">
      <c r="A2687" s="2">
        <f ca="1">IFERROR(__xludf.DUMMYFUNCTION("""COMPUTED_VALUE"""),45909.6666666666)</f>
        <v>45909.666666666599</v>
      </c>
      <c r="B2687" s="1">
        <f ca="1">IFERROR(__xludf.DUMMYFUNCTION("""COMPUTED_VALUE"""),236.36)</f>
        <v>236.36</v>
      </c>
      <c r="C2687" s="1">
        <f ca="1">IFERROR(__xludf.DUMMYFUNCTION("""COMPUTED_VALUE"""),238.85)</f>
        <v>238.85</v>
      </c>
      <c r="D2687" s="1">
        <f ca="1">IFERROR(__xludf.DUMMYFUNCTION("""COMPUTED_VALUE"""),235.08)</f>
        <v>235.08</v>
      </c>
      <c r="E2687" s="1">
        <f ca="1">IFERROR(__xludf.DUMMYFUNCTION("""COMPUTED_VALUE"""),238.24)</f>
        <v>238.24</v>
      </c>
      <c r="F2687" s="1">
        <f ca="1">IFERROR(__xludf.DUMMYFUNCTION("""COMPUTED_VALUE"""),27033778)</f>
        <v>27033778</v>
      </c>
    </row>
    <row r="2688" spans="1:6" x14ac:dyDescent="0.35">
      <c r="A2688" s="2">
        <f ca="1">IFERROR(__xludf.DUMMYFUNCTION("""COMPUTED_VALUE"""),45910.6666666666)</f>
        <v>45910.666666666599</v>
      </c>
      <c r="B2688" s="1">
        <f ca="1">IFERROR(__xludf.DUMMYFUNCTION("""COMPUTED_VALUE"""),237.52)</f>
        <v>237.52</v>
      </c>
      <c r="C2688" s="1">
        <f ca="1">IFERROR(__xludf.DUMMYFUNCTION("""COMPUTED_VALUE"""),237.68)</f>
        <v>237.68</v>
      </c>
      <c r="D2688" s="1">
        <f ca="1">IFERROR(__xludf.DUMMYFUNCTION("""COMPUTED_VALUE"""),229.1)</f>
        <v>229.1</v>
      </c>
      <c r="E2688" s="1">
        <f ca="1">IFERROR(__xludf.DUMMYFUNCTION("""COMPUTED_VALUE"""),230.33)</f>
        <v>230.33</v>
      </c>
      <c r="F2688" s="1">
        <f ca="1">IFERROR(__xludf.DUMMYFUNCTION("""COMPUTED_VALUE"""),60907714)</f>
        <v>60907714</v>
      </c>
    </row>
    <row r="2689" spans="1:6" x14ac:dyDescent="0.35">
      <c r="A2689" s="2">
        <f ca="1">IFERROR(__xludf.DUMMYFUNCTION("""COMPUTED_VALUE"""),45911.6666666666)</f>
        <v>45911.666666666599</v>
      </c>
      <c r="B2689" s="1">
        <f ca="1">IFERROR(__xludf.DUMMYFUNCTION("""COMPUTED_VALUE"""),231.49)</f>
        <v>231.49</v>
      </c>
      <c r="C2689" s="1">
        <f ca="1">IFERROR(__xludf.DUMMYFUNCTION("""COMPUTED_VALUE"""),231.53)</f>
        <v>231.53</v>
      </c>
      <c r="D2689" s="1">
        <f ca="1">IFERROR(__xludf.DUMMYFUNCTION("""COMPUTED_VALUE"""),229.34)</f>
        <v>229.34</v>
      </c>
      <c r="E2689" s="1">
        <f ca="1">IFERROR(__xludf.DUMMYFUNCTION("""COMPUTED_VALUE"""),229.95)</f>
        <v>229.95</v>
      </c>
      <c r="F2689" s="1">
        <f ca="1">IFERROR(__xludf.DUMMYFUNCTION("""COMPUTED_VALUE"""),37485598)</f>
        <v>37485598</v>
      </c>
    </row>
    <row r="2690" spans="1:6" x14ac:dyDescent="0.35">
      <c r="A2690" s="2">
        <f ca="1">IFERROR(__xludf.DUMMYFUNCTION("""COMPUTED_VALUE"""),45912.6666666666)</f>
        <v>45912.666666666599</v>
      </c>
      <c r="B2690" s="1">
        <f ca="1">IFERROR(__xludf.DUMMYFUNCTION("""COMPUTED_VALUE"""),230.35)</f>
        <v>230.35</v>
      </c>
      <c r="C2690" s="1">
        <f ca="1">IFERROR(__xludf.DUMMYFUNCTION("""COMPUTED_VALUE"""),230.79)</f>
        <v>230.79</v>
      </c>
      <c r="D2690" s="1">
        <f ca="1">IFERROR(__xludf.DUMMYFUNCTION("""COMPUTED_VALUE"""),226.29)</f>
        <v>226.29</v>
      </c>
      <c r="E2690" s="1">
        <f ca="1">IFERROR(__xludf.DUMMYFUNCTION("""COMPUTED_VALUE"""),228.15)</f>
        <v>228.15</v>
      </c>
      <c r="F2690" s="1">
        <f ca="1">IFERROR(__xludf.DUMMYFUNCTION("""COMPUTED_VALUE"""),38496218)</f>
        <v>38496218</v>
      </c>
    </row>
    <row r="2691" spans="1:6" x14ac:dyDescent="0.35">
      <c r="A2691" s="2">
        <f ca="1">IFERROR(__xludf.DUMMYFUNCTION("""COMPUTED_VALUE"""),45915.6666666666)</f>
        <v>45915.666666666599</v>
      </c>
      <c r="B2691" s="1">
        <f ca="1">IFERROR(__xludf.DUMMYFUNCTION("""COMPUTED_VALUE"""),230.63)</f>
        <v>230.63</v>
      </c>
      <c r="C2691" s="1">
        <f ca="1">IFERROR(__xludf.DUMMYFUNCTION("""COMPUTED_VALUE"""),233.73)</f>
        <v>233.73</v>
      </c>
      <c r="D2691" s="1">
        <f ca="1">IFERROR(__xludf.DUMMYFUNCTION("""COMPUTED_VALUE"""),230.32)</f>
        <v>230.32</v>
      </c>
      <c r="E2691" s="1">
        <f ca="1">IFERROR(__xludf.DUMMYFUNCTION("""COMPUTED_VALUE"""),231.43)</f>
        <v>231.43</v>
      </c>
      <c r="F2691" s="1">
        <f ca="1">IFERROR(__xludf.DUMMYFUNCTION("""COMPUTED_VALUE"""),33243328)</f>
        <v>33243328</v>
      </c>
    </row>
    <row r="2692" spans="1:6" x14ac:dyDescent="0.35">
      <c r="A2692" s="2">
        <f ca="1">IFERROR(__xludf.DUMMYFUNCTION("""COMPUTED_VALUE"""),45916.6666666666)</f>
        <v>45916.666666666599</v>
      </c>
      <c r="B2692" s="1">
        <f ca="1">IFERROR(__xludf.DUMMYFUNCTION("""COMPUTED_VALUE"""),232.94)</f>
        <v>232.94</v>
      </c>
      <c r="C2692" s="1">
        <f ca="1">IFERROR(__xludf.DUMMYFUNCTION("""COMPUTED_VALUE"""),235.9)</f>
        <v>235.9</v>
      </c>
      <c r="D2692" s="1">
        <f ca="1">IFERROR(__xludf.DUMMYFUNCTION("""COMPUTED_VALUE"""),232.23)</f>
        <v>232.23</v>
      </c>
      <c r="E2692" s="1">
        <f ca="1">IFERROR(__xludf.DUMMYFUNCTION("""COMPUTED_VALUE"""),234.05)</f>
        <v>234.05</v>
      </c>
      <c r="F2692" s="1">
        <f ca="1">IFERROR(__xludf.DUMMYFUNCTION("""COMPUTED_VALUE"""),38203912)</f>
        <v>38203912</v>
      </c>
    </row>
    <row r="2693" spans="1:6" x14ac:dyDescent="0.35">
      <c r="A2693" s="2">
        <f ca="1">IFERROR(__xludf.DUMMYFUNCTION("""COMPUTED_VALUE"""),45917.6666666666)</f>
        <v>45917.666666666599</v>
      </c>
      <c r="B2693" s="1">
        <f ca="1">IFERROR(__xludf.DUMMYFUNCTION("""COMPUTED_VALUE"""),233.77)</f>
        <v>233.77</v>
      </c>
      <c r="C2693" s="1">
        <f ca="1">IFERROR(__xludf.DUMMYFUNCTION("""COMPUTED_VALUE"""),234.3)</f>
        <v>234.3</v>
      </c>
      <c r="D2693" s="1">
        <f ca="1">IFERROR(__xludf.DUMMYFUNCTION("""COMPUTED_VALUE"""),228.71)</f>
        <v>228.71</v>
      </c>
      <c r="E2693" s="1">
        <f ca="1">IFERROR(__xludf.DUMMYFUNCTION("""COMPUTED_VALUE"""),231.62)</f>
        <v>231.62</v>
      </c>
      <c r="F2693" s="1">
        <f ca="1">IFERROR(__xludf.DUMMYFUNCTION("""COMPUTED_VALUE"""),42815230)</f>
        <v>42815230</v>
      </c>
    </row>
    <row r="2694" spans="1:6" x14ac:dyDescent="0.35">
      <c r="A2694" s="2">
        <f ca="1">IFERROR(__xludf.DUMMYFUNCTION("""COMPUTED_VALUE"""),45918.6666666666)</f>
        <v>45918.666666666599</v>
      </c>
      <c r="B2694" s="1">
        <f ca="1">IFERROR(__xludf.DUMMYFUNCTION("""COMPUTED_VALUE"""),232.5)</f>
        <v>232.5</v>
      </c>
      <c r="C2694" s="1">
        <f ca="1">IFERROR(__xludf.DUMMYFUNCTION("""COMPUTED_VALUE"""),233.48)</f>
        <v>233.48</v>
      </c>
      <c r="D2694" s="1">
        <f ca="1">IFERROR(__xludf.DUMMYFUNCTION("""COMPUTED_VALUE"""),228.79)</f>
        <v>228.79</v>
      </c>
      <c r="E2694" s="1">
        <f ca="1">IFERROR(__xludf.DUMMYFUNCTION("""COMPUTED_VALUE"""),231.23)</f>
        <v>231.23</v>
      </c>
      <c r="F2694" s="1">
        <f ca="1">IFERROR(__xludf.DUMMYFUNCTION("""COMPUTED_VALUE"""),37931738)</f>
        <v>37931738</v>
      </c>
    </row>
    <row r="2695" spans="1:6" x14ac:dyDescent="0.35">
      <c r="A2695" s="2">
        <f ca="1">IFERROR(__xludf.DUMMYFUNCTION("""COMPUTED_VALUE"""),45919.6666666666)</f>
        <v>45919.666666666599</v>
      </c>
      <c r="B2695" s="1">
        <f ca="1">IFERROR(__xludf.DUMMYFUNCTION("""COMPUTED_VALUE"""),232.37)</f>
        <v>232.37</v>
      </c>
      <c r="C2695" s="1">
        <f ca="1">IFERROR(__xludf.DUMMYFUNCTION("""COMPUTED_VALUE"""),234.16)</f>
        <v>234.16</v>
      </c>
      <c r="D2695" s="1">
        <f ca="1">IFERROR(__xludf.DUMMYFUNCTION("""COMPUTED_VALUE"""),229.7)</f>
        <v>229.7</v>
      </c>
      <c r="E2695" s="1">
        <f ca="1">IFERROR(__xludf.DUMMYFUNCTION("""COMPUTED_VALUE"""),231.48)</f>
        <v>231.48</v>
      </c>
      <c r="F2695" s="1">
        <f ca="1">IFERROR(__xludf.DUMMYFUNCTION("""COMPUTED_VALUE"""),97943172)</f>
        <v>97943172</v>
      </c>
    </row>
    <row r="2696" spans="1:6" x14ac:dyDescent="0.35">
      <c r="A2696" s="2">
        <f ca="1">IFERROR(__xludf.DUMMYFUNCTION("""COMPUTED_VALUE"""),45922.6666666666)</f>
        <v>45922.666666666599</v>
      </c>
      <c r="B2696" s="1">
        <f ca="1">IFERROR(__xludf.DUMMYFUNCTION("""COMPUTED_VALUE"""),230.56)</f>
        <v>230.56</v>
      </c>
      <c r="C2696" s="1">
        <f ca="1">IFERROR(__xludf.DUMMYFUNCTION("""COMPUTED_VALUE"""),230.57)</f>
        <v>230.57</v>
      </c>
      <c r="D2696" s="1">
        <f ca="1">IFERROR(__xludf.DUMMYFUNCTION("""COMPUTED_VALUE"""),227.51)</f>
        <v>227.51</v>
      </c>
      <c r="E2696" s="1">
        <f ca="1">IFERROR(__xludf.DUMMYFUNCTION("""COMPUTED_VALUE"""),227.63)</f>
        <v>227.63</v>
      </c>
      <c r="F2696" s="1">
        <f ca="1">IFERROR(__xludf.DUMMYFUNCTION("""COMPUTED_VALUE"""),45914506)</f>
        <v>45914506</v>
      </c>
    </row>
    <row r="2697" spans="1:6" x14ac:dyDescent="0.35">
      <c r="A2697" s="2">
        <f ca="1">IFERROR(__xludf.DUMMYFUNCTION("""COMPUTED_VALUE"""),45923.6666666666)</f>
        <v>45923.666666666599</v>
      </c>
      <c r="B2697" s="1">
        <f ca="1">IFERROR(__xludf.DUMMYFUNCTION("""COMPUTED_VALUE"""),227.83)</f>
        <v>227.83</v>
      </c>
      <c r="C2697" s="1">
        <f ca="1">IFERROR(__xludf.DUMMYFUNCTION("""COMPUTED_VALUE"""),227.86)</f>
        <v>227.86</v>
      </c>
      <c r="D2697" s="1">
        <f ca="1">IFERROR(__xludf.DUMMYFUNCTION("""COMPUTED_VALUE"""),220.07)</f>
        <v>220.07</v>
      </c>
      <c r="E2697" s="1">
        <f ca="1">IFERROR(__xludf.DUMMYFUNCTION("""COMPUTED_VALUE"""),220.71)</f>
        <v>220.71</v>
      </c>
      <c r="F2697" s="1">
        <f ca="1">IFERROR(__xludf.DUMMYFUNCTION("""COMPUTED_VALUE"""),70956193)</f>
        <v>70956193</v>
      </c>
    </row>
    <row r="2698" spans="1:6" x14ac:dyDescent="0.35">
      <c r="A2698" s="2">
        <f ca="1">IFERROR(__xludf.DUMMYFUNCTION("""COMPUTED_VALUE"""),45924.6666666666)</f>
        <v>45924.666666666599</v>
      </c>
      <c r="B2698" s="1">
        <f ca="1">IFERROR(__xludf.DUMMYFUNCTION("""COMPUTED_VALUE"""),227.83)</f>
        <v>227.83</v>
      </c>
      <c r="C2698" s="1">
        <f ca="1">IFERROR(__xludf.DUMMYFUNCTION("""COMPUTED_VALUE"""),227.86)</f>
        <v>227.86</v>
      </c>
      <c r="D2698" s="1">
        <f ca="1">IFERROR(__xludf.DUMMYFUNCTION("""COMPUTED_VALUE"""),220.07)</f>
        <v>220.07</v>
      </c>
      <c r="E2698" s="1">
        <f ca="1">IFERROR(__xludf.DUMMYFUNCTION("""COMPUTED_VALUE"""),220.71)</f>
        <v>220.71</v>
      </c>
      <c r="F2698" s="1">
        <f ca="1">IFERROR(__xludf.DUMMYFUNCTION("""COMPUTED_VALUE"""),1814666)</f>
        <v>1814666</v>
      </c>
    </row>
    <row r="2699" spans="1:6" x14ac:dyDescent="0.35">
      <c r="A2699" s="2">
        <f ca="1">IFERROR(__xludf.DUMMYFUNCTION("""COMPUTED_VALUE"""),45926.6666666666)</f>
        <v>45926.666666666599</v>
      </c>
      <c r="B2699" s="1">
        <f ca="1">IFERROR(__xludf.DUMMYFUNCTION("""COMPUTED_VALUE"""),219.08)</f>
        <v>219.08</v>
      </c>
      <c r="C2699" s="1">
        <f ca="1">IFERROR(__xludf.DUMMYFUNCTION("""COMPUTED_VALUE"""),221.05)</f>
        <v>221.05</v>
      </c>
      <c r="D2699" s="1">
        <f ca="1">IFERROR(__xludf.DUMMYFUNCTION("""COMPUTED_VALUE"""),218.02)</f>
        <v>218.02</v>
      </c>
      <c r="E2699" s="1">
        <f ca="1">IFERROR(__xludf.DUMMYFUNCTION("""COMPUTED_VALUE"""),219.78)</f>
        <v>219.78</v>
      </c>
      <c r="F2699" s="1">
        <f ca="1">IFERROR(__xludf.DUMMYFUNCTION("""COMPUTED_VALUE"""),41650098)</f>
        <v>41650098</v>
      </c>
    </row>
    <row r="2700" spans="1:6" x14ac:dyDescent="0.35">
      <c r="A2700" s="2">
        <f ca="1">IFERROR(__xludf.DUMMYFUNCTION("""COMPUTED_VALUE"""),45929.6666666666)</f>
        <v>45929.666666666599</v>
      </c>
      <c r="B2700" s="1">
        <f ca="1">IFERROR(__xludf.DUMMYFUNCTION("""COMPUTED_VALUE"""),220.08)</f>
        <v>220.08</v>
      </c>
      <c r="C2700" s="1">
        <f ca="1">IFERROR(__xludf.DUMMYFUNCTION("""COMPUTED_VALUE"""),222.6)</f>
        <v>222.6</v>
      </c>
      <c r="D2700" s="1">
        <f ca="1">IFERROR(__xludf.DUMMYFUNCTION("""COMPUTED_VALUE"""),219.3)</f>
        <v>219.3</v>
      </c>
      <c r="E2700" s="1">
        <f ca="1">IFERROR(__xludf.DUMMYFUNCTION("""COMPUTED_VALUE"""),222.17)</f>
        <v>222.17</v>
      </c>
      <c r="F2700" s="1">
        <f ca="1">IFERROR(__xludf.DUMMYFUNCTION("""COMPUTED_VALUE"""),44259177)</f>
        <v>44259177</v>
      </c>
    </row>
    <row r="2701" spans="1:6" x14ac:dyDescent="0.35">
      <c r="A2701" s="2">
        <f ca="1">IFERROR(__xludf.DUMMYFUNCTION("""COMPUTED_VALUE"""),45930.6666666666)</f>
        <v>45930.666666666599</v>
      </c>
      <c r="B2701" s="1">
        <f ca="1">IFERROR(__xludf.DUMMYFUNCTION("""COMPUTED_VALUE"""),222.03)</f>
        <v>222.03</v>
      </c>
      <c r="C2701" s="1">
        <f ca="1">IFERROR(__xludf.DUMMYFUNCTION("""COMPUTED_VALUE"""),222.24)</f>
        <v>222.24</v>
      </c>
      <c r="D2701" s="1">
        <f ca="1">IFERROR(__xludf.DUMMYFUNCTION("""COMPUTED_VALUE"""),217.89)</f>
        <v>217.89</v>
      </c>
      <c r="E2701" s="1">
        <f ca="1">IFERROR(__xludf.DUMMYFUNCTION("""COMPUTED_VALUE"""),219.57)</f>
        <v>219.57</v>
      </c>
      <c r="F2701" s="1">
        <f ca="1">IFERROR(__xludf.DUMMYFUNCTION("""COMPUTED_VALUE"""),48396369)</f>
        <v>48396369</v>
      </c>
    </row>
    <row r="2702" spans="1:6" x14ac:dyDescent="0.35">
      <c r="A2702" s="2">
        <f ca="1">IFERROR(__xludf.DUMMYFUNCTION("""COMPUTED_VALUE"""),45931.6666666666)</f>
        <v>45931.666666666599</v>
      </c>
      <c r="B2702" s="1">
        <f ca="1">IFERROR(__xludf.DUMMYFUNCTION("""COMPUTED_VALUE"""),217.36)</f>
        <v>217.36</v>
      </c>
      <c r="C2702" s="1">
        <f ca="1">IFERROR(__xludf.DUMMYFUNCTION("""COMPUTED_VALUE"""),222.15)</f>
        <v>222.15</v>
      </c>
      <c r="D2702" s="1">
        <f ca="1">IFERROR(__xludf.DUMMYFUNCTION("""COMPUTED_VALUE"""),216.61)</f>
        <v>216.61</v>
      </c>
      <c r="E2702" s="1">
        <f ca="1">IFERROR(__xludf.DUMMYFUNCTION("""COMPUTED_VALUE"""),220.63)</f>
        <v>220.63</v>
      </c>
      <c r="F2702" s="1">
        <f ca="1">IFERROR(__xludf.DUMMYFUNCTION("""COMPUTED_VALUE"""),43933834)</f>
        <v>43933834</v>
      </c>
    </row>
    <row r="2703" spans="1:6" x14ac:dyDescent="0.35">
      <c r="A2703" s="2">
        <f ca="1">IFERROR(__xludf.DUMMYFUNCTION("""COMPUTED_VALUE"""),45932.6666666666)</f>
        <v>45932.666666666599</v>
      </c>
      <c r="B2703" s="1">
        <f ca="1">IFERROR(__xludf.DUMMYFUNCTION("""COMPUTED_VALUE"""),221.01)</f>
        <v>221.01</v>
      </c>
      <c r="C2703" s="1">
        <f ca="1">IFERROR(__xludf.DUMMYFUNCTION("""COMPUTED_VALUE"""),222.81)</f>
        <v>222.81</v>
      </c>
      <c r="D2703" s="1">
        <f ca="1">IFERROR(__xludf.DUMMYFUNCTION("""COMPUTED_VALUE"""),218.95)</f>
        <v>218.95</v>
      </c>
      <c r="E2703" s="1">
        <f ca="1">IFERROR(__xludf.DUMMYFUNCTION("""COMPUTED_VALUE"""),222.41)</f>
        <v>222.41</v>
      </c>
      <c r="F2703" s="1">
        <f ca="1">IFERROR(__xludf.DUMMYFUNCTION("""COMPUTED_VALUE"""),41258586)</f>
        <v>41258586</v>
      </c>
    </row>
    <row r="2704" spans="1:6" x14ac:dyDescent="0.35">
      <c r="A2704" s="2">
        <f ca="1">IFERROR(__xludf.DUMMYFUNCTION("""COMPUTED_VALUE"""),45933.6666666666)</f>
        <v>45933.666666666599</v>
      </c>
      <c r="B2704" s="1">
        <f ca="1">IFERROR(__xludf.DUMMYFUNCTION("""COMPUTED_VALUE"""),223.44)</f>
        <v>223.44</v>
      </c>
      <c r="C2704" s="1">
        <f ca="1">IFERROR(__xludf.DUMMYFUNCTION("""COMPUTED_VALUE"""),224.2)</f>
        <v>224.2</v>
      </c>
      <c r="D2704" s="1">
        <f ca="1">IFERROR(__xludf.DUMMYFUNCTION("""COMPUTED_VALUE"""),219.34)</f>
        <v>219.34</v>
      </c>
      <c r="E2704" s="1">
        <f ca="1">IFERROR(__xludf.DUMMYFUNCTION("""COMPUTED_VALUE"""),219.51)</f>
        <v>219.51</v>
      </c>
      <c r="F2704" s="1">
        <f ca="1">IFERROR(__xludf.DUMMYFUNCTION("""COMPUTED_VALUE"""),43639033)</f>
        <v>43639033</v>
      </c>
    </row>
    <row r="2705" spans="1:6" x14ac:dyDescent="0.35">
      <c r="A2705" s="2">
        <f ca="1">IFERROR(__xludf.DUMMYFUNCTION("""COMPUTED_VALUE"""),45936.6666666666)</f>
        <v>45936.666666666599</v>
      </c>
      <c r="B2705" s="1">
        <f ca="1">IFERROR(__xludf.DUMMYFUNCTION("""COMPUTED_VALUE"""),221)</f>
        <v>221</v>
      </c>
      <c r="C2705" s="1">
        <f ca="1">IFERROR(__xludf.DUMMYFUNCTION("""COMPUTED_VALUE"""),221.73)</f>
        <v>221.73</v>
      </c>
      <c r="D2705" s="1">
        <f ca="1">IFERROR(__xludf.DUMMYFUNCTION("""COMPUTED_VALUE"""),216.03)</f>
        <v>216.03</v>
      </c>
      <c r="E2705" s="1">
        <f ca="1">IFERROR(__xludf.DUMMYFUNCTION("""COMPUTED_VALUE"""),220.9)</f>
        <v>220.9</v>
      </c>
      <c r="F2705" s="1">
        <f ca="1">IFERROR(__xludf.DUMMYFUNCTION("""COMPUTED_VALUE"""),43690876)</f>
        <v>43690876</v>
      </c>
    </row>
    <row r="2706" spans="1:6" x14ac:dyDescent="0.35">
      <c r="A2706" s="2">
        <f ca="1">IFERROR(__xludf.DUMMYFUNCTION("""COMPUTED_VALUE"""),45937.6666666666)</f>
        <v>45937.666666666599</v>
      </c>
      <c r="B2706" s="1">
        <f ca="1">IFERROR(__xludf.DUMMYFUNCTION("""COMPUTED_VALUE"""),220.88)</f>
        <v>220.88</v>
      </c>
      <c r="C2706" s="1">
        <f ca="1">IFERROR(__xludf.DUMMYFUNCTION("""COMPUTED_VALUE"""),222.89)</f>
        <v>222.89</v>
      </c>
      <c r="D2706" s="1">
        <f ca="1">IFERROR(__xludf.DUMMYFUNCTION("""COMPUTED_VALUE"""),220.17)</f>
        <v>220.17</v>
      </c>
      <c r="E2706" s="1">
        <f ca="1">IFERROR(__xludf.DUMMYFUNCTION("""COMPUTED_VALUE"""),221.78)</f>
        <v>221.78</v>
      </c>
      <c r="F2706" s="1">
        <f ca="1">IFERROR(__xludf.DUMMYFUNCTION("""COMPUTED_VALUE"""),31194678)</f>
        <v>31194678</v>
      </c>
    </row>
    <row r="2707" spans="1:6" x14ac:dyDescent="0.35">
      <c r="A2707" s="2">
        <f ca="1">IFERROR(__xludf.DUMMYFUNCTION("""COMPUTED_VALUE"""),45938.6666666666)</f>
        <v>45938.666666666599</v>
      </c>
      <c r="B2707" s="1">
        <f ca="1">IFERROR(__xludf.DUMMYFUNCTION("""COMPUTED_VALUE"""),222.92)</f>
        <v>222.92</v>
      </c>
      <c r="C2707" s="1">
        <f ca="1">IFERROR(__xludf.DUMMYFUNCTION("""COMPUTED_VALUE"""),226.73)</f>
        <v>226.73</v>
      </c>
      <c r="D2707" s="1">
        <f ca="1">IFERROR(__xludf.DUMMYFUNCTION("""COMPUTED_VALUE"""),221.19)</f>
        <v>221.19</v>
      </c>
      <c r="E2707" s="1">
        <f ca="1">IFERROR(__xludf.DUMMYFUNCTION("""COMPUTED_VALUE"""),225.22)</f>
        <v>225.22</v>
      </c>
      <c r="F2707" s="1">
        <f ca="1">IFERROR(__xludf.DUMMYFUNCTION("""COMPUTED_VALUE"""),46685985)</f>
        <v>46685985</v>
      </c>
    </row>
    <row r="2708" spans="1:6" x14ac:dyDescent="0.35">
      <c r="A2708" s="2">
        <f ca="1">IFERROR(__xludf.DUMMYFUNCTION("""COMPUTED_VALUE"""),45939.6666666666)</f>
        <v>45939.666666666599</v>
      </c>
      <c r="B2708" s="1">
        <f ca="1">IFERROR(__xludf.DUMMYFUNCTION("""COMPUTED_VALUE"""),225)</f>
        <v>225</v>
      </c>
      <c r="C2708" s="1">
        <f ca="1">IFERROR(__xludf.DUMMYFUNCTION("""COMPUTED_VALUE"""),228.21)</f>
        <v>228.21</v>
      </c>
      <c r="D2708" s="1">
        <f ca="1">IFERROR(__xludf.DUMMYFUNCTION("""COMPUTED_VALUE"""),221.75)</f>
        <v>221.75</v>
      </c>
      <c r="E2708" s="1">
        <f ca="1">IFERROR(__xludf.DUMMYFUNCTION("""COMPUTED_VALUE"""),227.74)</f>
        <v>227.74</v>
      </c>
      <c r="F2708" s="1">
        <f ca="1">IFERROR(__xludf.DUMMYFUNCTION("""COMPUTED_VALUE"""),46412122)</f>
        <v>46412122</v>
      </c>
    </row>
    <row r="2709" spans="1:6" x14ac:dyDescent="0.35">
      <c r="A2709" s="2">
        <f ca="1">IFERROR(__xludf.DUMMYFUNCTION("""COMPUTED_VALUE"""),45940.6666666666)</f>
        <v>45940.666666666599</v>
      </c>
      <c r="B2709" s="1">
        <f ca="1">IFERROR(__xludf.DUMMYFUNCTION("""COMPUTED_VALUE"""),226.21)</f>
        <v>226.21</v>
      </c>
      <c r="C2709" s="1">
        <f ca="1">IFERROR(__xludf.DUMMYFUNCTION("""COMPUTED_VALUE"""),228.25)</f>
        <v>228.25</v>
      </c>
      <c r="D2709" s="1">
        <f ca="1">IFERROR(__xludf.DUMMYFUNCTION("""COMPUTED_VALUE"""),216)</f>
        <v>216</v>
      </c>
      <c r="E2709" s="1">
        <f ca="1">IFERROR(__xludf.DUMMYFUNCTION("""COMPUTED_VALUE"""),216.37)</f>
        <v>216.37</v>
      </c>
      <c r="F2709" s="1">
        <f ca="1">IFERROR(__xludf.DUMMYFUNCTION("""COMPUTED_VALUE"""),72367511)</f>
        <v>72367511</v>
      </c>
    </row>
    <row r="2710" spans="1:6" x14ac:dyDescent="0.35">
      <c r="A2710" s="2">
        <f ca="1">IFERROR(__xludf.DUMMYFUNCTION("""COMPUTED_VALUE"""),45943.6666666666)</f>
        <v>45943.666666666599</v>
      </c>
      <c r="B2710" s="1">
        <f ca="1">IFERROR(__xludf.DUMMYFUNCTION("""COMPUTED_VALUE"""),217.7)</f>
        <v>217.7</v>
      </c>
      <c r="C2710" s="1">
        <f ca="1">IFERROR(__xludf.DUMMYFUNCTION("""COMPUTED_VALUE"""),220.68)</f>
        <v>220.68</v>
      </c>
      <c r="D2710" s="1">
        <f ca="1">IFERROR(__xludf.DUMMYFUNCTION("""COMPUTED_VALUE"""),217.04)</f>
        <v>217.04</v>
      </c>
      <c r="E2710" s="1">
        <f ca="1">IFERROR(__xludf.DUMMYFUNCTION("""COMPUTED_VALUE"""),220.07)</f>
        <v>220.07</v>
      </c>
      <c r="F2710" s="1">
        <f ca="1">IFERROR(__xludf.DUMMYFUNCTION("""COMPUTED_VALUE"""),37809650)</f>
        <v>37809650</v>
      </c>
    </row>
    <row r="2711" spans="1:6" x14ac:dyDescent="0.35">
      <c r="A2711" s="2">
        <f ca="1">IFERROR(__xludf.DUMMYFUNCTION("""COMPUTED_VALUE"""),45944.6666666666)</f>
        <v>45944.666666666599</v>
      </c>
      <c r="B2711" s="1">
        <f ca="1">IFERROR(__xludf.DUMMYFUNCTION("""COMPUTED_VALUE"""),215.56)</f>
        <v>215.56</v>
      </c>
      <c r="C2711" s="1">
        <f ca="1">IFERROR(__xludf.DUMMYFUNCTION("""COMPUTED_VALUE"""),219.32)</f>
        <v>219.32</v>
      </c>
      <c r="D2711" s="1">
        <f ca="1">IFERROR(__xludf.DUMMYFUNCTION("""COMPUTED_VALUE"""),212.6)</f>
        <v>212.6</v>
      </c>
      <c r="E2711" s="1">
        <f ca="1">IFERROR(__xludf.DUMMYFUNCTION("""COMPUTED_VALUE"""),216.39)</f>
        <v>216.39</v>
      </c>
      <c r="F2711" s="1">
        <f ca="1">IFERROR(__xludf.DUMMYFUNCTION("""COMPUTED_VALUE"""),45665580)</f>
        <v>45665580</v>
      </c>
    </row>
    <row r="2712" spans="1:6" x14ac:dyDescent="0.35">
      <c r="A2712" s="2">
        <f ca="1">IFERROR(__xludf.DUMMYFUNCTION("""COMPUTED_VALUE"""),45945.6666666666)</f>
        <v>45945.666666666599</v>
      </c>
      <c r="B2712" s="1">
        <f ca="1">IFERROR(__xludf.DUMMYFUNCTION("""COMPUTED_VALUE"""),216.62)</f>
        <v>216.62</v>
      </c>
      <c r="C2712" s="1">
        <f ca="1">IFERROR(__xludf.DUMMYFUNCTION("""COMPUTED_VALUE"""),217.71)</f>
        <v>217.71</v>
      </c>
      <c r="D2712" s="1">
        <f ca="1">IFERROR(__xludf.DUMMYFUNCTION("""COMPUTED_VALUE"""),212.66)</f>
        <v>212.66</v>
      </c>
      <c r="E2712" s="1">
        <f ca="1">IFERROR(__xludf.DUMMYFUNCTION("""COMPUTED_VALUE"""),215.57)</f>
        <v>215.57</v>
      </c>
      <c r="F2712" s="1">
        <f ca="1">IFERROR(__xludf.DUMMYFUNCTION("""COMPUTED_VALUE"""),45909469)</f>
        <v>45909469</v>
      </c>
    </row>
    <row r="2713" spans="1:6" x14ac:dyDescent="0.35">
      <c r="A2713" s="2">
        <f ca="1">IFERROR(__xludf.DUMMYFUNCTION("""COMPUTED_VALUE"""),45946.6666666666)</f>
        <v>45946.666666666599</v>
      </c>
      <c r="B2713" s="1">
        <f ca="1">IFERROR(__xludf.DUMMYFUNCTION("""COMPUTED_VALUE"""),215.67)</f>
        <v>215.67</v>
      </c>
      <c r="C2713" s="1">
        <f ca="1">IFERROR(__xludf.DUMMYFUNCTION("""COMPUTED_VALUE"""),218.59)</f>
        <v>218.59</v>
      </c>
      <c r="D2713" s="1">
        <f ca="1">IFERROR(__xludf.DUMMYFUNCTION("""COMPUTED_VALUE"""),212.81)</f>
        <v>212.81</v>
      </c>
      <c r="E2713" s="1">
        <f ca="1">IFERROR(__xludf.DUMMYFUNCTION("""COMPUTED_VALUE"""),214.47)</f>
        <v>214.47</v>
      </c>
      <c r="F2713" s="1">
        <f ca="1">IFERROR(__xludf.DUMMYFUNCTION("""COMPUTED_VALUE"""),42414591)</f>
        <v>42414591</v>
      </c>
    </row>
    <row r="2714" spans="1:6" x14ac:dyDescent="0.35">
      <c r="A2714" s="2">
        <f ca="1">IFERROR(__xludf.DUMMYFUNCTION("""COMPUTED_VALUE"""),45947.6666666666)</f>
        <v>45947.666666666599</v>
      </c>
      <c r="B2714" s="1">
        <f ca="1">IFERROR(__xludf.DUMMYFUNCTION("""COMPUTED_VALUE"""),214.56)</f>
        <v>214.56</v>
      </c>
      <c r="C2714" s="1">
        <f ca="1">IFERROR(__xludf.DUMMYFUNCTION("""COMPUTED_VALUE"""),214.8)</f>
        <v>214.8</v>
      </c>
      <c r="D2714" s="1">
        <f ca="1">IFERROR(__xludf.DUMMYFUNCTION("""COMPUTED_VALUE"""),211.03)</f>
        <v>211.03</v>
      </c>
      <c r="E2714" s="1">
        <f ca="1">IFERROR(__xludf.DUMMYFUNCTION("""COMPUTED_VALUE"""),213.04)</f>
        <v>213.04</v>
      </c>
      <c r="F2714" s="1">
        <f ca="1">IFERROR(__xludf.DUMMYFUNCTION("""COMPUTED_VALUE"""),45986944)</f>
        <v>45986944</v>
      </c>
    </row>
    <row r="2715" spans="1:6" x14ac:dyDescent="0.35">
      <c r="A2715" s="2">
        <f ca="1">IFERROR(__xludf.DUMMYFUNCTION("""COMPUTED_VALUE"""),45950.6666666666)</f>
        <v>45950.666666666599</v>
      </c>
      <c r="B2715" s="1">
        <f ca="1">IFERROR(__xludf.DUMMYFUNCTION("""COMPUTED_VALUE"""),213.88)</f>
        <v>213.88</v>
      </c>
      <c r="C2715" s="1">
        <f ca="1">IFERROR(__xludf.DUMMYFUNCTION("""COMPUTED_VALUE"""),216.69)</f>
        <v>216.69</v>
      </c>
      <c r="D2715" s="1">
        <f ca="1">IFERROR(__xludf.DUMMYFUNCTION("""COMPUTED_VALUE"""),213.59)</f>
        <v>213.59</v>
      </c>
      <c r="E2715" s="1">
        <f ca="1">IFERROR(__xludf.DUMMYFUNCTION("""COMPUTED_VALUE"""),216.48)</f>
        <v>216.48</v>
      </c>
      <c r="F2715" s="1">
        <f ca="1">IFERROR(__xludf.DUMMYFUNCTION("""COMPUTED_VALUE"""),38882819)</f>
        <v>38882819</v>
      </c>
    </row>
    <row r="2716" spans="1:6" x14ac:dyDescent="0.35">
      <c r="A2716" s="2">
        <f ca="1">IFERROR(__xludf.DUMMYFUNCTION("""COMPUTED_VALUE"""),45951.6666666666)</f>
        <v>45951.666666666599</v>
      </c>
      <c r="B2716" s="1">
        <f ca="1">IFERROR(__xludf.DUMMYFUNCTION("""COMPUTED_VALUE"""),218.43)</f>
        <v>218.43</v>
      </c>
      <c r="C2716" s="1">
        <f ca="1">IFERROR(__xludf.DUMMYFUNCTION("""COMPUTED_VALUE"""),223.32)</f>
        <v>223.32</v>
      </c>
      <c r="D2716" s="1">
        <f ca="1">IFERROR(__xludf.DUMMYFUNCTION("""COMPUTED_VALUE"""),217.99)</f>
        <v>217.99</v>
      </c>
      <c r="E2716" s="1">
        <f ca="1">IFERROR(__xludf.DUMMYFUNCTION("""COMPUTED_VALUE"""),222.03)</f>
        <v>222.03</v>
      </c>
      <c r="F2716" s="1">
        <f ca="1">IFERROR(__xludf.DUMMYFUNCTION("""COMPUTED_VALUE"""),50494565)</f>
        <v>50494565</v>
      </c>
    </row>
    <row r="2717" spans="1:6" x14ac:dyDescent="0.35">
      <c r="A2717" s="2">
        <f ca="1">IFERROR(__xludf.DUMMYFUNCTION("""COMPUTED_VALUE"""),45952.6666666666)</f>
        <v>45952.666666666599</v>
      </c>
      <c r="B2717" s="1">
        <f ca="1">IFERROR(__xludf.DUMMYFUNCTION("""COMPUTED_VALUE"""),219.3)</f>
        <v>219.3</v>
      </c>
      <c r="C2717" s="1">
        <f ca="1">IFERROR(__xludf.DUMMYFUNCTION("""COMPUTED_VALUE"""),220.01)</f>
        <v>220.01</v>
      </c>
      <c r="D2717" s="1">
        <f ca="1">IFERROR(__xludf.DUMMYFUNCTION("""COMPUTED_VALUE"""),216.52)</f>
        <v>216.52</v>
      </c>
      <c r="E2717" s="1">
        <f ca="1">IFERROR(__xludf.DUMMYFUNCTION("""COMPUTED_VALUE"""),217.95)</f>
        <v>217.95</v>
      </c>
      <c r="F2717" s="1">
        <f ca="1">IFERROR(__xludf.DUMMYFUNCTION("""COMPUTED_VALUE"""),44308538)</f>
        <v>44308538</v>
      </c>
    </row>
    <row r="2718" spans="1:6" x14ac:dyDescent="0.35">
      <c r="A2718" s="2">
        <f ca="1">IFERROR(__xludf.DUMMYFUNCTION("""COMPUTED_VALUE"""),45953.6666666666)</f>
        <v>45953.666666666599</v>
      </c>
      <c r="B2718" s="1">
        <f ca="1">IFERROR(__xludf.DUMMYFUNCTION("""COMPUTED_VALUE"""),219)</f>
        <v>219</v>
      </c>
      <c r="C2718" s="1">
        <f ca="1">IFERROR(__xludf.DUMMYFUNCTION("""COMPUTED_VALUE"""),221.3)</f>
        <v>221.3</v>
      </c>
      <c r="D2718" s="1">
        <f ca="1">IFERROR(__xludf.DUMMYFUNCTION("""COMPUTED_VALUE"""),218.18)</f>
        <v>218.18</v>
      </c>
      <c r="E2718" s="1">
        <f ca="1">IFERROR(__xludf.DUMMYFUNCTION("""COMPUTED_VALUE"""),221.09)</f>
        <v>221.09</v>
      </c>
      <c r="F2718" s="1">
        <f ca="1">IFERROR(__xludf.DUMMYFUNCTION("""COMPUTED_VALUE"""),31539999)</f>
        <v>31539999</v>
      </c>
    </row>
    <row r="2719" spans="1:6" x14ac:dyDescent="0.35">
      <c r="A2719" s="2">
        <f ca="1">IFERROR(__xludf.DUMMYFUNCTION("""COMPUTED_VALUE"""),45954.6666666666)</f>
        <v>45954.666666666599</v>
      </c>
      <c r="B2719" s="1">
        <f ca="1">IFERROR(__xludf.DUMMYFUNCTION("""COMPUTED_VALUE"""),221.97)</f>
        <v>221.97</v>
      </c>
      <c r="C2719" s="1">
        <f ca="1">IFERROR(__xludf.DUMMYFUNCTION("""COMPUTED_VALUE"""),225.4)</f>
        <v>225.4</v>
      </c>
      <c r="D2719" s="1">
        <f ca="1">IFERROR(__xludf.DUMMYFUNCTION("""COMPUTED_VALUE"""),221.9)</f>
        <v>221.9</v>
      </c>
      <c r="E2719" s="1">
        <f ca="1">IFERROR(__xludf.DUMMYFUNCTION("""COMPUTED_VALUE"""),224.21)</f>
        <v>224.21</v>
      </c>
      <c r="F2719" s="1">
        <f ca="1">IFERROR(__xludf.DUMMYFUNCTION("""COMPUTED_VALUE"""),38685053)</f>
        <v>38685053</v>
      </c>
    </row>
    <row r="2720" spans="1:6" x14ac:dyDescent="0.35">
      <c r="A2720" s="2">
        <f ca="1">IFERROR(__xludf.DUMMYFUNCTION("""COMPUTED_VALUE"""),45957.6666666666)</f>
        <v>45957.666666666599</v>
      </c>
      <c r="B2720" s="1">
        <f ca="1">IFERROR(__xludf.DUMMYFUNCTION("""COMPUTED_VALUE"""),227.66)</f>
        <v>227.66</v>
      </c>
      <c r="C2720" s="1">
        <f ca="1">IFERROR(__xludf.DUMMYFUNCTION("""COMPUTED_VALUE"""),228.4)</f>
        <v>228.4</v>
      </c>
      <c r="D2720" s="1">
        <f ca="1">IFERROR(__xludf.DUMMYFUNCTION("""COMPUTED_VALUE"""),225.54)</f>
        <v>225.54</v>
      </c>
      <c r="E2720" s="1">
        <f ca="1">IFERROR(__xludf.DUMMYFUNCTION("""COMPUTED_VALUE"""),226.97)</f>
        <v>226.97</v>
      </c>
      <c r="F2720" s="1">
        <f ca="1">IFERROR(__xludf.DUMMYFUNCTION("""COMPUTED_VALUE"""),38266995)</f>
        <v>38266995</v>
      </c>
    </row>
    <row r="2721" spans="1:6" x14ac:dyDescent="0.35">
      <c r="A2721" s="2">
        <f ca="1">IFERROR(__xludf.DUMMYFUNCTION("""COMPUTED_VALUE"""),45958.6666666666)</f>
        <v>45958.666666666599</v>
      </c>
      <c r="B2721" s="1">
        <f ca="1">IFERROR(__xludf.DUMMYFUNCTION("""COMPUTED_VALUE"""),228.22)</f>
        <v>228.22</v>
      </c>
      <c r="C2721" s="1">
        <f ca="1">IFERROR(__xludf.DUMMYFUNCTION("""COMPUTED_VALUE"""),231.49)</f>
        <v>231.49</v>
      </c>
      <c r="D2721" s="1">
        <f ca="1">IFERROR(__xludf.DUMMYFUNCTION("""COMPUTED_VALUE"""),226.21)</f>
        <v>226.21</v>
      </c>
      <c r="E2721" s="1">
        <f ca="1">IFERROR(__xludf.DUMMYFUNCTION("""COMPUTED_VALUE"""),229.25)</f>
        <v>229.25</v>
      </c>
      <c r="F2721" s="1">
        <f ca="1">IFERROR(__xludf.DUMMYFUNCTION("""COMPUTED_VALUE"""),47100026)</f>
        <v>47100026</v>
      </c>
    </row>
    <row r="2722" spans="1:6" x14ac:dyDescent="0.35">
      <c r="A2722" s="2">
        <f ca="1">IFERROR(__xludf.DUMMYFUNCTION("""COMPUTED_VALUE"""),45959.6666666666)</f>
        <v>45959.666666666599</v>
      </c>
      <c r="B2722" s="1">
        <f ca="1">IFERROR(__xludf.DUMMYFUNCTION("""COMPUTED_VALUE"""),231.67)</f>
        <v>231.67</v>
      </c>
      <c r="C2722" s="1">
        <f ca="1">IFERROR(__xludf.DUMMYFUNCTION("""COMPUTED_VALUE"""),232.82)</f>
        <v>232.82</v>
      </c>
      <c r="D2722" s="1">
        <f ca="1">IFERROR(__xludf.DUMMYFUNCTION("""COMPUTED_VALUE"""),227.76)</f>
        <v>227.76</v>
      </c>
      <c r="E2722" s="1">
        <f ca="1">IFERROR(__xludf.DUMMYFUNCTION("""COMPUTED_VALUE"""),230.3)</f>
        <v>230.3</v>
      </c>
      <c r="F2722" s="1">
        <f ca="1">IFERROR(__xludf.DUMMYFUNCTION("""COMPUTED_VALUE"""),52036151)</f>
        <v>52036151</v>
      </c>
    </row>
    <row r="2723" spans="1:6" x14ac:dyDescent="0.35">
      <c r="A2723" s="2">
        <f ca="1">IFERROR(__xludf.DUMMYFUNCTION("""COMPUTED_VALUE"""),45960.6666666666)</f>
        <v>45960.666666666599</v>
      </c>
      <c r="B2723" s="1">
        <f ca="1">IFERROR(__xludf.DUMMYFUNCTION("""COMPUTED_VALUE"""),227.06)</f>
        <v>227.06</v>
      </c>
      <c r="C2723" s="1">
        <f ca="1">IFERROR(__xludf.DUMMYFUNCTION("""COMPUTED_VALUE"""),228.44)</f>
        <v>228.44</v>
      </c>
      <c r="D2723" s="1">
        <f ca="1">IFERROR(__xludf.DUMMYFUNCTION("""COMPUTED_VALUE"""),222.75)</f>
        <v>222.75</v>
      </c>
      <c r="E2723" s="1">
        <f ca="1">IFERROR(__xludf.DUMMYFUNCTION("""COMPUTED_VALUE"""),222.86)</f>
        <v>222.86</v>
      </c>
      <c r="F2723" s="1">
        <f ca="1">IFERROR(__xludf.DUMMYFUNCTION("""COMPUTED_VALUE"""),102252937)</f>
        <v>102252937</v>
      </c>
    </row>
    <row r="2724" spans="1:6" x14ac:dyDescent="0.35">
      <c r="A2724" s="2">
        <f ca="1">IFERROR(__xludf.DUMMYFUNCTION("""COMPUTED_VALUE"""),45961.6666666666)</f>
        <v>45961.666666666599</v>
      </c>
      <c r="B2724" s="1">
        <f ca="1">IFERROR(__xludf.DUMMYFUNCTION("""COMPUTED_VALUE"""),250.1)</f>
        <v>250.1</v>
      </c>
      <c r="C2724" s="1">
        <f ca="1">IFERROR(__xludf.DUMMYFUNCTION("""COMPUTED_VALUE"""),250.5)</f>
        <v>250.5</v>
      </c>
      <c r="D2724" s="1">
        <f ca="1">IFERROR(__xludf.DUMMYFUNCTION("""COMPUTED_VALUE"""),243.98)</f>
        <v>243.98</v>
      </c>
      <c r="E2724" s="1">
        <f ca="1">IFERROR(__xludf.DUMMYFUNCTION("""COMPUTED_VALUE"""),244.22)</f>
        <v>244.22</v>
      </c>
      <c r="F2724" s="1">
        <f ca="1">IFERROR(__xludf.DUMMYFUNCTION("""COMPUTED_VALUE"""),166340808)</f>
        <v>166340808</v>
      </c>
    </row>
    <row r="2725" spans="1:6" x14ac:dyDescent="0.35">
      <c r="A2725" s="2">
        <f ca="1">IFERROR(__xludf.DUMMYFUNCTION("""COMPUTED_VALUE"""),45964.6666666666)</f>
        <v>45964.666666666599</v>
      </c>
      <c r="B2725" s="1">
        <f ca="1">IFERROR(__xludf.DUMMYFUNCTION("""COMPUTED_VALUE"""),255.36)</f>
        <v>255.36</v>
      </c>
      <c r="C2725" s="1">
        <f ca="1">IFERROR(__xludf.DUMMYFUNCTION("""COMPUTED_VALUE"""),258.6)</f>
        <v>258.60000000000002</v>
      </c>
      <c r="D2725" s="1">
        <f ca="1">IFERROR(__xludf.DUMMYFUNCTION("""COMPUTED_VALUE"""),252.9)</f>
        <v>252.9</v>
      </c>
      <c r="E2725" s="1">
        <f ca="1">IFERROR(__xludf.DUMMYFUNCTION("""COMPUTED_VALUE"""),254)</f>
        <v>254</v>
      </c>
      <c r="F2725" s="1">
        <f ca="1">IFERROR(__xludf.DUMMYFUNCTION("""COMPUTED_VALUE"""),95997816)</f>
        <v>95997816</v>
      </c>
    </row>
    <row r="2726" spans="1:6" x14ac:dyDescent="0.35">
      <c r="A2726" s="2">
        <f ca="1">IFERROR(__xludf.DUMMYFUNCTION("""COMPUTED_VALUE"""),45965.6666666666)</f>
        <v>45965.666666666599</v>
      </c>
      <c r="B2726" s="1">
        <f ca="1">IFERROR(__xludf.DUMMYFUNCTION("""COMPUTED_VALUE"""),250.38)</f>
        <v>250.38</v>
      </c>
      <c r="C2726" s="1">
        <f ca="1">IFERROR(__xludf.DUMMYFUNCTION("""COMPUTED_VALUE"""),257.01)</f>
        <v>257.01</v>
      </c>
      <c r="D2726" s="1">
        <f ca="1">IFERROR(__xludf.DUMMYFUNCTION("""COMPUTED_VALUE"""),248.66)</f>
        <v>248.66</v>
      </c>
      <c r="E2726" s="1">
        <f ca="1">IFERROR(__xludf.DUMMYFUNCTION("""COMPUTED_VALUE"""),249.32)</f>
        <v>249.32</v>
      </c>
      <c r="F2726" s="1">
        <f ca="1">IFERROR(__xludf.DUMMYFUNCTION("""COMPUTED_VALUE"""),51546311)</f>
        <v>51546311</v>
      </c>
    </row>
    <row r="2727" spans="1:6" x14ac:dyDescent="0.35">
      <c r="A2727" s="2">
        <f ca="1">IFERROR(__xludf.DUMMYFUNCTION("""COMPUTED_VALUE"""),45966.6666666666)</f>
        <v>45966.666666666599</v>
      </c>
      <c r="B2727" s="1">
        <f ca="1">IFERROR(__xludf.DUMMYFUNCTION("""COMPUTED_VALUE"""),249.03)</f>
        <v>249.03</v>
      </c>
      <c r="C2727" s="1">
        <f ca="1">IFERROR(__xludf.DUMMYFUNCTION("""COMPUTED_VALUE"""),251)</f>
        <v>251</v>
      </c>
      <c r="D2727" s="1">
        <f ca="1">IFERROR(__xludf.DUMMYFUNCTION("""COMPUTED_VALUE"""),246.16)</f>
        <v>246.16</v>
      </c>
      <c r="E2727" s="1">
        <f ca="1">IFERROR(__xludf.DUMMYFUNCTION("""COMPUTED_VALUE"""),250.2)</f>
        <v>250.2</v>
      </c>
      <c r="F2727" s="1">
        <f ca="1">IFERROR(__xludf.DUMMYFUNCTION("""COMPUTED_VALUE"""),40610702)</f>
        <v>40610702</v>
      </c>
    </row>
    <row r="2728" spans="1:6" x14ac:dyDescent="0.35">
      <c r="A2728" s="2">
        <f ca="1">IFERROR(__xludf.DUMMYFUNCTION("""COMPUTED_VALUE"""),45967.6666666666)</f>
        <v>45967.666666666599</v>
      </c>
      <c r="B2728" s="1">
        <f ca="1">IFERROR(__xludf.DUMMYFUNCTION("""COMPUTED_VALUE"""),249.16)</f>
        <v>249.16</v>
      </c>
      <c r="C2728" s="1">
        <f ca="1">IFERROR(__xludf.DUMMYFUNCTION("""COMPUTED_VALUE"""),250.38)</f>
        <v>250.38</v>
      </c>
      <c r="D2728" s="1">
        <f ca="1">IFERROR(__xludf.DUMMYFUNCTION("""COMPUTED_VALUE"""),242.17)</f>
        <v>242.17</v>
      </c>
      <c r="E2728" s="1">
        <f ca="1">IFERROR(__xludf.DUMMYFUNCTION("""COMPUTED_VALUE"""),243.04)</f>
        <v>243.04</v>
      </c>
      <c r="F2728" s="1">
        <f ca="1">IFERROR(__xludf.DUMMYFUNCTION("""COMPUTED_VALUE"""),46004203)</f>
        <v>46004203</v>
      </c>
    </row>
    <row r="2729" spans="1:6" x14ac:dyDescent="0.35">
      <c r="A2729" s="2">
        <f ca="1">IFERROR(__xludf.DUMMYFUNCTION("""COMPUTED_VALUE"""),45968.6666666666)</f>
        <v>45968.666666666599</v>
      </c>
      <c r="B2729" s="1">
        <f ca="1">IFERROR(__xludf.DUMMYFUNCTION("""COMPUTED_VALUE"""),242.9)</f>
        <v>242.9</v>
      </c>
      <c r="C2729" s="1">
        <f ca="1">IFERROR(__xludf.DUMMYFUNCTION("""COMPUTED_VALUE"""),244.9)</f>
        <v>244.9</v>
      </c>
      <c r="D2729" s="1">
        <f ca="1">IFERROR(__xludf.DUMMYFUNCTION("""COMPUTED_VALUE"""),238.49)</f>
        <v>238.49</v>
      </c>
      <c r="E2729" s="1">
        <f ca="1">IFERROR(__xludf.DUMMYFUNCTION("""COMPUTED_VALUE"""),244.41)</f>
        <v>244.41</v>
      </c>
      <c r="F2729" s="1">
        <f ca="1">IFERROR(__xludf.DUMMYFUNCTION("""COMPUTED_VALUE"""),46374294)</f>
        <v>46374294</v>
      </c>
    </row>
    <row r="2730" spans="1:6" x14ac:dyDescent="0.35">
      <c r="A2730" s="2">
        <f ca="1">IFERROR(__xludf.DUMMYFUNCTION("""COMPUTED_VALUE"""),45971.6666666666)</f>
        <v>45971.666666666599</v>
      </c>
      <c r="B2730" s="1">
        <f ca="1">IFERROR(__xludf.DUMMYFUNCTION("""COMPUTED_VALUE"""),248.34)</f>
        <v>248.34</v>
      </c>
      <c r="C2730" s="1">
        <f ca="1">IFERROR(__xludf.DUMMYFUNCTION("""COMPUTED_VALUE"""),251.75)</f>
        <v>251.75</v>
      </c>
      <c r="D2730" s="1">
        <f ca="1">IFERROR(__xludf.DUMMYFUNCTION("""COMPUTED_VALUE"""),245.59)</f>
        <v>245.59</v>
      </c>
      <c r="E2730" s="1">
        <f ca="1">IFERROR(__xludf.DUMMYFUNCTION("""COMPUTED_VALUE"""),248.4)</f>
        <v>248.4</v>
      </c>
      <c r="F2730" s="1">
        <f ca="1">IFERROR(__xludf.DUMMYFUNCTION("""COMPUTED_VALUE"""),36476514)</f>
        <v>36476514</v>
      </c>
    </row>
    <row r="2731" spans="1:6" x14ac:dyDescent="0.35">
      <c r="A2731" s="2">
        <f ca="1">IFERROR(__xludf.DUMMYFUNCTION("""COMPUTED_VALUE"""),45972.6666666666)</f>
        <v>45972.666666666599</v>
      </c>
      <c r="B2731" s="1">
        <f ca="1">IFERROR(__xludf.DUMMYFUNCTION("""COMPUTED_VALUE"""),248.41)</f>
        <v>248.41</v>
      </c>
      <c r="C2731" s="1">
        <f ca="1">IFERROR(__xludf.DUMMYFUNCTION("""COMPUTED_VALUE"""),249.75)</f>
        <v>249.75</v>
      </c>
      <c r="D2731" s="1">
        <f ca="1">IFERROR(__xludf.DUMMYFUNCTION("""COMPUTED_VALUE"""),247.23)</f>
        <v>247.23</v>
      </c>
      <c r="E2731" s="1">
        <f ca="1">IFERROR(__xludf.DUMMYFUNCTION("""COMPUTED_VALUE"""),249.1)</f>
        <v>249.1</v>
      </c>
      <c r="F2731" s="1">
        <f ca="1">IFERROR(__xludf.DUMMYFUNCTION("""COMPUTED_VALUE"""),23564060)</f>
        <v>23564060</v>
      </c>
    </row>
    <row r="2732" spans="1:6" x14ac:dyDescent="0.35">
      <c r="A2732" s="2">
        <f ca="1">IFERROR(__xludf.DUMMYFUNCTION("""COMPUTED_VALUE"""),45973.6666666666)</f>
        <v>45973.666666666599</v>
      </c>
      <c r="B2732" s="1">
        <f ca="1">IFERROR(__xludf.DUMMYFUNCTION("""COMPUTED_VALUE"""),250.24)</f>
        <v>250.24</v>
      </c>
      <c r="C2732" s="1">
        <f ca="1">IFERROR(__xludf.DUMMYFUNCTION("""COMPUTED_VALUE"""),250.37)</f>
        <v>250.37</v>
      </c>
      <c r="D2732" s="1">
        <f ca="1">IFERROR(__xludf.DUMMYFUNCTION("""COMPUTED_VALUE"""),243.75)</f>
        <v>243.75</v>
      </c>
      <c r="E2732" s="1">
        <f ca="1">IFERROR(__xludf.DUMMYFUNCTION("""COMPUTED_VALUE"""),244.2)</f>
        <v>244.2</v>
      </c>
      <c r="F2732" s="1">
        <f ca="1">IFERROR(__xludf.DUMMYFUNCTION("""COMPUTED_VALUE"""),31190063)</f>
        <v>31190063</v>
      </c>
    </row>
    <row r="2733" spans="1:6" x14ac:dyDescent="0.35">
      <c r="A2733" s="2">
        <f ca="1">IFERROR(__xludf.DUMMYFUNCTION("""COMPUTED_VALUE"""),45974.6666666666)</f>
        <v>45974.666666666599</v>
      </c>
      <c r="B2733" s="1">
        <f ca="1">IFERROR(__xludf.DUMMYFUNCTION("""COMPUTED_VALUE"""),243.05)</f>
        <v>243.05</v>
      </c>
      <c r="C2733" s="1">
        <f ca="1">IFERROR(__xludf.DUMMYFUNCTION("""COMPUTED_VALUE"""),243.75)</f>
        <v>243.75</v>
      </c>
      <c r="D2733" s="1">
        <f ca="1">IFERROR(__xludf.DUMMYFUNCTION("""COMPUTED_VALUE"""),236.5)</f>
        <v>236.5</v>
      </c>
      <c r="E2733" s="1">
        <f ca="1">IFERROR(__xludf.DUMMYFUNCTION("""COMPUTED_VALUE"""),237.58)</f>
        <v>237.58</v>
      </c>
      <c r="F2733" s="1">
        <f ca="1">IFERROR(__xludf.DUMMYFUNCTION("""COMPUTED_VALUE"""),41401738)</f>
        <v>41401738</v>
      </c>
    </row>
    <row r="2734" spans="1:6" x14ac:dyDescent="0.35">
      <c r="A2734" s="2">
        <f ca="1">IFERROR(__xludf.DUMMYFUNCTION("""COMPUTED_VALUE"""),45975.6666666666)</f>
        <v>45975.666666666599</v>
      </c>
      <c r="B2734" s="1">
        <f ca="1">IFERROR(__xludf.DUMMYFUNCTION("""COMPUTED_VALUE"""),235.06)</f>
        <v>235.06</v>
      </c>
      <c r="C2734" s="1">
        <f ca="1">IFERROR(__xludf.DUMMYFUNCTION("""COMPUTED_VALUE"""),238.73)</f>
        <v>238.73</v>
      </c>
      <c r="D2734" s="1">
        <f ca="1">IFERROR(__xludf.DUMMYFUNCTION("""COMPUTED_VALUE"""),232.89)</f>
        <v>232.89</v>
      </c>
      <c r="E2734" s="1">
        <f ca="1">IFERROR(__xludf.DUMMYFUNCTION("""COMPUTED_VALUE"""),234.69)</f>
        <v>234.69</v>
      </c>
      <c r="F2734" s="1">
        <f ca="1">IFERROR(__xludf.DUMMYFUNCTION("""COMPUTED_VALUE"""),38956669)</f>
        <v>38956669</v>
      </c>
    </row>
    <row r="2735" spans="1:6" x14ac:dyDescent="0.35">
      <c r="A2735" s="2">
        <f ca="1">IFERROR(__xludf.DUMMYFUNCTION("""COMPUTED_VALUE"""),45978.6666666666)</f>
        <v>45978.666666666599</v>
      </c>
      <c r="B2735" s="1">
        <f ca="1">IFERROR(__xludf.DUMMYFUNCTION("""COMPUTED_VALUE"""),233.25)</f>
        <v>233.25</v>
      </c>
      <c r="C2735" s="1">
        <f ca="1">IFERROR(__xludf.DUMMYFUNCTION("""COMPUTED_VALUE"""),234.6)</f>
        <v>234.6</v>
      </c>
      <c r="D2735" s="1">
        <f ca="1">IFERROR(__xludf.DUMMYFUNCTION("""COMPUTED_VALUE"""),229.19)</f>
        <v>229.19</v>
      </c>
      <c r="E2735" s="1">
        <f ca="1">IFERROR(__xludf.DUMMYFUNCTION("""COMPUTED_VALUE"""),232.87)</f>
        <v>232.87</v>
      </c>
      <c r="F2735" s="1">
        <f ca="1">IFERROR(__xludf.DUMMYFUNCTION("""COMPUTED_VALUE"""),59919018)</f>
        <v>59919018</v>
      </c>
    </row>
    <row r="2736" spans="1:6" x14ac:dyDescent="0.35">
      <c r="A2736" s="2">
        <f ca="1">IFERROR(__xludf.DUMMYFUNCTION("""COMPUTED_VALUE"""),45979.6666666666)</f>
        <v>45979.666666666599</v>
      </c>
      <c r="B2736" s="1">
        <f ca="1">IFERROR(__xludf.DUMMYFUNCTION("""COMPUTED_VALUE"""),228.1)</f>
        <v>228.1</v>
      </c>
      <c r="C2736" s="1">
        <f ca="1">IFERROR(__xludf.DUMMYFUNCTION("""COMPUTED_VALUE"""),230.2)</f>
        <v>230.2</v>
      </c>
      <c r="D2736" s="1">
        <f ca="1">IFERROR(__xludf.DUMMYFUNCTION("""COMPUTED_VALUE"""),222.42)</f>
        <v>222.42</v>
      </c>
      <c r="E2736" s="1">
        <f ca="1">IFERROR(__xludf.DUMMYFUNCTION("""COMPUTED_VALUE"""),222.55)</f>
        <v>222.55</v>
      </c>
      <c r="F2736" s="1">
        <f ca="1">IFERROR(__xludf.DUMMYFUNCTION("""COMPUTED_VALUE"""),60608442)</f>
        <v>60608442</v>
      </c>
    </row>
    <row r="2737" spans="1:6" x14ac:dyDescent="0.35">
      <c r="A2737" s="2">
        <f ca="1">IFERROR(__xludf.DUMMYFUNCTION("""COMPUTED_VALUE"""),45980.6666666666)</f>
        <v>45980.666666666599</v>
      </c>
      <c r="B2737" s="1">
        <f ca="1">IFERROR(__xludf.DUMMYFUNCTION("""COMPUTED_VALUE"""),223.74)</f>
        <v>223.74</v>
      </c>
      <c r="C2737" s="1">
        <f ca="1">IFERROR(__xludf.DUMMYFUNCTION("""COMPUTED_VALUE"""),223.74)</f>
        <v>223.74</v>
      </c>
      <c r="D2737" s="1">
        <f ca="1">IFERROR(__xludf.DUMMYFUNCTION("""COMPUTED_VALUE"""),218.52)</f>
        <v>218.52</v>
      </c>
      <c r="E2737" s="1">
        <f ca="1">IFERROR(__xludf.DUMMYFUNCTION("""COMPUTED_VALUE"""),222.69)</f>
        <v>222.69</v>
      </c>
      <c r="F2737" s="1">
        <f ca="1">IFERROR(__xludf.DUMMYFUNCTION("""COMPUTED_VALUE"""),58335643)</f>
        <v>58335643</v>
      </c>
    </row>
    <row r="2738" spans="1:6" x14ac:dyDescent="0.35">
      <c r="A2738" s="2">
        <f ca="1">IFERROR(__xludf.DUMMYFUNCTION("""COMPUTED_VALUE"""),45981.6666666666)</f>
        <v>45981.666666666599</v>
      </c>
      <c r="B2738" s="1">
        <f ca="1">IFERROR(__xludf.DUMMYFUNCTION("""COMPUTED_VALUE"""),227.05)</f>
        <v>227.05</v>
      </c>
      <c r="C2738" s="1">
        <f ca="1">IFERROR(__xludf.DUMMYFUNCTION("""COMPUTED_VALUE"""),227.41)</f>
        <v>227.41</v>
      </c>
      <c r="D2738" s="1">
        <f ca="1">IFERROR(__xludf.DUMMYFUNCTION("""COMPUTED_VALUE"""),216.74)</f>
        <v>216.74</v>
      </c>
      <c r="E2738" s="1">
        <f ca="1">IFERROR(__xludf.DUMMYFUNCTION("""COMPUTED_VALUE"""),217.14)</f>
        <v>217.14</v>
      </c>
      <c r="F2738" s="1">
        <f ca="1">IFERROR(__xludf.DUMMYFUNCTION("""COMPUTED_VALUE"""),50308962)</f>
        <v>50308962</v>
      </c>
    </row>
    <row r="2739" spans="1:6" x14ac:dyDescent="0.35">
      <c r="A2739" s="2">
        <f ca="1">IFERROR(__xludf.DUMMYFUNCTION("""COMPUTED_VALUE"""),45982.6666666666)</f>
        <v>45982.666666666599</v>
      </c>
      <c r="B2739" s="1">
        <f ca="1">IFERROR(__xludf.DUMMYFUNCTION("""COMPUTED_VALUE"""),216.35)</f>
        <v>216.35</v>
      </c>
      <c r="C2739" s="1">
        <f ca="1">IFERROR(__xludf.DUMMYFUNCTION("""COMPUTED_VALUE"""),222.21)</f>
        <v>222.21</v>
      </c>
      <c r="D2739" s="1">
        <f ca="1">IFERROR(__xludf.DUMMYFUNCTION("""COMPUTED_VALUE"""),215.18)</f>
        <v>215.18</v>
      </c>
      <c r="E2739" s="1">
        <f ca="1">IFERROR(__xludf.DUMMYFUNCTION("""COMPUTED_VALUE"""),220.69)</f>
        <v>220.69</v>
      </c>
      <c r="F2739" s="1">
        <f ca="1">IFERROR(__xludf.DUMMYFUNCTION("""COMPUTED_VALUE"""),68490464)</f>
        <v>68490464</v>
      </c>
    </row>
    <row r="2740" spans="1:6" x14ac:dyDescent="0.35">
      <c r="A2740" s="2">
        <f ca="1">IFERROR(__xludf.DUMMYFUNCTION("""COMPUTED_VALUE"""),45985.6666666666)</f>
        <v>45985.666666666599</v>
      </c>
      <c r="B2740" s="1">
        <f ca="1">IFERROR(__xludf.DUMMYFUNCTION("""COMPUTED_VALUE"""),222.56)</f>
        <v>222.56</v>
      </c>
      <c r="C2740" s="1">
        <f ca="1">IFERROR(__xludf.DUMMYFUNCTION("""COMPUTED_VALUE"""),227.33)</f>
        <v>227.33</v>
      </c>
      <c r="D2740" s="1">
        <f ca="1">IFERROR(__xludf.DUMMYFUNCTION("""COMPUTED_VALUE"""),222.27)</f>
        <v>222.27</v>
      </c>
      <c r="E2740" s="1">
        <f ca="1">IFERROR(__xludf.DUMMYFUNCTION("""COMPUTED_VALUE"""),226.28)</f>
        <v>226.28</v>
      </c>
      <c r="F2740" s="1">
        <f ca="1">IFERROR(__xludf.DUMMYFUNCTION("""COMPUTED_VALUE"""),52757452)</f>
        <v>52757452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739"/>
  <sheetViews>
    <sheetView workbookViewId="0"/>
  </sheetViews>
  <sheetFormatPr defaultColWidth="12.59765625" defaultRowHeight="15.75" customHeight="1" x14ac:dyDescent="0.35"/>
  <cols>
    <col min="1" max="1" width="18.33203125" bestFit="1" customWidth="1"/>
  </cols>
  <sheetData>
    <row r="1" spans="1:6" x14ac:dyDescent="0.35">
      <c r="A1" s="1" t="str">
        <f ca="1">IFERROR(__xludf.DUMMYFUNCTION("GOOGLEFINANCE(""GOOGL"",""all"",DATE(2015,1,1),TODAY())"),"Date")</f>
        <v>Date</v>
      </c>
      <c r="B1" s="1" t="str">
        <f ca="1">IFERROR(__xludf.DUMMYFUNCTION("""COMPUTED_VALUE"""),"Open")</f>
        <v>Open</v>
      </c>
      <c r="C1" s="1" t="str">
        <f ca="1">IFERROR(__xludf.DUMMYFUNCTION("""COMPUTED_VALUE"""),"High")</f>
        <v>High</v>
      </c>
      <c r="D1" s="1" t="str">
        <f ca="1">IFERROR(__xludf.DUMMYFUNCTION("""COMPUTED_VALUE"""),"Low")</f>
        <v>Low</v>
      </c>
      <c r="E1" s="1" t="str">
        <f ca="1">IFERROR(__xludf.DUMMYFUNCTION("""COMPUTED_VALUE"""),"Close")</f>
        <v>Close</v>
      </c>
      <c r="F1" s="1" t="str">
        <f ca="1">IFERROR(__xludf.DUMMYFUNCTION("""COMPUTED_VALUE"""),"Volume")</f>
        <v>Volume</v>
      </c>
    </row>
    <row r="2" spans="1:6" x14ac:dyDescent="0.35">
      <c r="A2" s="2">
        <f ca="1">IFERROR(__xludf.DUMMYFUNCTION("""COMPUTED_VALUE"""),42006.6666666666)</f>
        <v>42006.666666666599</v>
      </c>
      <c r="B2" s="1">
        <f ca="1">IFERROR(__xludf.DUMMYFUNCTION("""COMPUTED_VALUE"""),26.63)</f>
        <v>26.63</v>
      </c>
      <c r="C2" s="1">
        <f ca="1">IFERROR(__xludf.DUMMYFUNCTION("""COMPUTED_VALUE"""),26.79)</f>
        <v>26.79</v>
      </c>
      <c r="D2" s="1">
        <f ca="1">IFERROR(__xludf.DUMMYFUNCTION("""COMPUTED_VALUE"""),26.39)</f>
        <v>26.39</v>
      </c>
      <c r="E2" s="1">
        <f ca="1">IFERROR(__xludf.DUMMYFUNCTION("""COMPUTED_VALUE"""),26.48)</f>
        <v>26.48</v>
      </c>
      <c r="F2" s="1">
        <f ca="1">IFERROR(__xludf.DUMMYFUNCTION("""COMPUTED_VALUE"""),1327870)</f>
        <v>1327870</v>
      </c>
    </row>
    <row r="3" spans="1:6" x14ac:dyDescent="0.35">
      <c r="A3" s="2">
        <f ca="1">IFERROR(__xludf.DUMMYFUNCTION("""COMPUTED_VALUE"""),42009.6666666666)</f>
        <v>42009.666666666599</v>
      </c>
      <c r="B3" s="1">
        <f ca="1">IFERROR(__xludf.DUMMYFUNCTION("""COMPUTED_VALUE"""),26.36)</f>
        <v>26.36</v>
      </c>
      <c r="C3" s="1">
        <f ca="1">IFERROR(__xludf.DUMMYFUNCTION("""COMPUTED_VALUE"""),26.4)</f>
        <v>26.4</v>
      </c>
      <c r="D3" s="1">
        <f ca="1">IFERROR(__xludf.DUMMYFUNCTION("""COMPUTED_VALUE"""),25.89)</f>
        <v>25.89</v>
      </c>
      <c r="E3" s="1">
        <f ca="1">IFERROR(__xludf.DUMMYFUNCTION("""COMPUTED_VALUE"""),25.97)</f>
        <v>25.97</v>
      </c>
      <c r="F3" s="1">
        <f ca="1">IFERROR(__xludf.DUMMYFUNCTION("""COMPUTED_VALUE"""),2059119)</f>
        <v>2059119</v>
      </c>
    </row>
    <row r="4" spans="1:6" x14ac:dyDescent="0.35">
      <c r="A4" s="2">
        <f ca="1">IFERROR(__xludf.DUMMYFUNCTION("""COMPUTED_VALUE"""),42010.6666666666)</f>
        <v>42010.666666666599</v>
      </c>
      <c r="B4" s="1">
        <f ca="1">IFERROR(__xludf.DUMMYFUNCTION("""COMPUTED_VALUE"""),26.02)</f>
        <v>26.02</v>
      </c>
      <c r="C4" s="1">
        <f ca="1">IFERROR(__xludf.DUMMYFUNCTION("""COMPUTED_VALUE"""),26.06)</f>
        <v>26.06</v>
      </c>
      <c r="D4" s="1">
        <f ca="1">IFERROR(__xludf.DUMMYFUNCTION("""COMPUTED_VALUE"""),25.28)</f>
        <v>25.28</v>
      </c>
      <c r="E4" s="1">
        <f ca="1">IFERROR(__xludf.DUMMYFUNCTION("""COMPUTED_VALUE"""),25.33)</f>
        <v>25.33</v>
      </c>
      <c r="F4" s="1">
        <f ca="1">IFERROR(__xludf.DUMMYFUNCTION("""COMPUTED_VALUE"""),2731813)</f>
        <v>2731813</v>
      </c>
    </row>
    <row r="5" spans="1:6" x14ac:dyDescent="0.35">
      <c r="A5" s="2">
        <f ca="1">IFERROR(__xludf.DUMMYFUNCTION("""COMPUTED_VALUE"""),42011.6666666666)</f>
        <v>42011.666666666599</v>
      </c>
      <c r="B5" s="1">
        <f ca="1">IFERROR(__xludf.DUMMYFUNCTION("""COMPUTED_VALUE"""),25.55)</f>
        <v>25.55</v>
      </c>
      <c r="C5" s="1">
        <f ca="1">IFERROR(__xludf.DUMMYFUNCTION("""COMPUTED_VALUE"""),25.57)</f>
        <v>25.57</v>
      </c>
      <c r="D5" s="1">
        <f ca="1">IFERROR(__xludf.DUMMYFUNCTION("""COMPUTED_VALUE"""),25.18)</f>
        <v>25.18</v>
      </c>
      <c r="E5" s="1">
        <f ca="1">IFERROR(__xludf.DUMMYFUNCTION("""COMPUTED_VALUE"""),25.26)</f>
        <v>25.26</v>
      </c>
      <c r="F5" s="1">
        <f ca="1">IFERROR(__xludf.DUMMYFUNCTION("""COMPUTED_VALUE"""),2345875)</f>
        <v>2345875</v>
      </c>
    </row>
    <row r="6" spans="1:6" x14ac:dyDescent="0.35">
      <c r="A6" s="2">
        <f ca="1">IFERROR(__xludf.DUMMYFUNCTION("""COMPUTED_VALUE"""),42012.6666666666)</f>
        <v>42012.666666666599</v>
      </c>
      <c r="B6" s="1">
        <f ca="1">IFERROR(__xludf.DUMMYFUNCTION("""COMPUTED_VALUE"""),25.08)</f>
        <v>25.08</v>
      </c>
      <c r="C6" s="1">
        <f ca="1">IFERROR(__xludf.DUMMYFUNCTION("""COMPUTED_VALUE"""),25.38)</f>
        <v>25.38</v>
      </c>
      <c r="D6" s="1">
        <f ca="1">IFERROR(__xludf.DUMMYFUNCTION("""COMPUTED_VALUE"""),24.75)</f>
        <v>24.75</v>
      </c>
      <c r="E6" s="1">
        <f ca="1">IFERROR(__xludf.DUMMYFUNCTION("""COMPUTED_VALUE"""),25.35)</f>
        <v>25.35</v>
      </c>
      <c r="F6" s="1">
        <f ca="1">IFERROR(__xludf.DUMMYFUNCTION("""COMPUTED_VALUE"""),3662224)</f>
        <v>3662224</v>
      </c>
    </row>
    <row r="7" spans="1:6" x14ac:dyDescent="0.35">
      <c r="A7" s="2">
        <f ca="1">IFERROR(__xludf.DUMMYFUNCTION("""COMPUTED_VALUE"""),42013.6666666666)</f>
        <v>42013.666666666599</v>
      </c>
      <c r="B7" s="1">
        <f ca="1">IFERROR(__xludf.DUMMYFUNCTION("""COMPUTED_VALUE"""),25.42)</f>
        <v>25.42</v>
      </c>
      <c r="C7" s="1">
        <f ca="1">IFERROR(__xludf.DUMMYFUNCTION("""COMPUTED_VALUE"""),25.43)</f>
        <v>25.43</v>
      </c>
      <c r="D7" s="1">
        <f ca="1">IFERROR(__xludf.DUMMYFUNCTION("""COMPUTED_VALUE"""),24.93)</f>
        <v>24.93</v>
      </c>
      <c r="E7" s="1">
        <f ca="1">IFERROR(__xludf.DUMMYFUNCTION("""COMPUTED_VALUE"""),25.04)</f>
        <v>25.04</v>
      </c>
      <c r="F7" s="1">
        <f ca="1">IFERROR(__xludf.DUMMYFUNCTION("""COMPUTED_VALUE"""),2100024)</f>
        <v>2100024</v>
      </c>
    </row>
    <row r="8" spans="1:6" x14ac:dyDescent="0.35">
      <c r="A8" s="2">
        <f ca="1">IFERROR(__xludf.DUMMYFUNCTION("""COMPUTED_VALUE"""),42016.6666666666)</f>
        <v>42016.666666666599</v>
      </c>
      <c r="B8" s="1">
        <f ca="1">IFERROR(__xludf.DUMMYFUNCTION("""COMPUTED_VALUE"""),24.96)</f>
        <v>24.96</v>
      </c>
      <c r="C8" s="1">
        <f ca="1">IFERROR(__xludf.DUMMYFUNCTION("""COMPUTED_VALUE"""),25.01)</f>
        <v>25.01</v>
      </c>
      <c r="D8" s="1">
        <f ca="1">IFERROR(__xludf.DUMMYFUNCTION("""COMPUTED_VALUE"""),24.55)</f>
        <v>24.55</v>
      </c>
      <c r="E8" s="1">
        <f ca="1">IFERROR(__xludf.DUMMYFUNCTION("""COMPUTED_VALUE"""),24.85)</f>
        <v>24.85</v>
      </c>
      <c r="F8" s="1">
        <f ca="1">IFERROR(__xludf.DUMMYFUNCTION("""COMPUTED_VALUE"""),2856938)</f>
        <v>2856938</v>
      </c>
    </row>
    <row r="9" spans="1:6" x14ac:dyDescent="0.35">
      <c r="A9" s="2">
        <f ca="1">IFERROR(__xludf.DUMMYFUNCTION("""COMPUTED_VALUE"""),42017.6666666666)</f>
        <v>42017.666666666599</v>
      </c>
      <c r="B9" s="1">
        <f ca="1">IFERROR(__xludf.DUMMYFUNCTION("""COMPUTED_VALUE"""),25.12)</f>
        <v>25.12</v>
      </c>
      <c r="C9" s="1">
        <f ca="1">IFERROR(__xludf.DUMMYFUNCTION("""COMPUTED_VALUE"""),25.43)</f>
        <v>25.43</v>
      </c>
      <c r="D9" s="1">
        <f ca="1">IFERROR(__xludf.DUMMYFUNCTION("""COMPUTED_VALUE"""),24.86)</f>
        <v>24.86</v>
      </c>
      <c r="E9" s="1">
        <f ca="1">IFERROR(__xludf.DUMMYFUNCTION("""COMPUTED_VALUE"""),25.09)</f>
        <v>25.09</v>
      </c>
      <c r="F9" s="1">
        <f ca="1">IFERROR(__xludf.DUMMYFUNCTION("""COMPUTED_VALUE"""),3050295)</f>
        <v>3050295</v>
      </c>
    </row>
    <row r="10" spans="1:6" x14ac:dyDescent="0.35">
      <c r="A10" s="2">
        <f ca="1">IFERROR(__xludf.DUMMYFUNCTION("""COMPUTED_VALUE"""),42018.6666666666)</f>
        <v>42018.666666666599</v>
      </c>
      <c r="B10" s="1">
        <f ca="1">IFERROR(__xludf.DUMMYFUNCTION("""COMPUTED_VALUE"""),25.02)</f>
        <v>25.02</v>
      </c>
      <c r="C10" s="1">
        <f ca="1">IFERROR(__xludf.DUMMYFUNCTION("""COMPUTED_VALUE"""),25.41)</f>
        <v>25.41</v>
      </c>
      <c r="D10" s="1">
        <f ca="1">IFERROR(__xludf.DUMMYFUNCTION("""COMPUTED_VALUE"""),24.91)</f>
        <v>24.91</v>
      </c>
      <c r="E10" s="1">
        <f ca="1">IFERROR(__xludf.DUMMYFUNCTION("""COMPUTED_VALUE"""),25.3)</f>
        <v>25.3</v>
      </c>
      <c r="F10" s="1">
        <f ca="1">IFERROR(__xludf.DUMMYFUNCTION("""COMPUTED_VALUE"""),2639959)</f>
        <v>2639959</v>
      </c>
    </row>
    <row r="11" spans="1:6" x14ac:dyDescent="0.35">
      <c r="A11" s="2">
        <f ca="1">IFERROR(__xludf.DUMMYFUNCTION("""COMPUTED_VALUE"""),42019.6666666666)</f>
        <v>42019.666666666599</v>
      </c>
      <c r="B11" s="1">
        <f ca="1">IFERROR(__xludf.DUMMYFUNCTION("""COMPUTED_VALUE"""),25.45)</f>
        <v>25.45</v>
      </c>
      <c r="C11" s="1">
        <f ca="1">IFERROR(__xludf.DUMMYFUNCTION("""COMPUTED_VALUE"""),25.49)</f>
        <v>25.49</v>
      </c>
      <c r="D11" s="1">
        <f ca="1">IFERROR(__xludf.DUMMYFUNCTION("""COMPUTED_VALUE"""),25.1)</f>
        <v>25.1</v>
      </c>
      <c r="E11" s="1">
        <f ca="1">IFERROR(__xludf.DUMMYFUNCTION("""COMPUTED_VALUE"""),25.2)</f>
        <v>25.2</v>
      </c>
      <c r="F11" s="1">
        <f ca="1">IFERROR(__xludf.DUMMYFUNCTION("""COMPUTED_VALUE"""),2556682)</f>
        <v>2556682</v>
      </c>
    </row>
    <row r="12" spans="1:6" x14ac:dyDescent="0.35">
      <c r="A12" s="2">
        <f ca="1">IFERROR(__xludf.DUMMYFUNCTION("""COMPUTED_VALUE"""),42020.6666666666)</f>
        <v>42020.666666666599</v>
      </c>
      <c r="B12" s="1">
        <f ca="1">IFERROR(__xludf.DUMMYFUNCTION("""COMPUTED_VALUE"""),25.17)</f>
        <v>25.17</v>
      </c>
      <c r="C12" s="1">
        <f ca="1">IFERROR(__xludf.DUMMYFUNCTION("""COMPUTED_VALUE"""),25.54)</f>
        <v>25.54</v>
      </c>
      <c r="D12" s="1">
        <f ca="1">IFERROR(__xludf.DUMMYFUNCTION("""COMPUTED_VALUE"""),25.15)</f>
        <v>25.15</v>
      </c>
      <c r="E12" s="1">
        <f ca="1">IFERROR(__xludf.DUMMYFUNCTION("""COMPUTED_VALUE"""),25.52)</f>
        <v>25.52</v>
      </c>
      <c r="F12" s="1">
        <f ca="1">IFERROR(__xludf.DUMMYFUNCTION("""COMPUTED_VALUE"""),2482858)</f>
        <v>2482858</v>
      </c>
    </row>
    <row r="13" spans="1:6" x14ac:dyDescent="0.35">
      <c r="A13" s="2">
        <f ca="1">IFERROR(__xludf.DUMMYFUNCTION("""COMPUTED_VALUE"""),42024.6666666666)</f>
        <v>42024.666666666599</v>
      </c>
      <c r="B13" s="1">
        <f ca="1">IFERROR(__xludf.DUMMYFUNCTION("""COMPUTED_VALUE"""),25.64)</f>
        <v>25.64</v>
      </c>
      <c r="C13" s="1">
        <f ca="1">IFERROR(__xludf.DUMMYFUNCTION("""COMPUTED_VALUE"""),25.78)</f>
        <v>25.78</v>
      </c>
      <c r="D13" s="1">
        <f ca="1">IFERROR(__xludf.DUMMYFUNCTION("""COMPUTED_VALUE"""),25.47)</f>
        <v>25.47</v>
      </c>
      <c r="E13" s="1">
        <f ca="1">IFERROR(__xludf.DUMMYFUNCTION("""COMPUTED_VALUE"""),25.5)</f>
        <v>25.5</v>
      </c>
      <c r="F13" s="1">
        <f ca="1">IFERROR(__xludf.DUMMYFUNCTION("""COMPUTED_VALUE"""),2343612)</f>
        <v>2343612</v>
      </c>
    </row>
    <row r="14" spans="1:6" x14ac:dyDescent="0.35">
      <c r="A14" s="2">
        <f ca="1">IFERROR(__xludf.DUMMYFUNCTION("""COMPUTED_VALUE"""),42025.6666666666)</f>
        <v>42025.666666666599</v>
      </c>
      <c r="B14" s="1">
        <f ca="1">IFERROR(__xludf.DUMMYFUNCTION("""COMPUTED_VALUE"""),25.54)</f>
        <v>25.54</v>
      </c>
      <c r="C14" s="1">
        <f ca="1">IFERROR(__xludf.DUMMYFUNCTION("""COMPUTED_VALUE"""),26.09)</f>
        <v>26.09</v>
      </c>
      <c r="D14" s="1">
        <f ca="1">IFERROR(__xludf.DUMMYFUNCTION("""COMPUTED_VALUE"""),25.48)</f>
        <v>25.48</v>
      </c>
      <c r="E14" s="1">
        <f ca="1">IFERROR(__xludf.DUMMYFUNCTION("""COMPUTED_VALUE"""),26.02)</f>
        <v>26.02</v>
      </c>
      <c r="F14" s="1">
        <f ca="1">IFERROR(__xludf.DUMMYFUNCTION("""COMPUTED_VALUE"""),2317789)</f>
        <v>2317789</v>
      </c>
    </row>
    <row r="15" spans="1:6" x14ac:dyDescent="0.35">
      <c r="A15" s="2">
        <f ca="1">IFERROR(__xludf.DUMMYFUNCTION("""COMPUTED_VALUE"""),42026.6666666666)</f>
        <v>42026.666666666599</v>
      </c>
      <c r="B15" s="1">
        <f ca="1">IFERROR(__xludf.DUMMYFUNCTION("""COMPUTED_VALUE"""),26.17)</f>
        <v>26.17</v>
      </c>
      <c r="C15" s="1">
        <f ca="1">IFERROR(__xludf.DUMMYFUNCTION("""COMPUTED_VALUE"""),26.94)</f>
        <v>26.94</v>
      </c>
      <c r="D15" s="1">
        <f ca="1">IFERROR(__xludf.DUMMYFUNCTION("""COMPUTED_VALUE"""),26.1)</f>
        <v>26.1</v>
      </c>
      <c r="E15" s="1">
        <f ca="1">IFERROR(__xludf.DUMMYFUNCTION("""COMPUTED_VALUE"""),26.87)</f>
        <v>26.87</v>
      </c>
      <c r="F15" s="1">
        <f ca="1">IFERROR(__xludf.DUMMYFUNCTION("""COMPUTED_VALUE"""),2803401)</f>
        <v>2803401</v>
      </c>
    </row>
    <row r="16" spans="1:6" x14ac:dyDescent="0.35">
      <c r="A16" s="2">
        <f ca="1">IFERROR(__xludf.DUMMYFUNCTION("""COMPUTED_VALUE"""),42027.6666666666)</f>
        <v>42027.666666666599</v>
      </c>
      <c r="B16" s="1">
        <f ca="1">IFERROR(__xludf.DUMMYFUNCTION("""COMPUTED_VALUE"""),26.9)</f>
        <v>26.9</v>
      </c>
      <c r="C16" s="1">
        <f ca="1">IFERROR(__xludf.DUMMYFUNCTION("""COMPUTED_VALUE"""),27.27)</f>
        <v>27.27</v>
      </c>
      <c r="D16" s="1">
        <f ca="1">IFERROR(__xludf.DUMMYFUNCTION("""COMPUTED_VALUE"""),26.79)</f>
        <v>26.79</v>
      </c>
      <c r="E16" s="1">
        <f ca="1">IFERROR(__xludf.DUMMYFUNCTION("""COMPUTED_VALUE"""),27.1)</f>
        <v>27.1</v>
      </c>
      <c r="F16" s="1">
        <f ca="1">IFERROR(__xludf.DUMMYFUNCTION("""COMPUTED_VALUE"""),2298290)</f>
        <v>2298290</v>
      </c>
    </row>
    <row r="17" spans="1:6" x14ac:dyDescent="0.35">
      <c r="A17" s="2">
        <f ca="1">IFERROR(__xludf.DUMMYFUNCTION("""COMPUTED_VALUE"""),42030.6666666666)</f>
        <v>42030.666666666599</v>
      </c>
      <c r="B17" s="1">
        <f ca="1">IFERROR(__xludf.DUMMYFUNCTION("""COMPUTED_VALUE"""),27.06)</f>
        <v>27.06</v>
      </c>
      <c r="C17" s="1">
        <f ca="1">IFERROR(__xludf.DUMMYFUNCTION("""COMPUTED_VALUE"""),27.08)</f>
        <v>27.08</v>
      </c>
      <c r="D17" s="1">
        <f ca="1">IFERROR(__xludf.DUMMYFUNCTION("""COMPUTED_VALUE"""),26.6)</f>
        <v>26.6</v>
      </c>
      <c r="E17" s="1">
        <f ca="1">IFERROR(__xludf.DUMMYFUNCTION("""COMPUTED_VALUE"""),26.84)</f>
        <v>26.84</v>
      </c>
      <c r="F17" s="1">
        <f ca="1">IFERROR(__xludf.DUMMYFUNCTION("""COMPUTED_VALUE"""),1546563)</f>
        <v>1546563</v>
      </c>
    </row>
    <row r="18" spans="1:6" x14ac:dyDescent="0.35">
      <c r="A18" s="2">
        <f ca="1">IFERROR(__xludf.DUMMYFUNCTION("""COMPUTED_VALUE"""),42031.6666666666)</f>
        <v>42031.666666666599</v>
      </c>
      <c r="B18" s="1">
        <f ca="1">IFERROR(__xludf.DUMMYFUNCTION("""COMPUTED_VALUE"""),26.57)</f>
        <v>26.57</v>
      </c>
      <c r="C18" s="1">
        <f ca="1">IFERROR(__xludf.DUMMYFUNCTION("""COMPUTED_VALUE"""),26.64)</f>
        <v>26.64</v>
      </c>
      <c r="D18" s="1">
        <f ca="1">IFERROR(__xludf.DUMMYFUNCTION("""COMPUTED_VALUE"""),26.04)</f>
        <v>26.04</v>
      </c>
      <c r="E18" s="1">
        <f ca="1">IFERROR(__xludf.DUMMYFUNCTION("""COMPUTED_VALUE"""),26.06)</f>
        <v>26.06</v>
      </c>
      <c r="F18" s="1">
        <f ca="1">IFERROR(__xludf.DUMMYFUNCTION("""COMPUTED_VALUE"""),1957440)</f>
        <v>1957440</v>
      </c>
    </row>
    <row r="19" spans="1:6" x14ac:dyDescent="0.35">
      <c r="A19" s="2">
        <f ca="1">IFERROR(__xludf.DUMMYFUNCTION("""COMPUTED_VALUE"""),42032.6666666666)</f>
        <v>42032.666666666599</v>
      </c>
      <c r="B19" s="1">
        <f ca="1">IFERROR(__xludf.DUMMYFUNCTION("""COMPUTED_VALUE"""),26.28)</f>
        <v>26.28</v>
      </c>
      <c r="C19" s="1">
        <f ca="1">IFERROR(__xludf.DUMMYFUNCTION("""COMPUTED_VALUE"""),26.28)</f>
        <v>26.28</v>
      </c>
      <c r="D19" s="1">
        <f ca="1">IFERROR(__xludf.DUMMYFUNCTION("""COMPUTED_VALUE"""),25.62)</f>
        <v>25.62</v>
      </c>
      <c r="E19" s="1">
        <f ca="1">IFERROR(__xludf.DUMMYFUNCTION("""COMPUTED_VALUE"""),25.62)</f>
        <v>25.62</v>
      </c>
      <c r="F19" s="1">
        <f ca="1">IFERROR(__xludf.DUMMYFUNCTION("""COMPUTED_VALUE"""),1791077)</f>
        <v>1791077</v>
      </c>
    </row>
    <row r="20" spans="1:6" x14ac:dyDescent="0.35">
      <c r="A20" s="2">
        <f ca="1">IFERROR(__xludf.DUMMYFUNCTION("""COMPUTED_VALUE"""),42033.6666666666)</f>
        <v>42033.666666666599</v>
      </c>
      <c r="B20" s="1">
        <f ca="1">IFERROR(__xludf.DUMMYFUNCTION("""COMPUTED_VALUE"""),25.66)</f>
        <v>25.66</v>
      </c>
      <c r="C20" s="1">
        <f ca="1">IFERROR(__xludf.DUMMYFUNCTION("""COMPUTED_VALUE"""),25.76)</f>
        <v>25.76</v>
      </c>
      <c r="D20" s="1">
        <f ca="1">IFERROR(__xludf.DUMMYFUNCTION("""COMPUTED_VALUE"""),25.17)</f>
        <v>25.17</v>
      </c>
      <c r="E20" s="1">
        <f ca="1">IFERROR(__xludf.DUMMYFUNCTION("""COMPUTED_VALUE"""),25.66)</f>
        <v>25.66</v>
      </c>
      <c r="F20" s="1">
        <f ca="1">IFERROR(__xludf.DUMMYFUNCTION("""COMPUTED_VALUE"""),3950857)</f>
        <v>3950857</v>
      </c>
    </row>
    <row r="21" spans="1:6" x14ac:dyDescent="0.35">
      <c r="A21" s="2">
        <f ca="1">IFERROR(__xludf.DUMMYFUNCTION("""COMPUTED_VALUE"""),42034.6666666666)</f>
        <v>42034.666666666599</v>
      </c>
      <c r="B21" s="1">
        <f ca="1">IFERROR(__xludf.DUMMYFUNCTION("""COMPUTED_VALUE"""),25.95)</f>
        <v>25.95</v>
      </c>
      <c r="C21" s="1">
        <f ca="1">IFERROR(__xludf.DUMMYFUNCTION("""COMPUTED_VALUE"""),27.16)</f>
        <v>27.16</v>
      </c>
      <c r="D21" s="1">
        <f ca="1">IFERROR(__xludf.DUMMYFUNCTION("""COMPUTED_VALUE"""),25.91)</f>
        <v>25.91</v>
      </c>
      <c r="E21" s="1">
        <f ca="1">IFERROR(__xludf.DUMMYFUNCTION("""COMPUTED_VALUE"""),26.88)</f>
        <v>26.88</v>
      </c>
      <c r="F21" s="1">
        <f ca="1">IFERROR(__xludf.DUMMYFUNCTION("""COMPUTED_VALUE"""),6055445)</f>
        <v>6055445</v>
      </c>
    </row>
    <row r="22" spans="1:6" x14ac:dyDescent="0.35">
      <c r="A22" s="2">
        <f ca="1">IFERROR(__xludf.DUMMYFUNCTION("""COMPUTED_VALUE"""),42037.6666666666)</f>
        <v>42037.666666666599</v>
      </c>
      <c r="B22" s="1">
        <f ca="1">IFERROR(__xludf.DUMMYFUNCTION("""COMPUTED_VALUE"""),26.71)</f>
        <v>26.71</v>
      </c>
      <c r="C22" s="1">
        <f ca="1">IFERROR(__xludf.DUMMYFUNCTION("""COMPUTED_VALUE"""),26.83)</f>
        <v>26.83</v>
      </c>
      <c r="D22" s="1">
        <f ca="1">IFERROR(__xludf.DUMMYFUNCTION("""COMPUTED_VALUE"""),26.09)</f>
        <v>26.09</v>
      </c>
      <c r="E22" s="1">
        <f ca="1">IFERROR(__xludf.DUMMYFUNCTION("""COMPUTED_VALUE"""),26.61)</f>
        <v>26.61</v>
      </c>
      <c r="F22" s="1">
        <f ca="1">IFERROR(__xludf.DUMMYFUNCTION("""COMPUTED_VALUE"""),3768861)</f>
        <v>3768861</v>
      </c>
    </row>
    <row r="23" spans="1:6" x14ac:dyDescent="0.35">
      <c r="A23" s="2">
        <f ca="1">IFERROR(__xludf.DUMMYFUNCTION("""COMPUTED_VALUE"""),42038.6666666666)</f>
        <v>42038.666666666599</v>
      </c>
      <c r="B23" s="1">
        <f ca="1">IFERROR(__xludf.DUMMYFUNCTION("""COMPUTED_VALUE"""),26.5)</f>
        <v>26.5</v>
      </c>
      <c r="C23" s="1">
        <f ca="1">IFERROR(__xludf.DUMMYFUNCTION("""COMPUTED_VALUE"""),26.87)</f>
        <v>26.87</v>
      </c>
      <c r="D23" s="1">
        <f ca="1">IFERROR(__xludf.DUMMYFUNCTION("""COMPUTED_VALUE"""),26.34)</f>
        <v>26.34</v>
      </c>
      <c r="E23" s="1">
        <f ca="1">IFERROR(__xludf.DUMMYFUNCTION("""COMPUTED_VALUE"""),26.67)</f>
        <v>26.67</v>
      </c>
      <c r="F23" s="1">
        <f ca="1">IFERROR(__xludf.DUMMYFUNCTION("""COMPUTED_VALUE"""),2353096)</f>
        <v>2353096</v>
      </c>
    </row>
    <row r="24" spans="1:6" x14ac:dyDescent="0.35">
      <c r="A24" s="2">
        <f ca="1">IFERROR(__xludf.DUMMYFUNCTION("""COMPUTED_VALUE"""),42039.6666666666)</f>
        <v>42039.666666666599</v>
      </c>
      <c r="B24" s="1">
        <f ca="1">IFERROR(__xludf.DUMMYFUNCTION("""COMPUTED_VALUE"""),26.67)</f>
        <v>26.67</v>
      </c>
      <c r="C24" s="1">
        <f ca="1">IFERROR(__xludf.DUMMYFUNCTION("""COMPUTED_VALUE"""),26.84)</f>
        <v>26.84</v>
      </c>
      <c r="D24" s="1">
        <f ca="1">IFERROR(__xludf.DUMMYFUNCTION("""COMPUTED_VALUE"""),26.25)</f>
        <v>26.25</v>
      </c>
      <c r="E24" s="1">
        <f ca="1">IFERROR(__xludf.DUMMYFUNCTION("""COMPUTED_VALUE"""),26.31)</f>
        <v>26.31</v>
      </c>
      <c r="F24" s="1">
        <f ca="1">IFERROR(__xludf.DUMMYFUNCTION("""COMPUTED_VALUE"""),1694832)</f>
        <v>1694832</v>
      </c>
    </row>
    <row r="25" spans="1:6" x14ac:dyDescent="0.35">
      <c r="A25" s="2">
        <f ca="1">IFERROR(__xludf.DUMMYFUNCTION("""COMPUTED_VALUE"""),42040.6666666666)</f>
        <v>42040.666666666599</v>
      </c>
      <c r="B25" s="1">
        <f ca="1">IFERROR(__xludf.DUMMYFUNCTION("""COMPUTED_VALUE"""),26.4)</f>
        <v>26.4</v>
      </c>
      <c r="C25" s="1">
        <f ca="1">IFERROR(__xludf.DUMMYFUNCTION("""COMPUTED_VALUE"""),26.53)</f>
        <v>26.53</v>
      </c>
      <c r="D25" s="1">
        <f ca="1">IFERROR(__xludf.DUMMYFUNCTION("""COMPUTED_VALUE"""),26.28)</f>
        <v>26.28</v>
      </c>
      <c r="E25" s="1">
        <f ca="1">IFERROR(__xludf.DUMMYFUNCTION("""COMPUTED_VALUE"""),26.49)</f>
        <v>26.49</v>
      </c>
      <c r="F25" s="1">
        <f ca="1">IFERROR(__xludf.DUMMYFUNCTION("""COMPUTED_VALUE"""),1658751)</f>
        <v>1658751</v>
      </c>
    </row>
    <row r="26" spans="1:6" x14ac:dyDescent="0.35">
      <c r="A26" s="2">
        <f ca="1">IFERROR(__xludf.DUMMYFUNCTION("""COMPUTED_VALUE"""),42041.6666666666)</f>
        <v>42041.666666666599</v>
      </c>
      <c r="B26" s="1">
        <f ca="1">IFERROR(__xludf.DUMMYFUNCTION("""COMPUTED_VALUE"""),26.55)</f>
        <v>26.55</v>
      </c>
      <c r="C26" s="1">
        <f ca="1">IFERROR(__xludf.DUMMYFUNCTION("""COMPUTED_VALUE"""),27.01)</f>
        <v>27.01</v>
      </c>
      <c r="D26" s="1">
        <f ca="1">IFERROR(__xludf.DUMMYFUNCTION("""COMPUTED_VALUE"""),26.43)</f>
        <v>26.43</v>
      </c>
      <c r="E26" s="1">
        <f ca="1">IFERROR(__xludf.DUMMYFUNCTION("""COMPUTED_VALUE"""),26.69)</f>
        <v>26.69</v>
      </c>
      <c r="F26" s="1">
        <f ca="1">IFERROR(__xludf.DUMMYFUNCTION("""COMPUTED_VALUE"""),2146922)</f>
        <v>2146922</v>
      </c>
    </row>
    <row r="27" spans="1:6" x14ac:dyDescent="0.35">
      <c r="A27" s="2">
        <f ca="1">IFERROR(__xludf.DUMMYFUNCTION("""COMPUTED_VALUE"""),42044.6666666666)</f>
        <v>42044.666666666599</v>
      </c>
      <c r="B27" s="1">
        <f ca="1">IFERROR(__xludf.DUMMYFUNCTION("""COMPUTED_VALUE"""),26.55)</f>
        <v>26.55</v>
      </c>
      <c r="C27" s="1">
        <f ca="1">IFERROR(__xludf.DUMMYFUNCTION("""COMPUTED_VALUE"""),26.69)</f>
        <v>26.69</v>
      </c>
      <c r="D27" s="1">
        <f ca="1">IFERROR(__xludf.DUMMYFUNCTION("""COMPUTED_VALUE"""),26.38)</f>
        <v>26.38</v>
      </c>
      <c r="E27" s="1">
        <f ca="1">IFERROR(__xludf.DUMMYFUNCTION("""COMPUTED_VALUE"""),26.46)</f>
        <v>26.46</v>
      </c>
      <c r="F27" s="1">
        <f ca="1">IFERROR(__xludf.DUMMYFUNCTION("""COMPUTED_VALUE"""),1515687)</f>
        <v>1515687</v>
      </c>
    </row>
    <row r="28" spans="1:6" x14ac:dyDescent="0.35">
      <c r="A28" s="2">
        <f ca="1">IFERROR(__xludf.DUMMYFUNCTION("""COMPUTED_VALUE"""),42045.6666666666)</f>
        <v>42045.666666666599</v>
      </c>
      <c r="B28" s="1">
        <f ca="1">IFERROR(__xludf.DUMMYFUNCTION("""COMPUTED_VALUE"""),26.59)</f>
        <v>26.59</v>
      </c>
      <c r="C28" s="1">
        <f ca="1">IFERROR(__xludf.DUMMYFUNCTION("""COMPUTED_VALUE"""),27.05)</f>
        <v>27.05</v>
      </c>
      <c r="D28" s="1">
        <f ca="1">IFERROR(__xludf.DUMMYFUNCTION("""COMPUTED_VALUE"""),26.46)</f>
        <v>26.46</v>
      </c>
      <c r="E28" s="1">
        <f ca="1">IFERROR(__xludf.DUMMYFUNCTION("""COMPUTED_VALUE"""),27.01)</f>
        <v>27.01</v>
      </c>
      <c r="F28" s="1">
        <f ca="1">IFERROR(__xludf.DUMMYFUNCTION("""COMPUTED_VALUE"""),2371468)</f>
        <v>2371468</v>
      </c>
    </row>
    <row r="29" spans="1:6" x14ac:dyDescent="0.35">
      <c r="A29" s="2">
        <f ca="1">IFERROR(__xludf.DUMMYFUNCTION("""COMPUTED_VALUE"""),42046.6666666666)</f>
        <v>42046.666666666599</v>
      </c>
      <c r="B29" s="1">
        <f ca="1">IFERROR(__xludf.DUMMYFUNCTION("""COMPUTED_VALUE"""),26.98)</f>
        <v>26.98</v>
      </c>
      <c r="C29" s="1">
        <f ca="1">IFERROR(__xludf.DUMMYFUNCTION("""COMPUTED_VALUE"""),27.1)</f>
        <v>27.1</v>
      </c>
      <c r="D29" s="1">
        <f ca="1">IFERROR(__xludf.DUMMYFUNCTION("""COMPUTED_VALUE"""),26.8)</f>
        <v>26.8</v>
      </c>
      <c r="E29" s="1">
        <f ca="1">IFERROR(__xludf.DUMMYFUNCTION("""COMPUTED_VALUE"""),26.9)</f>
        <v>26.9</v>
      </c>
      <c r="F29" s="1">
        <f ca="1">IFERROR(__xludf.DUMMYFUNCTION("""COMPUTED_VALUE"""),1915336)</f>
        <v>1915336</v>
      </c>
    </row>
    <row r="30" spans="1:6" x14ac:dyDescent="0.35">
      <c r="A30" s="2">
        <f ca="1">IFERROR(__xludf.DUMMYFUNCTION("""COMPUTED_VALUE"""),42047.6666666666)</f>
        <v>42047.666666666599</v>
      </c>
      <c r="B30" s="1">
        <f ca="1">IFERROR(__xludf.DUMMYFUNCTION("""COMPUTED_VALUE"""),26.98)</f>
        <v>26.98</v>
      </c>
      <c r="C30" s="1">
        <f ca="1">IFERROR(__xludf.DUMMYFUNCTION("""COMPUTED_VALUE"""),27.42)</f>
        <v>27.42</v>
      </c>
      <c r="D30" s="1">
        <f ca="1">IFERROR(__xludf.DUMMYFUNCTION("""COMPUTED_VALUE"""),26.85)</f>
        <v>26.85</v>
      </c>
      <c r="E30" s="1">
        <f ca="1">IFERROR(__xludf.DUMMYFUNCTION("""COMPUTED_VALUE"""),27.3)</f>
        <v>27.3</v>
      </c>
      <c r="F30" s="1">
        <f ca="1">IFERROR(__xludf.DUMMYFUNCTION("""COMPUTED_VALUE"""),2429520)</f>
        <v>2429520</v>
      </c>
    </row>
    <row r="31" spans="1:6" x14ac:dyDescent="0.35">
      <c r="A31" s="2">
        <f ca="1">IFERROR(__xludf.DUMMYFUNCTION("""COMPUTED_VALUE"""),42048.6666666666)</f>
        <v>42048.666666666599</v>
      </c>
      <c r="B31" s="1">
        <f ca="1">IFERROR(__xludf.DUMMYFUNCTION("""COMPUTED_VALUE"""),27.36)</f>
        <v>27.36</v>
      </c>
      <c r="C31" s="1">
        <f ca="1">IFERROR(__xludf.DUMMYFUNCTION("""COMPUTED_VALUE"""),27.63)</f>
        <v>27.63</v>
      </c>
      <c r="D31" s="1">
        <f ca="1">IFERROR(__xludf.DUMMYFUNCTION("""COMPUTED_VALUE"""),27.33)</f>
        <v>27.33</v>
      </c>
      <c r="E31" s="1">
        <f ca="1">IFERROR(__xludf.DUMMYFUNCTION("""COMPUTED_VALUE"""),27.56)</f>
        <v>27.56</v>
      </c>
      <c r="F31" s="1">
        <f ca="1">IFERROR(__xludf.DUMMYFUNCTION("""COMPUTED_VALUE"""),2369115)</f>
        <v>2369115</v>
      </c>
    </row>
    <row r="32" spans="1:6" x14ac:dyDescent="0.35">
      <c r="A32" s="2">
        <f ca="1">IFERROR(__xludf.DUMMYFUNCTION("""COMPUTED_VALUE"""),42052.6666666666)</f>
        <v>42052.666666666599</v>
      </c>
      <c r="B32" s="1">
        <f ca="1">IFERROR(__xludf.DUMMYFUNCTION("""COMPUTED_VALUE"""),27.47)</f>
        <v>27.47</v>
      </c>
      <c r="C32" s="1">
        <f ca="1">IFERROR(__xludf.DUMMYFUNCTION("""COMPUTED_VALUE"""),27.65)</f>
        <v>27.65</v>
      </c>
      <c r="D32" s="1">
        <f ca="1">IFERROR(__xludf.DUMMYFUNCTION("""COMPUTED_VALUE"""),27.16)</f>
        <v>27.16</v>
      </c>
      <c r="E32" s="1">
        <f ca="1">IFERROR(__xludf.DUMMYFUNCTION("""COMPUTED_VALUE"""),27.25)</f>
        <v>27.25</v>
      </c>
      <c r="F32" s="1">
        <f ca="1">IFERROR(__xludf.DUMMYFUNCTION("""COMPUTED_VALUE"""),1958679)</f>
        <v>1958679</v>
      </c>
    </row>
    <row r="33" spans="1:6" x14ac:dyDescent="0.35">
      <c r="A33" s="2">
        <f ca="1">IFERROR(__xludf.DUMMYFUNCTION("""COMPUTED_VALUE"""),42053.6666666666)</f>
        <v>42053.666666666599</v>
      </c>
      <c r="B33" s="1">
        <f ca="1">IFERROR(__xludf.DUMMYFUNCTION("""COMPUTED_VALUE"""),27.19)</f>
        <v>27.19</v>
      </c>
      <c r="C33" s="1">
        <f ca="1">IFERROR(__xludf.DUMMYFUNCTION("""COMPUTED_VALUE"""),27.38)</f>
        <v>27.38</v>
      </c>
      <c r="D33" s="1">
        <f ca="1">IFERROR(__xludf.DUMMYFUNCTION("""COMPUTED_VALUE"""),26.98)</f>
        <v>26.98</v>
      </c>
      <c r="E33" s="1">
        <f ca="1">IFERROR(__xludf.DUMMYFUNCTION("""COMPUTED_VALUE"""),27.13)</f>
        <v>27.13</v>
      </c>
      <c r="F33" s="1">
        <f ca="1">IFERROR(__xludf.DUMMYFUNCTION("""COMPUTED_VALUE"""),1558153)</f>
        <v>1558153</v>
      </c>
    </row>
    <row r="34" spans="1:6" x14ac:dyDescent="0.35">
      <c r="A34" s="2">
        <f ca="1">IFERROR(__xludf.DUMMYFUNCTION("""COMPUTED_VALUE"""),42054.6666666666)</f>
        <v>42054.666666666599</v>
      </c>
      <c r="B34" s="1">
        <f ca="1">IFERROR(__xludf.DUMMYFUNCTION("""COMPUTED_VALUE"""),27.12)</f>
        <v>27.12</v>
      </c>
      <c r="C34" s="1">
        <f ca="1">IFERROR(__xludf.DUMMYFUNCTION("""COMPUTED_VALUE"""),27.34)</f>
        <v>27.34</v>
      </c>
      <c r="D34" s="1">
        <f ca="1">IFERROR(__xludf.DUMMYFUNCTION("""COMPUTED_VALUE"""),27.04)</f>
        <v>27.04</v>
      </c>
      <c r="E34" s="1">
        <f ca="1">IFERROR(__xludf.DUMMYFUNCTION("""COMPUTED_VALUE"""),27.32)</f>
        <v>27.32</v>
      </c>
      <c r="F34" s="1">
        <f ca="1">IFERROR(__xludf.DUMMYFUNCTION("""COMPUTED_VALUE"""),1541669)</f>
        <v>1541669</v>
      </c>
    </row>
    <row r="35" spans="1:6" x14ac:dyDescent="0.35">
      <c r="A35" s="2">
        <f ca="1">IFERROR(__xludf.DUMMYFUNCTION("""COMPUTED_VALUE"""),42055.6666666666)</f>
        <v>42055.666666666599</v>
      </c>
      <c r="B35" s="1">
        <f ca="1">IFERROR(__xludf.DUMMYFUNCTION("""COMPUTED_VALUE"""),27.35)</f>
        <v>27.35</v>
      </c>
      <c r="C35" s="1">
        <f ca="1">IFERROR(__xludf.DUMMYFUNCTION("""COMPUTED_VALUE"""),27.38)</f>
        <v>27.38</v>
      </c>
      <c r="D35" s="1">
        <f ca="1">IFERROR(__xludf.DUMMYFUNCTION("""COMPUTED_VALUE"""),26.91)</f>
        <v>26.91</v>
      </c>
      <c r="E35" s="1">
        <f ca="1">IFERROR(__xludf.DUMMYFUNCTION("""COMPUTED_VALUE"""),27.09)</f>
        <v>27.09</v>
      </c>
      <c r="F35" s="1">
        <f ca="1">IFERROR(__xludf.DUMMYFUNCTION("""COMPUTED_VALUE"""),1911732)</f>
        <v>1911732</v>
      </c>
    </row>
    <row r="36" spans="1:6" x14ac:dyDescent="0.35">
      <c r="A36" s="2">
        <f ca="1">IFERROR(__xludf.DUMMYFUNCTION("""COMPUTED_VALUE"""),42058.6666666666)</f>
        <v>42058.666666666599</v>
      </c>
      <c r="B36" s="1">
        <f ca="1">IFERROR(__xludf.DUMMYFUNCTION("""COMPUTED_VALUE"""),26.95)</f>
        <v>26.95</v>
      </c>
      <c r="C36" s="1">
        <f ca="1">IFERROR(__xludf.DUMMYFUNCTION("""COMPUTED_VALUE"""),26.97)</f>
        <v>26.97</v>
      </c>
      <c r="D36" s="1">
        <f ca="1">IFERROR(__xludf.DUMMYFUNCTION("""COMPUTED_VALUE"""),26.6)</f>
        <v>26.6</v>
      </c>
      <c r="E36" s="1">
        <f ca="1">IFERROR(__xludf.DUMMYFUNCTION("""COMPUTED_VALUE"""),26.75)</f>
        <v>26.75</v>
      </c>
      <c r="F36" s="1">
        <f ca="1">IFERROR(__xludf.DUMMYFUNCTION("""COMPUTED_VALUE"""),1645276)</f>
        <v>1645276</v>
      </c>
    </row>
    <row r="37" spans="1:6" x14ac:dyDescent="0.35">
      <c r="A37" s="2">
        <f ca="1">IFERROR(__xludf.DUMMYFUNCTION("""COMPUTED_VALUE"""),42059.6666666666)</f>
        <v>42059.666666666599</v>
      </c>
      <c r="B37" s="1">
        <f ca="1">IFERROR(__xludf.DUMMYFUNCTION("""COMPUTED_VALUE"""),26.58)</f>
        <v>26.58</v>
      </c>
      <c r="C37" s="1">
        <f ca="1">IFERROR(__xludf.DUMMYFUNCTION("""COMPUTED_VALUE"""),26.97)</f>
        <v>26.97</v>
      </c>
      <c r="D37" s="1">
        <f ca="1">IFERROR(__xludf.DUMMYFUNCTION("""COMPUTED_VALUE"""),26.55)</f>
        <v>26.55</v>
      </c>
      <c r="E37" s="1">
        <f ca="1">IFERROR(__xludf.DUMMYFUNCTION("""COMPUTED_VALUE"""),26.93)</f>
        <v>26.93</v>
      </c>
      <c r="F37" s="1">
        <f ca="1">IFERROR(__xludf.DUMMYFUNCTION("""COMPUTED_VALUE"""),1421373)</f>
        <v>1421373</v>
      </c>
    </row>
    <row r="38" spans="1:6" x14ac:dyDescent="0.35">
      <c r="A38" s="2">
        <f ca="1">IFERROR(__xludf.DUMMYFUNCTION("""COMPUTED_VALUE"""),42060.6666666666)</f>
        <v>42060.666666666599</v>
      </c>
      <c r="B38" s="1">
        <f ca="1">IFERROR(__xludf.DUMMYFUNCTION("""COMPUTED_VALUE"""),26.9)</f>
        <v>26.9</v>
      </c>
      <c r="C38" s="1">
        <f ca="1">IFERROR(__xludf.DUMMYFUNCTION("""COMPUTED_VALUE"""),27.48)</f>
        <v>27.48</v>
      </c>
      <c r="D38" s="1">
        <f ca="1">IFERROR(__xludf.DUMMYFUNCTION("""COMPUTED_VALUE"""),26.9)</f>
        <v>26.9</v>
      </c>
      <c r="E38" s="1">
        <f ca="1">IFERROR(__xludf.DUMMYFUNCTION("""COMPUTED_VALUE"""),27.37)</f>
        <v>27.37</v>
      </c>
      <c r="F38" s="1">
        <f ca="1">IFERROR(__xludf.DUMMYFUNCTION("""COMPUTED_VALUE"""),2041827)</f>
        <v>2041827</v>
      </c>
    </row>
    <row r="39" spans="1:6" x14ac:dyDescent="0.35">
      <c r="A39" s="2">
        <f ca="1">IFERROR(__xludf.DUMMYFUNCTION("""COMPUTED_VALUE"""),42061.6666666666)</f>
        <v>42061.666666666599</v>
      </c>
      <c r="B39" s="1">
        <f ca="1">IFERROR(__xludf.DUMMYFUNCTION("""COMPUTED_VALUE"""),27.31)</f>
        <v>27.31</v>
      </c>
      <c r="C39" s="1">
        <f ca="1">IFERROR(__xludf.DUMMYFUNCTION("""COMPUTED_VALUE"""),28.01)</f>
        <v>28.01</v>
      </c>
      <c r="D39" s="1">
        <f ca="1">IFERROR(__xludf.DUMMYFUNCTION("""COMPUTED_VALUE"""),27.25)</f>
        <v>27.25</v>
      </c>
      <c r="E39" s="1">
        <f ca="1">IFERROR(__xludf.DUMMYFUNCTION("""COMPUTED_VALUE"""),27.96)</f>
        <v>27.96</v>
      </c>
      <c r="F39" s="1">
        <f ca="1">IFERROR(__xludf.DUMMYFUNCTION("""COMPUTED_VALUE"""),2701584)</f>
        <v>2701584</v>
      </c>
    </row>
    <row r="40" spans="1:6" x14ac:dyDescent="0.35">
      <c r="A40" s="2">
        <f ca="1">IFERROR(__xludf.DUMMYFUNCTION("""COMPUTED_VALUE"""),42062.6666666666)</f>
        <v>42062.666666666599</v>
      </c>
      <c r="B40" s="1">
        <f ca="1">IFERROR(__xludf.DUMMYFUNCTION("""COMPUTED_VALUE"""),27.93)</f>
        <v>27.93</v>
      </c>
      <c r="C40" s="1">
        <f ca="1">IFERROR(__xludf.DUMMYFUNCTION("""COMPUTED_VALUE"""),28.47)</f>
        <v>28.47</v>
      </c>
      <c r="D40" s="1">
        <f ca="1">IFERROR(__xludf.DUMMYFUNCTION("""COMPUTED_VALUE"""),27.85)</f>
        <v>27.85</v>
      </c>
      <c r="E40" s="1">
        <f ca="1">IFERROR(__xludf.DUMMYFUNCTION("""COMPUTED_VALUE"""),28.13)</f>
        <v>28.13</v>
      </c>
      <c r="F40" s="1">
        <f ca="1">IFERROR(__xludf.DUMMYFUNCTION("""COMPUTED_VALUE"""),3416445)</f>
        <v>3416445</v>
      </c>
    </row>
    <row r="41" spans="1:6" x14ac:dyDescent="0.35">
      <c r="A41" s="2">
        <f ca="1">IFERROR(__xludf.DUMMYFUNCTION("""COMPUTED_VALUE"""),42065.6666666666)</f>
        <v>42065.666666666599</v>
      </c>
      <c r="B41" s="1">
        <f ca="1">IFERROR(__xludf.DUMMYFUNCTION("""COMPUTED_VALUE"""),28.34)</f>
        <v>28.34</v>
      </c>
      <c r="C41" s="1">
        <f ca="1">IFERROR(__xludf.DUMMYFUNCTION("""COMPUTED_VALUE"""),28.8)</f>
        <v>28.8</v>
      </c>
      <c r="D41" s="1">
        <f ca="1">IFERROR(__xludf.DUMMYFUNCTION("""COMPUTED_VALUE"""),28.16)</f>
        <v>28.16</v>
      </c>
      <c r="E41" s="1">
        <f ca="1">IFERROR(__xludf.DUMMYFUNCTION("""COMPUTED_VALUE"""),28.75)</f>
        <v>28.75</v>
      </c>
      <c r="F41" s="1">
        <f ca="1">IFERROR(__xludf.DUMMYFUNCTION("""COMPUTED_VALUE"""),2520304)</f>
        <v>2520304</v>
      </c>
    </row>
    <row r="42" spans="1:6" x14ac:dyDescent="0.35">
      <c r="A42" s="2">
        <f ca="1">IFERROR(__xludf.DUMMYFUNCTION("""COMPUTED_VALUE"""),42066.6666666666)</f>
        <v>42066.666666666599</v>
      </c>
      <c r="B42" s="1">
        <f ca="1">IFERROR(__xludf.DUMMYFUNCTION("""COMPUTED_VALUE"""),28.78)</f>
        <v>28.78</v>
      </c>
      <c r="C42" s="1">
        <f ca="1">IFERROR(__xludf.DUMMYFUNCTION("""COMPUTED_VALUE"""),29.04)</f>
        <v>29.04</v>
      </c>
      <c r="D42" s="1">
        <f ca="1">IFERROR(__xludf.DUMMYFUNCTION("""COMPUTED_VALUE"""),28.53)</f>
        <v>28.53</v>
      </c>
      <c r="E42" s="1">
        <f ca="1">IFERROR(__xludf.DUMMYFUNCTION("""COMPUTED_VALUE"""),28.94)</f>
        <v>28.94</v>
      </c>
      <c r="F42" s="1">
        <f ca="1">IFERROR(__xludf.DUMMYFUNCTION("""COMPUTED_VALUE"""),2526280)</f>
        <v>2526280</v>
      </c>
    </row>
    <row r="43" spans="1:6" x14ac:dyDescent="0.35">
      <c r="A43" s="2">
        <f ca="1">IFERROR(__xludf.DUMMYFUNCTION("""COMPUTED_VALUE"""),42067.6666666666)</f>
        <v>42067.666666666599</v>
      </c>
      <c r="B43" s="1">
        <f ca="1">IFERROR(__xludf.DUMMYFUNCTION("""COMPUTED_VALUE"""),28.86)</f>
        <v>28.86</v>
      </c>
      <c r="C43" s="1">
        <f ca="1">IFERROR(__xludf.DUMMYFUNCTION("""COMPUTED_VALUE"""),29.08)</f>
        <v>29.08</v>
      </c>
      <c r="D43" s="1">
        <f ca="1">IFERROR(__xludf.DUMMYFUNCTION("""COMPUTED_VALUE"""),28.63)</f>
        <v>28.63</v>
      </c>
      <c r="E43" s="1">
        <f ca="1">IFERROR(__xludf.DUMMYFUNCTION("""COMPUTED_VALUE"""),28.92)</f>
        <v>28.92</v>
      </c>
      <c r="F43" s="1">
        <f ca="1">IFERROR(__xludf.DUMMYFUNCTION("""COMPUTED_VALUE"""),1898150)</f>
        <v>1898150</v>
      </c>
    </row>
    <row r="44" spans="1:6" x14ac:dyDescent="0.35">
      <c r="A44" s="2">
        <f ca="1">IFERROR(__xludf.DUMMYFUNCTION("""COMPUTED_VALUE"""),42068.6666666666)</f>
        <v>42068.666666666599</v>
      </c>
      <c r="B44" s="1">
        <f ca="1">IFERROR(__xludf.DUMMYFUNCTION("""COMPUTED_VALUE"""),28.96)</f>
        <v>28.96</v>
      </c>
      <c r="C44" s="1">
        <f ca="1">IFERROR(__xludf.DUMMYFUNCTION("""COMPUTED_VALUE"""),29.16)</f>
        <v>29.16</v>
      </c>
      <c r="D44" s="1">
        <f ca="1">IFERROR(__xludf.DUMMYFUNCTION("""COMPUTED_VALUE"""),28.91)</f>
        <v>28.91</v>
      </c>
      <c r="E44" s="1">
        <f ca="1">IFERROR(__xludf.DUMMYFUNCTION("""COMPUTED_VALUE"""),29.07)</f>
        <v>29.07</v>
      </c>
      <c r="F44" s="1">
        <f ca="1">IFERROR(__xludf.DUMMYFUNCTION("""COMPUTED_VALUE"""),1795889)</f>
        <v>1795889</v>
      </c>
    </row>
    <row r="45" spans="1:6" x14ac:dyDescent="0.35">
      <c r="A45" s="2">
        <f ca="1">IFERROR(__xludf.DUMMYFUNCTION("""COMPUTED_VALUE"""),42069.6666666666)</f>
        <v>42069.666666666599</v>
      </c>
      <c r="B45" s="1">
        <f ca="1">IFERROR(__xludf.DUMMYFUNCTION("""COMPUTED_VALUE"""),29.07)</f>
        <v>29.07</v>
      </c>
      <c r="C45" s="1">
        <f ca="1">IFERROR(__xludf.DUMMYFUNCTION("""COMPUTED_VALUE"""),29.14)</f>
        <v>29.14</v>
      </c>
      <c r="D45" s="1">
        <f ca="1">IFERROR(__xludf.DUMMYFUNCTION("""COMPUTED_VALUE"""),28.6)</f>
        <v>28.6</v>
      </c>
      <c r="E45" s="1">
        <f ca="1">IFERROR(__xludf.DUMMYFUNCTION("""COMPUTED_VALUE"""),28.65)</f>
        <v>28.65</v>
      </c>
      <c r="F45" s="1">
        <f ca="1">IFERROR(__xludf.DUMMYFUNCTION("""COMPUTED_VALUE"""),1879619)</f>
        <v>1879619</v>
      </c>
    </row>
    <row r="46" spans="1:6" x14ac:dyDescent="0.35">
      <c r="A46" s="2">
        <f ca="1">IFERROR(__xludf.DUMMYFUNCTION("""COMPUTED_VALUE"""),42072.6666666666)</f>
        <v>42072.666666666599</v>
      </c>
      <c r="B46" s="1">
        <f ca="1">IFERROR(__xludf.DUMMYFUNCTION("""COMPUTED_VALUE"""),28.57)</f>
        <v>28.57</v>
      </c>
      <c r="C46" s="1">
        <f ca="1">IFERROR(__xludf.DUMMYFUNCTION("""COMPUTED_VALUE"""),28.77)</f>
        <v>28.77</v>
      </c>
      <c r="D46" s="1">
        <f ca="1">IFERROR(__xludf.DUMMYFUNCTION("""COMPUTED_VALUE"""),28.45)</f>
        <v>28.45</v>
      </c>
      <c r="E46" s="1">
        <f ca="1">IFERROR(__xludf.DUMMYFUNCTION("""COMPUTED_VALUE"""),28.71)</f>
        <v>28.71</v>
      </c>
      <c r="F46" s="1">
        <f ca="1">IFERROR(__xludf.DUMMYFUNCTION("""COMPUTED_VALUE"""),1174244)</f>
        <v>1174244</v>
      </c>
    </row>
    <row r="47" spans="1:6" x14ac:dyDescent="0.35">
      <c r="A47" s="2">
        <f ca="1">IFERROR(__xludf.DUMMYFUNCTION("""COMPUTED_VALUE"""),42073.6666666666)</f>
        <v>42073.666666666599</v>
      </c>
      <c r="B47" s="1">
        <f ca="1">IFERROR(__xludf.DUMMYFUNCTION("""COMPUTED_VALUE"""),28.44)</f>
        <v>28.44</v>
      </c>
      <c r="C47" s="1">
        <f ca="1">IFERROR(__xludf.DUMMYFUNCTION("""COMPUTED_VALUE"""),28.49)</f>
        <v>28.49</v>
      </c>
      <c r="D47" s="1">
        <f ca="1">IFERROR(__xludf.DUMMYFUNCTION("""COMPUTED_VALUE"""),27.99)</f>
        <v>27.99</v>
      </c>
      <c r="E47" s="1">
        <f ca="1">IFERROR(__xludf.DUMMYFUNCTION("""COMPUTED_VALUE"""),27.99)</f>
        <v>27.99</v>
      </c>
      <c r="F47" s="1">
        <f ca="1">IFERROR(__xludf.DUMMYFUNCTION("""COMPUTED_VALUE"""),2004024)</f>
        <v>2004024</v>
      </c>
    </row>
    <row r="48" spans="1:6" x14ac:dyDescent="0.35">
      <c r="A48" s="2">
        <f ca="1">IFERROR(__xludf.DUMMYFUNCTION("""COMPUTED_VALUE"""),42074.6666666666)</f>
        <v>42074.666666666599</v>
      </c>
      <c r="B48" s="1">
        <f ca="1">IFERROR(__xludf.DUMMYFUNCTION("""COMPUTED_VALUE"""),27.99)</f>
        <v>27.99</v>
      </c>
      <c r="C48" s="1">
        <f ca="1">IFERROR(__xludf.DUMMYFUNCTION("""COMPUTED_VALUE"""),28.21)</f>
        <v>28.21</v>
      </c>
      <c r="D48" s="1">
        <f ca="1">IFERROR(__xludf.DUMMYFUNCTION("""COMPUTED_VALUE"""),27.77)</f>
        <v>27.77</v>
      </c>
      <c r="E48" s="1">
        <f ca="1">IFERROR(__xludf.DUMMYFUNCTION("""COMPUTED_VALUE"""),27.78)</f>
        <v>27.78</v>
      </c>
      <c r="F48" s="1">
        <f ca="1">IFERROR(__xludf.DUMMYFUNCTION("""COMPUTED_VALUE"""),2026158)</f>
        <v>2026158</v>
      </c>
    </row>
    <row r="49" spans="1:6" x14ac:dyDescent="0.35">
      <c r="A49" s="2">
        <f ca="1">IFERROR(__xludf.DUMMYFUNCTION("""COMPUTED_VALUE"""),42075.6666666666)</f>
        <v>42075.666666666599</v>
      </c>
      <c r="B49" s="1">
        <f ca="1">IFERROR(__xludf.DUMMYFUNCTION("""COMPUTED_VALUE"""),27.92)</f>
        <v>27.92</v>
      </c>
      <c r="C49" s="1">
        <f ca="1">IFERROR(__xludf.DUMMYFUNCTION("""COMPUTED_VALUE"""),28.09)</f>
        <v>28.09</v>
      </c>
      <c r="D49" s="1">
        <f ca="1">IFERROR(__xludf.DUMMYFUNCTION("""COMPUTED_VALUE"""),27.78)</f>
        <v>27.78</v>
      </c>
      <c r="E49" s="1">
        <f ca="1">IFERROR(__xludf.DUMMYFUNCTION("""COMPUTED_VALUE"""),28.06)</f>
        <v>28.06</v>
      </c>
      <c r="F49" s="1">
        <f ca="1">IFERROR(__xludf.DUMMYFUNCTION("""COMPUTED_VALUE"""),1780057)</f>
        <v>1780057</v>
      </c>
    </row>
    <row r="50" spans="1:6" x14ac:dyDescent="0.35">
      <c r="A50" s="2">
        <f ca="1">IFERROR(__xludf.DUMMYFUNCTION("""COMPUTED_VALUE"""),42076.6666666666)</f>
        <v>42076.666666666599</v>
      </c>
      <c r="B50" s="1">
        <f ca="1">IFERROR(__xludf.DUMMYFUNCTION("""COMPUTED_VALUE"""),27.99)</f>
        <v>27.99</v>
      </c>
      <c r="C50" s="1">
        <f ca="1">IFERROR(__xludf.DUMMYFUNCTION("""COMPUTED_VALUE"""),28.22)</f>
        <v>28.22</v>
      </c>
      <c r="D50" s="1">
        <f ca="1">IFERROR(__xludf.DUMMYFUNCTION("""COMPUTED_VALUE"""),27.52)</f>
        <v>27.52</v>
      </c>
      <c r="E50" s="1">
        <f ca="1">IFERROR(__xludf.DUMMYFUNCTION("""COMPUTED_VALUE"""),27.65)</f>
        <v>27.65</v>
      </c>
      <c r="F50" s="1">
        <f ca="1">IFERROR(__xludf.DUMMYFUNCTION("""COMPUTED_VALUE"""),1771354)</f>
        <v>1771354</v>
      </c>
    </row>
    <row r="51" spans="1:6" x14ac:dyDescent="0.35">
      <c r="A51" s="2">
        <f ca="1">IFERROR(__xludf.DUMMYFUNCTION("""COMPUTED_VALUE"""),42079.6666666666)</f>
        <v>42079.666666666599</v>
      </c>
      <c r="B51" s="1">
        <f ca="1">IFERROR(__xludf.DUMMYFUNCTION("""COMPUTED_VALUE"""),27.8)</f>
        <v>27.8</v>
      </c>
      <c r="C51" s="1">
        <f ca="1">IFERROR(__xludf.DUMMYFUNCTION("""COMPUTED_VALUE"""),28.19)</f>
        <v>28.19</v>
      </c>
      <c r="D51" s="1">
        <f ca="1">IFERROR(__xludf.DUMMYFUNCTION("""COMPUTED_VALUE"""),27.57)</f>
        <v>27.57</v>
      </c>
      <c r="E51" s="1">
        <f ca="1">IFERROR(__xludf.DUMMYFUNCTION("""COMPUTED_VALUE"""),28.08)</f>
        <v>28.08</v>
      </c>
      <c r="F51" s="1">
        <f ca="1">IFERROR(__xludf.DUMMYFUNCTION("""COMPUTED_VALUE"""),1842754)</f>
        <v>1842754</v>
      </c>
    </row>
    <row r="52" spans="1:6" x14ac:dyDescent="0.35">
      <c r="A52" s="2">
        <f ca="1">IFERROR(__xludf.DUMMYFUNCTION("""COMPUTED_VALUE"""),42080.6666666666)</f>
        <v>42080.666666666599</v>
      </c>
      <c r="B52" s="1">
        <f ca="1">IFERROR(__xludf.DUMMYFUNCTION("""COMPUTED_VALUE"""),27.91)</f>
        <v>27.91</v>
      </c>
      <c r="C52" s="1">
        <f ca="1">IFERROR(__xludf.DUMMYFUNCTION("""COMPUTED_VALUE"""),28.03)</f>
        <v>28.03</v>
      </c>
      <c r="D52" s="1">
        <f ca="1">IFERROR(__xludf.DUMMYFUNCTION("""COMPUTED_VALUE"""),27.72)</f>
        <v>27.72</v>
      </c>
      <c r="E52" s="1">
        <f ca="1">IFERROR(__xludf.DUMMYFUNCTION("""COMPUTED_VALUE"""),27.88)</f>
        <v>27.88</v>
      </c>
      <c r="F52" s="1">
        <f ca="1">IFERROR(__xludf.DUMMYFUNCTION("""COMPUTED_VALUE"""),1444560)</f>
        <v>1444560</v>
      </c>
    </row>
    <row r="53" spans="1:6" x14ac:dyDescent="0.35">
      <c r="A53" s="2">
        <f ca="1">IFERROR(__xludf.DUMMYFUNCTION("""COMPUTED_VALUE"""),42081.6666666666)</f>
        <v>42081.666666666599</v>
      </c>
      <c r="B53" s="1">
        <f ca="1">IFERROR(__xludf.DUMMYFUNCTION("""COMPUTED_VALUE"""),27.91)</f>
        <v>27.91</v>
      </c>
      <c r="C53" s="1">
        <f ca="1">IFERROR(__xludf.DUMMYFUNCTION("""COMPUTED_VALUE"""),28.33)</f>
        <v>28.33</v>
      </c>
      <c r="D53" s="1">
        <f ca="1">IFERROR(__xludf.DUMMYFUNCTION("""COMPUTED_VALUE"""),27.68)</f>
        <v>27.68</v>
      </c>
      <c r="E53" s="1">
        <f ca="1">IFERROR(__xludf.DUMMYFUNCTION("""COMPUTED_VALUE"""),28.31)</f>
        <v>28.31</v>
      </c>
      <c r="F53" s="1">
        <f ca="1">IFERROR(__xludf.DUMMYFUNCTION("""COMPUTED_VALUE"""),1766221)</f>
        <v>1766221</v>
      </c>
    </row>
    <row r="54" spans="1:6" x14ac:dyDescent="0.35">
      <c r="A54" s="2">
        <f ca="1">IFERROR(__xludf.DUMMYFUNCTION("""COMPUTED_VALUE"""),42082.6666666666)</f>
        <v>42082.666666666599</v>
      </c>
      <c r="B54" s="1">
        <f ca="1">IFERROR(__xludf.DUMMYFUNCTION("""COMPUTED_VALUE"""),28.23)</f>
        <v>28.23</v>
      </c>
      <c r="C54" s="1">
        <f ca="1">IFERROR(__xludf.DUMMYFUNCTION("""COMPUTED_VALUE"""),28.35)</f>
        <v>28.35</v>
      </c>
      <c r="D54" s="1">
        <f ca="1">IFERROR(__xludf.DUMMYFUNCTION("""COMPUTED_VALUE"""),28.11)</f>
        <v>28.11</v>
      </c>
      <c r="E54" s="1">
        <f ca="1">IFERROR(__xludf.DUMMYFUNCTION("""COMPUTED_VALUE"""),28.18)</f>
        <v>28.18</v>
      </c>
      <c r="F54" s="1">
        <f ca="1">IFERROR(__xludf.DUMMYFUNCTION("""COMPUTED_VALUE"""),1232969)</f>
        <v>1232969</v>
      </c>
    </row>
    <row r="55" spans="1:6" x14ac:dyDescent="0.35">
      <c r="A55" s="2">
        <f ca="1">IFERROR(__xludf.DUMMYFUNCTION("""COMPUTED_VALUE"""),42083.6666666666)</f>
        <v>42083.666666666599</v>
      </c>
      <c r="B55" s="1">
        <f ca="1">IFERROR(__xludf.DUMMYFUNCTION("""COMPUTED_VALUE"""),28.35)</f>
        <v>28.35</v>
      </c>
      <c r="C55" s="1">
        <f ca="1">IFERROR(__xludf.DUMMYFUNCTION("""COMPUTED_VALUE"""),28.36)</f>
        <v>28.36</v>
      </c>
      <c r="D55" s="1">
        <f ca="1">IFERROR(__xludf.DUMMYFUNCTION("""COMPUTED_VALUE"""),28.22)</f>
        <v>28.22</v>
      </c>
      <c r="E55" s="1">
        <f ca="1">IFERROR(__xludf.DUMMYFUNCTION("""COMPUTED_VALUE"""),28.25)</f>
        <v>28.25</v>
      </c>
      <c r="F55" s="1">
        <f ca="1">IFERROR(__xludf.DUMMYFUNCTION("""COMPUTED_VALUE"""),2216038)</f>
        <v>2216038</v>
      </c>
    </row>
    <row r="56" spans="1:6" x14ac:dyDescent="0.35">
      <c r="A56" s="2">
        <f ca="1">IFERROR(__xludf.DUMMYFUNCTION("""COMPUTED_VALUE"""),42086.6666666666)</f>
        <v>42086.666666666599</v>
      </c>
      <c r="B56" s="1">
        <f ca="1">IFERROR(__xludf.DUMMYFUNCTION("""COMPUTED_VALUE"""),28.3)</f>
        <v>28.3</v>
      </c>
      <c r="C56" s="1">
        <f ca="1">IFERROR(__xludf.DUMMYFUNCTION("""COMPUTED_VALUE"""),28.48)</f>
        <v>28.48</v>
      </c>
      <c r="D56" s="1">
        <f ca="1">IFERROR(__xludf.DUMMYFUNCTION("""COMPUTED_VALUE"""),28.15)</f>
        <v>28.15</v>
      </c>
      <c r="E56" s="1">
        <f ca="1">IFERROR(__xludf.DUMMYFUNCTION("""COMPUTED_VALUE"""),28.27)</f>
        <v>28.27</v>
      </c>
      <c r="F56" s="1">
        <f ca="1">IFERROR(__xludf.DUMMYFUNCTION("""COMPUTED_VALUE"""),1511686)</f>
        <v>1511686</v>
      </c>
    </row>
    <row r="57" spans="1:6" x14ac:dyDescent="0.35">
      <c r="A57" s="2">
        <f ca="1">IFERROR(__xludf.DUMMYFUNCTION("""COMPUTED_VALUE"""),42087.6666666666)</f>
        <v>42087.666666666599</v>
      </c>
      <c r="B57" s="1">
        <f ca="1">IFERROR(__xludf.DUMMYFUNCTION("""COMPUTED_VALUE"""),28.43)</f>
        <v>28.43</v>
      </c>
      <c r="C57" s="1">
        <f ca="1">IFERROR(__xludf.DUMMYFUNCTION("""COMPUTED_VALUE"""),29.09)</f>
        <v>29.09</v>
      </c>
      <c r="D57" s="1">
        <f ca="1">IFERROR(__xludf.DUMMYFUNCTION("""COMPUTED_VALUE"""),28.4)</f>
        <v>28.4</v>
      </c>
      <c r="E57" s="1">
        <f ca="1">IFERROR(__xludf.DUMMYFUNCTION("""COMPUTED_VALUE"""),28.88)</f>
        <v>28.88</v>
      </c>
      <c r="F57" s="1">
        <f ca="1">IFERROR(__xludf.DUMMYFUNCTION("""COMPUTED_VALUE"""),3957844)</f>
        <v>3957844</v>
      </c>
    </row>
    <row r="58" spans="1:6" x14ac:dyDescent="0.35">
      <c r="A58" s="2">
        <f ca="1">IFERROR(__xludf.DUMMYFUNCTION("""COMPUTED_VALUE"""),42088.6666666666)</f>
        <v>42088.666666666599</v>
      </c>
      <c r="B58" s="1">
        <f ca="1">IFERROR(__xludf.DUMMYFUNCTION("""COMPUTED_VALUE"""),28.88)</f>
        <v>28.88</v>
      </c>
      <c r="C58" s="1">
        <f ca="1">IFERROR(__xludf.DUMMYFUNCTION("""COMPUTED_VALUE"""),29)</f>
        <v>29</v>
      </c>
      <c r="D58" s="1">
        <f ca="1">IFERROR(__xludf.DUMMYFUNCTION("""COMPUTED_VALUE"""),28.35)</f>
        <v>28.35</v>
      </c>
      <c r="E58" s="1">
        <f ca="1">IFERROR(__xludf.DUMMYFUNCTION("""COMPUTED_VALUE"""),28.35)</f>
        <v>28.35</v>
      </c>
      <c r="F58" s="1">
        <f ca="1">IFERROR(__xludf.DUMMYFUNCTION("""COMPUTED_VALUE"""),2653451)</f>
        <v>2653451</v>
      </c>
    </row>
    <row r="59" spans="1:6" x14ac:dyDescent="0.35">
      <c r="A59" s="2">
        <f ca="1">IFERROR(__xludf.DUMMYFUNCTION("""COMPUTED_VALUE"""),42089.6666666666)</f>
        <v>42089.666666666599</v>
      </c>
      <c r="B59" s="1">
        <f ca="1">IFERROR(__xludf.DUMMYFUNCTION("""COMPUTED_VALUE"""),28.21)</f>
        <v>28.21</v>
      </c>
      <c r="C59" s="1">
        <f ca="1">IFERROR(__xludf.DUMMYFUNCTION("""COMPUTED_VALUE"""),28.36)</f>
        <v>28.36</v>
      </c>
      <c r="D59" s="1">
        <f ca="1">IFERROR(__xludf.DUMMYFUNCTION("""COMPUTED_VALUE"""),27.92)</f>
        <v>27.92</v>
      </c>
      <c r="E59" s="1">
        <f ca="1">IFERROR(__xludf.DUMMYFUNCTION("""COMPUTED_VALUE"""),28.18)</f>
        <v>28.18</v>
      </c>
      <c r="F59" s="1">
        <f ca="1">IFERROR(__xludf.DUMMYFUNCTION("""COMPUTED_VALUE"""),2492141)</f>
        <v>2492141</v>
      </c>
    </row>
    <row r="60" spans="1:6" x14ac:dyDescent="0.35">
      <c r="A60" s="2">
        <f ca="1">IFERROR(__xludf.DUMMYFUNCTION("""COMPUTED_VALUE"""),42090.6666666666)</f>
        <v>42090.666666666599</v>
      </c>
      <c r="B60" s="1">
        <f ca="1">IFERROR(__xludf.DUMMYFUNCTION("""COMPUTED_VALUE"""),28.09)</f>
        <v>28.09</v>
      </c>
      <c r="C60" s="1">
        <f ca="1">IFERROR(__xludf.DUMMYFUNCTION("""COMPUTED_VALUE"""),28.2)</f>
        <v>28.2</v>
      </c>
      <c r="D60" s="1">
        <f ca="1">IFERROR(__xludf.DUMMYFUNCTION("""COMPUTED_VALUE"""),27.85)</f>
        <v>27.85</v>
      </c>
      <c r="E60" s="1">
        <f ca="1">IFERROR(__xludf.DUMMYFUNCTION("""COMPUTED_VALUE"""),27.88)</f>
        <v>27.88</v>
      </c>
      <c r="F60" s="1">
        <f ca="1">IFERROR(__xludf.DUMMYFUNCTION("""COMPUTED_VALUE"""),1727629)</f>
        <v>1727629</v>
      </c>
    </row>
    <row r="61" spans="1:6" x14ac:dyDescent="0.35">
      <c r="A61" s="2">
        <f ca="1">IFERROR(__xludf.DUMMYFUNCTION("""COMPUTED_VALUE"""),42093.6666666666)</f>
        <v>42093.666666666599</v>
      </c>
      <c r="B61" s="1">
        <f ca="1">IFERROR(__xludf.DUMMYFUNCTION("""COMPUTED_VALUE"""),28.01)</f>
        <v>28.01</v>
      </c>
      <c r="C61" s="1">
        <f ca="1">IFERROR(__xludf.DUMMYFUNCTION("""COMPUTED_VALUE"""),28.11)</f>
        <v>28.11</v>
      </c>
      <c r="D61" s="1">
        <f ca="1">IFERROR(__xludf.DUMMYFUNCTION("""COMPUTED_VALUE"""),27.84)</f>
        <v>27.84</v>
      </c>
      <c r="E61" s="1">
        <f ca="1">IFERROR(__xludf.DUMMYFUNCTION("""COMPUTED_VALUE"""),28.06)</f>
        <v>28.06</v>
      </c>
      <c r="F61" s="1">
        <f ca="1">IFERROR(__xludf.DUMMYFUNCTION("""COMPUTED_VALUE"""),1239350)</f>
        <v>1239350</v>
      </c>
    </row>
    <row r="62" spans="1:6" x14ac:dyDescent="0.35">
      <c r="A62" s="2">
        <f ca="1">IFERROR(__xludf.DUMMYFUNCTION("""COMPUTED_VALUE"""),42094.6666666666)</f>
        <v>42094.666666666599</v>
      </c>
      <c r="B62" s="1">
        <f ca="1">IFERROR(__xludf.DUMMYFUNCTION("""COMPUTED_VALUE"""),27.89)</f>
        <v>27.89</v>
      </c>
      <c r="C62" s="1">
        <f ca="1">IFERROR(__xludf.DUMMYFUNCTION("""COMPUTED_VALUE"""),28.12)</f>
        <v>28.12</v>
      </c>
      <c r="D62" s="1">
        <f ca="1">IFERROR(__xludf.DUMMYFUNCTION("""COMPUTED_VALUE"""),27.73)</f>
        <v>27.73</v>
      </c>
      <c r="E62" s="1">
        <f ca="1">IFERROR(__xludf.DUMMYFUNCTION("""COMPUTED_VALUE"""),27.74)</f>
        <v>27.74</v>
      </c>
      <c r="F62" s="1">
        <f ca="1">IFERROR(__xludf.DUMMYFUNCTION("""COMPUTED_VALUE"""),1746622)</f>
        <v>1746622</v>
      </c>
    </row>
    <row r="63" spans="1:6" x14ac:dyDescent="0.35">
      <c r="A63" s="2">
        <f ca="1">IFERROR(__xludf.DUMMYFUNCTION("""COMPUTED_VALUE"""),42095.6666666666)</f>
        <v>42095.666666666599</v>
      </c>
      <c r="B63" s="1">
        <f ca="1">IFERROR(__xludf.DUMMYFUNCTION("""COMPUTED_VALUE"""),27.74)</f>
        <v>27.74</v>
      </c>
      <c r="C63" s="1">
        <f ca="1">IFERROR(__xludf.DUMMYFUNCTION("""COMPUTED_VALUE"""),27.93)</f>
        <v>27.93</v>
      </c>
      <c r="D63" s="1">
        <f ca="1">IFERROR(__xludf.DUMMYFUNCTION("""COMPUTED_VALUE"""),27.3)</f>
        <v>27.3</v>
      </c>
      <c r="E63" s="1">
        <f ca="1">IFERROR(__xludf.DUMMYFUNCTION("""COMPUTED_VALUE"""),27.47)</f>
        <v>27.47</v>
      </c>
      <c r="F63" s="1">
        <f ca="1">IFERROR(__xludf.DUMMYFUNCTION("""COMPUTED_VALUE"""),1945090)</f>
        <v>1945090</v>
      </c>
    </row>
    <row r="64" spans="1:6" x14ac:dyDescent="0.35">
      <c r="A64" s="2">
        <f ca="1">IFERROR(__xludf.DUMMYFUNCTION("""COMPUTED_VALUE"""),42096.6666666666)</f>
        <v>42096.666666666599</v>
      </c>
      <c r="B64" s="1">
        <f ca="1">IFERROR(__xludf.DUMMYFUNCTION("""COMPUTED_VALUE"""),27.37)</f>
        <v>27.37</v>
      </c>
      <c r="C64" s="1">
        <f ca="1">IFERROR(__xludf.DUMMYFUNCTION("""COMPUTED_VALUE"""),27.4)</f>
        <v>27.4</v>
      </c>
      <c r="D64" s="1">
        <f ca="1">IFERROR(__xludf.DUMMYFUNCTION("""COMPUTED_VALUE"""),27.02)</f>
        <v>27.02</v>
      </c>
      <c r="E64" s="1">
        <f ca="1">IFERROR(__xludf.DUMMYFUNCTION("""COMPUTED_VALUE"""),27.07)</f>
        <v>27.07</v>
      </c>
      <c r="F64" s="1">
        <f ca="1">IFERROR(__xludf.DUMMYFUNCTION("""COMPUTED_VALUE"""),2388019)</f>
        <v>2388019</v>
      </c>
    </row>
    <row r="65" spans="1:6" x14ac:dyDescent="0.35">
      <c r="A65" s="2">
        <f ca="1">IFERROR(__xludf.DUMMYFUNCTION("""COMPUTED_VALUE"""),42100.6666666666)</f>
        <v>42100.666666666599</v>
      </c>
      <c r="B65" s="1">
        <f ca="1">IFERROR(__xludf.DUMMYFUNCTION("""COMPUTED_VALUE"""),26.92)</f>
        <v>26.92</v>
      </c>
      <c r="C65" s="1">
        <f ca="1">IFERROR(__xludf.DUMMYFUNCTION("""COMPUTED_VALUE"""),27.28)</f>
        <v>27.28</v>
      </c>
      <c r="D65" s="1">
        <f ca="1">IFERROR(__xludf.DUMMYFUNCTION("""COMPUTED_VALUE"""),26.79)</f>
        <v>26.79</v>
      </c>
      <c r="E65" s="1">
        <f ca="1">IFERROR(__xludf.DUMMYFUNCTION("""COMPUTED_VALUE"""),27.2)</f>
        <v>27.2</v>
      </c>
      <c r="F65" s="1">
        <f ca="1">IFERROR(__xludf.DUMMYFUNCTION("""COMPUTED_VALUE"""),1685894)</f>
        <v>1685894</v>
      </c>
    </row>
    <row r="66" spans="1:6" x14ac:dyDescent="0.35">
      <c r="A66" s="2">
        <f ca="1">IFERROR(__xludf.DUMMYFUNCTION("""COMPUTED_VALUE"""),42101.6666666666)</f>
        <v>42101.666666666599</v>
      </c>
      <c r="B66" s="1">
        <f ca="1">IFERROR(__xludf.DUMMYFUNCTION("""COMPUTED_VALUE"""),27.25)</f>
        <v>27.25</v>
      </c>
      <c r="C66" s="1">
        <f ca="1">IFERROR(__xludf.DUMMYFUNCTION("""COMPUTED_VALUE"""),27.51)</f>
        <v>27.51</v>
      </c>
      <c r="D66" s="1">
        <f ca="1">IFERROR(__xludf.DUMMYFUNCTION("""COMPUTED_VALUE"""),27.18)</f>
        <v>27.18</v>
      </c>
      <c r="E66" s="1">
        <f ca="1">IFERROR(__xludf.DUMMYFUNCTION("""COMPUTED_VALUE"""),27.24)</f>
        <v>27.24</v>
      </c>
      <c r="F66" s="1">
        <f ca="1">IFERROR(__xludf.DUMMYFUNCTION("""COMPUTED_VALUE"""),1365916)</f>
        <v>1365916</v>
      </c>
    </row>
    <row r="67" spans="1:6" x14ac:dyDescent="0.35">
      <c r="A67" s="2">
        <f ca="1">IFERROR(__xludf.DUMMYFUNCTION("""COMPUTED_VALUE"""),42102.6666666666)</f>
        <v>42102.666666666599</v>
      </c>
      <c r="B67" s="1">
        <f ca="1">IFERROR(__xludf.DUMMYFUNCTION("""COMPUTED_VALUE"""),27.31)</f>
        <v>27.31</v>
      </c>
      <c r="C67" s="1">
        <f ca="1">IFERROR(__xludf.DUMMYFUNCTION("""COMPUTED_VALUE"""),27.58)</f>
        <v>27.58</v>
      </c>
      <c r="D67" s="1">
        <f ca="1">IFERROR(__xludf.DUMMYFUNCTION("""COMPUTED_VALUE"""),27.3)</f>
        <v>27.3</v>
      </c>
      <c r="E67" s="1">
        <f ca="1">IFERROR(__xludf.DUMMYFUNCTION("""COMPUTED_VALUE"""),27.44)</f>
        <v>27.44</v>
      </c>
      <c r="F67" s="1">
        <f ca="1">IFERROR(__xludf.DUMMYFUNCTION("""COMPUTED_VALUE"""),1419316)</f>
        <v>1419316</v>
      </c>
    </row>
    <row r="68" spans="1:6" x14ac:dyDescent="0.35">
      <c r="A68" s="2">
        <f ca="1">IFERROR(__xludf.DUMMYFUNCTION("""COMPUTED_VALUE"""),42103.6666666666)</f>
        <v>42103.666666666599</v>
      </c>
      <c r="B68" s="1">
        <f ca="1">IFERROR(__xludf.DUMMYFUNCTION("""COMPUTED_VALUE"""),27.46)</f>
        <v>27.46</v>
      </c>
      <c r="C68" s="1">
        <f ca="1">IFERROR(__xludf.DUMMYFUNCTION("""COMPUTED_VALUE"""),27.47)</f>
        <v>27.47</v>
      </c>
      <c r="D68" s="1">
        <f ca="1">IFERROR(__xludf.DUMMYFUNCTION("""COMPUTED_VALUE"""),27.1)</f>
        <v>27.1</v>
      </c>
      <c r="E68" s="1">
        <f ca="1">IFERROR(__xludf.DUMMYFUNCTION("""COMPUTED_VALUE"""),27.4)</f>
        <v>27.4</v>
      </c>
      <c r="F68" s="1">
        <f ca="1">IFERROR(__xludf.DUMMYFUNCTION("""COMPUTED_VALUE"""),1618299)</f>
        <v>1618299</v>
      </c>
    </row>
    <row r="69" spans="1:6" x14ac:dyDescent="0.35">
      <c r="A69" s="2">
        <f ca="1">IFERROR(__xludf.DUMMYFUNCTION("""COMPUTED_VALUE"""),42104.6666666666)</f>
        <v>42104.666666666599</v>
      </c>
      <c r="B69" s="1">
        <f ca="1">IFERROR(__xludf.DUMMYFUNCTION("""COMPUTED_VALUE"""),27.49)</f>
        <v>27.49</v>
      </c>
      <c r="C69" s="1">
        <f ca="1">IFERROR(__xludf.DUMMYFUNCTION("""COMPUTED_VALUE"""),27.49)</f>
        <v>27.49</v>
      </c>
      <c r="D69" s="1">
        <f ca="1">IFERROR(__xludf.DUMMYFUNCTION("""COMPUTED_VALUE"""),27.25)</f>
        <v>27.25</v>
      </c>
      <c r="E69" s="1">
        <f ca="1">IFERROR(__xludf.DUMMYFUNCTION("""COMPUTED_VALUE"""),27.43)</f>
        <v>27.43</v>
      </c>
      <c r="F69" s="1">
        <f ca="1">IFERROR(__xludf.DUMMYFUNCTION("""COMPUTED_VALUE"""),1305219)</f>
        <v>1305219</v>
      </c>
    </row>
    <row r="70" spans="1:6" x14ac:dyDescent="0.35">
      <c r="A70" s="2">
        <f ca="1">IFERROR(__xludf.DUMMYFUNCTION("""COMPUTED_VALUE"""),42107.6666666666)</f>
        <v>42107.666666666599</v>
      </c>
      <c r="B70" s="1">
        <f ca="1">IFERROR(__xludf.DUMMYFUNCTION("""COMPUTED_VALUE"""),27.4)</f>
        <v>27.4</v>
      </c>
      <c r="C70" s="1">
        <f ca="1">IFERROR(__xludf.DUMMYFUNCTION("""COMPUTED_VALUE"""),27.66)</f>
        <v>27.66</v>
      </c>
      <c r="D70" s="1">
        <f ca="1">IFERROR(__xludf.DUMMYFUNCTION("""COMPUTED_VALUE"""),27.32)</f>
        <v>27.32</v>
      </c>
      <c r="E70" s="1">
        <f ca="1">IFERROR(__xludf.DUMMYFUNCTION("""COMPUTED_VALUE"""),27.43)</f>
        <v>27.43</v>
      </c>
      <c r="F70" s="1">
        <f ca="1">IFERROR(__xludf.DUMMYFUNCTION("""COMPUTED_VALUE"""),1466277)</f>
        <v>1466277</v>
      </c>
    </row>
    <row r="71" spans="1:6" x14ac:dyDescent="0.35">
      <c r="A71" s="2">
        <f ca="1">IFERROR(__xludf.DUMMYFUNCTION("""COMPUTED_VALUE"""),42108.6666666666)</f>
        <v>42108.666666666599</v>
      </c>
      <c r="B71" s="1">
        <f ca="1">IFERROR(__xludf.DUMMYFUNCTION("""COMPUTED_VALUE"""),27.31)</f>
        <v>27.31</v>
      </c>
      <c r="C71" s="1">
        <f ca="1">IFERROR(__xludf.DUMMYFUNCTION("""COMPUTED_VALUE"""),27.33)</f>
        <v>27.33</v>
      </c>
      <c r="D71" s="1">
        <f ca="1">IFERROR(__xludf.DUMMYFUNCTION("""COMPUTED_VALUE"""),26.79)</f>
        <v>26.79</v>
      </c>
      <c r="E71" s="1">
        <f ca="1">IFERROR(__xludf.DUMMYFUNCTION("""COMPUTED_VALUE"""),26.99)</f>
        <v>26.99</v>
      </c>
      <c r="F71" s="1">
        <f ca="1">IFERROR(__xludf.DUMMYFUNCTION("""COMPUTED_VALUE"""),2360329)</f>
        <v>2360329</v>
      </c>
    </row>
    <row r="72" spans="1:6" x14ac:dyDescent="0.35">
      <c r="A72" s="2">
        <f ca="1">IFERROR(__xludf.DUMMYFUNCTION("""COMPUTED_VALUE"""),42109.6666666666)</f>
        <v>42109.666666666599</v>
      </c>
      <c r="B72" s="1">
        <f ca="1">IFERROR(__xludf.DUMMYFUNCTION("""COMPUTED_VALUE"""),26.91)</f>
        <v>26.91</v>
      </c>
      <c r="C72" s="1">
        <f ca="1">IFERROR(__xludf.DUMMYFUNCTION("""COMPUTED_VALUE"""),27.16)</f>
        <v>27.16</v>
      </c>
      <c r="D72" s="1">
        <f ca="1">IFERROR(__xludf.DUMMYFUNCTION("""COMPUTED_VALUE"""),26.62)</f>
        <v>26.62</v>
      </c>
      <c r="E72" s="1">
        <f ca="1">IFERROR(__xludf.DUMMYFUNCTION("""COMPUTED_VALUE"""),27.05)</f>
        <v>27.05</v>
      </c>
      <c r="F72" s="1">
        <f ca="1">IFERROR(__xludf.DUMMYFUNCTION("""COMPUTED_VALUE"""),2348087)</f>
        <v>2348087</v>
      </c>
    </row>
    <row r="73" spans="1:6" x14ac:dyDescent="0.35">
      <c r="A73" s="2">
        <f ca="1">IFERROR(__xludf.DUMMYFUNCTION("""COMPUTED_VALUE"""),42110.6666666666)</f>
        <v>42110.666666666599</v>
      </c>
      <c r="B73" s="1">
        <f ca="1">IFERROR(__xludf.DUMMYFUNCTION("""COMPUTED_VALUE"""),26.94)</f>
        <v>26.94</v>
      </c>
      <c r="C73" s="1">
        <f ca="1">IFERROR(__xludf.DUMMYFUNCTION("""COMPUTED_VALUE"""),27.26)</f>
        <v>27.26</v>
      </c>
      <c r="D73" s="1">
        <f ca="1">IFERROR(__xludf.DUMMYFUNCTION("""COMPUTED_VALUE"""),26.91)</f>
        <v>26.91</v>
      </c>
      <c r="E73" s="1">
        <f ca="1">IFERROR(__xludf.DUMMYFUNCTION("""COMPUTED_VALUE"""),27.18)</f>
        <v>27.18</v>
      </c>
      <c r="F73" s="1">
        <f ca="1">IFERROR(__xludf.DUMMYFUNCTION("""COMPUTED_VALUE"""),1586088)</f>
        <v>1586088</v>
      </c>
    </row>
    <row r="74" spans="1:6" x14ac:dyDescent="0.35">
      <c r="A74" s="2">
        <f ca="1">IFERROR(__xludf.DUMMYFUNCTION("""COMPUTED_VALUE"""),42111.6666666666)</f>
        <v>42111.666666666599</v>
      </c>
      <c r="B74" s="1">
        <f ca="1">IFERROR(__xludf.DUMMYFUNCTION("""COMPUTED_VALUE"""),26.85)</f>
        <v>26.85</v>
      </c>
      <c r="C74" s="1">
        <f ca="1">IFERROR(__xludf.DUMMYFUNCTION("""COMPUTED_VALUE"""),26.99)</f>
        <v>26.99</v>
      </c>
      <c r="D74" s="1">
        <f ca="1">IFERROR(__xludf.DUMMYFUNCTION("""COMPUTED_VALUE"""),26.45)</f>
        <v>26.45</v>
      </c>
      <c r="E74" s="1">
        <f ca="1">IFERROR(__xludf.DUMMYFUNCTION("""COMPUTED_VALUE"""),26.64)</f>
        <v>26.64</v>
      </c>
      <c r="F74" s="1">
        <f ca="1">IFERROR(__xludf.DUMMYFUNCTION("""COMPUTED_VALUE"""),2461698)</f>
        <v>2461698</v>
      </c>
    </row>
    <row r="75" spans="1:6" x14ac:dyDescent="0.35">
      <c r="A75" s="2">
        <f ca="1">IFERROR(__xludf.DUMMYFUNCTION("""COMPUTED_VALUE"""),42114.6666666666)</f>
        <v>42114.666666666599</v>
      </c>
      <c r="B75" s="1">
        <f ca="1">IFERROR(__xludf.DUMMYFUNCTION("""COMPUTED_VALUE"""),26.69)</f>
        <v>26.69</v>
      </c>
      <c r="C75" s="1">
        <f ca="1">IFERROR(__xludf.DUMMYFUNCTION("""COMPUTED_VALUE"""),27.29)</f>
        <v>27.29</v>
      </c>
      <c r="D75" s="1">
        <f ca="1">IFERROR(__xludf.DUMMYFUNCTION("""COMPUTED_VALUE"""),26.67)</f>
        <v>26.67</v>
      </c>
      <c r="E75" s="1">
        <f ca="1">IFERROR(__xludf.DUMMYFUNCTION("""COMPUTED_VALUE"""),27.23)</f>
        <v>27.23</v>
      </c>
      <c r="F75" s="1">
        <f ca="1">IFERROR(__xludf.DUMMYFUNCTION("""COMPUTED_VALUE"""),1926064)</f>
        <v>1926064</v>
      </c>
    </row>
    <row r="76" spans="1:6" x14ac:dyDescent="0.35">
      <c r="A76" s="2">
        <f ca="1">IFERROR(__xludf.DUMMYFUNCTION("""COMPUTED_VALUE"""),42115.6666666666)</f>
        <v>42115.666666666599</v>
      </c>
      <c r="B76" s="1">
        <f ca="1">IFERROR(__xludf.DUMMYFUNCTION("""COMPUTED_VALUE"""),27.32)</f>
        <v>27.32</v>
      </c>
      <c r="C76" s="1">
        <f ca="1">IFERROR(__xludf.DUMMYFUNCTION("""COMPUTED_VALUE"""),27.39)</f>
        <v>27.39</v>
      </c>
      <c r="D76" s="1">
        <f ca="1">IFERROR(__xludf.DUMMYFUNCTION("""COMPUTED_VALUE"""),27.11)</f>
        <v>27.11</v>
      </c>
      <c r="E76" s="1">
        <f ca="1">IFERROR(__xludf.DUMMYFUNCTION("""COMPUTED_VALUE"""),27.15)</f>
        <v>27.15</v>
      </c>
      <c r="F76" s="1">
        <f ca="1">IFERROR(__xludf.DUMMYFUNCTION("""COMPUTED_VALUE"""),1456387)</f>
        <v>1456387</v>
      </c>
    </row>
    <row r="77" spans="1:6" x14ac:dyDescent="0.35">
      <c r="A77" s="2">
        <f ca="1">IFERROR(__xludf.DUMMYFUNCTION("""COMPUTED_VALUE"""),42116.6666666666)</f>
        <v>42116.666666666599</v>
      </c>
      <c r="B77" s="1">
        <f ca="1">IFERROR(__xludf.DUMMYFUNCTION("""COMPUTED_VALUE"""),27.16)</f>
        <v>27.16</v>
      </c>
      <c r="C77" s="1">
        <f ca="1">IFERROR(__xludf.DUMMYFUNCTION("""COMPUTED_VALUE"""),27.55)</f>
        <v>27.55</v>
      </c>
      <c r="D77" s="1">
        <f ca="1">IFERROR(__xludf.DUMMYFUNCTION("""COMPUTED_VALUE"""),27.07)</f>
        <v>27.07</v>
      </c>
      <c r="E77" s="1">
        <f ca="1">IFERROR(__xludf.DUMMYFUNCTION("""COMPUTED_VALUE"""),27.46)</f>
        <v>27.46</v>
      </c>
      <c r="F77" s="1">
        <f ca="1">IFERROR(__xludf.DUMMYFUNCTION("""COMPUTED_VALUE"""),1590320)</f>
        <v>1590320</v>
      </c>
    </row>
    <row r="78" spans="1:6" x14ac:dyDescent="0.35">
      <c r="A78" s="2">
        <f ca="1">IFERROR(__xludf.DUMMYFUNCTION("""COMPUTED_VALUE"""),42117.6666666666)</f>
        <v>42117.666666666599</v>
      </c>
      <c r="B78" s="1">
        <f ca="1">IFERROR(__xludf.DUMMYFUNCTION("""COMPUTED_VALUE"""),27.52)</f>
        <v>27.52</v>
      </c>
      <c r="C78" s="1">
        <f ca="1">IFERROR(__xludf.DUMMYFUNCTION("""COMPUTED_VALUE"""),28.06)</f>
        <v>28.06</v>
      </c>
      <c r="D78" s="1">
        <f ca="1">IFERROR(__xludf.DUMMYFUNCTION("""COMPUTED_VALUE"""),27.5)</f>
        <v>27.5</v>
      </c>
      <c r="E78" s="1">
        <f ca="1">IFERROR(__xludf.DUMMYFUNCTION("""COMPUTED_VALUE"""),27.87)</f>
        <v>27.87</v>
      </c>
      <c r="F78" s="1">
        <f ca="1">IFERROR(__xludf.DUMMYFUNCTION("""COMPUTED_VALUE"""),3909155)</f>
        <v>3909155</v>
      </c>
    </row>
    <row r="79" spans="1:6" x14ac:dyDescent="0.35">
      <c r="A79" s="2">
        <f ca="1">IFERROR(__xludf.DUMMYFUNCTION("""COMPUTED_VALUE"""),42118.6666666666)</f>
        <v>42118.666666666599</v>
      </c>
      <c r="B79" s="1">
        <f ca="1">IFERROR(__xludf.DUMMYFUNCTION("""COMPUTED_VALUE"""),29)</f>
        <v>29</v>
      </c>
      <c r="C79" s="1">
        <f ca="1">IFERROR(__xludf.DUMMYFUNCTION("""COMPUTED_VALUE"""),29.24)</f>
        <v>29.24</v>
      </c>
      <c r="D79" s="1">
        <f ca="1">IFERROR(__xludf.DUMMYFUNCTION("""COMPUTED_VALUE"""),28.42)</f>
        <v>28.42</v>
      </c>
      <c r="E79" s="1">
        <f ca="1">IFERROR(__xludf.DUMMYFUNCTION("""COMPUTED_VALUE"""),28.68)</f>
        <v>28.68</v>
      </c>
      <c r="F79" s="1">
        <f ca="1">IFERROR(__xludf.DUMMYFUNCTION("""COMPUTED_VALUE"""),4608403)</f>
        <v>4608403</v>
      </c>
    </row>
    <row r="80" spans="1:6" x14ac:dyDescent="0.35">
      <c r="A80" s="2">
        <f ca="1">IFERROR(__xludf.DUMMYFUNCTION("""COMPUTED_VALUE"""),42121.6666666666)</f>
        <v>42121.666666666599</v>
      </c>
      <c r="B80" s="1">
        <f ca="1">IFERROR(__xludf.DUMMYFUNCTION("""COMPUTED_VALUE"""),28.62)</f>
        <v>28.62</v>
      </c>
      <c r="C80" s="1">
        <f ca="1">IFERROR(__xludf.DUMMYFUNCTION("""COMPUTED_VALUE"""),28.78)</f>
        <v>28.78</v>
      </c>
      <c r="D80" s="1">
        <f ca="1">IFERROR(__xludf.DUMMYFUNCTION("""COMPUTED_VALUE"""),28.12)</f>
        <v>28.12</v>
      </c>
      <c r="E80" s="1">
        <f ca="1">IFERROR(__xludf.DUMMYFUNCTION("""COMPUTED_VALUE"""),28.31)</f>
        <v>28.31</v>
      </c>
      <c r="F80" s="1">
        <f ca="1">IFERROR(__xludf.DUMMYFUNCTION("""COMPUTED_VALUE"""),2403105)</f>
        <v>2403105</v>
      </c>
    </row>
    <row r="81" spans="1:6" x14ac:dyDescent="0.35">
      <c r="A81" s="2">
        <f ca="1">IFERROR(__xludf.DUMMYFUNCTION("""COMPUTED_VALUE"""),42122.6666666666)</f>
        <v>42122.666666666599</v>
      </c>
      <c r="B81" s="1">
        <f ca="1">IFERROR(__xludf.DUMMYFUNCTION("""COMPUTED_VALUE"""),28.22)</f>
        <v>28.22</v>
      </c>
      <c r="C81" s="1">
        <f ca="1">IFERROR(__xludf.DUMMYFUNCTION("""COMPUTED_VALUE"""),28.39)</f>
        <v>28.39</v>
      </c>
      <c r="D81" s="1">
        <f ca="1">IFERROR(__xludf.DUMMYFUNCTION("""COMPUTED_VALUE"""),28.05)</f>
        <v>28.05</v>
      </c>
      <c r="E81" s="1">
        <f ca="1">IFERROR(__xludf.DUMMYFUNCTION("""COMPUTED_VALUE"""),28.22)</f>
        <v>28.22</v>
      </c>
      <c r="F81" s="1">
        <f ca="1">IFERROR(__xludf.DUMMYFUNCTION("""COMPUTED_VALUE"""),1859787)</f>
        <v>1859787</v>
      </c>
    </row>
    <row r="82" spans="1:6" x14ac:dyDescent="0.35">
      <c r="A82" s="2">
        <f ca="1">IFERROR(__xludf.DUMMYFUNCTION("""COMPUTED_VALUE"""),42123.6666666666)</f>
        <v>42123.666666666599</v>
      </c>
      <c r="B82" s="1">
        <f ca="1">IFERROR(__xludf.DUMMYFUNCTION("""COMPUTED_VALUE"""),28.03)</f>
        <v>28.03</v>
      </c>
      <c r="C82" s="1">
        <f ca="1">IFERROR(__xludf.DUMMYFUNCTION("""COMPUTED_VALUE"""),28.29)</f>
        <v>28.29</v>
      </c>
      <c r="D82" s="1">
        <f ca="1">IFERROR(__xludf.DUMMYFUNCTION("""COMPUTED_VALUE"""),27.95)</f>
        <v>27.95</v>
      </c>
      <c r="E82" s="1">
        <f ca="1">IFERROR(__xludf.DUMMYFUNCTION("""COMPUTED_VALUE"""),28.07)</f>
        <v>28.07</v>
      </c>
      <c r="F82" s="1">
        <f ca="1">IFERROR(__xludf.DUMMYFUNCTION("""COMPUTED_VALUE"""),1681064)</f>
        <v>1681064</v>
      </c>
    </row>
    <row r="83" spans="1:6" x14ac:dyDescent="0.35">
      <c r="A83" s="2">
        <f ca="1">IFERROR(__xludf.DUMMYFUNCTION("""COMPUTED_VALUE"""),42124.6666666666)</f>
        <v>42124.666666666599</v>
      </c>
      <c r="B83" s="1">
        <f ca="1">IFERROR(__xludf.DUMMYFUNCTION("""COMPUTED_VALUE"""),27.95)</f>
        <v>27.95</v>
      </c>
      <c r="C83" s="1">
        <f ca="1">IFERROR(__xludf.DUMMYFUNCTION("""COMPUTED_VALUE"""),28.06)</f>
        <v>28.06</v>
      </c>
      <c r="D83" s="1">
        <f ca="1">IFERROR(__xludf.DUMMYFUNCTION("""COMPUTED_VALUE"""),27.34)</f>
        <v>27.34</v>
      </c>
      <c r="E83" s="1">
        <f ca="1">IFERROR(__xludf.DUMMYFUNCTION("""COMPUTED_VALUE"""),27.44)</f>
        <v>27.44</v>
      </c>
      <c r="F83" s="1">
        <f ca="1">IFERROR(__xludf.DUMMYFUNCTION("""COMPUTED_VALUE"""),2362024)</f>
        <v>2362024</v>
      </c>
    </row>
    <row r="84" spans="1:6" x14ac:dyDescent="0.35">
      <c r="A84" s="2">
        <f ca="1">IFERROR(__xludf.DUMMYFUNCTION("""COMPUTED_VALUE"""),42125.6666666666)</f>
        <v>42125.666666666599</v>
      </c>
      <c r="B84" s="1">
        <f ca="1">IFERROR(__xludf.DUMMYFUNCTION("""COMPUTED_VALUE"""),27.53)</f>
        <v>27.53</v>
      </c>
      <c r="C84" s="1">
        <f ca="1">IFERROR(__xludf.DUMMYFUNCTION("""COMPUTED_VALUE"""),27.56)</f>
        <v>27.56</v>
      </c>
      <c r="D84" s="1">
        <f ca="1">IFERROR(__xludf.DUMMYFUNCTION("""COMPUTED_VALUE"""),27.19)</f>
        <v>27.19</v>
      </c>
      <c r="E84" s="1">
        <f ca="1">IFERROR(__xludf.DUMMYFUNCTION("""COMPUTED_VALUE"""),27.56)</f>
        <v>27.56</v>
      </c>
      <c r="F84" s="1">
        <f ca="1">IFERROR(__xludf.DUMMYFUNCTION("""COMPUTED_VALUE"""),1828566)</f>
        <v>1828566</v>
      </c>
    </row>
    <row r="85" spans="1:6" x14ac:dyDescent="0.35">
      <c r="A85" s="2">
        <f ca="1">IFERROR(__xludf.DUMMYFUNCTION("""COMPUTED_VALUE"""),42128.6666666666)</f>
        <v>42128.666666666599</v>
      </c>
      <c r="B85" s="1">
        <f ca="1">IFERROR(__xludf.DUMMYFUNCTION("""COMPUTED_VALUE"""),27.55)</f>
        <v>27.55</v>
      </c>
      <c r="C85" s="1">
        <f ca="1">IFERROR(__xludf.DUMMYFUNCTION("""COMPUTED_VALUE"""),27.83)</f>
        <v>27.83</v>
      </c>
      <c r="D85" s="1">
        <f ca="1">IFERROR(__xludf.DUMMYFUNCTION("""COMPUTED_VALUE"""),27.37)</f>
        <v>27.37</v>
      </c>
      <c r="E85" s="1">
        <f ca="1">IFERROR(__xludf.DUMMYFUNCTION("""COMPUTED_VALUE"""),27.64)</f>
        <v>27.64</v>
      </c>
      <c r="F85" s="1">
        <f ca="1">IFERROR(__xludf.DUMMYFUNCTION("""COMPUTED_VALUE"""),1762952)</f>
        <v>1762952</v>
      </c>
    </row>
    <row r="86" spans="1:6" x14ac:dyDescent="0.35">
      <c r="A86" s="2">
        <f ca="1">IFERROR(__xludf.DUMMYFUNCTION("""COMPUTED_VALUE"""),42129.6666666666)</f>
        <v>42129.666666666599</v>
      </c>
      <c r="B86" s="1">
        <f ca="1">IFERROR(__xludf.DUMMYFUNCTION("""COMPUTED_VALUE"""),27.56)</f>
        <v>27.56</v>
      </c>
      <c r="C86" s="1">
        <f ca="1">IFERROR(__xludf.DUMMYFUNCTION("""COMPUTED_VALUE"""),27.63)</f>
        <v>27.63</v>
      </c>
      <c r="D86" s="1">
        <f ca="1">IFERROR(__xludf.DUMMYFUNCTION("""COMPUTED_VALUE"""),27.12)</f>
        <v>27.12</v>
      </c>
      <c r="E86" s="1">
        <f ca="1">IFERROR(__xludf.DUMMYFUNCTION("""COMPUTED_VALUE"""),27.15)</f>
        <v>27.15</v>
      </c>
      <c r="F86" s="1">
        <f ca="1">IFERROR(__xludf.DUMMYFUNCTION("""COMPUTED_VALUE"""),1426417)</f>
        <v>1426417</v>
      </c>
    </row>
    <row r="87" spans="1:6" x14ac:dyDescent="0.35">
      <c r="A87" s="2">
        <f ca="1">IFERROR(__xludf.DUMMYFUNCTION("""COMPUTED_VALUE"""),42130.6666666666)</f>
        <v>42130.666666666599</v>
      </c>
      <c r="B87" s="1">
        <f ca="1">IFERROR(__xludf.DUMMYFUNCTION("""COMPUTED_VALUE"""),27.13)</f>
        <v>27.13</v>
      </c>
      <c r="C87" s="1">
        <f ca="1">IFERROR(__xludf.DUMMYFUNCTION("""COMPUTED_VALUE"""),27.2)</f>
        <v>27.2</v>
      </c>
      <c r="D87" s="1">
        <f ca="1">IFERROR(__xludf.DUMMYFUNCTION("""COMPUTED_VALUE"""),26.61)</f>
        <v>26.61</v>
      </c>
      <c r="E87" s="1">
        <f ca="1">IFERROR(__xludf.DUMMYFUNCTION("""COMPUTED_VALUE"""),26.75)</f>
        <v>26.75</v>
      </c>
      <c r="F87" s="1">
        <f ca="1">IFERROR(__xludf.DUMMYFUNCTION("""COMPUTED_VALUE"""),1951728)</f>
        <v>1951728</v>
      </c>
    </row>
    <row r="88" spans="1:6" x14ac:dyDescent="0.35">
      <c r="A88" s="2">
        <f ca="1">IFERROR(__xludf.DUMMYFUNCTION("""COMPUTED_VALUE"""),42131.6666666666)</f>
        <v>42131.666666666599</v>
      </c>
      <c r="B88" s="1">
        <f ca="1">IFERROR(__xludf.DUMMYFUNCTION("""COMPUTED_VALUE"""),26.8)</f>
        <v>26.8</v>
      </c>
      <c r="C88" s="1">
        <f ca="1">IFERROR(__xludf.DUMMYFUNCTION("""COMPUTED_VALUE"""),27.26)</f>
        <v>27.26</v>
      </c>
      <c r="D88" s="1">
        <f ca="1">IFERROR(__xludf.DUMMYFUNCTION("""COMPUTED_VALUE"""),26.67)</f>
        <v>26.67</v>
      </c>
      <c r="E88" s="1">
        <f ca="1">IFERROR(__xludf.DUMMYFUNCTION("""COMPUTED_VALUE"""),27.1)</f>
        <v>27.1</v>
      </c>
      <c r="F88" s="1">
        <f ca="1">IFERROR(__xludf.DUMMYFUNCTION("""COMPUTED_VALUE"""),1592220)</f>
        <v>1592220</v>
      </c>
    </row>
    <row r="89" spans="1:6" x14ac:dyDescent="0.35">
      <c r="A89" s="2">
        <f ca="1">IFERROR(__xludf.DUMMYFUNCTION("""COMPUTED_VALUE"""),42132.6666666666)</f>
        <v>42132.666666666599</v>
      </c>
      <c r="B89" s="1">
        <f ca="1">IFERROR(__xludf.DUMMYFUNCTION("""COMPUTED_VALUE"""),27.44)</f>
        <v>27.44</v>
      </c>
      <c r="C89" s="1">
        <f ca="1">IFERROR(__xludf.DUMMYFUNCTION("""COMPUTED_VALUE"""),27.64)</f>
        <v>27.64</v>
      </c>
      <c r="D89" s="1">
        <f ca="1">IFERROR(__xludf.DUMMYFUNCTION("""COMPUTED_VALUE"""),27.4)</f>
        <v>27.4</v>
      </c>
      <c r="E89" s="1">
        <f ca="1">IFERROR(__xludf.DUMMYFUNCTION("""COMPUTED_VALUE"""),27.45)</f>
        <v>27.45</v>
      </c>
      <c r="F89" s="1">
        <f ca="1">IFERROR(__xludf.DUMMYFUNCTION("""COMPUTED_VALUE"""),1411264)</f>
        <v>1411264</v>
      </c>
    </row>
    <row r="90" spans="1:6" x14ac:dyDescent="0.35">
      <c r="A90" s="2">
        <f ca="1">IFERROR(__xludf.DUMMYFUNCTION("""COMPUTED_VALUE"""),42135.6666666666)</f>
        <v>42135.666666666599</v>
      </c>
      <c r="B90" s="1">
        <f ca="1">IFERROR(__xludf.DUMMYFUNCTION("""COMPUTED_VALUE"""),27.43)</f>
        <v>27.43</v>
      </c>
      <c r="C90" s="1">
        <f ca="1">IFERROR(__xludf.DUMMYFUNCTION("""COMPUTED_VALUE"""),27.67)</f>
        <v>27.67</v>
      </c>
      <c r="D90" s="1">
        <f ca="1">IFERROR(__xludf.DUMMYFUNCTION("""COMPUTED_VALUE"""),27.28)</f>
        <v>27.28</v>
      </c>
      <c r="E90" s="1">
        <f ca="1">IFERROR(__xludf.DUMMYFUNCTION("""COMPUTED_VALUE"""),27.29)</f>
        <v>27.29</v>
      </c>
      <c r="F90" s="1">
        <f ca="1">IFERROR(__xludf.DUMMYFUNCTION("""COMPUTED_VALUE"""),1092923)</f>
        <v>1092923</v>
      </c>
    </row>
    <row r="91" spans="1:6" x14ac:dyDescent="0.35">
      <c r="A91" s="2">
        <f ca="1">IFERROR(__xludf.DUMMYFUNCTION("""COMPUTED_VALUE"""),42136.6666666666)</f>
        <v>42136.666666666599</v>
      </c>
      <c r="B91" s="1">
        <f ca="1">IFERROR(__xludf.DUMMYFUNCTION("""COMPUTED_VALUE"""),27.14)</f>
        <v>27.14</v>
      </c>
      <c r="C91" s="1">
        <f ca="1">IFERROR(__xludf.DUMMYFUNCTION("""COMPUTED_VALUE"""),27.15)</f>
        <v>27.15</v>
      </c>
      <c r="D91" s="1">
        <f ca="1">IFERROR(__xludf.DUMMYFUNCTION("""COMPUTED_VALUE"""),26.75)</f>
        <v>26.75</v>
      </c>
      <c r="E91" s="1">
        <f ca="1">IFERROR(__xludf.DUMMYFUNCTION("""COMPUTED_VALUE"""),26.94)</f>
        <v>26.94</v>
      </c>
      <c r="F91" s="1">
        <f ca="1">IFERROR(__xludf.DUMMYFUNCTION("""COMPUTED_VALUE"""),1764123)</f>
        <v>1764123</v>
      </c>
    </row>
    <row r="92" spans="1:6" x14ac:dyDescent="0.35">
      <c r="A92" s="2">
        <f ca="1">IFERROR(__xludf.DUMMYFUNCTION("""COMPUTED_VALUE"""),42137.6666666666)</f>
        <v>42137.666666666599</v>
      </c>
      <c r="B92" s="1">
        <f ca="1">IFERROR(__xludf.DUMMYFUNCTION("""COMPUTED_VALUE"""),27.02)</f>
        <v>27.02</v>
      </c>
      <c r="C92" s="1">
        <f ca="1">IFERROR(__xludf.DUMMYFUNCTION("""COMPUTED_VALUE"""),27.19)</f>
        <v>27.19</v>
      </c>
      <c r="D92" s="1">
        <f ca="1">IFERROR(__xludf.DUMMYFUNCTION("""COMPUTED_VALUE"""),26.95)</f>
        <v>26.95</v>
      </c>
      <c r="E92" s="1">
        <f ca="1">IFERROR(__xludf.DUMMYFUNCTION("""COMPUTED_VALUE"""),26.97)</f>
        <v>26.97</v>
      </c>
      <c r="F92" s="1">
        <f ca="1">IFERROR(__xludf.DUMMYFUNCTION("""COMPUTED_VALUE"""),1211920)</f>
        <v>1211920</v>
      </c>
    </row>
    <row r="93" spans="1:6" x14ac:dyDescent="0.35">
      <c r="A93" s="2">
        <f ca="1">IFERROR(__xludf.DUMMYFUNCTION("""COMPUTED_VALUE"""),42138.6666666666)</f>
        <v>42138.666666666599</v>
      </c>
      <c r="B93" s="1">
        <f ca="1">IFERROR(__xludf.DUMMYFUNCTION("""COMPUTED_VALUE"""),27.2)</f>
        <v>27.2</v>
      </c>
      <c r="C93" s="1">
        <f ca="1">IFERROR(__xludf.DUMMYFUNCTION("""COMPUTED_VALUE"""),27.48)</f>
        <v>27.48</v>
      </c>
      <c r="D93" s="1">
        <f ca="1">IFERROR(__xludf.DUMMYFUNCTION("""COMPUTED_VALUE"""),27.13)</f>
        <v>27.13</v>
      </c>
      <c r="E93" s="1">
        <f ca="1">IFERROR(__xludf.DUMMYFUNCTION("""COMPUTED_VALUE"""),27.46)</f>
        <v>27.46</v>
      </c>
      <c r="F93" s="1">
        <f ca="1">IFERROR(__xludf.DUMMYFUNCTION("""COMPUTED_VALUE"""),1586833)</f>
        <v>1586833</v>
      </c>
    </row>
    <row r="94" spans="1:6" x14ac:dyDescent="0.35">
      <c r="A94" s="2">
        <f ca="1">IFERROR(__xludf.DUMMYFUNCTION("""COMPUTED_VALUE"""),42139.6666666666)</f>
        <v>42139.666666666599</v>
      </c>
      <c r="B94" s="1">
        <f ca="1">IFERROR(__xludf.DUMMYFUNCTION("""COMPUTED_VALUE"""),27.52)</f>
        <v>27.52</v>
      </c>
      <c r="C94" s="1">
        <f ca="1">IFERROR(__xludf.DUMMYFUNCTION("""COMPUTED_VALUE"""),27.53)</f>
        <v>27.53</v>
      </c>
      <c r="D94" s="1">
        <f ca="1">IFERROR(__xludf.DUMMYFUNCTION("""COMPUTED_VALUE"""),27.13)</f>
        <v>27.13</v>
      </c>
      <c r="E94" s="1">
        <f ca="1">IFERROR(__xludf.DUMMYFUNCTION("""COMPUTED_VALUE"""),27.32)</f>
        <v>27.32</v>
      </c>
      <c r="F94" s="1">
        <f ca="1">IFERROR(__xludf.DUMMYFUNCTION("""COMPUTED_VALUE"""),1671977)</f>
        <v>1671977</v>
      </c>
    </row>
    <row r="95" spans="1:6" x14ac:dyDescent="0.35">
      <c r="A95" s="2">
        <f ca="1">IFERROR(__xludf.DUMMYFUNCTION("""COMPUTED_VALUE"""),42142.6666666666)</f>
        <v>42142.666666666599</v>
      </c>
      <c r="B95" s="1">
        <f ca="1">IFERROR(__xludf.DUMMYFUNCTION("""COMPUTED_VALUE"""),27.21)</f>
        <v>27.21</v>
      </c>
      <c r="C95" s="1">
        <f ca="1">IFERROR(__xludf.DUMMYFUNCTION("""COMPUTED_VALUE"""),27.42)</f>
        <v>27.42</v>
      </c>
      <c r="D95" s="1">
        <f ca="1">IFERROR(__xludf.DUMMYFUNCTION("""COMPUTED_VALUE"""),27.11)</f>
        <v>27.11</v>
      </c>
      <c r="E95" s="1">
        <f ca="1">IFERROR(__xludf.DUMMYFUNCTION("""COMPUTED_VALUE"""),27.33)</f>
        <v>27.33</v>
      </c>
      <c r="F95" s="1">
        <f ca="1">IFERROR(__xludf.DUMMYFUNCTION("""COMPUTED_VALUE"""),1335256)</f>
        <v>1335256</v>
      </c>
    </row>
    <row r="96" spans="1:6" x14ac:dyDescent="0.35">
      <c r="A96" s="2">
        <f ca="1">IFERROR(__xludf.DUMMYFUNCTION("""COMPUTED_VALUE"""),42143.6666666666)</f>
        <v>42143.666666666599</v>
      </c>
      <c r="B96" s="1">
        <f ca="1">IFERROR(__xludf.DUMMYFUNCTION("""COMPUTED_VALUE"""),27.4)</f>
        <v>27.4</v>
      </c>
      <c r="C96" s="1">
        <f ca="1">IFERROR(__xludf.DUMMYFUNCTION("""COMPUTED_VALUE"""),27.67)</f>
        <v>27.67</v>
      </c>
      <c r="D96" s="1">
        <f ca="1">IFERROR(__xludf.DUMMYFUNCTION("""COMPUTED_VALUE"""),27.36)</f>
        <v>27.36</v>
      </c>
      <c r="E96" s="1">
        <f ca="1">IFERROR(__xludf.DUMMYFUNCTION("""COMPUTED_VALUE"""),27.46)</f>
        <v>27.46</v>
      </c>
      <c r="F96" s="1">
        <f ca="1">IFERROR(__xludf.DUMMYFUNCTION("""COMPUTED_VALUE"""),2356274)</f>
        <v>2356274</v>
      </c>
    </row>
    <row r="97" spans="1:6" x14ac:dyDescent="0.35">
      <c r="A97" s="2">
        <f ca="1">IFERROR(__xludf.DUMMYFUNCTION("""COMPUTED_VALUE"""),42144.6666666666)</f>
        <v>42144.666666666599</v>
      </c>
      <c r="B97" s="1">
        <f ca="1">IFERROR(__xludf.DUMMYFUNCTION("""COMPUTED_VALUE"""),27.51)</f>
        <v>27.51</v>
      </c>
      <c r="C97" s="1">
        <f ca="1">IFERROR(__xludf.DUMMYFUNCTION("""COMPUTED_VALUE"""),27.8)</f>
        <v>27.8</v>
      </c>
      <c r="D97" s="1">
        <f ca="1">IFERROR(__xludf.DUMMYFUNCTION("""COMPUTED_VALUE"""),27.26)</f>
        <v>27.26</v>
      </c>
      <c r="E97" s="1">
        <f ca="1">IFERROR(__xludf.DUMMYFUNCTION("""COMPUTED_VALUE"""),27.63)</f>
        <v>27.63</v>
      </c>
      <c r="F97" s="1">
        <f ca="1">IFERROR(__xludf.DUMMYFUNCTION("""COMPUTED_VALUE"""),1541962)</f>
        <v>1541962</v>
      </c>
    </row>
    <row r="98" spans="1:6" x14ac:dyDescent="0.35">
      <c r="A98" s="2">
        <f ca="1">IFERROR(__xludf.DUMMYFUNCTION("""COMPUTED_VALUE"""),42145.6666666666)</f>
        <v>42145.666666666599</v>
      </c>
      <c r="B98" s="1">
        <f ca="1">IFERROR(__xludf.DUMMYFUNCTION("""COMPUTED_VALUE"""),27.52)</f>
        <v>27.52</v>
      </c>
      <c r="C98" s="1">
        <f ca="1">IFERROR(__xludf.DUMMYFUNCTION("""COMPUTED_VALUE"""),27.88)</f>
        <v>27.88</v>
      </c>
      <c r="D98" s="1">
        <f ca="1">IFERROR(__xludf.DUMMYFUNCTION("""COMPUTED_VALUE"""),27.47)</f>
        <v>27.47</v>
      </c>
      <c r="E98" s="1">
        <f ca="1">IFERROR(__xludf.DUMMYFUNCTION("""COMPUTED_VALUE"""),27.84)</f>
        <v>27.84</v>
      </c>
      <c r="F98" s="1">
        <f ca="1">IFERROR(__xludf.DUMMYFUNCTION("""COMPUTED_VALUE"""),1708512)</f>
        <v>1708512</v>
      </c>
    </row>
    <row r="99" spans="1:6" x14ac:dyDescent="0.35">
      <c r="A99" s="2">
        <f ca="1">IFERROR(__xludf.DUMMYFUNCTION("""COMPUTED_VALUE"""),42146.6666666666)</f>
        <v>42146.666666666599</v>
      </c>
      <c r="B99" s="1">
        <f ca="1">IFERROR(__xludf.DUMMYFUNCTION("""COMPUTED_VALUE"""),27.69)</f>
        <v>27.69</v>
      </c>
      <c r="C99" s="1">
        <f ca="1">IFERROR(__xludf.DUMMYFUNCTION("""COMPUTED_VALUE"""),27.91)</f>
        <v>27.91</v>
      </c>
      <c r="D99" s="1">
        <f ca="1">IFERROR(__xludf.DUMMYFUNCTION("""COMPUTED_VALUE"""),27.68)</f>
        <v>27.68</v>
      </c>
      <c r="E99" s="1">
        <f ca="1">IFERROR(__xludf.DUMMYFUNCTION("""COMPUTED_VALUE"""),27.73)</f>
        <v>27.73</v>
      </c>
      <c r="F99" s="1">
        <f ca="1">IFERROR(__xludf.DUMMYFUNCTION("""COMPUTED_VALUE"""),1213288)</f>
        <v>1213288</v>
      </c>
    </row>
    <row r="100" spans="1:6" x14ac:dyDescent="0.35">
      <c r="A100" s="2">
        <f ca="1">IFERROR(__xludf.DUMMYFUNCTION("""COMPUTED_VALUE"""),42150.6666666666)</f>
        <v>42150.666666666599</v>
      </c>
      <c r="B100" s="1">
        <f ca="1">IFERROR(__xludf.DUMMYFUNCTION("""COMPUTED_VALUE"""),27.61)</f>
        <v>27.61</v>
      </c>
      <c r="C100" s="1">
        <f ca="1">IFERROR(__xludf.DUMMYFUNCTION("""COMPUTED_VALUE"""),27.67)</f>
        <v>27.67</v>
      </c>
      <c r="D100" s="1">
        <f ca="1">IFERROR(__xludf.DUMMYFUNCTION("""COMPUTED_VALUE"""),27.15)</f>
        <v>27.15</v>
      </c>
      <c r="E100" s="1">
        <f ca="1">IFERROR(__xludf.DUMMYFUNCTION("""COMPUTED_VALUE"""),27.36)</f>
        <v>27.36</v>
      </c>
      <c r="F100" s="1">
        <f ca="1">IFERROR(__xludf.DUMMYFUNCTION("""COMPUTED_VALUE"""),1873709)</f>
        <v>1873709</v>
      </c>
    </row>
    <row r="101" spans="1:6" x14ac:dyDescent="0.35">
      <c r="A101" s="2">
        <f ca="1">IFERROR(__xludf.DUMMYFUNCTION("""COMPUTED_VALUE"""),42151.6666666666)</f>
        <v>42151.666666666599</v>
      </c>
      <c r="B101" s="1">
        <f ca="1">IFERROR(__xludf.DUMMYFUNCTION("""COMPUTED_VALUE"""),27.4)</f>
        <v>27.4</v>
      </c>
      <c r="C101" s="1">
        <f ca="1">IFERROR(__xludf.DUMMYFUNCTION("""COMPUTED_VALUE"""),27.76)</f>
        <v>27.76</v>
      </c>
      <c r="D101" s="1">
        <f ca="1">IFERROR(__xludf.DUMMYFUNCTION("""COMPUTED_VALUE"""),27.33)</f>
        <v>27.33</v>
      </c>
      <c r="E101" s="1">
        <f ca="1">IFERROR(__xludf.DUMMYFUNCTION("""COMPUTED_VALUE"""),27.71)</f>
        <v>27.71</v>
      </c>
      <c r="F101" s="1">
        <f ca="1">IFERROR(__xludf.DUMMYFUNCTION("""COMPUTED_VALUE"""),1742237)</f>
        <v>1742237</v>
      </c>
    </row>
    <row r="102" spans="1:6" x14ac:dyDescent="0.35">
      <c r="A102" s="2">
        <f ca="1">IFERROR(__xludf.DUMMYFUNCTION("""COMPUTED_VALUE"""),42152.6666666666)</f>
        <v>42152.666666666599</v>
      </c>
      <c r="B102" s="1">
        <f ca="1">IFERROR(__xludf.DUMMYFUNCTION("""COMPUTED_VALUE"""),27.69)</f>
        <v>27.69</v>
      </c>
      <c r="C102" s="1">
        <f ca="1">IFERROR(__xludf.DUMMYFUNCTION("""COMPUTED_VALUE"""),27.79)</f>
        <v>27.79</v>
      </c>
      <c r="D102" s="1">
        <f ca="1">IFERROR(__xludf.DUMMYFUNCTION("""COMPUTED_VALUE"""),27.54)</f>
        <v>27.54</v>
      </c>
      <c r="E102" s="1">
        <f ca="1">IFERROR(__xludf.DUMMYFUNCTION("""COMPUTED_VALUE"""),27.71)</f>
        <v>27.71</v>
      </c>
      <c r="F102" s="1">
        <f ca="1">IFERROR(__xludf.DUMMYFUNCTION("""COMPUTED_VALUE"""),1177318)</f>
        <v>1177318</v>
      </c>
    </row>
    <row r="103" spans="1:6" x14ac:dyDescent="0.35">
      <c r="A103" s="2">
        <f ca="1">IFERROR(__xludf.DUMMYFUNCTION("""COMPUTED_VALUE"""),42153.6666666666)</f>
        <v>42153.666666666599</v>
      </c>
      <c r="B103" s="1">
        <f ca="1">IFERROR(__xludf.DUMMYFUNCTION("""COMPUTED_VALUE"""),27.65)</f>
        <v>27.65</v>
      </c>
      <c r="C103" s="1">
        <f ca="1">IFERROR(__xludf.DUMMYFUNCTION("""COMPUTED_VALUE"""),27.7)</f>
        <v>27.7</v>
      </c>
      <c r="D103" s="1">
        <f ca="1">IFERROR(__xludf.DUMMYFUNCTION("""COMPUTED_VALUE"""),27.25)</f>
        <v>27.25</v>
      </c>
      <c r="E103" s="1">
        <f ca="1">IFERROR(__xludf.DUMMYFUNCTION("""COMPUTED_VALUE"""),27.27)</f>
        <v>27.27</v>
      </c>
      <c r="F103" s="1">
        <f ca="1">IFERROR(__xludf.DUMMYFUNCTION("""COMPUTED_VALUE"""),2172282)</f>
        <v>2172282</v>
      </c>
    </row>
    <row r="104" spans="1:6" x14ac:dyDescent="0.35">
      <c r="A104" s="2">
        <f ca="1">IFERROR(__xludf.DUMMYFUNCTION("""COMPUTED_VALUE"""),42156.6666666666)</f>
        <v>42156.666666666599</v>
      </c>
      <c r="B104" s="1">
        <f ca="1">IFERROR(__xludf.DUMMYFUNCTION("""COMPUTED_VALUE"""),27.45)</f>
        <v>27.45</v>
      </c>
      <c r="C104" s="1">
        <f ca="1">IFERROR(__xludf.DUMMYFUNCTION("""COMPUTED_VALUE"""),27.53)</f>
        <v>27.53</v>
      </c>
      <c r="D104" s="1">
        <f ca="1">IFERROR(__xludf.DUMMYFUNCTION("""COMPUTED_VALUE"""),27.18)</f>
        <v>27.18</v>
      </c>
      <c r="E104" s="1">
        <f ca="1">IFERROR(__xludf.DUMMYFUNCTION("""COMPUTED_VALUE"""),27.46)</f>
        <v>27.46</v>
      </c>
      <c r="F104" s="1">
        <f ca="1">IFERROR(__xludf.DUMMYFUNCTION("""COMPUTED_VALUE"""),1660500)</f>
        <v>1660500</v>
      </c>
    </row>
    <row r="105" spans="1:6" x14ac:dyDescent="0.35">
      <c r="A105" s="2">
        <f ca="1">IFERROR(__xludf.DUMMYFUNCTION("""COMPUTED_VALUE"""),42157.6666666666)</f>
        <v>42157.666666666599</v>
      </c>
      <c r="B105" s="1">
        <f ca="1">IFERROR(__xludf.DUMMYFUNCTION("""COMPUTED_VALUE"""),27.36)</f>
        <v>27.36</v>
      </c>
      <c r="C105" s="1">
        <f ca="1">IFERROR(__xludf.DUMMYFUNCTION("""COMPUTED_VALUE"""),27.94)</f>
        <v>27.94</v>
      </c>
      <c r="D105" s="1">
        <f ca="1">IFERROR(__xludf.DUMMYFUNCTION("""COMPUTED_VALUE"""),27.33)</f>
        <v>27.33</v>
      </c>
      <c r="E105" s="1">
        <f ca="1">IFERROR(__xludf.DUMMYFUNCTION("""COMPUTED_VALUE"""),27.7)</f>
        <v>27.7</v>
      </c>
      <c r="F105" s="1">
        <f ca="1">IFERROR(__xludf.DUMMYFUNCTION("""COMPUTED_VALUE"""),1592828)</f>
        <v>1592828</v>
      </c>
    </row>
    <row r="106" spans="1:6" x14ac:dyDescent="0.35">
      <c r="A106" s="2">
        <f ca="1">IFERROR(__xludf.DUMMYFUNCTION("""COMPUTED_VALUE"""),42158.6666666666)</f>
        <v>42158.666666666599</v>
      </c>
      <c r="B106" s="1">
        <f ca="1">IFERROR(__xludf.DUMMYFUNCTION("""COMPUTED_VALUE"""),27.76)</f>
        <v>27.76</v>
      </c>
      <c r="C106" s="1">
        <f ca="1">IFERROR(__xludf.DUMMYFUNCTION("""COMPUTED_VALUE"""),27.9)</f>
        <v>27.9</v>
      </c>
      <c r="D106" s="1">
        <f ca="1">IFERROR(__xludf.DUMMYFUNCTION("""COMPUTED_VALUE"""),27.61)</f>
        <v>27.61</v>
      </c>
      <c r="E106" s="1">
        <f ca="1">IFERROR(__xludf.DUMMYFUNCTION("""COMPUTED_VALUE"""),27.76)</f>
        <v>27.76</v>
      </c>
      <c r="F106" s="1">
        <f ca="1">IFERROR(__xludf.DUMMYFUNCTION("""COMPUTED_VALUE"""),1335479)</f>
        <v>1335479</v>
      </c>
    </row>
    <row r="107" spans="1:6" x14ac:dyDescent="0.35">
      <c r="A107" s="2">
        <f ca="1">IFERROR(__xludf.DUMMYFUNCTION("""COMPUTED_VALUE"""),42159.6666666666)</f>
        <v>42159.666666666599</v>
      </c>
      <c r="B107" s="1">
        <f ca="1">IFERROR(__xludf.DUMMYFUNCTION("""COMPUTED_VALUE"""),27.62)</f>
        <v>27.62</v>
      </c>
      <c r="C107" s="1">
        <f ca="1">IFERROR(__xludf.DUMMYFUNCTION("""COMPUTED_VALUE"""),27.8)</f>
        <v>27.8</v>
      </c>
      <c r="D107" s="1">
        <f ca="1">IFERROR(__xludf.DUMMYFUNCTION("""COMPUTED_VALUE"""),27.46)</f>
        <v>27.46</v>
      </c>
      <c r="E107" s="1">
        <f ca="1">IFERROR(__xludf.DUMMYFUNCTION("""COMPUTED_VALUE"""),27.58)</f>
        <v>27.58</v>
      </c>
      <c r="F107" s="1">
        <f ca="1">IFERROR(__xludf.DUMMYFUNCTION("""COMPUTED_VALUE"""),1343317)</f>
        <v>1343317</v>
      </c>
    </row>
    <row r="108" spans="1:6" x14ac:dyDescent="0.35">
      <c r="A108" s="2">
        <f ca="1">IFERROR(__xludf.DUMMYFUNCTION("""COMPUTED_VALUE"""),42160.6666666666)</f>
        <v>42160.666666666599</v>
      </c>
      <c r="B108" s="1">
        <f ca="1">IFERROR(__xludf.DUMMYFUNCTION("""COMPUTED_VALUE"""),27.52)</f>
        <v>27.52</v>
      </c>
      <c r="C108" s="1">
        <f ca="1">IFERROR(__xludf.DUMMYFUNCTION("""COMPUTED_VALUE"""),27.67)</f>
        <v>27.67</v>
      </c>
      <c r="D108" s="1">
        <f ca="1">IFERROR(__xludf.DUMMYFUNCTION("""COMPUTED_VALUE"""),27.37)</f>
        <v>27.37</v>
      </c>
      <c r="E108" s="1">
        <f ca="1">IFERROR(__xludf.DUMMYFUNCTION("""COMPUTED_VALUE"""),27.48)</f>
        <v>27.48</v>
      </c>
      <c r="F108" s="1">
        <f ca="1">IFERROR(__xludf.DUMMYFUNCTION("""COMPUTED_VALUE"""),1219841)</f>
        <v>1219841</v>
      </c>
    </row>
    <row r="109" spans="1:6" x14ac:dyDescent="0.35">
      <c r="A109" s="2">
        <f ca="1">IFERROR(__xludf.DUMMYFUNCTION("""COMPUTED_VALUE"""),42163.6666666666)</f>
        <v>42163.666666666599</v>
      </c>
      <c r="B109" s="1">
        <f ca="1">IFERROR(__xludf.DUMMYFUNCTION("""COMPUTED_VALUE"""),27.48)</f>
        <v>27.48</v>
      </c>
      <c r="C109" s="1">
        <f ca="1">IFERROR(__xludf.DUMMYFUNCTION("""COMPUTED_VALUE"""),27.49)</f>
        <v>27.49</v>
      </c>
      <c r="D109" s="1">
        <f ca="1">IFERROR(__xludf.DUMMYFUNCTION("""COMPUTED_VALUE"""),27.15)</f>
        <v>27.15</v>
      </c>
      <c r="E109" s="1">
        <f ca="1">IFERROR(__xludf.DUMMYFUNCTION("""COMPUTED_VALUE"""),27.17)</f>
        <v>27.17</v>
      </c>
      <c r="F109" s="1">
        <f ca="1">IFERROR(__xludf.DUMMYFUNCTION("""COMPUTED_VALUE"""),1366816)</f>
        <v>1366816</v>
      </c>
    </row>
    <row r="110" spans="1:6" x14ac:dyDescent="0.35">
      <c r="A110" s="2">
        <f ca="1">IFERROR(__xludf.DUMMYFUNCTION("""COMPUTED_VALUE"""),42164.6666666666)</f>
        <v>42164.666666666599</v>
      </c>
      <c r="B110" s="1">
        <f ca="1">IFERROR(__xludf.DUMMYFUNCTION("""COMPUTED_VALUE"""),27.17)</f>
        <v>27.17</v>
      </c>
      <c r="C110" s="1">
        <f ca="1">IFERROR(__xludf.DUMMYFUNCTION("""COMPUTED_VALUE"""),27.24)</f>
        <v>27.24</v>
      </c>
      <c r="D110" s="1">
        <f ca="1">IFERROR(__xludf.DUMMYFUNCTION("""COMPUTED_VALUE"""),26.94)</f>
        <v>26.94</v>
      </c>
      <c r="E110" s="1">
        <f ca="1">IFERROR(__xludf.DUMMYFUNCTION("""COMPUTED_VALUE"""),27.11)</f>
        <v>27.11</v>
      </c>
      <c r="F110" s="1">
        <f ca="1">IFERROR(__xludf.DUMMYFUNCTION("""COMPUTED_VALUE"""),1500846)</f>
        <v>1500846</v>
      </c>
    </row>
    <row r="111" spans="1:6" x14ac:dyDescent="0.35">
      <c r="A111" s="2">
        <f ca="1">IFERROR(__xludf.DUMMYFUNCTION("""COMPUTED_VALUE"""),42165.6666666666)</f>
        <v>42165.666666666599</v>
      </c>
      <c r="B111" s="1">
        <f ca="1">IFERROR(__xludf.DUMMYFUNCTION("""COMPUTED_VALUE"""),27.28)</f>
        <v>27.28</v>
      </c>
      <c r="C111" s="1">
        <f ca="1">IFERROR(__xludf.DUMMYFUNCTION("""COMPUTED_VALUE"""),27.74)</f>
        <v>27.74</v>
      </c>
      <c r="D111" s="1">
        <f ca="1">IFERROR(__xludf.DUMMYFUNCTION("""COMPUTED_VALUE"""),27.26)</f>
        <v>27.26</v>
      </c>
      <c r="E111" s="1">
        <f ca="1">IFERROR(__xludf.DUMMYFUNCTION("""COMPUTED_VALUE"""),27.63)</f>
        <v>27.63</v>
      </c>
      <c r="F111" s="1">
        <f ca="1">IFERROR(__xludf.DUMMYFUNCTION("""COMPUTED_VALUE"""),1515805)</f>
        <v>1515805</v>
      </c>
    </row>
    <row r="112" spans="1:6" x14ac:dyDescent="0.35">
      <c r="A112" s="2">
        <f ca="1">IFERROR(__xludf.DUMMYFUNCTION("""COMPUTED_VALUE"""),42166.6666666666)</f>
        <v>42166.666666666599</v>
      </c>
      <c r="B112" s="1">
        <f ca="1">IFERROR(__xludf.DUMMYFUNCTION("""COMPUTED_VALUE"""),27.72)</f>
        <v>27.72</v>
      </c>
      <c r="C112" s="1">
        <f ca="1">IFERROR(__xludf.DUMMYFUNCTION("""COMPUTED_VALUE"""),27.74)</f>
        <v>27.74</v>
      </c>
      <c r="D112" s="1">
        <f ca="1">IFERROR(__xludf.DUMMYFUNCTION("""COMPUTED_VALUE"""),27.46)</f>
        <v>27.46</v>
      </c>
      <c r="E112" s="1">
        <f ca="1">IFERROR(__xludf.DUMMYFUNCTION("""COMPUTED_VALUE"""),27.5)</f>
        <v>27.5</v>
      </c>
      <c r="F112" s="1">
        <f ca="1">IFERROR(__xludf.DUMMYFUNCTION("""COMPUTED_VALUE"""),1293560)</f>
        <v>1293560</v>
      </c>
    </row>
    <row r="113" spans="1:6" x14ac:dyDescent="0.35">
      <c r="A113" s="2">
        <f ca="1">IFERROR(__xludf.DUMMYFUNCTION("""COMPUTED_VALUE"""),42167.6666666666)</f>
        <v>42167.666666666599</v>
      </c>
      <c r="B113" s="1">
        <f ca="1">IFERROR(__xludf.DUMMYFUNCTION("""COMPUTED_VALUE"""),27.36)</f>
        <v>27.36</v>
      </c>
      <c r="C113" s="1">
        <f ca="1">IFERROR(__xludf.DUMMYFUNCTION("""COMPUTED_VALUE"""),27.44)</f>
        <v>27.44</v>
      </c>
      <c r="D113" s="1">
        <f ca="1">IFERROR(__xludf.DUMMYFUNCTION("""COMPUTED_VALUE"""),27.28)</f>
        <v>27.28</v>
      </c>
      <c r="E113" s="1">
        <f ca="1">IFERROR(__xludf.DUMMYFUNCTION("""COMPUTED_VALUE"""),27.37)</f>
        <v>27.37</v>
      </c>
      <c r="F113" s="1">
        <f ca="1">IFERROR(__xludf.DUMMYFUNCTION("""COMPUTED_VALUE"""),1273383)</f>
        <v>1273383</v>
      </c>
    </row>
    <row r="114" spans="1:6" x14ac:dyDescent="0.35">
      <c r="A114" s="2">
        <f ca="1">IFERROR(__xludf.DUMMYFUNCTION("""COMPUTED_VALUE"""),42170.6666666666)</f>
        <v>42170.666666666599</v>
      </c>
      <c r="B114" s="1">
        <f ca="1">IFERROR(__xludf.DUMMYFUNCTION("""COMPUTED_VALUE"""),27.14)</f>
        <v>27.14</v>
      </c>
      <c r="C114" s="1">
        <f ca="1">IFERROR(__xludf.DUMMYFUNCTION("""COMPUTED_VALUE"""),27.2)</f>
        <v>27.2</v>
      </c>
      <c r="D114" s="1">
        <f ca="1">IFERROR(__xludf.DUMMYFUNCTION("""COMPUTED_VALUE"""),26.96)</f>
        <v>26.96</v>
      </c>
      <c r="E114" s="1">
        <f ca="1">IFERROR(__xludf.DUMMYFUNCTION("""COMPUTED_VALUE"""),27.15)</f>
        <v>27.15</v>
      </c>
      <c r="F114" s="1">
        <f ca="1">IFERROR(__xludf.DUMMYFUNCTION("""COMPUTED_VALUE"""),1357481)</f>
        <v>1357481</v>
      </c>
    </row>
    <row r="115" spans="1:6" x14ac:dyDescent="0.35">
      <c r="A115" s="2">
        <f ca="1">IFERROR(__xludf.DUMMYFUNCTION("""COMPUTED_VALUE"""),42171.6666666666)</f>
        <v>42171.666666666599</v>
      </c>
      <c r="B115" s="1">
        <f ca="1">IFERROR(__xludf.DUMMYFUNCTION("""COMPUTED_VALUE"""),27.21)</f>
        <v>27.21</v>
      </c>
      <c r="C115" s="1">
        <f ca="1">IFERROR(__xludf.DUMMYFUNCTION("""COMPUTED_VALUE"""),27.33)</f>
        <v>27.33</v>
      </c>
      <c r="D115" s="1">
        <f ca="1">IFERROR(__xludf.DUMMYFUNCTION("""COMPUTED_VALUE"""),27.08)</f>
        <v>27.08</v>
      </c>
      <c r="E115" s="1">
        <f ca="1">IFERROR(__xludf.DUMMYFUNCTION("""COMPUTED_VALUE"""),27.24)</f>
        <v>27.24</v>
      </c>
      <c r="F115" s="1">
        <f ca="1">IFERROR(__xludf.DUMMYFUNCTION("""COMPUTED_VALUE"""),1626349)</f>
        <v>1626349</v>
      </c>
    </row>
    <row r="116" spans="1:6" x14ac:dyDescent="0.35">
      <c r="A116" s="2">
        <f ca="1">IFERROR(__xludf.DUMMYFUNCTION("""COMPUTED_VALUE"""),42172.6666666666)</f>
        <v>42172.666666666599</v>
      </c>
      <c r="B116" s="1">
        <f ca="1">IFERROR(__xludf.DUMMYFUNCTION("""COMPUTED_VALUE"""),27.31)</f>
        <v>27.31</v>
      </c>
      <c r="C116" s="1">
        <f ca="1">IFERROR(__xludf.DUMMYFUNCTION("""COMPUTED_VALUE"""),27.42)</f>
        <v>27.42</v>
      </c>
      <c r="D116" s="1">
        <f ca="1">IFERROR(__xludf.DUMMYFUNCTION("""COMPUTED_VALUE"""),27.09)</f>
        <v>27.09</v>
      </c>
      <c r="E116" s="1">
        <f ca="1">IFERROR(__xludf.DUMMYFUNCTION("""COMPUTED_VALUE"""),27.33)</f>
        <v>27.33</v>
      </c>
      <c r="F116" s="1">
        <f ca="1">IFERROR(__xludf.DUMMYFUNCTION("""COMPUTED_VALUE"""),1222049)</f>
        <v>1222049</v>
      </c>
    </row>
    <row r="117" spans="1:6" x14ac:dyDescent="0.35">
      <c r="A117" s="2">
        <f ca="1">IFERROR(__xludf.DUMMYFUNCTION("""COMPUTED_VALUE"""),42173.6666666666)</f>
        <v>42173.666666666599</v>
      </c>
      <c r="B117" s="1">
        <f ca="1">IFERROR(__xludf.DUMMYFUNCTION("""COMPUTED_VALUE"""),27.41)</f>
        <v>27.41</v>
      </c>
      <c r="C117" s="1">
        <f ca="1">IFERROR(__xludf.DUMMYFUNCTION("""COMPUTED_VALUE"""),27.86)</f>
        <v>27.86</v>
      </c>
      <c r="D117" s="1">
        <f ca="1">IFERROR(__xludf.DUMMYFUNCTION("""COMPUTED_VALUE"""),27.4)</f>
        <v>27.4</v>
      </c>
      <c r="E117" s="1">
        <f ca="1">IFERROR(__xludf.DUMMYFUNCTION("""COMPUTED_VALUE"""),27.81)</f>
        <v>27.81</v>
      </c>
      <c r="F117" s="1">
        <f ca="1">IFERROR(__xludf.DUMMYFUNCTION("""COMPUTED_VALUE"""),2059603)</f>
        <v>2059603</v>
      </c>
    </row>
    <row r="118" spans="1:6" x14ac:dyDescent="0.35">
      <c r="A118" s="2">
        <f ca="1">IFERROR(__xludf.DUMMYFUNCTION("""COMPUTED_VALUE"""),42174.6666666666)</f>
        <v>42174.666666666599</v>
      </c>
      <c r="B118" s="1">
        <f ca="1">IFERROR(__xludf.DUMMYFUNCTION("""COMPUTED_VALUE"""),27.85)</f>
        <v>27.85</v>
      </c>
      <c r="C118" s="1">
        <f ca="1">IFERROR(__xludf.DUMMYFUNCTION("""COMPUTED_VALUE"""),27.9)</f>
        <v>27.9</v>
      </c>
      <c r="D118" s="1">
        <f ca="1">IFERROR(__xludf.DUMMYFUNCTION("""COMPUTED_VALUE"""),27.61)</f>
        <v>27.61</v>
      </c>
      <c r="E118" s="1">
        <f ca="1">IFERROR(__xludf.DUMMYFUNCTION("""COMPUTED_VALUE"""),27.88)</f>
        <v>27.88</v>
      </c>
      <c r="F118" s="1">
        <f ca="1">IFERROR(__xludf.DUMMYFUNCTION("""COMPUTED_VALUE"""),2964489)</f>
        <v>2964489</v>
      </c>
    </row>
    <row r="119" spans="1:6" x14ac:dyDescent="0.35">
      <c r="A119" s="2">
        <f ca="1">IFERROR(__xludf.DUMMYFUNCTION("""COMPUTED_VALUE"""),42177.6666666666)</f>
        <v>42177.666666666599</v>
      </c>
      <c r="B119" s="1">
        <f ca="1">IFERROR(__xludf.DUMMYFUNCTION("""COMPUTED_VALUE"""),27.97)</f>
        <v>27.97</v>
      </c>
      <c r="C119" s="1">
        <f ca="1">IFERROR(__xludf.DUMMYFUNCTION("""COMPUTED_VALUE"""),28.28)</f>
        <v>28.28</v>
      </c>
      <c r="D119" s="1">
        <f ca="1">IFERROR(__xludf.DUMMYFUNCTION("""COMPUTED_VALUE"""),27.95)</f>
        <v>27.95</v>
      </c>
      <c r="E119" s="1">
        <f ca="1">IFERROR(__xludf.DUMMYFUNCTION("""COMPUTED_VALUE"""),27.98)</f>
        <v>27.98</v>
      </c>
      <c r="F119" s="1">
        <f ca="1">IFERROR(__xludf.DUMMYFUNCTION("""COMPUTED_VALUE"""),1737569)</f>
        <v>1737569</v>
      </c>
    </row>
    <row r="120" spans="1:6" x14ac:dyDescent="0.35">
      <c r="A120" s="2">
        <f ca="1">IFERROR(__xludf.DUMMYFUNCTION("""COMPUTED_VALUE"""),42178.6666666666)</f>
        <v>42178.666666666599</v>
      </c>
      <c r="B120" s="1">
        <f ca="1">IFERROR(__xludf.DUMMYFUNCTION("""COMPUTED_VALUE"""),28)</f>
        <v>28</v>
      </c>
      <c r="C120" s="1">
        <f ca="1">IFERROR(__xludf.DUMMYFUNCTION("""COMPUTED_VALUE"""),28.25)</f>
        <v>28.25</v>
      </c>
      <c r="D120" s="1">
        <f ca="1">IFERROR(__xludf.DUMMYFUNCTION("""COMPUTED_VALUE"""),27.86)</f>
        <v>27.86</v>
      </c>
      <c r="E120" s="1">
        <f ca="1">IFERROR(__xludf.DUMMYFUNCTION("""COMPUTED_VALUE"""),28.17)</f>
        <v>28.17</v>
      </c>
      <c r="F120" s="1">
        <f ca="1">IFERROR(__xludf.DUMMYFUNCTION("""COMPUTED_VALUE"""),1569808)</f>
        <v>1569808</v>
      </c>
    </row>
    <row r="121" spans="1:6" x14ac:dyDescent="0.35">
      <c r="A121" s="2">
        <f ca="1">IFERROR(__xludf.DUMMYFUNCTION("""COMPUTED_VALUE"""),42179.6666666666)</f>
        <v>42179.666666666599</v>
      </c>
      <c r="B121" s="1">
        <f ca="1">IFERROR(__xludf.DUMMYFUNCTION("""COMPUTED_VALUE"""),28.13)</f>
        <v>28.13</v>
      </c>
      <c r="C121" s="1">
        <f ca="1">IFERROR(__xludf.DUMMYFUNCTION("""COMPUTED_VALUE"""),28.13)</f>
        <v>28.13</v>
      </c>
      <c r="D121" s="1">
        <f ca="1">IFERROR(__xludf.DUMMYFUNCTION("""COMPUTED_VALUE"""),27.84)</f>
        <v>27.84</v>
      </c>
      <c r="E121" s="1">
        <f ca="1">IFERROR(__xludf.DUMMYFUNCTION("""COMPUTED_VALUE"""),27.93)</f>
        <v>27.93</v>
      </c>
      <c r="F121" s="1">
        <f ca="1">IFERROR(__xludf.DUMMYFUNCTION("""COMPUTED_VALUE"""),1446156)</f>
        <v>1446156</v>
      </c>
    </row>
    <row r="122" spans="1:6" x14ac:dyDescent="0.35">
      <c r="A122" s="2">
        <f ca="1">IFERROR(__xludf.DUMMYFUNCTION("""COMPUTED_VALUE"""),42180.6666666666)</f>
        <v>42180.666666666599</v>
      </c>
      <c r="B122" s="1">
        <f ca="1">IFERROR(__xludf.DUMMYFUNCTION("""COMPUTED_VALUE"""),28.02)</f>
        <v>28.02</v>
      </c>
      <c r="C122" s="1">
        <f ca="1">IFERROR(__xludf.DUMMYFUNCTION("""COMPUTED_VALUE"""),28.16)</f>
        <v>28.16</v>
      </c>
      <c r="D122" s="1">
        <f ca="1">IFERROR(__xludf.DUMMYFUNCTION("""COMPUTED_VALUE"""),27.87)</f>
        <v>27.87</v>
      </c>
      <c r="E122" s="1">
        <f ca="1">IFERROR(__xludf.DUMMYFUNCTION("""COMPUTED_VALUE"""),27.9)</f>
        <v>27.9</v>
      </c>
      <c r="F122" s="1">
        <f ca="1">IFERROR(__xludf.DUMMYFUNCTION("""COMPUTED_VALUE"""),1335270)</f>
        <v>1335270</v>
      </c>
    </row>
    <row r="123" spans="1:6" x14ac:dyDescent="0.35">
      <c r="A123" s="2">
        <f ca="1">IFERROR(__xludf.DUMMYFUNCTION("""COMPUTED_VALUE"""),42181.6666666666)</f>
        <v>42181.666666666599</v>
      </c>
      <c r="B123" s="1">
        <f ca="1">IFERROR(__xludf.DUMMYFUNCTION("""COMPUTED_VALUE"""),27.99)</f>
        <v>27.99</v>
      </c>
      <c r="C123" s="1">
        <f ca="1">IFERROR(__xludf.DUMMYFUNCTION("""COMPUTED_VALUE"""),28)</f>
        <v>28</v>
      </c>
      <c r="D123" s="1">
        <f ca="1">IFERROR(__xludf.DUMMYFUNCTION("""COMPUTED_VALUE"""),27.59)</f>
        <v>27.59</v>
      </c>
      <c r="E123" s="1">
        <f ca="1">IFERROR(__xludf.DUMMYFUNCTION("""COMPUTED_VALUE"""),27.65)</f>
        <v>27.65</v>
      </c>
      <c r="F123" s="1">
        <f ca="1">IFERROR(__xludf.DUMMYFUNCTION("""COMPUTED_VALUE"""),2183753)</f>
        <v>2183753</v>
      </c>
    </row>
    <row r="124" spans="1:6" x14ac:dyDescent="0.35">
      <c r="A124" s="2">
        <f ca="1">IFERROR(__xludf.DUMMYFUNCTION("""COMPUTED_VALUE"""),42184.6666666666)</f>
        <v>42184.666666666599</v>
      </c>
      <c r="B124" s="1">
        <f ca="1">IFERROR(__xludf.DUMMYFUNCTION("""COMPUTED_VALUE"""),27.34)</f>
        <v>27.34</v>
      </c>
      <c r="C124" s="1">
        <f ca="1">IFERROR(__xludf.DUMMYFUNCTION("""COMPUTED_VALUE"""),27.55)</f>
        <v>27.55</v>
      </c>
      <c r="D124" s="1">
        <f ca="1">IFERROR(__xludf.DUMMYFUNCTION("""COMPUTED_VALUE"""),27.01)</f>
        <v>27.01</v>
      </c>
      <c r="E124" s="1">
        <f ca="1">IFERROR(__xludf.DUMMYFUNCTION("""COMPUTED_VALUE"""),27.06)</f>
        <v>27.06</v>
      </c>
      <c r="F124" s="1">
        <f ca="1">IFERROR(__xludf.DUMMYFUNCTION("""COMPUTED_VALUE"""),1887816)</f>
        <v>1887816</v>
      </c>
    </row>
    <row r="125" spans="1:6" x14ac:dyDescent="0.35">
      <c r="A125" s="2">
        <f ca="1">IFERROR(__xludf.DUMMYFUNCTION("""COMPUTED_VALUE"""),42185.6666666666)</f>
        <v>42185.666666666599</v>
      </c>
      <c r="B125" s="1">
        <f ca="1">IFERROR(__xludf.DUMMYFUNCTION("""COMPUTED_VALUE"""),27.3)</f>
        <v>27.3</v>
      </c>
      <c r="C125" s="1">
        <f ca="1">IFERROR(__xludf.DUMMYFUNCTION("""COMPUTED_VALUE"""),27.3)</f>
        <v>27.3</v>
      </c>
      <c r="D125" s="1">
        <f ca="1">IFERROR(__xludf.DUMMYFUNCTION("""COMPUTED_VALUE"""),26.98)</f>
        <v>26.98</v>
      </c>
      <c r="E125" s="1">
        <f ca="1">IFERROR(__xludf.DUMMYFUNCTION("""COMPUTED_VALUE"""),27)</f>
        <v>27</v>
      </c>
      <c r="F125" s="1">
        <f ca="1">IFERROR(__xludf.DUMMYFUNCTION("""COMPUTED_VALUE"""),1725464)</f>
        <v>1725464</v>
      </c>
    </row>
    <row r="126" spans="1:6" x14ac:dyDescent="0.35">
      <c r="A126" s="2">
        <f ca="1">IFERROR(__xludf.DUMMYFUNCTION("""COMPUTED_VALUE"""),42186.6666666666)</f>
        <v>42186.666666666599</v>
      </c>
      <c r="B126" s="1">
        <f ca="1">IFERROR(__xludf.DUMMYFUNCTION("""COMPUTED_VALUE"""),27.18)</f>
        <v>27.18</v>
      </c>
      <c r="C126" s="1">
        <f ca="1">IFERROR(__xludf.DUMMYFUNCTION("""COMPUTED_VALUE"""),27.29)</f>
        <v>27.29</v>
      </c>
      <c r="D126" s="1">
        <f ca="1">IFERROR(__xludf.DUMMYFUNCTION("""COMPUTED_VALUE"""),26.99)</f>
        <v>26.99</v>
      </c>
      <c r="E126" s="1">
        <f ca="1">IFERROR(__xludf.DUMMYFUNCTION("""COMPUTED_VALUE"""),27.17)</f>
        <v>27.17</v>
      </c>
      <c r="F126" s="1">
        <f ca="1">IFERROR(__xludf.DUMMYFUNCTION("""COMPUTED_VALUE"""),1537973)</f>
        <v>1537973</v>
      </c>
    </row>
    <row r="127" spans="1:6" x14ac:dyDescent="0.35">
      <c r="A127" s="2">
        <f ca="1">IFERROR(__xludf.DUMMYFUNCTION("""COMPUTED_VALUE"""),42187.6666666666)</f>
        <v>42187.666666666599</v>
      </c>
      <c r="B127" s="1">
        <f ca="1">IFERROR(__xludf.DUMMYFUNCTION("""COMPUTED_VALUE"""),27.2)</f>
        <v>27.2</v>
      </c>
      <c r="C127" s="1">
        <f ca="1">IFERROR(__xludf.DUMMYFUNCTION("""COMPUTED_VALUE"""),27.4)</f>
        <v>27.4</v>
      </c>
      <c r="D127" s="1">
        <f ca="1">IFERROR(__xludf.DUMMYFUNCTION("""COMPUTED_VALUE"""),27.18)</f>
        <v>27.18</v>
      </c>
      <c r="E127" s="1">
        <f ca="1">IFERROR(__xludf.DUMMYFUNCTION("""COMPUTED_VALUE"""),27.37)</f>
        <v>27.37</v>
      </c>
      <c r="F127" s="1">
        <f ca="1">IFERROR(__xludf.DUMMYFUNCTION("""COMPUTED_VALUE"""),1406213)</f>
        <v>1406213</v>
      </c>
    </row>
    <row r="128" spans="1:6" x14ac:dyDescent="0.35">
      <c r="A128" s="2">
        <f ca="1">IFERROR(__xludf.DUMMYFUNCTION("""COMPUTED_VALUE"""),42191.6666666666)</f>
        <v>42191.666666666599</v>
      </c>
      <c r="B128" s="1">
        <f ca="1">IFERROR(__xludf.DUMMYFUNCTION("""COMPUTED_VALUE"""),27.11)</f>
        <v>27.11</v>
      </c>
      <c r="C128" s="1">
        <f ca="1">IFERROR(__xludf.DUMMYFUNCTION("""COMPUTED_VALUE"""),27.43)</f>
        <v>27.43</v>
      </c>
      <c r="D128" s="1">
        <f ca="1">IFERROR(__xludf.DUMMYFUNCTION("""COMPUTED_VALUE"""),27.1)</f>
        <v>27.1</v>
      </c>
      <c r="E128" s="1">
        <f ca="1">IFERROR(__xludf.DUMMYFUNCTION("""COMPUTED_VALUE"""),27.28)</f>
        <v>27.28</v>
      </c>
      <c r="F128" s="1">
        <f ca="1">IFERROR(__xludf.DUMMYFUNCTION("""COMPUTED_VALUE"""),1280687)</f>
        <v>1280687</v>
      </c>
    </row>
    <row r="129" spans="1:6" x14ac:dyDescent="0.35">
      <c r="A129" s="2">
        <f ca="1">IFERROR(__xludf.DUMMYFUNCTION("""COMPUTED_VALUE"""),42192.6666666666)</f>
        <v>42192.666666666599</v>
      </c>
      <c r="B129" s="1">
        <f ca="1">IFERROR(__xludf.DUMMYFUNCTION("""COMPUTED_VALUE"""),27.37)</f>
        <v>27.37</v>
      </c>
      <c r="C129" s="1">
        <f ca="1">IFERROR(__xludf.DUMMYFUNCTION("""COMPUTED_VALUE"""),27.55)</f>
        <v>27.55</v>
      </c>
      <c r="D129" s="1">
        <f ca="1">IFERROR(__xludf.DUMMYFUNCTION("""COMPUTED_VALUE"""),26.99)</f>
        <v>26.99</v>
      </c>
      <c r="E129" s="1">
        <f ca="1">IFERROR(__xludf.DUMMYFUNCTION("""COMPUTED_VALUE"""),27.5)</f>
        <v>27.5</v>
      </c>
      <c r="F129" s="1">
        <f ca="1">IFERROR(__xludf.DUMMYFUNCTION("""COMPUTED_VALUE"""),1679759)</f>
        <v>1679759</v>
      </c>
    </row>
    <row r="130" spans="1:6" x14ac:dyDescent="0.35">
      <c r="A130" s="2">
        <f ca="1">IFERROR(__xludf.DUMMYFUNCTION("""COMPUTED_VALUE"""),42193.6666666666)</f>
        <v>42193.666666666599</v>
      </c>
      <c r="B130" s="1">
        <f ca="1">IFERROR(__xludf.DUMMYFUNCTION("""COMPUTED_VALUE"""),27.28)</f>
        <v>27.28</v>
      </c>
      <c r="C130" s="1">
        <f ca="1">IFERROR(__xludf.DUMMYFUNCTION("""COMPUTED_VALUE"""),27.41)</f>
        <v>27.41</v>
      </c>
      <c r="D130" s="1">
        <f ca="1">IFERROR(__xludf.DUMMYFUNCTION("""COMPUTED_VALUE"""),27.06)</f>
        <v>27.06</v>
      </c>
      <c r="E130" s="1">
        <f ca="1">IFERROR(__xludf.DUMMYFUNCTION("""COMPUTED_VALUE"""),27.09)</f>
        <v>27.09</v>
      </c>
      <c r="F130" s="1">
        <f ca="1">IFERROR(__xludf.DUMMYFUNCTION("""COMPUTED_VALUE"""),1383065)</f>
        <v>1383065</v>
      </c>
    </row>
    <row r="131" spans="1:6" x14ac:dyDescent="0.35">
      <c r="A131" s="2">
        <f ca="1">IFERROR(__xludf.DUMMYFUNCTION("""COMPUTED_VALUE"""),42194.6666666666)</f>
        <v>42194.666666666599</v>
      </c>
      <c r="B131" s="1">
        <f ca="1">IFERROR(__xludf.DUMMYFUNCTION("""COMPUTED_VALUE"""),27.43)</f>
        <v>27.43</v>
      </c>
      <c r="C131" s="1">
        <f ca="1">IFERROR(__xludf.DUMMYFUNCTION("""COMPUTED_VALUE"""),27.44)</f>
        <v>27.44</v>
      </c>
      <c r="D131" s="1">
        <f ca="1">IFERROR(__xludf.DUMMYFUNCTION("""COMPUTED_VALUE"""),27.23)</f>
        <v>27.23</v>
      </c>
      <c r="E131" s="1">
        <f ca="1">IFERROR(__xludf.DUMMYFUNCTION("""COMPUTED_VALUE"""),27.23)</f>
        <v>27.23</v>
      </c>
      <c r="F131" s="1">
        <f ca="1">IFERROR(__xludf.DUMMYFUNCTION("""COMPUTED_VALUE"""),1488324)</f>
        <v>1488324</v>
      </c>
    </row>
    <row r="132" spans="1:6" x14ac:dyDescent="0.35">
      <c r="A132" s="2">
        <f ca="1">IFERROR(__xludf.DUMMYFUNCTION("""COMPUTED_VALUE"""),42195.6666666666)</f>
        <v>42195.666666666599</v>
      </c>
      <c r="B132" s="1">
        <f ca="1">IFERROR(__xludf.DUMMYFUNCTION("""COMPUTED_VALUE"""),27.69)</f>
        <v>27.69</v>
      </c>
      <c r="C132" s="1">
        <f ca="1">IFERROR(__xludf.DUMMYFUNCTION("""COMPUTED_VALUE"""),27.96)</f>
        <v>27.96</v>
      </c>
      <c r="D132" s="1">
        <f ca="1">IFERROR(__xludf.DUMMYFUNCTION("""COMPUTED_VALUE"""),27.6)</f>
        <v>27.6</v>
      </c>
      <c r="E132" s="1">
        <f ca="1">IFERROR(__xludf.DUMMYFUNCTION("""COMPUTED_VALUE"""),27.81)</f>
        <v>27.81</v>
      </c>
      <c r="F132" s="1">
        <f ca="1">IFERROR(__xludf.DUMMYFUNCTION("""COMPUTED_VALUE"""),2171750)</f>
        <v>2171750</v>
      </c>
    </row>
    <row r="133" spans="1:6" x14ac:dyDescent="0.35">
      <c r="A133" s="2">
        <f ca="1">IFERROR(__xludf.DUMMYFUNCTION("""COMPUTED_VALUE"""),42198.6666666666)</f>
        <v>42198.666666666599</v>
      </c>
      <c r="B133" s="1">
        <f ca="1">IFERROR(__xludf.DUMMYFUNCTION("""COMPUTED_VALUE"""),27.98)</f>
        <v>27.98</v>
      </c>
      <c r="C133" s="1">
        <f ca="1">IFERROR(__xludf.DUMMYFUNCTION("""COMPUTED_VALUE"""),28.64)</f>
        <v>28.64</v>
      </c>
      <c r="D133" s="1">
        <f ca="1">IFERROR(__xludf.DUMMYFUNCTION("""COMPUTED_VALUE"""),27.94)</f>
        <v>27.94</v>
      </c>
      <c r="E133" s="1">
        <f ca="1">IFERROR(__xludf.DUMMYFUNCTION("""COMPUTED_VALUE"""),28.59)</f>
        <v>28.59</v>
      </c>
      <c r="F133" s="1">
        <f ca="1">IFERROR(__xludf.DUMMYFUNCTION("""COMPUTED_VALUE"""),2089641)</f>
        <v>2089641</v>
      </c>
    </row>
    <row r="134" spans="1:6" x14ac:dyDescent="0.35">
      <c r="A134" s="2">
        <f ca="1">IFERROR(__xludf.DUMMYFUNCTION("""COMPUTED_VALUE"""),42199.6666666666)</f>
        <v>42199.666666666599</v>
      </c>
      <c r="B134" s="1">
        <f ca="1">IFERROR(__xludf.DUMMYFUNCTION("""COMPUTED_VALUE"""),28.73)</f>
        <v>28.73</v>
      </c>
      <c r="C134" s="1">
        <f ca="1">IFERROR(__xludf.DUMMYFUNCTION("""COMPUTED_VALUE"""),29.49)</f>
        <v>29.49</v>
      </c>
      <c r="D134" s="1">
        <f ca="1">IFERROR(__xludf.DUMMYFUNCTION("""COMPUTED_VALUE"""),28.71)</f>
        <v>28.71</v>
      </c>
      <c r="E134" s="1">
        <f ca="1">IFERROR(__xludf.DUMMYFUNCTION("""COMPUTED_VALUE"""),29.21)</f>
        <v>29.21</v>
      </c>
      <c r="F134" s="1">
        <f ca="1">IFERROR(__xludf.DUMMYFUNCTION("""COMPUTED_VALUE"""),3741583)</f>
        <v>3741583</v>
      </c>
    </row>
    <row r="135" spans="1:6" x14ac:dyDescent="0.35">
      <c r="A135" s="2">
        <f ca="1">IFERROR(__xludf.DUMMYFUNCTION("""COMPUTED_VALUE"""),42200.6666666666)</f>
        <v>42200.666666666599</v>
      </c>
      <c r="B135" s="1">
        <f ca="1">IFERROR(__xludf.DUMMYFUNCTION("""COMPUTED_VALUE"""),29.19)</f>
        <v>29.19</v>
      </c>
      <c r="C135" s="1">
        <f ca="1">IFERROR(__xludf.DUMMYFUNCTION("""COMPUTED_VALUE"""),29.43)</f>
        <v>29.43</v>
      </c>
      <c r="D135" s="1">
        <f ca="1">IFERROR(__xludf.DUMMYFUNCTION("""COMPUTED_VALUE"""),29.01)</f>
        <v>29.01</v>
      </c>
      <c r="E135" s="1">
        <f ca="1">IFERROR(__xludf.DUMMYFUNCTION("""COMPUTED_VALUE"""),29.2)</f>
        <v>29.2</v>
      </c>
      <c r="F135" s="1">
        <f ca="1">IFERROR(__xludf.DUMMYFUNCTION("""COMPUTED_VALUE"""),2073330)</f>
        <v>2073330</v>
      </c>
    </row>
    <row r="136" spans="1:6" x14ac:dyDescent="0.35">
      <c r="A136" s="2">
        <f ca="1">IFERROR(__xludf.DUMMYFUNCTION("""COMPUTED_VALUE"""),42201.6666666666)</f>
        <v>42201.666666666599</v>
      </c>
      <c r="B136" s="1">
        <f ca="1">IFERROR(__xludf.DUMMYFUNCTION("""COMPUTED_VALUE"""),29.48)</f>
        <v>29.48</v>
      </c>
      <c r="C136" s="1">
        <f ca="1">IFERROR(__xludf.DUMMYFUNCTION("""COMPUTED_VALUE"""),30.23)</f>
        <v>30.23</v>
      </c>
      <c r="D136" s="1">
        <f ca="1">IFERROR(__xludf.DUMMYFUNCTION("""COMPUTED_VALUE"""),29.4)</f>
        <v>29.4</v>
      </c>
      <c r="E136" s="1">
        <f ca="1">IFERROR(__xludf.DUMMYFUNCTION("""COMPUTED_VALUE"""),30.09)</f>
        <v>30.09</v>
      </c>
      <c r="F136" s="1">
        <f ca="1">IFERROR(__xludf.DUMMYFUNCTION("""COMPUTED_VALUE"""),5632054)</f>
        <v>5632054</v>
      </c>
    </row>
    <row r="137" spans="1:6" x14ac:dyDescent="0.35">
      <c r="A137" s="2">
        <f ca="1">IFERROR(__xludf.DUMMYFUNCTION("""COMPUTED_VALUE"""),42202.6666666666)</f>
        <v>42202.666666666599</v>
      </c>
      <c r="B137" s="1">
        <f ca="1">IFERROR(__xludf.DUMMYFUNCTION("""COMPUTED_VALUE"""),34)</f>
        <v>34</v>
      </c>
      <c r="C137" s="1">
        <f ca="1">IFERROR(__xludf.DUMMYFUNCTION("""COMPUTED_VALUE"""),35.15)</f>
        <v>35.15</v>
      </c>
      <c r="D137" s="1">
        <f ca="1">IFERROR(__xludf.DUMMYFUNCTION("""COMPUTED_VALUE"""),33.9)</f>
        <v>33.9</v>
      </c>
      <c r="E137" s="1">
        <f ca="1">IFERROR(__xludf.DUMMYFUNCTION("""COMPUTED_VALUE"""),34.98)</f>
        <v>34.979999999999997</v>
      </c>
      <c r="F137" s="1">
        <f ca="1">IFERROR(__xludf.DUMMYFUNCTION("""COMPUTED_VALUE"""),12858136)</f>
        <v>12858136</v>
      </c>
    </row>
    <row r="138" spans="1:6" x14ac:dyDescent="0.35">
      <c r="A138" s="2">
        <f ca="1">IFERROR(__xludf.DUMMYFUNCTION("""COMPUTED_VALUE"""),42205.6666666666)</f>
        <v>42205.666666666599</v>
      </c>
      <c r="B138" s="1">
        <f ca="1">IFERROR(__xludf.DUMMYFUNCTION("""COMPUTED_VALUE"""),34.45)</f>
        <v>34.450000000000003</v>
      </c>
      <c r="C138" s="1">
        <f ca="1">IFERROR(__xludf.DUMMYFUNCTION("""COMPUTED_VALUE"""),34.89)</f>
        <v>34.89</v>
      </c>
      <c r="D138" s="1">
        <f ca="1">IFERROR(__xludf.DUMMYFUNCTION("""COMPUTED_VALUE"""),34.09)</f>
        <v>34.090000000000003</v>
      </c>
      <c r="E138" s="1">
        <f ca="1">IFERROR(__xludf.DUMMYFUNCTION("""COMPUTED_VALUE"""),34.64)</f>
        <v>34.64</v>
      </c>
      <c r="F138" s="1">
        <f ca="1">IFERROR(__xludf.DUMMYFUNCTION("""COMPUTED_VALUE"""),5121752)</f>
        <v>5121752</v>
      </c>
    </row>
    <row r="139" spans="1:6" x14ac:dyDescent="0.35">
      <c r="A139" s="2">
        <f ca="1">IFERROR(__xludf.DUMMYFUNCTION("""COMPUTED_VALUE"""),42206.6666666666)</f>
        <v>42206.666666666599</v>
      </c>
      <c r="B139" s="1">
        <f ca="1">IFERROR(__xludf.DUMMYFUNCTION("""COMPUTED_VALUE"""),34.24)</f>
        <v>34.24</v>
      </c>
      <c r="C139" s="1">
        <f ca="1">IFERROR(__xludf.DUMMYFUNCTION("""COMPUTED_VALUE"""),35.28)</f>
        <v>35.28</v>
      </c>
      <c r="D139" s="1">
        <f ca="1">IFERROR(__xludf.DUMMYFUNCTION("""COMPUTED_VALUE"""),34.21)</f>
        <v>34.21</v>
      </c>
      <c r="E139" s="1">
        <f ca="1">IFERROR(__xludf.DUMMYFUNCTION("""COMPUTED_VALUE"""),34.77)</f>
        <v>34.770000000000003</v>
      </c>
      <c r="F139" s="1">
        <f ca="1">IFERROR(__xludf.DUMMYFUNCTION("""COMPUTED_VALUE"""),3780230)</f>
        <v>3780230</v>
      </c>
    </row>
    <row r="140" spans="1:6" x14ac:dyDescent="0.35">
      <c r="A140" s="2">
        <f ca="1">IFERROR(__xludf.DUMMYFUNCTION("""COMPUTED_VALUE"""),42207.6666666666)</f>
        <v>42207.666666666599</v>
      </c>
      <c r="B140" s="1">
        <f ca="1">IFERROR(__xludf.DUMMYFUNCTION("""COMPUTED_VALUE"""),34.7)</f>
        <v>34.700000000000003</v>
      </c>
      <c r="C140" s="1">
        <f ca="1">IFERROR(__xludf.DUMMYFUNCTION("""COMPUTED_VALUE"""),35.67)</f>
        <v>35.67</v>
      </c>
      <c r="D140" s="1">
        <f ca="1">IFERROR(__xludf.DUMMYFUNCTION("""COMPUTED_VALUE"""),34.58)</f>
        <v>34.58</v>
      </c>
      <c r="E140" s="1">
        <f ca="1">IFERROR(__xludf.DUMMYFUNCTION("""COMPUTED_VALUE"""),34.76)</f>
        <v>34.76</v>
      </c>
      <c r="F140" s="1">
        <f ca="1">IFERROR(__xludf.DUMMYFUNCTION("""COMPUTED_VALUE"""),4154987)</f>
        <v>4154987</v>
      </c>
    </row>
    <row r="141" spans="1:6" x14ac:dyDescent="0.35">
      <c r="A141" s="2">
        <f ca="1">IFERROR(__xludf.DUMMYFUNCTION("""COMPUTED_VALUE"""),42208.6666666666)</f>
        <v>42208.666666666599</v>
      </c>
      <c r="B141" s="1">
        <f ca="1">IFERROR(__xludf.DUMMYFUNCTION("""COMPUTED_VALUE"""),34.59)</f>
        <v>34.590000000000003</v>
      </c>
      <c r="C141" s="1">
        <f ca="1">IFERROR(__xludf.DUMMYFUNCTION("""COMPUTED_VALUE"""),34.8)</f>
        <v>34.799999999999997</v>
      </c>
      <c r="D141" s="1">
        <f ca="1">IFERROR(__xludf.DUMMYFUNCTION("""COMPUTED_VALUE"""),33.58)</f>
        <v>33.58</v>
      </c>
      <c r="E141" s="1">
        <f ca="1">IFERROR(__xludf.DUMMYFUNCTION("""COMPUTED_VALUE"""),33.74)</f>
        <v>33.74</v>
      </c>
      <c r="F141" s="1">
        <f ca="1">IFERROR(__xludf.DUMMYFUNCTION("""COMPUTED_VALUE"""),3811598)</f>
        <v>3811598</v>
      </c>
    </row>
    <row r="142" spans="1:6" x14ac:dyDescent="0.35">
      <c r="A142" s="2">
        <f ca="1">IFERROR(__xludf.DUMMYFUNCTION("""COMPUTED_VALUE"""),42209.6666666666)</f>
        <v>42209.666666666599</v>
      </c>
      <c r="B142" s="1">
        <f ca="1">IFERROR(__xludf.DUMMYFUNCTION("""COMPUTED_VALUE"""),33.84)</f>
        <v>33.840000000000003</v>
      </c>
      <c r="C142" s="1">
        <f ca="1">IFERROR(__xludf.DUMMYFUNCTION("""COMPUTED_VALUE"""),33.89)</f>
        <v>33.89</v>
      </c>
      <c r="D142" s="1">
        <f ca="1">IFERROR(__xludf.DUMMYFUNCTION("""COMPUTED_VALUE"""),32.66)</f>
        <v>32.659999999999997</v>
      </c>
      <c r="E142" s="1">
        <f ca="1">IFERROR(__xludf.DUMMYFUNCTION("""COMPUTED_VALUE"""),32.74)</f>
        <v>32.74</v>
      </c>
      <c r="F142" s="1">
        <f ca="1">IFERROR(__xludf.DUMMYFUNCTION("""COMPUTED_VALUE"""),4131137)</f>
        <v>4131137</v>
      </c>
    </row>
    <row r="143" spans="1:6" x14ac:dyDescent="0.35">
      <c r="A143" s="2">
        <f ca="1">IFERROR(__xludf.DUMMYFUNCTION("""COMPUTED_VALUE"""),42212.6666666666)</f>
        <v>42212.666666666599</v>
      </c>
      <c r="B143" s="1">
        <f ca="1">IFERROR(__xludf.DUMMYFUNCTION("""COMPUTED_VALUE"""),32.58)</f>
        <v>32.58</v>
      </c>
      <c r="C143" s="1">
        <f ca="1">IFERROR(__xludf.DUMMYFUNCTION("""COMPUTED_VALUE"""),33.35)</f>
        <v>33.35</v>
      </c>
      <c r="D143" s="1">
        <f ca="1">IFERROR(__xludf.DUMMYFUNCTION("""COMPUTED_VALUE"""),32.58)</f>
        <v>32.58</v>
      </c>
      <c r="E143" s="1">
        <f ca="1">IFERROR(__xludf.DUMMYFUNCTION("""COMPUTED_VALUE"""),32.91)</f>
        <v>32.909999999999997</v>
      </c>
      <c r="F143" s="1">
        <f ca="1">IFERROR(__xludf.DUMMYFUNCTION("""COMPUTED_VALUE"""),2919110)</f>
        <v>2919110</v>
      </c>
    </row>
    <row r="144" spans="1:6" x14ac:dyDescent="0.35">
      <c r="A144" s="2">
        <f ca="1">IFERROR(__xludf.DUMMYFUNCTION("""COMPUTED_VALUE"""),42213.6666666666)</f>
        <v>42213.666666666599</v>
      </c>
      <c r="B144" s="1">
        <f ca="1">IFERROR(__xludf.DUMMYFUNCTION("""COMPUTED_VALUE"""),33.09)</f>
        <v>33.090000000000003</v>
      </c>
      <c r="C144" s="1">
        <f ca="1">IFERROR(__xludf.DUMMYFUNCTION("""COMPUTED_VALUE"""),33.21)</f>
        <v>33.21</v>
      </c>
      <c r="D144" s="1">
        <f ca="1">IFERROR(__xludf.DUMMYFUNCTION("""COMPUTED_VALUE"""),32.67)</f>
        <v>32.67</v>
      </c>
      <c r="E144" s="1">
        <f ca="1">IFERROR(__xludf.DUMMYFUNCTION("""COMPUTED_VALUE"""),32.98)</f>
        <v>32.979999999999997</v>
      </c>
      <c r="F144" s="1">
        <f ca="1">IFERROR(__xludf.DUMMYFUNCTION("""COMPUTED_VALUE"""),1718193)</f>
        <v>1718193</v>
      </c>
    </row>
    <row r="145" spans="1:6" x14ac:dyDescent="0.35">
      <c r="A145" s="2">
        <f ca="1">IFERROR(__xludf.DUMMYFUNCTION("""COMPUTED_VALUE"""),42214.6666666666)</f>
        <v>42214.666666666599</v>
      </c>
      <c r="B145" s="1">
        <f ca="1">IFERROR(__xludf.DUMMYFUNCTION("""COMPUTED_VALUE"""),33.11)</f>
        <v>33.11</v>
      </c>
      <c r="C145" s="1">
        <f ca="1">IFERROR(__xludf.DUMMYFUNCTION("""COMPUTED_VALUE"""),33.17)</f>
        <v>33.17</v>
      </c>
      <c r="D145" s="1">
        <f ca="1">IFERROR(__xludf.DUMMYFUNCTION("""COMPUTED_VALUE"""),32.64)</f>
        <v>32.64</v>
      </c>
      <c r="E145" s="1">
        <f ca="1">IFERROR(__xludf.DUMMYFUNCTION("""COMPUTED_VALUE"""),33.07)</f>
        <v>33.07</v>
      </c>
      <c r="F145" s="1">
        <f ca="1">IFERROR(__xludf.DUMMYFUNCTION("""COMPUTED_VALUE"""),1837805)</f>
        <v>1837805</v>
      </c>
    </row>
    <row r="146" spans="1:6" x14ac:dyDescent="0.35">
      <c r="A146" s="2">
        <f ca="1">IFERROR(__xludf.DUMMYFUNCTION("""COMPUTED_VALUE"""),42215.6666666666)</f>
        <v>42215.666666666599</v>
      </c>
      <c r="B146" s="1">
        <f ca="1">IFERROR(__xludf.DUMMYFUNCTION("""COMPUTED_VALUE"""),32.87)</f>
        <v>32.869999999999997</v>
      </c>
      <c r="C146" s="1">
        <f ca="1">IFERROR(__xludf.DUMMYFUNCTION("""COMPUTED_VALUE"""),33.4)</f>
        <v>33.4</v>
      </c>
      <c r="D146" s="1">
        <f ca="1">IFERROR(__xludf.DUMMYFUNCTION("""COMPUTED_VALUE"""),32.58)</f>
        <v>32.58</v>
      </c>
      <c r="E146" s="1">
        <f ca="1">IFERROR(__xludf.DUMMYFUNCTION("""COMPUTED_VALUE"""),33.23)</f>
        <v>33.229999999999997</v>
      </c>
      <c r="F146" s="1">
        <f ca="1">IFERROR(__xludf.DUMMYFUNCTION("""COMPUTED_VALUE"""),1980345)</f>
        <v>1980345</v>
      </c>
    </row>
    <row r="147" spans="1:6" x14ac:dyDescent="0.35">
      <c r="A147" s="2">
        <f ca="1">IFERROR(__xludf.DUMMYFUNCTION("""COMPUTED_VALUE"""),42216.6666666666)</f>
        <v>42216.666666666599</v>
      </c>
      <c r="B147" s="1">
        <f ca="1">IFERROR(__xludf.DUMMYFUNCTION("""COMPUTED_VALUE"""),33.24)</f>
        <v>33.24</v>
      </c>
      <c r="C147" s="1">
        <f ca="1">IFERROR(__xludf.DUMMYFUNCTION("""COMPUTED_VALUE"""),33.25)</f>
        <v>33.25</v>
      </c>
      <c r="D147" s="1">
        <f ca="1">IFERROR(__xludf.DUMMYFUNCTION("""COMPUTED_VALUE"""),32.86)</f>
        <v>32.86</v>
      </c>
      <c r="E147" s="1">
        <f ca="1">IFERROR(__xludf.DUMMYFUNCTION("""COMPUTED_VALUE"""),32.88)</f>
        <v>32.880000000000003</v>
      </c>
      <c r="F147" s="1">
        <f ca="1">IFERROR(__xludf.DUMMYFUNCTION("""COMPUTED_VALUE"""),1746094)</f>
        <v>1746094</v>
      </c>
    </row>
    <row r="148" spans="1:6" x14ac:dyDescent="0.35">
      <c r="A148" s="2">
        <f ca="1">IFERROR(__xludf.DUMMYFUNCTION("""COMPUTED_VALUE"""),42219.6666666666)</f>
        <v>42219.666666666599</v>
      </c>
      <c r="B148" s="1">
        <f ca="1">IFERROR(__xludf.DUMMYFUNCTION("""COMPUTED_VALUE"""),32.88)</f>
        <v>32.880000000000003</v>
      </c>
      <c r="C148" s="1">
        <f ca="1">IFERROR(__xludf.DUMMYFUNCTION("""COMPUTED_VALUE"""),33.33)</f>
        <v>33.33</v>
      </c>
      <c r="D148" s="1">
        <f ca="1">IFERROR(__xludf.DUMMYFUNCTION("""COMPUTED_VALUE"""),32.88)</f>
        <v>32.880000000000003</v>
      </c>
      <c r="E148" s="1">
        <f ca="1">IFERROR(__xludf.DUMMYFUNCTION("""COMPUTED_VALUE"""),33.24)</f>
        <v>33.24</v>
      </c>
      <c r="F148" s="1">
        <f ca="1">IFERROR(__xludf.DUMMYFUNCTION("""COMPUTED_VALUE"""),1567407)</f>
        <v>1567407</v>
      </c>
    </row>
    <row r="149" spans="1:6" x14ac:dyDescent="0.35">
      <c r="A149" s="2">
        <f ca="1">IFERROR(__xludf.DUMMYFUNCTION("""COMPUTED_VALUE"""),42220.6666666666)</f>
        <v>42220.666666666599</v>
      </c>
      <c r="B149" s="1">
        <f ca="1">IFERROR(__xludf.DUMMYFUNCTION("""COMPUTED_VALUE"""),33.22)</f>
        <v>33.22</v>
      </c>
      <c r="C149" s="1">
        <f ca="1">IFERROR(__xludf.DUMMYFUNCTION("""COMPUTED_VALUE"""),33.4)</f>
        <v>33.4</v>
      </c>
      <c r="D149" s="1">
        <f ca="1">IFERROR(__xludf.DUMMYFUNCTION("""COMPUTED_VALUE"""),33.03)</f>
        <v>33.03</v>
      </c>
      <c r="E149" s="1">
        <f ca="1">IFERROR(__xludf.DUMMYFUNCTION("""COMPUTED_VALUE"""),33.06)</f>
        <v>33.06</v>
      </c>
      <c r="F149" s="1">
        <f ca="1">IFERROR(__xludf.DUMMYFUNCTION("""COMPUTED_VALUE"""),1309410)</f>
        <v>1309410</v>
      </c>
    </row>
    <row r="150" spans="1:6" x14ac:dyDescent="0.35">
      <c r="A150" s="2">
        <f ca="1">IFERROR(__xludf.DUMMYFUNCTION("""COMPUTED_VALUE"""),42221.6666666666)</f>
        <v>42221.666666666599</v>
      </c>
      <c r="B150" s="1">
        <f ca="1">IFERROR(__xludf.DUMMYFUNCTION("""COMPUTED_VALUE"""),33.29)</f>
        <v>33.29</v>
      </c>
      <c r="C150" s="1">
        <f ca="1">IFERROR(__xludf.DUMMYFUNCTION("""COMPUTED_VALUE"""),34)</f>
        <v>34</v>
      </c>
      <c r="D150" s="1">
        <f ca="1">IFERROR(__xludf.DUMMYFUNCTION("""COMPUTED_VALUE"""),33.28)</f>
        <v>33.28</v>
      </c>
      <c r="E150" s="1">
        <f ca="1">IFERROR(__xludf.DUMMYFUNCTION("""COMPUTED_VALUE"""),33.66)</f>
        <v>33.659999999999997</v>
      </c>
      <c r="F150" s="1">
        <f ca="1">IFERROR(__xludf.DUMMYFUNCTION("""COMPUTED_VALUE"""),1822387)</f>
        <v>1822387</v>
      </c>
    </row>
    <row r="151" spans="1:6" x14ac:dyDescent="0.35">
      <c r="A151" s="2">
        <f ca="1">IFERROR(__xludf.DUMMYFUNCTION("""COMPUTED_VALUE"""),42222.6666666666)</f>
        <v>42222.666666666599</v>
      </c>
      <c r="B151" s="1">
        <f ca="1">IFERROR(__xludf.DUMMYFUNCTION("""COMPUTED_VALUE"""),33.7)</f>
        <v>33.700000000000003</v>
      </c>
      <c r="C151" s="1">
        <f ca="1">IFERROR(__xludf.DUMMYFUNCTION("""COMPUTED_VALUE"""),33.74)</f>
        <v>33.74</v>
      </c>
      <c r="D151" s="1">
        <f ca="1">IFERROR(__xludf.DUMMYFUNCTION("""COMPUTED_VALUE"""),33.04)</f>
        <v>33.04</v>
      </c>
      <c r="E151" s="1">
        <f ca="1">IFERROR(__xludf.DUMMYFUNCTION("""COMPUTED_VALUE"""),33.51)</f>
        <v>33.51</v>
      </c>
      <c r="F151" s="1">
        <f ca="1">IFERROR(__xludf.DUMMYFUNCTION("""COMPUTED_VALUE"""),2032984)</f>
        <v>2032984</v>
      </c>
    </row>
    <row r="152" spans="1:6" x14ac:dyDescent="0.35">
      <c r="A152" s="2">
        <f ca="1">IFERROR(__xludf.DUMMYFUNCTION("""COMPUTED_VALUE"""),42223.6666666666)</f>
        <v>42223.666666666599</v>
      </c>
      <c r="B152" s="1">
        <f ca="1">IFERROR(__xludf.DUMMYFUNCTION("""COMPUTED_VALUE"""),33.39)</f>
        <v>33.39</v>
      </c>
      <c r="C152" s="1">
        <f ca="1">IFERROR(__xludf.DUMMYFUNCTION("""COMPUTED_VALUE"""),33.44)</f>
        <v>33.44</v>
      </c>
      <c r="D152" s="1">
        <f ca="1">IFERROR(__xludf.DUMMYFUNCTION("""COMPUTED_VALUE"""),32.94)</f>
        <v>32.94</v>
      </c>
      <c r="E152" s="1">
        <f ca="1">IFERROR(__xludf.DUMMYFUNCTION("""COMPUTED_VALUE"""),33.22)</f>
        <v>33.22</v>
      </c>
      <c r="F152" s="1">
        <f ca="1">IFERROR(__xludf.DUMMYFUNCTION("""COMPUTED_VALUE"""),1377152)</f>
        <v>1377152</v>
      </c>
    </row>
    <row r="153" spans="1:6" x14ac:dyDescent="0.35">
      <c r="A153" s="2">
        <f ca="1">IFERROR(__xludf.DUMMYFUNCTION("""COMPUTED_VALUE"""),42226.6666666666)</f>
        <v>42226.666666666599</v>
      </c>
      <c r="B153" s="1">
        <f ca="1">IFERROR(__xludf.DUMMYFUNCTION("""COMPUTED_VALUE"""),33.35)</f>
        <v>33.35</v>
      </c>
      <c r="C153" s="1">
        <f ca="1">IFERROR(__xludf.DUMMYFUNCTION("""COMPUTED_VALUE"""),33.58)</f>
        <v>33.58</v>
      </c>
      <c r="D153" s="1">
        <f ca="1">IFERROR(__xludf.DUMMYFUNCTION("""COMPUTED_VALUE"""),33.01)</f>
        <v>33.01</v>
      </c>
      <c r="E153" s="1">
        <f ca="1">IFERROR(__xludf.DUMMYFUNCTION("""COMPUTED_VALUE"""),33.16)</f>
        <v>33.159999999999997</v>
      </c>
      <c r="F153" s="1">
        <f ca="1">IFERROR(__xludf.DUMMYFUNCTION("""COMPUTED_VALUE"""),1722915)</f>
        <v>1722915</v>
      </c>
    </row>
    <row r="154" spans="1:6" x14ac:dyDescent="0.35">
      <c r="A154" s="2">
        <f ca="1">IFERROR(__xludf.DUMMYFUNCTION("""COMPUTED_VALUE"""),42227.6666666666)</f>
        <v>42227.666666666599</v>
      </c>
      <c r="B154" s="1">
        <f ca="1">IFERROR(__xludf.DUMMYFUNCTION("""COMPUTED_VALUE"""),34.98)</f>
        <v>34.979999999999997</v>
      </c>
      <c r="C154" s="1">
        <f ca="1">IFERROR(__xludf.DUMMYFUNCTION("""COMPUTED_VALUE"""),35.2)</f>
        <v>35.200000000000003</v>
      </c>
      <c r="D154" s="1">
        <f ca="1">IFERROR(__xludf.DUMMYFUNCTION("""COMPUTED_VALUE"""),34.22)</f>
        <v>34.22</v>
      </c>
      <c r="E154" s="1">
        <f ca="1">IFERROR(__xludf.DUMMYFUNCTION("""COMPUTED_VALUE"""),34.52)</f>
        <v>34.520000000000003</v>
      </c>
      <c r="F154" s="1">
        <f ca="1">IFERROR(__xludf.DUMMYFUNCTION("""COMPUTED_VALUE"""),5494011)</f>
        <v>5494011</v>
      </c>
    </row>
    <row r="155" spans="1:6" x14ac:dyDescent="0.35">
      <c r="A155" s="2">
        <f ca="1">IFERROR(__xludf.DUMMYFUNCTION("""COMPUTED_VALUE"""),42228.6666666666)</f>
        <v>42228.666666666599</v>
      </c>
      <c r="B155" s="1">
        <f ca="1">IFERROR(__xludf.DUMMYFUNCTION("""COMPUTED_VALUE"""),34.72)</f>
        <v>34.72</v>
      </c>
      <c r="C155" s="1">
        <f ca="1">IFERROR(__xludf.DUMMYFUNCTION("""COMPUTED_VALUE"""),34.8)</f>
        <v>34.799999999999997</v>
      </c>
      <c r="D155" s="1">
        <f ca="1">IFERROR(__xludf.DUMMYFUNCTION("""COMPUTED_VALUE"""),34.03)</f>
        <v>34.03</v>
      </c>
      <c r="E155" s="1">
        <f ca="1">IFERROR(__xludf.DUMMYFUNCTION("""COMPUTED_VALUE"""),34.57)</f>
        <v>34.57</v>
      </c>
      <c r="F155" s="1">
        <f ca="1">IFERROR(__xludf.DUMMYFUNCTION("""COMPUTED_VALUE"""),2932328)</f>
        <v>2932328</v>
      </c>
    </row>
    <row r="156" spans="1:6" x14ac:dyDescent="0.35">
      <c r="A156" s="2">
        <f ca="1">IFERROR(__xludf.DUMMYFUNCTION("""COMPUTED_VALUE"""),42229.6666666666)</f>
        <v>42229.666666666599</v>
      </c>
      <c r="B156" s="1">
        <f ca="1">IFERROR(__xludf.DUMMYFUNCTION("""COMPUTED_VALUE"""),34.46)</f>
        <v>34.46</v>
      </c>
      <c r="C156" s="1">
        <f ca="1">IFERROR(__xludf.DUMMYFUNCTION("""COMPUTED_VALUE"""),34.7)</f>
        <v>34.700000000000003</v>
      </c>
      <c r="D156" s="1">
        <f ca="1">IFERROR(__xludf.DUMMYFUNCTION("""COMPUTED_VALUE"""),34.11)</f>
        <v>34.11</v>
      </c>
      <c r="E156" s="1">
        <f ca="1">IFERROR(__xludf.DUMMYFUNCTION("""COMPUTED_VALUE"""),34.33)</f>
        <v>34.33</v>
      </c>
      <c r="F156" s="1">
        <f ca="1">IFERROR(__xludf.DUMMYFUNCTION("""COMPUTED_VALUE"""),1817748)</f>
        <v>1817748</v>
      </c>
    </row>
    <row r="157" spans="1:6" x14ac:dyDescent="0.35">
      <c r="A157" s="2">
        <f ca="1">IFERROR(__xludf.DUMMYFUNCTION("""COMPUTED_VALUE"""),42230.6666666666)</f>
        <v>42230.666666666599</v>
      </c>
      <c r="B157" s="1">
        <f ca="1">IFERROR(__xludf.DUMMYFUNCTION("""COMPUTED_VALUE"""),34.2)</f>
        <v>34.200000000000003</v>
      </c>
      <c r="C157" s="1">
        <f ca="1">IFERROR(__xludf.DUMMYFUNCTION("""COMPUTED_VALUE"""),34.61)</f>
        <v>34.61</v>
      </c>
      <c r="D157" s="1">
        <f ca="1">IFERROR(__xludf.DUMMYFUNCTION("""COMPUTED_VALUE"""),34.15)</f>
        <v>34.15</v>
      </c>
      <c r="E157" s="1">
        <f ca="1">IFERROR(__xludf.DUMMYFUNCTION("""COMPUTED_VALUE"""),34.47)</f>
        <v>34.47</v>
      </c>
      <c r="F157" s="1">
        <f ca="1">IFERROR(__xludf.DUMMYFUNCTION("""COMPUTED_VALUE"""),1379855)</f>
        <v>1379855</v>
      </c>
    </row>
    <row r="158" spans="1:6" x14ac:dyDescent="0.35">
      <c r="A158" s="2">
        <f ca="1">IFERROR(__xludf.DUMMYFUNCTION("""COMPUTED_VALUE"""),42233.6666666666)</f>
        <v>42233.666666666599</v>
      </c>
      <c r="B158" s="1">
        <f ca="1">IFERROR(__xludf.DUMMYFUNCTION("""COMPUTED_VALUE"""),34.4)</f>
        <v>34.4</v>
      </c>
      <c r="C158" s="1">
        <f ca="1">IFERROR(__xludf.DUMMYFUNCTION("""COMPUTED_VALUE"""),34.74)</f>
        <v>34.74</v>
      </c>
      <c r="D158" s="1">
        <f ca="1">IFERROR(__xludf.DUMMYFUNCTION("""COMPUTED_VALUE"""),34.15)</f>
        <v>34.15</v>
      </c>
      <c r="E158" s="1">
        <f ca="1">IFERROR(__xludf.DUMMYFUNCTION("""COMPUTED_VALUE"""),34.71)</f>
        <v>34.71</v>
      </c>
      <c r="F158" s="1">
        <f ca="1">IFERROR(__xludf.DUMMYFUNCTION("""COMPUTED_VALUE"""),1233951)</f>
        <v>1233951</v>
      </c>
    </row>
    <row r="159" spans="1:6" x14ac:dyDescent="0.35">
      <c r="A159" s="2">
        <f ca="1">IFERROR(__xludf.DUMMYFUNCTION("""COMPUTED_VALUE"""),42234.6666666666)</f>
        <v>42234.666666666599</v>
      </c>
      <c r="B159" s="1">
        <f ca="1">IFERROR(__xludf.DUMMYFUNCTION("""COMPUTED_VALUE"""),34.55)</f>
        <v>34.549999999999997</v>
      </c>
      <c r="C159" s="1">
        <f ca="1">IFERROR(__xludf.DUMMYFUNCTION("""COMPUTED_VALUE"""),34.79)</f>
        <v>34.79</v>
      </c>
      <c r="D159" s="1">
        <f ca="1">IFERROR(__xludf.DUMMYFUNCTION("""COMPUTED_VALUE"""),34.27)</f>
        <v>34.270000000000003</v>
      </c>
      <c r="E159" s="1">
        <f ca="1">IFERROR(__xludf.DUMMYFUNCTION("""COMPUTED_VALUE"""),34.44)</f>
        <v>34.44</v>
      </c>
      <c r="F159" s="1">
        <f ca="1">IFERROR(__xludf.DUMMYFUNCTION("""COMPUTED_VALUE"""),1385544)</f>
        <v>1385544</v>
      </c>
    </row>
    <row r="160" spans="1:6" x14ac:dyDescent="0.35">
      <c r="A160" s="2">
        <f ca="1">IFERROR(__xludf.DUMMYFUNCTION("""COMPUTED_VALUE"""),42235.6666666666)</f>
        <v>42235.666666666599</v>
      </c>
      <c r="B160" s="1">
        <f ca="1">IFERROR(__xludf.DUMMYFUNCTION("""COMPUTED_VALUE"""),34.51)</f>
        <v>34.51</v>
      </c>
      <c r="C160" s="1">
        <f ca="1">IFERROR(__xludf.DUMMYFUNCTION("""COMPUTED_VALUE"""),35.01)</f>
        <v>35.01</v>
      </c>
      <c r="D160" s="1">
        <f ca="1">IFERROR(__xludf.DUMMYFUNCTION("""COMPUTED_VALUE"""),34.34)</f>
        <v>34.340000000000003</v>
      </c>
      <c r="E160" s="1">
        <f ca="1">IFERROR(__xludf.DUMMYFUNCTION("""COMPUTED_VALUE"""),34.7)</f>
        <v>34.700000000000003</v>
      </c>
      <c r="F160" s="1">
        <f ca="1">IFERROR(__xludf.DUMMYFUNCTION("""COMPUTED_VALUE"""),2509697)</f>
        <v>2509697</v>
      </c>
    </row>
    <row r="161" spans="1:6" x14ac:dyDescent="0.35">
      <c r="A161" s="2">
        <f ca="1">IFERROR(__xludf.DUMMYFUNCTION("""COMPUTED_VALUE"""),42236.6666666666)</f>
        <v>42236.666666666599</v>
      </c>
      <c r="B161" s="1">
        <f ca="1">IFERROR(__xludf.DUMMYFUNCTION("""COMPUTED_VALUE"""),34.46)</f>
        <v>34.46</v>
      </c>
      <c r="C161" s="1">
        <f ca="1">IFERROR(__xludf.DUMMYFUNCTION("""COMPUTED_VALUE"""),34.81)</f>
        <v>34.81</v>
      </c>
      <c r="D161" s="1">
        <f ca="1">IFERROR(__xludf.DUMMYFUNCTION("""COMPUTED_VALUE"""),33.76)</f>
        <v>33.76</v>
      </c>
      <c r="E161" s="1">
        <f ca="1">IFERROR(__xludf.DUMMYFUNCTION("""COMPUTED_VALUE"""),33.97)</f>
        <v>33.97</v>
      </c>
      <c r="F161" s="1">
        <f ca="1">IFERROR(__xludf.DUMMYFUNCTION("""COMPUTED_VALUE"""),2889877)</f>
        <v>2889877</v>
      </c>
    </row>
    <row r="162" spans="1:6" x14ac:dyDescent="0.35">
      <c r="A162" s="2">
        <f ca="1">IFERROR(__xludf.DUMMYFUNCTION("""COMPUTED_VALUE"""),42237.6666666666)</f>
        <v>42237.666666666599</v>
      </c>
      <c r="B162" s="1">
        <f ca="1">IFERROR(__xludf.DUMMYFUNCTION("""COMPUTED_VALUE"""),33.55)</f>
        <v>33.549999999999997</v>
      </c>
      <c r="C162" s="1">
        <f ca="1">IFERROR(__xludf.DUMMYFUNCTION("""COMPUTED_VALUE"""),33.64)</f>
        <v>33.64</v>
      </c>
      <c r="D162" s="1">
        <f ca="1">IFERROR(__xludf.DUMMYFUNCTION("""COMPUTED_VALUE"""),32.16)</f>
        <v>32.159999999999997</v>
      </c>
      <c r="E162" s="1">
        <f ca="1">IFERROR(__xludf.DUMMYFUNCTION("""COMPUTED_VALUE"""),32.2)</f>
        <v>32.200000000000003</v>
      </c>
      <c r="F162" s="1">
        <f ca="1">IFERROR(__xludf.DUMMYFUNCTION("""COMPUTED_VALUE"""),4593970)</f>
        <v>4593970</v>
      </c>
    </row>
    <row r="163" spans="1:6" x14ac:dyDescent="0.35">
      <c r="A163" s="2">
        <f ca="1">IFERROR(__xludf.DUMMYFUNCTION("""COMPUTED_VALUE"""),42240.6666666666)</f>
        <v>42240.666666666599</v>
      </c>
      <c r="B163" s="1">
        <f ca="1">IFERROR(__xludf.DUMMYFUNCTION("""COMPUTED_VALUE"""),30.03)</f>
        <v>30.03</v>
      </c>
      <c r="C163" s="1">
        <f ca="1">IFERROR(__xludf.DUMMYFUNCTION("""COMPUTED_VALUE"""),32.22)</f>
        <v>32.22</v>
      </c>
      <c r="D163" s="1">
        <f ca="1">IFERROR(__xludf.DUMMYFUNCTION("""COMPUTED_VALUE"""),29.65)</f>
        <v>29.65</v>
      </c>
      <c r="E163" s="1">
        <f ca="1">IFERROR(__xludf.DUMMYFUNCTION("""COMPUTED_VALUE"""),30.91)</f>
        <v>30.91</v>
      </c>
      <c r="F163" s="1">
        <f ca="1">IFERROR(__xludf.DUMMYFUNCTION("""COMPUTED_VALUE"""),6489430)</f>
        <v>6489430</v>
      </c>
    </row>
    <row r="164" spans="1:6" x14ac:dyDescent="0.35">
      <c r="A164" s="2">
        <f ca="1">IFERROR(__xludf.DUMMYFUNCTION("""COMPUTED_VALUE"""),42241.6666666666)</f>
        <v>42241.666666666599</v>
      </c>
      <c r="B164" s="1">
        <f ca="1">IFERROR(__xludf.DUMMYFUNCTION("""COMPUTED_VALUE"""),32.32)</f>
        <v>32.32</v>
      </c>
      <c r="C164" s="1">
        <f ca="1">IFERROR(__xludf.DUMMYFUNCTION("""COMPUTED_VALUE"""),32.35)</f>
        <v>32.35</v>
      </c>
      <c r="D164" s="1">
        <f ca="1">IFERROR(__xludf.DUMMYFUNCTION("""COMPUTED_VALUE"""),30.58)</f>
        <v>30.58</v>
      </c>
      <c r="E164" s="1">
        <f ca="1">IFERROR(__xludf.DUMMYFUNCTION("""COMPUTED_VALUE"""),30.62)</f>
        <v>30.62</v>
      </c>
      <c r="F164" s="1">
        <f ca="1">IFERROR(__xludf.DUMMYFUNCTION("""COMPUTED_VALUE"""),3571469)</f>
        <v>3571469</v>
      </c>
    </row>
    <row r="165" spans="1:6" x14ac:dyDescent="0.35">
      <c r="A165" s="2">
        <f ca="1">IFERROR(__xludf.DUMMYFUNCTION("""COMPUTED_VALUE"""),42242.6666666666)</f>
        <v>42242.666666666599</v>
      </c>
      <c r="B165" s="1">
        <f ca="1">IFERROR(__xludf.DUMMYFUNCTION("""COMPUTED_VALUE"""),32.16)</f>
        <v>32.159999999999997</v>
      </c>
      <c r="C165" s="1">
        <f ca="1">IFERROR(__xludf.DUMMYFUNCTION("""COMPUTED_VALUE"""),33.12)</f>
        <v>33.119999999999997</v>
      </c>
      <c r="D165" s="1">
        <f ca="1">IFERROR(__xludf.DUMMYFUNCTION("""COMPUTED_VALUE"""),31.52)</f>
        <v>31.52</v>
      </c>
      <c r="E165" s="1">
        <f ca="1">IFERROR(__xludf.DUMMYFUNCTION("""COMPUTED_VALUE"""),32.99)</f>
        <v>32.99</v>
      </c>
      <c r="F165" s="1">
        <f ca="1">IFERROR(__xludf.DUMMYFUNCTION("""COMPUTED_VALUE"""),4386985)</f>
        <v>4386985</v>
      </c>
    </row>
    <row r="166" spans="1:6" x14ac:dyDescent="0.35">
      <c r="A166" s="2">
        <f ca="1">IFERROR(__xludf.DUMMYFUNCTION("""COMPUTED_VALUE"""),42243.6666666666)</f>
        <v>42243.666666666599</v>
      </c>
      <c r="B166" s="1">
        <f ca="1">IFERROR(__xludf.DUMMYFUNCTION("""COMPUTED_VALUE"""),33.6)</f>
        <v>33.6</v>
      </c>
      <c r="C166" s="1">
        <f ca="1">IFERROR(__xludf.DUMMYFUNCTION("""COMPUTED_VALUE"""),33.7)</f>
        <v>33.700000000000003</v>
      </c>
      <c r="D166" s="1">
        <f ca="1">IFERROR(__xludf.DUMMYFUNCTION("""COMPUTED_VALUE"""),32.56)</f>
        <v>32.56</v>
      </c>
      <c r="E166" s="1">
        <f ca="1">IFERROR(__xludf.DUMMYFUNCTION("""COMPUTED_VALUE"""),33.4)</f>
        <v>33.4</v>
      </c>
      <c r="F166" s="1">
        <f ca="1">IFERROR(__xludf.DUMMYFUNCTION("""COMPUTED_VALUE"""),2948736)</f>
        <v>2948736</v>
      </c>
    </row>
    <row r="167" spans="1:6" x14ac:dyDescent="0.35">
      <c r="A167" s="2">
        <f ca="1">IFERROR(__xludf.DUMMYFUNCTION("""COMPUTED_VALUE"""),42244.6666666666)</f>
        <v>42244.666666666599</v>
      </c>
      <c r="B167" s="1">
        <f ca="1">IFERROR(__xludf.DUMMYFUNCTION("""COMPUTED_VALUE"""),33.29)</f>
        <v>33.29</v>
      </c>
      <c r="C167" s="1">
        <f ca="1">IFERROR(__xludf.DUMMYFUNCTION("""COMPUTED_VALUE"""),33.35)</f>
        <v>33.35</v>
      </c>
      <c r="D167" s="1">
        <f ca="1">IFERROR(__xludf.DUMMYFUNCTION("""COMPUTED_VALUE"""),32.69)</f>
        <v>32.69</v>
      </c>
      <c r="E167" s="1">
        <f ca="1">IFERROR(__xludf.DUMMYFUNCTION("""COMPUTED_VALUE"""),32.98)</f>
        <v>32.979999999999997</v>
      </c>
      <c r="F167" s="1">
        <f ca="1">IFERROR(__xludf.DUMMYFUNCTION("""COMPUTED_VALUE"""),1941833)</f>
        <v>1941833</v>
      </c>
    </row>
    <row r="168" spans="1:6" x14ac:dyDescent="0.35">
      <c r="A168" s="2">
        <f ca="1">IFERROR(__xludf.DUMMYFUNCTION("""COMPUTED_VALUE"""),42247.6666666666)</f>
        <v>42247.666666666599</v>
      </c>
      <c r="B168" s="1">
        <f ca="1">IFERROR(__xludf.DUMMYFUNCTION("""COMPUTED_VALUE"""),32.72)</f>
        <v>32.72</v>
      </c>
      <c r="C168" s="1">
        <f ca="1">IFERROR(__xludf.DUMMYFUNCTION("""COMPUTED_VALUE"""),33.22)</f>
        <v>33.22</v>
      </c>
      <c r="D168" s="1">
        <f ca="1">IFERROR(__xludf.DUMMYFUNCTION("""COMPUTED_VALUE"""),32.32)</f>
        <v>32.32</v>
      </c>
      <c r="E168" s="1">
        <f ca="1">IFERROR(__xludf.DUMMYFUNCTION("""COMPUTED_VALUE"""),32.39)</f>
        <v>32.39</v>
      </c>
      <c r="F168" s="1">
        <f ca="1">IFERROR(__xludf.DUMMYFUNCTION("""COMPUTED_VALUE"""),1946844)</f>
        <v>1946844</v>
      </c>
    </row>
    <row r="169" spans="1:6" x14ac:dyDescent="0.35">
      <c r="A169" s="2">
        <f ca="1">IFERROR(__xludf.DUMMYFUNCTION("""COMPUTED_VALUE"""),42248.6666666666)</f>
        <v>42248.666666666599</v>
      </c>
      <c r="B169" s="1">
        <f ca="1">IFERROR(__xludf.DUMMYFUNCTION("""COMPUTED_VALUE"""),31.69)</f>
        <v>31.69</v>
      </c>
      <c r="C169" s="1">
        <f ca="1">IFERROR(__xludf.DUMMYFUNCTION("""COMPUTED_VALUE"""),32.22)</f>
        <v>32.22</v>
      </c>
      <c r="D169" s="1">
        <f ca="1">IFERROR(__xludf.DUMMYFUNCTION("""COMPUTED_VALUE"""),31.25)</f>
        <v>31.25</v>
      </c>
      <c r="E169" s="1">
        <f ca="1">IFERROR(__xludf.DUMMYFUNCTION("""COMPUTED_VALUE"""),31.48)</f>
        <v>31.48</v>
      </c>
      <c r="F169" s="1">
        <f ca="1">IFERROR(__xludf.DUMMYFUNCTION("""COMPUTED_VALUE"""),2572884)</f>
        <v>2572884</v>
      </c>
    </row>
    <row r="170" spans="1:6" x14ac:dyDescent="0.35">
      <c r="A170" s="2">
        <f ca="1">IFERROR(__xludf.DUMMYFUNCTION("""COMPUTED_VALUE"""),42249.6666666666)</f>
        <v>42249.666666666599</v>
      </c>
      <c r="B170" s="1">
        <f ca="1">IFERROR(__xludf.DUMMYFUNCTION("""COMPUTED_VALUE"""),31.9)</f>
        <v>31.9</v>
      </c>
      <c r="C170" s="1">
        <f ca="1">IFERROR(__xludf.DUMMYFUNCTION("""COMPUTED_VALUE"""),32.25)</f>
        <v>32.25</v>
      </c>
      <c r="D170" s="1">
        <f ca="1">IFERROR(__xludf.DUMMYFUNCTION("""COMPUTED_VALUE"""),31.53)</f>
        <v>31.53</v>
      </c>
      <c r="E170" s="1">
        <f ca="1">IFERROR(__xludf.DUMMYFUNCTION("""COMPUTED_VALUE"""),32.25)</f>
        <v>32.25</v>
      </c>
      <c r="F170" s="1">
        <f ca="1">IFERROR(__xludf.DUMMYFUNCTION("""COMPUTED_VALUE"""),1881489)</f>
        <v>1881489</v>
      </c>
    </row>
    <row r="171" spans="1:6" x14ac:dyDescent="0.35">
      <c r="A171" s="2">
        <f ca="1">IFERROR(__xludf.DUMMYFUNCTION("""COMPUTED_VALUE"""),42250.6666666666)</f>
        <v>42250.666666666599</v>
      </c>
      <c r="B171" s="1">
        <f ca="1">IFERROR(__xludf.DUMMYFUNCTION("""COMPUTED_VALUE"""),32.4)</f>
        <v>32.4</v>
      </c>
      <c r="C171" s="1">
        <f ca="1">IFERROR(__xludf.DUMMYFUNCTION("""COMPUTED_VALUE"""),32.56)</f>
        <v>32.56</v>
      </c>
      <c r="D171" s="1">
        <f ca="1">IFERROR(__xludf.DUMMYFUNCTION("""COMPUTED_VALUE"""),31.69)</f>
        <v>31.69</v>
      </c>
      <c r="E171" s="1">
        <f ca="1">IFERROR(__xludf.DUMMYFUNCTION("""COMPUTED_VALUE"""),31.85)</f>
        <v>31.85</v>
      </c>
      <c r="F171" s="1">
        <f ca="1">IFERROR(__xludf.DUMMYFUNCTION("""COMPUTED_VALUE"""),1728562)</f>
        <v>1728562</v>
      </c>
    </row>
    <row r="172" spans="1:6" x14ac:dyDescent="0.35">
      <c r="A172" s="2">
        <f ca="1">IFERROR(__xludf.DUMMYFUNCTION("""COMPUTED_VALUE"""),42251.6666666666)</f>
        <v>42251.666666666599</v>
      </c>
      <c r="B172" s="1">
        <f ca="1">IFERROR(__xludf.DUMMYFUNCTION("""COMPUTED_VALUE"""),31.49)</f>
        <v>31.49</v>
      </c>
      <c r="C172" s="1">
        <f ca="1">IFERROR(__xludf.DUMMYFUNCTION("""COMPUTED_VALUE"""),31.73)</f>
        <v>31.73</v>
      </c>
      <c r="D172" s="1">
        <f ca="1">IFERROR(__xludf.DUMMYFUNCTION("""COMPUTED_VALUE"""),31.33)</f>
        <v>31.33</v>
      </c>
      <c r="E172" s="1">
        <f ca="1">IFERROR(__xludf.DUMMYFUNCTION("""COMPUTED_VALUE"""),31.45)</f>
        <v>31.45</v>
      </c>
      <c r="F172" s="1">
        <f ca="1">IFERROR(__xludf.DUMMYFUNCTION("""COMPUTED_VALUE"""),2024990)</f>
        <v>2024990</v>
      </c>
    </row>
    <row r="173" spans="1:6" x14ac:dyDescent="0.35">
      <c r="A173" s="2">
        <f ca="1">IFERROR(__xludf.DUMMYFUNCTION("""COMPUTED_VALUE"""),42255.6666666666)</f>
        <v>42255.666666666599</v>
      </c>
      <c r="B173" s="1">
        <f ca="1">IFERROR(__xludf.DUMMYFUNCTION("""COMPUTED_VALUE"""),32.05)</f>
        <v>32.049999999999997</v>
      </c>
      <c r="C173" s="1">
        <f ca="1">IFERROR(__xludf.DUMMYFUNCTION("""COMPUTED_VALUE"""),32.25)</f>
        <v>32.25</v>
      </c>
      <c r="D173" s="1">
        <f ca="1">IFERROR(__xludf.DUMMYFUNCTION("""COMPUTED_VALUE"""),31.65)</f>
        <v>31.65</v>
      </c>
      <c r="E173" s="1">
        <f ca="1">IFERROR(__xludf.DUMMYFUNCTION("""COMPUTED_VALUE"""),32.19)</f>
        <v>32.19</v>
      </c>
      <c r="F173" s="1">
        <f ca="1">IFERROR(__xludf.DUMMYFUNCTION("""COMPUTED_VALUE"""),1954648)</f>
        <v>1954648</v>
      </c>
    </row>
    <row r="174" spans="1:6" x14ac:dyDescent="0.35">
      <c r="A174" s="2">
        <f ca="1">IFERROR(__xludf.DUMMYFUNCTION("""COMPUTED_VALUE"""),42256.6666666666)</f>
        <v>42256.666666666599</v>
      </c>
      <c r="B174" s="1">
        <f ca="1">IFERROR(__xludf.DUMMYFUNCTION("""COMPUTED_VALUE"""),32.59)</f>
        <v>32.590000000000003</v>
      </c>
      <c r="C174" s="1">
        <f ca="1">IFERROR(__xludf.DUMMYFUNCTION("""COMPUTED_VALUE"""),32.87)</f>
        <v>32.869999999999997</v>
      </c>
      <c r="D174" s="1">
        <f ca="1">IFERROR(__xludf.DUMMYFUNCTION("""COMPUTED_VALUE"""),32.05)</f>
        <v>32.049999999999997</v>
      </c>
      <c r="E174" s="1">
        <f ca="1">IFERROR(__xludf.DUMMYFUNCTION("""COMPUTED_VALUE"""),32.17)</f>
        <v>32.17</v>
      </c>
      <c r="F174" s="1">
        <f ca="1">IFERROR(__xludf.DUMMYFUNCTION("""COMPUTED_VALUE"""),2048908)</f>
        <v>2048908</v>
      </c>
    </row>
    <row r="175" spans="1:6" x14ac:dyDescent="0.35">
      <c r="A175" s="2">
        <f ca="1">IFERROR(__xludf.DUMMYFUNCTION("""COMPUTED_VALUE"""),42257.6666666666)</f>
        <v>42257.666666666599</v>
      </c>
      <c r="B175" s="1">
        <f ca="1">IFERROR(__xludf.DUMMYFUNCTION("""COMPUTED_VALUE"""),32.2)</f>
        <v>32.200000000000003</v>
      </c>
      <c r="C175" s="1">
        <f ca="1">IFERROR(__xludf.DUMMYFUNCTION("""COMPUTED_VALUE"""),32.74)</f>
        <v>32.74</v>
      </c>
      <c r="D175" s="1">
        <f ca="1">IFERROR(__xludf.DUMMYFUNCTION("""COMPUTED_VALUE"""),32.09)</f>
        <v>32.090000000000003</v>
      </c>
      <c r="E175" s="1">
        <f ca="1">IFERROR(__xludf.DUMMYFUNCTION("""COMPUTED_VALUE"""),32.55)</f>
        <v>32.549999999999997</v>
      </c>
      <c r="F175" s="1">
        <f ca="1">IFERROR(__xludf.DUMMYFUNCTION("""COMPUTED_VALUE"""),1392481)</f>
        <v>1392481</v>
      </c>
    </row>
    <row r="176" spans="1:6" x14ac:dyDescent="0.35">
      <c r="A176" s="2">
        <f ca="1">IFERROR(__xludf.DUMMYFUNCTION("""COMPUTED_VALUE"""),42258.6666666666)</f>
        <v>42258.666666666599</v>
      </c>
      <c r="B176" s="1">
        <f ca="1">IFERROR(__xludf.DUMMYFUNCTION("""COMPUTED_VALUE"""),32.51)</f>
        <v>32.51</v>
      </c>
      <c r="C176" s="1">
        <f ca="1">IFERROR(__xludf.DUMMYFUNCTION("""COMPUTED_VALUE"""),32.77)</f>
        <v>32.770000000000003</v>
      </c>
      <c r="D176" s="1">
        <f ca="1">IFERROR(__xludf.DUMMYFUNCTION("""COMPUTED_VALUE"""),32.37)</f>
        <v>32.369999999999997</v>
      </c>
      <c r="E176" s="1">
        <f ca="1">IFERROR(__xludf.DUMMYFUNCTION("""COMPUTED_VALUE"""),32.77)</f>
        <v>32.770000000000003</v>
      </c>
      <c r="F176" s="1">
        <f ca="1">IFERROR(__xludf.DUMMYFUNCTION("""COMPUTED_VALUE"""),1744615)</f>
        <v>1744615</v>
      </c>
    </row>
    <row r="177" spans="1:6" x14ac:dyDescent="0.35">
      <c r="A177" s="2">
        <f ca="1">IFERROR(__xludf.DUMMYFUNCTION("""COMPUTED_VALUE"""),42261.6666666666)</f>
        <v>42261.666666666599</v>
      </c>
      <c r="B177" s="1">
        <f ca="1">IFERROR(__xludf.DUMMYFUNCTION("""COMPUTED_VALUE"""),32.78)</f>
        <v>32.78</v>
      </c>
      <c r="C177" s="1">
        <f ca="1">IFERROR(__xludf.DUMMYFUNCTION("""COMPUTED_VALUE"""),32.8)</f>
        <v>32.799999999999997</v>
      </c>
      <c r="D177" s="1">
        <f ca="1">IFERROR(__xludf.DUMMYFUNCTION("""COMPUTED_VALUE"""),32.48)</f>
        <v>32.479999999999997</v>
      </c>
      <c r="E177" s="1">
        <f ca="1">IFERROR(__xludf.DUMMYFUNCTION("""COMPUTED_VALUE"""),32.62)</f>
        <v>32.619999999999997</v>
      </c>
      <c r="F177" s="1">
        <f ca="1">IFERROR(__xludf.DUMMYFUNCTION("""COMPUTED_VALUE"""),1497627)</f>
        <v>1497627</v>
      </c>
    </row>
    <row r="178" spans="1:6" x14ac:dyDescent="0.35">
      <c r="A178" s="2">
        <f ca="1">IFERROR(__xludf.DUMMYFUNCTION("""COMPUTED_VALUE"""),42262.6666666666)</f>
        <v>42262.666666666599</v>
      </c>
      <c r="B178" s="1">
        <f ca="1">IFERROR(__xludf.DUMMYFUNCTION("""COMPUTED_VALUE"""),32.84)</f>
        <v>32.840000000000003</v>
      </c>
      <c r="C178" s="1">
        <f ca="1">IFERROR(__xludf.DUMMYFUNCTION("""COMPUTED_VALUE"""),33.44)</f>
        <v>33.44</v>
      </c>
      <c r="D178" s="1">
        <f ca="1">IFERROR(__xludf.DUMMYFUNCTION("""COMPUTED_VALUE"""),32.67)</f>
        <v>32.67</v>
      </c>
      <c r="E178" s="1">
        <f ca="1">IFERROR(__xludf.DUMMYFUNCTION("""COMPUTED_VALUE"""),33.25)</f>
        <v>33.25</v>
      </c>
      <c r="F178" s="1">
        <f ca="1">IFERROR(__xludf.DUMMYFUNCTION("""COMPUTED_VALUE"""),1777320)</f>
        <v>1777320</v>
      </c>
    </row>
    <row r="179" spans="1:6" x14ac:dyDescent="0.35">
      <c r="A179" s="2">
        <f ca="1">IFERROR(__xludf.DUMMYFUNCTION("""COMPUTED_VALUE"""),42263.6666666666)</f>
        <v>42263.666666666599</v>
      </c>
      <c r="B179" s="1">
        <f ca="1">IFERROR(__xludf.DUMMYFUNCTION("""COMPUTED_VALUE"""),33.28)</f>
        <v>33.28</v>
      </c>
      <c r="C179" s="1">
        <f ca="1">IFERROR(__xludf.DUMMYFUNCTION("""COMPUTED_VALUE"""),33.4)</f>
        <v>33.4</v>
      </c>
      <c r="D179" s="1">
        <f ca="1">IFERROR(__xludf.DUMMYFUNCTION("""COMPUTED_VALUE"""),33.11)</f>
        <v>33.11</v>
      </c>
      <c r="E179" s="1">
        <f ca="1">IFERROR(__xludf.DUMMYFUNCTION("""COMPUTED_VALUE"""),33.28)</f>
        <v>33.28</v>
      </c>
      <c r="F179" s="1">
        <f ca="1">IFERROR(__xludf.DUMMYFUNCTION("""COMPUTED_VALUE"""),1312598)</f>
        <v>1312598</v>
      </c>
    </row>
    <row r="180" spans="1:6" x14ac:dyDescent="0.35">
      <c r="A180" s="2">
        <f ca="1">IFERROR(__xludf.DUMMYFUNCTION("""COMPUTED_VALUE"""),42264.6666666666)</f>
        <v>42264.666666666599</v>
      </c>
      <c r="B180" s="1">
        <f ca="1">IFERROR(__xludf.DUMMYFUNCTION("""COMPUTED_VALUE"""),33.37)</f>
        <v>33.369999999999997</v>
      </c>
      <c r="C180" s="1">
        <f ca="1">IFERROR(__xludf.DUMMYFUNCTION("""COMPUTED_VALUE"""),34.1)</f>
        <v>34.1</v>
      </c>
      <c r="D180" s="1">
        <f ca="1">IFERROR(__xludf.DUMMYFUNCTION("""COMPUTED_VALUE"""),33.25)</f>
        <v>33.25</v>
      </c>
      <c r="E180" s="1">
        <f ca="1">IFERROR(__xludf.DUMMYFUNCTION("""COMPUTED_VALUE"""),33.58)</f>
        <v>33.58</v>
      </c>
      <c r="F180" s="1">
        <f ca="1">IFERROR(__xludf.DUMMYFUNCTION("""COMPUTED_VALUE"""),2387605)</f>
        <v>2387605</v>
      </c>
    </row>
    <row r="181" spans="1:6" x14ac:dyDescent="0.35">
      <c r="A181" s="2">
        <f ca="1">IFERROR(__xludf.DUMMYFUNCTION("""COMPUTED_VALUE"""),42265.6666666666)</f>
        <v>42265.666666666599</v>
      </c>
      <c r="B181" s="1">
        <f ca="1">IFERROR(__xludf.DUMMYFUNCTION("""COMPUTED_VALUE"""),33.25)</f>
        <v>33.25</v>
      </c>
      <c r="C181" s="1">
        <f ca="1">IFERROR(__xludf.DUMMYFUNCTION("""COMPUTED_VALUE"""),33.49)</f>
        <v>33.49</v>
      </c>
      <c r="D181" s="1">
        <f ca="1">IFERROR(__xludf.DUMMYFUNCTION("""COMPUTED_VALUE"""),33)</f>
        <v>33</v>
      </c>
      <c r="E181" s="1">
        <f ca="1">IFERROR(__xludf.DUMMYFUNCTION("""COMPUTED_VALUE"""),33.05)</f>
        <v>33.049999999999997</v>
      </c>
      <c r="F181" s="1">
        <f ca="1">IFERROR(__xludf.DUMMYFUNCTION("""COMPUTED_VALUE"""),3627210)</f>
        <v>3627210</v>
      </c>
    </row>
    <row r="182" spans="1:6" x14ac:dyDescent="0.35">
      <c r="A182" s="2">
        <f ca="1">IFERROR(__xludf.DUMMYFUNCTION("""COMPUTED_VALUE"""),42268.6666666666)</f>
        <v>42268.666666666599</v>
      </c>
      <c r="B182" s="1">
        <f ca="1">IFERROR(__xludf.DUMMYFUNCTION("""COMPUTED_VALUE"""),33.28)</f>
        <v>33.28</v>
      </c>
      <c r="C182" s="1">
        <f ca="1">IFERROR(__xludf.DUMMYFUNCTION("""COMPUTED_VALUE"""),33.45)</f>
        <v>33.450000000000003</v>
      </c>
      <c r="D182" s="1">
        <f ca="1">IFERROR(__xludf.DUMMYFUNCTION("""COMPUTED_VALUE"""),32.9)</f>
        <v>32.9</v>
      </c>
      <c r="E182" s="1">
        <f ca="1">IFERROR(__xludf.DUMMYFUNCTION("""COMPUTED_VALUE"""),33.35)</f>
        <v>33.35</v>
      </c>
      <c r="F182" s="1">
        <f ca="1">IFERROR(__xludf.DUMMYFUNCTION("""COMPUTED_VALUE"""),1954667)</f>
        <v>1954667</v>
      </c>
    </row>
    <row r="183" spans="1:6" x14ac:dyDescent="0.35">
      <c r="A183" s="2">
        <f ca="1">IFERROR(__xludf.DUMMYFUNCTION("""COMPUTED_VALUE"""),42269.6666666666)</f>
        <v>42269.666666666599</v>
      </c>
      <c r="B183" s="1">
        <f ca="1">IFERROR(__xludf.DUMMYFUNCTION("""COMPUTED_VALUE"""),32.87)</f>
        <v>32.869999999999997</v>
      </c>
      <c r="C183" s="1">
        <f ca="1">IFERROR(__xludf.DUMMYFUNCTION("""COMPUTED_VALUE"""),32.94)</f>
        <v>32.94</v>
      </c>
      <c r="D183" s="1">
        <f ca="1">IFERROR(__xludf.DUMMYFUNCTION("""COMPUTED_VALUE"""),32.25)</f>
        <v>32.25</v>
      </c>
      <c r="E183" s="1">
        <f ca="1">IFERROR(__xludf.DUMMYFUNCTION("""COMPUTED_VALUE"""),32.66)</f>
        <v>32.659999999999997</v>
      </c>
      <c r="F183" s="1">
        <f ca="1">IFERROR(__xludf.DUMMYFUNCTION("""COMPUTED_VALUE"""),2718081)</f>
        <v>2718081</v>
      </c>
    </row>
    <row r="184" spans="1:6" x14ac:dyDescent="0.35">
      <c r="A184" s="2">
        <f ca="1">IFERROR(__xludf.DUMMYFUNCTION("""COMPUTED_VALUE"""),42270.6666666666)</f>
        <v>42270.666666666599</v>
      </c>
      <c r="B184" s="1">
        <f ca="1">IFERROR(__xludf.DUMMYFUNCTION("""COMPUTED_VALUE"""),32.65)</f>
        <v>32.65</v>
      </c>
      <c r="C184" s="1">
        <f ca="1">IFERROR(__xludf.DUMMYFUNCTION("""COMPUTED_VALUE"""),33.01)</f>
        <v>33.01</v>
      </c>
      <c r="D184" s="1">
        <f ca="1">IFERROR(__xludf.DUMMYFUNCTION("""COMPUTED_VALUE"""),32.54)</f>
        <v>32.54</v>
      </c>
      <c r="E184" s="1">
        <f ca="1">IFERROR(__xludf.DUMMYFUNCTION("""COMPUTED_VALUE"""),32.66)</f>
        <v>32.659999999999997</v>
      </c>
      <c r="F184" s="1">
        <f ca="1">IFERROR(__xludf.DUMMYFUNCTION("""COMPUTED_VALUE"""),1457995)</f>
        <v>1457995</v>
      </c>
    </row>
    <row r="185" spans="1:6" x14ac:dyDescent="0.35">
      <c r="A185" s="2">
        <f ca="1">IFERROR(__xludf.DUMMYFUNCTION("""COMPUTED_VALUE"""),42271.6666666666)</f>
        <v>42271.666666666599</v>
      </c>
      <c r="B185" s="1">
        <f ca="1">IFERROR(__xludf.DUMMYFUNCTION("""COMPUTED_VALUE"""),32.45)</f>
        <v>32.450000000000003</v>
      </c>
      <c r="C185" s="1">
        <f ca="1">IFERROR(__xludf.DUMMYFUNCTION("""COMPUTED_VALUE"""),32.84)</f>
        <v>32.840000000000003</v>
      </c>
      <c r="D185" s="1">
        <f ca="1">IFERROR(__xludf.DUMMYFUNCTION("""COMPUTED_VALUE"""),32.11)</f>
        <v>32.11</v>
      </c>
      <c r="E185" s="1">
        <f ca="1">IFERROR(__xludf.DUMMYFUNCTION("""COMPUTED_VALUE"""),32.75)</f>
        <v>32.75</v>
      </c>
      <c r="F185" s="1">
        <f ca="1">IFERROR(__xludf.DUMMYFUNCTION("""COMPUTED_VALUE"""),1934639)</f>
        <v>1934639</v>
      </c>
    </row>
    <row r="186" spans="1:6" x14ac:dyDescent="0.35">
      <c r="A186" s="2">
        <f ca="1">IFERROR(__xludf.DUMMYFUNCTION("""COMPUTED_VALUE"""),42272.6666666666)</f>
        <v>42272.666666666599</v>
      </c>
      <c r="B186" s="1">
        <f ca="1">IFERROR(__xludf.DUMMYFUNCTION("""COMPUTED_VALUE"""),32.93)</f>
        <v>32.93</v>
      </c>
      <c r="C186" s="1">
        <f ca="1">IFERROR(__xludf.DUMMYFUNCTION("""COMPUTED_VALUE"""),32.93)</f>
        <v>32.93</v>
      </c>
      <c r="D186" s="1">
        <f ca="1">IFERROR(__xludf.DUMMYFUNCTION("""COMPUTED_VALUE"""),31.98)</f>
        <v>31.98</v>
      </c>
      <c r="E186" s="1">
        <f ca="1">IFERROR(__xludf.DUMMYFUNCTION("""COMPUTED_VALUE"""),32.01)</f>
        <v>32.01</v>
      </c>
      <c r="F186" s="1">
        <f ca="1">IFERROR(__xludf.DUMMYFUNCTION("""COMPUTED_VALUE"""),2423992)</f>
        <v>2423992</v>
      </c>
    </row>
    <row r="187" spans="1:6" x14ac:dyDescent="0.35">
      <c r="A187" s="2">
        <f ca="1">IFERROR(__xludf.DUMMYFUNCTION("""COMPUTED_VALUE"""),42275.6666666666)</f>
        <v>42275.666666666599</v>
      </c>
      <c r="B187" s="1">
        <f ca="1">IFERROR(__xludf.DUMMYFUNCTION("""COMPUTED_VALUE"""),31.95)</f>
        <v>31.95</v>
      </c>
      <c r="C187" s="1">
        <f ca="1">IFERROR(__xludf.DUMMYFUNCTION("""COMPUTED_VALUE"""),32.14)</f>
        <v>32.14</v>
      </c>
      <c r="D187" s="1">
        <f ca="1">IFERROR(__xludf.DUMMYFUNCTION("""COMPUTED_VALUE"""),30.89)</f>
        <v>30.89</v>
      </c>
      <c r="E187" s="1">
        <f ca="1">IFERROR(__xludf.DUMMYFUNCTION("""COMPUTED_VALUE"""),31.21)</f>
        <v>31.21</v>
      </c>
      <c r="F187" s="1">
        <f ca="1">IFERROR(__xludf.DUMMYFUNCTION("""COMPUTED_VALUE"""),2382300)</f>
        <v>2382300</v>
      </c>
    </row>
    <row r="188" spans="1:6" x14ac:dyDescent="0.35">
      <c r="A188" s="2">
        <f ca="1">IFERROR(__xludf.DUMMYFUNCTION("""COMPUTED_VALUE"""),42276.6666666666)</f>
        <v>42276.666666666599</v>
      </c>
      <c r="B188" s="1">
        <f ca="1">IFERROR(__xludf.DUMMYFUNCTION("""COMPUTED_VALUE"""),31.28)</f>
        <v>31.28</v>
      </c>
      <c r="C188" s="1">
        <f ca="1">IFERROR(__xludf.DUMMYFUNCTION("""COMPUTED_VALUE"""),31.73)</f>
        <v>31.73</v>
      </c>
      <c r="D188" s="1">
        <f ca="1">IFERROR(__xludf.DUMMYFUNCTION("""COMPUTED_VALUE"""),30.9)</f>
        <v>30.9</v>
      </c>
      <c r="E188" s="1">
        <f ca="1">IFERROR(__xludf.DUMMYFUNCTION("""COMPUTED_VALUE"""),31.13)</f>
        <v>31.13</v>
      </c>
      <c r="F188" s="1">
        <f ca="1">IFERROR(__xludf.DUMMYFUNCTION("""COMPUTED_VALUE"""),2106466)</f>
        <v>2106466</v>
      </c>
    </row>
    <row r="189" spans="1:6" x14ac:dyDescent="0.35">
      <c r="A189" s="2">
        <f ca="1">IFERROR(__xludf.DUMMYFUNCTION("""COMPUTED_VALUE"""),42277.6666666666)</f>
        <v>42277.666666666599</v>
      </c>
      <c r="B189" s="1">
        <f ca="1">IFERROR(__xludf.DUMMYFUNCTION("""COMPUTED_VALUE"""),31.59)</f>
        <v>31.59</v>
      </c>
      <c r="C189" s="1">
        <f ca="1">IFERROR(__xludf.DUMMYFUNCTION("""COMPUTED_VALUE"""),31.97)</f>
        <v>31.97</v>
      </c>
      <c r="D189" s="1">
        <f ca="1">IFERROR(__xludf.DUMMYFUNCTION("""COMPUTED_VALUE"""),31.46)</f>
        <v>31.46</v>
      </c>
      <c r="E189" s="1">
        <f ca="1">IFERROR(__xludf.DUMMYFUNCTION("""COMPUTED_VALUE"""),31.92)</f>
        <v>31.92</v>
      </c>
      <c r="F189" s="1">
        <f ca="1">IFERROR(__xludf.DUMMYFUNCTION("""COMPUTED_VALUE"""),2647655)</f>
        <v>2647655</v>
      </c>
    </row>
    <row r="190" spans="1:6" x14ac:dyDescent="0.35">
      <c r="A190" s="2">
        <f ca="1">IFERROR(__xludf.DUMMYFUNCTION("""COMPUTED_VALUE"""),42278.6666666666)</f>
        <v>42278.666666666599</v>
      </c>
      <c r="B190" s="1">
        <f ca="1">IFERROR(__xludf.DUMMYFUNCTION("""COMPUTED_VALUE"""),31.9)</f>
        <v>31.9</v>
      </c>
      <c r="C190" s="1">
        <f ca="1">IFERROR(__xludf.DUMMYFUNCTION("""COMPUTED_VALUE"""),32.19)</f>
        <v>32.19</v>
      </c>
      <c r="D190" s="1">
        <f ca="1">IFERROR(__xludf.DUMMYFUNCTION("""COMPUTED_VALUE"""),31.56)</f>
        <v>31.56</v>
      </c>
      <c r="E190" s="1">
        <f ca="1">IFERROR(__xludf.DUMMYFUNCTION("""COMPUTED_VALUE"""),32.1)</f>
        <v>32.1</v>
      </c>
      <c r="F190" s="1">
        <f ca="1">IFERROR(__xludf.DUMMYFUNCTION("""COMPUTED_VALUE"""),2125315)</f>
        <v>2125315</v>
      </c>
    </row>
    <row r="191" spans="1:6" x14ac:dyDescent="0.35">
      <c r="A191" s="2">
        <f ca="1">IFERROR(__xludf.DUMMYFUNCTION("""COMPUTED_VALUE"""),42279.6666666666)</f>
        <v>42279.666666666599</v>
      </c>
      <c r="B191" s="1">
        <f ca="1">IFERROR(__xludf.DUMMYFUNCTION("""COMPUTED_VALUE"""),31.9)</f>
        <v>31.9</v>
      </c>
      <c r="C191" s="1">
        <f ca="1">IFERROR(__xludf.DUMMYFUNCTION("""COMPUTED_VALUE"""),32.91)</f>
        <v>32.909999999999997</v>
      </c>
      <c r="D191" s="1">
        <f ca="1">IFERROR(__xludf.DUMMYFUNCTION("""COMPUTED_VALUE"""),31.68)</f>
        <v>31.68</v>
      </c>
      <c r="E191" s="1">
        <f ca="1">IFERROR(__xludf.DUMMYFUNCTION("""COMPUTED_VALUE"""),32.85)</f>
        <v>32.85</v>
      </c>
      <c r="F191" s="1">
        <f ca="1">IFERROR(__xludf.DUMMYFUNCTION("""COMPUTED_VALUE"""),2439435)</f>
        <v>2439435</v>
      </c>
    </row>
    <row r="192" spans="1:6" x14ac:dyDescent="0.35">
      <c r="A192" s="2">
        <f ca="1">IFERROR(__xludf.DUMMYFUNCTION("""COMPUTED_VALUE"""),42282.6666666666)</f>
        <v>42282.666666666599</v>
      </c>
      <c r="B192" s="1">
        <f ca="1">IFERROR(__xludf.DUMMYFUNCTION("""COMPUTED_VALUE"""),33.08)</f>
        <v>33.08</v>
      </c>
      <c r="C192" s="1">
        <f ca="1">IFERROR(__xludf.DUMMYFUNCTION("""COMPUTED_VALUE"""),33.65)</f>
        <v>33.65</v>
      </c>
      <c r="D192" s="1">
        <f ca="1">IFERROR(__xludf.DUMMYFUNCTION("""COMPUTED_VALUE"""),32.79)</f>
        <v>32.79</v>
      </c>
      <c r="E192" s="1">
        <f ca="1">IFERROR(__xludf.DUMMYFUNCTION("""COMPUTED_VALUE"""),33.58)</f>
        <v>33.58</v>
      </c>
      <c r="F192" s="1">
        <f ca="1">IFERROR(__xludf.DUMMYFUNCTION("""COMPUTED_VALUE"""),1898012)</f>
        <v>1898012</v>
      </c>
    </row>
    <row r="193" spans="1:6" x14ac:dyDescent="0.35">
      <c r="A193" s="2">
        <f ca="1">IFERROR(__xludf.DUMMYFUNCTION("""COMPUTED_VALUE"""),42283.6666666666)</f>
        <v>42283.666666666599</v>
      </c>
      <c r="B193" s="1">
        <f ca="1">IFERROR(__xludf.DUMMYFUNCTION("""COMPUTED_VALUE"""),33.47)</f>
        <v>33.47</v>
      </c>
      <c r="C193" s="1">
        <f ca="1">IFERROR(__xludf.DUMMYFUNCTION("""COMPUTED_VALUE"""),33.94)</f>
        <v>33.94</v>
      </c>
      <c r="D193" s="1">
        <f ca="1">IFERROR(__xludf.DUMMYFUNCTION("""COMPUTED_VALUE"""),33.15)</f>
        <v>33.15</v>
      </c>
      <c r="E193" s="1">
        <f ca="1">IFERROR(__xludf.DUMMYFUNCTION("""COMPUTED_VALUE"""),33.58)</f>
        <v>33.58</v>
      </c>
      <c r="F193" s="1">
        <f ca="1">IFERROR(__xludf.DUMMYFUNCTION("""COMPUTED_VALUE"""),2157409)</f>
        <v>2157409</v>
      </c>
    </row>
    <row r="194" spans="1:6" x14ac:dyDescent="0.35">
      <c r="A194" s="2">
        <f ca="1">IFERROR(__xludf.DUMMYFUNCTION("""COMPUTED_VALUE"""),42284.6666666666)</f>
        <v>42284.666666666599</v>
      </c>
      <c r="B194" s="1">
        <f ca="1">IFERROR(__xludf.DUMMYFUNCTION("""COMPUTED_VALUE"""),33.87)</f>
        <v>33.869999999999997</v>
      </c>
      <c r="C194" s="1">
        <f ca="1">IFERROR(__xludf.DUMMYFUNCTION("""COMPUTED_VALUE"""),33.94)</f>
        <v>33.94</v>
      </c>
      <c r="D194" s="1">
        <f ca="1">IFERROR(__xludf.DUMMYFUNCTION("""COMPUTED_VALUE"""),32.91)</f>
        <v>32.909999999999997</v>
      </c>
      <c r="E194" s="1">
        <f ca="1">IFERROR(__xludf.DUMMYFUNCTION("""COMPUTED_VALUE"""),33.5)</f>
        <v>33.5</v>
      </c>
      <c r="F194" s="1">
        <f ca="1">IFERROR(__xludf.DUMMYFUNCTION("""COMPUTED_VALUE"""),2217672)</f>
        <v>2217672</v>
      </c>
    </row>
    <row r="195" spans="1:6" x14ac:dyDescent="0.35">
      <c r="A195" s="2">
        <f ca="1">IFERROR(__xludf.DUMMYFUNCTION("""COMPUTED_VALUE"""),42285.6666666666)</f>
        <v>42285.666666666599</v>
      </c>
      <c r="B195" s="1">
        <f ca="1">IFERROR(__xludf.DUMMYFUNCTION("""COMPUTED_VALUE"""),33.47)</f>
        <v>33.47</v>
      </c>
      <c r="C195" s="1">
        <f ca="1">IFERROR(__xludf.DUMMYFUNCTION("""COMPUTED_VALUE"""),33.59)</f>
        <v>33.590000000000003</v>
      </c>
      <c r="D195" s="1">
        <f ca="1">IFERROR(__xludf.DUMMYFUNCTION("""COMPUTED_VALUE"""),32.72)</f>
        <v>32.72</v>
      </c>
      <c r="E195" s="1">
        <f ca="1">IFERROR(__xludf.DUMMYFUNCTION("""COMPUTED_VALUE"""),33.35)</f>
        <v>33.35</v>
      </c>
      <c r="F195" s="1">
        <f ca="1">IFERROR(__xludf.DUMMYFUNCTION("""COMPUTED_VALUE"""),1965397)</f>
        <v>1965397</v>
      </c>
    </row>
    <row r="196" spans="1:6" x14ac:dyDescent="0.35">
      <c r="A196" s="2">
        <f ca="1">IFERROR(__xludf.DUMMYFUNCTION("""COMPUTED_VALUE"""),42286.6666666666)</f>
        <v>42286.666666666599</v>
      </c>
      <c r="B196" s="1">
        <f ca="1">IFERROR(__xludf.DUMMYFUNCTION("""COMPUTED_VALUE"""),33.37)</f>
        <v>33.369999999999997</v>
      </c>
      <c r="C196" s="1">
        <f ca="1">IFERROR(__xludf.DUMMYFUNCTION("""COMPUTED_VALUE"""),33.7)</f>
        <v>33.700000000000003</v>
      </c>
      <c r="D196" s="1">
        <f ca="1">IFERROR(__xludf.DUMMYFUNCTION("""COMPUTED_VALUE"""),33.12)</f>
        <v>33.119999999999997</v>
      </c>
      <c r="E196" s="1">
        <f ca="1">IFERROR(__xludf.DUMMYFUNCTION("""COMPUTED_VALUE"""),33.56)</f>
        <v>33.56</v>
      </c>
      <c r="F196" s="1">
        <f ca="1">IFERROR(__xludf.DUMMYFUNCTION("""COMPUTED_VALUE"""),1606178)</f>
        <v>1606178</v>
      </c>
    </row>
    <row r="197" spans="1:6" x14ac:dyDescent="0.35">
      <c r="A197" s="2">
        <f ca="1">IFERROR(__xludf.DUMMYFUNCTION("""COMPUTED_VALUE"""),42289.6666666666)</f>
        <v>42289.666666666599</v>
      </c>
      <c r="B197" s="1">
        <f ca="1">IFERROR(__xludf.DUMMYFUNCTION("""COMPUTED_VALUE"""),33.46)</f>
        <v>33.46</v>
      </c>
      <c r="C197" s="1">
        <f ca="1">IFERROR(__xludf.DUMMYFUNCTION("""COMPUTED_VALUE"""),33.9)</f>
        <v>33.9</v>
      </c>
      <c r="D197" s="1">
        <f ca="1">IFERROR(__xludf.DUMMYFUNCTION("""COMPUTED_VALUE"""),33.36)</f>
        <v>33.36</v>
      </c>
      <c r="E197" s="1">
        <f ca="1">IFERROR(__xludf.DUMMYFUNCTION("""COMPUTED_VALUE"""),33.82)</f>
        <v>33.82</v>
      </c>
      <c r="F197" s="1">
        <f ca="1">IFERROR(__xludf.DUMMYFUNCTION("""COMPUTED_VALUE"""),1334225)</f>
        <v>1334225</v>
      </c>
    </row>
    <row r="198" spans="1:6" x14ac:dyDescent="0.35">
      <c r="A198" s="2">
        <f ca="1">IFERROR(__xludf.DUMMYFUNCTION("""COMPUTED_VALUE"""),42290.6666666666)</f>
        <v>42290.666666666599</v>
      </c>
      <c r="B198" s="1">
        <f ca="1">IFERROR(__xludf.DUMMYFUNCTION("""COMPUTED_VALUE"""),33.71)</f>
        <v>33.71</v>
      </c>
      <c r="C198" s="1">
        <f ca="1">IFERROR(__xludf.DUMMYFUNCTION("""COMPUTED_VALUE"""),34.42)</f>
        <v>34.42</v>
      </c>
      <c r="D198" s="1">
        <f ca="1">IFERROR(__xludf.DUMMYFUNCTION("""COMPUTED_VALUE"""),33.66)</f>
        <v>33.659999999999997</v>
      </c>
      <c r="E198" s="1">
        <f ca="1">IFERROR(__xludf.DUMMYFUNCTION("""COMPUTED_VALUE"""),34.16)</f>
        <v>34.159999999999997</v>
      </c>
      <c r="F198" s="1">
        <f ca="1">IFERROR(__xludf.DUMMYFUNCTION("""COMPUTED_VALUE"""),2122338)</f>
        <v>2122338</v>
      </c>
    </row>
    <row r="199" spans="1:6" x14ac:dyDescent="0.35">
      <c r="A199" s="2">
        <f ca="1">IFERROR(__xludf.DUMMYFUNCTION("""COMPUTED_VALUE"""),42291.6666666666)</f>
        <v>42291.666666666599</v>
      </c>
      <c r="B199" s="1">
        <f ca="1">IFERROR(__xludf.DUMMYFUNCTION("""COMPUTED_VALUE"""),34.19)</f>
        <v>34.19</v>
      </c>
      <c r="C199" s="1">
        <f ca="1">IFERROR(__xludf.DUMMYFUNCTION("""COMPUTED_VALUE"""),34.5)</f>
        <v>34.5</v>
      </c>
      <c r="D199" s="1">
        <f ca="1">IFERROR(__xludf.DUMMYFUNCTION("""COMPUTED_VALUE"""),33.95)</f>
        <v>33.950000000000003</v>
      </c>
      <c r="E199" s="1">
        <f ca="1">IFERROR(__xludf.DUMMYFUNCTION("""COMPUTED_VALUE"""),34.02)</f>
        <v>34.020000000000003</v>
      </c>
      <c r="F199" s="1">
        <f ca="1">IFERROR(__xludf.DUMMYFUNCTION("""COMPUTED_VALUE"""),1564582)</f>
        <v>1564582</v>
      </c>
    </row>
    <row r="200" spans="1:6" x14ac:dyDescent="0.35">
      <c r="A200" s="2">
        <f ca="1">IFERROR(__xludf.DUMMYFUNCTION("""COMPUTED_VALUE"""),42292.6666666666)</f>
        <v>42292.666666666599</v>
      </c>
      <c r="B200" s="1">
        <f ca="1">IFERROR(__xludf.DUMMYFUNCTION("""COMPUTED_VALUE"""),34.26)</f>
        <v>34.26</v>
      </c>
      <c r="C200" s="1">
        <f ca="1">IFERROR(__xludf.DUMMYFUNCTION("""COMPUTED_VALUE"""),34.71)</f>
        <v>34.71</v>
      </c>
      <c r="D200" s="1">
        <f ca="1">IFERROR(__xludf.DUMMYFUNCTION("""COMPUTED_VALUE"""),34.22)</f>
        <v>34.22</v>
      </c>
      <c r="E200" s="1">
        <f ca="1">IFERROR(__xludf.DUMMYFUNCTION("""COMPUTED_VALUE"""),34.65)</f>
        <v>34.65</v>
      </c>
      <c r="F200" s="1">
        <f ca="1">IFERROR(__xludf.DUMMYFUNCTION("""COMPUTED_VALUE"""),2357829)</f>
        <v>2357829</v>
      </c>
    </row>
    <row r="201" spans="1:6" x14ac:dyDescent="0.35">
      <c r="A201" s="2">
        <f ca="1">IFERROR(__xludf.DUMMYFUNCTION("""COMPUTED_VALUE"""),42293.6666666666)</f>
        <v>42293.666666666599</v>
      </c>
      <c r="B201" s="1">
        <f ca="1">IFERROR(__xludf.DUMMYFUNCTION("""COMPUTED_VALUE"""),34.77)</f>
        <v>34.770000000000003</v>
      </c>
      <c r="C201" s="1">
        <f ca="1">IFERROR(__xludf.DUMMYFUNCTION("""COMPUTED_VALUE"""),34.81)</f>
        <v>34.81</v>
      </c>
      <c r="D201" s="1">
        <f ca="1">IFERROR(__xludf.DUMMYFUNCTION("""COMPUTED_VALUE"""),34.46)</f>
        <v>34.46</v>
      </c>
      <c r="E201" s="1">
        <f ca="1">IFERROR(__xludf.DUMMYFUNCTION("""COMPUTED_VALUE"""),34.77)</f>
        <v>34.770000000000003</v>
      </c>
      <c r="F201" s="1">
        <f ca="1">IFERROR(__xludf.DUMMYFUNCTION("""COMPUTED_VALUE"""),1815759)</f>
        <v>1815759</v>
      </c>
    </row>
    <row r="202" spans="1:6" x14ac:dyDescent="0.35">
      <c r="A202" s="2">
        <f ca="1">IFERROR(__xludf.DUMMYFUNCTION("""COMPUTED_VALUE"""),42296.6666666666)</f>
        <v>42296.666666666599</v>
      </c>
      <c r="B202" s="1">
        <f ca="1">IFERROR(__xludf.DUMMYFUNCTION("""COMPUTED_VALUE"""),34.7)</f>
        <v>34.700000000000003</v>
      </c>
      <c r="C202" s="1">
        <f ca="1">IFERROR(__xludf.DUMMYFUNCTION("""COMPUTED_VALUE"""),35.01)</f>
        <v>35.01</v>
      </c>
      <c r="D202" s="1">
        <f ca="1">IFERROR(__xludf.DUMMYFUNCTION("""COMPUTED_VALUE"""),34.61)</f>
        <v>34.61</v>
      </c>
      <c r="E202" s="1">
        <f ca="1">IFERROR(__xludf.DUMMYFUNCTION("""COMPUTED_VALUE"""),35)</f>
        <v>35</v>
      </c>
      <c r="F202" s="1">
        <f ca="1">IFERROR(__xludf.DUMMYFUNCTION("""COMPUTED_VALUE"""),1508585)</f>
        <v>1508585</v>
      </c>
    </row>
    <row r="203" spans="1:6" x14ac:dyDescent="0.35">
      <c r="A203" s="2">
        <f ca="1">IFERROR(__xludf.DUMMYFUNCTION("""COMPUTED_VALUE"""),42297.6666666666)</f>
        <v>42297.666666666599</v>
      </c>
      <c r="B203" s="1">
        <f ca="1">IFERROR(__xludf.DUMMYFUNCTION("""COMPUTED_VALUE"""),34.89)</f>
        <v>34.89</v>
      </c>
      <c r="C203" s="1">
        <f ca="1">IFERROR(__xludf.DUMMYFUNCTION("""COMPUTED_VALUE"""),34.9)</f>
        <v>34.9</v>
      </c>
      <c r="D203" s="1">
        <f ca="1">IFERROR(__xludf.DUMMYFUNCTION("""COMPUTED_VALUE"""),33.68)</f>
        <v>33.68</v>
      </c>
      <c r="E203" s="1">
        <f ca="1">IFERROR(__xludf.DUMMYFUNCTION("""COMPUTED_VALUE"""),34)</f>
        <v>34</v>
      </c>
      <c r="F203" s="1">
        <f ca="1">IFERROR(__xludf.DUMMYFUNCTION("""COMPUTED_VALUE"""),2621719)</f>
        <v>2621719</v>
      </c>
    </row>
    <row r="204" spans="1:6" x14ac:dyDescent="0.35">
      <c r="A204" s="2">
        <f ca="1">IFERROR(__xludf.DUMMYFUNCTION("""COMPUTED_VALUE"""),42298.6666666666)</f>
        <v>42298.666666666599</v>
      </c>
      <c r="B204" s="1">
        <f ca="1">IFERROR(__xludf.DUMMYFUNCTION("""COMPUTED_VALUE"""),34.16)</f>
        <v>34.159999999999997</v>
      </c>
      <c r="C204" s="1">
        <f ca="1">IFERROR(__xludf.DUMMYFUNCTION("""COMPUTED_VALUE"""),34.24)</f>
        <v>34.24</v>
      </c>
      <c r="D204" s="1">
        <f ca="1">IFERROR(__xludf.DUMMYFUNCTION("""COMPUTED_VALUE"""),33.53)</f>
        <v>33.53</v>
      </c>
      <c r="E204" s="1">
        <f ca="1">IFERROR(__xludf.DUMMYFUNCTION("""COMPUTED_VALUE"""),33.59)</f>
        <v>33.590000000000003</v>
      </c>
      <c r="F204" s="1">
        <f ca="1">IFERROR(__xludf.DUMMYFUNCTION("""COMPUTED_VALUE"""),1608436)</f>
        <v>1608436</v>
      </c>
    </row>
    <row r="205" spans="1:6" x14ac:dyDescent="0.35">
      <c r="A205" s="2">
        <f ca="1">IFERROR(__xludf.DUMMYFUNCTION("""COMPUTED_VALUE"""),42299.6666666666)</f>
        <v>42299.666666666599</v>
      </c>
      <c r="B205" s="1">
        <f ca="1">IFERROR(__xludf.DUMMYFUNCTION("""COMPUTED_VALUE"""),33.77)</f>
        <v>33.770000000000003</v>
      </c>
      <c r="C205" s="1">
        <f ca="1">IFERROR(__xludf.DUMMYFUNCTION("""COMPUTED_VALUE"""),34.4)</f>
        <v>34.4</v>
      </c>
      <c r="D205" s="1">
        <f ca="1">IFERROR(__xludf.DUMMYFUNCTION("""COMPUTED_VALUE"""),33.59)</f>
        <v>33.590000000000003</v>
      </c>
      <c r="E205" s="1">
        <f ca="1">IFERROR(__xludf.DUMMYFUNCTION("""COMPUTED_VALUE"""),34.06)</f>
        <v>34.06</v>
      </c>
      <c r="F205" s="1">
        <f ca="1">IFERROR(__xludf.DUMMYFUNCTION("""COMPUTED_VALUE"""),4431595)</f>
        <v>4431595</v>
      </c>
    </row>
    <row r="206" spans="1:6" x14ac:dyDescent="0.35">
      <c r="A206" s="2">
        <f ca="1">IFERROR(__xludf.DUMMYFUNCTION("""COMPUTED_VALUE"""),42300.6666666666)</f>
        <v>42300.666666666599</v>
      </c>
      <c r="B206" s="1">
        <f ca="1">IFERROR(__xludf.DUMMYFUNCTION("""COMPUTED_VALUE"""),37.5)</f>
        <v>37.5</v>
      </c>
      <c r="C206" s="1">
        <f ca="1">IFERROR(__xludf.DUMMYFUNCTION("""COMPUTED_VALUE"""),37.63)</f>
        <v>37.630000000000003</v>
      </c>
      <c r="D206" s="1">
        <f ca="1">IFERROR(__xludf.DUMMYFUNCTION("""COMPUTED_VALUE"""),35.9)</f>
        <v>35.9</v>
      </c>
      <c r="E206" s="1">
        <f ca="1">IFERROR(__xludf.DUMMYFUNCTION("""COMPUTED_VALUE"""),35.97)</f>
        <v>35.97</v>
      </c>
      <c r="F206" s="1">
        <f ca="1">IFERROR(__xludf.DUMMYFUNCTION("""COMPUTED_VALUE"""),6336319)</f>
        <v>6336319</v>
      </c>
    </row>
    <row r="207" spans="1:6" x14ac:dyDescent="0.35">
      <c r="A207" s="2">
        <f ca="1">IFERROR(__xludf.DUMMYFUNCTION("""COMPUTED_VALUE"""),42303.6666666666)</f>
        <v>42303.666666666599</v>
      </c>
      <c r="B207" s="1">
        <f ca="1">IFERROR(__xludf.DUMMYFUNCTION("""COMPUTED_VALUE"""),36)</f>
        <v>36</v>
      </c>
      <c r="C207" s="1">
        <f ca="1">IFERROR(__xludf.DUMMYFUNCTION("""COMPUTED_VALUE"""),36.75)</f>
        <v>36.75</v>
      </c>
      <c r="D207" s="1">
        <f ca="1">IFERROR(__xludf.DUMMYFUNCTION("""COMPUTED_VALUE"""),36)</f>
        <v>36</v>
      </c>
      <c r="E207" s="1">
        <f ca="1">IFERROR(__xludf.DUMMYFUNCTION("""COMPUTED_VALUE"""),36.56)</f>
        <v>36.56</v>
      </c>
      <c r="F207" s="1">
        <f ca="1">IFERROR(__xludf.DUMMYFUNCTION("""COMPUTED_VALUE"""),2438847)</f>
        <v>2438847</v>
      </c>
    </row>
    <row r="208" spans="1:6" x14ac:dyDescent="0.35">
      <c r="A208" s="2">
        <f ca="1">IFERROR(__xludf.DUMMYFUNCTION("""COMPUTED_VALUE"""),42304.6666666666)</f>
        <v>42304.666666666599</v>
      </c>
      <c r="B208" s="1">
        <f ca="1">IFERROR(__xludf.DUMMYFUNCTION("""COMPUTED_VALUE"""),36.33)</f>
        <v>36.33</v>
      </c>
      <c r="C208" s="1">
        <f ca="1">IFERROR(__xludf.DUMMYFUNCTION("""COMPUTED_VALUE"""),36.8)</f>
        <v>36.799999999999997</v>
      </c>
      <c r="D208" s="1">
        <f ca="1">IFERROR(__xludf.DUMMYFUNCTION("""COMPUTED_VALUE"""),36.21)</f>
        <v>36.21</v>
      </c>
      <c r="E208" s="1">
        <f ca="1">IFERROR(__xludf.DUMMYFUNCTION("""COMPUTED_VALUE"""),36.64)</f>
        <v>36.64</v>
      </c>
      <c r="F208" s="1">
        <f ca="1">IFERROR(__xludf.DUMMYFUNCTION("""COMPUTED_VALUE"""),1938916)</f>
        <v>1938916</v>
      </c>
    </row>
    <row r="209" spans="1:6" x14ac:dyDescent="0.35">
      <c r="A209" s="2">
        <f ca="1">IFERROR(__xludf.DUMMYFUNCTION("""COMPUTED_VALUE"""),42305.6666666666)</f>
        <v>42305.666666666599</v>
      </c>
      <c r="B209" s="1">
        <f ca="1">IFERROR(__xludf.DUMMYFUNCTION("""COMPUTED_VALUE"""),36.65)</f>
        <v>36.65</v>
      </c>
      <c r="C209" s="1">
        <f ca="1">IFERROR(__xludf.DUMMYFUNCTION("""COMPUTED_VALUE"""),36.87)</f>
        <v>36.869999999999997</v>
      </c>
      <c r="D209" s="1">
        <f ca="1">IFERROR(__xludf.DUMMYFUNCTION("""COMPUTED_VALUE"""),36.36)</f>
        <v>36.36</v>
      </c>
      <c r="E209" s="1">
        <f ca="1">IFERROR(__xludf.DUMMYFUNCTION("""COMPUTED_VALUE"""),36.85)</f>
        <v>36.85</v>
      </c>
      <c r="F209" s="1">
        <f ca="1">IFERROR(__xludf.DUMMYFUNCTION("""COMPUTED_VALUE"""),1980154)</f>
        <v>1980154</v>
      </c>
    </row>
    <row r="210" spans="1:6" x14ac:dyDescent="0.35">
      <c r="A210" s="2">
        <f ca="1">IFERROR(__xludf.DUMMYFUNCTION("""COMPUTED_VALUE"""),42306.6666666666)</f>
        <v>42306.666666666599</v>
      </c>
      <c r="B210" s="1">
        <f ca="1">IFERROR(__xludf.DUMMYFUNCTION("""COMPUTED_VALUE"""),36.83)</f>
        <v>36.83</v>
      </c>
      <c r="C210" s="1">
        <f ca="1">IFERROR(__xludf.DUMMYFUNCTION("""COMPUTED_VALUE"""),37.34)</f>
        <v>37.340000000000003</v>
      </c>
      <c r="D210" s="1">
        <f ca="1">IFERROR(__xludf.DUMMYFUNCTION("""COMPUTED_VALUE"""),36.76)</f>
        <v>36.76</v>
      </c>
      <c r="E210" s="1">
        <f ca="1">IFERROR(__xludf.DUMMYFUNCTION("""COMPUTED_VALUE"""),37.24)</f>
        <v>37.24</v>
      </c>
      <c r="F210" s="1">
        <f ca="1">IFERROR(__xludf.DUMMYFUNCTION("""COMPUTED_VALUE"""),1825957)</f>
        <v>1825957</v>
      </c>
    </row>
    <row r="211" spans="1:6" x14ac:dyDescent="0.35">
      <c r="A211" s="2">
        <f ca="1">IFERROR(__xludf.DUMMYFUNCTION("""COMPUTED_VALUE"""),42307.6666666666)</f>
        <v>42307.666666666599</v>
      </c>
      <c r="B211" s="1">
        <f ca="1">IFERROR(__xludf.DUMMYFUNCTION("""COMPUTED_VALUE"""),37.28)</f>
        <v>37.28</v>
      </c>
      <c r="C211" s="1">
        <f ca="1">IFERROR(__xludf.DUMMYFUNCTION("""COMPUTED_VALUE"""),37.32)</f>
        <v>37.32</v>
      </c>
      <c r="D211" s="1">
        <f ca="1">IFERROR(__xludf.DUMMYFUNCTION("""COMPUTED_VALUE"""),36.83)</f>
        <v>36.83</v>
      </c>
      <c r="E211" s="1">
        <f ca="1">IFERROR(__xludf.DUMMYFUNCTION("""COMPUTED_VALUE"""),36.87)</f>
        <v>36.869999999999997</v>
      </c>
      <c r="F211" s="1">
        <f ca="1">IFERROR(__xludf.DUMMYFUNCTION("""COMPUTED_VALUE"""),1999161)</f>
        <v>1999161</v>
      </c>
    </row>
    <row r="212" spans="1:6" x14ac:dyDescent="0.35">
      <c r="A212" s="2">
        <f ca="1">IFERROR(__xludf.DUMMYFUNCTION("""COMPUTED_VALUE"""),42310.6666666666)</f>
        <v>42310.666666666599</v>
      </c>
      <c r="B212" s="1">
        <f ca="1">IFERROR(__xludf.DUMMYFUNCTION("""COMPUTED_VALUE"""),36.89)</f>
        <v>36.89</v>
      </c>
      <c r="C212" s="1">
        <f ca="1">IFERROR(__xludf.DUMMYFUNCTION("""COMPUTED_VALUE"""),37.41)</f>
        <v>37.409999999999997</v>
      </c>
      <c r="D212" s="1">
        <f ca="1">IFERROR(__xludf.DUMMYFUNCTION("""COMPUTED_VALUE"""),36.57)</f>
        <v>36.57</v>
      </c>
      <c r="E212" s="1">
        <f ca="1">IFERROR(__xludf.DUMMYFUNCTION("""COMPUTED_VALUE"""),37.39)</f>
        <v>37.39</v>
      </c>
      <c r="F212" s="1">
        <f ca="1">IFERROR(__xludf.DUMMYFUNCTION("""COMPUTED_VALUE"""),1995708)</f>
        <v>1995708</v>
      </c>
    </row>
    <row r="213" spans="1:6" x14ac:dyDescent="0.35">
      <c r="A213" s="2">
        <f ca="1">IFERROR(__xludf.DUMMYFUNCTION("""COMPUTED_VALUE"""),42311.6666666666)</f>
        <v>42311.666666666599</v>
      </c>
      <c r="B213" s="1">
        <f ca="1">IFERROR(__xludf.DUMMYFUNCTION("""COMPUTED_VALUE"""),37.27)</f>
        <v>37.270000000000003</v>
      </c>
      <c r="C213" s="1">
        <f ca="1">IFERROR(__xludf.DUMMYFUNCTION("""COMPUTED_VALUE"""),37.58)</f>
        <v>37.58</v>
      </c>
      <c r="D213" s="1">
        <f ca="1">IFERROR(__xludf.DUMMYFUNCTION("""COMPUTED_VALUE"""),37.06)</f>
        <v>37.06</v>
      </c>
      <c r="E213" s="1">
        <f ca="1">IFERROR(__xludf.DUMMYFUNCTION("""COMPUTED_VALUE"""),37.44)</f>
        <v>37.44</v>
      </c>
      <c r="F213" s="1">
        <f ca="1">IFERROR(__xludf.DUMMYFUNCTION("""COMPUTED_VALUE"""),1815300)</f>
        <v>1815300</v>
      </c>
    </row>
    <row r="214" spans="1:6" x14ac:dyDescent="0.35">
      <c r="A214" s="2">
        <f ca="1">IFERROR(__xludf.DUMMYFUNCTION("""COMPUTED_VALUE"""),42312.6666666666)</f>
        <v>42312.666666666599</v>
      </c>
      <c r="B214" s="1">
        <f ca="1">IFERROR(__xludf.DUMMYFUNCTION("""COMPUTED_VALUE"""),37.49)</f>
        <v>37.49</v>
      </c>
      <c r="C214" s="1">
        <f ca="1">IFERROR(__xludf.DUMMYFUNCTION("""COMPUTED_VALUE"""),37.99)</f>
        <v>37.99</v>
      </c>
      <c r="D214" s="1">
        <f ca="1">IFERROR(__xludf.DUMMYFUNCTION("""COMPUTED_VALUE"""),37.46)</f>
        <v>37.46</v>
      </c>
      <c r="E214" s="1">
        <f ca="1">IFERROR(__xludf.DUMMYFUNCTION("""COMPUTED_VALUE"""),37.77)</f>
        <v>37.770000000000003</v>
      </c>
      <c r="F214" s="1">
        <f ca="1">IFERROR(__xludf.DUMMYFUNCTION("""COMPUTED_VALUE"""),2091999)</f>
        <v>2091999</v>
      </c>
    </row>
    <row r="215" spans="1:6" x14ac:dyDescent="0.35">
      <c r="A215" s="2">
        <f ca="1">IFERROR(__xludf.DUMMYFUNCTION("""COMPUTED_VALUE"""),42313.6666666666)</f>
        <v>42313.666666666599</v>
      </c>
      <c r="B215" s="1">
        <f ca="1">IFERROR(__xludf.DUMMYFUNCTION("""COMPUTED_VALUE"""),37.94)</f>
        <v>37.94</v>
      </c>
      <c r="C215" s="1">
        <f ca="1">IFERROR(__xludf.DUMMYFUNCTION("""COMPUTED_VALUE"""),38.32)</f>
        <v>38.32</v>
      </c>
      <c r="D215" s="1">
        <f ca="1">IFERROR(__xludf.DUMMYFUNCTION("""COMPUTED_VALUE"""),37.87)</f>
        <v>37.869999999999997</v>
      </c>
      <c r="E215" s="1">
        <f ca="1">IFERROR(__xludf.DUMMYFUNCTION("""COMPUTED_VALUE"""),38.03)</f>
        <v>38.03</v>
      </c>
      <c r="F215" s="1">
        <f ca="1">IFERROR(__xludf.DUMMYFUNCTION("""COMPUTED_VALUE"""),2274314)</f>
        <v>2274314</v>
      </c>
    </row>
    <row r="216" spans="1:6" x14ac:dyDescent="0.35">
      <c r="A216" s="2">
        <f ca="1">IFERROR(__xludf.DUMMYFUNCTION("""COMPUTED_VALUE"""),42314.6666666666)</f>
        <v>42314.666666666599</v>
      </c>
      <c r="B216" s="1">
        <f ca="1">IFERROR(__xludf.DUMMYFUNCTION("""COMPUTED_VALUE"""),37.97)</f>
        <v>37.97</v>
      </c>
      <c r="C216" s="1">
        <f ca="1">IFERROR(__xludf.DUMMYFUNCTION("""COMPUTED_VALUE"""),38.15)</f>
        <v>38.15</v>
      </c>
      <c r="D216" s="1">
        <f ca="1">IFERROR(__xludf.DUMMYFUNCTION("""COMPUTED_VALUE"""),37.75)</f>
        <v>37.75</v>
      </c>
      <c r="E216" s="1">
        <f ca="1">IFERROR(__xludf.DUMMYFUNCTION("""COMPUTED_VALUE"""),38.08)</f>
        <v>38.08</v>
      </c>
      <c r="F216" s="1">
        <f ca="1">IFERROR(__xludf.DUMMYFUNCTION("""COMPUTED_VALUE"""),1677199)</f>
        <v>1677199</v>
      </c>
    </row>
    <row r="217" spans="1:6" x14ac:dyDescent="0.35">
      <c r="A217" s="2">
        <f ca="1">IFERROR(__xludf.DUMMYFUNCTION("""COMPUTED_VALUE"""),42317.6666666666)</f>
        <v>42317.666666666599</v>
      </c>
      <c r="B217" s="1">
        <f ca="1">IFERROR(__xludf.DUMMYFUNCTION("""COMPUTED_VALUE"""),37.93)</f>
        <v>37.93</v>
      </c>
      <c r="C217" s="1">
        <f ca="1">IFERROR(__xludf.DUMMYFUNCTION("""COMPUTED_VALUE"""),38.17)</f>
        <v>38.17</v>
      </c>
      <c r="D217" s="1">
        <f ca="1">IFERROR(__xludf.DUMMYFUNCTION("""COMPUTED_VALUE"""),37.46)</f>
        <v>37.46</v>
      </c>
      <c r="E217" s="1">
        <f ca="1">IFERROR(__xludf.DUMMYFUNCTION("""COMPUTED_VALUE"""),37.74)</f>
        <v>37.74</v>
      </c>
      <c r="F217" s="1">
        <f ca="1">IFERROR(__xludf.DUMMYFUNCTION("""COMPUTED_VALUE"""),1776861)</f>
        <v>1776861</v>
      </c>
    </row>
    <row r="218" spans="1:6" x14ac:dyDescent="0.35">
      <c r="A218" s="2">
        <f ca="1">IFERROR(__xludf.DUMMYFUNCTION("""COMPUTED_VALUE"""),42318.6666666666)</f>
        <v>42318.666666666599</v>
      </c>
      <c r="B218" s="1">
        <f ca="1">IFERROR(__xludf.DUMMYFUNCTION("""COMPUTED_VALUE"""),37.67)</f>
        <v>37.67</v>
      </c>
      <c r="C218" s="1">
        <f ca="1">IFERROR(__xludf.DUMMYFUNCTION("""COMPUTED_VALUE"""),38.03)</f>
        <v>38.03</v>
      </c>
      <c r="D218" s="1">
        <f ca="1">IFERROR(__xludf.DUMMYFUNCTION("""COMPUTED_VALUE"""),37.42)</f>
        <v>37.42</v>
      </c>
      <c r="E218" s="1">
        <f ca="1">IFERROR(__xludf.DUMMYFUNCTION("""COMPUTED_VALUE"""),37.91)</f>
        <v>37.909999999999997</v>
      </c>
      <c r="F218" s="1">
        <f ca="1">IFERROR(__xludf.DUMMYFUNCTION("""COMPUTED_VALUE"""),1489929)</f>
        <v>1489929</v>
      </c>
    </row>
    <row r="219" spans="1:6" x14ac:dyDescent="0.35">
      <c r="A219" s="2">
        <f ca="1">IFERROR(__xludf.DUMMYFUNCTION("""COMPUTED_VALUE"""),42319.6666666666)</f>
        <v>42319.666666666599</v>
      </c>
      <c r="B219" s="1">
        <f ca="1">IFERROR(__xludf.DUMMYFUNCTION("""COMPUTED_VALUE"""),38.12)</f>
        <v>38.119999999999997</v>
      </c>
      <c r="C219" s="1">
        <f ca="1">IFERROR(__xludf.DUMMYFUNCTION("""COMPUTED_VALUE"""),38.45)</f>
        <v>38.450000000000003</v>
      </c>
      <c r="D219" s="1">
        <f ca="1">IFERROR(__xludf.DUMMYFUNCTION("""COMPUTED_VALUE"""),37.99)</f>
        <v>37.99</v>
      </c>
      <c r="E219" s="1">
        <f ca="1">IFERROR(__xludf.DUMMYFUNCTION("""COMPUTED_VALUE"""),38.26)</f>
        <v>38.26</v>
      </c>
      <c r="F219" s="1">
        <f ca="1">IFERROR(__xludf.DUMMYFUNCTION("""COMPUTED_VALUE"""),2095922)</f>
        <v>2095922</v>
      </c>
    </row>
    <row r="220" spans="1:6" x14ac:dyDescent="0.35">
      <c r="A220" s="2">
        <f ca="1">IFERROR(__xludf.DUMMYFUNCTION("""COMPUTED_VALUE"""),42320.6666666666)</f>
        <v>42320.666666666599</v>
      </c>
      <c r="B220" s="1">
        <f ca="1">IFERROR(__xludf.DUMMYFUNCTION("""COMPUTED_VALUE"""),38.01)</f>
        <v>38.01</v>
      </c>
      <c r="C220" s="1">
        <f ca="1">IFERROR(__xludf.DUMMYFUNCTION("""COMPUTED_VALUE"""),38.29)</f>
        <v>38.29</v>
      </c>
      <c r="D220" s="1">
        <f ca="1">IFERROR(__xludf.DUMMYFUNCTION("""COMPUTED_VALUE"""),37.79)</f>
        <v>37.79</v>
      </c>
      <c r="E220" s="1">
        <f ca="1">IFERROR(__xludf.DUMMYFUNCTION("""COMPUTED_VALUE"""),37.83)</f>
        <v>37.83</v>
      </c>
      <c r="F220" s="1">
        <f ca="1">IFERROR(__xludf.DUMMYFUNCTION("""COMPUTED_VALUE"""),1772555)</f>
        <v>1772555</v>
      </c>
    </row>
    <row r="221" spans="1:6" x14ac:dyDescent="0.35">
      <c r="A221" s="2">
        <f ca="1">IFERROR(__xludf.DUMMYFUNCTION("""COMPUTED_VALUE"""),42321.6666666666)</f>
        <v>42321.666666666599</v>
      </c>
      <c r="B221" s="1">
        <f ca="1">IFERROR(__xludf.DUMMYFUNCTION("""COMPUTED_VALUE"""),37.7)</f>
        <v>37.700000000000003</v>
      </c>
      <c r="C221" s="1">
        <f ca="1">IFERROR(__xludf.DUMMYFUNCTION("""COMPUTED_VALUE"""),37.77)</f>
        <v>37.770000000000003</v>
      </c>
      <c r="D221" s="1">
        <f ca="1">IFERROR(__xludf.DUMMYFUNCTION("""COMPUTED_VALUE"""),36.97)</f>
        <v>36.97</v>
      </c>
      <c r="E221" s="1">
        <f ca="1">IFERROR(__xludf.DUMMYFUNCTION("""COMPUTED_VALUE"""),37)</f>
        <v>37</v>
      </c>
      <c r="F221" s="1">
        <f ca="1">IFERROR(__xludf.DUMMYFUNCTION("""COMPUTED_VALUE"""),2409363)</f>
        <v>2409363</v>
      </c>
    </row>
    <row r="222" spans="1:6" x14ac:dyDescent="0.35">
      <c r="A222" s="2">
        <f ca="1">IFERROR(__xludf.DUMMYFUNCTION("""COMPUTED_VALUE"""),42324.6666666666)</f>
        <v>42324.666666666599</v>
      </c>
      <c r="B222" s="1">
        <f ca="1">IFERROR(__xludf.DUMMYFUNCTION("""COMPUTED_VALUE"""),37.01)</f>
        <v>37.01</v>
      </c>
      <c r="C222" s="1">
        <f ca="1">IFERROR(__xludf.DUMMYFUNCTION("""COMPUTED_VALUE"""),37.59)</f>
        <v>37.590000000000003</v>
      </c>
      <c r="D222" s="1">
        <f ca="1">IFERROR(__xludf.DUMMYFUNCTION("""COMPUTED_VALUE"""),36.72)</f>
        <v>36.72</v>
      </c>
      <c r="E222" s="1">
        <f ca="1">IFERROR(__xludf.DUMMYFUNCTION("""COMPUTED_VALUE"""),37.52)</f>
        <v>37.520000000000003</v>
      </c>
      <c r="F222" s="1">
        <f ca="1">IFERROR(__xludf.DUMMYFUNCTION("""COMPUTED_VALUE"""),2535198)</f>
        <v>2535198</v>
      </c>
    </row>
    <row r="223" spans="1:6" x14ac:dyDescent="0.35">
      <c r="A223" s="2">
        <f ca="1">IFERROR(__xludf.DUMMYFUNCTION("""COMPUTED_VALUE"""),42325.6666666666)</f>
        <v>42325.666666666599</v>
      </c>
      <c r="B223" s="1">
        <f ca="1">IFERROR(__xludf.DUMMYFUNCTION("""COMPUTED_VALUE"""),37.62)</f>
        <v>37.619999999999997</v>
      </c>
      <c r="C223" s="1">
        <f ca="1">IFERROR(__xludf.DUMMYFUNCTION("""COMPUTED_VALUE"""),37.75)</f>
        <v>37.75</v>
      </c>
      <c r="D223" s="1">
        <f ca="1">IFERROR(__xludf.DUMMYFUNCTION("""COMPUTED_VALUE"""),37.2)</f>
        <v>37.200000000000003</v>
      </c>
      <c r="E223" s="1">
        <f ca="1">IFERROR(__xludf.DUMMYFUNCTION("""COMPUTED_VALUE"""),37.3)</f>
        <v>37.299999999999997</v>
      </c>
      <c r="F223" s="1">
        <f ca="1">IFERROR(__xludf.DUMMYFUNCTION("""COMPUTED_VALUE"""),1943156)</f>
        <v>1943156</v>
      </c>
    </row>
    <row r="224" spans="1:6" x14ac:dyDescent="0.35">
      <c r="A224" s="2">
        <f ca="1">IFERROR(__xludf.DUMMYFUNCTION("""COMPUTED_VALUE"""),42326.6666666666)</f>
        <v>42326.666666666599</v>
      </c>
      <c r="B224" s="1">
        <f ca="1">IFERROR(__xludf.DUMMYFUNCTION("""COMPUTED_VALUE"""),37.48)</f>
        <v>37.479999999999997</v>
      </c>
      <c r="C224" s="1">
        <f ca="1">IFERROR(__xludf.DUMMYFUNCTION("""COMPUTED_VALUE"""),38.06)</f>
        <v>38.06</v>
      </c>
      <c r="D224" s="1">
        <f ca="1">IFERROR(__xludf.DUMMYFUNCTION("""COMPUTED_VALUE"""),37.37)</f>
        <v>37.369999999999997</v>
      </c>
      <c r="E224" s="1">
        <f ca="1">IFERROR(__xludf.DUMMYFUNCTION("""COMPUTED_VALUE"""),38)</f>
        <v>38</v>
      </c>
      <c r="F224" s="1">
        <f ca="1">IFERROR(__xludf.DUMMYFUNCTION("""COMPUTED_VALUE"""),1813336)</f>
        <v>1813336</v>
      </c>
    </row>
    <row r="225" spans="1:6" x14ac:dyDescent="0.35">
      <c r="A225" s="2">
        <f ca="1">IFERROR(__xludf.DUMMYFUNCTION("""COMPUTED_VALUE"""),42327.6666666666)</f>
        <v>42327.666666666599</v>
      </c>
      <c r="B225" s="1">
        <f ca="1">IFERROR(__xludf.DUMMYFUNCTION("""COMPUTED_VALUE"""),37.99)</f>
        <v>37.99</v>
      </c>
      <c r="C225" s="1">
        <f ca="1">IFERROR(__xludf.DUMMYFUNCTION("""COMPUTED_VALUE"""),38.16)</f>
        <v>38.159999999999997</v>
      </c>
      <c r="D225" s="1">
        <f ca="1">IFERROR(__xludf.DUMMYFUNCTION("""COMPUTED_VALUE"""),37.86)</f>
        <v>37.86</v>
      </c>
      <c r="E225" s="1">
        <f ca="1">IFERROR(__xludf.DUMMYFUNCTION("""COMPUTED_VALUE"""),38)</f>
        <v>38</v>
      </c>
      <c r="F225" s="1">
        <f ca="1">IFERROR(__xludf.DUMMYFUNCTION("""COMPUTED_VALUE"""),1403913)</f>
        <v>1403913</v>
      </c>
    </row>
    <row r="226" spans="1:6" x14ac:dyDescent="0.35">
      <c r="A226" s="2">
        <f ca="1">IFERROR(__xludf.DUMMYFUNCTION("""COMPUTED_VALUE"""),42328.6666666666)</f>
        <v>42328.666666666599</v>
      </c>
      <c r="B226" s="1">
        <f ca="1">IFERROR(__xludf.DUMMYFUNCTION("""COMPUTED_VALUE"""),38.47)</f>
        <v>38.47</v>
      </c>
      <c r="C226" s="1">
        <f ca="1">IFERROR(__xludf.DUMMYFUNCTION("""COMPUTED_VALUE"""),38.97)</f>
        <v>38.97</v>
      </c>
      <c r="D226" s="1">
        <f ca="1">IFERROR(__xludf.DUMMYFUNCTION("""COMPUTED_VALUE"""),38.21)</f>
        <v>38.21</v>
      </c>
      <c r="E226" s="1">
        <f ca="1">IFERROR(__xludf.DUMMYFUNCTION("""COMPUTED_VALUE"""),38.85)</f>
        <v>38.85</v>
      </c>
      <c r="F226" s="1">
        <f ca="1">IFERROR(__xludf.DUMMYFUNCTION("""COMPUTED_VALUE"""),2773944)</f>
        <v>2773944</v>
      </c>
    </row>
    <row r="227" spans="1:6" x14ac:dyDescent="0.35">
      <c r="A227" s="2">
        <f ca="1">IFERROR(__xludf.DUMMYFUNCTION("""COMPUTED_VALUE"""),42331.6666666666)</f>
        <v>42331.666666666599</v>
      </c>
      <c r="B227" s="1">
        <f ca="1">IFERROR(__xludf.DUMMYFUNCTION("""COMPUTED_VALUE"""),38.87)</f>
        <v>38.869999999999997</v>
      </c>
      <c r="C227" s="1">
        <f ca="1">IFERROR(__xludf.DUMMYFUNCTION("""COMPUTED_VALUE"""),39.15)</f>
        <v>39.15</v>
      </c>
      <c r="D227" s="1">
        <f ca="1">IFERROR(__xludf.DUMMYFUNCTION("""COMPUTED_VALUE"""),38.68)</f>
        <v>38.68</v>
      </c>
      <c r="E227" s="1">
        <f ca="1">IFERROR(__xludf.DUMMYFUNCTION("""COMPUTED_VALUE"""),38.84)</f>
        <v>38.840000000000003</v>
      </c>
      <c r="F227" s="1">
        <f ca="1">IFERROR(__xludf.DUMMYFUNCTION("""COMPUTED_VALUE"""),1732400)</f>
        <v>1732400</v>
      </c>
    </row>
    <row r="228" spans="1:6" x14ac:dyDescent="0.35">
      <c r="A228" s="2">
        <f ca="1">IFERROR(__xludf.DUMMYFUNCTION("""COMPUTED_VALUE"""),42332.6666666666)</f>
        <v>42332.666666666599</v>
      </c>
      <c r="B228" s="1">
        <f ca="1">IFERROR(__xludf.DUMMYFUNCTION("""COMPUTED_VALUE"""),38.65)</f>
        <v>38.65</v>
      </c>
      <c r="C228" s="1">
        <f ca="1">IFERROR(__xludf.DUMMYFUNCTION("""COMPUTED_VALUE"""),38.8)</f>
        <v>38.799999999999997</v>
      </c>
      <c r="D228" s="1">
        <f ca="1">IFERROR(__xludf.DUMMYFUNCTION("""COMPUTED_VALUE"""),37.91)</f>
        <v>37.909999999999997</v>
      </c>
      <c r="E228" s="1">
        <f ca="1">IFERROR(__xludf.DUMMYFUNCTION("""COMPUTED_VALUE"""),38.48)</f>
        <v>38.479999999999997</v>
      </c>
      <c r="F228" s="1">
        <f ca="1">IFERROR(__xludf.DUMMYFUNCTION("""COMPUTED_VALUE"""),2394010)</f>
        <v>2394010</v>
      </c>
    </row>
    <row r="229" spans="1:6" x14ac:dyDescent="0.35">
      <c r="A229" s="2">
        <f ca="1">IFERROR(__xludf.DUMMYFUNCTION("""COMPUTED_VALUE"""),42333.6666666666)</f>
        <v>42333.666666666599</v>
      </c>
      <c r="B229" s="1">
        <f ca="1">IFERROR(__xludf.DUMMYFUNCTION("""COMPUTED_VALUE"""),38.58)</f>
        <v>38.58</v>
      </c>
      <c r="C229" s="1">
        <f ca="1">IFERROR(__xludf.DUMMYFUNCTION("""COMPUTED_VALUE"""),38.65)</f>
        <v>38.65</v>
      </c>
      <c r="D229" s="1">
        <f ca="1">IFERROR(__xludf.DUMMYFUNCTION("""COMPUTED_VALUE"""),38.33)</f>
        <v>38.33</v>
      </c>
      <c r="E229" s="1">
        <f ca="1">IFERROR(__xludf.DUMMYFUNCTION("""COMPUTED_VALUE"""),38.46)</f>
        <v>38.46</v>
      </c>
      <c r="F229" s="1">
        <f ca="1">IFERROR(__xludf.DUMMYFUNCTION("""COMPUTED_VALUE"""),1180643)</f>
        <v>1180643</v>
      </c>
    </row>
    <row r="230" spans="1:6" x14ac:dyDescent="0.35">
      <c r="A230" s="2">
        <f ca="1">IFERROR(__xludf.DUMMYFUNCTION("""COMPUTED_VALUE"""),42335.6666666666)</f>
        <v>42335.666666666599</v>
      </c>
      <c r="B230" s="1">
        <f ca="1">IFERROR(__xludf.DUMMYFUNCTION("""COMPUTED_VALUE"""),38.46)</f>
        <v>38.46</v>
      </c>
      <c r="C230" s="1">
        <f ca="1">IFERROR(__xludf.DUMMYFUNCTION("""COMPUTED_VALUE"""),38.7)</f>
        <v>38.700000000000003</v>
      </c>
      <c r="D230" s="1">
        <f ca="1">IFERROR(__xludf.DUMMYFUNCTION("""COMPUTED_VALUE"""),38.35)</f>
        <v>38.35</v>
      </c>
      <c r="E230" s="1">
        <f ca="1">IFERROR(__xludf.DUMMYFUNCTION("""COMPUTED_VALUE"""),38.6)</f>
        <v>38.6</v>
      </c>
      <c r="F230" s="1">
        <f ca="1">IFERROR(__xludf.DUMMYFUNCTION("""COMPUTED_VALUE"""),722320)</f>
        <v>722320</v>
      </c>
    </row>
    <row r="231" spans="1:6" x14ac:dyDescent="0.35">
      <c r="A231" s="2">
        <f ca="1">IFERROR(__xludf.DUMMYFUNCTION("""COMPUTED_VALUE"""),42338.6666666666)</f>
        <v>42338.666666666599</v>
      </c>
      <c r="B231" s="1">
        <f ca="1">IFERROR(__xludf.DUMMYFUNCTION("""COMPUTED_VALUE"""),38.59)</f>
        <v>38.590000000000003</v>
      </c>
      <c r="C231" s="1">
        <f ca="1">IFERROR(__xludf.DUMMYFUNCTION("""COMPUTED_VALUE"""),38.75)</f>
        <v>38.75</v>
      </c>
      <c r="D231" s="1">
        <f ca="1">IFERROR(__xludf.DUMMYFUNCTION("""COMPUTED_VALUE"""),38.06)</f>
        <v>38.06</v>
      </c>
      <c r="E231" s="1">
        <f ca="1">IFERROR(__xludf.DUMMYFUNCTION("""COMPUTED_VALUE"""),38.14)</f>
        <v>38.14</v>
      </c>
      <c r="F231" s="1">
        <f ca="1">IFERROR(__xludf.DUMMYFUNCTION("""COMPUTED_VALUE"""),1679349)</f>
        <v>1679349</v>
      </c>
    </row>
    <row r="232" spans="1:6" x14ac:dyDescent="0.35">
      <c r="A232" s="2">
        <f ca="1">IFERROR(__xludf.DUMMYFUNCTION("""COMPUTED_VALUE"""),42339.6666666666)</f>
        <v>42339.666666666599</v>
      </c>
      <c r="B232" s="1">
        <f ca="1">IFERROR(__xludf.DUMMYFUNCTION("""COMPUTED_VALUE"""),38.35)</f>
        <v>38.35</v>
      </c>
      <c r="C232" s="1">
        <f ca="1">IFERROR(__xludf.DUMMYFUNCTION("""COMPUTED_VALUE"""),39.25)</f>
        <v>39.25</v>
      </c>
      <c r="D232" s="1">
        <f ca="1">IFERROR(__xludf.DUMMYFUNCTION("""COMPUTED_VALUE"""),38.3)</f>
        <v>38.299999999999997</v>
      </c>
      <c r="E232" s="1">
        <f ca="1">IFERROR(__xludf.DUMMYFUNCTION("""COMPUTED_VALUE"""),39.19)</f>
        <v>39.19</v>
      </c>
      <c r="F232" s="1">
        <f ca="1">IFERROR(__xludf.DUMMYFUNCTION("""COMPUTED_VALUE"""),2019864)</f>
        <v>2019864</v>
      </c>
    </row>
    <row r="233" spans="1:6" x14ac:dyDescent="0.35">
      <c r="A233" s="2">
        <f ca="1">IFERROR(__xludf.DUMMYFUNCTION("""COMPUTED_VALUE"""),42340.6666666666)</f>
        <v>42340.666666666599</v>
      </c>
      <c r="B233" s="1">
        <f ca="1">IFERROR(__xludf.DUMMYFUNCTION("""COMPUTED_VALUE"""),39.26)</f>
        <v>39.26</v>
      </c>
      <c r="C233" s="1">
        <f ca="1">IFERROR(__xludf.DUMMYFUNCTION("""COMPUTED_VALUE"""),39.65)</f>
        <v>39.65</v>
      </c>
      <c r="D233" s="1">
        <f ca="1">IFERROR(__xludf.DUMMYFUNCTION("""COMPUTED_VALUE"""),38.82)</f>
        <v>38.82</v>
      </c>
      <c r="E233" s="1">
        <f ca="1">IFERROR(__xludf.DUMMYFUNCTION("""COMPUTED_VALUE"""),38.89)</f>
        <v>38.89</v>
      </c>
      <c r="F233" s="1">
        <f ca="1">IFERROR(__xludf.DUMMYFUNCTION("""COMPUTED_VALUE"""),2343841)</f>
        <v>2343841</v>
      </c>
    </row>
    <row r="234" spans="1:6" x14ac:dyDescent="0.35">
      <c r="A234" s="2">
        <f ca="1">IFERROR(__xludf.DUMMYFUNCTION("""COMPUTED_VALUE"""),42341.6666666666)</f>
        <v>42341.666666666599</v>
      </c>
      <c r="B234" s="1">
        <f ca="1">IFERROR(__xludf.DUMMYFUNCTION("""COMPUTED_VALUE"""),39.03)</f>
        <v>39.03</v>
      </c>
      <c r="C234" s="1">
        <f ca="1">IFERROR(__xludf.DUMMYFUNCTION("""COMPUTED_VALUE"""),39.22)</f>
        <v>39.22</v>
      </c>
      <c r="D234" s="1">
        <f ca="1">IFERROR(__xludf.DUMMYFUNCTION("""COMPUTED_VALUE"""),38.12)</f>
        <v>38.119999999999997</v>
      </c>
      <c r="E234" s="1">
        <f ca="1">IFERROR(__xludf.DUMMYFUNCTION("""COMPUTED_VALUE"""),38.41)</f>
        <v>38.409999999999997</v>
      </c>
      <c r="F234" s="1">
        <f ca="1">IFERROR(__xludf.DUMMYFUNCTION("""COMPUTED_VALUE"""),2097494)</f>
        <v>2097494</v>
      </c>
    </row>
    <row r="235" spans="1:6" x14ac:dyDescent="0.35">
      <c r="A235" s="2">
        <f ca="1">IFERROR(__xludf.DUMMYFUNCTION("""COMPUTED_VALUE"""),42342.6666666666)</f>
        <v>42342.666666666599</v>
      </c>
      <c r="B235" s="1">
        <f ca="1">IFERROR(__xludf.DUMMYFUNCTION("""COMPUTED_VALUE"""),38.49)</f>
        <v>38.49</v>
      </c>
      <c r="C235" s="1">
        <f ca="1">IFERROR(__xludf.DUMMYFUNCTION("""COMPUTED_VALUE"""),39.12)</f>
        <v>39.119999999999997</v>
      </c>
      <c r="D235" s="1">
        <f ca="1">IFERROR(__xludf.DUMMYFUNCTION("""COMPUTED_VALUE"""),38.28)</f>
        <v>38.28</v>
      </c>
      <c r="E235" s="1">
        <f ca="1">IFERROR(__xludf.DUMMYFUNCTION("""COMPUTED_VALUE"""),38.96)</f>
        <v>38.96</v>
      </c>
      <c r="F235" s="1">
        <f ca="1">IFERROR(__xludf.DUMMYFUNCTION("""COMPUTED_VALUE"""),2489998)</f>
        <v>2489998</v>
      </c>
    </row>
    <row r="236" spans="1:6" x14ac:dyDescent="0.35">
      <c r="A236" s="2">
        <f ca="1">IFERROR(__xludf.DUMMYFUNCTION("""COMPUTED_VALUE"""),42345.6666666666)</f>
        <v>42345.666666666599</v>
      </c>
      <c r="B236" s="1">
        <f ca="1">IFERROR(__xludf.DUMMYFUNCTION("""COMPUTED_VALUE"""),39)</f>
        <v>39</v>
      </c>
      <c r="C236" s="1">
        <f ca="1">IFERROR(__xludf.DUMMYFUNCTION("""COMPUTED_VALUE"""),39.05)</f>
        <v>39.049999999999997</v>
      </c>
      <c r="D236" s="1">
        <f ca="1">IFERROR(__xludf.DUMMYFUNCTION("""COMPUTED_VALUE"""),38.34)</f>
        <v>38.340000000000003</v>
      </c>
      <c r="E236" s="1">
        <f ca="1">IFERROR(__xludf.DUMMYFUNCTION("""COMPUTED_VALUE"""),38.65)</f>
        <v>38.65</v>
      </c>
      <c r="F236" s="1">
        <f ca="1">IFERROR(__xludf.DUMMYFUNCTION("""COMPUTED_VALUE"""),1831287)</f>
        <v>1831287</v>
      </c>
    </row>
    <row r="237" spans="1:6" x14ac:dyDescent="0.35">
      <c r="A237" s="2">
        <f ca="1">IFERROR(__xludf.DUMMYFUNCTION("""COMPUTED_VALUE"""),42346.6666666666)</f>
        <v>42346.666666666599</v>
      </c>
      <c r="B237" s="1">
        <f ca="1">IFERROR(__xludf.DUMMYFUNCTION("""COMPUTED_VALUE"""),38.23)</f>
        <v>38.229999999999997</v>
      </c>
      <c r="C237" s="1">
        <f ca="1">IFERROR(__xludf.DUMMYFUNCTION("""COMPUTED_VALUE"""),38.93)</f>
        <v>38.93</v>
      </c>
      <c r="D237" s="1">
        <f ca="1">IFERROR(__xludf.DUMMYFUNCTION("""COMPUTED_VALUE"""),38.13)</f>
        <v>38.130000000000003</v>
      </c>
      <c r="E237" s="1">
        <f ca="1">IFERROR(__xludf.DUMMYFUNCTION("""COMPUTED_VALUE"""),38.76)</f>
        <v>38.76</v>
      </c>
      <c r="F237" s="1">
        <f ca="1">IFERROR(__xludf.DUMMYFUNCTION("""COMPUTED_VALUE"""),1554121)</f>
        <v>1554121</v>
      </c>
    </row>
    <row r="238" spans="1:6" x14ac:dyDescent="0.35">
      <c r="A238" s="2">
        <f ca="1">IFERROR(__xludf.DUMMYFUNCTION("""COMPUTED_VALUE"""),42347.6666666666)</f>
        <v>42347.666666666599</v>
      </c>
      <c r="B238" s="1">
        <f ca="1">IFERROR(__xludf.DUMMYFUNCTION("""COMPUTED_VALUE"""),38.56)</f>
        <v>38.56</v>
      </c>
      <c r="C238" s="1">
        <f ca="1">IFERROR(__xludf.DUMMYFUNCTION("""COMPUTED_VALUE"""),38.8)</f>
        <v>38.799999999999997</v>
      </c>
      <c r="D238" s="1">
        <f ca="1">IFERROR(__xludf.DUMMYFUNCTION("""COMPUTED_VALUE"""),37.6)</f>
        <v>37.6</v>
      </c>
      <c r="E238" s="1">
        <f ca="1">IFERROR(__xludf.DUMMYFUNCTION("""COMPUTED_VALUE"""),38.13)</f>
        <v>38.130000000000003</v>
      </c>
      <c r="F238" s="1">
        <f ca="1">IFERROR(__xludf.DUMMYFUNCTION("""COMPUTED_VALUE"""),2327471)</f>
        <v>2327471</v>
      </c>
    </row>
    <row r="239" spans="1:6" x14ac:dyDescent="0.35">
      <c r="A239" s="2">
        <f ca="1">IFERROR(__xludf.DUMMYFUNCTION("""COMPUTED_VALUE"""),42348.6666666666)</f>
        <v>42348.666666666599</v>
      </c>
      <c r="B239" s="1">
        <f ca="1">IFERROR(__xludf.DUMMYFUNCTION("""COMPUTED_VALUE"""),38.18)</f>
        <v>38.18</v>
      </c>
      <c r="C239" s="1">
        <f ca="1">IFERROR(__xludf.DUMMYFUNCTION("""COMPUTED_VALUE"""),38.3)</f>
        <v>38.299999999999997</v>
      </c>
      <c r="D239" s="1">
        <f ca="1">IFERROR(__xludf.DUMMYFUNCTION("""COMPUTED_VALUE"""),37.75)</f>
        <v>37.75</v>
      </c>
      <c r="E239" s="1">
        <f ca="1">IFERROR(__xludf.DUMMYFUNCTION("""COMPUTED_VALUE"""),38)</f>
        <v>38</v>
      </c>
      <c r="F239" s="1">
        <f ca="1">IFERROR(__xludf.DUMMYFUNCTION("""COMPUTED_VALUE"""),1622940)</f>
        <v>1622940</v>
      </c>
    </row>
    <row r="240" spans="1:6" x14ac:dyDescent="0.35">
      <c r="A240" s="2">
        <f ca="1">IFERROR(__xludf.DUMMYFUNCTION("""COMPUTED_VALUE"""),42349.6666666666)</f>
        <v>42349.666666666599</v>
      </c>
      <c r="B240" s="1">
        <f ca="1">IFERROR(__xludf.DUMMYFUNCTION("""COMPUTED_VALUE"""),37.45)</f>
        <v>37.450000000000003</v>
      </c>
      <c r="C240" s="1">
        <f ca="1">IFERROR(__xludf.DUMMYFUNCTION("""COMPUTED_VALUE"""),37.87)</f>
        <v>37.869999999999997</v>
      </c>
      <c r="D240" s="1">
        <f ca="1">IFERROR(__xludf.DUMMYFUNCTION("""COMPUTED_VALUE"""),37.43)</f>
        <v>37.43</v>
      </c>
      <c r="E240" s="1">
        <f ca="1">IFERROR(__xludf.DUMMYFUNCTION("""COMPUTED_VALUE"""),37.52)</f>
        <v>37.520000000000003</v>
      </c>
      <c r="F240" s="1">
        <f ca="1">IFERROR(__xludf.DUMMYFUNCTION("""COMPUTED_VALUE"""),2159164)</f>
        <v>2159164</v>
      </c>
    </row>
    <row r="241" spans="1:6" x14ac:dyDescent="0.35">
      <c r="A241" s="2">
        <f ca="1">IFERROR(__xludf.DUMMYFUNCTION("""COMPUTED_VALUE"""),42352.6666666666)</f>
        <v>42352.666666666599</v>
      </c>
      <c r="B241" s="1">
        <f ca="1">IFERROR(__xludf.DUMMYFUNCTION("""COMPUTED_VALUE"""),37.56)</f>
        <v>37.56</v>
      </c>
      <c r="C241" s="1">
        <f ca="1">IFERROR(__xludf.DUMMYFUNCTION("""COMPUTED_VALUE"""),38.21)</f>
        <v>38.21</v>
      </c>
      <c r="D241" s="1">
        <f ca="1">IFERROR(__xludf.DUMMYFUNCTION("""COMPUTED_VALUE"""),36.81)</f>
        <v>36.81</v>
      </c>
      <c r="E241" s="1">
        <f ca="1">IFERROR(__xludf.DUMMYFUNCTION("""COMPUTED_VALUE"""),38.13)</f>
        <v>38.130000000000003</v>
      </c>
      <c r="F241" s="1">
        <f ca="1">IFERROR(__xludf.DUMMYFUNCTION("""COMPUTED_VALUE"""),2708520)</f>
        <v>2708520</v>
      </c>
    </row>
    <row r="242" spans="1:6" x14ac:dyDescent="0.35">
      <c r="A242" s="2">
        <f ca="1">IFERROR(__xludf.DUMMYFUNCTION("""COMPUTED_VALUE"""),42353.6666666666)</f>
        <v>42353.666666666599</v>
      </c>
      <c r="B242" s="1">
        <f ca="1">IFERROR(__xludf.DUMMYFUNCTION("""COMPUTED_VALUE"""),38.39)</f>
        <v>38.39</v>
      </c>
      <c r="C242" s="1">
        <f ca="1">IFERROR(__xludf.DUMMYFUNCTION("""COMPUTED_VALUE"""),38.74)</f>
        <v>38.74</v>
      </c>
      <c r="D242" s="1">
        <f ca="1">IFERROR(__xludf.DUMMYFUNCTION("""COMPUTED_VALUE"""),37.9)</f>
        <v>37.9</v>
      </c>
      <c r="E242" s="1">
        <f ca="1">IFERROR(__xludf.DUMMYFUNCTION("""COMPUTED_VALUE"""),38)</f>
        <v>38</v>
      </c>
      <c r="F242" s="1">
        <f ca="1">IFERROR(__xludf.DUMMYFUNCTION("""COMPUTED_VALUE"""),2469319)</f>
        <v>2469319</v>
      </c>
    </row>
    <row r="243" spans="1:6" x14ac:dyDescent="0.35">
      <c r="A243" s="2">
        <f ca="1">IFERROR(__xludf.DUMMYFUNCTION("""COMPUTED_VALUE"""),42354.6666666666)</f>
        <v>42354.666666666599</v>
      </c>
      <c r="B243" s="1">
        <f ca="1">IFERROR(__xludf.DUMMYFUNCTION("""COMPUTED_VALUE"""),38.33)</f>
        <v>38.33</v>
      </c>
      <c r="C243" s="1">
        <f ca="1">IFERROR(__xludf.DUMMYFUNCTION("""COMPUTED_VALUE"""),39.08)</f>
        <v>39.08</v>
      </c>
      <c r="D243" s="1">
        <f ca="1">IFERROR(__xludf.DUMMYFUNCTION("""COMPUTED_VALUE"""),37.85)</f>
        <v>37.85</v>
      </c>
      <c r="E243" s="1">
        <f ca="1">IFERROR(__xludf.DUMMYFUNCTION("""COMPUTED_VALUE"""),38.83)</f>
        <v>38.83</v>
      </c>
      <c r="F243" s="1">
        <f ca="1">IFERROR(__xludf.DUMMYFUNCTION("""COMPUTED_VALUE"""),2656010)</f>
        <v>2656010</v>
      </c>
    </row>
    <row r="244" spans="1:6" x14ac:dyDescent="0.35">
      <c r="A244" s="2">
        <f ca="1">IFERROR(__xludf.DUMMYFUNCTION("""COMPUTED_VALUE"""),42355.6666666666)</f>
        <v>42355.666666666599</v>
      </c>
      <c r="B244" s="1">
        <f ca="1">IFERROR(__xludf.DUMMYFUNCTION("""COMPUTED_VALUE"""),39.06)</f>
        <v>39.06</v>
      </c>
      <c r="C244" s="1">
        <f ca="1">IFERROR(__xludf.DUMMYFUNCTION("""COMPUTED_VALUE"""),39.08)</f>
        <v>39.08</v>
      </c>
      <c r="D244" s="1">
        <f ca="1">IFERROR(__xludf.DUMMYFUNCTION("""COMPUTED_VALUE"""),38.47)</f>
        <v>38.47</v>
      </c>
      <c r="E244" s="1">
        <f ca="1">IFERROR(__xludf.DUMMYFUNCTION("""COMPUTED_VALUE"""),38.49)</f>
        <v>38.49</v>
      </c>
      <c r="F244" s="1">
        <f ca="1">IFERROR(__xludf.DUMMYFUNCTION("""COMPUTED_VALUE"""),1825538)</f>
        <v>1825538</v>
      </c>
    </row>
    <row r="245" spans="1:6" x14ac:dyDescent="0.35">
      <c r="A245" s="2">
        <f ca="1">IFERROR(__xludf.DUMMYFUNCTION("""COMPUTED_VALUE"""),42356.6666666666)</f>
        <v>42356.666666666599</v>
      </c>
      <c r="B245" s="1">
        <f ca="1">IFERROR(__xludf.DUMMYFUNCTION("""COMPUTED_VALUE"""),38.36)</f>
        <v>38.36</v>
      </c>
      <c r="C245" s="1">
        <f ca="1">IFERROR(__xludf.DUMMYFUNCTION("""COMPUTED_VALUE"""),38.71)</f>
        <v>38.71</v>
      </c>
      <c r="D245" s="1">
        <f ca="1">IFERROR(__xludf.DUMMYFUNCTION("""COMPUTED_VALUE"""),37.83)</f>
        <v>37.83</v>
      </c>
      <c r="E245" s="1">
        <f ca="1">IFERROR(__xludf.DUMMYFUNCTION("""COMPUTED_VALUE"""),37.84)</f>
        <v>37.840000000000003</v>
      </c>
      <c r="F245" s="1">
        <f ca="1">IFERROR(__xludf.DUMMYFUNCTION("""COMPUTED_VALUE"""),3389702)</f>
        <v>3389702</v>
      </c>
    </row>
    <row r="246" spans="1:6" x14ac:dyDescent="0.35">
      <c r="A246" s="2">
        <f ca="1">IFERROR(__xludf.DUMMYFUNCTION("""COMPUTED_VALUE"""),42359.6666666666)</f>
        <v>42359.666666666599</v>
      </c>
      <c r="B246" s="1">
        <f ca="1">IFERROR(__xludf.DUMMYFUNCTION("""COMPUTED_VALUE"""),38.15)</f>
        <v>38.15</v>
      </c>
      <c r="C246" s="1">
        <f ca="1">IFERROR(__xludf.DUMMYFUNCTION("""COMPUTED_VALUE"""),38.32)</f>
        <v>38.32</v>
      </c>
      <c r="D246" s="1">
        <f ca="1">IFERROR(__xludf.DUMMYFUNCTION("""COMPUTED_VALUE"""),37.71)</f>
        <v>37.71</v>
      </c>
      <c r="E246" s="1">
        <f ca="1">IFERROR(__xludf.DUMMYFUNCTION("""COMPUTED_VALUE"""),38.04)</f>
        <v>38.04</v>
      </c>
      <c r="F246" s="1">
        <f ca="1">IFERROR(__xludf.DUMMYFUNCTION("""COMPUTED_VALUE"""),1742368)</f>
        <v>1742368</v>
      </c>
    </row>
    <row r="247" spans="1:6" x14ac:dyDescent="0.35">
      <c r="A247" s="2">
        <f ca="1">IFERROR(__xludf.DUMMYFUNCTION("""COMPUTED_VALUE"""),42360.6666666666)</f>
        <v>42360.666666666599</v>
      </c>
      <c r="B247" s="1">
        <f ca="1">IFERROR(__xludf.DUMMYFUNCTION("""COMPUTED_VALUE"""),38.21)</f>
        <v>38.21</v>
      </c>
      <c r="C247" s="1">
        <f ca="1">IFERROR(__xludf.DUMMYFUNCTION("""COMPUTED_VALUE"""),38.52)</f>
        <v>38.520000000000003</v>
      </c>
      <c r="D247" s="1">
        <f ca="1">IFERROR(__xludf.DUMMYFUNCTION("""COMPUTED_VALUE"""),38.06)</f>
        <v>38.06</v>
      </c>
      <c r="E247" s="1">
        <f ca="1">IFERROR(__xludf.DUMMYFUNCTION("""COMPUTED_VALUE"""),38.36)</f>
        <v>38.36</v>
      </c>
      <c r="F247" s="1">
        <f ca="1">IFERROR(__xludf.DUMMYFUNCTION("""COMPUTED_VALUE"""),1816935)</f>
        <v>1816935</v>
      </c>
    </row>
    <row r="248" spans="1:6" x14ac:dyDescent="0.35">
      <c r="A248" s="2">
        <f ca="1">IFERROR(__xludf.DUMMYFUNCTION("""COMPUTED_VALUE"""),42361.6666666666)</f>
        <v>42361.666666666599</v>
      </c>
      <c r="B248" s="1">
        <f ca="1">IFERROR(__xludf.DUMMYFUNCTION("""COMPUTED_VALUE"""),38.53)</f>
        <v>38.53</v>
      </c>
      <c r="C248" s="1">
        <f ca="1">IFERROR(__xludf.DUMMYFUNCTION("""COMPUTED_VALUE"""),38.6)</f>
        <v>38.6</v>
      </c>
      <c r="D248" s="1">
        <f ca="1">IFERROR(__xludf.DUMMYFUNCTION("""COMPUTED_VALUE"""),37.88)</f>
        <v>37.880000000000003</v>
      </c>
      <c r="E248" s="1">
        <f ca="1">IFERROR(__xludf.DUMMYFUNCTION("""COMPUTED_VALUE"""),38.43)</f>
        <v>38.43</v>
      </c>
      <c r="F248" s="1">
        <f ca="1">IFERROR(__xludf.DUMMYFUNCTION("""COMPUTED_VALUE"""),1529742)</f>
        <v>1529742</v>
      </c>
    </row>
    <row r="249" spans="1:6" x14ac:dyDescent="0.35">
      <c r="A249" s="2">
        <f ca="1">IFERROR(__xludf.DUMMYFUNCTION("""COMPUTED_VALUE"""),42362.6666666666)</f>
        <v>42362.666666666599</v>
      </c>
      <c r="B249" s="1">
        <f ca="1">IFERROR(__xludf.DUMMYFUNCTION("""COMPUTED_VALUE"""),38.43)</f>
        <v>38.43</v>
      </c>
      <c r="C249" s="1">
        <f ca="1">IFERROR(__xludf.DUMMYFUNCTION("""COMPUTED_VALUE"""),38.46)</f>
        <v>38.46</v>
      </c>
      <c r="D249" s="1">
        <f ca="1">IFERROR(__xludf.DUMMYFUNCTION("""COMPUTED_VALUE"""),38.22)</f>
        <v>38.22</v>
      </c>
      <c r="E249" s="1">
        <f ca="1">IFERROR(__xludf.DUMMYFUNCTION("""COMPUTED_VALUE"""),38.29)</f>
        <v>38.29</v>
      </c>
      <c r="F249" s="1">
        <f ca="1">IFERROR(__xludf.DUMMYFUNCTION("""COMPUTED_VALUE"""),521141)</f>
        <v>521141</v>
      </c>
    </row>
    <row r="250" spans="1:6" x14ac:dyDescent="0.35">
      <c r="A250" s="2">
        <f ca="1">IFERROR(__xludf.DUMMYFUNCTION("""COMPUTED_VALUE"""),42366.6666666666)</f>
        <v>42366.666666666599</v>
      </c>
      <c r="B250" s="1">
        <f ca="1">IFERROR(__xludf.DUMMYFUNCTION("""COMPUTED_VALUE"""),38.5)</f>
        <v>38.5</v>
      </c>
      <c r="C250" s="1">
        <f ca="1">IFERROR(__xludf.DUMMYFUNCTION("""COMPUTED_VALUE"""),39.14)</f>
        <v>39.14</v>
      </c>
      <c r="D250" s="1">
        <f ca="1">IFERROR(__xludf.DUMMYFUNCTION("""COMPUTED_VALUE"""),38.39)</f>
        <v>38.39</v>
      </c>
      <c r="E250" s="1">
        <f ca="1">IFERROR(__xludf.DUMMYFUNCTION("""COMPUTED_VALUE"""),39.11)</f>
        <v>39.11</v>
      </c>
      <c r="F250" s="1">
        <f ca="1">IFERROR(__xludf.DUMMYFUNCTION("""COMPUTED_VALUE"""),1557755)</f>
        <v>1557755</v>
      </c>
    </row>
    <row r="251" spans="1:6" x14ac:dyDescent="0.35">
      <c r="A251" s="2">
        <f ca="1">IFERROR(__xludf.DUMMYFUNCTION("""COMPUTED_VALUE"""),42367.6666666666)</f>
        <v>42367.666666666599</v>
      </c>
      <c r="B251" s="1">
        <f ca="1">IFERROR(__xludf.DUMMYFUNCTION("""COMPUTED_VALUE"""),39.35)</f>
        <v>39.35</v>
      </c>
      <c r="C251" s="1">
        <f ca="1">IFERROR(__xludf.DUMMYFUNCTION("""COMPUTED_VALUE"""),39.93)</f>
        <v>39.93</v>
      </c>
      <c r="D251" s="1">
        <f ca="1">IFERROR(__xludf.DUMMYFUNCTION("""COMPUTED_VALUE"""),39.31)</f>
        <v>39.31</v>
      </c>
      <c r="E251" s="1">
        <f ca="1">IFERROR(__xludf.DUMMYFUNCTION("""COMPUTED_VALUE"""),39.7)</f>
        <v>39.700000000000003</v>
      </c>
      <c r="F251" s="1">
        <f ca="1">IFERROR(__xludf.DUMMYFUNCTION("""COMPUTED_VALUE"""),1921480)</f>
        <v>1921480</v>
      </c>
    </row>
    <row r="252" spans="1:6" x14ac:dyDescent="0.35">
      <c r="A252" s="2">
        <f ca="1">IFERROR(__xludf.DUMMYFUNCTION("""COMPUTED_VALUE"""),42368.6666666666)</f>
        <v>42368.666666666599</v>
      </c>
      <c r="B252" s="1">
        <f ca="1">IFERROR(__xludf.DUMMYFUNCTION("""COMPUTED_VALUE"""),39.7)</f>
        <v>39.700000000000003</v>
      </c>
      <c r="C252" s="1">
        <f ca="1">IFERROR(__xludf.DUMMYFUNCTION("""COMPUTED_VALUE"""),39.82)</f>
        <v>39.82</v>
      </c>
      <c r="D252" s="1">
        <f ca="1">IFERROR(__xludf.DUMMYFUNCTION("""COMPUTED_VALUE"""),39.36)</f>
        <v>39.36</v>
      </c>
      <c r="E252" s="1">
        <f ca="1">IFERROR(__xludf.DUMMYFUNCTION("""COMPUTED_VALUE"""),39.52)</f>
        <v>39.520000000000003</v>
      </c>
      <c r="F252" s="1">
        <f ca="1">IFERROR(__xludf.DUMMYFUNCTION("""COMPUTED_VALUE"""),1428280)</f>
        <v>1428280</v>
      </c>
    </row>
    <row r="253" spans="1:6" x14ac:dyDescent="0.35">
      <c r="A253" s="2">
        <f ca="1">IFERROR(__xludf.DUMMYFUNCTION("""COMPUTED_VALUE"""),42369.6666666666)</f>
        <v>42369.666666666599</v>
      </c>
      <c r="B253" s="1">
        <f ca="1">IFERROR(__xludf.DUMMYFUNCTION("""COMPUTED_VALUE"""),39.39)</f>
        <v>39.39</v>
      </c>
      <c r="C253" s="1">
        <f ca="1">IFERROR(__xludf.DUMMYFUNCTION("""COMPUTED_VALUE"""),39.42)</f>
        <v>39.42</v>
      </c>
      <c r="D253" s="1">
        <f ca="1">IFERROR(__xludf.DUMMYFUNCTION("""COMPUTED_VALUE"""),38.87)</f>
        <v>38.869999999999997</v>
      </c>
      <c r="E253" s="1">
        <f ca="1">IFERROR(__xludf.DUMMYFUNCTION("""COMPUTED_VALUE"""),38.9)</f>
        <v>38.9</v>
      </c>
      <c r="F253" s="1">
        <f ca="1">IFERROR(__xludf.DUMMYFUNCTION("""COMPUTED_VALUE"""),1637561)</f>
        <v>1637561</v>
      </c>
    </row>
    <row r="254" spans="1:6" x14ac:dyDescent="0.35">
      <c r="A254" s="2">
        <f ca="1">IFERROR(__xludf.DUMMYFUNCTION("""COMPUTED_VALUE"""),42373.6666666666)</f>
        <v>42373.666666666599</v>
      </c>
      <c r="B254" s="1">
        <f ca="1">IFERROR(__xludf.DUMMYFUNCTION("""COMPUTED_VALUE"""),38.11)</f>
        <v>38.11</v>
      </c>
      <c r="C254" s="1">
        <f ca="1">IFERROR(__xludf.DUMMYFUNCTION("""COMPUTED_VALUE"""),38.11)</f>
        <v>38.11</v>
      </c>
      <c r="D254" s="1">
        <f ca="1">IFERROR(__xludf.DUMMYFUNCTION("""COMPUTED_VALUE"""),37.38)</f>
        <v>37.380000000000003</v>
      </c>
      <c r="E254" s="1">
        <f ca="1">IFERROR(__xludf.DUMMYFUNCTION("""COMPUTED_VALUE"""),37.97)</f>
        <v>37.97</v>
      </c>
      <c r="F254" s="1">
        <f ca="1">IFERROR(__xludf.DUMMYFUNCTION("""COMPUTED_VALUE"""),3369068)</f>
        <v>3369068</v>
      </c>
    </row>
    <row r="255" spans="1:6" x14ac:dyDescent="0.35">
      <c r="A255" s="2">
        <f ca="1">IFERROR(__xludf.DUMMYFUNCTION("""COMPUTED_VALUE"""),42374.6666666666)</f>
        <v>42374.666666666599</v>
      </c>
      <c r="B255" s="1">
        <f ca="1">IFERROR(__xludf.DUMMYFUNCTION("""COMPUTED_VALUE"""),38.21)</f>
        <v>38.21</v>
      </c>
      <c r="C255" s="1">
        <f ca="1">IFERROR(__xludf.DUMMYFUNCTION("""COMPUTED_VALUE"""),38.46)</f>
        <v>38.46</v>
      </c>
      <c r="D255" s="1">
        <f ca="1">IFERROR(__xludf.DUMMYFUNCTION("""COMPUTED_VALUE"""),37.78)</f>
        <v>37.78</v>
      </c>
      <c r="E255" s="1">
        <f ca="1">IFERROR(__xludf.DUMMYFUNCTION("""COMPUTED_VALUE"""),38.08)</f>
        <v>38.08</v>
      </c>
      <c r="F255" s="1">
        <f ca="1">IFERROR(__xludf.DUMMYFUNCTION("""COMPUTED_VALUE"""),2260795)</f>
        <v>2260795</v>
      </c>
    </row>
    <row r="256" spans="1:6" x14ac:dyDescent="0.35">
      <c r="A256" s="2">
        <f ca="1">IFERROR(__xludf.DUMMYFUNCTION("""COMPUTED_VALUE"""),42375.6666666666)</f>
        <v>42375.666666666599</v>
      </c>
      <c r="B256" s="1">
        <f ca="1">IFERROR(__xludf.DUMMYFUNCTION("""COMPUTED_VALUE"""),37.52)</f>
        <v>37.520000000000003</v>
      </c>
      <c r="C256" s="1">
        <f ca="1">IFERROR(__xludf.DUMMYFUNCTION("""COMPUTED_VALUE"""),38.29)</f>
        <v>38.29</v>
      </c>
      <c r="D256" s="1">
        <f ca="1">IFERROR(__xludf.DUMMYFUNCTION("""COMPUTED_VALUE"""),37.4)</f>
        <v>37.4</v>
      </c>
      <c r="E256" s="1">
        <f ca="1">IFERROR(__xludf.DUMMYFUNCTION("""COMPUTED_VALUE"""),37.97)</f>
        <v>37.97</v>
      </c>
      <c r="F256" s="1">
        <f ca="1">IFERROR(__xludf.DUMMYFUNCTION("""COMPUTED_VALUE"""),2410301)</f>
        <v>2410301</v>
      </c>
    </row>
    <row r="257" spans="1:6" x14ac:dyDescent="0.35">
      <c r="A257" s="2">
        <f ca="1">IFERROR(__xludf.DUMMYFUNCTION("""COMPUTED_VALUE"""),42376.6666666666)</f>
        <v>42376.666666666599</v>
      </c>
      <c r="B257" s="1">
        <f ca="1">IFERROR(__xludf.DUMMYFUNCTION("""COMPUTED_VALUE"""),37.32)</f>
        <v>37.32</v>
      </c>
      <c r="C257" s="1">
        <f ca="1">IFERROR(__xludf.DUMMYFUNCTION("""COMPUTED_VALUE"""),37.77)</f>
        <v>37.770000000000003</v>
      </c>
      <c r="D257" s="1">
        <f ca="1">IFERROR(__xludf.DUMMYFUNCTION("""COMPUTED_VALUE"""),36.76)</f>
        <v>36.76</v>
      </c>
      <c r="E257" s="1">
        <f ca="1">IFERROR(__xludf.DUMMYFUNCTION("""COMPUTED_VALUE"""),37.05)</f>
        <v>37.049999999999997</v>
      </c>
      <c r="F257" s="1">
        <f ca="1">IFERROR(__xludf.DUMMYFUNCTION("""COMPUTED_VALUE"""),3156563)</f>
        <v>3156563</v>
      </c>
    </row>
    <row r="258" spans="1:6" x14ac:dyDescent="0.35">
      <c r="A258" s="2">
        <f ca="1">IFERROR(__xludf.DUMMYFUNCTION("""COMPUTED_VALUE"""),42377.6666666666)</f>
        <v>42377.666666666599</v>
      </c>
      <c r="B258" s="1">
        <f ca="1">IFERROR(__xludf.DUMMYFUNCTION("""COMPUTED_VALUE"""),37.39)</f>
        <v>37.39</v>
      </c>
      <c r="C258" s="1">
        <f ca="1">IFERROR(__xludf.DUMMYFUNCTION("""COMPUTED_VALUE"""),37.51)</f>
        <v>37.51</v>
      </c>
      <c r="D258" s="1">
        <f ca="1">IFERROR(__xludf.DUMMYFUNCTION("""COMPUTED_VALUE"""),36.45)</f>
        <v>36.450000000000003</v>
      </c>
      <c r="E258" s="1">
        <f ca="1">IFERROR(__xludf.DUMMYFUNCTION("""COMPUTED_VALUE"""),36.55)</f>
        <v>36.549999999999997</v>
      </c>
      <c r="F258" s="1">
        <f ca="1">IFERROR(__xludf.DUMMYFUNCTION("""COMPUTED_VALUE"""),2375348)</f>
        <v>2375348</v>
      </c>
    </row>
    <row r="259" spans="1:6" x14ac:dyDescent="0.35">
      <c r="A259" s="2">
        <f ca="1">IFERROR(__xludf.DUMMYFUNCTION("""COMPUTED_VALUE"""),42380.6666666666)</f>
        <v>42380.666666666599</v>
      </c>
      <c r="B259" s="1">
        <f ca="1">IFERROR(__xludf.DUMMYFUNCTION("""COMPUTED_VALUE"""),36.6)</f>
        <v>36.6</v>
      </c>
      <c r="C259" s="1">
        <f ca="1">IFERROR(__xludf.DUMMYFUNCTION("""COMPUTED_VALUE"""),36.75)</f>
        <v>36.75</v>
      </c>
      <c r="D259" s="1">
        <f ca="1">IFERROR(__xludf.DUMMYFUNCTION("""COMPUTED_VALUE"""),35.98)</f>
        <v>35.979999999999997</v>
      </c>
      <c r="E259" s="1">
        <f ca="1">IFERROR(__xludf.DUMMYFUNCTION("""COMPUTED_VALUE"""),36.65)</f>
        <v>36.65</v>
      </c>
      <c r="F259" s="1">
        <f ca="1">IFERROR(__xludf.DUMMYFUNCTION("""COMPUTED_VALUE"""),2544806)</f>
        <v>2544806</v>
      </c>
    </row>
    <row r="260" spans="1:6" x14ac:dyDescent="0.35">
      <c r="A260" s="2">
        <f ca="1">IFERROR(__xludf.DUMMYFUNCTION("""COMPUTED_VALUE"""),42381.6666666666)</f>
        <v>42381.666666666599</v>
      </c>
      <c r="B260" s="1">
        <f ca="1">IFERROR(__xludf.DUMMYFUNCTION("""COMPUTED_VALUE"""),37.04)</f>
        <v>37.04</v>
      </c>
      <c r="C260" s="1">
        <f ca="1">IFERROR(__xludf.DUMMYFUNCTION("""COMPUTED_VALUE"""),37.42)</f>
        <v>37.42</v>
      </c>
      <c r="D260" s="1">
        <f ca="1">IFERROR(__xludf.DUMMYFUNCTION("""COMPUTED_VALUE"""),36.82)</f>
        <v>36.82</v>
      </c>
      <c r="E260" s="1">
        <f ca="1">IFERROR(__xludf.DUMMYFUNCTION("""COMPUTED_VALUE"""),37.27)</f>
        <v>37.270000000000003</v>
      </c>
      <c r="F260" s="1">
        <f ca="1">IFERROR(__xludf.DUMMYFUNCTION("""COMPUTED_VALUE"""),2340753)</f>
        <v>2340753</v>
      </c>
    </row>
    <row r="261" spans="1:6" x14ac:dyDescent="0.35">
      <c r="A261" s="2">
        <f ca="1">IFERROR(__xludf.DUMMYFUNCTION("""COMPUTED_VALUE"""),42382.6666666666)</f>
        <v>42382.666666666599</v>
      </c>
      <c r="B261" s="1">
        <f ca="1">IFERROR(__xludf.DUMMYFUNCTION("""COMPUTED_VALUE"""),37.47)</f>
        <v>37.47</v>
      </c>
      <c r="C261" s="1">
        <f ca="1">IFERROR(__xludf.DUMMYFUNCTION("""COMPUTED_VALUE"""),37.65)</f>
        <v>37.65</v>
      </c>
      <c r="D261" s="1">
        <f ca="1">IFERROR(__xludf.DUMMYFUNCTION("""COMPUTED_VALUE"""),35.84)</f>
        <v>35.840000000000003</v>
      </c>
      <c r="E261" s="1">
        <f ca="1">IFERROR(__xludf.DUMMYFUNCTION("""COMPUTED_VALUE"""),35.98)</f>
        <v>35.979999999999997</v>
      </c>
      <c r="F261" s="1">
        <f ca="1">IFERROR(__xludf.DUMMYFUNCTION("""COMPUTED_VALUE"""),2586395)</f>
        <v>2586395</v>
      </c>
    </row>
    <row r="262" spans="1:6" x14ac:dyDescent="0.35">
      <c r="A262" s="2">
        <f ca="1">IFERROR(__xludf.DUMMYFUNCTION("""COMPUTED_VALUE"""),42383.6666666666)</f>
        <v>42383.666666666599</v>
      </c>
      <c r="B262" s="1">
        <f ca="1">IFERROR(__xludf.DUMMYFUNCTION("""COMPUTED_VALUE"""),36.22)</f>
        <v>36.22</v>
      </c>
      <c r="C262" s="1">
        <f ca="1">IFERROR(__xludf.DUMMYFUNCTION("""COMPUTED_VALUE"""),36.99)</f>
        <v>36.99</v>
      </c>
      <c r="D262" s="1">
        <f ca="1">IFERROR(__xludf.DUMMYFUNCTION("""COMPUTED_VALUE"""),35.25)</f>
        <v>35.25</v>
      </c>
      <c r="E262" s="1">
        <f ca="1">IFERROR(__xludf.DUMMYFUNCTION("""COMPUTED_VALUE"""),36.57)</f>
        <v>36.57</v>
      </c>
      <c r="F262" s="1">
        <f ca="1">IFERROR(__xludf.DUMMYFUNCTION("""COMPUTED_VALUE"""),2777868)</f>
        <v>2777868</v>
      </c>
    </row>
    <row r="263" spans="1:6" x14ac:dyDescent="0.35">
      <c r="A263" s="2">
        <f ca="1">IFERROR(__xludf.DUMMYFUNCTION("""COMPUTED_VALUE"""),42384.6666666666)</f>
        <v>42384.666666666599</v>
      </c>
      <c r="B263" s="1">
        <f ca="1">IFERROR(__xludf.DUMMYFUNCTION("""COMPUTED_VALUE"""),35.5)</f>
        <v>35.5</v>
      </c>
      <c r="C263" s="1">
        <f ca="1">IFERROR(__xludf.DUMMYFUNCTION("""COMPUTED_VALUE"""),36.21)</f>
        <v>36.21</v>
      </c>
      <c r="D263" s="1">
        <f ca="1">IFERROR(__xludf.DUMMYFUNCTION("""COMPUTED_VALUE"""),35.08)</f>
        <v>35.08</v>
      </c>
      <c r="E263" s="1">
        <f ca="1">IFERROR(__xludf.DUMMYFUNCTION("""COMPUTED_VALUE"""),35.52)</f>
        <v>35.520000000000003</v>
      </c>
      <c r="F263" s="1">
        <f ca="1">IFERROR(__xludf.DUMMYFUNCTION("""COMPUTED_VALUE"""),3833751)</f>
        <v>3833751</v>
      </c>
    </row>
    <row r="264" spans="1:6" x14ac:dyDescent="0.35">
      <c r="A264" s="2">
        <f ca="1">IFERROR(__xludf.DUMMYFUNCTION("""COMPUTED_VALUE"""),42388.6666666666)</f>
        <v>42388.666666666599</v>
      </c>
      <c r="B264" s="1">
        <f ca="1">IFERROR(__xludf.DUMMYFUNCTION("""COMPUTED_VALUE"""),36.01)</f>
        <v>36.01</v>
      </c>
      <c r="C264" s="1">
        <f ca="1">IFERROR(__xludf.DUMMYFUNCTION("""COMPUTED_VALUE"""),36.27)</f>
        <v>36.270000000000003</v>
      </c>
      <c r="D264" s="1">
        <f ca="1">IFERROR(__xludf.DUMMYFUNCTION("""COMPUTED_VALUE"""),35.49)</f>
        <v>35.49</v>
      </c>
      <c r="E264" s="1">
        <f ca="1">IFERROR(__xludf.DUMMYFUNCTION("""COMPUTED_VALUE"""),35.95)</f>
        <v>35.950000000000003</v>
      </c>
      <c r="F264" s="1">
        <f ca="1">IFERROR(__xludf.DUMMYFUNCTION("""COMPUTED_VALUE"""),2436220)</f>
        <v>2436220</v>
      </c>
    </row>
    <row r="265" spans="1:6" x14ac:dyDescent="0.35">
      <c r="A265" s="2">
        <f ca="1">IFERROR(__xludf.DUMMYFUNCTION("""COMPUTED_VALUE"""),42389.6666666666)</f>
        <v>42389.666666666599</v>
      </c>
      <c r="B265" s="1">
        <f ca="1">IFERROR(__xludf.DUMMYFUNCTION("""COMPUTED_VALUE"""),35.3)</f>
        <v>35.299999999999997</v>
      </c>
      <c r="C265" s="1">
        <f ca="1">IFERROR(__xludf.DUMMYFUNCTION("""COMPUTED_VALUE"""),36.35)</f>
        <v>36.35</v>
      </c>
      <c r="D265" s="1">
        <f ca="1">IFERROR(__xludf.DUMMYFUNCTION("""COMPUTED_VALUE"""),34.39)</f>
        <v>34.39</v>
      </c>
      <c r="E265" s="1">
        <f ca="1">IFERROR(__xludf.DUMMYFUNCTION("""COMPUTED_VALUE"""),35.93)</f>
        <v>35.93</v>
      </c>
      <c r="F265" s="1">
        <f ca="1">IFERROR(__xludf.DUMMYFUNCTION("""COMPUTED_VALUE"""),4122010)</f>
        <v>4122010</v>
      </c>
    </row>
    <row r="266" spans="1:6" x14ac:dyDescent="0.35">
      <c r="A266" s="2">
        <f ca="1">IFERROR(__xludf.DUMMYFUNCTION("""COMPUTED_VALUE"""),42390.6666666666)</f>
        <v>42390.666666666599</v>
      </c>
      <c r="B266" s="1">
        <f ca="1">IFERROR(__xludf.DUMMYFUNCTION("""COMPUTED_VALUE"""),36.01)</f>
        <v>36.01</v>
      </c>
      <c r="C266" s="1">
        <f ca="1">IFERROR(__xludf.DUMMYFUNCTION("""COMPUTED_VALUE"""),36.88)</f>
        <v>36.880000000000003</v>
      </c>
      <c r="D266" s="1">
        <f ca="1">IFERROR(__xludf.DUMMYFUNCTION("""COMPUTED_VALUE"""),35.56)</f>
        <v>35.56</v>
      </c>
      <c r="E266" s="1">
        <f ca="1">IFERROR(__xludf.DUMMYFUNCTION("""COMPUTED_VALUE"""),36.33)</f>
        <v>36.33</v>
      </c>
      <c r="F266" s="1">
        <f ca="1">IFERROR(__xludf.DUMMYFUNCTION("""COMPUTED_VALUE"""),2596916)</f>
        <v>2596916</v>
      </c>
    </row>
    <row r="267" spans="1:6" x14ac:dyDescent="0.35">
      <c r="A267" s="2">
        <f ca="1">IFERROR(__xludf.DUMMYFUNCTION("""COMPUTED_VALUE"""),42391.6666666666)</f>
        <v>42391.666666666599</v>
      </c>
      <c r="B267" s="1">
        <f ca="1">IFERROR(__xludf.DUMMYFUNCTION("""COMPUTED_VALUE"""),37.1)</f>
        <v>37.1</v>
      </c>
      <c r="C267" s="1">
        <f ca="1">IFERROR(__xludf.DUMMYFUNCTION("""COMPUTED_VALUE"""),37.43)</f>
        <v>37.43</v>
      </c>
      <c r="D267" s="1">
        <f ca="1">IFERROR(__xludf.DUMMYFUNCTION("""COMPUTED_VALUE"""),37.03)</f>
        <v>37.03</v>
      </c>
      <c r="E267" s="1">
        <f ca="1">IFERROR(__xludf.DUMMYFUNCTION("""COMPUTED_VALUE"""),37.27)</f>
        <v>37.270000000000003</v>
      </c>
      <c r="F267" s="1">
        <f ca="1">IFERROR(__xludf.DUMMYFUNCTION("""COMPUTED_VALUE"""),2357315)</f>
        <v>2357315</v>
      </c>
    </row>
    <row r="268" spans="1:6" x14ac:dyDescent="0.35">
      <c r="A268" s="2">
        <f ca="1">IFERROR(__xludf.DUMMYFUNCTION("""COMPUTED_VALUE"""),42394.6666666666)</f>
        <v>42394.666666666599</v>
      </c>
      <c r="B268" s="1">
        <f ca="1">IFERROR(__xludf.DUMMYFUNCTION("""COMPUTED_VALUE"""),37.19)</f>
        <v>37.19</v>
      </c>
      <c r="C268" s="1">
        <f ca="1">IFERROR(__xludf.DUMMYFUNCTION("""COMPUTED_VALUE"""),37.62)</f>
        <v>37.619999999999997</v>
      </c>
      <c r="D268" s="1">
        <f ca="1">IFERROR(__xludf.DUMMYFUNCTION("""COMPUTED_VALUE"""),36.63)</f>
        <v>36.630000000000003</v>
      </c>
      <c r="E268" s="1">
        <f ca="1">IFERROR(__xludf.DUMMYFUNCTION("""COMPUTED_VALUE"""),36.68)</f>
        <v>36.68</v>
      </c>
      <c r="F268" s="1">
        <f ca="1">IFERROR(__xludf.DUMMYFUNCTION("""COMPUTED_VALUE"""),2267031)</f>
        <v>2267031</v>
      </c>
    </row>
    <row r="269" spans="1:6" x14ac:dyDescent="0.35">
      <c r="A269" s="2">
        <f ca="1">IFERROR(__xludf.DUMMYFUNCTION("""COMPUTED_VALUE"""),42395.6666666666)</f>
        <v>42395.666666666599</v>
      </c>
      <c r="B269" s="1">
        <f ca="1">IFERROR(__xludf.DUMMYFUNCTION("""COMPUTED_VALUE"""),36.76)</f>
        <v>36.76</v>
      </c>
      <c r="C269" s="1">
        <f ca="1">IFERROR(__xludf.DUMMYFUNCTION("""COMPUTED_VALUE"""),36.97)</f>
        <v>36.97</v>
      </c>
      <c r="D269" s="1">
        <f ca="1">IFERROR(__xludf.DUMMYFUNCTION("""COMPUTED_VALUE"""),36.35)</f>
        <v>36.35</v>
      </c>
      <c r="E269" s="1">
        <f ca="1">IFERROR(__xludf.DUMMYFUNCTION("""COMPUTED_VALUE"""),36.69)</f>
        <v>36.69</v>
      </c>
      <c r="F269" s="1">
        <f ca="1">IFERROR(__xludf.DUMMYFUNCTION("""COMPUTED_VALUE"""),1547049)</f>
        <v>1547049</v>
      </c>
    </row>
    <row r="270" spans="1:6" x14ac:dyDescent="0.35">
      <c r="A270" s="2">
        <f ca="1">IFERROR(__xludf.DUMMYFUNCTION("""COMPUTED_VALUE"""),42396.6666666666)</f>
        <v>42396.666666666599</v>
      </c>
      <c r="B270" s="1">
        <f ca="1">IFERROR(__xludf.DUMMYFUNCTION("""COMPUTED_VALUE"""),36.79)</f>
        <v>36.79</v>
      </c>
      <c r="C270" s="1">
        <f ca="1">IFERROR(__xludf.DUMMYFUNCTION("""COMPUTED_VALUE"""),36.79)</f>
        <v>36.79</v>
      </c>
      <c r="D270" s="1">
        <f ca="1">IFERROR(__xludf.DUMMYFUNCTION("""COMPUTED_VALUE"""),35.67)</f>
        <v>35.67</v>
      </c>
      <c r="E270" s="1">
        <f ca="1">IFERROR(__xludf.DUMMYFUNCTION("""COMPUTED_VALUE"""),35.88)</f>
        <v>35.880000000000003</v>
      </c>
      <c r="F270" s="1">
        <f ca="1">IFERROR(__xludf.DUMMYFUNCTION("""COMPUTED_VALUE"""),2121434)</f>
        <v>2121434</v>
      </c>
    </row>
    <row r="271" spans="1:6" x14ac:dyDescent="0.35">
      <c r="A271" s="2">
        <f ca="1">IFERROR(__xludf.DUMMYFUNCTION("""COMPUTED_VALUE"""),42397.6666666666)</f>
        <v>42397.666666666599</v>
      </c>
      <c r="B271" s="1">
        <f ca="1">IFERROR(__xludf.DUMMYFUNCTION("""COMPUTED_VALUE"""),36.91)</f>
        <v>36.909999999999997</v>
      </c>
      <c r="C271" s="1">
        <f ca="1">IFERROR(__xludf.DUMMYFUNCTION("""COMPUTED_VALUE"""),37.56)</f>
        <v>37.56</v>
      </c>
      <c r="D271" s="1">
        <f ca="1">IFERROR(__xludf.DUMMYFUNCTION("""COMPUTED_VALUE"""),36.53)</f>
        <v>36.53</v>
      </c>
      <c r="E271" s="1">
        <f ca="1">IFERROR(__xludf.DUMMYFUNCTION("""COMPUTED_VALUE"""),37.42)</f>
        <v>37.42</v>
      </c>
      <c r="F271" s="1">
        <f ca="1">IFERROR(__xludf.DUMMYFUNCTION("""COMPUTED_VALUE"""),3105222)</f>
        <v>3105222</v>
      </c>
    </row>
    <row r="272" spans="1:6" x14ac:dyDescent="0.35">
      <c r="A272" s="2">
        <f ca="1">IFERROR(__xludf.DUMMYFUNCTION("""COMPUTED_VALUE"""),42398.6666666666)</f>
        <v>42398.666666666599</v>
      </c>
      <c r="B272" s="1">
        <f ca="1">IFERROR(__xludf.DUMMYFUNCTION("""COMPUTED_VALUE"""),37.45)</f>
        <v>37.450000000000003</v>
      </c>
      <c r="C272" s="1">
        <f ca="1">IFERROR(__xludf.DUMMYFUNCTION("""COMPUTED_VALUE"""),38.26)</f>
        <v>38.26</v>
      </c>
      <c r="D272" s="1">
        <f ca="1">IFERROR(__xludf.DUMMYFUNCTION("""COMPUTED_VALUE"""),37.21)</f>
        <v>37.21</v>
      </c>
      <c r="E272" s="1">
        <f ca="1">IFERROR(__xludf.DUMMYFUNCTION("""COMPUTED_VALUE"""),38.07)</f>
        <v>38.07</v>
      </c>
      <c r="F272" s="1">
        <f ca="1">IFERROR(__xludf.DUMMYFUNCTION("""COMPUTED_VALUE"""),3790395)</f>
        <v>3790395</v>
      </c>
    </row>
    <row r="273" spans="1:6" x14ac:dyDescent="0.35">
      <c r="A273" s="2">
        <f ca="1">IFERROR(__xludf.DUMMYFUNCTION("""COMPUTED_VALUE"""),42401.6666666666)</f>
        <v>42401.666666666599</v>
      </c>
      <c r="B273" s="1">
        <f ca="1">IFERROR(__xludf.DUMMYFUNCTION("""COMPUTED_VALUE"""),38.56)</f>
        <v>38.56</v>
      </c>
      <c r="C273" s="1">
        <f ca="1">IFERROR(__xludf.DUMMYFUNCTION("""COMPUTED_VALUE"""),38.88)</f>
        <v>38.880000000000003</v>
      </c>
      <c r="D273" s="1">
        <f ca="1">IFERROR(__xludf.DUMMYFUNCTION("""COMPUTED_VALUE"""),38.07)</f>
        <v>38.07</v>
      </c>
      <c r="E273" s="1">
        <f ca="1">IFERROR(__xludf.DUMMYFUNCTION("""COMPUTED_VALUE"""),38.54)</f>
        <v>38.54</v>
      </c>
      <c r="F273" s="1">
        <f ca="1">IFERROR(__xludf.DUMMYFUNCTION("""COMPUTED_VALUE"""),5576089)</f>
        <v>5576089</v>
      </c>
    </row>
    <row r="274" spans="1:6" x14ac:dyDescent="0.35">
      <c r="A274" s="2">
        <f ca="1">IFERROR(__xludf.DUMMYFUNCTION("""COMPUTED_VALUE"""),42402.6666666666)</f>
        <v>42402.666666666599</v>
      </c>
      <c r="B274" s="1">
        <f ca="1">IFERROR(__xludf.DUMMYFUNCTION("""COMPUTED_VALUE"""),40.03)</f>
        <v>40.03</v>
      </c>
      <c r="C274" s="1">
        <f ca="1">IFERROR(__xludf.DUMMYFUNCTION("""COMPUTED_VALUE"""),40.52)</f>
        <v>40.520000000000003</v>
      </c>
      <c r="D274" s="1">
        <f ca="1">IFERROR(__xludf.DUMMYFUNCTION("""COMPUTED_VALUE"""),39.03)</f>
        <v>39.03</v>
      </c>
      <c r="E274" s="1">
        <f ca="1">IFERROR(__xludf.DUMMYFUNCTION("""COMPUTED_VALUE"""),39.05)</f>
        <v>39.049999999999997</v>
      </c>
      <c r="F274" s="1">
        <f ca="1">IFERROR(__xludf.DUMMYFUNCTION("""COMPUTED_VALUE"""),6792331)</f>
        <v>6792331</v>
      </c>
    </row>
    <row r="275" spans="1:6" x14ac:dyDescent="0.35">
      <c r="A275" s="2">
        <f ca="1">IFERROR(__xludf.DUMMYFUNCTION("""COMPUTED_VALUE"""),42403.6666666666)</f>
        <v>42403.666666666599</v>
      </c>
      <c r="B275" s="1">
        <f ca="1">IFERROR(__xludf.DUMMYFUNCTION("""COMPUTED_VALUE"""),39.31)</f>
        <v>39.31</v>
      </c>
      <c r="C275" s="1">
        <f ca="1">IFERROR(__xludf.DUMMYFUNCTION("""COMPUTED_VALUE"""),39.57)</f>
        <v>39.57</v>
      </c>
      <c r="D275" s="1">
        <f ca="1">IFERROR(__xludf.DUMMYFUNCTION("""COMPUTED_VALUE"""),36.81)</f>
        <v>36.81</v>
      </c>
      <c r="E275" s="1">
        <f ca="1">IFERROR(__xludf.DUMMYFUNCTION("""COMPUTED_VALUE"""),37.47)</f>
        <v>37.47</v>
      </c>
      <c r="F275" s="1">
        <f ca="1">IFERROR(__xludf.DUMMYFUNCTION("""COMPUTED_VALUE"""),6555731)</f>
        <v>6555731</v>
      </c>
    </row>
    <row r="276" spans="1:6" x14ac:dyDescent="0.35">
      <c r="A276" s="2">
        <f ca="1">IFERROR(__xludf.DUMMYFUNCTION("""COMPUTED_VALUE"""),42404.6666666666)</f>
        <v>42404.666666666599</v>
      </c>
      <c r="B276" s="1">
        <f ca="1">IFERROR(__xludf.DUMMYFUNCTION("""COMPUTED_VALUE"""),37.23)</f>
        <v>37.229999999999997</v>
      </c>
      <c r="C276" s="1">
        <f ca="1">IFERROR(__xludf.DUMMYFUNCTION("""COMPUTED_VALUE"""),37.26)</f>
        <v>37.26</v>
      </c>
      <c r="D276" s="1">
        <f ca="1">IFERROR(__xludf.DUMMYFUNCTION("""COMPUTED_VALUE"""),36.13)</f>
        <v>36.130000000000003</v>
      </c>
      <c r="E276" s="1">
        <f ca="1">IFERROR(__xludf.DUMMYFUNCTION("""COMPUTED_VALUE"""),36.5)</f>
        <v>36.5</v>
      </c>
      <c r="F276" s="1">
        <f ca="1">IFERROR(__xludf.DUMMYFUNCTION("""COMPUTED_VALUE"""),5246123)</f>
        <v>5246123</v>
      </c>
    </row>
    <row r="277" spans="1:6" x14ac:dyDescent="0.35">
      <c r="A277" s="2">
        <f ca="1">IFERROR(__xludf.DUMMYFUNCTION("""COMPUTED_VALUE"""),42405.6666666666)</f>
        <v>42405.666666666599</v>
      </c>
      <c r="B277" s="1">
        <f ca="1">IFERROR(__xludf.DUMMYFUNCTION("""COMPUTED_VALUE"""),36.28)</f>
        <v>36.28</v>
      </c>
      <c r="C277" s="1">
        <f ca="1">IFERROR(__xludf.DUMMYFUNCTION("""COMPUTED_VALUE"""),36.34)</f>
        <v>36.340000000000003</v>
      </c>
      <c r="D277" s="1">
        <f ca="1">IFERROR(__xludf.DUMMYFUNCTION("""COMPUTED_VALUE"""),35.01)</f>
        <v>35.01</v>
      </c>
      <c r="E277" s="1">
        <f ca="1">IFERROR(__xludf.DUMMYFUNCTION("""COMPUTED_VALUE"""),35.19)</f>
        <v>35.19</v>
      </c>
      <c r="F277" s="1">
        <f ca="1">IFERROR(__xludf.DUMMYFUNCTION("""COMPUTED_VALUE"""),5477821)</f>
        <v>5477821</v>
      </c>
    </row>
    <row r="278" spans="1:6" x14ac:dyDescent="0.35">
      <c r="A278" s="2">
        <f ca="1">IFERROR(__xludf.DUMMYFUNCTION("""COMPUTED_VALUE"""),42408.6666666666)</f>
        <v>42408.666666666599</v>
      </c>
      <c r="B278" s="1">
        <f ca="1">IFERROR(__xludf.DUMMYFUNCTION("""COMPUTED_VALUE"""),34.38)</f>
        <v>34.380000000000003</v>
      </c>
      <c r="C278" s="1">
        <f ca="1">IFERROR(__xludf.DUMMYFUNCTION("""COMPUTED_VALUE"""),35.23)</f>
        <v>35.229999999999997</v>
      </c>
      <c r="D278" s="1">
        <f ca="1">IFERROR(__xludf.DUMMYFUNCTION("""COMPUTED_VALUE"""),34.1)</f>
        <v>34.1</v>
      </c>
      <c r="E278" s="1">
        <f ca="1">IFERROR(__xludf.DUMMYFUNCTION("""COMPUTED_VALUE"""),35.21)</f>
        <v>35.21</v>
      </c>
      <c r="F278" s="1">
        <f ca="1">IFERROR(__xludf.DUMMYFUNCTION("""COMPUTED_VALUE"""),4470514)</f>
        <v>4470514</v>
      </c>
    </row>
    <row r="279" spans="1:6" x14ac:dyDescent="0.35">
      <c r="A279" s="2">
        <f ca="1">IFERROR(__xludf.DUMMYFUNCTION("""COMPUTED_VALUE"""),42409.6666666666)</f>
        <v>42409.666666666599</v>
      </c>
      <c r="B279" s="1">
        <f ca="1">IFERROR(__xludf.DUMMYFUNCTION("""COMPUTED_VALUE"""),34.65)</f>
        <v>34.65</v>
      </c>
      <c r="C279" s="1">
        <f ca="1">IFERROR(__xludf.DUMMYFUNCTION("""COMPUTED_VALUE"""),36.05)</f>
        <v>36.049999999999997</v>
      </c>
      <c r="D279" s="1">
        <f ca="1">IFERROR(__xludf.DUMMYFUNCTION("""COMPUTED_VALUE"""),34.42)</f>
        <v>34.42</v>
      </c>
      <c r="E279" s="1">
        <f ca="1">IFERROR(__xludf.DUMMYFUNCTION("""COMPUTED_VALUE"""),35.05)</f>
        <v>35.049999999999997</v>
      </c>
      <c r="F279" s="1">
        <f ca="1">IFERROR(__xludf.DUMMYFUNCTION("""COMPUTED_VALUE"""),4214950)</f>
        <v>4214950</v>
      </c>
    </row>
    <row r="280" spans="1:6" x14ac:dyDescent="0.35">
      <c r="A280" s="2">
        <f ca="1">IFERROR(__xludf.DUMMYFUNCTION("""COMPUTED_VALUE"""),42410.6666666666)</f>
        <v>42410.666666666599</v>
      </c>
      <c r="B280" s="1">
        <f ca="1">IFERROR(__xludf.DUMMYFUNCTION("""COMPUTED_VALUE"""),35.59)</f>
        <v>35.590000000000003</v>
      </c>
      <c r="C280" s="1">
        <f ca="1">IFERROR(__xludf.DUMMYFUNCTION("""COMPUTED_VALUE"""),36.16)</f>
        <v>36.159999999999997</v>
      </c>
      <c r="D280" s="1">
        <f ca="1">IFERROR(__xludf.DUMMYFUNCTION("""COMPUTED_VALUE"""),35.27)</f>
        <v>35.270000000000003</v>
      </c>
      <c r="E280" s="1">
        <f ca="1">IFERROR(__xludf.DUMMYFUNCTION("""COMPUTED_VALUE"""),35.34)</f>
        <v>35.340000000000003</v>
      </c>
      <c r="F280" s="1">
        <f ca="1">IFERROR(__xludf.DUMMYFUNCTION("""COMPUTED_VALUE"""),3015733)</f>
        <v>3015733</v>
      </c>
    </row>
    <row r="281" spans="1:6" x14ac:dyDescent="0.35">
      <c r="A281" s="2">
        <f ca="1">IFERROR(__xludf.DUMMYFUNCTION("""COMPUTED_VALUE"""),42411.6666666666)</f>
        <v>42411.666666666599</v>
      </c>
      <c r="B281" s="1">
        <f ca="1">IFERROR(__xludf.DUMMYFUNCTION("""COMPUTED_VALUE"""),34.82)</f>
        <v>34.82</v>
      </c>
      <c r="C281" s="1">
        <f ca="1">IFERROR(__xludf.DUMMYFUNCTION("""COMPUTED_VALUE"""),35.62)</f>
        <v>35.619999999999997</v>
      </c>
      <c r="D281" s="1">
        <f ca="1">IFERROR(__xludf.DUMMYFUNCTION("""COMPUTED_VALUE"""),34.56)</f>
        <v>34.56</v>
      </c>
      <c r="E281" s="1">
        <f ca="1">IFERROR(__xludf.DUMMYFUNCTION("""COMPUTED_VALUE"""),35.32)</f>
        <v>35.32</v>
      </c>
      <c r="F281" s="1">
        <f ca="1">IFERROR(__xludf.DUMMYFUNCTION("""COMPUTED_VALUE"""),3250206)</f>
        <v>3250206</v>
      </c>
    </row>
    <row r="282" spans="1:6" x14ac:dyDescent="0.35">
      <c r="A282" s="2">
        <f ca="1">IFERROR(__xludf.DUMMYFUNCTION("""COMPUTED_VALUE"""),42412.6666666666)</f>
        <v>42412.666666666599</v>
      </c>
      <c r="B282" s="1">
        <f ca="1">IFERROR(__xludf.DUMMYFUNCTION("""COMPUTED_VALUE"""),35.61)</f>
        <v>35.61</v>
      </c>
      <c r="C282" s="1">
        <f ca="1">IFERROR(__xludf.DUMMYFUNCTION("""COMPUTED_VALUE"""),35.8)</f>
        <v>35.799999999999997</v>
      </c>
      <c r="D282" s="1">
        <f ca="1">IFERROR(__xludf.DUMMYFUNCTION("""COMPUTED_VALUE"""),35.08)</f>
        <v>35.08</v>
      </c>
      <c r="E282" s="1">
        <f ca="1">IFERROR(__xludf.DUMMYFUNCTION("""COMPUTED_VALUE"""),35.34)</f>
        <v>35.340000000000003</v>
      </c>
      <c r="F282" s="1">
        <f ca="1">IFERROR(__xludf.DUMMYFUNCTION("""COMPUTED_VALUE"""),2326889)</f>
        <v>2326889</v>
      </c>
    </row>
    <row r="283" spans="1:6" x14ac:dyDescent="0.35">
      <c r="A283" s="2">
        <f ca="1">IFERROR(__xludf.DUMMYFUNCTION("""COMPUTED_VALUE"""),42416.6666666666)</f>
        <v>42416.666666666599</v>
      </c>
      <c r="B283" s="1">
        <f ca="1">IFERROR(__xludf.DUMMYFUNCTION("""COMPUTED_VALUE"""),35.93)</f>
        <v>35.93</v>
      </c>
      <c r="C283" s="1">
        <f ca="1">IFERROR(__xludf.DUMMYFUNCTION("""COMPUTED_VALUE"""),36.14)</f>
        <v>36.14</v>
      </c>
      <c r="D283" s="1">
        <f ca="1">IFERROR(__xludf.DUMMYFUNCTION("""COMPUTED_VALUE"""),35.51)</f>
        <v>35.51</v>
      </c>
      <c r="E283" s="1">
        <f ca="1">IFERROR(__xludf.DUMMYFUNCTION("""COMPUTED_VALUE"""),35.88)</f>
        <v>35.880000000000003</v>
      </c>
      <c r="F283" s="1">
        <f ca="1">IFERROR(__xludf.DUMMYFUNCTION("""COMPUTED_VALUE"""),2172213)</f>
        <v>2172213</v>
      </c>
    </row>
    <row r="284" spans="1:6" x14ac:dyDescent="0.35">
      <c r="A284" s="2">
        <f ca="1">IFERROR(__xludf.DUMMYFUNCTION("""COMPUTED_VALUE"""),42417.6666666666)</f>
        <v>42417.666666666599</v>
      </c>
      <c r="B284" s="1">
        <f ca="1">IFERROR(__xludf.DUMMYFUNCTION("""COMPUTED_VALUE"""),36.35)</f>
        <v>36.35</v>
      </c>
      <c r="C284" s="1">
        <f ca="1">IFERROR(__xludf.DUMMYFUNCTION("""COMPUTED_VALUE"""),36.69)</f>
        <v>36.69</v>
      </c>
      <c r="D284" s="1">
        <f ca="1">IFERROR(__xludf.DUMMYFUNCTION("""COMPUTED_VALUE"""),35.83)</f>
        <v>35.83</v>
      </c>
      <c r="E284" s="1">
        <f ca="1">IFERROR(__xludf.DUMMYFUNCTION("""COMPUTED_VALUE"""),36.6)</f>
        <v>36.6</v>
      </c>
      <c r="F284" s="1">
        <f ca="1">IFERROR(__xludf.DUMMYFUNCTION("""COMPUTED_VALUE"""),2457715)</f>
        <v>2457715</v>
      </c>
    </row>
    <row r="285" spans="1:6" x14ac:dyDescent="0.35">
      <c r="A285" s="2">
        <f ca="1">IFERROR(__xludf.DUMMYFUNCTION("""COMPUTED_VALUE"""),42418.6666666666)</f>
        <v>42418.666666666599</v>
      </c>
      <c r="B285" s="1">
        <f ca="1">IFERROR(__xludf.DUMMYFUNCTION("""COMPUTED_VALUE"""),36.7)</f>
        <v>36.700000000000003</v>
      </c>
      <c r="C285" s="1">
        <f ca="1">IFERROR(__xludf.DUMMYFUNCTION("""COMPUTED_VALUE"""),36.8)</f>
        <v>36.799999999999997</v>
      </c>
      <c r="D285" s="1">
        <f ca="1">IFERROR(__xludf.DUMMYFUNCTION("""COMPUTED_VALUE"""),35.78)</f>
        <v>35.78</v>
      </c>
      <c r="E285" s="1">
        <f ca="1">IFERROR(__xludf.DUMMYFUNCTION("""COMPUTED_VALUE"""),35.88)</f>
        <v>35.880000000000003</v>
      </c>
      <c r="F285" s="1">
        <f ca="1">IFERROR(__xludf.DUMMYFUNCTION("""COMPUTED_VALUE"""),2363846)</f>
        <v>2363846</v>
      </c>
    </row>
    <row r="286" spans="1:6" x14ac:dyDescent="0.35">
      <c r="A286" s="2">
        <f ca="1">IFERROR(__xludf.DUMMYFUNCTION("""COMPUTED_VALUE"""),42419.6666666666)</f>
        <v>42419.666666666599</v>
      </c>
      <c r="B286" s="1">
        <f ca="1">IFERROR(__xludf.DUMMYFUNCTION("""COMPUTED_VALUE"""),35.8)</f>
        <v>35.799999999999997</v>
      </c>
      <c r="C286" s="1">
        <f ca="1">IFERROR(__xludf.DUMMYFUNCTION("""COMPUTED_VALUE"""),36.2)</f>
        <v>36.200000000000003</v>
      </c>
      <c r="D286" s="1">
        <f ca="1">IFERROR(__xludf.DUMMYFUNCTION("""COMPUTED_VALUE"""),35.66)</f>
        <v>35.659999999999997</v>
      </c>
      <c r="E286" s="1">
        <f ca="1">IFERROR(__xludf.DUMMYFUNCTION("""COMPUTED_VALUE"""),36.11)</f>
        <v>36.11</v>
      </c>
      <c r="F286" s="1">
        <f ca="1">IFERROR(__xludf.DUMMYFUNCTION("""COMPUTED_VALUE"""),1745940)</f>
        <v>1745940</v>
      </c>
    </row>
    <row r="287" spans="1:6" x14ac:dyDescent="0.35">
      <c r="A287" s="2">
        <f ca="1">IFERROR(__xludf.DUMMYFUNCTION("""COMPUTED_VALUE"""),42422.6666666666)</f>
        <v>42422.666666666599</v>
      </c>
      <c r="B287" s="1">
        <f ca="1">IFERROR(__xludf.DUMMYFUNCTION("""COMPUTED_VALUE"""),36.48)</f>
        <v>36.479999999999997</v>
      </c>
      <c r="C287" s="1">
        <f ca="1">IFERROR(__xludf.DUMMYFUNCTION("""COMPUTED_VALUE"""),36.74)</f>
        <v>36.74</v>
      </c>
      <c r="D287" s="1">
        <f ca="1">IFERROR(__xludf.DUMMYFUNCTION("""COMPUTED_VALUE"""),36.17)</f>
        <v>36.17</v>
      </c>
      <c r="E287" s="1">
        <f ca="1">IFERROR(__xludf.DUMMYFUNCTION("""COMPUTED_VALUE"""),36.45)</f>
        <v>36.450000000000003</v>
      </c>
      <c r="F287" s="1">
        <f ca="1">IFERROR(__xludf.DUMMYFUNCTION("""COMPUTED_VALUE"""),1875824)</f>
        <v>1875824</v>
      </c>
    </row>
    <row r="288" spans="1:6" x14ac:dyDescent="0.35">
      <c r="A288" s="2">
        <f ca="1">IFERROR(__xludf.DUMMYFUNCTION("""COMPUTED_VALUE"""),42423.6666666666)</f>
        <v>42423.666666666599</v>
      </c>
      <c r="B288" s="1">
        <f ca="1">IFERROR(__xludf.DUMMYFUNCTION("""COMPUTED_VALUE"""),36.31)</f>
        <v>36.31</v>
      </c>
      <c r="C288" s="1">
        <f ca="1">IFERROR(__xludf.DUMMYFUNCTION("""COMPUTED_VALUE"""),36.55)</f>
        <v>36.549999999999997</v>
      </c>
      <c r="D288" s="1">
        <f ca="1">IFERROR(__xludf.DUMMYFUNCTION("""COMPUTED_VALUE"""),35.78)</f>
        <v>35.78</v>
      </c>
      <c r="E288" s="1">
        <f ca="1">IFERROR(__xludf.DUMMYFUNCTION("""COMPUTED_VALUE"""),35.86)</f>
        <v>35.86</v>
      </c>
      <c r="F288" s="1">
        <f ca="1">IFERROR(__xludf.DUMMYFUNCTION("""COMPUTED_VALUE"""),2066566)</f>
        <v>2066566</v>
      </c>
    </row>
    <row r="289" spans="1:6" x14ac:dyDescent="0.35">
      <c r="A289" s="2">
        <f ca="1">IFERROR(__xludf.DUMMYFUNCTION("""COMPUTED_VALUE"""),42424.6666666666)</f>
        <v>42424.666666666599</v>
      </c>
      <c r="B289" s="1">
        <f ca="1">IFERROR(__xludf.DUMMYFUNCTION("""COMPUTED_VALUE"""),35.53)</f>
        <v>35.53</v>
      </c>
      <c r="C289" s="1">
        <f ca="1">IFERROR(__xludf.DUMMYFUNCTION("""COMPUTED_VALUE"""),36.06)</f>
        <v>36.06</v>
      </c>
      <c r="D289" s="1">
        <f ca="1">IFERROR(__xludf.DUMMYFUNCTION("""COMPUTED_VALUE"""),35.1)</f>
        <v>35.1</v>
      </c>
      <c r="E289" s="1">
        <f ca="1">IFERROR(__xludf.DUMMYFUNCTION("""COMPUTED_VALUE"""),36.05)</f>
        <v>36.049999999999997</v>
      </c>
      <c r="F289" s="1">
        <f ca="1">IFERROR(__xludf.DUMMYFUNCTION("""COMPUTED_VALUE"""),1854612)</f>
        <v>1854612</v>
      </c>
    </row>
    <row r="290" spans="1:6" x14ac:dyDescent="0.35">
      <c r="A290" s="2">
        <f ca="1">IFERROR(__xludf.DUMMYFUNCTION("""COMPUTED_VALUE"""),42425.6666666666)</f>
        <v>42425.666666666599</v>
      </c>
      <c r="B290" s="1">
        <f ca="1">IFERROR(__xludf.DUMMYFUNCTION("""COMPUTED_VALUE"""),36.15)</f>
        <v>36.15</v>
      </c>
      <c r="C290" s="1">
        <f ca="1">IFERROR(__xludf.DUMMYFUNCTION("""COMPUTED_VALUE"""),36.48)</f>
        <v>36.479999999999997</v>
      </c>
      <c r="D290" s="1">
        <f ca="1">IFERROR(__xludf.DUMMYFUNCTION("""COMPUTED_VALUE"""),35.66)</f>
        <v>35.659999999999997</v>
      </c>
      <c r="E290" s="1">
        <f ca="1">IFERROR(__xludf.DUMMYFUNCTION("""COMPUTED_VALUE"""),36.46)</f>
        <v>36.46</v>
      </c>
      <c r="F290" s="1">
        <f ca="1">IFERROR(__xludf.DUMMYFUNCTION("""COMPUTED_VALUE"""),1807258)</f>
        <v>1807258</v>
      </c>
    </row>
    <row r="291" spans="1:6" x14ac:dyDescent="0.35">
      <c r="A291" s="2">
        <f ca="1">IFERROR(__xludf.DUMMYFUNCTION("""COMPUTED_VALUE"""),42426.6666666666)</f>
        <v>42426.666666666599</v>
      </c>
      <c r="B291" s="1">
        <f ca="1">IFERROR(__xludf.DUMMYFUNCTION("""COMPUTED_VALUE"""),36.68)</f>
        <v>36.68</v>
      </c>
      <c r="C291" s="1">
        <f ca="1">IFERROR(__xludf.DUMMYFUNCTION("""COMPUTED_VALUE"""),36.81)</f>
        <v>36.81</v>
      </c>
      <c r="D291" s="1">
        <f ca="1">IFERROR(__xludf.DUMMYFUNCTION("""COMPUTED_VALUE"""),36.1)</f>
        <v>36.1</v>
      </c>
      <c r="E291" s="1">
        <f ca="1">IFERROR(__xludf.DUMMYFUNCTION("""COMPUTED_VALUE"""),36.24)</f>
        <v>36.24</v>
      </c>
      <c r="F291" s="1">
        <f ca="1">IFERROR(__xludf.DUMMYFUNCTION("""COMPUTED_VALUE"""),2123690)</f>
        <v>2123690</v>
      </c>
    </row>
    <row r="292" spans="1:6" x14ac:dyDescent="0.35">
      <c r="A292" s="2">
        <f ca="1">IFERROR(__xludf.DUMMYFUNCTION("""COMPUTED_VALUE"""),42429.6666666666)</f>
        <v>42429.666666666599</v>
      </c>
      <c r="B292" s="1">
        <f ca="1">IFERROR(__xludf.DUMMYFUNCTION("""COMPUTED_VALUE"""),36.05)</f>
        <v>36.049999999999997</v>
      </c>
      <c r="C292" s="1">
        <f ca="1">IFERROR(__xludf.DUMMYFUNCTION("""COMPUTED_VALUE"""),36.53)</f>
        <v>36.53</v>
      </c>
      <c r="D292" s="1">
        <f ca="1">IFERROR(__xludf.DUMMYFUNCTION("""COMPUTED_VALUE"""),35.84)</f>
        <v>35.840000000000003</v>
      </c>
      <c r="E292" s="1">
        <f ca="1">IFERROR(__xludf.DUMMYFUNCTION("""COMPUTED_VALUE"""),35.86)</f>
        <v>35.86</v>
      </c>
      <c r="F292" s="1">
        <f ca="1">IFERROR(__xludf.DUMMYFUNCTION("""COMPUTED_VALUE"""),2253426)</f>
        <v>2253426</v>
      </c>
    </row>
    <row r="293" spans="1:6" x14ac:dyDescent="0.35">
      <c r="A293" s="2">
        <f ca="1">IFERROR(__xludf.DUMMYFUNCTION("""COMPUTED_VALUE"""),42430.6666666666)</f>
        <v>42430.666666666599</v>
      </c>
      <c r="B293" s="1">
        <f ca="1">IFERROR(__xludf.DUMMYFUNCTION("""COMPUTED_VALUE"""),36.07)</f>
        <v>36.07</v>
      </c>
      <c r="C293" s="1">
        <f ca="1">IFERROR(__xludf.DUMMYFUNCTION("""COMPUTED_VALUE"""),37.12)</f>
        <v>37.119999999999997</v>
      </c>
      <c r="D293" s="1">
        <f ca="1">IFERROR(__xludf.DUMMYFUNCTION("""COMPUTED_VALUE"""),35.93)</f>
        <v>35.93</v>
      </c>
      <c r="E293" s="1">
        <f ca="1">IFERROR(__xludf.DUMMYFUNCTION("""COMPUTED_VALUE"""),37.11)</f>
        <v>37.11</v>
      </c>
      <c r="F293" s="1">
        <f ca="1">IFERROR(__xludf.DUMMYFUNCTION("""COMPUTED_VALUE"""),3005553)</f>
        <v>3005553</v>
      </c>
    </row>
    <row r="294" spans="1:6" x14ac:dyDescent="0.35">
      <c r="A294" s="2">
        <f ca="1">IFERROR(__xludf.DUMMYFUNCTION("""COMPUTED_VALUE"""),42431.6666666666)</f>
        <v>42431.666666666599</v>
      </c>
      <c r="B294" s="1">
        <f ca="1">IFERROR(__xludf.DUMMYFUNCTION("""COMPUTED_VALUE"""),37.14)</f>
        <v>37.14</v>
      </c>
      <c r="C294" s="1">
        <f ca="1">IFERROR(__xludf.DUMMYFUNCTION("""COMPUTED_VALUE"""),37.16)</f>
        <v>37.159999999999997</v>
      </c>
      <c r="D294" s="1">
        <f ca="1">IFERROR(__xludf.DUMMYFUNCTION("""COMPUTED_VALUE"""),36.66)</f>
        <v>36.659999999999997</v>
      </c>
      <c r="E294" s="1">
        <f ca="1">IFERROR(__xludf.DUMMYFUNCTION("""COMPUTED_VALUE"""),36.97)</f>
        <v>36.97</v>
      </c>
      <c r="F294" s="1">
        <f ca="1">IFERROR(__xludf.DUMMYFUNCTION("""COMPUTED_VALUE"""),1814643)</f>
        <v>1814643</v>
      </c>
    </row>
    <row r="295" spans="1:6" x14ac:dyDescent="0.35">
      <c r="A295" s="2">
        <f ca="1">IFERROR(__xludf.DUMMYFUNCTION("""COMPUTED_VALUE"""),42432.6666666666)</f>
        <v>42432.666666666599</v>
      </c>
      <c r="B295" s="1">
        <f ca="1">IFERROR(__xludf.DUMMYFUNCTION("""COMPUTED_VALUE"""),36.97)</f>
        <v>36.97</v>
      </c>
      <c r="C295" s="1">
        <f ca="1">IFERROR(__xludf.DUMMYFUNCTION("""COMPUTED_VALUE"""),37.05)</f>
        <v>37.049999999999997</v>
      </c>
      <c r="D295" s="1">
        <f ca="1">IFERROR(__xludf.DUMMYFUNCTION("""COMPUTED_VALUE"""),36.48)</f>
        <v>36.479999999999997</v>
      </c>
      <c r="E295" s="1">
        <f ca="1">IFERROR(__xludf.DUMMYFUNCTION("""COMPUTED_VALUE"""),36.58)</f>
        <v>36.58</v>
      </c>
      <c r="F295" s="1">
        <f ca="1">IFERROR(__xludf.DUMMYFUNCTION("""COMPUTED_VALUE"""),2026700)</f>
        <v>2026700</v>
      </c>
    </row>
    <row r="296" spans="1:6" x14ac:dyDescent="0.35">
      <c r="A296" s="2">
        <f ca="1">IFERROR(__xludf.DUMMYFUNCTION("""COMPUTED_VALUE"""),42433.6666666666)</f>
        <v>42433.666666666599</v>
      </c>
      <c r="B296" s="1">
        <f ca="1">IFERROR(__xludf.DUMMYFUNCTION("""COMPUTED_VALUE"""),36.74)</f>
        <v>36.74</v>
      </c>
      <c r="C296" s="1">
        <f ca="1">IFERROR(__xludf.DUMMYFUNCTION("""COMPUTED_VALUE"""),36.75)</f>
        <v>36.75</v>
      </c>
      <c r="D296" s="1">
        <f ca="1">IFERROR(__xludf.DUMMYFUNCTION("""COMPUTED_VALUE"""),36.28)</f>
        <v>36.28</v>
      </c>
      <c r="E296" s="1">
        <f ca="1">IFERROR(__xludf.DUMMYFUNCTION("""COMPUTED_VALUE"""),36.51)</f>
        <v>36.51</v>
      </c>
      <c r="F296" s="1">
        <f ca="1">IFERROR(__xludf.DUMMYFUNCTION("""COMPUTED_VALUE"""),2425750)</f>
        <v>2425750</v>
      </c>
    </row>
    <row r="297" spans="1:6" x14ac:dyDescent="0.35">
      <c r="A297" s="2">
        <f ca="1">IFERROR(__xludf.DUMMYFUNCTION("""COMPUTED_VALUE"""),42436.6666666666)</f>
        <v>42436.666666666599</v>
      </c>
      <c r="B297" s="1">
        <f ca="1">IFERROR(__xludf.DUMMYFUNCTION("""COMPUTED_VALUE"""),36.26)</f>
        <v>36.26</v>
      </c>
      <c r="C297" s="1">
        <f ca="1">IFERROR(__xludf.DUMMYFUNCTION("""COMPUTED_VALUE"""),36.36)</f>
        <v>36.36</v>
      </c>
      <c r="D297" s="1">
        <f ca="1">IFERROR(__xludf.DUMMYFUNCTION("""COMPUTED_VALUE"""),35.26)</f>
        <v>35.26</v>
      </c>
      <c r="E297" s="1">
        <f ca="1">IFERROR(__xludf.DUMMYFUNCTION("""COMPUTED_VALUE"""),35.64)</f>
        <v>35.64</v>
      </c>
      <c r="F297" s="1">
        <f ca="1">IFERROR(__xludf.DUMMYFUNCTION("""COMPUTED_VALUE"""),3088278)</f>
        <v>3088278</v>
      </c>
    </row>
    <row r="298" spans="1:6" x14ac:dyDescent="0.35">
      <c r="A298" s="2">
        <f ca="1">IFERROR(__xludf.DUMMYFUNCTION("""COMPUTED_VALUE"""),42437.6666666666)</f>
        <v>42437.666666666599</v>
      </c>
      <c r="B298" s="1">
        <f ca="1">IFERROR(__xludf.DUMMYFUNCTION("""COMPUTED_VALUE"""),35.42)</f>
        <v>35.42</v>
      </c>
      <c r="C298" s="1">
        <f ca="1">IFERROR(__xludf.DUMMYFUNCTION("""COMPUTED_VALUE"""),36.11)</f>
        <v>36.11</v>
      </c>
      <c r="D298" s="1">
        <f ca="1">IFERROR(__xludf.DUMMYFUNCTION("""COMPUTED_VALUE"""),35.2)</f>
        <v>35.200000000000003</v>
      </c>
      <c r="E298" s="1">
        <f ca="1">IFERROR(__xludf.DUMMYFUNCTION("""COMPUTED_VALUE"""),35.68)</f>
        <v>35.68</v>
      </c>
      <c r="F298" s="1">
        <f ca="1">IFERROR(__xludf.DUMMYFUNCTION("""COMPUTED_VALUE"""),2626495)</f>
        <v>2626495</v>
      </c>
    </row>
    <row r="299" spans="1:6" x14ac:dyDescent="0.35">
      <c r="A299" s="2">
        <f ca="1">IFERROR(__xludf.DUMMYFUNCTION("""COMPUTED_VALUE"""),42438.6666666666)</f>
        <v>42438.666666666599</v>
      </c>
      <c r="B299" s="1">
        <f ca="1">IFERROR(__xludf.DUMMYFUNCTION("""COMPUTED_VALUE"""),35.76)</f>
        <v>35.76</v>
      </c>
      <c r="C299" s="1">
        <f ca="1">IFERROR(__xludf.DUMMYFUNCTION("""COMPUTED_VALUE"""),36.31)</f>
        <v>36.31</v>
      </c>
      <c r="D299" s="1">
        <f ca="1">IFERROR(__xludf.DUMMYFUNCTION("""COMPUTED_VALUE"""),35.63)</f>
        <v>35.630000000000003</v>
      </c>
      <c r="E299" s="1">
        <f ca="1">IFERROR(__xludf.DUMMYFUNCTION("""COMPUTED_VALUE"""),36.27)</f>
        <v>36.270000000000003</v>
      </c>
      <c r="F299" s="1">
        <f ca="1">IFERROR(__xludf.DUMMYFUNCTION("""COMPUTED_VALUE"""),1977169)</f>
        <v>1977169</v>
      </c>
    </row>
    <row r="300" spans="1:6" x14ac:dyDescent="0.35">
      <c r="A300" s="2">
        <f ca="1">IFERROR(__xludf.DUMMYFUNCTION("""COMPUTED_VALUE"""),42439.6666666666)</f>
        <v>42439.666666666599</v>
      </c>
      <c r="B300" s="1">
        <f ca="1">IFERROR(__xludf.DUMMYFUNCTION("""COMPUTED_VALUE"""),36.39)</f>
        <v>36.39</v>
      </c>
      <c r="C300" s="1">
        <f ca="1">IFERROR(__xludf.DUMMYFUNCTION("""COMPUTED_VALUE"""),36.83)</f>
        <v>36.83</v>
      </c>
      <c r="D300" s="1">
        <f ca="1">IFERROR(__xludf.DUMMYFUNCTION("""COMPUTED_VALUE"""),36.16)</f>
        <v>36.159999999999997</v>
      </c>
      <c r="E300" s="1">
        <f ca="1">IFERROR(__xludf.DUMMYFUNCTION("""COMPUTED_VALUE"""),36.61)</f>
        <v>36.61</v>
      </c>
      <c r="F300" s="1">
        <f ca="1">IFERROR(__xludf.DUMMYFUNCTION("""COMPUTED_VALUE"""),2230811)</f>
        <v>2230811</v>
      </c>
    </row>
    <row r="301" spans="1:6" x14ac:dyDescent="0.35">
      <c r="A301" s="2">
        <f ca="1">IFERROR(__xludf.DUMMYFUNCTION("""COMPUTED_VALUE"""),42440.6666666666)</f>
        <v>42440.666666666599</v>
      </c>
      <c r="B301" s="1">
        <f ca="1">IFERROR(__xludf.DUMMYFUNCTION("""COMPUTED_VALUE"""),37)</f>
        <v>37</v>
      </c>
      <c r="C301" s="1">
        <f ca="1">IFERROR(__xludf.DUMMYFUNCTION("""COMPUTED_VALUE"""),37.24)</f>
        <v>37.24</v>
      </c>
      <c r="D301" s="1">
        <f ca="1">IFERROR(__xludf.DUMMYFUNCTION("""COMPUTED_VALUE"""),36.84)</f>
        <v>36.840000000000003</v>
      </c>
      <c r="E301" s="1">
        <f ca="1">IFERROR(__xludf.DUMMYFUNCTION("""COMPUTED_VALUE"""),37.24)</f>
        <v>37.24</v>
      </c>
      <c r="F301" s="1">
        <f ca="1">IFERROR(__xludf.DUMMYFUNCTION("""COMPUTED_VALUE"""),1768995)</f>
        <v>1768995</v>
      </c>
    </row>
    <row r="302" spans="1:6" x14ac:dyDescent="0.35">
      <c r="A302" s="2">
        <f ca="1">IFERROR(__xludf.DUMMYFUNCTION("""COMPUTED_VALUE"""),42443.6666666666)</f>
        <v>42443.666666666599</v>
      </c>
      <c r="B302" s="1">
        <f ca="1">IFERROR(__xludf.DUMMYFUNCTION("""COMPUTED_VALUE"""),37.25)</f>
        <v>37.25</v>
      </c>
      <c r="C302" s="1">
        <f ca="1">IFERROR(__xludf.DUMMYFUNCTION("""COMPUTED_VALUE"""),37.71)</f>
        <v>37.71</v>
      </c>
      <c r="D302" s="1">
        <f ca="1">IFERROR(__xludf.DUMMYFUNCTION("""COMPUTED_VALUE"""),37.18)</f>
        <v>37.18</v>
      </c>
      <c r="E302" s="1">
        <f ca="1">IFERROR(__xludf.DUMMYFUNCTION("""COMPUTED_VALUE"""),37.51)</f>
        <v>37.51</v>
      </c>
      <c r="F302" s="1">
        <f ca="1">IFERROR(__xludf.DUMMYFUNCTION("""COMPUTED_VALUE"""),1641189)</f>
        <v>1641189</v>
      </c>
    </row>
    <row r="303" spans="1:6" x14ac:dyDescent="0.35">
      <c r="A303" s="2">
        <f ca="1">IFERROR(__xludf.DUMMYFUNCTION("""COMPUTED_VALUE"""),42444.6666666666)</f>
        <v>42444.666666666599</v>
      </c>
      <c r="B303" s="1">
        <f ca="1">IFERROR(__xludf.DUMMYFUNCTION("""COMPUTED_VALUE"""),37.3)</f>
        <v>37.299999999999997</v>
      </c>
      <c r="C303" s="1">
        <f ca="1">IFERROR(__xludf.DUMMYFUNCTION("""COMPUTED_VALUE"""),37.65)</f>
        <v>37.65</v>
      </c>
      <c r="D303" s="1">
        <f ca="1">IFERROR(__xludf.DUMMYFUNCTION("""COMPUTED_VALUE"""),37.14)</f>
        <v>37.14</v>
      </c>
      <c r="E303" s="1">
        <f ca="1">IFERROR(__xludf.DUMMYFUNCTION("""COMPUTED_VALUE"""),37.53)</f>
        <v>37.53</v>
      </c>
      <c r="F303" s="1">
        <f ca="1">IFERROR(__xludf.DUMMYFUNCTION("""COMPUTED_VALUE"""),1491578)</f>
        <v>1491578</v>
      </c>
    </row>
    <row r="304" spans="1:6" x14ac:dyDescent="0.35">
      <c r="A304" s="2">
        <f ca="1">IFERROR(__xludf.DUMMYFUNCTION("""COMPUTED_VALUE"""),42445.6666666666)</f>
        <v>42445.666666666599</v>
      </c>
      <c r="B304" s="1">
        <f ca="1">IFERROR(__xludf.DUMMYFUNCTION("""COMPUTED_VALUE"""),37.45)</f>
        <v>37.450000000000003</v>
      </c>
      <c r="C304" s="1">
        <f ca="1">IFERROR(__xludf.DUMMYFUNCTION("""COMPUTED_VALUE"""),37.95)</f>
        <v>37.950000000000003</v>
      </c>
      <c r="D304" s="1">
        <f ca="1">IFERROR(__xludf.DUMMYFUNCTION("""COMPUTED_VALUE"""),37.33)</f>
        <v>37.33</v>
      </c>
      <c r="E304" s="1">
        <f ca="1">IFERROR(__xludf.DUMMYFUNCTION("""COMPUTED_VALUE"""),37.87)</f>
        <v>37.869999999999997</v>
      </c>
      <c r="F304" s="1">
        <f ca="1">IFERROR(__xludf.DUMMYFUNCTION("""COMPUTED_VALUE"""),1465285)</f>
        <v>1465285</v>
      </c>
    </row>
    <row r="305" spans="1:6" x14ac:dyDescent="0.35">
      <c r="A305" s="2">
        <f ca="1">IFERROR(__xludf.DUMMYFUNCTION("""COMPUTED_VALUE"""),42446.6666666666)</f>
        <v>42446.666666666599</v>
      </c>
      <c r="B305" s="1">
        <f ca="1">IFERROR(__xludf.DUMMYFUNCTION("""COMPUTED_VALUE"""),37.88)</f>
        <v>37.880000000000003</v>
      </c>
      <c r="C305" s="1">
        <f ca="1">IFERROR(__xludf.DUMMYFUNCTION("""COMPUTED_VALUE"""),38.27)</f>
        <v>38.270000000000003</v>
      </c>
      <c r="D305" s="1">
        <f ca="1">IFERROR(__xludf.DUMMYFUNCTION("""COMPUTED_VALUE"""),37.87)</f>
        <v>37.869999999999997</v>
      </c>
      <c r="E305" s="1">
        <f ca="1">IFERROR(__xludf.DUMMYFUNCTION("""COMPUTED_VALUE"""),37.92)</f>
        <v>37.92</v>
      </c>
      <c r="F305" s="1">
        <f ca="1">IFERROR(__xludf.DUMMYFUNCTION("""COMPUTED_VALUE"""),757390)</f>
        <v>757390</v>
      </c>
    </row>
    <row r="306" spans="1:6" x14ac:dyDescent="0.35">
      <c r="A306" s="2">
        <f ca="1">IFERROR(__xludf.DUMMYFUNCTION("""COMPUTED_VALUE"""),42447.6666666666)</f>
        <v>42447.666666666599</v>
      </c>
      <c r="B306" s="1">
        <f ca="1">IFERROR(__xludf.DUMMYFUNCTION("""COMPUTED_VALUE"""),38.08)</f>
        <v>38.08</v>
      </c>
      <c r="C306" s="1">
        <f ca="1">IFERROR(__xludf.DUMMYFUNCTION("""COMPUTED_VALUE"""),38.11)</f>
        <v>38.11</v>
      </c>
      <c r="D306" s="1">
        <f ca="1">IFERROR(__xludf.DUMMYFUNCTION("""COMPUTED_VALUE"""),37.59)</f>
        <v>37.590000000000003</v>
      </c>
      <c r="E306" s="1">
        <f ca="1">IFERROR(__xludf.DUMMYFUNCTION("""COMPUTED_VALUE"""),37.77)</f>
        <v>37.770000000000003</v>
      </c>
      <c r="F306" s="1">
        <f ca="1">IFERROR(__xludf.DUMMYFUNCTION("""COMPUTED_VALUE"""),2811518)</f>
        <v>2811518</v>
      </c>
    </row>
    <row r="307" spans="1:6" x14ac:dyDescent="0.35">
      <c r="A307" s="2">
        <f ca="1">IFERROR(__xludf.DUMMYFUNCTION("""COMPUTED_VALUE"""),42450.6666666666)</f>
        <v>42450.666666666599</v>
      </c>
      <c r="B307" s="1">
        <f ca="1">IFERROR(__xludf.DUMMYFUNCTION("""COMPUTED_VALUE"""),37.7)</f>
        <v>37.700000000000003</v>
      </c>
      <c r="C307" s="1">
        <f ca="1">IFERROR(__xludf.DUMMYFUNCTION("""COMPUTED_VALUE"""),38.17)</f>
        <v>38.17</v>
      </c>
      <c r="D307" s="1">
        <f ca="1">IFERROR(__xludf.DUMMYFUNCTION("""COMPUTED_VALUE"""),37.56)</f>
        <v>37.56</v>
      </c>
      <c r="E307" s="1">
        <f ca="1">IFERROR(__xludf.DUMMYFUNCTION("""COMPUTED_VALUE"""),38.11)</f>
        <v>38.11</v>
      </c>
      <c r="F307" s="1">
        <f ca="1">IFERROR(__xludf.DUMMYFUNCTION("""COMPUTED_VALUE"""),1438658)</f>
        <v>1438658</v>
      </c>
    </row>
    <row r="308" spans="1:6" x14ac:dyDescent="0.35">
      <c r="A308" s="2">
        <f ca="1">IFERROR(__xludf.DUMMYFUNCTION("""COMPUTED_VALUE"""),42451.6666666666)</f>
        <v>42451.666666666599</v>
      </c>
      <c r="B308" s="1">
        <f ca="1">IFERROR(__xludf.DUMMYFUNCTION("""COMPUTED_VALUE"""),37.92)</f>
        <v>37.92</v>
      </c>
      <c r="C308" s="1">
        <f ca="1">IFERROR(__xludf.DUMMYFUNCTION("""COMPUTED_VALUE"""),38.25)</f>
        <v>38.25</v>
      </c>
      <c r="D308" s="1">
        <f ca="1">IFERROR(__xludf.DUMMYFUNCTION("""COMPUTED_VALUE"""),37.89)</f>
        <v>37.89</v>
      </c>
      <c r="E308" s="1">
        <f ca="1">IFERROR(__xludf.DUMMYFUNCTION("""COMPUTED_VALUE"""),38)</f>
        <v>38</v>
      </c>
      <c r="F308" s="1">
        <f ca="1">IFERROR(__xludf.DUMMYFUNCTION("""COMPUTED_VALUE"""),1104784)</f>
        <v>1104784</v>
      </c>
    </row>
    <row r="309" spans="1:6" x14ac:dyDescent="0.35">
      <c r="A309" s="2">
        <f ca="1">IFERROR(__xludf.DUMMYFUNCTION("""COMPUTED_VALUE"""),42452.6666666666)</f>
        <v>42452.666666666599</v>
      </c>
      <c r="B309" s="1">
        <f ca="1">IFERROR(__xludf.DUMMYFUNCTION("""COMPUTED_VALUE"""),38.17)</f>
        <v>38.17</v>
      </c>
      <c r="C309" s="1">
        <f ca="1">IFERROR(__xludf.DUMMYFUNCTION("""COMPUTED_VALUE"""),38.27)</f>
        <v>38.270000000000003</v>
      </c>
      <c r="D309" s="1">
        <f ca="1">IFERROR(__xludf.DUMMYFUNCTION("""COMPUTED_VALUE"""),37.8)</f>
        <v>37.799999999999997</v>
      </c>
      <c r="E309" s="1">
        <f ca="1">IFERROR(__xludf.DUMMYFUNCTION("""COMPUTED_VALUE"""),37.88)</f>
        <v>37.880000000000003</v>
      </c>
      <c r="F309" s="1">
        <f ca="1">IFERROR(__xludf.DUMMYFUNCTION("""COMPUTED_VALUE"""),1233854)</f>
        <v>1233854</v>
      </c>
    </row>
    <row r="310" spans="1:6" x14ac:dyDescent="0.35">
      <c r="A310" s="2">
        <f ca="1">IFERROR(__xludf.DUMMYFUNCTION("""COMPUTED_VALUE"""),42453.6666666666)</f>
        <v>42453.666666666599</v>
      </c>
      <c r="B310" s="1">
        <f ca="1">IFERROR(__xludf.DUMMYFUNCTION("""COMPUTED_VALUE"""),37.56)</f>
        <v>37.56</v>
      </c>
      <c r="C310" s="1">
        <f ca="1">IFERROR(__xludf.DUMMYFUNCTION("""COMPUTED_VALUE"""),37.88)</f>
        <v>37.880000000000003</v>
      </c>
      <c r="D310" s="1">
        <f ca="1">IFERROR(__xludf.DUMMYFUNCTION("""COMPUTED_VALUE"""),37.53)</f>
        <v>37.53</v>
      </c>
      <c r="E310" s="1">
        <f ca="1">IFERROR(__xludf.DUMMYFUNCTION("""COMPUTED_VALUE"""),37.74)</f>
        <v>37.74</v>
      </c>
      <c r="F310" s="1">
        <f ca="1">IFERROR(__xludf.DUMMYFUNCTION("""COMPUTED_VALUE"""),1555844)</f>
        <v>1555844</v>
      </c>
    </row>
    <row r="311" spans="1:6" x14ac:dyDescent="0.35">
      <c r="A311" s="2">
        <f ca="1">IFERROR(__xludf.DUMMYFUNCTION("""COMPUTED_VALUE"""),42457.6666666666)</f>
        <v>42457.666666666599</v>
      </c>
      <c r="B311" s="1">
        <f ca="1">IFERROR(__xludf.DUMMYFUNCTION("""COMPUTED_VALUE"""),37.81)</f>
        <v>37.81</v>
      </c>
      <c r="C311" s="1">
        <f ca="1">IFERROR(__xludf.DUMMYFUNCTION("""COMPUTED_VALUE"""),37.92)</f>
        <v>37.92</v>
      </c>
      <c r="D311" s="1">
        <f ca="1">IFERROR(__xludf.DUMMYFUNCTION("""COMPUTED_VALUE"""),37.6)</f>
        <v>37.6</v>
      </c>
      <c r="E311" s="1">
        <f ca="1">IFERROR(__xludf.DUMMYFUNCTION("""COMPUTED_VALUE"""),37.66)</f>
        <v>37.659999999999997</v>
      </c>
      <c r="F311" s="1">
        <f ca="1">IFERROR(__xludf.DUMMYFUNCTION("""COMPUTED_VALUE"""),1083823)</f>
        <v>1083823</v>
      </c>
    </row>
    <row r="312" spans="1:6" x14ac:dyDescent="0.35">
      <c r="A312" s="2">
        <f ca="1">IFERROR(__xludf.DUMMYFUNCTION("""COMPUTED_VALUE"""),42458.6666666666)</f>
        <v>42458.666666666599</v>
      </c>
      <c r="B312" s="1">
        <f ca="1">IFERROR(__xludf.DUMMYFUNCTION("""COMPUTED_VALUE"""),37.68)</f>
        <v>37.68</v>
      </c>
      <c r="C312" s="1">
        <f ca="1">IFERROR(__xludf.DUMMYFUNCTION("""COMPUTED_VALUE"""),38.36)</f>
        <v>38.36</v>
      </c>
      <c r="D312" s="1">
        <f ca="1">IFERROR(__xludf.DUMMYFUNCTION("""COMPUTED_VALUE"""),37.41)</f>
        <v>37.409999999999997</v>
      </c>
      <c r="E312" s="1">
        <f ca="1">IFERROR(__xludf.DUMMYFUNCTION("""COMPUTED_VALUE"""),38.29)</f>
        <v>38.29</v>
      </c>
      <c r="F312" s="1">
        <f ca="1">IFERROR(__xludf.DUMMYFUNCTION("""COMPUTED_VALUE"""),2003061)</f>
        <v>2003061</v>
      </c>
    </row>
    <row r="313" spans="1:6" x14ac:dyDescent="0.35">
      <c r="A313" s="2">
        <f ca="1">IFERROR(__xludf.DUMMYFUNCTION("""COMPUTED_VALUE"""),42459.6666666666)</f>
        <v>42459.666666666599</v>
      </c>
      <c r="B313" s="1">
        <f ca="1">IFERROR(__xludf.DUMMYFUNCTION("""COMPUTED_VALUE"""),38.41)</f>
        <v>38.409999999999997</v>
      </c>
      <c r="C313" s="1">
        <f ca="1">IFERROR(__xludf.DUMMYFUNCTION("""COMPUTED_VALUE"""),38.87)</f>
        <v>38.869999999999997</v>
      </c>
      <c r="D313" s="1">
        <f ca="1">IFERROR(__xludf.DUMMYFUNCTION("""COMPUTED_VALUE"""),38.38)</f>
        <v>38.380000000000003</v>
      </c>
      <c r="E313" s="1">
        <f ca="1">IFERROR(__xludf.DUMMYFUNCTION("""COMPUTED_VALUE"""),38.42)</f>
        <v>38.42</v>
      </c>
      <c r="F313" s="1">
        <f ca="1">IFERROR(__xludf.DUMMYFUNCTION("""COMPUTED_VALUE"""),2019755)</f>
        <v>2019755</v>
      </c>
    </row>
    <row r="314" spans="1:6" x14ac:dyDescent="0.35">
      <c r="A314" s="2">
        <f ca="1">IFERROR(__xludf.DUMMYFUNCTION("""COMPUTED_VALUE"""),42460.6666666666)</f>
        <v>42460.666666666599</v>
      </c>
      <c r="B314" s="1">
        <f ca="1">IFERROR(__xludf.DUMMYFUNCTION("""COMPUTED_VALUE"""),38.42)</f>
        <v>38.42</v>
      </c>
      <c r="C314" s="1">
        <f ca="1">IFERROR(__xludf.DUMMYFUNCTION("""COMPUTED_VALUE"""),38.45)</f>
        <v>38.450000000000003</v>
      </c>
      <c r="D314" s="1">
        <f ca="1">IFERROR(__xludf.DUMMYFUNCTION("""COMPUTED_VALUE"""),37.91)</f>
        <v>37.909999999999997</v>
      </c>
      <c r="E314" s="1">
        <f ca="1">IFERROR(__xludf.DUMMYFUNCTION("""COMPUTED_VALUE"""),38.15)</f>
        <v>38.15</v>
      </c>
      <c r="F314" s="1">
        <f ca="1">IFERROR(__xludf.DUMMYFUNCTION("""COMPUTED_VALUE"""),1627669)</f>
        <v>1627669</v>
      </c>
    </row>
    <row r="315" spans="1:6" x14ac:dyDescent="0.35">
      <c r="A315" s="2">
        <f ca="1">IFERROR(__xludf.DUMMYFUNCTION("""COMPUTED_VALUE"""),42461.6666666666)</f>
        <v>42461.666666666599</v>
      </c>
      <c r="B315" s="1">
        <f ca="1">IFERROR(__xludf.DUMMYFUNCTION("""COMPUTED_VALUE"""),37.86)</f>
        <v>37.86</v>
      </c>
      <c r="C315" s="1">
        <f ca="1">IFERROR(__xludf.DUMMYFUNCTION("""COMPUTED_VALUE"""),38.5)</f>
        <v>38.5</v>
      </c>
      <c r="D315" s="1">
        <f ca="1">IFERROR(__xludf.DUMMYFUNCTION("""COMPUTED_VALUE"""),37.76)</f>
        <v>37.76</v>
      </c>
      <c r="E315" s="1">
        <f ca="1">IFERROR(__xludf.DUMMYFUNCTION("""COMPUTED_VALUE"""),38.48)</f>
        <v>38.479999999999997</v>
      </c>
      <c r="F315" s="1">
        <f ca="1">IFERROR(__xludf.DUMMYFUNCTION("""COMPUTED_VALUE"""),1583698)</f>
        <v>1583698</v>
      </c>
    </row>
    <row r="316" spans="1:6" x14ac:dyDescent="0.35">
      <c r="A316" s="2">
        <f ca="1">IFERROR(__xludf.DUMMYFUNCTION("""COMPUTED_VALUE"""),42464.6666666666)</f>
        <v>42464.666666666599</v>
      </c>
      <c r="B316" s="1">
        <f ca="1">IFERROR(__xludf.DUMMYFUNCTION("""COMPUTED_VALUE"""),38.48)</f>
        <v>38.479999999999997</v>
      </c>
      <c r="C316" s="1">
        <f ca="1">IFERROR(__xludf.DUMMYFUNCTION("""COMPUTED_VALUE"""),38.62)</f>
        <v>38.619999999999997</v>
      </c>
      <c r="D316" s="1">
        <f ca="1">IFERROR(__xludf.DUMMYFUNCTION("""COMPUTED_VALUE"""),38.09)</f>
        <v>38.090000000000003</v>
      </c>
      <c r="E316" s="1">
        <f ca="1">IFERROR(__xludf.DUMMYFUNCTION("""COMPUTED_VALUE"""),38.26)</f>
        <v>38.26</v>
      </c>
      <c r="F316" s="1">
        <f ca="1">IFERROR(__xludf.DUMMYFUNCTION("""COMPUTED_VALUE"""),1346424)</f>
        <v>1346424</v>
      </c>
    </row>
    <row r="317" spans="1:6" x14ac:dyDescent="0.35">
      <c r="A317" s="2">
        <f ca="1">IFERROR(__xludf.DUMMYFUNCTION("""COMPUTED_VALUE"""),42465.6666666666)</f>
        <v>42465.666666666599</v>
      </c>
      <c r="B317" s="1">
        <f ca="1">IFERROR(__xludf.DUMMYFUNCTION("""COMPUTED_VALUE"""),37.91)</f>
        <v>37.909999999999997</v>
      </c>
      <c r="C317" s="1">
        <f ca="1">IFERROR(__xludf.DUMMYFUNCTION("""COMPUTED_VALUE"""),38.14)</f>
        <v>38.14</v>
      </c>
      <c r="D317" s="1">
        <f ca="1">IFERROR(__xludf.DUMMYFUNCTION("""COMPUTED_VALUE"""),37.78)</f>
        <v>37.78</v>
      </c>
      <c r="E317" s="1">
        <f ca="1">IFERROR(__xludf.DUMMYFUNCTION("""COMPUTED_VALUE"""),37.93)</f>
        <v>37.93</v>
      </c>
      <c r="F317" s="1">
        <f ca="1">IFERROR(__xludf.DUMMYFUNCTION("""COMPUTED_VALUE"""),1223905)</f>
        <v>1223905</v>
      </c>
    </row>
    <row r="318" spans="1:6" x14ac:dyDescent="0.35">
      <c r="A318" s="2">
        <f ca="1">IFERROR(__xludf.DUMMYFUNCTION("""COMPUTED_VALUE"""),42466.6666666666)</f>
        <v>42466.666666666599</v>
      </c>
      <c r="B318" s="1">
        <f ca="1">IFERROR(__xludf.DUMMYFUNCTION("""COMPUTED_VALUE"""),37.89)</f>
        <v>37.89</v>
      </c>
      <c r="C318" s="1">
        <f ca="1">IFERROR(__xludf.DUMMYFUNCTION("""COMPUTED_VALUE"""),38.42)</f>
        <v>38.42</v>
      </c>
      <c r="D318" s="1">
        <f ca="1">IFERROR(__xludf.DUMMYFUNCTION("""COMPUTED_VALUE"""),37.82)</f>
        <v>37.82</v>
      </c>
      <c r="E318" s="1">
        <f ca="1">IFERROR(__xludf.DUMMYFUNCTION("""COMPUTED_VALUE"""),38.4)</f>
        <v>38.4</v>
      </c>
      <c r="F318" s="1">
        <f ca="1">IFERROR(__xludf.DUMMYFUNCTION("""COMPUTED_VALUE"""),1265577)</f>
        <v>1265577</v>
      </c>
    </row>
    <row r="319" spans="1:6" x14ac:dyDescent="0.35">
      <c r="A319" s="2">
        <f ca="1">IFERROR(__xludf.DUMMYFUNCTION("""COMPUTED_VALUE"""),42467.6666666666)</f>
        <v>42467.666666666599</v>
      </c>
      <c r="B319" s="1">
        <f ca="1">IFERROR(__xludf.DUMMYFUNCTION("""COMPUTED_VALUE"""),38.27)</f>
        <v>38.270000000000003</v>
      </c>
      <c r="C319" s="1">
        <f ca="1">IFERROR(__xludf.DUMMYFUNCTION("""COMPUTED_VALUE"""),38.47)</f>
        <v>38.47</v>
      </c>
      <c r="D319" s="1">
        <f ca="1">IFERROR(__xludf.DUMMYFUNCTION("""COMPUTED_VALUE"""),37.88)</f>
        <v>37.880000000000003</v>
      </c>
      <c r="E319" s="1">
        <f ca="1">IFERROR(__xludf.DUMMYFUNCTION("""COMPUTED_VALUE"""),38.01)</f>
        <v>38.01</v>
      </c>
      <c r="F319" s="1">
        <f ca="1">IFERROR(__xludf.DUMMYFUNCTION("""COMPUTED_VALUE"""),1274852)</f>
        <v>1274852</v>
      </c>
    </row>
    <row r="320" spans="1:6" x14ac:dyDescent="0.35">
      <c r="A320" s="2">
        <f ca="1">IFERROR(__xludf.DUMMYFUNCTION("""COMPUTED_VALUE"""),42468.6666666666)</f>
        <v>42468.666666666599</v>
      </c>
      <c r="B320" s="1">
        <f ca="1">IFERROR(__xludf.DUMMYFUNCTION("""COMPUTED_VALUE"""),38.29)</f>
        <v>38.29</v>
      </c>
      <c r="C320" s="1">
        <f ca="1">IFERROR(__xludf.DUMMYFUNCTION("""COMPUTED_VALUE"""),38.36)</f>
        <v>38.36</v>
      </c>
      <c r="D320" s="1">
        <f ca="1">IFERROR(__xludf.DUMMYFUNCTION("""COMPUTED_VALUE"""),37.79)</f>
        <v>37.79</v>
      </c>
      <c r="E320" s="1">
        <f ca="1">IFERROR(__xludf.DUMMYFUNCTION("""COMPUTED_VALUE"""),37.97)</f>
        <v>37.97</v>
      </c>
      <c r="F320" s="1">
        <f ca="1">IFERROR(__xludf.DUMMYFUNCTION("""COMPUTED_VALUE"""),1171867)</f>
        <v>1171867</v>
      </c>
    </row>
    <row r="321" spans="1:6" x14ac:dyDescent="0.35">
      <c r="A321" s="2">
        <f ca="1">IFERROR(__xludf.DUMMYFUNCTION("""COMPUTED_VALUE"""),42471.6666666666)</f>
        <v>42471.666666666599</v>
      </c>
      <c r="B321" s="1">
        <f ca="1">IFERROR(__xludf.DUMMYFUNCTION("""COMPUTED_VALUE"""),38.27)</f>
        <v>38.270000000000003</v>
      </c>
      <c r="C321" s="1">
        <f ca="1">IFERROR(__xludf.DUMMYFUNCTION("""COMPUTED_VALUE"""),38.36)</f>
        <v>38.36</v>
      </c>
      <c r="D321" s="1">
        <f ca="1">IFERROR(__xludf.DUMMYFUNCTION("""COMPUTED_VALUE"""),37.87)</f>
        <v>37.869999999999997</v>
      </c>
      <c r="E321" s="1">
        <f ca="1">IFERROR(__xludf.DUMMYFUNCTION("""COMPUTED_VALUE"""),37.88)</f>
        <v>37.880000000000003</v>
      </c>
      <c r="F321" s="1">
        <f ca="1">IFERROR(__xludf.DUMMYFUNCTION("""COMPUTED_VALUE"""),1588692)</f>
        <v>1588692</v>
      </c>
    </row>
    <row r="322" spans="1:6" x14ac:dyDescent="0.35">
      <c r="A322" s="2">
        <f ca="1">IFERROR(__xludf.DUMMYFUNCTION("""COMPUTED_VALUE"""),42472.6666666666)</f>
        <v>42472.666666666599</v>
      </c>
      <c r="B322" s="1">
        <f ca="1">IFERROR(__xludf.DUMMYFUNCTION("""COMPUTED_VALUE"""),37.92)</f>
        <v>37.92</v>
      </c>
      <c r="C322" s="1">
        <f ca="1">IFERROR(__xludf.DUMMYFUNCTION("""COMPUTED_VALUE"""),38.25)</f>
        <v>38.25</v>
      </c>
      <c r="D322" s="1">
        <f ca="1">IFERROR(__xludf.DUMMYFUNCTION("""COMPUTED_VALUE"""),37.58)</f>
        <v>37.58</v>
      </c>
      <c r="E322" s="1">
        <f ca="1">IFERROR(__xludf.DUMMYFUNCTION("""COMPUTED_VALUE"""),38.22)</f>
        <v>38.22</v>
      </c>
      <c r="F322" s="1">
        <f ca="1">IFERROR(__xludf.DUMMYFUNCTION("""COMPUTED_VALUE"""),1369358)</f>
        <v>1369358</v>
      </c>
    </row>
    <row r="323" spans="1:6" x14ac:dyDescent="0.35">
      <c r="A323" s="2">
        <f ca="1">IFERROR(__xludf.DUMMYFUNCTION("""COMPUTED_VALUE"""),42473.6666666666)</f>
        <v>42473.666666666599</v>
      </c>
      <c r="B323" s="1">
        <f ca="1">IFERROR(__xludf.DUMMYFUNCTION("""COMPUTED_VALUE"""),38.52)</f>
        <v>38.520000000000003</v>
      </c>
      <c r="C323" s="1">
        <f ca="1">IFERROR(__xludf.DUMMYFUNCTION("""COMPUTED_VALUE"""),38.79)</f>
        <v>38.79</v>
      </c>
      <c r="D323" s="1">
        <f ca="1">IFERROR(__xludf.DUMMYFUNCTION("""COMPUTED_VALUE"""),38.23)</f>
        <v>38.229999999999997</v>
      </c>
      <c r="E323" s="1">
        <f ca="1">IFERROR(__xludf.DUMMYFUNCTION("""COMPUTED_VALUE"""),38.6)</f>
        <v>38.6</v>
      </c>
      <c r="F323" s="1">
        <f ca="1">IFERROR(__xludf.DUMMYFUNCTION("""COMPUTED_VALUE"""),1771308)</f>
        <v>1771308</v>
      </c>
    </row>
    <row r="324" spans="1:6" x14ac:dyDescent="0.35">
      <c r="A324" s="2">
        <f ca="1">IFERROR(__xludf.DUMMYFUNCTION("""COMPUTED_VALUE"""),42474.6666666666)</f>
        <v>42474.666666666599</v>
      </c>
      <c r="B324" s="1">
        <f ca="1">IFERROR(__xludf.DUMMYFUNCTION("""COMPUTED_VALUE"""),38.77)</f>
        <v>38.770000000000003</v>
      </c>
      <c r="C324" s="1">
        <f ca="1">IFERROR(__xludf.DUMMYFUNCTION("""COMPUTED_VALUE"""),38.98)</f>
        <v>38.979999999999997</v>
      </c>
      <c r="D324" s="1">
        <f ca="1">IFERROR(__xludf.DUMMYFUNCTION("""COMPUTED_VALUE"""),38.66)</f>
        <v>38.659999999999997</v>
      </c>
      <c r="E324" s="1">
        <f ca="1">IFERROR(__xludf.DUMMYFUNCTION("""COMPUTED_VALUE"""),38.77)</f>
        <v>38.770000000000003</v>
      </c>
      <c r="F324" s="1">
        <f ca="1">IFERROR(__xludf.DUMMYFUNCTION("""COMPUTED_VALUE"""),1349610)</f>
        <v>1349610</v>
      </c>
    </row>
    <row r="325" spans="1:6" x14ac:dyDescent="0.35">
      <c r="A325" s="2">
        <f ca="1">IFERROR(__xludf.DUMMYFUNCTION("""COMPUTED_VALUE"""),42475.6666666666)</f>
        <v>42475.666666666599</v>
      </c>
      <c r="B325" s="1">
        <f ca="1">IFERROR(__xludf.DUMMYFUNCTION("""COMPUTED_VALUE"""),38.78)</f>
        <v>38.78</v>
      </c>
      <c r="C325" s="1">
        <f ca="1">IFERROR(__xludf.DUMMYFUNCTION("""COMPUTED_VALUE"""),39.05)</f>
        <v>39.049999999999997</v>
      </c>
      <c r="D325" s="1">
        <f ca="1">IFERROR(__xludf.DUMMYFUNCTION("""COMPUTED_VALUE"""),38.75)</f>
        <v>38.75</v>
      </c>
      <c r="E325" s="1">
        <f ca="1">IFERROR(__xludf.DUMMYFUNCTION("""COMPUTED_VALUE"""),39)</f>
        <v>39</v>
      </c>
      <c r="F325" s="1">
        <f ca="1">IFERROR(__xludf.DUMMYFUNCTION("""COMPUTED_VALUE"""),1585584)</f>
        <v>1585584</v>
      </c>
    </row>
    <row r="326" spans="1:6" x14ac:dyDescent="0.35">
      <c r="A326" s="2">
        <f ca="1">IFERROR(__xludf.DUMMYFUNCTION("""COMPUTED_VALUE"""),42478.6666666666)</f>
        <v>42478.666666666599</v>
      </c>
      <c r="B326" s="1">
        <f ca="1">IFERROR(__xludf.DUMMYFUNCTION("""COMPUTED_VALUE"""),39.01)</f>
        <v>39.01</v>
      </c>
      <c r="C326" s="1">
        <f ca="1">IFERROR(__xludf.DUMMYFUNCTION("""COMPUTED_VALUE"""),39.43)</f>
        <v>39.43</v>
      </c>
      <c r="D326" s="1">
        <f ca="1">IFERROR(__xludf.DUMMYFUNCTION("""COMPUTED_VALUE"""),38.88)</f>
        <v>38.880000000000003</v>
      </c>
      <c r="E326" s="1">
        <f ca="1">IFERROR(__xludf.DUMMYFUNCTION("""COMPUTED_VALUE"""),39.38)</f>
        <v>39.380000000000003</v>
      </c>
      <c r="F326" s="1">
        <f ca="1">IFERROR(__xludf.DUMMYFUNCTION("""COMPUTED_VALUE"""),1677015)</f>
        <v>1677015</v>
      </c>
    </row>
    <row r="327" spans="1:6" x14ac:dyDescent="0.35">
      <c r="A327" s="2">
        <f ca="1">IFERROR(__xludf.DUMMYFUNCTION("""COMPUTED_VALUE"""),42479.6666666666)</f>
        <v>42479.666666666599</v>
      </c>
      <c r="B327" s="1">
        <f ca="1">IFERROR(__xludf.DUMMYFUNCTION("""COMPUTED_VALUE"""),39.53)</f>
        <v>39.53</v>
      </c>
      <c r="C327" s="1">
        <f ca="1">IFERROR(__xludf.DUMMYFUNCTION("""COMPUTED_VALUE"""),39.55)</f>
        <v>39.549999999999997</v>
      </c>
      <c r="D327" s="1">
        <f ca="1">IFERROR(__xludf.DUMMYFUNCTION("""COMPUTED_VALUE"""),38.51)</f>
        <v>38.51</v>
      </c>
      <c r="E327" s="1">
        <f ca="1">IFERROR(__xludf.DUMMYFUNCTION("""COMPUTED_VALUE"""),38.81)</f>
        <v>38.81</v>
      </c>
      <c r="F327" s="1">
        <f ca="1">IFERROR(__xludf.DUMMYFUNCTION("""COMPUTED_VALUE"""),2197615)</f>
        <v>2197615</v>
      </c>
    </row>
    <row r="328" spans="1:6" x14ac:dyDescent="0.35">
      <c r="A328" s="2">
        <f ca="1">IFERROR(__xludf.DUMMYFUNCTION("""COMPUTED_VALUE"""),42480.6666666666)</f>
        <v>42480.666666666599</v>
      </c>
      <c r="B328" s="1">
        <f ca="1">IFERROR(__xludf.DUMMYFUNCTION("""COMPUTED_VALUE"""),38.96)</f>
        <v>38.96</v>
      </c>
      <c r="C328" s="1">
        <f ca="1">IFERROR(__xludf.DUMMYFUNCTION("""COMPUTED_VALUE"""),38.98)</f>
        <v>38.979999999999997</v>
      </c>
      <c r="D328" s="1">
        <f ca="1">IFERROR(__xludf.DUMMYFUNCTION("""COMPUTED_VALUE"""),38.56)</f>
        <v>38.56</v>
      </c>
      <c r="E328" s="1">
        <f ca="1">IFERROR(__xludf.DUMMYFUNCTION("""COMPUTED_VALUE"""),38.75)</f>
        <v>38.75</v>
      </c>
      <c r="F328" s="1">
        <f ca="1">IFERROR(__xludf.DUMMYFUNCTION("""COMPUTED_VALUE"""),1713088)</f>
        <v>1713088</v>
      </c>
    </row>
    <row r="329" spans="1:6" x14ac:dyDescent="0.35">
      <c r="A329" s="2">
        <f ca="1">IFERROR(__xludf.DUMMYFUNCTION("""COMPUTED_VALUE"""),42481.6666666666)</f>
        <v>42481.666666666599</v>
      </c>
      <c r="B329" s="1">
        <f ca="1">IFERROR(__xludf.DUMMYFUNCTION("""COMPUTED_VALUE"""),38.87)</f>
        <v>38.869999999999997</v>
      </c>
      <c r="C329" s="1">
        <f ca="1">IFERROR(__xludf.DUMMYFUNCTION("""COMPUTED_VALUE"""),39.08)</f>
        <v>39.08</v>
      </c>
      <c r="D329" s="1">
        <f ca="1">IFERROR(__xludf.DUMMYFUNCTION("""COMPUTED_VALUE"""),38.58)</f>
        <v>38.58</v>
      </c>
      <c r="E329" s="1">
        <f ca="1">IFERROR(__xludf.DUMMYFUNCTION("""COMPUTED_VALUE"""),39)</f>
        <v>39</v>
      </c>
      <c r="F329" s="1">
        <f ca="1">IFERROR(__xludf.DUMMYFUNCTION("""COMPUTED_VALUE"""),3881420)</f>
        <v>3881420</v>
      </c>
    </row>
    <row r="330" spans="1:6" x14ac:dyDescent="0.35">
      <c r="A330" s="2">
        <f ca="1">IFERROR(__xludf.DUMMYFUNCTION("""COMPUTED_VALUE"""),42482.6666666666)</f>
        <v>42482.666666666599</v>
      </c>
      <c r="B330" s="1">
        <f ca="1">IFERROR(__xludf.DUMMYFUNCTION("""COMPUTED_VALUE"""),37.2)</f>
        <v>37.200000000000003</v>
      </c>
      <c r="C330" s="1">
        <f ca="1">IFERROR(__xludf.DUMMYFUNCTION("""COMPUTED_VALUE"""),37.7)</f>
        <v>37.700000000000003</v>
      </c>
      <c r="D330" s="1">
        <f ca="1">IFERROR(__xludf.DUMMYFUNCTION("""COMPUTED_VALUE"""),36.52)</f>
        <v>36.520000000000003</v>
      </c>
      <c r="E330" s="1">
        <f ca="1">IFERROR(__xludf.DUMMYFUNCTION("""COMPUTED_VALUE"""),36.89)</f>
        <v>36.89</v>
      </c>
      <c r="F330" s="1">
        <f ca="1">IFERROR(__xludf.DUMMYFUNCTION("""COMPUTED_VALUE"""),7039948)</f>
        <v>7039948</v>
      </c>
    </row>
    <row r="331" spans="1:6" x14ac:dyDescent="0.35">
      <c r="A331" s="2">
        <f ca="1">IFERROR(__xludf.DUMMYFUNCTION("""COMPUTED_VALUE"""),42485.6666666666)</f>
        <v>42485.666666666599</v>
      </c>
      <c r="B331" s="1">
        <f ca="1">IFERROR(__xludf.DUMMYFUNCTION("""COMPUTED_VALUE"""),36.77)</f>
        <v>36.770000000000003</v>
      </c>
      <c r="C331" s="1">
        <f ca="1">IFERROR(__xludf.DUMMYFUNCTION("""COMPUTED_VALUE"""),37.24)</f>
        <v>37.24</v>
      </c>
      <c r="D331" s="1">
        <f ca="1">IFERROR(__xludf.DUMMYFUNCTION("""COMPUTED_VALUE"""),36.76)</f>
        <v>36.76</v>
      </c>
      <c r="E331" s="1">
        <f ca="1">IFERROR(__xludf.DUMMYFUNCTION("""COMPUTED_VALUE"""),37.11)</f>
        <v>37.11</v>
      </c>
      <c r="F331" s="1">
        <f ca="1">IFERROR(__xludf.DUMMYFUNCTION("""COMPUTED_VALUE"""),2472061)</f>
        <v>2472061</v>
      </c>
    </row>
    <row r="332" spans="1:6" x14ac:dyDescent="0.35">
      <c r="A332" s="2">
        <f ca="1">IFERROR(__xludf.DUMMYFUNCTION("""COMPUTED_VALUE"""),42486.6666666666)</f>
        <v>42486.666666666599</v>
      </c>
      <c r="B332" s="1">
        <f ca="1">IFERROR(__xludf.DUMMYFUNCTION("""COMPUTED_VALUE"""),37.22)</f>
        <v>37.22</v>
      </c>
      <c r="C332" s="1">
        <f ca="1">IFERROR(__xludf.DUMMYFUNCTION("""COMPUTED_VALUE"""),37.28)</f>
        <v>37.28</v>
      </c>
      <c r="D332" s="1">
        <f ca="1">IFERROR(__xludf.DUMMYFUNCTION("""COMPUTED_VALUE"""),36.02)</f>
        <v>36.020000000000003</v>
      </c>
      <c r="E332" s="1">
        <f ca="1">IFERROR(__xludf.DUMMYFUNCTION("""COMPUTED_VALUE"""),36.27)</f>
        <v>36.270000000000003</v>
      </c>
      <c r="F332" s="1">
        <f ca="1">IFERROR(__xludf.DUMMYFUNCTION("""COMPUTED_VALUE"""),2793210)</f>
        <v>2793210</v>
      </c>
    </row>
    <row r="333" spans="1:6" x14ac:dyDescent="0.35">
      <c r="A333" s="2">
        <f ca="1">IFERROR(__xludf.DUMMYFUNCTION("""COMPUTED_VALUE"""),42487.6666666666)</f>
        <v>42487.666666666599</v>
      </c>
      <c r="B333" s="1">
        <f ca="1">IFERROR(__xludf.DUMMYFUNCTION("""COMPUTED_VALUE"""),36.27)</f>
        <v>36.270000000000003</v>
      </c>
      <c r="C333" s="1">
        <f ca="1">IFERROR(__xludf.DUMMYFUNCTION("""COMPUTED_VALUE"""),36.36)</f>
        <v>36.36</v>
      </c>
      <c r="D333" s="1">
        <f ca="1">IFERROR(__xludf.DUMMYFUNCTION("""COMPUTED_VALUE"""),35.45)</f>
        <v>35.450000000000003</v>
      </c>
      <c r="E333" s="1">
        <f ca="1">IFERROR(__xludf.DUMMYFUNCTION("""COMPUTED_VALUE"""),36.07)</f>
        <v>36.07</v>
      </c>
      <c r="F333" s="1">
        <f ca="1">IFERROR(__xludf.DUMMYFUNCTION("""COMPUTED_VALUE"""),3313137)</f>
        <v>3313137</v>
      </c>
    </row>
    <row r="334" spans="1:6" x14ac:dyDescent="0.35">
      <c r="A334" s="2">
        <f ca="1">IFERROR(__xludf.DUMMYFUNCTION("""COMPUTED_VALUE"""),42488.6666666666)</f>
        <v>42488.666666666599</v>
      </c>
      <c r="B334" s="1">
        <f ca="1">IFERROR(__xludf.DUMMYFUNCTION("""COMPUTED_VALUE"""),36.16)</f>
        <v>36.159999999999997</v>
      </c>
      <c r="C334" s="1">
        <f ca="1">IFERROR(__xludf.DUMMYFUNCTION("""COMPUTED_VALUE"""),36.46)</f>
        <v>36.46</v>
      </c>
      <c r="D334" s="1">
        <f ca="1">IFERROR(__xludf.DUMMYFUNCTION("""COMPUTED_VALUE"""),35.16)</f>
        <v>35.159999999999997</v>
      </c>
      <c r="E334" s="1">
        <f ca="1">IFERROR(__xludf.DUMMYFUNCTION("""COMPUTED_VALUE"""),35.25)</f>
        <v>35.25</v>
      </c>
      <c r="F334" s="1">
        <f ca="1">IFERROR(__xludf.DUMMYFUNCTION("""COMPUTED_VALUE"""),3129502)</f>
        <v>3129502</v>
      </c>
    </row>
    <row r="335" spans="1:6" x14ac:dyDescent="0.35">
      <c r="A335" s="2">
        <f ca="1">IFERROR(__xludf.DUMMYFUNCTION("""COMPUTED_VALUE"""),42489.6666666666)</f>
        <v>42489.666666666599</v>
      </c>
      <c r="B335" s="1">
        <f ca="1">IFERROR(__xludf.DUMMYFUNCTION("""COMPUTED_VALUE"""),35.21)</f>
        <v>35.21</v>
      </c>
      <c r="C335" s="1">
        <f ca="1">IFERROR(__xludf.DUMMYFUNCTION("""COMPUTED_VALUE"""),35.61)</f>
        <v>35.61</v>
      </c>
      <c r="D335" s="1">
        <f ca="1">IFERROR(__xludf.DUMMYFUNCTION("""COMPUTED_VALUE"""),35.19)</f>
        <v>35.19</v>
      </c>
      <c r="E335" s="1">
        <f ca="1">IFERROR(__xludf.DUMMYFUNCTION("""COMPUTED_VALUE"""),35.39)</f>
        <v>35.39</v>
      </c>
      <c r="F335" s="1">
        <f ca="1">IFERROR(__xludf.DUMMYFUNCTION("""COMPUTED_VALUE"""),2913898)</f>
        <v>2913898</v>
      </c>
    </row>
    <row r="336" spans="1:6" x14ac:dyDescent="0.35">
      <c r="A336" s="2">
        <f ca="1">IFERROR(__xludf.DUMMYFUNCTION("""COMPUTED_VALUE"""),42492.6666666666)</f>
        <v>42492.666666666599</v>
      </c>
      <c r="B336" s="1">
        <f ca="1">IFERROR(__xludf.DUMMYFUNCTION("""COMPUTED_VALUE"""),35.6)</f>
        <v>35.6</v>
      </c>
      <c r="C336" s="1">
        <f ca="1">IFERROR(__xludf.DUMMYFUNCTION("""COMPUTED_VALUE"""),35.77)</f>
        <v>35.770000000000003</v>
      </c>
      <c r="D336" s="1">
        <f ca="1">IFERROR(__xludf.DUMMYFUNCTION("""COMPUTED_VALUE"""),35.32)</f>
        <v>35.32</v>
      </c>
      <c r="E336" s="1">
        <f ca="1">IFERROR(__xludf.DUMMYFUNCTION("""COMPUTED_VALUE"""),35.72)</f>
        <v>35.72</v>
      </c>
      <c r="F336" s="1">
        <f ca="1">IFERROR(__xludf.DUMMYFUNCTION("""COMPUTED_VALUE"""),1673820)</f>
        <v>1673820</v>
      </c>
    </row>
    <row r="337" spans="1:6" x14ac:dyDescent="0.35">
      <c r="A337" s="2">
        <f ca="1">IFERROR(__xludf.DUMMYFUNCTION("""COMPUTED_VALUE"""),42493.6666666666)</f>
        <v>42493.666666666599</v>
      </c>
      <c r="B337" s="1">
        <f ca="1">IFERROR(__xludf.DUMMYFUNCTION("""COMPUTED_VALUE"""),35.63)</f>
        <v>35.630000000000003</v>
      </c>
      <c r="C337" s="1">
        <f ca="1">IFERROR(__xludf.DUMMYFUNCTION("""COMPUTED_VALUE"""),35.67)</f>
        <v>35.67</v>
      </c>
      <c r="D337" s="1">
        <f ca="1">IFERROR(__xludf.DUMMYFUNCTION("""COMPUTED_VALUE"""),35.37)</f>
        <v>35.369999999999997</v>
      </c>
      <c r="E337" s="1">
        <f ca="1">IFERROR(__xludf.DUMMYFUNCTION("""COMPUTED_VALUE"""),35.42)</f>
        <v>35.42</v>
      </c>
      <c r="F337" s="1">
        <f ca="1">IFERROR(__xludf.DUMMYFUNCTION("""COMPUTED_VALUE"""),1931040)</f>
        <v>1931040</v>
      </c>
    </row>
    <row r="338" spans="1:6" x14ac:dyDescent="0.35">
      <c r="A338" s="2">
        <f ca="1">IFERROR(__xludf.DUMMYFUNCTION("""COMPUTED_VALUE"""),42494.6666666666)</f>
        <v>42494.666666666599</v>
      </c>
      <c r="B338" s="1">
        <f ca="1">IFERROR(__xludf.DUMMYFUNCTION("""COMPUTED_VALUE"""),35.34)</f>
        <v>35.340000000000003</v>
      </c>
      <c r="C338" s="1">
        <f ca="1">IFERROR(__xludf.DUMMYFUNCTION("""COMPUTED_VALUE"""),35.75)</f>
        <v>35.75</v>
      </c>
      <c r="D338" s="1">
        <f ca="1">IFERROR(__xludf.DUMMYFUNCTION("""COMPUTED_VALUE"""),35.2)</f>
        <v>35.200000000000003</v>
      </c>
      <c r="E338" s="1">
        <f ca="1">IFERROR(__xludf.DUMMYFUNCTION("""COMPUTED_VALUE"""),35.57)</f>
        <v>35.57</v>
      </c>
      <c r="F338" s="1">
        <f ca="1">IFERROR(__xludf.DUMMYFUNCTION("""COMPUTED_VALUE"""),1708609)</f>
        <v>1708609</v>
      </c>
    </row>
    <row r="339" spans="1:6" x14ac:dyDescent="0.35">
      <c r="A339" s="2">
        <f ca="1">IFERROR(__xludf.DUMMYFUNCTION("""COMPUTED_VALUE"""),42495.6666666666)</f>
        <v>42495.666666666599</v>
      </c>
      <c r="B339" s="1">
        <f ca="1">IFERROR(__xludf.DUMMYFUNCTION("""COMPUTED_VALUE"""),35.75)</f>
        <v>35.75</v>
      </c>
      <c r="C339" s="1">
        <f ca="1">IFERROR(__xludf.DUMMYFUNCTION("""COMPUTED_VALUE"""),35.88)</f>
        <v>35.880000000000003</v>
      </c>
      <c r="D339" s="1">
        <f ca="1">IFERROR(__xludf.DUMMYFUNCTION("""COMPUTED_VALUE"""),35.47)</f>
        <v>35.47</v>
      </c>
      <c r="E339" s="1">
        <f ca="1">IFERROR(__xludf.DUMMYFUNCTION("""COMPUTED_VALUE"""),35.74)</f>
        <v>35.74</v>
      </c>
      <c r="F339" s="1">
        <f ca="1">IFERROR(__xludf.DUMMYFUNCTION("""COMPUTED_VALUE"""),1483357)</f>
        <v>1483357</v>
      </c>
    </row>
    <row r="340" spans="1:6" x14ac:dyDescent="0.35">
      <c r="A340" s="2">
        <f ca="1">IFERROR(__xludf.DUMMYFUNCTION("""COMPUTED_VALUE"""),42496.6666666666)</f>
        <v>42496.666666666599</v>
      </c>
      <c r="B340" s="1">
        <f ca="1">IFERROR(__xludf.DUMMYFUNCTION("""COMPUTED_VALUE"""),35.61)</f>
        <v>35.61</v>
      </c>
      <c r="C340" s="1">
        <f ca="1">IFERROR(__xludf.DUMMYFUNCTION("""COMPUTED_VALUE"""),36.3)</f>
        <v>36.299999999999997</v>
      </c>
      <c r="D340" s="1">
        <f ca="1">IFERROR(__xludf.DUMMYFUNCTION("""COMPUTED_VALUE"""),35.6)</f>
        <v>35.6</v>
      </c>
      <c r="E340" s="1">
        <f ca="1">IFERROR(__xludf.DUMMYFUNCTION("""COMPUTED_VALUE"""),36.26)</f>
        <v>36.26</v>
      </c>
      <c r="F340" s="1">
        <f ca="1">IFERROR(__xludf.DUMMYFUNCTION("""COMPUTED_VALUE"""),1997628)</f>
        <v>1997628</v>
      </c>
    </row>
    <row r="341" spans="1:6" x14ac:dyDescent="0.35">
      <c r="A341" s="2">
        <f ca="1">IFERROR(__xludf.DUMMYFUNCTION("""COMPUTED_VALUE"""),42499.6666666666)</f>
        <v>42499.666666666599</v>
      </c>
      <c r="B341" s="1">
        <f ca="1">IFERROR(__xludf.DUMMYFUNCTION("""COMPUTED_VALUE"""),36.34)</f>
        <v>36.340000000000003</v>
      </c>
      <c r="C341" s="1">
        <f ca="1">IFERROR(__xludf.DUMMYFUNCTION("""COMPUTED_VALUE"""),36.71)</f>
        <v>36.71</v>
      </c>
      <c r="D341" s="1">
        <f ca="1">IFERROR(__xludf.DUMMYFUNCTION("""COMPUTED_VALUE"""),36.17)</f>
        <v>36.17</v>
      </c>
      <c r="E341" s="1">
        <f ca="1">IFERROR(__xludf.DUMMYFUNCTION("""COMPUTED_VALUE"""),36.46)</f>
        <v>36.46</v>
      </c>
      <c r="F341" s="1">
        <f ca="1">IFERROR(__xludf.DUMMYFUNCTION("""COMPUTED_VALUE"""),1903689)</f>
        <v>1903689</v>
      </c>
    </row>
    <row r="342" spans="1:6" x14ac:dyDescent="0.35">
      <c r="A342" s="2">
        <f ca="1">IFERROR(__xludf.DUMMYFUNCTION("""COMPUTED_VALUE"""),42500.6666666666)</f>
        <v>42500.666666666599</v>
      </c>
      <c r="B342" s="1">
        <f ca="1">IFERROR(__xludf.DUMMYFUNCTION("""COMPUTED_VALUE"""),36.75)</f>
        <v>36.75</v>
      </c>
      <c r="C342" s="1">
        <f ca="1">IFERROR(__xludf.DUMMYFUNCTION("""COMPUTED_VALUE"""),37)</f>
        <v>37</v>
      </c>
      <c r="D342" s="1">
        <f ca="1">IFERROR(__xludf.DUMMYFUNCTION("""COMPUTED_VALUE"""),36.58)</f>
        <v>36.58</v>
      </c>
      <c r="E342" s="1">
        <f ca="1">IFERROR(__xludf.DUMMYFUNCTION("""COMPUTED_VALUE"""),36.97)</f>
        <v>36.97</v>
      </c>
      <c r="F342" s="1">
        <f ca="1">IFERROR(__xludf.DUMMYFUNCTION("""COMPUTED_VALUE"""),1631714)</f>
        <v>1631714</v>
      </c>
    </row>
    <row r="343" spans="1:6" x14ac:dyDescent="0.35">
      <c r="A343" s="2">
        <f ca="1">IFERROR(__xludf.DUMMYFUNCTION("""COMPUTED_VALUE"""),42501.6666666666)</f>
        <v>42501.666666666599</v>
      </c>
      <c r="B343" s="1">
        <f ca="1">IFERROR(__xludf.DUMMYFUNCTION("""COMPUTED_VALUE"""),37.03)</f>
        <v>37.03</v>
      </c>
      <c r="C343" s="1">
        <f ca="1">IFERROR(__xludf.DUMMYFUNCTION("""COMPUTED_VALUE"""),37.04)</f>
        <v>37.04</v>
      </c>
      <c r="D343" s="1">
        <f ca="1">IFERROR(__xludf.DUMMYFUNCTION("""COMPUTED_VALUE"""),36.4)</f>
        <v>36.4</v>
      </c>
      <c r="E343" s="1">
        <f ca="1">IFERROR(__xludf.DUMMYFUNCTION("""COMPUTED_VALUE"""),36.53)</f>
        <v>36.53</v>
      </c>
      <c r="F343" s="1">
        <f ca="1">IFERROR(__xludf.DUMMYFUNCTION("""COMPUTED_VALUE"""),1491746)</f>
        <v>1491746</v>
      </c>
    </row>
    <row r="344" spans="1:6" x14ac:dyDescent="0.35">
      <c r="A344" s="2">
        <f ca="1">IFERROR(__xludf.DUMMYFUNCTION("""COMPUTED_VALUE"""),42502.6666666666)</f>
        <v>42502.666666666599</v>
      </c>
      <c r="B344" s="1">
        <f ca="1">IFERROR(__xludf.DUMMYFUNCTION("""COMPUTED_VALUE"""),36.6)</f>
        <v>36.6</v>
      </c>
      <c r="C344" s="1">
        <f ca="1">IFERROR(__xludf.DUMMYFUNCTION("""COMPUTED_VALUE"""),36.77)</f>
        <v>36.770000000000003</v>
      </c>
      <c r="D344" s="1">
        <f ca="1">IFERROR(__xludf.DUMMYFUNCTION("""COMPUTED_VALUE"""),36.21)</f>
        <v>36.21</v>
      </c>
      <c r="E344" s="1">
        <f ca="1">IFERROR(__xludf.DUMMYFUNCTION("""COMPUTED_VALUE"""),36.4)</f>
        <v>36.4</v>
      </c>
      <c r="F344" s="1">
        <f ca="1">IFERROR(__xludf.DUMMYFUNCTION("""COMPUTED_VALUE"""),1354717)</f>
        <v>1354717</v>
      </c>
    </row>
    <row r="345" spans="1:6" x14ac:dyDescent="0.35">
      <c r="A345" s="2">
        <f ca="1">IFERROR(__xludf.DUMMYFUNCTION("""COMPUTED_VALUE"""),42503.6666666666)</f>
        <v>42503.666666666599</v>
      </c>
      <c r="B345" s="1">
        <f ca="1">IFERROR(__xludf.DUMMYFUNCTION("""COMPUTED_VALUE"""),36.33)</f>
        <v>36.33</v>
      </c>
      <c r="C345" s="1">
        <f ca="1">IFERROR(__xludf.DUMMYFUNCTION("""COMPUTED_VALUE"""),36.56)</f>
        <v>36.56</v>
      </c>
      <c r="D345" s="1">
        <f ca="1">IFERROR(__xludf.DUMMYFUNCTION("""COMPUTED_VALUE"""),36.18)</f>
        <v>36.18</v>
      </c>
      <c r="E345" s="1">
        <f ca="1">IFERROR(__xludf.DUMMYFUNCTION("""COMPUTED_VALUE"""),36.24)</f>
        <v>36.24</v>
      </c>
      <c r="F345" s="1">
        <f ca="1">IFERROR(__xludf.DUMMYFUNCTION("""COMPUTED_VALUE"""),1262161)</f>
        <v>1262161</v>
      </c>
    </row>
    <row r="346" spans="1:6" x14ac:dyDescent="0.35">
      <c r="A346" s="2">
        <f ca="1">IFERROR(__xludf.DUMMYFUNCTION("""COMPUTED_VALUE"""),42506.6666666666)</f>
        <v>42506.666666666599</v>
      </c>
      <c r="B346" s="1">
        <f ca="1">IFERROR(__xludf.DUMMYFUNCTION("""COMPUTED_VALUE"""),36.22)</f>
        <v>36.22</v>
      </c>
      <c r="C346" s="1">
        <f ca="1">IFERROR(__xludf.DUMMYFUNCTION("""COMPUTED_VALUE"""),36.63)</f>
        <v>36.630000000000003</v>
      </c>
      <c r="D346" s="1">
        <f ca="1">IFERROR(__xludf.DUMMYFUNCTION("""COMPUTED_VALUE"""),36)</f>
        <v>36</v>
      </c>
      <c r="E346" s="1">
        <f ca="1">IFERROR(__xludf.DUMMYFUNCTION("""COMPUTED_VALUE"""),36.52)</f>
        <v>36.520000000000003</v>
      </c>
      <c r="F346" s="1">
        <f ca="1">IFERROR(__xludf.DUMMYFUNCTION("""COMPUTED_VALUE"""),1126862)</f>
        <v>1126862</v>
      </c>
    </row>
    <row r="347" spans="1:6" x14ac:dyDescent="0.35">
      <c r="A347" s="2">
        <f ca="1">IFERROR(__xludf.DUMMYFUNCTION("""COMPUTED_VALUE"""),42507.6666666666)</f>
        <v>42507.666666666599</v>
      </c>
      <c r="B347" s="1">
        <f ca="1">IFERROR(__xludf.DUMMYFUNCTION("""COMPUTED_VALUE"""),36.55)</f>
        <v>36.549999999999997</v>
      </c>
      <c r="C347" s="1">
        <f ca="1">IFERROR(__xludf.DUMMYFUNCTION("""COMPUTED_VALUE"""),36.79)</f>
        <v>36.79</v>
      </c>
      <c r="D347" s="1">
        <f ca="1">IFERROR(__xludf.DUMMYFUNCTION("""COMPUTED_VALUE"""),35.9)</f>
        <v>35.9</v>
      </c>
      <c r="E347" s="1">
        <f ca="1">IFERROR(__xludf.DUMMYFUNCTION("""COMPUTED_VALUE"""),36.01)</f>
        <v>36.01</v>
      </c>
      <c r="F347" s="1">
        <f ca="1">IFERROR(__xludf.DUMMYFUNCTION("""COMPUTED_VALUE"""),1670176)</f>
        <v>1670176</v>
      </c>
    </row>
    <row r="348" spans="1:6" x14ac:dyDescent="0.35">
      <c r="A348" s="2">
        <f ca="1">IFERROR(__xludf.DUMMYFUNCTION("""COMPUTED_VALUE"""),42508.6666666666)</f>
        <v>42508.666666666599</v>
      </c>
      <c r="B348" s="1">
        <f ca="1">IFERROR(__xludf.DUMMYFUNCTION("""COMPUTED_VALUE"""),35.92)</f>
        <v>35.92</v>
      </c>
      <c r="C348" s="1">
        <f ca="1">IFERROR(__xludf.DUMMYFUNCTION("""COMPUTED_VALUE"""),36.28)</f>
        <v>36.28</v>
      </c>
      <c r="D348" s="1">
        <f ca="1">IFERROR(__xludf.DUMMYFUNCTION("""COMPUTED_VALUE"""),35.75)</f>
        <v>35.75</v>
      </c>
      <c r="E348" s="1">
        <f ca="1">IFERROR(__xludf.DUMMYFUNCTION("""COMPUTED_VALUE"""),36.09)</f>
        <v>36.090000000000003</v>
      </c>
      <c r="F348" s="1">
        <f ca="1">IFERROR(__xludf.DUMMYFUNCTION("""COMPUTED_VALUE"""),1626800)</f>
        <v>1626800</v>
      </c>
    </row>
    <row r="349" spans="1:6" x14ac:dyDescent="0.35">
      <c r="A349" s="2">
        <f ca="1">IFERROR(__xludf.DUMMYFUNCTION("""COMPUTED_VALUE"""),42509.6666666666)</f>
        <v>42509.666666666599</v>
      </c>
      <c r="B349" s="1">
        <f ca="1">IFERROR(__xludf.DUMMYFUNCTION("""COMPUTED_VALUE"""),35.92)</f>
        <v>35.92</v>
      </c>
      <c r="C349" s="1">
        <f ca="1">IFERROR(__xludf.DUMMYFUNCTION("""COMPUTED_VALUE"""),36.03)</f>
        <v>36.03</v>
      </c>
      <c r="D349" s="1">
        <f ca="1">IFERROR(__xludf.DUMMYFUNCTION("""COMPUTED_VALUE"""),35.52)</f>
        <v>35.520000000000003</v>
      </c>
      <c r="E349" s="1">
        <f ca="1">IFERROR(__xludf.DUMMYFUNCTION("""COMPUTED_VALUE"""),35.77)</f>
        <v>35.770000000000003</v>
      </c>
      <c r="F349" s="1">
        <f ca="1">IFERROR(__xludf.DUMMYFUNCTION("""COMPUTED_VALUE"""),1529910)</f>
        <v>1529910</v>
      </c>
    </row>
    <row r="350" spans="1:6" x14ac:dyDescent="0.35">
      <c r="A350" s="2">
        <f ca="1">IFERROR(__xludf.DUMMYFUNCTION("""COMPUTED_VALUE"""),42510.6666666666)</f>
        <v>42510.666666666599</v>
      </c>
      <c r="B350" s="1">
        <f ca="1">IFERROR(__xludf.DUMMYFUNCTION("""COMPUTED_VALUE"""),35.82)</f>
        <v>35.82</v>
      </c>
      <c r="C350" s="1">
        <f ca="1">IFERROR(__xludf.DUMMYFUNCTION("""COMPUTED_VALUE"""),36.39)</f>
        <v>36.39</v>
      </c>
      <c r="D350" s="1">
        <f ca="1">IFERROR(__xludf.DUMMYFUNCTION("""COMPUTED_VALUE"""),35.75)</f>
        <v>35.75</v>
      </c>
      <c r="E350" s="1">
        <f ca="1">IFERROR(__xludf.DUMMYFUNCTION("""COMPUTED_VALUE"""),36.09)</f>
        <v>36.090000000000003</v>
      </c>
      <c r="F350" s="1">
        <f ca="1">IFERROR(__xludf.DUMMYFUNCTION("""COMPUTED_VALUE"""),1739895)</f>
        <v>1739895</v>
      </c>
    </row>
    <row r="351" spans="1:6" x14ac:dyDescent="0.35">
      <c r="A351" s="2">
        <f ca="1">IFERROR(__xludf.DUMMYFUNCTION("""COMPUTED_VALUE"""),42513.6666666666)</f>
        <v>42513.666666666599</v>
      </c>
      <c r="B351" s="1">
        <f ca="1">IFERROR(__xludf.DUMMYFUNCTION("""COMPUTED_VALUE"""),36)</f>
        <v>36</v>
      </c>
      <c r="C351" s="1">
        <f ca="1">IFERROR(__xludf.DUMMYFUNCTION("""COMPUTED_VALUE"""),36.17)</f>
        <v>36.17</v>
      </c>
      <c r="D351" s="1">
        <f ca="1">IFERROR(__xludf.DUMMYFUNCTION("""COMPUTED_VALUE"""),35.85)</f>
        <v>35.85</v>
      </c>
      <c r="E351" s="1">
        <f ca="1">IFERROR(__xludf.DUMMYFUNCTION("""COMPUTED_VALUE"""),35.86)</f>
        <v>35.86</v>
      </c>
      <c r="F351" s="1">
        <f ca="1">IFERROR(__xludf.DUMMYFUNCTION("""COMPUTED_VALUE"""),1240826)</f>
        <v>1240826</v>
      </c>
    </row>
    <row r="352" spans="1:6" x14ac:dyDescent="0.35">
      <c r="A352" s="2">
        <f ca="1">IFERROR(__xludf.DUMMYFUNCTION("""COMPUTED_VALUE"""),42514.6666666666)</f>
        <v>42514.666666666599</v>
      </c>
      <c r="B352" s="1">
        <f ca="1">IFERROR(__xludf.DUMMYFUNCTION("""COMPUTED_VALUE"""),35.99)</f>
        <v>35.99</v>
      </c>
      <c r="C352" s="1">
        <f ca="1">IFERROR(__xludf.DUMMYFUNCTION("""COMPUTED_VALUE"""),36.71)</f>
        <v>36.71</v>
      </c>
      <c r="D352" s="1">
        <f ca="1">IFERROR(__xludf.DUMMYFUNCTION("""COMPUTED_VALUE"""),35.98)</f>
        <v>35.979999999999997</v>
      </c>
      <c r="E352" s="1">
        <f ca="1">IFERROR(__xludf.DUMMYFUNCTION("""COMPUTED_VALUE"""),36.65)</f>
        <v>36.65</v>
      </c>
      <c r="F352" s="1">
        <f ca="1">IFERROR(__xludf.DUMMYFUNCTION("""COMPUTED_VALUE"""),1894161)</f>
        <v>1894161</v>
      </c>
    </row>
    <row r="353" spans="1:6" x14ac:dyDescent="0.35">
      <c r="A353" s="2">
        <f ca="1">IFERROR(__xludf.DUMMYFUNCTION("""COMPUTED_VALUE"""),42515.6666666666)</f>
        <v>42515.666666666599</v>
      </c>
      <c r="B353" s="1">
        <f ca="1">IFERROR(__xludf.DUMMYFUNCTION("""COMPUTED_VALUE"""),36.75)</f>
        <v>36.75</v>
      </c>
      <c r="C353" s="1">
        <f ca="1">IFERROR(__xludf.DUMMYFUNCTION("""COMPUTED_VALUE"""),36.99)</f>
        <v>36.99</v>
      </c>
      <c r="D353" s="1">
        <f ca="1">IFERROR(__xludf.DUMMYFUNCTION("""COMPUTED_VALUE"""),36.63)</f>
        <v>36.630000000000003</v>
      </c>
      <c r="E353" s="1">
        <f ca="1">IFERROR(__xludf.DUMMYFUNCTION("""COMPUTED_VALUE"""),36.91)</f>
        <v>36.909999999999997</v>
      </c>
      <c r="F353" s="1">
        <f ca="1">IFERROR(__xludf.DUMMYFUNCTION("""COMPUTED_VALUE"""),1616624)</f>
        <v>1616624</v>
      </c>
    </row>
    <row r="354" spans="1:6" x14ac:dyDescent="0.35">
      <c r="A354" s="2">
        <f ca="1">IFERROR(__xludf.DUMMYFUNCTION("""COMPUTED_VALUE"""),42516.6666666666)</f>
        <v>42516.666666666599</v>
      </c>
      <c r="B354" s="1">
        <f ca="1">IFERROR(__xludf.DUMMYFUNCTION("""COMPUTED_VALUE"""),36.8)</f>
        <v>36.799999999999997</v>
      </c>
      <c r="C354" s="1">
        <f ca="1">IFERROR(__xludf.DUMMYFUNCTION("""COMPUTED_VALUE"""),37.06)</f>
        <v>37.06</v>
      </c>
      <c r="D354" s="1">
        <f ca="1">IFERROR(__xludf.DUMMYFUNCTION("""COMPUTED_VALUE"""),36.65)</f>
        <v>36.65</v>
      </c>
      <c r="E354" s="1">
        <f ca="1">IFERROR(__xludf.DUMMYFUNCTION("""COMPUTED_VALUE"""),36.85)</f>
        <v>36.85</v>
      </c>
      <c r="F354" s="1">
        <f ca="1">IFERROR(__xludf.DUMMYFUNCTION("""COMPUTED_VALUE"""),1360119)</f>
        <v>1360119</v>
      </c>
    </row>
    <row r="355" spans="1:6" x14ac:dyDescent="0.35">
      <c r="A355" s="2">
        <f ca="1">IFERROR(__xludf.DUMMYFUNCTION("""COMPUTED_VALUE"""),42517.6666666666)</f>
        <v>42517.666666666599</v>
      </c>
      <c r="B355" s="1">
        <f ca="1">IFERROR(__xludf.DUMMYFUNCTION("""COMPUTED_VALUE"""),36.88)</f>
        <v>36.880000000000003</v>
      </c>
      <c r="C355" s="1">
        <f ca="1">IFERROR(__xludf.DUMMYFUNCTION("""COMPUTED_VALUE"""),37.4)</f>
        <v>37.4</v>
      </c>
      <c r="D355" s="1">
        <f ca="1">IFERROR(__xludf.DUMMYFUNCTION("""COMPUTED_VALUE"""),36.85)</f>
        <v>36.85</v>
      </c>
      <c r="E355" s="1">
        <f ca="1">IFERROR(__xludf.DUMMYFUNCTION("""COMPUTED_VALUE"""),37.38)</f>
        <v>37.380000000000003</v>
      </c>
      <c r="F355" s="1">
        <f ca="1">IFERROR(__xludf.DUMMYFUNCTION("""COMPUTED_VALUE"""),1740130)</f>
        <v>1740130</v>
      </c>
    </row>
    <row r="356" spans="1:6" x14ac:dyDescent="0.35">
      <c r="A356" s="2">
        <f ca="1">IFERROR(__xludf.DUMMYFUNCTION("""COMPUTED_VALUE"""),42521.6666666666)</f>
        <v>42521.666666666599</v>
      </c>
      <c r="B356" s="1">
        <f ca="1">IFERROR(__xludf.DUMMYFUNCTION("""COMPUTED_VALUE"""),37.44)</f>
        <v>37.44</v>
      </c>
      <c r="C356" s="1">
        <f ca="1">IFERROR(__xludf.DUMMYFUNCTION("""COMPUTED_VALUE"""),37.67)</f>
        <v>37.67</v>
      </c>
      <c r="D356" s="1">
        <f ca="1">IFERROR(__xludf.DUMMYFUNCTION("""COMPUTED_VALUE"""),37.28)</f>
        <v>37.28</v>
      </c>
      <c r="E356" s="1">
        <f ca="1">IFERROR(__xludf.DUMMYFUNCTION("""COMPUTED_VALUE"""),37.44)</f>
        <v>37.44</v>
      </c>
      <c r="F356" s="1">
        <f ca="1">IFERROR(__xludf.DUMMYFUNCTION("""COMPUTED_VALUE"""),2124248)</f>
        <v>2124248</v>
      </c>
    </row>
    <row r="357" spans="1:6" x14ac:dyDescent="0.35">
      <c r="A357" s="2">
        <f ca="1">IFERROR(__xludf.DUMMYFUNCTION("""COMPUTED_VALUE"""),42522.6666666666)</f>
        <v>42522.666666666599</v>
      </c>
      <c r="B357" s="1">
        <f ca="1">IFERROR(__xludf.DUMMYFUNCTION("""COMPUTED_VALUE"""),37.42)</f>
        <v>37.42</v>
      </c>
      <c r="C357" s="1">
        <f ca="1">IFERROR(__xludf.DUMMYFUNCTION("""COMPUTED_VALUE"""),37.57)</f>
        <v>37.57</v>
      </c>
      <c r="D357" s="1">
        <f ca="1">IFERROR(__xludf.DUMMYFUNCTION("""COMPUTED_VALUE"""),37.22)</f>
        <v>37.22</v>
      </c>
      <c r="E357" s="1">
        <f ca="1">IFERROR(__xludf.DUMMYFUNCTION("""COMPUTED_VALUE"""),37.42)</f>
        <v>37.42</v>
      </c>
      <c r="F357" s="1">
        <f ca="1">IFERROR(__xludf.DUMMYFUNCTION("""COMPUTED_VALUE"""),1039847)</f>
        <v>1039847</v>
      </c>
    </row>
    <row r="358" spans="1:6" x14ac:dyDescent="0.35">
      <c r="A358" s="2">
        <f ca="1">IFERROR(__xludf.DUMMYFUNCTION("""COMPUTED_VALUE"""),42523.6666666666)</f>
        <v>42523.666666666599</v>
      </c>
      <c r="B358" s="1">
        <f ca="1">IFERROR(__xludf.DUMMYFUNCTION("""COMPUTED_VALUE"""),37.31)</f>
        <v>37.31</v>
      </c>
      <c r="C358" s="1">
        <f ca="1">IFERROR(__xludf.DUMMYFUNCTION("""COMPUTED_VALUE"""),37.37)</f>
        <v>37.369999999999997</v>
      </c>
      <c r="D358" s="1">
        <f ca="1">IFERROR(__xludf.DUMMYFUNCTION("""COMPUTED_VALUE"""),36.85)</f>
        <v>36.85</v>
      </c>
      <c r="E358" s="1">
        <f ca="1">IFERROR(__xludf.DUMMYFUNCTION("""COMPUTED_VALUE"""),37.21)</f>
        <v>37.21</v>
      </c>
      <c r="F358" s="1">
        <f ca="1">IFERROR(__xludf.DUMMYFUNCTION("""COMPUTED_VALUE"""),1695824)</f>
        <v>1695824</v>
      </c>
    </row>
    <row r="359" spans="1:6" x14ac:dyDescent="0.35">
      <c r="A359" s="2">
        <f ca="1">IFERROR(__xludf.DUMMYFUNCTION("""COMPUTED_VALUE"""),42524.6666666666)</f>
        <v>42524.666666666599</v>
      </c>
      <c r="B359" s="1">
        <f ca="1">IFERROR(__xludf.DUMMYFUNCTION("""COMPUTED_VALUE"""),37.07)</f>
        <v>37.07</v>
      </c>
      <c r="C359" s="1">
        <f ca="1">IFERROR(__xludf.DUMMYFUNCTION("""COMPUTED_VALUE"""),37.07)</f>
        <v>37.07</v>
      </c>
      <c r="D359" s="1">
        <f ca="1">IFERROR(__xludf.DUMMYFUNCTION("""COMPUTED_VALUE"""),36.7)</f>
        <v>36.700000000000003</v>
      </c>
      <c r="E359" s="1">
        <f ca="1">IFERROR(__xludf.DUMMYFUNCTION("""COMPUTED_VALUE"""),36.79)</f>
        <v>36.79</v>
      </c>
      <c r="F359" s="1">
        <f ca="1">IFERROR(__xludf.DUMMYFUNCTION("""COMPUTED_VALUE"""),1230376)</f>
        <v>1230376</v>
      </c>
    </row>
    <row r="360" spans="1:6" x14ac:dyDescent="0.35">
      <c r="A360" s="2">
        <f ca="1">IFERROR(__xludf.DUMMYFUNCTION("""COMPUTED_VALUE"""),42527.6666666666)</f>
        <v>42527.666666666599</v>
      </c>
      <c r="B360" s="1">
        <f ca="1">IFERROR(__xludf.DUMMYFUNCTION("""COMPUTED_VALUE"""),36.92)</f>
        <v>36.92</v>
      </c>
      <c r="C360" s="1">
        <f ca="1">IFERROR(__xludf.DUMMYFUNCTION("""COMPUTED_VALUE"""),36.92)</f>
        <v>36.92</v>
      </c>
      <c r="D360" s="1">
        <f ca="1">IFERROR(__xludf.DUMMYFUNCTION("""COMPUTED_VALUE"""),36.41)</f>
        <v>36.409999999999997</v>
      </c>
      <c r="E360" s="1">
        <f ca="1">IFERROR(__xludf.DUMMYFUNCTION("""COMPUTED_VALUE"""),36.5)</f>
        <v>36.5</v>
      </c>
      <c r="F360" s="1">
        <f ca="1">IFERROR(__xludf.DUMMYFUNCTION("""COMPUTED_VALUE"""),1499648)</f>
        <v>1499648</v>
      </c>
    </row>
    <row r="361" spans="1:6" x14ac:dyDescent="0.35">
      <c r="A361" s="2">
        <f ca="1">IFERROR(__xludf.DUMMYFUNCTION("""COMPUTED_VALUE"""),42528.6666666666)</f>
        <v>42528.666666666599</v>
      </c>
      <c r="B361" s="1">
        <f ca="1">IFERROR(__xludf.DUMMYFUNCTION("""COMPUTED_VALUE"""),36.66)</f>
        <v>36.659999999999997</v>
      </c>
      <c r="C361" s="1">
        <f ca="1">IFERROR(__xludf.DUMMYFUNCTION("""COMPUTED_VALUE"""),36.84)</f>
        <v>36.840000000000003</v>
      </c>
      <c r="D361" s="1">
        <f ca="1">IFERROR(__xludf.DUMMYFUNCTION("""COMPUTED_VALUE"""),36.54)</f>
        <v>36.54</v>
      </c>
      <c r="E361" s="1">
        <f ca="1">IFERROR(__xludf.DUMMYFUNCTION("""COMPUTED_VALUE"""),36.55)</f>
        <v>36.549999999999997</v>
      </c>
      <c r="F361" s="1">
        <f ca="1">IFERROR(__xludf.DUMMYFUNCTION("""COMPUTED_VALUE"""),1215741)</f>
        <v>1215741</v>
      </c>
    </row>
    <row r="362" spans="1:6" x14ac:dyDescent="0.35">
      <c r="A362" s="2">
        <f ca="1">IFERROR(__xludf.DUMMYFUNCTION("""COMPUTED_VALUE"""),42529.6666666666)</f>
        <v>42529.666666666599</v>
      </c>
      <c r="B362" s="1">
        <f ca="1">IFERROR(__xludf.DUMMYFUNCTION("""COMPUTED_VALUE"""),36.98)</f>
        <v>36.979999999999997</v>
      </c>
      <c r="C362" s="1">
        <f ca="1">IFERROR(__xludf.DUMMYFUNCTION("""COMPUTED_VALUE"""),37.19)</f>
        <v>37.19</v>
      </c>
      <c r="D362" s="1">
        <f ca="1">IFERROR(__xludf.DUMMYFUNCTION("""COMPUTED_VALUE"""),36.79)</f>
        <v>36.79</v>
      </c>
      <c r="E362" s="1">
        <f ca="1">IFERROR(__xludf.DUMMYFUNCTION("""COMPUTED_VALUE"""),37.15)</f>
        <v>37.15</v>
      </c>
      <c r="F362" s="1">
        <f ca="1">IFERROR(__xludf.DUMMYFUNCTION("""COMPUTED_VALUE"""),1615727)</f>
        <v>1615727</v>
      </c>
    </row>
    <row r="363" spans="1:6" x14ac:dyDescent="0.35">
      <c r="A363" s="2">
        <f ca="1">IFERROR(__xludf.DUMMYFUNCTION("""COMPUTED_VALUE"""),42530.6666666666)</f>
        <v>42530.666666666599</v>
      </c>
      <c r="B363" s="1">
        <f ca="1">IFERROR(__xludf.DUMMYFUNCTION("""COMPUTED_VALUE"""),36.85)</f>
        <v>36.85</v>
      </c>
      <c r="C363" s="1">
        <f ca="1">IFERROR(__xludf.DUMMYFUNCTION("""COMPUTED_VALUE"""),37.2)</f>
        <v>37.200000000000003</v>
      </c>
      <c r="D363" s="1">
        <f ca="1">IFERROR(__xludf.DUMMYFUNCTION("""COMPUTED_VALUE"""),36.83)</f>
        <v>36.83</v>
      </c>
      <c r="E363" s="1">
        <f ca="1">IFERROR(__xludf.DUMMYFUNCTION("""COMPUTED_VALUE"""),37.13)</f>
        <v>37.130000000000003</v>
      </c>
      <c r="F363" s="1">
        <f ca="1">IFERROR(__xludf.DUMMYFUNCTION("""COMPUTED_VALUE"""),958963)</f>
        <v>958963</v>
      </c>
    </row>
    <row r="364" spans="1:6" x14ac:dyDescent="0.35">
      <c r="A364" s="2">
        <f ca="1">IFERROR(__xludf.DUMMYFUNCTION("""COMPUTED_VALUE"""),42531.6666666666)</f>
        <v>42531.666666666599</v>
      </c>
      <c r="B364" s="1">
        <f ca="1">IFERROR(__xludf.DUMMYFUNCTION("""COMPUTED_VALUE"""),36.8)</f>
        <v>36.799999999999997</v>
      </c>
      <c r="C364" s="1">
        <f ca="1">IFERROR(__xludf.DUMMYFUNCTION("""COMPUTED_VALUE"""),36.98)</f>
        <v>36.979999999999997</v>
      </c>
      <c r="D364" s="1">
        <f ca="1">IFERROR(__xludf.DUMMYFUNCTION("""COMPUTED_VALUE"""),36.53)</f>
        <v>36.53</v>
      </c>
      <c r="E364" s="1">
        <f ca="1">IFERROR(__xludf.DUMMYFUNCTION("""COMPUTED_VALUE"""),36.66)</f>
        <v>36.659999999999997</v>
      </c>
      <c r="F364" s="1">
        <f ca="1">IFERROR(__xludf.DUMMYFUNCTION("""COMPUTED_VALUE"""),1452456)</f>
        <v>1452456</v>
      </c>
    </row>
    <row r="365" spans="1:6" x14ac:dyDescent="0.35">
      <c r="A365" s="2">
        <f ca="1">IFERROR(__xludf.DUMMYFUNCTION("""COMPUTED_VALUE"""),42534.6666666666)</f>
        <v>42534.666666666599</v>
      </c>
      <c r="B365" s="1">
        <f ca="1">IFERROR(__xludf.DUMMYFUNCTION("""COMPUTED_VALUE"""),36.49)</f>
        <v>36.49</v>
      </c>
      <c r="C365" s="1">
        <f ca="1">IFERROR(__xludf.DUMMYFUNCTION("""COMPUTED_VALUE"""),36.95)</f>
        <v>36.950000000000003</v>
      </c>
      <c r="D365" s="1">
        <f ca="1">IFERROR(__xludf.DUMMYFUNCTION("""COMPUTED_VALUE"""),36.49)</f>
        <v>36.49</v>
      </c>
      <c r="E365" s="1">
        <f ca="1">IFERROR(__xludf.DUMMYFUNCTION("""COMPUTED_VALUE"""),36.59)</f>
        <v>36.590000000000003</v>
      </c>
      <c r="F365" s="1">
        <f ca="1">IFERROR(__xludf.DUMMYFUNCTION("""COMPUTED_VALUE"""),1167736)</f>
        <v>1167736</v>
      </c>
    </row>
    <row r="366" spans="1:6" x14ac:dyDescent="0.35">
      <c r="A366" s="2">
        <f ca="1">IFERROR(__xludf.DUMMYFUNCTION("""COMPUTED_VALUE"""),42535.6666666666)</f>
        <v>42535.666666666599</v>
      </c>
      <c r="B366" s="1">
        <f ca="1">IFERROR(__xludf.DUMMYFUNCTION("""COMPUTED_VALUE"""),36.47)</f>
        <v>36.47</v>
      </c>
      <c r="C366" s="1">
        <f ca="1">IFERROR(__xludf.DUMMYFUNCTION("""COMPUTED_VALUE"""),36.8)</f>
        <v>36.799999999999997</v>
      </c>
      <c r="D366" s="1">
        <f ca="1">IFERROR(__xludf.DUMMYFUNCTION("""COMPUTED_VALUE"""),36.33)</f>
        <v>36.33</v>
      </c>
      <c r="E366" s="1">
        <f ca="1">IFERROR(__xludf.DUMMYFUNCTION("""COMPUTED_VALUE"""),36.66)</f>
        <v>36.659999999999997</v>
      </c>
      <c r="F366" s="1">
        <f ca="1">IFERROR(__xludf.DUMMYFUNCTION("""COMPUTED_VALUE"""),1329176)</f>
        <v>1329176</v>
      </c>
    </row>
    <row r="367" spans="1:6" x14ac:dyDescent="0.35">
      <c r="A367" s="2">
        <f ca="1">IFERROR(__xludf.DUMMYFUNCTION("""COMPUTED_VALUE"""),42536.6666666666)</f>
        <v>42536.666666666599</v>
      </c>
      <c r="B367" s="1">
        <f ca="1">IFERROR(__xludf.DUMMYFUNCTION("""COMPUTED_VALUE"""),36.75)</f>
        <v>36.75</v>
      </c>
      <c r="C367" s="1">
        <f ca="1">IFERROR(__xludf.DUMMYFUNCTION("""COMPUTED_VALUE"""),36.86)</f>
        <v>36.86</v>
      </c>
      <c r="D367" s="1">
        <f ca="1">IFERROR(__xludf.DUMMYFUNCTION("""COMPUTED_VALUE"""),36.57)</f>
        <v>36.57</v>
      </c>
      <c r="E367" s="1">
        <f ca="1">IFERROR(__xludf.DUMMYFUNCTION("""COMPUTED_VALUE"""),36.61)</f>
        <v>36.61</v>
      </c>
      <c r="F367" s="1">
        <f ca="1">IFERROR(__xludf.DUMMYFUNCTION("""COMPUTED_VALUE"""),1161701)</f>
        <v>1161701</v>
      </c>
    </row>
    <row r="368" spans="1:6" x14ac:dyDescent="0.35">
      <c r="A368" s="2">
        <f ca="1">IFERROR(__xludf.DUMMYFUNCTION("""COMPUTED_VALUE"""),42537.6666666666)</f>
        <v>42537.666666666599</v>
      </c>
      <c r="B368" s="1">
        <f ca="1">IFERROR(__xludf.DUMMYFUNCTION("""COMPUTED_VALUE"""),36.4)</f>
        <v>36.4</v>
      </c>
      <c r="C368" s="1">
        <f ca="1">IFERROR(__xludf.DUMMYFUNCTION("""COMPUTED_VALUE"""),36.52)</f>
        <v>36.520000000000003</v>
      </c>
      <c r="D368" s="1">
        <f ca="1">IFERROR(__xludf.DUMMYFUNCTION("""COMPUTED_VALUE"""),35.78)</f>
        <v>35.78</v>
      </c>
      <c r="E368" s="1">
        <f ca="1">IFERROR(__xludf.DUMMYFUNCTION("""COMPUTED_VALUE"""),36.21)</f>
        <v>36.21</v>
      </c>
      <c r="F368" s="1">
        <f ca="1">IFERROR(__xludf.DUMMYFUNCTION("""COMPUTED_VALUE"""),2250083)</f>
        <v>2250083</v>
      </c>
    </row>
    <row r="369" spans="1:6" x14ac:dyDescent="0.35">
      <c r="A369" s="2">
        <f ca="1">IFERROR(__xludf.DUMMYFUNCTION("""COMPUTED_VALUE"""),42538.6666666666)</f>
        <v>42538.666666666599</v>
      </c>
      <c r="B369" s="1">
        <f ca="1">IFERROR(__xludf.DUMMYFUNCTION("""COMPUTED_VALUE"""),36.07)</f>
        <v>36.07</v>
      </c>
      <c r="C369" s="1">
        <f ca="1">IFERROR(__xludf.DUMMYFUNCTION("""COMPUTED_VALUE"""),36.07)</f>
        <v>36.07</v>
      </c>
      <c r="D369" s="1">
        <f ca="1">IFERROR(__xludf.DUMMYFUNCTION("""COMPUTED_VALUE"""),35.06)</f>
        <v>35.06</v>
      </c>
      <c r="E369" s="1">
        <f ca="1">IFERROR(__xludf.DUMMYFUNCTION("""COMPUTED_VALUE"""),35.21)</f>
        <v>35.21</v>
      </c>
      <c r="F369" s="1">
        <f ca="1">IFERROR(__xludf.DUMMYFUNCTION("""COMPUTED_VALUE"""),4113085)</f>
        <v>4113085</v>
      </c>
    </row>
    <row r="370" spans="1:6" x14ac:dyDescent="0.35">
      <c r="A370" s="2">
        <f ca="1">IFERROR(__xludf.DUMMYFUNCTION("""COMPUTED_VALUE"""),42541.6666666666)</f>
        <v>42541.666666666599</v>
      </c>
      <c r="B370" s="1">
        <f ca="1">IFERROR(__xludf.DUMMYFUNCTION("""COMPUTED_VALUE"""),35.52)</f>
        <v>35.520000000000003</v>
      </c>
      <c r="C370" s="1">
        <f ca="1">IFERROR(__xludf.DUMMYFUNCTION("""COMPUTED_VALUE"""),35.79)</f>
        <v>35.79</v>
      </c>
      <c r="D370" s="1">
        <f ca="1">IFERROR(__xludf.DUMMYFUNCTION("""COMPUTED_VALUE"""),35.27)</f>
        <v>35.270000000000003</v>
      </c>
      <c r="E370" s="1">
        <f ca="1">IFERROR(__xludf.DUMMYFUNCTION("""COMPUTED_VALUE"""),35.31)</f>
        <v>35.31</v>
      </c>
      <c r="F370" s="1">
        <f ca="1">IFERROR(__xludf.DUMMYFUNCTION("""COMPUTED_VALUE"""),2282725)</f>
        <v>2282725</v>
      </c>
    </row>
    <row r="371" spans="1:6" x14ac:dyDescent="0.35">
      <c r="A371" s="2">
        <f ca="1">IFERROR(__xludf.DUMMYFUNCTION("""COMPUTED_VALUE"""),42542.6666666666)</f>
        <v>42542.666666666599</v>
      </c>
      <c r="B371" s="1">
        <f ca="1">IFERROR(__xludf.DUMMYFUNCTION("""COMPUTED_VALUE"""),35.5)</f>
        <v>35.5</v>
      </c>
      <c r="C371" s="1">
        <f ca="1">IFERROR(__xludf.DUMMYFUNCTION("""COMPUTED_VALUE"""),35.77)</f>
        <v>35.770000000000003</v>
      </c>
      <c r="D371" s="1">
        <f ca="1">IFERROR(__xludf.DUMMYFUNCTION("""COMPUTED_VALUE"""),35.23)</f>
        <v>35.229999999999997</v>
      </c>
      <c r="E371" s="1">
        <f ca="1">IFERROR(__xludf.DUMMYFUNCTION("""COMPUTED_VALUE"""),35.44)</f>
        <v>35.44</v>
      </c>
      <c r="F371" s="1">
        <f ca="1">IFERROR(__xludf.DUMMYFUNCTION("""COMPUTED_VALUE"""),1515918)</f>
        <v>1515918</v>
      </c>
    </row>
    <row r="372" spans="1:6" x14ac:dyDescent="0.35">
      <c r="A372" s="2">
        <f ca="1">IFERROR(__xludf.DUMMYFUNCTION("""COMPUTED_VALUE"""),42543.6666666666)</f>
        <v>42543.666666666599</v>
      </c>
      <c r="B372" s="1">
        <f ca="1">IFERROR(__xludf.DUMMYFUNCTION("""COMPUTED_VALUE"""),35.7)</f>
        <v>35.700000000000003</v>
      </c>
      <c r="C372" s="1">
        <f ca="1">IFERROR(__xludf.DUMMYFUNCTION("""COMPUTED_VALUE"""),35.71)</f>
        <v>35.71</v>
      </c>
      <c r="D372" s="1">
        <f ca="1">IFERROR(__xludf.DUMMYFUNCTION("""COMPUTED_VALUE"""),35.29)</f>
        <v>35.29</v>
      </c>
      <c r="E372" s="1">
        <f ca="1">IFERROR(__xludf.DUMMYFUNCTION("""COMPUTED_VALUE"""),35.52)</f>
        <v>35.520000000000003</v>
      </c>
      <c r="F372" s="1">
        <f ca="1">IFERROR(__xludf.DUMMYFUNCTION("""COMPUTED_VALUE"""),1452884)</f>
        <v>1452884</v>
      </c>
    </row>
    <row r="373" spans="1:6" x14ac:dyDescent="0.35">
      <c r="A373" s="2">
        <f ca="1">IFERROR(__xludf.DUMMYFUNCTION("""COMPUTED_VALUE"""),42544.6666666666)</f>
        <v>42544.666666666599</v>
      </c>
      <c r="B373" s="1">
        <f ca="1">IFERROR(__xludf.DUMMYFUNCTION("""COMPUTED_VALUE"""),35.53)</f>
        <v>35.53</v>
      </c>
      <c r="C373" s="1">
        <f ca="1">IFERROR(__xludf.DUMMYFUNCTION("""COMPUTED_VALUE"""),35.74)</f>
        <v>35.74</v>
      </c>
      <c r="D373" s="1">
        <f ca="1">IFERROR(__xludf.DUMMYFUNCTION("""COMPUTED_VALUE"""),35.01)</f>
        <v>35.01</v>
      </c>
      <c r="E373" s="1">
        <f ca="1">IFERROR(__xludf.DUMMYFUNCTION("""COMPUTED_VALUE"""),35.74)</f>
        <v>35.74</v>
      </c>
      <c r="F373" s="1">
        <f ca="1">IFERROR(__xludf.DUMMYFUNCTION("""COMPUTED_VALUE"""),2125028)</f>
        <v>2125028</v>
      </c>
    </row>
    <row r="374" spans="1:6" x14ac:dyDescent="0.35">
      <c r="A374" s="2">
        <f ca="1">IFERROR(__xludf.DUMMYFUNCTION("""COMPUTED_VALUE"""),42545.6666666666)</f>
        <v>42545.666666666599</v>
      </c>
      <c r="B374" s="1">
        <f ca="1">IFERROR(__xludf.DUMMYFUNCTION("""COMPUTED_VALUE"""),34.51)</f>
        <v>34.51</v>
      </c>
      <c r="C374" s="1">
        <f ca="1">IFERROR(__xludf.DUMMYFUNCTION("""COMPUTED_VALUE"""),35.25)</f>
        <v>35.25</v>
      </c>
      <c r="D374" s="1">
        <f ca="1">IFERROR(__xludf.DUMMYFUNCTION("""COMPUTED_VALUE"""),34.25)</f>
        <v>34.25</v>
      </c>
      <c r="E374" s="1">
        <f ca="1">IFERROR(__xludf.DUMMYFUNCTION("""COMPUTED_VALUE"""),34.26)</f>
        <v>34.26</v>
      </c>
      <c r="F374" s="1">
        <f ca="1">IFERROR(__xludf.DUMMYFUNCTION("""COMPUTED_VALUE"""),4771780)</f>
        <v>4771780</v>
      </c>
    </row>
    <row r="375" spans="1:6" x14ac:dyDescent="0.35">
      <c r="A375" s="2">
        <f ca="1">IFERROR(__xludf.DUMMYFUNCTION("""COMPUTED_VALUE"""),42548.6666666666)</f>
        <v>42548.666666666599</v>
      </c>
      <c r="B375" s="1">
        <f ca="1">IFERROR(__xludf.DUMMYFUNCTION("""COMPUTED_VALUE"""),34.12)</f>
        <v>34.119999999999997</v>
      </c>
      <c r="C375" s="1">
        <f ca="1">IFERROR(__xludf.DUMMYFUNCTION("""COMPUTED_VALUE"""),34.17)</f>
        <v>34.17</v>
      </c>
      <c r="D375" s="1">
        <f ca="1">IFERROR(__xludf.DUMMYFUNCTION("""COMPUTED_VALUE"""),33.63)</f>
        <v>33.630000000000003</v>
      </c>
      <c r="E375" s="1">
        <f ca="1">IFERROR(__xludf.DUMMYFUNCTION("""COMPUTED_VALUE"""),34.06)</f>
        <v>34.06</v>
      </c>
      <c r="F375" s="1">
        <f ca="1">IFERROR(__xludf.DUMMYFUNCTION("""COMPUTED_VALUE"""),2919486)</f>
        <v>2919486</v>
      </c>
    </row>
    <row r="376" spans="1:6" x14ac:dyDescent="0.35">
      <c r="A376" s="2">
        <f ca="1">IFERROR(__xludf.DUMMYFUNCTION("""COMPUTED_VALUE"""),42549.6666666666)</f>
        <v>42549.666666666599</v>
      </c>
      <c r="B376" s="1">
        <f ca="1">IFERROR(__xludf.DUMMYFUNCTION("""COMPUTED_VALUE"""),34.57)</f>
        <v>34.57</v>
      </c>
      <c r="C376" s="1">
        <f ca="1">IFERROR(__xludf.DUMMYFUNCTION("""COMPUTED_VALUE"""),34.64)</f>
        <v>34.64</v>
      </c>
      <c r="D376" s="1">
        <f ca="1">IFERROR(__xludf.DUMMYFUNCTION("""COMPUTED_VALUE"""),34.24)</f>
        <v>34.24</v>
      </c>
      <c r="E376" s="1">
        <f ca="1">IFERROR(__xludf.DUMMYFUNCTION("""COMPUTED_VALUE"""),34.56)</f>
        <v>34.56</v>
      </c>
      <c r="F376" s="1">
        <f ca="1">IFERROR(__xludf.DUMMYFUNCTION("""COMPUTED_VALUE"""),1912280)</f>
        <v>1912280</v>
      </c>
    </row>
    <row r="377" spans="1:6" x14ac:dyDescent="0.35">
      <c r="A377" s="2">
        <f ca="1">IFERROR(__xludf.DUMMYFUNCTION("""COMPUTED_VALUE"""),42550.6666666666)</f>
        <v>42550.666666666599</v>
      </c>
      <c r="B377" s="1">
        <f ca="1">IFERROR(__xludf.DUMMYFUNCTION("""COMPUTED_VALUE"""),34.71)</f>
        <v>34.71</v>
      </c>
      <c r="C377" s="1">
        <f ca="1">IFERROR(__xludf.DUMMYFUNCTION("""COMPUTED_VALUE"""),34.98)</f>
        <v>34.979999999999997</v>
      </c>
      <c r="D377" s="1">
        <f ca="1">IFERROR(__xludf.DUMMYFUNCTION("""COMPUTED_VALUE"""),34.63)</f>
        <v>34.630000000000003</v>
      </c>
      <c r="E377" s="1">
        <f ca="1">IFERROR(__xludf.DUMMYFUNCTION("""COMPUTED_VALUE"""),34.76)</f>
        <v>34.76</v>
      </c>
      <c r="F377" s="1">
        <f ca="1">IFERROR(__xludf.DUMMYFUNCTION("""COMPUTED_VALUE"""),2156218)</f>
        <v>2156218</v>
      </c>
    </row>
    <row r="378" spans="1:6" x14ac:dyDescent="0.35">
      <c r="A378" s="2">
        <f ca="1">IFERROR(__xludf.DUMMYFUNCTION("""COMPUTED_VALUE"""),42551.6666666666)</f>
        <v>42551.666666666599</v>
      </c>
      <c r="B378" s="1">
        <f ca="1">IFERROR(__xludf.DUMMYFUNCTION("""COMPUTED_VALUE"""),34.88)</f>
        <v>34.880000000000003</v>
      </c>
      <c r="C378" s="1">
        <f ca="1">IFERROR(__xludf.DUMMYFUNCTION("""COMPUTED_VALUE"""),35.19)</f>
        <v>35.19</v>
      </c>
      <c r="D378" s="1">
        <f ca="1">IFERROR(__xludf.DUMMYFUNCTION("""COMPUTED_VALUE"""),34.75)</f>
        <v>34.75</v>
      </c>
      <c r="E378" s="1">
        <f ca="1">IFERROR(__xludf.DUMMYFUNCTION("""COMPUTED_VALUE"""),35.18)</f>
        <v>35.18</v>
      </c>
      <c r="F378" s="1">
        <f ca="1">IFERROR(__xludf.DUMMYFUNCTION("""COMPUTED_VALUE"""),2112513)</f>
        <v>2112513</v>
      </c>
    </row>
    <row r="379" spans="1:6" x14ac:dyDescent="0.35">
      <c r="A379" s="2">
        <f ca="1">IFERROR(__xludf.DUMMYFUNCTION("""COMPUTED_VALUE"""),42552.6666666666)</f>
        <v>42552.666666666599</v>
      </c>
      <c r="B379" s="1">
        <f ca="1">IFERROR(__xludf.DUMMYFUNCTION("""COMPUTED_VALUE"""),35.26)</f>
        <v>35.26</v>
      </c>
      <c r="C379" s="1">
        <f ca="1">IFERROR(__xludf.DUMMYFUNCTION("""COMPUTED_VALUE"""),35.63)</f>
        <v>35.630000000000003</v>
      </c>
      <c r="D379" s="1">
        <f ca="1">IFERROR(__xludf.DUMMYFUNCTION("""COMPUTED_VALUE"""),35.19)</f>
        <v>35.19</v>
      </c>
      <c r="E379" s="1">
        <f ca="1">IFERROR(__xludf.DUMMYFUNCTION("""COMPUTED_VALUE"""),35.51)</f>
        <v>35.51</v>
      </c>
      <c r="F379" s="1">
        <f ca="1">IFERROR(__xludf.DUMMYFUNCTION("""COMPUTED_VALUE"""),1549160)</f>
        <v>1549160</v>
      </c>
    </row>
    <row r="380" spans="1:6" x14ac:dyDescent="0.35">
      <c r="A380" s="2">
        <f ca="1">IFERROR(__xludf.DUMMYFUNCTION("""COMPUTED_VALUE"""),42556.6666666666)</f>
        <v>42556.666666666599</v>
      </c>
      <c r="B380" s="1">
        <f ca="1">IFERROR(__xludf.DUMMYFUNCTION("""COMPUTED_VALUE"""),35.25)</f>
        <v>35.25</v>
      </c>
      <c r="C380" s="1">
        <f ca="1">IFERROR(__xludf.DUMMYFUNCTION("""COMPUTED_VALUE"""),35.41)</f>
        <v>35.409999999999997</v>
      </c>
      <c r="D380" s="1">
        <f ca="1">IFERROR(__xludf.DUMMYFUNCTION("""COMPUTED_VALUE"""),34.96)</f>
        <v>34.96</v>
      </c>
      <c r="E380" s="1">
        <f ca="1">IFERROR(__xludf.DUMMYFUNCTION("""COMPUTED_VALUE"""),35.24)</f>
        <v>35.24</v>
      </c>
      <c r="F380" s="1">
        <f ca="1">IFERROR(__xludf.DUMMYFUNCTION("""COMPUTED_VALUE"""),1422028)</f>
        <v>1422028</v>
      </c>
    </row>
    <row r="381" spans="1:6" x14ac:dyDescent="0.35">
      <c r="A381" s="2">
        <f ca="1">IFERROR(__xludf.DUMMYFUNCTION("""COMPUTED_VALUE"""),42557.6666666666)</f>
        <v>42557.666666666599</v>
      </c>
      <c r="B381" s="1">
        <f ca="1">IFERROR(__xludf.DUMMYFUNCTION("""COMPUTED_VALUE"""),34.99)</f>
        <v>34.99</v>
      </c>
      <c r="C381" s="1">
        <f ca="1">IFERROR(__xludf.DUMMYFUNCTION("""COMPUTED_VALUE"""),35.65)</f>
        <v>35.65</v>
      </c>
      <c r="D381" s="1">
        <f ca="1">IFERROR(__xludf.DUMMYFUNCTION("""COMPUTED_VALUE"""),34.95)</f>
        <v>34.950000000000003</v>
      </c>
      <c r="E381" s="1">
        <f ca="1">IFERROR(__xludf.DUMMYFUNCTION("""COMPUTED_VALUE"""),35.45)</f>
        <v>35.450000000000003</v>
      </c>
      <c r="F381" s="1">
        <f ca="1">IFERROR(__xludf.DUMMYFUNCTION("""COMPUTED_VALUE"""),1445126)</f>
        <v>1445126</v>
      </c>
    </row>
    <row r="382" spans="1:6" x14ac:dyDescent="0.35">
      <c r="A382" s="2">
        <f ca="1">IFERROR(__xludf.DUMMYFUNCTION("""COMPUTED_VALUE"""),42558.6666666666)</f>
        <v>42558.666666666599</v>
      </c>
      <c r="B382" s="1">
        <f ca="1">IFERROR(__xludf.DUMMYFUNCTION("""COMPUTED_VALUE"""),35.51)</f>
        <v>35.51</v>
      </c>
      <c r="C382" s="1">
        <f ca="1">IFERROR(__xludf.DUMMYFUNCTION("""COMPUTED_VALUE"""),35.51)</f>
        <v>35.51</v>
      </c>
      <c r="D382" s="1">
        <f ca="1">IFERROR(__xludf.DUMMYFUNCTION("""COMPUTED_VALUE"""),35.03)</f>
        <v>35.03</v>
      </c>
      <c r="E382" s="1">
        <f ca="1">IFERROR(__xludf.DUMMYFUNCTION("""COMPUTED_VALUE"""),35.36)</f>
        <v>35.36</v>
      </c>
      <c r="F382" s="1">
        <f ca="1">IFERROR(__xludf.DUMMYFUNCTION("""COMPUTED_VALUE"""),1058698)</f>
        <v>1058698</v>
      </c>
    </row>
    <row r="383" spans="1:6" x14ac:dyDescent="0.35">
      <c r="A383" s="2">
        <f ca="1">IFERROR(__xludf.DUMMYFUNCTION("""COMPUTED_VALUE"""),42559.6666666666)</f>
        <v>42559.666666666599</v>
      </c>
      <c r="B383" s="1">
        <f ca="1">IFERROR(__xludf.DUMMYFUNCTION("""COMPUTED_VALUE"""),35.53)</f>
        <v>35.53</v>
      </c>
      <c r="C383" s="1">
        <f ca="1">IFERROR(__xludf.DUMMYFUNCTION("""COMPUTED_VALUE"""),35.9)</f>
        <v>35.9</v>
      </c>
      <c r="D383" s="1">
        <f ca="1">IFERROR(__xludf.DUMMYFUNCTION("""COMPUTED_VALUE"""),35.41)</f>
        <v>35.409999999999997</v>
      </c>
      <c r="E383" s="1">
        <f ca="1">IFERROR(__xludf.DUMMYFUNCTION("""COMPUTED_VALUE"""),35.89)</f>
        <v>35.89</v>
      </c>
      <c r="F383" s="1">
        <f ca="1">IFERROR(__xludf.DUMMYFUNCTION("""COMPUTED_VALUE"""),1497323)</f>
        <v>1497323</v>
      </c>
    </row>
    <row r="384" spans="1:6" x14ac:dyDescent="0.35">
      <c r="A384" s="2">
        <f ca="1">IFERROR(__xludf.DUMMYFUNCTION("""COMPUTED_VALUE"""),42562.6666666666)</f>
        <v>42562.666666666599</v>
      </c>
      <c r="B384" s="1">
        <f ca="1">IFERROR(__xludf.DUMMYFUNCTION("""COMPUTED_VALUE"""),35.97)</f>
        <v>35.97</v>
      </c>
      <c r="C384" s="1">
        <f ca="1">IFERROR(__xludf.DUMMYFUNCTION("""COMPUTED_VALUE"""),36.45)</f>
        <v>36.450000000000003</v>
      </c>
      <c r="D384" s="1">
        <f ca="1">IFERROR(__xludf.DUMMYFUNCTION("""COMPUTED_VALUE"""),35.94)</f>
        <v>35.94</v>
      </c>
      <c r="E384" s="1">
        <f ca="1">IFERROR(__xludf.DUMMYFUNCTION("""COMPUTED_VALUE"""),36.36)</f>
        <v>36.36</v>
      </c>
      <c r="F384" s="1">
        <f ca="1">IFERROR(__xludf.DUMMYFUNCTION("""COMPUTED_VALUE"""),1441113)</f>
        <v>1441113</v>
      </c>
    </row>
    <row r="385" spans="1:6" x14ac:dyDescent="0.35">
      <c r="A385" s="2">
        <f ca="1">IFERROR(__xludf.DUMMYFUNCTION("""COMPUTED_VALUE"""),42563.6666666666)</f>
        <v>42563.666666666599</v>
      </c>
      <c r="B385" s="1">
        <f ca="1">IFERROR(__xludf.DUMMYFUNCTION("""COMPUTED_VALUE"""),36.6)</f>
        <v>36.6</v>
      </c>
      <c r="C385" s="1">
        <f ca="1">IFERROR(__xludf.DUMMYFUNCTION("""COMPUTED_VALUE"""),36.78)</f>
        <v>36.78</v>
      </c>
      <c r="D385" s="1">
        <f ca="1">IFERROR(__xludf.DUMMYFUNCTION("""COMPUTED_VALUE"""),36.38)</f>
        <v>36.380000000000003</v>
      </c>
      <c r="E385" s="1">
        <f ca="1">IFERROR(__xludf.DUMMYFUNCTION("""COMPUTED_VALUE"""),36.63)</f>
        <v>36.630000000000003</v>
      </c>
      <c r="F385" s="1">
        <f ca="1">IFERROR(__xludf.DUMMYFUNCTION("""COMPUTED_VALUE"""),1328680)</f>
        <v>1328680</v>
      </c>
    </row>
    <row r="386" spans="1:6" x14ac:dyDescent="0.35">
      <c r="A386" s="2">
        <f ca="1">IFERROR(__xludf.DUMMYFUNCTION("""COMPUTED_VALUE"""),42564.6666666666)</f>
        <v>42564.666666666599</v>
      </c>
      <c r="B386" s="1">
        <f ca="1">IFERROR(__xludf.DUMMYFUNCTION("""COMPUTED_VALUE"""),36.78)</f>
        <v>36.78</v>
      </c>
      <c r="C386" s="1">
        <f ca="1">IFERROR(__xludf.DUMMYFUNCTION("""COMPUTED_VALUE"""),36.78)</f>
        <v>36.78</v>
      </c>
      <c r="D386" s="1">
        <f ca="1">IFERROR(__xludf.DUMMYFUNCTION("""COMPUTED_VALUE"""),36.45)</f>
        <v>36.450000000000003</v>
      </c>
      <c r="E386" s="1">
        <f ca="1">IFERROR(__xludf.DUMMYFUNCTION("""COMPUTED_VALUE"""),36.47)</f>
        <v>36.47</v>
      </c>
      <c r="F386" s="1">
        <f ca="1">IFERROR(__xludf.DUMMYFUNCTION("""COMPUTED_VALUE"""),1021827)</f>
        <v>1021827</v>
      </c>
    </row>
    <row r="387" spans="1:6" x14ac:dyDescent="0.35">
      <c r="A387" s="2">
        <f ca="1">IFERROR(__xludf.DUMMYFUNCTION("""COMPUTED_VALUE"""),42565.6666666666)</f>
        <v>42565.666666666599</v>
      </c>
      <c r="B387" s="1">
        <f ca="1">IFERROR(__xludf.DUMMYFUNCTION("""COMPUTED_VALUE"""),36.7)</f>
        <v>36.700000000000003</v>
      </c>
      <c r="C387" s="1">
        <f ca="1">IFERROR(__xludf.DUMMYFUNCTION("""COMPUTED_VALUE"""),36.81)</f>
        <v>36.81</v>
      </c>
      <c r="D387" s="1">
        <f ca="1">IFERROR(__xludf.DUMMYFUNCTION("""COMPUTED_VALUE"""),36.53)</f>
        <v>36.53</v>
      </c>
      <c r="E387" s="1">
        <f ca="1">IFERROR(__xludf.DUMMYFUNCTION("""COMPUTED_VALUE"""),36.79)</f>
        <v>36.79</v>
      </c>
      <c r="F387" s="1">
        <f ca="1">IFERROR(__xludf.DUMMYFUNCTION("""COMPUTED_VALUE"""),1070351)</f>
        <v>1070351</v>
      </c>
    </row>
    <row r="388" spans="1:6" x14ac:dyDescent="0.35">
      <c r="A388" s="2">
        <f ca="1">IFERROR(__xludf.DUMMYFUNCTION("""COMPUTED_VALUE"""),42566.6666666666)</f>
        <v>42566.666666666599</v>
      </c>
      <c r="B388" s="1">
        <f ca="1">IFERROR(__xludf.DUMMYFUNCTION("""COMPUTED_VALUE"""),37.05)</f>
        <v>37.049999999999997</v>
      </c>
      <c r="C388" s="1">
        <f ca="1">IFERROR(__xludf.DUMMYFUNCTION("""COMPUTED_VALUE"""),37.05)</f>
        <v>37.049999999999997</v>
      </c>
      <c r="D388" s="1">
        <f ca="1">IFERROR(__xludf.DUMMYFUNCTION("""COMPUTED_VALUE"""),36.73)</f>
        <v>36.729999999999997</v>
      </c>
      <c r="E388" s="1">
        <f ca="1">IFERROR(__xludf.DUMMYFUNCTION("""COMPUTED_VALUE"""),36.78)</f>
        <v>36.78</v>
      </c>
      <c r="F388" s="1">
        <f ca="1">IFERROR(__xludf.DUMMYFUNCTION("""COMPUTED_VALUE"""),1617087)</f>
        <v>1617087</v>
      </c>
    </row>
    <row r="389" spans="1:6" x14ac:dyDescent="0.35">
      <c r="A389" s="2">
        <f ca="1">IFERROR(__xludf.DUMMYFUNCTION("""COMPUTED_VALUE"""),42569.6666666666)</f>
        <v>42569.666666666599</v>
      </c>
      <c r="B389" s="1">
        <f ca="1">IFERROR(__xludf.DUMMYFUNCTION("""COMPUTED_VALUE"""),36.9)</f>
        <v>36.9</v>
      </c>
      <c r="C389" s="1">
        <f ca="1">IFERROR(__xludf.DUMMYFUNCTION("""COMPUTED_VALUE"""),37.76)</f>
        <v>37.76</v>
      </c>
      <c r="D389" s="1">
        <f ca="1">IFERROR(__xludf.DUMMYFUNCTION("""COMPUTED_VALUE"""),36.83)</f>
        <v>36.83</v>
      </c>
      <c r="E389" s="1">
        <f ca="1">IFERROR(__xludf.DUMMYFUNCTION("""COMPUTED_VALUE"""),37.66)</f>
        <v>37.659999999999997</v>
      </c>
      <c r="F389" s="1">
        <f ca="1">IFERROR(__xludf.DUMMYFUNCTION("""COMPUTED_VALUE"""),1934900)</f>
        <v>1934900</v>
      </c>
    </row>
    <row r="390" spans="1:6" x14ac:dyDescent="0.35">
      <c r="A390" s="2">
        <f ca="1">IFERROR(__xludf.DUMMYFUNCTION("""COMPUTED_VALUE"""),42570.6666666666)</f>
        <v>42570.666666666599</v>
      </c>
      <c r="B390" s="1">
        <f ca="1">IFERROR(__xludf.DUMMYFUNCTION("""COMPUTED_VALUE"""),37.49)</f>
        <v>37.49</v>
      </c>
      <c r="C390" s="1">
        <f ca="1">IFERROR(__xludf.DUMMYFUNCTION("""COMPUTED_VALUE"""),37.83)</f>
        <v>37.83</v>
      </c>
      <c r="D390" s="1">
        <f ca="1">IFERROR(__xludf.DUMMYFUNCTION("""COMPUTED_VALUE"""),37.42)</f>
        <v>37.42</v>
      </c>
      <c r="E390" s="1">
        <f ca="1">IFERROR(__xludf.DUMMYFUNCTION("""COMPUTED_VALUE"""),37.67)</f>
        <v>37.67</v>
      </c>
      <c r="F390" s="1">
        <f ca="1">IFERROR(__xludf.DUMMYFUNCTION("""COMPUTED_VALUE"""),1521795)</f>
        <v>1521795</v>
      </c>
    </row>
    <row r="391" spans="1:6" x14ac:dyDescent="0.35">
      <c r="A391" s="2">
        <f ca="1">IFERROR(__xludf.DUMMYFUNCTION("""COMPUTED_VALUE"""),42571.6666666666)</f>
        <v>42571.666666666599</v>
      </c>
      <c r="B391" s="1">
        <f ca="1">IFERROR(__xludf.DUMMYFUNCTION("""COMPUTED_VALUE"""),37.7)</f>
        <v>37.700000000000003</v>
      </c>
      <c r="C391" s="1">
        <f ca="1">IFERROR(__xludf.DUMMYFUNCTION("""COMPUTED_VALUE"""),38.03)</f>
        <v>38.03</v>
      </c>
      <c r="D391" s="1">
        <f ca="1">IFERROR(__xludf.DUMMYFUNCTION("""COMPUTED_VALUE"""),37.7)</f>
        <v>37.700000000000003</v>
      </c>
      <c r="E391" s="1">
        <f ca="1">IFERROR(__xludf.DUMMYFUNCTION("""COMPUTED_VALUE"""),37.85)</f>
        <v>37.85</v>
      </c>
      <c r="F391" s="1">
        <f ca="1">IFERROR(__xludf.DUMMYFUNCTION("""COMPUTED_VALUE"""),1125117)</f>
        <v>1125117</v>
      </c>
    </row>
    <row r="392" spans="1:6" x14ac:dyDescent="0.35">
      <c r="A392" s="2">
        <f ca="1">IFERROR(__xludf.DUMMYFUNCTION("""COMPUTED_VALUE"""),42572.6666666666)</f>
        <v>42572.666666666599</v>
      </c>
      <c r="B392" s="1">
        <f ca="1">IFERROR(__xludf.DUMMYFUNCTION("""COMPUTED_VALUE"""),37.85)</f>
        <v>37.85</v>
      </c>
      <c r="C392" s="1">
        <f ca="1">IFERROR(__xludf.DUMMYFUNCTION("""COMPUTED_VALUE"""),37.91)</f>
        <v>37.909999999999997</v>
      </c>
      <c r="D392" s="1">
        <f ca="1">IFERROR(__xludf.DUMMYFUNCTION("""COMPUTED_VALUE"""),37.58)</f>
        <v>37.58</v>
      </c>
      <c r="E392" s="1">
        <f ca="1">IFERROR(__xludf.DUMMYFUNCTION("""COMPUTED_VALUE"""),37.72)</f>
        <v>37.72</v>
      </c>
      <c r="F392" s="1">
        <f ca="1">IFERROR(__xludf.DUMMYFUNCTION("""COMPUTED_VALUE"""),953053)</f>
        <v>953053</v>
      </c>
    </row>
    <row r="393" spans="1:6" x14ac:dyDescent="0.35">
      <c r="A393" s="2">
        <f ca="1">IFERROR(__xludf.DUMMYFUNCTION("""COMPUTED_VALUE"""),42573.6666666666)</f>
        <v>42573.666666666599</v>
      </c>
      <c r="B393" s="1">
        <f ca="1">IFERROR(__xludf.DUMMYFUNCTION("""COMPUTED_VALUE"""),37.87)</f>
        <v>37.869999999999997</v>
      </c>
      <c r="C393" s="1">
        <f ca="1">IFERROR(__xludf.DUMMYFUNCTION("""COMPUTED_VALUE"""),37.97)</f>
        <v>37.97</v>
      </c>
      <c r="D393" s="1">
        <f ca="1">IFERROR(__xludf.DUMMYFUNCTION("""COMPUTED_VALUE"""),37.63)</f>
        <v>37.630000000000003</v>
      </c>
      <c r="E393" s="1">
        <f ca="1">IFERROR(__xludf.DUMMYFUNCTION("""COMPUTED_VALUE"""),37.96)</f>
        <v>37.96</v>
      </c>
      <c r="F393" s="1">
        <f ca="1">IFERROR(__xludf.DUMMYFUNCTION("""COMPUTED_VALUE"""),1046024)</f>
        <v>1046024</v>
      </c>
    </row>
    <row r="394" spans="1:6" x14ac:dyDescent="0.35">
      <c r="A394" s="2">
        <f ca="1">IFERROR(__xludf.DUMMYFUNCTION("""COMPUTED_VALUE"""),42576.6666666666)</f>
        <v>42576.666666666599</v>
      </c>
      <c r="B394" s="1">
        <f ca="1">IFERROR(__xludf.DUMMYFUNCTION("""COMPUTED_VALUE"""),37.88)</f>
        <v>37.880000000000003</v>
      </c>
      <c r="C394" s="1">
        <f ca="1">IFERROR(__xludf.DUMMYFUNCTION("""COMPUTED_VALUE"""),37.99)</f>
        <v>37.99</v>
      </c>
      <c r="D394" s="1">
        <f ca="1">IFERROR(__xludf.DUMMYFUNCTION("""COMPUTED_VALUE"""),37.7)</f>
        <v>37.700000000000003</v>
      </c>
      <c r="E394" s="1">
        <f ca="1">IFERROR(__xludf.DUMMYFUNCTION("""COMPUTED_VALUE"""),37.88)</f>
        <v>37.880000000000003</v>
      </c>
      <c r="F394" s="1">
        <f ca="1">IFERROR(__xludf.DUMMYFUNCTION("""COMPUTED_VALUE"""),1073310)</f>
        <v>1073310</v>
      </c>
    </row>
    <row r="395" spans="1:6" x14ac:dyDescent="0.35">
      <c r="A395" s="2">
        <f ca="1">IFERROR(__xludf.DUMMYFUNCTION("""COMPUTED_VALUE"""),42577.6666666666)</f>
        <v>42577.666666666599</v>
      </c>
      <c r="B395" s="1">
        <f ca="1">IFERROR(__xludf.DUMMYFUNCTION("""COMPUTED_VALUE"""),37.88)</f>
        <v>37.880000000000003</v>
      </c>
      <c r="C395" s="1">
        <f ca="1">IFERROR(__xludf.DUMMYFUNCTION("""COMPUTED_VALUE"""),37.96)</f>
        <v>37.96</v>
      </c>
      <c r="D395" s="1">
        <f ca="1">IFERROR(__xludf.DUMMYFUNCTION("""COMPUTED_VALUE"""),37.64)</f>
        <v>37.64</v>
      </c>
      <c r="E395" s="1">
        <f ca="1">IFERROR(__xludf.DUMMYFUNCTION("""COMPUTED_VALUE"""),37.88)</f>
        <v>37.880000000000003</v>
      </c>
      <c r="F395" s="1">
        <f ca="1">IFERROR(__xludf.DUMMYFUNCTION("""COMPUTED_VALUE"""),1189573)</f>
        <v>1189573</v>
      </c>
    </row>
    <row r="396" spans="1:6" x14ac:dyDescent="0.35">
      <c r="A396" s="2">
        <f ca="1">IFERROR(__xludf.DUMMYFUNCTION("""COMPUTED_VALUE"""),42578.6666666666)</f>
        <v>42578.666666666599</v>
      </c>
      <c r="B396" s="1">
        <f ca="1">IFERROR(__xludf.DUMMYFUNCTION("""COMPUTED_VALUE"""),37.95)</f>
        <v>37.950000000000003</v>
      </c>
      <c r="C396" s="1">
        <f ca="1">IFERROR(__xludf.DUMMYFUNCTION("""COMPUTED_VALUE"""),38.22)</f>
        <v>38.22</v>
      </c>
      <c r="D396" s="1">
        <f ca="1">IFERROR(__xludf.DUMMYFUNCTION("""COMPUTED_VALUE"""),37.8)</f>
        <v>37.799999999999997</v>
      </c>
      <c r="E396" s="1">
        <f ca="1">IFERROR(__xludf.DUMMYFUNCTION("""COMPUTED_VALUE"""),38.1)</f>
        <v>38.1</v>
      </c>
      <c r="F396" s="1">
        <f ca="1">IFERROR(__xludf.DUMMYFUNCTION("""COMPUTED_VALUE"""),1608589)</f>
        <v>1608589</v>
      </c>
    </row>
    <row r="397" spans="1:6" x14ac:dyDescent="0.35">
      <c r="A397" s="2">
        <f ca="1">IFERROR(__xludf.DUMMYFUNCTION("""COMPUTED_VALUE"""),42579.6666666666)</f>
        <v>42579.666666666599</v>
      </c>
      <c r="B397" s="1">
        <f ca="1">IFERROR(__xludf.DUMMYFUNCTION("""COMPUTED_VALUE"""),38.44)</f>
        <v>38.44</v>
      </c>
      <c r="C397" s="1">
        <f ca="1">IFERROR(__xludf.DUMMYFUNCTION("""COMPUTED_VALUE"""),38.45)</f>
        <v>38.450000000000003</v>
      </c>
      <c r="D397" s="1">
        <f ca="1">IFERROR(__xludf.DUMMYFUNCTION("""COMPUTED_VALUE"""),37.95)</f>
        <v>37.950000000000003</v>
      </c>
      <c r="E397" s="1">
        <f ca="1">IFERROR(__xludf.DUMMYFUNCTION("""COMPUTED_VALUE"""),38.29)</f>
        <v>38.29</v>
      </c>
      <c r="F397" s="1">
        <f ca="1">IFERROR(__xludf.DUMMYFUNCTION("""COMPUTED_VALUE"""),3673221)</f>
        <v>3673221</v>
      </c>
    </row>
    <row r="398" spans="1:6" x14ac:dyDescent="0.35">
      <c r="A398" s="2">
        <f ca="1">IFERROR(__xludf.DUMMYFUNCTION("""COMPUTED_VALUE"""),42580.6666666666)</f>
        <v>42580.666666666599</v>
      </c>
      <c r="B398" s="1">
        <f ca="1">IFERROR(__xludf.DUMMYFUNCTION("""COMPUTED_VALUE"""),39.89)</f>
        <v>39.89</v>
      </c>
      <c r="C398" s="1">
        <f ca="1">IFERROR(__xludf.DUMMYFUNCTION("""COMPUTED_VALUE"""),40.2)</f>
        <v>40.200000000000003</v>
      </c>
      <c r="D398" s="1">
        <f ca="1">IFERROR(__xludf.DUMMYFUNCTION("""COMPUTED_VALUE"""),39.5)</f>
        <v>39.5</v>
      </c>
      <c r="E398" s="1">
        <f ca="1">IFERROR(__xludf.DUMMYFUNCTION("""COMPUTED_VALUE"""),39.57)</f>
        <v>39.57</v>
      </c>
      <c r="F398" s="1">
        <f ca="1">IFERROR(__xludf.DUMMYFUNCTION("""COMPUTED_VALUE"""),5090527)</f>
        <v>5090527</v>
      </c>
    </row>
    <row r="399" spans="1:6" x14ac:dyDescent="0.35">
      <c r="A399" s="2">
        <f ca="1">IFERROR(__xludf.DUMMYFUNCTION("""COMPUTED_VALUE"""),42583.6666666666)</f>
        <v>42583.666666666599</v>
      </c>
      <c r="B399" s="1">
        <f ca="1">IFERROR(__xludf.DUMMYFUNCTION("""COMPUTED_VALUE"""),39.33)</f>
        <v>39.33</v>
      </c>
      <c r="C399" s="1">
        <f ca="1">IFERROR(__xludf.DUMMYFUNCTION("""COMPUTED_VALUE"""),40.37)</f>
        <v>40.369999999999997</v>
      </c>
      <c r="D399" s="1">
        <f ca="1">IFERROR(__xludf.DUMMYFUNCTION("""COMPUTED_VALUE"""),39.25)</f>
        <v>39.25</v>
      </c>
      <c r="E399" s="1">
        <f ca="1">IFERROR(__xludf.DUMMYFUNCTION("""COMPUTED_VALUE"""),40.05)</f>
        <v>40.049999999999997</v>
      </c>
      <c r="F399" s="1">
        <f ca="1">IFERROR(__xludf.DUMMYFUNCTION("""COMPUTED_VALUE"""),3029658)</f>
        <v>3029658</v>
      </c>
    </row>
    <row r="400" spans="1:6" x14ac:dyDescent="0.35">
      <c r="A400" s="2">
        <f ca="1">IFERROR(__xludf.DUMMYFUNCTION("""COMPUTED_VALUE"""),42584.6666666666)</f>
        <v>42584.666666666599</v>
      </c>
      <c r="B400" s="1">
        <f ca="1">IFERROR(__xludf.DUMMYFUNCTION("""COMPUTED_VALUE"""),39.87)</f>
        <v>39.869999999999997</v>
      </c>
      <c r="C400" s="1">
        <f ca="1">IFERROR(__xludf.DUMMYFUNCTION("""COMPUTED_VALUE"""),40.12)</f>
        <v>40.119999999999997</v>
      </c>
      <c r="D400" s="1">
        <f ca="1">IFERROR(__xludf.DUMMYFUNCTION("""COMPUTED_VALUE"""),39.73)</f>
        <v>39.729999999999997</v>
      </c>
      <c r="E400" s="1">
        <f ca="1">IFERROR(__xludf.DUMMYFUNCTION("""COMPUTED_VALUE"""),40.01)</f>
        <v>40.01</v>
      </c>
      <c r="F400" s="1">
        <f ca="1">IFERROR(__xludf.DUMMYFUNCTION("""COMPUTED_VALUE"""),1996354)</f>
        <v>1996354</v>
      </c>
    </row>
    <row r="401" spans="1:6" x14ac:dyDescent="0.35">
      <c r="A401" s="2">
        <f ca="1">IFERROR(__xludf.DUMMYFUNCTION("""COMPUTED_VALUE"""),42585.6666666666)</f>
        <v>42585.666666666599</v>
      </c>
      <c r="B401" s="1">
        <f ca="1">IFERROR(__xludf.DUMMYFUNCTION("""COMPUTED_VALUE"""),39.82)</f>
        <v>39.82</v>
      </c>
      <c r="C401" s="1">
        <f ca="1">IFERROR(__xludf.DUMMYFUNCTION("""COMPUTED_VALUE"""),39.98)</f>
        <v>39.979999999999997</v>
      </c>
      <c r="D401" s="1">
        <f ca="1">IFERROR(__xludf.DUMMYFUNCTION("""COMPUTED_VALUE"""),39.65)</f>
        <v>39.65</v>
      </c>
      <c r="E401" s="1">
        <f ca="1">IFERROR(__xludf.DUMMYFUNCTION("""COMPUTED_VALUE"""),39.95)</f>
        <v>39.950000000000003</v>
      </c>
      <c r="F401" s="1">
        <f ca="1">IFERROR(__xludf.DUMMYFUNCTION("""COMPUTED_VALUE"""),1461025)</f>
        <v>1461025</v>
      </c>
    </row>
    <row r="402" spans="1:6" x14ac:dyDescent="0.35">
      <c r="A402" s="2">
        <f ca="1">IFERROR(__xludf.DUMMYFUNCTION("""COMPUTED_VALUE"""),42586.6666666666)</f>
        <v>42586.666666666599</v>
      </c>
      <c r="B402" s="1">
        <f ca="1">IFERROR(__xludf.DUMMYFUNCTION("""COMPUTED_VALUE"""),39.91)</f>
        <v>39.909999999999997</v>
      </c>
      <c r="C402" s="1">
        <f ca="1">IFERROR(__xludf.DUMMYFUNCTION("""COMPUTED_VALUE"""),40.01)</f>
        <v>40.01</v>
      </c>
      <c r="D402" s="1">
        <f ca="1">IFERROR(__xludf.DUMMYFUNCTION("""COMPUTED_VALUE"""),39.7)</f>
        <v>39.700000000000003</v>
      </c>
      <c r="E402" s="1">
        <f ca="1">IFERROR(__xludf.DUMMYFUNCTION("""COMPUTED_VALUE"""),39.86)</f>
        <v>39.86</v>
      </c>
      <c r="F402" s="1">
        <f ca="1">IFERROR(__xludf.DUMMYFUNCTION("""COMPUTED_VALUE"""),1076031)</f>
        <v>1076031</v>
      </c>
    </row>
    <row r="403" spans="1:6" x14ac:dyDescent="0.35">
      <c r="A403" s="2">
        <f ca="1">IFERROR(__xludf.DUMMYFUNCTION("""COMPUTED_VALUE"""),42587.6666666666)</f>
        <v>42587.666666666599</v>
      </c>
      <c r="B403" s="1">
        <f ca="1">IFERROR(__xludf.DUMMYFUNCTION("""COMPUTED_VALUE"""),40.01)</f>
        <v>40.01</v>
      </c>
      <c r="C403" s="1">
        <f ca="1">IFERROR(__xludf.DUMMYFUNCTION("""COMPUTED_VALUE"""),40.36)</f>
        <v>40.36</v>
      </c>
      <c r="D403" s="1">
        <f ca="1">IFERROR(__xludf.DUMMYFUNCTION("""COMPUTED_VALUE"""),39.89)</f>
        <v>39.89</v>
      </c>
      <c r="E403" s="1">
        <f ca="1">IFERROR(__xludf.DUMMYFUNCTION("""COMPUTED_VALUE"""),40.35)</f>
        <v>40.35</v>
      </c>
      <c r="F403" s="1">
        <f ca="1">IFERROR(__xludf.DUMMYFUNCTION("""COMPUTED_VALUE"""),1807271)</f>
        <v>1807271</v>
      </c>
    </row>
    <row r="404" spans="1:6" x14ac:dyDescent="0.35">
      <c r="A404" s="2">
        <f ca="1">IFERROR(__xludf.DUMMYFUNCTION("""COMPUTED_VALUE"""),42590.6666666666)</f>
        <v>42590.666666666599</v>
      </c>
      <c r="B404" s="1">
        <f ca="1">IFERROR(__xludf.DUMMYFUNCTION("""COMPUTED_VALUE"""),40.3)</f>
        <v>40.299999999999997</v>
      </c>
      <c r="C404" s="1">
        <f ca="1">IFERROR(__xludf.DUMMYFUNCTION("""COMPUTED_VALUE"""),40.38)</f>
        <v>40.380000000000003</v>
      </c>
      <c r="D404" s="1">
        <f ca="1">IFERROR(__xludf.DUMMYFUNCTION("""COMPUTED_VALUE"""),40.08)</f>
        <v>40.08</v>
      </c>
      <c r="E404" s="1">
        <f ca="1">IFERROR(__xludf.DUMMYFUNCTION("""COMPUTED_VALUE"""),40.26)</f>
        <v>40.26</v>
      </c>
      <c r="F404" s="1">
        <f ca="1">IFERROR(__xludf.DUMMYFUNCTION("""COMPUTED_VALUE"""),1221609)</f>
        <v>1221609</v>
      </c>
    </row>
    <row r="405" spans="1:6" x14ac:dyDescent="0.35">
      <c r="A405" s="2">
        <f ca="1">IFERROR(__xludf.DUMMYFUNCTION("""COMPUTED_VALUE"""),42591.6666666666)</f>
        <v>42591.666666666599</v>
      </c>
      <c r="B405" s="1">
        <f ca="1">IFERROR(__xludf.DUMMYFUNCTION("""COMPUTED_VALUE"""),40.22)</f>
        <v>40.22</v>
      </c>
      <c r="C405" s="1">
        <f ca="1">IFERROR(__xludf.DUMMYFUNCTION("""COMPUTED_VALUE"""),40.67)</f>
        <v>40.67</v>
      </c>
      <c r="D405" s="1">
        <f ca="1">IFERROR(__xludf.DUMMYFUNCTION("""COMPUTED_VALUE"""),40.2)</f>
        <v>40.200000000000003</v>
      </c>
      <c r="E405" s="1">
        <f ca="1">IFERROR(__xludf.DUMMYFUNCTION("""COMPUTED_VALUE"""),40.37)</f>
        <v>40.369999999999997</v>
      </c>
      <c r="F405" s="1">
        <f ca="1">IFERROR(__xludf.DUMMYFUNCTION("""COMPUTED_VALUE"""),1607685)</f>
        <v>1607685</v>
      </c>
    </row>
    <row r="406" spans="1:6" x14ac:dyDescent="0.35">
      <c r="A406" s="2">
        <f ca="1">IFERROR(__xludf.DUMMYFUNCTION("""COMPUTED_VALUE"""),42592.6666666666)</f>
        <v>42592.666666666599</v>
      </c>
      <c r="B406" s="1">
        <f ca="1">IFERROR(__xludf.DUMMYFUNCTION("""COMPUTED_VALUE"""),40.35)</f>
        <v>40.35</v>
      </c>
      <c r="C406" s="1">
        <f ca="1">IFERROR(__xludf.DUMMYFUNCTION("""COMPUTED_VALUE"""),40.54)</f>
        <v>40.54</v>
      </c>
      <c r="D406" s="1">
        <f ca="1">IFERROR(__xludf.DUMMYFUNCTION("""COMPUTED_VALUE"""),40.32)</f>
        <v>40.32</v>
      </c>
      <c r="E406" s="1">
        <f ca="1">IFERROR(__xludf.DUMMYFUNCTION("""COMPUTED_VALUE"""),40.42)</f>
        <v>40.42</v>
      </c>
      <c r="F406" s="1">
        <f ca="1">IFERROR(__xludf.DUMMYFUNCTION("""COMPUTED_VALUE"""),918514)</f>
        <v>918514</v>
      </c>
    </row>
    <row r="407" spans="1:6" x14ac:dyDescent="0.35">
      <c r="A407" s="2">
        <f ca="1">IFERROR(__xludf.DUMMYFUNCTION("""COMPUTED_VALUE"""),42593.6666666666)</f>
        <v>42593.666666666599</v>
      </c>
      <c r="B407" s="1">
        <f ca="1">IFERROR(__xludf.DUMMYFUNCTION("""COMPUTED_VALUE"""),40.52)</f>
        <v>40.520000000000003</v>
      </c>
      <c r="C407" s="1">
        <f ca="1">IFERROR(__xludf.DUMMYFUNCTION("""COMPUTED_VALUE"""),40.69)</f>
        <v>40.69</v>
      </c>
      <c r="D407" s="1">
        <f ca="1">IFERROR(__xludf.DUMMYFUNCTION("""COMPUTED_VALUE"""),40.3)</f>
        <v>40.299999999999997</v>
      </c>
      <c r="E407" s="1">
        <f ca="1">IFERROR(__xludf.DUMMYFUNCTION("""COMPUTED_VALUE"""),40.41)</f>
        <v>40.409999999999997</v>
      </c>
      <c r="F407" s="1">
        <f ca="1">IFERROR(__xludf.DUMMYFUNCTION("""COMPUTED_VALUE"""),1282274)</f>
        <v>1282274</v>
      </c>
    </row>
    <row r="408" spans="1:6" x14ac:dyDescent="0.35">
      <c r="A408" s="2">
        <f ca="1">IFERROR(__xludf.DUMMYFUNCTION("""COMPUTED_VALUE"""),42594.6666666666)</f>
        <v>42594.666666666599</v>
      </c>
      <c r="B408" s="1">
        <f ca="1">IFERROR(__xludf.DUMMYFUNCTION("""COMPUTED_VALUE"""),40.25)</f>
        <v>40.25</v>
      </c>
      <c r="C408" s="1">
        <f ca="1">IFERROR(__xludf.DUMMYFUNCTION("""COMPUTED_VALUE"""),40.36)</f>
        <v>40.36</v>
      </c>
      <c r="D408" s="1">
        <f ca="1">IFERROR(__xludf.DUMMYFUNCTION("""COMPUTED_VALUE"""),40.18)</f>
        <v>40.18</v>
      </c>
      <c r="E408" s="1">
        <f ca="1">IFERROR(__xludf.DUMMYFUNCTION("""COMPUTED_VALUE"""),40.35)</f>
        <v>40.35</v>
      </c>
      <c r="F408" s="1">
        <f ca="1">IFERROR(__xludf.DUMMYFUNCTION("""COMPUTED_VALUE"""),897283)</f>
        <v>897283</v>
      </c>
    </row>
    <row r="409" spans="1:6" x14ac:dyDescent="0.35">
      <c r="A409" s="2">
        <f ca="1">IFERROR(__xludf.DUMMYFUNCTION("""COMPUTED_VALUE"""),42597.6666666666)</f>
        <v>42597.666666666599</v>
      </c>
      <c r="B409" s="1">
        <f ca="1">IFERROR(__xludf.DUMMYFUNCTION("""COMPUTED_VALUE"""),40.36)</f>
        <v>40.36</v>
      </c>
      <c r="C409" s="1">
        <f ca="1">IFERROR(__xludf.DUMMYFUNCTION("""COMPUTED_VALUE"""),40.57)</f>
        <v>40.57</v>
      </c>
      <c r="D409" s="1">
        <f ca="1">IFERROR(__xludf.DUMMYFUNCTION("""COMPUTED_VALUE"""),40.2)</f>
        <v>40.200000000000003</v>
      </c>
      <c r="E409" s="1">
        <f ca="1">IFERROR(__xludf.DUMMYFUNCTION("""COMPUTED_VALUE"""),40.3)</f>
        <v>40.299999999999997</v>
      </c>
      <c r="F409" s="1">
        <f ca="1">IFERROR(__xludf.DUMMYFUNCTION("""COMPUTED_VALUE"""),930074)</f>
        <v>930074</v>
      </c>
    </row>
    <row r="410" spans="1:6" x14ac:dyDescent="0.35">
      <c r="A410" s="2">
        <f ca="1">IFERROR(__xludf.DUMMYFUNCTION("""COMPUTED_VALUE"""),42598.6666666666)</f>
        <v>42598.666666666599</v>
      </c>
      <c r="B410" s="1">
        <f ca="1">IFERROR(__xludf.DUMMYFUNCTION("""COMPUTED_VALUE"""),40.17)</f>
        <v>40.17</v>
      </c>
      <c r="C410" s="1">
        <f ca="1">IFERROR(__xludf.DUMMYFUNCTION("""COMPUTED_VALUE"""),40.21)</f>
        <v>40.21</v>
      </c>
      <c r="D410" s="1">
        <f ca="1">IFERROR(__xludf.DUMMYFUNCTION("""COMPUTED_VALUE"""),39.85)</f>
        <v>39.85</v>
      </c>
      <c r="E410" s="1">
        <f ca="1">IFERROR(__xludf.DUMMYFUNCTION("""COMPUTED_VALUE"""),40.06)</f>
        <v>40.06</v>
      </c>
      <c r="F410" s="1">
        <f ca="1">IFERROR(__xludf.DUMMYFUNCTION("""COMPUTED_VALUE"""),1057897)</f>
        <v>1057897</v>
      </c>
    </row>
    <row r="411" spans="1:6" x14ac:dyDescent="0.35">
      <c r="A411" s="2">
        <f ca="1">IFERROR(__xludf.DUMMYFUNCTION("""COMPUTED_VALUE"""),42599.6666666666)</f>
        <v>42599.666666666599</v>
      </c>
      <c r="B411" s="1">
        <f ca="1">IFERROR(__xludf.DUMMYFUNCTION("""COMPUTED_VALUE"""),40)</f>
        <v>40</v>
      </c>
      <c r="C411" s="1">
        <f ca="1">IFERROR(__xludf.DUMMYFUNCTION("""COMPUTED_VALUE"""),40.28)</f>
        <v>40.28</v>
      </c>
      <c r="D411" s="1">
        <f ca="1">IFERROR(__xludf.DUMMYFUNCTION("""COMPUTED_VALUE"""),39.82)</f>
        <v>39.82</v>
      </c>
      <c r="E411" s="1">
        <f ca="1">IFERROR(__xludf.DUMMYFUNCTION("""COMPUTED_VALUE"""),40.27)</f>
        <v>40.270000000000003</v>
      </c>
      <c r="F411" s="1">
        <f ca="1">IFERROR(__xludf.DUMMYFUNCTION("""COMPUTED_VALUE"""),1066070)</f>
        <v>1066070</v>
      </c>
    </row>
    <row r="412" spans="1:6" x14ac:dyDescent="0.35">
      <c r="A412" s="2">
        <f ca="1">IFERROR(__xludf.DUMMYFUNCTION("""COMPUTED_VALUE"""),42600.6666666666)</f>
        <v>42600.666666666599</v>
      </c>
      <c r="B412" s="1">
        <f ca="1">IFERROR(__xludf.DUMMYFUNCTION("""COMPUTED_VALUE"""),40.27)</f>
        <v>40.270000000000003</v>
      </c>
      <c r="C412" s="1">
        <f ca="1">IFERROR(__xludf.DUMMYFUNCTION("""COMPUTED_VALUE"""),40.4)</f>
        <v>40.4</v>
      </c>
      <c r="D412" s="1">
        <f ca="1">IFERROR(__xludf.DUMMYFUNCTION("""COMPUTED_VALUE"""),40.08)</f>
        <v>40.08</v>
      </c>
      <c r="E412" s="1">
        <f ca="1">IFERROR(__xludf.DUMMYFUNCTION("""COMPUTED_VALUE"""),40.14)</f>
        <v>40.14</v>
      </c>
      <c r="F412" s="1">
        <f ca="1">IFERROR(__xludf.DUMMYFUNCTION("""COMPUTED_VALUE"""),865160)</f>
        <v>865160</v>
      </c>
    </row>
    <row r="413" spans="1:6" x14ac:dyDescent="0.35">
      <c r="A413" s="2">
        <f ca="1">IFERROR(__xludf.DUMMYFUNCTION("""COMPUTED_VALUE"""),42601.6666666666)</f>
        <v>42601.666666666599</v>
      </c>
      <c r="B413" s="1">
        <f ca="1">IFERROR(__xludf.DUMMYFUNCTION("""COMPUTED_VALUE"""),39.99)</f>
        <v>39.99</v>
      </c>
      <c r="C413" s="1">
        <f ca="1">IFERROR(__xludf.DUMMYFUNCTION("""COMPUTED_VALUE"""),40.06)</f>
        <v>40.06</v>
      </c>
      <c r="D413" s="1">
        <f ca="1">IFERROR(__xludf.DUMMYFUNCTION("""COMPUTED_VALUE"""),39.84)</f>
        <v>39.840000000000003</v>
      </c>
      <c r="E413" s="1">
        <f ca="1">IFERROR(__xludf.DUMMYFUNCTION("""COMPUTED_VALUE"""),39.98)</f>
        <v>39.979999999999997</v>
      </c>
      <c r="F413" s="1">
        <f ca="1">IFERROR(__xludf.DUMMYFUNCTION("""COMPUTED_VALUE"""),1120763)</f>
        <v>1120763</v>
      </c>
    </row>
    <row r="414" spans="1:6" x14ac:dyDescent="0.35">
      <c r="A414" s="2">
        <f ca="1">IFERROR(__xludf.DUMMYFUNCTION("""COMPUTED_VALUE"""),42604.6666666666)</f>
        <v>42604.666666666599</v>
      </c>
      <c r="B414" s="1">
        <f ca="1">IFERROR(__xludf.DUMMYFUNCTION("""COMPUTED_VALUE"""),39.93)</f>
        <v>39.93</v>
      </c>
      <c r="C414" s="1">
        <f ca="1">IFERROR(__xludf.DUMMYFUNCTION("""COMPUTED_VALUE"""),39.97)</f>
        <v>39.97</v>
      </c>
      <c r="D414" s="1">
        <f ca="1">IFERROR(__xludf.DUMMYFUNCTION("""COMPUTED_VALUE"""),39.72)</f>
        <v>39.72</v>
      </c>
      <c r="E414" s="1">
        <f ca="1">IFERROR(__xludf.DUMMYFUNCTION("""COMPUTED_VALUE"""),39.85)</f>
        <v>39.85</v>
      </c>
      <c r="F414" s="1">
        <f ca="1">IFERROR(__xludf.DUMMYFUNCTION("""COMPUTED_VALUE"""),853365)</f>
        <v>853365</v>
      </c>
    </row>
    <row r="415" spans="1:6" x14ac:dyDescent="0.35">
      <c r="A415" s="2">
        <f ca="1">IFERROR(__xludf.DUMMYFUNCTION("""COMPUTED_VALUE"""),42605.6666666666)</f>
        <v>42605.666666666599</v>
      </c>
      <c r="B415" s="1">
        <f ca="1">IFERROR(__xludf.DUMMYFUNCTION("""COMPUTED_VALUE"""),40.02)</f>
        <v>40.020000000000003</v>
      </c>
      <c r="C415" s="1">
        <f ca="1">IFERROR(__xludf.DUMMYFUNCTION("""COMPUTED_VALUE"""),40.05)</f>
        <v>40.049999999999997</v>
      </c>
      <c r="D415" s="1">
        <f ca="1">IFERROR(__xludf.DUMMYFUNCTION("""COMPUTED_VALUE"""),39.8)</f>
        <v>39.799999999999997</v>
      </c>
      <c r="E415" s="1">
        <f ca="1">IFERROR(__xludf.DUMMYFUNCTION("""COMPUTED_VALUE"""),39.83)</f>
        <v>39.83</v>
      </c>
      <c r="F415" s="1">
        <f ca="1">IFERROR(__xludf.DUMMYFUNCTION("""COMPUTED_VALUE"""),917513)</f>
        <v>917513</v>
      </c>
    </row>
    <row r="416" spans="1:6" x14ac:dyDescent="0.35">
      <c r="A416" s="2">
        <f ca="1">IFERROR(__xludf.DUMMYFUNCTION("""COMPUTED_VALUE"""),42606.6666666666)</f>
        <v>42606.666666666599</v>
      </c>
      <c r="B416" s="1">
        <f ca="1">IFERROR(__xludf.DUMMYFUNCTION("""COMPUTED_VALUE"""),39.84)</f>
        <v>39.840000000000003</v>
      </c>
      <c r="C416" s="1">
        <f ca="1">IFERROR(__xludf.DUMMYFUNCTION("""COMPUTED_VALUE"""),39.92)</f>
        <v>39.92</v>
      </c>
      <c r="D416" s="1">
        <f ca="1">IFERROR(__xludf.DUMMYFUNCTION("""COMPUTED_VALUE"""),39.54)</f>
        <v>39.54</v>
      </c>
      <c r="E416" s="1">
        <f ca="1">IFERROR(__xludf.DUMMYFUNCTION("""COMPUTED_VALUE"""),39.68)</f>
        <v>39.68</v>
      </c>
      <c r="F416" s="1">
        <f ca="1">IFERROR(__xludf.DUMMYFUNCTION("""COMPUTED_VALUE"""),1284437)</f>
        <v>1284437</v>
      </c>
    </row>
    <row r="417" spans="1:6" x14ac:dyDescent="0.35">
      <c r="A417" s="2">
        <f ca="1">IFERROR(__xludf.DUMMYFUNCTION("""COMPUTED_VALUE"""),42607.6666666666)</f>
        <v>42607.666666666599</v>
      </c>
      <c r="B417" s="1">
        <f ca="1">IFERROR(__xludf.DUMMYFUNCTION("""COMPUTED_VALUE"""),39.6)</f>
        <v>39.6</v>
      </c>
      <c r="C417" s="1">
        <f ca="1">IFERROR(__xludf.DUMMYFUNCTION("""COMPUTED_VALUE"""),39.74)</f>
        <v>39.74</v>
      </c>
      <c r="D417" s="1">
        <f ca="1">IFERROR(__xludf.DUMMYFUNCTION("""COMPUTED_VALUE"""),39.36)</f>
        <v>39.36</v>
      </c>
      <c r="E417" s="1">
        <f ca="1">IFERROR(__xludf.DUMMYFUNCTION("""COMPUTED_VALUE"""),39.57)</f>
        <v>39.57</v>
      </c>
      <c r="F417" s="1">
        <f ca="1">IFERROR(__xludf.DUMMYFUNCTION("""COMPUTED_VALUE"""),1202680)</f>
        <v>1202680</v>
      </c>
    </row>
    <row r="418" spans="1:6" x14ac:dyDescent="0.35">
      <c r="A418" s="2">
        <f ca="1">IFERROR(__xludf.DUMMYFUNCTION("""COMPUTED_VALUE"""),42608.6666666666)</f>
        <v>42608.666666666599</v>
      </c>
      <c r="B418" s="1">
        <f ca="1">IFERROR(__xludf.DUMMYFUNCTION("""COMPUTED_VALUE"""),39.62)</f>
        <v>39.619999999999997</v>
      </c>
      <c r="C418" s="1">
        <f ca="1">IFERROR(__xludf.DUMMYFUNCTION("""COMPUTED_VALUE"""),39.97)</f>
        <v>39.97</v>
      </c>
      <c r="D418" s="1">
        <f ca="1">IFERROR(__xludf.DUMMYFUNCTION("""COMPUTED_VALUE"""),39.47)</f>
        <v>39.47</v>
      </c>
      <c r="E418" s="1">
        <f ca="1">IFERROR(__xludf.DUMMYFUNCTION("""COMPUTED_VALUE"""),39.66)</f>
        <v>39.659999999999997</v>
      </c>
      <c r="F418" s="1">
        <f ca="1">IFERROR(__xludf.DUMMYFUNCTION("""COMPUTED_VALUE"""),1248881)</f>
        <v>1248881</v>
      </c>
    </row>
    <row r="419" spans="1:6" x14ac:dyDescent="0.35">
      <c r="A419" s="2">
        <f ca="1">IFERROR(__xludf.DUMMYFUNCTION("""COMPUTED_VALUE"""),42611.6666666666)</f>
        <v>42611.666666666599</v>
      </c>
      <c r="B419" s="1">
        <f ca="1">IFERROR(__xludf.DUMMYFUNCTION("""COMPUTED_VALUE"""),39.65)</f>
        <v>39.65</v>
      </c>
      <c r="C419" s="1">
        <f ca="1">IFERROR(__xludf.DUMMYFUNCTION("""COMPUTED_VALUE"""),39.93)</f>
        <v>39.93</v>
      </c>
      <c r="D419" s="1">
        <f ca="1">IFERROR(__xludf.DUMMYFUNCTION("""COMPUTED_VALUE"""),39.52)</f>
        <v>39.520000000000003</v>
      </c>
      <c r="E419" s="1">
        <f ca="1">IFERROR(__xludf.DUMMYFUNCTION("""COMPUTED_VALUE"""),39.79)</f>
        <v>39.79</v>
      </c>
      <c r="F419" s="1">
        <f ca="1">IFERROR(__xludf.DUMMYFUNCTION("""COMPUTED_VALUE"""),773698)</f>
        <v>773698</v>
      </c>
    </row>
    <row r="420" spans="1:6" x14ac:dyDescent="0.35">
      <c r="A420" s="2">
        <f ca="1">IFERROR(__xludf.DUMMYFUNCTION("""COMPUTED_VALUE"""),42612.6666666666)</f>
        <v>42612.666666666599</v>
      </c>
      <c r="B420" s="1">
        <f ca="1">IFERROR(__xludf.DUMMYFUNCTION("""COMPUTED_VALUE"""),39.64)</f>
        <v>39.64</v>
      </c>
      <c r="C420" s="1">
        <f ca="1">IFERROR(__xludf.DUMMYFUNCTION("""COMPUTED_VALUE"""),39.9)</f>
        <v>39.9</v>
      </c>
      <c r="D420" s="1">
        <f ca="1">IFERROR(__xludf.DUMMYFUNCTION("""COMPUTED_VALUE"""),39.47)</f>
        <v>39.47</v>
      </c>
      <c r="E420" s="1">
        <f ca="1">IFERROR(__xludf.DUMMYFUNCTION("""COMPUTED_VALUE"""),39.6)</f>
        <v>39.6</v>
      </c>
      <c r="F420" s="1">
        <f ca="1">IFERROR(__xludf.DUMMYFUNCTION("""COMPUTED_VALUE"""),1167413)</f>
        <v>1167413</v>
      </c>
    </row>
    <row r="421" spans="1:6" x14ac:dyDescent="0.35">
      <c r="A421" s="2">
        <f ca="1">IFERROR(__xludf.DUMMYFUNCTION("""COMPUTED_VALUE"""),42613.6666666666)</f>
        <v>42613.666666666599</v>
      </c>
      <c r="B421" s="1">
        <f ca="1">IFERROR(__xludf.DUMMYFUNCTION("""COMPUTED_VALUE"""),39.48)</f>
        <v>39.479999999999997</v>
      </c>
      <c r="C421" s="1">
        <f ca="1">IFERROR(__xludf.DUMMYFUNCTION("""COMPUTED_VALUE"""),39.58)</f>
        <v>39.58</v>
      </c>
      <c r="D421" s="1">
        <f ca="1">IFERROR(__xludf.DUMMYFUNCTION("""COMPUTED_VALUE"""),39.36)</f>
        <v>39.36</v>
      </c>
      <c r="E421" s="1">
        <f ca="1">IFERROR(__xludf.DUMMYFUNCTION("""COMPUTED_VALUE"""),39.49)</f>
        <v>39.49</v>
      </c>
      <c r="F421" s="1">
        <f ca="1">IFERROR(__xludf.DUMMYFUNCTION("""COMPUTED_VALUE"""),1071420)</f>
        <v>1071420</v>
      </c>
    </row>
    <row r="422" spans="1:6" x14ac:dyDescent="0.35">
      <c r="A422" s="2">
        <f ca="1">IFERROR(__xludf.DUMMYFUNCTION("""COMPUTED_VALUE"""),42614.6666666666)</f>
        <v>42614.666666666599</v>
      </c>
      <c r="B422" s="1">
        <f ca="1">IFERROR(__xludf.DUMMYFUNCTION("""COMPUTED_VALUE"""),39.6)</f>
        <v>39.6</v>
      </c>
      <c r="C422" s="1">
        <f ca="1">IFERROR(__xludf.DUMMYFUNCTION("""COMPUTED_VALUE"""),39.64)</f>
        <v>39.64</v>
      </c>
      <c r="D422" s="1">
        <f ca="1">IFERROR(__xludf.DUMMYFUNCTION("""COMPUTED_VALUE"""),39.32)</f>
        <v>39.32</v>
      </c>
      <c r="E422" s="1">
        <f ca="1">IFERROR(__xludf.DUMMYFUNCTION("""COMPUTED_VALUE"""),39.57)</f>
        <v>39.57</v>
      </c>
      <c r="F422" s="1">
        <f ca="1">IFERROR(__xludf.DUMMYFUNCTION("""COMPUTED_VALUE"""),1303460)</f>
        <v>1303460</v>
      </c>
    </row>
    <row r="423" spans="1:6" x14ac:dyDescent="0.35">
      <c r="A423" s="2">
        <f ca="1">IFERROR(__xludf.DUMMYFUNCTION("""COMPUTED_VALUE"""),42615.6666666666)</f>
        <v>42615.666666666599</v>
      </c>
      <c r="B423" s="1">
        <f ca="1">IFERROR(__xludf.DUMMYFUNCTION("""COMPUTED_VALUE"""),39.76)</f>
        <v>39.76</v>
      </c>
      <c r="C423" s="1">
        <f ca="1">IFERROR(__xludf.DUMMYFUNCTION("""COMPUTED_VALUE"""),39.85)</f>
        <v>39.85</v>
      </c>
      <c r="D423" s="1">
        <f ca="1">IFERROR(__xludf.DUMMYFUNCTION("""COMPUTED_VALUE"""),39.66)</f>
        <v>39.659999999999997</v>
      </c>
      <c r="E423" s="1">
        <f ca="1">IFERROR(__xludf.DUMMYFUNCTION("""COMPUTED_VALUE"""),39.84)</f>
        <v>39.840000000000003</v>
      </c>
      <c r="F423" s="1">
        <f ca="1">IFERROR(__xludf.DUMMYFUNCTION("""COMPUTED_VALUE"""),1349896)</f>
        <v>1349896</v>
      </c>
    </row>
    <row r="424" spans="1:6" x14ac:dyDescent="0.35">
      <c r="A424" s="2">
        <f ca="1">IFERROR(__xludf.DUMMYFUNCTION("""COMPUTED_VALUE"""),42619.6666666666)</f>
        <v>42619.666666666599</v>
      </c>
      <c r="B424" s="1">
        <f ca="1">IFERROR(__xludf.DUMMYFUNCTION("""COMPUTED_VALUE"""),39.92)</f>
        <v>39.92</v>
      </c>
      <c r="C424" s="1">
        <f ca="1">IFERROR(__xludf.DUMMYFUNCTION("""COMPUTED_VALUE"""),40.54)</f>
        <v>40.54</v>
      </c>
      <c r="D424" s="1">
        <f ca="1">IFERROR(__xludf.DUMMYFUNCTION("""COMPUTED_VALUE"""),39.77)</f>
        <v>39.770000000000003</v>
      </c>
      <c r="E424" s="1">
        <f ca="1">IFERROR(__xludf.DUMMYFUNCTION("""COMPUTED_VALUE"""),40.4)</f>
        <v>40.4</v>
      </c>
      <c r="F424" s="1">
        <f ca="1">IFERROR(__xludf.DUMMYFUNCTION("""COMPUTED_VALUE"""),1989537)</f>
        <v>1989537</v>
      </c>
    </row>
    <row r="425" spans="1:6" x14ac:dyDescent="0.35">
      <c r="A425" s="2">
        <f ca="1">IFERROR(__xludf.DUMMYFUNCTION("""COMPUTED_VALUE"""),42620.6666666666)</f>
        <v>42620.666666666599</v>
      </c>
      <c r="B425" s="1">
        <f ca="1">IFERROR(__xludf.DUMMYFUNCTION("""COMPUTED_VALUE"""),40.4)</f>
        <v>40.4</v>
      </c>
      <c r="C425" s="1">
        <f ca="1">IFERROR(__xludf.DUMMYFUNCTION("""COMPUTED_VALUE"""),40.53)</f>
        <v>40.53</v>
      </c>
      <c r="D425" s="1">
        <f ca="1">IFERROR(__xludf.DUMMYFUNCTION("""COMPUTED_VALUE"""),40.19)</f>
        <v>40.19</v>
      </c>
      <c r="E425" s="1">
        <f ca="1">IFERROR(__xludf.DUMMYFUNCTION("""COMPUTED_VALUE"""),40.4)</f>
        <v>40.4</v>
      </c>
      <c r="F425" s="1">
        <f ca="1">IFERROR(__xludf.DUMMYFUNCTION("""COMPUTED_VALUE"""),1145724)</f>
        <v>1145724</v>
      </c>
    </row>
    <row r="426" spans="1:6" x14ac:dyDescent="0.35">
      <c r="A426" s="2">
        <f ca="1">IFERROR(__xludf.DUMMYFUNCTION("""COMPUTED_VALUE"""),42621.6666666666)</f>
        <v>42621.666666666599</v>
      </c>
      <c r="B426" s="1">
        <f ca="1">IFERROR(__xludf.DUMMYFUNCTION("""COMPUTED_VALUE"""),40.26)</f>
        <v>40.26</v>
      </c>
      <c r="C426" s="1">
        <f ca="1">IFERROR(__xludf.DUMMYFUNCTION("""COMPUTED_VALUE"""),40.42)</f>
        <v>40.42</v>
      </c>
      <c r="D426" s="1">
        <f ca="1">IFERROR(__xludf.DUMMYFUNCTION("""COMPUTED_VALUE"""),40.05)</f>
        <v>40.049999999999997</v>
      </c>
      <c r="E426" s="1">
        <f ca="1">IFERROR(__xludf.DUMMYFUNCTION("""COMPUTED_VALUE"""),40.14)</f>
        <v>40.14</v>
      </c>
      <c r="F426" s="1">
        <f ca="1">IFERROR(__xludf.DUMMYFUNCTION("""COMPUTED_VALUE"""),1177660)</f>
        <v>1177660</v>
      </c>
    </row>
    <row r="427" spans="1:6" x14ac:dyDescent="0.35">
      <c r="A427" s="2">
        <f ca="1">IFERROR(__xludf.DUMMYFUNCTION("""COMPUTED_VALUE"""),42622.6666666666)</f>
        <v>42622.666666666599</v>
      </c>
      <c r="B427" s="1">
        <f ca="1">IFERROR(__xludf.DUMMYFUNCTION("""COMPUTED_VALUE"""),39.94)</f>
        <v>39.94</v>
      </c>
      <c r="C427" s="1">
        <f ca="1">IFERROR(__xludf.DUMMYFUNCTION("""COMPUTED_VALUE"""),40.09)</f>
        <v>40.090000000000003</v>
      </c>
      <c r="D427" s="1">
        <f ca="1">IFERROR(__xludf.DUMMYFUNCTION("""COMPUTED_VALUE"""),39.4)</f>
        <v>39.4</v>
      </c>
      <c r="E427" s="1">
        <f ca="1">IFERROR(__xludf.DUMMYFUNCTION("""COMPUTED_VALUE"""),39.42)</f>
        <v>39.42</v>
      </c>
      <c r="F427" s="1">
        <f ca="1">IFERROR(__xludf.DUMMYFUNCTION("""COMPUTED_VALUE"""),1887633)</f>
        <v>1887633</v>
      </c>
    </row>
    <row r="428" spans="1:6" x14ac:dyDescent="0.35">
      <c r="A428" s="2">
        <f ca="1">IFERROR(__xludf.DUMMYFUNCTION("""COMPUTED_VALUE"""),42625.6666666666)</f>
        <v>42625.666666666599</v>
      </c>
      <c r="B428" s="1">
        <f ca="1">IFERROR(__xludf.DUMMYFUNCTION("""COMPUTED_VALUE"""),39.23)</f>
        <v>39.229999999999997</v>
      </c>
      <c r="C428" s="1">
        <f ca="1">IFERROR(__xludf.DUMMYFUNCTION("""COMPUTED_VALUE"""),40.01)</f>
        <v>40.01</v>
      </c>
      <c r="D428" s="1">
        <f ca="1">IFERROR(__xludf.DUMMYFUNCTION("""COMPUTED_VALUE"""),39.17)</f>
        <v>39.17</v>
      </c>
      <c r="E428" s="1">
        <f ca="1">IFERROR(__xludf.DUMMYFUNCTION("""COMPUTED_VALUE"""),39.94)</f>
        <v>39.94</v>
      </c>
      <c r="F428" s="1">
        <f ca="1">IFERROR(__xludf.DUMMYFUNCTION("""COMPUTED_VALUE"""),1863737)</f>
        <v>1863737</v>
      </c>
    </row>
    <row r="429" spans="1:6" x14ac:dyDescent="0.35">
      <c r="A429" s="2">
        <f ca="1">IFERROR(__xludf.DUMMYFUNCTION("""COMPUTED_VALUE"""),42626.6666666666)</f>
        <v>42626.666666666599</v>
      </c>
      <c r="B429" s="1">
        <f ca="1">IFERROR(__xludf.DUMMYFUNCTION("""COMPUTED_VALUE"""),39.7)</f>
        <v>39.700000000000003</v>
      </c>
      <c r="C429" s="1">
        <f ca="1">IFERROR(__xludf.DUMMYFUNCTION("""COMPUTED_VALUE"""),39.79)</f>
        <v>39.79</v>
      </c>
      <c r="D429" s="1">
        <f ca="1">IFERROR(__xludf.DUMMYFUNCTION("""COMPUTED_VALUE"""),39.22)</f>
        <v>39.22</v>
      </c>
      <c r="E429" s="1">
        <f ca="1">IFERROR(__xludf.DUMMYFUNCTION("""COMPUTED_VALUE"""),39.44)</f>
        <v>39.44</v>
      </c>
      <c r="F429" s="1">
        <f ca="1">IFERROR(__xludf.DUMMYFUNCTION("""COMPUTED_VALUE"""),1809044)</f>
        <v>1809044</v>
      </c>
    </row>
    <row r="430" spans="1:6" x14ac:dyDescent="0.35">
      <c r="A430" s="2">
        <f ca="1">IFERROR(__xludf.DUMMYFUNCTION("""COMPUTED_VALUE"""),42627.6666666666)</f>
        <v>42627.666666666599</v>
      </c>
      <c r="B430" s="1">
        <f ca="1">IFERROR(__xludf.DUMMYFUNCTION("""COMPUTED_VALUE"""),39.38)</f>
        <v>39.380000000000003</v>
      </c>
      <c r="C430" s="1">
        <f ca="1">IFERROR(__xludf.DUMMYFUNCTION("""COMPUTED_VALUE"""),39.82)</f>
        <v>39.82</v>
      </c>
      <c r="D430" s="1">
        <f ca="1">IFERROR(__xludf.DUMMYFUNCTION("""COMPUTED_VALUE"""),39.38)</f>
        <v>39.380000000000003</v>
      </c>
      <c r="E430" s="1">
        <f ca="1">IFERROR(__xludf.DUMMYFUNCTION("""COMPUTED_VALUE"""),39.52)</f>
        <v>39.520000000000003</v>
      </c>
      <c r="F430" s="1">
        <f ca="1">IFERROR(__xludf.DUMMYFUNCTION("""COMPUTED_VALUE"""),1313912)</f>
        <v>1313912</v>
      </c>
    </row>
    <row r="431" spans="1:6" x14ac:dyDescent="0.35">
      <c r="A431" s="2">
        <f ca="1">IFERROR(__xludf.DUMMYFUNCTION("""COMPUTED_VALUE"""),42628.6666666666)</f>
        <v>42628.666666666599</v>
      </c>
      <c r="B431" s="1">
        <f ca="1">IFERROR(__xludf.DUMMYFUNCTION("""COMPUTED_VALUE"""),39.5)</f>
        <v>39.5</v>
      </c>
      <c r="C431" s="1">
        <f ca="1">IFERROR(__xludf.DUMMYFUNCTION("""COMPUTED_VALUE"""),40.18)</f>
        <v>40.18</v>
      </c>
      <c r="D431" s="1">
        <f ca="1">IFERROR(__xludf.DUMMYFUNCTION("""COMPUTED_VALUE"""),39.43)</f>
        <v>39.43</v>
      </c>
      <c r="E431" s="1">
        <f ca="1">IFERROR(__xludf.DUMMYFUNCTION("""COMPUTED_VALUE"""),40.06)</f>
        <v>40.06</v>
      </c>
      <c r="F431" s="1">
        <f ca="1">IFERROR(__xludf.DUMMYFUNCTION("""COMPUTED_VALUE"""),1566360)</f>
        <v>1566360</v>
      </c>
    </row>
    <row r="432" spans="1:6" x14ac:dyDescent="0.35">
      <c r="A432" s="2">
        <f ca="1">IFERROR(__xludf.DUMMYFUNCTION("""COMPUTED_VALUE"""),42629.6666666666)</f>
        <v>42629.666666666599</v>
      </c>
      <c r="B432" s="1">
        <f ca="1">IFERROR(__xludf.DUMMYFUNCTION("""COMPUTED_VALUE"""),39.95)</f>
        <v>39.950000000000003</v>
      </c>
      <c r="C432" s="1">
        <f ca="1">IFERROR(__xludf.DUMMYFUNCTION("""COMPUTED_VALUE"""),39.95)</f>
        <v>39.950000000000003</v>
      </c>
      <c r="D432" s="1">
        <f ca="1">IFERROR(__xludf.DUMMYFUNCTION("""COMPUTED_VALUE"""),39.68)</f>
        <v>39.68</v>
      </c>
      <c r="E432" s="1">
        <f ca="1">IFERROR(__xludf.DUMMYFUNCTION("""COMPUTED_VALUE"""),39.9)</f>
        <v>39.9</v>
      </c>
      <c r="F432" s="1">
        <f ca="1">IFERROR(__xludf.DUMMYFUNCTION("""COMPUTED_VALUE"""),2130571)</f>
        <v>2130571</v>
      </c>
    </row>
    <row r="433" spans="1:6" x14ac:dyDescent="0.35">
      <c r="A433" s="2">
        <f ca="1">IFERROR(__xludf.DUMMYFUNCTION("""COMPUTED_VALUE"""),42632.6666666666)</f>
        <v>42632.666666666599</v>
      </c>
      <c r="B433" s="1">
        <f ca="1">IFERROR(__xludf.DUMMYFUNCTION("""COMPUTED_VALUE"""),40.06)</f>
        <v>40.06</v>
      </c>
      <c r="C433" s="1">
        <f ca="1">IFERROR(__xludf.DUMMYFUNCTION("""COMPUTED_VALUE"""),40.2)</f>
        <v>40.200000000000003</v>
      </c>
      <c r="D433" s="1">
        <f ca="1">IFERROR(__xludf.DUMMYFUNCTION("""COMPUTED_VALUE"""),39.68)</f>
        <v>39.68</v>
      </c>
      <c r="E433" s="1">
        <f ca="1">IFERROR(__xludf.DUMMYFUNCTION("""COMPUTED_VALUE"""),39.77)</f>
        <v>39.770000000000003</v>
      </c>
      <c r="F433" s="1">
        <f ca="1">IFERROR(__xludf.DUMMYFUNCTION("""COMPUTED_VALUE"""),1149522)</f>
        <v>1149522</v>
      </c>
    </row>
    <row r="434" spans="1:6" x14ac:dyDescent="0.35">
      <c r="A434" s="2">
        <f ca="1">IFERROR(__xludf.DUMMYFUNCTION("""COMPUTED_VALUE"""),42633.6666666666)</f>
        <v>42633.666666666599</v>
      </c>
      <c r="B434" s="1">
        <f ca="1">IFERROR(__xludf.DUMMYFUNCTION("""COMPUTED_VALUE"""),40)</f>
        <v>40</v>
      </c>
      <c r="C434" s="1">
        <f ca="1">IFERROR(__xludf.DUMMYFUNCTION("""COMPUTED_VALUE"""),40.14)</f>
        <v>40.14</v>
      </c>
      <c r="D434" s="1">
        <f ca="1">IFERROR(__xludf.DUMMYFUNCTION("""COMPUTED_VALUE"""),39.91)</f>
        <v>39.909999999999997</v>
      </c>
      <c r="E434" s="1">
        <f ca="1">IFERROR(__xludf.DUMMYFUNCTION("""COMPUTED_VALUE"""),39.99)</f>
        <v>39.99</v>
      </c>
      <c r="F434" s="1">
        <f ca="1">IFERROR(__xludf.DUMMYFUNCTION("""COMPUTED_VALUE"""),1050041)</f>
        <v>1050041</v>
      </c>
    </row>
    <row r="435" spans="1:6" x14ac:dyDescent="0.35">
      <c r="A435" s="2">
        <f ca="1">IFERROR(__xludf.DUMMYFUNCTION("""COMPUTED_VALUE"""),42634.6666666666)</f>
        <v>42634.666666666599</v>
      </c>
      <c r="B435" s="1">
        <f ca="1">IFERROR(__xludf.DUMMYFUNCTION("""COMPUTED_VALUE"""),40.06)</f>
        <v>40.06</v>
      </c>
      <c r="C435" s="1">
        <f ca="1">IFERROR(__xludf.DUMMYFUNCTION("""COMPUTED_VALUE"""),40.3)</f>
        <v>40.299999999999997</v>
      </c>
      <c r="D435" s="1">
        <f ca="1">IFERROR(__xludf.DUMMYFUNCTION("""COMPUTED_VALUE"""),39.8)</f>
        <v>39.799999999999997</v>
      </c>
      <c r="E435" s="1">
        <f ca="1">IFERROR(__xludf.DUMMYFUNCTION("""COMPUTED_VALUE"""),40.25)</f>
        <v>40.25</v>
      </c>
      <c r="F435" s="1">
        <f ca="1">IFERROR(__xludf.DUMMYFUNCTION("""COMPUTED_VALUE"""),1348476)</f>
        <v>1348476</v>
      </c>
    </row>
    <row r="436" spans="1:6" x14ac:dyDescent="0.35">
      <c r="A436" s="2">
        <f ca="1">IFERROR(__xludf.DUMMYFUNCTION("""COMPUTED_VALUE"""),42635.6666666666)</f>
        <v>42635.666666666599</v>
      </c>
      <c r="B436" s="1">
        <f ca="1">IFERROR(__xludf.DUMMYFUNCTION("""COMPUTED_VALUE"""),40.5)</f>
        <v>40.5</v>
      </c>
      <c r="C436" s="1">
        <f ca="1">IFERROR(__xludf.DUMMYFUNCTION("""COMPUTED_VALUE"""),40.95)</f>
        <v>40.950000000000003</v>
      </c>
      <c r="D436" s="1">
        <f ca="1">IFERROR(__xludf.DUMMYFUNCTION("""COMPUTED_VALUE"""),40.39)</f>
        <v>40.39</v>
      </c>
      <c r="E436" s="1">
        <f ca="1">IFERROR(__xludf.DUMMYFUNCTION("""COMPUTED_VALUE"""),40.8)</f>
        <v>40.799999999999997</v>
      </c>
      <c r="F436" s="1">
        <f ca="1">IFERROR(__xludf.DUMMYFUNCTION("""COMPUTED_VALUE"""),1759290)</f>
        <v>1759290</v>
      </c>
    </row>
    <row r="437" spans="1:6" x14ac:dyDescent="0.35">
      <c r="A437" s="2">
        <f ca="1">IFERROR(__xludf.DUMMYFUNCTION("""COMPUTED_VALUE"""),42636.6666666666)</f>
        <v>42636.666666666599</v>
      </c>
      <c r="B437" s="1">
        <f ca="1">IFERROR(__xludf.DUMMYFUNCTION("""COMPUTED_VALUE"""),40.76)</f>
        <v>40.76</v>
      </c>
      <c r="C437" s="1">
        <f ca="1">IFERROR(__xludf.DUMMYFUNCTION("""COMPUTED_VALUE"""),40.85)</f>
        <v>40.85</v>
      </c>
      <c r="D437" s="1">
        <f ca="1">IFERROR(__xludf.DUMMYFUNCTION("""COMPUTED_VALUE"""),40.64)</f>
        <v>40.64</v>
      </c>
      <c r="E437" s="1">
        <f ca="1">IFERROR(__xludf.DUMMYFUNCTION("""COMPUTED_VALUE"""),40.75)</f>
        <v>40.75</v>
      </c>
      <c r="F437" s="1">
        <f ca="1">IFERROR(__xludf.DUMMYFUNCTION("""COMPUTED_VALUE"""),1411673)</f>
        <v>1411673</v>
      </c>
    </row>
    <row r="438" spans="1:6" x14ac:dyDescent="0.35">
      <c r="A438" s="2">
        <f ca="1">IFERROR(__xludf.DUMMYFUNCTION("""COMPUTED_VALUE"""),42639.6666666666)</f>
        <v>42639.666666666599</v>
      </c>
      <c r="B438" s="1">
        <f ca="1">IFERROR(__xludf.DUMMYFUNCTION("""COMPUTED_VALUE"""),40.49)</f>
        <v>40.49</v>
      </c>
      <c r="C438" s="1">
        <f ca="1">IFERROR(__xludf.DUMMYFUNCTION("""COMPUTED_VALUE"""),40.5)</f>
        <v>40.5</v>
      </c>
      <c r="D438" s="1">
        <f ca="1">IFERROR(__xludf.DUMMYFUNCTION("""COMPUTED_VALUE"""),40.02)</f>
        <v>40.020000000000003</v>
      </c>
      <c r="E438" s="1">
        <f ca="1">IFERROR(__xludf.DUMMYFUNCTION("""COMPUTED_VALUE"""),40.13)</f>
        <v>40.130000000000003</v>
      </c>
      <c r="F438" s="1">
        <f ca="1">IFERROR(__xludf.DUMMYFUNCTION("""COMPUTED_VALUE"""),1472732)</f>
        <v>1472732</v>
      </c>
    </row>
    <row r="439" spans="1:6" x14ac:dyDescent="0.35">
      <c r="A439" s="2">
        <f ca="1">IFERROR(__xludf.DUMMYFUNCTION("""COMPUTED_VALUE"""),42640.6666666666)</f>
        <v>42640.666666666599</v>
      </c>
      <c r="B439" s="1">
        <f ca="1">IFERROR(__xludf.DUMMYFUNCTION("""COMPUTED_VALUE"""),40.09)</f>
        <v>40.090000000000003</v>
      </c>
      <c r="C439" s="1">
        <f ca="1">IFERROR(__xludf.DUMMYFUNCTION("""COMPUTED_VALUE"""),40.67)</f>
        <v>40.67</v>
      </c>
      <c r="D439" s="1">
        <f ca="1">IFERROR(__xludf.DUMMYFUNCTION("""COMPUTED_VALUE"""),40.09)</f>
        <v>40.090000000000003</v>
      </c>
      <c r="E439" s="1">
        <f ca="1">IFERROR(__xludf.DUMMYFUNCTION("""COMPUTED_VALUE"""),40.54)</f>
        <v>40.54</v>
      </c>
      <c r="F439" s="1">
        <f ca="1">IFERROR(__xludf.DUMMYFUNCTION("""COMPUTED_VALUE"""),1367271)</f>
        <v>1367271</v>
      </c>
    </row>
    <row r="440" spans="1:6" x14ac:dyDescent="0.35">
      <c r="A440" s="2">
        <f ca="1">IFERROR(__xludf.DUMMYFUNCTION("""COMPUTED_VALUE"""),42641.6666666666)</f>
        <v>42641.666666666599</v>
      </c>
      <c r="B440" s="1">
        <f ca="1">IFERROR(__xludf.DUMMYFUNCTION("""COMPUTED_VALUE"""),40.2)</f>
        <v>40.200000000000003</v>
      </c>
      <c r="C440" s="1">
        <f ca="1">IFERROR(__xludf.DUMMYFUNCTION("""COMPUTED_VALUE"""),40.51)</f>
        <v>40.51</v>
      </c>
      <c r="D440" s="1">
        <f ca="1">IFERROR(__xludf.DUMMYFUNCTION("""COMPUTED_VALUE"""),40.14)</f>
        <v>40.14</v>
      </c>
      <c r="E440" s="1">
        <f ca="1">IFERROR(__xludf.DUMMYFUNCTION("""COMPUTED_VALUE"""),40.5)</f>
        <v>40.5</v>
      </c>
      <c r="F440" s="1">
        <f ca="1">IFERROR(__xludf.DUMMYFUNCTION("""COMPUTED_VALUE"""),1470280)</f>
        <v>1470280</v>
      </c>
    </row>
    <row r="441" spans="1:6" x14ac:dyDescent="0.35">
      <c r="A441" s="2">
        <f ca="1">IFERROR(__xludf.DUMMYFUNCTION("""COMPUTED_VALUE"""),42642.6666666666)</f>
        <v>42642.666666666599</v>
      </c>
      <c r="B441" s="1">
        <f ca="1">IFERROR(__xludf.DUMMYFUNCTION("""COMPUTED_VALUE"""),40.36)</f>
        <v>40.36</v>
      </c>
      <c r="C441" s="1">
        <f ca="1">IFERROR(__xludf.DUMMYFUNCTION("""COMPUTED_VALUE"""),40.7)</f>
        <v>40.700000000000003</v>
      </c>
      <c r="D441" s="1">
        <f ca="1">IFERROR(__xludf.DUMMYFUNCTION("""COMPUTED_VALUE"""),40.04)</f>
        <v>40.04</v>
      </c>
      <c r="E441" s="1">
        <f ca="1">IFERROR(__xludf.DUMMYFUNCTION("""COMPUTED_VALUE"""),40.13)</f>
        <v>40.130000000000003</v>
      </c>
      <c r="F441" s="1">
        <f ca="1">IFERROR(__xludf.DUMMYFUNCTION("""COMPUTED_VALUE"""),1349974)</f>
        <v>1349974</v>
      </c>
    </row>
    <row r="442" spans="1:6" x14ac:dyDescent="0.35">
      <c r="A442" s="2">
        <f ca="1">IFERROR(__xludf.DUMMYFUNCTION("""COMPUTED_VALUE"""),42643.6666666666)</f>
        <v>42643.666666666599</v>
      </c>
      <c r="B442" s="1">
        <f ca="1">IFERROR(__xludf.DUMMYFUNCTION("""COMPUTED_VALUE"""),40.18)</f>
        <v>40.18</v>
      </c>
      <c r="C442" s="1">
        <f ca="1">IFERROR(__xludf.DUMMYFUNCTION("""COMPUTED_VALUE"""),40.4)</f>
        <v>40.4</v>
      </c>
      <c r="D442" s="1">
        <f ca="1">IFERROR(__xludf.DUMMYFUNCTION("""COMPUTED_VALUE"""),40.08)</f>
        <v>40.08</v>
      </c>
      <c r="E442" s="1">
        <f ca="1">IFERROR(__xludf.DUMMYFUNCTION("""COMPUTED_VALUE"""),40.2)</f>
        <v>40.200000000000003</v>
      </c>
      <c r="F442" s="1">
        <f ca="1">IFERROR(__xludf.DUMMYFUNCTION("""COMPUTED_VALUE"""),1660201)</f>
        <v>1660201</v>
      </c>
    </row>
    <row r="443" spans="1:6" x14ac:dyDescent="0.35">
      <c r="A443" s="2">
        <f ca="1">IFERROR(__xludf.DUMMYFUNCTION("""COMPUTED_VALUE"""),42646.6666666666)</f>
        <v>42646.666666666599</v>
      </c>
      <c r="B443" s="1">
        <f ca="1">IFERROR(__xludf.DUMMYFUNCTION("""COMPUTED_VALUE"""),40.13)</f>
        <v>40.130000000000003</v>
      </c>
      <c r="C443" s="1">
        <f ca="1">IFERROR(__xludf.DUMMYFUNCTION("""COMPUTED_VALUE"""),40.18)</f>
        <v>40.18</v>
      </c>
      <c r="D443" s="1">
        <f ca="1">IFERROR(__xludf.DUMMYFUNCTION("""COMPUTED_VALUE"""),39.81)</f>
        <v>39.81</v>
      </c>
      <c r="E443" s="1">
        <f ca="1">IFERROR(__xludf.DUMMYFUNCTION("""COMPUTED_VALUE"""),40.02)</f>
        <v>40.020000000000003</v>
      </c>
      <c r="F443" s="1">
        <f ca="1">IFERROR(__xludf.DUMMYFUNCTION("""COMPUTED_VALUE"""),1489212)</f>
        <v>1489212</v>
      </c>
    </row>
    <row r="444" spans="1:6" x14ac:dyDescent="0.35">
      <c r="A444" s="2">
        <f ca="1">IFERROR(__xludf.DUMMYFUNCTION("""COMPUTED_VALUE"""),42647.6666666666)</f>
        <v>42647.666666666599</v>
      </c>
      <c r="B444" s="1">
        <f ca="1">IFERROR(__xludf.DUMMYFUNCTION("""COMPUTED_VALUE"""),40.25)</f>
        <v>40.25</v>
      </c>
      <c r="C444" s="1">
        <f ca="1">IFERROR(__xludf.DUMMYFUNCTION("""COMPUTED_VALUE"""),40.33)</f>
        <v>40.33</v>
      </c>
      <c r="D444" s="1">
        <f ca="1">IFERROR(__xludf.DUMMYFUNCTION("""COMPUTED_VALUE"""),39.98)</f>
        <v>39.979999999999997</v>
      </c>
      <c r="E444" s="1">
        <f ca="1">IFERROR(__xludf.DUMMYFUNCTION("""COMPUTED_VALUE"""),40.14)</f>
        <v>40.14</v>
      </c>
      <c r="F444" s="1">
        <f ca="1">IFERROR(__xludf.DUMMYFUNCTION("""COMPUTED_VALUE"""),1258706)</f>
        <v>1258706</v>
      </c>
    </row>
    <row r="445" spans="1:6" x14ac:dyDescent="0.35">
      <c r="A445" s="2">
        <f ca="1">IFERROR(__xludf.DUMMYFUNCTION("""COMPUTED_VALUE"""),42648.6666666666)</f>
        <v>42648.666666666599</v>
      </c>
      <c r="B445" s="1">
        <f ca="1">IFERROR(__xludf.DUMMYFUNCTION("""COMPUTED_VALUE"""),40.3)</f>
        <v>40.299999999999997</v>
      </c>
      <c r="C445" s="1">
        <f ca="1">IFERROR(__xludf.DUMMYFUNCTION("""COMPUTED_VALUE"""),40.42)</f>
        <v>40.42</v>
      </c>
      <c r="D445" s="1">
        <f ca="1">IFERROR(__xludf.DUMMYFUNCTION("""COMPUTED_VALUE"""),40.04)</f>
        <v>40.04</v>
      </c>
      <c r="E445" s="1">
        <f ca="1">IFERROR(__xludf.DUMMYFUNCTION("""COMPUTED_VALUE"""),40.06)</f>
        <v>40.06</v>
      </c>
      <c r="F445" s="1">
        <f ca="1">IFERROR(__xludf.DUMMYFUNCTION("""COMPUTED_VALUE"""),1213820)</f>
        <v>1213820</v>
      </c>
    </row>
    <row r="446" spans="1:6" x14ac:dyDescent="0.35">
      <c r="A446" s="2">
        <f ca="1">IFERROR(__xludf.DUMMYFUNCTION("""COMPUTED_VALUE"""),42649.6666666666)</f>
        <v>42649.666666666599</v>
      </c>
      <c r="B446" s="1">
        <f ca="1">IFERROR(__xludf.DUMMYFUNCTION("""COMPUTED_VALUE"""),40.2)</f>
        <v>40.200000000000003</v>
      </c>
      <c r="C446" s="1">
        <f ca="1">IFERROR(__xludf.DUMMYFUNCTION("""COMPUTED_VALUE"""),40.35)</f>
        <v>40.35</v>
      </c>
      <c r="D446" s="1">
        <f ca="1">IFERROR(__xludf.DUMMYFUNCTION("""COMPUTED_VALUE"""),40.03)</f>
        <v>40.03</v>
      </c>
      <c r="E446" s="1">
        <f ca="1">IFERROR(__xludf.DUMMYFUNCTION("""COMPUTED_VALUE"""),40.15)</f>
        <v>40.15</v>
      </c>
      <c r="F446" s="1">
        <f ca="1">IFERROR(__xludf.DUMMYFUNCTION("""COMPUTED_VALUE"""),1099909)</f>
        <v>1099909</v>
      </c>
    </row>
    <row r="447" spans="1:6" x14ac:dyDescent="0.35">
      <c r="A447" s="2">
        <f ca="1">IFERROR(__xludf.DUMMYFUNCTION("""COMPUTED_VALUE"""),42650.6666666666)</f>
        <v>42650.666666666599</v>
      </c>
      <c r="B447" s="1">
        <f ca="1">IFERROR(__xludf.DUMMYFUNCTION("""COMPUTED_VALUE"""),40.3)</f>
        <v>40.299999999999997</v>
      </c>
      <c r="C447" s="1">
        <f ca="1">IFERROR(__xludf.DUMMYFUNCTION("""COMPUTED_VALUE"""),40.3)</f>
        <v>40.299999999999997</v>
      </c>
      <c r="D447" s="1">
        <f ca="1">IFERROR(__xludf.DUMMYFUNCTION("""COMPUTED_VALUE"""),39.84)</f>
        <v>39.840000000000003</v>
      </c>
      <c r="E447" s="1">
        <f ca="1">IFERROR(__xludf.DUMMYFUNCTION("""COMPUTED_VALUE"""),40.04)</f>
        <v>40.04</v>
      </c>
      <c r="F447" s="1">
        <f ca="1">IFERROR(__xludf.DUMMYFUNCTION("""COMPUTED_VALUE"""),1163899)</f>
        <v>1163899</v>
      </c>
    </row>
    <row r="448" spans="1:6" x14ac:dyDescent="0.35">
      <c r="A448" s="2">
        <f ca="1">IFERROR(__xludf.DUMMYFUNCTION("""COMPUTED_VALUE"""),42653.6666666666)</f>
        <v>42653.666666666599</v>
      </c>
      <c r="B448" s="1">
        <f ca="1">IFERROR(__xludf.DUMMYFUNCTION("""COMPUTED_VALUE"""),40.2)</f>
        <v>40.200000000000003</v>
      </c>
      <c r="C448" s="1">
        <f ca="1">IFERROR(__xludf.DUMMYFUNCTION("""COMPUTED_VALUE"""),40.87)</f>
        <v>40.869999999999997</v>
      </c>
      <c r="D448" s="1">
        <f ca="1">IFERROR(__xludf.DUMMYFUNCTION("""COMPUTED_VALUE"""),40.11)</f>
        <v>40.11</v>
      </c>
      <c r="E448" s="1">
        <f ca="1">IFERROR(__xludf.DUMMYFUNCTION("""COMPUTED_VALUE"""),40.71)</f>
        <v>40.71</v>
      </c>
      <c r="F448" s="1">
        <f ca="1">IFERROR(__xludf.DUMMYFUNCTION("""COMPUTED_VALUE"""),1496115)</f>
        <v>1496115</v>
      </c>
    </row>
    <row r="449" spans="1:6" x14ac:dyDescent="0.35">
      <c r="A449" s="2">
        <f ca="1">IFERROR(__xludf.DUMMYFUNCTION("""COMPUTED_VALUE"""),42654.6666666666)</f>
        <v>42654.666666666599</v>
      </c>
      <c r="B449" s="1">
        <f ca="1">IFERROR(__xludf.DUMMYFUNCTION("""COMPUTED_VALUE"""),40.71)</f>
        <v>40.71</v>
      </c>
      <c r="C449" s="1">
        <f ca="1">IFERROR(__xludf.DUMMYFUNCTION("""COMPUTED_VALUE"""),40.99)</f>
        <v>40.99</v>
      </c>
      <c r="D449" s="1">
        <f ca="1">IFERROR(__xludf.DUMMYFUNCTION("""COMPUTED_VALUE"""),40.37)</f>
        <v>40.369999999999997</v>
      </c>
      <c r="E449" s="1">
        <f ca="1">IFERROR(__xludf.DUMMYFUNCTION("""COMPUTED_VALUE"""),40.48)</f>
        <v>40.479999999999997</v>
      </c>
      <c r="F449" s="1">
        <f ca="1">IFERROR(__xludf.DUMMYFUNCTION("""COMPUTED_VALUE"""),1721575)</f>
        <v>1721575</v>
      </c>
    </row>
    <row r="450" spans="1:6" x14ac:dyDescent="0.35">
      <c r="A450" s="2">
        <f ca="1">IFERROR(__xludf.DUMMYFUNCTION("""COMPUTED_VALUE"""),42655.6666666666)</f>
        <v>42655.666666666599</v>
      </c>
      <c r="B450" s="1">
        <f ca="1">IFERROR(__xludf.DUMMYFUNCTION("""COMPUTED_VALUE"""),40.6)</f>
        <v>40.6</v>
      </c>
      <c r="C450" s="1">
        <f ca="1">IFERROR(__xludf.DUMMYFUNCTION("""COMPUTED_VALUE"""),40.73)</f>
        <v>40.729999999999997</v>
      </c>
      <c r="D450" s="1">
        <f ca="1">IFERROR(__xludf.DUMMYFUNCTION("""COMPUTED_VALUE"""),40.43)</f>
        <v>40.43</v>
      </c>
      <c r="E450" s="1">
        <f ca="1">IFERROR(__xludf.DUMMYFUNCTION("""COMPUTED_VALUE"""),40.59)</f>
        <v>40.590000000000003</v>
      </c>
      <c r="F450" s="1">
        <f ca="1">IFERROR(__xludf.DUMMYFUNCTION("""COMPUTED_VALUE"""),907876)</f>
        <v>907876</v>
      </c>
    </row>
    <row r="451" spans="1:6" x14ac:dyDescent="0.35">
      <c r="A451" s="2">
        <f ca="1">IFERROR(__xludf.DUMMYFUNCTION("""COMPUTED_VALUE"""),42656.6666666666)</f>
        <v>42656.666666666599</v>
      </c>
      <c r="B451" s="1">
        <f ca="1">IFERROR(__xludf.DUMMYFUNCTION("""COMPUTED_VALUE"""),40.3)</f>
        <v>40.299999999999997</v>
      </c>
      <c r="C451" s="1">
        <f ca="1">IFERROR(__xludf.DUMMYFUNCTION("""COMPUTED_VALUE"""),40.33)</f>
        <v>40.33</v>
      </c>
      <c r="D451" s="1">
        <f ca="1">IFERROR(__xludf.DUMMYFUNCTION("""COMPUTED_VALUE"""),39.93)</f>
        <v>39.93</v>
      </c>
      <c r="E451" s="1">
        <f ca="1">IFERROR(__xludf.DUMMYFUNCTION("""COMPUTED_VALUE"""),40.2)</f>
        <v>40.200000000000003</v>
      </c>
      <c r="F451" s="1">
        <f ca="1">IFERROR(__xludf.DUMMYFUNCTION("""COMPUTED_VALUE"""),1368981)</f>
        <v>1368981</v>
      </c>
    </row>
    <row r="452" spans="1:6" x14ac:dyDescent="0.35">
      <c r="A452" s="2">
        <f ca="1">IFERROR(__xludf.DUMMYFUNCTION("""COMPUTED_VALUE"""),42657.6666666666)</f>
        <v>42657.666666666599</v>
      </c>
      <c r="B452" s="1">
        <f ca="1">IFERROR(__xludf.DUMMYFUNCTION("""COMPUTED_VALUE"""),40.37)</f>
        <v>40.369999999999997</v>
      </c>
      <c r="C452" s="1">
        <f ca="1">IFERROR(__xludf.DUMMYFUNCTION("""COMPUTED_VALUE"""),40.5)</f>
        <v>40.5</v>
      </c>
      <c r="D452" s="1">
        <f ca="1">IFERROR(__xludf.DUMMYFUNCTION("""COMPUTED_VALUE"""),40.12)</f>
        <v>40.119999999999997</v>
      </c>
      <c r="E452" s="1">
        <f ca="1">IFERROR(__xludf.DUMMYFUNCTION("""COMPUTED_VALUE"""),40.23)</f>
        <v>40.229999999999997</v>
      </c>
      <c r="F452" s="1">
        <f ca="1">IFERROR(__xludf.DUMMYFUNCTION("""COMPUTED_VALUE"""),1111934)</f>
        <v>1111934</v>
      </c>
    </row>
    <row r="453" spans="1:6" x14ac:dyDescent="0.35">
      <c r="A453" s="2">
        <f ca="1">IFERROR(__xludf.DUMMYFUNCTION("""COMPUTED_VALUE"""),42660.6666666666)</f>
        <v>42660.666666666599</v>
      </c>
      <c r="B453" s="1">
        <f ca="1">IFERROR(__xludf.DUMMYFUNCTION("""COMPUTED_VALUE"""),40.3)</f>
        <v>40.299999999999997</v>
      </c>
      <c r="C453" s="1">
        <f ca="1">IFERROR(__xludf.DUMMYFUNCTION("""COMPUTED_VALUE"""),40.67)</f>
        <v>40.67</v>
      </c>
      <c r="D453" s="1">
        <f ca="1">IFERROR(__xludf.DUMMYFUNCTION("""COMPUTED_VALUE"""),40.19)</f>
        <v>40.19</v>
      </c>
      <c r="E453" s="1">
        <f ca="1">IFERROR(__xludf.DUMMYFUNCTION("""COMPUTED_VALUE"""),40.34)</f>
        <v>40.340000000000003</v>
      </c>
      <c r="F453" s="1">
        <f ca="1">IFERROR(__xludf.DUMMYFUNCTION("""COMPUTED_VALUE"""),1056367)</f>
        <v>1056367</v>
      </c>
    </row>
    <row r="454" spans="1:6" x14ac:dyDescent="0.35">
      <c r="A454" s="2">
        <f ca="1">IFERROR(__xludf.DUMMYFUNCTION("""COMPUTED_VALUE"""),42661.6666666666)</f>
        <v>42661.666666666599</v>
      </c>
      <c r="B454" s="1">
        <f ca="1">IFERROR(__xludf.DUMMYFUNCTION("""COMPUTED_VALUE"""),40.71)</f>
        <v>40.71</v>
      </c>
      <c r="C454" s="1">
        <f ca="1">IFERROR(__xludf.DUMMYFUNCTION("""COMPUTED_VALUE"""),41.44)</f>
        <v>41.44</v>
      </c>
      <c r="D454" s="1">
        <f ca="1">IFERROR(__xludf.DUMMYFUNCTION("""COMPUTED_VALUE"""),40.67)</f>
        <v>40.67</v>
      </c>
      <c r="E454" s="1">
        <f ca="1">IFERROR(__xludf.DUMMYFUNCTION("""COMPUTED_VALUE"""),41.07)</f>
        <v>41.07</v>
      </c>
      <c r="F454" s="1">
        <f ca="1">IFERROR(__xludf.DUMMYFUNCTION("""COMPUTED_VALUE"""),2289265)</f>
        <v>2289265</v>
      </c>
    </row>
    <row r="455" spans="1:6" x14ac:dyDescent="0.35">
      <c r="A455" s="2">
        <f ca="1">IFERROR(__xludf.DUMMYFUNCTION("""COMPUTED_VALUE"""),42662.6666666666)</f>
        <v>42662.666666666599</v>
      </c>
      <c r="B455" s="1">
        <f ca="1">IFERROR(__xludf.DUMMYFUNCTION("""COMPUTED_VALUE"""),41.23)</f>
        <v>41.23</v>
      </c>
      <c r="C455" s="1">
        <f ca="1">IFERROR(__xludf.DUMMYFUNCTION("""COMPUTED_VALUE"""),41.49)</f>
        <v>41.49</v>
      </c>
      <c r="D455" s="1">
        <f ca="1">IFERROR(__xludf.DUMMYFUNCTION("""COMPUTED_VALUE"""),41.16)</f>
        <v>41.16</v>
      </c>
      <c r="E455" s="1">
        <f ca="1">IFERROR(__xludf.DUMMYFUNCTION("""COMPUTED_VALUE"""),41.35)</f>
        <v>41.35</v>
      </c>
      <c r="F455" s="1">
        <f ca="1">IFERROR(__xludf.DUMMYFUNCTION("""COMPUTED_VALUE"""),1500142)</f>
        <v>1500142</v>
      </c>
    </row>
    <row r="456" spans="1:6" x14ac:dyDescent="0.35">
      <c r="A456" s="2">
        <f ca="1">IFERROR(__xludf.DUMMYFUNCTION("""COMPUTED_VALUE"""),42663.6666666666)</f>
        <v>42663.666666666599</v>
      </c>
      <c r="B456" s="1">
        <f ca="1">IFERROR(__xludf.DUMMYFUNCTION("""COMPUTED_VALUE"""),41.38)</f>
        <v>41.38</v>
      </c>
      <c r="C456" s="1">
        <f ca="1">IFERROR(__xludf.DUMMYFUNCTION("""COMPUTED_VALUE"""),41.42)</f>
        <v>41.42</v>
      </c>
      <c r="D456" s="1">
        <f ca="1">IFERROR(__xludf.DUMMYFUNCTION("""COMPUTED_VALUE"""),41.03)</f>
        <v>41.03</v>
      </c>
      <c r="E456" s="1">
        <f ca="1">IFERROR(__xludf.DUMMYFUNCTION("""COMPUTED_VALUE"""),41.08)</f>
        <v>41.08</v>
      </c>
      <c r="F456" s="1">
        <f ca="1">IFERROR(__xludf.DUMMYFUNCTION("""COMPUTED_VALUE"""),1393870)</f>
        <v>1393870</v>
      </c>
    </row>
    <row r="457" spans="1:6" x14ac:dyDescent="0.35">
      <c r="A457" s="2">
        <f ca="1">IFERROR(__xludf.DUMMYFUNCTION("""COMPUTED_VALUE"""),42664.6666666666)</f>
        <v>42664.666666666599</v>
      </c>
      <c r="B457" s="1">
        <f ca="1">IFERROR(__xludf.DUMMYFUNCTION("""COMPUTED_VALUE"""),41)</f>
        <v>41</v>
      </c>
      <c r="C457" s="1">
        <f ca="1">IFERROR(__xludf.DUMMYFUNCTION("""COMPUTED_VALUE"""),41.21)</f>
        <v>41.21</v>
      </c>
      <c r="D457" s="1">
        <f ca="1">IFERROR(__xludf.DUMMYFUNCTION("""COMPUTED_VALUE"""),40.92)</f>
        <v>40.92</v>
      </c>
      <c r="E457" s="1">
        <f ca="1">IFERROR(__xludf.DUMMYFUNCTION("""COMPUTED_VALUE"""),41.2)</f>
        <v>41.2</v>
      </c>
      <c r="F457" s="1">
        <f ca="1">IFERROR(__xludf.DUMMYFUNCTION("""COMPUTED_VALUE"""),1615814)</f>
        <v>1615814</v>
      </c>
    </row>
    <row r="458" spans="1:6" x14ac:dyDescent="0.35">
      <c r="A458" s="2">
        <f ca="1">IFERROR(__xludf.DUMMYFUNCTION("""COMPUTED_VALUE"""),42667.6666666666)</f>
        <v>42667.666666666599</v>
      </c>
      <c r="B458" s="1">
        <f ca="1">IFERROR(__xludf.DUMMYFUNCTION("""COMPUTED_VALUE"""),41.5)</f>
        <v>41.5</v>
      </c>
      <c r="C458" s="1">
        <f ca="1">IFERROR(__xludf.DUMMYFUNCTION("""COMPUTED_VALUE"""),41.9)</f>
        <v>41.9</v>
      </c>
      <c r="D458" s="1">
        <f ca="1">IFERROR(__xludf.DUMMYFUNCTION("""COMPUTED_VALUE"""),41.45)</f>
        <v>41.45</v>
      </c>
      <c r="E458" s="1">
        <f ca="1">IFERROR(__xludf.DUMMYFUNCTION("""COMPUTED_VALUE"""),41.79)</f>
        <v>41.79</v>
      </c>
      <c r="F458" s="1">
        <f ca="1">IFERROR(__xludf.DUMMYFUNCTION("""COMPUTED_VALUE"""),1447616)</f>
        <v>1447616</v>
      </c>
    </row>
    <row r="459" spans="1:6" x14ac:dyDescent="0.35">
      <c r="A459" s="2">
        <f ca="1">IFERROR(__xludf.DUMMYFUNCTION("""COMPUTED_VALUE"""),42668.6666666666)</f>
        <v>42668.666666666599</v>
      </c>
      <c r="B459" s="1">
        <f ca="1">IFERROR(__xludf.DUMMYFUNCTION("""COMPUTED_VALUE"""),41.93)</f>
        <v>41.93</v>
      </c>
      <c r="C459" s="1">
        <f ca="1">IFERROR(__xludf.DUMMYFUNCTION("""COMPUTED_VALUE"""),41.93)</f>
        <v>41.93</v>
      </c>
      <c r="D459" s="1">
        <f ca="1">IFERROR(__xludf.DUMMYFUNCTION("""COMPUTED_VALUE"""),41.27)</f>
        <v>41.27</v>
      </c>
      <c r="E459" s="1">
        <f ca="1">IFERROR(__xludf.DUMMYFUNCTION("""COMPUTED_VALUE"""),41.43)</f>
        <v>41.43</v>
      </c>
      <c r="F459" s="1">
        <f ca="1">IFERROR(__xludf.DUMMYFUNCTION("""COMPUTED_VALUE"""),1890712)</f>
        <v>1890712</v>
      </c>
    </row>
    <row r="460" spans="1:6" x14ac:dyDescent="0.35">
      <c r="A460" s="2">
        <f ca="1">IFERROR(__xludf.DUMMYFUNCTION("""COMPUTED_VALUE"""),42669.6666666666)</f>
        <v>42669.666666666599</v>
      </c>
      <c r="B460" s="1">
        <f ca="1">IFERROR(__xludf.DUMMYFUNCTION("""COMPUTED_VALUE"""),41.36)</f>
        <v>41.36</v>
      </c>
      <c r="C460" s="1">
        <f ca="1">IFERROR(__xludf.DUMMYFUNCTION("""COMPUTED_VALUE"""),41.39)</f>
        <v>41.39</v>
      </c>
      <c r="D460" s="1">
        <f ca="1">IFERROR(__xludf.DUMMYFUNCTION("""COMPUTED_VALUE"""),40.82)</f>
        <v>40.82</v>
      </c>
      <c r="E460" s="1">
        <f ca="1">IFERROR(__xludf.DUMMYFUNCTION("""COMPUTED_VALUE"""),41.11)</f>
        <v>41.11</v>
      </c>
      <c r="F460" s="1">
        <f ca="1">IFERROR(__xludf.DUMMYFUNCTION("""COMPUTED_VALUE"""),1794868)</f>
        <v>1794868</v>
      </c>
    </row>
    <row r="461" spans="1:6" x14ac:dyDescent="0.35">
      <c r="A461" s="2">
        <f ca="1">IFERROR(__xludf.DUMMYFUNCTION("""COMPUTED_VALUE"""),42670.6666666666)</f>
        <v>42670.666666666599</v>
      </c>
      <c r="B461" s="1">
        <f ca="1">IFERROR(__xludf.DUMMYFUNCTION("""COMPUTED_VALUE"""),41.15)</f>
        <v>41.15</v>
      </c>
      <c r="C461" s="1">
        <f ca="1">IFERROR(__xludf.DUMMYFUNCTION("""COMPUTED_VALUE"""),41.33)</f>
        <v>41.33</v>
      </c>
      <c r="D461" s="1">
        <f ca="1">IFERROR(__xludf.DUMMYFUNCTION("""COMPUTED_VALUE"""),40.73)</f>
        <v>40.729999999999997</v>
      </c>
      <c r="E461" s="1">
        <f ca="1">IFERROR(__xludf.DUMMYFUNCTION("""COMPUTED_VALUE"""),40.87)</f>
        <v>40.869999999999997</v>
      </c>
      <c r="F461" s="1">
        <f ca="1">IFERROR(__xludf.DUMMYFUNCTION("""COMPUTED_VALUE"""),2973486)</f>
        <v>2973486</v>
      </c>
    </row>
    <row r="462" spans="1:6" x14ac:dyDescent="0.35">
      <c r="A462" s="2">
        <f ca="1">IFERROR(__xludf.DUMMYFUNCTION("""COMPUTED_VALUE"""),42671.6666666666)</f>
        <v>42671.666666666599</v>
      </c>
      <c r="B462" s="1">
        <f ca="1">IFERROR(__xludf.DUMMYFUNCTION("""COMPUTED_VALUE"""),41.5)</f>
        <v>41.5</v>
      </c>
      <c r="C462" s="1">
        <f ca="1">IFERROR(__xludf.DUMMYFUNCTION("""COMPUTED_VALUE"""),41.95)</f>
        <v>41.95</v>
      </c>
      <c r="D462" s="1">
        <f ca="1">IFERROR(__xludf.DUMMYFUNCTION("""COMPUTED_VALUE"""),40.85)</f>
        <v>40.85</v>
      </c>
      <c r="E462" s="1">
        <f ca="1">IFERROR(__xludf.DUMMYFUNCTION("""COMPUTED_VALUE"""),40.98)</f>
        <v>40.98</v>
      </c>
      <c r="F462" s="1">
        <f ca="1">IFERROR(__xludf.DUMMYFUNCTION("""COMPUTED_VALUE"""),4354884)</f>
        <v>4354884</v>
      </c>
    </row>
    <row r="463" spans="1:6" x14ac:dyDescent="0.35">
      <c r="A463" s="2">
        <f ca="1">IFERROR(__xludf.DUMMYFUNCTION("""COMPUTED_VALUE"""),42674.6666666666)</f>
        <v>42674.666666666599</v>
      </c>
      <c r="B463" s="1">
        <f ca="1">IFERROR(__xludf.DUMMYFUNCTION("""COMPUTED_VALUE"""),41.12)</f>
        <v>41.12</v>
      </c>
      <c r="C463" s="1">
        <f ca="1">IFERROR(__xludf.DUMMYFUNCTION("""COMPUTED_VALUE"""),41.13)</f>
        <v>41.13</v>
      </c>
      <c r="D463" s="1">
        <f ca="1">IFERROR(__xludf.DUMMYFUNCTION("""COMPUTED_VALUE"""),40.4)</f>
        <v>40.4</v>
      </c>
      <c r="E463" s="1">
        <f ca="1">IFERROR(__xludf.DUMMYFUNCTION("""COMPUTED_VALUE"""),40.49)</f>
        <v>40.49</v>
      </c>
      <c r="F463" s="1">
        <f ca="1">IFERROR(__xludf.DUMMYFUNCTION("""COMPUTED_VALUE"""),2242679)</f>
        <v>2242679</v>
      </c>
    </row>
    <row r="464" spans="1:6" x14ac:dyDescent="0.35">
      <c r="A464" s="2">
        <f ca="1">IFERROR(__xludf.DUMMYFUNCTION("""COMPUTED_VALUE"""),42675.6666666666)</f>
        <v>42675.666666666599</v>
      </c>
      <c r="B464" s="1">
        <f ca="1">IFERROR(__xludf.DUMMYFUNCTION("""COMPUTED_VALUE"""),40.54)</f>
        <v>40.54</v>
      </c>
      <c r="C464" s="1">
        <f ca="1">IFERROR(__xludf.DUMMYFUNCTION("""COMPUTED_VALUE"""),40.7)</f>
        <v>40.700000000000003</v>
      </c>
      <c r="D464" s="1">
        <f ca="1">IFERROR(__xludf.DUMMYFUNCTION("""COMPUTED_VALUE"""),39.91)</f>
        <v>39.909999999999997</v>
      </c>
      <c r="E464" s="1">
        <f ca="1">IFERROR(__xludf.DUMMYFUNCTION("""COMPUTED_VALUE"""),40.27)</f>
        <v>40.270000000000003</v>
      </c>
      <c r="F464" s="1">
        <f ca="1">IFERROR(__xludf.DUMMYFUNCTION("""COMPUTED_VALUE"""),2355890)</f>
        <v>2355890</v>
      </c>
    </row>
    <row r="465" spans="1:6" x14ac:dyDescent="0.35">
      <c r="A465" s="2">
        <f ca="1">IFERROR(__xludf.DUMMYFUNCTION("""COMPUTED_VALUE"""),42676.6666666666)</f>
        <v>42676.666666666599</v>
      </c>
      <c r="B465" s="1">
        <f ca="1">IFERROR(__xludf.DUMMYFUNCTION("""COMPUTED_VALUE"""),40.34)</f>
        <v>40.340000000000003</v>
      </c>
      <c r="C465" s="1">
        <f ca="1">IFERROR(__xludf.DUMMYFUNCTION("""COMPUTED_VALUE"""),40.34)</f>
        <v>40.340000000000003</v>
      </c>
      <c r="D465" s="1">
        <f ca="1">IFERROR(__xludf.DUMMYFUNCTION("""COMPUTED_VALUE"""),39.25)</f>
        <v>39.25</v>
      </c>
      <c r="E465" s="1">
        <f ca="1">IFERROR(__xludf.DUMMYFUNCTION("""COMPUTED_VALUE"""),39.42)</f>
        <v>39.42</v>
      </c>
      <c r="F465" s="1">
        <f ca="1">IFERROR(__xludf.DUMMYFUNCTION("""COMPUTED_VALUE"""),2350736)</f>
        <v>2350736</v>
      </c>
    </row>
    <row r="466" spans="1:6" x14ac:dyDescent="0.35">
      <c r="A466" s="2">
        <f ca="1">IFERROR(__xludf.DUMMYFUNCTION("""COMPUTED_VALUE"""),42677.6666666666)</f>
        <v>42677.666666666599</v>
      </c>
      <c r="B466" s="1">
        <f ca="1">IFERROR(__xludf.DUMMYFUNCTION("""COMPUTED_VALUE"""),39.23)</f>
        <v>39.229999999999997</v>
      </c>
      <c r="C466" s="1">
        <f ca="1">IFERROR(__xludf.DUMMYFUNCTION("""COMPUTED_VALUE"""),39.5)</f>
        <v>39.5</v>
      </c>
      <c r="D466" s="1">
        <f ca="1">IFERROR(__xludf.DUMMYFUNCTION("""COMPUTED_VALUE"""),38.93)</f>
        <v>38.93</v>
      </c>
      <c r="E466" s="1">
        <f ca="1">IFERROR(__xludf.DUMMYFUNCTION("""COMPUTED_VALUE"""),39.11)</f>
        <v>39.11</v>
      </c>
      <c r="F466" s="1">
        <f ca="1">IFERROR(__xludf.DUMMYFUNCTION("""COMPUTED_VALUE"""),2175216)</f>
        <v>2175216</v>
      </c>
    </row>
    <row r="467" spans="1:6" x14ac:dyDescent="0.35">
      <c r="A467" s="2">
        <f ca="1">IFERROR(__xludf.DUMMYFUNCTION("""COMPUTED_VALUE"""),42678.6666666666)</f>
        <v>42678.666666666599</v>
      </c>
      <c r="B467" s="1">
        <f ca="1">IFERROR(__xludf.DUMMYFUNCTION("""COMPUTED_VALUE"""),38.57)</f>
        <v>38.57</v>
      </c>
      <c r="C467" s="1">
        <f ca="1">IFERROR(__xludf.DUMMYFUNCTION("""COMPUTED_VALUE"""),39.42)</f>
        <v>39.42</v>
      </c>
      <c r="D467" s="1">
        <f ca="1">IFERROR(__xludf.DUMMYFUNCTION("""COMPUTED_VALUE"""),38.55)</f>
        <v>38.549999999999997</v>
      </c>
      <c r="E467" s="1">
        <f ca="1">IFERROR(__xludf.DUMMYFUNCTION("""COMPUTED_VALUE"""),39.06)</f>
        <v>39.06</v>
      </c>
      <c r="F467" s="1">
        <f ca="1">IFERROR(__xludf.DUMMYFUNCTION("""COMPUTED_VALUE"""),1970603)</f>
        <v>1970603</v>
      </c>
    </row>
    <row r="468" spans="1:6" x14ac:dyDescent="0.35">
      <c r="A468" s="2">
        <f ca="1">IFERROR(__xludf.DUMMYFUNCTION("""COMPUTED_VALUE"""),42681.6666666666)</f>
        <v>42681.666666666599</v>
      </c>
      <c r="B468" s="1">
        <f ca="1">IFERROR(__xludf.DUMMYFUNCTION("""COMPUTED_VALUE"""),39.75)</f>
        <v>39.75</v>
      </c>
      <c r="C468" s="1">
        <f ca="1">IFERROR(__xludf.DUMMYFUNCTION("""COMPUTED_VALUE"""),40.25)</f>
        <v>40.25</v>
      </c>
      <c r="D468" s="1">
        <f ca="1">IFERROR(__xludf.DUMMYFUNCTION("""COMPUTED_VALUE"""),39.65)</f>
        <v>39.65</v>
      </c>
      <c r="E468" s="1">
        <f ca="1">IFERROR(__xludf.DUMMYFUNCTION("""COMPUTED_VALUE"""),40.1)</f>
        <v>40.1</v>
      </c>
      <c r="F468" s="1">
        <f ca="1">IFERROR(__xludf.DUMMYFUNCTION("""COMPUTED_VALUE"""),1992570)</f>
        <v>1992570</v>
      </c>
    </row>
    <row r="469" spans="1:6" x14ac:dyDescent="0.35">
      <c r="A469" s="2">
        <f ca="1">IFERROR(__xludf.DUMMYFUNCTION("""COMPUTED_VALUE"""),42682.6666666666)</f>
        <v>42682.666666666599</v>
      </c>
      <c r="B469" s="1">
        <f ca="1">IFERROR(__xludf.DUMMYFUNCTION("""COMPUTED_VALUE"""),40.1)</f>
        <v>40.1</v>
      </c>
      <c r="C469" s="1">
        <f ca="1">IFERROR(__xludf.DUMMYFUNCTION("""COMPUTED_VALUE"""),40.8)</f>
        <v>40.799999999999997</v>
      </c>
      <c r="D469" s="1">
        <f ca="1">IFERROR(__xludf.DUMMYFUNCTION("""COMPUTED_VALUE"""),39.98)</f>
        <v>39.979999999999997</v>
      </c>
      <c r="E469" s="1">
        <f ca="1">IFERROR(__xludf.DUMMYFUNCTION("""COMPUTED_VALUE"""),40.6)</f>
        <v>40.6</v>
      </c>
      <c r="F469" s="1">
        <f ca="1">IFERROR(__xludf.DUMMYFUNCTION("""COMPUTED_VALUE"""),1769069)</f>
        <v>1769069</v>
      </c>
    </row>
    <row r="470" spans="1:6" x14ac:dyDescent="0.35">
      <c r="A470" s="2">
        <f ca="1">IFERROR(__xludf.DUMMYFUNCTION("""COMPUTED_VALUE"""),42683.6666666666)</f>
        <v>42683.666666666599</v>
      </c>
      <c r="B470" s="1">
        <f ca="1">IFERROR(__xludf.DUMMYFUNCTION("""COMPUTED_VALUE"""),40.09)</f>
        <v>40.090000000000003</v>
      </c>
      <c r="C470" s="1">
        <f ca="1">IFERROR(__xludf.DUMMYFUNCTION("""COMPUTED_VALUE"""),40.59)</f>
        <v>40.590000000000003</v>
      </c>
      <c r="D470" s="1">
        <f ca="1">IFERROR(__xludf.DUMMYFUNCTION("""COMPUTED_VALUE"""),39.6)</f>
        <v>39.6</v>
      </c>
      <c r="E470" s="1">
        <f ca="1">IFERROR(__xludf.DUMMYFUNCTION("""COMPUTED_VALUE"""),40.28)</f>
        <v>40.28</v>
      </c>
      <c r="F470" s="1">
        <f ca="1">IFERROR(__xludf.DUMMYFUNCTION("""COMPUTED_VALUE"""),3098510)</f>
        <v>3098510</v>
      </c>
    </row>
    <row r="471" spans="1:6" x14ac:dyDescent="0.35">
      <c r="A471" s="2">
        <f ca="1">IFERROR(__xludf.DUMMYFUNCTION("""COMPUTED_VALUE"""),42684.6666666666)</f>
        <v>42684.666666666599</v>
      </c>
      <c r="B471" s="1">
        <f ca="1">IFERROR(__xludf.DUMMYFUNCTION("""COMPUTED_VALUE"""),40.5)</f>
        <v>40.5</v>
      </c>
      <c r="C471" s="1">
        <f ca="1">IFERROR(__xludf.DUMMYFUNCTION("""COMPUTED_VALUE"""),40.5)</f>
        <v>40.5</v>
      </c>
      <c r="D471" s="1">
        <f ca="1">IFERROR(__xludf.DUMMYFUNCTION("""COMPUTED_VALUE"""),38.41)</f>
        <v>38.409999999999997</v>
      </c>
      <c r="E471" s="1">
        <f ca="1">IFERROR(__xludf.DUMMYFUNCTION("""COMPUTED_VALUE"""),39.01)</f>
        <v>39.01</v>
      </c>
      <c r="F471" s="1">
        <f ca="1">IFERROR(__xludf.DUMMYFUNCTION("""COMPUTED_VALUE"""),5909609)</f>
        <v>5909609</v>
      </c>
    </row>
    <row r="472" spans="1:6" x14ac:dyDescent="0.35">
      <c r="A472" s="2">
        <f ca="1">IFERROR(__xludf.DUMMYFUNCTION("""COMPUTED_VALUE"""),42685.6666666666)</f>
        <v>42685.666666666599</v>
      </c>
      <c r="B472" s="1">
        <f ca="1">IFERROR(__xludf.DUMMYFUNCTION("""COMPUTED_VALUE"""),38.84)</f>
        <v>38.840000000000003</v>
      </c>
      <c r="C472" s="1">
        <f ca="1">IFERROR(__xludf.DUMMYFUNCTION("""COMPUTED_VALUE"""),38.86)</f>
        <v>38.86</v>
      </c>
      <c r="D472" s="1">
        <f ca="1">IFERROR(__xludf.DUMMYFUNCTION("""COMPUTED_VALUE"""),38.28)</f>
        <v>38.28</v>
      </c>
      <c r="E472" s="1">
        <f ca="1">IFERROR(__xludf.DUMMYFUNCTION("""COMPUTED_VALUE"""),38.59)</f>
        <v>38.590000000000003</v>
      </c>
      <c r="F472" s="1">
        <f ca="1">IFERROR(__xludf.DUMMYFUNCTION("""COMPUTED_VALUE"""),3592641)</f>
        <v>3592641</v>
      </c>
    </row>
    <row r="473" spans="1:6" x14ac:dyDescent="0.35">
      <c r="A473" s="2">
        <f ca="1">IFERROR(__xludf.DUMMYFUNCTION("""COMPUTED_VALUE"""),42688.6666666666)</f>
        <v>42688.666666666599</v>
      </c>
      <c r="B473" s="1">
        <f ca="1">IFERROR(__xludf.DUMMYFUNCTION("""COMPUTED_VALUE"""),38.59)</f>
        <v>38.590000000000003</v>
      </c>
      <c r="C473" s="1">
        <f ca="1">IFERROR(__xludf.DUMMYFUNCTION("""COMPUTED_VALUE"""),38.59)</f>
        <v>38.590000000000003</v>
      </c>
      <c r="D473" s="1">
        <f ca="1">IFERROR(__xludf.DUMMYFUNCTION("""COMPUTED_VALUE"""),37.18)</f>
        <v>37.18</v>
      </c>
      <c r="E473" s="1">
        <f ca="1">IFERROR(__xludf.DUMMYFUNCTION("""COMPUTED_VALUE"""),37.66)</f>
        <v>37.659999999999997</v>
      </c>
      <c r="F473" s="1">
        <f ca="1">IFERROR(__xludf.DUMMYFUNCTION("""COMPUTED_VALUE"""),3688274)</f>
        <v>3688274</v>
      </c>
    </row>
    <row r="474" spans="1:6" x14ac:dyDescent="0.35">
      <c r="A474" s="2">
        <f ca="1">IFERROR(__xludf.DUMMYFUNCTION("""COMPUTED_VALUE"""),42689.6666666666)</f>
        <v>42689.666666666599</v>
      </c>
      <c r="B474" s="1">
        <f ca="1">IFERROR(__xludf.DUMMYFUNCTION("""COMPUTED_VALUE"""),38.27)</f>
        <v>38.270000000000003</v>
      </c>
      <c r="C474" s="1">
        <f ca="1">IFERROR(__xludf.DUMMYFUNCTION("""COMPUTED_VALUE"""),39.01)</f>
        <v>39.01</v>
      </c>
      <c r="D474" s="1">
        <f ca="1">IFERROR(__xludf.DUMMYFUNCTION("""COMPUTED_VALUE"""),38.26)</f>
        <v>38.26</v>
      </c>
      <c r="E474" s="1">
        <f ca="1">IFERROR(__xludf.DUMMYFUNCTION("""COMPUTED_VALUE"""),38.76)</f>
        <v>38.76</v>
      </c>
      <c r="F474" s="1">
        <f ca="1">IFERROR(__xludf.DUMMYFUNCTION("""COMPUTED_VALUE"""),2943889)</f>
        <v>2943889</v>
      </c>
    </row>
    <row r="475" spans="1:6" x14ac:dyDescent="0.35">
      <c r="A475" s="2">
        <f ca="1">IFERROR(__xludf.DUMMYFUNCTION("""COMPUTED_VALUE"""),42690.6666666666)</f>
        <v>42690.666666666599</v>
      </c>
      <c r="B475" s="1">
        <f ca="1">IFERROR(__xludf.DUMMYFUNCTION("""COMPUTED_VALUE"""),38.52)</f>
        <v>38.520000000000003</v>
      </c>
      <c r="C475" s="1">
        <f ca="1">IFERROR(__xludf.DUMMYFUNCTION("""COMPUTED_VALUE"""),39.17)</f>
        <v>39.17</v>
      </c>
      <c r="D475" s="1">
        <f ca="1">IFERROR(__xludf.DUMMYFUNCTION("""COMPUTED_VALUE"""),38.32)</f>
        <v>38.32</v>
      </c>
      <c r="E475" s="1">
        <f ca="1">IFERROR(__xludf.DUMMYFUNCTION("""COMPUTED_VALUE"""),39)</f>
        <v>39</v>
      </c>
      <c r="F475" s="1">
        <f ca="1">IFERROR(__xludf.DUMMYFUNCTION("""COMPUTED_VALUE"""),1798360)</f>
        <v>1798360</v>
      </c>
    </row>
    <row r="476" spans="1:6" x14ac:dyDescent="0.35">
      <c r="A476" s="2">
        <f ca="1">IFERROR(__xludf.DUMMYFUNCTION("""COMPUTED_VALUE"""),42691.6666666666)</f>
        <v>42691.666666666599</v>
      </c>
      <c r="B476" s="1">
        <f ca="1">IFERROR(__xludf.DUMMYFUNCTION("""COMPUTED_VALUE"""),39.13)</f>
        <v>39.130000000000003</v>
      </c>
      <c r="C476" s="1">
        <f ca="1">IFERROR(__xludf.DUMMYFUNCTION("""COMPUTED_VALUE"""),39.45)</f>
        <v>39.450000000000003</v>
      </c>
      <c r="D476" s="1">
        <f ca="1">IFERROR(__xludf.DUMMYFUNCTION("""COMPUTED_VALUE"""),38.99)</f>
        <v>38.99</v>
      </c>
      <c r="E476" s="1">
        <f ca="1">IFERROR(__xludf.DUMMYFUNCTION("""COMPUTED_VALUE"""),39.31)</f>
        <v>39.31</v>
      </c>
      <c r="F476" s="1">
        <f ca="1">IFERROR(__xludf.DUMMYFUNCTION("""COMPUTED_VALUE"""),1533679)</f>
        <v>1533679</v>
      </c>
    </row>
    <row r="477" spans="1:6" x14ac:dyDescent="0.35">
      <c r="A477" s="2">
        <f ca="1">IFERROR(__xludf.DUMMYFUNCTION("""COMPUTED_VALUE"""),42692.6666666666)</f>
        <v>42692.666666666599</v>
      </c>
      <c r="B477" s="1">
        <f ca="1">IFERROR(__xludf.DUMMYFUNCTION("""COMPUTED_VALUE"""),39.36)</f>
        <v>39.36</v>
      </c>
      <c r="C477" s="1">
        <f ca="1">IFERROR(__xludf.DUMMYFUNCTION("""COMPUTED_VALUE"""),39.56)</f>
        <v>39.56</v>
      </c>
      <c r="D477" s="1">
        <f ca="1">IFERROR(__xludf.DUMMYFUNCTION("""COMPUTED_VALUE"""),38.77)</f>
        <v>38.770000000000003</v>
      </c>
      <c r="E477" s="1">
        <f ca="1">IFERROR(__xludf.DUMMYFUNCTION("""COMPUTED_VALUE"""),38.8)</f>
        <v>38.799999999999997</v>
      </c>
      <c r="F477" s="1">
        <f ca="1">IFERROR(__xludf.DUMMYFUNCTION("""COMPUTED_VALUE"""),1806264)</f>
        <v>1806264</v>
      </c>
    </row>
    <row r="478" spans="1:6" x14ac:dyDescent="0.35">
      <c r="A478" s="2">
        <f ca="1">IFERROR(__xludf.DUMMYFUNCTION("""COMPUTED_VALUE"""),42695.6666666666)</f>
        <v>42695.666666666599</v>
      </c>
      <c r="B478" s="1">
        <f ca="1">IFERROR(__xludf.DUMMYFUNCTION("""COMPUTED_VALUE"""),38.91)</f>
        <v>38.909999999999997</v>
      </c>
      <c r="C478" s="1">
        <f ca="1">IFERROR(__xludf.DUMMYFUNCTION("""COMPUTED_VALUE"""),39.33)</f>
        <v>39.33</v>
      </c>
      <c r="D478" s="1">
        <f ca="1">IFERROR(__xludf.DUMMYFUNCTION("""COMPUTED_VALUE"""),38.82)</f>
        <v>38.82</v>
      </c>
      <c r="E478" s="1">
        <f ca="1">IFERROR(__xludf.DUMMYFUNCTION("""COMPUTED_VALUE"""),39.24)</f>
        <v>39.24</v>
      </c>
      <c r="F478" s="1">
        <f ca="1">IFERROR(__xludf.DUMMYFUNCTION("""COMPUTED_VALUE"""),1630835)</f>
        <v>1630835</v>
      </c>
    </row>
    <row r="479" spans="1:6" x14ac:dyDescent="0.35">
      <c r="A479" s="2">
        <f ca="1">IFERROR(__xludf.DUMMYFUNCTION("""COMPUTED_VALUE"""),42696.6666666666)</f>
        <v>42696.666666666599</v>
      </c>
      <c r="B479" s="1">
        <f ca="1">IFERROR(__xludf.DUMMYFUNCTION("""COMPUTED_VALUE"""),39.45)</f>
        <v>39.450000000000003</v>
      </c>
      <c r="C479" s="1">
        <f ca="1">IFERROR(__xludf.DUMMYFUNCTION("""COMPUTED_VALUE"""),39.69)</f>
        <v>39.69</v>
      </c>
      <c r="D479" s="1">
        <f ca="1">IFERROR(__xludf.DUMMYFUNCTION("""COMPUTED_VALUE"""),39.19)</f>
        <v>39.19</v>
      </c>
      <c r="E479" s="1">
        <f ca="1">IFERROR(__xludf.DUMMYFUNCTION("""COMPUTED_VALUE"""),39.25)</f>
        <v>39.25</v>
      </c>
      <c r="F479" s="1">
        <f ca="1">IFERROR(__xludf.DUMMYFUNCTION("""COMPUTED_VALUE"""),1394174)</f>
        <v>1394174</v>
      </c>
    </row>
    <row r="480" spans="1:6" x14ac:dyDescent="0.35">
      <c r="A480" s="2">
        <f ca="1">IFERROR(__xludf.DUMMYFUNCTION("""COMPUTED_VALUE"""),42697.6666666666)</f>
        <v>42697.666666666599</v>
      </c>
      <c r="B480" s="1">
        <f ca="1">IFERROR(__xludf.DUMMYFUNCTION("""COMPUTED_VALUE"""),39.48)</f>
        <v>39.479999999999997</v>
      </c>
      <c r="C480" s="1">
        <f ca="1">IFERROR(__xludf.DUMMYFUNCTION("""COMPUTED_VALUE"""),39.48)</f>
        <v>39.479999999999997</v>
      </c>
      <c r="D480" s="1">
        <f ca="1">IFERROR(__xludf.DUMMYFUNCTION("""COMPUTED_VALUE"""),38.63)</f>
        <v>38.630000000000003</v>
      </c>
      <c r="E480" s="1">
        <f ca="1">IFERROR(__xludf.DUMMYFUNCTION("""COMPUTED_VALUE"""),38.95)</f>
        <v>38.950000000000003</v>
      </c>
      <c r="F480" s="1">
        <f ca="1">IFERROR(__xludf.DUMMYFUNCTION("""COMPUTED_VALUE"""),1312981)</f>
        <v>1312981</v>
      </c>
    </row>
    <row r="481" spans="1:6" x14ac:dyDescent="0.35">
      <c r="A481" s="2">
        <f ca="1">IFERROR(__xludf.DUMMYFUNCTION("""COMPUTED_VALUE"""),42699.6666666666)</f>
        <v>42699.666666666599</v>
      </c>
      <c r="B481" s="1">
        <f ca="1">IFERROR(__xludf.DUMMYFUNCTION("""COMPUTED_VALUE"""),39.13)</f>
        <v>39.130000000000003</v>
      </c>
      <c r="C481" s="1">
        <f ca="1">IFERROR(__xludf.DUMMYFUNCTION("""COMPUTED_VALUE"""),39.15)</f>
        <v>39.15</v>
      </c>
      <c r="D481" s="1">
        <f ca="1">IFERROR(__xludf.DUMMYFUNCTION("""COMPUTED_VALUE"""),38.91)</f>
        <v>38.909999999999997</v>
      </c>
      <c r="E481" s="1">
        <f ca="1">IFERROR(__xludf.DUMMYFUNCTION("""COMPUTED_VALUE"""),39.01)</f>
        <v>39.01</v>
      </c>
      <c r="F481" s="1">
        <f ca="1">IFERROR(__xludf.DUMMYFUNCTION("""COMPUTED_VALUE"""),613549)</f>
        <v>613549</v>
      </c>
    </row>
    <row r="482" spans="1:6" x14ac:dyDescent="0.35">
      <c r="A482" s="2">
        <f ca="1">IFERROR(__xludf.DUMMYFUNCTION("""COMPUTED_VALUE"""),42702.6666666666)</f>
        <v>42702.666666666599</v>
      </c>
      <c r="B482" s="1">
        <f ca="1">IFERROR(__xludf.DUMMYFUNCTION("""COMPUTED_VALUE"""),38.92)</f>
        <v>38.92</v>
      </c>
      <c r="C482" s="1">
        <f ca="1">IFERROR(__xludf.DUMMYFUNCTION("""COMPUTED_VALUE"""),39.99)</f>
        <v>39.99</v>
      </c>
      <c r="D482" s="1">
        <f ca="1">IFERROR(__xludf.DUMMYFUNCTION("""COMPUTED_VALUE"""),38.91)</f>
        <v>38.909999999999997</v>
      </c>
      <c r="E482" s="1">
        <f ca="1">IFERROR(__xludf.DUMMYFUNCTION("""COMPUTED_VALUE"""),39.29)</f>
        <v>39.29</v>
      </c>
      <c r="F482" s="1">
        <f ca="1">IFERROR(__xludf.DUMMYFUNCTION("""COMPUTED_VALUE"""),2575432)</f>
        <v>2575432</v>
      </c>
    </row>
    <row r="483" spans="1:6" x14ac:dyDescent="0.35">
      <c r="A483" s="2">
        <f ca="1">IFERROR(__xludf.DUMMYFUNCTION("""COMPUTED_VALUE"""),42703.6666666666)</f>
        <v>42703.666666666599</v>
      </c>
      <c r="B483" s="1">
        <f ca="1">IFERROR(__xludf.DUMMYFUNCTION("""COMPUTED_VALUE"""),39.42)</f>
        <v>39.42</v>
      </c>
      <c r="C483" s="1">
        <f ca="1">IFERROR(__xludf.DUMMYFUNCTION("""COMPUTED_VALUE"""),39.82)</f>
        <v>39.82</v>
      </c>
      <c r="D483" s="1">
        <f ca="1">IFERROR(__xludf.DUMMYFUNCTION("""COMPUTED_VALUE"""),39.27)</f>
        <v>39.270000000000003</v>
      </c>
      <c r="E483" s="1">
        <f ca="1">IFERROR(__xludf.DUMMYFUNCTION("""COMPUTED_VALUE"""),39.47)</f>
        <v>39.47</v>
      </c>
      <c r="F483" s="1">
        <f ca="1">IFERROR(__xludf.DUMMYFUNCTION("""COMPUTED_VALUE"""),1561981)</f>
        <v>1561981</v>
      </c>
    </row>
    <row r="484" spans="1:6" x14ac:dyDescent="0.35">
      <c r="A484" s="2">
        <f ca="1">IFERROR(__xludf.DUMMYFUNCTION("""COMPUTED_VALUE"""),42704.6666666666)</f>
        <v>42704.666666666599</v>
      </c>
      <c r="B484" s="1">
        <f ca="1">IFERROR(__xludf.DUMMYFUNCTION("""COMPUTED_VALUE"""),39.46)</f>
        <v>39.46</v>
      </c>
      <c r="C484" s="1">
        <f ca="1">IFERROR(__xludf.DUMMYFUNCTION("""COMPUTED_VALUE"""),39.58)</f>
        <v>39.58</v>
      </c>
      <c r="D484" s="1">
        <f ca="1">IFERROR(__xludf.DUMMYFUNCTION("""COMPUTED_VALUE"""),38.66)</f>
        <v>38.659999999999997</v>
      </c>
      <c r="E484" s="1">
        <f ca="1">IFERROR(__xludf.DUMMYFUNCTION("""COMPUTED_VALUE"""),38.79)</f>
        <v>38.79</v>
      </c>
      <c r="F484" s="1">
        <f ca="1">IFERROR(__xludf.DUMMYFUNCTION("""COMPUTED_VALUE"""),2279054)</f>
        <v>2279054</v>
      </c>
    </row>
    <row r="485" spans="1:6" x14ac:dyDescent="0.35">
      <c r="A485" s="2">
        <f ca="1">IFERROR(__xludf.DUMMYFUNCTION("""COMPUTED_VALUE"""),42705.6666666666)</f>
        <v>42705.666666666599</v>
      </c>
      <c r="B485" s="1">
        <f ca="1">IFERROR(__xludf.DUMMYFUNCTION("""COMPUTED_VALUE"""),38.93)</f>
        <v>38.93</v>
      </c>
      <c r="C485" s="1">
        <f ca="1">IFERROR(__xludf.DUMMYFUNCTION("""COMPUTED_VALUE"""),38.93)</f>
        <v>38.93</v>
      </c>
      <c r="D485" s="1">
        <f ca="1">IFERROR(__xludf.DUMMYFUNCTION("""COMPUTED_VALUE"""),37.67)</f>
        <v>37.67</v>
      </c>
      <c r="E485" s="1">
        <f ca="1">IFERROR(__xludf.DUMMYFUNCTION("""COMPUTED_VALUE"""),38.22)</f>
        <v>38.22</v>
      </c>
      <c r="F485" s="1">
        <f ca="1">IFERROR(__xludf.DUMMYFUNCTION("""COMPUTED_VALUE"""),2867074)</f>
        <v>2867074</v>
      </c>
    </row>
    <row r="486" spans="1:6" x14ac:dyDescent="0.35">
      <c r="A486" s="2">
        <f ca="1">IFERROR(__xludf.DUMMYFUNCTION("""COMPUTED_VALUE"""),42706.6666666666)</f>
        <v>42706.666666666599</v>
      </c>
      <c r="B486" s="1">
        <f ca="1">IFERROR(__xludf.DUMMYFUNCTION("""COMPUTED_VALUE"""),38.1)</f>
        <v>38.1</v>
      </c>
      <c r="C486" s="1">
        <f ca="1">IFERROR(__xludf.DUMMYFUNCTION("""COMPUTED_VALUE"""),38.53)</f>
        <v>38.53</v>
      </c>
      <c r="D486" s="1">
        <f ca="1">IFERROR(__xludf.DUMMYFUNCTION("""COMPUTED_VALUE"""),37.95)</f>
        <v>37.950000000000003</v>
      </c>
      <c r="E486" s="1">
        <f ca="1">IFERROR(__xludf.DUMMYFUNCTION("""COMPUTED_VALUE"""),38.22)</f>
        <v>38.22</v>
      </c>
      <c r="F486" s="1">
        <f ca="1">IFERROR(__xludf.DUMMYFUNCTION("""COMPUTED_VALUE"""),1718846)</f>
        <v>1718846</v>
      </c>
    </row>
    <row r="487" spans="1:6" x14ac:dyDescent="0.35">
      <c r="A487" s="2">
        <f ca="1">IFERROR(__xludf.DUMMYFUNCTION("""COMPUTED_VALUE"""),42709.6666666666)</f>
        <v>42709.666666666599</v>
      </c>
      <c r="B487" s="1">
        <f ca="1">IFERROR(__xludf.DUMMYFUNCTION("""COMPUTED_VALUE"""),38.5)</f>
        <v>38.5</v>
      </c>
      <c r="C487" s="1">
        <f ca="1">IFERROR(__xludf.DUMMYFUNCTION("""COMPUTED_VALUE"""),39)</f>
        <v>39</v>
      </c>
      <c r="D487" s="1">
        <f ca="1">IFERROR(__xludf.DUMMYFUNCTION("""COMPUTED_VALUE"""),38.35)</f>
        <v>38.35</v>
      </c>
      <c r="E487" s="1">
        <f ca="1">IFERROR(__xludf.DUMMYFUNCTION("""COMPUTED_VALUE"""),38.91)</f>
        <v>38.909999999999997</v>
      </c>
      <c r="F487" s="1">
        <f ca="1">IFERROR(__xludf.DUMMYFUNCTION("""COMPUTED_VALUE"""),1688473)</f>
        <v>1688473</v>
      </c>
    </row>
    <row r="488" spans="1:6" x14ac:dyDescent="0.35">
      <c r="A488" s="2">
        <f ca="1">IFERROR(__xludf.DUMMYFUNCTION("""COMPUTED_VALUE"""),42710.6666666666)</f>
        <v>42710.666666666599</v>
      </c>
      <c r="B488" s="1">
        <f ca="1">IFERROR(__xludf.DUMMYFUNCTION("""COMPUTED_VALUE"""),39.01)</f>
        <v>39.01</v>
      </c>
      <c r="C488" s="1">
        <f ca="1">IFERROR(__xludf.DUMMYFUNCTION("""COMPUTED_VALUE"""),39.26)</f>
        <v>39.26</v>
      </c>
      <c r="D488" s="1">
        <f ca="1">IFERROR(__xludf.DUMMYFUNCTION("""COMPUTED_VALUE"""),38.67)</f>
        <v>38.67</v>
      </c>
      <c r="E488" s="1">
        <f ca="1">IFERROR(__xludf.DUMMYFUNCTION("""COMPUTED_VALUE"""),38.81)</f>
        <v>38.81</v>
      </c>
      <c r="F488" s="1">
        <f ca="1">IFERROR(__xludf.DUMMYFUNCTION("""COMPUTED_VALUE"""),1734099)</f>
        <v>1734099</v>
      </c>
    </row>
    <row r="489" spans="1:6" x14ac:dyDescent="0.35">
      <c r="A489" s="2">
        <f ca="1">IFERROR(__xludf.DUMMYFUNCTION("""COMPUTED_VALUE"""),42711.6666666666)</f>
        <v>42711.666666666599</v>
      </c>
      <c r="B489" s="1">
        <f ca="1">IFERROR(__xludf.DUMMYFUNCTION("""COMPUTED_VALUE"""),39)</f>
        <v>39</v>
      </c>
      <c r="C489" s="1">
        <f ca="1">IFERROR(__xludf.DUMMYFUNCTION("""COMPUTED_VALUE"""),39.6)</f>
        <v>39.6</v>
      </c>
      <c r="D489" s="1">
        <f ca="1">IFERROR(__xludf.DUMMYFUNCTION("""COMPUTED_VALUE"""),38.68)</f>
        <v>38.68</v>
      </c>
      <c r="E489" s="1">
        <f ca="1">IFERROR(__xludf.DUMMYFUNCTION("""COMPUTED_VALUE"""),39.57)</f>
        <v>39.57</v>
      </c>
      <c r="F489" s="1">
        <f ca="1">IFERROR(__xludf.DUMMYFUNCTION("""COMPUTED_VALUE"""),2029415)</f>
        <v>2029415</v>
      </c>
    </row>
    <row r="490" spans="1:6" x14ac:dyDescent="0.35">
      <c r="A490" s="2">
        <f ca="1">IFERROR(__xludf.DUMMYFUNCTION("""COMPUTED_VALUE"""),42712.6666666666)</f>
        <v>42712.666666666599</v>
      </c>
      <c r="B490" s="1">
        <f ca="1">IFERROR(__xludf.DUMMYFUNCTION("""COMPUTED_VALUE"""),39.65)</f>
        <v>39.65</v>
      </c>
      <c r="C490" s="1">
        <f ca="1">IFERROR(__xludf.DUMMYFUNCTION("""COMPUTED_VALUE"""),39.95)</f>
        <v>39.950000000000003</v>
      </c>
      <c r="D490" s="1">
        <f ca="1">IFERROR(__xludf.DUMMYFUNCTION("""COMPUTED_VALUE"""),39.4)</f>
        <v>39.4</v>
      </c>
      <c r="E490" s="1">
        <f ca="1">IFERROR(__xludf.DUMMYFUNCTION("""COMPUTED_VALUE"""),39.76)</f>
        <v>39.76</v>
      </c>
      <c r="F490" s="1">
        <f ca="1">IFERROR(__xludf.DUMMYFUNCTION("""COMPUTED_VALUE"""),1612531)</f>
        <v>1612531</v>
      </c>
    </row>
    <row r="491" spans="1:6" x14ac:dyDescent="0.35">
      <c r="A491" s="2">
        <f ca="1">IFERROR(__xludf.DUMMYFUNCTION("""COMPUTED_VALUE"""),42713.6666666666)</f>
        <v>42713.666666666599</v>
      </c>
      <c r="B491" s="1">
        <f ca="1">IFERROR(__xludf.DUMMYFUNCTION("""COMPUTED_VALUE"""),39.97)</f>
        <v>39.97</v>
      </c>
      <c r="C491" s="1">
        <f ca="1">IFERROR(__xludf.DUMMYFUNCTION("""COMPUTED_VALUE"""),40.5)</f>
        <v>40.5</v>
      </c>
      <c r="D491" s="1">
        <f ca="1">IFERROR(__xludf.DUMMYFUNCTION("""COMPUTED_VALUE"""),39.9)</f>
        <v>39.9</v>
      </c>
      <c r="E491" s="1">
        <f ca="1">IFERROR(__xludf.DUMMYFUNCTION("""COMPUTED_VALUE"""),40.47)</f>
        <v>40.47</v>
      </c>
      <c r="F491" s="1">
        <f ca="1">IFERROR(__xludf.DUMMYFUNCTION("""COMPUTED_VALUE"""),1904463)</f>
        <v>1904463</v>
      </c>
    </row>
    <row r="492" spans="1:6" x14ac:dyDescent="0.35">
      <c r="A492" s="2">
        <f ca="1">IFERROR(__xludf.DUMMYFUNCTION("""COMPUTED_VALUE"""),42716.6666666666)</f>
        <v>42716.666666666599</v>
      </c>
      <c r="B492" s="1">
        <f ca="1">IFERROR(__xludf.DUMMYFUNCTION("""COMPUTED_VALUE"""),40.24)</f>
        <v>40.24</v>
      </c>
      <c r="C492" s="1">
        <f ca="1">IFERROR(__xludf.DUMMYFUNCTION("""COMPUTED_VALUE"""),40.57)</f>
        <v>40.57</v>
      </c>
      <c r="D492" s="1">
        <f ca="1">IFERROR(__xludf.DUMMYFUNCTION("""COMPUTED_VALUE"""),40.23)</f>
        <v>40.229999999999997</v>
      </c>
      <c r="E492" s="1">
        <f ca="1">IFERROR(__xludf.DUMMYFUNCTION("""COMPUTED_VALUE"""),40.4)</f>
        <v>40.4</v>
      </c>
      <c r="F492" s="1">
        <f ca="1">IFERROR(__xludf.DUMMYFUNCTION("""COMPUTED_VALUE"""),1628602)</f>
        <v>1628602</v>
      </c>
    </row>
    <row r="493" spans="1:6" x14ac:dyDescent="0.35">
      <c r="A493" s="2">
        <f ca="1">IFERROR(__xludf.DUMMYFUNCTION("""COMPUTED_VALUE"""),42717.6666666666)</f>
        <v>42717.666666666599</v>
      </c>
      <c r="B493" s="1">
        <f ca="1">IFERROR(__xludf.DUMMYFUNCTION("""COMPUTED_VALUE"""),40.62)</f>
        <v>40.619999999999997</v>
      </c>
      <c r="C493" s="1">
        <f ca="1">IFERROR(__xludf.DUMMYFUNCTION("""COMPUTED_VALUE"""),41.22)</f>
        <v>41.22</v>
      </c>
      <c r="D493" s="1">
        <f ca="1">IFERROR(__xludf.DUMMYFUNCTION("""COMPUTED_VALUE"""),40.6)</f>
        <v>40.6</v>
      </c>
      <c r="E493" s="1">
        <f ca="1">IFERROR(__xludf.DUMMYFUNCTION("""COMPUTED_VALUE"""),40.77)</f>
        <v>40.770000000000003</v>
      </c>
      <c r="F493" s="1">
        <f ca="1">IFERROR(__xludf.DUMMYFUNCTION("""COMPUTED_VALUE"""),2128210)</f>
        <v>2128210</v>
      </c>
    </row>
    <row r="494" spans="1:6" x14ac:dyDescent="0.35">
      <c r="A494" s="2">
        <f ca="1">IFERROR(__xludf.DUMMYFUNCTION("""COMPUTED_VALUE"""),42718.6666666666)</f>
        <v>42718.666666666599</v>
      </c>
      <c r="B494" s="1">
        <f ca="1">IFERROR(__xludf.DUMMYFUNCTION("""COMPUTED_VALUE"""),40.8)</f>
        <v>40.799999999999997</v>
      </c>
      <c r="C494" s="1">
        <f ca="1">IFERROR(__xludf.DUMMYFUNCTION("""COMPUTED_VALUE"""),41.21)</f>
        <v>41.21</v>
      </c>
      <c r="D494" s="1">
        <f ca="1">IFERROR(__xludf.DUMMYFUNCTION("""COMPUTED_VALUE"""),40.64)</f>
        <v>40.64</v>
      </c>
      <c r="E494" s="1">
        <f ca="1">IFERROR(__xludf.DUMMYFUNCTION("""COMPUTED_VALUE"""),40.89)</f>
        <v>40.89</v>
      </c>
      <c r="F494" s="1">
        <f ca="1">IFERROR(__xludf.DUMMYFUNCTION("""COMPUTED_VALUE"""),1799654)</f>
        <v>1799654</v>
      </c>
    </row>
    <row r="495" spans="1:6" x14ac:dyDescent="0.35">
      <c r="A495" s="2">
        <f ca="1">IFERROR(__xludf.DUMMYFUNCTION("""COMPUTED_VALUE"""),42719.6666666666)</f>
        <v>42719.666666666599</v>
      </c>
      <c r="B495" s="1">
        <f ca="1">IFERROR(__xludf.DUMMYFUNCTION("""COMPUTED_VALUE"""),40.87)</f>
        <v>40.869999999999997</v>
      </c>
      <c r="C495" s="1">
        <f ca="1">IFERROR(__xludf.DUMMYFUNCTION("""COMPUTED_VALUE"""),41.15)</f>
        <v>41.15</v>
      </c>
      <c r="D495" s="1">
        <f ca="1">IFERROR(__xludf.DUMMYFUNCTION("""COMPUTED_VALUE"""),40.6)</f>
        <v>40.6</v>
      </c>
      <c r="E495" s="1">
        <f ca="1">IFERROR(__xludf.DUMMYFUNCTION("""COMPUTED_VALUE"""),40.78)</f>
        <v>40.78</v>
      </c>
      <c r="F495" s="1">
        <f ca="1">IFERROR(__xludf.DUMMYFUNCTION("""COMPUTED_VALUE"""),1769719)</f>
        <v>1769719</v>
      </c>
    </row>
    <row r="496" spans="1:6" x14ac:dyDescent="0.35">
      <c r="A496" s="2">
        <f ca="1">IFERROR(__xludf.DUMMYFUNCTION("""COMPUTED_VALUE"""),42720.6666666666)</f>
        <v>42720.666666666599</v>
      </c>
      <c r="B496" s="1">
        <f ca="1">IFERROR(__xludf.DUMMYFUNCTION("""COMPUTED_VALUE"""),40.92)</f>
        <v>40.92</v>
      </c>
      <c r="C496" s="1">
        <f ca="1">IFERROR(__xludf.DUMMYFUNCTION("""COMPUTED_VALUE"""),40.96)</f>
        <v>40.96</v>
      </c>
      <c r="D496" s="1">
        <f ca="1">IFERROR(__xludf.DUMMYFUNCTION("""COMPUTED_VALUE"""),40.41)</f>
        <v>40.409999999999997</v>
      </c>
      <c r="E496" s="1">
        <f ca="1">IFERROR(__xludf.DUMMYFUNCTION("""COMPUTED_VALUE"""),40.49)</f>
        <v>40.49</v>
      </c>
      <c r="F496" s="1">
        <f ca="1">IFERROR(__xludf.DUMMYFUNCTION("""COMPUTED_VALUE"""),2598866)</f>
        <v>2598866</v>
      </c>
    </row>
    <row r="497" spans="1:6" x14ac:dyDescent="0.35">
      <c r="A497" s="2">
        <f ca="1">IFERROR(__xludf.DUMMYFUNCTION("""COMPUTED_VALUE"""),42723.6666666666)</f>
        <v>42723.666666666599</v>
      </c>
      <c r="B497" s="1">
        <f ca="1">IFERROR(__xludf.DUMMYFUNCTION("""COMPUTED_VALUE"""),40.46)</f>
        <v>40.46</v>
      </c>
      <c r="C497" s="1">
        <f ca="1">IFERROR(__xludf.DUMMYFUNCTION("""COMPUTED_VALUE"""),40.81)</f>
        <v>40.81</v>
      </c>
      <c r="D497" s="1">
        <f ca="1">IFERROR(__xludf.DUMMYFUNCTION("""COMPUTED_VALUE"""),40.23)</f>
        <v>40.229999999999997</v>
      </c>
      <c r="E497" s="1">
        <f ca="1">IFERROR(__xludf.DUMMYFUNCTION("""COMPUTED_VALUE"""),40.63)</f>
        <v>40.630000000000003</v>
      </c>
      <c r="F497" s="1">
        <f ca="1">IFERROR(__xludf.DUMMYFUNCTION("""COMPUTED_VALUE"""),1263581)</f>
        <v>1263581</v>
      </c>
    </row>
    <row r="498" spans="1:6" x14ac:dyDescent="0.35">
      <c r="A498" s="2">
        <f ca="1">IFERROR(__xludf.DUMMYFUNCTION("""COMPUTED_VALUE"""),42724.6666666666)</f>
        <v>42724.666666666599</v>
      </c>
      <c r="B498" s="1">
        <f ca="1">IFERROR(__xludf.DUMMYFUNCTION("""COMPUTED_VALUE"""),40.67)</f>
        <v>40.67</v>
      </c>
      <c r="C498" s="1">
        <f ca="1">IFERROR(__xludf.DUMMYFUNCTION("""COMPUTED_VALUE"""),40.82)</f>
        <v>40.82</v>
      </c>
      <c r="D498" s="1">
        <f ca="1">IFERROR(__xludf.DUMMYFUNCTION("""COMPUTED_VALUE"""),40.55)</f>
        <v>40.549999999999997</v>
      </c>
      <c r="E498" s="1">
        <f ca="1">IFERROR(__xludf.DUMMYFUNCTION("""COMPUTED_VALUE"""),40.76)</f>
        <v>40.76</v>
      </c>
      <c r="F498" s="1">
        <f ca="1">IFERROR(__xludf.DUMMYFUNCTION("""COMPUTED_VALUE"""),1271883)</f>
        <v>1271883</v>
      </c>
    </row>
    <row r="499" spans="1:6" x14ac:dyDescent="0.35">
      <c r="A499" s="2">
        <f ca="1">IFERROR(__xludf.DUMMYFUNCTION("""COMPUTED_VALUE"""),42725.6666666666)</f>
        <v>42725.666666666599</v>
      </c>
      <c r="B499" s="1">
        <f ca="1">IFERROR(__xludf.DUMMYFUNCTION("""COMPUTED_VALUE"""),40.79)</f>
        <v>40.79</v>
      </c>
      <c r="C499" s="1">
        <f ca="1">IFERROR(__xludf.DUMMYFUNCTION("""COMPUTED_VALUE"""),40.79)</f>
        <v>40.79</v>
      </c>
      <c r="D499" s="1">
        <f ca="1">IFERROR(__xludf.DUMMYFUNCTION("""COMPUTED_VALUE"""),40.26)</f>
        <v>40.26</v>
      </c>
      <c r="E499" s="1">
        <f ca="1">IFERROR(__xludf.DUMMYFUNCTION("""COMPUTED_VALUE"""),40.61)</f>
        <v>40.61</v>
      </c>
      <c r="F499" s="1">
        <f ca="1">IFERROR(__xludf.DUMMYFUNCTION("""COMPUTED_VALUE"""),1459628)</f>
        <v>1459628</v>
      </c>
    </row>
    <row r="500" spans="1:6" x14ac:dyDescent="0.35">
      <c r="A500" s="2">
        <f ca="1">IFERROR(__xludf.DUMMYFUNCTION("""COMPUTED_VALUE"""),42726.6666666666)</f>
        <v>42726.666666666599</v>
      </c>
      <c r="B500" s="1">
        <f ca="1">IFERROR(__xludf.DUMMYFUNCTION("""COMPUTED_VALUE"""),40.46)</f>
        <v>40.46</v>
      </c>
      <c r="C500" s="1">
        <f ca="1">IFERROR(__xludf.DUMMYFUNCTION("""COMPUTED_VALUE"""),40.55)</f>
        <v>40.549999999999997</v>
      </c>
      <c r="D500" s="1">
        <f ca="1">IFERROR(__xludf.DUMMYFUNCTION("""COMPUTED_VALUE"""),40.3)</f>
        <v>40.299999999999997</v>
      </c>
      <c r="E500" s="1">
        <f ca="1">IFERROR(__xludf.DUMMYFUNCTION("""COMPUTED_VALUE"""),40.48)</f>
        <v>40.479999999999997</v>
      </c>
      <c r="F500" s="1">
        <f ca="1">IFERROR(__xludf.DUMMYFUNCTION("""COMPUTED_VALUE"""),1132119)</f>
        <v>1132119</v>
      </c>
    </row>
    <row r="501" spans="1:6" x14ac:dyDescent="0.35">
      <c r="A501" s="2">
        <f ca="1">IFERROR(__xludf.DUMMYFUNCTION("""COMPUTED_VALUE"""),42727.6666666666)</f>
        <v>42727.666666666599</v>
      </c>
      <c r="B501" s="1">
        <f ca="1">IFERROR(__xludf.DUMMYFUNCTION("""COMPUTED_VALUE"""),40.4)</f>
        <v>40.4</v>
      </c>
      <c r="C501" s="1">
        <f ca="1">IFERROR(__xludf.DUMMYFUNCTION("""COMPUTED_VALUE"""),40.55)</f>
        <v>40.549999999999997</v>
      </c>
      <c r="D501" s="1">
        <f ca="1">IFERROR(__xludf.DUMMYFUNCTION("""COMPUTED_VALUE"""),40.26)</f>
        <v>40.26</v>
      </c>
      <c r="E501" s="1">
        <f ca="1">IFERROR(__xludf.DUMMYFUNCTION("""COMPUTED_VALUE"""),40.39)</f>
        <v>40.39</v>
      </c>
      <c r="F501" s="1">
        <f ca="1">IFERROR(__xludf.DUMMYFUNCTION("""COMPUTED_VALUE"""),765537)</f>
        <v>765537</v>
      </c>
    </row>
    <row r="502" spans="1:6" x14ac:dyDescent="0.35">
      <c r="A502" s="2">
        <f ca="1">IFERROR(__xludf.DUMMYFUNCTION("""COMPUTED_VALUE"""),42731.6666666666)</f>
        <v>42731.666666666599</v>
      </c>
      <c r="B502" s="1">
        <f ca="1">IFERROR(__xludf.DUMMYFUNCTION("""COMPUTED_VALUE"""),40.43)</f>
        <v>40.43</v>
      </c>
      <c r="C502" s="1">
        <f ca="1">IFERROR(__xludf.DUMMYFUNCTION("""COMPUTED_VALUE"""),40.8)</f>
        <v>40.799999999999997</v>
      </c>
      <c r="D502" s="1">
        <f ca="1">IFERROR(__xludf.DUMMYFUNCTION("""COMPUTED_VALUE"""),40.29)</f>
        <v>40.29</v>
      </c>
      <c r="E502" s="1">
        <f ca="1">IFERROR(__xludf.DUMMYFUNCTION("""COMPUTED_VALUE"""),40.5)</f>
        <v>40.5</v>
      </c>
      <c r="F502" s="1">
        <f ca="1">IFERROR(__xludf.DUMMYFUNCTION("""COMPUTED_VALUE"""),975962)</f>
        <v>975962</v>
      </c>
    </row>
    <row r="503" spans="1:6" x14ac:dyDescent="0.35">
      <c r="A503" s="2">
        <f ca="1">IFERROR(__xludf.DUMMYFUNCTION("""COMPUTED_VALUE"""),42732.6666666666)</f>
        <v>42732.666666666599</v>
      </c>
      <c r="B503" s="1">
        <f ca="1">IFERROR(__xludf.DUMMYFUNCTION("""COMPUTED_VALUE"""),40.67)</f>
        <v>40.67</v>
      </c>
      <c r="C503" s="1">
        <f ca="1">IFERROR(__xludf.DUMMYFUNCTION("""COMPUTED_VALUE"""),40.67)</f>
        <v>40.67</v>
      </c>
      <c r="D503" s="1">
        <f ca="1">IFERROR(__xludf.DUMMYFUNCTION("""COMPUTED_VALUE"""),40.12)</f>
        <v>40.119999999999997</v>
      </c>
      <c r="E503" s="1">
        <f ca="1">IFERROR(__xludf.DUMMYFUNCTION("""COMPUTED_VALUE"""),40.23)</f>
        <v>40.229999999999997</v>
      </c>
      <c r="F503" s="1">
        <f ca="1">IFERROR(__xludf.DUMMYFUNCTION("""COMPUTED_VALUE"""),1214756)</f>
        <v>1214756</v>
      </c>
    </row>
    <row r="504" spans="1:6" x14ac:dyDescent="0.35">
      <c r="A504" s="2">
        <f ca="1">IFERROR(__xludf.DUMMYFUNCTION("""COMPUTED_VALUE"""),42733.6666666666)</f>
        <v>42733.666666666599</v>
      </c>
      <c r="B504" s="1">
        <f ca="1">IFERROR(__xludf.DUMMYFUNCTION("""COMPUTED_VALUE"""),40.12)</f>
        <v>40.119999999999997</v>
      </c>
      <c r="C504" s="1">
        <f ca="1">IFERROR(__xludf.DUMMYFUNCTION("""COMPUTED_VALUE"""),40.29)</f>
        <v>40.29</v>
      </c>
      <c r="D504" s="1">
        <f ca="1">IFERROR(__xludf.DUMMYFUNCTION("""COMPUTED_VALUE"""),39.91)</f>
        <v>39.909999999999997</v>
      </c>
      <c r="E504" s="1">
        <f ca="1">IFERROR(__xludf.DUMMYFUNCTION("""COMPUTED_VALUE"""),40.14)</f>
        <v>40.14</v>
      </c>
      <c r="F504" s="1">
        <f ca="1">IFERROR(__xludf.DUMMYFUNCTION("""COMPUTED_VALUE"""),1057392)</f>
        <v>1057392</v>
      </c>
    </row>
    <row r="505" spans="1:6" x14ac:dyDescent="0.35">
      <c r="A505" s="2">
        <f ca="1">IFERROR(__xludf.DUMMYFUNCTION("""COMPUTED_VALUE"""),42734.6666666666)</f>
        <v>42734.666666666599</v>
      </c>
      <c r="B505" s="1">
        <f ca="1">IFERROR(__xludf.DUMMYFUNCTION("""COMPUTED_VALUE"""),40.16)</f>
        <v>40.159999999999997</v>
      </c>
      <c r="C505" s="1">
        <f ca="1">IFERROR(__xludf.DUMMYFUNCTION("""COMPUTED_VALUE"""),40.16)</f>
        <v>40.159999999999997</v>
      </c>
      <c r="D505" s="1">
        <f ca="1">IFERROR(__xludf.DUMMYFUNCTION("""COMPUTED_VALUE"""),39.48)</f>
        <v>39.479999999999997</v>
      </c>
      <c r="E505" s="1">
        <f ca="1">IFERROR(__xludf.DUMMYFUNCTION("""COMPUTED_VALUE"""),39.62)</f>
        <v>39.619999999999997</v>
      </c>
      <c r="F505" s="1">
        <f ca="1">IFERROR(__xludf.DUMMYFUNCTION("""COMPUTED_VALUE"""),1735879)</f>
        <v>1735879</v>
      </c>
    </row>
    <row r="506" spans="1:6" x14ac:dyDescent="0.35">
      <c r="A506" s="2">
        <f ca="1">IFERROR(__xludf.DUMMYFUNCTION("""COMPUTED_VALUE"""),42738.6666666666)</f>
        <v>42738.666666666599</v>
      </c>
      <c r="B506" s="1">
        <f ca="1">IFERROR(__xludf.DUMMYFUNCTION("""COMPUTED_VALUE"""),40.03)</f>
        <v>40.03</v>
      </c>
      <c r="C506" s="1">
        <f ca="1">IFERROR(__xludf.DUMMYFUNCTION("""COMPUTED_VALUE"""),40.57)</f>
        <v>40.57</v>
      </c>
      <c r="D506" s="1">
        <f ca="1">IFERROR(__xludf.DUMMYFUNCTION("""COMPUTED_VALUE"""),39.84)</f>
        <v>39.840000000000003</v>
      </c>
      <c r="E506" s="1">
        <f ca="1">IFERROR(__xludf.DUMMYFUNCTION("""COMPUTED_VALUE"""),40.4)</f>
        <v>40.4</v>
      </c>
      <c r="F506" s="1">
        <f ca="1">IFERROR(__xludf.DUMMYFUNCTION("""COMPUTED_VALUE"""),1959033)</f>
        <v>1959033</v>
      </c>
    </row>
    <row r="507" spans="1:6" x14ac:dyDescent="0.35">
      <c r="A507" s="2">
        <f ca="1">IFERROR(__xludf.DUMMYFUNCTION("""COMPUTED_VALUE"""),42739.6666666666)</f>
        <v>42739.666666666599</v>
      </c>
      <c r="B507" s="1">
        <f ca="1">IFERROR(__xludf.DUMMYFUNCTION("""COMPUTED_VALUE"""),40.49)</f>
        <v>40.49</v>
      </c>
      <c r="C507" s="1">
        <f ca="1">IFERROR(__xludf.DUMMYFUNCTION("""COMPUTED_VALUE"""),40.67)</f>
        <v>40.67</v>
      </c>
      <c r="D507" s="1">
        <f ca="1">IFERROR(__xludf.DUMMYFUNCTION("""COMPUTED_VALUE"""),40.21)</f>
        <v>40.21</v>
      </c>
      <c r="E507" s="1">
        <f ca="1">IFERROR(__xludf.DUMMYFUNCTION("""COMPUTED_VALUE"""),40.39)</f>
        <v>40.39</v>
      </c>
      <c r="F507" s="1">
        <f ca="1">IFERROR(__xludf.DUMMYFUNCTION("""COMPUTED_VALUE"""),1515339)</f>
        <v>1515339</v>
      </c>
    </row>
    <row r="508" spans="1:6" x14ac:dyDescent="0.35">
      <c r="A508" s="2">
        <f ca="1">IFERROR(__xludf.DUMMYFUNCTION("""COMPUTED_VALUE"""),42740.6666666666)</f>
        <v>42740.666666666599</v>
      </c>
      <c r="B508" s="1">
        <f ca="1">IFERROR(__xludf.DUMMYFUNCTION("""COMPUTED_VALUE"""),40.38)</f>
        <v>40.380000000000003</v>
      </c>
      <c r="C508" s="1">
        <f ca="1">IFERROR(__xludf.DUMMYFUNCTION("""COMPUTED_VALUE"""),40.69)</f>
        <v>40.69</v>
      </c>
      <c r="D508" s="1">
        <f ca="1">IFERROR(__xludf.DUMMYFUNCTION("""COMPUTED_VALUE"""),40.3)</f>
        <v>40.299999999999997</v>
      </c>
      <c r="E508" s="1">
        <f ca="1">IFERROR(__xludf.DUMMYFUNCTION("""COMPUTED_VALUE"""),40.65)</f>
        <v>40.65</v>
      </c>
      <c r="F508" s="1">
        <f ca="1">IFERROR(__xludf.DUMMYFUNCTION("""COMPUTED_VALUE"""),1340535)</f>
        <v>1340535</v>
      </c>
    </row>
    <row r="509" spans="1:6" x14ac:dyDescent="0.35">
      <c r="A509" s="2">
        <f ca="1">IFERROR(__xludf.DUMMYFUNCTION("""COMPUTED_VALUE"""),42741.6666666666)</f>
        <v>42741.666666666599</v>
      </c>
      <c r="B509" s="1">
        <f ca="1">IFERROR(__xludf.DUMMYFUNCTION("""COMPUTED_VALUE"""),40.75)</f>
        <v>40.75</v>
      </c>
      <c r="C509" s="1">
        <f ca="1">IFERROR(__xludf.DUMMYFUNCTION("""COMPUTED_VALUE"""),41.45)</f>
        <v>41.45</v>
      </c>
      <c r="D509" s="1">
        <f ca="1">IFERROR(__xludf.DUMMYFUNCTION("""COMPUTED_VALUE"""),40.58)</f>
        <v>40.58</v>
      </c>
      <c r="E509" s="1">
        <f ca="1">IFERROR(__xludf.DUMMYFUNCTION("""COMPUTED_VALUE"""),41.26)</f>
        <v>41.26</v>
      </c>
      <c r="F509" s="1">
        <f ca="1">IFERROR(__xludf.DUMMYFUNCTION("""COMPUTED_VALUE"""),2017097)</f>
        <v>2017097</v>
      </c>
    </row>
    <row r="510" spans="1:6" x14ac:dyDescent="0.35">
      <c r="A510" s="2">
        <f ca="1">IFERROR(__xludf.DUMMYFUNCTION("""COMPUTED_VALUE"""),42744.6666666666)</f>
        <v>42744.666666666599</v>
      </c>
      <c r="B510" s="1">
        <f ca="1">IFERROR(__xludf.DUMMYFUNCTION("""COMPUTED_VALUE"""),41.32)</f>
        <v>41.32</v>
      </c>
      <c r="C510" s="1">
        <f ca="1">IFERROR(__xludf.DUMMYFUNCTION("""COMPUTED_VALUE"""),41.52)</f>
        <v>41.52</v>
      </c>
      <c r="D510" s="1">
        <f ca="1">IFERROR(__xludf.DUMMYFUNCTION("""COMPUTED_VALUE"""),41.08)</f>
        <v>41.08</v>
      </c>
      <c r="E510" s="1">
        <f ca="1">IFERROR(__xludf.DUMMYFUNCTION("""COMPUTED_VALUE"""),41.36)</f>
        <v>41.36</v>
      </c>
      <c r="F510" s="1">
        <f ca="1">IFERROR(__xludf.DUMMYFUNCTION("""COMPUTED_VALUE"""),1408924)</f>
        <v>1408924</v>
      </c>
    </row>
    <row r="511" spans="1:6" x14ac:dyDescent="0.35">
      <c r="A511" s="2">
        <f ca="1">IFERROR(__xludf.DUMMYFUNCTION("""COMPUTED_VALUE"""),42745.6666666666)</f>
        <v>42745.666666666599</v>
      </c>
      <c r="B511" s="1">
        <f ca="1">IFERROR(__xludf.DUMMYFUNCTION("""COMPUTED_VALUE"""),41.35)</f>
        <v>41.35</v>
      </c>
      <c r="C511" s="1">
        <f ca="1">IFERROR(__xludf.DUMMYFUNCTION("""COMPUTED_VALUE"""),41.47)</f>
        <v>41.47</v>
      </c>
      <c r="D511" s="1">
        <f ca="1">IFERROR(__xludf.DUMMYFUNCTION("""COMPUTED_VALUE"""),41.16)</f>
        <v>41.16</v>
      </c>
      <c r="E511" s="1">
        <f ca="1">IFERROR(__xludf.DUMMYFUNCTION("""COMPUTED_VALUE"""),41.3)</f>
        <v>41.3</v>
      </c>
      <c r="F511" s="1">
        <f ca="1">IFERROR(__xludf.DUMMYFUNCTION("""COMPUTED_VALUE"""),1197442)</f>
        <v>1197442</v>
      </c>
    </row>
    <row r="512" spans="1:6" x14ac:dyDescent="0.35">
      <c r="A512" s="2">
        <f ca="1">IFERROR(__xludf.DUMMYFUNCTION("""COMPUTED_VALUE"""),42746.6666666666)</f>
        <v>42746.666666666599</v>
      </c>
      <c r="B512" s="1">
        <f ca="1">IFERROR(__xludf.DUMMYFUNCTION("""COMPUTED_VALUE"""),41.33)</f>
        <v>41.33</v>
      </c>
      <c r="C512" s="1">
        <f ca="1">IFERROR(__xludf.DUMMYFUNCTION("""COMPUTED_VALUE"""),41.5)</f>
        <v>41.5</v>
      </c>
      <c r="D512" s="1">
        <f ca="1">IFERROR(__xludf.DUMMYFUNCTION("""COMPUTED_VALUE"""),41.07)</f>
        <v>41.07</v>
      </c>
      <c r="E512" s="1">
        <f ca="1">IFERROR(__xludf.DUMMYFUNCTION("""COMPUTED_VALUE"""),41.49)</f>
        <v>41.49</v>
      </c>
      <c r="F512" s="1">
        <f ca="1">IFERROR(__xludf.DUMMYFUNCTION("""COMPUTED_VALUE"""),1325394)</f>
        <v>1325394</v>
      </c>
    </row>
    <row r="513" spans="1:6" x14ac:dyDescent="0.35">
      <c r="A513" s="2">
        <f ca="1">IFERROR(__xludf.DUMMYFUNCTION("""COMPUTED_VALUE"""),42747.6666666666)</f>
        <v>42747.666666666599</v>
      </c>
      <c r="B513" s="1">
        <f ca="1">IFERROR(__xludf.DUMMYFUNCTION("""COMPUTED_VALUE"""),41.42)</f>
        <v>41.42</v>
      </c>
      <c r="C513" s="1">
        <f ca="1">IFERROR(__xludf.DUMMYFUNCTION("""COMPUTED_VALUE"""),41.52)</f>
        <v>41.52</v>
      </c>
      <c r="D513" s="1">
        <f ca="1">IFERROR(__xludf.DUMMYFUNCTION("""COMPUTED_VALUE"""),41.05)</f>
        <v>41.05</v>
      </c>
      <c r="E513" s="1">
        <f ca="1">IFERROR(__xludf.DUMMYFUNCTION("""COMPUTED_VALUE"""),41.48)</f>
        <v>41.48</v>
      </c>
      <c r="F513" s="1">
        <f ca="1">IFERROR(__xludf.DUMMYFUNCTION("""COMPUTED_VALUE"""),1350308)</f>
        <v>1350308</v>
      </c>
    </row>
    <row r="514" spans="1:6" x14ac:dyDescent="0.35">
      <c r="A514" s="2">
        <f ca="1">IFERROR(__xludf.DUMMYFUNCTION("""COMPUTED_VALUE"""),42748.6666666666)</f>
        <v>42748.666666666599</v>
      </c>
      <c r="B514" s="1">
        <f ca="1">IFERROR(__xludf.DUMMYFUNCTION("""COMPUTED_VALUE"""),41.55)</f>
        <v>41.55</v>
      </c>
      <c r="C514" s="1">
        <f ca="1">IFERROR(__xludf.DUMMYFUNCTION("""COMPUTED_VALUE"""),41.73)</f>
        <v>41.73</v>
      </c>
      <c r="D514" s="1">
        <f ca="1">IFERROR(__xludf.DUMMYFUNCTION("""COMPUTED_VALUE"""),41.48)</f>
        <v>41.48</v>
      </c>
      <c r="E514" s="1">
        <f ca="1">IFERROR(__xludf.DUMMYFUNCTION("""COMPUTED_VALUE"""),41.55)</f>
        <v>41.55</v>
      </c>
      <c r="F514" s="1">
        <f ca="1">IFERROR(__xludf.DUMMYFUNCTION("""COMPUTED_VALUE"""),1290182)</f>
        <v>1290182</v>
      </c>
    </row>
    <row r="515" spans="1:6" x14ac:dyDescent="0.35">
      <c r="A515" s="2">
        <f ca="1">IFERROR(__xludf.DUMMYFUNCTION("""COMPUTED_VALUE"""),42752.6666666666)</f>
        <v>42752.666666666599</v>
      </c>
      <c r="B515" s="1">
        <f ca="1">IFERROR(__xludf.DUMMYFUNCTION("""COMPUTED_VALUE"""),41.5)</f>
        <v>41.5</v>
      </c>
      <c r="C515" s="1">
        <f ca="1">IFERROR(__xludf.DUMMYFUNCTION("""COMPUTED_VALUE"""),41.51)</f>
        <v>41.51</v>
      </c>
      <c r="D515" s="1">
        <f ca="1">IFERROR(__xludf.DUMMYFUNCTION("""COMPUTED_VALUE"""),41.16)</f>
        <v>41.16</v>
      </c>
      <c r="E515" s="1">
        <f ca="1">IFERROR(__xludf.DUMMYFUNCTION("""COMPUTED_VALUE"""),41.37)</f>
        <v>41.37</v>
      </c>
      <c r="F515" s="1">
        <f ca="1">IFERROR(__xludf.DUMMYFUNCTION("""COMPUTED_VALUE"""),1440905)</f>
        <v>1440905</v>
      </c>
    </row>
    <row r="516" spans="1:6" x14ac:dyDescent="0.35">
      <c r="A516" s="2">
        <f ca="1">IFERROR(__xludf.DUMMYFUNCTION("""COMPUTED_VALUE"""),42753.6666666666)</f>
        <v>42753.666666666599</v>
      </c>
      <c r="B516" s="1">
        <f ca="1">IFERROR(__xludf.DUMMYFUNCTION("""COMPUTED_VALUE"""),41.49)</f>
        <v>41.49</v>
      </c>
      <c r="C516" s="1">
        <f ca="1">IFERROR(__xludf.DUMMYFUNCTION("""COMPUTED_VALUE"""),41.49)</f>
        <v>41.49</v>
      </c>
      <c r="D516" s="1">
        <f ca="1">IFERROR(__xludf.DUMMYFUNCTION("""COMPUTED_VALUE"""),41.2)</f>
        <v>41.2</v>
      </c>
      <c r="E516" s="1">
        <f ca="1">IFERROR(__xludf.DUMMYFUNCTION("""COMPUTED_VALUE"""),41.45)</f>
        <v>41.45</v>
      </c>
      <c r="F516" s="1">
        <f ca="1">IFERROR(__xludf.DUMMYFUNCTION("""COMPUTED_VALUE"""),1027698)</f>
        <v>1027698</v>
      </c>
    </row>
    <row r="517" spans="1:6" x14ac:dyDescent="0.35">
      <c r="A517" s="2">
        <f ca="1">IFERROR(__xludf.DUMMYFUNCTION("""COMPUTED_VALUE"""),42754.6666666666)</f>
        <v>42754.666666666599</v>
      </c>
      <c r="B517" s="1">
        <f ca="1">IFERROR(__xludf.DUMMYFUNCTION("""COMPUTED_VALUE"""),41.45)</f>
        <v>41.45</v>
      </c>
      <c r="C517" s="1">
        <f ca="1">IFERROR(__xludf.DUMMYFUNCTION("""COMPUTED_VALUE"""),41.65)</f>
        <v>41.65</v>
      </c>
      <c r="D517" s="1">
        <f ca="1">IFERROR(__xludf.DUMMYFUNCTION("""COMPUTED_VALUE"""),41.2)</f>
        <v>41.2</v>
      </c>
      <c r="E517" s="1">
        <f ca="1">IFERROR(__xludf.DUMMYFUNCTION("""COMPUTED_VALUE"""),41.22)</f>
        <v>41.22</v>
      </c>
      <c r="F517" s="1">
        <f ca="1">IFERROR(__xludf.DUMMYFUNCTION("""COMPUTED_VALUE"""),1070454)</f>
        <v>1070454</v>
      </c>
    </row>
    <row r="518" spans="1:6" x14ac:dyDescent="0.35">
      <c r="A518" s="2">
        <f ca="1">IFERROR(__xludf.DUMMYFUNCTION("""COMPUTED_VALUE"""),42755.6666666666)</f>
        <v>42755.666666666599</v>
      </c>
      <c r="B518" s="1">
        <f ca="1">IFERROR(__xludf.DUMMYFUNCTION("""COMPUTED_VALUE"""),41.45)</f>
        <v>41.45</v>
      </c>
      <c r="C518" s="1">
        <f ca="1">IFERROR(__xludf.DUMMYFUNCTION("""COMPUTED_VALUE"""),41.46)</f>
        <v>41.46</v>
      </c>
      <c r="D518" s="1">
        <f ca="1">IFERROR(__xludf.DUMMYFUNCTION("""COMPUTED_VALUE"""),41.23)</f>
        <v>41.23</v>
      </c>
      <c r="E518" s="1">
        <f ca="1">IFERROR(__xludf.DUMMYFUNCTION("""COMPUTED_VALUE"""),41.41)</f>
        <v>41.41</v>
      </c>
      <c r="F518" s="1">
        <f ca="1">IFERROR(__xludf.DUMMYFUNCTION("""COMPUTED_VALUE"""),1306183)</f>
        <v>1306183</v>
      </c>
    </row>
    <row r="519" spans="1:6" x14ac:dyDescent="0.35">
      <c r="A519" s="2">
        <f ca="1">IFERROR(__xludf.DUMMYFUNCTION("""COMPUTED_VALUE"""),42758.6666666666)</f>
        <v>42758.666666666599</v>
      </c>
      <c r="B519" s="1">
        <f ca="1">IFERROR(__xludf.DUMMYFUNCTION("""COMPUTED_VALUE"""),41.58)</f>
        <v>41.58</v>
      </c>
      <c r="C519" s="1">
        <f ca="1">IFERROR(__xludf.DUMMYFUNCTION("""COMPUTED_VALUE"""),42.28)</f>
        <v>42.28</v>
      </c>
      <c r="D519" s="1">
        <f ca="1">IFERROR(__xludf.DUMMYFUNCTION("""COMPUTED_VALUE"""),41.44)</f>
        <v>41.44</v>
      </c>
      <c r="E519" s="1">
        <f ca="1">IFERROR(__xludf.DUMMYFUNCTION("""COMPUTED_VALUE"""),42.22)</f>
        <v>42.22</v>
      </c>
      <c r="F519" s="1">
        <f ca="1">IFERROR(__xludf.DUMMYFUNCTION("""COMPUTED_VALUE"""),2457377)</f>
        <v>2457377</v>
      </c>
    </row>
    <row r="520" spans="1:6" x14ac:dyDescent="0.35">
      <c r="A520" s="2">
        <f ca="1">IFERROR(__xludf.DUMMYFUNCTION("""COMPUTED_VALUE"""),42759.6666666666)</f>
        <v>42759.666666666599</v>
      </c>
      <c r="B520" s="1">
        <f ca="1">IFERROR(__xludf.DUMMYFUNCTION("""COMPUTED_VALUE"""),42.35)</f>
        <v>42.35</v>
      </c>
      <c r="C520" s="1">
        <f ca="1">IFERROR(__xludf.DUMMYFUNCTION("""COMPUTED_VALUE"""),42.58)</f>
        <v>42.58</v>
      </c>
      <c r="D520" s="1">
        <f ca="1">IFERROR(__xludf.DUMMYFUNCTION("""COMPUTED_VALUE"""),42.11)</f>
        <v>42.11</v>
      </c>
      <c r="E520" s="1">
        <f ca="1">IFERROR(__xludf.DUMMYFUNCTION("""COMPUTED_VALUE"""),42.48)</f>
        <v>42.48</v>
      </c>
      <c r="F520" s="1">
        <f ca="1">IFERROR(__xludf.DUMMYFUNCTION("""COMPUTED_VALUE"""),1688375)</f>
        <v>1688375</v>
      </c>
    </row>
    <row r="521" spans="1:6" x14ac:dyDescent="0.35">
      <c r="A521" s="2">
        <f ca="1">IFERROR(__xludf.DUMMYFUNCTION("""COMPUTED_VALUE"""),42760.6666666666)</f>
        <v>42760.666666666599</v>
      </c>
      <c r="B521" s="1">
        <f ca="1">IFERROR(__xludf.DUMMYFUNCTION("""COMPUTED_VALUE"""),42.68)</f>
        <v>42.68</v>
      </c>
      <c r="C521" s="1">
        <f ca="1">IFERROR(__xludf.DUMMYFUNCTION("""COMPUTED_VALUE"""),42.94)</f>
        <v>42.94</v>
      </c>
      <c r="D521" s="1">
        <f ca="1">IFERROR(__xludf.DUMMYFUNCTION("""COMPUTED_VALUE"""),42.49)</f>
        <v>42.49</v>
      </c>
      <c r="E521" s="1">
        <f ca="1">IFERROR(__xludf.DUMMYFUNCTION("""COMPUTED_VALUE"""),42.92)</f>
        <v>42.92</v>
      </c>
      <c r="F521" s="1">
        <f ca="1">IFERROR(__xludf.DUMMYFUNCTION("""COMPUTED_VALUE"""),1662148)</f>
        <v>1662148</v>
      </c>
    </row>
    <row r="522" spans="1:6" x14ac:dyDescent="0.35">
      <c r="A522" s="2">
        <f ca="1">IFERROR(__xludf.DUMMYFUNCTION("""COMPUTED_VALUE"""),42761.6666666666)</f>
        <v>42761.666666666599</v>
      </c>
      <c r="B522" s="1">
        <f ca="1">IFERROR(__xludf.DUMMYFUNCTION("""COMPUTED_VALUE"""),42.95)</f>
        <v>42.95</v>
      </c>
      <c r="C522" s="1">
        <f ca="1">IFERROR(__xludf.DUMMYFUNCTION("""COMPUTED_VALUE"""),43.05)</f>
        <v>43.05</v>
      </c>
      <c r="D522" s="1">
        <f ca="1">IFERROR(__xludf.DUMMYFUNCTION("""COMPUTED_VALUE"""),42.53)</f>
        <v>42.53</v>
      </c>
      <c r="E522" s="1">
        <f ca="1">IFERROR(__xludf.DUMMYFUNCTION("""COMPUTED_VALUE"""),42.85)</f>
        <v>42.85</v>
      </c>
      <c r="F522" s="1">
        <f ca="1">IFERROR(__xludf.DUMMYFUNCTION("""COMPUTED_VALUE"""),3493251)</f>
        <v>3493251</v>
      </c>
    </row>
    <row r="523" spans="1:6" x14ac:dyDescent="0.35">
      <c r="A523" s="2">
        <f ca="1">IFERROR(__xludf.DUMMYFUNCTION("""COMPUTED_VALUE"""),42762.6666666666)</f>
        <v>42762.666666666599</v>
      </c>
      <c r="B523" s="1">
        <f ca="1">IFERROR(__xludf.DUMMYFUNCTION("""COMPUTED_VALUE"""),42.95)</f>
        <v>42.95</v>
      </c>
      <c r="C523" s="1">
        <f ca="1">IFERROR(__xludf.DUMMYFUNCTION("""COMPUTED_VALUE"""),43.35)</f>
        <v>43.35</v>
      </c>
      <c r="D523" s="1">
        <f ca="1">IFERROR(__xludf.DUMMYFUNCTION("""COMPUTED_VALUE"""),42.1)</f>
        <v>42.1</v>
      </c>
      <c r="E523" s="1">
        <f ca="1">IFERROR(__xludf.DUMMYFUNCTION("""COMPUTED_VALUE"""),42.25)</f>
        <v>42.25</v>
      </c>
      <c r="F523" s="1">
        <f ca="1">IFERROR(__xludf.DUMMYFUNCTION("""COMPUTED_VALUE"""),3752497)</f>
        <v>3752497</v>
      </c>
    </row>
    <row r="524" spans="1:6" x14ac:dyDescent="0.35">
      <c r="A524" s="2">
        <f ca="1">IFERROR(__xludf.DUMMYFUNCTION("""COMPUTED_VALUE"""),42765.6666666666)</f>
        <v>42765.666666666599</v>
      </c>
      <c r="B524" s="1">
        <f ca="1">IFERROR(__xludf.DUMMYFUNCTION("""COMPUTED_VALUE"""),41.85)</f>
        <v>41.85</v>
      </c>
      <c r="C524" s="1">
        <f ca="1">IFERROR(__xludf.DUMMYFUNCTION("""COMPUTED_VALUE"""),41.86)</f>
        <v>41.86</v>
      </c>
      <c r="D524" s="1">
        <f ca="1">IFERROR(__xludf.DUMMYFUNCTION("""COMPUTED_VALUE"""),41.05)</f>
        <v>41.05</v>
      </c>
      <c r="E524" s="1">
        <f ca="1">IFERROR(__xludf.DUMMYFUNCTION("""COMPUTED_VALUE"""),41.19)</f>
        <v>41.19</v>
      </c>
      <c r="F524" s="1">
        <f ca="1">IFERROR(__xludf.DUMMYFUNCTION("""COMPUTED_VALUE"""),3516933)</f>
        <v>3516933</v>
      </c>
    </row>
    <row r="525" spans="1:6" x14ac:dyDescent="0.35">
      <c r="A525" s="2">
        <f ca="1">IFERROR(__xludf.DUMMYFUNCTION("""COMPUTED_VALUE"""),42766.6666666666)</f>
        <v>42766.666666666599</v>
      </c>
      <c r="B525" s="1">
        <f ca="1">IFERROR(__xludf.DUMMYFUNCTION("""COMPUTED_VALUE"""),40.98)</f>
        <v>40.98</v>
      </c>
      <c r="C525" s="1">
        <f ca="1">IFERROR(__xludf.DUMMYFUNCTION("""COMPUTED_VALUE"""),41.15)</f>
        <v>41.15</v>
      </c>
      <c r="D525" s="1">
        <f ca="1">IFERROR(__xludf.DUMMYFUNCTION("""COMPUTED_VALUE"""),40.67)</f>
        <v>40.67</v>
      </c>
      <c r="E525" s="1">
        <f ca="1">IFERROR(__xludf.DUMMYFUNCTION("""COMPUTED_VALUE"""),41.01)</f>
        <v>41.01</v>
      </c>
      <c r="F525" s="1">
        <f ca="1">IFERROR(__xludf.DUMMYFUNCTION("""COMPUTED_VALUE"""),2020180)</f>
        <v>2020180</v>
      </c>
    </row>
    <row r="526" spans="1:6" x14ac:dyDescent="0.35">
      <c r="A526" s="2">
        <f ca="1">IFERROR(__xludf.DUMMYFUNCTION("""COMPUTED_VALUE"""),42767.6666666666)</f>
        <v>42767.666666666599</v>
      </c>
      <c r="B526" s="1">
        <f ca="1">IFERROR(__xludf.DUMMYFUNCTION("""COMPUTED_VALUE"""),41.2)</f>
        <v>41.2</v>
      </c>
      <c r="C526" s="1">
        <f ca="1">IFERROR(__xludf.DUMMYFUNCTION("""COMPUTED_VALUE"""),41.2)</f>
        <v>41.2</v>
      </c>
      <c r="D526" s="1">
        <f ca="1">IFERROR(__xludf.DUMMYFUNCTION("""COMPUTED_VALUE"""),40.61)</f>
        <v>40.61</v>
      </c>
      <c r="E526" s="1">
        <f ca="1">IFERROR(__xludf.DUMMYFUNCTION("""COMPUTED_VALUE"""),40.76)</f>
        <v>40.76</v>
      </c>
      <c r="F526" s="1">
        <f ca="1">IFERROR(__xludf.DUMMYFUNCTION("""COMPUTED_VALUE"""),2251047)</f>
        <v>2251047</v>
      </c>
    </row>
    <row r="527" spans="1:6" x14ac:dyDescent="0.35">
      <c r="A527" s="2">
        <f ca="1">IFERROR(__xludf.DUMMYFUNCTION("""COMPUTED_VALUE"""),42768.6666666666)</f>
        <v>42768.666666666599</v>
      </c>
      <c r="B527" s="1">
        <f ca="1">IFERROR(__xludf.DUMMYFUNCTION("""COMPUTED_VALUE"""),40.75)</f>
        <v>40.75</v>
      </c>
      <c r="C527" s="1">
        <f ca="1">IFERROR(__xludf.DUMMYFUNCTION("""COMPUTED_VALUE"""),41.23)</f>
        <v>41.23</v>
      </c>
      <c r="D527" s="1">
        <f ca="1">IFERROR(__xludf.DUMMYFUNCTION("""COMPUTED_VALUE"""),40.6)</f>
        <v>40.6</v>
      </c>
      <c r="E527" s="1">
        <f ca="1">IFERROR(__xludf.DUMMYFUNCTION("""COMPUTED_VALUE"""),40.91)</f>
        <v>40.909999999999997</v>
      </c>
      <c r="F527" s="1">
        <f ca="1">IFERROR(__xludf.DUMMYFUNCTION("""COMPUTED_VALUE"""),1689179)</f>
        <v>1689179</v>
      </c>
    </row>
    <row r="528" spans="1:6" x14ac:dyDescent="0.35">
      <c r="A528" s="2">
        <f ca="1">IFERROR(__xludf.DUMMYFUNCTION("""COMPUTED_VALUE"""),42769.6666666666)</f>
        <v>42769.666666666599</v>
      </c>
      <c r="B528" s="1">
        <f ca="1">IFERROR(__xludf.DUMMYFUNCTION("""COMPUTED_VALUE"""),41.16)</f>
        <v>41.16</v>
      </c>
      <c r="C528" s="1">
        <f ca="1">IFERROR(__xludf.DUMMYFUNCTION("""COMPUTED_VALUE"""),41.31)</f>
        <v>41.31</v>
      </c>
      <c r="D528" s="1">
        <f ca="1">IFERROR(__xludf.DUMMYFUNCTION("""COMPUTED_VALUE"""),40.97)</f>
        <v>40.97</v>
      </c>
      <c r="E528" s="1">
        <f ca="1">IFERROR(__xludf.DUMMYFUNCTION("""COMPUTED_VALUE"""),41.01)</f>
        <v>41.01</v>
      </c>
      <c r="F528" s="1">
        <f ca="1">IFERROR(__xludf.DUMMYFUNCTION("""COMPUTED_VALUE"""),1528095)</f>
        <v>1528095</v>
      </c>
    </row>
    <row r="529" spans="1:6" x14ac:dyDescent="0.35">
      <c r="A529" s="2">
        <f ca="1">IFERROR(__xludf.DUMMYFUNCTION("""COMPUTED_VALUE"""),42772.6666666666)</f>
        <v>42772.666666666599</v>
      </c>
      <c r="B529" s="1">
        <f ca="1">IFERROR(__xludf.DUMMYFUNCTION("""COMPUTED_VALUE"""),41.05)</f>
        <v>41.05</v>
      </c>
      <c r="C529" s="1">
        <f ca="1">IFERROR(__xludf.DUMMYFUNCTION("""COMPUTED_VALUE"""),41.12)</f>
        <v>41.12</v>
      </c>
      <c r="D529" s="1">
        <f ca="1">IFERROR(__xludf.DUMMYFUNCTION("""COMPUTED_VALUE"""),40.71)</f>
        <v>40.71</v>
      </c>
      <c r="E529" s="1">
        <f ca="1">IFERROR(__xludf.DUMMYFUNCTION("""COMPUTED_VALUE"""),41.08)</f>
        <v>41.08</v>
      </c>
      <c r="F529" s="1">
        <f ca="1">IFERROR(__xludf.DUMMYFUNCTION("""COMPUTED_VALUE"""),1350875)</f>
        <v>1350875</v>
      </c>
    </row>
    <row r="530" spans="1:6" x14ac:dyDescent="0.35">
      <c r="A530" s="2">
        <f ca="1">IFERROR(__xludf.DUMMYFUNCTION("""COMPUTED_VALUE"""),42773.6666666666)</f>
        <v>42773.666666666599</v>
      </c>
      <c r="B530" s="1">
        <f ca="1">IFERROR(__xludf.DUMMYFUNCTION("""COMPUTED_VALUE"""),41.28)</f>
        <v>41.28</v>
      </c>
      <c r="C530" s="1">
        <f ca="1">IFERROR(__xludf.DUMMYFUNCTION("""COMPUTED_VALUE"""),41.6)</f>
        <v>41.6</v>
      </c>
      <c r="D530" s="1">
        <f ca="1">IFERROR(__xludf.DUMMYFUNCTION("""COMPUTED_VALUE"""),41.16)</f>
        <v>41.16</v>
      </c>
      <c r="E530" s="1">
        <f ca="1">IFERROR(__xludf.DUMMYFUNCTION("""COMPUTED_VALUE"""),41.46)</f>
        <v>41.46</v>
      </c>
      <c r="F530" s="1">
        <f ca="1">IFERROR(__xludf.DUMMYFUNCTION("""COMPUTED_VALUE"""),1666605)</f>
        <v>1666605</v>
      </c>
    </row>
    <row r="531" spans="1:6" x14ac:dyDescent="0.35">
      <c r="A531" s="2">
        <f ca="1">IFERROR(__xludf.DUMMYFUNCTION("""COMPUTED_VALUE"""),42774.6666666666)</f>
        <v>42774.666666666599</v>
      </c>
      <c r="B531" s="1">
        <f ca="1">IFERROR(__xludf.DUMMYFUNCTION("""COMPUTED_VALUE"""),41.53)</f>
        <v>41.53</v>
      </c>
      <c r="C531" s="1">
        <f ca="1">IFERROR(__xludf.DUMMYFUNCTION("""COMPUTED_VALUE"""),41.71)</f>
        <v>41.71</v>
      </c>
      <c r="D531" s="1">
        <f ca="1">IFERROR(__xludf.DUMMYFUNCTION("""COMPUTED_VALUE"""),41.26)</f>
        <v>41.26</v>
      </c>
      <c r="E531" s="1">
        <f ca="1">IFERROR(__xludf.DUMMYFUNCTION("""COMPUTED_VALUE"""),41.49)</f>
        <v>41.49</v>
      </c>
      <c r="F531" s="1">
        <f ca="1">IFERROR(__xludf.DUMMYFUNCTION("""COMPUTED_VALUE"""),1302225)</f>
        <v>1302225</v>
      </c>
    </row>
    <row r="532" spans="1:6" x14ac:dyDescent="0.35">
      <c r="A532" s="2">
        <f ca="1">IFERROR(__xludf.DUMMYFUNCTION("""COMPUTED_VALUE"""),42775.6666666666)</f>
        <v>42775.666666666599</v>
      </c>
      <c r="B532" s="1">
        <f ca="1">IFERROR(__xludf.DUMMYFUNCTION("""COMPUTED_VALUE"""),41.59)</f>
        <v>41.59</v>
      </c>
      <c r="C532" s="1">
        <f ca="1">IFERROR(__xludf.DUMMYFUNCTION("""COMPUTED_VALUE"""),41.6)</f>
        <v>41.6</v>
      </c>
      <c r="D532" s="1">
        <f ca="1">IFERROR(__xludf.DUMMYFUNCTION("""COMPUTED_VALUE"""),41.33)</f>
        <v>41.33</v>
      </c>
      <c r="E532" s="1">
        <f ca="1">IFERROR(__xludf.DUMMYFUNCTION("""COMPUTED_VALUE"""),41.5)</f>
        <v>41.5</v>
      </c>
      <c r="F532" s="1">
        <f ca="1">IFERROR(__xludf.DUMMYFUNCTION("""COMPUTED_VALUE"""),1194238)</f>
        <v>1194238</v>
      </c>
    </row>
    <row r="533" spans="1:6" x14ac:dyDescent="0.35">
      <c r="A533" s="2">
        <f ca="1">IFERROR(__xludf.DUMMYFUNCTION("""COMPUTED_VALUE"""),42776.6666666666)</f>
        <v>42776.666666666599</v>
      </c>
      <c r="B533" s="1">
        <f ca="1">IFERROR(__xludf.DUMMYFUNCTION("""COMPUTED_VALUE"""),41.65)</f>
        <v>41.65</v>
      </c>
      <c r="C533" s="1">
        <f ca="1">IFERROR(__xludf.DUMMYFUNCTION("""COMPUTED_VALUE"""),41.86)</f>
        <v>41.86</v>
      </c>
      <c r="D533" s="1">
        <f ca="1">IFERROR(__xludf.DUMMYFUNCTION("""COMPUTED_VALUE"""),41.53)</f>
        <v>41.53</v>
      </c>
      <c r="E533" s="1">
        <f ca="1">IFERROR(__xludf.DUMMYFUNCTION("""COMPUTED_VALUE"""),41.74)</f>
        <v>41.74</v>
      </c>
      <c r="F533" s="1">
        <f ca="1">IFERROR(__xludf.DUMMYFUNCTION("""COMPUTED_VALUE"""),1415128)</f>
        <v>1415128</v>
      </c>
    </row>
    <row r="534" spans="1:6" x14ac:dyDescent="0.35">
      <c r="A534" s="2">
        <f ca="1">IFERROR(__xludf.DUMMYFUNCTION("""COMPUTED_VALUE"""),42779.6666666666)</f>
        <v>42779.666666666599</v>
      </c>
      <c r="B534" s="1">
        <f ca="1">IFERROR(__xludf.DUMMYFUNCTION("""COMPUTED_VALUE"""),41.89)</f>
        <v>41.89</v>
      </c>
      <c r="C534" s="1">
        <f ca="1">IFERROR(__xludf.DUMMYFUNCTION("""COMPUTED_VALUE"""),42.09)</f>
        <v>42.09</v>
      </c>
      <c r="D534" s="1">
        <f ca="1">IFERROR(__xludf.DUMMYFUNCTION("""COMPUTED_VALUE"""),41.81)</f>
        <v>41.81</v>
      </c>
      <c r="E534" s="1">
        <f ca="1">IFERROR(__xludf.DUMMYFUNCTION("""COMPUTED_VALUE"""),41.95)</f>
        <v>41.95</v>
      </c>
      <c r="F534" s="1">
        <f ca="1">IFERROR(__xludf.DUMMYFUNCTION("""COMPUTED_VALUE"""),1295708)</f>
        <v>1295708</v>
      </c>
    </row>
    <row r="535" spans="1:6" x14ac:dyDescent="0.35">
      <c r="A535" s="2">
        <f ca="1">IFERROR(__xludf.DUMMYFUNCTION("""COMPUTED_VALUE"""),42780.6666666666)</f>
        <v>42780.666666666599</v>
      </c>
      <c r="B535" s="1">
        <f ca="1">IFERROR(__xludf.DUMMYFUNCTION("""COMPUTED_VALUE"""),41.99)</f>
        <v>41.99</v>
      </c>
      <c r="C535" s="1">
        <f ca="1">IFERROR(__xludf.DUMMYFUNCTION("""COMPUTED_VALUE"""),42.1)</f>
        <v>42.1</v>
      </c>
      <c r="D535" s="1">
        <f ca="1">IFERROR(__xludf.DUMMYFUNCTION("""COMPUTED_VALUE"""),41.79)</f>
        <v>41.79</v>
      </c>
      <c r="E535" s="1">
        <f ca="1">IFERROR(__xludf.DUMMYFUNCTION("""COMPUTED_VALUE"""),42)</f>
        <v>42</v>
      </c>
      <c r="F535" s="1">
        <f ca="1">IFERROR(__xludf.DUMMYFUNCTION("""COMPUTED_VALUE"""),1363345)</f>
        <v>1363345</v>
      </c>
    </row>
    <row r="536" spans="1:6" x14ac:dyDescent="0.35">
      <c r="A536" s="2">
        <f ca="1">IFERROR(__xludf.DUMMYFUNCTION("""COMPUTED_VALUE"""),42781.6666666666)</f>
        <v>42781.666666666599</v>
      </c>
      <c r="B536" s="1">
        <f ca="1">IFERROR(__xludf.DUMMYFUNCTION("""COMPUTED_VALUE"""),41.94)</f>
        <v>41.94</v>
      </c>
      <c r="C536" s="1">
        <f ca="1">IFERROR(__xludf.DUMMYFUNCTION("""COMPUTED_VALUE"""),42.09)</f>
        <v>42.09</v>
      </c>
      <c r="D536" s="1">
        <f ca="1">IFERROR(__xludf.DUMMYFUNCTION("""COMPUTED_VALUE"""),41.81)</f>
        <v>41.81</v>
      </c>
      <c r="E536" s="1">
        <f ca="1">IFERROR(__xludf.DUMMYFUNCTION("""COMPUTED_VALUE"""),41.87)</f>
        <v>41.87</v>
      </c>
      <c r="F536" s="1">
        <f ca="1">IFERROR(__xludf.DUMMYFUNCTION("""COMPUTED_VALUE"""),1357185)</f>
        <v>1357185</v>
      </c>
    </row>
    <row r="537" spans="1:6" x14ac:dyDescent="0.35">
      <c r="A537" s="2">
        <f ca="1">IFERROR(__xludf.DUMMYFUNCTION("""COMPUTED_VALUE"""),42782.6666666666)</f>
        <v>42782.666666666599</v>
      </c>
      <c r="B537" s="1">
        <f ca="1">IFERROR(__xludf.DUMMYFUNCTION("""COMPUTED_VALUE"""),41.93)</f>
        <v>41.93</v>
      </c>
      <c r="C537" s="1">
        <f ca="1">IFERROR(__xludf.DUMMYFUNCTION("""COMPUTED_VALUE"""),42.13)</f>
        <v>42.13</v>
      </c>
      <c r="D537" s="1">
        <f ca="1">IFERROR(__xludf.DUMMYFUNCTION("""COMPUTED_VALUE"""),41.86)</f>
        <v>41.86</v>
      </c>
      <c r="E537" s="1">
        <f ca="1">IFERROR(__xludf.DUMMYFUNCTION("""COMPUTED_VALUE"""),42.11)</f>
        <v>42.11</v>
      </c>
      <c r="F537" s="1">
        <f ca="1">IFERROR(__xludf.DUMMYFUNCTION("""COMPUTED_VALUE"""),1005084)</f>
        <v>1005084</v>
      </c>
    </row>
    <row r="538" spans="1:6" x14ac:dyDescent="0.35">
      <c r="A538" s="2">
        <f ca="1">IFERROR(__xludf.DUMMYFUNCTION("""COMPUTED_VALUE"""),42783.6666666666)</f>
        <v>42783.666666666599</v>
      </c>
      <c r="B538" s="1">
        <f ca="1">IFERROR(__xludf.DUMMYFUNCTION("""COMPUTED_VALUE"""),42.07)</f>
        <v>42.07</v>
      </c>
      <c r="C538" s="1">
        <f ca="1">IFERROR(__xludf.DUMMYFUNCTION("""COMPUTED_VALUE"""),42.35)</f>
        <v>42.35</v>
      </c>
      <c r="D538" s="1">
        <f ca="1">IFERROR(__xludf.DUMMYFUNCTION("""COMPUTED_VALUE"""),41.99)</f>
        <v>41.99</v>
      </c>
      <c r="E538" s="1">
        <f ca="1">IFERROR(__xludf.DUMMYFUNCTION("""COMPUTED_VALUE"""),42.33)</f>
        <v>42.33</v>
      </c>
      <c r="F538" s="1">
        <f ca="1">IFERROR(__xludf.DUMMYFUNCTION("""COMPUTED_VALUE"""),1461210)</f>
        <v>1461210</v>
      </c>
    </row>
    <row r="539" spans="1:6" x14ac:dyDescent="0.35">
      <c r="A539" s="2">
        <f ca="1">IFERROR(__xludf.DUMMYFUNCTION("""COMPUTED_VALUE"""),42787.6666666666)</f>
        <v>42787.666666666599</v>
      </c>
      <c r="B539" s="1">
        <f ca="1">IFERROR(__xludf.DUMMYFUNCTION("""COMPUTED_VALUE"""),42.4)</f>
        <v>42.4</v>
      </c>
      <c r="C539" s="1">
        <f ca="1">IFERROR(__xludf.DUMMYFUNCTION("""COMPUTED_VALUE"""),42.61)</f>
        <v>42.61</v>
      </c>
      <c r="D539" s="1">
        <f ca="1">IFERROR(__xludf.DUMMYFUNCTION("""COMPUTED_VALUE"""),42.33)</f>
        <v>42.33</v>
      </c>
      <c r="E539" s="1">
        <f ca="1">IFERROR(__xludf.DUMMYFUNCTION("""COMPUTED_VALUE"""),42.46)</f>
        <v>42.46</v>
      </c>
      <c r="F539" s="1">
        <f ca="1">IFERROR(__xludf.DUMMYFUNCTION("""COMPUTED_VALUE"""),1261062)</f>
        <v>1261062</v>
      </c>
    </row>
    <row r="540" spans="1:6" x14ac:dyDescent="0.35">
      <c r="A540" s="2">
        <f ca="1">IFERROR(__xludf.DUMMYFUNCTION("""COMPUTED_VALUE"""),42788.6666666666)</f>
        <v>42788.666666666599</v>
      </c>
      <c r="B540" s="1">
        <f ca="1">IFERROR(__xludf.DUMMYFUNCTION("""COMPUTED_VALUE"""),42.4)</f>
        <v>42.4</v>
      </c>
      <c r="C540" s="1">
        <f ca="1">IFERROR(__xludf.DUMMYFUNCTION("""COMPUTED_VALUE"""),42.69)</f>
        <v>42.69</v>
      </c>
      <c r="D540" s="1">
        <f ca="1">IFERROR(__xludf.DUMMYFUNCTION("""COMPUTED_VALUE"""),42.34)</f>
        <v>42.34</v>
      </c>
      <c r="E540" s="1">
        <f ca="1">IFERROR(__xludf.DUMMYFUNCTION("""COMPUTED_VALUE"""),42.57)</f>
        <v>42.57</v>
      </c>
      <c r="F540" s="1">
        <f ca="1">IFERROR(__xludf.DUMMYFUNCTION("""COMPUTED_VALUE"""),1224889)</f>
        <v>1224889</v>
      </c>
    </row>
    <row r="541" spans="1:6" x14ac:dyDescent="0.35">
      <c r="A541" s="2">
        <f ca="1">IFERROR(__xludf.DUMMYFUNCTION("""COMPUTED_VALUE"""),42789.6666666666)</f>
        <v>42789.666666666599</v>
      </c>
      <c r="B541" s="1">
        <f ca="1">IFERROR(__xludf.DUMMYFUNCTION("""COMPUTED_VALUE"""),42.55)</f>
        <v>42.55</v>
      </c>
      <c r="C541" s="1">
        <f ca="1">IFERROR(__xludf.DUMMYFUNCTION("""COMPUTED_VALUE"""),42.63)</f>
        <v>42.63</v>
      </c>
      <c r="D541" s="1">
        <f ca="1">IFERROR(__xludf.DUMMYFUNCTION("""COMPUTED_VALUE"""),42.13)</f>
        <v>42.13</v>
      </c>
      <c r="E541" s="1">
        <f ca="1">IFERROR(__xludf.DUMMYFUNCTION("""COMPUTED_VALUE"""),42.55)</f>
        <v>42.55</v>
      </c>
      <c r="F541" s="1">
        <f ca="1">IFERROR(__xludf.DUMMYFUNCTION("""COMPUTED_VALUE"""),1386681)</f>
        <v>1386681</v>
      </c>
    </row>
    <row r="542" spans="1:6" x14ac:dyDescent="0.35">
      <c r="A542" s="2">
        <f ca="1">IFERROR(__xludf.DUMMYFUNCTION("""COMPUTED_VALUE"""),42790.6666666666)</f>
        <v>42790.666666666599</v>
      </c>
      <c r="B542" s="1">
        <f ca="1">IFERROR(__xludf.DUMMYFUNCTION("""COMPUTED_VALUE"""),42.38)</f>
        <v>42.38</v>
      </c>
      <c r="C542" s="1">
        <f ca="1">IFERROR(__xludf.DUMMYFUNCTION("""COMPUTED_VALUE"""),42.42)</f>
        <v>42.42</v>
      </c>
      <c r="D542" s="1">
        <f ca="1">IFERROR(__xludf.DUMMYFUNCTION("""COMPUTED_VALUE"""),42.15)</f>
        <v>42.15</v>
      </c>
      <c r="E542" s="1">
        <f ca="1">IFERROR(__xludf.DUMMYFUNCTION("""COMPUTED_VALUE"""),42.39)</f>
        <v>42.39</v>
      </c>
      <c r="F542" s="1">
        <f ca="1">IFERROR(__xludf.DUMMYFUNCTION("""COMPUTED_VALUE"""),1346189)</f>
        <v>1346189</v>
      </c>
    </row>
    <row r="543" spans="1:6" x14ac:dyDescent="0.35">
      <c r="A543" s="2">
        <f ca="1">IFERROR(__xludf.DUMMYFUNCTION("""COMPUTED_VALUE"""),42793.6666666666)</f>
        <v>42793.666666666599</v>
      </c>
      <c r="B543" s="1">
        <f ca="1">IFERROR(__xludf.DUMMYFUNCTION("""COMPUTED_VALUE"""),42.25)</f>
        <v>42.25</v>
      </c>
      <c r="C543" s="1">
        <f ca="1">IFERROR(__xludf.DUMMYFUNCTION("""COMPUTED_VALUE"""),42.53)</f>
        <v>42.53</v>
      </c>
      <c r="D543" s="1">
        <f ca="1">IFERROR(__xludf.DUMMYFUNCTION("""COMPUTED_VALUE"""),42.15)</f>
        <v>42.15</v>
      </c>
      <c r="E543" s="1">
        <f ca="1">IFERROR(__xludf.DUMMYFUNCTION("""COMPUTED_VALUE"""),42.48)</f>
        <v>42.48</v>
      </c>
      <c r="F543" s="1">
        <f ca="1">IFERROR(__xludf.DUMMYFUNCTION("""COMPUTED_VALUE"""),1010333)</f>
        <v>1010333</v>
      </c>
    </row>
    <row r="544" spans="1:6" x14ac:dyDescent="0.35">
      <c r="A544" s="2">
        <f ca="1">IFERROR(__xludf.DUMMYFUNCTION("""COMPUTED_VALUE"""),42794.6666666666)</f>
        <v>42794.666666666599</v>
      </c>
      <c r="B544" s="1">
        <f ca="1">IFERROR(__xludf.DUMMYFUNCTION("""COMPUTED_VALUE"""),42.37)</f>
        <v>42.37</v>
      </c>
      <c r="C544" s="1">
        <f ca="1">IFERROR(__xludf.DUMMYFUNCTION("""COMPUTED_VALUE"""),42.44)</f>
        <v>42.44</v>
      </c>
      <c r="D544" s="1">
        <f ca="1">IFERROR(__xludf.DUMMYFUNCTION("""COMPUTED_VALUE"""),42.07)</f>
        <v>42.07</v>
      </c>
      <c r="E544" s="1">
        <f ca="1">IFERROR(__xludf.DUMMYFUNCTION("""COMPUTED_VALUE"""),42.25)</f>
        <v>42.25</v>
      </c>
      <c r="F544" s="1">
        <f ca="1">IFERROR(__xludf.DUMMYFUNCTION("""COMPUTED_VALUE"""),1383119)</f>
        <v>1383119</v>
      </c>
    </row>
    <row r="545" spans="1:6" x14ac:dyDescent="0.35">
      <c r="A545" s="2">
        <f ca="1">IFERROR(__xludf.DUMMYFUNCTION("""COMPUTED_VALUE"""),42795.6666666666)</f>
        <v>42795.666666666599</v>
      </c>
      <c r="B545" s="1">
        <f ca="1">IFERROR(__xludf.DUMMYFUNCTION("""COMPUTED_VALUE"""),42.57)</f>
        <v>42.57</v>
      </c>
      <c r="C545" s="1">
        <f ca="1">IFERROR(__xludf.DUMMYFUNCTION("""COMPUTED_VALUE"""),42.9)</f>
        <v>42.9</v>
      </c>
      <c r="D545" s="1">
        <f ca="1">IFERROR(__xludf.DUMMYFUNCTION("""COMPUTED_VALUE"""),42.45)</f>
        <v>42.45</v>
      </c>
      <c r="E545" s="1">
        <f ca="1">IFERROR(__xludf.DUMMYFUNCTION("""COMPUTED_VALUE"""),42.84)</f>
        <v>42.84</v>
      </c>
      <c r="F545" s="1">
        <f ca="1">IFERROR(__xludf.DUMMYFUNCTION("""COMPUTED_VALUE"""),1818671)</f>
        <v>1818671</v>
      </c>
    </row>
    <row r="546" spans="1:6" x14ac:dyDescent="0.35">
      <c r="A546" s="2">
        <f ca="1">IFERROR(__xludf.DUMMYFUNCTION("""COMPUTED_VALUE"""),42796.6666666666)</f>
        <v>42796.666666666599</v>
      </c>
      <c r="B546" s="1">
        <f ca="1">IFERROR(__xludf.DUMMYFUNCTION("""COMPUTED_VALUE"""),42.82)</f>
        <v>42.82</v>
      </c>
      <c r="C546" s="1">
        <f ca="1">IFERROR(__xludf.DUMMYFUNCTION("""COMPUTED_VALUE"""),42.82)</f>
        <v>42.82</v>
      </c>
      <c r="D546" s="1">
        <f ca="1">IFERROR(__xludf.DUMMYFUNCTION("""COMPUTED_VALUE"""),42.44)</f>
        <v>42.44</v>
      </c>
      <c r="E546" s="1">
        <f ca="1">IFERROR(__xludf.DUMMYFUNCTION("""COMPUTED_VALUE"""),42.49)</f>
        <v>42.49</v>
      </c>
      <c r="F546" s="1">
        <f ca="1">IFERROR(__xludf.DUMMYFUNCTION("""COMPUTED_VALUE"""),1250938)</f>
        <v>1250938</v>
      </c>
    </row>
    <row r="547" spans="1:6" x14ac:dyDescent="0.35">
      <c r="A547" s="2">
        <f ca="1">IFERROR(__xludf.DUMMYFUNCTION("""COMPUTED_VALUE"""),42797.6666666666)</f>
        <v>42797.666666666599</v>
      </c>
      <c r="B547" s="1">
        <f ca="1">IFERROR(__xludf.DUMMYFUNCTION("""COMPUTED_VALUE"""),42.45)</f>
        <v>42.45</v>
      </c>
      <c r="C547" s="1">
        <f ca="1">IFERROR(__xludf.DUMMYFUNCTION("""COMPUTED_VALUE"""),42.54)</f>
        <v>42.54</v>
      </c>
      <c r="D547" s="1">
        <f ca="1">IFERROR(__xludf.DUMMYFUNCTION("""COMPUTED_VALUE"""),42.24)</f>
        <v>42.24</v>
      </c>
      <c r="E547" s="1">
        <f ca="1">IFERROR(__xludf.DUMMYFUNCTION("""COMPUTED_VALUE"""),42.45)</f>
        <v>42.45</v>
      </c>
      <c r="F547" s="1">
        <f ca="1">IFERROR(__xludf.DUMMYFUNCTION("""COMPUTED_VALUE"""),1006612)</f>
        <v>1006612</v>
      </c>
    </row>
    <row r="548" spans="1:6" x14ac:dyDescent="0.35">
      <c r="A548" s="2">
        <f ca="1">IFERROR(__xludf.DUMMYFUNCTION("""COMPUTED_VALUE"""),42800.6666666666)</f>
        <v>42800.666666666599</v>
      </c>
      <c r="B548" s="1">
        <f ca="1">IFERROR(__xludf.DUMMYFUNCTION("""COMPUTED_VALUE"""),42.34)</f>
        <v>42.34</v>
      </c>
      <c r="C548" s="1">
        <f ca="1">IFERROR(__xludf.DUMMYFUNCTION("""COMPUTED_VALUE"""),42.45)</f>
        <v>42.45</v>
      </c>
      <c r="D548" s="1">
        <f ca="1">IFERROR(__xludf.DUMMYFUNCTION("""COMPUTED_VALUE"""),42.06)</f>
        <v>42.06</v>
      </c>
      <c r="E548" s="1">
        <f ca="1">IFERROR(__xludf.DUMMYFUNCTION("""COMPUTED_VALUE"""),42.36)</f>
        <v>42.36</v>
      </c>
      <c r="F548" s="1">
        <f ca="1">IFERROR(__xludf.DUMMYFUNCTION("""COMPUTED_VALUE"""),1047872)</f>
        <v>1047872</v>
      </c>
    </row>
    <row r="549" spans="1:6" x14ac:dyDescent="0.35">
      <c r="A549" s="2">
        <f ca="1">IFERROR(__xludf.DUMMYFUNCTION("""COMPUTED_VALUE"""),42801.6666666666)</f>
        <v>42801.666666666599</v>
      </c>
      <c r="B549" s="1">
        <f ca="1">IFERROR(__xludf.DUMMYFUNCTION("""COMPUTED_VALUE"""),42.36)</f>
        <v>42.36</v>
      </c>
      <c r="C549" s="1">
        <f ca="1">IFERROR(__xludf.DUMMYFUNCTION("""COMPUTED_VALUE"""),42.67)</f>
        <v>42.67</v>
      </c>
      <c r="D549" s="1">
        <f ca="1">IFERROR(__xludf.DUMMYFUNCTION("""COMPUTED_VALUE"""),42.28)</f>
        <v>42.28</v>
      </c>
      <c r="E549" s="1">
        <f ca="1">IFERROR(__xludf.DUMMYFUNCTION("""COMPUTED_VALUE"""),42.56)</f>
        <v>42.56</v>
      </c>
      <c r="F549" s="1">
        <f ca="1">IFERROR(__xludf.DUMMYFUNCTION("""COMPUTED_VALUE"""),1038696)</f>
        <v>1038696</v>
      </c>
    </row>
    <row r="550" spans="1:6" x14ac:dyDescent="0.35">
      <c r="A550" s="2">
        <f ca="1">IFERROR(__xludf.DUMMYFUNCTION("""COMPUTED_VALUE"""),42802.6666666666)</f>
        <v>42802.666666666599</v>
      </c>
      <c r="B550" s="1">
        <f ca="1">IFERROR(__xludf.DUMMYFUNCTION("""COMPUTED_VALUE"""),42.66)</f>
        <v>42.66</v>
      </c>
      <c r="C550" s="1">
        <f ca="1">IFERROR(__xludf.DUMMYFUNCTION("""COMPUTED_VALUE"""),42.85)</f>
        <v>42.85</v>
      </c>
      <c r="D550" s="1">
        <f ca="1">IFERROR(__xludf.DUMMYFUNCTION("""COMPUTED_VALUE"""),42.56)</f>
        <v>42.56</v>
      </c>
      <c r="E550" s="1">
        <f ca="1">IFERROR(__xludf.DUMMYFUNCTION("""COMPUTED_VALUE"""),42.68)</f>
        <v>42.68</v>
      </c>
      <c r="F550" s="1">
        <f ca="1">IFERROR(__xludf.DUMMYFUNCTION("""COMPUTED_VALUE"""),1029834)</f>
        <v>1029834</v>
      </c>
    </row>
    <row r="551" spans="1:6" x14ac:dyDescent="0.35">
      <c r="A551" s="2">
        <f ca="1">IFERROR(__xludf.DUMMYFUNCTION("""COMPUTED_VALUE"""),42803.6666666666)</f>
        <v>42803.666666666599</v>
      </c>
      <c r="B551" s="1">
        <f ca="1">IFERROR(__xludf.DUMMYFUNCTION("""COMPUTED_VALUE"""),42.68)</f>
        <v>42.68</v>
      </c>
      <c r="C551" s="1">
        <f ca="1">IFERROR(__xludf.DUMMYFUNCTION("""COMPUTED_VALUE"""),43.04)</f>
        <v>43.04</v>
      </c>
      <c r="D551" s="1">
        <f ca="1">IFERROR(__xludf.DUMMYFUNCTION("""COMPUTED_VALUE"""),42.63)</f>
        <v>42.63</v>
      </c>
      <c r="E551" s="1">
        <f ca="1">IFERROR(__xludf.DUMMYFUNCTION("""COMPUTED_VALUE"""),42.89)</f>
        <v>42.89</v>
      </c>
      <c r="F551" s="1">
        <f ca="1">IFERROR(__xludf.DUMMYFUNCTION("""COMPUTED_VALUE"""),1347697)</f>
        <v>1347697</v>
      </c>
    </row>
    <row r="552" spans="1:6" x14ac:dyDescent="0.35">
      <c r="A552" s="2">
        <f ca="1">IFERROR(__xludf.DUMMYFUNCTION("""COMPUTED_VALUE"""),42804.6666666666)</f>
        <v>42804.666666666599</v>
      </c>
      <c r="B552" s="1">
        <f ca="1">IFERROR(__xludf.DUMMYFUNCTION("""COMPUTED_VALUE"""),43.14)</f>
        <v>43.14</v>
      </c>
      <c r="C552" s="1">
        <f ca="1">IFERROR(__xludf.DUMMYFUNCTION("""COMPUTED_VALUE"""),43.21)</f>
        <v>43.21</v>
      </c>
      <c r="D552" s="1">
        <f ca="1">IFERROR(__xludf.DUMMYFUNCTION("""COMPUTED_VALUE"""),42.88)</f>
        <v>42.88</v>
      </c>
      <c r="E552" s="1">
        <f ca="1">IFERROR(__xludf.DUMMYFUNCTION("""COMPUTED_VALUE"""),43.07)</f>
        <v>43.07</v>
      </c>
      <c r="F552" s="1">
        <f ca="1">IFERROR(__xludf.DUMMYFUNCTION("""COMPUTED_VALUE"""),1336585)</f>
        <v>1336585</v>
      </c>
    </row>
    <row r="553" spans="1:6" x14ac:dyDescent="0.35">
      <c r="A553" s="2">
        <f ca="1">IFERROR(__xludf.DUMMYFUNCTION("""COMPUTED_VALUE"""),42807.6666666666)</f>
        <v>42807.666666666599</v>
      </c>
      <c r="B553" s="1">
        <f ca="1">IFERROR(__xludf.DUMMYFUNCTION("""COMPUTED_VALUE"""),43.28)</f>
        <v>43.28</v>
      </c>
      <c r="C553" s="1">
        <f ca="1">IFERROR(__xludf.DUMMYFUNCTION("""COMPUTED_VALUE"""),43.36)</f>
        <v>43.36</v>
      </c>
      <c r="D553" s="1">
        <f ca="1">IFERROR(__xludf.DUMMYFUNCTION("""COMPUTED_VALUE"""),43.04)</f>
        <v>43.04</v>
      </c>
      <c r="E553" s="1">
        <f ca="1">IFERROR(__xludf.DUMMYFUNCTION("""COMPUTED_VALUE"""),43.23)</f>
        <v>43.23</v>
      </c>
      <c r="F553" s="1">
        <f ca="1">IFERROR(__xludf.DUMMYFUNCTION("""COMPUTED_VALUE"""),1166605)</f>
        <v>1166605</v>
      </c>
    </row>
    <row r="554" spans="1:6" x14ac:dyDescent="0.35">
      <c r="A554" s="2">
        <f ca="1">IFERROR(__xludf.DUMMYFUNCTION("""COMPUTED_VALUE"""),42808.6666666666)</f>
        <v>42808.666666666599</v>
      </c>
      <c r="B554" s="1">
        <f ca="1">IFERROR(__xludf.DUMMYFUNCTION("""COMPUTED_VALUE"""),43.19)</f>
        <v>43.19</v>
      </c>
      <c r="C554" s="1">
        <f ca="1">IFERROR(__xludf.DUMMYFUNCTION("""COMPUTED_VALUE"""),43.38)</f>
        <v>43.38</v>
      </c>
      <c r="D554" s="1">
        <f ca="1">IFERROR(__xludf.DUMMYFUNCTION("""COMPUTED_VALUE"""),43.01)</f>
        <v>43.01</v>
      </c>
      <c r="E554" s="1">
        <f ca="1">IFERROR(__xludf.DUMMYFUNCTION("""COMPUTED_VALUE"""),43.3)</f>
        <v>43.3</v>
      </c>
      <c r="F554" s="1">
        <f ca="1">IFERROR(__xludf.DUMMYFUNCTION("""COMPUTED_VALUE"""),1061692)</f>
        <v>1061692</v>
      </c>
    </row>
    <row r="555" spans="1:6" x14ac:dyDescent="0.35">
      <c r="A555" s="2">
        <f ca="1">IFERROR(__xludf.DUMMYFUNCTION("""COMPUTED_VALUE"""),42809.6666666666)</f>
        <v>42809.666666666599</v>
      </c>
      <c r="B555" s="1">
        <f ca="1">IFERROR(__xludf.DUMMYFUNCTION("""COMPUTED_VALUE"""),43.4)</f>
        <v>43.4</v>
      </c>
      <c r="C555" s="1">
        <f ca="1">IFERROR(__xludf.DUMMYFUNCTION("""COMPUTED_VALUE"""),43.49)</f>
        <v>43.49</v>
      </c>
      <c r="D555" s="1">
        <f ca="1">IFERROR(__xludf.DUMMYFUNCTION("""COMPUTED_VALUE"""),43.06)</f>
        <v>43.06</v>
      </c>
      <c r="E555" s="1">
        <f ca="1">IFERROR(__xludf.DUMMYFUNCTION("""COMPUTED_VALUE"""),43.42)</f>
        <v>43.42</v>
      </c>
      <c r="F555" s="1">
        <f ca="1">IFERROR(__xludf.DUMMYFUNCTION("""COMPUTED_VALUE"""),1332885)</f>
        <v>1332885</v>
      </c>
    </row>
    <row r="556" spans="1:6" x14ac:dyDescent="0.35">
      <c r="A556" s="2">
        <f ca="1">IFERROR(__xludf.DUMMYFUNCTION("""COMPUTED_VALUE"""),42810.6666666666)</f>
        <v>42810.666666666599</v>
      </c>
      <c r="B556" s="1">
        <f ca="1">IFERROR(__xludf.DUMMYFUNCTION("""COMPUTED_VALUE"""),43.53)</f>
        <v>43.53</v>
      </c>
      <c r="C556" s="1">
        <f ca="1">IFERROR(__xludf.DUMMYFUNCTION("""COMPUTED_VALUE"""),43.64)</f>
        <v>43.64</v>
      </c>
      <c r="D556" s="1">
        <f ca="1">IFERROR(__xludf.DUMMYFUNCTION("""COMPUTED_VALUE"""),43.38)</f>
        <v>43.38</v>
      </c>
      <c r="E556" s="1">
        <f ca="1">IFERROR(__xludf.DUMMYFUNCTION("""COMPUTED_VALUE"""),43.5)</f>
        <v>43.5</v>
      </c>
      <c r="F556" s="1">
        <f ca="1">IFERROR(__xludf.DUMMYFUNCTION("""COMPUTED_VALUE"""),1104452)</f>
        <v>1104452</v>
      </c>
    </row>
    <row r="557" spans="1:6" x14ac:dyDescent="0.35">
      <c r="A557" s="2">
        <f ca="1">IFERROR(__xludf.DUMMYFUNCTION("""COMPUTED_VALUE"""),42811.6666666666)</f>
        <v>42811.666666666599</v>
      </c>
      <c r="B557" s="1">
        <f ca="1">IFERROR(__xludf.DUMMYFUNCTION("""COMPUTED_VALUE"""),43.68)</f>
        <v>43.68</v>
      </c>
      <c r="C557" s="1">
        <f ca="1">IFERROR(__xludf.DUMMYFUNCTION("""COMPUTED_VALUE"""),43.72)</f>
        <v>43.72</v>
      </c>
      <c r="D557" s="1">
        <f ca="1">IFERROR(__xludf.DUMMYFUNCTION("""COMPUTED_VALUE"""),43.42)</f>
        <v>43.42</v>
      </c>
      <c r="E557" s="1">
        <f ca="1">IFERROR(__xludf.DUMMYFUNCTION("""COMPUTED_VALUE"""),43.62)</f>
        <v>43.62</v>
      </c>
      <c r="F557" s="1">
        <f ca="1">IFERROR(__xludf.DUMMYFUNCTION("""COMPUTED_VALUE"""),1868252)</f>
        <v>1868252</v>
      </c>
    </row>
    <row r="558" spans="1:6" x14ac:dyDescent="0.35">
      <c r="A558" s="2">
        <f ca="1">IFERROR(__xludf.DUMMYFUNCTION("""COMPUTED_VALUE"""),42814.6666666666)</f>
        <v>42814.666666666599</v>
      </c>
      <c r="B558" s="1">
        <f ca="1">IFERROR(__xludf.DUMMYFUNCTION("""COMPUTED_VALUE"""),43.47)</f>
        <v>43.47</v>
      </c>
      <c r="C558" s="1">
        <f ca="1">IFERROR(__xludf.DUMMYFUNCTION("""COMPUTED_VALUE"""),43.52)</f>
        <v>43.52</v>
      </c>
      <c r="D558" s="1">
        <f ca="1">IFERROR(__xludf.DUMMYFUNCTION("""COMPUTED_VALUE"""),43.23)</f>
        <v>43.23</v>
      </c>
      <c r="E558" s="1">
        <f ca="1">IFERROR(__xludf.DUMMYFUNCTION("""COMPUTED_VALUE"""),43.4)</f>
        <v>43.4</v>
      </c>
      <c r="F558" s="1">
        <f ca="1">IFERROR(__xludf.DUMMYFUNCTION("""COMPUTED_VALUE"""),1542199)</f>
        <v>1542199</v>
      </c>
    </row>
    <row r="559" spans="1:6" x14ac:dyDescent="0.35">
      <c r="A559" s="2">
        <f ca="1">IFERROR(__xludf.DUMMYFUNCTION("""COMPUTED_VALUE"""),42815.6666666666)</f>
        <v>42815.666666666599</v>
      </c>
      <c r="B559" s="1">
        <f ca="1">IFERROR(__xludf.DUMMYFUNCTION("""COMPUTED_VALUE"""),43.5)</f>
        <v>43.5</v>
      </c>
      <c r="C559" s="1">
        <f ca="1">IFERROR(__xludf.DUMMYFUNCTION("""COMPUTED_VALUE"""),43.67)</f>
        <v>43.67</v>
      </c>
      <c r="D559" s="1">
        <f ca="1">IFERROR(__xludf.DUMMYFUNCTION("""COMPUTED_VALUE"""),42.38)</f>
        <v>42.38</v>
      </c>
      <c r="E559" s="1">
        <f ca="1">IFERROR(__xludf.DUMMYFUNCTION("""COMPUTED_VALUE"""),42.51)</f>
        <v>42.51</v>
      </c>
      <c r="F559" s="1">
        <f ca="1">IFERROR(__xludf.DUMMYFUNCTION("""COMPUTED_VALUE"""),2537978)</f>
        <v>2537978</v>
      </c>
    </row>
    <row r="560" spans="1:6" x14ac:dyDescent="0.35">
      <c r="A560" s="2">
        <f ca="1">IFERROR(__xludf.DUMMYFUNCTION("""COMPUTED_VALUE"""),42816.6666666666)</f>
        <v>42816.666666666599</v>
      </c>
      <c r="B560" s="1">
        <f ca="1">IFERROR(__xludf.DUMMYFUNCTION("""COMPUTED_VALUE"""),42.47)</f>
        <v>42.47</v>
      </c>
      <c r="C560" s="1">
        <f ca="1">IFERROR(__xludf.DUMMYFUNCTION("""COMPUTED_VALUE"""),42.77)</f>
        <v>42.77</v>
      </c>
      <c r="D560" s="1">
        <f ca="1">IFERROR(__xludf.DUMMYFUNCTION("""COMPUTED_VALUE"""),42.35)</f>
        <v>42.35</v>
      </c>
      <c r="E560" s="1">
        <f ca="1">IFERROR(__xludf.DUMMYFUNCTION("""COMPUTED_VALUE"""),42.49)</f>
        <v>42.49</v>
      </c>
      <c r="F560" s="1">
        <f ca="1">IFERROR(__xludf.DUMMYFUNCTION("""COMPUTED_VALUE"""),1366749)</f>
        <v>1366749</v>
      </c>
    </row>
    <row r="561" spans="1:6" x14ac:dyDescent="0.35">
      <c r="A561" s="2">
        <f ca="1">IFERROR(__xludf.DUMMYFUNCTION("""COMPUTED_VALUE"""),42817.6666666666)</f>
        <v>42817.666666666599</v>
      </c>
      <c r="B561" s="1">
        <f ca="1">IFERROR(__xludf.DUMMYFUNCTION("""COMPUTED_VALUE"""),42.07)</f>
        <v>42.07</v>
      </c>
      <c r="C561" s="1">
        <f ca="1">IFERROR(__xludf.DUMMYFUNCTION("""COMPUTED_VALUE"""),42.08)</f>
        <v>42.08</v>
      </c>
      <c r="D561" s="1">
        <f ca="1">IFERROR(__xludf.DUMMYFUNCTION("""COMPUTED_VALUE"""),41.65)</f>
        <v>41.65</v>
      </c>
      <c r="E561" s="1">
        <f ca="1">IFERROR(__xludf.DUMMYFUNCTION("""COMPUTED_VALUE"""),41.98)</f>
        <v>41.98</v>
      </c>
      <c r="F561" s="1">
        <f ca="1">IFERROR(__xludf.DUMMYFUNCTION("""COMPUTED_VALUE"""),3287669)</f>
        <v>3287669</v>
      </c>
    </row>
    <row r="562" spans="1:6" x14ac:dyDescent="0.35">
      <c r="A562" s="2">
        <f ca="1">IFERROR(__xludf.DUMMYFUNCTION("""COMPUTED_VALUE"""),42818.6666666666)</f>
        <v>42818.666666666599</v>
      </c>
      <c r="B562" s="1">
        <f ca="1">IFERROR(__xludf.DUMMYFUNCTION("""COMPUTED_VALUE"""),42.1)</f>
        <v>42.1</v>
      </c>
      <c r="C562" s="1">
        <f ca="1">IFERROR(__xludf.DUMMYFUNCTION("""COMPUTED_VALUE"""),42.2)</f>
        <v>42.2</v>
      </c>
      <c r="D562" s="1">
        <f ca="1">IFERROR(__xludf.DUMMYFUNCTION("""COMPUTED_VALUE"""),41.46)</f>
        <v>41.46</v>
      </c>
      <c r="E562" s="1">
        <f ca="1">IFERROR(__xludf.DUMMYFUNCTION("""COMPUTED_VALUE"""),41.76)</f>
        <v>41.76</v>
      </c>
      <c r="F562" s="1">
        <f ca="1">IFERROR(__xludf.DUMMYFUNCTION("""COMPUTED_VALUE"""),2105682)</f>
        <v>2105682</v>
      </c>
    </row>
    <row r="563" spans="1:6" x14ac:dyDescent="0.35">
      <c r="A563" s="2">
        <f ca="1">IFERROR(__xludf.DUMMYFUNCTION("""COMPUTED_VALUE"""),42821.6666666666)</f>
        <v>42821.666666666599</v>
      </c>
      <c r="B563" s="1">
        <f ca="1">IFERROR(__xludf.DUMMYFUNCTION("""COMPUTED_VALUE"""),41.4)</f>
        <v>41.4</v>
      </c>
      <c r="C563" s="1">
        <f ca="1">IFERROR(__xludf.DUMMYFUNCTION("""COMPUTED_VALUE"""),42.07)</f>
        <v>42.07</v>
      </c>
      <c r="D563" s="1">
        <f ca="1">IFERROR(__xludf.DUMMYFUNCTION("""COMPUTED_VALUE"""),41.22)</f>
        <v>41.22</v>
      </c>
      <c r="E563" s="1">
        <f ca="1">IFERROR(__xludf.DUMMYFUNCTION("""COMPUTED_VALUE"""),41.93)</f>
        <v>41.93</v>
      </c>
      <c r="F563" s="1">
        <f ca="1">IFERROR(__xludf.DUMMYFUNCTION("""COMPUTED_VALUE"""),1935211)</f>
        <v>1935211</v>
      </c>
    </row>
    <row r="564" spans="1:6" x14ac:dyDescent="0.35">
      <c r="A564" s="2">
        <f ca="1">IFERROR(__xludf.DUMMYFUNCTION("""COMPUTED_VALUE"""),42822.6666666666)</f>
        <v>42822.666666666599</v>
      </c>
      <c r="B564" s="1">
        <f ca="1">IFERROR(__xludf.DUMMYFUNCTION("""COMPUTED_VALUE"""),41.98)</f>
        <v>41.98</v>
      </c>
      <c r="C564" s="1">
        <f ca="1">IFERROR(__xludf.DUMMYFUNCTION("""COMPUTED_VALUE"""),42.27)</f>
        <v>42.27</v>
      </c>
      <c r="D564" s="1">
        <f ca="1">IFERROR(__xludf.DUMMYFUNCTION("""COMPUTED_VALUE"""),41.61)</f>
        <v>41.61</v>
      </c>
      <c r="E564" s="1">
        <f ca="1">IFERROR(__xludf.DUMMYFUNCTION("""COMPUTED_VALUE"""),42.03)</f>
        <v>42.03</v>
      </c>
      <c r="F564" s="1">
        <f ca="1">IFERROR(__xludf.DUMMYFUNCTION("""COMPUTED_VALUE"""),1519202)</f>
        <v>1519202</v>
      </c>
    </row>
    <row r="565" spans="1:6" x14ac:dyDescent="0.35">
      <c r="A565" s="2">
        <f ca="1">IFERROR(__xludf.DUMMYFUNCTION("""COMPUTED_VALUE"""),42823.6666666666)</f>
        <v>42823.666666666599</v>
      </c>
      <c r="B565" s="1">
        <f ca="1">IFERROR(__xludf.DUMMYFUNCTION("""COMPUTED_VALUE"""),42.14)</f>
        <v>42.14</v>
      </c>
      <c r="C565" s="1">
        <f ca="1">IFERROR(__xludf.DUMMYFUNCTION("""COMPUTED_VALUE"""),42.58)</f>
        <v>42.58</v>
      </c>
      <c r="D565" s="1">
        <f ca="1">IFERROR(__xludf.DUMMYFUNCTION("""COMPUTED_VALUE"""),42.07)</f>
        <v>42.07</v>
      </c>
      <c r="E565" s="1">
        <f ca="1">IFERROR(__xludf.DUMMYFUNCTION("""COMPUTED_VALUE"""),42.49)</f>
        <v>42.49</v>
      </c>
      <c r="F565" s="1">
        <f ca="1">IFERROR(__xludf.DUMMYFUNCTION("""COMPUTED_VALUE"""),1457347)</f>
        <v>1457347</v>
      </c>
    </row>
    <row r="566" spans="1:6" x14ac:dyDescent="0.35">
      <c r="A566" s="2">
        <f ca="1">IFERROR(__xludf.DUMMYFUNCTION("""COMPUTED_VALUE"""),42824.6666666666)</f>
        <v>42824.666666666599</v>
      </c>
      <c r="B566" s="1">
        <f ca="1">IFERROR(__xludf.DUMMYFUNCTION("""COMPUTED_VALUE"""),42.6)</f>
        <v>42.6</v>
      </c>
      <c r="C566" s="1">
        <f ca="1">IFERROR(__xludf.DUMMYFUNCTION("""COMPUTED_VALUE"""),42.6)</f>
        <v>42.6</v>
      </c>
      <c r="D566" s="1">
        <f ca="1">IFERROR(__xludf.DUMMYFUNCTION("""COMPUTED_VALUE"""),42.34)</f>
        <v>42.34</v>
      </c>
      <c r="E566" s="1">
        <f ca="1">IFERROR(__xludf.DUMMYFUNCTION("""COMPUTED_VALUE"""),42.47)</f>
        <v>42.47</v>
      </c>
      <c r="F566" s="1">
        <f ca="1">IFERROR(__xludf.DUMMYFUNCTION("""COMPUTED_VALUE"""),949398)</f>
        <v>949398</v>
      </c>
    </row>
    <row r="567" spans="1:6" x14ac:dyDescent="0.35">
      <c r="A567" s="2">
        <f ca="1">IFERROR(__xludf.DUMMYFUNCTION("""COMPUTED_VALUE"""),42825.6666666666)</f>
        <v>42825.666666666599</v>
      </c>
      <c r="B567" s="1">
        <f ca="1">IFERROR(__xludf.DUMMYFUNCTION("""COMPUTED_VALUE"""),42.34)</f>
        <v>42.34</v>
      </c>
      <c r="C567" s="1">
        <f ca="1">IFERROR(__xludf.DUMMYFUNCTION("""COMPUTED_VALUE"""),42.48)</f>
        <v>42.48</v>
      </c>
      <c r="D567" s="1">
        <f ca="1">IFERROR(__xludf.DUMMYFUNCTION("""COMPUTED_VALUE"""),42.26)</f>
        <v>42.26</v>
      </c>
      <c r="E567" s="1">
        <f ca="1">IFERROR(__xludf.DUMMYFUNCTION("""COMPUTED_VALUE"""),42.39)</f>
        <v>42.39</v>
      </c>
      <c r="F567" s="1">
        <f ca="1">IFERROR(__xludf.DUMMYFUNCTION("""COMPUTED_VALUE"""),1440982)</f>
        <v>1440982</v>
      </c>
    </row>
    <row r="568" spans="1:6" x14ac:dyDescent="0.35">
      <c r="A568" s="2">
        <f ca="1">IFERROR(__xludf.DUMMYFUNCTION("""COMPUTED_VALUE"""),42828.6666666666)</f>
        <v>42828.666666666599</v>
      </c>
      <c r="B568" s="1">
        <f ca="1">IFERROR(__xludf.DUMMYFUNCTION("""COMPUTED_VALUE"""),42.44)</f>
        <v>42.44</v>
      </c>
      <c r="C568" s="1">
        <f ca="1">IFERROR(__xludf.DUMMYFUNCTION("""COMPUTED_VALUE"""),42.95)</f>
        <v>42.95</v>
      </c>
      <c r="D568" s="1">
        <f ca="1">IFERROR(__xludf.DUMMYFUNCTION("""COMPUTED_VALUE"""),42.38)</f>
        <v>42.38</v>
      </c>
      <c r="E568" s="1">
        <f ca="1">IFERROR(__xludf.DUMMYFUNCTION("""COMPUTED_VALUE"""),42.84)</f>
        <v>42.84</v>
      </c>
      <c r="F568" s="1">
        <f ca="1">IFERROR(__xludf.DUMMYFUNCTION("""COMPUTED_VALUE"""),1969402)</f>
        <v>1969402</v>
      </c>
    </row>
    <row r="569" spans="1:6" x14ac:dyDescent="0.35">
      <c r="A569" s="2">
        <f ca="1">IFERROR(__xludf.DUMMYFUNCTION("""COMPUTED_VALUE"""),42829.6666666666)</f>
        <v>42829.666666666599</v>
      </c>
      <c r="B569" s="1">
        <f ca="1">IFERROR(__xludf.DUMMYFUNCTION("""COMPUTED_VALUE"""),42.4)</f>
        <v>42.4</v>
      </c>
      <c r="C569" s="1">
        <f ca="1">IFERROR(__xludf.DUMMYFUNCTION("""COMPUTED_VALUE"""),42.65)</f>
        <v>42.65</v>
      </c>
      <c r="D569" s="1">
        <f ca="1">IFERROR(__xludf.DUMMYFUNCTION("""COMPUTED_VALUE"""),42.38)</f>
        <v>42.38</v>
      </c>
      <c r="E569" s="1">
        <f ca="1">IFERROR(__xludf.DUMMYFUNCTION("""COMPUTED_VALUE"""),42.63)</f>
        <v>42.63</v>
      </c>
      <c r="F569" s="1">
        <f ca="1">IFERROR(__xludf.DUMMYFUNCTION("""COMPUTED_VALUE"""),1348494)</f>
        <v>1348494</v>
      </c>
    </row>
    <row r="570" spans="1:6" x14ac:dyDescent="0.35">
      <c r="A570" s="2">
        <f ca="1">IFERROR(__xludf.DUMMYFUNCTION("""COMPUTED_VALUE"""),42830.6666666666)</f>
        <v>42830.666666666599</v>
      </c>
      <c r="B570" s="1">
        <f ca="1">IFERROR(__xludf.DUMMYFUNCTION("""COMPUTED_VALUE"""),42.74)</f>
        <v>42.74</v>
      </c>
      <c r="C570" s="1">
        <f ca="1">IFERROR(__xludf.DUMMYFUNCTION("""COMPUTED_VALUE"""),43.03)</f>
        <v>43.03</v>
      </c>
      <c r="D570" s="1">
        <f ca="1">IFERROR(__xludf.DUMMYFUNCTION("""COMPUTED_VALUE"""),42.38)</f>
        <v>42.38</v>
      </c>
      <c r="E570" s="1">
        <f ca="1">IFERROR(__xludf.DUMMYFUNCTION("""COMPUTED_VALUE"""),42.45)</f>
        <v>42.45</v>
      </c>
      <c r="F570" s="1">
        <f ca="1">IFERROR(__xludf.DUMMYFUNCTION("""COMPUTED_VALUE"""),1855153)</f>
        <v>1855153</v>
      </c>
    </row>
    <row r="571" spans="1:6" x14ac:dyDescent="0.35">
      <c r="A571" s="2">
        <f ca="1">IFERROR(__xludf.DUMMYFUNCTION("""COMPUTED_VALUE"""),42831.6666666666)</f>
        <v>42831.666666666599</v>
      </c>
      <c r="B571" s="1">
        <f ca="1">IFERROR(__xludf.DUMMYFUNCTION("""COMPUTED_VALUE"""),42.48)</f>
        <v>42.48</v>
      </c>
      <c r="C571" s="1">
        <f ca="1">IFERROR(__xludf.DUMMYFUNCTION("""COMPUTED_VALUE"""),42.68)</f>
        <v>42.68</v>
      </c>
      <c r="D571" s="1">
        <f ca="1">IFERROR(__xludf.DUMMYFUNCTION("""COMPUTED_VALUE"""),42.2)</f>
        <v>42.2</v>
      </c>
      <c r="E571" s="1">
        <f ca="1">IFERROR(__xludf.DUMMYFUNCTION("""COMPUTED_VALUE"""),42.25)</f>
        <v>42.25</v>
      </c>
      <c r="F571" s="1">
        <f ca="1">IFERROR(__xludf.DUMMYFUNCTION("""COMPUTED_VALUE"""),1533564)</f>
        <v>1533564</v>
      </c>
    </row>
    <row r="572" spans="1:6" x14ac:dyDescent="0.35">
      <c r="A572" s="2">
        <f ca="1">IFERROR(__xludf.DUMMYFUNCTION("""COMPUTED_VALUE"""),42832.6666666666)</f>
        <v>42832.666666666599</v>
      </c>
      <c r="B572" s="1">
        <f ca="1">IFERROR(__xludf.DUMMYFUNCTION("""COMPUTED_VALUE"""),42.25)</f>
        <v>42.25</v>
      </c>
      <c r="C572" s="1">
        <f ca="1">IFERROR(__xludf.DUMMYFUNCTION("""COMPUTED_VALUE"""),42.29)</f>
        <v>42.29</v>
      </c>
      <c r="D572" s="1">
        <f ca="1">IFERROR(__xludf.DUMMYFUNCTION("""COMPUTED_VALUE"""),41.87)</f>
        <v>41.87</v>
      </c>
      <c r="E572" s="1">
        <f ca="1">IFERROR(__xludf.DUMMYFUNCTION("""COMPUTED_VALUE"""),42.11)</f>
        <v>42.11</v>
      </c>
      <c r="F572" s="1">
        <f ca="1">IFERROR(__xludf.DUMMYFUNCTION("""COMPUTED_VALUE"""),1111610)</f>
        <v>1111610</v>
      </c>
    </row>
    <row r="573" spans="1:6" x14ac:dyDescent="0.35">
      <c r="A573" s="2">
        <f ca="1">IFERROR(__xludf.DUMMYFUNCTION("""COMPUTED_VALUE"""),42835.6666666666)</f>
        <v>42835.666666666599</v>
      </c>
      <c r="B573" s="1">
        <f ca="1">IFERROR(__xludf.DUMMYFUNCTION("""COMPUTED_VALUE"""),42.08)</f>
        <v>42.08</v>
      </c>
      <c r="C573" s="1">
        <f ca="1">IFERROR(__xludf.DUMMYFUNCTION("""COMPUTED_VALUE"""),42.34)</f>
        <v>42.34</v>
      </c>
      <c r="D573" s="1">
        <f ca="1">IFERROR(__xludf.DUMMYFUNCTION("""COMPUTED_VALUE"""),42.04)</f>
        <v>42.04</v>
      </c>
      <c r="E573" s="1">
        <f ca="1">IFERROR(__xludf.DUMMYFUNCTION("""COMPUTED_VALUE"""),42.09)</f>
        <v>42.09</v>
      </c>
      <c r="F573" s="1">
        <f ca="1">IFERROR(__xludf.DUMMYFUNCTION("""COMPUTED_VALUE"""),1046215)</f>
        <v>1046215</v>
      </c>
    </row>
    <row r="574" spans="1:6" x14ac:dyDescent="0.35">
      <c r="A574" s="2">
        <f ca="1">IFERROR(__xludf.DUMMYFUNCTION("""COMPUTED_VALUE"""),42836.6666666666)</f>
        <v>42836.666666666599</v>
      </c>
      <c r="B574" s="1">
        <f ca="1">IFERROR(__xludf.DUMMYFUNCTION("""COMPUTED_VALUE"""),42.09)</f>
        <v>42.09</v>
      </c>
      <c r="C574" s="1">
        <f ca="1">IFERROR(__xludf.DUMMYFUNCTION("""COMPUTED_VALUE"""),42.23)</f>
        <v>42.23</v>
      </c>
      <c r="D574" s="1">
        <f ca="1">IFERROR(__xludf.DUMMYFUNCTION("""COMPUTED_VALUE"""),41.73)</f>
        <v>41.73</v>
      </c>
      <c r="E574" s="1">
        <f ca="1">IFERROR(__xludf.DUMMYFUNCTION("""COMPUTED_VALUE"""),41.99)</f>
        <v>41.99</v>
      </c>
      <c r="F574" s="1">
        <f ca="1">IFERROR(__xludf.DUMMYFUNCTION("""COMPUTED_VALUE"""),974343)</f>
        <v>974343</v>
      </c>
    </row>
    <row r="575" spans="1:6" x14ac:dyDescent="0.35">
      <c r="A575" s="2">
        <f ca="1">IFERROR(__xludf.DUMMYFUNCTION("""COMPUTED_VALUE"""),42837.6666666666)</f>
        <v>42837.666666666599</v>
      </c>
      <c r="B575" s="1">
        <f ca="1">IFERROR(__xludf.DUMMYFUNCTION("""COMPUTED_VALUE"""),41.92)</f>
        <v>41.92</v>
      </c>
      <c r="C575" s="1">
        <f ca="1">IFERROR(__xludf.DUMMYFUNCTION("""COMPUTED_VALUE"""),42.19)</f>
        <v>42.19</v>
      </c>
      <c r="D575" s="1">
        <f ca="1">IFERROR(__xludf.DUMMYFUNCTION("""COMPUTED_VALUE"""),41.88)</f>
        <v>41.88</v>
      </c>
      <c r="E575" s="1">
        <f ca="1">IFERROR(__xludf.DUMMYFUNCTION("""COMPUTED_VALUE"""),42.07)</f>
        <v>42.07</v>
      </c>
      <c r="F575" s="1">
        <f ca="1">IFERROR(__xludf.DUMMYFUNCTION("""COMPUTED_VALUE"""),1135775)</f>
        <v>1135775</v>
      </c>
    </row>
    <row r="576" spans="1:6" x14ac:dyDescent="0.35">
      <c r="A576" s="2">
        <f ca="1">IFERROR(__xludf.DUMMYFUNCTION("""COMPUTED_VALUE"""),42838.6666666666)</f>
        <v>42838.666666666599</v>
      </c>
      <c r="B576" s="1">
        <f ca="1">IFERROR(__xludf.DUMMYFUNCTION("""COMPUTED_VALUE"""),42.05)</f>
        <v>42.05</v>
      </c>
      <c r="C576" s="1">
        <f ca="1">IFERROR(__xludf.DUMMYFUNCTION("""COMPUTED_VALUE"""),42.19)</f>
        <v>42.19</v>
      </c>
      <c r="D576" s="1">
        <f ca="1">IFERROR(__xludf.DUMMYFUNCTION("""COMPUTED_VALUE"""),41.89)</f>
        <v>41.89</v>
      </c>
      <c r="E576" s="1">
        <f ca="1">IFERROR(__xludf.DUMMYFUNCTION("""COMPUTED_VALUE"""),42.01)</f>
        <v>42.01</v>
      </c>
      <c r="F576" s="1">
        <f ca="1">IFERROR(__xludf.DUMMYFUNCTION("""COMPUTED_VALUE"""),1073650)</f>
        <v>1073650</v>
      </c>
    </row>
    <row r="577" spans="1:6" x14ac:dyDescent="0.35">
      <c r="A577" s="2">
        <f ca="1">IFERROR(__xludf.DUMMYFUNCTION("""COMPUTED_VALUE"""),42842.6666666666)</f>
        <v>42842.666666666599</v>
      </c>
      <c r="B577" s="1">
        <f ca="1">IFERROR(__xludf.DUMMYFUNCTION("""COMPUTED_VALUE"""),42.07)</f>
        <v>42.07</v>
      </c>
      <c r="C577" s="1">
        <f ca="1">IFERROR(__xludf.DUMMYFUNCTION("""COMPUTED_VALUE"""),42.78)</f>
        <v>42.78</v>
      </c>
      <c r="D577" s="1">
        <f ca="1">IFERROR(__xludf.DUMMYFUNCTION("""COMPUTED_VALUE"""),42.05)</f>
        <v>42.05</v>
      </c>
      <c r="E577" s="1">
        <f ca="1">IFERROR(__xludf.DUMMYFUNCTION("""COMPUTED_VALUE"""),42.76)</f>
        <v>42.76</v>
      </c>
      <c r="F577" s="1">
        <f ca="1">IFERROR(__xludf.DUMMYFUNCTION("""COMPUTED_VALUE"""),1049125)</f>
        <v>1049125</v>
      </c>
    </row>
    <row r="578" spans="1:6" x14ac:dyDescent="0.35">
      <c r="A578" s="2">
        <f ca="1">IFERROR(__xludf.DUMMYFUNCTION("""COMPUTED_VALUE"""),42843.6666666666)</f>
        <v>42843.666666666599</v>
      </c>
      <c r="B578" s="1">
        <f ca="1">IFERROR(__xludf.DUMMYFUNCTION("""COMPUTED_VALUE"""),42.63)</f>
        <v>42.63</v>
      </c>
      <c r="C578" s="1">
        <f ca="1">IFERROR(__xludf.DUMMYFUNCTION("""COMPUTED_VALUE"""),42.87)</f>
        <v>42.87</v>
      </c>
      <c r="D578" s="1">
        <f ca="1">IFERROR(__xludf.DUMMYFUNCTION("""COMPUTED_VALUE"""),42.56)</f>
        <v>42.56</v>
      </c>
      <c r="E578" s="1">
        <f ca="1">IFERROR(__xludf.DUMMYFUNCTION("""COMPUTED_VALUE"""),42.7)</f>
        <v>42.7</v>
      </c>
      <c r="F578" s="1">
        <f ca="1">IFERROR(__xludf.DUMMYFUNCTION("""COMPUTED_VALUE"""),936201)</f>
        <v>936201</v>
      </c>
    </row>
    <row r="579" spans="1:6" x14ac:dyDescent="0.35">
      <c r="A579" s="2">
        <f ca="1">IFERROR(__xludf.DUMMYFUNCTION("""COMPUTED_VALUE"""),42844.6666666666)</f>
        <v>42844.666666666599</v>
      </c>
      <c r="B579" s="1">
        <f ca="1">IFERROR(__xludf.DUMMYFUNCTION("""COMPUTED_VALUE"""),42.87)</f>
        <v>42.87</v>
      </c>
      <c r="C579" s="1">
        <f ca="1">IFERROR(__xludf.DUMMYFUNCTION("""COMPUTED_VALUE"""),43.01)</f>
        <v>43.01</v>
      </c>
      <c r="D579" s="1">
        <f ca="1">IFERROR(__xludf.DUMMYFUNCTION("""COMPUTED_VALUE"""),42.68)</f>
        <v>42.68</v>
      </c>
      <c r="E579" s="1">
        <f ca="1">IFERROR(__xludf.DUMMYFUNCTION("""COMPUTED_VALUE"""),42.83)</f>
        <v>42.83</v>
      </c>
      <c r="F579" s="1">
        <f ca="1">IFERROR(__xludf.DUMMYFUNCTION("""COMPUTED_VALUE"""),1080336)</f>
        <v>1080336</v>
      </c>
    </row>
    <row r="580" spans="1:6" x14ac:dyDescent="0.35">
      <c r="A580" s="2">
        <f ca="1">IFERROR(__xludf.DUMMYFUNCTION("""COMPUTED_VALUE"""),42845.6666666666)</f>
        <v>42845.666666666599</v>
      </c>
      <c r="B580" s="1">
        <f ca="1">IFERROR(__xludf.DUMMYFUNCTION("""COMPUTED_VALUE"""),42.99)</f>
        <v>42.99</v>
      </c>
      <c r="C580" s="1">
        <f ca="1">IFERROR(__xludf.DUMMYFUNCTION("""COMPUTED_VALUE"""),43.2)</f>
        <v>43.2</v>
      </c>
      <c r="D580" s="1">
        <f ca="1">IFERROR(__xludf.DUMMYFUNCTION("""COMPUTED_VALUE"""),42.88)</f>
        <v>42.88</v>
      </c>
      <c r="E580" s="1">
        <f ca="1">IFERROR(__xludf.DUMMYFUNCTION("""COMPUTED_VALUE"""),43)</f>
        <v>43</v>
      </c>
      <c r="F580" s="1">
        <f ca="1">IFERROR(__xludf.DUMMYFUNCTION("""COMPUTED_VALUE"""),1188843)</f>
        <v>1188843</v>
      </c>
    </row>
    <row r="581" spans="1:6" x14ac:dyDescent="0.35">
      <c r="A581" s="2">
        <f ca="1">IFERROR(__xludf.DUMMYFUNCTION("""COMPUTED_VALUE"""),42846.6666666666)</f>
        <v>42846.666666666599</v>
      </c>
      <c r="B581" s="1">
        <f ca="1">IFERROR(__xludf.DUMMYFUNCTION("""COMPUTED_VALUE"""),43.03)</f>
        <v>43.03</v>
      </c>
      <c r="C581" s="1">
        <f ca="1">IFERROR(__xludf.DUMMYFUNCTION("""COMPUTED_VALUE"""),43.12)</f>
        <v>43.12</v>
      </c>
      <c r="D581" s="1">
        <f ca="1">IFERROR(__xludf.DUMMYFUNCTION("""COMPUTED_VALUE"""),42.89)</f>
        <v>42.89</v>
      </c>
      <c r="E581" s="1">
        <f ca="1">IFERROR(__xludf.DUMMYFUNCTION("""COMPUTED_VALUE"""),42.95)</f>
        <v>42.95</v>
      </c>
      <c r="F581" s="1">
        <f ca="1">IFERROR(__xludf.DUMMYFUNCTION("""COMPUTED_VALUE"""),1172870)</f>
        <v>1172870</v>
      </c>
    </row>
    <row r="582" spans="1:6" x14ac:dyDescent="0.35">
      <c r="A582" s="2">
        <f ca="1">IFERROR(__xludf.DUMMYFUNCTION("""COMPUTED_VALUE"""),42849.6666666666)</f>
        <v>42849.666666666599</v>
      </c>
      <c r="B582" s="1">
        <f ca="1">IFERROR(__xludf.DUMMYFUNCTION("""COMPUTED_VALUE"""),43.42)</f>
        <v>43.42</v>
      </c>
      <c r="C582" s="1">
        <f ca="1">IFERROR(__xludf.DUMMYFUNCTION("""COMPUTED_VALUE"""),44)</f>
        <v>44</v>
      </c>
      <c r="D582" s="1">
        <f ca="1">IFERROR(__xludf.DUMMYFUNCTION("""COMPUTED_VALUE"""),43.31)</f>
        <v>43.31</v>
      </c>
      <c r="E582" s="1">
        <f ca="1">IFERROR(__xludf.DUMMYFUNCTION("""COMPUTED_VALUE"""),43.95)</f>
        <v>43.95</v>
      </c>
      <c r="F582" s="1">
        <f ca="1">IFERROR(__xludf.DUMMYFUNCTION("""COMPUTED_VALUE"""),1696483)</f>
        <v>1696483</v>
      </c>
    </row>
    <row r="583" spans="1:6" x14ac:dyDescent="0.35">
      <c r="A583" s="2">
        <f ca="1">IFERROR(__xludf.DUMMYFUNCTION("""COMPUTED_VALUE"""),42850.6666666666)</f>
        <v>42850.666666666599</v>
      </c>
      <c r="B583" s="1">
        <f ca="1">IFERROR(__xludf.DUMMYFUNCTION("""COMPUTED_VALUE"""),44.11)</f>
        <v>44.11</v>
      </c>
      <c r="C583" s="1">
        <f ca="1">IFERROR(__xludf.DUMMYFUNCTION("""COMPUTED_VALUE"""),44.61)</f>
        <v>44.61</v>
      </c>
      <c r="D583" s="1">
        <f ca="1">IFERROR(__xludf.DUMMYFUNCTION("""COMPUTED_VALUE"""),43.96)</f>
        <v>43.96</v>
      </c>
      <c r="E583" s="1">
        <f ca="1">IFERROR(__xludf.DUMMYFUNCTION("""COMPUTED_VALUE"""),44.44)</f>
        <v>44.44</v>
      </c>
      <c r="F583" s="1">
        <f ca="1">IFERROR(__xludf.DUMMYFUNCTION("""COMPUTED_VALUE"""),2038032)</f>
        <v>2038032</v>
      </c>
    </row>
    <row r="584" spans="1:6" x14ac:dyDescent="0.35">
      <c r="A584" s="2">
        <f ca="1">IFERROR(__xludf.DUMMYFUNCTION("""COMPUTED_VALUE"""),42851.6666666666)</f>
        <v>42851.666666666599</v>
      </c>
      <c r="B584" s="1">
        <f ca="1">IFERROR(__xludf.DUMMYFUNCTION("""COMPUTED_VALUE"""),44.57)</f>
        <v>44.57</v>
      </c>
      <c r="C584" s="1">
        <f ca="1">IFERROR(__xludf.DUMMYFUNCTION("""COMPUTED_VALUE"""),44.65)</f>
        <v>44.65</v>
      </c>
      <c r="D584" s="1">
        <f ca="1">IFERROR(__xludf.DUMMYFUNCTION("""COMPUTED_VALUE"""),44.26)</f>
        <v>44.26</v>
      </c>
      <c r="E584" s="1">
        <f ca="1">IFERROR(__xludf.DUMMYFUNCTION("""COMPUTED_VALUE"""),44.46)</f>
        <v>44.46</v>
      </c>
      <c r="F584" s="1">
        <f ca="1">IFERROR(__xludf.DUMMYFUNCTION("""COMPUTED_VALUE"""),1323297)</f>
        <v>1323297</v>
      </c>
    </row>
    <row r="585" spans="1:6" x14ac:dyDescent="0.35">
      <c r="A585" s="2">
        <f ca="1">IFERROR(__xludf.DUMMYFUNCTION("""COMPUTED_VALUE"""),42852.6666666666)</f>
        <v>42852.666666666599</v>
      </c>
      <c r="B585" s="1">
        <f ca="1">IFERROR(__xludf.DUMMYFUNCTION("""COMPUTED_VALUE"""),44.5)</f>
        <v>44.5</v>
      </c>
      <c r="C585" s="1">
        <f ca="1">IFERROR(__xludf.DUMMYFUNCTION("""COMPUTED_VALUE"""),44.67)</f>
        <v>44.67</v>
      </c>
      <c r="D585" s="1">
        <f ca="1">IFERROR(__xludf.DUMMYFUNCTION("""COMPUTED_VALUE"""),44.36)</f>
        <v>44.36</v>
      </c>
      <c r="E585" s="1">
        <f ca="1">IFERROR(__xludf.DUMMYFUNCTION("""COMPUTED_VALUE"""),44.57)</f>
        <v>44.57</v>
      </c>
      <c r="F585" s="1">
        <f ca="1">IFERROR(__xludf.DUMMYFUNCTION("""COMPUTED_VALUE"""),2342303)</f>
        <v>2342303</v>
      </c>
    </row>
    <row r="586" spans="1:6" x14ac:dyDescent="0.35">
      <c r="A586" s="2">
        <f ca="1">IFERROR(__xludf.DUMMYFUNCTION("""COMPUTED_VALUE"""),42853.6666666666)</f>
        <v>42853.666666666599</v>
      </c>
      <c r="B586" s="1">
        <f ca="1">IFERROR(__xludf.DUMMYFUNCTION("""COMPUTED_VALUE"""),46.45)</f>
        <v>46.45</v>
      </c>
      <c r="C586" s="1">
        <f ca="1">IFERROR(__xludf.DUMMYFUNCTION("""COMPUTED_VALUE"""),46.8)</f>
        <v>46.8</v>
      </c>
      <c r="D586" s="1">
        <f ca="1">IFERROR(__xludf.DUMMYFUNCTION("""COMPUTED_VALUE"""),46.16)</f>
        <v>46.16</v>
      </c>
      <c r="E586" s="1">
        <f ca="1">IFERROR(__xludf.DUMMYFUNCTION("""COMPUTED_VALUE"""),46.23)</f>
        <v>46.23</v>
      </c>
      <c r="F586" s="1">
        <f ca="1">IFERROR(__xludf.DUMMYFUNCTION("""COMPUTED_VALUE"""),3845857)</f>
        <v>3845857</v>
      </c>
    </row>
    <row r="587" spans="1:6" x14ac:dyDescent="0.35">
      <c r="A587" s="2">
        <f ca="1">IFERROR(__xludf.DUMMYFUNCTION("""COMPUTED_VALUE"""),42856.6666666666)</f>
        <v>42856.666666666599</v>
      </c>
      <c r="B587" s="1">
        <f ca="1">IFERROR(__xludf.DUMMYFUNCTION("""COMPUTED_VALUE"""),46.21)</f>
        <v>46.21</v>
      </c>
      <c r="C587" s="1">
        <f ca="1">IFERROR(__xludf.DUMMYFUNCTION("""COMPUTED_VALUE"""),46.79)</f>
        <v>46.79</v>
      </c>
      <c r="D587" s="1">
        <f ca="1">IFERROR(__xludf.DUMMYFUNCTION("""COMPUTED_VALUE"""),46.04)</f>
        <v>46.04</v>
      </c>
      <c r="E587" s="1">
        <f ca="1">IFERROR(__xludf.DUMMYFUNCTION("""COMPUTED_VALUE"""),46.64)</f>
        <v>46.64</v>
      </c>
      <c r="F587" s="1">
        <f ca="1">IFERROR(__xludf.DUMMYFUNCTION("""COMPUTED_VALUE"""),2327782)</f>
        <v>2327782</v>
      </c>
    </row>
    <row r="588" spans="1:6" x14ac:dyDescent="0.35">
      <c r="A588" s="2">
        <f ca="1">IFERROR(__xludf.DUMMYFUNCTION("""COMPUTED_VALUE"""),42857.6666666666)</f>
        <v>42857.666666666599</v>
      </c>
      <c r="B588" s="1">
        <f ca="1">IFERROR(__xludf.DUMMYFUNCTION("""COMPUTED_VALUE"""),46.66)</f>
        <v>46.66</v>
      </c>
      <c r="C588" s="1">
        <f ca="1">IFERROR(__xludf.DUMMYFUNCTION("""COMPUTED_VALUE"""),47.15)</f>
        <v>47.15</v>
      </c>
      <c r="D588" s="1">
        <f ca="1">IFERROR(__xludf.DUMMYFUNCTION("""COMPUTED_VALUE"""),46.55)</f>
        <v>46.55</v>
      </c>
      <c r="E588" s="1">
        <f ca="1">IFERROR(__xludf.DUMMYFUNCTION("""COMPUTED_VALUE"""),46.85)</f>
        <v>46.85</v>
      </c>
      <c r="F588" s="1">
        <f ca="1">IFERROR(__xludf.DUMMYFUNCTION("""COMPUTED_VALUE"""),1751292)</f>
        <v>1751292</v>
      </c>
    </row>
    <row r="589" spans="1:6" x14ac:dyDescent="0.35">
      <c r="A589" s="2">
        <f ca="1">IFERROR(__xludf.DUMMYFUNCTION("""COMPUTED_VALUE"""),42858.6666666666)</f>
        <v>42858.666666666599</v>
      </c>
      <c r="B589" s="1">
        <f ca="1">IFERROR(__xludf.DUMMYFUNCTION("""COMPUTED_VALUE"""),46.8)</f>
        <v>46.8</v>
      </c>
      <c r="C589" s="1">
        <f ca="1">IFERROR(__xludf.DUMMYFUNCTION("""COMPUTED_VALUE"""),47.51)</f>
        <v>47.51</v>
      </c>
      <c r="D589" s="1">
        <f ca="1">IFERROR(__xludf.DUMMYFUNCTION("""COMPUTED_VALUE"""),46.76)</f>
        <v>46.76</v>
      </c>
      <c r="E589" s="1">
        <f ca="1">IFERROR(__xludf.DUMMYFUNCTION("""COMPUTED_VALUE"""),47.42)</f>
        <v>47.42</v>
      </c>
      <c r="F589" s="1">
        <f ca="1">IFERROR(__xludf.DUMMYFUNCTION("""COMPUTED_VALUE"""),1824759)</f>
        <v>1824759</v>
      </c>
    </row>
    <row r="590" spans="1:6" x14ac:dyDescent="0.35">
      <c r="A590" s="2">
        <f ca="1">IFERROR(__xludf.DUMMYFUNCTION("""COMPUTED_VALUE"""),42859.6666666666)</f>
        <v>42859.666666666599</v>
      </c>
      <c r="B590" s="1">
        <f ca="1">IFERROR(__xludf.DUMMYFUNCTION("""COMPUTED_VALUE"""),47.51)</f>
        <v>47.51</v>
      </c>
      <c r="C590" s="1">
        <f ca="1">IFERROR(__xludf.DUMMYFUNCTION("""COMPUTED_VALUE"""),47.96)</f>
        <v>47.96</v>
      </c>
      <c r="D590" s="1">
        <f ca="1">IFERROR(__xludf.DUMMYFUNCTION("""COMPUTED_VALUE"""),47.37)</f>
        <v>47.37</v>
      </c>
      <c r="E590" s="1">
        <f ca="1">IFERROR(__xludf.DUMMYFUNCTION("""COMPUTED_VALUE"""),47.74)</f>
        <v>47.74</v>
      </c>
      <c r="F590" s="1">
        <f ca="1">IFERROR(__xludf.DUMMYFUNCTION("""COMPUTED_VALUE"""),1938260)</f>
        <v>1938260</v>
      </c>
    </row>
    <row r="591" spans="1:6" x14ac:dyDescent="0.35">
      <c r="A591" s="2">
        <f ca="1">IFERROR(__xludf.DUMMYFUNCTION("""COMPUTED_VALUE"""),42860.6666666666)</f>
        <v>42860.666666666599</v>
      </c>
      <c r="B591" s="1">
        <f ca="1">IFERROR(__xludf.DUMMYFUNCTION("""COMPUTED_VALUE"""),47.84)</f>
        <v>47.84</v>
      </c>
      <c r="C591" s="1">
        <f ca="1">IFERROR(__xludf.DUMMYFUNCTION("""COMPUTED_VALUE"""),47.92)</f>
        <v>47.92</v>
      </c>
      <c r="D591" s="1">
        <f ca="1">IFERROR(__xludf.DUMMYFUNCTION("""COMPUTED_VALUE"""),47.4)</f>
        <v>47.4</v>
      </c>
      <c r="E591" s="1">
        <f ca="1">IFERROR(__xludf.DUMMYFUNCTION("""COMPUTED_VALUE"""),47.51)</f>
        <v>47.51</v>
      </c>
      <c r="F591" s="1">
        <f ca="1">IFERROR(__xludf.DUMMYFUNCTION("""COMPUTED_VALUE"""),1615548)</f>
        <v>1615548</v>
      </c>
    </row>
    <row r="592" spans="1:6" x14ac:dyDescent="0.35">
      <c r="A592" s="2">
        <f ca="1">IFERROR(__xludf.DUMMYFUNCTION("""COMPUTED_VALUE"""),42863.6666666666)</f>
        <v>42863.666666666599</v>
      </c>
      <c r="B592" s="1">
        <f ca="1">IFERROR(__xludf.DUMMYFUNCTION("""COMPUTED_VALUE"""),47.37)</f>
        <v>47.37</v>
      </c>
      <c r="C592" s="1">
        <f ca="1">IFERROR(__xludf.DUMMYFUNCTION("""COMPUTED_VALUE"""),48.05)</f>
        <v>48.05</v>
      </c>
      <c r="D592" s="1">
        <f ca="1">IFERROR(__xludf.DUMMYFUNCTION("""COMPUTED_VALUE"""),47.37)</f>
        <v>47.37</v>
      </c>
      <c r="E592" s="1">
        <f ca="1">IFERROR(__xludf.DUMMYFUNCTION("""COMPUTED_VALUE"""),47.93)</f>
        <v>47.93</v>
      </c>
      <c r="F592" s="1">
        <f ca="1">IFERROR(__xludf.DUMMYFUNCTION("""COMPUTED_VALUE"""),1876690)</f>
        <v>1876690</v>
      </c>
    </row>
    <row r="593" spans="1:6" x14ac:dyDescent="0.35">
      <c r="A593" s="2">
        <f ca="1">IFERROR(__xludf.DUMMYFUNCTION("""COMPUTED_VALUE"""),42864.6666666666)</f>
        <v>42864.666666666599</v>
      </c>
      <c r="B593" s="1">
        <f ca="1">IFERROR(__xludf.DUMMYFUNCTION("""COMPUTED_VALUE"""),48.07)</f>
        <v>48.07</v>
      </c>
      <c r="C593" s="1">
        <f ca="1">IFERROR(__xludf.DUMMYFUNCTION("""COMPUTED_VALUE"""),48.11)</f>
        <v>48.11</v>
      </c>
      <c r="D593" s="1">
        <f ca="1">IFERROR(__xludf.DUMMYFUNCTION("""COMPUTED_VALUE"""),47.72)</f>
        <v>47.72</v>
      </c>
      <c r="E593" s="1">
        <f ca="1">IFERROR(__xludf.DUMMYFUNCTION("""COMPUTED_VALUE"""),47.84)</f>
        <v>47.84</v>
      </c>
      <c r="F593" s="1">
        <f ca="1">IFERROR(__xludf.DUMMYFUNCTION("""COMPUTED_VALUE"""),1687942)</f>
        <v>1687942</v>
      </c>
    </row>
    <row r="594" spans="1:6" x14ac:dyDescent="0.35">
      <c r="A594" s="2">
        <f ca="1">IFERROR(__xludf.DUMMYFUNCTION("""COMPUTED_VALUE"""),42865.6666666666)</f>
        <v>42865.666666666599</v>
      </c>
      <c r="B594" s="1">
        <f ca="1">IFERROR(__xludf.DUMMYFUNCTION("""COMPUTED_VALUE"""),47.81)</f>
        <v>47.81</v>
      </c>
      <c r="C594" s="1">
        <f ca="1">IFERROR(__xludf.DUMMYFUNCTION("""COMPUTED_VALUE"""),47.84)</f>
        <v>47.84</v>
      </c>
      <c r="D594" s="1">
        <f ca="1">IFERROR(__xludf.DUMMYFUNCTION("""COMPUTED_VALUE"""),47.49)</f>
        <v>47.49</v>
      </c>
      <c r="E594" s="1">
        <f ca="1">IFERROR(__xludf.DUMMYFUNCTION("""COMPUTED_VALUE"""),47.74)</f>
        <v>47.74</v>
      </c>
      <c r="F594" s="1">
        <f ca="1">IFERROR(__xludf.DUMMYFUNCTION("""COMPUTED_VALUE"""),1145969)</f>
        <v>1145969</v>
      </c>
    </row>
    <row r="595" spans="1:6" x14ac:dyDescent="0.35">
      <c r="A595" s="2">
        <f ca="1">IFERROR(__xludf.DUMMYFUNCTION("""COMPUTED_VALUE"""),42866.6666666666)</f>
        <v>42866.666666666599</v>
      </c>
      <c r="B595" s="1">
        <f ca="1">IFERROR(__xludf.DUMMYFUNCTION("""COMPUTED_VALUE"""),47.56)</f>
        <v>47.56</v>
      </c>
      <c r="C595" s="1">
        <f ca="1">IFERROR(__xludf.DUMMYFUNCTION("""COMPUTED_VALUE"""),47.9)</f>
        <v>47.9</v>
      </c>
      <c r="D595" s="1">
        <f ca="1">IFERROR(__xludf.DUMMYFUNCTION("""COMPUTED_VALUE"""),47.43)</f>
        <v>47.43</v>
      </c>
      <c r="E595" s="1">
        <f ca="1">IFERROR(__xludf.DUMMYFUNCTION("""COMPUTED_VALUE"""),47.79)</f>
        <v>47.79</v>
      </c>
      <c r="F595" s="1">
        <f ca="1">IFERROR(__xludf.DUMMYFUNCTION("""COMPUTED_VALUE"""),1031093)</f>
        <v>1031093</v>
      </c>
    </row>
    <row r="596" spans="1:6" x14ac:dyDescent="0.35">
      <c r="A596" s="2">
        <f ca="1">IFERROR(__xludf.DUMMYFUNCTION("""COMPUTED_VALUE"""),42867.6666666666)</f>
        <v>42867.666666666599</v>
      </c>
      <c r="B596" s="1">
        <f ca="1">IFERROR(__xludf.DUMMYFUNCTION("""COMPUTED_VALUE"""),47.89)</f>
        <v>47.89</v>
      </c>
      <c r="C596" s="1">
        <f ca="1">IFERROR(__xludf.DUMMYFUNCTION("""COMPUTED_VALUE"""),47.9)</f>
        <v>47.9</v>
      </c>
      <c r="D596" s="1">
        <f ca="1">IFERROR(__xludf.DUMMYFUNCTION("""COMPUTED_VALUE"""),47.6)</f>
        <v>47.6</v>
      </c>
      <c r="E596" s="1">
        <f ca="1">IFERROR(__xludf.DUMMYFUNCTION("""COMPUTED_VALUE"""),47.76)</f>
        <v>47.76</v>
      </c>
      <c r="F596" s="1">
        <f ca="1">IFERROR(__xludf.DUMMYFUNCTION("""COMPUTED_VALUE"""),1214851)</f>
        <v>1214851</v>
      </c>
    </row>
    <row r="597" spans="1:6" x14ac:dyDescent="0.35">
      <c r="A597" s="2">
        <f ca="1">IFERROR(__xludf.DUMMYFUNCTION("""COMPUTED_VALUE"""),42870.6666666666)</f>
        <v>42870.666666666599</v>
      </c>
      <c r="B597" s="1">
        <f ca="1">IFERROR(__xludf.DUMMYFUNCTION("""COMPUTED_VALUE"""),47.76)</f>
        <v>47.76</v>
      </c>
      <c r="C597" s="1">
        <f ca="1">IFERROR(__xludf.DUMMYFUNCTION("""COMPUTED_VALUE"""),48.14)</f>
        <v>48.14</v>
      </c>
      <c r="D597" s="1">
        <f ca="1">IFERROR(__xludf.DUMMYFUNCTION("""COMPUTED_VALUE"""),47.64)</f>
        <v>47.64</v>
      </c>
      <c r="E597" s="1">
        <f ca="1">IFERROR(__xludf.DUMMYFUNCTION("""COMPUTED_VALUE"""),47.96)</f>
        <v>47.96</v>
      </c>
      <c r="F597" s="1">
        <f ca="1">IFERROR(__xludf.DUMMYFUNCTION("""COMPUTED_VALUE"""),1337697)</f>
        <v>1337697</v>
      </c>
    </row>
    <row r="598" spans="1:6" x14ac:dyDescent="0.35">
      <c r="A598" s="2">
        <f ca="1">IFERROR(__xludf.DUMMYFUNCTION("""COMPUTED_VALUE"""),42871.6666666666)</f>
        <v>42871.666666666599</v>
      </c>
      <c r="B598" s="1">
        <f ca="1">IFERROR(__xludf.DUMMYFUNCTION("""COMPUTED_VALUE"""),48.18)</f>
        <v>48.18</v>
      </c>
      <c r="C598" s="1">
        <f ca="1">IFERROR(__xludf.DUMMYFUNCTION("""COMPUTED_VALUE"""),48.29)</f>
        <v>48.29</v>
      </c>
      <c r="D598" s="1">
        <f ca="1">IFERROR(__xludf.DUMMYFUNCTION("""COMPUTED_VALUE"""),48.02)</f>
        <v>48.02</v>
      </c>
      <c r="E598" s="1">
        <f ca="1">IFERROR(__xludf.DUMMYFUNCTION("""COMPUTED_VALUE"""),48.23)</f>
        <v>48.23</v>
      </c>
      <c r="F598" s="1">
        <f ca="1">IFERROR(__xludf.DUMMYFUNCTION("""COMPUTED_VALUE"""),1101544)</f>
        <v>1101544</v>
      </c>
    </row>
    <row r="599" spans="1:6" x14ac:dyDescent="0.35">
      <c r="A599" s="2">
        <f ca="1">IFERROR(__xludf.DUMMYFUNCTION("""COMPUTED_VALUE"""),42872.6666666666)</f>
        <v>42872.666666666599</v>
      </c>
      <c r="B599" s="1">
        <f ca="1">IFERROR(__xludf.DUMMYFUNCTION("""COMPUTED_VALUE"""),47.99)</f>
        <v>47.99</v>
      </c>
      <c r="C599" s="1">
        <f ca="1">IFERROR(__xludf.DUMMYFUNCTION("""COMPUTED_VALUE"""),48.05)</f>
        <v>48.05</v>
      </c>
      <c r="D599" s="1">
        <f ca="1">IFERROR(__xludf.DUMMYFUNCTION("""COMPUTED_VALUE"""),47)</f>
        <v>47</v>
      </c>
      <c r="E599" s="1">
        <f ca="1">IFERROR(__xludf.DUMMYFUNCTION("""COMPUTED_VALUE"""),47.11)</f>
        <v>47.11</v>
      </c>
      <c r="F599" s="1">
        <f ca="1">IFERROR(__xludf.DUMMYFUNCTION("""COMPUTED_VALUE"""),2449058)</f>
        <v>2449058</v>
      </c>
    </row>
    <row r="600" spans="1:6" x14ac:dyDescent="0.35">
      <c r="A600" s="2">
        <f ca="1">IFERROR(__xludf.DUMMYFUNCTION("""COMPUTED_VALUE"""),42873.6666666666)</f>
        <v>42873.666666666599</v>
      </c>
      <c r="B600" s="1">
        <f ca="1">IFERROR(__xludf.DUMMYFUNCTION("""COMPUTED_VALUE"""),47.16)</f>
        <v>47.16</v>
      </c>
      <c r="C600" s="1">
        <f ca="1">IFERROR(__xludf.DUMMYFUNCTION("""COMPUTED_VALUE"""),47.71)</f>
        <v>47.71</v>
      </c>
      <c r="D600" s="1">
        <f ca="1">IFERROR(__xludf.DUMMYFUNCTION("""COMPUTED_VALUE"""),47.06)</f>
        <v>47.06</v>
      </c>
      <c r="E600" s="1">
        <f ca="1">IFERROR(__xludf.DUMMYFUNCTION("""COMPUTED_VALUE"""),47.53)</f>
        <v>47.53</v>
      </c>
      <c r="F600" s="1">
        <f ca="1">IFERROR(__xludf.DUMMYFUNCTION("""COMPUTED_VALUE"""),1800465)</f>
        <v>1800465</v>
      </c>
    </row>
    <row r="601" spans="1:6" x14ac:dyDescent="0.35">
      <c r="A601" s="2">
        <f ca="1">IFERROR(__xludf.DUMMYFUNCTION("""COMPUTED_VALUE"""),42874.6666666666)</f>
        <v>42874.666666666599</v>
      </c>
      <c r="B601" s="1">
        <f ca="1">IFERROR(__xludf.DUMMYFUNCTION("""COMPUTED_VALUE"""),47.64)</f>
        <v>47.64</v>
      </c>
      <c r="C601" s="1">
        <f ca="1">IFERROR(__xludf.DUMMYFUNCTION("""COMPUTED_VALUE"""),47.98)</f>
        <v>47.98</v>
      </c>
      <c r="D601" s="1">
        <f ca="1">IFERROR(__xludf.DUMMYFUNCTION("""COMPUTED_VALUE"""),47.6)</f>
        <v>47.6</v>
      </c>
      <c r="E601" s="1">
        <f ca="1">IFERROR(__xludf.DUMMYFUNCTION("""COMPUTED_VALUE"""),47.73)</f>
        <v>47.73</v>
      </c>
      <c r="F601" s="1">
        <f ca="1">IFERROR(__xludf.DUMMYFUNCTION("""COMPUTED_VALUE"""),1360299)</f>
        <v>1360299</v>
      </c>
    </row>
    <row r="602" spans="1:6" x14ac:dyDescent="0.35">
      <c r="A602" s="2">
        <f ca="1">IFERROR(__xludf.DUMMYFUNCTION("""COMPUTED_VALUE"""),42877.6666666666)</f>
        <v>42877.666666666599</v>
      </c>
      <c r="B602" s="1">
        <f ca="1">IFERROR(__xludf.DUMMYFUNCTION("""COMPUTED_VALUE"""),47.85)</f>
        <v>47.85</v>
      </c>
      <c r="C602" s="1">
        <f ca="1">IFERROR(__xludf.DUMMYFUNCTION("""COMPUTED_VALUE"""),48.24)</f>
        <v>48.24</v>
      </c>
      <c r="D602" s="1">
        <f ca="1">IFERROR(__xludf.DUMMYFUNCTION("""COMPUTED_VALUE"""),47.83)</f>
        <v>47.83</v>
      </c>
      <c r="E602" s="1">
        <f ca="1">IFERROR(__xludf.DUMMYFUNCTION("""COMPUTED_VALUE"""),48.2)</f>
        <v>48.2</v>
      </c>
      <c r="F602" s="1">
        <f ca="1">IFERROR(__xludf.DUMMYFUNCTION("""COMPUTED_VALUE"""),1387392)</f>
        <v>1387392</v>
      </c>
    </row>
    <row r="603" spans="1:6" x14ac:dyDescent="0.35">
      <c r="A603" s="2">
        <f ca="1">IFERROR(__xludf.DUMMYFUNCTION("""COMPUTED_VALUE"""),42878.6666666666)</f>
        <v>42878.666666666599</v>
      </c>
      <c r="B603" s="1">
        <f ca="1">IFERROR(__xludf.DUMMYFUNCTION("""COMPUTED_VALUE"""),48.5)</f>
        <v>48.5</v>
      </c>
      <c r="C603" s="1">
        <f ca="1">IFERROR(__xludf.DUMMYFUNCTION("""COMPUTED_VALUE"""),48.73)</f>
        <v>48.73</v>
      </c>
      <c r="D603" s="1">
        <f ca="1">IFERROR(__xludf.DUMMYFUNCTION("""COMPUTED_VALUE"""),48.23)</f>
        <v>48.23</v>
      </c>
      <c r="E603" s="1">
        <f ca="1">IFERROR(__xludf.DUMMYFUNCTION("""COMPUTED_VALUE"""),48.53)</f>
        <v>48.53</v>
      </c>
      <c r="F603" s="1">
        <f ca="1">IFERROR(__xludf.DUMMYFUNCTION("""COMPUTED_VALUE"""),1545421)</f>
        <v>1545421</v>
      </c>
    </row>
    <row r="604" spans="1:6" x14ac:dyDescent="0.35">
      <c r="A604" s="2">
        <f ca="1">IFERROR(__xludf.DUMMYFUNCTION("""COMPUTED_VALUE"""),42879.6666666666)</f>
        <v>42879.666666666599</v>
      </c>
      <c r="B604" s="1">
        <f ca="1">IFERROR(__xludf.DUMMYFUNCTION("""COMPUTED_VALUE"""),48.76)</f>
        <v>48.76</v>
      </c>
      <c r="C604" s="1">
        <f ca="1">IFERROR(__xludf.DUMMYFUNCTION("""COMPUTED_VALUE"""),48.91)</f>
        <v>48.91</v>
      </c>
      <c r="D604" s="1">
        <f ca="1">IFERROR(__xludf.DUMMYFUNCTION("""COMPUTED_VALUE"""),48.58)</f>
        <v>48.58</v>
      </c>
      <c r="E604" s="1">
        <f ca="1">IFERROR(__xludf.DUMMYFUNCTION("""COMPUTED_VALUE"""),48.88)</f>
        <v>48.88</v>
      </c>
      <c r="F604" s="1">
        <f ca="1">IFERROR(__xludf.DUMMYFUNCTION("""COMPUTED_VALUE"""),1142488)</f>
        <v>1142488</v>
      </c>
    </row>
    <row r="605" spans="1:6" x14ac:dyDescent="0.35">
      <c r="A605" s="2">
        <f ca="1">IFERROR(__xludf.DUMMYFUNCTION("""COMPUTED_VALUE"""),42880.6666666666)</f>
        <v>42880.666666666599</v>
      </c>
      <c r="B605" s="1">
        <f ca="1">IFERROR(__xludf.DUMMYFUNCTION("""COMPUTED_VALUE"""),48.95)</f>
        <v>48.95</v>
      </c>
      <c r="C605" s="1">
        <f ca="1">IFERROR(__xludf.DUMMYFUNCTION("""COMPUTED_VALUE"""),49.79)</f>
        <v>49.79</v>
      </c>
      <c r="D605" s="1">
        <f ca="1">IFERROR(__xludf.DUMMYFUNCTION("""COMPUTED_VALUE"""),48.89)</f>
        <v>48.89</v>
      </c>
      <c r="E605" s="1">
        <f ca="1">IFERROR(__xludf.DUMMYFUNCTION("""COMPUTED_VALUE"""),49.59)</f>
        <v>49.59</v>
      </c>
      <c r="F605" s="1">
        <f ca="1">IFERROR(__xludf.DUMMYFUNCTION("""COMPUTED_VALUE"""),1954149)</f>
        <v>1954149</v>
      </c>
    </row>
    <row r="606" spans="1:6" x14ac:dyDescent="0.35">
      <c r="A606" s="2">
        <f ca="1">IFERROR(__xludf.DUMMYFUNCTION("""COMPUTED_VALUE"""),42881.6666666666)</f>
        <v>42881.666666666599</v>
      </c>
      <c r="B606" s="1">
        <f ca="1">IFERROR(__xludf.DUMMYFUNCTION("""COMPUTED_VALUE"""),49.6)</f>
        <v>49.6</v>
      </c>
      <c r="C606" s="1">
        <f ca="1">IFERROR(__xludf.DUMMYFUNCTION("""COMPUTED_VALUE"""),49.82)</f>
        <v>49.82</v>
      </c>
      <c r="D606" s="1">
        <f ca="1">IFERROR(__xludf.DUMMYFUNCTION("""COMPUTED_VALUE"""),49.37)</f>
        <v>49.37</v>
      </c>
      <c r="E606" s="1">
        <f ca="1">IFERROR(__xludf.DUMMYFUNCTION("""COMPUTED_VALUE"""),49.66)</f>
        <v>49.66</v>
      </c>
      <c r="F606" s="1">
        <f ca="1">IFERROR(__xludf.DUMMYFUNCTION("""COMPUTED_VALUE"""),1636416)</f>
        <v>1636416</v>
      </c>
    </row>
    <row r="607" spans="1:6" x14ac:dyDescent="0.35">
      <c r="A607" s="2">
        <f ca="1">IFERROR(__xludf.DUMMYFUNCTION("""COMPUTED_VALUE"""),42885.6666666666)</f>
        <v>42885.666666666599</v>
      </c>
      <c r="B607" s="1">
        <f ca="1">IFERROR(__xludf.DUMMYFUNCTION("""COMPUTED_VALUE"""),49.63)</f>
        <v>49.63</v>
      </c>
      <c r="C607" s="1">
        <f ca="1">IFERROR(__xludf.DUMMYFUNCTION("""COMPUTED_VALUE"""),49.88)</f>
        <v>49.88</v>
      </c>
      <c r="D607" s="1">
        <f ca="1">IFERROR(__xludf.DUMMYFUNCTION("""COMPUTED_VALUE"""),49.57)</f>
        <v>49.57</v>
      </c>
      <c r="E607" s="1">
        <f ca="1">IFERROR(__xludf.DUMMYFUNCTION("""COMPUTED_VALUE"""),49.81)</f>
        <v>49.81</v>
      </c>
      <c r="F607" s="1">
        <f ca="1">IFERROR(__xludf.DUMMYFUNCTION("""COMPUTED_VALUE"""),1516685)</f>
        <v>1516685</v>
      </c>
    </row>
    <row r="608" spans="1:6" x14ac:dyDescent="0.35">
      <c r="A608" s="2">
        <f ca="1">IFERROR(__xludf.DUMMYFUNCTION("""COMPUTED_VALUE"""),42886.6666666666)</f>
        <v>42886.666666666599</v>
      </c>
      <c r="B608" s="1">
        <f ca="1">IFERROR(__xludf.DUMMYFUNCTION("""COMPUTED_VALUE"""),49.81)</f>
        <v>49.81</v>
      </c>
      <c r="C608" s="1">
        <f ca="1">IFERROR(__xludf.DUMMYFUNCTION("""COMPUTED_VALUE"""),49.98)</f>
        <v>49.98</v>
      </c>
      <c r="D608" s="1">
        <f ca="1">IFERROR(__xludf.DUMMYFUNCTION("""COMPUTED_VALUE"""),49.08)</f>
        <v>49.08</v>
      </c>
      <c r="E608" s="1">
        <f ca="1">IFERROR(__xludf.DUMMYFUNCTION("""COMPUTED_VALUE"""),49.35)</f>
        <v>49.35</v>
      </c>
      <c r="F608" s="1">
        <f ca="1">IFERROR(__xludf.DUMMYFUNCTION("""COMPUTED_VALUE"""),1724095)</f>
        <v>1724095</v>
      </c>
    </row>
    <row r="609" spans="1:6" x14ac:dyDescent="0.35">
      <c r="A609" s="2">
        <f ca="1">IFERROR(__xludf.DUMMYFUNCTION("""COMPUTED_VALUE"""),42887.6666666666)</f>
        <v>42887.666666666599</v>
      </c>
      <c r="B609" s="1">
        <f ca="1">IFERROR(__xludf.DUMMYFUNCTION("""COMPUTED_VALUE"""),49.55)</f>
        <v>49.55</v>
      </c>
      <c r="C609" s="1">
        <f ca="1">IFERROR(__xludf.DUMMYFUNCTION("""COMPUTED_VALUE"""),49.66)</f>
        <v>49.66</v>
      </c>
      <c r="D609" s="1">
        <f ca="1">IFERROR(__xludf.DUMMYFUNCTION("""COMPUTED_VALUE"""),49.06)</f>
        <v>49.06</v>
      </c>
      <c r="E609" s="1">
        <f ca="1">IFERROR(__xludf.DUMMYFUNCTION("""COMPUTED_VALUE"""),49.41)</f>
        <v>49.41</v>
      </c>
      <c r="F609" s="1">
        <f ca="1">IFERROR(__xludf.DUMMYFUNCTION("""COMPUTED_VALUE"""),1306384)</f>
        <v>1306384</v>
      </c>
    </row>
    <row r="610" spans="1:6" x14ac:dyDescent="0.35">
      <c r="A610" s="2">
        <f ca="1">IFERROR(__xludf.DUMMYFUNCTION("""COMPUTED_VALUE"""),42888.6666666666)</f>
        <v>42888.666666666599</v>
      </c>
      <c r="B610" s="1">
        <f ca="1">IFERROR(__xludf.DUMMYFUNCTION("""COMPUTED_VALUE"""),49.43)</f>
        <v>49.43</v>
      </c>
      <c r="C610" s="1">
        <f ca="1">IFERROR(__xludf.DUMMYFUNCTION("""COMPUTED_VALUE"""),49.82)</f>
        <v>49.82</v>
      </c>
      <c r="D610" s="1">
        <f ca="1">IFERROR(__xludf.DUMMYFUNCTION("""COMPUTED_VALUE"""),49.35)</f>
        <v>49.35</v>
      </c>
      <c r="E610" s="1">
        <f ca="1">IFERROR(__xludf.DUMMYFUNCTION("""COMPUTED_VALUE"""),49.81)</f>
        <v>49.81</v>
      </c>
      <c r="F610" s="1">
        <f ca="1">IFERROR(__xludf.DUMMYFUNCTION("""COMPUTED_VALUE"""),1735469)</f>
        <v>1735469</v>
      </c>
    </row>
    <row r="611" spans="1:6" x14ac:dyDescent="0.35">
      <c r="A611" s="2">
        <f ca="1">IFERROR(__xludf.DUMMYFUNCTION("""COMPUTED_VALUE"""),42891.6666666666)</f>
        <v>42891.666666666599</v>
      </c>
      <c r="B611" s="1">
        <f ca="1">IFERROR(__xludf.DUMMYFUNCTION("""COMPUTED_VALUE"""),49.89)</f>
        <v>49.89</v>
      </c>
      <c r="C611" s="1">
        <f ca="1">IFERROR(__xludf.DUMMYFUNCTION("""COMPUTED_VALUE"""),50.37)</f>
        <v>50.37</v>
      </c>
      <c r="D611" s="1">
        <f ca="1">IFERROR(__xludf.DUMMYFUNCTION("""COMPUTED_VALUE"""),49.77)</f>
        <v>49.77</v>
      </c>
      <c r="E611" s="1">
        <f ca="1">IFERROR(__xludf.DUMMYFUNCTION("""COMPUTED_VALUE"""),50.19)</f>
        <v>50.19</v>
      </c>
      <c r="F611" s="1">
        <f ca="1">IFERROR(__xludf.DUMMYFUNCTION("""COMPUTED_VALUE"""),1378916)</f>
        <v>1378916</v>
      </c>
    </row>
    <row r="612" spans="1:6" x14ac:dyDescent="0.35">
      <c r="A612" s="2">
        <f ca="1">IFERROR(__xludf.DUMMYFUNCTION("""COMPUTED_VALUE"""),42892.6666666666)</f>
        <v>42892.666666666599</v>
      </c>
      <c r="B612" s="1">
        <f ca="1">IFERROR(__xludf.DUMMYFUNCTION("""COMPUTED_VALUE"""),50.17)</f>
        <v>50.17</v>
      </c>
      <c r="C612" s="1">
        <f ca="1">IFERROR(__xludf.DUMMYFUNCTION("""COMPUTED_VALUE"""),50.43)</f>
        <v>50.43</v>
      </c>
      <c r="D612" s="1">
        <f ca="1">IFERROR(__xludf.DUMMYFUNCTION("""COMPUTED_VALUE"""),49.74)</f>
        <v>49.74</v>
      </c>
      <c r="E612" s="1">
        <f ca="1">IFERROR(__xludf.DUMMYFUNCTION("""COMPUTED_VALUE"""),49.83)</f>
        <v>49.83</v>
      </c>
      <c r="F612" s="1">
        <f ca="1">IFERROR(__xludf.DUMMYFUNCTION("""COMPUTED_VALUE"""),1552114)</f>
        <v>1552114</v>
      </c>
    </row>
    <row r="613" spans="1:6" x14ac:dyDescent="0.35">
      <c r="A613" s="2">
        <f ca="1">IFERROR(__xludf.DUMMYFUNCTION("""COMPUTED_VALUE"""),42893.6666666666)</f>
        <v>42893.666666666599</v>
      </c>
      <c r="B613" s="1">
        <f ca="1">IFERROR(__xludf.DUMMYFUNCTION("""COMPUTED_VALUE"""),49.94)</f>
        <v>49.94</v>
      </c>
      <c r="C613" s="1">
        <f ca="1">IFERROR(__xludf.DUMMYFUNCTION("""COMPUTED_VALUE"""),50.2)</f>
        <v>50.2</v>
      </c>
      <c r="D613" s="1">
        <f ca="1">IFERROR(__xludf.DUMMYFUNCTION("""COMPUTED_VALUE"""),49.79)</f>
        <v>49.79</v>
      </c>
      <c r="E613" s="1">
        <f ca="1">IFERROR(__xludf.DUMMYFUNCTION("""COMPUTED_VALUE"""),50.08)</f>
        <v>50.08</v>
      </c>
      <c r="F613" s="1">
        <f ca="1">IFERROR(__xludf.DUMMYFUNCTION("""COMPUTED_VALUE"""),1374097)</f>
        <v>1374097</v>
      </c>
    </row>
    <row r="614" spans="1:6" x14ac:dyDescent="0.35">
      <c r="A614" s="2">
        <f ca="1">IFERROR(__xludf.DUMMYFUNCTION("""COMPUTED_VALUE"""),42894.6666666666)</f>
        <v>42894.666666666599</v>
      </c>
      <c r="B614" s="1">
        <f ca="1">IFERROR(__xludf.DUMMYFUNCTION("""COMPUTED_VALUE"""),50.21)</f>
        <v>50.21</v>
      </c>
      <c r="C614" s="1">
        <f ca="1">IFERROR(__xludf.DUMMYFUNCTION("""COMPUTED_VALUE"""),50.28)</f>
        <v>50.28</v>
      </c>
      <c r="D614" s="1">
        <f ca="1">IFERROR(__xludf.DUMMYFUNCTION("""COMPUTED_VALUE"""),49.83)</f>
        <v>49.83</v>
      </c>
      <c r="E614" s="1">
        <f ca="1">IFERROR(__xludf.DUMMYFUNCTION("""COMPUTED_VALUE"""),50.21)</f>
        <v>50.21</v>
      </c>
      <c r="F614" s="1">
        <f ca="1">IFERROR(__xludf.DUMMYFUNCTION("""COMPUTED_VALUE"""),1687925)</f>
        <v>1687925</v>
      </c>
    </row>
    <row r="615" spans="1:6" x14ac:dyDescent="0.35">
      <c r="A615" s="2">
        <f ca="1">IFERROR(__xludf.DUMMYFUNCTION("""COMPUTED_VALUE"""),42895.6666666666)</f>
        <v>42895.666666666599</v>
      </c>
      <c r="B615" s="1">
        <f ca="1">IFERROR(__xludf.DUMMYFUNCTION("""COMPUTED_VALUE"""),50.27)</f>
        <v>50.27</v>
      </c>
      <c r="C615" s="1">
        <f ca="1">IFERROR(__xludf.DUMMYFUNCTION("""COMPUTED_VALUE"""),50.28)</f>
        <v>50.28</v>
      </c>
      <c r="D615" s="1">
        <f ca="1">IFERROR(__xludf.DUMMYFUNCTION("""COMPUTED_VALUE"""),47.67)</f>
        <v>47.67</v>
      </c>
      <c r="E615" s="1">
        <f ca="1">IFERROR(__xludf.DUMMYFUNCTION("""COMPUTED_VALUE"""),48.51)</f>
        <v>48.51</v>
      </c>
      <c r="F615" s="1">
        <f ca="1">IFERROR(__xludf.DUMMYFUNCTION("""COMPUTED_VALUE"""),3647857)</f>
        <v>3647857</v>
      </c>
    </row>
    <row r="616" spans="1:6" x14ac:dyDescent="0.35">
      <c r="A616" s="2">
        <f ca="1">IFERROR(__xludf.DUMMYFUNCTION("""COMPUTED_VALUE"""),42898.6666666666)</f>
        <v>42898.666666666599</v>
      </c>
      <c r="B616" s="1">
        <f ca="1">IFERROR(__xludf.DUMMYFUNCTION("""COMPUTED_VALUE"""),47.94)</f>
        <v>47.94</v>
      </c>
      <c r="C616" s="1">
        <f ca="1">IFERROR(__xludf.DUMMYFUNCTION("""COMPUTED_VALUE"""),48.4)</f>
        <v>48.4</v>
      </c>
      <c r="D616" s="1">
        <f ca="1">IFERROR(__xludf.DUMMYFUNCTION("""COMPUTED_VALUE"""),46.84)</f>
        <v>46.84</v>
      </c>
      <c r="E616" s="1">
        <f ca="1">IFERROR(__xludf.DUMMYFUNCTION("""COMPUTED_VALUE"""),48.09)</f>
        <v>48.09</v>
      </c>
      <c r="F616" s="1">
        <f ca="1">IFERROR(__xludf.DUMMYFUNCTION("""COMPUTED_VALUE"""),4202109)</f>
        <v>4202109</v>
      </c>
    </row>
    <row r="617" spans="1:6" x14ac:dyDescent="0.35">
      <c r="A617" s="2">
        <f ca="1">IFERROR(__xludf.DUMMYFUNCTION("""COMPUTED_VALUE"""),42899.6666666666)</f>
        <v>42899.666666666599</v>
      </c>
      <c r="B617" s="1">
        <f ca="1">IFERROR(__xludf.DUMMYFUNCTION("""COMPUTED_VALUE"""),48.6)</f>
        <v>48.6</v>
      </c>
      <c r="C617" s="1">
        <f ca="1">IFERROR(__xludf.DUMMYFUNCTION("""COMPUTED_VALUE"""),48.9)</f>
        <v>48.9</v>
      </c>
      <c r="D617" s="1">
        <f ca="1">IFERROR(__xludf.DUMMYFUNCTION("""COMPUTED_VALUE"""),48.1)</f>
        <v>48.1</v>
      </c>
      <c r="E617" s="1">
        <f ca="1">IFERROR(__xludf.DUMMYFUNCTION("""COMPUTED_VALUE"""),48.53)</f>
        <v>48.53</v>
      </c>
      <c r="F617" s="1">
        <f ca="1">IFERROR(__xludf.DUMMYFUNCTION("""COMPUTED_VALUE"""),2005356)</f>
        <v>2005356</v>
      </c>
    </row>
    <row r="618" spans="1:6" x14ac:dyDescent="0.35">
      <c r="A618" s="2">
        <f ca="1">IFERROR(__xludf.DUMMYFUNCTION("""COMPUTED_VALUE"""),42900.6666666666)</f>
        <v>42900.666666666599</v>
      </c>
      <c r="B618" s="1">
        <f ca="1">IFERROR(__xludf.DUMMYFUNCTION("""COMPUTED_VALUE"""),48.78)</f>
        <v>48.78</v>
      </c>
      <c r="C618" s="1">
        <f ca="1">IFERROR(__xludf.DUMMYFUNCTION("""COMPUTED_VALUE"""),48.99)</f>
        <v>48.99</v>
      </c>
      <c r="D618" s="1">
        <f ca="1">IFERROR(__xludf.DUMMYFUNCTION("""COMPUTED_VALUE"""),47.98)</f>
        <v>47.98</v>
      </c>
      <c r="E618" s="1">
        <f ca="1">IFERROR(__xludf.DUMMYFUNCTION("""COMPUTED_VALUE"""),48.4)</f>
        <v>48.4</v>
      </c>
      <c r="F618" s="1">
        <f ca="1">IFERROR(__xludf.DUMMYFUNCTION("""COMPUTED_VALUE"""),1505486)</f>
        <v>1505486</v>
      </c>
    </row>
    <row r="619" spans="1:6" x14ac:dyDescent="0.35">
      <c r="A619" s="2">
        <f ca="1">IFERROR(__xludf.DUMMYFUNCTION("""COMPUTED_VALUE"""),42901.6666666666)</f>
        <v>42901.666666666599</v>
      </c>
      <c r="B619" s="1">
        <f ca="1">IFERROR(__xludf.DUMMYFUNCTION("""COMPUTED_VALUE"""),47.4)</f>
        <v>47.4</v>
      </c>
      <c r="C619" s="1">
        <f ca="1">IFERROR(__xludf.DUMMYFUNCTION("""COMPUTED_VALUE"""),48.03)</f>
        <v>48.03</v>
      </c>
      <c r="D619" s="1">
        <f ca="1">IFERROR(__xludf.DUMMYFUNCTION("""COMPUTED_VALUE"""),47.02)</f>
        <v>47.02</v>
      </c>
      <c r="E619" s="1">
        <f ca="1">IFERROR(__xludf.DUMMYFUNCTION("""COMPUTED_VALUE"""),48.01)</f>
        <v>48.01</v>
      </c>
      <c r="F619" s="1">
        <f ca="1">IFERROR(__xludf.DUMMYFUNCTION("""COMPUTED_VALUE"""),2427639)</f>
        <v>2427639</v>
      </c>
    </row>
    <row r="620" spans="1:6" x14ac:dyDescent="0.35">
      <c r="A620" s="2">
        <f ca="1">IFERROR(__xludf.DUMMYFUNCTION("""COMPUTED_VALUE"""),42902.6666666666)</f>
        <v>42902.666666666599</v>
      </c>
      <c r="B620" s="1">
        <f ca="1">IFERROR(__xludf.DUMMYFUNCTION("""COMPUTED_VALUE"""),47.9)</f>
        <v>47.9</v>
      </c>
      <c r="C620" s="1">
        <f ca="1">IFERROR(__xludf.DUMMYFUNCTION("""COMPUTED_VALUE"""),48)</f>
        <v>48</v>
      </c>
      <c r="D620" s="1">
        <f ca="1">IFERROR(__xludf.DUMMYFUNCTION("""COMPUTED_VALUE"""),47.44)</f>
        <v>47.44</v>
      </c>
      <c r="E620" s="1">
        <f ca="1">IFERROR(__xludf.DUMMYFUNCTION("""COMPUTED_VALUE"""),47.93)</f>
        <v>47.93</v>
      </c>
      <c r="F620" s="1">
        <f ca="1">IFERROR(__xludf.DUMMYFUNCTION("""COMPUTED_VALUE"""),2559207)</f>
        <v>2559207</v>
      </c>
    </row>
    <row r="621" spans="1:6" x14ac:dyDescent="0.35">
      <c r="A621" s="2">
        <f ca="1">IFERROR(__xludf.DUMMYFUNCTION("""COMPUTED_VALUE"""),42905.6666666666)</f>
        <v>42905.666666666599</v>
      </c>
      <c r="B621" s="1">
        <f ca="1">IFERROR(__xludf.DUMMYFUNCTION("""COMPUTED_VALUE"""),48.48)</f>
        <v>48.48</v>
      </c>
      <c r="C621" s="1">
        <f ca="1">IFERROR(__xludf.DUMMYFUNCTION("""COMPUTED_VALUE"""),48.97)</f>
        <v>48.97</v>
      </c>
      <c r="D621" s="1">
        <f ca="1">IFERROR(__xludf.DUMMYFUNCTION("""COMPUTED_VALUE"""),48.41)</f>
        <v>48.41</v>
      </c>
      <c r="E621" s="1">
        <f ca="1">IFERROR(__xludf.DUMMYFUNCTION("""COMPUTED_VALUE"""),48.76)</f>
        <v>48.76</v>
      </c>
      <c r="F621" s="1">
        <f ca="1">IFERROR(__xludf.DUMMYFUNCTION("""COMPUTED_VALUE"""),1468837)</f>
        <v>1468837</v>
      </c>
    </row>
    <row r="622" spans="1:6" x14ac:dyDescent="0.35">
      <c r="A622" s="2">
        <f ca="1">IFERROR(__xludf.DUMMYFUNCTION("""COMPUTED_VALUE"""),42906.6666666666)</f>
        <v>42906.666666666599</v>
      </c>
      <c r="B622" s="1">
        <f ca="1">IFERROR(__xludf.DUMMYFUNCTION("""COMPUTED_VALUE"""),48.77)</f>
        <v>48.77</v>
      </c>
      <c r="C622" s="1">
        <f ca="1">IFERROR(__xludf.DUMMYFUNCTION("""COMPUTED_VALUE"""),49.04)</f>
        <v>49.04</v>
      </c>
      <c r="D622" s="1">
        <f ca="1">IFERROR(__xludf.DUMMYFUNCTION("""COMPUTED_VALUE"""),48.41)</f>
        <v>48.41</v>
      </c>
      <c r="E622" s="1">
        <f ca="1">IFERROR(__xludf.DUMMYFUNCTION("""COMPUTED_VALUE"""),48.45)</f>
        <v>48.45</v>
      </c>
      <c r="F622" s="1">
        <f ca="1">IFERROR(__xludf.DUMMYFUNCTION("""COMPUTED_VALUE"""),1297287)</f>
        <v>1297287</v>
      </c>
    </row>
    <row r="623" spans="1:6" x14ac:dyDescent="0.35">
      <c r="A623" s="2">
        <f ca="1">IFERROR(__xludf.DUMMYFUNCTION("""COMPUTED_VALUE"""),42907.6666666666)</f>
        <v>42907.666666666599</v>
      </c>
      <c r="B623" s="1">
        <f ca="1">IFERROR(__xludf.DUMMYFUNCTION("""COMPUTED_VALUE"""),48.54)</f>
        <v>48.54</v>
      </c>
      <c r="C623" s="1">
        <f ca="1">IFERROR(__xludf.DUMMYFUNCTION("""COMPUTED_VALUE"""),48.98)</f>
        <v>48.98</v>
      </c>
      <c r="D623" s="1">
        <f ca="1">IFERROR(__xludf.DUMMYFUNCTION("""COMPUTED_VALUE"""),48.46)</f>
        <v>48.46</v>
      </c>
      <c r="E623" s="1">
        <f ca="1">IFERROR(__xludf.DUMMYFUNCTION("""COMPUTED_VALUE"""),48.93)</f>
        <v>48.93</v>
      </c>
      <c r="F623" s="1">
        <f ca="1">IFERROR(__xludf.DUMMYFUNCTION("""COMPUTED_VALUE"""),1161607)</f>
        <v>1161607</v>
      </c>
    </row>
    <row r="624" spans="1:6" x14ac:dyDescent="0.35">
      <c r="A624" s="2">
        <f ca="1">IFERROR(__xludf.DUMMYFUNCTION("""COMPUTED_VALUE"""),42908.6666666666)</f>
        <v>42908.666666666599</v>
      </c>
      <c r="B624" s="1">
        <f ca="1">IFERROR(__xludf.DUMMYFUNCTION("""COMPUTED_VALUE"""),48.84)</f>
        <v>48.84</v>
      </c>
      <c r="C624" s="1">
        <f ca="1">IFERROR(__xludf.DUMMYFUNCTION("""COMPUTED_VALUE"""),49.03)</f>
        <v>49.03</v>
      </c>
      <c r="D624" s="1">
        <f ca="1">IFERROR(__xludf.DUMMYFUNCTION("""COMPUTED_VALUE"""),48.67)</f>
        <v>48.67</v>
      </c>
      <c r="E624" s="1">
        <f ca="1">IFERROR(__xludf.DUMMYFUNCTION("""COMPUTED_VALUE"""),48.83)</f>
        <v>48.83</v>
      </c>
      <c r="F624" s="1">
        <f ca="1">IFERROR(__xludf.DUMMYFUNCTION("""COMPUTED_VALUE"""),1009476)</f>
        <v>1009476</v>
      </c>
    </row>
    <row r="625" spans="1:6" x14ac:dyDescent="0.35">
      <c r="A625" s="2">
        <f ca="1">IFERROR(__xludf.DUMMYFUNCTION("""COMPUTED_VALUE"""),42909.6666666666)</f>
        <v>42909.666666666599</v>
      </c>
      <c r="B625" s="1">
        <f ca="1">IFERROR(__xludf.DUMMYFUNCTION("""COMPUTED_VALUE"""),48.78)</f>
        <v>48.78</v>
      </c>
      <c r="C625" s="1">
        <f ca="1">IFERROR(__xludf.DUMMYFUNCTION("""COMPUTED_VALUE"""),49.33)</f>
        <v>49.33</v>
      </c>
      <c r="D625" s="1">
        <f ca="1">IFERROR(__xludf.DUMMYFUNCTION("""COMPUTED_VALUE"""),48.72)</f>
        <v>48.72</v>
      </c>
      <c r="E625" s="1">
        <f ca="1">IFERROR(__xludf.DUMMYFUNCTION("""COMPUTED_VALUE"""),49.3)</f>
        <v>49.3</v>
      </c>
      <c r="F625" s="1">
        <f ca="1">IFERROR(__xludf.DUMMYFUNCTION("""COMPUTED_VALUE"""),1563985)</f>
        <v>1563985</v>
      </c>
    </row>
    <row r="626" spans="1:6" x14ac:dyDescent="0.35">
      <c r="A626" s="2">
        <f ca="1">IFERROR(__xludf.DUMMYFUNCTION("""COMPUTED_VALUE"""),42912.6666666666)</f>
        <v>42912.666666666599</v>
      </c>
      <c r="B626" s="1">
        <f ca="1">IFERROR(__xludf.DUMMYFUNCTION("""COMPUTED_VALUE"""),49.5)</f>
        <v>49.5</v>
      </c>
      <c r="C626" s="1">
        <f ca="1">IFERROR(__xludf.DUMMYFUNCTION("""COMPUTED_VALUE"""),49.7)</f>
        <v>49.7</v>
      </c>
      <c r="D626" s="1">
        <f ca="1">IFERROR(__xludf.DUMMYFUNCTION("""COMPUTED_VALUE"""),48.52)</f>
        <v>48.52</v>
      </c>
      <c r="E626" s="1">
        <f ca="1">IFERROR(__xludf.DUMMYFUNCTION("""COMPUTED_VALUE"""),48.6)</f>
        <v>48.6</v>
      </c>
      <c r="F626" s="1">
        <f ca="1">IFERROR(__xludf.DUMMYFUNCTION("""COMPUTED_VALUE"""),1517912)</f>
        <v>1517912</v>
      </c>
    </row>
    <row r="627" spans="1:6" x14ac:dyDescent="0.35">
      <c r="A627" s="2">
        <f ca="1">IFERROR(__xludf.DUMMYFUNCTION("""COMPUTED_VALUE"""),42913.6666666666)</f>
        <v>42913.666666666599</v>
      </c>
      <c r="B627" s="1">
        <f ca="1">IFERROR(__xludf.DUMMYFUNCTION("""COMPUTED_VALUE"""),48.08)</f>
        <v>48.08</v>
      </c>
      <c r="C627" s="1">
        <f ca="1">IFERROR(__xludf.DUMMYFUNCTION("""COMPUTED_VALUE"""),48.36)</f>
        <v>48.36</v>
      </c>
      <c r="D627" s="1">
        <f ca="1">IFERROR(__xludf.DUMMYFUNCTION("""COMPUTED_VALUE"""),47.35)</f>
        <v>47.35</v>
      </c>
      <c r="E627" s="1">
        <f ca="1">IFERROR(__xludf.DUMMYFUNCTION("""COMPUTED_VALUE"""),47.4)</f>
        <v>47.4</v>
      </c>
      <c r="F627" s="1">
        <f ca="1">IFERROR(__xludf.DUMMYFUNCTION("""COMPUTED_VALUE"""),2443602)</f>
        <v>2443602</v>
      </c>
    </row>
    <row r="628" spans="1:6" x14ac:dyDescent="0.35">
      <c r="A628" s="2">
        <f ca="1">IFERROR(__xludf.DUMMYFUNCTION("""COMPUTED_VALUE"""),42914.6666666666)</f>
        <v>42914.666666666599</v>
      </c>
      <c r="B628" s="1">
        <f ca="1">IFERROR(__xludf.DUMMYFUNCTION("""COMPUTED_VALUE"""),47.53)</f>
        <v>47.53</v>
      </c>
      <c r="C628" s="1">
        <f ca="1">IFERROR(__xludf.DUMMYFUNCTION("""COMPUTED_VALUE"""),48.16)</f>
        <v>48.16</v>
      </c>
      <c r="D628" s="1">
        <f ca="1">IFERROR(__xludf.DUMMYFUNCTION("""COMPUTED_VALUE"""),46.81)</f>
        <v>46.81</v>
      </c>
      <c r="E628" s="1">
        <f ca="1">IFERROR(__xludf.DUMMYFUNCTION("""COMPUTED_VALUE"""),48.05)</f>
        <v>48.05</v>
      </c>
      <c r="F628" s="1">
        <f ca="1">IFERROR(__xludf.DUMMYFUNCTION("""COMPUTED_VALUE"""),2745568)</f>
        <v>2745568</v>
      </c>
    </row>
    <row r="629" spans="1:6" x14ac:dyDescent="0.35">
      <c r="A629" s="2">
        <f ca="1">IFERROR(__xludf.DUMMYFUNCTION("""COMPUTED_VALUE"""),42915.6666666666)</f>
        <v>42915.666666666599</v>
      </c>
      <c r="B629" s="1">
        <f ca="1">IFERROR(__xludf.DUMMYFUNCTION("""COMPUTED_VALUE"""),47.57)</f>
        <v>47.57</v>
      </c>
      <c r="C629" s="1">
        <f ca="1">IFERROR(__xludf.DUMMYFUNCTION("""COMPUTED_VALUE"""),47.58)</f>
        <v>47.58</v>
      </c>
      <c r="D629" s="1">
        <f ca="1">IFERROR(__xludf.DUMMYFUNCTION("""COMPUTED_VALUE"""),46.48)</f>
        <v>46.48</v>
      </c>
      <c r="E629" s="1">
        <f ca="1">IFERROR(__xludf.DUMMYFUNCTION("""COMPUTED_VALUE"""),46.89)</f>
        <v>46.89</v>
      </c>
      <c r="F629" s="1">
        <f ca="1">IFERROR(__xludf.DUMMYFUNCTION("""COMPUTED_VALUE"""),3206674)</f>
        <v>3206674</v>
      </c>
    </row>
    <row r="630" spans="1:6" x14ac:dyDescent="0.35">
      <c r="A630" s="2">
        <f ca="1">IFERROR(__xludf.DUMMYFUNCTION("""COMPUTED_VALUE"""),42916.6666666666)</f>
        <v>42916.666666666599</v>
      </c>
      <c r="B630" s="1">
        <f ca="1">IFERROR(__xludf.DUMMYFUNCTION("""COMPUTED_VALUE"""),47.2)</f>
        <v>47.2</v>
      </c>
      <c r="C630" s="1">
        <f ca="1">IFERROR(__xludf.DUMMYFUNCTION("""COMPUTED_VALUE"""),47.25)</f>
        <v>47.25</v>
      </c>
      <c r="D630" s="1">
        <f ca="1">IFERROR(__xludf.DUMMYFUNCTION("""COMPUTED_VALUE"""),46.48)</f>
        <v>46.48</v>
      </c>
      <c r="E630" s="1">
        <f ca="1">IFERROR(__xludf.DUMMYFUNCTION("""COMPUTED_VALUE"""),46.48)</f>
        <v>46.48</v>
      </c>
      <c r="F630" s="1">
        <f ca="1">IFERROR(__xludf.DUMMYFUNCTION("""COMPUTED_VALUE"""),2287662)</f>
        <v>2287662</v>
      </c>
    </row>
    <row r="631" spans="1:6" x14ac:dyDescent="0.35">
      <c r="A631" s="2">
        <f ca="1">IFERROR(__xludf.DUMMYFUNCTION("""COMPUTED_VALUE"""),42919.6666666666)</f>
        <v>42919.666666666599</v>
      </c>
      <c r="B631" s="1">
        <f ca="1">IFERROR(__xludf.DUMMYFUNCTION("""COMPUTED_VALUE"""),46.66)</f>
        <v>46.66</v>
      </c>
      <c r="C631" s="1">
        <f ca="1">IFERROR(__xludf.DUMMYFUNCTION("""COMPUTED_VALUE"""),46.71)</f>
        <v>46.71</v>
      </c>
      <c r="D631" s="1">
        <f ca="1">IFERROR(__xludf.DUMMYFUNCTION("""COMPUTED_VALUE"""),45.77)</f>
        <v>45.77</v>
      </c>
      <c r="E631" s="1">
        <f ca="1">IFERROR(__xludf.DUMMYFUNCTION("""COMPUTED_VALUE"""),45.97)</f>
        <v>45.97</v>
      </c>
      <c r="F631" s="1">
        <f ca="1">IFERROR(__xludf.DUMMYFUNCTION("""COMPUTED_VALUE"""),1694811)</f>
        <v>1694811</v>
      </c>
    </row>
    <row r="632" spans="1:6" x14ac:dyDescent="0.35">
      <c r="A632" s="2">
        <f ca="1">IFERROR(__xludf.DUMMYFUNCTION("""COMPUTED_VALUE"""),42921.6666666666)</f>
        <v>42921.666666666599</v>
      </c>
      <c r="B632" s="1">
        <f ca="1">IFERROR(__xludf.DUMMYFUNCTION("""COMPUTED_VALUE"""),46.21)</f>
        <v>46.21</v>
      </c>
      <c r="C632" s="1">
        <f ca="1">IFERROR(__xludf.DUMMYFUNCTION("""COMPUTED_VALUE"""),46.81)</f>
        <v>46.81</v>
      </c>
      <c r="D632" s="1">
        <f ca="1">IFERROR(__xludf.DUMMYFUNCTION("""COMPUTED_VALUE"""),45.93)</f>
        <v>45.93</v>
      </c>
      <c r="E632" s="1">
        <f ca="1">IFERROR(__xludf.DUMMYFUNCTION("""COMPUTED_VALUE"""),46.61)</f>
        <v>46.61</v>
      </c>
      <c r="F632" s="1">
        <f ca="1">IFERROR(__xludf.DUMMYFUNCTION("""COMPUTED_VALUE"""),2094055)</f>
        <v>2094055</v>
      </c>
    </row>
    <row r="633" spans="1:6" x14ac:dyDescent="0.35">
      <c r="A633" s="2">
        <f ca="1">IFERROR(__xludf.DUMMYFUNCTION("""COMPUTED_VALUE"""),42922.6666666666)</f>
        <v>42922.666666666599</v>
      </c>
      <c r="B633" s="1">
        <f ca="1">IFERROR(__xludf.DUMMYFUNCTION("""COMPUTED_VALUE"""),46.25)</f>
        <v>46.25</v>
      </c>
      <c r="C633" s="1">
        <f ca="1">IFERROR(__xludf.DUMMYFUNCTION("""COMPUTED_VALUE"""),46.81)</f>
        <v>46.81</v>
      </c>
      <c r="D633" s="1">
        <f ca="1">IFERROR(__xludf.DUMMYFUNCTION("""COMPUTED_VALUE"""),45.99)</f>
        <v>45.99</v>
      </c>
      <c r="E633" s="1">
        <f ca="1">IFERROR(__xludf.DUMMYFUNCTION("""COMPUTED_VALUE"""),46.38)</f>
        <v>46.38</v>
      </c>
      <c r="F633" s="1">
        <f ca="1">IFERROR(__xludf.DUMMYFUNCTION("""COMPUTED_VALUE"""),2014855)</f>
        <v>2014855</v>
      </c>
    </row>
    <row r="634" spans="1:6" x14ac:dyDescent="0.35">
      <c r="A634" s="2">
        <f ca="1">IFERROR(__xludf.DUMMYFUNCTION("""COMPUTED_VALUE"""),42923.6666666666)</f>
        <v>42923.666666666599</v>
      </c>
      <c r="B634" s="1">
        <f ca="1">IFERROR(__xludf.DUMMYFUNCTION("""COMPUTED_VALUE"""),46.55)</f>
        <v>46.55</v>
      </c>
      <c r="C634" s="1">
        <f ca="1">IFERROR(__xludf.DUMMYFUNCTION("""COMPUTED_VALUE"""),47.23)</f>
        <v>47.23</v>
      </c>
      <c r="D634" s="1">
        <f ca="1">IFERROR(__xludf.DUMMYFUNCTION("""COMPUTED_VALUE"""),46.49)</f>
        <v>46.49</v>
      </c>
      <c r="E634" s="1">
        <f ca="1">IFERROR(__xludf.DUMMYFUNCTION("""COMPUTED_VALUE"""),47.04)</f>
        <v>47.04</v>
      </c>
      <c r="F634" s="1">
        <f ca="1">IFERROR(__xludf.DUMMYFUNCTION("""COMPUTED_VALUE"""),1663302)</f>
        <v>1663302</v>
      </c>
    </row>
    <row r="635" spans="1:6" x14ac:dyDescent="0.35">
      <c r="A635" s="2">
        <f ca="1">IFERROR(__xludf.DUMMYFUNCTION("""COMPUTED_VALUE"""),42926.6666666666)</f>
        <v>42926.666666666599</v>
      </c>
      <c r="B635" s="1">
        <f ca="1">IFERROR(__xludf.DUMMYFUNCTION("""COMPUTED_VALUE"""),47.1)</f>
        <v>47.1</v>
      </c>
      <c r="C635" s="1">
        <f ca="1">IFERROR(__xludf.DUMMYFUNCTION("""COMPUTED_VALUE"""),47.66)</f>
        <v>47.66</v>
      </c>
      <c r="D635" s="1">
        <f ca="1">IFERROR(__xludf.DUMMYFUNCTION("""COMPUTED_VALUE"""),47.1)</f>
        <v>47.1</v>
      </c>
      <c r="E635" s="1">
        <f ca="1">IFERROR(__xludf.DUMMYFUNCTION("""COMPUTED_VALUE"""),47.55)</f>
        <v>47.55</v>
      </c>
      <c r="F635" s="1">
        <f ca="1">IFERROR(__xludf.DUMMYFUNCTION("""COMPUTED_VALUE"""),1451460)</f>
        <v>1451460</v>
      </c>
    </row>
    <row r="636" spans="1:6" x14ac:dyDescent="0.35">
      <c r="A636" s="2">
        <f ca="1">IFERROR(__xludf.DUMMYFUNCTION("""COMPUTED_VALUE"""),42927.6666666666)</f>
        <v>42927.666666666599</v>
      </c>
      <c r="B636" s="1">
        <f ca="1">IFERROR(__xludf.DUMMYFUNCTION("""COMPUTED_VALUE"""),47.53)</f>
        <v>47.53</v>
      </c>
      <c r="C636" s="1">
        <f ca="1">IFERROR(__xludf.DUMMYFUNCTION("""COMPUTED_VALUE"""),47.74)</f>
        <v>47.74</v>
      </c>
      <c r="D636" s="1">
        <f ca="1">IFERROR(__xludf.DUMMYFUNCTION("""COMPUTED_VALUE"""),47.26)</f>
        <v>47.26</v>
      </c>
      <c r="E636" s="1">
        <f ca="1">IFERROR(__xludf.DUMMYFUNCTION("""COMPUTED_VALUE"""),47.68)</f>
        <v>47.68</v>
      </c>
      <c r="F636" s="1">
        <f ca="1">IFERROR(__xludf.DUMMYFUNCTION("""COMPUTED_VALUE"""),1461247)</f>
        <v>1461247</v>
      </c>
    </row>
    <row r="637" spans="1:6" x14ac:dyDescent="0.35">
      <c r="A637" s="2">
        <f ca="1">IFERROR(__xludf.DUMMYFUNCTION("""COMPUTED_VALUE"""),42928.6666666666)</f>
        <v>42928.666666666599</v>
      </c>
      <c r="B637" s="1">
        <f ca="1">IFERROR(__xludf.DUMMYFUNCTION("""COMPUTED_VALUE"""),48.04)</f>
        <v>48.04</v>
      </c>
      <c r="C637" s="1">
        <f ca="1">IFERROR(__xludf.DUMMYFUNCTION("""COMPUTED_VALUE"""),48.48)</f>
        <v>48.48</v>
      </c>
      <c r="D637" s="1">
        <f ca="1">IFERROR(__xludf.DUMMYFUNCTION("""COMPUTED_VALUE"""),47.85)</f>
        <v>47.85</v>
      </c>
      <c r="E637" s="1">
        <f ca="1">IFERROR(__xludf.DUMMYFUNCTION("""COMPUTED_VALUE"""),48.38)</f>
        <v>48.38</v>
      </c>
      <c r="F637" s="1">
        <f ca="1">IFERROR(__xludf.DUMMYFUNCTION("""COMPUTED_VALUE"""),1602115)</f>
        <v>1602115</v>
      </c>
    </row>
    <row r="638" spans="1:6" x14ac:dyDescent="0.35">
      <c r="A638" s="2">
        <f ca="1">IFERROR(__xludf.DUMMYFUNCTION("""COMPUTED_VALUE"""),42929.6666666666)</f>
        <v>42929.666666666599</v>
      </c>
      <c r="B638" s="1">
        <f ca="1">IFERROR(__xludf.DUMMYFUNCTION("""COMPUTED_VALUE"""),48.54)</f>
        <v>48.54</v>
      </c>
      <c r="C638" s="1">
        <f ca="1">IFERROR(__xludf.DUMMYFUNCTION("""COMPUTED_VALUE"""),48.94)</f>
        <v>48.94</v>
      </c>
      <c r="D638" s="1">
        <f ca="1">IFERROR(__xludf.DUMMYFUNCTION("""COMPUTED_VALUE"""),48.24)</f>
        <v>48.24</v>
      </c>
      <c r="E638" s="1">
        <f ca="1">IFERROR(__xludf.DUMMYFUNCTION("""COMPUTED_VALUE"""),48.44)</f>
        <v>48.44</v>
      </c>
      <c r="F638" s="1">
        <f ca="1">IFERROR(__xludf.DUMMYFUNCTION("""COMPUTED_VALUE"""),1524571)</f>
        <v>1524571</v>
      </c>
    </row>
    <row r="639" spans="1:6" x14ac:dyDescent="0.35">
      <c r="A639" s="2">
        <f ca="1">IFERROR(__xludf.DUMMYFUNCTION("""COMPUTED_VALUE"""),42930.6666666666)</f>
        <v>42930.666666666599</v>
      </c>
      <c r="B639" s="1">
        <f ca="1">IFERROR(__xludf.DUMMYFUNCTION("""COMPUTED_VALUE"""),48.7)</f>
        <v>48.7</v>
      </c>
      <c r="C639" s="1">
        <f ca="1">IFERROR(__xludf.DUMMYFUNCTION("""COMPUTED_VALUE"""),48.88)</f>
        <v>48.88</v>
      </c>
      <c r="D639" s="1">
        <f ca="1">IFERROR(__xludf.DUMMYFUNCTION("""COMPUTED_VALUE"""),48.51)</f>
        <v>48.51</v>
      </c>
      <c r="E639" s="1">
        <f ca="1">IFERROR(__xludf.DUMMYFUNCTION("""COMPUTED_VALUE"""),48.85)</f>
        <v>48.85</v>
      </c>
      <c r="F639" s="1">
        <f ca="1">IFERROR(__xludf.DUMMYFUNCTION("""COMPUTED_VALUE"""),1079608)</f>
        <v>1079608</v>
      </c>
    </row>
    <row r="640" spans="1:6" x14ac:dyDescent="0.35">
      <c r="A640" s="2">
        <f ca="1">IFERROR(__xludf.DUMMYFUNCTION("""COMPUTED_VALUE"""),42933.6666666666)</f>
        <v>42933.666666666599</v>
      </c>
      <c r="B640" s="1">
        <f ca="1">IFERROR(__xludf.DUMMYFUNCTION("""COMPUTED_VALUE"""),48.82)</f>
        <v>48.82</v>
      </c>
      <c r="C640" s="1">
        <f ca="1">IFERROR(__xludf.DUMMYFUNCTION("""COMPUTED_VALUE"""),49.17)</f>
        <v>49.17</v>
      </c>
      <c r="D640" s="1">
        <f ca="1">IFERROR(__xludf.DUMMYFUNCTION("""COMPUTED_VALUE"""),48.54)</f>
        <v>48.54</v>
      </c>
      <c r="E640" s="1">
        <f ca="1">IFERROR(__xludf.DUMMYFUNCTION("""COMPUTED_VALUE"""),48.8)</f>
        <v>48.8</v>
      </c>
      <c r="F640" s="1">
        <f ca="1">IFERROR(__xludf.DUMMYFUNCTION("""COMPUTED_VALUE"""),1660464)</f>
        <v>1660464</v>
      </c>
    </row>
    <row r="641" spans="1:6" x14ac:dyDescent="0.35">
      <c r="A641" s="2">
        <f ca="1">IFERROR(__xludf.DUMMYFUNCTION("""COMPUTED_VALUE"""),42934.6666666666)</f>
        <v>42934.666666666599</v>
      </c>
      <c r="B641" s="1">
        <f ca="1">IFERROR(__xludf.DUMMYFUNCTION("""COMPUTED_VALUE"""),48.67)</f>
        <v>48.67</v>
      </c>
      <c r="C641" s="1">
        <f ca="1">IFERROR(__xludf.DUMMYFUNCTION("""COMPUTED_VALUE"""),49.54)</f>
        <v>49.54</v>
      </c>
      <c r="D641" s="1">
        <f ca="1">IFERROR(__xludf.DUMMYFUNCTION("""COMPUTED_VALUE"""),48.6)</f>
        <v>48.6</v>
      </c>
      <c r="E641" s="1">
        <f ca="1">IFERROR(__xludf.DUMMYFUNCTION("""COMPUTED_VALUE"""),49.35)</f>
        <v>49.35</v>
      </c>
      <c r="F641" s="1">
        <f ca="1">IFERROR(__xludf.DUMMYFUNCTION("""COMPUTED_VALUE"""),1413335)</f>
        <v>1413335</v>
      </c>
    </row>
    <row r="642" spans="1:6" x14ac:dyDescent="0.35">
      <c r="A642" s="2">
        <f ca="1">IFERROR(__xludf.DUMMYFUNCTION("""COMPUTED_VALUE"""),42935.6666666666)</f>
        <v>42935.666666666599</v>
      </c>
      <c r="B642" s="1">
        <f ca="1">IFERROR(__xludf.DUMMYFUNCTION("""COMPUTED_VALUE"""),49.5)</f>
        <v>49.5</v>
      </c>
      <c r="C642" s="1">
        <f ca="1">IFERROR(__xludf.DUMMYFUNCTION("""COMPUTED_VALUE"""),49.78)</f>
        <v>49.78</v>
      </c>
      <c r="D642" s="1">
        <f ca="1">IFERROR(__xludf.DUMMYFUNCTION("""COMPUTED_VALUE"""),49.35)</f>
        <v>49.35</v>
      </c>
      <c r="E642" s="1">
        <f ca="1">IFERROR(__xludf.DUMMYFUNCTION("""COMPUTED_VALUE"""),49.64)</f>
        <v>49.64</v>
      </c>
      <c r="F642" s="1">
        <f ca="1">IFERROR(__xludf.DUMMYFUNCTION("""COMPUTED_VALUE"""),1412148)</f>
        <v>1412148</v>
      </c>
    </row>
    <row r="643" spans="1:6" x14ac:dyDescent="0.35">
      <c r="A643" s="2">
        <f ca="1">IFERROR(__xludf.DUMMYFUNCTION("""COMPUTED_VALUE"""),42936.6666666666)</f>
        <v>42936.666666666599</v>
      </c>
      <c r="B643" s="1">
        <f ca="1">IFERROR(__xludf.DUMMYFUNCTION("""COMPUTED_VALUE"""),49.85)</f>
        <v>49.85</v>
      </c>
      <c r="C643" s="1">
        <f ca="1">IFERROR(__xludf.DUMMYFUNCTION("""COMPUTED_VALUE"""),49.93)</f>
        <v>49.93</v>
      </c>
      <c r="D643" s="1">
        <f ca="1">IFERROR(__xludf.DUMMYFUNCTION("""COMPUTED_VALUE"""),49.23)</f>
        <v>49.23</v>
      </c>
      <c r="E643" s="1">
        <f ca="1">IFERROR(__xludf.DUMMYFUNCTION("""COMPUTED_VALUE"""),49.61)</f>
        <v>49.61</v>
      </c>
      <c r="F643" s="1">
        <f ca="1">IFERROR(__xludf.DUMMYFUNCTION("""COMPUTED_VALUE"""),1418385)</f>
        <v>1418385</v>
      </c>
    </row>
    <row r="644" spans="1:6" x14ac:dyDescent="0.35">
      <c r="A644" s="2">
        <f ca="1">IFERROR(__xludf.DUMMYFUNCTION("""COMPUTED_VALUE"""),42937.6666666666)</f>
        <v>42937.666666666599</v>
      </c>
      <c r="B644" s="1">
        <f ca="1">IFERROR(__xludf.DUMMYFUNCTION("""COMPUTED_VALUE"""),49.45)</f>
        <v>49.45</v>
      </c>
      <c r="C644" s="1">
        <f ca="1">IFERROR(__xludf.DUMMYFUNCTION("""COMPUTED_VALUE"""),49.76)</f>
        <v>49.76</v>
      </c>
      <c r="D644" s="1">
        <f ca="1">IFERROR(__xludf.DUMMYFUNCTION("""COMPUTED_VALUE"""),49.21)</f>
        <v>49.21</v>
      </c>
      <c r="E644" s="1">
        <f ca="1">IFERROR(__xludf.DUMMYFUNCTION("""COMPUTED_VALUE"""),49.69)</f>
        <v>49.69</v>
      </c>
      <c r="F644" s="1">
        <f ca="1">IFERROR(__xludf.DUMMYFUNCTION("""COMPUTED_VALUE"""),1463322)</f>
        <v>1463322</v>
      </c>
    </row>
    <row r="645" spans="1:6" x14ac:dyDescent="0.35">
      <c r="A645" s="2">
        <f ca="1">IFERROR(__xludf.DUMMYFUNCTION("""COMPUTED_VALUE"""),42940.6666666666)</f>
        <v>42940.666666666599</v>
      </c>
      <c r="B645" s="1">
        <f ca="1">IFERROR(__xludf.DUMMYFUNCTION("""COMPUTED_VALUE"""),49.71)</f>
        <v>49.71</v>
      </c>
      <c r="C645" s="1">
        <f ca="1">IFERROR(__xludf.DUMMYFUNCTION("""COMPUTED_VALUE"""),50.31)</f>
        <v>50.31</v>
      </c>
      <c r="D645" s="1">
        <f ca="1">IFERROR(__xludf.DUMMYFUNCTION("""COMPUTED_VALUE"""),49.51)</f>
        <v>49.51</v>
      </c>
      <c r="E645" s="1">
        <f ca="1">IFERROR(__xludf.DUMMYFUNCTION("""COMPUTED_VALUE"""),49.92)</f>
        <v>49.92</v>
      </c>
      <c r="F645" s="1">
        <f ca="1">IFERROR(__xludf.DUMMYFUNCTION("""COMPUTED_VALUE"""),3984532)</f>
        <v>3984532</v>
      </c>
    </row>
    <row r="646" spans="1:6" x14ac:dyDescent="0.35">
      <c r="A646" s="2">
        <f ca="1">IFERROR(__xludf.DUMMYFUNCTION("""COMPUTED_VALUE"""),42941.6666666666)</f>
        <v>42941.666666666599</v>
      </c>
      <c r="B646" s="1">
        <f ca="1">IFERROR(__xludf.DUMMYFUNCTION("""COMPUTED_VALUE"""),48.54)</f>
        <v>48.54</v>
      </c>
      <c r="C646" s="1">
        <f ca="1">IFERROR(__xludf.DUMMYFUNCTION("""COMPUTED_VALUE"""),48.84)</f>
        <v>48.84</v>
      </c>
      <c r="D646" s="1">
        <f ca="1">IFERROR(__xludf.DUMMYFUNCTION("""COMPUTED_VALUE"""),48.19)</f>
        <v>48.19</v>
      </c>
      <c r="E646" s="1">
        <f ca="1">IFERROR(__xludf.DUMMYFUNCTION("""COMPUTED_VALUE"""),48.45)</f>
        <v>48.45</v>
      </c>
      <c r="F646" s="1">
        <f ca="1">IFERROR(__xludf.DUMMYFUNCTION("""COMPUTED_VALUE"""),5933602)</f>
        <v>5933602</v>
      </c>
    </row>
    <row r="647" spans="1:6" x14ac:dyDescent="0.35">
      <c r="A647" s="2">
        <f ca="1">IFERROR(__xludf.DUMMYFUNCTION("""COMPUTED_VALUE"""),42942.6666666666)</f>
        <v>42942.666666666599</v>
      </c>
      <c r="B647" s="1">
        <f ca="1">IFERROR(__xludf.DUMMYFUNCTION("""COMPUTED_VALUE"""),48.64)</f>
        <v>48.64</v>
      </c>
      <c r="C647" s="1">
        <f ca="1">IFERROR(__xludf.DUMMYFUNCTION("""COMPUTED_VALUE"""),48.7)</f>
        <v>48.7</v>
      </c>
      <c r="D647" s="1">
        <f ca="1">IFERROR(__xludf.DUMMYFUNCTION("""COMPUTED_VALUE"""),48.01)</f>
        <v>48.01</v>
      </c>
      <c r="E647" s="1">
        <f ca="1">IFERROR(__xludf.DUMMYFUNCTION("""COMPUTED_VALUE"""),48.27)</f>
        <v>48.27</v>
      </c>
      <c r="F647" s="1">
        <f ca="1">IFERROR(__xludf.DUMMYFUNCTION("""COMPUTED_VALUE"""),2221625)</f>
        <v>2221625</v>
      </c>
    </row>
    <row r="648" spans="1:6" x14ac:dyDescent="0.35">
      <c r="A648" s="2">
        <f ca="1">IFERROR(__xludf.DUMMYFUNCTION("""COMPUTED_VALUE"""),42943.6666666666)</f>
        <v>42943.666666666599</v>
      </c>
      <c r="B648" s="1">
        <f ca="1">IFERROR(__xludf.DUMMYFUNCTION("""COMPUTED_VALUE"""),48.46)</f>
        <v>48.46</v>
      </c>
      <c r="C648" s="1">
        <f ca="1">IFERROR(__xludf.DUMMYFUNCTION("""COMPUTED_VALUE"""),48.48)</f>
        <v>48.48</v>
      </c>
      <c r="D648" s="1">
        <f ca="1">IFERROR(__xludf.DUMMYFUNCTION("""COMPUTED_VALUE"""),46.85)</f>
        <v>46.85</v>
      </c>
      <c r="E648" s="1">
        <f ca="1">IFERROR(__xludf.DUMMYFUNCTION("""COMPUTED_VALUE"""),47.63)</f>
        <v>47.63</v>
      </c>
      <c r="F648" s="1">
        <f ca="1">IFERROR(__xludf.DUMMYFUNCTION("""COMPUTED_VALUE"""),3717900)</f>
        <v>3717900</v>
      </c>
    </row>
    <row r="649" spans="1:6" x14ac:dyDescent="0.35">
      <c r="A649" s="2">
        <f ca="1">IFERROR(__xludf.DUMMYFUNCTION("""COMPUTED_VALUE"""),42944.6666666666)</f>
        <v>42944.666666666599</v>
      </c>
      <c r="B649" s="1">
        <f ca="1">IFERROR(__xludf.DUMMYFUNCTION("""COMPUTED_VALUE"""),47.4)</f>
        <v>47.4</v>
      </c>
      <c r="C649" s="1">
        <f ca="1">IFERROR(__xludf.DUMMYFUNCTION("""COMPUTED_VALUE"""),48.09)</f>
        <v>48.09</v>
      </c>
      <c r="D649" s="1">
        <f ca="1">IFERROR(__xludf.DUMMYFUNCTION("""COMPUTED_VALUE"""),47.27)</f>
        <v>47.27</v>
      </c>
      <c r="E649" s="1">
        <f ca="1">IFERROR(__xludf.DUMMYFUNCTION("""COMPUTED_VALUE"""),47.92)</f>
        <v>47.92</v>
      </c>
      <c r="F649" s="1">
        <f ca="1">IFERROR(__xludf.DUMMYFUNCTION("""COMPUTED_VALUE"""),1813794)</f>
        <v>1813794</v>
      </c>
    </row>
    <row r="650" spans="1:6" x14ac:dyDescent="0.35">
      <c r="A650" s="2">
        <f ca="1">IFERROR(__xludf.DUMMYFUNCTION("""COMPUTED_VALUE"""),42947.6666666666)</f>
        <v>42947.666666666599</v>
      </c>
      <c r="B650" s="1">
        <f ca="1">IFERROR(__xludf.DUMMYFUNCTION("""COMPUTED_VALUE"""),48)</f>
        <v>48</v>
      </c>
      <c r="C650" s="1">
        <f ca="1">IFERROR(__xludf.DUMMYFUNCTION("""COMPUTED_VALUE"""),48.06)</f>
        <v>48.06</v>
      </c>
      <c r="D650" s="1">
        <f ca="1">IFERROR(__xludf.DUMMYFUNCTION("""COMPUTED_VALUE"""),47.09)</f>
        <v>47.09</v>
      </c>
      <c r="E650" s="1">
        <f ca="1">IFERROR(__xludf.DUMMYFUNCTION("""COMPUTED_VALUE"""),47.28)</f>
        <v>47.28</v>
      </c>
      <c r="F650" s="1">
        <f ca="1">IFERROR(__xludf.DUMMYFUNCTION("""COMPUTED_VALUE"""),2293389)</f>
        <v>2293389</v>
      </c>
    </row>
    <row r="651" spans="1:6" x14ac:dyDescent="0.35">
      <c r="A651" s="2">
        <f ca="1">IFERROR(__xludf.DUMMYFUNCTION("""COMPUTED_VALUE"""),42948.6666666666)</f>
        <v>42948.666666666599</v>
      </c>
      <c r="B651" s="1">
        <f ca="1">IFERROR(__xludf.DUMMYFUNCTION("""COMPUTED_VALUE"""),47.39)</f>
        <v>47.39</v>
      </c>
      <c r="C651" s="1">
        <f ca="1">IFERROR(__xludf.DUMMYFUNCTION("""COMPUTED_VALUE"""),47.72)</f>
        <v>47.72</v>
      </c>
      <c r="D651" s="1">
        <f ca="1">IFERROR(__xludf.DUMMYFUNCTION("""COMPUTED_VALUE"""),47.25)</f>
        <v>47.25</v>
      </c>
      <c r="E651" s="1">
        <f ca="1">IFERROR(__xludf.DUMMYFUNCTION("""COMPUTED_VALUE"""),47.33)</f>
        <v>47.33</v>
      </c>
      <c r="F651" s="1">
        <f ca="1">IFERROR(__xludf.DUMMYFUNCTION("""COMPUTED_VALUE"""),1332456)</f>
        <v>1332456</v>
      </c>
    </row>
    <row r="652" spans="1:6" x14ac:dyDescent="0.35">
      <c r="A652" s="2">
        <f ca="1">IFERROR(__xludf.DUMMYFUNCTION("""COMPUTED_VALUE"""),42949.6666666666)</f>
        <v>42949.666666666599</v>
      </c>
      <c r="B652" s="1">
        <f ca="1">IFERROR(__xludf.DUMMYFUNCTION("""COMPUTED_VALUE"""),47.42)</f>
        <v>47.42</v>
      </c>
      <c r="C652" s="1">
        <f ca="1">IFERROR(__xludf.DUMMYFUNCTION("""COMPUTED_VALUE"""),47.46)</f>
        <v>47.46</v>
      </c>
      <c r="D652" s="1">
        <f ca="1">IFERROR(__xludf.DUMMYFUNCTION("""COMPUTED_VALUE"""),46.63)</f>
        <v>46.63</v>
      </c>
      <c r="E652" s="1">
        <f ca="1">IFERROR(__xludf.DUMMYFUNCTION("""COMPUTED_VALUE"""),47.38)</f>
        <v>47.38</v>
      </c>
      <c r="F652" s="1">
        <f ca="1">IFERROR(__xludf.DUMMYFUNCTION("""COMPUTED_VALUE"""),2039418)</f>
        <v>2039418</v>
      </c>
    </row>
    <row r="653" spans="1:6" x14ac:dyDescent="0.35">
      <c r="A653" s="2">
        <f ca="1">IFERROR(__xludf.DUMMYFUNCTION("""COMPUTED_VALUE"""),42950.6666666666)</f>
        <v>42950.666666666599</v>
      </c>
      <c r="B653" s="1">
        <f ca="1">IFERROR(__xludf.DUMMYFUNCTION("""COMPUTED_VALUE"""),47.46)</f>
        <v>47.46</v>
      </c>
      <c r="C653" s="1">
        <f ca="1">IFERROR(__xludf.DUMMYFUNCTION("""COMPUTED_VALUE"""),47.5)</f>
        <v>47.5</v>
      </c>
      <c r="D653" s="1">
        <f ca="1">IFERROR(__xludf.DUMMYFUNCTION("""COMPUTED_VALUE"""),46.97)</f>
        <v>46.97</v>
      </c>
      <c r="E653" s="1">
        <f ca="1">IFERROR(__xludf.DUMMYFUNCTION("""COMPUTED_VALUE"""),47.02)</f>
        <v>47.02</v>
      </c>
      <c r="F653" s="1">
        <f ca="1">IFERROR(__xludf.DUMMYFUNCTION("""COMPUTED_VALUE"""),1123921)</f>
        <v>1123921</v>
      </c>
    </row>
    <row r="654" spans="1:6" x14ac:dyDescent="0.35">
      <c r="A654" s="2">
        <f ca="1">IFERROR(__xludf.DUMMYFUNCTION("""COMPUTED_VALUE"""),42951.6666666666)</f>
        <v>42951.666666666599</v>
      </c>
      <c r="B654" s="1">
        <f ca="1">IFERROR(__xludf.DUMMYFUNCTION("""COMPUTED_VALUE"""),47.2)</f>
        <v>47.2</v>
      </c>
      <c r="C654" s="1">
        <f ca="1">IFERROR(__xludf.DUMMYFUNCTION("""COMPUTED_VALUE"""),47.38)</f>
        <v>47.38</v>
      </c>
      <c r="D654" s="1">
        <f ca="1">IFERROR(__xludf.DUMMYFUNCTION("""COMPUTED_VALUE"""),46.99)</f>
        <v>46.99</v>
      </c>
      <c r="E654" s="1">
        <f ca="1">IFERROR(__xludf.DUMMYFUNCTION("""COMPUTED_VALUE"""),47.29)</f>
        <v>47.29</v>
      </c>
      <c r="F654" s="1">
        <f ca="1">IFERROR(__xludf.DUMMYFUNCTION("""COMPUTED_VALUE"""),1254574)</f>
        <v>1254574</v>
      </c>
    </row>
    <row r="655" spans="1:6" x14ac:dyDescent="0.35">
      <c r="A655" s="2">
        <f ca="1">IFERROR(__xludf.DUMMYFUNCTION("""COMPUTED_VALUE"""),42954.6666666666)</f>
        <v>42954.666666666599</v>
      </c>
      <c r="B655" s="1">
        <f ca="1">IFERROR(__xludf.DUMMYFUNCTION("""COMPUTED_VALUE"""),47.38)</f>
        <v>47.38</v>
      </c>
      <c r="C655" s="1">
        <f ca="1">IFERROR(__xludf.DUMMYFUNCTION("""COMPUTED_VALUE"""),47.45)</f>
        <v>47.45</v>
      </c>
      <c r="D655" s="1">
        <f ca="1">IFERROR(__xludf.DUMMYFUNCTION("""COMPUTED_VALUE"""),47.18)</f>
        <v>47.18</v>
      </c>
      <c r="E655" s="1">
        <f ca="1">IFERROR(__xludf.DUMMYFUNCTION("""COMPUTED_VALUE"""),47.29)</f>
        <v>47.29</v>
      </c>
      <c r="F655" s="1">
        <f ca="1">IFERROR(__xludf.DUMMYFUNCTION("""COMPUTED_VALUE"""),1445754)</f>
        <v>1445754</v>
      </c>
    </row>
    <row r="656" spans="1:6" x14ac:dyDescent="0.35">
      <c r="A656" s="2">
        <f ca="1">IFERROR(__xludf.DUMMYFUNCTION("""COMPUTED_VALUE"""),42955.6666666666)</f>
        <v>42955.666666666599</v>
      </c>
      <c r="B656" s="1">
        <f ca="1">IFERROR(__xludf.DUMMYFUNCTION("""COMPUTED_VALUE"""),47.21)</f>
        <v>47.21</v>
      </c>
      <c r="C656" s="1">
        <f ca="1">IFERROR(__xludf.DUMMYFUNCTION("""COMPUTED_VALUE"""),47.62)</f>
        <v>47.62</v>
      </c>
      <c r="D656" s="1">
        <f ca="1">IFERROR(__xludf.DUMMYFUNCTION("""COMPUTED_VALUE"""),47.12)</f>
        <v>47.12</v>
      </c>
      <c r="E656" s="1">
        <f ca="1">IFERROR(__xludf.DUMMYFUNCTION("""COMPUTED_VALUE"""),47.21)</f>
        <v>47.21</v>
      </c>
      <c r="F656" s="1">
        <f ca="1">IFERROR(__xludf.DUMMYFUNCTION("""COMPUTED_VALUE"""),1505064)</f>
        <v>1505064</v>
      </c>
    </row>
    <row r="657" spans="1:6" x14ac:dyDescent="0.35">
      <c r="A657" s="2">
        <f ca="1">IFERROR(__xludf.DUMMYFUNCTION("""COMPUTED_VALUE"""),42956.6666666666)</f>
        <v>42956.666666666599</v>
      </c>
      <c r="B657" s="1">
        <f ca="1">IFERROR(__xludf.DUMMYFUNCTION("""COMPUTED_VALUE"""),46.92)</f>
        <v>46.92</v>
      </c>
      <c r="C657" s="1">
        <f ca="1">IFERROR(__xludf.DUMMYFUNCTION("""COMPUTED_VALUE"""),47.19)</f>
        <v>47.19</v>
      </c>
      <c r="D657" s="1">
        <f ca="1">IFERROR(__xludf.DUMMYFUNCTION("""COMPUTED_VALUE"""),46.7)</f>
        <v>46.7</v>
      </c>
      <c r="E657" s="1">
        <f ca="1">IFERROR(__xludf.DUMMYFUNCTION("""COMPUTED_VALUE"""),47)</f>
        <v>47</v>
      </c>
      <c r="F657" s="1">
        <f ca="1">IFERROR(__xludf.DUMMYFUNCTION("""COMPUTED_VALUE"""),1400852)</f>
        <v>1400852</v>
      </c>
    </row>
    <row r="658" spans="1:6" x14ac:dyDescent="0.35">
      <c r="A658" s="2">
        <f ca="1">IFERROR(__xludf.DUMMYFUNCTION("""COMPUTED_VALUE"""),42957.6666666666)</f>
        <v>42957.666666666599</v>
      </c>
      <c r="B658" s="1">
        <f ca="1">IFERROR(__xludf.DUMMYFUNCTION("""COMPUTED_VALUE"""),46.75)</f>
        <v>46.75</v>
      </c>
      <c r="C658" s="1">
        <f ca="1">IFERROR(__xludf.DUMMYFUNCTION("""COMPUTED_VALUE"""),46.82)</f>
        <v>46.82</v>
      </c>
      <c r="D658" s="1">
        <f ca="1">IFERROR(__xludf.DUMMYFUNCTION("""COMPUTED_VALUE"""),46.09)</f>
        <v>46.09</v>
      </c>
      <c r="E658" s="1">
        <f ca="1">IFERROR(__xludf.DUMMYFUNCTION("""COMPUTED_VALUE"""),46.18)</f>
        <v>46.18</v>
      </c>
      <c r="F658" s="1">
        <f ca="1">IFERROR(__xludf.DUMMYFUNCTION("""COMPUTED_VALUE"""),2707393)</f>
        <v>2707393</v>
      </c>
    </row>
    <row r="659" spans="1:6" x14ac:dyDescent="0.35">
      <c r="A659" s="2">
        <f ca="1">IFERROR(__xludf.DUMMYFUNCTION("""COMPUTED_VALUE"""),42958.6666666666)</f>
        <v>42958.666666666599</v>
      </c>
      <c r="B659" s="1">
        <f ca="1">IFERROR(__xludf.DUMMYFUNCTION("""COMPUTED_VALUE"""),46.19)</f>
        <v>46.19</v>
      </c>
      <c r="C659" s="1">
        <f ca="1">IFERROR(__xludf.DUMMYFUNCTION("""COMPUTED_VALUE"""),46.67)</f>
        <v>46.67</v>
      </c>
      <c r="D659" s="1">
        <f ca="1">IFERROR(__xludf.DUMMYFUNCTION("""COMPUTED_VALUE"""),46.06)</f>
        <v>46.06</v>
      </c>
      <c r="E659" s="1">
        <f ca="1">IFERROR(__xludf.DUMMYFUNCTION("""COMPUTED_VALUE"""),46.5)</f>
        <v>46.5</v>
      </c>
      <c r="F659" s="1">
        <f ca="1">IFERROR(__xludf.DUMMYFUNCTION("""COMPUTED_VALUE"""),1616708)</f>
        <v>1616708</v>
      </c>
    </row>
    <row r="660" spans="1:6" x14ac:dyDescent="0.35">
      <c r="A660" s="2">
        <f ca="1">IFERROR(__xludf.DUMMYFUNCTION("""COMPUTED_VALUE"""),42961.6666666666)</f>
        <v>42961.666666666599</v>
      </c>
      <c r="B660" s="1">
        <f ca="1">IFERROR(__xludf.DUMMYFUNCTION("""COMPUTED_VALUE"""),46.95)</f>
        <v>46.95</v>
      </c>
      <c r="C660" s="1">
        <f ca="1">IFERROR(__xludf.DUMMYFUNCTION("""COMPUTED_VALUE"""),47.05)</f>
        <v>47.05</v>
      </c>
      <c r="D660" s="1">
        <f ca="1">IFERROR(__xludf.DUMMYFUNCTION("""COMPUTED_VALUE"""),46.72)</f>
        <v>46.72</v>
      </c>
      <c r="E660" s="1">
        <f ca="1">IFERROR(__xludf.DUMMYFUNCTION("""COMPUTED_VALUE"""),46.95)</f>
        <v>46.95</v>
      </c>
      <c r="F660" s="1">
        <f ca="1">IFERROR(__xludf.DUMMYFUNCTION("""COMPUTED_VALUE"""),1150612)</f>
        <v>1150612</v>
      </c>
    </row>
    <row r="661" spans="1:6" x14ac:dyDescent="0.35">
      <c r="A661" s="2">
        <f ca="1">IFERROR(__xludf.DUMMYFUNCTION("""COMPUTED_VALUE"""),42962.6666666666)</f>
        <v>42962.666666666599</v>
      </c>
      <c r="B661" s="1">
        <f ca="1">IFERROR(__xludf.DUMMYFUNCTION("""COMPUTED_VALUE"""),47.05)</f>
        <v>47.05</v>
      </c>
      <c r="C661" s="1">
        <f ca="1">IFERROR(__xludf.DUMMYFUNCTION("""COMPUTED_VALUE"""),47.15)</f>
        <v>47.15</v>
      </c>
      <c r="D661" s="1">
        <f ca="1">IFERROR(__xludf.DUMMYFUNCTION("""COMPUTED_VALUE"""),46.83)</f>
        <v>46.83</v>
      </c>
      <c r="E661" s="1">
        <f ca="1">IFERROR(__xludf.DUMMYFUNCTION("""COMPUTED_VALUE"""),46.9)</f>
        <v>46.9</v>
      </c>
      <c r="F661" s="1">
        <f ca="1">IFERROR(__xludf.DUMMYFUNCTION("""COMPUTED_VALUE"""),1106484)</f>
        <v>1106484</v>
      </c>
    </row>
    <row r="662" spans="1:6" x14ac:dyDescent="0.35">
      <c r="A662" s="2">
        <f ca="1">IFERROR(__xludf.DUMMYFUNCTION("""COMPUTED_VALUE"""),42963.6666666666)</f>
        <v>42963.666666666599</v>
      </c>
      <c r="B662" s="1">
        <f ca="1">IFERROR(__xludf.DUMMYFUNCTION("""COMPUTED_VALUE"""),47.06)</f>
        <v>47.06</v>
      </c>
      <c r="C662" s="1">
        <f ca="1">IFERROR(__xludf.DUMMYFUNCTION("""COMPUTED_VALUE"""),47.5)</f>
        <v>47.5</v>
      </c>
      <c r="D662" s="1">
        <f ca="1">IFERROR(__xludf.DUMMYFUNCTION("""COMPUTED_VALUE"""),47)</f>
        <v>47</v>
      </c>
      <c r="E662" s="1">
        <f ca="1">IFERROR(__xludf.DUMMYFUNCTION("""COMPUTED_VALUE"""),47.21)</f>
        <v>47.21</v>
      </c>
      <c r="F662" s="1">
        <f ca="1">IFERROR(__xludf.DUMMYFUNCTION("""COMPUTED_VALUE"""),1345261)</f>
        <v>1345261</v>
      </c>
    </row>
    <row r="663" spans="1:6" x14ac:dyDescent="0.35">
      <c r="A663" s="2">
        <f ca="1">IFERROR(__xludf.DUMMYFUNCTION("""COMPUTED_VALUE"""),42964.6666666666)</f>
        <v>42964.666666666599</v>
      </c>
      <c r="B663" s="1">
        <f ca="1">IFERROR(__xludf.DUMMYFUNCTION("""COMPUTED_VALUE"""),47.15)</f>
        <v>47.15</v>
      </c>
      <c r="C663" s="1">
        <f ca="1">IFERROR(__xludf.DUMMYFUNCTION("""COMPUTED_VALUE"""),47.19)</f>
        <v>47.19</v>
      </c>
      <c r="D663" s="1">
        <f ca="1">IFERROR(__xludf.DUMMYFUNCTION("""COMPUTED_VALUE"""),46.38)</f>
        <v>46.38</v>
      </c>
      <c r="E663" s="1">
        <f ca="1">IFERROR(__xludf.DUMMYFUNCTION("""COMPUTED_VALUE"""),46.38)</f>
        <v>46.38</v>
      </c>
      <c r="F663" s="1">
        <f ca="1">IFERROR(__xludf.DUMMYFUNCTION("""COMPUTED_VALUE"""),1695694)</f>
        <v>1695694</v>
      </c>
    </row>
    <row r="664" spans="1:6" x14ac:dyDescent="0.35">
      <c r="A664" s="2">
        <f ca="1">IFERROR(__xludf.DUMMYFUNCTION("""COMPUTED_VALUE"""),42965.6666666666)</f>
        <v>42965.666666666599</v>
      </c>
      <c r="B664" s="1">
        <f ca="1">IFERROR(__xludf.DUMMYFUNCTION("""COMPUTED_VALUE"""),46.35)</f>
        <v>46.35</v>
      </c>
      <c r="C664" s="1">
        <f ca="1">IFERROR(__xludf.DUMMYFUNCTION("""COMPUTED_VALUE"""),46.55)</f>
        <v>46.55</v>
      </c>
      <c r="D664" s="1">
        <f ca="1">IFERROR(__xludf.DUMMYFUNCTION("""COMPUTED_VALUE"""),46.17)</f>
        <v>46.17</v>
      </c>
      <c r="E664" s="1">
        <f ca="1">IFERROR(__xludf.DUMMYFUNCTION("""COMPUTED_VALUE"""),46.31)</f>
        <v>46.31</v>
      </c>
      <c r="F664" s="1">
        <f ca="1">IFERROR(__xludf.DUMMYFUNCTION("""COMPUTED_VALUE"""),1337404)</f>
        <v>1337404</v>
      </c>
    </row>
    <row r="665" spans="1:6" x14ac:dyDescent="0.35">
      <c r="A665" s="2">
        <f ca="1">IFERROR(__xludf.DUMMYFUNCTION("""COMPUTED_VALUE"""),42968.6666666666)</f>
        <v>42968.666666666599</v>
      </c>
      <c r="B665" s="1">
        <f ca="1">IFERROR(__xludf.DUMMYFUNCTION("""COMPUTED_VALUE"""),46.29)</f>
        <v>46.29</v>
      </c>
      <c r="C665" s="1">
        <f ca="1">IFERROR(__xludf.DUMMYFUNCTION("""COMPUTED_VALUE"""),46.41)</f>
        <v>46.41</v>
      </c>
      <c r="D665" s="1">
        <f ca="1">IFERROR(__xludf.DUMMYFUNCTION("""COMPUTED_VALUE"""),45.93)</f>
        <v>45.93</v>
      </c>
      <c r="E665" s="1">
        <f ca="1">IFERROR(__xludf.DUMMYFUNCTION("""COMPUTED_VALUE"""),46.04)</f>
        <v>46.04</v>
      </c>
      <c r="F665" s="1">
        <f ca="1">IFERROR(__xludf.DUMMYFUNCTION("""COMPUTED_VALUE"""),1301243)</f>
        <v>1301243</v>
      </c>
    </row>
    <row r="666" spans="1:6" x14ac:dyDescent="0.35">
      <c r="A666" s="2">
        <f ca="1">IFERROR(__xludf.DUMMYFUNCTION("""COMPUTED_VALUE"""),42969.6666666666)</f>
        <v>42969.666666666599</v>
      </c>
      <c r="B666" s="1">
        <f ca="1">IFERROR(__xludf.DUMMYFUNCTION("""COMPUTED_VALUE"""),46.35)</f>
        <v>46.35</v>
      </c>
      <c r="C666" s="1">
        <f ca="1">IFERROR(__xludf.DUMMYFUNCTION("""COMPUTED_VALUE"""),47.1)</f>
        <v>47.1</v>
      </c>
      <c r="D666" s="1">
        <f ca="1">IFERROR(__xludf.DUMMYFUNCTION("""COMPUTED_VALUE"""),46.31)</f>
        <v>46.31</v>
      </c>
      <c r="E666" s="1">
        <f ca="1">IFERROR(__xludf.DUMMYFUNCTION("""COMPUTED_VALUE"""),47.02)</f>
        <v>47.02</v>
      </c>
      <c r="F666" s="1">
        <f ca="1">IFERROR(__xludf.DUMMYFUNCTION("""COMPUTED_VALUE"""),1775099)</f>
        <v>1775099</v>
      </c>
    </row>
    <row r="667" spans="1:6" x14ac:dyDescent="0.35">
      <c r="A667" s="2">
        <f ca="1">IFERROR(__xludf.DUMMYFUNCTION("""COMPUTED_VALUE"""),42970.6666666666)</f>
        <v>42970.666666666599</v>
      </c>
      <c r="B667" s="1">
        <f ca="1">IFERROR(__xludf.DUMMYFUNCTION("""COMPUTED_VALUE"""),46.85)</f>
        <v>46.85</v>
      </c>
      <c r="C667" s="1">
        <f ca="1">IFERROR(__xludf.DUMMYFUNCTION("""COMPUTED_VALUE"""),47.27)</f>
        <v>47.27</v>
      </c>
      <c r="D667" s="1">
        <f ca="1">IFERROR(__xludf.DUMMYFUNCTION("""COMPUTED_VALUE"""),46.76)</f>
        <v>46.76</v>
      </c>
      <c r="E667" s="1">
        <f ca="1">IFERROR(__xludf.DUMMYFUNCTION("""COMPUTED_VALUE"""),47.13)</f>
        <v>47.13</v>
      </c>
      <c r="F667" s="1">
        <f ca="1">IFERROR(__xludf.DUMMYFUNCTION("""COMPUTED_VALUE"""),1134464)</f>
        <v>1134464</v>
      </c>
    </row>
    <row r="668" spans="1:6" x14ac:dyDescent="0.35">
      <c r="A668" s="2">
        <f ca="1">IFERROR(__xludf.DUMMYFUNCTION("""COMPUTED_VALUE"""),42971.6666666666)</f>
        <v>42971.666666666599</v>
      </c>
      <c r="B668" s="1">
        <f ca="1">IFERROR(__xludf.DUMMYFUNCTION("""COMPUTED_VALUE"""),47.19)</f>
        <v>47.19</v>
      </c>
      <c r="C668" s="1">
        <f ca="1">IFERROR(__xludf.DUMMYFUNCTION("""COMPUTED_VALUE"""),47.32)</f>
        <v>47.32</v>
      </c>
      <c r="D668" s="1">
        <f ca="1">IFERROR(__xludf.DUMMYFUNCTION("""COMPUTED_VALUE"""),46.54)</f>
        <v>46.54</v>
      </c>
      <c r="E668" s="1">
        <f ca="1">IFERROR(__xludf.DUMMYFUNCTION("""COMPUTED_VALUE"""),46.84)</f>
        <v>46.84</v>
      </c>
      <c r="F668" s="1">
        <f ca="1">IFERROR(__xludf.DUMMYFUNCTION("""COMPUTED_VALUE"""),1294559)</f>
        <v>1294559</v>
      </c>
    </row>
    <row r="669" spans="1:6" x14ac:dyDescent="0.35">
      <c r="A669" s="2">
        <f ca="1">IFERROR(__xludf.DUMMYFUNCTION("""COMPUTED_VALUE"""),42972.6666666666)</f>
        <v>42972.666666666599</v>
      </c>
      <c r="B669" s="1">
        <f ca="1">IFERROR(__xludf.DUMMYFUNCTION("""COMPUTED_VALUE"""),46.96)</f>
        <v>46.96</v>
      </c>
      <c r="C669" s="1">
        <f ca="1">IFERROR(__xludf.DUMMYFUNCTION("""COMPUTED_VALUE"""),47.04)</f>
        <v>47.04</v>
      </c>
      <c r="D669" s="1">
        <f ca="1">IFERROR(__xludf.DUMMYFUNCTION("""COMPUTED_VALUE"""),46.51)</f>
        <v>46.51</v>
      </c>
      <c r="E669" s="1">
        <f ca="1">IFERROR(__xludf.DUMMYFUNCTION("""COMPUTED_VALUE"""),46.53)</f>
        <v>46.53</v>
      </c>
      <c r="F669" s="1">
        <f ca="1">IFERROR(__xludf.DUMMYFUNCTION("""COMPUTED_VALUE"""),1187313)</f>
        <v>1187313</v>
      </c>
    </row>
    <row r="670" spans="1:6" x14ac:dyDescent="0.35">
      <c r="A670" s="2">
        <f ca="1">IFERROR(__xludf.DUMMYFUNCTION("""COMPUTED_VALUE"""),42975.6666666666)</f>
        <v>42975.666666666599</v>
      </c>
      <c r="B670" s="1">
        <f ca="1">IFERROR(__xludf.DUMMYFUNCTION("""COMPUTED_VALUE"""),46.59)</f>
        <v>46.59</v>
      </c>
      <c r="C670" s="1">
        <f ca="1">IFERROR(__xludf.DUMMYFUNCTION("""COMPUTED_VALUE"""),46.74)</f>
        <v>46.74</v>
      </c>
      <c r="D670" s="1">
        <f ca="1">IFERROR(__xludf.DUMMYFUNCTION("""COMPUTED_VALUE"""),46.31)</f>
        <v>46.31</v>
      </c>
      <c r="E670" s="1">
        <f ca="1">IFERROR(__xludf.DUMMYFUNCTION("""COMPUTED_VALUE"""),46.41)</f>
        <v>46.41</v>
      </c>
      <c r="F670" s="1">
        <f ca="1">IFERROR(__xludf.DUMMYFUNCTION("""COMPUTED_VALUE"""),1049397)</f>
        <v>1049397</v>
      </c>
    </row>
    <row r="671" spans="1:6" x14ac:dyDescent="0.35">
      <c r="A671" s="2">
        <f ca="1">IFERROR(__xludf.DUMMYFUNCTION("""COMPUTED_VALUE"""),42976.6666666666)</f>
        <v>42976.666666666599</v>
      </c>
      <c r="B671" s="1">
        <f ca="1">IFERROR(__xludf.DUMMYFUNCTION("""COMPUTED_VALUE"""),46)</f>
        <v>46</v>
      </c>
      <c r="C671" s="1">
        <f ca="1">IFERROR(__xludf.DUMMYFUNCTION("""COMPUTED_VALUE"""),46.91)</f>
        <v>46.91</v>
      </c>
      <c r="D671" s="1">
        <f ca="1">IFERROR(__xludf.DUMMYFUNCTION("""COMPUTED_VALUE"""),45.97)</f>
        <v>45.97</v>
      </c>
      <c r="E671" s="1">
        <f ca="1">IFERROR(__xludf.DUMMYFUNCTION("""COMPUTED_VALUE"""),46.79)</f>
        <v>46.79</v>
      </c>
      <c r="F671" s="1">
        <f ca="1">IFERROR(__xludf.DUMMYFUNCTION("""COMPUTED_VALUE"""),1158576)</f>
        <v>1158576</v>
      </c>
    </row>
    <row r="672" spans="1:6" x14ac:dyDescent="0.35">
      <c r="A672" s="2">
        <f ca="1">IFERROR(__xludf.DUMMYFUNCTION("""COMPUTED_VALUE"""),42977.6666666666)</f>
        <v>42977.666666666599</v>
      </c>
      <c r="B672" s="1">
        <f ca="1">IFERROR(__xludf.DUMMYFUNCTION("""COMPUTED_VALUE"""),46.78)</f>
        <v>46.78</v>
      </c>
      <c r="C672" s="1">
        <f ca="1">IFERROR(__xludf.DUMMYFUNCTION("""COMPUTED_VALUE"""),47.29)</f>
        <v>47.29</v>
      </c>
      <c r="D672" s="1">
        <f ca="1">IFERROR(__xludf.DUMMYFUNCTION("""COMPUTED_VALUE"""),46.7)</f>
        <v>46.7</v>
      </c>
      <c r="E672" s="1">
        <f ca="1">IFERROR(__xludf.DUMMYFUNCTION("""COMPUTED_VALUE"""),47.18)</f>
        <v>47.18</v>
      </c>
      <c r="F672" s="1">
        <f ca="1">IFERROR(__xludf.DUMMYFUNCTION("""COMPUTED_VALUE"""),1120342)</f>
        <v>1120342</v>
      </c>
    </row>
    <row r="673" spans="1:6" x14ac:dyDescent="0.35">
      <c r="A673" s="2">
        <f ca="1">IFERROR(__xludf.DUMMYFUNCTION("""COMPUTED_VALUE"""),42978.6666666666)</f>
        <v>42978.666666666599</v>
      </c>
      <c r="B673" s="1">
        <f ca="1">IFERROR(__xludf.DUMMYFUNCTION("""COMPUTED_VALUE"""),47.32)</f>
        <v>47.32</v>
      </c>
      <c r="C673" s="1">
        <f ca="1">IFERROR(__xludf.DUMMYFUNCTION("""COMPUTED_VALUE"""),47.86)</f>
        <v>47.86</v>
      </c>
      <c r="D673" s="1">
        <f ca="1">IFERROR(__xludf.DUMMYFUNCTION("""COMPUTED_VALUE"""),47.31)</f>
        <v>47.31</v>
      </c>
      <c r="E673" s="1">
        <f ca="1">IFERROR(__xludf.DUMMYFUNCTION("""COMPUTED_VALUE"""),47.76)</f>
        <v>47.76</v>
      </c>
      <c r="F673" s="1">
        <f ca="1">IFERROR(__xludf.DUMMYFUNCTION("""COMPUTED_VALUE"""),1693313)</f>
        <v>1693313</v>
      </c>
    </row>
    <row r="674" spans="1:6" x14ac:dyDescent="0.35">
      <c r="A674" s="2">
        <f ca="1">IFERROR(__xludf.DUMMYFUNCTION("""COMPUTED_VALUE"""),42979.6666666666)</f>
        <v>42979.666666666599</v>
      </c>
      <c r="B674" s="1">
        <f ca="1">IFERROR(__xludf.DUMMYFUNCTION("""COMPUTED_VALUE"""),47.87)</f>
        <v>47.87</v>
      </c>
      <c r="C674" s="1">
        <f ca="1">IFERROR(__xludf.DUMMYFUNCTION("""COMPUTED_VALUE"""),47.92)</f>
        <v>47.92</v>
      </c>
      <c r="D674" s="1">
        <f ca="1">IFERROR(__xludf.DUMMYFUNCTION("""COMPUTED_VALUE"""),47.51)</f>
        <v>47.51</v>
      </c>
      <c r="E674" s="1">
        <f ca="1">IFERROR(__xludf.DUMMYFUNCTION("""COMPUTED_VALUE"""),47.6)</f>
        <v>47.6</v>
      </c>
      <c r="F674" s="1">
        <f ca="1">IFERROR(__xludf.DUMMYFUNCTION("""COMPUTED_VALUE"""),1042885)</f>
        <v>1042885</v>
      </c>
    </row>
    <row r="675" spans="1:6" x14ac:dyDescent="0.35">
      <c r="A675" s="2">
        <f ca="1">IFERROR(__xludf.DUMMYFUNCTION("""COMPUTED_VALUE"""),42983.6666666666)</f>
        <v>42983.666666666599</v>
      </c>
      <c r="B675" s="1">
        <f ca="1">IFERROR(__xludf.DUMMYFUNCTION("""COMPUTED_VALUE"""),47.34)</f>
        <v>47.34</v>
      </c>
      <c r="C675" s="1">
        <f ca="1">IFERROR(__xludf.DUMMYFUNCTION("""COMPUTED_VALUE"""),47.57)</f>
        <v>47.57</v>
      </c>
      <c r="D675" s="1">
        <f ca="1">IFERROR(__xludf.DUMMYFUNCTION("""COMPUTED_VALUE"""),46.78)</f>
        <v>46.78</v>
      </c>
      <c r="E675" s="1">
        <f ca="1">IFERROR(__xludf.DUMMYFUNCTION("""COMPUTED_VALUE"""),47.07)</f>
        <v>47.07</v>
      </c>
      <c r="F675" s="1">
        <f ca="1">IFERROR(__xludf.DUMMYFUNCTION("""COMPUTED_VALUE"""),1460830)</f>
        <v>1460830</v>
      </c>
    </row>
    <row r="676" spans="1:6" x14ac:dyDescent="0.35">
      <c r="A676" s="2">
        <f ca="1">IFERROR(__xludf.DUMMYFUNCTION("""COMPUTED_VALUE"""),42984.6666666666)</f>
        <v>42984.666666666599</v>
      </c>
      <c r="B676" s="1">
        <f ca="1">IFERROR(__xludf.DUMMYFUNCTION("""COMPUTED_VALUE"""),47.19)</f>
        <v>47.19</v>
      </c>
      <c r="C676" s="1">
        <f ca="1">IFERROR(__xludf.DUMMYFUNCTION("""COMPUTED_VALUE"""),47.23)</f>
        <v>47.23</v>
      </c>
      <c r="D676" s="1">
        <f ca="1">IFERROR(__xludf.DUMMYFUNCTION("""COMPUTED_VALUE"""),46.63)</f>
        <v>46.63</v>
      </c>
      <c r="E676" s="1">
        <f ca="1">IFERROR(__xludf.DUMMYFUNCTION("""COMPUTED_VALUE"""),47.1)</f>
        <v>47.1</v>
      </c>
      <c r="F676" s="1">
        <f ca="1">IFERROR(__xludf.DUMMYFUNCTION("""COMPUTED_VALUE"""),1391529)</f>
        <v>1391529</v>
      </c>
    </row>
    <row r="677" spans="1:6" x14ac:dyDescent="0.35">
      <c r="A677" s="2">
        <f ca="1">IFERROR(__xludf.DUMMYFUNCTION("""COMPUTED_VALUE"""),42985.6666666666)</f>
        <v>42985.666666666599</v>
      </c>
      <c r="B677" s="1">
        <f ca="1">IFERROR(__xludf.DUMMYFUNCTION("""COMPUTED_VALUE"""),47.21)</f>
        <v>47.21</v>
      </c>
      <c r="C677" s="1">
        <f ca="1">IFERROR(__xludf.DUMMYFUNCTION("""COMPUTED_VALUE"""),47.52)</f>
        <v>47.52</v>
      </c>
      <c r="D677" s="1">
        <f ca="1">IFERROR(__xludf.DUMMYFUNCTION("""COMPUTED_VALUE"""),46.88)</f>
        <v>46.88</v>
      </c>
      <c r="E677" s="1">
        <f ca="1">IFERROR(__xludf.DUMMYFUNCTION("""COMPUTED_VALUE"""),47.49)</f>
        <v>47.49</v>
      </c>
      <c r="F677" s="1">
        <f ca="1">IFERROR(__xludf.DUMMYFUNCTION("""COMPUTED_VALUE"""),1116575)</f>
        <v>1116575</v>
      </c>
    </row>
    <row r="678" spans="1:6" x14ac:dyDescent="0.35">
      <c r="A678" s="2">
        <f ca="1">IFERROR(__xludf.DUMMYFUNCTION("""COMPUTED_VALUE"""),42986.6666666666)</f>
        <v>42986.666666666599</v>
      </c>
      <c r="B678" s="1">
        <f ca="1">IFERROR(__xludf.DUMMYFUNCTION("""COMPUTED_VALUE"""),47.49)</f>
        <v>47.49</v>
      </c>
      <c r="C678" s="1">
        <f ca="1">IFERROR(__xludf.DUMMYFUNCTION("""COMPUTED_VALUE"""),47.54)</f>
        <v>47.54</v>
      </c>
      <c r="D678" s="1">
        <f ca="1">IFERROR(__xludf.DUMMYFUNCTION("""COMPUTED_VALUE"""),47)</f>
        <v>47</v>
      </c>
      <c r="E678" s="1">
        <f ca="1">IFERROR(__xludf.DUMMYFUNCTION("""COMPUTED_VALUE"""),47.07)</f>
        <v>47.07</v>
      </c>
      <c r="F678" s="1">
        <f ca="1">IFERROR(__xludf.DUMMYFUNCTION("""COMPUTED_VALUE"""),999916)</f>
        <v>999916</v>
      </c>
    </row>
    <row r="679" spans="1:6" x14ac:dyDescent="0.35">
      <c r="A679" s="2">
        <f ca="1">IFERROR(__xludf.DUMMYFUNCTION("""COMPUTED_VALUE"""),42989.6666666666)</f>
        <v>42989.666666666599</v>
      </c>
      <c r="B679" s="1">
        <f ca="1">IFERROR(__xludf.DUMMYFUNCTION("""COMPUTED_VALUE"""),47.36)</f>
        <v>47.36</v>
      </c>
      <c r="C679" s="1">
        <f ca="1">IFERROR(__xludf.DUMMYFUNCTION("""COMPUTED_VALUE"""),47.63)</f>
        <v>47.63</v>
      </c>
      <c r="D679" s="1">
        <f ca="1">IFERROR(__xludf.DUMMYFUNCTION("""COMPUTED_VALUE"""),47.05)</f>
        <v>47.05</v>
      </c>
      <c r="E679" s="1">
        <f ca="1">IFERROR(__xludf.DUMMYFUNCTION("""COMPUTED_VALUE"""),47.16)</f>
        <v>47.16</v>
      </c>
      <c r="F679" s="1">
        <f ca="1">IFERROR(__xludf.DUMMYFUNCTION("""COMPUTED_VALUE"""),1337365)</f>
        <v>1337365</v>
      </c>
    </row>
    <row r="680" spans="1:6" x14ac:dyDescent="0.35">
      <c r="A680" s="2">
        <f ca="1">IFERROR(__xludf.DUMMYFUNCTION("""COMPUTED_VALUE"""),42990.6666666666)</f>
        <v>42990.666666666599</v>
      </c>
      <c r="B680" s="1">
        <f ca="1">IFERROR(__xludf.DUMMYFUNCTION("""COMPUTED_VALUE"""),47.35)</f>
        <v>47.35</v>
      </c>
      <c r="C680" s="1">
        <f ca="1">IFERROR(__xludf.DUMMYFUNCTION("""COMPUTED_VALUE"""),47.4)</f>
        <v>47.4</v>
      </c>
      <c r="D680" s="1">
        <f ca="1">IFERROR(__xludf.DUMMYFUNCTION("""COMPUTED_VALUE"""),46.88)</f>
        <v>46.88</v>
      </c>
      <c r="E680" s="1">
        <f ca="1">IFERROR(__xludf.DUMMYFUNCTION("""COMPUTED_VALUE"""),47.33)</f>
        <v>47.33</v>
      </c>
      <c r="F680" s="1">
        <f ca="1">IFERROR(__xludf.DUMMYFUNCTION("""COMPUTED_VALUE"""),1284787)</f>
        <v>1284787</v>
      </c>
    </row>
    <row r="681" spans="1:6" x14ac:dyDescent="0.35">
      <c r="A681" s="2">
        <f ca="1">IFERROR(__xludf.DUMMYFUNCTION("""COMPUTED_VALUE"""),42991.6666666666)</f>
        <v>42991.666666666599</v>
      </c>
      <c r="B681" s="1">
        <f ca="1">IFERROR(__xludf.DUMMYFUNCTION("""COMPUTED_VALUE"""),47.28)</f>
        <v>47.28</v>
      </c>
      <c r="C681" s="1">
        <f ca="1">IFERROR(__xludf.DUMMYFUNCTION("""COMPUTED_VALUE"""),47.64)</f>
        <v>47.64</v>
      </c>
      <c r="D681" s="1">
        <f ca="1">IFERROR(__xludf.DUMMYFUNCTION("""COMPUTED_VALUE"""),47.24)</f>
        <v>47.24</v>
      </c>
      <c r="E681" s="1">
        <f ca="1">IFERROR(__xludf.DUMMYFUNCTION("""COMPUTED_VALUE"""),47.52)</f>
        <v>47.52</v>
      </c>
      <c r="F681" s="1">
        <f ca="1">IFERROR(__xludf.DUMMYFUNCTION("""COMPUTED_VALUE"""),1095382)</f>
        <v>1095382</v>
      </c>
    </row>
    <row r="682" spans="1:6" x14ac:dyDescent="0.35">
      <c r="A682" s="2">
        <f ca="1">IFERROR(__xludf.DUMMYFUNCTION("""COMPUTED_VALUE"""),42992.6666666666)</f>
        <v>42992.666666666599</v>
      </c>
      <c r="B682" s="1">
        <f ca="1">IFERROR(__xludf.DUMMYFUNCTION("""COMPUTED_VALUE"""),47.3)</f>
        <v>47.3</v>
      </c>
      <c r="C682" s="1">
        <f ca="1">IFERROR(__xludf.DUMMYFUNCTION("""COMPUTED_VALUE"""),47.4)</f>
        <v>47.4</v>
      </c>
      <c r="D682" s="1">
        <f ca="1">IFERROR(__xludf.DUMMYFUNCTION("""COMPUTED_VALUE"""),46.92)</f>
        <v>46.92</v>
      </c>
      <c r="E682" s="1">
        <f ca="1">IFERROR(__xludf.DUMMYFUNCTION("""COMPUTED_VALUE"""),47.01)</f>
        <v>47.01</v>
      </c>
      <c r="F682" s="1">
        <f ca="1">IFERROR(__xludf.DUMMYFUNCTION("""COMPUTED_VALUE"""),1427379)</f>
        <v>1427379</v>
      </c>
    </row>
    <row r="683" spans="1:6" x14ac:dyDescent="0.35">
      <c r="A683" s="2">
        <f ca="1">IFERROR(__xludf.DUMMYFUNCTION("""COMPUTED_VALUE"""),42993.6666666666)</f>
        <v>42993.666666666599</v>
      </c>
      <c r="B683" s="1">
        <f ca="1">IFERROR(__xludf.DUMMYFUNCTION("""COMPUTED_VALUE"""),47)</f>
        <v>47</v>
      </c>
      <c r="C683" s="1">
        <f ca="1">IFERROR(__xludf.DUMMYFUNCTION("""COMPUTED_VALUE"""),47.09)</f>
        <v>47.09</v>
      </c>
      <c r="D683" s="1">
        <f ca="1">IFERROR(__xludf.DUMMYFUNCTION("""COMPUTED_VALUE"""),46.56)</f>
        <v>46.56</v>
      </c>
      <c r="E683" s="1">
        <f ca="1">IFERROR(__xludf.DUMMYFUNCTION("""COMPUTED_VALUE"""),46.76)</f>
        <v>46.76</v>
      </c>
      <c r="F683" s="1">
        <f ca="1">IFERROR(__xludf.DUMMYFUNCTION("""COMPUTED_VALUE"""),1994265)</f>
        <v>1994265</v>
      </c>
    </row>
    <row r="684" spans="1:6" x14ac:dyDescent="0.35">
      <c r="A684" s="2">
        <f ca="1">IFERROR(__xludf.DUMMYFUNCTION("""COMPUTED_VALUE"""),42996.6666666666)</f>
        <v>42996.666666666599</v>
      </c>
      <c r="B684" s="1">
        <f ca="1">IFERROR(__xludf.DUMMYFUNCTION("""COMPUTED_VALUE"""),46.75)</f>
        <v>46.75</v>
      </c>
      <c r="C684" s="1">
        <f ca="1">IFERROR(__xludf.DUMMYFUNCTION("""COMPUTED_VALUE"""),46.84)</f>
        <v>46.84</v>
      </c>
      <c r="D684" s="1">
        <f ca="1">IFERROR(__xludf.DUMMYFUNCTION("""COMPUTED_VALUE"""),46.27)</f>
        <v>46.27</v>
      </c>
      <c r="E684" s="1">
        <f ca="1">IFERROR(__xludf.DUMMYFUNCTION("""COMPUTED_VALUE"""),46.49)</f>
        <v>46.49</v>
      </c>
      <c r="F684" s="1">
        <f ca="1">IFERROR(__xludf.DUMMYFUNCTION("""COMPUTED_VALUE"""),1473651)</f>
        <v>1473651</v>
      </c>
    </row>
    <row r="685" spans="1:6" x14ac:dyDescent="0.35">
      <c r="A685" s="2">
        <f ca="1">IFERROR(__xludf.DUMMYFUNCTION("""COMPUTED_VALUE"""),42997.6666666666)</f>
        <v>42997.666666666599</v>
      </c>
      <c r="B685" s="1">
        <f ca="1">IFERROR(__xludf.DUMMYFUNCTION("""COMPUTED_VALUE"""),46.67)</f>
        <v>46.67</v>
      </c>
      <c r="C685" s="1">
        <f ca="1">IFERROR(__xludf.DUMMYFUNCTION("""COMPUTED_VALUE"""),46.9)</f>
        <v>46.9</v>
      </c>
      <c r="D685" s="1">
        <f ca="1">IFERROR(__xludf.DUMMYFUNCTION("""COMPUTED_VALUE"""),46.33)</f>
        <v>46.33</v>
      </c>
      <c r="E685" s="1">
        <f ca="1">IFERROR(__xludf.DUMMYFUNCTION("""COMPUTED_VALUE"""),46.84)</f>
        <v>46.84</v>
      </c>
      <c r="F685" s="1">
        <f ca="1">IFERROR(__xludf.DUMMYFUNCTION("""COMPUTED_VALUE"""),1242726)</f>
        <v>1242726</v>
      </c>
    </row>
    <row r="686" spans="1:6" x14ac:dyDescent="0.35">
      <c r="A686" s="2">
        <f ca="1">IFERROR(__xludf.DUMMYFUNCTION("""COMPUTED_VALUE"""),42998.6666666666)</f>
        <v>42998.666666666599</v>
      </c>
      <c r="B686" s="1">
        <f ca="1">IFERROR(__xludf.DUMMYFUNCTION("""COMPUTED_VALUE"""),46.89)</f>
        <v>46.89</v>
      </c>
      <c r="C686" s="1">
        <f ca="1">IFERROR(__xludf.DUMMYFUNCTION("""COMPUTED_VALUE"""),47.5)</f>
        <v>47.5</v>
      </c>
      <c r="D686" s="1">
        <f ca="1">IFERROR(__xludf.DUMMYFUNCTION("""COMPUTED_VALUE"""),46.88)</f>
        <v>46.88</v>
      </c>
      <c r="E686" s="1">
        <f ca="1">IFERROR(__xludf.DUMMYFUNCTION("""COMPUTED_VALUE"""),47.38)</f>
        <v>47.38</v>
      </c>
      <c r="F686" s="1">
        <f ca="1">IFERROR(__xludf.DUMMYFUNCTION("""COMPUTED_VALUE"""),2004018)</f>
        <v>2004018</v>
      </c>
    </row>
    <row r="687" spans="1:6" x14ac:dyDescent="0.35">
      <c r="A687" s="2">
        <f ca="1">IFERROR(__xludf.DUMMYFUNCTION("""COMPUTED_VALUE"""),42999.6666666666)</f>
        <v>42999.666666666599</v>
      </c>
      <c r="B687" s="1">
        <f ca="1">IFERROR(__xludf.DUMMYFUNCTION("""COMPUTED_VALUE"""),47.41)</f>
        <v>47.41</v>
      </c>
      <c r="C687" s="1">
        <f ca="1">IFERROR(__xludf.DUMMYFUNCTION("""COMPUTED_VALUE"""),47.64)</f>
        <v>47.64</v>
      </c>
      <c r="D687" s="1">
        <f ca="1">IFERROR(__xludf.DUMMYFUNCTION("""COMPUTED_VALUE"""),46.97)</f>
        <v>46.97</v>
      </c>
      <c r="E687" s="1">
        <f ca="1">IFERROR(__xludf.DUMMYFUNCTION("""COMPUTED_VALUE"""),47.38)</f>
        <v>47.38</v>
      </c>
      <c r="F687" s="1">
        <f ca="1">IFERROR(__xludf.DUMMYFUNCTION("""COMPUTED_VALUE"""),1370685)</f>
        <v>1370685</v>
      </c>
    </row>
    <row r="688" spans="1:6" x14ac:dyDescent="0.35">
      <c r="A688" s="2">
        <f ca="1">IFERROR(__xludf.DUMMYFUNCTION("""COMPUTED_VALUE"""),43000.6666666666)</f>
        <v>43000.666666666599</v>
      </c>
      <c r="B688" s="1">
        <f ca="1">IFERROR(__xludf.DUMMYFUNCTION("""COMPUTED_VALUE"""),47.14)</f>
        <v>47.14</v>
      </c>
      <c r="C688" s="1">
        <f ca="1">IFERROR(__xludf.DUMMYFUNCTION("""COMPUTED_VALUE"""),47.5)</f>
        <v>47.5</v>
      </c>
      <c r="D688" s="1">
        <f ca="1">IFERROR(__xludf.DUMMYFUNCTION("""COMPUTED_VALUE"""),47.04)</f>
        <v>47.04</v>
      </c>
      <c r="E688" s="1">
        <f ca="1">IFERROR(__xludf.DUMMYFUNCTION("""COMPUTED_VALUE"""),47.16)</f>
        <v>47.16</v>
      </c>
      <c r="F688" s="1">
        <f ca="1">IFERROR(__xludf.DUMMYFUNCTION("""COMPUTED_VALUE"""),1074806)</f>
        <v>1074806</v>
      </c>
    </row>
    <row r="689" spans="1:6" x14ac:dyDescent="0.35">
      <c r="A689" s="2">
        <f ca="1">IFERROR(__xludf.DUMMYFUNCTION("""COMPUTED_VALUE"""),43003.6666666666)</f>
        <v>43003.666666666599</v>
      </c>
      <c r="B689" s="1">
        <f ca="1">IFERROR(__xludf.DUMMYFUNCTION("""COMPUTED_VALUE"""),46.97)</f>
        <v>46.97</v>
      </c>
      <c r="C689" s="1">
        <f ca="1">IFERROR(__xludf.DUMMYFUNCTION("""COMPUTED_VALUE"""),46.99)</f>
        <v>46.99</v>
      </c>
      <c r="D689" s="1">
        <f ca="1">IFERROR(__xludf.DUMMYFUNCTION("""COMPUTED_VALUE"""),46.23)</f>
        <v>46.23</v>
      </c>
      <c r="E689" s="1">
        <f ca="1">IFERROR(__xludf.DUMMYFUNCTION("""COMPUTED_VALUE"""),46.71)</f>
        <v>46.71</v>
      </c>
      <c r="F689" s="1">
        <f ca="1">IFERROR(__xludf.DUMMYFUNCTION("""COMPUTED_VALUE"""),1873375)</f>
        <v>1873375</v>
      </c>
    </row>
    <row r="690" spans="1:6" x14ac:dyDescent="0.35">
      <c r="A690" s="2">
        <f ca="1">IFERROR(__xludf.DUMMYFUNCTION("""COMPUTED_VALUE"""),43004.6666666666)</f>
        <v>43004.666666666599</v>
      </c>
      <c r="B690" s="1">
        <f ca="1">IFERROR(__xludf.DUMMYFUNCTION("""COMPUTED_VALUE"""),46.83)</f>
        <v>46.83</v>
      </c>
      <c r="C690" s="1">
        <f ca="1">IFERROR(__xludf.DUMMYFUNCTION("""COMPUTED_VALUE"""),47.2)</f>
        <v>47.2</v>
      </c>
      <c r="D690" s="1">
        <f ca="1">IFERROR(__xludf.DUMMYFUNCTION("""COMPUTED_VALUE"""),46.76)</f>
        <v>46.76</v>
      </c>
      <c r="E690" s="1">
        <f ca="1">IFERROR(__xludf.DUMMYFUNCTION("""COMPUTED_VALUE"""),46.87)</f>
        <v>46.87</v>
      </c>
      <c r="F690" s="1">
        <f ca="1">IFERROR(__xludf.DUMMYFUNCTION("""COMPUTED_VALUE"""),1672749)</f>
        <v>1672749</v>
      </c>
    </row>
    <row r="691" spans="1:6" x14ac:dyDescent="0.35">
      <c r="A691" s="2">
        <f ca="1">IFERROR(__xludf.DUMMYFUNCTION("""COMPUTED_VALUE"""),43005.6666666666)</f>
        <v>43005.666666666599</v>
      </c>
      <c r="B691" s="1">
        <f ca="1">IFERROR(__xludf.DUMMYFUNCTION("""COMPUTED_VALUE"""),47.14)</f>
        <v>47.14</v>
      </c>
      <c r="C691" s="1">
        <f ca="1">IFERROR(__xludf.DUMMYFUNCTION("""COMPUTED_VALUE"""),48.27)</f>
        <v>48.27</v>
      </c>
      <c r="D691" s="1">
        <f ca="1">IFERROR(__xludf.DUMMYFUNCTION("""COMPUTED_VALUE"""),47.1)</f>
        <v>47.1</v>
      </c>
      <c r="E691" s="1">
        <f ca="1">IFERROR(__xludf.DUMMYFUNCTION("""COMPUTED_VALUE"""),48)</f>
        <v>48</v>
      </c>
      <c r="F691" s="1">
        <f ca="1">IFERROR(__xludf.DUMMYFUNCTION("""COMPUTED_VALUE"""),2334635)</f>
        <v>2334635</v>
      </c>
    </row>
    <row r="692" spans="1:6" x14ac:dyDescent="0.35">
      <c r="A692" s="2">
        <f ca="1">IFERROR(__xludf.DUMMYFUNCTION("""COMPUTED_VALUE"""),43006.6666666666)</f>
        <v>43006.666666666599</v>
      </c>
      <c r="B692" s="1">
        <f ca="1">IFERROR(__xludf.DUMMYFUNCTION("""COMPUTED_VALUE"""),47.81)</f>
        <v>47.81</v>
      </c>
      <c r="C692" s="1">
        <f ca="1">IFERROR(__xludf.DUMMYFUNCTION("""COMPUTED_VALUE"""),48.31)</f>
        <v>48.31</v>
      </c>
      <c r="D692" s="1">
        <f ca="1">IFERROR(__xludf.DUMMYFUNCTION("""COMPUTED_VALUE"""),47.78)</f>
        <v>47.78</v>
      </c>
      <c r="E692" s="1">
        <f ca="1">IFERROR(__xludf.DUMMYFUNCTION("""COMPUTED_VALUE"""),48.24)</f>
        <v>48.24</v>
      </c>
      <c r="F692" s="1">
        <f ca="1">IFERROR(__xludf.DUMMYFUNCTION("""COMPUTED_VALUE"""),1400931)</f>
        <v>1400931</v>
      </c>
    </row>
    <row r="693" spans="1:6" x14ac:dyDescent="0.35">
      <c r="A693" s="2">
        <f ca="1">IFERROR(__xludf.DUMMYFUNCTION("""COMPUTED_VALUE"""),43007.6666666666)</f>
        <v>43007.666666666599</v>
      </c>
      <c r="B693" s="1">
        <f ca="1">IFERROR(__xludf.DUMMYFUNCTION("""COMPUTED_VALUE"""),48.3)</f>
        <v>48.3</v>
      </c>
      <c r="C693" s="1">
        <f ca="1">IFERROR(__xludf.DUMMYFUNCTION("""COMPUTED_VALUE"""),48.79)</f>
        <v>48.79</v>
      </c>
      <c r="D693" s="1">
        <f ca="1">IFERROR(__xludf.DUMMYFUNCTION("""COMPUTED_VALUE"""),48.3)</f>
        <v>48.3</v>
      </c>
      <c r="E693" s="1">
        <f ca="1">IFERROR(__xludf.DUMMYFUNCTION("""COMPUTED_VALUE"""),48.69)</f>
        <v>48.69</v>
      </c>
      <c r="F693" s="1">
        <f ca="1">IFERROR(__xludf.DUMMYFUNCTION("""COMPUTED_VALUE"""),2031092)</f>
        <v>2031092</v>
      </c>
    </row>
    <row r="694" spans="1:6" x14ac:dyDescent="0.35">
      <c r="A694" s="2">
        <f ca="1">IFERROR(__xludf.DUMMYFUNCTION("""COMPUTED_VALUE"""),43010.6666666666)</f>
        <v>43010.666666666599</v>
      </c>
      <c r="B694" s="1">
        <f ca="1">IFERROR(__xludf.DUMMYFUNCTION("""COMPUTED_VALUE"""),48.78)</f>
        <v>48.78</v>
      </c>
      <c r="C694" s="1">
        <f ca="1">IFERROR(__xludf.DUMMYFUNCTION("""COMPUTED_VALUE"""),48.89)</f>
        <v>48.89</v>
      </c>
      <c r="D694" s="1">
        <f ca="1">IFERROR(__xludf.DUMMYFUNCTION("""COMPUTED_VALUE"""),48.1)</f>
        <v>48.1</v>
      </c>
      <c r="E694" s="1">
        <f ca="1">IFERROR(__xludf.DUMMYFUNCTION("""COMPUTED_VALUE"""),48.37)</f>
        <v>48.37</v>
      </c>
      <c r="F694" s="1">
        <f ca="1">IFERROR(__xludf.DUMMYFUNCTION("""COMPUTED_VALUE"""),1539122)</f>
        <v>1539122</v>
      </c>
    </row>
    <row r="695" spans="1:6" x14ac:dyDescent="0.35">
      <c r="A695" s="2">
        <f ca="1">IFERROR(__xludf.DUMMYFUNCTION("""COMPUTED_VALUE"""),43011.6666666666)</f>
        <v>43011.666666666599</v>
      </c>
      <c r="B695" s="1">
        <f ca="1">IFERROR(__xludf.DUMMYFUNCTION("""COMPUTED_VALUE"""),48.38)</f>
        <v>48.38</v>
      </c>
      <c r="C695" s="1">
        <f ca="1">IFERROR(__xludf.DUMMYFUNCTION("""COMPUTED_VALUE"""),48.62)</f>
        <v>48.62</v>
      </c>
      <c r="D695" s="1">
        <f ca="1">IFERROR(__xludf.DUMMYFUNCTION("""COMPUTED_VALUE"""),48.14)</f>
        <v>48.14</v>
      </c>
      <c r="E695" s="1">
        <f ca="1">IFERROR(__xludf.DUMMYFUNCTION("""COMPUTED_VALUE"""),48.6)</f>
        <v>48.6</v>
      </c>
      <c r="F695" s="1">
        <f ca="1">IFERROR(__xludf.DUMMYFUNCTION("""COMPUTED_VALUE"""),1083948)</f>
        <v>1083948</v>
      </c>
    </row>
    <row r="696" spans="1:6" x14ac:dyDescent="0.35">
      <c r="A696" s="2">
        <f ca="1">IFERROR(__xludf.DUMMYFUNCTION("""COMPUTED_VALUE"""),43012.6666666666)</f>
        <v>43012.666666666599</v>
      </c>
      <c r="B696" s="1">
        <f ca="1">IFERROR(__xludf.DUMMYFUNCTION("""COMPUTED_VALUE"""),48.59)</f>
        <v>48.59</v>
      </c>
      <c r="C696" s="1">
        <f ca="1">IFERROR(__xludf.DUMMYFUNCTION("""COMPUTED_VALUE"""),48.72)</f>
        <v>48.72</v>
      </c>
      <c r="D696" s="1">
        <f ca="1">IFERROR(__xludf.DUMMYFUNCTION("""COMPUTED_VALUE"""),48.28)</f>
        <v>48.28</v>
      </c>
      <c r="E696" s="1">
        <f ca="1">IFERROR(__xludf.DUMMYFUNCTION("""COMPUTED_VALUE"""),48.34)</f>
        <v>48.34</v>
      </c>
      <c r="F696" s="1">
        <f ca="1">IFERROR(__xludf.DUMMYFUNCTION("""COMPUTED_VALUE"""),1057769)</f>
        <v>1057769</v>
      </c>
    </row>
    <row r="697" spans="1:6" x14ac:dyDescent="0.35">
      <c r="A697" s="2">
        <f ca="1">IFERROR(__xludf.DUMMYFUNCTION("""COMPUTED_VALUE"""),43013.6666666666)</f>
        <v>43013.666666666599</v>
      </c>
      <c r="B697" s="1">
        <f ca="1">IFERROR(__xludf.DUMMYFUNCTION("""COMPUTED_VALUE"""),48.64)</f>
        <v>48.64</v>
      </c>
      <c r="C697" s="1">
        <f ca="1">IFERROR(__xludf.DUMMYFUNCTION("""COMPUTED_VALUE"""),49.33)</f>
        <v>49.33</v>
      </c>
      <c r="D697" s="1">
        <f ca="1">IFERROR(__xludf.DUMMYFUNCTION("""COMPUTED_VALUE"""),48.51)</f>
        <v>48.51</v>
      </c>
      <c r="E697" s="1">
        <f ca="1">IFERROR(__xludf.DUMMYFUNCTION("""COMPUTED_VALUE"""),49.26)</f>
        <v>49.26</v>
      </c>
      <c r="F697" s="1">
        <f ca="1">IFERROR(__xludf.DUMMYFUNCTION("""COMPUTED_VALUE"""),1780946)</f>
        <v>1780946</v>
      </c>
    </row>
    <row r="698" spans="1:6" x14ac:dyDescent="0.35">
      <c r="A698" s="2">
        <f ca="1">IFERROR(__xludf.DUMMYFUNCTION("""COMPUTED_VALUE"""),43014.6666666666)</f>
        <v>43014.666666666599</v>
      </c>
      <c r="B698" s="1">
        <f ca="1">IFERROR(__xludf.DUMMYFUNCTION("""COMPUTED_VALUE"""),49)</f>
        <v>49</v>
      </c>
      <c r="C698" s="1">
        <f ca="1">IFERROR(__xludf.DUMMYFUNCTION("""COMPUTED_VALUE"""),49.71)</f>
        <v>49.71</v>
      </c>
      <c r="D698" s="1">
        <f ca="1">IFERROR(__xludf.DUMMYFUNCTION("""COMPUTED_VALUE"""),48.93)</f>
        <v>48.93</v>
      </c>
      <c r="E698" s="1">
        <f ca="1">IFERROR(__xludf.DUMMYFUNCTION("""COMPUTED_VALUE"""),49.68)</f>
        <v>49.68</v>
      </c>
      <c r="F698" s="1">
        <f ca="1">IFERROR(__xludf.DUMMYFUNCTION("""COMPUTED_VALUE"""),1553033)</f>
        <v>1553033</v>
      </c>
    </row>
    <row r="699" spans="1:6" x14ac:dyDescent="0.35">
      <c r="A699" s="2">
        <f ca="1">IFERROR(__xludf.DUMMYFUNCTION("""COMPUTED_VALUE"""),43017.6666666666)</f>
        <v>43017.666666666599</v>
      </c>
      <c r="B699" s="1">
        <f ca="1">IFERROR(__xludf.DUMMYFUNCTION("""COMPUTED_VALUE"""),49.75)</f>
        <v>49.75</v>
      </c>
      <c r="C699" s="1">
        <f ca="1">IFERROR(__xludf.DUMMYFUNCTION("""COMPUTED_VALUE"""),50.02)</f>
        <v>50.02</v>
      </c>
      <c r="D699" s="1">
        <f ca="1">IFERROR(__xludf.DUMMYFUNCTION("""COMPUTED_VALUE"""),49.58)</f>
        <v>49.58</v>
      </c>
      <c r="E699" s="1">
        <f ca="1">IFERROR(__xludf.DUMMYFUNCTION("""COMPUTED_VALUE"""),49.62)</f>
        <v>49.62</v>
      </c>
      <c r="F699" s="1">
        <f ca="1">IFERROR(__xludf.DUMMYFUNCTION("""COMPUTED_VALUE"""),1295467)</f>
        <v>1295467</v>
      </c>
    </row>
    <row r="700" spans="1:6" x14ac:dyDescent="0.35">
      <c r="A700" s="2">
        <f ca="1">IFERROR(__xludf.DUMMYFUNCTION("""COMPUTED_VALUE"""),43018.6666666666)</f>
        <v>43018.666666666599</v>
      </c>
      <c r="B700" s="1">
        <f ca="1">IFERROR(__xludf.DUMMYFUNCTION("""COMPUTED_VALUE"""),49.77)</f>
        <v>49.77</v>
      </c>
      <c r="C700" s="1">
        <f ca="1">IFERROR(__xludf.DUMMYFUNCTION("""COMPUTED_VALUE"""),49.87)</f>
        <v>49.87</v>
      </c>
      <c r="D700" s="1">
        <f ca="1">IFERROR(__xludf.DUMMYFUNCTION("""COMPUTED_VALUE"""),49.06)</f>
        <v>49.06</v>
      </c>
      <c r="E700" s="1">
        <f ca="1">IFERROR(__xludf.DUMMYFUNCTION("""COMPUTED_VALUE"""),49.39)</f>
        <v>49.39</v>
      </c>
      <c r="F700" s="1">
        <f ca="1">IFERROR(__xludf.DUMMYFUNCTION("""COMPUTED_VALUE"""),1163400)</f>
        <v>1163400</v>
      </c>
    </row>
    <row r="701" spans="1:6" x14ac:dyDescent="0.35">
      <c r="A701" s="2">
        <f ca="1">IFERROR(__xludf.DUMMYFUNCTION("""COMPUTED_VALUE"""),43019.6666666666)</f>
        <v>43019.666666666599</v>
      </c>
      <c r="B701" s="1">
        <f ca="1">IFERROR(__xludf.DUMMYFUNCTION("""COMPUTED_VALUE"""),49.45)</f>
        <v>49.45</v>
      </c>
      <c r="C701" s="1">
        <f ca="1">IFERROR(__xludf.DUMMYFUNCTION("""COMPUTED_VALUE"""),50.38)</f>
        <v>50.38</v>
      </c>
      <c r="D701" s="1">
        <f ca="1">IFERROR(__xludf.DUMMYFUNCTION("""COMPUTED_VALUE"""),49.4)</f>
        <v>49.4</v>
      </c>
      <c r="E701" s="1">
        <f ca="1">IFERROR(__xludf.DUMMYFUNCTION("""COMPUTED_VALUE"""),50.28)</f>
        <v>50.28</v>
      </c>
      <c r="F701" s="1">
        <f ca="1">IFERROR(__xludf.DUMMYFUNCTION("""COMPUTED_VALUE"""),1814999)</f>
        <v>1814999</v>
      </c>
    </row>
    <row r="702" spans="1:6" x14ac:dyDescent="0.35">
      <c r="A702" s="2">
        <f ca="1">IFERROR(__xludf.DUMMYFUNCTION("""COMPUTED_VALUE"""),43020.6666666666)</f>
        <v>43020.666666666599</v>
      </c>
      <c r="B702" s="1">
        <f ca="1">IFERROR(__xludf.DUMMYFUNCTION("""COMPUTED_VALUE"""),50.19)</f>
        <v>50.19</v>
      </c>
      <c r="C702" s="1">
        <f ca="1">IFERROR(__xludf.DUMMYFUNCTION("""COMPUTED_VALUE"""),50.58)</f>
        <v>50.58</v>
      </c>
      <c r="D702" s="1">
        <f ca="1">IFERROR(__xludf.DUMMYFUNCTION("""COMPUTED_VALUE"""),50.06)</f>
        <v>50.06</v>
      </c>
      <c r="E702" s="1">
        <f ca="1">IFERROR(__xludf.DUMMYFUNCTION("""COMPUTED_VALUE"""),50.28)</f>
        <v>50.28</v>
      </c>
      <c r="F702" s="1">
        <f ca="1">IFERROR(__xludf.DUMMYFUNCTION("""COMPUTED_VALUE"""),1530664)</f>
        <v>1530664</v>
      </c>
    </row>
    <row r="703" spans="1:6" x14ac:dyDescent="0.35">
      <c r="A703" s="2">
        <f ca="1">IFERROR(__xludf.DUMMYFUNCTION("""COMPUTED_VALUE"""),43021.6666666666)</f>
        <v>43021.666666666599</v>
      </c>
      <c r="B703" s="1">
        <f ca="1">IFERROR(__xludf.DUMMYFUNCTION("""COMPUTED_VALUE"""),50.46)</f>
        <v>50.46</v>
      </c>
      <c r="C703" s="1">
        <f ca="1">IFERROR(__xludf.DUMMYFUNCTION("""COMPUTED_VALUE"""),50.74)</f>
        <v>50.74</v>
      </c>
      <c r="D703" s="1">
        <f ca="1">IFERROR(__xludf.DUMMYFUNCTION("""COMPUTED_VALUE"""),50.35)</f>
        <v>50.35</v>
      </c>
      <c r="E703" s="1">
        <f ca="1">IFERROR(__xludf.DUMMYFUNCTION("""COMPUTED_VALUE"""),50.39)</f>
        <v>50.39</v>
      </c>
      <c r="F703" s="1">
        <f ca="1">IFERROR(__xludf.DUMMYFUNCTION("""COMPUTED_VALUE"""),1327632)</f>
        <v>1327632</v>
      </c>
    </row>
    <row r="704" spans="1:6" x14ac:dyDescent="0.35">
      <c r="A704" s="2">
        <f ca="1">IFERROR(__xludf.DUMMYFUNCTION("""COMPUTED_VALUE"""),43024.6666666666)</f>
        <v>43024.666666666599</v>
      </c>
      <c r="B704" s="1">
        <f ca="1">IFERROR(__xludf.DUMMYFUNCTION("""COMPUTED_VALUE"""),50.48)</f>
        <v>50.48</v>
      </c>
      <c r="C704" s="1">
        <f ca="1">IFERROR(__xludf.DUMMYFUNCTION("""COMPUTED_VALUE"""),50.6)</f>
        <v>50.6</v>
      </c>
      <c r="D704" s="1">
        <f ca="1">IFERROR(__xludf.DUMMYFUNCTION("""COMPUTED_VALUE"""),50.08)</f>
        <v>50.08</v>
      </c>
      <c r="E704" s="1">
        <f ca="1">IFERROR(__xludf.DUMMYFUNCTION("""COMPUTED_VALUE"""),50.47)</f>
        <v>50.47</v>
      </c>
      <c r="F704" s="1">
        <f ca="1">IFERROR(__xludf.DUMMYFUNCTION("""COMPUTED_VALUE"""),1071023)</f>
        <v>1071023</v>
      </c>
    </row>
    <row r="705" spans="1:6" x14ac:dyDescent="0.35">
      <c r="A705" s="2">
        <f ca="1">IFERROR(__xludf.DUMMYFUNCTION("""COMPUTED_VALUE"""),43025.6666666666)</f>
        <v>43025.666666666599</v>
      </c>
      <c r="B705" s="1">
        <f ca="1">IFERROR(__xludf.DUMMYFUNCTION("""COMPUTED_VALUE"""),50.37)</f>
        <v>50.37</v>
      </c>
      <c r="C705" s="1">
        <f ca="1">IFERROR(__xludf.DUMMYFUNCTION("""COMPUTED_VALUE"""),50.73)</f>
        <v>50.73</v>
      </c>
      <c r="D705" s="1">
        <f ca="1">IFERROR(__xludf.DUMMYFUNCTION("""COMPUTED_VALUE"""),50.3)</f>
        <v>50.3</v>
      </c>
      <c r="E705" s="1">
        <f ca="1">IFERROR(__xludf.DUMMYFUNCTION("""COMPUTED_VALUE"""),50.55)</f>
        <v>50.55</v>
      </c>
      <c r="F705" s="1">
        <f ca="1">IFERROR(__xludf.DUMMYFUNCTION("""COMPUTED_VALUE"""),1012998)</f>
        <v>1012998</v>
      </c>
    </row>
    <row r="706" spans="1:6" x14ac:dyDescent="0.35">
      <c r="A706" s="2">
        <f ca="1">IFERROR(__xludf.DUMMYFUNCTION("""COMPUTED_VALUE"""),43026.6666666666)</f>
        <v>43026.666666666599</v>
      </c>
      <c r="B706" s="1">
        <f ca="1">IFERROR(__xludf.DUMMYFUNCTION("""COMPUTED_VALUE"""),50.55)</f>
        <v>50.55</v>
      </c>
      <c r="C706" s="1">
        <f ca="1">IFERROR(__xludf.DUMMYFUNCTION("""COMPUTED_VALUE"""),50.82)</f>
        <v>50.82</v>
      </c>
      <c r="D706" s="1">
        <f ca="1">IFERROR(__xludf.DUMMYFUNCTION("""COMPUTED_VALUE"""),50.27)</f>
        <v>50.27</v>
      </c>
      <c r="E706" s="1">
        <f ca="1">IFERROR(__xludf.DUMMYFUNCTION("""COMPUTED_VALUE"""),50.64)</f>
        <v>50.64</v>
      </c>
      <c r="F706" s="1">
        <f ca="1">IFERROR(__xludf.DUMMYFUNCTION("""COMPUTED_VALUE"""),1279780)</f>
        <v>1279780</v>
      </c>
    </row>
    <row r="707" spans="1:6" x14ac:dyDescent="0.35">
      <c r="A707" s="2">
        <f ca="1">IFERROR(__xludf.DUMMYFUNCTION("""COMPUTED_VALUE"""),43027.6666666666)</f>
        <v>43027.666666666599</v>
      </c>
      <c r="B707" s="1">
        <f ca="1">IFERROR(__xludf.DUMMYFUNCTION("""COMPUTED_VALUE"""),50.24)</f>
        <v>50.24</v>
      </c>
      <c r="C707" s="1">
        <f ca="1">IFERROR(__xludf.DUMMYFUNCTION("""COMPUTED_VALUE"""),50.37)</f>
        <v>50.37</v>
      </c>
      <c r="D707" s="1">
        <f ca="1">IFERROR(__xludf.DUMMYFUNCTION("""COMPUTED_VALUE"""),49.87)</f>
        <v>49.87</v>
      </c>
      <c r="E707" s="1">
        <f ca="1">IFERROR(__xludf.DUMMYFUNCTION("""COMPUTED_VALUE"""),50.09)</f>
        <v>50.09</v>
      </c>
      <c r="F707" s="1">
        <f ca="1">IFERROR(__xludf.DUMMYFUNCTION("""COMPUTED_VALUE"""),1714243)</f>
        <v>1714243</v>
      </c>
    </row>
    <row r="708" spans="1:6" x14ac:dyDescent="0.35">
      <c r="A708" s="2">
        <f ca="1">IFERROR(__xludf.DUMMYFUNCTION("""COMPUTED_VALUE"""),43028.6666666666)</f>
        <v>43028.666666666599</v>
      </c>
      <c r="B708" s="1">
        <f ca="1">IFERROR(__xludf.DUMMYFUNCTION("""COMPUTED_VALUE"""),50.35)</f>
        <v>50.35</v>
      </c>
      <c r="C708" s="1">
        <f ca="1">IFERROR(__xludf.DUMMYFUNCTION("""COMPUTED_VALUE"""),50.43)</f>
        <v>50.43</v>
      </c>
      <c r="D708" s="1">
        <f ca="1">IFERROR(__xludf.DUMMYFUNCTION("""COMPUTED_VALUE"""),50.11)</f>
        <v>50.11</v>
      </c>
      <c r="E708" s="1">
        <f ca="1">IFERROR(__xludf.DUMMYFUNCTION("""COMPUTED_VALUE"""),50.25)</f>
        <v>50.25</v>
      </c>
      <c r="F708" s="1">
        <f ca="1">IFERROR(__xludf.DUMMYFUNCTION("""COMPUTED_VALUE"""),1606031)</f>
        <v>1606031</v>
      </c>
    </row>
    <row r="709" spans="1:6" x14ac:dyDescent="0.35">
      <c r="A709" s="2">
        <f ca="1">IFERROR(__xludf.DUMMYFUNCTION("""COMPUTED_VALUE"""),43031.6666666666)</f>
        <v>43031.666666666599</v>
      </c>
      <c r="B709" s="1">
        <f ca="1">IFERROR(__xludf.DUMMYFUNCTION("""COMPUTED_VALUE"""),50.26)</f>
        <v>50.26</v>
      </c>
      <c r="C709" s="1">
        <f ca="1">IFERROR(__xludf.DUMMYFUNCTION("""COMPUTED_VALUE"""),50.29)</f>
        <v>50.29</v>
      </c>
      <c r="D709" s="1">
        <f ca="1">IFERROR(__xludf.DUMMYFUNCTION("""COMPUTED_VALUE"""),49.16)</f>
        <v>49.16</v>
      </c>
      <c r="E709" s="1">
        <f ca="1">IFERROR(__xludf.DUMMYFUNCTION("""COMPUTED_VALUE"""),49.28)</f>
        <v>49.28</v>
      </c>
      <c r="F709" s="1">
        <f ca="1">IFERROR(__xludf.DUMMYFUNCTION("""COMPUTED_VALUE"""),1639294)</f>
        <v>1639294</v>
      </c>
    </row>
    <row r="710" spans="1:6" x14ac:dyDescent="0.35">
      <c r="A710" s="2">
        <f ca="1">IFERROR(__xludf.DUMMYFUNCTION("""COMPUTED_VALUE"""),43032.6666666666)</f>
        <v>43032.666666666599</v>
      </c>
      <c r="B710" s="1">
        <f ca="1">IFERROR(__xludf.DUMMYFUNCTION("""COMPUTED_VALUE"""),49.33)</f>
        <v>49.33</v>
      </c>
      <c r="C710" s="1">
        <f ca="1">IFERROR(__xludf.DUMMYFUNCTION("""COMPUTED_VALUE"""),49.46)</f>
        <v>49.46</v>
      </c>
      <c r="D710" s="1">
        <f ca="1">IFERROR(__xludf.DUMMYFUNCTION("""COMPUTED_VALUE"""),48.85)</f>
        <v>48.85</v>
      </c>
      <c r="E710" s="1">
        <f ca="1">IFERROR(__xludf.DUMMYFUNCTION("""COMPUTED_VALUE"""),49.42)</f>
        <v>49.42</v>
      </c>
      <c r="F710" s="1">
        <f ca="1">IFERROR(__xludf.DUMMYFUNCTION("""COMPUTED_VALUE"""),1445129)</f>
        <v>1445129</v>
      </c>
    </row>
    <row r="711" spans="1:6" x14ac:dyDescent="0.35">
      <c r="A711" s="2">
        <f ca="1">IFERROR(__xludf.DUMMYFUNCTION("""COMPUTED_VALUE"""),43033.6666666666)</f>
        <v>43033.666666666599</v>
      </c>
      <c r="B711" s="1">
        <f ca="1">IFERROR(__xludf.DUMMYFUNCTION("""COMPUTED_VALUE"""),49.31)</f>
        <v>49.31</v>
      </c>
      <c r="C711" s="1">
        <f ca="1">IFERROR(__xludf.DUMMYFUNCTION("""COMPUTED_VALUE"""),49.72)</f>
        <v>49.72</v>
      </c>
      <c r="D711" s="1">
        <f ca="1">IFERROR(__xludf.DUMMYFUNCTION("""COMPUTED_VALUE"""),48.89)</f>
        <v>48.89</v>
      </c>
      <c r="E711" s="1">
        <f ca="1">IFERROR(__xludf.DUMMYFUNCTION("""COMPUTED_VALUE"""),49.57)</f>
        <v>49.57</v>
      </c>
      <c r="F711" s="1">
        <f ca="1">IFERROR(__xludf.DUMMYFUNCTION("""COMPUTED_VALUE"""),1528710)</f>
        <v>1528710</v>
      </c>
    </row>
    <row r="712" spans="1:6" x14ac:dyDescent="0.35">
      <c r="A712" s="2">
        <f ca="1">IFERROR(__xludf.DUMMYFUNCTION("""COMPUTED_VALUE"""),43034.6666666666)</f>
        <v>43034.666666666599</v>
      </c>
      <c r="B712" s="1">
        <f ca="1">IFERROR(__xludf.DUMMYFUNCTION("""COMPUTED_VALUE"""),49.92)</f>
        <v>49.92</v>
      </c>
      <c r="C712" s="1">
        <f ca="1">IFERROR(__xludf.DUMMYFUNCTION("""COMPUTED_VALUE"""),50.33)</f>
        <v>50.33</v>
      </c>
      <c r="D712" s="1">
        <f ca="1">IFERROR(__xludf.DUMMYFUNCTION("""COMPUTED_VALUE"""),49.52)</f>
        <v>49.52</v>
      </c>
      <c r="E712" s="1">
        <f ca="1">IFERROR(__xludf.DUMMYFUNCTION("""COMPUTED_VALUE"""),49.57)</f>
        <v>49.57</v>
      </c>
      <c r="F712" s="1">
        <f ca="1">IFERROR(__xludf.DUMMYFUNCTION("""COMPUTED_VALUE"""),2369838)</f>
        <v>2369838</v>
      </c>
    </row>
    <row r="713" spans="1:6" x14ac:dyDescent="0.35">
      <c r="A713" s="2">
        <f ca="1">IFERROR(__xludf.DUMMYFUNCTION("""COMPUTED_VALUE"""),43035.6666666666)</f>
        <v>43035.666666666599</v>
      </c>
      <c r="B713" s="1">
        <f ca="1">IFERROR(__xludf.DUMMYFUNCTION("""COMPUTED_VALUE"""),51.55)</f>
        <v>51.55</v>
      </c>
      <c r="C713" s="1">
        <f ca="1">IFERROR(__xludf.DUMMYFUNCTION("""COMPUTED_VALUE"""),53.18)</f>
        <v>53.18</v>
      </c>
      <c r="D713" s="1">
        <f ca="1">IFERROR(__xludf.DUMMYFUNCTION("""COMPUTED_VALUE"""),51.34)</f>
        <v>51.34</v>
      </c>
      <c r="E713" s="1">
        <f ca="1">IFERROR(__xludf.DUMMYFUNCTION("""COMPUTED_VALUE"""),51.68)</f>
        <v>51.68</v>
      </c>
      <c r="F713" s="1">
        <f ca="1">IFERROR(__xludf.DUMMYFUNCTION("""COMPUTED_VALUE"""),5184143)</f>
        <v>5184143</v>
      </c>
    </row>
    <row r="714" spans="1:6" x14ac:dyDescent="0.35">
      <c r="A714" s="2">
        <f ca="1">IFERROR(__xludf.DUMMYFUNCTION("""COMPUTED_VALUE"""),43038.6666666666)</f>
        <v>43038.666666666599</v>
      </c>
      <c r="B714" s="1">
        <f ca="1">IFERROR(__xludf.DUMMYFUNCTION("""COMPUTED_VALUE"""),51.46)</f>
        <v>51.46</v>
      </c>
      <c r="C714" s="1">
        <f ca="1">IFERROR(__xludf.DUMMYFUNCTION("""COMPUTED_VALUE"""),51.99)</f>
        <v>51.99</v>
      </c>
      <c r="D714" s="1">
        <f ca="1">IFERROR(__xludf.DUMMYFUNCTION("""COMPUTED_VALUE"""),51.12)</f>
        <v>51.12</v>
      </c>
      <c r="E714" s="1">
        <f ca="1">IFERROR(__xludf.DUMMYFUNCTION("""COMPUTED_VALUE"""),51.66)</f>
        <v>51.66</v>
      </c>
      <c r="F714" s="1">
        <f ca="1">IFERROR(__xludf.DUMMYFUNCTION("""COMPUTED_VALUE"""),2340172)</f>
        <v>2340172</v>
      </c>
    </row>
    <row r="715" spans="1:6" x14ac:dyDescent="0.35">
      <c r="A715" s="2">
        <f ca="1">IFERROR(__xludf.DUMMYFUNCTION("""COMPUTED_VALUE"""),43039.6666666666)</f>
        <v>43039.666666666599</v>
      </c>
      <c r="B715" s="1">
        <f ca="1">IFERROR(__xludf.DUMMYFUNCTION("""COMPUTED_VALUE"""),51.65)</f>
        <v>51.65</v>
      </c>
      <c r="C715" s="1">
        <f ca="1">IFERROR(__xludf.DUMMYFUNCTION("""COMPUTED_VALUE"""),52.05)</f>
        <v>52.05</v>
      </c>
      <c r="D715" s="1">
        <f ca="1">IFERROR(__xludf.DUMMYFUNCTION("""COMPUTED_VALUE"""),51.31)</f>
        <v>51.31</v>
      </c>
      <c r="E715" s="1">
        <f ca="1">IFERROR(__xludf.DUMMYFUNCTION("""COMPUTED_VALUE"""),51.65)</f>
        <v>51.65</v>
      </c>
      <c r="F715" s="1">
        <f ca="1">IFERROR(__xludf.DUMMYFUNCTION("""COMPUTED_VALUE"""),1516278)</f>
        <v>1516278</v>
      </c>
    </row>
    <row r="716" spans="1:6" x14ac:dyDescent="0.35">
      <c r="A716" s="2">
        <f ca="1">IFERROR(__xludf.DUMMYFUNCTION("""COMPUTED_VALUE"""),43040.6666666666)</f>
        <v>43040.666666666599</v>
      </c>
      <c r="B716" s="1">
        <f ca="1">IFERROR(__xludf.DUMMYFUNCTION("""COMPUTED_VALUE"""),51.82)</f>
        <v>51.82</v>
      </c>
      <c r="C716" s="1">
        <f ca="1">IFERROR(__xludf.DUMMYFUNCTION("""COMPUTED_VALUE"""),52.39)</f>
        <v>52.39</v>
      </c>
      <c r="D716" s="1">
        <f ca="1">IFERROR(__xludf.DUMMYFUNCTION("""COMPUTED_VALUE"""),51.7)</f>
        <v>51.7</v>
      </c>
      <c r="E716" s="1">
        <f ca="1">IFERROR(__xludf.DUMMYFUNCTION("""COMPUTED_VALUE"""),52.13)</f>
        <v>52.13</v>
      </c>
      <c r="F716" s="1">
        <f ca="1">IFERROR(__xludf.DUMMYFUNCTION("""COMPUTED_VALUE"""),2163073)</f>
        <v>2163073</v>
      </c>
    </row>
    <row r="717" spans="1:6" x14ac:dyDescent="0.35">
      <c r="A717" s="2">
        <f ca="1">IFERROR(__xludf.DUMMYFUNCTION("""COMPUTED_VALUE"""),43041.6666666666)</f>
        <v>43041.666666666599</v>
      </c>
      <c r="B717" s="1">
        <f ca="1">IFERROR(__xludf.DUMMYFUNCTION("""COMPUTED_VALUE"""),52)</f>
        <v>52</v>
      </c>
      <c r="C717" s="1">
        <f ca="1">IFERROR(__xludf.DUMMYFUNCTION("""COMPUTED_VALUE"""),52.28)</f>
        <v>52.28</v>
      </c>
      <c r="D717" s="1">
        <f ca="1">IFERROR(__xludf.DUMMYFUNCTION("""COMPUTED_VALUE"""),51.43)</f>
        <v>51.43</v>
      </c>
      <c r="E717" s="1">
        <f ca="1">IFERROR(__xludf.DUMMYFUNCTION("""COMPUTED_VALUE"""),52.15)</f>
        <v>52.15</v>
      </c>
      <c r="F717" s="1">
        <f ca="1">IFERROR(__xludf.DUMMYFUNCTION("""COMPUTED_VALUE"""),1334697)</f>
        <v>1334697</v>
      </c>
    </row>
    <row r="718" spans="1:6" x14ac:dyDescent="0.35">
      <c r="A718" s="2">
        <f ca="1">IFERROR(__xludf.DUMMYFUNCTION("""COMPUTED_VALUE"""),43042.6666666666)</f>
        <v>43042.666666666599</v>
      </c>
      <c r="B718" s="1">
        <f ca="1">IFERROR(__xludf.DUMMYFUNCTION("""COMPUTED_VALUE"""),52.14)</f>
        <v>52.14</v>
      </c>
      <c r="C718" s="1">
        <f ca="1">IFERROR(__xludf.DUMMYFUNCTION("""COMPUTED_VALUE"""),52.53)</f>
        <v>52.53</v>
      </c>
      <c r="D718" s="1">
        <f ca="1">IFERROR(__xludf.DUMMYFUNCTION("""COMPUTED_VALUE"""),51.88)</f>
        <v>51.88</v>
      </c>
      <c r="E718" s="1">
        <f ca="1">IFERROR(__xludf.DUMMYFUNCTION("""COMPUTED_VALUE"""),52.5)</f>
        <v>52.5</v>
      </c>
      <c r="F718" s="1">
        <f ca="1">IFERROR(__xludf.DUMMYFUNCTION("""COMPUTED_VALUE"""),1388461)</f>
        <v>1388461</v>
      </c>
    </row>
    <row r="719" spans="1:6" x14ac:dyDescent="0.35">
      <c r="A719" s="2">
        <f ca="1">IFERROR(__xludf.DUMMYFUNCTION("""COMPUTED_VALUE"""),43045.6666666666)</f>
        <v>43045.666666666599</v>
      </c>
      <c r="B719" s="1">
        <f ca="1">IFERROR(__xludf.DUMMYFUNCTION("""COMPUTED_VALUE"""),52.46)</f>
        <v>52.46</v>
      </c>
      <c r="C719" s="1">
        <f ca="1">IFERROR(__xludf.DUMMYFUNCTION("""COMPUTED_VALUE"""),52.63)</f>
        <v>52.63</v>
      </c>
      <c r="D719" s="1">
        <f ca="1">IFERROR(__xludf.DUMMYFUNCTION("""COMPUTED_VALUE"""),52.1)</f>
        <v>52.1</v>
      </c>
      <c r="E719" s="1">
        <f ca="1">IFERROR(__xludf.DUMMYFUNCTION("""COMPUTED_VALUE"""),52.13)</f>
        <v>52.13</v>
      </c>
      <c r="F719" s="1">
        <f ca="1">IFERROR(__xludf.DUMMYFUNCTION("""COMPUTED_VALUE"""),914748)</f>
        <v>914748</v>
      </c>
    </row>
    <row r="720" spans="1:6" x14ac:dyDescent="0.35">
      <c r="A720" s="2">
        <f ca="1">IFERROR(__xludf.DUMMYFUNCTION("""COMPUTED_VALUE"""),43046.6666666666)</f>
        <v>43046.666666666599</v>
      </c>
      <c r="B720" s="1">
        <f ca="1">IFERROR(__xludf.DUMMYFUNCTION("""COMPUTED_VALUE"""),52.48)</f>
        <v>52.48</v>
      </c>
      <c r="C720" s="1">
        <f ca="1">IFERROR(__xludf.DUMMYFUNCTION("""COMPUTED_VALUE"""),52.67)</f>
        <v>52.67</v>
      </c>
      <c r="D720" s="1">
        <f ca="1">IFERROR(__xludf.DUMMYFUNCTION("""COMPUTED_VALUE"""),52.15)</f>
        <v>52.15</v>
      </c>
      <c r="E720" s="1">
        <f ca="1">IFERROR(__xludf.DUMMYFUNCTION("""COMPUTED_VALUE"""),52.62)</f>
        <v>52.62</v>
      </c>
      <c r="F720" s="1">
        <f ca="1">IFERROR(__xludf.DUMMYFUNCTION("""COMPUTED_VALUE"""),1305229)</f>
        <v>1305229</v>
      </c>
    </row>
    <row r="721" spans="1:6" x14ac:dyDescent="0.35">
      <c r="A721" s="2">
        <f ca="1">IFERROR(__xludf.DUMMYFUNCTION("""COMPUTED_VALUE"""),43047.6666666666)</f>
        <v>43047.666666666599</v>
      </c>
      <c r="B721" s="1">
        <f ca="1">IFERROR(__xludf.DUMMYFUNCTION("""COMPUTED_VALUE"""),52.5)</f>
        <v>52.5</v>
      </c>
      <c r="C721" s="1">
        <f ca="1">IFERROR(__xludf.DUMMYFUNCTION("""COMPUTED_VALUE"""),53.13)</f>
        <v>53.13</v>
      </c>
      <c r="D721" s="1">
        <f ca="1">IFERROR(__xludf.DUMMYFUNCTION("""COMPUTED_VALUE"""),52.35)</f>
        <v>52.35</v>
      </c>
      <c r="E721" s="1">
        <f ca="1">IFERROR(__xludf.DUMMYFUNCTION("""COMPUTED_VALUE"""),52.91)</f>
        <v>52.91</v>
      </c>
      <c r="F721" s="1">
        <f ca="1">IFERROR(__xludf.DUMMYFUNCTION("""COMPUTED_VALUE"""),1214600)</f>
        <v>1214600</v>
      </c>
    </row>
    <row r="722" spans="1:6" x14ac:dyDescent="0.35">
      <c r="A722" s="2">
        <f ca="1">IFERROR(__xludf.DUMMYFUNCTION("""COMPUTED_VALUE"""),43048.6666666666)</f>
        <v>43048.666666666599</v>
      </c>
      <c r="B722" s="1">
        <f ca="1">IFERROR(__xludf.DUMMYFUNCTION("""COMPUTED_VALUE"""),52.4)</f>
        <v>52.4</v>
      </c>
      <c r="C722" s="1">
        <f ca="1">IFERROR(__xludf.DUMMYFUNCTION("""COMPUTED_VALUE"""),52.54)</f>
        <v>52.54</v>
      </c>
      <c r="D722" s="1">
        <f ca="1">IFERROR(__xludf.DUMMYFUNCTION("""COMPUTED_VALUE"""),51.79)</f>
        <v>51.79</v>
      </c>
      <c r="E722" s="1">
        <f ca="1">IFERROR(__xludf.DUMMYFUNCTION("""COMPUTED_VALUE"""),52.39)</f>
        <v>52.39</v>
      </c>
      <c r="F722" s="1">
        <f ca="1">IFERROR(__xludf.DUMMYFUNCTION("""COMPUTED_VALUE"""),1794575)</f>
        <v>1794575</v>
      </c>
    </row>
    <row r="723" spans="1:6" x14ac:dyDescent="0.35">
      <c r="A723" s="2">
        <f ca="1">IFERROR(__xludf.DUMMYFUNCTION("""COMPUTED_VALUE"""),43049.6666666666)</f>
        <v>43049.666666666599</v>
      </c>
      <c r="B723" s="1">
        <f ca="1">IFERROR(__xludf.DUMMYFUNCTION("""COMPUTED_VALUE"""),52.19)</f>
        <v>52.19</v>
      </c>
      <c r="C723" s="1">
        <f ca="1">IFERROR(__xludf.DUMMYFUNCTION("""COMPUTED_VALUE"""),52.33)</f>
        <v>52.33</v>
      </c>
      <c r="D723" s="1">
        <f ca="1">IFERROR(__xludf.DUMMYFUNCTION("""COMPUTED_VALUE"""),52.06)</f>
        <v>52.06</v>
      </c>
      <c r="E723" s="1">
        <f ca="1">IFERROR(__xludf.DUMMYFUNCTION("""COMPUTED_VALUE"""),52.21)</f>
        <v>52.21</v>
      </c>
      <c r="F723" s="1">
        <f ca="1">IFERROR(__xludf.DUMMYFUNCTION("""COMPUTED_VALUE"""),972127)</f>
        <v>972127</v>
      </c>
    </row>
    <row r="724" spans="1:6" x14ac:dyDescent="0.35">
      <c r="A724" s="2">
        <f ca="1">IFERROR(__xludf.DUMMYFUNCTION("""COMPUTED_VALUE"""),43052.6666666666)</f>
        <v>43052.666666666599</v>
      </c>
      <c r="B724" s="1">
        <f ca="1">IFERROR(__xludf.DUMMYFUNCTION("""COMPUTED_VALUE"""),52.04)</f>
        <v>52.04</v>
      </c>
      <c r="C724" s="1">
        <f ca="1">IFERROR(__xludf.DUMMYFUNCTION("""COMPUTED_VALUE"""),52.44)</f>
        <v>52.44</v>
      </c>
      <c r="D724" s="1">
        <f ca="1">IFERROR(__xludf.DUMMYFUNCTION("""COMPUTED_VALUE"""),51.96)</f>
        <v>51.96</v>
      </c>
      <c r="E724" s="1">
        <f ca="1">IFERROR(__xludf.DUMMYFUNCTION("""COMPUTED_VALUE"""),52.06)</f>
        <v>52.06</v>
      </c>
      <c r="F724" s="1">
        <f ca="1">IFERROR(__xludf.DUMMYFUNCTION("""COMPUTED_VALUE"""),940721)</f>
        <v>940721</v>
      </c>
    </row>
    <row r="725" spans="1:6" x14ac:dyDescent="0.35">
      <c r="A725" s="2">
        <f ca="1">IFERROR(__xludf.DUMMYFUNCTION("""COMPUTED_VALUE"""),43053.6666666666)</f>
        <v>43053.666666666599</v>
      </c>
      <c r="B725" s="1">
        <f ca="1">IFERROR(__xludf.DUMMYFUNCTION("""COMPUTED_VALUE"""),51.89)</f>
        <v>51.89</v>
      </c>
      <c r="C725" s="1">
        <f ca="1">IFERROR(__xludf.DUMMYFUNCTION("""COMPUTED_VALUE"""),52.12)</f>
        <v>52.12</v>
      </c>
      <c r="D725" s="1">
        <f ca="1">IFERROR(__xludf.DUMMYFUNCTION("""COMPUTED_VALUE"""),51.47)</f>
        <v>51.47</v>
      </c>
      <c r="E725" s="1">
        <f ca="1">IFERROR(__xludf.DUMMYFUNCTION("""COMPUTED_VALUE"""),52.08)</f>
        <v>52.08</v>
      </c>
      <c r="F725" s="1">
        <f ca="1">IFERROR(__xludf.DUMMYFUNCTION("""COMPUTED_VALUE"""),1050566)</f>
        <v>1050566</v>
      </c>
    </row>
    <row r="726" spans="1:6" x14ac:dyDescent="0.35">
      <c r="A726" s="2">
        <f ca="1">IFERROR(__xludf.DUMMYFUNCTION("""COMPUTED_VALUE"""),43054.6666666666)</f>
        <v>43054.666666666599</v>
      </c>
      <c r="B726" s="1">
        <f ca="1">IFERROR(__xludf.DUMMYFUNCTION("""COMPUTED_VALUE"""),51.75)</f>
        <v>51.75</v>
      </c>
      <c r="C726" s="1">
        <f ca="1">IFERROR(__xludf.DUMMYFUNCTION("""COMPUTED_VALUE"""),51.98)</f>
        <v>51.98</v>
      </c>
      <c r="D726" s="1">
        <f ca="1">IFERROR(__xludf.DUMMYFUNCTION("""COMPUTED_VALUE"""),51.54)</f>
        <v>51.54</v>
      </c>
      <c r="E726" s="1">
        <f ca="1">IFERROR(__xludf.DUMMYFUNCTION("""COMPUTED_VALUE"""),51.82)</f>
        <v>51.82</v>
      </c>
      <c r="F726" s="1">
        <f ca="1">IFERROR(__xludf.DUMMYFUNCTION("""COMPUTED_VALUE"""),905262)</f>
        <v>905262</v>
      </c>
    </row>
    <row r="727" spans="1:6" x14ac:dyDescent="0.35">
      <c r="A727" s="2">
        <f ca="1">IFERROR(__xludf.DUMMYFUNCTION("""COMPUTED_VALUE"""),43055.6666666666)</f>
        <v>43055.666666666599</v>
      </c>
      <c r="B727" s="1">
        <f ca="1">IFERROR(__xludf.DUMMYFUNCTION("""COMPUTED_VALUE"""),51.94)</f>
        <v>51.94</v>
      </c>
      <c r="C727" s="1">
        <f ca="1">IFERROR(__xludf.DUMMYFUNCTION("""COMPUTED_VALUE"""),52.59)</f>
        <v>52.59</v>
      </c>
      <c r="D727" s="1">
        <f ca="1">IFERROR(__xludf.DUMMYFUNCTION("""COMPUTED_VALUE"""),51.9)</f>
        <v>51.9</v>
      </c>
      <c r="E727" s="1">
        <f ca="1">IFERROR(__xludf.DUMMYFUNCTION("""COMPUTED_VALUE"""),52.42)</f>
        <v>52.42</v>
      </c>
      <c r="F727" s="1">
        <f ca="1">IFERROR(__xludf.DUMMYFUNCTION("""COMPUTED_VALUE"""),1188392)</f>
        <v>1188392</v>
      </c>
    </row>
    <row r="728" spans="1:6" x14ac:dyDescent="0.35">
      <c r="A728" s="2">
        <f ca="1">IFERROR(__xludf.DUMMYFUNCTION("""COMPUTED_VALUE"""),43056.6666666666)</f>
        <v>43056.666666666599</v>
      </c>
      <c r="B728" s="1">
        <f ca="1">IFERROR(__xludf.DUMMYFUNCTION("""COMPUTED_VALUE"""),52.49)</f>
        <v>52.49</v>
      </c>
      <c r="C728" s="1">
        <f ca="1">IFERROR(__xludf.DUMMYFUNCTION("""COMPUTED_VALUE"""),52.55)</f>
        <v>52.55</v>
      </c>
      <c r="D728" s="1">
        <f ca="1">IFERROR(__xludf.DUMMYFUNCTION("""COMPUTED_VALUE"""),51.69)</f>
        <v>51.69</v>
      </c>
      <c r="E728" s="1">
        <f ca="1">IFERROR(__xludf.DUMMYFUNCTION("""COMPUTED_VALUE"""),51.79)</f>
        <v>51.79</v>
      </c>
      <c r="F728" s="1">
        <f ca="1">IFERROR(__xludf.DUMMYFUNCTION("""COMPUTED_VALUE"""),1335610)</f>
        <v>1335610</v>
      </c>
    </row>
    <row r="729" spans="1:6" x14ac:dyDescent="0.35">
      <c r="A729" s="2">
        <f ca="1">IFERROR(__xludf.DUMMYFUNCTION("""COMPUTED_VALUE"""),43059.6666666666)</f>
        <v>43059.666666666599</v>
      </c>
      <c r="B729" s="1">
        <f ca="1">IFERROR(__xludf.DUMMYFUNCTION("""COMPUTED_VALUE"""),51.8)</f>
        <v>51.8</v>
      </c>
      <c r="C729" s="1">
        <f ca="1">IFERROR(__xludf.DUMMYFUNCTION("""COMPUTED_VALUE"""),51.93)</f>
        <v>51.93</v>
      </c>
      <c r="D729" s="1">
        <f ca="1">IFERROR(__xludf.DUMMYFUNCTION("""COMPUTED_VALUE"""),51.63)</f>
        <v>51.63</v>
      </c>
      <c r="E729" s="1">
        <f ca="1">IFERROR(__xludf.DUMMYFUNCTION("""COMPUTED_VALUE"""),51.73)</f>
        <v>51.73</v>
      </c>
      <c r="F729" s="1">
        <f ca="1">IFERROR(__xludf.DUMMYFUNCTION("""COMPUTED_VALUE"""),876321)</f>
        <v>876321</v>
      </c>
    </row>
    <row r="730" spans="1:6" x14ac:dyDescent="0.35">
      <c r="A730" s="2">
        <f ca="1">IFERROR(__xludf.DUMMYFUNCTION("""COMPUTED_VALUE"""),43060.6666666666)</f>
        <v>43060.666666666599</v>
      </c>
      <c r="B730" s="1">
        <f ca="1">IFERROR(__xludf.DUMMYFUNCTION("""COMPUTED_VALUE"""),52)</f>
        <v>52</v>
      </c>
      <c r="C730" s="1">
        <f ca="1">IFERROR(__xludf.DUMMYFUNCTION("""COMPUTED_VALUE"""),52.52)</f>
        <v>52.52</v>
      </c>
      <c r="D730" s="1">
        <f ca="1">IFERROR(__xludf.DUMMYFUNCTION("""COMPUTED_VALUE"""),51.96)</f>
        <v>51.96</v>
      </c>
      <c r="E730" s="1">
        <f ca="1">IFERROR(__xludf.DUMMYFUNCTION("""COMPUTED_VALUE"""),52.52)</f>
        <v>52.52</v>
      </c>
      <c r="F730" s="1">
        <f ca="1">IFERROR(__xludf.DUMMYFUNCTION("""COMPUTED_VALUE"""),1110341)</f>
        <v>1110341</v>
      </c>
    </row>
    <row r="731" spans="1:6" x14ac:dyDescent="0.35">
      <c r="A731" s="2">
        <f ca="1">IFERROR(__xludf.DUMMYFUNCTION("""COMPUTED_VALUE"""),43061.6666666666)</f>
        <v>43061.666666666599</v>
      </c>
      <c r="B731" s="1">
        <f ca="1">IFERROR(__xludf.DUMMYFUNCTION("""COMPUTED_VALUE"""),52.56)</f>
        <v>52.56</v>
      </c>
      <c r="C731" s="1">
        <f ca="1">IFERROR(__xludf.DUMMYFUNCTION("""COMPUTED_VALUE"""),52.77)</f>
        <v>52.77</v>
      </c>
      <c r="D731" s="1">
        <f ca="1">IFERROR(__xludf.DUMMYFUNCTION("""COMPUTED_VALUE"""),52.36)</f>
        <v>52.36</v>
      </c>
      <c r="E731" s="1">
        <f ca="1">IFERROR(__xludf.DUMMYFUNCTION("""COMPUTED_VALUE"""),52.6)</f>
        <v>52.6</v>
      </c>
      <c r="F731" s="1">
        <f ca="1">IFERROR(__xludf.DUMMYFUNCTION("""COMPUTED_VALUE"""),726898)</f>
        <v>726898</v>
      </c>
    </row>
    <row r="732" spans="1:6" x14ac:dyDescent="0.35">
      <c r="A732" s="2">
        <f ca="1">IFERROR(__xludf.DUMMYFUNCTION("""COMPUTED_VALUE"""),43063.5416666666)</f>
        <v>43063.541666666599</v>
      </c>
      <c r="B732" s="1">
        <f ca="1">IFERROR(__xludf.DUMMYFUNCTION("""COMPUTED_VALUE"""),52.72)</f>
        <v>52.72</v>
      </c>
      <c r="C732" s="1">
        <f ca="1">IFERROR(__xludf.DUMMYFUNCTION("""COMPUTED_VALUE"""),53)</f>
        <v>53</v>
      </c>
      <c r="D732" s="1">
        <f ca="1">IFERROR(__xludf.DUMMYFUNCTION("""COMPUTED_VALUE"""),52.6)</f>
        <v>52.6</v>
      </c>
      <c r="E732" s="1">
        <f ca="1">IFERROR(__xludf.DUMMYFUNCTION("""COMPUTED_VALUE"""),52.83)</f>
        <v>52.83</v>
      </c>
      <c r="F732" s="1">
        <f ca="1">IFERROR(__xludf.DUMMYFUNCTION("""COMPUTED_VALUE"""),825369)</f>
        <v>825369</v>
      </c>
    </row>
    <row r="733" spans="1:6" x14ac:dyDescent="0.35">
      <c r="A733" s="2">
        <f ca="1">IFERROR(__xludf.DUMMYFUNCTION("""COMPUTED_VALUE"""),43066.6666666666)</f>
        <v>43066.666666666599</v>
      </c>
      <c r="B733" s="1">
        <f ca="1">IFERROR(__xludf.DUMMYFUNCTION("""COMPUTED_VALUE"""),52.93)</f>
        <v>52.93</v>
      </c>
      <c r="C733" s="1">
        <f ca="1">IFERROR(__xludf.DUMMYFUNCTION("""COMPUTED_VALUE"""),53.65)</f>
        <v>53.65</v>
      </c>
      <c r="D733" s="1">
        <f ca="1">IFERROR(__xludf.DUMMYFUNCTION("""COMPUTED_VALUE"""),52.74)</f>
        <v>52.74</v>
      </c>
      <c r="E733" s="1">
        <f ca="1">IFERROR(__xludf.DUMMYFUNCTION("""COMPUTED_VALUE"""),53.6)</f>
        <v>53.6</v>
      </c>
      <c r="F733" s="1">
        <f ca="1">IFERROR(__xludf.DUMMYFUNCTION("""COMPUTED_VALUE"""),1771491)</f>
        <v>1771491</v>
      </c>
    </row>
    <row r="734" spans="1:6" x14ac:dyDescent="0.35">
      <c r="A734" s="2">
        <f ca="1">IFERROR(__xludf.DUMMYFUNCTION("""COMPUTED_VALUE"""),43067.6666666666)</f>
        <v>43067.666666666599</v>
      </c>
      <c r="B734" s="1">
        <f ca="1">IFERROR(__xludf.DUMMYFUNCTION("""COMPUTED_VALUE"""),53.7)</f>
        <v>53.7</v>
      </c>
      <c r="C734" s="1">
        <f ca="1">IFERROR(__xludf.DUMMYFUNCTION("""COMPUTED_VALUE"""),54)</f>
        <v>54</v>
      </c>
      <c r="D734" s="1">
        <f ca="1">IFERROR(__xludf.DUMMYFUNCTION("""COMPUTED_VALUE"""),52.73)</f>
        <v>52.73</v>
      </c>
      <c r="E734" s="1">
        <f ca="1">IFERROR(__xludf.DUMMYFUNCTION("""COMPUTED_VALUE"""),53.16)</f>
        <v>53.16</v>
      </c>
      <c r="F734" s="1">
        <f ca="1">IFERROR(__xludf.DUMMYFUNCTION("""COMPUTED_VALUE"""),1821171)</f>
        <v>1821171</v>
      </c>
    </row>
    <row r="735" spans="1:6" x14ac:dyDescent="0.35">
      <c r="A735" s="2">
        <f ca="1">IFERROR(__xludf.DUMMYFUNCTION("""COMPUTED_VALUE"""),43068.6666666666)</f>
        <v>43068.666666666599</v>
      </c>
      <c r="B735" s="1">
        <f ca="1">IFERROR(__xludf.DUMMYFUNCTION("""COMPUTED_VALUE"""),52.81)</f>
        <v>52.81</v>
      </c>
      <c r="C735" s="1">
        <f ca="1">IFERROR(__xludf.DUMMYFUNCTION("""COMPUTED_VALUE"""),52.94)</f>
        <v>52.94</v>
      </c>
      <c r="D735" s="1">
        <f ca="1">IFERROR(__xludf.DUMMYFUNCTION("""COMPUTED_VALUE"""),51.48)</f>
        <v>51.48</v>
      </c>
      <c r="E735" s="1">
        <f ca="1">IFERROR(__xludf.DUMMYFUNCTION("""COMPUTED_VALUE"""),51.87)</f>
        <v>51.87</v>
      </c>
      <c r="F735" s="1">
        <f ca="1">IFERROR(__xludf.DUMMYFUNCTION("""COMPUTED_VALUE"""),2793332)</f>
        <v>2793332</v>
      </c>
    </row>
    <row r="736" spans="1:6" x14ac:dyDescent="0.35">
      <c r="A736" s="2">
        <f ca="1">IFERROR(__xludf.DUMMYFUNCTION("""COMPUTED_VALUE"""),43069.6666666666)</f>
        <v>43069.666666666599</v>
      </c>
      <c r="B736" s="1">
        <f ca="1">IFERROR(__xludf.DUMMYFUNCTION("""COMPUTED_VALUE"""),52)</f>
        <v>52</v>
      </c>
      <c r="C736" s="1">
        <f ca="1">IFERROR(__xludf.DUMMYFUNCTION("""COMPUTED_VALUE"""),52.21)</f>
        <v>52.21</v>
      </c>
      <c r="D736" s="1">
        <f ca="1">IFERROR(__xludf.DUMMYFUNCTION("""COMPUTED_VALUE"""),51.5)</f>
        <v>51.5</v>
      </c>
      <c r="E736" s="1">
        <f ca="1">IFERROR(__xludf.DUMMYFUNCTION("""COMPUTED_VALUE"""),51.81)</f>
        <v>51.81</v>
      </c>
      <c r="F736" s="1">
        <f ca="1">IFERROR(__xludf.DUMMYFUNCTION("""COMPUTED_VALUE"""),2254590)</f>
        <v>2254590</v>
      </c>
    </row>
    <row r="737" spans="1:6" x14ac:dyDescent="0.35">
      <c r="A737" s="2">
        <f ca="1">IFERROR(__xludf.DUMMYFUNCTION("""COMPUTED_VALUE"""),43070.6666666666)</f>
        <v>43070.666666666599</v>
      </c>
      <c r="B737" s="1">
        <f ca="1">IFERROR(__xludf.DUMMYFUNCTION("""COMPUTED_VALUE"""),51.52)</f>
        <v>51.52</v>
      </c>
      <c r="C737" s="1">
        <f ca="1">IFERROR(__xludf.DUMMYFUNCTION("""COMPUTED_VALUE"""),51.86)</f>
        <v>51.86</v>
      </c>
      <c r="D737" s="1">
        <f ca="1">IFERROR(__xludf.DUMMYFUNCTION("""COMPUTED_VALUE"""),50.85)</f>
        <v>50.85</v>
      </c>
      <c r="E737" s="1">
        <f ca="1">IFERROR(__xludf.DUMMYFUNCTION("""COMPUTED_VALUE"""),51.25)</f>
        <v>51.25</v>
      </c>
      <c r="F737" s="1">
        <f ca="1">IFERROR(__xludf.DUMMYFUNCTION("""COMPUTED_VALUE"""),1888081)</f>
        <v>1888081</v>
      </c>
    </row>
    <row r="738" spans="1:6" x14ac:dyDescent="0.35">
      <c r="A738" s="2">
        <f ca="1">IFERROR(__xludf.DUMMYFUNCTION("""COMPUTED_VALUE"""),43073.6666666666)</f>
        <v>43073.666666666599</v>
      </c>
      <c r="B738" s="1">
        <f ca="1">IFERROR(__xludf.DUMMYFUNCTION("""COMPUTED_VALUE"""),51.39)</f>
        <v>51.39</v>
      </c>
      <c r="C738" s="1">
        <f ca="1">IFERROR(__xludf.DUMMYFUNCTION("""COMPUTED_VALUE"""),51.57)</f>
        <v>51.57</v>
      </c>
      <c r="D738" s="1">
        <f ca="1">IFERROR(__xludf.DUMMYFUNCTION("""COMPUTED_VALUE"""),50.46)</f>
        <v>50.46</v>
      </c>
      <c r="E738" s="1">
        <f ca="1">IFERROR(__xludf.DUMMYFUNCTION("""COMPUTED_VALUE"""),50.59)</f>
        <v>50.59</v>
      </c>
      <c r="F738" s="1">
        <f ca="1">IFERROR(__xludf.DUMMYFUNCTION("""COMPUTED_VALUE"""),1938861)</f>
        <v>1938861</v>
      </c>
    </row>
    <row r="739" spans="1:6" x14ac:dyDescent="0.35">
      <c r="A739" s="2">
        <f ca="1">IFERROR(__xludf.DUMMYFUNCTION("""COMPUTED_VALUE"""),43074.6666666666)</f>
        <v>43074.666666666599</v>
      </c>
      <c r="B739" s="1">
        <f ca="1">IFERROR(__xludf.DUMMYFUNCTION("""COMPUTED_VALUE"""),50.55)</f>
        <v>50.55</v>
      </c>
      <c r="C739" s="1">
        <f ca="1">IFERROR(__xludf.DUMMYFUNCTION("""COMPUTED_VALUE"""),51.83)</f>
        <v>51.83</v>
      </c>
      <c r="D739" s="1">
        <f ca="1">IFERROR(__xludf.DUMMYFUNCTION("""COMPUTED_VALUE"""),50.12)</f>
        <v>50.12</v>
      </c>
      <c r="E739" s="1">
        <f ca="1">IFERROR(__xludf.DUMMYFUNCTION("""COMPUTED_VALUE"""),50.98)</f>
        <v>50.98</v>
      </c>
      <c r="F739" s="1">
        <f ca="1">IFERROR(__xludf.DUMMYFUNCTION("""COMPUTED_VALUE"""),1949865)</f>
        <v>1949865</v>
      </c>
    </row>
    <row r="740" spans="1:6" x14ac:dyDescent="0.35">
      <c r="A740" s="2">
        <f ca="1">IFERROR(__xludf.DUMMYFUNCTION("""COMPUTED_VALUE"""),43075.6666666666)</f>
        <v>43075.666666666599</v>
      </c>
      <c r="B740" s="1">
        <f ca="1">IFERROR(__xludf.DUMMYFUNCTION("""COMPUTED_VALUE"""),50.83)</f>
        <v>50.83</v>
      </c>
      <c r="C740" s="1">
        <f ca="1">IFERROR(__xludf.DUMMYFUNCTION("""COMPUTED_VALUE"""),51.98)</f>
        <v>51.98</v>
      </c>
      <c r="D740" s="1">
        <f ca="1">IFERROR(__xludf.DUMMYFUNCTION("""COMPUTED_VALUE"""),50.77)</f>
        <v>50.77</v>
      </c>
      <c r="E740" s="1">
        <f ca="1">IFERROR(__xludf.DUMMYFUNCTION("""COMPUTED_VALUE"""),51.64)</f>
        <v>51.64</v>
      </c>
      <c r="F740" s="1">
        <f ca="1">IFERROR(__xludf.DUMMYFUNCTION("""COMPUTED_VALUE"""),1435549)</f>
        <v>1435549</v>
      </c>
    </row>
    <row r="741" spans="1:6" x14ac:dyDescent="0.35">
      <c r="A741" s="2">
        <f ca="1">IFERROR(__xludf.DUMMYFUNCTION("""COMPUTED_VALUE"""),43076.6666666666)</f>
        <v>43076.666666666599</v>
      </c>
      <c r="B741" s="1">
        <f ca="1">IFERROR(__xludf.DUMMYFUNCTION("""COMPUTED_VALUE"""),51.8)</f>
        <v>51.8</v>
      </c>
      <c r="C741" s="1">
        <f ca="1">IFERROR(__xludf.DUMMYFUNCTION("""COMPUTED_VALUE"""),52.45)</f>
        <v>52.45</v>
      </c>
      <c r="D741" s="1">
        <f ca="1">IFERROR(__xludf.DUMMYFUNCTION("""COMPUTED_VALUE"""),51.77)</f>
        <v>51.77</v>
      </c>
      <c r="E741" s="1">
        <f ca="1">IFERROR(__xludf.DUMMYFUNCTION("""COMPUTED_VALUE"""),52.23)</f>
        <v>52.23</v>
      </c>
      <c r="F741" s="1">
        <f ca="1">IFERROR(__xludf.DUMMYFUNCTION("""COMPUTED_VALUE"""),1543285)</f>
        <v>1543285</v>
      </c>
    </row>
    <row r="742" spans="1:6" x14ac:dyDescent="0.35">
      <c r="A742" s="2">
        <f ca="1">IFERROR(__xludf.DUMMYFUNCTION("""COMPUTED_VALUE"""),43077.6666666666)</f>
        <v>43077.666666666599</v>
      </c>
      <c r="B742" s="1">
        <f ca="1">IFERROR(__xludf.DUMMYFUNCTION("""COMPUTED_VALUE"""),52.59)</f>
        <v>52.59</v>
      </c>
      <c r="C742" s="1">
        <f ca="1">IFERROR(__xludf.DUMMYFUNCTION("""COMPUTED_VALUE"""),52.82)</f>
        <v>52.82</v>
      </c>
      <c r="D742" s="1">
        <f ca="1">IFERROR(__xludf.DUMMYFUNCTION("""COMPUTED_VALUE"""),52.29)</f>
        <v>52.29</v>
      </c>
      <c r="E742" s="1">
        <f ca="1">IFERROR(__xludf.DUMMYFUNCTION("""COMPUTED_VALUE"""),52.47)</f>
        <v>52.47</v>
      </c>
      <c r="F742" s="1">
        <f ca="1">IFERROR(__xludf.DUMMYFUNCTION("""COMPUTED_VALUE"""),1558472)</f>
        <v>1558472</v>
      </c>
    </row>
    <row r="743" spans="1:6" x14ac:dyDescent="0.35">
      <c r="A743" s="2">
        <f ca="1">IFERROR(__xludf.DUMMYFUNCTION("""COMPUTED_VALUE"""),43080.6666666666)</f>
        <v>43080.666666666599</v>
      </c>
      <c r="B743" s="1">
        <f ca="1">IFERROR(__xludf.DUMMYFUNCTION("""COMPUTED_VALUE"""),52.56)</f>
        <v>52.56</v>
      </c>
      <c r="C743" s="1">
        <f ca="1">IFERROR(__xludf.DUMMYFUNCTION("""COMPUTED_VALUE"""),52.8)</f>
        <v>52.8</v>
      </c>
      <c r="D743" s="1">
        <f ca="1">IFERROR(__xludf.DUMMYFUNCTION("""COMPUTED_VALUE"""),52.21)</f>
        <v>52.21</v>
      </c>
      <c r="E743" s="1">
        <f ca="1">IFERROR(__xludf.DUMMYFUNCTION("""COMPUTED_VALUE"""),52.6)</f>
        <v>52.6</v>
      </c>
      <c r="F743" s="1">
        <f ca="1">IFERROR(__xludf.DUMMYFUNCTION("""COMPUTED_VALUE"""),1162694)</f>
        <v>1162694</v>
      </c>
    </row>
    <row r="744" spans="1:6" x14ac:dyDescent="0.35">
      <c r="A744" s="2">
        <f ca="1">IFERROR(__xludf.DUMMYFUNCTION("""COMPUTED_VALUE"""),43081.6666666666)</f>
        <v>43081.666666666599</v>
      </c>
      <c r="B744" s="1">
        <f ca="1">IFERROR(__xludf.DUMMYFUNCTION("""COMPUTED_VALUE"""),52.5)</f>
        <v>52.5</v>
      </c>
      <c r="C744" s="1">
        <f ca="1">IFERROR(__xludf.DUMMYFUNCTION("""COMPUTED_VALUE"""),53.13)</f>
        <v>53.13</v>
      </c>
      <c r="D744" s="1">
        <f ca="1">IFERROR(__xludf.DUMMYFUNCTION("""COMPUTED_VALUE"""),52.24)</f>
        <v>52.24</v>
      </c>
      <c r="E744" s="1">
        <f ca="1">IFERROR(__xludf.DUMMYFUNCTION("""COMPUTED_VALUE"""),52.44)</f>
        <v>52.44</v>
      </c>
      <c r="F744" s="1">
        <f ca="1">IFERROR(__xludf.DUMMYFUNCTION("""COMPUTED_VALUE"""),1694061)</f>
        <v>1694061</v>
      </c>
    </row>
    <row r="745" spans="1:6" x14ac:dyDescent="0.35">
      <c r="A745" s="2">
        <f ca="1">IFERROR(__xludf.DUMMYFUNCTION("""COMPUTED_VALUE"""),43082.6666666666)</f>
        <v>43082.666666666599</v>
      </c>
      <c r="B745" s="1">
        <f ca="1">IFERROR(__xludf.DUMMYFUNCTION("""COMPUTED_VALUE"""),52.6)</f>
        <v>52.6</v>
      </c>
      <c r="C745" s="1">
        <f ca="1">IFERROR(__xludf.DUMMYFUNCTION("""COMPUTED_VALUE"""),52.77)</f>
        <v>52.77</v>
      </c>
      <c r="D745" s="1">
        <f ca="1">IFERROR(__xludf.DUMMYFUNCTION("""COMPUTED_VALUE"""),52.33)</f>
        <v>52.33</v>
      </c>
      <c r="E745" s="1">
        <f ca="1">IFERROR(__xludf.DUMMYFUNCTION("""COMPUTED_VALUE"""),52.57)</f>
        <v>52.57</v>
      </c>
      <c r="F745" s="1">
        <f ca="1">IFERROR(__xludf.DUMMYFUNCTION("""COMPUTED_VALUE"""),1384038)</f>
        <v>1384038</v>
      </c>
    </row>
    <row r="746" spans="1:6" x14ac:dyDescent="0.35">
      <c r="A746" s="2">
        <f ca="1">IFERROR(__xludf.DUMMYFUNCTION("""COMPUTED_VALUE"""),43083.6666666666)</f>
        <v>43083.666666666599</v>
      </c>
      <c r="B746" s="1">
        <f ca="1">IFERROR(__xludf.DUMMYFUNCTION("""COMPUTED_VALUE"""),52.77)</f>
        <v>52.77</v>
      </c>
      <c r="C746" s="1">
        <f ca="1">IFERROR(__xludf.DUMMYFUNCTION("""COMPUTED_VALUE"""),53.35)</f>
        <v>53.35</v>
      </c>
      <c r="D746" s="1">
        <f ca="1">IFERROR(__xludf.DUMMYFUNCTION("""COMPUTED_VALUE"""),52.68)</f>
        <v>52.68</v>
      </c>
      <c r="E746" s="1">
        <f ca="1">IFERROR(__xludf.DUMMYFUNCTION("""COMPUTED_VALUE"""),52.87)</f>
        <v>52.87</v>
      </c>
      <c r="F746" s="1">
        <f ca="1">IFERROR(__xludf.DUMMYFUNCTION("""COMPUTED_VALUE"""),1548139)</f>
        <v>1548139</v>
      </c>
    </row>
    <row r="747" spans="1:6" x14ac:dyDescent="0.35">
      <c r="A747" s="2">
        <f ca="1">IFERROR(__xludf.DUMMYFUNCTION("""COMPUTED_VALUE"""),43084.6666666666)</f>
        <v>43084.666666666599</v>
      </c>
      <c r="B747" s="1">
        <f ca="1">IFERROR(__xludf.DUMMYFUNCTION("""COMPUTED_VALUE"""),53.19)</f>
        <v>53.19</v>
      </c>
      <c r="C747" s="1">
        <f ca="1">IFERROR(__xludf.DUMMYFUNCTION("""COMPUTED_VALUE"""),53.76)</f>
        <v>53.76</v>
      </c>
      <c r="D747" s="1">
        <f ca="1">IFERROR(__xludf.DUMMYFUNCTION("""COMPUTED_VALUE"""),53)</f>
        <v>53</v>
      </c>
      <c r="E747" s="1">
        <f ca="1">IFERROR(__xludf.DUMMYFUNCTION("""COMPUTED_VALUE"""),53.6)</f>
        <v>53.6</v>
      </c>
      <c r="F747" s="1">
        <f ca="1">IFERROR(__xludf.DUMMYFUNCTION("""COMPUTED_VALUE"""),3187985)</f>
        <v>3187985</v>
      </c>
    </row>
    <row r="748" spans="1:6" x14ac:dyDescent="0.35">
      <c r="A748" s="2">
        <f ca="1">IFERROR(__xludf.DUMMYFUNCTION("""COMPUTED_VALUE"""),43087.6666666666)</f>
        <v>43087.666666666599</v>
      </c>
      <c r="B748" s="1">
        <f ca="1">IFERROR(__xludf.DUMMYFUNCTION("""COMPUTED_VALUE"""),53.82)</f>
        <v>53.82</v>
      </c>
      <c r="C748" s="1">
        <f ca="1">IFERROR(__xludf.DUMMYFUNCTION("""COMPUTED_VALUE"""),54.32)</f>
        <v>54.32</v>
      </c>
      <c r="D748" s="1">
        <f ca="1">IFERROR(__xludf.DUMMYFUNCTION("""COMPUTED_VALUE"""),53.52)</f>
        <v>53.52</v>
      </c>
      <c r="E748" s="1">
        <f ca="1">IFERROR(__xludf.DUMMYFUNCTION("""COMPUTED_VALUE"""),54.25)</f>
        <v>54.25</v>
      </c>
      <c r="F748" s="1">
        <f ca="1">IFERROR(__xludf.DUMMYFUNCTION("""COMPUTED_VALUE"""),1514601)</f>
        <v>1514601</v>
      </c>
    </row>
    <row r="749" spans="1:6" x14ac:dyDescent="0.35">
      <c r="A749" s="2">
        <f ca="1">IFERROR(__xludf.DUMMYFUNCTION("""COMPUTED_VALUE"""),43088.6666666666)</f>
        <v>43088.666666666599</v>
      </c>
      <c r="B749" s="1">
        <f ca="1">IFERROR(__xludf.DUMMYFUNCTION("""COMPUTED_VALUE"""),54.15)</f>
        <v>54.15</v>
      </c>
      <c r="C749" s="1">
        <f ca="1">IFERROR(__xludf.DUMMYFUNCTION("""COMPUTED_VALUE"""),54.25)</f>
        <v>54.25</v>
      </c>
      <c r="D749" s="1">
        <f ca="1">IFERROR(__xludf.DUMMYFUNCTION("""COMPUTED_VALUE"""),53.61)</f>
        <v>53.61</v>
      </c>
      <c r="E749" s="1">
        <f ca="1">IFERROR(__xludf.DUMMYFUNCTION("""COMPUTED_VALUE"""),53.99)</f>
        <v>53.99</v>
      </c>
      <c r="F749" s="1">
        <f ca="1">IFERROR(__xludf.DUMMYFUNCTION("""COMPUTED_VALUE"""),1317519)</f>
        <v>1317519</v>
      </c>
    </row>
    <row r="750" spans="1:6" x14ac:dyDescent="0.35">
      <c r="A750" s="2">
        <f ca="1">IFERROR(__xludf.DUMMYFUNCTION("""COMPUTED_VALUE"""),43089.6666666666)</f>
        <v>43089.666666666599</v>
      </c>
      <c r="B750" s="1">
        <f ca="1">IFERROR(__xludf.DUMMYFUNCTION("""COMPUTED_VALUE"""),54.05)</f>
        <v>54.05</v>
      </c>
      <c r="C750" s="1">
        <f ca="1">IFERROR(__xludf.DUMMYFUNCTION("""COMPUTED_VALUE"""),54.06)</f>
        <v>54.06</v>
      </c>
      <c r="D750" s="1">
        <f ca="1">IFERROR(__xludf.DUMMYFUNCTION("""COMPUTED_VALUE"""),53.43)</f>
        <v>53.43</v>
      </c>
      <c r="E750" s="1">
        <f ca="1">IFERROR(__xludf.DUMMYFUNCTION("""COMPUTED_VALUE"""),53.68)</f>
        <v>53.68</v>
      </c>
      <c r="F750" s="1">
        <f ca="1">IFERROR(__xludf.DUMMYFUNCTION("""COMPUTED_VALUE"""),1436391)</f>
        <v>1436391</v>
      </c>
    </row>
    <row r="751" spans="1:6" x14ac:dyDescent="0.35">
      <c r="A751" s="2">
        <f ca="1">IFERROR(__xludf.DUMMYFUNCTION("""COMPUTED_VALUE"""),43090.6666666666)</f>
        <v>43090.666666666599</v>
      </c>
      <c r="B751" s="1">
        <f ca="1">IFERROR(__xludf.DUMMYFUNCTION("""COMPUTED_VALUE"""),53.77)</f>
        <v>53.77</v>
      </c>
      <c r="C751" s="1">
        <f ca="1">IFERROR(__xludf.DUMMYFUNCTION("""COMPUTED_VALUE"""),53.88)</f>
        <v>53.88</v>
      </c>
      <c r="D751" s="1">
        <f ca="1">IFERROR(__xludf.DUMMYFUNCTION("""COMPUTED_VALUE"""),53.45)</f>
        <v>53.45</v>
      </c>
      <c r="E751" s="1">
        <f ca="1">IFERROR(__xludf.DUMMYFUNCTION("""COMPUTED_VALUE"""),53.54)</f>
        <v>53.54</v>
      </c>
      <c r="F751" s="1">
        <f ca="1">IFERROR(__xludf.DUMMYFUNCTION("""COMPUTED_VALUE"""),1282025)</f>
        <v>1282025</v>
      </c>
    </row>
    <row r="752" spans="1:6" x14ac:dyDescent="0.35">
      <c r="A752" s="2">
        <f ca="1">IFERROR(__xludf.DUMMYFUNCTION("""COMPUTED_VALUE"""),43091.6666666666)</f>
        <v>43091.666666666599</v>
      </c>
      <c r="B752" s="1">
        <f ca="1">IFERROR(__xludf.DUMMYFUNCTION("""COMPUTED_VALUE"""),53.5)</f>
        <v>53.5</v>
      </c>
      <c r="C752" s="1">
        <f ca="1">IFERROR(__xludf.DUMMYFUNCTION("""COMPUTED_VALUE"""),53.59)</f>
        <v>53.59</v>
      </c>
      <c r="D752" s="1">
        <f ca="1">IFERROR(__xludf.DUMMYFUNCTION("""COMPUTED_VALUE"""),53.38)</f>
        <v>53.38</v>
      </c>
      <c r="E752" s="1">
        <f ca="1">IFERROR(__xludf.DUMMYFUNCTION("""COMPUTED_VALUE"""),53.44)</f>
        <v>53.44</v>
      </c>
      <c r="F752" s="1">
        <f ca="1">IFERROR(__xludf.DUMMYFUNCTION("""COMPUTED_VALUE"""),889446)</f>
        <v>889446</v>
      </c>
    </row>
    <row r="753" spans="1:6" x14ac:dyDescent="0.35">
      <c r="A753" s="2">
        <f ca="1">IFERROR(__xludf.DUMMYFUNCTION("""COMPUTED_VALUE"""),43095.6666666666)</f>
        <v>43095.666666666599</v>
      </c>
      <c r="B753" s="1">
        <f ca="1">IFERROR(__xludf.DUMMYFUNCTION("""COMPUTED_VALUE"""),53.43)</f>
        <v>53.43</v>
      </c>
      <c r="C753" s="1">
        <f ca="1">IFERROR(__xludf.DUMMYFUNCTION("""COMPUTED_VALUE"""),53.44)</f>
        <v>53.44</v>
      </c>
      <c r="D753" s="1">
        <f ca="1">IFERROR(__xludf.DUMMYFUNCTION("""COMPUTED_VALUE"""),52.93)</f>
        <v>52.93</v>
      </c>
      <c r="E753" s="1">
        <f ca="1">IFERROR(__xludf.DUMMYFUNCTION("""COMPUTED_VALUE"""),53.29)</f>
        <v>53.29</v>
      </c>
      <c r="F753" s="1">
        <f ca="1">IFERROR(__xludf.DUMMYFUNCTION("""COMPUTED_VALUE"""),918767)</f>
        <v>918767</v>
      </c>
    </row>
    <row r="754" spans="1:6" x14ac:dyDescent="0.35">
      <c r="A754" s="2">
        <f ca="1">IFERROR(__xludf.DUMMYFUNCTION("""COMPUTED_VALUE"""),43096.6666666666)</f>
        <v>43096.666666666599</v>
      </c>
      <c r="B754" s="1">
        <f ca="1">IFERROR(__xludf.DUMMYFUNCTION("""COMPUTED_VALUE"""),53.33)</f>
        <v>53.33</v>
      </c>
      <c r="C754" s="1">
        <f ca="1">IFERROR(__xludf.DUMMYFUNCTION("""COMPUTED_VALUE"""),53.41)</f>
        <v>53.41</v>
      </c>
      <c r="D754" s="1">
        <f ca="1">IFERROR(__xludf.DUMMYFUNCTION("""COMPUTED_VALUE"""),52.92)</f>
        <v>52.92</v>
      </c>
      <c r="E754" s="1">
        <f ca="1">IFERROR(__xludf.DUMMYFUNCTION("""COMPUTED_VALUE"""),53.01)</f>
        <v>53.01</v>
      </c>
      <c r="F754" s="1">
        <f ca="1">IFERROR(__xludf.DUMMYFUNCTION("""COMPUTED_VALUE"""),1116203)</f>
        <v>1116203</v>
      </c>
    </row>
    <row r="755" spans="1:6" x14ac:dyDescent="0.35">
      <c r="A755" s="2">
        <f ca="1">IFERROR(__xludf.DUMMYFUNCTION("""COMPUTED_VALUE"""),43097.6666666666)</f>
        <v>43097.666666666599</v>
      </c>
      <c r="B755" s="1">
        <f ca="1">IFERROR(__xludf.DUMMYFUNCTION("""COMPUTED_VALUE"""),53.11)</f>
        <v>53.11</v>
      </c>
      <c r="C755" s="1">
        <f ca="1">IFERROR(__xludf.DUMMYFUNCTION("""COMPUTED_VALUE"""),53.24)</f>
        <v>53.24</v>
      </c>
      <c r="D755" s="1">
        <f ca="1">IFERROR(__xludf.DUMMYFUNCTION("""COMPUTED_VALUE"""),52.67)</f>
        <v>52.67</v>
      </c>
      <c r="E755" s="1">
        <f ca="1">IFERROR(__xludf.DUMMYFUNCTION("""COMPUTED_VALUE"""),52.8)</f>
        <v>52.8</v>
      </c>
      <c r="F755" s="1">
        <f ca="1">IFERROR(__xludf.DUMMYFUNCTION("""COMPUTED_VALUE"""),994249)</f>
        <v>994249</v>
      </c>
    </row>
    <row r="756" spans="1:6" x14ac:dyDescent="0.35">
      <c r="A756" s="2">
        <f ca="1">IFERROR(__xludf.DUMMYFUNCTION("""COMPUTED_VALUE"""),43098.6666666666)</f>
        <v>43098.666666666599</v>
      </c>
      <c r="B756" s="1">
        <f ca="1">IFERROR(__xludf.DUMMYFUNCTION("""COMPUTED_VALUE"""),52.77)</f>
        <v>52.77</v>
      </c>
      <c r="C756" s="1">
        <f ca="1">IFERROR(__xludf.DUMMYFUNCTION("""COMPUTED_VALUE"""),52.9)</f>
        <v>52.9</v>
      </c>
      <c r="D756" s="1">
        <f ca="1">IFERROR(__xludf.DUMMYFUNCTION("""COMPUTED_VALUE"""),52.64)</f>
        <v>52.64</v>
      </c>
      <c r="E756" s="1">
        <f ca="1">IFERROR(__xludf.DUMMYFUNCTION("""COMPUTED_VALUE"""),52.67)</f>
        <v>52.67</v>
      </c>
      <c r="F756" s="1">
        <f ca="1">IFERROR(__xludf.DUMMYFUNCTION("""COMPUTED_VALUE"""),1180340)</f>
        <v>1180340</v>
      </c>
    </row>
    <row r="757" spans="1:6" x14ac:dyDescent="0.35">
      <c r="A757" s="2">
        <f ca="1">IFERROR(__xludf.DUMMYFUNCTION("""COMPUTED_VALUE"""),43102.6666666666)</f>
        <v>43102.666666666599</v>
      </c>
      <c r="B757" s="1">
        <f ca="1">IFERROR(__xludf.DUMMYFUNCTION("""COMPUTED_VALUE"""),52.65)</f>
        <v>52.65</v>
      </c>
      <c r="C757" s="1">
        <f ca="1">IFERROR(__xludf.DUMMYFUNCTION("""COMPUTED_VALUE"""),53.8)</f>
        <v>53.8</v>
      </c>
      <c r="D757" s="1">
        <f ca="1">IFERROR(__xludf.DUMMYFUNCTION("""COMPUTED_VALUE"""),52.65)</f>
        <v>52.65</v>
      </c>
      <c r="E757" s="1">
        <f ca="1">IFERROR(__xludf.DUMMYFUNCTION("""COMPUTED_VALUE"""),53.66)</f>
        <v>53.66</v>
      </c>
      <c r="F757" s="1">
        <f ca="1">IFERROR(__xludf.DUMMYFUNCTION("""COMPUTED_VALUE"""),1588268)</f>
        <v>1588268</v>
      </c>
    </row>
    <row r="758" spans="1:6" x14ac:dyDescent="0.35">
      <c r="A758" s="2">
        <f ca="1">IFERROR(__xludf.DUMMYFUNCTION("""COMPUTED_VALUE"""),43103.6666666666)</f>
        <v>43103.666666666599</v>
      </c>
      <c r="B758" s="1">
        <f ca="1">IFERROR(__xludf.DUMMYFUNCTION("""COMPUTED_VALUE"""),53.7)</f>
        <v>53.7</v>
      </c>
      <c r="C758" s="1">
        <f ca="1">IFERROR(__xludf.DUMMYFUNCTION("""COMPUTED_VALUE"""),54.81)</f>
        <v>54.81</v>
      </c>
      <c r="D758" s="1">
        <f ca="1">IFERROR(__xludf.DUMMYFUNCTION("""COMPUTED_VALUE"""),53.67)</f>
        <v>53.67</v>
      </c>
      <c r="E758" s="1">
        <f ca="1">IFERROR(__xludf.DUMMYFUNCTION("""COMPUTED_VALUE"""),54.58)</f>
        <v>54.58</v>
      </c>
      <c r="F758" s="1">
        <f ca="1">IFERROR(__xludf.DUMMYFUNCTION("""COMPUTED_VALUE"""),1565945)</f>
        <v>1565945</v>
      </c>
    </row>
    <row r="759" spans="1:6" x14ac:dyDescent="0.35">
      <c r="A759" s="2">
        <f ca="1">IFERROR(__xludf.DUMMYFUNCTION("""COMPUTED_VALUE"""),43104.6666666666)</f>
        <v>43104.666666666599</v>
      </c>
      <c r="B759" s="1">
        <f ca="1">IFERROR(__xludf.DUMMYFUNCTION("""COMPUTED_VALUE"""),54.85)</f>
        <v>54.85</v>
      </c>
      <c r="C759" s="1">
        <f ca="1">IFERROR(__xludf.DUMMYFUNCTION("""COMPUTED_VALUE"""),55.2)</f>
        <v>55.2</v>
      </c>
      <c r="D759" s="1">
        <f ca="1">IFERROR(__xludf.DUMMYFUNCTION("""COMPUTED_VALUE"""),54.71)</f>
        <v>54.71</v>
      </c>
      <c r="E759" s="1">
        <f ca="1">IFERROR(__xludf.DUMMYFUNCTION("""COMPUTED_VALUE"""),54.79)</f>
        <v>54.79</v>
      </c>
      <c r="F759" s="1">
        <f ca="1">IFERROR(__xludf.DUMMYFUNCTION("""COMPUTED_VALUE"""),1302569)</f>
        <v>1302569</v>
      </c>
    </row>
    <row r="760" spans="1:6" x14ac:dyDescent="0.35">
      <c r="A760" s="2">
        <f ca="1">IFERROR(__xludf.DUMMYFUNCTION("""COMPUTED_VALUE"""),43105.6666666666)</f>
        <v>43105.666666666599</v>
      </c>
      <c r="B760" s="1">
        <f ca="1">IFERROR(__xludf.DUMMYFUNCTION("""COMPUTED_VALUE"""),55.17)</f>
        <v>55.17</v>
      </c>
      <c r="C760" s="1">
        <f ca="1">IFERROR(__xludf.DUMMYFUNCTION("""COMPUTED_VALUE"""),55.68)</f>
        <v>55.68</v>
      </c>
      <c r="D760" s="1">
        <f ca="1">IFERROR(__xludf.DUMMYFUNCTION("""COMPUTED_VALUE"""),55.09)</f>
        <v>55.09</v>
      </c>
      <c r="E760" s="1">
        <f ca="1">IFERROR(__xludf.DUMMYFUNCTION("""COMPUTED_VALUE"""),55.51)</f>
        <v>55.51</v>
      </c>
      <c r="F760" s="1">
        <f ca="1">IFERROR(__xludf.DUMMYFUNCTION("""COMPUTED_VALUE"""),1512526)</f>
        <v>1512526</v>
      </c>
    </row>
    <row r="761" spans="1:6" x14ac:dyDescent="0.35">
      <c r="A761" s="2">
        <f ca="1">IFERROR(__xludf.DUMMYFUNCTION("""COMPUTED_VALUE"""),43108.6666666666)</f>
        <v>43108.666666666599</v>
      </c>
      <c r="B761" s="1">
        <f ca="1">IFERROR(__xludf.DUMMYFUNCTION("""COMPUTED_VALUE"""),55.55)</f>
        <v>55.55</v>
      </c>
      <c r="C761" s="1">
        <f ca="1">IFERROR(__xludf.DUMMYFUNCTION("""COMPUTED_VALUE"""),55.96)</f>
        <v>55.96</v>
      </c>
      <c r="D761" s="1">
        <f ca="1">IFERROR(__xludf.DUMMYFUNCTION("""COMPUTED_VALUE"""),55.5)</f>
        <v>55.5</v>
      </c>
      <c r="E761" s="1">
        <f ca="1">IFERROR(__xludf.DUMMYFUNCTION("""COMPUTED_VALUE"""),55.71)</f>
        <v>55.71</v>
      </c>
      <c r="F761" s="1">
        <f ca="1">IFERROR(__xludf.DUMMYFUNCTION("""COMPUTED_VALUE"""),1232221)</f>
        <v>1232221</v>
      </c>
    </row>
    <row r="762" spans="1:6" x14ac:dyDescent="0.35">
      <c r="A762" s="2">
        <f ca="1">IFERROR(__xludf.DUMMYFUNCTION("""COMPUTED_VALUE"""),43109.6666666666)</f>
        <v>43109.666666666599</v>
      </c>
      <c r="B762" s="1">
        <f ca="1">IFERROR(__xludf.DUMMYFUNCTION("""COMPUTED_VALUE"""),55.92)</f>
        <v>55.92</v>
      </c>
      <c r="C762" s="1">
        <f ca="1">IFERROR(__xludf.DUMMYFUNCTION("""COMPUTED_VALUE"""),55.92)</f>
        <v>55.92</v>
      </c>
      <c r="D762" s="1">
        <f ca="1">IFERROR(__xludf.DUMMYFUNCTION("""COMPUTED_VALUE"""),55.41)</f>
        <v>55.41</v>
      </c>
      <c r="E762" s="1">
        <f ca="1">IFERROR(__xludf.DUMMYFUNCTION("""COMPUTED_VALUE"""),55.64)</f>
        <v>55.64</v>
      </c>
      <c r="F762" s="1">
        <f ca="1">IFERROR(__xludf.DUMMYFUNCTION("""COMPUTED_VALUE"""),1340381)</f>
        <v>1340381</v>
      </c>
    </row>
    <row r="763" spans="1:6" x14ac:dyDescent="0.35">
      <c r="A763" s="2">
        <f ca="1">IFERROR(__xludf.DUMMYFUNCTION("""COMPUTED_VALUE"""),43110.6666666666)</f>
        <v>43110.666666666599</v>
      </c>
      <c r="B763" s="1">
        <f ca="1">IFERROR(__xludf.DUMMYFUNCTION("""COMPUTED_VALUE"""),55.35)</f>
        <v>55.35</v>
      </c>
      <c r="C763" s="1">
        <f ca="1">IFERROR(__xludf.DUMMYFUNCTION("""COMPUTED_VALUE"""),55.64)</f>
        <v>55.64</v>
      </c>
      <c r="D763" s="1">
        <f ca="1">IFERROR(__xludf.DUMMYFUNCTION("""COMPUTED_VALUE"""),55.2)</f>
        <v>55.2</v>
      </c>
      <c r="E763" s="1">
        <f ca="1">IFERROR(__xludf.DUMMYFUNCTION("""COMPUTED_VALUE"""),55.51)</f>
        <v>55.51</v>
      </c>
      <c r="F763" s="1">
        <f ca="1">IFERROR(__xludf.DUMMYFUNCTION("""COMPUTED_VALUE"""),1036655)</f>
        <v>1036655</v>
      </c>
    </row>
    <row r="764" spans="1:6" x14ac:dyDescent="0.35">
      <c r="A764" s="2">
        <f ca="1">IFERROR(__xludf.DUMMYFUNCTION("""COMPUTED_VALUE"""),43111.6666666666)</f>
        <v>43111.666666666599</v>
      </c>
      <c r="B764" s="1">
        <f ca="1">IFERROR(__xludf.DUMMYFUNCTION("""COMPUTED_VALUE"""),55.62)</f>
        <v>55.62</v>
      </c>
      <c r="C764" s="1">
        <f ca="1">IFERROR(__xludf.DUMMYFUNCTION("""COMPUTED_VALUE"""),55.74)</f>
        <v>55.74</v>
      </c>
      <c r="D764" s="1">
        <f ca="1">IFERROR(__xludf.DUMMYFUNCTION("""COMPUTED_VALUE"""),55.32)</f>
        <v>55.32</v>
      </c>
      <c r="E764" s="1">
        <f ca="1">IFERROR(__xludf.DUMMYFUNCTION("""COMPUTED_VALUE"""),55.6)</f>
        <v>55.6</v>
      </c>
      <c r="F764" s="1">
        <f ca="1">IFERROR(__xludf.DUMMYFUNCTION("""COMPUTED_VALUE"""),1121216)</f>
        <v>1121216</v>
      </c>
    </row>
    <row r="765" spans="1:6" x14ac:dyDescent="0.35">
      <c r="A765" s="2">
        <f ca="1">IFERROR(__xludf.DUMMYFUNCTION("""COMPUTED_VALUE"""),43112.6666666666)</f>
        <v>43112.666666666599</v>
      </c>
      <c r="B765" s="1">
        <f ca="1">IFERROR(__xludf.DUMMYFUNCTION("""COMPUTED_VALUE"""),55.51)</f>
        <v>55.51</v>
      </c>
      <c r="C765" s="1">
        <f ca="1">IFERROR(__xludf.DUMMYFUNCTION("""COMPUTED_VALUE"""),56.57)</f>
        <v>56.57</v>
      </c>
      <c r="D765" s="1">
        <f ca="1">IFERROR(__xludf.DUMMYFUNCTION("""COMPUTED_VALUE"""),55.4)</f>
        <v>55.4</v>
      </c>
      <c r="E765" s="1">
        <f ca="1">IFERROR(__xludf.DUMMYFUNCTION("""COMPUTED_VALUE"""),56.53)</f>
        <v>56.53</v>
      </c>
      <c r="F765" s="1">
        <f ca="1">IFERROR(__xludf.DUMMYFUNCTION("""COMPUTED_VALUE"""),1929306)</f>
        <v>1929306</v>
      </c>
    </row>
    <row r="766" spans="1:6" x14ac:dyDescent="0.35">
      <c r="A766" s="2">
        <f ca="1">IFERROR(__xludf.DUMMYFUNCTION("""COMPUTED_VALUE"""),43116.6666666666)</f>
        <v>43116.666666666599</v>
      </c>
      <c r="B766" s="1">
        <f ca="1">IFERROR(__xludf.DUMMYFUNCTION("""COMPUTED_VALUE"""),57.02)</f>
        <v>57.02</v>
      </c>
      <c r="C766" s="1">
        <f ca="1">IFERROR(__xludf.DUMMYFUNCTION("""COMPUTED_VALUE"""),57.44)</f>
        <v>57.44</v>
      </c>
      <c r="D766" s="1">
        <f ca="1">IFERROR(__xludf.DUMMYFUNCTION("""COMPUTED_VALUE"""),56.33)</f>
        <v>56.33</v>
      </c>
      <c r="E766" s="1">
        <f ca="1">IFERROR(__xludf.DUMMYFUNCTION("""COMPUTED_VALUE"""),56.54)</f>
        <v>56.54</v>
      </c>
      <c r="F766" s="1">
        <f ca="1">IFERROR(__xludf.DUMMYFUNCTION("""COMPUTED_VALUE"""),1823100)</f>
        <v>1823100</v>
      </c>
    </row>
    <row r="767" spans="1:6" x14ac:dyDescent="0.35">
      <c r="A767" s="2">
        <f ca="1">IFERROR(__xludf.DUMMYFUNCTION("""COMPUTED_VALUE"""),43117.6666666666)</f>
        <v>43117.666666666599</v>
      </c>
      <c r="B767" s="1">
        <f ca="1">IFERROR(__xludf.DUMMYFUNCTION("""COMPUTED_VALUE"""),56.82)</f>
        <v>56.82</v>
      </c>
      <c r="C767" s="1">
        <f ca="1">IFERROR(__xludf.DUMMYFUNCTION("""COMPUTED_VALUE"""),56.97)</f>
        <v>56.97</v>
      </c>
      <c r="D767" s="1">
        <f ca="1">IFERROR(__xludf.DUMMYFUNCTION("""COMPUTED_VALUE"""),56.17)</f>
        <v>56.17</v>
      </c>
      <c r="E767" s="1">
        <f ca="1">IFERROR(__xludf.DUMMYFUNCTION("""COMPUTED_VALUE"""),56.96)</f>
        <v>56.96</v>
      </c>
      <c r="F767" s="1">
        <f ca="1">IFERROR(__xludf.DUMMYFUNCTION("""COMPUTED_VALUE"""),1391510)</f>
        <v>1391510</v>
      </c>
    </row>
    <row r="768" spans="1:6" x14ac:dyDescent="0.35">
      <c r="A768" s="2">
        <f ca="1">IFERROR(__xludf.DUMMYFUNCTION("""COMPUTED_VALUE"""),43118.6666666666)</f>
        <v>43118.666666666599</v>
      </c>
      <c r="B768" s="1">
        <f ca="1">IFERROR(__xludf.DUMMYFUNCTION("""COMPUTED_VALUE"""),56.97)</f>
        <v>56.97</v>
      </c>
      <c r="C768" s="1">
        <f ca="1">IFERROR(__xludf.DUMMYFUNCTION("""COMPUTED_VALUE"""),57.03)</f>
        <v>57.03</v>
      </c>
      <c r="D768" s="1">
        <f ca="1">IFERROR(__xludf.DUMMYFUNCTION("""COMPUTED_VALUE"""),56.22)</f>
        <v>56.22</v>
      </c>
      <c r="E768" s="1">
        <f ca="1">IFERROR(__xludf.DUMMYFUNCTION("""COMPUTED_VALUE"""),56.8)</f>
        <v>56.8</v>
      </c>
      <c r="F768" s="1">
        <f ca="1">IFERROR(__xludf.DUMMYFUNCTION("""COMPUTED_VALUE"""),1374873)</f>
        <v>1374873</v>
      </c>
    </row>
    <row r="769" spans="1:6" x14ac:dyDescent="0.35">
      <c r="A769" s="2">
        <f ca="1">IFERROR(__xludf.DUMMYFUNCTION("""COMPUTED_VALUE"""),43119.6666666666)</f>
        <v>43119.666666666599</v>
      </c>
      <c r="B769" s="1">
        <f ca="1">IFERROR(__xludf.DUMMYFUNCTION("""COMPUTED_VALUE"""),56.9)</f>
        <v>56.9</v>
      </c>
      <c r="C769" s="1">
        <f ca="1">IFERROR(__xludf.DUMMYFUNCTION("""COMPUTED_VALUE"""),57.19)</f>
        <v>57.19</v>
      </c>
      <c r="D769" s="1">
        <f ca="1">IFERROR(__xludf.DUMMYFUNCTION("""COMPUTED_VALUE"""),56.63)</f>
        <v>56.63</v>
      </c>
      <c r="E769" s="1">
        <f ca="1">IFERROR(__xludf.DUMMYFUNCTION("""COMPUTED_VALUE"""),57.18)</f>
        <v>57.18</v>
      </c>
      <c r="F769" s="1">
        <f ca="1">IFERROR(__xludf.DUMMYFUNCTION("""COMPUTED_VALUE"""),1527554)</f>
        <v>1527554</v>
      </c>
    </row>
    <row r="770" spans="1:6" x14ac:dyDescent="0.35">
      <c r="A770" s="2">
        <f ca="1">IFERROR(__xludf.DUMMYFUNCTION("""COMPUTED_VALUE"""),43122.6666666666)</f>
        <v>43122.666666666599</v>
      </c>
      <c r="B770" s="1">
        <f ca="1">IFERROR(__xludf.DUMMYFUNCTION("""COMPUTED_VALUE"""),57.19)</f>
        <v>57.19</v>
      </c>
      <c r="C770" s="1">
        <f ca="1">IFERROR(__xludf.DUMMYFUNCTION("""COMPUTED_VALUE"""),58.34)</f>
        <v>58.34</v>
      </c>
      <c r="D770" s="1">
        <f ca="1">IFERROR(__xludf.DUMMYFUNCTION("""COMPUTED_VALUE"""),57.09)</f>
        <v>57.09</v>
      </c>
      <c r="E770" s="1">
        <f ca="1">IFERROR(__xludf.DUMMYFUNCTION("""COMPUTED_VALUE"""),58.21)</f>
        <v>58.21</v>
      </c>
      <c r="F770" s="1">
        <f ca="1">IFERROR(__xludf.DUMMYFUNCTION("""COMPUTED_VALUE"""),1477520)</f>
        <v>1477520</v>
      </c>
    </row>
    <row r="771" spans="1:6" x14ac:dyDescent="0.35">
      <c r="A771" s="2">
        <f ca="1">IFERROR(__xludf.DUMMYFUNCTION("""COMPUTED_VALUE"""),43123.6666666666)</f>
        <v>43123.666666666599</v>
      </c>
      <c r="B771" s="1">
        <f ca="1">IFERROR(__xludf.DUMMYFUNCTION("""COMPUTED_VALUE"""),58.53)</f>
        <v>58.53</v>
      </c>
      <c r="C771" s="1">
        <f ca="1">IFERROR(__xludf.DUMMYFUNCTION("""COMPUTED_VALUE"""),58.93)</f>
        <v>58.93</v>
      </c>
      <c r="D771" s="1">
        <f ca="1">IFERROR(__xludf.DUMMYFUNCTION("""COMPUTED_VALUE"""),58.36)</f>
        <v>58.36</v>
      </c>
      <c r="E771" s="1">
        <f ca="1">IFERROR(__xludf.DUMMYFUNCTION("""COMPUTED_VALUE"""),58.81)</f>
        <v>58.81</v>
      </c>
      <c r="F771" s="1">
        <f ca="1">IFERROR(__xludf.DUMMYFUNCTION("""COMPUTED_VALUE"""),1956865)</f>
        <v>1956865</v>
      </c>
    </row>
    <row r="772" spans="1:6" x14ac:dyDescent="0.35">
      <c r="A772" s="2">
        <f ca="1">IFERROR(__xludf.DUMMYFUNCTION("""COMPUTED_VALUE"""),43124.6666666666)</f>
        <v>43124.666666666599</v>
      </c>
      <c r="B772" s="1">
        <f ca="1">IFERROR(__xludf.DUMMYFUNCTION("""COMPUTED_VALUE"""),59.25)</f>
        <v>59.25</v>
      </c>
      <c r="C772" s="1">
        <f ca="1">IFERROR(__xludf.DUMMYFUNCTION("""COMPUTED_VALUE"""),59.35)</f>
        <v>59.35</v>
      </c>
      <c r="D772" s="1">
        <f ca="1">IFERROR(__xludf.DUMMYFUNCTION("""COMPUTED_VALUE"""),58.37)</f>
        <v>58.37</v>
      </c>
      <c r="E772" s="1">
        <f ca="1">IFERROR(__xludf.DUMMYFUNCTION("""COMPUTED_VALUE"""),58.56)</f>
        <v>58.56</v>
      </c>
      <c r="F772" s="1">
        <f ca="1">IFERROR(__xludf.DUMMYFUNCTION("""COMPUTED_VALUE"""),1856429)</f>
        <v>1856429</v>
      </c>
    </row>
    <row r="773" spans="1:6" x14ac:dyDescent="0.35">
      <c r="A773" s="2">
        <f ca="1">IFERROR(__xludf.DUMMYFUNCTION("""COMPUTED_VALUE"""),43125.6666666666)</f>
        <v>43125.666666666599</v>
      </c>
      <c r="B773" s="1">
        <f ca="1">IFERROR(__xludf.DUMMYFUNCTION("""COMPUTED_VALUE"""),59.04)</f>
        <v>59.04</v>
      </c>
      <c r="C773" s="1">
        <f ca="1">IFERROR(__xludf.DUMMYFUNCTION("""COMPUTED_VALUE"""),59.25)</f>
        <v>59.25</v>
      </c>
      <c r="D773" s="1">
        <f ca="1">IFERROR(__xludf.DUMMYFUNCTION("""COMPUTED_VALUE"""),58.59)</f>
        <v>58.59</v>
      </c>
      <c r="E773" s="1">
        <f ca="1">IFERROR(__xludf.DUMMYFUNCTION("""COMPUTED_VALUE"""),59.11)</f>
        <v>59.11</v>
      </c>
      <c r="F773" s="1">
        <f ca="1">IFERROR(__xludf.DUMMYFUNCTION("""COMPUTED_VALUE"""),1499247)</f>
        <v>1499247</v>
      </c>
    </row>
    <row r="774" spans="1:6" x14ac:dyDescent="0.35">
      <c r="A774" s="2">
        <f ca="1">IFERROR(__xludf.DUMMYFUNCTION("""COMPUTED_VALUE"""),43126.6666666666)</f>
        <v>43126.666666666599</v>
      </c>
      <c r="B774" s="1">
        <f ca="1">IFERROR(__xludf.DUMMYFUNCTION("""COMPUTED_VALUE"""),59.38)</f>
        <v>59.38</v>
      </c>
      <c r="C774" s="1">
        <f ca="1">IFERROR(__xludf.DUMMYFUNCTION("""COMPUTED_VALUE"""),59.38)</f>
        <v>59.38</v>
      </c>
      <c r="D774" s="1">
        <f ca="1">IFERROR(__xludf.DUMMYFUNCTION("""COMPUTED_VALUE"""),58.4)</f>
        <v>58.4</v>
      </c>
      <c r="E774" s="1">
        <f ca="1">IFERROR(__xludf.DUMMYFUNCTION("""COMPUTED_VALUE"""),59.38)</f>
        <v>59.38</v>
      </c>
      <c r="F774" s="1">
        <f ca="1">IFERROR(__xludf.DUMMYFUNCTION("""COMPUTED_VALUE"""),2108502)</f>
        <v>2108502</v>
      </c>
    </row>
    <row r="775" spans="1:6" x14ac:dyDescent="0.35">
      <c r="A775" s="2">
        <f ca="1">IFERROR(__xludf.DUMMYFUNCTION("""COMPUTED_VALUE"""),43129.6666666666)</f>
        <v>43129.666666666599</v>
      </c>
      <c r="B775" s="1">
        <f ca="1">IFERROR(__xludf.DUMMYFUNCTION("""COMPUTED_VALUE"""),59.4)</f>
        <v>59.4</v>
      </c>
      <c r="C775" s="1">
        <f ca="1">IFERROR(__xludf.DUMMYFUNCTION("""COMPUTED_VALUE"""),59.9)</f>
        <v>59.9</v>
      </c>
      <c r="D775" s="1">
        <f ca="1">IFERROR(__xludf.DUMMYFUNCTION("""COMPUTED_VALUE"""),59.2)</f>
        <v>59.2</v>
      </c>
      <c r="E775" s="1">
        <f ca="1">IFERROR(__xludf.DUMMYFUNCTION("""COMPUTED_VALUE"""),59.32)</f>
        <v>59.32</v>
      </c>
      <c r="F775" s="1">
        <f ca="1">IFERROR(__xludf.DUMMYFUNCTION("""COMPUTED_VALUE"""),1574708)</f>
        <v>1574708</v>
      </c>
    </row>
    <row r="776" spans="1:6" x14ac:dyDescent="0.35">
      <c r="A776" s="2">
        <f ca="1">IFERROR(__xludf.DUMMYFUNCTION("""COMPUTED_VALUE"""),43130.6666666666)</f>
        <v>43130.666666666599</v>
      </c>
      <c r="B776" s="1">
        <f ca="1">IFERROR(__xludf.DUMMYFUNCTION("""COMPUTED_VALUE"""),58.89)</f>
        <v>58.89</v>
      </c>
      <c r="C776" s="1">
        <f ca="1">IFERROR(__xludf.DUMMYFUNCTION("""COMPUTED_VALUE"""),59.4)</f>
        <v>59.4</v>
      </c>
      <c r="D776" s="1">
        <f ca="1">IFERROR(__xludf.DUMMYFUNCTION("""COMPUTED_VALUE"""),58.73)</f>
        <v>58.73</v>
      </c>
      <c r="E776" s="1">
        <f ca="1">IFERROR(__xludf.DUMMYFUNCTION("""COMPUTED_VALUE"""),58.87)</f>
        <v>58.87</v>
      </c>
      <c r="F776" s="1">
        <f ca="1">IFERROR(__xludf.DUMMYFUNCTION("""COMPUTED_VALUE"""),1866883)</f>
        <v>1866883</v>
      </c>
    </row>
    <row r="777" spans="1:6" x14ac:dyDescent="0.35">
      <c r="A777" s="2">
        <f ca="1">IFERROR(__xludf.DUMMYFUNCTION("""COMPUTED_VALUE"""),43131.6666666666)</f>
        <v>43131.666666666599</v>
      </c>
      <c r="B777" s="1">
        <f ca="1">IFERROR(__xludf.DUMMYFUNCTION("""COMPUTED_VALUE"""),59.19)</f>
        <v>59.19</v>
      </c>
      <c r="C777" s="1">
        <f ca="1">IFERROR(__xludf.DUMMYFUNCTION("""COMPUTED_VALUE"""),59.32)</f>
        <v>59.32</v>
      </c>
      <c r="D777" s="1">
        <f ca="1">IFERROR(__xludf.DUMMYFUNCTION("""COMPUTED_VALUE"""),58.61)</f>
        <v>58.61</v>
      </c>
      <c r="E777" s="1">
        <f ca="1">IFERROR(__xludf.DUMMYFUNCTION("""COMPUTED_VALUE"""),59.11)</f>
        <v>59.11</v>
      </c>
      <c r="F777" s="1">
        <f ca="1">IFERROR(__xludf.DUMMYFUNCTION("""COMPUTED_VALUE"""),1801135)</f>
        <v>1801135</v>
      </c>
    </row>
    <row r="778" spans="1:6" x14ac:dyDescent="0.35">
      <c r="A778" s="2">
        <f ca="1">IFERROR(__xludf.DUMMYFUNCTION("""COMPUTED_VALUE"""),43132.6666666666)</f>
        <v>43132.666666666599</v>
      </c>
      <c r="B778" s="1">
        <f ca="1">IFERROR(__xludf.DUMMYFUNCTION("""COMPUTED_VALUE"""),58.8)</f>
        <v>58.8</v>
      </c>
      <c r="C778" s="1">
        <f ca="1">IFERROR(__xludf.DUMMYFUNCTION("""COMPUTED_VALUE"""),59.37)</f>
        <v>59.37</v>
      </c>
      <c r="D778" s="1">
        <f ca="1">IFERROR(__xludf.DUMMYFUNCTION("""COMPUTED_VALUE"""),58.47)</f>
        <v>58.47</v>
      </c>
      <c r="E778" s="1">
        <f ca="1">IFERROR(__xludf.DUMMYFUNCTION("""COMPUTED_VALUE"""),59.08)</f>
        <v>59.08</v>
      </c>
      <c r="F778" s="1">
        <f ca="1">IFERROR(__xludf.DUMMYFUNCTION("""COMPUTED_VALUE"""),3675709)</f>
        <v>3675709</v>
      </c>
    </row>
    <row r="779" spans="1:6" x14ac:dyDescent="0.35">
      <c r="A779" s="2">
        <f ca="1">IFERROR(__xludf.DUMMYFUNCTION("""COMPUTED_VALUE"""),43133.6666666666)</f>
        <v>43133.666666666599</v>
      </c>
      <c r="B779" s="1">
        <f ca="1">IFERROR(__xludf.DUMMYFUNCTION("""COMPUTED_VALUE"""),56.37)</f>
        <v>56.37</v>
      </c>
      <c r="C779" s="1">
        <f ca="1">IFERROR(__xludf.DUMMYFUNCTION("""COMPUTED_VALUE"""),56.57)</f>
        <v>56.57</v>
      </c>
      <c r="D779" s="1">
        <f ca="1">IFERROR(__xludf.DUMMYFUNCTION("""COMPUTED_VALUE"""),55.56)</f>
        <v>55.56</v>
      </c>
      <c r="E779" s="1">
        <f ca="1">IFERROR(__xludf.DUMMYFUNCTION("""COMPUTED_VALUE"""),55.96)</f>
        <v>55.96</v>
      </c>
      <c r="F779" s="1">
        <f ca="1">IFERROR(__xludf.DUMMYFUNCTION("""COMPUTED_VALUE"""),5892122)</f>
        <v>5892122</v>
      </c>
    </row>
    <row r="780" spans="1:6" x14ac:dyDescent="0.35">
      <c r="A780" s="2">
        <f ca="1">IFERROR(__xludf.DUMMYFUNCTION("""COMPUTED_VALUE"""),43136.6666666666)</f>
        <v>43136.666666666599</v>
      </c>
      <c r="B780" s="1">
        <f ca="1">IFERROR(__xludf.DUMMYFUNCTION("""COMPUTED_VALUE"""),55.03)</f>
        <v>55.03</v>
      </c>
      <c r="C780" s="1">
        <f ca="1">IFERROR(__xludf.DUMMYFUNCTION("""COMPUTED_VALUE"""),55.75)</f>
        <v>55.75</v>
      </c>
      <c r="D780" s="1">
        <f ca="1">IFERROR(__xludf.DUMMYFUNCTION("""COMPUTED_VALUE"""),52.84)</f>
        <v>52.84</v>
      </c>
      <c r="E780" s="1">
        <f ca="1">IFERROR(__xludf.DUMMYFUNCTION("""COMPUTED_VALUE"""),53.12)</f>
        <v>53.12</v>
      </c>
      <c r="F780" s="1">
        <f ca="1">IFERROR(__xludf.DUMMYFUNCTION("""COMPUTED_VALUE"""),4177469)</f>
        <v>4177469</v>
      </c>
    </row>
    <row r="781" spans="1:6" x14ac:dyDescent="0.35">
      <c r="A781" s="2">
        <f ca="1">IFERROR(__xludf.DUMMYFUNCTION("""COMPUTED_VALUE"""),43137.6666666666)</f>
        <v>43137.666666666599</v>
      </c>
      <c r="B781" s="1">
        <f ca="1">IFERROR(__xludf.DUMMYFUNCTION("""COMPUTED_VALUE"""),51.7)</f>
        <v>51.7</v>
      </c>
      <c r="C781" s="1">
        <f ca="1">IFERROR(__xludf.DUMMYFUNCTION("""COMPUTED_VALUE"""),54.37)</f>
        <v>54.37</v>
      </c>
      <c r="D781" s="1">
        <f ca="1">IFERROR(__xludf.DUMMYFUNCTION("""COMPUTED_VALUE"""),51.5)</f>
        <v>51.5</v>
      </c>
      <c r="E781" s="1">
        <f ca="1">IFERROR(__xludf.DUMMYFUNCTION("""COMPUTED_VALUE"""),54.22)</f>
        <v>54.22</v>
      </c>
      <c r="F781" s="1">
        <f ca="1">IFERROR(__xludf.DUMMYFUNCTION("""COMPUTED_VALUE"""),3831524)</f>
        <v>3831524</v>
      </c>
    </row>
    <row r="782" spans="1:6" x14ac:dyDescent="0.35">
      <c r="A782" s="2">
        <f ca="1">IFERROR(__xludf.DUMMYFUNCTION("""COMPUTED_VALUE"""),43138.6666666666)</f>
        <v>43138.666666666599</v>
      </c>
      <c r="B782" s="1">
        <f ca="1">IFERROR(__xludf.DUMMYFUNCTION("""COMPUTED_VALUE"""),54.25)</f>
        <v>54.25</v>
      </c>
      <c r="C782" s="1">
        <f ca="1">IFERROR(__xludf.DUMMYFUNCTION("""COMPUTED_VALUE"""),54.33)</f>
        <v>54.33</v>
      </c>
      <c r="D782" s="1">
        <f ca="1">IFERROR(__xludf.DUMMYFUNCTION("""COMPUTED_VALUE"""),52.73)</f>
        <v>52.73</v>
      </c>
      <c r="E782" s="1">
        <f ca="1">IFERROR(__xludf.DUMMYFUNCTION("""COMPUTED_VALUE"""),52.77)</f>
        <v>52.77</v>
      </c>
      <c r="F782" s="1">
        <f ca="1">IFERROR(__xludf.DUMMYFUNCTION("""COMPUTED_VALUE"""),2597094)</f>
        <v>2597094</v>
      </c>
    </row>
    <row r="783" spans="1:6" x14ac:dyDescent="0.35">
      <c r="A783" s="2">
        <f ca="1">IFERROR(__xludf.DUMMYFUNCTION("""COMPUTED_VALUE"""),43139.6666666666)</f>
        <v>43139.666666666599</v>
      </c>
      <c r="B783" s="1">
        <f ca="1">IFERROR(__xludf.DUMMYFUNCTION("""COMPUTED_VALUE"""),52.99)</f>
        <v>52.99</v>
      </c>
      <c r="C783" s="1">
        <f ca="1">IFERROR(__xludf.DUMMYFUNCTION("""COMPUTED_VALUE"""),53.2)</f>
        <v>53.2</v>
      </c>
      <c r="D783" s="1">
        <f ca="1">IFERROR(__xludf.DUMMYFUNCTION("""COMPUTED_VALUE"""),50.24)</f>
        <v>50.24</v>
      </c>
      <c r="E783" s="1">
        <f ca="1">IFERROR(__xludf.DUMMYFUNCTION("""COMPUTED_VALUE"""),50.39)</f>
        <v>50.39</v>
      </c>
      <c r="F783" s="1">
        <f ca="1">IFERROR(__xludf.DUMMYFUNCTION("""COMPUTED_VALUE"""),3339601)</f>
        <v>3339601</v>
      </c>
    </row>
    <row r="784" spans="1:6" x14ac:dyDescent="0.35">
      <c r="A784" s="2">
        <f ca="1">IFERROR(__xludf.DUMMYFUNCTION("""COMPUTED_VALUE"""),43140.6666666666)</f>
        <v>43140.666666666599</v>
      </c>
      <c r="B784" s="1">
        <f ca="1">IFERROR(__xludf.DUMMYFUNCTION("""COMPUTED_VALUE"""),51.29)</f>
        <v>51.29</v>
      </c>
      <c r="C784" s="1">
        <f ca="1">IFERROR(__xludf.DUMMYFUNCTION("""COMPUTED_VALUE"""),52.59)</f>
        <v>52.59</v>
      </c>
      <c r="D784" s="1">
        <f ca="1">IFERROR(__xludf.DUMMYFUNCTION("""COMPUTED_VALUE"""),49.85)</f>
        <v>49.85</v>
      </c>
      <c r="E784" s="1">
        <f ca="1">IFERROR(__xludf.DUMMYFUNCTION("""COMPUTED_VALUE"""),52.31)</f>
        <v>52.31</v>
      </c>
      <c r="F784" s="1">
        <f ca="1">IFERROR(__xludf.DUMMYFUNCTION("""COMPUTED_VALUE"""),4917970)</f>
        <v>4917970</v>
      </c>
    </row>
    <row r="785" spans="1:6" x14ac:dyDescent="0.35">
      <c r="A785" s="2">
        <f ca="1">IFERROR(__xludf.DUMMYFUNCTION("""COMPUTED_VALUE"""),43143.6666666666)</f>
        <v>43143.666666666599</v>
      </c>
      <c r="B785" s="1">
        <f ca="1">IFERROR(__xludf.DUMMYFUNCTION("""COMPUTED_VALUE"""),52.83)</f>
        <v>52.83</v>
      </c>
      <c r="C785" s="1">
        <f ca="1">IFERROR(__xludf.DUMMYFUNCTION("""COMPUTED_VALUE"""),53.28)</f>
        <v>53.28</v>
      </c>
      <c r="D785" s="1">
        <f ca="1">IFERROR(__xludf.DUMMYFUNCTION("""COMPUTED_VALUE"""),52.27)</f>
        <v>52.27</v>
      </c>
      <c r="E785" s="1">
        <f ca="1">IFERROR(__xludf.DUMMYFUNCTION("""COMPUTED_VALUE"""),52.73)</f>
        <v>52.73</v>
      </c>
      <c r="F785" s="1">
        <f ca="1">IFERROR(__xludf.DUMMYFUNCTION("""COMPUTED_VALUE"""),2812011)</f>
        <v>2812011</v>
      </c>
    </row>
    <row r="786" spans="1:6" x14ac:dyDescent="0.35">
      <c r="A786" s="2">
        <f ca="1">IFERROR(__xludf.DUMMYFUNCTION("""COMPUTED_VALUE"""),43144.6666666666)</f>
        <v>43144.666666666599</v>
      </c>
      <c r="B786" s="1">
        <f ca="1">IFERROR(__xludf.DUMMYFUNCTION("""COMPUTED_VALUE"""),52.5)</f>
        <v>52.5</v>
      </c>
      <c r="C786" s="1">
        <f ca="1">IFERROR(__xludf.DUMMYFUNCTION("""COMPUTED_VALUE"""),53.06)</f>
        <v>53.06</v>
      </c>
      <c r="D786" s="1">
        <f ca="1">IFERROR(__xludf.DUMMYFUNCTION("""COMPUTED_VALUE"""),52.35)</f>
        <v>52.35</v>
      </c>
      <c r="E786" s="1">
        <f ca="1">IFERROR(__xludf.DUMMYFUNCTION("""COMPUTED_VALUE"""),52.71)</f>
        <v>52.71</v>
      </c>
      <c r="F786" s="1">
        <f ca="1">IFERROR(__xludf.DUMMYFUNCTION("""COMPUTED_VALUE"""),1579258)</f>
        <v>1579258</v>
      </c>
    </row>
    <row r="787" spans="1:6" x14ac:dyDescent="0.35">
      <c r="A787" s="2">
        <f ca="1">IFERROR(__xludf.DUMMYFUNCTION("""COMPUTED_VALUE"""),43145.6666666666)</f>
        <v>43145.666666666599</v>
      </c>
      <c r="B787" s="1">
        <f ca="1">IFERROR(__xludf.DUMMYFUNCTION("""COMPUTED_VALUE"""),52.72)</f>
        <v>52.72</v>
      </c>
      <c r="C787" s="1">
        <f ca="1">IFERROR(__xludf.DUMMYFUNCTION("""COMPUTED_VALUE"""),53.77)</f>
        <v>53.77</v>
      </c>
      <c r="D787" s="1">
        <f ca="1">IFERROR(__xludf.DUMMYFUNCTION("""COMPUTED_VALUE"""),52.49)</f>
        <v>52.49</v>
      </c>
      <c r="E787" s="1">
        <f ca="1">IFERROR(__xludf.DUMMYFUNCTION("""COMPUTED_VALUE"""),53.64)</f>
        <v>53.64</v>
      </c>
      <c r="F787" s="1">
        <f ca="1">IFERROR(__xludf.DUMMYFUNCTION("""COMPUTED_VALUE"""),2065202)</f>
        <v>2065202</v>
      </c>
    </row>
    <row r="788" spans="1:6" x14ac:dyDescent="0.35">
      <c r="A788" s="2">
        <f ca="1">IFERROR(__xludf.DUMMYFUNCTION("""COMPUTED_VALUE"""),43146.6666666666)</f>
        <v>43146.666666666599</v>
      </c>
      <c r="B788" s="1">
        <f ca="1">IFERROR(__xludf.DUMMYFUNCTION("""COMPUTED_VALUE"""),54.17)</f>
        <v>54.17</v>
      </c>
      <c r="C788" s="1">
        <f ca="1">IFERROR(__xludf.DUMMYFUNCTION("""COMPUTED_VALUE"""),54.71)</f>
        <v>54.71</v>
      </c>
      <c r="D788" s="1">
        <f ca="1">IFERROR(__xludf.DUMMYFUNCTION("""COMPUTED_VALUE"""),53.36)</f>
        <v>53.36</v>
      </c>
      <c r="E788" s="1">
        <f ca="1">IFERROR(__xludf.DUMMYFUNCTION("""COMPUTED_VALUE"""),54.57)</f>
        <v>54.57</v>
      </c>
      <c r="F788" s="1">
        <f ca="1">IFERROR(__xludf.DUMMYFUNCTION("""COMPUTED_VALUE"""),1869763)</f>
        <v>1869763</v>
      </c>
    </row>
    <row r="789" spans="1:6" x14ac:dyDescent="0.35">
      <c r="A789" s="2">
        <f ca="1">IFERROR(__xludf.DUMMYFUNCTION("""COMPUTED_VALUE"""),43147.6666666666)</f>
        <v>43147.666666666599</v>
      </c>
      <c r="B789" s="1">
        <f ca="1">IFERROR(__xludf.DUMMYFUNCTION("""COMPUTED_VALUE"""),54.67)</f>
        <v>54.67</v>
      </c>
      <c r="C789" s="1">
        <f ca="1">IFERROR(__xludf.DUMMYFUNCTION("""COMPUTED_VALUE"""),55.42)</f>
        <v>55.42</v>
      </c>
      <c r="D789" s="1">
        <f ca="1">IFERROR(__xludf.DUMMYFUNCTION("""COMPUTED_VALUE"""),54.58)</f>
        <v>54.58</v>
      </c>
      <c r="E789" s="1">
        <f ca="1">IFERROR(__xludf.DUMMYFUNCTION("""COMPUTED_VALUE"""),54.78)</f>
        <v>54.78</v>
      </c>
      <c r="F789" s="1">
        <f ca="1">IFERROR(__xludf.DUMMYFUNCTION("""COMPUTED_VALUE"""),1997405)</f>
        <v>1997405</v>
      </c>
    </row>
    <row r="790" spans="1:6" x14ac:dyDescent="0.35">
      <c r="A790" s="2">
        <f ca="1">IFERROR(__xludf.DUMMYFUNCTION("""COMPUTED_VALUE"""),43151.6666666666)</f>
        <v>43151.666666666599</v>
      </c>
      <c r="B790" s="1">
        <f ca="1">IFERROR(__xludf.DUMMYFUNCTION("""COMPUTED_VALUE"""),54.64)</f>
        <v>54.64</v>
      </c>
      <c r="C790" s="1">
        <f ca="1">IFERROR(__xludf.DUMMYFUNCTION("""COMPUTED_VALUE"""),55.81)</f>
        <v>55.81</v>
      </c>
      <c r="D790" s="1">
        <f ca="1">IFERROR(__xludf.DUMMYFUNCTION("""COMPUTED_VALUE"""),54.5)</f>
        <v>54.5</v>
      </c>
      <c r="E790" s="1">
        <f ca="1">IFERROR(__xludf.DUMMYFUNCTION("""COMPUTED_VALUE"""),55.18)</f>
        <v>55.18</v>
      </c>
      <c r="F790" s="1">
        <f ca="1">IFERROR(__xludf.DUMMYFUNCTION("""COMPUTED_VALUE"""),1687656)</f>
        <v>1687656</v>
      </c>
    </row>
    <row r="791" spans="1:6" x14ac:dyDescent="0.35">
      <c r="A791" s="2">
        <f ca="1">IFERROR(__xludf.DUMMYFUNCTION("""COMPUTED_VALUE"""),43152.6666666666)</f>
        <v>43152.666666666599</v>
      </c>
      <c r="B791" s="1">
        <f ca="1">IFERROR(__xludf.DUMMYFUNCTION("""COMPUTED_VALUE"""),55.46)</f>
        <v>55.46</v>
      </c>
      <c r="C791" s="1">
        <f ca="1">IFERROR(__xludf.DUMMYFUNCTION("""COMPUTED_VALUE"""),56.81)</f>
        <v>56.81</v>
      </c>
      <c r="D791" s="1">
        <f ca="1">IFERROR(__xludf.DUMMYFUNCTION("""COMPUTED_VALUE"""),55.38)</f>
        <v>55.38</v>
      </c>
      <c r="E791" s="1">
        <f ca="1">IFERROR(__xludf.DUMMYFUNCTION("""COMPUTED_VALUE"""),55.69)</f>
        <v>55.69</v>
      </c>
      <c r="F791" s="1">
        <f ca="1">IFERROR(__xludf.DUMMYFUNCTION("""COMPUTED_VALUE"""),2074321)</f>
        <v>2074321</v>
      </c>
    </row>
    <row r="792" spans="1:6" x14ac:dyDescent="0.35">
      <c r="A792" s="2">
        <f ca="1">IFERROR(__xludf.DUMMYFUNCTION("""COMPUTED_VALUE"""),43153.6666666666)</f>
        <v>43153.666666666599</v>
      </c>
      <c r="B792" s="1">
        <f ca="1">IFERROR(__xludf.DUMMYFUNCTION("""COMPUTED_VALUE"""),55.96)</f>
        <v>55.96</v>
      </c>
      <c r="C792" s="1">
        <f ca="1">IFERROR(__xludf.DUMMYFUNCTION("""COMPUTED_VALUE"""),56.27)</f>
        <v>56.27</v>
      </c>
      <c r="D792" s="1">
        <f ca="1">IFERROR(__xludf.DUMMYFUNCTION("""COMPUTED_VALUE"""),55.26)</f>
        <v>55.26</v>
      </c>
      <c r="E792" s="1">
        <f ca="1">IFERROR(__xludf.DUMMYFUNCTION("""COMPUTED_VALUE"""),55.5)</f>
        <v>55.5</v>
      </c>
      <c r="F792" s="1">
        <f ca="1">IFERROR(__xludf.DUMMYFUNCTION("""COMPUTED_VALUE"""),1400536)</f>
        <v>1400536</v>
      </c>
    </row>
    <row r="793" spans="1:6" x14ac:dyDescent="0.35">
      <c r="A793" s="2">
        <f ca="1">IFERROR(__xludf.DUMMYFUNCTION("""COMPUTED_VALUE"""),43154.6666666666)</f>
        <v>43154.666666666599</v>
      </c>
      <c r="B793" s="1">
        <f ca="1">IFERROR(__xludf.DUMMYFUNCTION("""COMPUTED_VALUE"""),55.93)</f>
        <v>55.93</v>
      </c>
      <c r="C793" s="1">
        <f ca="1">IFERROR(__xludf.DUMMYFUNCTION("""COMPUTED_VALUE"""),56.45)</f>
        <v>56.45</v>
      </c>
      <c r="D793" s="1">
        <f ca="1">IFERROR(__xludf.DUMMYFUNCTION("""COMPUTED_VALUE"""),55.42)</f>
        <v>55.42</v>
      </c>
      <c r="E793" s="1">
        <f ca="1">IFERROR(__xludf.DUMMYFUNCTION("""COMPUTED_VALUE"""),56.4)</f>
        <v>56.4</v>
      </c>
      <c r="F793" s="1">
        <f ca="1">IFERROR(__xludf.DUMMYFUNCTION("""COMPUTED_VALUE"""),1264638)</f>
        <v>1264638</v>
      </c>
    </row>
    <row r="794" spans="1:6" x14ac:dyDescent="0.35">
      <c r="A794" s="2">
        <f ca="1">IFERROR(__xludf.DUMMYFUNCTION("""COMPUTED_VALUE"""),43157.6666666666)</f>
        <v>43157.666666666599</v>
      </c>
      <c r="B794" s="1">
        <f ca="1">IFERROR(__xludf.DUMMYFUNCTION("""COMPUTED_VALUE"""),56.59)</f>
        <v>56.59</v>
      </c>
      <c r="C794" s="1">
        <f ca="1">IFERROR(__xludf.DUMMYFUNCTION("""COMPUTED_VALUE"""),57.21)</f>
        <v>57.21</v>
      </c>
      <c r="D794" s="1">
        <f ca="1">IFERROR(__xludf.DUMMYFUNCTION("""COMPUTED_VALUE"""),56.47)</f>
        <v>56.47</v>
      </c>
      <c r="E794" s="1">
        <f ca="1">IFERROR(__xludf.DUMMYFUNCTION("""COMPUTED_VALUE"""),57.19)</f>
        <v>57.19</v>
      </c>
      <c r="F794" s="1">
        <f ca="1">IFERROR(__xludf.DUMMYFUNCTION("""COMPUTED_VALUE"""),1545619)</f>
        <v>1545619</v>
      </c>
    </row>
    <row r="795" spans="1:6" x14ac:dyDescent="0.35">
      <c r="A795" s="2">
        <f ca="1">IFERROR(__xludf.DUMMYFUNCTION("""COMPUTED_VALUE"""),43158.6666666666)</f>
        <v>43158.666666666599</v>
      </c>
      <c r="B795" s="1">
        <f ca="1">IFERROR(__xludf.DUMMYFUNCTION("""COMPUTED_VALUE"""),57.19)</f>
        <v>57.19</v>
      </c>
      <c r="C795" s="1">
        <f ca="1">IFERROR(__xludf.DUMMYFUNCTION("""COMPUTED_VALUE"""),57.21)</f>
        <v>57.21</v>
      </c>
      <c r="D795" s="1">
        <f ca="1">IFERROR(__xludf.DUMMYFUNCTION("""COMPUTED_VALUE"""),55.84)</f>
        <v>55.84</v>
      </c>
      <c r="E795" s="1">
        <f ca="1">IFERROR(__xludf.DUMMYFUNCTION("""COMPUTED_VALUE"""),55.88)</f>
        <v>55.88</v>
      </c>
      <c r="F795" s="1">
        <f ca="1">IFERROR(__xludf.DUMMYFUNCTION("""COMPUTED_VALUE"""),2148159)</f>
        <v>2148159</v>
      </c>
    </row>
    <row r="796" spans="1:6" x14ac:dyDescent="0.35">
      <c r="A796" s="2">
        <f ca="1">IFERROR(__xludf.DUMMYFUNCTION("""COMPUTED_VALUE"""),43159.6666666666)</f>
        <v>43159.666666666599</v>
      </c>
      <c r="B796" s="1">
        <f ca="1">IFERROR(__xludf.DUMMYFUNCTION("""COMPUTED_VALUE"""),56.1)</f>
        <v>56.1</v>
      </c>
      <c r="C796" s="1">
        <f ca="1">IFERROR(__xludf.DUMMYFUNCTION("""COMPUTED_VALUE"""),56.38)</f>
        <v>56.38</v>
      </c>
      <c r="D796" s="1">
        <f ca="1">IFERROR(__xludf.DUMMYFUNCTION("""COMPUTED_VALUE"""),55.15)</f>
        <v>55.15</v>
      </c>
      <c r="E796" s="1">
        <f ca="1">IFERROR(__xludf.DUMMYFUNCTION("""COMPUTED_VALUE"""),55.2)</f>
        <v>55.2</v>
      </c>
      <c r="F796" s="1">
        <f ca="1">IFERROR(__xludf.DUMMYFUNCTION("""COMPUTED_VALUE"""),2464619)</f>
        <v>2464619</v>
      </c>
    </row>
    <row r="797" spans="1:6" x14ac:dyDescent="0.35">
      <c r="A797" s="2">
        <f ca="1">IFERROR(__xludf.DUMMYFUNCTION("""COMPUTED_VALUE"""),43160.6666666666)</f>
        <v>43160.666666666599</v>
      </c>
      <c r="B797" s="1">
        <f ca="1">IFERROR(__xludf.DUMMYFUNCTION("""COMPUTED_VALUE"""),55.48)</f>
        <v>55.48</v>
      </c>
      <c r="C797" s="1">
        <f ca="1">IFERROR(__xludf.DUMMYFUNCTION("""COMPUTED_VALUE"""),55.56)</f>
        <v>55.56</v>
      </c>
      <c r="D797" s="1">
        <f ca="1">IFERROR(__xludf.DUMMYFUNCTION("""COMPUTED_VALUE"""),53.36)</f>
        <v>53.36</v>
      </c>
      <c r="E797" s="1">
        <f ca="1">IFERROR(__xludf.DUMMYFUNCTION("""COMPUTED_VALUE"""),53.57)</f>
        <v>53.57</v>
      </c>
      <c r="F797" s="1">
        <f ca="1">IFERROR(__xludf.DUMMYFUNCTION("""COMPUTED_VALUE"""),2766856)</f>
        <v>2766856</v>
      </c>
    </row>
    <row r="798" spans="1:6" x14ac:dyDescent="0.35">
      <c r="A798" s="2">
        <f ca="1">IFERROR(__xludf.DUMMYFUNCTION("""COMPUTED_VALUE"""),43161.6666666666)</f>
        <v>43161.666666666599</v>
      </c>
      <c r="B798" s="1">
        <f ca="1">IFERROR(__xludf.DUMMYFUNCTION("""COMPUTED_VALUE"""),52.9)</f>
        <v>52.9</v>
      </c>
      <c r="C798" s="1">
        <f ca="1">IFERROR(__xludf.DUMMYFUNCTION("""COMPUTED_VALUE"""),54.34)</f>
        <v>54.34</v>
      </c>
      <c r="D798" s="1">
        <f ca="1">IFERROR(__xludf.DUMMYFUNCTION("""COMPUTED_VALUE"""),52.51)</f>
        <v>52.51</v>
      </c>
      <c r="E798" s="1">
        <f ca="1">IFERROR(__xludf.DUMMYFUNCTION("""COMPUTED_VALUE"""),54.21)</f>
        <v>54.21</v>
      </c>
      <c r="F798" s="1">
        <f ca="1">IFERROR(__xludf.DUMMYFUNCTION("""COMPUTED_VALUE"""),2508145)</f>
        <v>2508145</v>
      </c>
    </row>
    <row r="799" spans="1:6" x14ac:dyDescent="0.35">
      <c r="A799" s="2">
        <f ca="1">IFERROR(__xludf.DUMMYFUNCTION("""COMPUTED_VALUE"""),43164.6666666666)</f>
        <v>43164.666666666599</v>
      </c>
      <c r="B799" s="1">
        <f ca="1">IFERROR(__xludf.DUMMYFUNCTION("""COMPUTED_VALUE"""),53.91)</f>
        <v>53.91</v>
      </c>
      <c r="C799" s="1">
        <f ca="1">IFERROR(__xludf.DUMMYFUNCTION("""COMPUTED_VALUE"""),55.06)</f>
        <v>55.06</v>
      </c>
      <c r="D799" s="1">
        <f ca="1">IFERROR(__xludf.DUMMYFUNCTION("""COMPUTED_VALUE"""),53.61)</f>
        <v>53.61</v>
      </c>
      <c r="E799" s="1">
        <f ca="1">IFERROR(__xludf.DUMMYFUNCTION("""COMPUTED_VALUE"""),54.74)</f>
        <v>54.74</v>
      </c>
      <c r="F799" s="1">
        <f ca="1">IFERROR(__xludf.DUMMYFUNCTION("""COMPUTED_VALUE"""),1432369)</f>
        <v>1432369</v>
      </c>
    </row>
    <row r="800" spans="1:6" x14ac:dyDescent="0.35">
      <c r="A800" s="2">
        <f ca="1">IFERROR(__xludf.DUMMYFUNCTION("""COMPUTED_VALUE"""),43165.6666666666)</f>
        <v>43165.666666666599</v>
      </c>
      <c r="B800" s="1">
        <f ca="1">IFERROR(__xludf.DUMMYFUNCTION("""COMPUTED_VALUE"""),55.11)</f>
        <v>55.11</v>
      </c>
      <c r="C800" s="1">
        <f ca="1">IFERROR(__xludf.DUMMYFUNCTION("""COMPUTED_VALUE"""),55.28)</f>
        <v>55.28</v>
      </c>
      <c r="D800" s="1">
        <f ca="1">IFERROR(__xludf.DUMMYFUNCTION("""COMPUTED_VALUE"""),54.73)</f>
        <v>54.73</v>
      </c>
      <c r="E800" s="1">
        <f ca="1">IFERROR(__xludf.DUMMYFUNCTION("""COMPUTED_VALUE"""),55.05)</f>
        <v>55.05</v>
      </c>
      <c r="F800" s="1">
        <f ca="1">IFERROR(__xludf.DUMMYFUNCTION("""COMPUTED_VALUE"""),1169068)</f>
        <v>1169068</v>
      </c>
    </row>
    <row r="801" spans="1:6" x14ac:dyDescent="0.35">
      <c r="A801" s="2">
        <f ca="1">IFERROR(__xludf.DUMMYFUNCTION("""COMPUTED_VALUE"""),43166.6666666666)</f>
        <v>43166.666666666599</v>
      </c>
      <c r="B801" s="1">
        <f ca="1">IFERROR(__xludf.DUMMYFUNCTION("""COMPUTED_VALUE"""),54.64)</f>
        <v>54.64</v>
      </c>
      <c r="C801" s="1">
        <f ca="1">IFERROR(__xludf.DUMMYFUNCTION("""COMPUTED_VALUE"""),55.81)</f>
        <v>55.81</v>
      </c>
      <c r="D801" s="1">
        <f ca="1">IFERROR(__xludf.DUMMYFUNCTION("""COMPUTED_VALUE"""),54.5)</f>
        <v>54.5</v>
      </c>
      <c r="E801" s="1">
        <f ca="1">IFERROR(__xludf.DUMMYFUNCTION("""COMPUTED_VALUE"""),55.75)</f>
        <v>55.75</v>
      </c>
      <c r="F801" s="1">
        <f ca="1">IFERROR(__xludf.DUMMYFUNCTION("""COMPUTED_VALUE"""),1537429)</f>
        <v>1537429</v>
      </c>
    </row>
    <row r="802" spans="1:6" x14ac:dyDescent="0.35">
      <c r="A802" s="2">
        <f ca="1">IFERROR(__xludf.DUMMYFUNCTION("""COMPUTED_VALUE"""),43167.6666666666)</f>
        <v>43167.666666666599</v>
      </c>
      <c r="B802" s="1">
        <f ca="1">IFERROR(__xludf.DUMMYFUNCTION("""COMPUTED_VALUE"""),55.86)</f>
        <v>55.86</v>
      </c>
      <c r="C802" s="1">
        <f ca="1">IFERROR(__xludf.DUMMYFUNCTION("""COMPUTED_VALUE"""),56.57)</f>
        <v>56.57</v>
      </c>
      <c r="D802" s="1">
        <f ca="1">IFERROR(__xludf.DUMMYFUNCTION("""COMPUTED_VALUE"""),55.86)</f>
        <v>55.86</v>
      </c>
      <c r="E802" s="1">
        <f ca="1">IFERROR(__xludf.DUMMYFUNCTION("""COMPUTED_VALUE"""),56.47)</f>
        <v>56.47</v>
      </c>
      <c r="F802" s="1">
        <f ca="1">IFERROR(__xludf.DUMMYFUNCTION("""COMPUTED_VALUE"""),1693133)</f>
        <v>1693133</v>
      </c>
    </row>
    <row r="803" spans="1:6" x14ac:dyDescent="0.35">
      <c r="A803" s="2">
        <f ca="1">IFERROR(__xludf.DUMMYFUNCTION("""COMPUTED_VALUE"""),43168.6666666666)</f>
        <v>43168.666666666599</v>
      </c>
      <c r="B803" s="1">
        <f ca="1">IFERROR(__xludf.DUMMYFUNCTION("""COMPUTED_VALUE"""),56.98)</f>
        <v>56.98</v>
      </c>
      <c r="C803" s="1">
        <f ca="1">IFERROR(__xludf.DUMMYFUNCTION("""COMPUTED_VALUE"""),58.05)</f>
        <v>58.05</v>
      </c>
      <c r="D803" s="1">
        <f ca="1">IFERROR(__xludf.DUMMYFUNCTION("""COMPUTED_VALUE"""),56.71)</f>
        <v>56.71</v>
      </c>
      <c r="E803" s="1">
        <f ca="1">IFERROR(__xludf.DUMMYFUNCTION("""COMPUTED_VALUE"""),58.04)</f>
        <v>58.04</v>
      </c>
      <c r="F803" s="1">
        <f ca="1">IFERROR(__xludf.DUMMYFUNCTION("""COMPUTED_VALUE"""),2133087)</f>
        <v>2133087</v>
      </c>
    </row>
    <row r="804" spans="1:6" x14ac:dyDescent="0.35">
      <c r="A804" s="2">
        <f ca="1">IFERROR(__xludf.DUMMYFUNCTION("""COMPUTED_VALUE"""),43171.6666666666)</f>
        <v>43171.666666666599</v>
      </c>
      <c r="B804" s="1">
        <f ca="1">IFERROR(__xludf.DUMMYFUNCTION("""COMPUTED_VALUE"""),58.25)</f>
        <v>58.25</v>
      </c>
      <c r="C804" s="1">
        <f ca="1">IFERROR(__xludf.DUMMYFUNCTION("""COMPUTED_VALUE"""),58.91)</f>
        <v>58.91</v>
      </c>
      <c r="D804" s="1">
        <f ca="1">IFERROR(__xludf.DUMMYFUNCTION("""COMPUTED_VALUE"""),57.96)</f>
        <v>57.96</v>
      </c>
      <c r="E804" s="1">
        <f ca="1">IFERROR(__xludf.DUMMYFUNCTION("""COMPUTED_VALUE"""),58.3)</f>
        <v>58.3</v>
      </c>
      <c r="F804" s="1">
        <f ca="1">IFERROR(__xludf.DUMMYFUNCTION("""COMPUTED_VALUE"""),2215304)</f>
        <v>2215304</v>
      </c>
    </row>
    <row r="805" spans="1:6" x14ac:dyDescent="0.35">
      <c r="A805" s="2">
        <f ca="1">IFERROR(__xludf.DUMMYFUNCTION("""COMPUTED_VALUE"""),43172.6666666666)</f>
        <v>43172.666666666599</v>
      </c>
      <c r="B805" s="1">
        <f ca="1">IFERROR(__xludf.DUMMYFUNCTION("""COMPUTED_VALUE"""),58.59)</f>
        <v>58.59</v>
      </c>
      <c r="C805" s="1">
        <f ca="1">IFERROR(__xludf.DUMMYFUNCTION("""COMPUTED_VALUE"""),58.9)</f>
        <v>58.9</v>
      </c>
      <c r="D805" s="1">
        <f ca="1">IFERROR(__xludf.DUMMYFUNCTION("""COMPUTED_VALUE"""),56.73)</f>
        <v>56.73</v>
      </c>
      <c r="E805" s="1">
        <f ca="1">IFERROR(__xludf.DUMMYFUNCTION("""COMPUTED_VALUE"""),57)</f>
        <v>57</v>
      </c>
      <c r="F805" s="1">
        <f ca="1">IFERROR(__xludf.DUMMYFUNCTION("""COMPUTED_VALUE"""),2156999)</f>
        <v>2156999</v>
      </c>
    </row>
    <row r="806" spans="1:6" x14ac:dyDescent="0.35">
      <c r="A806" s="2">
        <f ca="1">IFERROR(__xludf.DUMMYFUNCTION("""COMPUTED_VALUE"""),43173.6666666666)</f>
        <v>43173.666666666599</v>
      </c>
      <c r="B806" s="1">
        <f ca="1">IFERROR(__xludf.DUMMYFUNCTION("""COMPUTED_VALUE"""),57.29)</f>
        <v>57.29</v>
      </c>
      <c r="C806" s="1">
        <f ca="1">IFERROR(__xludf.DUMMYFUNCTION("""COMPUTED_VALUE"""),57.99)</f>
        <v>57.99</v>
      </c>
      <c r="D806" s="1">
        <f ca="1">IFERROR(__xludf.DUMMYFUNCTION("""COMPUTED_VALUE"""),57.12)</f>
        <v>57.12</v>
      </c>
      <c r="E806" s="1">
        <f ca="1">IFERROR(__xludf.DUMMYFUNCTION("""COMPUTED_VALUE"""),57.44)</f>
        <v>57.44</v>
      </c>
      <c r="F806" s="1">
        <f ca="1">IFERROR(__xludf.DUMMYFUNCTION("""COMPUTED_VALUE"""),2093482)</f>
        <v>2093482</v>
      </c>
    </row>
    <row r="807" spans="1:6" x14ac:dyDescent="0.35">
      <c r="A807" s="2">
        <f ca="1">IFERROR(__xludf.DUMMYFUNCTION("""COMPUTED_VALUE"""),43174.6666666666)</f>
        <v>43174.666666666599</v>
      </c>
      <c r="B807" s="1">
        <f ca="1">IFERROR(__xludf.DUMMYFUNCTION("""COMPUTED_VALUE"""),57.48)</f>
        <v>57.48</v>
      </c>
      <c r="C807" s="1">
        <f ca="1">IFERROR(__xludf.DUMMYFUNCTION("""COMPUTED_VALUE"""),58.13)</f>
        <v>58.13</v>
      </c>
      <c r="D807" s="1">
        <f ca="1">IFERROR(__xludf.DUMMYFUNCTION("""COMPUTED_VALUE"""),56.78)</f>
        <v>56.78</v>
      </c>
      <c r="E807" s="1">
        <f ca="1">IFERROR(__xludf.DUMMYFUNCTION("""COMPUTED_VALUE"""),57.53)</f>
        <v>57.53</v>
      </c>
      <c r="F807" s="1">
        <f ca="1">IFERROR(__xludf.DUMMYFUNCTION("""COMPUTED_VALUE"""),1669094)</f>
        <v>1669094</v>
      </c>
    </row>
    <row r="808" spans="1:6" x14ac:dyDescent="0.35">
      <c r="A808" s="2">
        <f ca="1">IFERROR(__xludf.DUMMYFUNCTION("""COMPUTED_VALUE"""),43175.6666666666)</f>
        <v>43175.666666666599</v>
      </c>
      <c r="B808" s="1">
        <f ca="1">IFERROR(__xludf.DUMMYFUNCTION("""COMPUTED_VALUE"""),57.77)</f>
        <v>57.77</v>
      </c>
      <c r="C808" s="1">
        <f ca="1">IFERROR(__xludf.DUMMYFUNCTION("""COMPUTED_VALUE"""),57.84)</f>
        <v>57.84</v>
      </c>
      <c r="D808" s="1">
        <f ca="1">IFERROR(__xludf.DUMMYFUNCTION("""COMPUTED_VALUE"""),56.57)</f>
        <v>56.57</v>
      </c>
      <c r="E808" s="1">
        <f ca="1">IFERROR(__xludf.DUMMYFUNCTION("""COMPUTED_VALUE"""),56.72)</f>
        <v>56.72</v>
      </c>
      <c r="F808" s="1">
        <f ca="1">IFERROR(__xludf.DUMMYFUNCTION("""COMPUTED_VALUE"""),2932759)</f>
        <v>2932759</v>
      </c>
    </row>
    <row r="809" spans="1:6" x14ac:dyDescent="0.35">
      <c r="A809" s="2">
        <f ca="1">IFERROR(__xludf.DUMMYFUNCTION("""COMPUTED_VALUE"""),43178.6666666666)</f>
        <v>43178.666666666599</v>
      </c>
      <c r="B809" s="1">
        <f ca="1">IFERROR(__xludf.DUMMYFUNCTION("""COMPUTED_VALUE"""),55.89)</f>
        <v>55.89</v>
      </c>
      <c r="C809" s="1">
        <f ca="1">IFERROR(__xludf.DUMMYFUNCTION("""COMPUTED_VALUE"""),55.97)</f>
        <v>55.97</v>
      </c>
      <c r="D809" s="1">
        <f ca="1">IFERROR(__xludf.DUMMYFUNCTION("""COMPUTED_VALUE"""),54.45)</f>
        <v>54.45</v>
      </c>
      <c r="E809" s="1">
        <f ca="1">IFERROR(__xludf.DUMMYFUNCTION("""COMPUTED_VALUE"""),55)</f>
        <v>55</v>
      </c>
      <c r="F809" s="1">
        <f ca="1">IFERROR(__xludf.DUMMYFUNCTION("""COMPUTED_VALUE"""),3182796)</f>
        <v>3182796</v>
      </c>
    </row>
    <row r="810" spans="1:6" x14ac:dyDescent="0.35">
      <c r="A810" s="2">
        <f ca="1">IFERROR(__xludf.DUMMYFUNCTION("""COMPUTED_VALUE"""),43179.6666666666)</f>
        <v>43179.666666666599</v>
      </c>
      <c r="B810" s="1">
        <f ca="1">IFERROR(__xludf.DUMMYFUNCTION("""COMPUTED_VALUE"""),54.92)</f>
        <v>54.92</v>
      </c>
      <c r="C810" s="1">
        <f ca="1">IFERROR(__xludf.DUMMYFUNCTION("""COMPUTED_VALUE"""),55.28)</f>
        <v>55.28</v>
      </c>
      <c r="D810" s="1">
        <f ca="1">IFERROR(__xludf.DUMMYFUNCTION("""COMPUTED_VALUE"""),54.12)</f>
        <v>54.12</v>
      </c>
      <c r="E810" s="1">
        <f ca="1">IFERROR(__xludf.DUMMYFUNCTION("""COMPUTED_VALUE"""),54.79)</f>
        <v>54.79</v>
      </c>
      <c r="F810" s="1">
        <f ca="1">IFERROR(__xludf.DUMMYFUNCTION("""COMPUTED_VALUE"""),2729857)</f>
        <v>2729857</v>
      </c>
    </row>
    <row r="811" spans="1:6" x14ac:dyDescent="0.35">
      <c r="A811" s="2">
        <f ca="1">IFERROR(__xludf.DUMMYFUNCTION("""COMPUTED_VALUE"""),43180.6666666666)</f>
        <v>43180.666666666599</v>
      </c>
      <c r="B811" s="1">
        <f ca="1">IFERROR(__xludf.DUMMYFUNCTION("""COMPUTED_VALUE"""),54.63)</f>
        <v>54.63</v>
      </c>
      <c r="C811" s="1">
        <f ca="1">IFERROR(__xludf.DUMMYFUNCTION("""COMPUTED_VALUE"""),55.44)</f>
        <v>55.44</v>
      </c>
      <c r="D811" s="1">
        <f ca="1">IFERROR(__xludf.DUMMYFUNCTION("""COMPUTED_VALUE"""),54.36)</f>
        <v>54.36</v>
      </c>
      <c r="E811" s="1">
        <f ca="1">IFERROR(__xludf.DUMMYFUNCTION("""COMPUTED_VALUE"""),54.7)</f>
        <v>54.7</v>
      </c>
      <c r="F811" s="1">
        <f ca="1">IFERROR(__xludf.DUMMYFUNCTION("""COMPUTED_VALUE"""),2244865)</f>
        <v>2244865</v>
      </c>
    </row>
    <row r="812" spans="1:6" x14ac:dyDescent="0.35">
      <c r="A812" s="2">
        <f ca="1">IFERROR(__xludf.DUMMYFUNCTION("""COMPUTED_VALUE"""),43181.6666666666)</f>
        <v>43181.666666666599</v>
      </c>
      <c r="B812" s="1">
        <f ca="1">IFERROR(__xludf.DUMMYFUNCTION("""COMPUTED_VALUE"""),54)</f>
        <v>54</v>
      </c>
      <c r="C812" s="1">
        <f ca="1">IFERROR(__xludf.DUMMYFUNCTION("""COMPUTED_VALUE"""),54.2)</f>
        <v>54.2</v>
      </c>
      <c r="D812" s="1">
        <f ca="1">IFERROR(__xludf.DUMMYFUNCTION("""COMPUTED_VALUE"""),52.48)</f>
        <v>52.48</v>
      </c>
      <c r="E812" s="1">
        <f ca="1">IFERROR(__xludf.DUMMYFUNCTION("""COMPUTED_VALUE"""),52.66)</f>
        <v>52.66</v>
      </c>
      <c r="F812" s="1">
        <f ca="1">IFERROR(__xludf.DUMMYFUNCTION("""COMPUTED_VALUE"""),3465608)</f>
        <v>3465608</v>
      </c>
    </row>
    <row r="813" spans="1:6" x14ac:dyDescent="0.35">
      <c r="A813" s="2">
        <f ca="1">IFERROR(__xludf.DUMMYFUNCTION("""COMPUTED_VALUE"""),43182.6666666666)</f>
        <v>43182.666666666599</v>
      </c>
      <c r="B813" s="1">
        <f ca="1">IFERROR(__xludf.DUMMYFUNCTION("""COMPUTED_VALUE"""),52.57)</f>
        <v>52.57</v>
      </c>
      <c r="C813" s="1">
        <f ca="1">IFERROR(__xludf.DUMMYFUNCTION("""COMPUTED_VALUE"""),53.34)</f>
        <v>53.34</v>
      </c>
      <c r="D813" s="1">
        <f ca="1">IFERROR(__xludf.DUMMYFUNCTION("""COMPUTED_VALUE"""),51.24)</f>
        <v>51.24</v>
      </c>
      <c r="E813" s="1">
        <f ca="1">IFERROR(__xludf.DUMMYFUNCTION("""COMPUTED_VALUE"""),51.33)</f>
        <v>51.33</v>
      </c>
      <c r="F813" s="1">
        <f ca="1">IFERROR(__xludf.DUMMYFUNCTION("""COMPUTED_VALUE"""),2493971)</f>
        <v>2493971</v>
      </c>
    </row>
    <row r="814" spans="1:6" x14ac:dyDescent="0.35">
      <c r="A814" s="2">
        <f ca="1">IFERROR(__xludf.DUMMYFUNCTION("""COMPUTED_VALUE"""),43185.6666666666)</f>
        <v>43185.666666666599</v>
      </c>
      <c r="B814" s="1">
        <f ca="1">IFERROR(__xludf.DUMMYFUNCTION("""COMPUTED_VALUE"""),52.53)</f>
        <v>52.53</v>
      </c>
      <c r="C814" s="1">
        <f ca="1">IFERROR(__xludf.DUMMYFUNCTION("""COMPUTED_VALUE"""),52.96)</f>
        <v>52.96</v>
      </c>
      <c r="D814" s="1">
        <f ca="1">IFERROR(__xludf.DUMMYFUNCTION("""COMPUTED_VALUE"""),50.53)</f>
        <v>50.53</v>
      </c>
      <c r="E814" s="1">
        <f ca="1">IFERROR(__xludf.DUMMYFUNCTION("""COMPUTED_VALUE"""),52.7)</f>
        <v>52.7</v>
      </c>
      <c r="F814" s="1">
        <f ca="1">IFERROR(__xludf.DUMMYFUNCTION("""COMPUTED_VALUE"""),3299151)</f>
        <v>3299151</v>
      </c>
    </row>
    <row r="815" spans="1:6" x14ac:dyDescent="0.35">
      <c r="A815" s="2">
        <f ca="1">IFERROR(__xludf.DUMMYFUNCTION("""COMPUTED_VALUE"""),43186.6666666666)</f>
        <v>43186.666666666599</v>
      </c>
      <c r="B815" s="1">
        <f ca="1">IFERROR(__xludf.DUMMYFUNCTION("""COMPUTED_VALUE"""),53.2)</f>
        <v>53.2</v>
      </c>
      <c r="C815" s="1">
        <f ca="1">IFERROR(__xludf.DUMMYFUNCTION("""COMPUTED_VALUE"""),53.23)</f>
        <v>53.23</v>
      </c>
      <c r="D815" s="1">
        <f ca="1">IFERROR(__xludf.DUMMYFUNCTION("""COMPUTED_VALUE"""),49.88)</f>
        <v>49.88</v>
      </c>
      <c r="E815" s="1">
        <f ca="1">IFERROR(__xludf.DUMMYFUNCTION("""COMPUTED_VALUE"""),50.35)</f>
        <v>50.35</v>
      </c>
      <c r="F815" s="1">
        <f ca="1">IFERROR(__xludf.DUMMYFUNCTION("""COMPUTED_VALUE"""),3040809)</f>
        <v>3040809</v>
      </c>
    </row>
    <row r="816" spans="1:6" x14ac:dyDescent="0.35">
      <c r="A816" s="2">
        <f ca="1">IFERROR(__xludf.DUMMYFUNCTION("""COMPUTED_VALUE"""),43187.6666666666)</f>
        <v>43187.666666666599</v>
      </c>
      <c r="B816" s="1">
        <f ca="1">IFERROR(__xludf.DUMMYFUNCTION("""COMPUTED_VALUE"""),50.1)</f>
        <v>50.1</v>
      </c>
      <c r="C816" s="1">
        <f ca="1">IFERROR(__xludf.DUMMYFUNCTION("""COMPUTED_VALUE"""),51.25)</f>
        <v>51.25</v>
      </c>
      <c r="D816" s="1">
        <f ca="1">IFERROR(__xludf.DUMMYFUNCTION("""COMPUTED_VALUE"""),49.2)</f>
        <v>49.2</v>
      </c>
      <c r="E816" s="1">
        <f ca="1">IFERROR(__xludf.DUMMYFUNCTION("""COMPUTED_VALUE"""),50.26)</f>
        <v>50.26</v>
      </c>
      <c r="F816" s="1">
        <f ca="1">IFERROR(__xludf.DUMMYFUNCTION("""COMPUTED_VALUE"""),3884943)</f>
        <v>3884943</v>
      </c>
    </row>
    <row r="817" spans="1:6" x14ac:dyDescent="0.35">
      <c r="A817" s="2">
        <f ca="1">IFERROR(__xludf.DUMMYFUNCTION("""COMPUTED_VALUE"""),43188.6666666666)</f>
        <v>43188.666666666599</v>
      </c>
      <c r="B817" s="1">
        <f ca="1">IFERROR(__xludf.DUMMYFUNCTION("""COMPUTED_VALUE"""),50.56)</f>
        <v>50.56</v>
      </c>
      <c r="C817" s="1">
        <f ca="1">IFERROR(__xludf.DUMMYFUNCTION("""COMPUTED_VALUE"""),52.4)</f>
        <v>52.4</v>
      </c>
      <c r="D817" s="1">
        <f ca="1">IFERROR(__xludf.DUMMYFUNCTION("""COMPUTED_VALUE"""),50.2)</f>
        <v>50.2</v>
      </c>
      <c r="E817" s="1">
        <f ca="1">IFERROR(__xludf.DUMMYFUNCTION("""COMPUTED_VALUE"""),51.86)</f>
        <v>51.86</v>
      </c>
      <c r="F817" s="1">
        <f ca="1">IFERROR(__xludf.DUMMYFUNCTION("""COMPUTED_VALUE"""),3466876)</f>
        <v>3466876</v>
      </c>
    </row>
    <row r="818" spans="1:6" x14ac:dyDescent="0.35">
      <c r="A818" s="2">
        <f ca="1">IFERROR(__xludf.DUMMYFUNCTION("""COMPUTED_VALUE"""),43192.6666666666)</f>
        <v>43192.666666666599</v>
      </c>
      <c r="B818" s="1">
        <f ca="1">IFERROR(__xludf.DUMMYFUNCTION("""COMPUTED_VALUE"""),51.38)</f>
        <v>51.38</v>
      </c>
      <c r="C818" s="1">
        <f ca="1">IFERROR(__xludf.DUMMYFUNCTION("""COMPUTED_VALUE"""),51.98)</f>
        <v>51.98</v>
      </c>
      <c r="D818" s="1">
        <f ca="1">IFERROR(__xludf.DUMMYFUNCTION("""COMPUTED_VALUE"""),49.71)</f>
        <v>49.71</v>
      </c>
      <c r="E818" s="1">
        <f ca="1">IFERROR(__xludf.DUMMYFUNCTION("""COMPUTED_VALUE"""),50.63)</f>
        <v>50.63</v>
      </c>
      <c r="F818" s="1">
        <f ca="1">IFERROR(__xludf.DUMMYFUNCTION("""COMPUTED_VALUE"""),3253387)</f>
        <v>3253387</v>
      </c>
    </row>
    <row r="819" spans="1:6" x14ac:dyDescent="0.35">
      <c r="A819" s="2">
        <f ca="1">IFERROR(__xludf.DUMMYFUNCTION("""COMPUTED_VALUE"""),43193.6666666666)</f>
        <v>43193.666666666599</v>
      </c>
      <c r="B819" s="1">
        <f ca="1">IFERROR(__xludf.DUMMYFUNCTION("""COMPUTED_VALUE"""),50.81)</f>
        <v>50.81</v>
      </c>
      <c r="C819" s="1">
        <f ca="1">IFERROR(__xludf.DUMMYFUNCTION("""COMPUTED_VALUE"""),51.25)</f>
        <v>51.25</v>
      </c>
      <c r="D819" s="1">
        <f ca="1">IFERROR(__xludf.DUMMYFUNCTION("""COMPUTED_VALUE"""),49.86)</f>
        <v>49.86</v>
      </c>
      <c r="E819" s="1">
        <f ca="1">IFERROR(__xludf.DUMMYFUNCTION("""COMPUTED_VALUE"""),50.93)</f>
        <v>50.93</v>
      </c>
      <c r="F819" s="1">
        <f ca="1">IFERROR(__xludf.DUMMYFUNCTION("""COMPUTED_VALUE"""),2566146)</f>
        <v>2566146</v>
      </c>
    </row>
    <row r="820" spans="1:6" x14ac:dyDescent="0.35">
      <c r="A820" s="2">
        <f ca="1">IFERROR(__xludf.DUMMYFUNCTION("""COMPUTED_VALUE"""),43194.6666666666)</f>
        <v>43194.666666666599</v>
      </c>
      <c r="B820" s="1">
        <f ca="1">IFERROR(__xludf.DUMMYFUNCTION("""COMPUTED_VALUE"""),49.91)</f>
        <v>49.91</v>
      </c>
      <c r="C820" s="1">
        <f ca="1">IFERROR(__xludf.DUMMYFUNCTION("""COMPUTED_VALUE"""),51.64)</f>
        <v>51.64</v>
      </c>
      <c r="D820" s="1">
        <f ca="1">IFERROR(__xludf.DUMMYFUNCTION("""COMPUTED_VALUE"""),49.83)</f>
        <v>49.83</v>
      </c>
      <c r="E820" s="1">
        <f ca="1">IFERROR(__xludf.DUMMYFUNCTION("""COMPUTED_VALUE"""),51.49)</f>
        <v>51.49</v>
      </c>
      <c r="F820" s="1">
        <f ca="1">IFERROR(__xludf.DUMMYFUNCTION("""COMPUTED_VALUE"""),2536198)</f>
        <v>2536198</v>
      </c>
    </row>
    <row r="821" spans="1:6" x14ac:dyDescent="0.35">
      <c r="A821" s="2">
        <f ca="1">IFERROR(__xludf.DUMMYFUNCTION("""COMPUTED_VALUE"""),43195.6666666666)</f>
        <v>43195.666666666599</v>
      </c>
      <c r="B821" s="1">
        <f ca="1">IFERROR(__xludf.DUMMYFUNCTION("""COMPUTED_VALUE"""),52.32)</f>
        <v>52.32</v>
      </c>
      <c r="C821" s="1">
        <f ca="1">IFERROR(__xludf.DUMMYFUNCTION("""COMPUTED_VALUE"""),52.34)</f>
        <v>52.34</v>
      </c>
      <c r="D821" s="1">
        <f ca="1">IFERROR(__xludf.DUMMYFUNCTION("""COMPUTED_VALUE"""),51.2)</f>
        <v>51.2</v>
      </c>
      <c r="E821" s="1">
        <f ca="1">IFERROR(__xludf.DUMMYFUNCTION("""COMPUTED_VALUE"""),51.63)</f>
        <v>51.63</v>
      </c>
      <c r="F821" s="1">
        <f ca="1">IFERROR(__xludf.DUMMYFUNCTION("""COMPUTED_VALUE"""),1791761)</f>
        <v>1791761</v>
      </c>
    </row>
    <row r="822" spans="1:6" x14ac:dyDescent="0.35">
      <c r="A822" s="2">
        <f ca="1">IFERROR(__xludf.DUMMYFUNCTION("""COMPUTED_VALUE"""),43196.6666666666)</f>
        <v>43196.666666666599</v>
      </c>
      <c r="B822" s="1">
        <f ca="1">IFERROR(__xludf.DUMMYFUNCTION("""COMPUTED_VALUE"""),51.16)</f>
        <v>51.16</v>
      </c>
      <c r="C822" s="1">
        <f ca="1">IFERROR(__xludf.DUMMYFUNCTION("""COMPUTED_VALUE"""),51.8)</f>
        <v>51.8</v>
      </c>
      <c r="D822" s="1">
        <f ca="1">IFERROR(__xludf.DUMMYFUNCTION("""COMPUTED_VALUE"""),50.31)</f>
        <v>50.31</v>
      </c>
      <c r="E822" s="1">
        <f ca="1">IFERROR(__xludf.DUMMYFUNCTION("""COMPUTED_VALUE"""),50.5)</f>
        <v>50.5</v>
      </c>
      <c r="F822" s="1">
        <f ca="1">IFERROR(__xludf.DUMMYFUNCTION("""COMPUTED_VALUE"""),2006683)</f>
        <v>2006683</v>
      </c>
    </row>
    <row r="823" spans="1:6" x14ac:dyDescent="0.35">
      <c r="A823" s="2">
        <f ca="1">IFERROR(__xludf.DUMMYFUNCTION("""COMPUTED_VALUE"""),43199.6666666666)</f>
        <v>43199.666666666599</v>
      </c>
      <c r="B823" s="1">
        <f ca="1">IFERROR(__xludf.DUMMYFUNCTION("""COMPUTED_VALUE"""),51)</f>
        <v>51</v>
      </c>
      <c r="C823" s="1">
        <f ca="1">IFERROR(__xludf.DUMMYFUNCTION("""COMPUTED_VALUE"""),52.23)</f>
        <v>52.23</v>
      </c>
      <c r="D823" s="1">
        <f ca="1">IFERROR(__xludf.DUMMYFUNCTION("""COMPUTED_VALUE"""),50.96)</f>
        <v>50.96</v>
      </c>
      <c r="E823" s="1">
        <f ca="1">IFERROR(__xludf.DUMMYFUNCTION("""COMPUTED_VALUE"""),51)</f>
        <v>51</v>
      </c>
      <c r="F823" s="1">
        <f ca="1">IFERROR(__xludf.DUMMYFUNCTION("""COMPUTED_VALUE"""),1661012)</f>
        <v>1661012</v>
      </c>
    </row>
    <row r="824" spans="1:6" x14ac:dyDescent="0.35">
      <c r="A824" s="2">
        <f ca="1">IFERROR(__xludf.DUMMYFUNCTION("""COMPUTED_VALUE"""),43200.6666666666)</f>
        <v>43200.666666666599</v>
      </c>
      <c r="B824" s="1">
        <f ca="1">IFERROR(__xludf.DUMMYFUNCTION("""COMPUTED_VALUE"""),51.51)</f>
        <v>51.51</v>
      </c>
      <c r="C824" s="1">
        <f ca="1">IFERROR(__xludf.DUMMYFUNCTION("""COMPUTED_VALUE"""),52.06)</f>
        <v>52.06</v>
      </c>
      <c r="D824" s="1">
        <f ca="1">IFERROR(__xludf.DUMMYFUNCTION("""COMPUTED_VALUE"""),50.77)</f>
        <v>50.77</v>
      </c>
      <c r="E824" s="1">
        <f ca="1">IFERROR(__xludf.DUMMYFUNCTION("""COMPUTED_VALUE"""),51.83)</f>
        <v>51.83</v>
      </c>
      <c r="F824" s="1">
        <f ca="1">IFERROR(__xludf.DUMMYFUNCTION("""COMPUTED_VALUE"""),1836678)</f>
        <v>1836678</v>
      </c>
    </row>
    <row r="825" spans="1:6" x14ac:dyDescent="0.35">
      <c r="A825" s="2">
        <f ca="1">IFERROR(__xludf.DUMMYFUNCTION("""COMPUTED_VALUE"""),43201.6666666666)</f>
        <v>43201.666666666599</v>
      </c>
      <c r="B825" s="1">
        <f ca="1">IFERROR(__xludf.DUMMYFUNCTION("""COMPUTED_VALUE"""),51.6)</f>
        <v>51.6</v>
      </c>
      <c r="C825" s="1">
        <f ca="1">IFERROR(__xludf.DUMMYFUNCTION("""COMPUTED_VALUE"""),51.79)</f>
        <v>51.79</v>
      </c>
      <c r="D825" s="1">
        <f ca="1">IFERROR(__xludf.DUMMYFUNCTION("""COMPUTED_VALUE"""),50.96)</f>
        <v>50.96</v>
      </c>
      <c r="E825" s="1">
        <f ca="1">IFERROR(__xludf.DUMMYFUNCTION("""COMPUTED_VALUE"""),51.25)</f>
        <v>51.25</v>
      </c>
      <c r="F825" s="1">
        <f ca="1">IFERROR(__xludf.DUMMYFUNCTION("""COMPUTED_VALUE"""),1703015)</f>
        <v>1703015</v>
      </c>
    </row>
    <row r="826" spans="1:6" x14ac:dyDescent="0.35">
      <c r="A826" s="2">
        <f ca="1">IFERROR(__xludf.DUMMYFUNCTION("""COMPUTED_VALUE"""),43202.6666666666)</f>
        <v>43202.666666666599</v>
      </c>
      <c r="B826" s="1">
        <f ca="1">IFERROR(__xludf.DUMMYFUNCTION("""COMPUTED_VALUE"""),51.57)</f>
        <v>51.57</v>
      </c>
      <c r="C826" s="1">
        <f ca="1">IFERROR(__xludf.DUMMYFUNCTION("""COMPUTED_VALUE"""),52.23)</f>
        <v>52.23</v>
      </c>
      <c r="D826" s="1">
        <f ca="1">IFERROR(__xludf.DUMMYFUNCTION("""COMPUTED_VALUE"""),51.3)</f>
        <v>51.3</v>
      </c>
      <c r="E826" s="1">
        <f ca="1">IFERROR(__xludf.DUMMYFUNCTION("""COMPUTED_VALUE"""),51.86)</f>
        <v>51.86</v>
      </c>
      <c r="F826" s="1">
        <f ca="1">IFERROR(__xludf.DUMMYFUNCTION("""COMPUTED_VALUE"""),1644794)</f>
        <v>1644794</v>
      </c>
    </row>
    <row r="827" spans="1:6" x14ac:dyDescent="0.35">
      <c r="A827" s="2">
        <f ca="1">IFERROR(__xludf.DUMMYFUNCTION("""COMPUTED_VALUE"""),43203.6666666666)</f>
        <v>43203.666666666599</v>
      </c>
      <c r="B827" s="1">
        <f ca="1">IFERROR(__xludf.DUMMYFUNCTION("""COMPUTED_VALUE"""),52.34)</f>
        <v>52.34</v>
      </c>
      <c r="C827" s="1">
        <f ca="1">IFERROR(__xludf.DUMMYFUNCTION("""COMPUTED_VALUE"""),52.65)</f>
        <v>52.65</v>
      </c>
      <c r="D827" s="1">
        <f ca="1">IFERROR(__xludf.DUMMYFUNCTION("""COMPUTED_VALUE"""),51.51)</f>
        <v>51.51</v>
      </c>
      <c r="E827" s="1">
        <f ca="1">IFERROR(__xludf.DUMMYFUNCTION("""COMPUTED_VALUE"""),51.8)</f>
        <v>51.8</v>
      </c>
      <c r="F827" s="1">
        <f ca="1">IFERROR(__xludf.DUMMYFUNCTION("""COMPUTED_VALUE"""),1270461)</f>
        <v>1270461</v>
      </c>
    </row>
    <row r="828" spans="1:6" x14ac:dyDescent="0.35">
      <c r="A828" s="2">
        <f ca="1">IFERROR(__xludf.DUMMYFUNCTION("""COMPUTED_VALUE"""),43206.6666666666)</f>
        <v>43206.666666666599</v>
      </c>
      <c r="B828" s="1">
        <f ca="1">IFERROR(__xludf.DUMMYFUNCTION("""COMPUTED_VALUE"""),52.28)</f>
        <v>52.28</v>
      </c>
      <c r="C828" s="1">
        <f ca="1">IFERROR(__xludf.DUMMYFUNCTION("""COMPUTED_VALUE"""),52.57)</f>
        <v>52.57</v>
      </c>
      <c r="D828" s="1">
        <f ca="1">IFERROR(__xludf.DUMMYFUNCTION("""COMPUTED_VALUE"""),51.7)</f>
        <v>51.7</v>
      </c>
      <c r="E828" s="1">
        <f ca="1">IFERROR(__xludf.DUMMYFUNCTION("""COMPUTED_VALUE"""),52.31)</f>
        <v>52.31</v>
      </c>
      <c r="F828" s="1">
        <f ca="1">IFERROR(__xludf.DUMMYFUNCTION("""COMPUTED_VALUE"""),1488822)</f>
        <v>1488822</v>
      </c>
    </row>
    <row r="829" spans="1:6" x14ac:dyDescent="0.35">
      <c r="A829" s="2">
        <f ca="1">IFERROR(__xludf.DUMMYFUNCTION("""COMPUTED_VALUE"""),43207.6666666666)</f>
        <v>43207.666666666599</v>
      </c>
      <c r="B829" s="1">
        <f ca="1">IFERROR(__xludf.DUMMYFUNCTION("""COMPUTED_VALUE"""),53.06)</f>
        <v>53.06</v>
      </c>
      <c r="C829" s="1">
        <f ca="1">IFERROR(__xludf.DUMMYFUNCTION("""COMPUTED_VALUE"""),54.25)</f>
        <v>54.25</v>
      </c>
      <c r="D829" s="1">
        <f ca="1">IFERROR(__xludf.DUMMYFUNCTION("""COMPUTED_VALUE"""),52.85)</f>
        <v>52.85</v>
      </c>
      <c r="E829" s="1">
        <f ca="1">IFERROR(__xludf.DUMMYFUNCTION("""COMPUTED_VALUE"""),53.97)</f>
        <v>53.97</v>
      </c>
      <c r="F829" s="1">
        <f ca="1">IFERROR(__xludf.DUMMYFUNCTION("""COMPUTED_VALUE"""),2729197)</f>
        <v>2729197</v>
      </c>
    </row>
    <row r="830" spans="1:6" x14ac:dyDescent="0.35">
      <c r="A830" s="2">
        <f ca="1">IFERROR(__xludf.DUMMYFUNCTION("""COMPUTED_VALUE"""),43208.6666666666)</f>
        <v>43208.666666666599</v>
      </c>
      <c r="B830" s="1">
        <f ca="1">IFERROR(__xludf.DUMMYFUNCTION("""COMPUTED_VALUE"""),53.95)</f>
        <v>53.95</v>
      </c>
      <c r="C830" s="1">
        <f ca="1">IFERROR(__xludf.DUMMYFUNCTION("""COMPUTED_VALUE"""),54.1)</f>
        <v>54.1</v>
      </c>
      <c r="D830" s="1">
        <f ca="1">IFERROR(__xludf.DUMMYFUNCTION("""COMPUTED_VALUE"""),53.53)</f>
        <v>53.53</v>
      </c>
      <c r="E830" s="1">
        <f ca="1">IFERROR(__xludf.DUMMYFUNCTION("""COMPUTED_VALUE"""),53.77)</f>
        <v>53.77</v>
      </c>
      <c r="F830" s="1">
        <f ca="1">IFERROR(__xludf.DUMMYFUNCTION("""COMPUTED_VALUE"""),1556298)</f>
        <v>1556298</v>
      </c>
    </row>
    <row r="831" spans="1:6" x14ac:dyDescent="0.35">
      <c r="A831" s="2">
        <f ca="1">IFERROR(__xludf.DUMMYFUNCTION("""COMPUTED_VALUE"""),43209.6666666666)</f>
        <v>43209.666666666599</v>
      </c>
      <c r="B831" s="1">
        <f ca="1">IFERROR(__xludf.DUMMYFUNCTION("""COMPUTED_VALUE"""),53.45)</f>
        <v>53.45</v>
      </c>
      <c r="C831" s="1">
        <f ca="1">IFERROR(__xludf.DUMMYFUNCTION("""COMPUTED_VALUE"""),54.88)</f>
        <v>54.88</v>
      </c>
      <c r="D831" s="1">
        <f ca="1">IFERROR(__xludf.DUMMYFUNCTION("""COMPUTED_VALUE"""),53.45)</f>
        <v>53.45</v>
      </c>
      <c r="E831" s="1">
        <f ca="1">IFERROR(__xludf.DUMMYFUNCTION("""COMPUTED_VALUE"""),54.47)</f>
        <v>54.47</v>
      </c>
      <c r="F831" s="1">
        <f ca="1">IFERROR(__xludf.DUMMYFUNCTION("""COMPUTED_VALUE"""),1994247)</f>
        <v>1994247</v>
      </c>
    </row>
    <row r="832" spans="1:6" x14ac:dyDescent="0.35">
      <c r="A832" s="2">
        <f ca="1">IFERROR(__xludf.DUMMYFUNCTION("""COMPUTED_VALUE"""),43210.6666666666)</f>
        <v>43210.666666666599</v>
      </c>
      <c r="B832" s="1">
        <f ca="1">IFERROR(__xludf.DUMMYFUNCTION("""COMPUTED_VALUE"""),54.21)</f>
        <v>54.21</v>
      </c>
      <c r="C832" s="1">
        <f ca="1">IFERROR(__xludf.DUMMYFUNCTION("""COMPUTED_VALUE"""),54.74)</f>
        <v>54.74</v>
      </c>
      <c r="D832" s="1">
        <f ca="1">IFERROR(__xludf.DUMMYFUNCTION("""COMPUTED_VALUE"""),53.61)</f>
        <v>53.61</v>
      </c>
      <c r="E832" s="1">
        <f ca="1">IFERROR(__xludf.DUMMYFUNCTION("""COMPUTED_VALUE"""),53.87)</f>
        <v>53.87</v>
      </c>
      <c r="F832" s="1">
        <f ca="1">IFERROR(__xludf.DUMMYFUNCTION("""COMPUTED_VALUE"""),2121692)</f>
        <v>2121692</v>
      </c>
    </row>
    <row r="833" spans="1:6" x14ac:dyDescent="0.35">
      <c r="A833" s="2">
        <f ca="1">IFERROR(__xludf.DUMMYFUNCTION("""COMPUTED_VALUE"""),43213.6666666666)</f>
        <v>43213.666666666599</v>
      </c>
      <c r="B833" s="1">
        <f ca="1">IFERROR(__xludf.DUMMYFUNCTION("""COMPUTED_VALUE"""),54.15)</f>
        <v>54.15</v>
      </c>
      <c r="C833" s="1">
        <f ca="1">IFERROR(__xludf.DUMMYFUNCTION("""COMPUTED_VALUE"""),54.4)</f>
        <v>54.4</v>
      </c>
      <c r="D833" s="1">
        <f ca="1">IFERROR(__xludf.DUMMYFUNCTION("""COMPUTED_VALUE"""),53.33)</f>
        <v>53.33</v>
      </c>
      <c r="E833" s="1">
        <f ca="1">IFERROR(__xludf.DUMMYFUNCTION("""COMPUTED_VALUE"""),53.69)</f>
        <v>53.69</v>
      </c>
      <c r="F833" s="1">
        <f ca="1">IFERROR(__xludf.DUMMYFUNCTION("""COMPUTED_VALUE"""),3479496)</f>
        <v>3479496</v>
      </c>
    </row>
    <row r="834" spans="1:6" x14ac:dyDescent="0.35">
      <c r="A834" s="2">
        <f ca="1">IFERROR(__xludf.DUMMYFUNCTION("""COMPUTED_VALUE"""),43214.6666666666)</f>
        <v>43214.666666666599</v>
      </c>
      <c r="B834" s="1">
        <f ca="1">IFERROR(__xludf.DUMMYFUNCTION("""COMPUTED_VALUE"""),52.96)</f>
        <v>52.96</v>
      </c>
      <c r="C834" s="1">
        <f ca="1">IFERROR(__xludf.DUMMYFUNCTION("""COMPUTED_VALUE"""),53.22)</f>
        <v>53.22</v>
      </c>
      <c r="D834" s="1">
        <f ca="1">IFERROR(__xludf.DUMMYFUNCTION("""COMPUTED_VALUE"""),50.64)</f>
        <v>50.64</v>
      </c>
      <c r="E834" s="1">
        <f ca="1">IFERROR(__xludf.DUMMYFUNCTION("""COMPUTED_VALUE"""),51.13)</f>
        <v>51.13</v>
      </c>
      <c r="F834" s="1">
        <f ca="1">IFERROR(__xludf.DUMMYFUNCTION("""COMPUTED_VALUE"""),6411038)</f>
        <v>6411038</v>
      </c>
    </row>
    <row r="835" spans="1:6" x14ac:dyDescent="0.35">
      <c r="A835" s="2">
        <f ca="1">IFERROR(__xludf.DUMMYFUNCTION("""COMPUTED_VALUE"""),43215.6666666666)</f>
        <v>43215.666666666599</v>
      </c>
      <c r="B835" s="1">
        <f ca="1">IFERROR(__xludf.DUMMYFUNCTION("""COMPUTED_VALUE"""),51.49)</f>
        <v>51.49</v>
      </c>
      <c r="C835" s="1">
        <f ca="1">IFERROR(__xludf.DUMMYFUNCTION("""COMPUTED_VALUE"""),51.8)</f>
        <v>51.8</v>
      </c>
      <c r="D835" s="1">
        <f ca="1">IFERROR(__xludf.DUMMYFUNCTION("""COMPUTED_VALUE"""),50.85)</f>
        <v>50.85</v>
      </c>
      <c r="E835" s="1">
        <f ca="1">IFERROR(__xludf.DUMMYFUNCTION("""COMPUTED_VALUE"""),51.15)</f>
        <v>51.15</v>
      </c>
      <c r="F835" s="1">
        <f ca="1">IFERROR(__xludf.DUMMYFUNCTION("""COMPUTED_VALUE"""),2893047)</f>
        <v>2893047</v>
      </c>
    </row>
    <row r="836" spans="1:6" x14ac:dyDescent="0.35">
      <c r="A836" s="2">
        <f ca="1">IFERROR(__xludf.DUMMYFUNCTION("""COMPUTED_VALUE"""),43216.6666666666)</f>
        <v>43216.666666666599</v>
      </c>
      <c r="B836" s="1">
        <f ca="1">IFERROR(__xludf.DUMMYFUNCTION("""COMPUTED_VALUE"""),51.66)</f>
        <v>51.66</v>
      </c>
      <c r="C836" s="1">
        <f ca="1">IFERROR(__xludf.DUMMYFUNCTION("""COMPUTED_VALUE"""),52.6)</f>
        <v>52.6</v>
      </c>
      <c r="D836" s="1">
        <f ca="1">IFERROR(__xludf.DUMMYFUNCTION("""COMPUTED_VALUE"""),51.02)</f>
        <v>51.02</v>
      </c>
      <c r="E836" s="1">
        <f ca="1">IFERROR(__xludf.DUMMYFUNCTION("""COMPUTED_VALUE"""),52.17)</f>
        <v>52.17</v>
      </c>
      <c r="F836" s="1">
        <f ca="1">IFERROR(__xludf.DUMMYFUNCTION("""COMPUTED_VALUE"""),2546332)</f>
        <v>2546332</v>
      </c>
    </row>
    <row r="837" spans="1:6" x14ac:dyDescent="0.35">
      <c r="A837" s="2">
        <f ca="1">IFERROR(__xludf.DUMMYFUNCTION("""COMPUTED_VALUE"""),43217.6666666666)</f>
        <v>43217.666666666599</v>
      </c>
      <c r="B837" s="1">
        <f ca="1">IFERROR(__xludf.DUMMYFUNCTION("""COMPUTED_VALUE"""),52.28)</f>
        <v>52.28</v>
      </c>
      <c r="C837" s="1">
        <f ca="1">IFERROR(__xludf.DUMMYFUNCTION("""COMPUTED_VALUE"""),52.58)</f>
        <v>52.58</v>
      </c>
      <c r="D837" s="1">
        <f ca="1">IFERROR(__xludf.DUMMYFUNCTION("""COMPUTED_VALUE"""),51.38)</f>
        <v>51.38</v>
      </c>
      <c r="E837" s="1">
        <f ca="1">IFERROR(__xludf.DUMMYFUNCTION("""COMPUTED_VALUE"""),51.57)</f>
        <v>51.57</v>
      </c>
      <c r="F837" s="1">
        <f ca="1">IFERROR(__xludf.DUMMYFUNCTION("""COMPUTED_VALUE"""),2037263)</f>
        <v>2037263</v>
      </c>
    </row>
    <row r="838" spans="1:6" x14ac:dyDescent="0.35">
      <c r="A838" s="2">
        <f ca="1">IFERROR(__xludf.DUMMYFUNCTION("""COMPUTED_VALUE"""),43220.6666666666)</f>
        <v>43220.666666666599</v>
      </c>
      <c r="B838" s="1">
        <f ca="1">IFERROR(__xludf.DUMMYFUNCTION("""COMPUTED_VALUE"""),51.72)</f>
        <v>51.72</v>
      </c>
      <c r="C838" s="1">
        <f ca="1">IFERROR(__xludf.DUMMYFUNCTION("""COMPUTED_VALUE"""),51.92)</f>
        <v>51.92</v>
      </c>
      <c r="D838" s="1">
        <f ca="1">IFERROR(__xludf.DUMMYFUNCTION("""COMPUTED_VALUE"""),50.92)</f>
        <v>50.92</v>
      </c>
      <c r="E838" s="1">
        <f ca="1">IFERROR(__xludf.DUMMYFUNCTION("""COMPUTED_VALUE"""),50.93)</f>
        <v>50.93</v>
      </c>
      <c r="F838" s="1">
        <f ca="1">IFERROR(__xludf.DUMMYFUNCTION("""COMPUTED_VALUE"""),1724632)</f>
        <v>1724632</v>
      </c>
    </row>
    <row r="839" spans="1:6" x14ac:dyDescent="0.35">
      <c r="A839" s="2">
        <f ca="1">IFERROR(__xludf.DUMMYFUNCTION("""COMPUTED_VALUE"""),43221.6666666666)</f>
        <v>43221.666666666599</v>
      </c>
      <c r="B839" s="1">
        <f ca="1">IFERROR(__xludf.DUMMYFUNCTION("""COMPUTED_VALUE"""),50.82)</f>
        <v>50.82</v>
      </c>
      <c r="C839" s="1">
        <f ca="1">IFERROR(__xludf.DUMMYFUNCTION("""COMPUTED_VALUE"""),52.09)</f>
        <v>52.09</v>
      </c>
      <c r="D839" s="1">
        <f ca="1">IFERROR(__xludf.DUMMYFUNCTION("""COMPUTED_VALUE"""),50.53)</f>
        <v>50.53</v>
      </c>
      <c r="E839" s="1">
        <f ca="1">IFERROR(__xludf.DUMMYFUNCTION("""COMPUTED_VALUE"""),52.04)</f>
        <v>52.04</v>
      </c>
      <c r="F839" s="1">
        <f ca="1">IFERROR(__xludf.DUMMYFUNCTION("""COMPUTED_VALUE"""),1766256)</f>
        <v>1766256</v>
      </c>
    </row>
    <row r="840" spans="1:6" x14ac:dyDescent="0.35">
      <c r="A840" s="2">
        <f ca="1">IFERROR(__xludf.DUMMYFUNCTION("""COMPUTED_VALUE"""),43222.6666666666)</f>
        <v>43222.666666666599</v>
      </c>
      <c r="B840" s="1">
        <f ca="1">IFERROR(__xludf.DUMMYFUNCTION("""COMPUTED_VALUE"""),51.7)</f>
        <v>51.7</v>
      </c>
      <c r="C840" s="1">
        <f ca="1">IFERROR(__xludf.DUMMYFUNCTION("""COMPUTED_VALUE"""),52.2)</f>
        <v>52.2</v>
      </c>
      <c r="D840" s="1">
        <f ca="1">IFERROR(__xludf.DUMMYFUNCTION("""COMPUTED_VALUE"""),51.16)</f>
        <v>51.16</v>
      </c>
      <c r="E840" s="1">
        <f ca="1">IFERROR(__xludf.DUMMYFUNCTION("""COMPUTED_VALUE"""),51.3)</f>
        <v>51.3</v>
      </c>
      <c r="F840" s="1">
        <f ca="1">IFERROR(__xludf.DUMMYFUNCTION("""COMPUTED_VALUE"""),1734872)</f>
        <v>1734872</v>
      </c>
    </row>
    <row r="841" spans="1:6" x14ac:dyDescent="0.35">
      <c r="A841" s="2">
        <f ca="1">IFERROR(__xludf.DUMMYFUNCTION("""COMPUTED_VALUE"""),43223.6666666666)</f>
        <v>43223.666666666599</v>
      </c>
      <c r="B841" s="1">
        <f ca="1">IFERROR(__xludf.DUMMYFUNCTION("""COMPUTED_VALUE"""),51.27)</f>
        <v>51.27</v>
      </c>
      <c r="C841" s="1">
        <f ca="1">IFERROR(__xludf.DUMMYFUNCTION("""COMPUTED_VALUE"""),51.53)</f>
        <v>51.53</v>
      </c>
      <c r="D841" s="1">
        <f ca="1">IFERROR(__xludf.DUMMYFUNCTION("""COMPUTED_VALUE"""),50.39)</f>
        <v>50.39</v>
      </c>
      <c r="E841" s="1">
        <f ca="1">IFERROR(__xludf.DUMMYFUNCTION("""COMPUTED_VALUE"""),51.32)</f>
        <v>51.32</v>
      </c>
      <c r="F841" s="1">
        <f ca="1">IFERROR(__xludf.DUMMYFUNCTION("""COMPUTED_VALUE"""),1964066)</f>
        <v>1964066</v>
      </c>
    </row>
    <row r="842" spans="1:6" x14ac:dyDescent="0.35">
      <c r="A842" s="2">
        <f ca="1">IFERROR(__xludf.DUMMYFUNCTION("""COMPUTED_VALUE"""),43224.6666666666)</f>
        <v>43224.666666666599</v>
      </c>
      <c r="B842" s="1">
        <f ca="1">IFERROR(__xludf.DUMMYFUNCTION("""COMPUTED_VALUE"""),50.98)</f>
        <v>50.98</v>
      </c>
      <c r="C842" s="1">
        <f ca="1">IFERROR(__xludf.DUMMYFUNCTION("""COMPUTED_VALUE"""),52.59)</f>
        <v>52.59</v>
      </c>
      <c r="D842" s="1">
        <f ca="1">IFERROR(__xludf.DUMMYFUNCTION("""COMPUTED_VALUE"""),50.9)</f>
        <v>50.9</v>
      </c>
      <c r="E842" s="1">
        <f ca="1">IFERROR(__xludf.DUMMYFUNCTION("""COMPUTED_VALUE"""),52.55)</f>
        <v>52.55</v>
      </c>
      <c r="F842" s="1">
        <f ca="1">IFERROR(__xludf.DUMMYFUNCTION("""COMPUTED_VALUE"""),1844600)</f>
        <v>1844600</v>
      </c>
    </row>
    <row r="843" spans="1:6" x14ac:dyDescent="0.35">
      <c r="A843" s="2">
        <f ca="1">IFERROR(__xludf.DUMMYFUNCTION("""COMPUTED_VALUE"""),43227.6666666666)</f>
        <v>43227.666666666599</v>
      </c>
      <c r="B843" s="1">
        <f ca="1">IFERROR(__xludf.DUMMYFUNCTION("""COMPUTED_VALUE"""),52.69)</f>
        <v>52.69</v>
      </c>
      <c r="C843" s="1">
        <f ca="1">IFERROR(__xludf.DUMMYFUNCTION("""COMPUTED_VALUE"""),53.25)</f>
        <v>53.25</v>
      </c>
      <c r="D843" s="1">
        <f ca="1">IFERROR(__xludf.DUMMYFUNCTION("""COMPUTED_VALUE"""),52.51)</f>
        <v>52.51</v>
      </c>
      <c r="E843" s="1">
        <f ca="1">IFERROR(__xludf.DUMMYFUNCTION("""COMPUTED_VALUE"""),52.97)</f>
        <v>52.97</v>
      </c>
      <c r="F843" s="1">
        <f ca="1">IFERROR(__xludf.DUMMYFUNCTION("""COMPUTED_VALUE"""),1719971)</f>
        <v>1719971</v>
      </c>
    </row>
    <row r="844" spans="1:6" x14ac:dyDescent="0.35">
      <c r="A844" s="2">
        <f ca="1">IFERROR(__xludf.DUMMYFUNCTION("""COMPUTED_VALUE"""),43228.6666666666)</f>
        <v>43228.666666666599</v>
      </c>
      <c r="B844" s="1">
        <f ca="1">IFERROR(__xludf.DUMMYFUNCTION("""COMPUTED_VALUE"""),53.23)</f>
        <v>53.23</v>
      </c>
      <c r="C844" s="1">
        <f ca="1">IFERROR(__xludf.DUMMYFUNCTION("""COMPUTED_VALUE"""),53.26)</f>
        <v>53.26</v>
      </c>
      <c r="D844" s="1">
        <f ca="1">IFERROR(__xludf.DUMMYFUNCTION("""COMPUTED_VALUE"""),52.58)</f>
        <v>52.58</v>
      </c>
      <c r="E844" s="1">
        <f ca="1">IFERROR(__xludf.DUMMYFUNCTION("""COMPUTED_VALUE"""),52.93)</f>
        <v>52.93</v>
      </c>
      <c r="F844" s="1">
        <f ca="1">IFERROR(__xludf.DUMMYFUNCTION("""COMPUTED_VALUE"""),1301524)</f>
        <v>1301524</v>
      </c>
    </row>
    <row r="845" spans="1:6" x14ac:dyDescent="0.35">
      <c r="A845" s="2">
        <f ca="1">IFERROR(__xludf.DUMMYFUNCTION("""COMPUTED_VALUE"""),43229.6666666666)</f>
        <v>43229.666666666599</v>
      </c>
      <c r="B845" s="1">
        <f ca="1">IFERROR(__xludf.DUMMYFUNCTION("""COMPUTED_VALUE"""),53.21)</f>
        <v>53.21</v>
      </c>
      <c r="C845" s="1">
        <f ca="1">IFERROR(__xludf.DUMMYFUNCTION("""COMPUTED_VALUE"""),54.7)</f>
        <v>54.7</v>
      </c>
      <c r="D845" s="1">
        <f ca="1">IFERROR(__xludf.DUMMYFUNCTION("""COMPUTED_VALUE"""),53.11)</f>
        <v>53.11</v>
      </c>
      <c r="E845" s="1">
        <f ca="1">IFERROR(__xludf.DUMMYFUNCTION("""COMPUTED_VALUE"""),54.45)</f>
        <v>54.45</v>
      </c>
      <c r="F845" s="1">
        <f ca="1">IFERROR(__xludf.DUMMYFUNCTION("""COMPUTED_VALUE"""),2357979)</f>
        <v>2357979</v>
      </c>
    </row>
    <row r="846" spans="1:6" x14ac:dyDescent="0.35">
      <c r="A846" s="2">
        <f ca="1">IFERROR(__xludf.DUMMYFUNCTION("""COMPUTED_VALUE"""),43230.6666666666)</f>
        <v>43230.666666666599</v>
      </c>
      <c r="B846" s="1">
        <f ca="1">IFERROR(__xludf.DUMMYFUNCTION("""COMPUTED_VALUE"""),54.75)</f>
        <v>54.75</v>
      </c>
      <c r="C846" s="1">
        <f ca="1">IFERROR(__xludf.DUMMYFUNCTION("""COMPUTED_VALUE"""),55.47)</f>
        <v>55.47</v>
      </c>
      <c r="D846" s="1">
        <f ca="1">IFERROR(__xludf.DUMMYFUNCTION("""COMPUTED_VALUE"""),54.69)</f>
        <v>54.69</v>
      </c>
      <c r="E846" s="1">
        <f ca="1">IFERROR(__xludf.DUMMYFUNCTION("""COMPUTED_VALUE"""),55.27)</f>
        <v>55.27</v>
      </c>
      <c r="F846" s="1">
        <f ca="1">IFERROR(__xludf.DUMMYFUNCTION("""COMPUTED_VALUE"""),1820676)</f>
        <v>1820676</v>
      </c>
    </row>
    <row r="847" spans="1:6" x14ac:dyDescent="0.35">
      <c r="A847" s="2">
        <f ca="1">IFERROR(__xludf.DUMMYFUNCTION("""COMPUTED_VALUE"""),43231.6666666666)</f>
        <v>43231.666666666599</v>
      </c>
      <c r="B847" s="1">
        <f ca="1">IFERROR(__xludf.DUMMYFUNCTION("""COMPUTED_VALUE"""),55.02)</f>
        <v>55.02</v>
      </c>
      <c r="C847" s="1">
        <f ca="1">IFERROR(__xludf.DUMMYFUNCTION("""COMPUTED_VALUE"""),55.45)</f>
        <v>55.45</v>
      </c>
      <c r="D847" s="1">
        <f ca="1">IFERROR(__xludf.DUMMYFUNCTION("""COMPUTED_VALUE"""),54.86)</f>
        <v>54.86</v>
      </c>
      <c r="E847" s="1">
        <f ca="1">IFERROR(__xludf.DUMMYFUNCTION("""COMPUTED_VALUE"""),55.17)</f>
        <v>55.17</v>
      </c>
      <c r="F847" s="1">
        <f ca="1">IFERROR(__xludf.DUMMYFUNCTION("""COMPUTED_VALUE"""),1525218)</f>
        <v>1525218</v>
      </c>
    </row>
    <row r="848" spans="1:6" x14ac:dyDescent="0.35">
      <c r="A848" s="2">
        <f ca="1">IFERROR(__xludf.DUMMYFUNCTION("""COMPUTED_VALUE"""),43234.6666666666)</f>
        <v>43234.666666666599</v>
      </c>
      <c r="B848" s="1">
        <f ca="1">IFERROR(__xludf.DUMMYFUNCTION("""COMPUTED_VALUE"""),55.28)</f>
        <v>55.28</v>
      </c>
      <c r="C848" s="1">
        <f ca="1">IFERROR(__xludf.DUMMYFUNCTION("""COMPUTED_VALUE"""),55.91)</f>
        <v>55.91</v>
      </c>
      <c r="D848" s="1">
        <f ca="1">IFERROR(__xludf.DUMMYFUNCTION("""COMPUTED_VALUE"""),55.24)</f>
        <v>55.24</v>
      </c>
      <c r="E848" s="1">
        <f ca="1">IFERROR(__xludf.DUMMYFUNCTION("""COMPUTED_VALUE"""),55.33)</f>
        <v>55.33</v>
      </c>
      <c r="F848" s="1">
        <f ca="1">IFERROR(__xludf.DUMMYFUNCTION("""COMPUTED_VALUE"""),1966893)</f>
        <v>1966893</v>
      </c>
    </row>
    <row r="849" spans="1:6" x14ac:dyDescent="0.35">
      <c r="A849" s="2">
        <f ca="1">IFERROR(__xludf.DUMMYFUNCTION("""COMPUTED_VALUE"""),43235.6666666666)</f>
        <v>43235.666666666599</v>
      </c>
      <c r="B849" s="1">
        <f ca="1">IFERROR(__xludf.DUMMYFUNCTION("""COMPUTED_VALUE"""),54.85)</f>
        <v>54.85</v>
      </c>
      <c r="C849" s="1">
        <f ca="1">IFERROR(__xludf.DUMMYFUNCTION("""COMPUTED_VALUE"""),54.96)</f>
        <v>54.96</v>
      </c>
      <c r="D849" s="1">
        <f ca="1">IFERROR(__xludf.DUMMYFUNCTION("""COMPUTED_VALUE"""),53.94)</f>
        <v>53.94</v>
      </c>
      <c r="E849" s="1">
        <f ca="1">IFERROR(__xludf.DUMMYFUNCTION("""COMPUTED_VALUE"""),54.24)</f>
        <v>54.24</v>
      </c>
      <c r="F849" s="1">
        <f ca="1">IFERROR(__xludf.DUMMYFUNCTION("""COMPUTED_VALUE"""),1786926)</f>
        <v>1786926</v>
      </c>
    </row>
    <row r="850" spans="1:6" x14ac:dyDescent="0.35">
      <c r="A850" s="2">
        <f ca="1">IFERROR(__xludf.DUMMYFUNCTION("""COMPUTED_VALUE"""),43236.6666666666)</f>
        <v>43236.666666666599</v>
      </c>
      <c r="B850" s="1">
        <f ca="1">IFERROR(__xludf.DUMMYFUNCTION("""COMPUTED_VALUE"""),54.25)</f>
        <v>54.25</v>
      </c>
      <c r="C850" s="1">
        <f ca="1">IFERROR(__xludf.DUMMYFUNCTION("""COMPUTED_VALUE"""),54.72)</f>
        <v>54.72</v>
      </c>
      <c r="D850" s="1">
        <f ca="1">IFERROR(__xludf.DUMMYFUNCTION("""COMPUTED_VALUE"""),54.08)</f>
        <v>54.08</v>
      </c>
      <c r="E850" s="1">
        <f ca="1">IFERROR(__xludf.DUMMYFUNCTION("""COMPUTED_VALUE"""),54.2)</f>
        <v>54.2</v>
      </c>
      <c r="F850" s="1">
        <f ca="1">IFERROR(__xludf.DUMMYFUNCTION("""COMPUTED_VALUE"""),1281406)</f>
        <v>1281406</v>
      </c>
    </row>
    <row r="851" spans="1:6" x14ac:dyDescent="0.35">
      <c r="A851" s="2">
        <f ca="1">IFERROR(__xludf.DUMMYFUNCTION("""COMPUTED_VALUE"""),43237.6666666666)</f>
        <v>43237.666666666599</v>
      </c>
      <c r="B851" s="1">
        <f ca="1">IFERROR(__xludf.DUMMYFUNCTION("""COMPUTED_VALUE"""),54.07)</f>
        <v>54.07</v>
      </c>
      <c r="C851" s="1">
        <f ca="1">IFERROR(__xludf.DUMMYFUNCTION("""COMPUTED_VALUE"""),54.55)</f>
        <v>54.55</v>
      </c>
      <c r="D851" s="1">
        <f ca="1">IFERROR(__xludf.DUMMYFUNCTION("""COMPUTED_VALUE"""),53.82)</f>
        <v>53.82</v>
      </c>
      <c r="E851" s="1">
        <f ca="1">IFERROR(__xludf.DUMMYFUNCTION("""COMPUTED_VALUE"""),54.06)</f>
        <v>54.06</v>
      </c>
      <c r="F851" s="1">
        <f ca="1">IFERROR(__xludf.DUMMYFUNCTION("""COMPUTED_VALUE"""),1286907)</f>
        <v>1286907</v>
      </c>
    </row>
    <row r="852" spans="1:6" x14ac:dyDescent="0.35">
      <c r="A852" s="2">
        <f ca="1">IFERROR(__xludf.DUMMYFUNCTION("""COMPUTED_VALUE"""),43238.6666666666)</f>
        <v>43238.666666666599</v>
      </c>
      <c r="B852" s="1">
        <f ca="1">IFERROR(__xludf.DUMMYFUNCTION("""COMPUTED_VALUE"""),53.3)</f>
        <v>53.3</v>
      </c>
      <c r="C852" s="1">
        <f ca="1">IFERROR(__xludf.DUMMYFUNCTION("""COMPUTED_VALUE"""),53.69)</f>
        <v>53.69</v>
      </c>
      <c r="D852" s="1">
        <f ca="1">IFERROR(__xludf.DUMMYFUNCTION("""COMPUTED_VALUE"""),53.23)</f>
        <v>53.23</v>
      </c>
      <c r="E852" s="1">
        <f ca="1">IFERROR(__xludf.DUMMYFUNCTION("""COMPUTED_VALUE"""),53.48)</f>
        <v>53.48</v>
      </c>
      <c r="F852" s="1">
        <f ca="1">IFERROR(__xludf.DUMMYFUNCTION("""COMPUTED_VALUE"""),1774149)</f>
        <v>1774149</v>
      </c>
    </row>
    <row r="853" spans="1:6" x14ac:dyDescent="0.35">
      <c r="A853" s="2">
        <f ca="1">IFERROR(__xludf.DUMMYFUNCTION("""COMPUTED_VALUE"""),43241.6666666666)</f>
        <v>43241.666666666599</v>
      </c>
      <c r="B853" s="1">
        <f ca="1">IFERROR(__xludf.DUMMYFUNCTION("""COMPUTED_VALUE"""),53.95)</f>
        <v>53.95</v>
      </c>
      <c r="C853" s="1">
        <f ca="1">IFERROR(__xludf.DUMMYFUNCTION("""COMPUTED_VALUE"""),54.67)</f>
        <v>54.67</v>
      </c>
      <c r="D853" s="1">
        <f ca="1">IFERROR(__xludf.DUMMYFUNCTION("""COMPUTED_VALUE"""),53.9)</f>
        <v>53.9</v>
      </c>
      <c r="E853" s="1">
        <f ca="1">IFERROR(__xludf.DUMMYFUNCTION("""COMPUTED_VALUE"""),54.2)</f>
        <v>54.2</v>
      </c>
      <c r="F853" s="1">
        <f ca="1">IFERROR(__xludf.DUMMYFUNCTION("""COMPUTED_VALUE"""),1258999)</f>
        <v>1258999</v>
      </c>
    </row>
    <row r="854" spans="1:6" x14ac:dyDescent="0.35">
      <c r="A854" s="2">
        <f ca="1">IFERROR(__xludf.DUMMYFUNCTION("""COMPUTED_VALUE"""),43242.6666666666)</f>
        <v>43242.666666666599</v>
      </c>
      <c r="B854" s="1">
        <f ca="1">IFERROR(__xludf.DUMMYFUNCTION("""COMPUTED_VALUE"""),54.49)</f>
        <v>54.49</v>
      </c>
      <c r="C854" s="1">
        <f ca="1">IFERROR(__xludf.DUMMYFUNCTION("""COMPUTED_VALUE"""),54.59)</f>
        <v>54.59</v>
      </c>
      <c r="D854" s="1">
        <f ca="1">IFERROR(__xludf.DUMMYFUNCTION("""COMPUTED_VALUE"""),53.61)</f>
        <v>53.61</v>
      </c>
      <c r="E854" s="1">
        <f ca="1">IFERROR(__xludf.DUMMYFUNCTION("""COMPUTED_VALUE"""),53.77)</f>
        <v>53.77</v>
      </c>
      <c r="F854" s="1">
        <f ca="1">IFERROR(__xludf.DUMMYFUNCTION("""COMPUTED_VALUE"""),1111299)</f>
        <v>1111299</v>
      </c>
    </row>
    <row r="855" spans="1:6" x14ac:dyDescent="0.35">
      <c r="A855" s="2">
        <f ca="1">IFERROR(__xludf.DUMMYFUNCTION("""COMPUTED_VALUE"""),43243.6666666666)</f>
        <v>43243.666666666599</v>
      </c>
      <c r="B855" s="1">
        <f ca="1">IFERROR(__xludf.DUMMYFUNCTION("""COMPUTED_VALUE"""),53.5)</f>
        <v>53.5</v>
      </c>
      <c r="C855" s="1">
        <f ca="1">IFERROR(__xludf.DUMMYFUNCTION("""COMPUTED_VALUE"""),54.4)</f>
        <v>54.4</v>
      </c>
      <c r="D855" s="1">
        <f ca="1">IFERROR(__xludf.DUMMYFUNCTION("""COMPUTED_VALUE"""),53.35)</f>
        <v>53.35</v>
      </c>
      <c r="E855" s="1">
        <f ca="1">IFERROR(__xludf.DUMMYFUNCTION("""COMPUTED_VALUE"""),54.3)</f>
        <v>54.3</v>
      </c>
      <c r="F855" s="1">
        <f ca="1">IFERROR(__xludf.DUMMYFUNCTION("""COMPUTED_VALUE"""),1186998)</f>
        <v>1186998</v>
      </c>
    </row>
    <row r="856" spans="1:6" x14ac:dyDescent="0.35">
      <c r="A856" s="2">
        <f ca="1">IFERROR(__xludf.DUMMYFUNCTION("""COMPUTED_VALUE"""),43244.6666666666)</f>
        <v>43244.666666666599</v>
      </c>
      <c r="B856" s="1">
        <f ca="1">IFERROR(__xludf.DUMMYFUNCTION("""COMPUTED_VALUE"""),54.35)</f>
        <v>54.35</v>
      </c>
      <c r="C856" s="1">
        <f ca="1">IFERROR(__xludf.DUMMYFUNCTION("""COMPUTED_VALUE"""),54.36)</f>
        <v>54.36</v>
      </c>
      <c r="D856" s="1">
        <f ca="1">IFERROR(__xludf.DUMMYFUNCTION("""COMPUTED_VALUE"""),53.62)</f>
        <v>53.62</v>
      </c>
      <c r="E856" s="1">
        <f ca="1">IFERROR(__xludf.DUMMYFUNCTION("""COMPUTED_VALUE"""),54.27)</f>
        <v>54.27</v>
      </c>
      <c r="F856" s="1">
        <f ca="1">IFERROR(__xludf.DUMMYFUNCTION("""COMPUTED_VALUE"""),1030194)</f>
        <v>1030194</v>
      </c>
    </row>
    <row r="857" spans="1:6" x14ac:dyDescent="0.35">
      <c r="A857" s="2">
        <f ca="1">IFERROR(__xludf.DUMMYFUNCTION("""COMPUTED_VALUE"""),43245.6666666666)</f>
        <v>43245.666666666599</v>
      </c>
      <c r="B857" s="1">
        <f ca="1">IFERROR(__xludf.DUMMYFUNCTION("""COMPUTED_VALUE"""),54.33)</f>
        <v>54.33</v>
      </c>
      <c r="C857" s="1">
        <f ca="1">IFERROR(__xludf.DUMMYFUNCTION("""COMPUTED_VALUE"""),54.48)</f>
        <v>54.48</v>
      </c>
      <c r="D857" s="1">
        <f ca="1">IFERROR(__xludf.DUMMYFUNCTION("""COMPUTED_VALUE"""),54.13)</f>
        <v>54.13</v>
      </c>
      <c r="E857" s="1">
        <f ca="1">IFERROR(__xludf.DUMMYFUNCTION("""COMPUTED_VALUE"""),54.2)</f>
        <v>54.2</v>
      </c>
      <c r="F857" s="1">
        <f ca="1">IFERROR(__xludf.DUMMYFUNCTION("""COMPUTED_VALUE"""),1111161)</f>
        <v>1111161</v>
      </c>
    </row>
    <row r="858" spans="1:6" x14ac:dyDescent="0.35">
      <c r="A858" s="2">
        <f ca="1">IFERROR(__xludf.DUMMYFUNCTION("""COMPUTED_VALUE"""),43249.6666666666)</f>
        <v>43249.666666666599</v>
      </c>
      <c r="B858" s="1">
        <f ca="1">IFERROR(__xludf.DUMMYFUNCTION("""COMPUTED_VALUE"""),53.8)</f>
        <v>53.8</v>
      </c>
      <c r="C858" s="1">
        <f ca="1">IFERROR(__xludf.DUMMYFUNCTION("""COMPUTED_VALUE"""),54.07)</f>
        <v>54.07</v>
      </c>
      <c r="D858" s="1">
        <f ca="1">IFERROR(__xludf.DUMMYFUNCTION("""COMPUTED_VALUE"""),53.15)</f>
        <v>53.15</v>
      </c>
      <c r="E858" s="1">
        <f ca="1">IFERROR(__xludf.DUMMYFUNCTION("""COMPUTED_VALUE"""),53.4)</f>
        <v>53.4</v>
      </c>
      <c r="F858" s="1">
        <f ca="1">IFERROR(__xludf.DUMMYFUNCTION("""COMPUTED_VALUE"""),1803805)</f>
        <v>1803805</v>
      </c>
    </row>
    <row r="859" spans="1:6" x14ac:dyDescent="0.35">
      <c r="A859" s="2">
        <f ca="1">IFERROR(__xludf.DUMMYFUNCTION("""COMPUTED_VALUE"""),43250.6666666666)</f>
        <v>43250.666666666599</v>
      </c>
      <c r="B859" s="1">
        <f ca="1">IFERROR(__xludf.DUMMYFUNCTION("""COMPUTED_VALUE"""),53.67)</f>
        <v>53.67</v>
      </c>
      <c r="C859" s="1">
        <f ca="1">IFERROR(__xludf.DUMMYFUNCTION("""COMPUTED_VALUE"""),53.95)</f>
        <v>53.95</v>
      </c>
      <c r="D859" s="1">
        <f ca="1">IFERROR(__xludf.DUMMYFUNCTION("""COMPUTED_VALUE"""),53.33)</f>
        <v>53.33</v>
      </c>
      <c r="E859" s="1">
        <f ca="1">IFERROR(__xludf.DUMMYFUNCTION("""COMPUTED_VALUE"""),53.87)</f>
        <v>53.87</v>
      </c>
      <c r="F859" s="1">
        <f ca="1">IFERROR(__xludf.DUMMYFUNCTION("""COMPUTED_VALUE"""),1434282)</f>
        <v>1434282</v>
      </c>
    </row>
    <row r="860" spans="1:6" x14ac:dyDescent="0.35">
      <c r="A860" s="2">
        <f ca="1">IFERROR(__xludf.DUMMYFUNCTION("""COMPUTED_VALUE"""),43251.6666666666)</f>
        <v>43251.666666666599</v>
      </c>
      <c r="B860" s="1">
        <f ca="1">IFERROR(__xludf.DUMMYFUNCTION("""COMPUTED_VALUE"""),54.1)</f>
        <v>54.1</v>
      </c>
      <c r="C860" s="1">
        <f ca="1">IFERROR(__xludf.DUMMYFUNCTION("""COMPUTED_VALUE"""),55.5)</f>
        <v>55.5</v>
      </c>
      <c r="D860" s="1">
        <f ca="1">IFERROR(__xludf.DUMMYFUNCTION("""COMPUTED_VALUE"""),53.9)</f>
        <v>53.9</v>
      </c>
      <c r="E860" s="1">
        <f ca="1">IFERROR(__xludf.DUMMYFUNCTION("""COMPUTED_VALUE"""),55)</f>
        <v>55</v>
      </c>
      <c r="F860" s="1">
        <f ca="1">IFERROR(__xludf.DUMMYFUNCTION("""COMPUTED_VALUE"""),3968362)</f>
        <v>3968362</v>
      </c>
    </row>
    <row r="861" spans="1:6" x14ac:dyDescent="0.35">
      <c r="A861" s="2">
        <f ca="1">IFERROR(__xludf.DUMMYFUNCTION("""COMPUTED_VALUE"""),43252.6666666666)</f>
        <v>43252.666666666599</v>
      </c>
      <c r="B861" s="1">
        <f ca="1">IFERROR(__xludf.DUMMYFUNCTION("""COMPUTED_VALUE"""),55.64)</f>
        <v>55.64</v>
      </c>
      <c r="C861" s="1">
        <f ca="1">IFERROR(__xludf.DUMMYFUNCTION("""COMPUTED_VALUE"""),56.91)</f>
        <v>56.91</v>
      </c>
      <c r="D861" s="1">
        <f ca="1">IFERROR(__xludf.DUMMYFUNCTION("""COMPUTED_VALUE"""),55.6)</f>
        <v>55.6</v>
      </c>
      <c r="E861" s="1">
        <f ca="1">IFERROR(__xludf.DUMMYFUNCTION("""COMPUTED_VALUE"""),56.75)</f>
        <v>56.75</v>
      </c>
      <c r="F861" s="1">
        <f ca="1">IFERROR(__xludf.DUMMYFUNCTION("""COMPUTED_VALUE"""),3160100)</f>
        <v>3160100</v>
      </c>
    </row>
    <row r="862" spans="1:6" x14ac:dyDescent="0.35">
      <c r="A862" s="2">
        <f ca="1">IFERROR(__xludf.DUMMYFUNCTION("""COMPUTED_VALUE"""),43255.6666666666)</f>
        <v>43255.666666666599</v>
      </c>
      <c r="B862" s="1">
        <f ca="1">IFERROR(__xludf.DUMMYFUNCTION("""COMPUTED_VALUE"""),56.93)</f>
        <v>56.93</v>
      </c>
      <c r="C862" s="1">
        <f ca="1">IFERROR(__xludf.DUMMYFUNCTION("""COMPUTED_VALUE"""),57.89)</f>
        <v>57.89</v>
      </c>
      <c r="D862" s="1">
        <f ca="1">IFERROR(__xludf.DUMMYFUNCTION("""COMPUTED_VALUE"""),56.85)</f>
        <v>56.85</v>
      </c>
      <c r="E862" s="1">
        <f ca="1">IFERROR(__xludf.DUMMYFUNCTION("""COMPUTED_VALUE"""),57.65)</f>
        <v>57.65</v>
      </c>
      <c r="F862" s="1">
        <f ca="1">IFERROR(__xludf.DUMMYFUNCTION("""COMPUTED_VALUE"""),2237701)</f>
        <v>2237701</v>
      </c>
    </row>
    <row r="863" spans="1:6" x14ac:dyDescent="0.35">
      <c r="A863" s="2">
        <f ca="1">IFERROR(__xludf.DUMMYFUNCTION("""COMPUTED_VALUE"""),43256.6666666666)</f>
        <v>43256.666666666599</v>
      </c>
      <c r="B863" s="1">
        <f ca="1">IFERROR(__xludf.DUMMYFUNCTION("""COMPUTED_VALUE"""),57.73)</f>
        <v>57.73</v>
      </c>
      <c r="C863" s="1">
        <f ca="1">IFERROR(__xludf.DUMMYFUNCTION("""COMPUTED_VALUE"""),58.05)</f>
        <v>58.05</v>
      </c>
      <c r="D863" s="1">
        <f ca="1">IFERROR(__xludf.DUMMYFUNCTION("""COMPUTED_VALUE"""),57.37)</f>
        <v>57.37</v>
      </c>
      <c r="E863" s="1">
        <f ca="1">IFERROR(__xludf.DUMMYFUNCTION("""COMPUTED_VALUE"""),57.55)</f>
        <v>57.55</v>
      </c>
      <c r="F863" s="1">
        <f ca="1">IFERROR(__xludf.DUMMYFUNCTION("""COMPUTED_VALUE"""),1648222)</f>
        <v>1648222</v>
      </c>
    </row>
    <row r="864" spans="1:6" x14ac:dyDescent="0.35">
      <c r="A864" s="2">
        <f ca="1">IFERROR(__xludf.DUMMYFUNCTION("""COMPUTED_VALUE"""),43257.6666666666)</f>
        <v>43257.666666666599</v>
      </c>
      <c r="B864" s="1">
        <f ca="1">IFERROR(__xludf.DUMMYFUNCTION("""COMPUTED_VALUE"""),57.64)</f>
        <v>57.64</v>
      </c>
      <c r="C864" s="1">
        <f ca="1">IFERROR(__xludf.DUMMYFUNCTION("""COMPUTED_VALUE"""),57.74)</f>
        <v>57.74</v>
      </c>
      <c r="D864" s="1">
        <f ca="1">IFERROR(__xludf.DUMMYFUNCTION("""COMPUTED_VALUE"""),56.82)</f>
        <v>56.82</v>
      </c>
      <c r="E864" s="1">
        <f ca="1">IFERROR(__xludf.DUMMYFUNCTION("""COMPUTED_VALUE"""),57.35)</f>
        <v>57.35</v>
      </c>
      <c r="F864" s="1">
        <f ca="1">IFERROR(__xludf.DUMMYFUNCTION("""COMPUTED_VALUE"""),1746719)</f>
        <v>1746719</v>
      </c>
    </row>
    <row r="865" spans="1:6" x14ac:dyDescent="0.35">
      <c r="A865" s="2">
        <f ca="1">IFERROR(__xludf.DUMMYFUNCTION("""COMPUTED_VALUE"""),43258.6666666666)</f>
        <v>43258.666666666599</v>
      </c>
      <c r="B865" s="1">
        <f ca="1">IFERROR(__xludf.DUMMYFUNCTION("""COMPUTED_VALUE"""),57.23)</f>
        <v>57.23</v>
      </c>
      <c r="C865" s="1">
        <f ca="1">IFERROR(__xludf.DUMMYFUNCTION("""COMPUTED_VALUE"""),57.29)</f>
        <v>57.29</v>
      </c>
      <c r="D865" s="1">
        <f ca="1">IFERROR(__xludf.DUMMYFUNCTION("""COMPUTED_VALUE"""),56.31)</f>
        <v>56.31</v>
      </c>
      <c r="E865" s="1">
        <f ca="1">IFERROR(__xludf.DUMMYFUNCTION("""COMPUTED_VALUE"""),56.72)</f>
        <v>56.72</v>
      </c>
      <c r="F865" s="1">
        <f ca="1">IFERROR(__xludf.DUMMYFUNCTION("""COMPUTED_VALUE"""),1805388)</f>
        <v>1805388</v>
      </c>
    </row>
    <row r="866" spans="1:6" x14ac:dyDescent="0.35">
      <c r="A866" s="2">
        <f ca="1">IFERROR(__xludf.DUMMYFUNCTION("""COMPUTED_VALUE"""),43259.6666666666)</f>
        <v>43259.666666666599</v>
      </c>
      <c r="B866" s="1">
        <f ca="1">IFERROR(__xludf.DUMMYFUNCTION("""COMPUTED_VALUE"""),56.56)</f>
        <v>56.56</v>
      </c>
      <c r="C866" s="1">
        <f ca="1">IFERROR(__xludf.DUMMYFUNCTION("""COMPUTED_VALUE"""),56.94)</f>
        <v>56.94</v>
      </c>
      <c r="D866" s="1">
        <f ca="1">IFERROR(__xludf.DUMMYFUNCTION("""COMPUTED_VALUE"""),56.16)</f>
        <v>56.16</v>
      </c>
      <c r="E866" s="1">
        <f ca="1">IFERROR(__xludf.DUMMYFUNCTION("""COMPUTED_VALUE"""),56.64)</f>
        <v>56.64</v>
      </c>
      <c r="F866" s="1">
        <f ca="1">IFERROR(__xludf.DUMMYFUNCTION("""COMPUTED_VALUE"""),1364226)</f>
        <v>1364226</v>
      </c>
    </row>
    <row r="867" spans="1:6" x14ac:dyDescent="0.35">
      <c r="A867" s="2">
        <f ca="1">IFERROR(__xludf.DUMMYFUNCTION("""COMPUTED_VALUE"""),43262.6666666666)</f>
        <v>43262.666666666599</v>
      </c>
      <c r="B867" s="1">
        <f ca="1">IFERROR(__xludf.DUMMYFUNCTION("""COMPUTED_VALUE"""),56.65)</f>
        <v>56.65</v>
      </c>
      <c r="C867" s="1">
        <f ca="1">IFERROR(__xludf.DUMMYFUNCTION("""COMPUTED_VALUE"""),57.39)</f>
        <v>57.39</v>
      </c>
      <c r="D867" s="1">
        <f ca="1">IFERROR(__xludf.DUMMYFUNCTION("""COMPUTED_VALUE"""),56.57)</f>
        <v>56.57</v>
      </c>
      <c r="E867" s="1">
        <f ca="1">IFERROR(__xludf.DUMMYFUNCTION("""COMPUTED_VALUE"""),57.05)</f>
        <v>57.05</v>
      </c>
      <c r="F867" s="1">
        <f ca="1">IFERROR(__xludf.DUMMYFUNCTION("""COMPUTED_VALUE"""),1239770)</f>
        <v>1239770</v>
      </c>
    </row>
    <row r="868" spans="1:6" x14ac:dyDescent="0.35">
      <c r="A868" s="2">
        <f ca="1">IFERROR(__xludf.DUMMYFUNCTION("""COMPUTED_VALUE"""),43263.6666666666)</f>
        <v>43263.666666666599</v>
      </c>
      <c r="B868" s="1">
        <f ca="1">IFERROR(__xludf.DUMMYFUNCTION("""COMPUTED_VALUE"""),57.05)</f>
        <v>57.05</v>
      </c>
      <c r="C868" s="1">
        <f ca="1">IFERROR(__xludf.DUMMYFUNCTION("""COMPUTED_VALUE"""),57.44)</f>
        <v>57.44</v>
      </c>
      <c r="D868" s="1">
        <f ca="1">IFERROR(__xludf.DUMMYFUNCTION("""COMPUTED_VALUE"""),57.05)</f>
        <v>57.05</v>
      </c>
      <c r="E868" s="1">
        <f ca="1">IFERROR(__xludf.DUMMYFUNCTION("""COMPUTED_VALUE"""),57.41)</f>
        <v>57.41</v>
      </c>
      <c r="F868" s="1">
        <f ca="1">IFERROR(__xludf.DUMMYFUNCTION("""COMPUTED_VALUE"""),1304612)</f>
        <v>1304612</v>
      </c>
    </row>
    <row r="869" spans="1:6" x14ac:dyDescent="0.35">
      <c r="A869" s="2">
        <f ca="1">IFERROR(__xludf.DUMMYFUNCTION("""COMPUTED_VALUE"""),43264.6666666666)</f>
        <v>43264.666666666599</v>
      </c>
      <c r="B869" s="1">
        <f ca="1">IFERROR(__xludf.DUMMYFUNCTION("""COMPUTED_VALUE"""),57.61)</f>
        <v>57.61</v>
      </c>
      <c r="C869" s="1">
        <f ca="1">IFERROR(__xludf.DUMMYFUNCTION("""COMPUTED_VALUE"""),57.78)</f>
        <v>57.78</v>
      </c>
      <c r="D869" s="1">
        <f ca="1">IFERROR(__xludf.DUMMYFUNCTION("""COMPUTED_VALUE"""),57.17)</f>
        <v>57.17</v>
      </c>
      <c r="E869" s="1">
        <f ca="1">IFERROR(__xludf.DUMMYFUNCTION("""COMPUTED_VALUE"""),57.21)</f>
        <v>57.21</v>
      </c>
      <c r="F869" s="1">
        <f ca="1">IFERROR(__xludf.DUMMYFUNCTION("""COMPUTED_VALUE"""),1715074)</f>
        <v>1715074</v>
      </c>
    </row>
    <row r="870" spans="1:6" x14ac:dyDescent="0.35">
      <c r="A870" s="2">
        <f ca="1">IFERROR(__xludf.DUMMYFUNCTION("""COMPUTED_VALUE"""),43265.6666666666)</f>
        <v>43265.666666666599</v>
      </c>
      <c r="B870" s="1">
        <f ca="1">IFERROR(__xludf.DUMMYFUNCTION("""COMPUTED_VALUE"""),57.61)</f>
        <v>57.61</v>
      </c>
      <c r="C870" s="1">
        <f ca="1">IFERROR(__xludf.DUMMYFUNCTION("""COMPUTED_VALUE"""),58.3)</f>
        <v>58.3</v>
      </c>
      <c r="D870" s="1">
        <f ca="1">IFERROR(__xludf.DUMMYFUNCTION("""COMPUTED_VALUE"""),57.53)</f>
        <v>57.53</v>
      </c>
      <c r="E870" s="1">
        <f ca="1">IFERROR(__xludf.DUMMYFUNCTION("""COMPUTED_VALUE"""),58.01)</f>
        <v>58.01</v>
      </c>
      <c r="F870" s="1">
        <f ca="1">IFERROR(__xludf.DUMMYFUNCTION("""COMPUTED_VALUE"""),1771120)</f>
        <v>1771120</v>
      </c>
    </row>
    <row r="871" spans="1:6" x14ac:dyDescent="0.35">
      <c r="A871" s="2">
        <f ca="1">IFERROR(__xludf.DUMMYFUNCTION("""COMPUTED_VALUE"""),43266.6666666666)</f>
        <v>43266.666666666599</v>
      </c>
      <c r="B871" s="1">
        <f ca="1">IFERROR(__xludf.DUMMYFUNCTION("""COMPUTED_VALUE"""),58)</f>
        <v>58</v>
      </c>
      <c r="C871" s="1">
        <f ca="1">IFERROR(__xludf.DUMMYFUNCTION("""COMPUTED_VALUE"""),58.2)</f>
        <v>58.2</v>
      </c>
      <c r="D871" s="1">
        <f ca="1">IFERROR(__xludf.DUMMYFUNCTION("""COMPUTED_VALUE"""),57.68)</f>
        <v>57.68</v>
      </c>
      <c r="E871" s="1">
        <f ca="1">IFERROR(__xludf.DUMMYFUNCTION("""COMPUTED_VALUE"""),57.96)</f>
        <v>57.96</v>
      </c>
      <c r="F871" s="1">
        <f ca="1">IFERROR(__xludf.DUMMYFUNCTION("""COMPUTED_VALUE"""),2221891)</f>
        <v>2221891</v>
      </c>
    </row>
    <row r="872" spans="1:6" x14ac:dyDescent="0.35">
      <c r="A872" s="2">
        <f ca="1">IFERROR(__xludf.DUMMYFUNCTION("""COMPUTED_VALUE"""),43269.6666666666)</f>
        <v>43269.666666666599</v>
      </c>
      <c r="B872" s="1">
        <f ca="1">IFERROR(__xludf.DUMMYFUNCTION("""COMPUTED_VALUE"""),57.63)</f>
        <v>57.63</v>
      </c>
      <c r="C872" s="1">
        <f ca="1">IFERROR(__xludf.DUMMYFUNCTION("""COMPUTED_VALUE"""),59.21)</f>
        <v>59.21</v>
      </c>
      <c r="D872" s="1">
        <f ca="1">IFERROR(__xludf.DUMMYFUNCTION("""COMPUTED_VALUE"""),57.55)</f>
        <v>57.55</v>
      </c>
      <c r="E872" s="1">
        <f ca="1">IFERROR(__xludf.DUMMYFUNCTION("""COMPUTED_VALUE"""),59.18)</f>
        <v>59.18</v>
      </c>
      <c r="F872" s="1">
        <f ca="1">IFERROR(__xludf.DUMMYFUNCTION("""COMPUTED_VALUE"""),1651913)</f>
        <v>1651913</v>
      </c>
    </row>
    <row r="873" spans="1:6" x14ac:dyDescent="0.35">
      <c r="A873" s="2">
        <f ca="1">IFERROR(__xludf.DUMMYFUNCTION("""COMPUTED_VALUE"""),43270.6666666666)</f>
        <v>43270.666666666599</v>
      </c>
      <c r="B873" s="1">
        <f ca="1">IFERROR(__xludf.DUMMYFUNCTION("""COMPUTED_VALUE"""),58.51)</f>
        <v>58.51</v>
      </c>
      <c r="C873" s="1">
        <f ca="1">IFERROR(__xludf.DUMMYFUNCTION("""COMPUTED_VALUE"""),59.14)</f>
        <v>59.14</v>
      </c>
      <c r="D873" s="1">
        <f ca="1">IFERROR(__xludf.DUMMYFUNCTION("""COMPUTED_VALUE"""),58.08)</f>
        <v>58.08</v>
      </c>
      <c r="E873" s="1">
        <f ca="1">IFERROR(__xludf.DUMMYFUNCTION("""COMPUTED_VALUE"""),58.93)</f>
        <v>58.93</v>
      </c>
      <c r="F873" s="1">
        <f ca="1">IFERROR(__xludf.DUMMYFUNCTION("""COMPUTED_VALUE"""),2364127)</f>
        <v>2364127</v>
      </c>
    </row>
    <row r="874" spans="1:6" x14ac:dyDescent="0.35">
      <c r="A874" s="2">
        <f ca="1">IFERROR(__xludf.DUMMYFUNCTION("""COMPUTED_VALUE"""),43271.6666666666)</f>
        <v>43271.666666666599</v>
      </c>
      <c r="B874" s="1">
        <f ca="1">IFERROR(__xludf.DUMMYFUNCTION("""COMPUTED_VALUE"""),59.17)</f>
        <v>59.17</v>
      </c>
      <c r="C874" s="1">
        <f ca="1">IFERROR(__xludf.DUMMYFUNCTION("""COMPUTED_VALUE"""),60.07)</f>
        <v>60.07</v>
      </c>
      <c r="D874" s="1">
        <f ca="1">IFERROR(__xludf.DUMMYFUNCTION("""COMPUTED_VALUE"""),59.1)</f>
        <v>59.1</v>
      </c>
      <c r="E874" s="1">
        <f ca="1">IFERROR(__xludf.DUMMYFUNCTION("""COMPUTED_VALUE"""),59.2)</f>
        <v>59.2</v>
      </c>
      <c r="F874" s="1">
        <f ca="1">IFERROR(__xludf.DUMMYFUNCTION("""COMPUTED_VALUE"""),2584260)</f>
        <v>2584260</v>
      </c>
    </row>
    <row r="875" spans="1:6" x14ac:dyDescent="0.35">
      <c r="A875" s="2">
        <f ca="1">IFERROR(__xludf.DUMMYFUNCTION("""COMPUTED_VALUE"""),43272.6666666666)</f>
        <v>43272.666666666599</v>
      </c>
      <c r="B875" s="1">
        <f ca="1">IFERROR(__xludf.DUMMYFUNCTION("""COMPUTED_VALUE"""),59.28)</f>
        <v>59.28</v>
      </c>
      <c r="C875" s="1">
        <f ca="1">IFERROR(__xludf.DUMMYFUNCTION("""COMPUTED_VALUE"""),59.52)</f>
        <v>59.52</v>
      </c>
      <c r="D875" s="1">
        <f ca="1">IFERROR(__xludf.DUMMYFUNCTION("""COMPUTED_VALUE"""),58.17)</f>
        <v>58.17</v>
      </c>
      <c r="E875" s="1">
        <f ca="1">IFERROR(__xludf.DUMMYFUNCTION("""COMPUTED_VALUE"""),58.47)</f>
        <v>58.47</v>
      </c>
      <c r="F875" s="1">
        <f ca="1">IFERROR(__xludf.DUMMYFUNCTION("""COMPUTED_VALUE"""),2248277)</f>
        <v>2248277</v>
      </c>
    </row>
    <row r="876" spans="1:6" x14ac:dyDescent="0.35">
      <c r="A876" s="2">
        <f ca="1">IFERROR(__xludf.DUMMYFUNCTION("""COMPUTED_VALUE"""),43273.6666666666)</f>
        <v>43273.666666666599</v>
      </c>
      <c r="B876" s="1">
        <f ca="1">IFERROR(__xludf.DUMMYFUNCTION("""COMPUTED_VALUE"""),58.57)</f>
        <v>58.57</v>
      </c>
      <c r="C876" s="1">
        <f ca="1">IFERROR(__xludf.DUMMYFUNCTION("""COMPUTED_VALUE"""),58.75)</f>
        <v>58.75</v>
      </c>
      <c r="D876" s="1">
        <f ca="1">IFERROR(__xludf.DUMMYFUNCTION("""COMPUTED_VALUE"""),57.98)</f>
        <v>57.98</v>
      </c>
      <c r="E876" s="1">
        <f ca="1">IFERROR(__xludf.DUMMYFUNCTION("""COMPUTED_VALUE"""),58.46)</f>
        <v>58.46</v>
      </c>
      <c r="F876" s="1">
        <f ca="1">IFERROR(__xludf.DUMMYFUNCTION("""COMPUTED_VALUE"""),1711003)</f>
        <v>1711003</v>
      </c>
    </row>
    <row r="877" spans="1:6" x14ac:dyDescent="0.35">
      <c r="A877" s="2">
        <f ca="1">IFERROR(__xludf.DUMMYFUNCTION("""COMPUTED_VALUE"""),43276.6666666666)</f>
        <v>43276.666666666599</v>
      </c>
      <c r="B877" s="1">
        <f ca="1">IFERROR(__xludf.DUMMYFUNCTION("""COMPUTED_VALUE"""),57.75)</f>
        <v>57.75</v>
      </c>
      <c r="C877" s="1">
        <f ca="1">IFERROR(__xludf.DUMMYFUNCTION("""COMPUTED_VALUE"""),57.8)</f>
        <v>57.8</v>
      </c>
      <c r="D877" s="1">
        <f ca="1">IFERROR(__xludf.DUMMYFUNCTION("""COMPUTED_VALUE"""),56)</f>
        <v>56</v>
      </c>
      <c r="E877" s="1">
        <f ca="1">IFERROR(__xludf.DUMMYFUNCTION("""COMPUTED_VALUE"""),56.96)</f>
        <v>56.96</v>
      </c>
      <c r="F877" s="1">
        <f ca="1">IFERROR(__xludf.DUMMYFUNCTION("""COMPUTED_VALUE"""),2884131)</f>
        <v>2884131</v>
      </c>
    </row>
    <row r="878" spans="1:6" x14ac:dyDescent="0.35">
      <c r="A878" s="2">
        <f ca="1">IFERROR(__xludf.DUMMYFUNCTION("""COMPUTED_VALUE"""),43277.6666666666)</f>
        <v>43277.666666666599</v>
      </c>
      <c r="B878" s="1">
        <f ca="1">IFERROR(__xludf.DUMMYFUNCTION("""COMPUTED_VALUE"""),57.21)</f>
        <v>57.21</v>
      </c>
      <c r="C878" s="1">
        <f ca="1">IFERROR(__xludf.DUMMYFUNCTION("""COMPUTED_VALUE"""),57.34)</f>
        <v>57.34</v>
      </c>
      <c r="D878" s="1">
        <f ca="1">IFERROR(__xludf.DUMMYFUNCTION("""COMPUTED_VALUE"""),56.45)</f>
        <v>56.45</v>
      </c>
      <c r="E878" s="1">
        <f ca="1">IFERROR(__xludf.DUMMYFUNCTION("""COMPUTED_VALUE"""),56.63)</f>
        <v>56.63</v>
      </c>
      <c r="F878" s="1">
        <f ca="1">IFERROR(__xludf.DUMMYFUNCTION("""COMPUTED_VALUE"""),1734414)</f>
        <v>1734414</v>
      </c>
    </row>
    <row r="879" spans="1:6" x14ac:dyDescent="0.35">
      <c r="A879" s="2">
        <f ca="1">IFERROR(__xludf.DUMMYFUNCTION("""COMPUTED_VALUE"""),43278.6666666666)</f>
        <v>43278.666666666599</v>
      </c>
      <c r="B879" s="1">
        <f ca="1">IFERROR(__xludf.DUMMYFUNCTION("""COMPUTED_VALUE"""),56.8)</f>
        <v>56.8</v>
      </c>
      <c r="C879" s="1">
        <f ca="1">IFERROR(__xludf.DUMMYFUNCTION("""COMPUTED_VALUE"""),57.31)</f>
        <v>57.31</v>
      </c>
      <c r="D879" s="1">
        <f ca="1">IFERROR(__xludf.DUMMYFUNCTION("""COMPUTED_VALUE"""),55.84)</f>
        <v>55.84</v>
      </c>
      <c r="E879" s="1">
        <f ca="1">IFERROR(__xludf.DUMMYFUNCTION("""COMPUTED_VALUE"""),55.85)</f>
        <v>55.85</v>
      </c>
      <c r="F879" s="1">
        <f ca="1">IFERROR(__xludf.DUMMYFUNCTION("""COMPUTED_VALUE"""),1726866)</f>
        <v>1726866</v>
      </c>
    </row>
    <row r="880" spans="1:6" x14ac:dyDescent="0.35">
      <c r="A880" s="2">
        <f ca="1">IFERROR(__xludf.DUMMYFUNCTION("""COMPUTED_VALUE"""),43279.6666666666)</f>
        <v>43279.666666666599</v>
      </c>
      <c r="B880" s="1">
        <f ca="1">IFERROR(__xludf.DUMMYFUNCTION("""COMPUTED_VALUE"""),55.62)</f>
        <v>55.62</v>
      </c>
      <c r="C880" s="1">
        <f ca="1">IFERROR(__xludf.DUMMYFUNCTION("""COMPUTED_VALUE"""),56.7)</f>
        <v>56.7</v>
      </c>
      <c r="D880" s="1">
        <f ca="1">IFERROR(__xludf.DUMMYFUNCTION("""COMPUTED_VALUE"""),55.3)</f>
        <v>55.3</v>
      </c>
      <c r="E880" s="1">
        <f ca="1">IFERROR(__xludf.DUMMYFUNCTION("""COMPUTED_VALUE"""),56.34)</f>
        <v>56.34</v>
      </c>
      <c r="F880" s="1">
        <f ca="1">IFERROR(__xludf.DUMMYFUNCTION("""COMPUTED_VALUE"""),1486675)</f>
        <v>1486675</v>
      </c>
    </row>
    <row r="881" spans="1:6" x14ac:dyDescent="0.35">
      <c r="A881" s="2">
        <f ca="1">IFERROR(__xludf.DUMMYFUNCTION("""COMPUTED_VALUE"""),43280.6666666666)</f>
        <v>43280.666666666599</v>
      </c>
      <c r="B881" s="1">
        <f ca="1">IFERROR(__xludf.DUMMYFUNCTION("""COMPUTED_VALUE"""),56.62)</f>
        <v>56.62</v>
      </c>
      <c r="C881" s="1">
        <f ca="1">IFERROR(__xludf.DUMMYFUNCTION("""COMPUTED_VALUE"""),57.07)</f>
        <v>57.07</v>
      </c>
      <c r="D881" s="1">
        <f ca="1">IFERROR(__xludf.DUMMYFUNCTION("""COMPUTED_VALUE"""),56.35)</f>
        <v>56.35</v>
      </c>
      <c r="E881" s="1">
        <f ca="1">IFERROR(__xludf.DUMMYFUNCTION("""COMPUTED_VALUE"""),56.46)</f>
        <v>56.46</v>
      </c>
      <c r="F881" s="1">
        <f ca="1">IFERROR(__xludf.DUMMYFUNCTION("""COMPUTED_VALUE"""),1578116)</f>
        <v>1578116</v>
      </c>
    </row>
    <row r="882" spans="1:6" x14ac:dyDescent="0.35">
      <c r="A882" s="2">
        <f ca="1">IFERROR(__xludf.DUMMYFUNCTION("""COMPUTED_VALUE"""),43283.6666666666)</f>
        <v>43283.666666666599</v>
      </c>
      <c r="B882" s="1">
        <f ca="1">IFERROR(__xludf.DUMMYFUNCTION("""COMPUTED_VALUE"""),55.77)</f>
        <v>55.77</v>
      </c>
      <c r="C882" s="1">
        <f ca="1">IFERROR(__xludf.DUMMYFUNCTION("""COMPUTED_VALUE"""),57.15)</f>
        <v>57.15</v>
      </c>
      <c r="D882" s="1">
        <f ca="1">IFERROR(__xludf.DUMMYFUNCTION("""COMPUTED_VALUE"""),55.33)</f>
        <v>55.33</v>
      </c>
      <c r="E882" s="1">
        <f ca="1">IFERROR(__xludf.DUMMYFUNCTION("""COMPUTED_VALUE"""),57.11)</f>
        <v>57.11</v>
      </c>
      <c r="F882" s="1">
        <f ca="1">IFERROR(__xludf.DUMMYFUNCTION("""COMPUTED_VALUE"""),1161040)</f>
        <v>1161040</v>
      </c>
    </row>
    <row r="883" spans="1:6" x14ac:dyDescent="0.35">
      <c r="A883" s="2">
        <f ca="1">IFERROR(__xludf.DUMMYFUNCTION("""COMPUTED_VALUE"""),43284.5416666666)</f>
        <v>43284.541666666599</v>
      </c>
      <c r="B883" s="1">
        <f ca="1">IFERROR(__xludf.DUMMYFUNCTION("""COMPUTED_VALUE"""),57.47)</f>
        <v>57.47</v>
      </c>
      <c r="C883" s="1">
        <f ca="1">IFERROR(__xludf.DUMMYFUNCTION("""COMPUTED_VALUE"""),57.5)</f>
        <v>57.5</v>
      </c>
      <c r="D883" s="1">
        <f ca="1">IFERROR(__xludf.DUMMYFUNCTION("""COMPUTED_VALUE"""),55.72)</f>
        <v>55.72</v>
      </c>
      <c r="E883" s="1">
        <f ca="1">IFERROR(__xludf.DUMMYFUNCTION("""COMPUTED_VALUE"""),55.81)</f>
        <v>55.81</v>
      </c>
      <c r="F883" s="1">
        <f ca="1">IFERROR(__xludf.DUMMYFUNCTION("""COMPUTED_VALUE"""),822394)</f>
        <v>822394</v>
      </c>
    </row>
    <row r="884" spans="1:6" x14ac:dyDescent="0.35">
      <c r="A884" s="2">
        <f ca="1">IFERROR(__xludf.DUMMYFUNCTION("""COMPUTED_VALUE"""),43286.6666666666)</f>
        <v>43286.666666666599</v>
      </c>
      <c r="B884" s="1">
        <f ca="1">IFERROR(__xludf.DUMMYFUNCTION("""COMPUTED_VALUE"""),56.23)</f>
        <v>56.23</v>
      </c>
      <c r="C884" s="1">
        <f ca="1">IFERROR(__xludf.DUMMYFUNCTION("""COMPUTED_VALUE"""),57.21)</f>
        <v>57.21</v>
      </c>
      <c r="D884" s="1">
        <f ca="1">IFERROR(__xludf.DUMMYFUNCTION("""COMPUTED_VALUE"""),56.16)</f>
        <v>56.16</v>
      </c>
      <c r="E884" s="1">
        <f ca="1">IFERROR(__xludf.DUMMYFUNCTION("""COMPUTED_VALUE"""),57.06)</f>
        <v>57.06</v>
      </c>
      <c r="F884" s="1">
        <f ca="1">IFERROR(__xludf.DUMMYFUNCTION("""COMPUTED_VALUE"""),1429710)</f>
        <v>1429710</v>
      </c>
    </row>
    <row r="885" spans="1:6" x14ac:dyDescent="0.35">
      <c r="A885" s="2">
        <f ca="1">IFERROR(__xludf.DUMMYFUNCTION("""COMPUTED_VALUE"""),43287.6666666666)</f>
        <v>43287.666666666599</v>
      </c>
      <c r="B885" s="1">
        <f ca="1">IFERROR(__xludf.DUMMYFUNCTION("""COMPUTED_VALUE"""),57.09)</f>
        <v>57.09</v>
      </c>
      <c r="C885" s="1">
        <f ca="1">IFERROR(__xludf.DUMMYFUNCTION("""COMPUTED_VALUE"""),57.81)</f>
        <v>57.81</v>
      </c>
      <c r="D885" s="1">
        <f ca="1">IFERROR(__xludf.DUMMYFUNCTION("""COMPUTED_VALUE"""),56.86)</f>
        <v>56.86</v>
      </c>
      <c r="E885" s="1">
        <f ca="1">IFERROR(__xludf.DUMMYFUNCTION("""COMPUTED_VALUE"""),57.75)</f>
        <v>57.75</v>
      </c>
      <c r="F885" s="1">
        <f ca="1">IFERROR(__xludf.DUMMYFUNCTION("""COMPUTED_VALUE"""),1090967)</f>
        <v>1090967</v>
      </c>
    </row>
    <row r="886" spans="1:6" x14ac:dyDescent="0.35">
      <c r="A886" s="2">
        <f ca="1">IFERROR(__xludf.DUMMYFUNCTION("""COMPUTED_VALUE"""),43290.6666666666)</f>
        <v>43290.666666666599</v>
      </c>
      <c r="B886" s="1">
        <f ca="1">IFERROR(__xludf.DUMMYFUNCTION("""COMPUTED_VALUE"""),58)</f>
        <v>58</v>
      </c>
      <c r="C886" s="1">
        <f ca="1">IFERROR(__xludf.DUMMYFUNCTION("""COMPUTED_VALUE"""),58.4)</f>
        <v>58.4</v>
      </c>
      <c r="D886" s="1">
        <f ca="1">IFERROR(__xludf.DUMMYFUNCTION("""COMPUTED_VALUE"""),57.86)</f>
        <v>57.86</v>
      </c>
      <c r="E886" s="1">
        <f ca="1">IFERROR(__xludf.DUMMYFUNCTION("""COMPUTED_VALUE"""),58.36)</f>
        <v>58.36</v>
      </c>
      <c r="F886" s="1">
        <f ca="1">IFERROR(__xludf.DUMMYFUNCTION("""COMPUTED_VALUE"""),1079201)</f>
        <v>1079201</v>
      </c>
    </row>
    <row r="887" spans="1:6" x14ac:dyDescent="0.35">
      <c r="A887" s="2">
        <f ca="1">IFERROR(__xludf.DUMMYFUNCTION("""COMPUTED_VALUE"""),43291.6666666666)</f>
        <v>43291.666666666599</v>
      </c>
      <c r="B887" s="1">
        <f ca="1">IFERROR(__xludf.DUMMYFUNCTION("""COMPUTED_VALUE"""),58.5)</f>
        <v>58.5</v>
      </c>
      <c r="C887" s="1">
        <f ca="1">IFERROR(__xludf.DUMMYFUNCTION("""COMPUTED_VALUE"""),58.68)</f>
        <v>58.68</v>
      </c>
      <c r="D887" s="1">
        <f ca="1">IFERROR(__xludf.DUMMYFUNCTION("""COMPUTED_VALUE"""),58.13)</f>
        <v>58.13</v>
      </c>
      <c r="E887" s="1">
        <f ca="1">IFERROR(__xludf.DUMMYFUNCTION("""COMPUTED_VALUE"""),58.36)</f>
        <v>58.36</v>
      </c>
      <c r="F887" s="1">
        <f ca="1">IFERROR(__xludf.DUMMYFUNCTION("""COMPUTED_VALUE"""),1066704)</f>
        <v>1066704</v>
      </c>
    </row>
    <row r="888" spans="1:6" x14ac:dyDescent="0.35">
      <c r="A888" s="2">
        <f ca="1">IFERROR(__xludf.DUMMYFUNCTION("""COMPUTED_VALUE"""),43292.6666666666)</f>
        <v>43292.666666666599</v>
      </c>
      <c r="B888" s="1">
        <f ca="1">IFERROR(__xludf.DUMMYFUNCTION("""COMPUTED_VALUE"""),57.78)</f>
        <v>57.78</v>
      </c>
      <c r="C888" s="1">
        <f ca="1">IFERROR(__xludf.DUMMYFUNCTION("""COMPUTED_VALUE"""),59.02)</f>
        <v>59.02</v>
      </c>
      <c r="D888" s="1">
        <f ca="1">IFERROR(__xludf.DUMMYFUNCTION("""COMPUTED_VALUE"""),57.77)</f>
        <v>57.77</v>
      </c>
      <c r="E888" s="1">
        <f ca="1">IFERROR(__xludf.DUMMYFUNCTION("""COMPUTED_VALUE"""),58.57)</f>
        <v>58.57</v>
      </c>
      <c r="F888" s="1">
        <f ca="1">IFERROR(__xludf.DUMMYFUNCTION("""COMPUTED_VALUE"""),1662633)</f>
        <v>1662633</v>
      </c>
    </row>
    <row r="889" spans="1:6" x14ac:dyDescent="0.35">
      <c r="A889" s="2">
        <f ca="1">IFERROR(__xludf.DUMMYFUNCTION("""COMPUTED_VALUE"""),43293.6666666666)</f>
        <v>43293.666666666599</v>
      </c>
      <c r="B889" s="1">
        <f ca="1">IFERROR(__xludf.DUMMYFUNCTION("""COMPUTED_VALUE"""),58.74)</f>
        <v>58.74</v>
      </c>
      <c r="C889" s="1">
        <f ca="1">IFERROR(__xludf.DUMMYFUNCTION("""COMPUTED_VALUE"""),60.1)</f>
        <v>60.1</v>
      </c>
      <c r="D889" s="1">
        <f ca="1">IFERROR(__xludf.DUMMYFUNCTION("""COMPUTED_VALUE"""),58.66)</f>
        <v>58.66</v>
      </c>
      <c r="E889" s="1">
        <f ca="1">IFERROR(__xludf.DUMMYFUNCTION("""COMPUTED_VALUE"""),60.06)</f>
        <v>60.06</v>
      </c>
      <c r="F889" s="1">
        <f ca="1">IFERROR(__xludf.DUMMYFUNCTION("""COMPUTED_VALUE"""),2207431)</f>
        <v>2207431</v>
      </c>
    </row>
    <row r="890" spans="1:6" x14ac:dyDescent="0.35">
      <c r="A890" s="2">
        <f ca="1">IFERROR(__xludf.DUMMYFUNCTION("""COMPUTED_VALUE"""),43294.6666666666)</f>
        <v>43294.666666666599</v>
      </c>
      <c r="B890" s="1">
        <f ca="1">IFERROR(__xludf.DUMMYFUNCTION("""COMPUTED_VALUE"""),60.14)</f>
        <v>60.14</v>
      </c>
      <c r="C890" s="1">
        <f ca="1">IFERROR(__xludf.DUMMYFUNCTION("""COMPUTED_VALUE"""),60.52)</f>
        <v>60.52</v>
      </c>
      <c r="D890" s="1">
        <f ca="1">IFERROR(__xludf.DUMMYFUNCTION("""COMPUTED_VALUE"""),59.76)</f>
        <v>59.76</v>
      </c>
      <c r="E890" s="1">
        <f ca="1">IFERROR(__xludf.DUMMYFUNCTION("""COMPUTED_VALUE"""),60.22)</f>
        <v>60.22</v>
      </c>
      <c r="F890" s="1">
        <f ca="1">IFERROR(__xludf.DUMMYFUNCTION("""COMPUTED_VALUE"""),1631857)</f>
        <v>1631857</v>
      </c>
    </row>
    <row r="891" spans="1:6" x14ac:dyDescent="0.35">
      <c r="A891" s="2">
        <f ca="1">IFERROR(__xludf.DUMMYFUNCTION("""COMPUTED_VALUE"""),43297.6666666666)</f>
        <v>43297.666666666599</v>
      </c>
      <c r="B891" s="1">
        <f ca="1">IFERROR(__xludf.DUMMYFUNCTION("""COMPUTED_VALUE"""),60.19)</f>
        <v>60.19</v>
      </c>
      <c r="C891" s="1">
        <f ca="1">IFERROR(__xludf.DUMMYFUNCTION("""COMPUTED_VALUE"""),60.44)</f>
        <v>60.44</v>
      </c>
      <c r="D891" s="1">
        <f ca="1">IFERROR(__xludf.DUMMYFUNCTION("""COMPUTED_VALUE"""),59.67)</f>
        <v>59.67</v>
      </c>
      <c r="E891" s="1">
        <f ca="1">IFERROR(__xludf.DUMMYFUNCTION("""COMPUTED_VALUE"""),59.83)</f>
        <v>59.83</v>
      </c>
      <c r="F891" s="1">
        <f ca="1">IFERROR(__xludf.DUMMYFUNCTION("""COMPUTED_VALUE"""),1339237)</f>
        <v>1339237</v>
      </c>
    </row>
    <row r="892" spans="1:6" x14ac:dyDescent="0.35">
      <c r="A892" s="2">
        <f ca="1">IFERROR(__xludf.DUMMYFUNCTION("""COMPUTED_VALUE"""),43298.6666666666)</f>
        <v>43298.666666666599</v>
      </c>
      <c r="B892" s="1">
        <f ca="1">IFERROR(__xludf.DUMMYFUNCTION("""COMPUTED_VALUE"""),59.14)</f>
        <v>59.14</v>
      </c>
      <c r="C892" s="1">
        <f ca="1">IFERROR(__xludf.DUMMYFUNCTION("""COMPUTED_VALUE"""),60.94)</f>
        <v>60.94</v>
      </c>
      <c r="D892" s="1">
        <f ca="1">IFERROR(__xludf.DUMMYFUNCTION("""COMPUTED_VALUE"""),59.1)</f>
        <v>59.1</v>
      </c>
      <c r="E892" s="1">
        <f ca="1">IFERROR(__xludf.DUMMYFUNCTION("""COMPUTED_VALUE"""),60.65)</f>
        <v>60.65</v>
      </c>
      <c r="F892" s="1">
        <f ca="1">IFERROR(__xludf.DUMMYFUNCTION("""COMPUTED_VALUE"""),2008133)</f>
        <v>2008133</v>
      </c>
    </row>
    <row r="893" spans="1:6" x14ac:dyDescent="0.35">
      <c r="A893" s="2">
        <f ca="1">IFERROR(__xludf.DUMMYFUNCTION("""COMPUTED_VALUE"""),43299.6666666666)</f>
        <v>43299.666666666599</v>
      </c>
      <c r="B893" s="1">
        <f ca="1">IFERROR(__xludf.DUMMYFUNCTION("""COMPUTED_VALUE"""),60.43)</f>
        <v>60.43</v>
      </c>
      <c r="C893" s="1">
        <f ca="1">IFERROR(__xludf.DUMMYFUNCTION("""COMPUTED_VALUE"""),61.08)</f>
        <v>61.08</v>
      </c>
      <c r="D893" s="1">
        <f ca="1">IFERROR(__xludf.DUMMYFUNCTION("""COMPUTED_VALUE"""),60.23)</f>
        <v>60.23</v>
      </c>
      <c r="E893" s="1">
        <f ca="1">IFERROR(__xludf.DUMMYFUNCTION("""COMPUTED_VALUE"""),60.65)</f>
        <v>60.65</v>
      </c>
      <c r="F893" s="1">
        <f ca="1">IFERROR(__xludf.DUMMYFUNCTION("""COMPUTED_VALUE"""),1947397)</f>
        <v>1947397</v>
      </c>
    </row>
    <row r="894" spans="1:6" x14ac:dyDescent="0.35">
      <c r="A894" s="2">
        <f ca="1">IFERROR(__xludf.DUMMYFUNCTION("""COMPUTED_VALUE"""),43300.6666666666)</f>
        <v>43300.666666666599</v>
      </c>
      <c r="B894" s="1">
        <f ca="1">IFERROR(__xludf.DUMMYFUNCTION("""COMPUTED_VALUE"""),60.33)</f>
        <v>60.33</v>
      </c>
      <c r="C894" s="1">
        <f ca="1">IFERROR(__xludf.DUMMYFUNCTION("""COMPUTED_VALUE"""),60.82)</f>
        <v>60.82</v>
      </c>
      <c r="D894" s="1">
        <f ca="1">IFERROR(__xludf.DUMMYFUNCTION("""COMPUTED_VALUE"""),59.89)</f>
        <v>59.89</v>
      </c>
      <c r="E894" s="1">
        <f ca="1">IFERROR(__xludf.DUMMYFUNCTION("""COMPUTED_VALUE"""),59.96)</f>
        <v>59.96</v>
      </c>
      <c r="F894" s="1">
        <f ca="1">IFERROR(__xludf.DUMMYFUNCTION("""COMPUTED_VALUE"""),1916892)</f>
        <v>1916892</v>
      </c>
    </row>
    <row r="895" spans="1:6" x14ac:dyDescent="0.35">
      <c r="A895" s="2">
        <f ca="1">IFERROR(__xludf.DUMMYFUNCTION("""COMPUTED_VALUE"""),43301.6666666666)</f>
        <v>43301.666666666599</v>
      </c>
      <c r="B895" s="1">
        <f ca="1">IFERROR(__xludf.DUMMYFUNCTION("""COMPUTED_VALUE"""),59.96)</f>
        <v>59.96</v>
      </c>
      <c r="C895" s="1">
        <f ca="1">IFERROR(__xludf.DUMMYFUNCTION("""COMPUTED_VALUE"""),60.54)</f>
        <v>60.54</v>
      </c>
      <c r="D895" s="1">
        <f ca="1">IFERROR(__xludf.DUMMYFUNCTION("""COMPUTED_VALUE"""),59.83)</f>
        <v>59.83</v>
      </c>
      <c r="E895" s="1">
        <f ca="1">IFERROR(__xludf.DUMMYFUNCTION("""COMPUTED_VALUE"""),59.89)</f>
        <v>59.89</v>
      </c>
      <c r="F895" s="1">
        <f ca="1">IFERROR(__xludf.DUMMYFUNCTION("""COMPUTED_VALUE"""),1898376)</f>
        <v>1898376</v>
      </c>
    </row>
    <row r="896" spans="1:6" x14ac:dyDescent="0.35">
      <c r="A896" s="2">
        <f ca="1">IFERROR(__xludf.DUMMYFUNCTION("""COMPUTED_VALUE"""),43304.6666666666)</f>
        <v>43304.666666666599</v>
      </c>
      <c r="B896" s="1">
        <f ca="1">IFERROR(__xludf.DUMMYFUNCTION("""COMPUTED_VALUE"""),59.78)</f>
        <v>59.78</v>
      </c>
      <c r="C896" s="1">
        <f ca="1">IFERROR(__xludf.DUMMYFUNCTION("""COMPUTED_VALUE"""),60.76)</f>
        <v>60.76</v>
      </c>
      <c r="D896" s="1">
        <f ca="1">IFERROR(__xludf.DUMMYFUNCTION("""COMPUTED_VALUE"""),59.6)</f>
        <v>59.6</v>
      </c>
      <c r="E896" s="1">
        <f ca="1">IFERROR(__xludf.DUMMYFUNCTION("""COMPUTED_VALUE"""),60.55)</f>
        <v>60.55</v>
      </c>
      <c r="F896" s="1">
        <f ca="1">IFERROR(__xludf.DUMMYFUNCTION("""COMPUTED_VALUE"""),3272304)</f>
        <v>3272304</v>
      </c>
    </row>
    <row r="897" spans="1:6" x14ac:dyDescent="0.35">
      <c r="A897" s="2">
        <f ca="1">IFERROR(__xludf.DUMMYFUNCTION("""COMPUTED_VALUE"""),43305.6666666666)</f>
        <v>43305.666666666599</v>
      </c>
      <c r="B897" s="1">
        <f ca="1">IFERROR(__xludf.DUMMYFUNCTION("""COMPUTED_VALUE"""),63.55)</f>
        <v>63.55</v>
      </c>
      <c r="C897" s="1">
        <f ca="1">IFERROR(__xludf.DUMMYFUNCTION("""COMPUTED_VALUE"""),63.75)</f>
        <v>63.75</v>
      </c>
      <c r="D897" s="1">
        <f ca="1">IFERROR(__xludf.DUMMYFUNCTION("""COMPUTED_VALUE"""),62.21)</f>
        <v>62.21</v>
      </c>
      <c r="E897" s="1">
        <f ca="1">IFERROR(__xludf.DUMMYFUNCTION("""COMPUTED_VALUE"""),62.91)</f>
        <v>62.91</v>
      </c>
      <c r="F897" s="1">
        <f ca="1">IFERROR(__xludf.DUMMYFUNCTION("""COMPUTED_VALUE"""),5380032)</f>
        <v>5380032</v>
      </c>
    </row>
    <row r="898" spans="1:6" x14ac:dyDescent="0.35">
      <c r="A898" s="2">
        <f ca="1">IFERROR(__xludf.DUMMYFUNCTION("""COMPUTED_VALUE"""),43306.6666666666)</f>
        <v>43306.666666666599</v>
      </c>
      <c r="B898" s="1">
        <f ca="1">IFERROR(__xludf.DUMMYFUNCTION("""COMPUTED_VALUE"""),62.63)</f>
        <v>62.63</v>
      </c>
      <c r="C898" s="1">
        <f ca="1">IFERROR(__xludf.DUMMYFUNCTION("""COMPUTED_VALUE"""),63.91)</f>
        <v>63.91</v>
      </c>
      <c r="D898" s="1">
        <f ca="1">IFERROR(__xludf.DUMMYFUNCTION("""COMPUTED_VALUE"""),62.45)</f>
        <v>62.45</v>
      </c>
      <c r="E898" s="1">
        <f ca="1">IFERROR(__xludf.DUMMYFUNCTION("""COMPUTED_VALUE"""),63.8)</f>
        <v>63.8</v>
      </c>
      <c r="F898" s="1">
        <f ca="1">IFERROR(__xludf.DUMMYFUNCTION("""COMPUTED_VALUE"""),2575437)</f>
        <v>2575437</v>
      </c>
    </row>
    <row r="899" spans="1:6" x14ac:dyDescent="0.35">
      <c r="A899" s="2">
        <f ca="1">IFERROR(__xludf.DUMMYFUNCTION("""COMPUTED_VALUE"""),43307.6666666666)</f>
        <v>43307.666666666599</v>
      </c>
      <c r="B899" s="1">
        <f ca="1">IFERROR(__xludf.DUMMYFUNCTION("""COMPUTED_VALUE"""),63.36)</f>
        <v>63.36</v>
      </c>
      <c r="C899" s="1">
        <f ca="1">IFERROR(__xludf.DUMMYFUNCTION("""COMPUTED_VALUE"""),64.37)</f>
        <v>64.37</v>
      </c>
      <c r="D899" s="1">
        <f ca="1">IFERROR(__xludf.DUMMYFUNCTION("""COMPUTED_VALUE"""),63.15)</f>
        <v>63.15</v>
      </c>
      <c r="E899" s="1">
        <f ca="1">IFERROR(__xludf.DUMMYFUNCTION("""COMPUTED_VALUE"""),64.28)</f>
        <v>64.28</v>
      </c>
      <c r="F899" s="1">
        <f ca="1">IFERROR(__xludf.DUMMYFUNCTION("""COMPUTED_VALUE"""),2734302)</f>
        <v>2734302</v>
      </c>
    </row>
    <row r="900" spans="1:6" x14ac:dyDescent="0.35">
      <c r="A900" s="2">
        <f ca="1">IFERROR(__xludf.DUMMYFUNCTION("""COMPUTED_VALUE"""),43308.6666666666)</f>
        <v>43308.666666666599</v>
      </c>
      <c r="B900" s="1">
        <f ca="1">IFERROR(__xludf.DUMMYFUNCTION("""COMPUTED_VALUE"""),64.46)</f>
        <v>64.459999999999994</v>
      </c>
      <c r="C900" s="1">
        <f ca="1">IFERROR(__xludf.DUMMYFUNCTION("""COMPUTED_VALUE"""),64.57)</f>
        <v>64.569999999999993</v>
      </c>
      <c r="D900" s="1">
        <f ca="1">IFERROR(__xludf.DUMMYFUNCTION("""COMPUTED_VALUE"""),62.22)</f>
        <v>62.22</v>
      </c>
      <c r="E900" s="1">
        <f ca="1">IFERROR(__xludf.DUMMYFUNCTION("""COMPUTED_VALUE"""),62.64)</f>
        <v>62.64</v>
      </c>
      <c r="F900" s="1">
        <f ca="1">IFERROR(__xludf.DUMMYFUNCTION("""COMPUTED_VALUE"""),2418090)</f>
        <v>2418090</v>
      </c>
    </row>
    <row r="901" spans="1:6" x14ac:dyDescent="0.35">
      <c r="A901" s="2">
        <f ca="1">IFERROR(__xludf.DUMMYFUNCTION("""COMPUTED_VALUE"""),43311.6666666666)</f>
        <v>43311.666666666599</v>
      </c>
      <c r="B901" s="1">
        <f ca="1">IFERROR(__xludf.DUMMYFUNCTION("""COMPUTED_VALUE"""),62.25)</f>
        <v>62.25</v>
      </c>
      <c r="C901" s="1">
        <f ca="1">IFERROR(__xludf.DUMMYFUNCTION("""COMPUTED_VALUE"""),62.64)</f>
        <v>62.64</v>
      </c>
      <c r="D901" s="1">
        <f ca="1">IFERROR(__xludf.DUMMYFUNCTION("""COMPUTED_VALUE"""),61.21)</f>
        <v>61.21</v>
      </c>
      <c r="E901" s="1">
        <f ca="1">IFERROR(__xludf.DUMMYFUNCTION("""COMPUTED_VALUE"""),61.5)</f>
        <v>61.5</v>
      </c>
      <c r="F901" s="1">
        <f ca="1">IFERROR(__xludf.DUMMYFUNCTION("""COMPUTED_VALUE"""),2194837)</f>
        <v>2194837</v>
      </c>
    </row>
    <row r="902" spans="1:6" x14ac:dyDescent="0.35">
      <c r="A902" s="2">
        <f ca="1">IFERROR(__xludf.DUMMYFUNCTION("""COMPUTED_VALUE"""),43312.6666666666)</f>
        <v>43312.666666666599</v>
      </c>
      <c r="B902" s="1">
        <f ca="1">IFERROR(__xludf.DUMMYFUNCTION("""COMPUTED_VALUE"""),61.59)</f>
        <v>61.59</v>
      </c>
      <c r="C902" s="1">
        <f ca="1">IFERROR(__xludf.DUMMYFUNCTION("""COMPUTED_VALUE"""),62.06)</f>
        <v>62.06</v>
      </c>
      <c r="D902" s="1">
        <f ca="1">IFERROR(__xludf.DUMMYFUNCTION("""COMPUTED_VALUE"""),60.81)</f>
        <v>60.81</v>
      </c>
      <c r="E902" s="1">
        <f ca="1">IFERROR(__xludf.DUMMYFUNCTION("""COMPUTED_VALUE"""),61.36)</f>
        <v>61.36</v>
      </c>
      <c r="F902" s="1">
        <f ca="1">IFERROR(__xludf.DUMMYFUNCTION("""COMPUTED_VALUE"""),1969111)</f>
        <v>1969111</v>
      </c>
    </row>
    <row r="903" spans="1:6" x14ac:dyDescent="0.35">
      <c r="A903" s="2">
        <f ca="1">IFERROR(__xludf.DUMMYFUNCTION("""COMPUTED_VALUE"""),43313.6666666666)</f>
        <v>43313.666666666599</v>
      </c>
      <c r="B903" s="1">
        <f ca="1">IFERROR(__xludf.DUMMYFUNCTION("""COMPUTED_VALUE"""),61.96)</f>
        <v>61.96</v>
      </c>
      <c r="C903" s="1">
        <f ca="1">IFERROR(__xludf.DUMMYFUNCTION("""COMPUTED_VALUE"""),62.3)</f>
        <v>62.3</v>
      </c>
      <c r="D903" s="1">
        <f ca="1">IFERROR(__xludf.DUMMYFUNCTION("""COMPUTED_VALUE"""),61.25)</f>
        <v>61.25</v>
      </c>
      <c r="E903" s="1">
        <f ca="1">IFERROR(__xludf.DUMMYFUNCTION("""COMPUTED_VALUE"""),61.65)</f>
        <v>61.65</v>
      </c>
      <c r="F903" s="1">
        <f ca="1">IFERROR(__xludf.DUMMYFUNCTION("""COMPUTED_VALUE"""),1849740)</f>
        <v>1849740</v>
      </c>
    </row>
    <row r="904" spans="1:6" x14ac:dyDescent="0.35">
      <c r="A904" s="2">
        <f ca="1">IFERROR(__xludf.DUMMYFUNCTION("""COMPUTED_VALUE"""),43314.6666666666)</f>
        <v>43314.666666666599</v>
      </c>
      <c r="B904" s="1">
        <f ca="1">IFERROR(__xludf.DUMMYFUNCTION("""COMPUTED_VALUE"""),60.93)</f>
        <v>60.93</v>
      </c>
      <c r="C904" s="1">
        <f ca="1">IFERROR(__xludf.DUMMYFUNCTION("""COMPUTED_VALUE"""),62.22)</f>
        <v>62.22</v>
      </c>
      <c r="D904" s="1">
        <f ca="1">IFERROR(__xludf.DUMMYFUNCTION("""COMPUTED_VALUE"""),60.9)</f>
        <v>60.9</v>
      </c>
      <c r="E904" s="1">
        <f ca="1">IFERROR(__xludf.DUMMYFUNCTION("""COMPUTED_VALUE"""),62.06)</f>
        <v>62.06</v>
      </c>
      <c r="F904" s="1">
        <f ca="1">IFERROR(__xludf.DUMMYFUNCTION("""COMPUTED_VALUE"""),1735180)</f>
        <v>1735180</v>
      </c>
    </row>
    <row r="905" spans="1:6" x14ac:dyDescent="0.35">
      <c r="A905" s="2">
        <f ca="1">IFERROR(__xludf.DUMMYFUNCTION("""COMPUTED_VALUE"""),43315.6666666666)</f>
        <v>43315.666666666599</v>
      </c>
      <c r="B905" s="1">
        <f ca="1">IFERROR(__xludf.DUMMYFUNCTION("""COMPUTED_VALUE"""),62.26)</f>
        <v>62.26</v>
      </c>
      <c r="C905" s="1">
        <f ca="1">IFERROR(__xludf.DUMMYFUNCTION("""COMPUTED_VALUE"""),62.33)</f>
        <v>62.33</v>
      </c>
      <c r="D905" s="1">
        <f ca="1">IFERROR(__xludf.DUMMYFUNCTION("""COMPUTED_VALUE"""),61.47)</f>
        <v>61.47</v>
      </c>
      <c r="E905" s="1">
        <f ca="1">IFERROR(__xludf.DUMMYFUNCTION("""COMPUTED_VALUE"""),61.91)</f>
        <v>61.91</v>
      </c>
      <c r="F905" s="1">
        <f ca="1">IFERROR(__xludf.DUMMYFUNCTION("""COMPUTED_VALUE"""),1063244)</f>
        <v>1063244</v>
      </c>
    </row>
    <row r="906" spans="1:6" x14ac:dyDescent="0.35">
      <c r="A906" s="2">
        <f ca="1">IFERROR(__xludf.DUMMYFUNCTION("""COMPUTED_VALUE"""),43318.6666666666)</f>
        <v>43318.666666666599</v>
      </c>
      <c r="B906" s="1">
        <f ca="1">IFERROR(__xludf.DUMMYFUNCTION("""COMPUTED_VALUE"""),62.08)</f>
        <v>62.08</v>
      </c>
      <c r="C906" s="1">
        <f ca="1">IFERROR(__xludf.DUMMYFUNCTION("""COMPUTED_VALUE"""),62.12)</f>
        <v>62.12</v>
      </c>
      <c r="D906" s="1">
        <f ca="1">IFERROR(__xludf.DUMMYFUNCTION("""COMPUTED_VALUE"""),61.53)</f>
        <v>61.53</v>
      </c>
      <c r="E906" s="1">
        <f ca="1">IFERROR(__xludf.DUMMYFUNCTION("""COMPUTED_VALUE"""),61.88)</f>
        <v>61.88</v>
      </c>
      <c r="F906" s="1">
        <f ca="1">IFERROR(__xludf.DUMMYFUNCTION("""COMPUTED_VALUE"""),1105916)</f>
        <v>1105916</v>
      </c>
    </row>
    <row r="907" spans="1:6" x14ac:dyDescent="0.35">
      <c r="A907" s="2">
        <f ca="1">IFERROR(__xludf.DUMMYFUNCTION("""COMPUTED_VALUE"""),43319.6666666666)</f>
        <v>43319.666666666599</v>
      </c>
      <c r="B907" s="1">
        <f ca="1">IFERROR(__xludf.DUMMYFUNCTION("""COMPUTED_VALUE"""),62.6)</f>
        <v>62.6</v>
      </c>
      <c r="C907" s="1">
        <f ca="1">IFERROR(__xludf.DUMMYFUNCTION("""COMPUTED_VALUE"""),63.3)</f>
        <v>63.3</v>
      </c>
      <c r="D907" s="1">
        <f ca="1">IFERROR(__xludf.DUMMYFUNCTION("""COMPUTED_VALUE"""),62.59)</f>
        <v>62.59</v>
      </c>
      <c r="E907" s="1">
        <f ca="1">IFERROR(__xludf.DUMMYFUNCTION("""COMPUTED_VALUE"""),62.79)</f>
        <v>62.79</v>
      </c>
      <c r="F907" s="1">
        <f ca="1">IFERROR(__xludf.DUMMYFUNCTION("""COMPUTED_VALUE"""),2125256)</f>
        <v>2125256</v>
      </c>
    </row>
    <row r="908" spans="1:6" x14ac:dyDescent="0.35">
      <c r="A908" s="2">
        <f ca="1">IFERROR(__xludf.DUMMYFUNCTION("""COMPUTED_VALUE"""),43320.6666666666)</f>
        <v>43320.666666666599</v>
      </c>
      <c r="B908" s="1">
        <f ca="1">IFERROR(__xludf.DUMMYFUNCTION("""COMPUTED_VALUE"""),62.84)</f>
        <v>62.84</v>
      </c>
      <c r="C908" s="1">
        <f ca="1">IFERROR(__xludf.DUMMYFUNCTION("""COMPUTED_VALUE"""),63.59)</f>
        <v>63.59</v>
      </c>
      <c r="D908" s="1">
        <f ca="1">IFERROR(__xludf.DUMMYFUNCTION("""COMPUTED_VALUE"""),62.61)</f>
        <v>62.61</v>
      </c>
      <c r="E908" s="1">
        <f ca="1">IFERROR(__xludf.DUMMYFUNCTION("""COMPUTED_VALUE"""),63.07)</f>
        <v>63.07</v>
      </c>
      <c r="F908" s="1">
        <f ca="1">IFERROR(__xludf.DUMMYFUNCTION("""COMPUTED_VALUE"""),1718664)</f>
        <v>1718664</v>
      </c>
    </row>
    <row r="909" spans="1:6" x14ac:dyDescent="0.35">
      <c r="A909" s="2">
        <f ca="1">IFERROR(__xludf.DUMMYFUNCTION("""COMPUTED_VALUE"""),43321.6666666666)</f>
        <v>43321.666666666599</v>
      </c>
      <c r="B909" s="1">
        <f ca="1">IFERROR(__xludf.DUMMYFUNCTION("""COMPUTED_VALUE"""),63.14)</f>
        <v>63.14</v>
      </c>
      <c r="C909" s="1">
        <f ca="1">IFERROR(__xludf.DUMMYFUNCTION("""COMPUTED_VALUE"""),63.6)</f>
        <v>63.6</v>
      </c>
      <c r="D909" s="1">
        <f ca="1">IFERROR(__xludf.DUMMYFUNCTION("""COMPUTED_VALUE"""),63.01)</f>
        <v>63.01</v>
      </c>
      <c r="E909" s="1">
        <f ca="1">IFERROR(__xludf.DUMMYFUNCTION("""COMPUTED_VALUE"""),63.22)</f>
        <v>63.22</v>
      </c>
      <c r="F909" s="1">
        <f ca="1">IFERROR(__xludf.DUMMYFUNCTION("""COMPUTED_VALUE"""),1366318)</f>
        <v>1366318</v>
      </c>
    </row>
    <row r="910" spans="1:6" x14ac:dyDescent="0.35">
      <c r="A910" s="2">
        <f ca="1">IFERROR(__xludf.DUMMYFUNCTION("""COMPUTED_VALUE"""),43322.6666666666)</f>
        <v>43322.666666666599</v>
      </c>
      <c r="B910" s="1">
        <f ca="1">IFERROR(__xludf.DUMMYFUNCTION("""COMPUTED_VALUE"""),62.96)</f>
        <v>62.96</v>
      </c>
      <c r="C910" s="1">
        <f ca="1">IFERROR(__xludf.DUMMYFUNCTION("""COMPUTED_VALUE"""),63.06)</f>
        <v>63.06</v>
      </c>
      <c r="D910" s="1">
        <f ca="1">IFERROR(__xludf.DUMMYFUNCTION("""COMPUTED_VALUE"""),62.36)</f>
        <v>62.36</v>
      </c>
      <c r="E910" s="1">
        <f ca="1">IFERROR(__xludf.DUMMYFUNCTION("""COMPUTED_VALUE"""),62.63)</f>
        <v>62.63</v>
      </c>
      <c r="F910" s="1">
        <f ca="1">IFERROR(__xludf.DUMMYFUNCTION("""COMPUTED_VALUE"""),1334387)</f>
        <v>1334387</v>
      </c>
    </row>
    <row r="911" spans="1:6" x14ac:dyDescent="0.35">
      <c r="A911" s="2">
        <f ca="1">IFERROR(__xludf.DUMMYFUNCTION("""COMPUTED_VALUE"""),43325.6666666666)</f>
        <v>43325.666666666599</v>
      </c>
      <c r="B911" s="1">
        <f ca="1">IFERROR(__xludf.DUMMYFUNCTION("""COMPUTED_VALUE"""),62.56)</f>
        <v>62.56</v>
      </c>
      <c r="C911" s="1">
        <f ca="1">IFERROR(__xludf.DUMMYFUNCTION("""COMPUTED_VALUE"""),63.3)</f>
        <v>63.3</v>
      </c>
      <c r="D911" s="1">
        <f ca="1">IFERROR(__xludf.DUMMYFUNCTION("""COMPUTED_VALUE"""),62.35)</f>
        <v>62.35</v>
      </c>
      <c r="E911" s="1">
        <f ca="1">IFERROR(__xludf.DUMMYFUNCTION("""COMPUTED_VALUE"""),62.43)</f>
        <v>62.43</v>
      </c>
      <c r="F911" s="1">
        <f ca="1">IFERROR(__xludf.DUMMYFUNCTION("""COMPUTED_VALUE"""),1380882)</f>
        <v>1380882</v>
      </c>
    </row>
    <row r="912" spans="1:6" x14ac:dyDescent="0.35">
      <c r="A912" s="2">
        <f ca="1">IFERROR(__xludf.DUMMYFUNCTION("""COMPUTED_VALUE"""),43326.6666666666)</f>
        <v>43326.666666666599</v>
      </c>
      <c r="B912" s="1">
        <f ca="1">IFERROR(__xludf.DUMMYFUNCTION("""COMPUTED_VALUE"""),62.63)</f>
        <v>62.63</v>
      </c>
      <c r="C912" s="1">
        <f ca="1">IFERROR(__xludf.DUMMYFUNCTION("""COMPUTED_VALUE"""),63.03)</f>
        <v>63.03</v>
      </c>
      <c r="D912" s="1">
        <f ca="1">IFERROR(__xludf.DUMMYFUNCTION("""COMPUTED_VALUE"""),61.98)</f>
        <v>61.98</v>
      </c>
      <c r="E912" s="1">
        <f ca="1">IFERROR(__xludf.DUMMYFUNCTION("""COMPUTED_VALUE"""),62.91)</f>
        <v>62.91</v>
      </c>
      <c r="F912" s="1">
        <f ca="1">IFERROR(__xludf.DUMMYFUNCTION("""COMPUTED_VALUE"""),1403991)</f>
        <v>1403991</v>
      </c>
    </row>
    <row r="913" spans="1:6" x14ac:dyDescent="0.35">
      <c r="A913" s="2">
        <f ca="1">IFERROR(__xludf.DUMMYFUNCTION("""COMPUTED_VALUE"""),43327.6666666666)</f>
        <v>43327.666666666599</v>
      </c>
      <c r="B913" s="1">
        <f ca="1">IFERROR(__xludf.DUMMYFUNCTION("""COMPUTED_VALUE"""),62.21)</f>
        <v>62.21</v>
      </c>
      <c r="C913" s="1">
        <f ca="1">IFERROR(__xludf.DUMMYFUNCTION("""COMPUTED_VALUE"""),62.6)</f>
        <v>62.6</v>
      </c>
      <c r="D913" s="1">
        <f ca="1">IFERROR(__xludf.DUMMYFUNCTION("""COMPUTED_VALUE"""),61.31)</f>
        <v>61.31</v>
      </c>
      <c r="E913" s="1">
        <f ca="1">IFERROR(__xludf.DUMMYFUNCTION("""COMPUTED_VALUE"""),61.61)</f>
        <v>61.61</v>
      </c>
      <c r="F913" s="1">
        <f ca="1">IFERROR(__xludf.DUMMYFUNCTION("""COMPUTED_VALUE"""),1852558)</f>
        <v>1852558</v>
      </c>
    </row>
    <row r="914" spans="1:6" x14ac:dyDescent="0.35">
      <c r="A914" s="2">
        <f ca="1">IFERROR(__xludf.DUMMYFUNCTION("""COMPUTED_VALUE"""),43328.6666666666)</f>
        <v>43328.666666666599</v>
      </c>
      <c r="B914" s="1">
        <f ca="1">IFERROR(__xludf.DUMMYFUNCTION("""COMPUTED_VALUE"""),62.1)</f>
        <v>62.1</v>
      </c>
      <c r="C914" s="1">
        <f ca="1">IFERROR(__xludf.DUMMYFUNCTION("""COMPUTED_VALUE"""),62.18)</f>
        <v>62.18</v>
      </c>
      <c r="D914" s="1">
        <f ca="1">IFERROR(__xludf.DUMMYFUNCTION("""COMPUTED_VALUE"""),60.98)</f>
        <v>60.98</v>
      </c>
      <c r="E914" s="1">
        <f ca="1">IFERROR(__xludf.DUMMYFUNCTION("""COMPUTED_VALUE"""),61.2)</f>
        <v>61.2</v>
      </c>
      <c r="F914" s="1">
        <f ca="1">IFERROR(__xludf.DUMMYFUNCTION("""COMPUTED_VALUE"""),1608799)</f>
        <v>1608799</v>
      </c>
    </row>
    <row r="915" spans="1:6" x14ac:dyDescent="0.35">
      <c r="A915" s="2">
        <f ca="1">IFERROR(__xludf.DUMMYFUNCTION("""COMPUTED_VALUE"""),43329.6666666666)</f>
        <v>43329.666666666599</v>
      </c>
      <c r="B915" s="1">
        <f ca="1">IFERROR(__xludf.DUMMYFUNCTION("""COMPUTED_VALUE"""),61.1)</f>
        <v>61.1</v>
      </c>
      <c r="C915" s="1">
        <f ca="1">IFERROR(__xludf.DUMMYFUNCTION("""COMPUTED_VALUE"""),61.35)</f>
        <v>61.35</v>
      </c>
      <c r="D915" s="1">
        <f ca="1">IFERROR(__xludf.DUMMYFUNCTION("""COMPUTED_VALUE"""),60.2)</f>
        <v>60.2</v>
      </c>
      <c r="E915" s="1">
        <f ca="1">IFERROR(__xludf.DUMMYFUNCTION("""COMPUTED_VALUE"""),60.79)</f>
        <v>60.79</v>
      </c>
      <c r="F915" s="1">
        <f ca="1">IFERROR(__xludf.DUMMYFUNCTION("""COMPUTED_VALUE"""),1654629)</f>
        <v>1654629</v>
      </c>
    </row>
    <row r="916" spans="1:6" x14ac:dyDescent="0.35">
      <c r="A916" s="2">
        <f ca="1">IFERROR(__xludf.DUMMYFUNCTION("""COMPUTED_VALUE"""),43332.6666666666)</f>
        <v>43332.666666666599</v>
      </c>
      <c r="B916" s="1">
        <f ca="1">IFERROR(__xludf.DUMMYFUNCTION("""COMPUTED_VALUE"""),61.03)</f>
        <v>61.03</v>
      </c>
      <c r="C916" s="1">
        <f ca="1">IFERROR(__xludf.DUMMYFUNCTION("""COMPUTED_VALUE"""),61.3)</f>
        <v>61.3</v>
      </c>
      <c r="D916" s="1">
        <f ca="1">IFERROR(__xludf.DUMMYFUNCTION("""COMPUTED_VALUE"""),60.44)</f>
        <v>60.44</v>
      </c>
      <c r="E916" s="1">
        <f ca="1">IFERROR(__xludf.DUMMYFUNCTION("""COMPUTED_VALUE"""),61.1)</f>
        <v>61.1</v>
      </c>
      <c r="F916" s="1">
        <f ca="1">IFERROR(__xludf.DUMMYFUNCTION("""COMPUTED_VALUE"""),1111173)</f>
        <v>1111173</v>
      </c>
    </row>
    <row r="917" spans="1:6" x14ac:dyDescent="0.35">
      <c r="A917" s="2">
        <f ca="1">IFERROR(__xludf.DUMMYFUNCTION("""COMPUTED_VALUE"""),43333.6666666666)</f>
        <v>43333.666666666599</v>
      </c>
      <c r="B917" s="1">
        <f ca="1">IFERROR(__xludf.DUMMYFUNCTION("""COMPUTED_VALUE"""),61.15)</f>
        <v>61.15</v>
      </c>
      <c r="C917" s="1">
        <f ca="1">IFERROR(__xludf.DUMMYFUNCTION("""COMPUTED_VALUE"""),61.64)</f>
        <v>61.64</v>
      </c>
      <c r="D917" s="1">
        <f ca="1">IFERROR(__xludf.DUMMYFUNCTION("""COMPUTED_VALUE"""),60.75)</f>
        <v>60.75</v>
      </c>
      <c r="E917" s="1">
        <f ca="1">IFERROR(__xludf.DUMMYFUNCTION("""COMPUTED_VALUE"""),60.87)</f>
        <v>60.87</v>
      </c>
      <c r="F917" s="1">
        <f ca="1">IFERROR(__xludf.DUMMYFUNCTION("""COMPUTED_VALUE"""),1154093)</f>
        <v>1154093</v>
      </c>
    </row>
    <row r="918" spans="1:6" x14ac:dyDescent="0.35">
      <c r="A918" s="2">
        <f ca="1">IFERROR(__xludf.DUMMYFUNCTION("""COMPUTED_VALUE"""),43334.6666666666)</f>
        <v>43334.666666666599</v>
      </c>
      <c r="B918" s="1">
        <f ca="1">IFERROR(__xludf.DUMMYFUNCTION("""COMPUTED_VALUE"""),60.71)</f>
        <v>60.71</v>
      </c>
      <c r="C918" s="1">
        <f ca="1">IFERROR(__xludf.DUMMYFUNCTION("""COMPUTED_VALUE"""),61.33)</f>
        <v>61.33</v>
      </c>
      <c r="D918" s="1">
        <f ca="1">IFERROR(__xludf.DUMMYFUNCTION("""COMPUTED_VALUE"""),60.66)</f>
        <v>60.66</v>
      </c>
      <c r="E918" s="1">
        <f ca="1">IFERROR(__xludf.DUMMYFUNCTION("""COMPUTED_VALUE"""),61.09)</f>
        <v>61.09</v>
      </c>
      <c r="F918" s="1">
        <f ca="1">IFERROR(__xludf.DUMMYFUNCTION("""COMPUTED_VALUE"""),1114832)</f>
        <v>1114832</v>
      </c>
    </row>
    <row r="919" spans="1:6" x14ac:dyDescent="0.35">
      <c r="A919" s="2">
        <f ca="1">IFERROR(__xludf.DUMMYFUNCTION("""COMPUTED_VALUE"""),43335.6666666666)</f>
        <v>43335.666666666599</v>
      </c>
      <c r="B919" s="1">
        <f ca="1">IFERROR(__xludf.DUMMYFUNCTION("""COMPUTED_VALUE"""),60.99)</f>
        <v>60.99</v>
      </c>
      <c r="C919" s="1">
        <f ca="1">IFERROR(__xludf.DUMMYFUNCTION("""COMPUTED_VALUE"""),61.76)</f>
        <v>61.76</v>
      </c>
      <c r="D919" s="1">
        <f ca="1">IFERROR(__xludf.DUMMYFUNCTION("""COMPUTED_VALUE"""),60.97)</f>
        <v>60.97</v>
      </c>
      <c r="E919" s="1">
        <f ca="1">IFERROR(__xludf.DUMMYFUNCTION("""COMPUTED_VALUE"""),61.06)</f>
        <v>61.06</v>
      </c>
      <c r="F919" s="1">
        <f ca="1">IFERROR(__xludf.DUMMYFUNCTION("""COMPUTED_VALUE"""),1233347)</f>
        <v>1233347</v>
      </c>
    </row>
    <row r="920" spans="1:6" x14ac:dyDescent="0.35">
      <c r="A920" s="2">
        <f ca="1">IFERROR(__xludf.DUMMYFUNCTION("""COMPUTED_VALUE"""),43336.6666666666)</f>
        <v>43336.666666666599</v>
      </c>
      <c r="B920" s="1">
        <f ca="1">IFERROR(__xludf.DUMMYFUNCTION("""COMPUTED_VALUE"""),61.3)</f>
        <v>61.3</v>
      </c>
      <c r="C920" s="1">
        <f ca="1">IFERROR(__xludf.DUMMYFUNCTION("""COMPUTED_VALUE"""),61.87)</f>
        <v>61.87</v>
      </c>
      <c r="D920" s="1">
        <f ca="1">IFERROR(__xludf.DUMMYFUNCTION("""COMPUTED_VALUE"""),61.07)</f>
        <v>61.07</v>
      </c>
      <c r="E920" s="1">
        <f ca="1">IFERROR(__xludf.DUMMYFUNCTION("""COMPUTED_VALUE"""),61.84)</f>
        <v>61.84</v>
      </c>
      <c r="F920" s="1">
        <f ca="1">IFERROR(__xludf.DUMMYFUNCTION("""COMPUTED_VALUE"""),1222653)</f>
        <v>1222653</v>
      </c>
    </row>
    <row r="921" spans="1:6" x14ac:dyDescent="0.35">
      <c r="A921" s="2">
        <f ca="1">IFERROR(__xludf.DUMMYFUNCTION("""COMPUTED_VALUE"""),43339.6666666666)</f>
        <v>43339.666666666599</v>
      </c>
      <c r="B921" s="1">
        <f ca="1">IFERROR(__xludf.DUMMYFUNCTION("""COMPUTED_VALUE"""),62.21)</f>
        <v>62.21</v>
      </c>
      <c r="C921" s="1">
        <f ca="1">IFERROR(__xludf.DUMMYFUNCTION("""COMPUTED_VALUE"""),62.89)</f>
        <v>62.89</v>
      </c>
      <c r="D921" s="1">
        <f ca="1">IFERROR(__xludf.DUMMYFUNCTION("""COMPUTED_VALUE"""),62.03)</f>
        <v>62.03</v>
      </c>
      <c r="E921" s="1">
        <f ca="1">IFERROR(__xludf.DUMMYFUNCTION("""COMPUTED_VALUE"""),62.81)</f>
        <v>62.81</v>
      </c>
      <c r="F921" s="1">
        <f ca="1">IFERROR(__xludf.DUMMYFUNCTION("""COMPUTED_VALUE"""),1428992)</f>
        <v>1428992</v>
      </c>
    </row>
    <row r="922" spans="1:6" x14ac:dyDescent="0.35">
      <c r="A922" s="2">
        <f ca="1">IFERROR(__xludf.DUMMYFUNCTION("""COMPUTED_VALUE"""),43340.6666666666)</f>
        <v>43340.666666666599</v>
      </c>
      <c r="B922" s="1">
        <f ca="1">IFERROR(__xludf.DUMMYFUNCTION("""COMPUTED_VALUE"""),62.8)</f>
        <v>62.8</v>
      </c>
      <c r="C922" s="1">
        <f ca="1">IFERROR(__xludf.DUMMYFUNCTION("""COMPUTED_VALUE"""),62.83)</f>
        <v>62.83</v>
      </c>
      <c r="D922" s="1">
        <f ca="1">IFERROR(__xludf.DUMMYFUNCTION("""COMPUTED_VALUE"""),62.15)</f>
        <v>62.15</v>
      </c>
      <c r="E922" s="1">
        <f ca="1">IFERROR(__xludf.DUMMYFUNCTION("""COMPUTED_VALUE"""),62.29)</f>
        <v>62.29</v>
      </c>
      <c r="F922" s="1">
        <f ca="1">IFERROR(__xludf.DUMMYFUNCTION("""COMPUTED_VALUE"""),1366516)</f>
        <v>1366516</v>
      </c>
    </row>
    <row r="923" spans="1:6" x14ac:dyDescent="0.35">
      <c r="A923" s="2">
        <f ca="1">IFERROR(__xludf.DUMMYFUNCTION("""COMPUTED_VALUE"""),43341.6666666666)</f>
        <v>43341.666666666599</v>
      </c>
      <c r="B923" s="1">
        <f ca="1">IFERROR(__xludf.DUMMYFUNCTION("""COMPUTED_VALUE"""),62.75)</f>
        <v>62.75</v>
      </c>
      <c r="C923" s="1">
        <f ca="1">IFERROR(__xludf.DUMMYFUNCTION("""COMPUTED_VALUE"""),63.36)</f>
        <v>63.36</v>
      </c>
      <c r="D923" s="1">
        <f ca="1">IFERROR(__xludf.DUMMYFUNCTION("""COMPUTED_VALUE"""),62.64)</f>
        <v>62.64</v>
      </c>
      <c r="E923" s="1">
        <f ca="1">IFERROR(__xludf.DUMMYFUNCTION("""COMPUTED_VALUE"""),63.23)</f>
        <v>63.23</v>
      </c>
      <c r="F923" s="1">
        <f ca="1">IFERROR(__xludf.DUMMYFUNCTION("""COMPUTED_VALUE"""),1846615)</f>
        <v>1846615</v>
      </c>
    </row>
    <row r="924" spans="1:6" x14ac:dyDescent="0.35">
      <c r="A924" s="2">
        <f ca="1">IFERROR(__xludf.DUMMYFUNCTION("""COMPUTED_VALUE"""),43342.6666666666)</f>
        <v>43342.666666666599</v>
      </c>
      <c r="B924" s="1">
        <f ca="1">IFERROR(__xludf.DUMMYFUNCTION("""COMPUTED_VALUE"""),63.17)</f>
        <v>63.17</v>
      </c>
      <c r="C924" s="1">
        <f ca="1">IFERROR(__xludf.DUMMYFUNCTION("""COMPUTED_VALUE"""),63.47)</f>
        <v>63.47</v>
      </c>
      <c r="D924" s="1">
        <f ca="1">IFERROR(__xludf.DUMMYFUNCTION("""COMPUTED_VALUE"""),62.36)</f>
        <v>62.36</v>
      </c>
      <c r="E924" s="1">
        <f ca="1">IFERROR(__xludf.DUMMYFUNCTION("""COMPUTED_VALUE"""),62.72)</f>
        <v>62.72</v>
      </c>
      <c r="F924" s="1">
        <f ca="1">IFERROR(__xludf.DUMMYFUNCTION("""COMPUTED_VALUE"""),1505219)</f>
        <v>1505219</v>
      </c>
    </row>
    <row r="925" spans="1:6" x14ac:dyDescent="0.35">
      <c r="A925" s="2">
        <f ca="1">IFERROR(__xludf.DUMMYFUNCTION("""COMPUTED_VALUE"""),43343.6666666666)</f>
        <v>43343.666666666599</v>
      </c>
      <c r="B925" s="1">
        <f ca="1">IFERROR(__xludf.DUMMYFUNCTION("""COMPUTED_VALUE"""),62.61)</f>
        <v>62.61</v>
      </c>
      <c r="C925" s="1">
        <f ca="1">IFERROR(__xludf.DUMMYFUNCTION("""COMPUTED_VALUE"""),62.63)</f>
        <v>62.63</v>
      </c>
      <c r="D925" s="1">
        <f ca="1">IFERROR(__xludf.DUMMYFUNCTION("""COMPUTED_VALUE"""),61.29)</f>
        <v>61.29</v>
      </c>
      <c r="E925" s="1">
        <f ca="1">IFERROR(__xludf.DUMMYFUNCTION("""COMPUTED_VALUE"""),61.59)</f>
        <v>61.59</v>
      </c>
      <c r="F925" s="1">
        <f ca="1">IFERROR(__xludf.DUMMYFUNCTION("""COMPUTED_VALUE"""),2115424)</f>
        <v>2115424</v>
      </c>
    </row>
    <row r="926" spans="1:6" x14ac:dyDescent="0.35">
      <c r="A926" s="2">
        <f ca="1">IFERROR(__xludf.DUMMYFUNCTION("""COMPUTED_VALUE"""),43347.6666666666)</f>
        <v>43347.666666666599</v>
      </c>
      <c r="B926" s="1">
        <f ca="1">IFERROR(__xludf.DUMMYFUNCTION("""COMPUTED_VALUE"""),61.13)</f>
        <v>61.13</v>
      </c>
      <c r="C926" s="1">
        <f ca="1">IFERROR(__xludf.DUMMYFUNCTION("""COMPUTED_VALUE"""),61.39)</f>
        <v>61.39</v>
      </c>
      <c r="D926" s="1">
        <f ca="1">IFERROR(__xludf.DUMMYFUNCTION("""COMPUTED_VALUE"""),60.33)</f>
        <v>60.33</v>
      </c>
      <c r="E926" s="1">
        <f ca="1">IFERROR(__xludf.DUMMYFUNCTION("""COMPUTED_VALUE"""),60.57)</f>
        <v>60.57</v>
      </c>
      <c r="F926" s="1">
        <f ca="1">IFERROR(__xludf.DUMMYFUNCTION("""COMPUTED_VALUE"""),2072869)</f>
        <v>2072869</v>
      </c>
    </row>
    <row r="927" spans="1:6" x14ac:dyDescent="0.35">
      <c r="A927" s="2">
        <f ca="1">IFERROR(__xludf.DUMMYFUNCTION("""COMPUTED_VALUE"""),43348.6666666666)</f>
        <v>43348.666666666599</v>
      </c>
      <c r="B927" s="1">
        <f ca="1">IFERROR(__xludf.DUMMYFUNCTION("""COMPUTED_VALUE"""),60.46)</f>
        <v>60.46</v>
      </c>
      <c r="C927" s="1">
        <f ca="1">IFERROR(__xludf.DUMMYFUNCTION("""COMPUTED_VALUE"""),60.74)</f>
        <v>60.74</v>
      </c>
      <c r="D927" s="1">
        <f ca="1">IFERROR(__xludf.DUMMYFUNCTION("""COMPUTED_VALUE"""),58.77)</f>
        <v>58.77</v>
      </c>
      <c r="E927" s="1">
        <f ca="1">IFERROR(__xludf.DUMMYFUNCTION("""COMPUTED_VALUE"""),59.96)</f>
        <v>59.96</v>
      </c>
      <c r="F927" s="1">
        <f ca="1">IFERROR(__xludf.DUMMYFUNCTION("""COMPUTED_VALUE"""),2699394)</f>
        <v>2699394</v>
      </c>
    </row>
    <row r="928" spans="1:6" x14ac:dyDescent="0.35">
      <c r="A928" s="2">
        <f ca="1">IFERROR(__xludf.DUMMYFUNCTION("""COMPUTED_VALUE"""),43349.6666666666)</f>
        <v>43349.666666666599</v>
      </c>
      <c r="B928" s="1">
        <f ca="1">IFERROR(__xludf.DUMMYFUNCTION("""COMPUTED_VALUE"""),59.93)</f>
        <v>59.93</v>
      </c>
      <c r="C928" s="1">
        <f ca="1">IFERROR(__xludf.DUMMYFUNCTION("""COMPUTED_VALUE"""),59.95)</f>
        <v>59.95</v>
      </c>
      <c r="D928" s="1">
        <f ca="1">IFERROR(__xludf.DUMMYFUNCTION("""COMPUTED_VALUE"""),58.18)</f>
        <v>58.18</v>
      </c>
      <c r="E928" s="1">
        <f ca="1">IFERROR(__xludf.DUMMYFUNCTION("""COMPUTED_VALUE"""),59.2)</f>
        <v>59.2</v>
      </c>
      <c r="F928" s="1">
        <f ca="1">IFERROR(__xludf.DUMMYFUNCTION("""COMPUTED_VALUE"""),2342722)</f>
        <v>2342722</v>
      </c>
    </row>
    <row r="929" spans="1:6" x14ac:dyDescent="0.35">
      <c r="A929" s="2">
        <f ca="1">IFERROR(__xludf.DUMMYFUNCTION("""COMPUTED_VALUE"""),43350.6666666666)</f>
        <v>43350.666666666599</v>
      </c>
      <c r="B929" s="1">
        <f ca="1">IFERROR(__xludf.DUMMYFUNCTION("""COMPUTED_VALUE"""),58.6)</f>
        <v>58.6</v>
      </c>
      <c r="C929" s="1">
        <f ca="1">IFERROR(__xludf.DUMMYFUNCTION("""COMPUTED_VALUE"""),59.43)</f>
        <v>59.43</v>
      </c>
      <c r="D929" s="1">
        <f ca="1">IFERROR(__xludf.DUMMYFUNCTION("""COMPUTED_VALUE"""),58.46)</f>
        <v>58.46</v>
      </c>
      <c r="E929" s="1">
        <f ca="1">IFERROR(__xludf.DUMMYFUNCTION("""COMPUTED_VALUE"""),58.88)</f>
        <v>58.88</v>
      </c>
      <c r="F929" s="1">
        <f ca="1">IFERROR(__xludf.DUMMYFUNCTION("""COMPUTED_VALUE"""),1633190)</f>
        <v>1633190</v>
      </c>
    </row>
    <row r="930" spans="1:6" x14ac:dyDescent="0.35">
      <c r="A930" s="2">
        <f ca="1">IFERROR(__xludf.DUMMYFUNCTION("""COMPUTED_VALUE"""),43353.6666666666)</f>
        <v>43353.666666666599</v>
      </c>
      <c r="B930" s="1">
        <f ca="1">IFERROR(__xludf.DUMMYFUNCTION("""COMPUTED_VALUE"""),59.21)</f>
        <v>59.21</v>
      </c>
      <c r="C930" s="1">
        <f ca="1">IFERROR(__xludf.DUMMYFUNCTION("""COMPUTED_VALUE"""),59.33)</f>
        <v>59.33</v>
      </c>
      <c r="D930" s="1">
        <f ca="1">IFERROR(__xludf.DUMMYFUNCTION("""COMPUTED_VALUE"""),58.53)</f>
        <v>58.53</v>
      </c>
      <c r="E930" s="1">
        <f ca="1">IFERROR(__xludf.DUMMYFUNCTION("""COMPUTED_VALUE"""),58.75)</f>
        <v>58.75</v>
      </c>
      <c r="F930" s="1">
        <f ca="1">IFERROR(__xludf.DUMMYFUNCTION("""COMPUTED_VALUE"""),1383938)</f>
        <v>1383938</v>
      </c>
    </row>
    <row r="931" spans="1:6" x14ac:dyDescent="0.35">
      <c r="A931" s="2">
        <f ca="1">IFERROR(__xludf.DUMMYFUNCTION("""COMPUTED_VALUE"""),43354.6666666666)</f>
        <v>43354.666666666599</v>
      </c>
      <c r="B931" s="1">
        <f ca="1">IFERROR(__xludf.DUMMYFUNCTION("""COMPUTED_VALUE"""),58.56)</f>
        <v>58.56</v>
      </c>
      <c r="C931" s="1">
        <f ca="1">IFERROR(__xludf.DUMMYFUNCTION("""COMPUTED_VALUE"""),59.55)</f>
        <v>59.55</v>
      </c>
      <c r="D931" s="1">
        <f ca="1">IFERROR(__xludf.DUMMYFUNCTION("""COMPUTED_VALUE"""),58.3)</f>
        <v>58.3</v>
      </c>
      <c r="E931" s="1">
        <f ca="1">IFERROR(__xludf.DUMMYFUNCTION("""COMPUTED_VALUE"""),59.5)</f>
        <v>59.5</v>
      </c>
      <c r="F931" s="1">
        <f ca="1">IFERROR(__xludf.DUMMYFUNCTION("""COMPUTED_VALUE"""),1462688)</f>
        <v>1462688</v>
      </c>
    </row>
    <row r="932" spans="1:6" x14ac:dyDescent="0.35">
      <c r="A932" s="2">
        <f ca="1">IFERROR(__xludf.DUMMYFUNCTION("""COMPUTED_VALUE"""),43355.6666666666)</f>
        <v>43355.666666666599</v>
      </c>
      <c r="B932" s="1">
        <f ca="1">IFERROR(__xludf.DUMMYFUNCTION("""COMPUTED_VALUE"""),59.1)</f>
        <v>59.1</v>
      </c>
      <c r="C932" s="1">
        <f ca="1">IFERROR(__xludf.DUMMYFUNCTION("""COMPUTED_VALUE"""),59.53)</f>
        <v>59.53</v>
      </c>
      <c r="D932" s="1">
        <f ca="1">IFERROR(__xludf.DUMMYFUNCTION("""COMPUTED_VALUE"""),58.31)</f>
        <v>58.31</v>
      </c>
      <c r="E932" s="1">
        <f ca="1">IFERROR(__xludf.DUMMYFUNCTION("""COMPUTED_VALUE"""),58.58)</f>
        <v>58.58</v>
      </c>
      <c r="F932" s="1">
        <f ca="1">IFERROR(__xludf.DUMMYFUNCTION("""COMPUTED_VALUE"""),1785833)</f>
        <v>1785833</v>
      </c>
    </row>
    <row r="933" spans="1:6" x14ac:dyDescent="0.35">
      <c r="A933" s="2">
        <f ca="1">IFERROR(__xludf.DUMMYFUNCTION("""COMPUTED_VALUE"""),43356.6666666666)</f>
        <v>43356.666666666599</v>
      </c>
      <c r="B933" s="1">
        <f ca="1">IFERROR(__xludf.DUMMYFUNCTION("""COMPUTED_VALUE"""),58.99)</f>
        <v>58.99</v>
      </c>
      <c r="C933" s="1">
        <f ca="1">IFERROR(__xludf.DUMMYFUNCTION("""COMPUTED_VALUE"""),59.39)</f>
        <v>59.39</v>
      </c>
      <c r="D933" s="1">
        <f ca="1">IFERROR(__xludf.DUMMYFUNCTION("""COMPUTED_VALUE"""),58.46)</f>
        <v>58.46</v>
      </c>
      <c r="E933" s="1">
        <f ca="1">IFERROR(__xludf.DUMMYFUNCTION("""COMPUTED_VALUE"""),59.11)</f>
        <v>59.11</v>
      </c>
      <c r="F933" s="1">
        <f ca="1">IFERROR(__xludf.DUMMYFUNCTION("""COMPUTED_VALUE"""),2003418)</f>
        <v>2003418</v>
      </c>
    </row>
    <row r="934" spans="1:6" x14ac:dyDescent="0.35">
      <c r="A934" s="2">
        <f ca="1">IFERROR(__xludf.DUMMYFUNCTION("""COMPUTED_VALUE"""),43357.6666666666)</f>
        <v>43357.666666666599</v>
      </c>
      <c r="B934" s="1">
        <f ca="1">IFERROR(__xludf.DUMMYFUNCTION("""COMPUTED_VALUE"""),59.4)</f>
        <v>59.4</v>
      </c>
      <c r="C934" s="1">
        <f ca="1">IFERROR(__xludf.DUMMYFUNCTION("""COMPUTED_VALUE"""),59.4)</f>
        <v>59.4</v>
      </c>
      <c r="D934" s="1">
        <f ca="1">IFERROR(__xludf.DUMMYFUNCTION("""COMPUTED_VALUE"""),58.68)</f>
        <v>58.68</v>
      </c>
      <c r="E934" s="1">
        <f ca="1">IFERROR(__xludf.DUMMYFUNCTION("""COMPUTED_VALUE"""),58.9)</f>
        <v>58.9</v>
      </c>
      <c r="F934" s="1">
        <f ca="1">IFERROR(__xludf.DUMMYFUNCTION("""COMPUTED_VALUE"""),1208767)</f>
        <v>1208767</v>
      </c>
    </row>
    <row r="935" spans="1:6" x14ac:dyDescent="0.35">
      <c r="A935" s="2">
        <f ca="1">IFERROR(__xludf.DUMMYFUNCTION("""COMPUTED_VALUE"""),43360.6666666666)</f>
        <v>43360.666666666599</v>
      </c>
      <c r="B935" s="1">
        <f ca="1">IFERROR(__xludf.DUMMYFUNCTION("""COMPUTED_VALUE"""),58.89)</f>
        <v>58.89</v>
      </c>
      <c r="C935" s="1">
        <f ca="1">IFERROR(__xludf.DUMMYFUNCTION("""COMPUTED_VALUE"""),59.09)</f>
        <v>59.09</v>
      </c>
      <c r="D935" s="1">
        <f ca="1">IFERROR(__xludf.DUMMYFUNCTION("""COMPUTED_VALUE"""),57.92)</f>
        <v>57.92</v>
      </c>
      <c r="E935" s="1">
        <f ca="1">IFERROR(__xludf.DUMMYFUNCTION("""COMPUTED_VALUE"""),57.99)</f>
        <v>57.99</v>
      </c>
      <c r="F935" s="1">
        <f ca="1">IFERROR(__xludf.DUMMYFUNCTION("""COMPUTED_VALUE"""),1704790)</f>
        <v>1704790</v>
      </c>
    </row>
    <row r="936" spans="1:6" x14ac:dyDescent="0.35">
      <c r="A936" s="2">
        <f ca="1">IFERROR(__xludf.DUMMYFUNCTION("""COMPUTED_VALUE"""),43361.6666666666)</f>
        <v>43361.666666666599</v>
      </c>
      <c r="B936" s="1">
        <f ca="1">IFERROR(__xludf.DUMMYFUNCTION("""COMPUTED_VALUE"""),58.13)</f>
        <v>58.13</v>
      </c>
      <c r="C936" s="1">
        <f ca="1">IFERROR(__xludf.DUMMYFUNCTION("""COMPUTED_VALUE"""),59.07)</f>
        <v>59.07</v>
      </c>
      <c r="D936" s="1">
        <f ca="1">IFERROR(__xludf.DUMMYFUNCTION("""COMPUTED_VALUE"""),58.07)</f>
        <v>58.07</v>
      </c>
      <c r="E936" s="1">
        <f ca="1">IFERROR(__xludf.DUMMYFUNCTION("""COMPUTED_VALUE"""),58.36)</f>
        <v>58.36</v>
      </c>
      <c r="F936" s="1">
        <f ca="1">IFERROR(__xludf.DUMMYFUNCTION("""COMPUTED_VALUE"""),1615701)</f>
        <v>1615701</v>
      </c>
    </row>
    <row r="937" spans="1:6" x14ac:dyDescent="0.35">
      <c r="A937" s="2">
        <f ca="1">IFERROR(__xludf.DUMMYFUNCTION("""COMPUTED_VALUE"""),43362.6666666666)</f>
        <v>43362.666666666599</v>
      </c>
      <c r="B937" s="1">
        <f ca="1">IFERROR(__xludf.DUMMYFUNCTION("""COMPUTED_VALUE"""),58.45)</f>
        <v>58.45</v>
      </c>
      <c r="C937" s="1">
        <f ca="1">IFERROR(__xludf.DUMMYFUNCTION("""COMPUTED_VALUE"""),58.81)</f>
        <v>58.81</v>
      </c>
      <c r="D937" s="1">
        <f ca="1">IFERROR(__xludf.DUMMYFUNCTION("""COMPUTED_VALUE"""),57.93)</f>
        <v>57.93</v>
      </c>
      <c r="E937" s="1">
        <f ca="1">IFERROR(__xludf.DUMMYFUNCTION("""COMPUTED_VALUE"""),58.71)</f>
        <v>58.71</v>
      </c>
      <c r="F937" s="1">
        <f ca="1">IFERROR(__xludf.DUMMYFUNCTION("""COMPUTED_VALUE"""),1298084)</f>
        <v>1298084</v>
      </c>
    </row>
    <row r="938" spans="1:6" x14ac:dyDescent="0.35">
      <c r="A938" s="2">
        <f ca="1">IFERROR(__xludf.DUMMYFUNCTION("""COMPUTED_VALUE"""),43363.6666666666)</f>
        <v>43363.666666666599</v>
      </c>
      <c r="B938" s="1">
        <f ca="1">IFERROR(__xludf.DUMMYFUNCTION("""COMPUTED_VALUE"""),59.03)</f>
        <v>59.03</v>
      </c>
      <c r="C938" s="1">
        <f ca="1">IFERROR(__xludf.DUMMYFUNCTION("""COMPUTED_VALUE"""),59.7)</f>
        <v>59.7</v>
      </c>
      <c r="D938" s="1">
        <f ca="1">IFERROR(__xludf.DUMMYFUNCTION("""COMPUTED_VALUE"""),58.81)</f>
        <v>58.81</v>
      </c>
      <c r="E938" s="1">
        <f ca="1">IFERROR(__xludf.DUMMYFUNCTION("""COMPUTED_VALUE"""),59.58)</f>
        <v>59.58</v>
      </c>
      <c r="F938" s="1">
        <f ca="1">IFERROR(__xludf.DUMMYFUNCTION("""COMPUTED_VALUE"""),1462455)</f>
        <v>1462455</v>
      </c>
    </row>
    <row r="939" spans="1:6" x14ac:dyDescent="0.35">
      <c r="A939" s="2">
        <f ca="1">IFERROR(__xludf.DUMMYFUNCTION("""COMPUTED_VALUE"""),43364.6666666666)</f>
        <v>43364.666666666599</v>
      </c>
      <c r="B939" s="1">
        <f ca="1">IFERROR(__xludf.DUMMYFUNCTION("""COMPUTED_VALUE"""),59.75)</f>
        <v>59.75</v>
      </c>
      <c r="C939" s="1">
        <f ca="1">IFERROR(__xludf.DUMMYFUNCTION("""COMPUTED_VALUE"""),59.83)</f>
        <v>59.83</v>
      </c>
      <c r="D939" s="1">
        <f ca="1">IFERROR(__xludf.DUMMYFUNCTION("""COMPUTED_VALUE"""),58.6)</f>
        <v>58.6</v>
      </c>
      <c r="E939" s="1">
        <f ca="1">IFERROR(__xludf.DUMMYFUNCTION("""COMPUTED_VALUE"""),58.61)</f>
        <v>58.61</v>
      </c>
      <c r="F939" s="1">
        <f ca="1">IFERROR(__xludf.DUMMYFUNCTION("""COMPUTED_VALUE"""),4561119)</f>
        <v>4561119</v>
      </c>
    </row>
    <row r="940" spans="1:6" x14ac:dyDescent="0.35">
      <c r="A940" s="2">
        <f ca="1">IFERROR(__xludf.DUMMYFUNCTION("""COMPUTED_VALUE"""),43367.6666666666)</f>
        <v>43367.666666666599</v>
      </c>
      <c r="B940" s="1">
        <f ca="1">IFERROR(__xludf.DUMMYFUNCTION("""COMPUTED_VALUE"""),57.97)</f>
        <v>57.97</v>
      </c>
      <c r="C940" s="1">
        <f ca="1">IFERROR(__xludf.DUMMYFUNCTION("""COMPUTED_VALUE"""),59.26)</f>
        <v>59.26</v>
      </c>
      <c r="D940" s="1">
        <f ca="1">IFERROR(__xludf.DUMMYFUNCTION("""COMPUTED_VALUE"""),57.58)</f>
        <v>57.58</v>
      </c>
      <c r="E940" s="1">
        <f ca="1">IFERROR(__xludf.DUMMYFUNCTION("""COMPUTED_VALUE"""),58.98)</f>
        <v>58.98</v>
      </c>
      <c r="F940" s="1">
        <f ca="1">IFERROR(__xludf.DUMMYFUNCTION("""COMPUTED_VALUE"""),1557479)</f>
        <v>1557479</v>
      </c>
    </row>
    <row r="941" spans="1:6" x14ac:dyDescent="0.35">
      <c r="A941" s="2">
        <f ca="1">IFERROR(__xludf.DUMMYFUNCTION("""COMPUTED_VALUE"""),43368.6666666666)</f>
        <v>43368.666666666599</v>
      </c>
      <c r="B941" s="1">
        <f ca="1">IFERROR(__xludf.DUMMYFUNCTION("""COMPUTED_VALUE"""),59.21)</f>
        <v>59.21</v>
      </c>
      <c r="C941" s="1">
        <f ca="1">IFERROR(__xludf.DUMMYFUNCTION("""COMPUTED_VALUE"""),59.84)</f>
        <v>59.84</v>
      </c>
      <c r="D941" s="1">
        <f ca="1">IFERROR(__xludf.DUMMYFUNCTION("""COMPUTED_VALUE"""),58.7)</f>
        <v>58.7</v>
      </c>
      <c r="E941" s="1">
        <f ca="1">IFERROR(__xludf.DUMMYFUNCTION("""COMPUTED_VALUE"""),59.69)</f>
        <v>59.69</v>
      </c>
      <c r="F941" s="1">
        <f ca="1">IFERROR(__xludf.DUMMYFUNCTION("""COMPUTED_VALUE"""),1657809)</f>
        <v>1657809</v>
      </c>
    </row>
    <row r="942" spans="1:6" x14ac:dyDescent="0.35">
      <c r="A942" s="2">
        <f ca="1">IFERROR(__xludf.DUMMYFUNCTION("""COMPUTED_VALUE"""),43369.6666666666)</f>
        <v>43369.666666666599</v>
      </c>
      <c r="B942" s="1">
        <f ca="1">IFERROR(__xludf.DUMMYFUNCTION("""COMPUTED_VALUE"""),59.68)</f>
        <v>59.68</v>
      </c>
      <c r="C942" s="1">
        <f ca="1">IFERROR(__xludf.DUMMYFUNCTION("""COMPUTED_VALUE"""),60.36)</f>
        <v>60.36</v>
      </c>
      <c r="D942" s="1">
        <f ca="1">IFERROR(__xludf.DUMMYFUNCTION("""COMPUTED_VALUE"""),59.27)</f>
        <v>59.27</v>
      </c>
      <c r="E942" s="1">
        <f ca="1">IFERROR(__xludf.DUMMYFUNCTION("""COMPUTED_VALUE"""),59.7)</f>
        <v>59.7</v>
      </c>
      <c r="F942" s="1">
        <f ca="1">IFERROR(__xludf.DUMMYFUNCTION("""COMPUTED_VALUE"""),1882524)</f>
        <v>1882524</v>
      </c>
    </row>
    <row r="943" spans="1:6" x14ac:dyDescent="0.35">
      <c r="A943" s="2">
        <f ca="1">IFERROR(__xludf.DUMMYFUNCTION("""COMPUTED_VALUE"""),43370.6666666666)</f>
        <v>43370.666666666599</v>
      </c>
      <c r="B943" s="1">
        <f ca="1">IFERROR(__xludf.DUMMYFUNCTION("""COMPUTED_VALUE"""),60)</f>
        <v>60</v>
      </c>
      <c r="C943" s="1">
        <f ca="1">IFERROR(__xludf.DUMMYFUNCTION("""COMPUTED_VALUE"""),60.84)</f>
        <v>60.84</v>
      </c>
      <c r="D943" s="1">
        <f ca="1">IFERROR(__xludf.DUMMYFUNCTION("""COMPUTED_VALUE"""),59.9)</f>
        <v>59.9</v>
      </c>
      <c r="E943" s="1">
        <f ca="1">IFERROR(__xludf.DUMMYFUNCTION("""COMPUTED_VALUE"""),60.37)</f>
        <v>60.37</v>
      </c>
      <c r="F943" s="1">
        <f ca="1">IFERROR(__xludf.DUMMYFUNCTION("""COMPUTED_VALUE"""),1813652)</f>
        <v>1813652</v>
      </c>
    </row>
    <row r="944" spans="1:6" x14ac:dyDescent="0.35">
      <c r="A944" s="2">
        <f ca="1">IFERROR(__xludf.DUMMYFUNCTION("""COMPUTED_VALUE"""),43371.6666666666)</f>
        <v>43371.666666666599</v>
      </c>
      <c r="B944" s="1">
        <f ca="1">IFERROR(__xludf.DUMMYFUNCTION("""COMPUTED_VALUE"""),60.2)</f>
        <v>60.2</v>
      </c>
      <c r="C944" s="1">
        <f ca="1">IFERROR(__xludf.DUMMYFUNCTION("""COMPUTED_VALUE"""),60.42)</f>
        <v>60.42</v>
      </c>
      <c r="D944" s="1">
        <f ca="1">IFERROR(__xludf.DUMMYFUNCTION("""COMPUTED_VALUE"""),59.89)</f>
        <v>59.89</v>
      </c>
      <c r="E944" s="1">
        <f ca="1">IFERROR(__xludf.DUMMYFUNCTION("""COMPUTED_VALUE"""),60.35)</f>
        <v>60.35</v>
      </c>
      <c r="F944" s="1">
        <f ca="1">IFERROR(__xludf.DUMMYFUNCTION("""COMPUTED_VALUE"""),1780759)</f>
        <v>1780759</v>
      </c>
    </row>
    <row r="945" spans="1:6" x14ac:dyDescent="0.35">
      <c r="A945" s="2">
        <f ca="1">IFERROR(__xludf.DUMMYFUNCTION("""COMPUTED_VALUE"""),43374.6666666666)</f>
        <v>43374.666666666599</v>
      </c>
      <c r="B945" s="1">
        <f ca="1">IFERROR(__xludf.DUMMYFUNCTION("""COMPUTED_VALUE"""),60.65)</f>
        <v>60.65</v>
      </c>
      <c r="C945" s="1">
        <f ca="1">IFERROR(__xludf.DUMMYFUNCTION("""COMPUTED_VALUE"""),61.21)</f>
        <v>61.21</v>
      </c>
      <c r="D945" s="1">
        <f ca="1">IFERROR(__xludf.DUMMYFUNCTION("""COMPUTED_VALUE"""),60.16)</f>
        <v>60.16</v>
      </c>
      <c r="E945" s="1">
        <f ca="1">IFERROR(__xludf.DUMMYFUNCTION("""COMPUTED_VALUE"""),60.43)</f>
        <v>60.43</v>
      </c>
      <c r="F945" s="1">
        <f ca="1">IFERROR(__xludf.DUMMYFUNCTION("""COMPUTED_VALUE"""),1659364)</f>
        <v>1659364</v>
      </c>
    </row>
    <row r="946" spans="1:6" x14ac:dyDescent="0.35">
      <c r="A946" s="2">
        <f ca="1">IFERROR(__xludf.DUMMYFUNCTION("""COMPUTED_VALUE"""),43375.6666666666)</f>
        <v>43375.666666666599</v>
      </c>
      <c r="B946" s="1">
        <f ca="1">IFERROR(__xludf.DUMMYFUNCTION("""COMPUTED_VALUE"""),60.33)</f>
        <v>60.33</v>
      </c>
      <c r="C946" s="1">
        <f ca="1">IFERROR(__xludf.DUMMYFUNCTION("""COMPUTED_VALUE"""),61.23)</f>
        <v>61.23</v>
      </c>
      <c r="D946" s="1">
        <f ca="1">IFERROR(__xludf.DUMMYFUNCTION("""COMPUTED_VALUE"""),59.98)</f>
        <v>59.98</v>
      </c>
      <c r="E946" s="1">
        <f ca="1">IFERROR(__xludf.DUMMYFUNCTION("""COMPUTED_VALUE"""),60.38)</f>
        <v>60.38</v>
      </c>
      <c r="F946" s="1">
        <f ca="1">IFERROR(__xludf.DUMMYFUNCTION("""COMPUTED_VALUE"""),2008956)</f>
        <v>2008956</v>
      </c>
    </row>
    <row r="947" spans="1:6" x14ac:dyDescent="0.35">
      <c r="A947" s="2">
        <f ca="1">IFERROR(__xludf.DUMMYFUNCTION("""COMPUTED_VALUE"""),43376.6666666666)</f>
        <v>43376.666666666599</v>
      </c>
      <c r="B947" s="1">
        <f ca="1">IFERROR(__xludf.DUMMYFUNCTION("""COMPUTED_VALUE"""),60.6)</f>
        <v>60.6</v>
      </c>
      <c r="C947" s="1">
        <f ca="1">IFERROR(__xludf.DUMMYFUNCTION("""COMPUTED_VALUE"""),60.71)</f>
        <v>60.71</v>
      </c>
      <c r="D947" s="1">
        <f ca="1">IFERROR(__xludf.DUMMYFUNCTION("""COMPUTED_VALUE"""),60.11)</f>
        <v>60.11</v>
      </c>
      <c r="E947" s="1">
        <f ca="1">IFERROR(__xludf.DUMMYFUNCTION("""COMPUTED_VALUE"""),60.58)</f>
        <v>60.58</v>
      </c>
      <c r="F947" s="1">
        <f ca="1">IFERROR(__xludf.DUMMYFUNCTION("""COMPUTED_VALUE"""),1312686)</f>
        <v>1312686</v>
      </c>
    </row>
    <row r="948" spans="1:6" x14ac:dyDescent="0.35">
      <c r="A948" s="2">
        <f ca="1">IFERROR(__xludf.DUMMYFUNCTION("""COMPUTED_VALUE"""),43377.6666666666)</f>
        <v>43377.666666666599</v>
      </c>
      <c r="B948" s="1">
        <f ca="1">IFERROR(__xludf.DUMMYFUNCTION("""COMPUTED_VALUE"""),60.25)</f>
        <v>60.25</v>
      </c>
      <c r="C948" s="1">
        <f ca="1">IFERROR(__xludf.DUMMYFUNCTION("""COMPUTED_VALUE"""),60.3)</f>
        <v>60.3</v>
      </c>
      <c r="D948" s="1">
        <f ca="1">IFERROR(__xludf.DUMMYFUNCTION("""COMPUTED_VALUE"""),58.19)</f>
        <v>58.19</v>
      </c>
      <c r="E948" s="1">
        <f ca="1">IFERROR(__xludf.DUMMYFUNCTION("""COMPUTED_VALUE"""),58.85)</f>
        <v>58.85</v>
      </c>
      <c r="F948" s="1">
        <f ca="1">IFERROR(__xludf.DUMMYFUNCTION("""COMPUTED_VALUE"""),2328778)</f>
        <v>2328778</v>
      </c>
    </row>
    <row r="949" spans="1:6" x14ac:dyDescent="0.35">
      <c r="A949" s="2">
        <f ca="1">IFERROR(__xludf.DUMMYFUNCTION("""COMPUTED_VALUE"""),43378.6666666666)</f>
        <v>43378.666666666599</v>
      </c>
      <c r="B949" s="1">
        <f ca="1">IFERROR(__xludf.DUMMYFUNCTION("""COMPUTED_VALUE"""),58.8)</f>
        <v>58.8</v>
      </c>
      <c r="C949" s="1">
        <f ca="1">IFERROR(__xludf.DUMMYFUNCTION("""COMPUTED_VALUE"""),59.1)</f>
        <v>59.1</v>
      </c>
      <c r="D949" s="1">
        <f ca="1">IFERROR(__xludf.DUMMYFUNCTION("""COMPUTED_VALUE"""),57.72)</f>
        <v>57.72</v>
      </c>
      <c r="E949" s="1">
        <f ca="1">IFERROR(__xludf.DUMMYFUNCTION("""COMPUTED_VALUE"""),58.39)</f>
        <v>58.39</v>
      </c>
      <c r="F949" s="1">
        <f ca="1">IFERROR(__xludf.DUMMYFUNCTION("""COMPUTED_VALUE"""),1593012)</f>
        <v>1593012</v>
      </c>
    </row>
    <row r="950" spans="1:6" x14ac:dyDescent="0.35">
      <c r="A950" s="2">
        <f ca="1">IFERROR(__xludf.DUMMYFUNCTION("""COMPUTED_VALUE"""),43381.6666666666)</f>
        <v>43381.666666666599</v>
      </c>
      <c r="B950" s="1">
        <f ca="1">IFERROR(__xludf.DUMMYFUNCTION("""COMPUTED_VALUE"""),58)</f>
        <v>58</v>
      </c>
      <c r="C950" s="1">
        <f ca="1">IFERROR(__xludf.DUMMYFUNCTION("""COMPUTED_VALUE"""),58.79)</f>
        <v>58.79</v>
      </c>
      <c r="D950" s="1">
        <f ca="1">IFERROR(__xludf.DUMMYFUNCTION("""COMPUTED_VALUE"""),56.77)</f>
        <v>56.77</v>
      </c>
      <c r="E950" s="1">
        <f ca="1">IFERROR(__xludf.DUMMYFUNCTION("""COMPUTED_VALUE"""),57.8)</f>
        <v>57.8</v>
      </c>
      <c r="F950" s="1">
        <f ca="1">IFERROR(__xludf.DUMMYFUNCTION("""COMPUTED_VALUE"""),2309539)</f>
        <v>2309539</v>
      </c>
    </row>
    <row r="951" spans="1:6" x14ac:dyDescent="0.35">
      <c r="A951" s="2">
        <f ca="1">IFERROR(__xludf.DUMMYFUNCTION("""COMPUTED_VALUE"""),43382.6666666666)</f>
        <v>43382.666666666599</v>
      </c>
      <c r="B951" s="1">
        <f ca="1">IFERROR(__xludf.DUMMYFUNCTION("""COMPUTED_VALUE"""),57.57)</f>
        <v>57.57</v>
      </c>
      <c r="C951" s="1">
        <f ca="1">IFERROR(__xludf.DUMMYFUNCTION("""COMPUTED_VALUE"""),58.08)</f>
        <v>58.08</v>
      </c>
      <c r="D951" s="1">
        <f ca="1">IFERROR(__xludf.DUMMYFUNCTION("""COMPUTED_VALUE"""),57.21)</f>
        <v>57.21</v>
      </c>
      <c r="E951" s="1">
        <f ca="1">IFERROR(__xludf.DUMMYFUNCTION("""COMPUTED_VALUE"""),57.26)</f>
        <v>57.26</v>
      </c>
      <c r="F951" s="1">
        <f ca="1">IFERROR(__xludf.DUMMYFUNCTION("""COMPUTED_VALUE"""),1684728)</f>
        <v>1684728</v>
      </c>
    </row>
    <row r="952" spans="1:6" x14ac:dyDescent="0.35">
      <c r="A952" s="2">
        <f ca="1">IFERROR(__xludf.DUMMYFUNCTION("""COMPUTED_VALUE"""),43383.6666666666)</f>
        <v>43383.666666666599</v>
      </c>
      <c r="B952" s="1">
        <f ca="1">IFERROR(__xludf.DUMMYFUNCTION("""COMPUTED_VALUE"""),56.82)</f>
        <v>56.82</v>
      </c>
      <c r="C952" s="1">
        <f ca="1">IFERROR(__xludf.DUMMYFUNCTION("""COMPUTED_VALUE"""),56.85)</f>
        <v>56.85</v>
      </c>
      <c r="D952" s="1">
        <f ca="1">IFERROR(__xludf.DUMMYFUNCTION("""COMPUTED_VALUE"""),54.58)</f>
        <v>54.58</v>
      </c>
      <c r="E952" s="1">
        <f ca="1">IFERROR(__xludf.DUMMYFUNCTION("""COMPUTED_VALUE"""),54.61)</f>
        <v>54.61</v>
      </c>
      <c r="F952" s="1">
        <f ca="1">IFERROR(__xludf.DUMMYFUNCTION("""COMPUTED_VALUE"""),2949006)</f>
        <v>2949006</v>
      </c>
    </row>
    <row r="953" spans="1:6" x14ac:dyDescent="0.35">
      <c r="A953" s="2">
        <f ca="1">IFERROR(__xludf.DUMMYFUNCTION("""COMPUTED_VALUE"""),43384.6666666666)</f>
        <v>43384.666666666599</v>
      </c>
      <c r="B953" s="1">
        <f ca="1">IFERROR(__xludf.DUMMYFUNCTION("""COMPUTED_VALUE"""),53.95)</f>
        <v>53.95</v>
      </c>
      <c r="C953" s="1">
        <f ca="1">IFERROR(__xludf.DUMMYFUNCTION("""COMPUTED_VALUE"""),55.8)</f>
        <v>55.8</v>
      </c>
      <c r="D953" s="1">
        <f ca="1">IFERROR(__xludf.DUMMYFUNCTION("""COMPUTED_VALUE"""),53.79)</f>
        <v>53.79</v>
      </c>
      <c r="E953" s="1">
        <f ca="1">IFERROR(__xludf.DUMMYFUNCTION("""COMPUTED_VALUE"""),54.54)</f>
        <v>54.54</v>
      </c>
      <c r="F953" s="1">
        <f ca="1">IFERROR(__xludf.DUMMYFUNCTION("""COMPUTED_VALUE"""),3384775)</f>
        <v>3384775</v>
      </c>
    </row>
    <row r="954" spans="1:6" x14ac:dyDescent="0.35">
      <c r="A954" s="2">
        <f ca="1">IFERROR(__xludf.DUMMYFUNCTION("""COMPUTED_VALUE"""),43385.6666666666)</f>
        <v>43385.666666666599</v>
      </c>
      <c r="B954" s="1">
        <f ca="1">IFERROR(__xludf.DUMMYFUNCTION("""COMPUTED_VALUE"""),55.98)</f>
        <v>55.98</v>
      </c>
      <c r="C954" s="1">
        <f ca="1">IFERROR(__xludf.DUMMYFUNCTION("""COMPUTED_VALUE"""),56.29)</f>
        <v>56.29</v>
      </c>
      <c r="D954" s="1">
        <f ca="1">IFERROR(__xludf.DUMMYFUNCTION("""COMPUTED_VALUE"""),54.75)</f>
        <v>54.75</v>
      </c>
      <c r="E954" s="1">
        <f ca="1">IFERROR(__xludf.DUMMYFUNCTION("""COMPUTED_VALUE"""),56.03)</f>
        <v>56.03</v>
      </c>
      <c r="F954" s="1">
        <f ca="1">IFERROR(__xludf.DUMMYFUNCTION("""COMPUTED_VALUE"""),2468920)</f>
        <v>2468920</v>
      </c>
    </row>
    <row r="955" spans="1:6" x14ac:dyDescent="0.35">
      <c r="A955" s="2">
        <f ca="1">IFERROR(__xludf.DUMMYFUNCTION("""COMPUTED_VALUE"""),43388.6666666666)</f>
        <v>43388.666666666599</v>
      </c>
      <c r="B955" s="1">
        <f ca="1">IFERROR(__xludf.DUMMYFUNCTION("""COMPUTED_VALUE"""),55.9)</f>
        <v>55.9</v>
      </c>
      <c r="C955" s="1">
        <f ca="1">IFERROR(__xludf.DUMMYFUNCTION("""COMPUTED_VALUE"""),56.09)</f>
        <v>56.09</v>
      </c>
      <c r="D955" s="1">
        <f ca="1">IFERROR(__xludf.DUMMYFUNCTION("""COMPUTED_VALUE"""),54.91)</f>
        <v>54.91</v>
      </c>
      <c r="E955" s="1">
        <f ca="1">IFERROR(__xludf.DUMMYFUNCTION("""COMPUTED_VALUE"""),55.12)</f>
        <v>55.12</v>
      </c>
      <c r="F955" s="1">
        <f ca="1">IFERROR(__xludf.DUMMYFUNCTION("""COMPUTED_VALUE"""),1503956)</f>
        <v>1503956</v>
      </c>
    </row>
    <row r="956" spans="1:6" x14ac:dyDescent="0.35">
      <c r="A956" s="2">
        <f ca="1">IFERROR(__xludf.DUMMYFUNCTION("""COMPUTED_VALUE"""),43389.6666666666)</f>
        <v>43389.666666666599</v>
      </c>
      <c r="B956" s="1">
        <f ca="1">IFERROR(__xludf.DUMMYFUNCTION("""COMPUTED_VALUE"""),55.67)</f>
        <v>55.67</v>
      </c>
      <c r="C956" s="1">
        <f ca="1">IFERROR(__xludf.DUMMYFUNCTION("""COMPUTED_VALUE"""),56.82)</f>
        <v>56.82</v>
      </c>
      <c r="D956" s="1">
        <f ca="1">IFERROR(__xludf.DUMMYFUNCTION("""COMPUTED_VALUE"""),55.59)</f>
        <v>55.59</v>
      </c>
      <c r="E956" s="1">
        <f ca="1">IFERROR(__xludf.DUMMYFUNCTION("""COMPUTED_VALUE"""),56.65)</f>
        <v>56.65</v>
      </c>
      <c r="F956" s="1">
        <f ca="1">IFERROR(__xludf.DUMMYFUNCTION("""COMPUTED_VALUE"""),1918879)</f>
        <v>1918879</v>
      </c>
    </row>
    <row r="957" spans="1:6" x14ac:dyDescent="0.35">
      <c r="A957" s="2">
        <f ca="1">IFERROR(__xludf.DUMMYFUNCTION("""COMPUTED_VALUE"""),43390.6666666666)</f>
        <v>43390.666666666599</v>
      </c>
      <c r="B957" s="1">
        <f ca="1">IFERROR(__xludf.DUMMYFUNCTION("""COMPUTED_VALUE"""),57)</f>
        <v>57</v>
      </c>
      <c r="C957" s="1">
        <f ca="1">IFERROR(__xludf.DUMMYFUNCTION("""COMPUTED_VALUE"""),57.35)</f>
        <v>57.35</v>
      </c>
      <c r="D957" s="1">
        <f ca="1">IFERROR(__xludf.DUMMYFUNCTION("""COMPUTED_VALUE"""),55.7)</f>
        <v>55.7</v>
      </c>
      <c r="E957" s="1">
        <f ca="1">IFERROR(__xludf.DUMMYFUNCTION("""COMPUTED_VALUE"""),56.38)</f>
        <v>56.38</v>
      </c>
      <c r="F957" s="1">
        <f ca="1">IFERROR(__xludf.DUMMYFUNCTION("""COMPUTED_VALUE"""),1782614)</f>
        <v>1782614</v>
      </c>
    </row>
    <row r="958" spans="1:6" x14ac:dyDescent="0.35">
      <c r="A958" s="2">
        <f ca="1">IFERROR(__xludf.DUMMYFUNCTION("""COMPUTED_VALUE"""),43391.6666666666)</f>
        <v>43391.666666666599</v>
      </c>
      <c r="B958" s="1">
        <f ca="1">IFERROR(__xludf.DUMMYFUNCTION("""COMPUTED_VALUE"""),56.5)</f>
        <v>56.5</v>
      </c>
      <c r="C958" s="1">
        <f ca="1">IFERROR(__xludf.DUMMYFUNCTION("""COMPUTED_VALUE"""),56.62)</f>
        <v>56.62</v>
      </c>
      <c r="D958" s="1">
        <f ca="1">IFERROR(__xludf.DUMMYFUNCTION("""COMPUTED_VALUE"""),54.32)</f>
        <v>54.32</v>
      </c>
      <c r="E958" s="1">
        <f ca="1">IFERROR(__xludf.DUMMYFUNCTION("""COMPUTED_VALUE"""),54.9)</f>
        <v>54.9</v>
      </c>
      <c r="F958" s="1">
        <f ca="1">IFERROR(__xludf.DUMMYFUNCTION("""COMPUTED_VALUE"""),2307596)</f>
        <v>2307596</v>
      </c>
    </row>
    <row r="959" spans="1:6" x14ac:dyDescent="0.35">
      <c r="A959" s="2">
        <f ca="1">IFERROR(__xludf.DUMMYFUNCTION("""COMPUTED_VALUE"""),43392.6666666666)</f>
        <v>43392.666666666599</v>
      </c>
      <c r="B959" s="1">
        <f ca="1">IFERROR(__xludf.DUMMYFUNCTION("""COMPUTED_VALUE"""),55.19)</f>
        <v>55.19</v>
      </c>
      <c r="C959" s="1">
        <f ca="1">IFERROR(__xludf.DUMMYFUNCTION("""COMPUTED_VALUE"""),56.05)</f>
        <v>56.05</v>
      </c>
      <c r="D959" s="1">
        <f ca="1">IFERROR(__xludf.DUMMYFUNCTION("""COMPUTED_VALUE"""),54.85)</f>
        <v>54.85</v>
      </c>
      <c r="E959" s="1">
        <f ca="1">IFERROR(__xludf.DUMMYFUNCTION("""COMPUTED_VALUE"""),55.26)</f>
        <v>55.26</v>
      </c>
      <c r="F959" s="1">
        <f ca="1">IFERROR(__xludf.DUMMYFUNCTION("""COMPUTED_VALUE"""),2064289)</f>
        <v>2064289</v>
      </c>
    </row>
    <row r="960" spans="1:6" x14ac:dyDescent="0.35">
      <c r="A960" s="2">
        <f ca="1">IFERROR(__xludf.DUMMYFUNCTION("""COMPUTED_VALUE"""),43395.6666666666)</f>
        <v>43395.666666666599</v>
      </c>
      <c r="B960" s="1">
        <f ca="1">IFERROR(__xludf.DUMMYFUNCTION("""COMPUTED_VALUE"""),55.63)</f>
        <v>55.63</v>
      </c>
      <c r="C960" s="1">
        <f ca="1">IFERROR(__xludf.DUMMYFUNCTION("""COMPUTED_VALUE"""),56.08)</f>
        <v>56.08</v>
      </c>
      <c r="D960" s="1">
        <f ca="1">IFERROR(__xludf.DUMMYFUNCTION("""COMPUTED_VALUE"""),55)</f>
        <v>55</v>
      </c>
      <c r="E960" s="1">
        <f ca="1">IFERROR(__xludf.DUMMYFUNCTION("""COMPUTED_VALUE"""),55.57)</f>
        <v>55.57</v>
      </c>
      <c r="F960" s="1">
        <f ca="1">IFERROR(__xludf.DUMMYFUNCTION("""COMPUTED_VALUE"""),1355842)</f>
        <v>1355842</v>
      </c>
    </row>
    <row r="961" spans="1:6" x14ac:dyDescent="0.35">
      <c r="A961" s="2">
        <f ca="1">IFERROR(__xludf.DUMMYFUNCTION("""COMPUTED_VALUE"""),43396.6666666666)</f>
        <v>43396.666666666599</v>
      </c>
      <c r="B961" s="1">
        <f ca="1">IFERROR(__xludf.DUMMYFUNCTION("""COMPUTED_VALUE"""),54.56)</f>
        <v>54.56</v>
      </c>
      <c r="C961" s="1">
        <f ca="1">IFERROR(__xludf.DUMMYFUNCTION("""COMPUTED_VALUE"""),55.9)</f>
        <v>55.9</v>
      </c>
      <c r="D961" s="1">
        <f ca="1">IFERROR(__xludf.DUMMYFUNCTION("""COMPUTED_VALUE"""),53.95)</f>
        <v>53.95</v>
      </c>
      <c r="E961" s="1">
        <f ca="1">IFERROR(__xludf.DUMMYFUNCTION("""COMPUTED_VALUE"""),55.75)</f>
        <v>55.75</v>
      </c>
      <c r="F961" s="1">
        <f ca="1">IFERROR(__xludf.DUMMYFUNCTION("""COMPUTED_VALUE"""),1884255)</f>
        <v>1884255</v>
      </c>
    </row>
    <row r="962" spans="1:6" x14ac:dyDescent="0.35">
      <c r="A962" s="2">
        <f ca="1">IFERROR(__xludf.DUMMYFUNCTION("""COMPUTED_VALUE"""),43397.6666666666)</f>
        <v>43397.666666666599</v>
      </c>
      <c r="B962" s="1">
        <f ca="1">IFERROR(__xludf.DUMMYFUNCTION("""COMPUTED_VALUE"""),55.75)</f>
        <v>55.75</v>
      </c>
      <c r="C962" s="1">
        <f ca="1">IFERROR(__xludf.DUMMYFUNCTION("""COMPUTED_VALUE"""),55.83)</f>
        <v>55.83</v>
      </c>
      <c r="D962" s="1">
        <f ca="1">IFERROR(__xludf.DUMMYFUNCTION("""COMPUTED_VALUE"""),52.75)</f>
        <v>52.75</v>
      </c>
      <c r="E962" s="1">
        <f ca="1">IFERROR(__xludf.DUMMYFUNCTION("""COMPUTED_VALUE"""),52.86)</f>
        <v>52.86</v>
      </c>
      <c r="F962" s="1">
        <f ca="1">IFERROR(__xludf.DUMMYFUNCTION("""COMPUTED_VALUE"""),2464295)</f>
        <v>2464295</v>
      </c>
    </row>
    <row r="963" spans="1:6" x14ac:dyDescent="0.35">
      <c r="A963" s="2">
        <f ca="1">IFERROR(__xludf.DUMMYFUNCTION("""COMPUTED_VALUE"""),43398.6666666666)</f>
        <v>43398.666666666599</v>
      </c>
      <c r="B963" s="1">
        <f ca="1">IFERROR(__xludf.DUMMYFUNCTION("""COMPUTED_VALUE"""),54.02)</f>
        <v>54.02</v>
      </c>
      <c r="C963" s="1">
        <f ca="1">IFERROR(__xludf.DUMMYFUNCTION("""COMPUTED_VALUE"""),55.89)</f>
        <v>55.89</v>
      </c>
      <c r="D963" s="1">
        <f ca="1">IFERROR(__xludf.DUMMYFUNCTION("""COMPUTED_VALUE"""),53.78)</f>
        <v>53.78</v>
      </c>
      <c r="E963" s="1">
        <f ca="1">IFERROR(__xludf.DUMMYFUNCTION("""COMPUTED_VALUE"""),55.18)</f>
        <v>55.18</v>
      </c>
      <c r="F963" s="1">
        <f ca="1">IFERROR(__xludf.DUMMYFUNCTION("""COMPUTED_VALUE"""),3647814)</f>
        <v>3647814</v>
      </c>
    </row>
    <row r="964" spans="1:6" x14ac:dyDescent="0.35">
      <c r="A964" s="2">
        <f ca="1">IFERROR(__xludf.DUMMYFUNCTION("""COMPUTED_VALUE"""),43399.6666666666)</f>
        <v>43399.666666666599</v>
      </c>
      <c r="B964" s="1">
        <f ca="1">IFERROR(__xludf.DUMMYFUNCTION("""COMPUTED_VALUE"""),52.42)</f>
        <v>52.42</v>
      </c>
      <c r="C964" s="1">
        <f ca="1">IFERROR(__xludf.DUMMYFUNCTION("""COMPUTED_VALUE"""),55.85)</f>
        <v>55.85</v>
      </c>
      <c r="D964" s="1">
        <f ca="1">IFERROR(__xludf.DUMMYFUNCTION("""COMPUTED_VALUE"""),52.11)</f>
        <v>52.11</v>
      </c>
      <c r="E964" s="1">
        <f ca="1">IFERROR(__xludf.DUMMYFUNCTION("""COMPUTED_VALUE"""),54.19)</f>
        <v>54.19</v>
      </c>
      <c r="F964" s="1">
        <f ca="1">IFERROR(__xludf.DUMMYFUNCTION("""COMPUTED_VALUE"""),5321883)</f>
        <v>5321883</v>
      </c>
    </row>
    <row r="965" spans="1:6" x14ac:dyDescent="0.35">
      <c r="A965" s="2">
        <f ca="1">IFERROR(__xludf.DUMMYFUNCTION("""COMPUTED_VALUE"""),43402.6666666666)</f>
        <v>43402.666666666599</v>
      </c>
      <c r="B965" s="1">
        <f ca="1">IFERROR(__xludf.DUMMYFUNCTION("""COMPUTED_VALUE"""),54.83)</f>
        <v>54.83</v>
      </c>
      <c r="C965" s="1">
        <f ca="1">IFERROR(__xludf.DUMMYFUNCTION("""COMPUTED_VALUE"""),55.44)</f>
        <v>55.44</v>
      </c>
      <c r="D965" s="1">
        <f ca="1">IFERROR(__xludf.DUMMYFUNCTION("""COMPUTED_VALUE"""),50.36)</f>
        <v>50.36</v>
      </c>
      <c r="E965" s="1">
        <f ca="1">IFERROR(__xludf.DUMMYFUNCTION("""COMPUTED_VALUE"""),51.74)</f>
        <v>51.74</v>
      </c>
      <c r="F965" s="1">
        <f ca="1">IFERROR(__xludf.DUMMYFUNCTION("""COMPUTED_VALUE"""),4064452)</f>
        <v>4064452</v>
      </c>
    </row>
    <row r="966" spans="1:6" x14ac:dyDescent="0.35">
      <c r="A966" s="2">
        <f ca="1">IFERROR(__xludf.DUMMYFUNCTION("""COMPUTED_VALUE"""),43403.6666666666)</f>
        <v>43403.666666666599</v>
      </c>
      <c r="B966" s="1">
        <f ca="1">IFERROR(__xludf.DUMMYFUNCTION("""COMPUTED_VALUE"""),51)</f>
        <v>51</v>
      </c>
      <c r="C966" s="1">
        <f ca="1">IFERROR(__xludf.DUMMYFUNCTION("""COMPUTED_VALUE"""),52.55)</f>
        <v>52.55</v>
      </c>
      <c r="D966" s="1">
        <f ca="1">IFERROR(__xludf.DUMMYFUNCTION("""COMPUTED_VALUE"""),50.7)</f>
        <v>50.7</v>
      </c>
      <c r="E966" s="1">
        <f ca="1">IFERROR(__xludf.DUMMYFUNCTION("""COMPUTED_VALUE"""),52.48)</f>
        <v>52.48</v>
      </c>
      <c r="F966" s="1">
        <f ca="1">IFERROR(__xludf.DUMMYFUNCTION("""COMPUTED_VALUE"""),2988418)</f>
        <v>2988418</v>
      </c>
    </row>
    <row r="967" spans="1:6" x14ac:dyDescent="0.35">
      <c r="A967" s="2">
        <f ca="1">IFERROR(__xludf.DUMMYFUNCTION("""COMPUTED_VALUE"""),43404.6666666666)</f>
        <v>43404.666666666599</v>
      </c>
      <c r="B967" s="1">
        <f ca="1">IFERROR(__xludf.DUMMYFUNCTION("""COMPUTED_VALUE"""),53.41)</f>
        <v>53.41</v>
      </c>
      <c r="C967" s="1">
        <f ca="1">IFERROR(__xludf.DUMMYFUNCTION("""COMPUTED_VALUE"""),55.4)</f>
        <v>55.4</v>
      </c>
      <c r="D967" s="1">
        <f ca="1">IFERROR(__xludf.DUMMYFUNCTION("""COMPUTED_VALUE"""),53.41)</f>
        <v>53.41</v>
      </c>
      <c r="E967" s="1">
        <f ca="1">IFERROR(__xludf.DUMMYFUNCTION("""COMPUTED_VALUE"""),54.53)</f>
        <v>54.53</v>
      </c>
      <c r="F967" s="1">
        <f ca="1">IFERROR(__xludf.DUMMYFUNCTION("""COMPUTED_VALUE"""),3545821)</f>
        <v>3545821</v>
      </c>
    </row>
    <row r="968" spans="1:6" x14ac:dyDescent="0.35">
      <c r="A968" s="2">
        <f ca="1">IFERROR(__xludf.DUMMYFUNCTION("""COMPUTED_VALUE"""),43405.6666666666)</f>
        <v>43405.666666666599</v>
      </c>
      <c r="B968" s="1">
        <f ca="1">IFERROR(__xludf.DUMMYFUNCTION("""COMPUTED_VALUE"""),54.57)</f>
        <v>54.57</v>
      </c>
      <c r="C968" s="1">
        <f ca="1">IFERROR(__xludf.DUMMYFUNCTION("""COMPUTED_VALUE"""),55)</f>
        <v>55</v>
      </c>
      <c r="D968" s="1">
        <f ca="1">IFERROR(__xludf.DUMMYFUNCTION("""COMPUTED_VALUE"""),53.89)</f>
        <v>53.89</v>
      </c>
      <c r="E968" s="1">
        <f ca="1">IFERROR(__xludf.DUMMYFUNCTION("""COMPUTED_VALUE"""),54.3)</f>
        <v>54.3</v>
      </c>
      <c r="F968" s="1">
        <f ca="1">IFERROR(__xludf.DUMMYFUNCTION("""COMPUTED_VALUE"""),2006575)</f>
        <v>2006575</v>
      </c>
    </row>
    <row r="969" spans="1:6" x14ac:dyDescent="0.35">
      <c r="A969" s="2">
        <f ca="1">IFERROR(__xludf.DUMMYFUNCTION("""COMPUTED_VALUE"""),43406.6666666666)</f>
        <v>43406.666666666599</v>
      </c>
      <c r="B969" s="1">
        <f ca="1">IFERROR(__xludf.DUMMYFUNCTION("""COMPUTED_VALUE"""),54.45)</f>
        <v>54.45</v>
      </c>
      <c r="C969" s="1">
        <f ca="1">IFERROR(__xludf.DUMMYFUNCTION("""COMPUTED_VALUE"""),54.9)</f>
        <v>54.9</v>
      </c>
      <c r="D969" s="1">
        <f ca="1">IFERROR(__xludf.DUMMYFUNCTION("""COMPUTED_VALUE"""),53.38)</f>
        <v>53.38</v>
      </c>
      <c r="E969" s="1">
        <f ca="1">IFERROR(__xludf.DUMMYFUNCTION("""COMPUTED_VALUE"""),53.57)</f>
        <v>53.57</v>
      </c>
      <c r="F969" s="1">
        <f ca="1">IFERROR(__xludf.DUMMYFUNCTION("""COMPUTED_VALUE"""),2172215)</f>
        <v>2172215</v>
      </c>
    </row>
    <row r="970" spans="1:6" x14ac:dyDescent="0.35">
      <c r="A970" s="2">
        <f ca="1">IFERROR(__xludf.DUMMYFUNCTION("""COMPUTED_VALUE"""),43409.6666666666)</f>
        <v>43409.666666666599</v>
      </c>
      <c r="B970" s="1">
        <f ca="1">IFERROR(__xludf.DUMMYFUNCTION("""COMPUTED_VALUE"""),53.63)</f>
        <v>53.63</v>
      </c>
      <c r="C970" s="1">
        <f ca="1">IFERROR(__xludf.DUMMYFUNCTION("""COMPUTED_VALUE"""),53.67)</f>
        <v>53.67</v>
      </c>
      <c r="D970" s="1">
        <f ca="1">IFERROR(__xludf.DUMMYFUNCTION("""COMPUTED_VALUE"""),51.7)</f>
        <v>51.7</v>
      </c>
      <c r="E970" s="1">
        <f ca="1">IFERROR(__xludf.DUMMYFUNCTION("""COMPUTED_VALUE"""),52.79)</f>
        <v>52.79</v>
      </c>
      <c r="F970" s="1">
        <f ca="1">IFERROR(__xludf.DUMMYFUNCTION("""COMPUTED_VALUE"""),2267870)</f>
        <v>2267870</v>
      </c>
    </row>
    <row r="971" spans="1:6" x14ac:dyDescent="0.35">
      <c r="A971" s="2">
        <f ca="1">IFERROR(__xludf.DUMMYFUNCTION("""COMPUTED_VALUE"""),43410.6666666666)</f>
        <v>43410.666666666599</v>
      </c>
      <c r="B971" s="1">
        <f ca="1">IFERROR(__xludf.DUMMYFUNCTION("""COMPUTED_VALUE"""),52.75)</f>
        <v>52.75</v>
      </c>
      <c r="C971" s="1">
        <f ca="1">IFERROR(__xludf.DUMMYFUNCTION("""COMPUTED_VALUE"""),53.99)</f>
        <v>53.99</v>
      </c>
      <c r="D971" s="1">
        <f ca="1">IFERROR(__xludf.DUMMYFUNCTION("""COMPUTED_VALUE"""),52.68)</f>
        <v>52.68</v>
      </c>
      <c r="E971" s="1">
        <f ca="1">IFERROR(__xludf.DUMMYFUNCTION("""COMPUTED_VALUE"""),53.48)</f>
        <v>53.48</v>
      </c>
      <c r="F971" s="1">
        <f ca="1">IFERROR(__xludf.DUMMYFUNCTION("""COMPUTED_VALUE"""),1433013)</f>
        <v>1433013</v>
      </c>
    </row>
    <row r="972" spans="1:6" x14ac:dyDescent="0.35">
      <c r="A972" s="2">
        <f ca="1">IFERROR(__xludf.DUMMYFUNCTION("""COMPUTED_VALUE"""),43411.6666666666)</f>
        <v>43411.666666666599</v>
      </c>
      <c r="B972" s="1">
        <f ca="1">IFERROR(__xludf.DUMMYFUNCTION("""COMPUTED_VALUE"""),54.17)</f>
        <v>54.17</v>
      </c>
      <c r="C972" s="1">
        <f ca="1">IFERROR(__xludf.DUMMYFUNCTION("""COMPUTED_VALUE"""),55.5)</f>
        <v>55.5</v>
      </c>
      <c r="D972" s="1">
        <f ca="1">IFERROR(__xludf.DUMMYFUNCTION("""COMPUTED_VALUE"""),54.03)</f>
        <v>54.03</v>
      </c>
      <c r="E972" s="1">
        <f ca="1">IFERROR(__xludf.DUMMYFUNCTION("""COMPUTED_VALUE"""),55.41)</f>
        <v>55.41</v>
      </c>
      <c r="F972" s="1">
        <f ca="1">IFERROR(__xludf.DUMMYFUNCTION("""COMPUTED_VALUE"""),2169392)</f>
        <v>2169392</v>
      </c>
    </row>
    <row r="973" spans="1:6" x14ac:dyDescent="0.35">
      <c r="A973" s="2">
        <f ca="1">IFERROR(__xludf.DUMMYFUNCTION("""COMPUTED_VALUE"""),43412.6666666666)</f>
        <v>43412.666666666599</v>
      </c>
      <c r="B973" s="1">
        <f ca="1">IFERROR(__xludf.DUMMYFUNCTION("""COMPUTED_VALUE"""),55.37)</f>
        <v>55.37</v>
      </c>
      <c r="C973" s="1">
        <f ca="1">IFERROR(__xludf.DUMMYFUNCTION("""COMPUTED_VALUE"""),55.41)</f>
        <v>55.41</v>
      </c>
      <c r="D973" s="1">
        <f ca="1">IFERROR(__xludf.DUMMYFUNCTION("""COMPUTED_VALUE"""),54.22)</f>
        <v>54.22</v>
      </c>
      <c r="E973" s="1">
        <f ca="1">IFERROR(__xludf.DUMMYFUNCTION("""COMPUTED_VALUE"""),54.73)</f>
        <v>54.73</v>
      </c>
      <c r="F973" s="1">
        <f ca="1">IFERROR(__xludf.DUMMYFUNCTION("""COMPUTED_VALUE"""),1685193)</f>
        <v>1685193</v>
      </c>
    </row>
    <row r="974" spans="1:6" x14ac:dyDescent="0.35">
      <c r="A974" s="2">
        <f ca="1">IFERROR(__xludf.DUMMYFUNCTION("""COMPUTED_VALUE"""),43413.6666666666)</f>
        <v>43413.666666666599</v>
      </c>
      <c r="B974" s="1">
        <f ca="1">IFERROR(__xludf.DUMMYFUNCTION("""COMPUTED_VALUE"""),54.2)</f>
        <v>54.2</v>
      </c>
      <c r="C974" s="1">
        <f ca="1">IFERROR(__xludf.DUMMYFUNCTION("""COMPUTED_VALUE"""),54.42)</f>
        <v>54.42</v>
      </c>
      <c r="D974" s="1">
        <f ca="1">IFERROR(__xludf.DUMMYFUNCTION("""COMPUTED_VALUE"""),53.21)</f>
        <v>53.21</v>
      </c>
      <c r="E974" s="1">
        <f ca="1">IFERROR(__xludf.DUMMYFUNCTION("""COMPUTED_VALUE"""),53.85)</f>
        <v>53.85</v>
      </c>
      <c r="F974" s="1">
        <f ca="1">IFERROR(__xludf.DUMMYFUNCTION("""COMPUTED_VALUE"""),1743298)</f>
        <v>1743298</v>
      </c>
    </row>
    <row r="975" spans="1:6" x14ac:dyDescent="0.35">
      <c r="A975" s="2">
        <f ca="1">IFERROR(__xludf.DUMMYFUNCTION("""COMPUTED_VALUE"""),43416.6666666666)</f>
        <v>43416.666666666599</v>
      </c>
      <c r="B975" s="1">
        <f ca="1">IFERROR(__xludf.DUMMYFUNCTION("""COMPUTED_VALUE"""),53.66)</f>
        <v>53.66</v>
      </c>
      <c r="C975" s="1">
        <f ca="1">IFERROR(__xludf.DUMMYFUNCTION("""COMPUTED_VALUE"""),53.71)</f>
        <v>53.71</v>
      </c>
      <c r="D975" s="1">
        <f ca="1">IFERROR(__xludf.DUMMYFUNCTION("""COMPUTED_VALUE"""),52.02)</f>
        <v>52.02</v>
      </c>
      <c r="E975" s="1">
        <f ca="1">IFERROR(__xludf.DUMMYFUNCTION("""COMPUTED_VALUE"""),52.47)</f>
        <v>52.47</v>
      </c>
      <c r="F975" s="1">
        <f ca="1">IFERROR(__xludf.DUMMYFUNCTION("""COMPUTED_VALUE"""),1700091)</f>
        <v>1700091</v>
      </c>
    </row>
    <row r="976" spans="1:6" x14ac:dyDescent="0.35">
      <c r="A976" s="2">
        <f ca="1">IFERROR(__xludf.DUMMYFUNCTION("""COMPUTED_VALUE"""),43417.6666666666)</f>
        <v>43417.666666666599</v>
      </c>
      <c r="B976" s="1">
        <f ca="1">IFERROR(__xludf.DUMMYFUNCTION("""COMPUTED_VALUE"""),52.74)</f>
        <v>52.74</v>
      </c>
      <c r="C976" s="1">
        <f ca="1">IFERROR(__xludf.DUMMYFUNCTION("""COMPUTED_VALUE"""),53.33)</f>
        <v>53.33</v>
      </c>
      <c r="D976" s="1">
        <f ca="1">IFERROR(__xludf.DUMMYFUNCTION("""COMPUTED_VALUE"""),52.02)</f>
        <v>52.02</v>
      </c>
      <c r="E976" s="1">
        <f ca="1">IFERROR(__xludf.DUMMYFUNCTION("""COMPUTED_VALUE"""),52.4)</f>
        <v>52.4</v>
      </c>
      <c r="F976" s="1">
        <f ca="1">IFERROR(__xludf.DUMMYFUNCTION("""COMPUTED_VALUE"""),1287475)</f>
        <v>1287475</v>
      </c>
    </row>
    <row r="977" spans="1:6" x14ac:dyDescent="0.35">
      <c r="A977" s="2">
        <f ca="1">IFERROR(__xludf.DUMMYFUNCTION("""COMPUTED_VALUE"""),43418.6666666666)</f>
        <v>43418.666666666599</v>
      </c>
      <c r="B977" s="1">
        <f ca="1">IFERROR(__xludf.DUMMYFUNCTION("""COMPUTED_VALUE"""),53)</f>
        <v>53</v>
      </c>
      <c r="C977" s="1">
        <f ca="1">IFERROR(__xludf.DUMMYFUNCTION("""COMPUTED_VALUE"""),53.29)</f>
        <v>53.29</v>
      </c>
      <c r="D977" s="1">
        <f ca="1">IFERROR(__xludf.DUMMYFUNCTION("""COMPUTED_VALUE"""),52.06)</f>
        <v>52.06</v>
      </c>
      <c r="E977" s="1">
        <f ca="1">IFERROR(__xludf.DUMMYFUNCTION("""COMPUTED_VALUE"""),52.73)</f>
        <v>52.73</v>
      </c>
      <c r="F977" s="1">
        <f ca="1">IFERROR(__xludf.DUMMYFUNCTION("""COMPUTED_VALUE"""),1733302)</f>
        <v>1733302</v>
      </c>
    </row>
    <row r="978" spans="1:6" x14ac:dyDescent="0.35">
      <c r="A978" s="2">
        <f ca="1">IFERROR(__xludf.DUMMYFUNCTION("""COMPUTED_VALUE"""),43419.6666666666)</f>
        <v>43419.666666666599</v>
      </c>
      <c r="B978" s="1">
        <f ca="1">IFERROR(__xludf.DUMMYFUNCTION("""COMPUTED_VALUE"""),52.57)</f>
        <v>52.57</v>
      </c>
      <c r="C978" s="1">
        <f ca="1">IFERROR(__xludf.DUMMYFUNCTION("""COMPUTED_VALUE"""),53.94)</f>
        <v>53.94</v>
      </c>
      <c r="D978" s="1">
        <f ca="1">IFERROR(__xludf.DUMMYFUNCTION("""COMPUTED_VALUE"""),52.06)</f>
        <v>52.06</v>
      </c>
      <c r="E978" s="1">
        <f ca="1">IFERROR(__xludf.DUMMYFUNCTION("""COMPUTED_VALUE"""),53.55)</f>
        <v>53.55</v>
      </c>
      <c r="F978" s="1">
        <f ca="1">IFERROR(__xludf.DUMMYFUNCTION("""COMPUTED_VALUE"""),2079154)</f>
        <v>2079154</v>
      </c>
    </row>
    <row r="979" spans="1:6" x14ac:dyDescent="0.35">
      <c r="A979" s="2">
        <f ca="1">IFERROR(__xludf.DUMMYFUNCTION("""COMPUTED_VALUE"""),43420.6666666666)</f>
        <v>43420.666666666599</v>
      </c>
      <c r="B979" s="1">
        <f ca="1">IFERROR(__xludf.DUMMYFUNCTION("""COMPUTED_VALUE"""),53.26)</f>
        <v>53.26</v>
      </c>
      <c r="C979" s="1">
        <f ca="1">IFERROR(__xludf.DUMMYFUNCTION("""COMPUTED_VALUE"""),53.62)</f>
        <v>53.62</v>
      </c>
      <c r="D979" s="1">
        <f ca="1">IFERROR(__xludf.DUMMYFUNCTION("""COMPUTED_VALUE"""),52.75)</f>
        <v>52.75</v>
      </c>
      <c r="E979" s="1">
        <f ca="1">IFERROR(__xludf.DUMMYFUNCTION("""COMPUTED_VALUE"""),53.41)</f>
        <v>53.41</v>
      </c>
      <c r="F979" s="1">
        <f ca="1">IFERROR(__xludf.DUMMYFUNCTION("""COMPUTED_VALUE"""),1768308)</f>
        <v>1768308</v>
      </c>
    </row>
    <row r="980" spans="1:6" x14ac:dyDescent="0.35">
      <c r="A980" s="2">
        <f ca="1">IFERROR(__xludf.DUMMYFUNCTION("""COMPUTED_VALUE"""),43423.6666666666)</f>
        <v>43423.666666666599</v>
      </c>
      <c r="B980" s="1">
        <f ca="1">IFERROR(__xludf.DUMMYFUNCTION("""COMPUTED_VALUE"""),53.17)</f>
        <v>53.17</v>
      </c>
      <c r="C980" s="1">
        <f ca="1">IFERROR(__xludf.DUMMYFUNCTION("""COMPUTED_VALUE"""),53.4)</f>
        <v>53.4</v>
      </c>
      <c r="D980" s="1">
        <f ca="1">IFERROR(__xludf.DUMMYFUNCTION("""COMPUTED_VALUE"""),51.14)</f>
        <v>51.14</v>
      </c>
      <c r="E980" s="1">
        <f ca="1">IFERROR(__xludf.DUMMYFUNCTION("""COMPUTED_VALUE"""),51.37)</f>
        <v>51.37</v>
      </c>
      <c r="F980" s="1">
        <f ca="1">IFERROR(__xludf.DUMMYFUNCTION("""COMPUTED_VALUE"""),2284191)</f>
        <v>2284191</v>
      </c>
    </row>
    <row r="981" spans="1:6" x14ac:dyDescent="0.35">
      <c r="A981" s="2">
        <f ca="1">IFERROR(__xludf.DUMMYFUNCTION("""COMPUTED_VALUE"""),43424.6666666666)</f>
        <v>43424.666666666599</v>
      </c>
      <c r="B981" s="1">
        <f ca="1">IFERROR(__xludf.DUMMYFUNCTION("""COMPUTED_VALUE"""),50.36)</f>
        <v>50.36</v>
      </c>
      <c r="C981" s="1">
        <f ca="1">IFERROR(__xludf.DUMMYFUNCTION("""COMPUTED_VALUE"""),51.87)</f>
        <v>51.87</v>
      </c>
      <c r="D981" s="1">
        <f ca="1">IFERROR(__xludf.DUMMYFUNCTION("""COMPUTED_VALUE"""),50.11)</f>
        <v>50.11</v>
      </c>
      <c r="E981" s="1">
        <f ca="1">IFERROR(__xludf.DUMMYFUNCTION("""COMPUTED_VALUE"""),51.52)</f>
        <v>51.52</v>
      </c>
      <c r="F981" s="1">
        <f ca="1">IFERROR(__xludf.DUMMYFUNCTION("""COMPUTED_VALUE"""),2722934)</f>
        <v>2722934</v>
      </c>
    </row>
    <row r="982" spans="1:6" x14ac:dyDescent="0.35">
      <c r="A982" s="2">
        <f ca="1">IFERROR(__xludf.DUMMYFUNCTION("""COMPUTED_VALUE"""),43425.6666666666)</f>
        <v>43425.666666666599</v>
      </c>
      <c r="B982" s="1">
        <f ca="1">IFERROR(__xludf.DUMMYFUNCTION("""COMPUTED_VALUE"""),52.27)</f>
        <v>52.27</v>
      </c>
      <c r="C982" s="1">
        <f ca="1">IFERROR(__xludf.DUMMYFUNCTION("""COMPUTED_VALUE"""),52.74)</f>
        <v>52.74</v>
      </c>
      <c r="D982" s="1">
        <f ca="1">IFERROR(__xludf.DUMMYFUNCTION("""COMPUTED_VALUE"""),51.97)</f>
        <v>51.97</v>
      </c>
      <c r="E982" s="1">
        <f ca="1">IFERROR(__xludf.DUMMYFUNCTION("""COMPUTED_VALUE"""),52.17)</f>
        <v>52.17</v>
      </c>
      <c r="F982" s="1">
        <f ca="1">IFERROR(__xludf.DUMMYFUNCTION("""COMPUTED_VALUE"""),1485172)</f>
        <v>1485172</v>
      </c>
    </row>
    <row r="983" spans="1:6" x14ac:dyDescent="0.35">
      <c r="A983" s="2">
        <f ca="1">IFERROR(__xludf.DUMMYFUNCTION("""COMPUTED_VALUE"""),43427.5416666666)</f>
        <v>43427.541666666599</v>
      </c>
      <c r="B983" s="1">
        <f ca="1">IFERROR(__xludf.DUMMYFUNCTION("""COMPUTED_VALUE"""),51.68)</f>
        <v>51.68</v>
      </c>
      <c r="C983" s="1">
        <f ca="1">IFERROR(__xludf.DUMMYFUNCTION("""COMPUTED_VALUE"""),52.15)</f>
        <v>52.15</v>
      </c>
      <c r="D983" s="1">
        <f ca="1">IFERROR(__xludf.DUMMYFUNCTION("""COMPUTED_VALUE"""),51.43)</f>
        <v>51.43</v>
      </c>
      <c r="E983" s="1">
        <f ca="1">IFERROR(__xludf.DUMMYFUNCTION("""COMPUTED_VALUE"""),51.51)</f>
        <v>51.51</v>
      </c>
      <c r="F983" s="1">
        <f ca="1">IFERROR(__xludf.DUMMYFUNCTION("""COMPUTED_VALUE"""),708859)</f>
        <v>708859</v>
      </c>
    </row>
    <row r="984" spans="1:6" x14ac:dyDescent="0.35">
      <c r="A984" s="2">
        <f ca="1">IFERROR(__xludf.DUMMYFUNCTION("""COMPUTED_VALUE"""),43430.6666666666)</f>
        <v>43430.666666666599</v>
      </c>
      <c r="B984" s="1">
        <f ca="1">IFERROR(__xludf.DUMMYFUNCTION("""COMPUTED_VALUE"""),52.2)</f>
        <v>52.2</v>
      </c>
      <c r="C984" s="1">
        <f ca="1">IFERROR(__xludf.DUMMYFUNCTION("""COMPUTED_VALUE"""),52.85)</f>
        <v>52.85</v>
      </c>
      <c r="D984" s="1">
        <f ca="1">IFERROR(__xludf.DUMMYFUNCTION("""COMPUTED_VALUE"""),51.99)</f>
        <v>51.99</v>
      </c>
      <c r="E984" s="1">
        <f ca="1">IFERROR(__xludf.DUMMYFUNCTION("""COMPUTED_VALUE"""),52.8)</f>
        <v>52.8</v>
      </c>
      <c r="F984" s="1">
        <f ca="1">IFERROR(__xludf.DUMMYFUNCTION("""COMPUTED_VALUE"""),1577941)</f>
        <v>1577941</v>
      </c>
    </row>
    <row r="985" spans="1:6" x14ac:dyDescent="0.35">
      <c r="A985" s="2">
        <f ca="1">IFERROR(__xludf.DUMMYFUNCTION("""COMPUTED_VALUE"""),43431.6666666666)</f>
        <v>43431.666666666599</v>
      </c>
      <c r="B985" s="1">
        <f ca="1">IFERROR(__xludf.DUMMYFUNCTION("""COMPUTED_VALUE"""),52.57)</f>
        <v>52.57</v>
      </c>
      <c r="C985" s="1">
        <f ca="1">IFERROR(__xludf.DUMMYFUNCTION("""COMPUTED_VALUE"""),53.34)</f>
        <v>53.34</v>
      </c>
      <c r="D985" s="1">
        <f ca="1">IFERROR(__xludf.DUMMYFUNCTION("""COMPUTED_VALUE"""),52.28)</f>
        <v>52.28</v>
      </c>
      <c r="E985" s="1">
        <f ca="1">IFERROR(__xludf.DUMMYFUNCTION("""COMPUTED_VALUE"""),52.61)</f>
        <v>52.61</v>
      </c>
      <c r="F985" s="1">
        <f ca="1">IFERROR(__xludf.DUMMYFUNCTION("""COMPUTED_VALUE"""),1652433)</f>
        <v>1652433</v>
      </c>
    </row>
    <row r="986" spans="1:6" x14ac:dyDescent="0.35">
      <c r="A986" s="2">
        <f ca="1">IFERROR(__xludf.DUMMYFUNCTION("""COMPUTED_VALUE"""),43432.6666666666)</f>
        <v>43432.666666666599</v>
      </c>
      <c r="B986" s="1">
        <f ca="1">IFERROR(__xludf.DUMMYFUNCTION("""COMPUTED_VALUE"""),52.87)</f>
        <v>52.87</v>
      </c>
      <c r="C986" s="1">
        <f ca="1">IFERROR(__xludf.DUMMYFUNCTION("""COMPUTED_VALUE"""),54.64)</f>
        <v>54.64</v>
      </c>
      <c r="D986" s="1">
        <f ca="1">IFERROR(__xludf.DUMMYFUNCTION("""COMPUTED_VALUE"""),52.15)</f>
        <v>52.15</v>
      </c>
      <c r="E986" s="1">
        <f ca="1">IFERROR(__xludf.DUMMYFUNCTION("""COMPUTED_VALUE"""),54.59)</f>
        <v>54.59</v>
      </c>
      <c r="F986" s="1">
        <f ca="1">IFERROR(__xludf.DUMMYFUNCTION("""COMPUTED_VALUE"""),2302121)</f>
        <v>2302121</v>
      </c>
    </row>
    <row r="987" spans="1:6" x14ac:dyDescent="0.35">
      <c r="A987" s="2">
        <f ca="1">IFERROR(__xludf.DUMMYFUNCTION("""COMPUTED_VALUE"""),43433.6666666666)</f>
        <v>43433.666666666599</v>
      </c>
      <c r="B987" s="1">
        <f ca="1">IFERROR(__xludf.DUMMYFUNCTION("""COMPUTED_VALUE"""),54.18)</f>
        <v>54.18</v>
      </c>
      <c r="C987" s="1">
        <f ca="1">IFERROR(__xludf.DUMMYFUNCTION("""COMPUTED_VALUE"""),55.01)</f>
        <v>55.01</v>
      </c>
      <c r="D987" s="1">
        <f ca="1">IFERROR(__xludf.DUMMYFUNCTION("""COMPUTED_VALUE"""),54.1)</f>
        <v>54.1</v>
      </c>
      <c r="E987" s="1">
        <f ca="1">IFERROR(__xludf.DUMMYFUNCTION("""COMPUTED_VALUE"""),54.73)</f>
        <v>54.73</v>
      </c>
      <c r="F987" s="1">
        <f ca="1">IFERROR(__xludf.DUMMYFUNCTION("""COMPUTED_VALUE"""),1550523)</f>
        <v>1550523</v>
      </c>
    </row>
    <row r="988" spans="1:6" x14ac:dyDescent="0.35">
      <c r="A988" s="2">
        <f ca="1">IFERROR(__xludf.DUMMYFUNCTION("""COMPUTED_VALUE"""),43434.6666666666)</f>
        <v>43434.666666666599</v>
      </c>
      <c r="B988" s="1">
        <f ca="1">IFERROR(__xludf.DUMMYFUNCTION("""COMPUTED_VALUE"""),54.78)</f>
        <v>54.78</v>
      </c>
      <c r="C988" s="1">
        <f ca="1">IFERROR(__xludf.DUMMYFUNCTION("""COMPUTED_VALUE"""),55.48)</f>
        <v>55.48</v>
      </c>
      <c r="D988" s="1">
        <f ca="1">IFERROR(__xludf.DUMMYFUNCTION("""COMPUTED_VALUE"""),54.16)</f>
        <v>54.16</v>
      </c>
      <c r="E988" s="1">
        <f ca="1">IFERROR(__xludf.DUMMYFUNCTION("""COMPUTED_VALUE"""),55.48)</f>
        <v>55.48</v>
      </c>
      <c r="F988" s="1">
        <f ca="1">IFERROR(__xludf.DUMMYFUNCTION("""COMPUTED_VALUE"""),2983340)</f>
        <v>2983340</v>
      </c>
    </row>
    <row r="989" spans="1:6" x14ac:dyDescent="0.35">
      <c r="A989" s="2">
        <f ca="1">IFERROR(__xludf.DUMMYFUNCTION("""COMPUTED_VALUE"""),43437.6666666666)</f>
        <v>43437.666666666599</v>
      </c>
      <c r="B989" s="1">
        <f ca="1">IFERROR(__xludf.DUMMYFUNCTION("""COMPUTED_VALUE"""),56.61)</f>
        <v>56.61</v>
      </c>
      <c r="C989" s="1">
        <f ca="1">IFERROR(__xludf.DUMMYFUNCTION("""COMPUTED_VALUE"""),56.75)</f>
        <v>56.75</v>
      </c>
      <c r="D989" s="1">
        <f ca="1">IFERROR(__xludf.DUMMYFUNCTION("""COMPUTED_VALUE"""),55.59)</f>
        <v>55.59</v>
      </c>
      <c r="E989" s="1">
        <f ca="1">IFERROR(__xludf.DUMMYFUNCTION("""COMPUTED_VALUE"""),55.82)</f>
        <v>55.82</v>
      </c>
      <c r="F989" s="1">
        <f ca="1">IFERROR(__xludf.DUMMYFUNCTION("""COMPUTED_VALUE"""),2876449)</f>
        <v>2876449</v>
      </c>
    </row>
    <row r="990" spans="1:6" x14ac:dyDescent="0.35">
      <c r="A990" s="2">
        <f ca="1">IFERROR(__xludf.DUMMYFUNCTION("""COMPUTED_VALUE"""),43438.6666666666)</f>
        <v>43438.666666666599</v>
      </c>
      <c r="B990" s="1">
        <f ca="1">IFERROR(__xludf.DUMMYFUNCTION("""COMPUTED_VALUE"""),55.65)</f>
        <v>55.65</v>
      </c>
      <c r="C990" s="1">
        <f ca="1">IFERROR(__xludf.DUMMYFUNCTION("""COMPUTED_VALUE"""),55.71)</f>
        <v>55.71</v>
      </c>
      <c r="D990" s="1">
        <f ca="1">IFERROR(__xludf.DUMMYFUNCTION("""COMPUTED_VALUE"""),53.04)</f>
        <v>53.04</v>
      </c>
      <c r="E990" s="1">
        <f ca="1">IFERROR(__xludf.DUMMYFUNCTION("""COMPUTED_VALUE"""),53.12)</f>
        <v>53.12</v>
      </c>
      <c r="F990" s="1">
        <f ca="1">IFERROR(__xludf.DUMMYFUNCTION("""COMPUTED_VALUE"""),2281485)</f>
        <v>2281485</v>
      </c>
    </row>
    <row r="991" spans="1:6" x14ac:dyDescent="0.35">
      <c r="A991" s="2">
        <f ca="1">IFERROR(__xludf.DUMMYFUNCTION("""COMPUTED_VALUE"""),43440.6666666666)</f>
        <v>43440.666666666599</v>
      </c>
      <c r="B991" s="1">
        <f ca="1">IFERROR(__xludf.DUMMYFUNCTION("""COMPUTED_VALUE"""),52.25)</f>
        <v>52.25</v>
      </c>
      <c r="C991" s="1">
        <f ca="1">IFERROR(__xludf.DUMMYFUNCTION("""COMPUTED_VALUE"""),53.97)</f>
        <v>53.97</v>
      </c>
      <c r="D991" s="1">
        <f ca="1">IFERROR(__xludf.DUMMYFUNCTION("""COMPUTED_VALUE"""),52.12)</f>
        <v>52.12</v>
      </c>
      <c r="E991" s="1">
        <f ca="1">IFERROR(__xludf.DUMMYFUNCTION("""COMPUTED_VALUE"""),53.9)</f>
        <v>53.9</v>
      </c>
      <c r="F991" s="1">
        <f ca="1">IFERROR(__xludf.DUMMYFUNCTION("""COMPUTED_VALUE"""),2371825)</f>
        <v>2371825</v>
      </c>
    </row>
    <row r="992" spans="1:6" x14ac:dyDescent="0.35">
      <c r="A992" s="2">
        <f ca="1">IFERROR(__xludf.DUMMYFUNCTION("""COMPUTED_VALUE"""),43441.6666666666)</f>
        <v>43441.666666666599</v>
      </c>
      <c r="B992" s="1">
        <f ca="1">IFERROR(__xludf.DUMMYFUNCTION("""COMPUTED_VALUE"""),53.61)</f>
        <v>53.61</v>
      </c>
      <c r="C992" s="1">
        <f ca="1">IFERROR(__xludf.DUMMYFUNCTION("""COMPUTED_VALUE"""),54.25)</f>
        <v>54.25</v>
      </c>
      <c r="D992" s="1">
        <f ca="1">IFERROR(__xludf.DUMMYFUNCTION("""COMPUTED_VALUE"""),51.97)</f>
        <v>51.97</v>
      </c>
      <c r="E992" s="1">
        <f ca="1">IFERROR(__xludf.DUMMYFUNCTION("""COMPUTED_VALUE"""),52.33)</f>
        <v>52.33</v>
      </c>
      <c r="F992" s="1">
        <f ca="1">IFERROR(__xludf.DUMMYFUNCTION("""COMPUTED_VALUE"""),2134111)</f>
        <v>2134111</v>
      </c>
    </row>
    <row r="993" spans="1:6" x14ac:dyDescent="0.35">
      <c r="A993" s="2">
        <f ca="1">IFERROR(__xludf.DUMMYFUNCTION("""COMPUTED_VALUE"""),43444.6666666666)</f>
        <v>43444.666666666599</v>
      </c>
      <c r="B993" s="1">
        <f ca="1">IFERROR(__xludf.DUMMYFUNCTION("""COMPUTED_VALUE"""),52.15)</f>
        <v>52.15</v>
      </c>
      <c r="C993" s="1">
        <f ca="1">IFERROR(__xludf.DUMMYFUNCTION("""COMPUTED_VALUE"""),52.98)</f>
        <v>52.98</v>
      </c>
      <c r="D993" s="1">
        <f ca="1">IFERROR(__xludf.DUMMYFUNCTION("""COMPUTED_VALUE"""),51.65)</f>
        <v>51.65</v>
      </c>
      <c r="E993" s="1">
        <f ca="1">IFERROR(__xludf.DUMMYFUNCTION("""COMPUTED_VALUE"""),52.66)</f>
        <v>52.66</v>
      </c>
      <c r="F993" s="1">
        <f ca="1">IFERROR(__xludf.DUMMYFUNCTION("""COMPUTED_VALUE"""),1682646)</f>
        <v>1682646</v>
      </c>
    </row>
    <row r="994" spans="1:6" x14ac:dyDescent="0.35">
      <c r="A994" s="2">
        <f ca="1">IFERROR(__xludf.DUMMYFUNCTION("""COMPUTED_VALUE"""),43445.6666666666)</f>
        <v>43445.666666666599</v>
      </c>
      <c r="B994" s="1">
        <f ca="1">IFERROR(__xludf.DUMMYFUNCTION("""COMPUTED_VALUE"""),53.35)</f>
        <v>53.35</v>
      </c>
      <c r="C994" s="1">
        <f ca="1">IFERROR(__xludf.DUMMYFUNCTION("""COMPUTED_VALUE"""),53.52)</f>
        <v>53.52</v>
      </c>
      <c r="D994" s="1">
        <f ca="1">IFERROR(__xludf.DUMMYFUNCTION("""COMPUTED_VALUE"""),52.51)</f>
        <v>52.51</v>
      </c>
      <c r="E994" s="1">
        <f ca="1">IFERROR(__xludf.DUMMYFUNCTION("""COMPUTED_VALUE"""),53.08)</f>
        <v>53.08</v>
      </c>
      <c r="F994" s="1">
        <f ca="1">IFERROR(__xludf.DUMMYFUNCTION("""COMPUTED_VALUE"""),1692576)</f>
        <v>1692576</v>
      </c>
    </row>
    <row r="995" spans="1:6" x14ac:dyDescent="0.35">
      <c r="A995" s="2">
        <f ca="1">IFERROR(__xludf.DUMMYFUNCTION("""COMPUTED_VALUE"""),43446.6666666666)</f>
        <v>43446.666666666599</v>
      </c>
      <c r="B995" s="1">
        <f ca="1">IFERROR(__xludf.DUMMYFUNCTION("""COMPUTED_VALUE"""),53.85)</f>
        <v>53.85</v>
      </c>
      <c r="C995" s="1">
        <f ca="1">IFERROR(__xludf.DUMMYFUNCTION("""COMPUTED_VALUE"""),54.59)</f>
        <v>54.59</v>
      </c>
      <c r="D995" s="1">
        <f ca="1">IFERROR(__xludf.DUMMYFUNCTION("""COMPUTED_VALUE"""),53.6)</f>
        <v>53.6</v>
      </c>
      <c r="E995" s="1">
        <f ca="1">IFERROR(__xludf.DUMMYFUNCTION("""COMPUTED_VALUE"""),53.69)</f>
        <v>53.69</v>
      </c>
      <c r="F995" s="1">
        <f ca="1">IFERROR(__xludf.DUMMYFUNCTION("""COMPUTED_VALUE"""),1447973)</f>
        <v>1447973</v>
      </c>
    </row>
    <row r="996" spans="1:6" x14ac:dyDescent="0.35">
      <c r="A996" s="2">
        <f ca="1">IFERROR(__xludf.DUMMYFUNCTION("""COMPUTED_VALUE"""),43447.6666666666)</f>
        <v>43447.666666666599</v>
      </c>
      <c r="B996" s="1">
        <f ca="1">IFERROR(__xludf.DUMMYFUNCTION("""COMPUTED_VALUE"""),53.78)</f>
        <v>53.78</v>
      </c>
      <c r="C996" s="1">
        <f ca="1">IFERROR(__xludf.DUMMYFUNCTION("""COMPUTED_VALUE"""),54.42)</f>
        <v>54.42</v>
      </c>
      <c r="D996" s="1">
        <f ca="1">IFERROR(__xludf.DUMMYFUNCTION("""COMPUTED_VALUE"""),53.25)</f>
        <v>53.25</v>
      </c>
      <c r="E996" s="1">
        <f ca="1">IFERROR(__xludf.DUMMYFUNCTION("""COMPUTED_VALUE"""),53.68)</f>
        <v>53.68</v>
      </c>
      <c r="F996" s="1">
        <f ca="1">IFERROR(__xludf.DUMMYFUNCTION("""COMPUTED_VALUE"""),1249403)</f>
        <v>1249403</v>
      </c>
    </row>
    <row r="997" spans="1:6" x14ac:dyDescent="0.35">
      <c r="A997" s="2">
        <f ca="1">IFERROR(__xludf.DUMMYFUNCTION("""COMPUTED_VALUE"""),43448.6666666666)</f>
        <v>43448.666666666599</v>
      </c>
      <c r="B997" s="1">
        <f ca="1">IFERROR(__xludf.DUMMYFUNCTION("""COMPUTED_VALUE"""),53)</f>
        <v>53</v>
      </c>
      <c r="C997" s="1">
        <f ca="1">IFERROR(__xludf.DUMMYFUNCTION("""COMPUTED_VALUE"""),53.59)</f>
        <v>53.59</v>
      </c>
      <c r="D997" s="1">
        <f ca="1">IFERROR(__xludf.DUMMYFUNCTION("""COMPUTED_VALUE"""),52.47)</f>
        <v>52.47</v>
      </c>
      <c r="E997" s="1">
        <f ca="1">IFERROR(__xludf.DUMMYFUNCTION("""COMPUTED_VALUE"""),52.59)</f>
        <v>52.59</v>
      </c>
      <c r="F997" s="1">
        <f ca="1">IFERROR(__xludf.DUMMYFUNCTION("""COMPUTED_VALUE"""),1817949)</f>
        <v>1817949</v>
      </c>
    </row>
    <row r="998" spans="1:6" x14ac:dyDescent="0.35">
      <c r="A998" s="2">
        <f ca="1">IFERROR(__xludf.DUMMYFUNCTION("""COMPUTED_VALUE"""),43451.6666666666)</f>
        <v>43451.666666666599</v>
      </c>
      <c r="B998" s="1">
        <f ca="1">IFERROR(__xludf.DUMMYFUNCTION("""COMPUTED_VALUE"""),52.35)</f>
        <v>52.35</v>
      </c>
      <c r="C998" s="1">
        <f ca="1">IFERROR(__xludf.DUMMYFUNCTION("""COMPUTED_VALUE"""),53.12)</f>
        <v>53.12</v>
      </c>
      <c r="D998" s="1">
        <f ca="1">IFERROR(__xludf.DUMMYFUNCTION("""COMPUTED_VALUE"""),50.83)</f>
        <v>50.83</v>
      </c>
      <c r="E998" s="1">
        <f ca="1">IFERROR(__xludf.DUMMYFUNCTION("""COMPUTED_VALUE"""),51.28)</f>
        <v>51.28</v>
      </c>
      <c r="F998" s="1">
        <f ca="1">IFERROR(__xludf.DUMMYFUNCTION("""COMPUTED_VALUE"""),2496551)</f>
        <v>2496551</v>
      </c>
    </row>
    <row r="999" spans="1:6" x14ac:dyDescent="0.35">
      <c r="A999" s="2">
        <f ca="1">IFERROR(__xludf.DUMMYFUNCTION("""COMPUTED_VALUE"""),43452.6666666666)</f>
        <v>43452.666666666599</v>
      </c>
      <c r="B999" s="1">
        <f ca="1">IFERROR(__xludf.DUMMYFUNCTION("""COMPUTED_VALUE"""),51.7)</f>
        <v>51.7</v>
      </c>
      <c r="C999" s="1">
        <f ca="1">IFERROR(__xludf.DUMMYFUNCTION("""COMPUTED_VALUE"""),52.98)</f>
        <v>52.98</v>
      </c>
      <c r="D999" s="1">
        <f ca="1">IFERROR(__xludf.DUMMYFUNCTION("""COMPUTED_VALUE"""),51.52)</f>
        <v>51.52</v>
      </c>
      <c r="E999" s="1">
        <f ca="1">IFERROR(__xludf.DUMMYFUNCTION("""COMPUTED_VALUE"""),52.17)</f>
        <v>52.17</v>
      </c>
      <c r="F999" s="1">
        <f ca="1">IFERROR(__xludf.DUMMYFUNCTION("""COMPUTED_VALUE"""),2182019)</f>
        <v>2182019</v>
      </c>
    </row>
    <row r="1000" spans="1:6" x14ac:dyDescent="0.35">
      <c r="A1000" s="2">
        <f ca="1">IFERROR(__xludf.DUMMYFUNCTION("""COMPUTED_VALUE"""),43453.6666666666)</f>
        <v>43453.666666666599</v>
      </c>
      <c r="B1000" s="1">
        <f ca="1">IFERROR(__xludf.DUMMYFUNCTION("""COMPUTED_VALUE"""),52.36)</f>
        <v>52.36</v>
      </c>
      <c r="C1000" s="1">
        <f ca="1">IFERROR(__xludf.DUMMYFUNCTION("""COMPUTED_VALUE"""),53.79)</f>
        <v>53.79</v>
      </c>
      <c r="D1000" s="1">
        <f ca="1">IFERROR(__xludf.DUMMYFUNCTION("""COMPUTED_VALUE"""),50.97)</f>
        <v>50.97</v>
      </c>
      <c r="E1000" s="1">
        <f ca="1">IFERROR(__xludf.DUMMYFUNCTION("""COMPUTED_VALUE"""),51.77)</f>
        <v>51.77</v>
      </c>
      <c r="F1000" s="1">
        <f ca="1">IFERROR(__xludf.DUMMYFUNCTION("""COMPUTED_VALUE"""),2913237)</f>
        <v>2913237</v>
      </c>
    </row>
    <row r="1001" spans="1:6" x14ac:dyDescent="0.35">
      <c r="A1001" s="2">
        <f ca="1">IFERROR(__xludf.DUMMYFUNCTION("""COMPUTED_VALUE"""),43454.6666666666)</f>
        <v>43454.666666666599</v>
      </c>
      <c r="B1001" s="1">
        <f ca="1">IFERROR(__xludf.DUMMYFUNCTION("""COMPUTED_VALUE"""),51.3)</f>
        <v>51.3</v>
      </c>
      <c r="C1001" s="1">
        <f ca="1">IFERROR(__xludf.DUMMYFUNCTION("""COMPUTED_VALUE"""),52.37)</f>
        <v>52.37</v>
      </c>
      <c r="D1001" s="1">
        <f ca="1">IFERROR(__xludf.DUMMYFUNCTION("""COMPUTED_VALUE"""),50.39)</f>
        <v>50.39</v>
      </c>
      <c r="E1001" s="1">
        <f ca="1">IFERROR(__xludf.DUMMYFUNCTION("""COMPUTED_VALUE"""),51.18)</f>
        <v>51.18</v>
      </c>
      <c r="F1001" s="1">
        <f ca="1">IFERROR(__xludf.DUMMYFUNCTION("""COMPUTED_VALUE"""),2683670)</f>
        <v>2683670</v>
      </c>
    </row>
    <row r="1002" spans="1:6" x14ac:dyDescent="0.35">
      <c r="A1002" s="2">
        <f ca="1">IFERROR(__xludf.DUMMYFUNCTION("""COMPUTED_VALUE"""),43455.6666666666)</f>
        <v>43455.666666666599</v>
      </c>
      <c r="B1002" s="1">
        <f ca="1">IFERROR(__xludf.DUMMYFUNCTION("""COMPUTED_VALUE"""),51.6)</f>
        <v>51.6</v>
      </c>
      <c r="C1002" s="1">
        <f ca="1">IFERROR(__xludf.DUMMYFUNCTION("""COMPUTED_VALUE"""),51.88)</f>
        <v>51.88</v>
      </c>
      <c r="D1002" s="1">
        <f ca="1">IFERROR(__xludf.DUMMYFUNCTION("""COMPUTED_VALUE"""),49.06)</f>
        <v>49.06</v>
      </c>
      <c r="E1002" s="1">
        <f ca="1">IFERROR(__xludf.DUMMYFUNCTION("""COMPUTED_VALUE"""),49.56)</f>
        <v>49.56</v>
      </c>
      <c r="F1002" s="1">
        <f ca="1">IFERROR(__xludf.DUMMYFUNCTION("""COMPUTED_VALUE"""),5232490)</f>
        <v>5232490</v>
      </c>
    </row>
    <row r="1003" spans="1:6" x14ac:dyDescent="0.35">
      <c r="A1003" s="2">
        <f ca="1">IFERROR(__xludf.DUMMYFUNCTION("""COMPUTED_VALUE"""),43458.5416666666)</f>
        <v>43458.541666666599</v>
      </c>
      <c r="B1003" s="1">
        <f ca="1">IFERROR(__xludf.DUMMYFUNCTION("""COMPUTED_VALUE"""),49.22)</f>
        <v>49.22</v>
      </c>
      <c r="C1003" s="1">
        <f ca="1">IFERROR(__xludf.DUMMYFUNCTION("""COMPUTED_VALUE"""),50.61)</f>
        <v>50.61</v>
      </c>
      <c r="D1003" s="1">
        <f ca="1">IFERROR(__xludf.DUMMYFUNCTION("""COMPUTED_VALUE"""),48.88)</f>
        <v>48.88</v>
      </c>
      <c r="E1003" s="1">
        <f ca="1">IFERROR(__xludf.DUMMYFUNCTION("""COMPUTED_VALUE"""),49.23)</f>
        <v>49.23</v>
      </c>
      <c r="F1003" s="1">
        <f ca="1">IFERROR(__xludf.DUMMYFUNCTION("""COMPUTED_VALUE"""),1817955)</f>
        <v>1817955</v>
      </c>
    </row>
    <row r="1004" spans="1:6" x14ac:dyDescent="0.35">
      <c r="A1004" s="2">
        <f ca="1">IFERROR(__xludf.DUMMYFUNCTION("""COMPUTED_VALUE"""),43460.6666666666)</f>
        <v>43460.666666666599</v>
      </c>
      <c r="B1004" s="1">
        <f ca="1">IFERROR(__xludf.DUMMYFUNCTION("""COMPUTED_VALUE"""),49.9)</f>
        <v>49.9</v>
      </c>
      <c r="C1004" s="1">
        <f ca="1">IFERROR(__xludf.DUMMYFUNCTION("""COMPUTED_VALUE"""),52.42)</f>
        <v>52.42</v>
      </c>
      <c r="D1004" s="1">
        <f ca="1">IFERROR(__xludf.DUMMYFUNCTION("""COMPUTED_VALUE"""),49.63)</f>
        <v>49.63</v>
      </c>
      <c r="E1004" s="1">
        <f ca="1">IFERROR(__xludf.DUMMYFUNCTION("""COMPUTED_VALUE"""),52.39)</f>
        <v>52.39</v>
      </c>
      <c r="F1004" s="1">
        <f ca="1">IFERROR(__xludf.DUMMYFUNCTION("""COMPUTED_VALUE"""),2315862)</f>
        <v>2315862</v>
      </c>
    </row>
    <row r="1005" spans="1:6" x14ac:dyDescent="0.35">
      <c r="A1005" s="2">
        <f ca="1">IFERROR(__xludf.DUMMYFUNCTION("""COMPUTED_VALUE"""),43461.6666666666)</f>
        <v>43461.666666666599</v>
      </c>
      <c r="B1005" s="1">
        <f ca="1">IFERROR(__xludf.DUMMYFUNCTION("""COMPUTED_VALUE"""),51.31)</f>
        <v>51.31</v>
      </c>
      <c r="C1005" s="1">
        <f ca="1">IFERROR(__xludf.DUMMYFUNCTION("""COMPUTED_VALUE"""),52.67)</f>
        <v>52.67</v>
      </c>
      <c r="D1005" s="1">
        <f ca="1">IFERROR(__xludf.DUMMYFUNCTION("""COMPUTED_VALUE"""),50.35)</f>
        <v>50.35</v>
      </c>
      <c r="E1005" s="1">
        <f ca="1">IFERROR(__xludf.DUMMYFUNCTION("""COMPUTED_VALUE"""),52.65)</f>
        <v>52.65</v>
      </c>
      <c r="F1005" s="1">
        <f ca="1">IFERROR(__xludf.DUMMYFUNCTION("""COMPUTED_VALUE"""),2299806)</f>
        <v>2299806</v>
      </c>
    </row>
    <row r="1006" spans="1:6" x14ac:dyDescent="0.35">
      <c r="A1006" s="2">
        <f ca="1">IFERROR(__xludf.DUMMYFUNCTION("""COMPUTED_VALUE"""),43462.6666666666)</f>
        <v>43462.666666666599</v>
      </c>
      <c r="B1006" s="1">
        <f ca="1">IFERROR(__xludf.DUMMYFUNCTION("""COMPUTED_VALUE"""),52.98)</f>
        <v>52.98</v>
      </c>
      <c r="C1006" s="1">
        <f ca="1">IFERROR(__xludf.DUMMYFUNCTION("""COMPUTED_VALUE"""),53.21)</f>
        <v>53.21</v>
      </c>
      <c r="D1006" s="1">
        <f ca="1">IFERROR(__xludf.DUMMYFUNCTION("""COMPUTED_VALUE"""),52.1)</f>
        <v>52.1</v>
      </c>
      <c r="E1006" s="1">
        <f ca="1">IFERROR(__xludf.DUMMYFUNCTION("""COMPUTED_VALUE"""),52.33)</f>
        <v>52.33</v>
      </c>
      <c r="F1006" s="1">
        <f ca="1">IFERROR(__xludf.DUMMYFUNCTION("""COMPUTED_VALUE"""),1718352)</f>
        <v>1718352</v>
      </c>
    </row>
    <row r="1007" spans="1:6" x14ac:dyDescent="0.35">
      <c r="A1007" s="2">
        <f ca="1">IFERROR(__xludf.DUMMYFUNCTION("""COMPUTED_VALUE"""),43465.6666666666)</f>
        <v>43465.666666666599</v>
      </c>
      <c r="B1007" s="1">
        <f ca="1">IFERROR(__xludf.DUMMYFUNCTION("""COMPUTED_VALUE"""),52.89)</f>
        <v>52.89</v>
      </c>
      <c r="C1007" s="1">
        <f ca="1">IFERROR(__xludf.DUMMYFUNCTION("""COMPUTED_VALUE"""),53.15)</f>
        <v>53.15</v>
      </c>
      <c r="D1007" s="1">
        <f ca="1">IFERROR(__xludf.DUMMYFUNCTION("""COMPUTED_VALUE"""),51.65)</f>
        <v>51.65</v>
      </c>
      <c r="E1007" s="1">
        <f ca="1">IFERROR(__xludf.DUMMYFUNCTION("""COMPUTED_VALUE"""),52.25)</f>
        <v>52.25</v>
      </c>
      <c r="F1007" s="1">
        <f ca="1">IFERROR(__xludf.DUMMYFUNCTION("""COMPUTED_VALUE"""),1655504)</f>
        <v>1655504</v>
      </c>
    </row>
    <row r="1008" spans="1:6" x14ac:dyDescent="0.35">
      <c r="A1008" s="2">
        <f ca="1">IFERROR(__xludf.DUMMYFUNCTION("""COMPUTED_VALUE"""),43467.6666666666)</f>
        <v>43467.666666666599</v>
      </c>
      <c r="B1008" s="1">
        <f ca="1">IFERROR(__xludf.DUMMYFUNCTION("""COMPUTED_VALUE"""),51.36)</f>
        <v>51.36</v>
      </c>
      <c r="C1008" s="1">
        <f ca="1">IFERROR(__xludf.DUMMYFUNCTION("""COMPUTED_VALUE"""),53.04)</f>
        <v>53.04</v>
      </c>
      <c r="D1008" s="1">
        <f ca="1">IFERROR(__xludf.DUMMYFUNCTION("""COMPUTED_VALUE"""),51.26)</f>
        <v>51.26</v>
      </c>
      <c r="E1008" s="1">
        <f ca="1">IFERROR(__xludf.DUMMYFUNCTION("""COMPUTED_VALUE"""),52.73)</f>
        <v>52.73</v>
      </c>
      <c r="F1008" s="1">
        <f ca="1">IFERROR(__xludf.DUMMYFUNCTION("""COMPUTED_VALUE"""),1593395)</f>
        <v>1593395</v>
      </c>
    </row>
    <row r="1009" spans="1:6" x14ac:dyDescent="0.35">
      <c r="A1009" s="2">
        <f ca="1">IFERROR(__xludf.DUMMYFUNCTION("""COMPUTED_VALUE"""),43468.6666666666)</f>
        <v>43468.666666666599</v>
      </c>
      <c r="B1009" s="1">
        <f ca="1">IFERROR(__xludf.DUMMYFUNCTION("""COMPUTED_VALUE"""),52.53)</f>
        <v>52.53</v>
      </c>
      <c r="C1009" s="1">
        <f ca="1">IFERROR(__xludf.DUMMYFUNCTION("""COMPUTED_VALUE"""),53.31)</f>
        <v>53.31</v>
      </c>
      <c r="D1009" s="1">
        <f ca="1">IFERROR(__xludf.DUMMYFUNCTION("""COMPUTED_VALUE"""),51.12)</f>
        <v>51.12</v>
      </c>
      <c r="E1009" s="1">
        <f ca="1">IFERROR(__xludf.DUMMYFUNCTION("""COMPUTED_VALUE"""),51.27)</f>
        <v>51.27</v>
      </c>
      <c r="F1009" s="1">
        <f ca="1">IFERROR(__xludf.DUMMYFUNCTION("""COMPUTED_VALUE"""),2097957)</f>
        <v>2097957</v>
      </c>
    </row>
    <row r="1010" spans="1:6" x14ac:dyDescent="0.35">
      <c r="A1010" s="2">
        <f ca="1">IFERROR(__xludf.DUMMYFUNCTION("""COMPUTED_VALUE"""),43469.6666666666)</f>
        <v>43469.666666666599</v>
      </c>
      <c r="B1010" s="1">
        <f ca="1">IFERROR(__xludf.DUMMYFUNCTION("""COMPUTED_VALUE"""),52.13)</f>
        <v>52.13</v>
      </c>
      <c r="C1010" s="1">
        <f ca="1">IFERROR(__xludf.DUMMYFUNCTION("""COMPUTED_VALUE"""),54)</f>
        <v>54</v>
      </c>
      <c r="D1010" s="1">
        <f ca="1">IFERROR(__xludf.DUMMYFUNCTION("""COMPUTED_VALUE"""),51.84)</f>
        <v>51.84</v>
      </c>
      <c r="E1010" s="1">
        <f ca="1">IFERROR(__xludf.DUMMYFUNCTION("""COMPUTED_VALUE"""),53.9)</f>
        <v>53.9</v>
      </c>
      <c r="F1010" s="1">
        <f ca="1">IFERROR(__xludf.DUMMYFUNCTION("""COMPUTED_VALUE"""),2301428)</f>
        <v>2301428</v>
      </c>
    </row>
    <row r="1011" spans="1:6" x14ac:dyDescent="0.35">
      <c r="A1011" s="2">
        <f ca="1">IFERROR(__xludf.DUMMYFUNCTION("""COMPUTED_VALUE"""),43472.6666666666)</f>
        <v>43472.666666666599</v>
      </c>
      <c r="B1011" s="1">
        <f ca="1">IFERROR(__xludf.DUMMYFUNCTION("""COMPUTED_VALUE"""),54.05)</f>
        <v>54.05</v>
      </c>
      <c r="C1011" s="1">
        <f ca="1">IFERROR(__xludf.DUMMYFUNCTION("""COMPUTED_VALUE"""),54.14)</f>
        <v>54.14</v>
      </c>
      <c r="D1011" s="1">
        <f ca="1">IFERROR(__xludf.DUMMYFUNCTION("""COMPUTED_VALUE"""),53.13)</f>
        <v>53.13</v>
      </c>
      <c r="E1011" s="1">
        <f ca="1">IFERROR(__xludf.DUMMYFUNCTION("""COMPUTED_VALUE"""),53.8)</f>
        <v>53.8</v>
      </c>
      <c r="F1011" s="1">
        <f ca="1">IFERROR(__xludf.DUMMYFUNCTION("""COMPUTED_VALUE"""),2372667)</f>
        <v>2372667</v>
      </c>
    </row>
    <row r="1012" spans="1:6" x14ac:dyDescent="0.35">
      <c r="A1012" s="2">
        <f ca="1">IFERROR(__xludf.DUMMYFUNCTION("""COMPUTED_VALUE"""),43473.6666666666)</f>
        <v>43473.666666666599</v>
      </c>
      <c r="B1012" s="1">
        <f ca="1">IFERROR(__xludf.DUMMYFUNCTION("""COMPUTED_VALUE"""),54.3)</f>
        <v>54.3</v>
      </c>
      <c r="C1012" s="1">
        <f ca="1">IFERROR(__xludf.DUMMYFUNCTION("""COMPUTED_VALUE"""),54.67)</f>
        <v>54.67</v>
      </c>
      <c r="D1012" s="1">
        <f ca="1">IFERROR(__xludf.DUMMYFUNCTION("""COMPUTED_VALUE"""),53.42)</f>
        <v>53.42</v>
      </c>
      <c r="E1012" s="1">
        <f ca="1">IFERROR(__xludf.DUMMYFUNCTION("""COMPUTED_VALUE"""),54.27)</f>
        <v>54.27</v>
      </c>
      <c r="F1012" s="1">
        <f ca="1">IFERROR(__xludf.DUMMYFUNCTION("""COMPUTED_VALUE"""),1770654)</f>
        <v>1770654</v>
      </c>
    </row>
    <row r="1013" spans="1:6" x14ac:dyDescent="0.35">
      <c r="A1013" s="2">
        <f ca="1">IFERROR(__xludf.DUMMYFUNCTION("""COMPUTED_VALUE"""),43474.6666666666)</f>
        <v>43474.666666666599</v>
      </c>
      <c r="B1013" s="1">
        <f ca="1">IFERROR(__xludf.DUMMYFUNCTION("""COMPUTED_VALUE"""),54.4)</f>
        <v>54.4</v>
      </c>
      <c r="C1013" s="1">
        <f ca="1">IFERROR(__xludf.DUMMYFUNCTION("""COMPUTED_VALUE"""),54.58)</f>
        <v>54.58</v>
      </c>
      <c r="D1013" s="1">
        <f ca="1">IFERROR(__xludf.DUMMYFUNCTION("""COMPUTED_VALUE"""),53.72)</f>
        <v>53.72</v>
      </c>
      <c r="E1013" s="1">
        <f ca="1">IFERROR(__xludf.DUMMYFUNCTION("""COMPUTED_VALUE"""),54.08)</f>
        <v>54.08</v>
      </c>
      <c r="F1013" s="1">
        <f ca="1">IFERROR(__xludf.DUMMYFUNCTION("""COMPUTED_VALUE"""),1349912)</f>
        <v>1349912</v>
      </c>
    </row>
    <row r="1014" spans="1:6" x14ac:dyDescent="0.35">
      <c r="A1014" s="2">
        <f ca="1">IFERROR(__xludf.DUMMYFUNCTION("""COMPUTED_VALUE"""),43475.6666666666)</f>
        <v>43475.666666666599</v>
      </c>
      <c r="B1014" s="1">
        <f ca="1">IFERROR(__xludf.DUMMYFUNCTION("""COMPUTED_VALUE"""),53.75)</f>
        <v>53.75</v>
      </c>
      <c r="C1014" s="1">
        <f ca="1">IFERROR(__xludf.DUMMYFUNCTION("""COMPUTED_VALUE"""),53.99)</f>
        <v>53.99</v>
      </c>
      <c r="D1014" s="1">
        <f ca="1">IFERROR(__xludf.DUMMYFUNCTION("""COMPUTED_VALUE"""),53.23)</f>
        <v>53.23</v>
      </c>
      <c r="E1014" s="1">
        <f ca="1">IFERROR(__xludf.DUMMYFUNCTION("""COMPUTED_VALUE"""),53.94)</f>
        <v>53.94</v>
      </c>
      <c r="F1014" s="1">
        <f ca="1">IFERROR(__xludf.DUMMYFUNCTION("""COMPUTED_VALUE"""),1329861)</f>
        <v>1329861</v>
      </c>
    </row>
    <row r="1015" spans="1:6" x14ac:dyDescent="0.35">
      <c r="A1015" s="2">
        <f ca="1">IFERROR(__xludf.DUMMYFUNCTION("""COMPUTED_VALUE"""),43476.6666666666)</f>
        <v>43476.666666666599</v>
      </c>
      <c r="B1015" s="1">
        <f ca="1">IFERROR(__xludf.DUMMYFUNCTION("""COMPUTED_VALUE"""),53.5)</f>
        <v>53.5</v>
      </c>
      <c r="C1015" s="1">
        <f ca="1">IFERROR(__xludf.DUMMYFUNCTION("""COMPUTED_VALUE"""),53.67)</f>
        <v>53.67</v>
      </c>
      <c r="D1015" s="1">
        <f ca="1">IFERROR(__xludf.DUMMYFUNCTION("""COMPUTED_VALUE"""),52.82)</f>
        <v>52.82</v>
      </c>
      <c r="E1015" s="1">
        <f ca="1">IFERROR(__xludf.DUMMYFUNCTION("""COMPUTED_VALUE"""),53.22)</f>
        <v>53.22</v>
      </c>
      <c r="F1015" s="1">
        <f ca="1">IFERROR(__xludf.DUMMYFUNCTION("""COMPUTED_VALUE"""),1543238)</f>
        <v>1543238</v>
      </c>
    </row>
    <row r="1016" spans="1:6" x14ac:dyDescent="0.35">
      <c r="A1016" s="2">
        <f ca="1">IFERROR(__xludf.DUMMYFUNCTION("""COMPUTED_VALUE"""),43479.6666666666)</f>
        <v>43479.666666666599</v>
      </c>
      <c r="B1016" s="1">
        <f ca="1">IFERROR(__xludf.DUMMYFUNCTION("""COMPUTED_VALUE"""),52.67)</f>
        <v>52.67</v>
      </c>
      <c r="C1016" s="1">
        <f ca="1">IFERROR(__xludf.DUMMYFUNCTION("""COMPUTED_VALUE"""),52.92)</f>
        <v>52.92</v>
      </c>
      <c r="D1016" s="1">
        <f ca="1">IFERROR(__xludf.DUMMYFUNCTION("""COMPUTED_VALUE"""),52.43)</f>
        <v>52.43</v>
      </c>
      <c r="E1016" s="1">
        <f ca="1">IFERROR(__xludf.DUMMYFUNCTION("""COMPUTED_VALUE"""),52.58)</f>
        <v>52.58</v>
      </c>
      <c r="F1016" s="1">
        <f ca="1">IFERROR(__xludf.DUMMYFUNCTION("""COMPUTED_VALUE"""),1424486)</f>
        <v>1424486</v>
      </c>
    </row>
    <row r="1017" spans="1:6" x14ac:dyDescent="0.35">
      <c r="A1017" s="2">
        <f ca="1">IFERROR(__xludf.DUMMYFUNCTION("""COMPUTED_VALUE"""),43480.6666666666)</f>
        <v>43480.666666666599</v>
      </c>
      <c r="B1017" s="1">
        <f ca="1">IFERROR(__xludf.DUMMYFUNCTION("""COMPUTED_VALUE"""),52.9)</f>
        <v>52.9</v>
      </c>
      <c r="C1017" s="1">
        <f ca="1">IFERROR(__xludf.DUMMYFUNCTION("""COMPUTED_VALUE"""),54.41)</f>
        <v>54.41</v>
      </c>
      <c r="D1017" s="1">
        <f ca="1">IFERROR(__xludf.DUMMYFUNCTION("""COMPUTED_VALUE"""),52.72)</f>
        <v>52.72</v>
      </c>
      <c r="E1017" s="1">
        <f ca="1">IFERROR(__xludf.DUMMYFUNCTION("""COMPUTED_VALUE"""),54.33)</f>
        <v>54.33</v>
      </c>
      <c r="F1017" s="1">
        <f ca="1">IFERROR(__xludf.DUMMYFUNCTION("""COMPUTED_VALUE"""),1875852)</f>
        <v>1875852</v>
      </c>
    </row>
    <row r="1018" spans="1:6" x14ac:dyDescent="0.35">
      <c r="A1018" s="2">
        <f ca="1">IFERROR(__xludf.DUMMYFUNCTION("""COMPUTED_VALUE"""),43481.6666666666)</f>
        <v>43481.666666666599</v>
      </c>
      <c r="B1018" s="1">
        <f ca="1">IFERROR(__xludf.DUMMYFUNCTION("""COMPUTED_VALUE"""),54.5)</f>
        <v>54.5</v>
      </c>
      <c r="C1018" s="1">
        <f ca="1">IFERROR(__xludf.DUMMYFUNCTION("""COMPUTED_VALUE"""),55.12)</f>
        <v>55.12</v>
      </c>
      <c r="D1018" s="1">
        <f ca="1">IFERROR(__xludf.DUMMYFUNCTION("""COMPUTED_VALUE"""),54.4)</f>
        <v>54.4</v>
      </c>
      <c r="E1018" s="1">
        <f ca="1">IFERROR(__xludf.DUMMYFUNCTION("""COMPUTED_VALUE"""),54.48)</f>
        <v>54.48</v>
      </c>
      <c r="F1018" s="1">
        <f ca="1">IFERROR(__xludf.DUMMYFUNCTION("""COMPUTED_VALUE"""),1914041)</f>
        <v>1914041</v>
      </c>
    </row>
    <row r="1019" spans="1:6" x14ac:dyDescent="0.35">
      <c r="A1019" s="2">
        <f ca="1">IFERROR(__xludf.DUMMYFUNCTION("""COMPUTED_VALUE"""),43482.6666666666)</f>
        <v>43482.666666666599</v>
      </c>
      <c r="B1019" s="1">
        <f ca="1">IFERROR(__xludf.DUMMYFUNCTION("""COMPUTED_VALUE"""),54.4)</f>
        <v>54.4</v>
      </c>
      <c r="C1019" s="1">
        <f ca="1">IFERROR(__xludf.DUMMYFUNCTION("""COMPUTED_VALUE"""),55.04)</f>
        <v>55.04</v>
      </c>
      <c r="D1019" s="1">
        <f ca="1">IFERROR(__xludf.DUMMYFUNCTION("""COMPUTED_VALUE"""),54.16)</f>
        <v>54.16</v>
      </c>
      <c r="E1019" s="1">
        <f ca="1">IFERROR(__xludf.DUMMYFUNCTION("""COMPUTED_VALUE"""),54.96)</f>
        <v>54.96</v>
      </c>
      <c r="F1019" s="1">
        <f ca="1">IFERROR(__xludf.DUMMYFUNCTION("""COMPUTED_VALUE"""),1244801)</f>
        <v>1244801</v>
      </c>
    </row>
    <row r="1020" spans="1:6" x14ac:dyDescent="0.35">
      <c r="A1020" s="2">
        <f ca="1">IFERROR(__xludf.DUMMYFUNCTION("""COMPUTED_VALUE"""),43483.6666666666)</f>
        <v>43483.666666666599</v>
      </c>
      <c r="B1020" s="1">
        <f ca="1">IFERROR(__xludf.DUMMYFUNCTION("""COMPUTED_VALUE"""),55.43)</f>
        <v>55.43</v>
      </c>
      <c r="C1020" s="1">
        <f ca="1">IFERROR(__xludf.DUMMYFUNCTION("""COMPUTED_VALUE"""),55.9)</f>
        <v>55.9</v>
      </c>
      <c r="D1020" s="1">
        <f ca="1">IFERROR(__xludf.DUMMYFUNCTION("""COMPUTED_VALUE"""),54.96)</f>
        <v>54.96</v>
      </c>
      <c r="E1020" s="1">
        <f ca="1">IFERROR(__xludf.DUMMYFUNCTION("""COMPUTED_VALUE"""),55.37)</f>
        <v>55.37</v>
      </c>
      <c r="F1020" s="1">
        <f ca="1">IFERROR(__xludf.DUMMYFUNCTION("""COMPUTED_VALUE"""),2244569)</f>
        <v>2244569</v>
      </c>
    </row>
    <row r="1021" spans="1:6" x14ac:dyDescent="0.35">
      <c r="A1021" s="2">
        <f ca="1">IFERROR(__xludf.DUMMYFUNCTION("""COMPUTED_VALUE"""),43487.6666666666)</f>
        <v>43487.666666666599</v>
      </c>
      <c r="B1021" s="1">
        <f ca="1">IFERROR(__xludf.DUMMYFUNCTION("""COMPUTED_VALUE"""),54.8)</f>
        <v>54.8</v>
      </c>
      <c r="C1021" s="1">
        <f ca="1">IFERROR(__xludf.DUMMYFUNCTION("""COMPUTED_VALUE"""),54.95)</f>
        <v>54.95</v>
      </c>
      <c r="D1021" s="1">
        <f ca="1">IFERROR(__xludf.DUMMYFUNCTION("""COMPUTED_VALUE"""),53.54)</f>
        <v>53.54</v>
      </c>
      <c r="E1021" s="1">
        <f ca="1">IFERROR(__xludf.DUMMYFUNCTION("""COMPUTED_VALUE"""),53.93)</f>
        <v>53.93</v>
      </c>
      <c r="F1021" s="1">
        <f ca="1">IFERROR(__xludf.DUMMYFUNCTION("""COMPUTED_VALUE"""),1981594)</f>
        <v>1981594</v>
      </c>
    </row>
    <row r="1022" spans="1:6" x14ac:dyDescent="0.35">
      <c r="A1022" s="2">
        <f ca="1">IFERROR(__xludf.DUMMYFUNCTION("""COMPUTED_VALUE"""),43488.6666666666)</f>
        <v>43488.666666666599</v>
      </c>
      <c r="B1022" s="1">
        <f ca="1">IFERROR(__xludf.DUMMYFUNCTION("""COMPUTED_VALUE"""),54.34)</f>
        <v>54.34</v>
      </c>
      <c r="C1022" s="1">
        <f ca="1">IFERROR(__xludf.DUMMYFUNCTION("""COMPUTED_VALUE"""),54.65)</f>
        <v>54.65</v>
      </c>
      <c r="D1022" s="1">
        <f ca="1">IFERROR(__xludf.DUMMYFUNCTION("""COMPUTED_VALUE"""),53.38)</f>
        <v>53.38</v>
      </c>
      <c r="E1022" s="1">
        <f ca="1">IFERROR(__xludf.DUMMYFUNCTION("""COMPUTED_VALUE"""),54.22)</f>
        <v>54.22</v>
      </c>
      <c r="F1022" s="1">
        <f ca="1">IFERROR(__xludf.DUMMYFUNCTION("""COMPUTED_VALUE"""),1259738)</f>
        <v>1259738</v>
      </c>
    </row>
    <row r="1023" spans="1:6" x14ac:dyDescent="0.35">
      <c r="A1023" s="2">
        <f ca="1">IFERROR(__xludf.DUMMYFUNCTION("""COMPUTED_VALUE"""),43489.6666666666)</f>
        <v>43489.666666666599</v>
      </c>
      <c r="B1023" s="1">
        <f ca="1">IFERROR(__xludf.DUMMYFUNCTION("""COMPUTED_VALUE"""),54.13)</f>
        <v>54.13</v>
      </c>
      <c r="C1023" s="1">
        <f ca="1">IFERROR(__xludf.DUMMYFUNCTION("""COMPUTED_VALUE"""),54.4)</f>
        <v>54.4</v>
      </c>
      <c r="D1023" s="1">
        <f ca="1">IFERROR(__xludf.DUMMYFUNCTION("""COMPUTED_VALUE"""),53.5)</f>
        <v>53.5</v>
      </c>
      <c r="E1023" s="1">
        <f ca="1">IFERROR(__xludf.DUMMYFUNCTION("""COMPUTED_VALUE"""),54.2)</f>
        <v>54.2</v>
      </c>
      <c r="F1023" s="1">
        <f ca="1">IFERROR(__xludf.DUMMYFUNCTION("""COMPUTED_VALUE"""),1455948)</f>
        <v>1455948</v>
      </c>
    </row>
    <row r="1024" spans="1:6" x14ac:dyDescent="0.35">
      <c r="A1024" s="2">
        <f ca="1">IFERROR(__xludf.DUMMYFUNCTION("""COMPUTED_VALUE"""),43490.6666666666)</f>
        <v>43490.666666666599</v>
      </c>
      <c r="B1024" s="1">
        <f ca="1">IFERROR(__xludf.DUMMYFUNCTION("""COMPUTED_VALUE"""),54.71)</f>
        <v>54.71</v>
      </c>
      <c r="C1024" s="1">
        <f ca="1">IFERROR(__xludf.DUMMYFUNCTION("""COMPUTED_VALUE"""),55.17)</f>
        <v>55.17</v>
      </c>
      <c r="D1024" s="1">
        <f ca="1">IFERROR(__xludf.DUMMYFUNCTION("""COMPUTED_VALUE"""),54.59)</f>
        <v>54.59</v>
      </c>
      <c r="E1024" s="1">
        <f ca="1">IFERROR(__xludf.DUMMYFUNCTION("""COMPUTED_VALUE"""),55.08)</f>
        <v>55.08</v>
      </c>
      <c r="F1024" s="1">
        <f ca="1">IFERROR(__xludf.DUMMYFUNCTION("""COMPUTED_VALUE"""),1163788)</f>
        <v>1163788</v>
      </c>
    </row>
    <row r="1025" spans="1:6" x14ac:dyDescent="0.35">
      <c r="A1025" s="2">
        <f ca="1">IFERROR(__xludf.DUMMYFUNCTION("""COMPUTED_VALUE"""),43493.6666666666)</f>
        <v>43493.666666666599</v>
      </c>
      <c r="B1025" s="1">
        <f ca="1">IFERROR(__xludf.DUMMYFUNCTION("""COMPUTED_VALUE"""),54.5)</f>
        <v>54.5</v>
      </c>
      <c r="C1025" s="1">
        <f ca="1">IFERROR(__xludf.DUMMYFUNCTION("""COMPUTED_VALUE"""),54.67)</f>
        <v>54.67</v>
      </c>
      <c r="D1025" s="1">
        <f ca="1">IFERROR(__xludf.DUMMYFUNCTION("""COMPUTED_VALUE"""),53.73)</f>
        <v>53.73</v>
      </c>
      <c r="E1025" s="1">
        <f ca="1">IFERROR(__xludf.DUMMYFUNCTION("""COMPUTED_VALUE"""),53.99)</f>
        <v>53.99</v>
      </c>
      <c r="F1025" s="1">
        <f ca="1">IFERROR(__xludf.DUMMYFUNCTION("""COMPUTED_VALUE"""),1466714)</f>
        <v>1466714</v>
      </c>
    </row>
    <row r="1026" spans="1:6" x14ac:dyDescent="0.35">
      <c r="A1026" s="2">
        <f ca="1">IFERROR(__xludf.DUMMYFUNCTION("""COMPUTED_VALUE"""),43494.6666666666)</f>
        <v>43494.666666666599</v>
      </c>
      <c r="B1026" s="1">
        <f ca="1">IFERROR(__xludf.DUMMYFUNCTION("""COMPUTED_VALUE"""),54.05)</f>
        <v>54.05</v>
      </c>
      <c r="C1026" s="1">
        <f ca="1">IFERROR(__xludf.DUMMYFUNCTION("""COMPUTED_VALUE"""),54.24)</f>
        <v>54.24</v>
      </c>
      <c r="D1026" s="1">
        <f ca="1">IFERROR(__xludf.DUMMYFUNCTION("""COMPUTED_VALUE"""),53.3)</f>
        <v>53.3</v>
      </c>
      <c r="E1026" s="1">
        <f ca="1">IFERROR(__xludf.DUMMYFUNCTION("""COMPUTED_VALUE"""),53.5)</f>
        <v>53.5</v>
      </c>
      <c r="F1026" s="1">
        <f ca="1">IFERROR(__xludf.DUMMYFUNCTION("""COMPUTED_VALUE"""),985248)</f>
        <v>985248</v>
      </c>
    </row>
    <row r="1027" spans="1:6" x14ac:dyDescent="0.35">
      <c r="A1027" s="2">
        <f ca="1">IFERROR(__xludf.DUMMYFUNCTION("""COMPUTED_VALUE"""),43495.6666666666)</f>
        <v>43495.666666666599</v>
      </c>
      <c r="B1027" s="1">
        <f ca="1">IFERROR(__xludf.DUMMYFUNCTION("""COMPUTED_VALUE"""),53.87)</f>
        <v>53.87</v>
      </c>
      <c r="C1027" s="1">
        <f ca="1">IFERROR(__xludf.DUMMYFUNCTION("""COMPUTED_VALUE"""),54.98)</f>
        <v>54.98</v>
      </c>
      <c r="D1027" s="1">
        <f ca="1">IFERROR(__xludf.DUMMYFUNCTION("""COMPUTED_VALUE"""),53.83)</f>
        <v>53.83</v>
      </c>
      <c r="E1027" s="1">
        <f ca="1">IFERROR(__xludf.DUMMYFUNCTION("""COMPUTED_VALUE"""),54.9)</f>
        <v>54.9</v>
      </c>
      <c r="F1027" s="1">
        <f ca="1">IFERROR(__xludf.DUMMYFUNCTION("""COMPUTED_VALUE"""),1472647)</f>
        <v>1472647</v>
      </c>
    </row>
    <row r="1028" spans="1:6" x14ac:dyDescent="0.35">
      <c r="A1028" s="2">
        <f ca="1">IFERROR(__xludf.DUMMYFUNCTION("""COMPUTED_VALUE"""),43496.6666666666)</f>
        <v>43496.666666666599</v>
      </c>
      <c r="B1028" s="1">
        <f ca="1">IFERROR(__xludf.DUMMYFUNCTION("""COMPUTED_VALUE"""),55.61)</f>
        <v>55.61</v>
      </c>
      <c r="C1028" s="1">
        <f ca="1">IFERROR(__xludf.DUMMYFUNCTION("""COMPUTED_VALUE"""),56.38)</f>
        <v>56.38</v>
      </c>
      <c r="D1028" s="1">
        <f ca="1">IFERROR(__xludf.DUMMYFUNCTION("""COMPUTED_VALUE"""),55.26)</f>
        <v>55.26</v>
      </c>
      <c r="E1028" s="1">
        <f ca="1">IFERROR(__xludf.DUMMYFUNCTION("""COMPUTED_VALUE"""),56.29)</f>
        <v>56.29</v>
      </c>
      <c r="F1028" s="1">
        <f ca="1">IFERROR(__xludf.DUMMYFUNCTION("""COMPUTED_VALUE"""),2011572)</f>
        <v>2011572</v>
      </c>
    </row>
    <row r="1029" spans="1:6" x14ac:dyDescent="0.35">
      <c r="A1029" s="2">
        <f ca="1">IFERROR(__xludf.DUMMYFUNCTION("""COMPUTED_VALUE"""),43497.6666666666)</f>
        <v>43497.666666666599</v>
      </c>
      <c r="B1029" s="1">
        <f ca="1">IFERROR(__xludf.DUMMYFUNCTION("""COMPUTED_VALUE"""),56.11)</f>
        <v>56.11</v>
      </c>
      <c r="C1029" s="1">
        <f ca="1">IFERROR(__xludf.DUMMYFUNCTION("""COMPUTED_VALUE"""),56.72)</f>
        <v>56.72</v>
      </c>
      <c r="D1029" s="1">
        <f ca="1">IFERROR(__xludf.DUMMYFUNCTION("""COMPUTED_VALUE"""),55.71)</f>
        <v>55.71</v>
      </c>
      <c r="E1029" s="1">
        <f ca="1">IFERROR(__xludf.DUMMYFUNCTION("""COMPUTED_VALUE"""),55.93)</f>
        <v>55.93</v>
      </c>
      <c r="F1029" s="1">
        <f ca="1">IFERROR(__xludf.DUMMYFUNCTION("""COMPUTED_VALUE"""),1655813)</f>
        <v>1655813</v>
      </c>
    </row>
    <row r="1030" spans="1:6" x14ac:dyDescent="0.35">
      <c r="A1030" s="2">
        <f ca="1">IFERROR(__xludf.DUMMYFUNCTION("""COMPUTED_VALUE"""),43500.6666666666)</f>
        <v>43500.666666666599</v>
      </c>
      <c r="B1030" s="1">
        <f ca="1">IFERROR(__xludf.DUMMYFUNCTION("""COMPUTED_VALUE"""),55.95)</f>
        <v>55.95</v>
      </c>
      <c r="C1030" s="1">
        <f ca="1">IFERROR(__xludf.DUMMYFUNCTION("""COMPUTED_VALUE"""),57.12)</f>
        <v>57.12</v>
      </c>
      <c r="D1030" s="1">
        <f ca="1">IFERROR(__xludf.DUMMYFUNCTION("""COMPUTED_VALUE"""),55.88)</f>
        <v>55.88</v>
      </c>
      <c r="E1030" s="1">
        <f ca="1">IFERROR(__xludf.DUMMYFUNCTION("""COMPUTED_VALUE"""),57.07)</f>
        <v>57.07</v>
      </c>
      <c r="F1030" s="1">
        <f ca="1">IFERROR(__xludf.DUMMYFUNCTION("""COMPUTED_VALUE"""),3920591)</f>
        <v>3920591</v>
      </c>
    </row>
    <row r="1031" spans="1:6" x14ac:dyDescent="0.35">
      <c r="A1031" s="2">
        <f ca="1">IFERROR(__xludf.DUMMYFUNCTION("""COMPUTED_VALUE"""),43501.6666666666)</f>
        <v>43501.666666666599</v>
      </c>
      <c r="B1031" s="1">
        <f ca="1">IFERROR(__xludf.DUMMYFUNCTION("""COMPUTED_VALUE"""),56.48)</f>
        <v>56.48</v>
      </c>
      <c r="C1031" s="1">
        <f ca="1">IFERROR(__xludf.DUMMYFUNCTION("""COMPUTED_VALUE"""),57.64)</f>
        <v>57.64</v>
      </c>
      <c r="D1031" s="1">
        <f ca="1">IFERROR(__xludf.DUMMYFUNCTION("""COMPUTED_VALUE"""),56.18)</f>
        <v>56.18</v>
      </c>
      <c r="E1031" s="1">
        <f ca="1">IFERROR(__xludf.DUMMYFUNCTION("""COMPUTED_VALUE"""),57.59)</f>
        <v>57.59</v>
      </c>
      <c r="F1031" s="1">
        <f ca="1">IFERROR(__xludf.DUMMYFUNCTION("""COMPUTED_VALUE"""),4114790)</f>
        <v>4114790</v>
      </c>
    </row>
    <row r="1032" spans="1:6" x14ac:dyDescent="0.35">
      <c r="A1032" s="2">
        <f ca="1">IFERROR(__xludf.DUMMYFUNCTION("""COMPUTED_VALUE"""),43502.6666666666)</f>
        <v>43502.666666666599</v>
      </c>
      <c r="B1032" s="1">
        <f ca="1">IFERROR(__xludf.DUMMYFUNCTION("""COMPUTED_VALUE"""),57.46)</f>
        <v>57.46</v>
      </c>
      <c r="C1032" s="1">
        <f ca="1">IFERROR(__xludf.DUMMYFUNCTION("""COMPUTED_VALUE"""),57.7)</f>
        <v>57.7</v>
      </c>
      <c r="D1032" s="1">
        <f ca="1">IFERROR(__xludf.DUMMYFUNCTION("""COMPUTED_VALUE"""),55.92)</f>
        <v>55.92</v>
      </c>
      <c r="E1032" s="1">
        <f ca="1">IFERROR(__xludf.DUMMYFUNCTION("""COMPUTED_VALUE"""),56.14)</f>
        <v>56.14</v>
      </c>
      <c r="F1032" s="1">
        <f ca="1">IFERROR(__xludf.DUMMYFUNCTION("""COMPUTED_VALUE"""),2412820)</f>
        <v>2412820</v>
      </c>
    </row>
    <row r="1033" spans="1:6" x14ac:dyDescent="0.35">
      <c r="A1033" s="2">
        <f ca="1">IFERROR(__xludf.DUMMYFUNCTION("""COMPUTED_VALUE"""),43503.6666666666)</f>
        <v>43503.666666666599</v>
      </c>
      <c r="B1033" s="1">
        <f ca="1">IFERROR(__xludf.DUMMYFUNCTION("""COMPUTED_VALUE"""),55.59)</f>
        <v>55.59</v>
      </c>
      <c r="C1033" s="1">
        <f ca="1">IFERROR(__xludf.DUMMYFUNCTION("""COMPUTED_VALUE"""),55.6)</f>
        <v>55.6</v>
      </c>
      <c r="D1033" s="1">
        <f ca="1">IFERROR(__xludf.DUMMYFUNCTION("""COMPUTED_VALUE"""),54.68)</f>
        <v>54.68</v>
      </c>
      <c r="E1033" s="1">
        <f ca="1">IFERROR(__xludf.DUMMYFUNCTION("""COMPUTED_VALUE"""),55.3)</f>
        <v>55.3</v>
      </c>
      <c r="F1033" s="1">
        <f ca="1">IFERROR(__xludf.DUMMYFUNCTION("""COMPUTED_VALUE"""),1914877)</f>
        <v>1914877</v>
      </c>
    </row>
    <row r="1034" spans="1:6" x14ac:dyDescent="0.35">
      <c r="A1034" s="2">
        <f ca="1">IFERROR(__xludf.DUMMYFUNCTION("""COMPUTED_VALUE"""),43504.6666666666)</f>
        <v>43504.666666666599</v>
      </c>
      <c r="B1034" s="1">
        <f ca="1">IFERROR(__xludf.DUMMYFUNCTION("""COMPUTED_VALUE"""),54.74)</f>
        <v>54.74</v>
      </c>
      <c r="C1034" s="1">
        <f ca="1">IFERROR(__xludf.DUMMYFUNCTION("""COMPUTED_VALUE"""),55.25)</f>
        <v>55.25</v>
      </c>
      <c r="D1034" s="1">
        <f ca="1">IFERROR(__xludf.DUMMYFUNCTION("""COMPUTED_VALUE"""),54.71)</f>
        <v>54.71</v>
      </c>
      <c r="E1034" s="1">
        <f ca="1">IFERROR(__xludf.DUMMYFUNCTION("""COMPUTED_VALUE"""),55.12)</f>
        <v>55.12</v>
      </c>
      <c r="F1034" s="1">
        <f ca="1">IFERROR(__xludf.DUMMYFUNCTION("""COMPUTED_VALUE"""),1088327)</f>
        <v>1088327</v>
      </c>
    </row>
    <row r="1035" spans="1:6" x14ac:dyDescent="0.35">
      <c r="A1035" s="2">
        <f ca="1">IFERROR(__xludf.DUMMYFUNCTION("""COMPUTED_VALUE"""),43507.6666666666)</f>
        <v>43507.666666666599</v>
      </c>
      <c r="B1035" s="1">
        <f ca="1">IFERROR(__xludf.DUMMYFUNCTION("""COMPUTED_VALUE"""),55.19)</f>
        <v>55.19</v>
      </c>
      <c r="C1035" s="1">
        <f ca="1">IFERROR(__xludf.DUMMYFUNCTION("""COMPUTED_VALUE"""),55.67)</f>
        <v>55.67</v>
      </c>
      <c r="D1035" s="1">
        <f ca="1">IFERROR(__xludf.DUMMYFUNCTION("""COMPUTED_VALUE"""),55)</f>
        <v>55</v>
      </c>
      <c r="E1035" s="1">
        <f ca="1">IFERROR(__xludf.DUMMYFUNCTION("""COMPUTED_VALUE"""),55.11)</f>
        <v>55.11</v>
      </c>
      <c r="F1035" s="1">
        <f ca="1">IFERROR(__xludf.DUMMYFUNCTION("""COMPUTED_VALUE"""),924881)</f>
        <v>924881</v>
      </c>
    </row>
    <row r="1036" spans="1:6" x14ac:dyDescent="0.35">
      <c r="A1036" s="2">
        <f ca="1">IFERROR(__xludf.DUMMYFUNCTION("""COMPUTED_VALUE"""),43508.6666666666)</f>
        <v>43508.666666666599</v>
      </c>
      <c r="B1036" s="1">
        <f ca="1">IFERROR(__xludf.DUMMYFUNCTION("""COMPUTED_VALUE"""),55.55)</f>
        <v>55.55</v>
      </c>
      <c r="C1036" s="1">
        <f ca="1">IFERROR(__xludf.DUMMYFUNCTION("""COMPUTED_VALUE"""),56.64)</f>
        <v>56.64</v>
      </c>
      <c r="D1036" s="1">
        <f ca="1">IFERROR(__xludf.DUMMYFUNCTION("""COMPUTED_VALUE"""),55.55)</f>
        <v>55.55</v>
      </c>
      <c r="E1036" s="1">
        <f ca="1">IFERROR(__xludf.DUMMYFUNCTION("""COMPUTED_VALUE"""),56.38)</f>
        <v>56.38</v>
      </c>
      <c r="F1036" s="1">
        <f ca="1">IFERROR(__xludf.DUMMYFUNCTION("""COMPUTED_VALUE"""),1751771)</f>
        <v>1751771</v>
      </c>
    </row>
    <row r="1037" spans="1:6" x14ac:dyDescent="0.35">
      <c r="A1037" s="2">
        <f ca="1">IFERROR(__xludf.DUMMYFUNCTION("""COMPUTED_VALUE"""),43509.6666666666)</f>
        <v>43509.666666666599</v>
      </c>
      <c r="B1037" s="1">
        <f ca="1">IFERROR(__xludf.DUMMYFUNCTION("""COMPUTED_VALUE"""),56.65)</f>
        <v>56.65</v>
      </c>
      <c r="C1037" s="1">
        <f ca="1">IFERROR(__xludf.DUMMYFUNCTION("""COMPUTED_VALUE"""),57.14)</f>
        <v>57.14</v>
      </c>
      <c r="D1037" s="1">
        <f ca="1">IFERROR(__xludf.DUMMYFUNCTION("""COMPUTED_VALUE"""),56.3)</f>
        <v>56.3</v>
      </c>
      <c r="E1037" s="1">
        <f ca="1">IFERROR(__xludf.DUMMYFUNCTION("""COMPUTED_VALUE"""),56.43)</f>
        <v>56.43</v>
      </c>
      <c r="F1037" s="1">
        <f ca="1">IFERROR(__xludf.DUMMYFUNCTION("""COMPUTED_VALUE"""),1402087)</f>
        <v>1402087</v>
      </c>
    </row>
    <row r="1038" spans="1:6" x14ac:dyDescent="0.35">
      <c r="A1038" s="2">
        <f ca="1">IFERROR(__xludf.DUMMYFUNCTION("""COMPUTED_VALUE"""),43510.6666666666)</f>
        <v>43510.666666666599</v>
      </c>
      <c r="B1038" s="1">
        <f ca="1">IFERROR(__xludf.DUMMYFUNCTION("""COMPUTED_VALUE"""),56.25)</f>
        <v>56.25</v>
      </c>
      <c r="C1038" s="1">
        <f ca="1">IFERROR(__xludf.DUMMYFUNCTION("""COMPUTED_VALUE"""),56.81)</f>
        <v>56.81</v>
      </c>
      <c r="D1038" s="1">
        <f ca="1">IFERROR(__xludf.DUMMYFUNCTION("""COMPUTED_VALUE"""),55.85)</f>
        <v>55.85</v>
      </c>
      <c r="E1038" s="1">
        <f ca="1">IFERROR(__xludf.DUMMYFUNCTION("""COMPUTED_VALUE"""),56.46)</f>
        <v>56.46</v>
      </c>
      <c r="F1038" s="1">
        <f ca="1">IFERROR(__xludf.DUMMYFUNCTION("""COMPUTED_VALUE"""),1055297)</f>
        <v>1055297</v>
      </c>
    </row>
    <row r="1039" spans="1:6" x14ac:dyDescent="0.35">
      <c r="A1039" s="2">
        <f ca="1">IFERROR(__xludf.DUMMYFUNCTION("""COMPUTED_VALUE"""),43511.6666666666)</f>
        <v>43511.666666666599</v>
      </c>
      <c r="B1039" s="1">
        <f ca="1">IFERROR(__xludf.DUMMYFUNCTION("""COMPUTED_VALUE"""),56.97)</f>
        <v>56.97</v>
      </c>
      <c r="C1039" s="1">
        <f ca="1">IFERROR(__xludf.DUMMYFUNCTION("""COMPUTED_VALUE"""),56.97)</f>
        <v>56.97</v>
      </c>
      <c r="D1039" s="1">
        <f ca="1">IFERROR(__xludf.DUMMYFUNCTION("""COMPUTED_VALUE"""),55.84)</f>
        <v>55.84</v>
      </c>
      <c r="E1039" s="1">
        <f ca="1">IFERROR(__xludf.DUMMYFUNCTION("""COMPUTED_VALUE"""),55.98)</f>
        <v>55.98</v>
      </c>
      <c r="F1039" s="1">
        <f ca="1">IFERROR(__xludf.DUMMYFUNCTION("""COMPUTED_VALUE"""),1391348)</f>
        <v>1391348</v>
      </c>
    </row>
    <row r="1040" spans="1:6" x14ac:dyDescent="0.35">
      <c r="A1040" s="2">
        <f ca="1">IFERROR(__xludf.DUMMYFUNCTION("""COMPUTED_VALUE"""),43515.6666666666)</f>
        <v>43515.666666666599</v>
      </c>
      <c r="B1040" s="1">
        <f ca="1">IFERROR(__xludf.DUMMYFUNCTION("""COMPUTED_VALUE"""),55.83)</f>
        <v>55.83</v>
      </c>
      <c r="C1040" s="1">
        <f ca="1">IFERROR(__xludf.DUMMYFUNCTION("""COMPUTED_VALUE"""),56.48)</f>
        <v>56.48</v>
      </c>
      <c r="D1040" s="1">
        <f ca="1">IFERROR(__xludf.DUMMYFUNCTION("""COMPUTED_VALUE"""),55.83)</f>
        <v>55.83</v>
      </c>
      <c r="E1040" s="1">
        <f ca="1">IFERROR(__xludf.DUMMYFUNCTION("""COMPUTED_VALUE"""),56.33)</f>
        <v>56.33</v>
      </c>
      <c r="F1040" s="1">
        <f ca="1">IFERROR(__xludf.DUMMYFUNCTION("""COMPUTED_VALUE"""),1099259)</f>
        <v>1099259</v>
      </c>
    </row>
    <row r="1041" spans="1:6" x14ac:dyDescent="0.35">
      <c r="A1041" s="2">
        <f ca="1">IFERROR(__xludf.DUMMYFUNCTION("""COMPUTED_VALUE"""),43516.6666666666)</f>
        <v>43516.666666666599</v>
      </c>
      <c r="B1041" s="1">
        <f ca="1">IFERROR(__xludf.DUMMYFUNCTION("""COMPUTED_VALUE"""),56.44)</f>
        <v>56.44</v>
      </c>
      <c r="C1041" s="1">
        <f ca="1">IFERROR(__xludf.DUMMYFUNCTION("""COMPUTED_VALUE"""),56.55)</f>
        <v>56.55</v>
      </c>
      <c r="D1041" s="1">
        <f ca="1">IFERROR(__xludf.DUMMYFUNCTION("""COMPUTED_VALUE"""),55.59)</f>
        <v>55.59</v>
      </c>
      <c r="E1041" s="1">
        <f ca="1">IFERROR(__xludf.DUMMYFUNCTION("""COMPUTED_VALUE"""),56.03)</f>
        <v>56.03</v>
      </c>
      <c r="F1041" s="1">
        <f ca="1">IFERROR(__xludf.DUMMYFUNCTION("""COMPUTED_VALUE"""),1204533)</f>
        <v>1204533</v>
      </c>
    </row>
    <row r="1042" spans="1:6" x14ac:dyDescent="0.35">
      <c r="A1042" s="2">
        <f ca="1">IFERROR(__xludf.DUMMYFUNCTION("""COMPUTED_VALUE"""),43517.6666666666)</f>
        <v>43517.666666666599</v>
      </c>
      <c r="B1042" s="1">
        <f ca="1">IFERROR(__xludf.DUMMYFUNCTION("""COMPUTED_VALUE"""),55.94)</f>
        <v>55.94</v>
      </c>
      <c r="C1042" s="1">
        <f ca="1">IFERROR(__xludf.DUMMYFUNCTION("""COMPUTED_VALUE"""),55.96)</f>
        <v>55.96</v>
      </c>
      <c r="D1042" s="1">
        <f ca="1">IFERROR(__xludf.DUMMYFUNCTION("""COMPUTED_VALUE"""),54.9)</f>
        <v>54.9</v>
      </c>
      <c r="E1042" s="1">
        <f ca="1">IFERROR(__xludf.DUMMYFUNCTION("""COMPUTED_VALUE"""),55.21)</f>
        <v>55.21</v>
      </c>
      <c r="F1042" s="1">
        <f ca="1">IFERROR(__xludf.DUMMYFUNCTION("""COMPUTED_VALUE"""),1663980)</f>
        <v>1663980</v>
      </c>
    </row>
    <row r="1043" spans="1:6" x14ac:dyDescent="0.35">
      <c r="A1043" s="2">
        <f ca="1">IFERROR(__xludf.DUMMYFUNCTION("""COMPUTED_VALUE"""),43518.6666666666)</f>
        <v>43518.666666666599</v>
      </c>
      <c r="B1043" s="1">
        <f ca="1">IFERROR(__xludf.DUMMYFUNCTION("""COMPUTED_VALUE"""),55.49)</f>
        <v>55.49</v>
      </c>
      <c r="C1043" s="1">
        <f ca="1">IFERROR(__xludf.DUMMYFUNCTION("""COMPUTED_VALUE"""),55.86)</f>
        <v>55.86</v>
      </c>
      <c r="D1043" s="1">
        <f ca="1">IFERROR(__xludf.DUMMYFUNCTION("""COMPUTED_VALUE"""),55.03)</f>
        <v>55.03</v>
      </c>
      <c r="E1043" s="1">
        <f ca="1">IFERROR(__xludf.DUMMYFUNCTION("""COMPUTED_VALUE"""),55.83)</f>
        <v>55.83</v>
      </c>
      <c r="F1043" s="1">
        <f ca="1">IFERROR(__xludf.DUMMYFUNCTION("""COMPUTED_VALUE"""),1471783)</f>
        <v>1471783</v>
      </c>
    </row>
    <row r="1044" spans="1:6" x14ac:dyDescent="0.35">
      <c r="A1044" s="2">
        <f ca="1">IFERROR(__xludf.DUMMYFUNCTION("""COMPUTED_VALUE"""),43521.6666666666)</f>
        <v>43521.666666666599</v>
      </c>
      <c r="B1044" s="1">
        <f ca="1">IFERROR(__xludf.DUMMYFUNCTION("""COMPUTED_VALUE"""),56.1)</f>
        <v>56.1</v>
      </c>
      <c r="C1044" s="1">
        <f ca="1">IFERROR(__xludf.DUMMYFUNCTION("""COMPUTED_VALUE"""),56.27)</f>
        <v>56.27</v>
      </c>
      <c r="D1044" s="1">
        <f ca="1">IFERROR(__xludf.DUMMYFUNCTION("""COMPUTED_VALUE"""),55.71)</f>
        <v>55.71</v>
      </c>
      <c r="E1044" s="1">
        <f ca="1">IFERROR(__xludf.DUMMYFUNCTION("""COMPUTED_VALUE"""),55.87)</f>
        <v>55.87</v>
      </c>
      <c r="F1044" s="1">
        <f ca="1">IFERROR(__xludf.DUMMYFUNCTION("""COMPUTED_VALUE"""),1310362)</f>
        <v>1310362</v>
      </c>
    </row>
    <row r="1045" spans="1:6" x14ac:dyDescent="0.35">
      <c r="A1045" s="2">
        <f ca="1">IFERROR(__xludf.DUMMYFUNCTION("""COMPUTED_VALUE"""),43522.6666666666)</f>
        <v>43522.666666666599</v>
      </c>
      <c r="B1045" s="1">
        <f ca="1">IFERROR(__xludf.DUMMYFUNCTION("""COMPUTED_VALUE"""),55.72)</f>
        <v>55.72</v>
      </c>
      <c r="C1045" s="1">
        <f ca="1">IFERROR(__xludf.DUMMYFUNCTION("""COMPUTED_VALUE"""),56.32)</f>
        <v>56.32</v>
      </c>
      <c r="D1045" s="1">
        <f ca="1">IFERROR(__xludf.DUMMYFUNCTION("""COMPUTED_VALUE"""),55.34)</f>
        <v>55.34</v>
      </c>
      <c r="E1045" s="1">
        <f ca="1">IFERROR(__xludf.DUMMYFUNCTION("""COMPUTED_VALUE"""),56.1)</f>
        <v>56.1</v>
      </c>
      <c r="F1045" s="1">
        <f ca="1">IFERROR(__xludf.DUMMYFUNCTION("""COMPUTED_VALUE"""),1751261)</f>
        <v>1751261</v>
      </c>
    </row>
    <row r="1046" spans="1:6" x14ac:dyDescent="0.35">
      <c r="A1046" s="2">
        <f ca="1">IFERROR(__xludf.DUMMYFUNCTION("""COMPUTED_VALUE"""),43523.6666666666)</f>
        <v>43523.666666666599</v>
      </c>
      <c r="B1046" s="1">
        <f ca="1">IFERROR(__xludf.DUMMYFUNCTION("""COMPUTED_VALUE"""),55.7)</f>
        <v>55.7</v>
      </c>
      <c r="C1046" s="1">
        <f ca="1">IFERROR(__xludf.DUMMYFUNCTION("""COMPUTED_VALUE"""),56.29)</f>
        <v>56.29</v>
      </c>
      <c r="D1046" s="1">
        <f ca="1">IFERROR(__xludf.DUMMYFUNCTION("""COMPUTED_VALUE"""),55.43)</f>
        <v>55.43</v>
      </c>
      <c r="E1046" s="1">
        <f ca="1">IFERROR(__xludf.DUMMYFUNCTION("""COMPUTED_VALUE"""),56.14)</f>
        <v>56.14</v>
      </c>
      <c r="F1046" s="1">
        <f ca="1">IFERROR(__xludf.DUMMYFUNCTION("""COMPUTED_VALUE"""),1104881)</f>
        <v>1104881</v>
      </c>
    </row>
    <row r="1047" spans="1:6" x14ac:dyDescent="0.35">
      <c r="A1047" s="2">
        <f ca="1">IFERROR(__xludf.DUMMYFUNCTION("""COMPUTED_VALUE"""),43524.6666666666)</f>
        <v>43524.666666666599</v>
      </c>
      <c r="B1047" s="1">
        <f ca="1">IFERROR(__xludf.DUMMYFUNCTION("""COMPUTED_VALUE"""),55.95)</f>
        <v>55.95</v>
      </c>
      <c r="C1047" s="1">
        <f ca="1">IFERROR(__xludf.DUMMYFUNCTION("""COMPUTED_VALUE"""),56.7)</f>
        <v>56.7</v>
      </c>
      <c r="D1047" s="1">
        <f ca="1">IFERROR(__xludf.DUMMYFUNCTION("""COMPUTED_VALUE"""),55.92)</f>
        <v>55.92</v>
      </c>
      <c r="E1047" s="1">
        <f ca="1">IFERROR(__xludf.DUMMYFUNCTION("""COMPUTED_VALUE"""),56.33)</f>
        <v>56.33</v>
      </c>
      <c r="F1047" s="1">
        <f ca="1">IFERROR(__xludf.DUMMYFUNCTION("""COMPUTED_VALUE"""),1371355)</f>
        <v>1371355</v>
      </c>
    </row>
    <row r="1048" spans="1:6" x14ac:dyDescent="0.35">
      <c r="A1048" s="2">
        <f ca="1">IFERROR(__xludf.DUMMYFUNCTION("""COMPUTED_VALUE"""),43525.6666666666)</f>
        <v>43525.666666666599</v>
      </c>
      <c r="B1048" s="1">
        <f ca="1">IFERROR(__xludf.DUMMYFUNCTION("""COMPUTED_VALUE"""),56.55)</f>
        <v>56.55</v>
      </c>
      <c r="C1048" s="1">
        <f ca="1">IFERROR(__xludf.DUMMYFUNCTION("""COMPUTED_VALUE"""),57.5)</f>
        <v>57.5</v>
      </c>
      <c r="D1048" s="1">
        <f ca="1">IFERROR(__xludf.DUMMYFUNCTION("""COMPUTED_VALUE"""),56.55)</f>
        <v>56.55</v>
      </c>
      <c r="E1048" s="1">
        <f ca="1">IFERROR(__xludf.DUMMYFUNCTION("""COMPUTED_VALUE"""),57.43)</f>
        <v>57.43</v>
      </c>
      <c r="F1048" s="1">
        <f ca="1">IFERROR(__xludf.DUMMYFUNCTION("""COMPUTED_VALUE"""),1704258)</f>
        <v>1704258</v>
      </c>
    </row>
    <row r="1049" spans="1:6" x14ac:dyDescent="0.35">
      <c r="A1049" s="2">
        <f ca="1">IFERROR(__xludf.DUMMYFUNCTION("""COMPUTED_VALUE"""),43528.6666666666)</f>
        <v>43528.666666666599</v>
      </c>
      <c r="B1049" s="1">
        <f ca="1">IFERROR(__xludf.DUMMYFUNCTION("""COMPUTED_VALUE"""),57.73)</f>
        <v>57.73</v>
      </c>
      <c r="C1049" s="1">
        <f ca="1">IFERROR(__xludf.DUMMYFUNCTION("""COMPUTED_VALUE"""),58.28)</f>
        <v>58.28</v>
      </c>
      <c r="D1049" s="1">
        <f ca="1">IFERROR(__xludf.DUMMYFUNCTION("""COMPUTED_VALUE"""),56.91)</f>
        <v>56.91</v>
      </c>
      <c r="E1049" s="1">
        <f ca="1">IFERROR(__xludf.DUMMYFUNCTION("""COMPUTED_VALUE"""),57.67)</f>
        <v>57.67</v>
      </c>
      <c r="F1049" s="1">
        <f ca="1">IFERROR(__xludf.DUMMYFUNCTION("""COMPUTED_VALUE"""),1774467)</f>
        <v>1774467</v>
      </c>
    </row>
    <row r="1050" spans="1:6" x14ac:dyDescent="0.35">
      <c r="A1050" s="2">
        <f ca="1">IFERROR(__xludf.DUMMYFUNCTION("""COMPUTED_VALUE"""),43529.6666666666)</f>
        <v>43529.666666666599</v>
      </c>
      <c r="B1050" s="1">
        <f ca="1">IFERROR(__xludf.DUMMYFUNCTION("""COMPUTED_VALUE"""),57.8)</f>
        <v>57.8</v>
      </c>
      <c r="C1050" s="1">
        <f ca="1">IFERROR(__xludf.DUMMYFUNCTION("""COMPUTED_VALUE"""),58.82)</f>
        <v>58.82</v>
      </c>
      <c r="D1050" s="1">
        <f ca="1">IFERROR(__xludf.DUMMYFUNCTION("""COMPUTED_VALUE"""),57.65)</f>
        <v>57.65</v>
      </c>
      <c r="E1050" s="1">
        <f ca="1">IFERROR(__xludf.DUMMYFUNCTION("""COMPUTED_VALUE"""),58.46)</f>
        <v>58.46</v>
      </c>
      <c r="F1050" s="1">
        <f ca="1">IFERROR(__xludf.DUMMYFUNCTION("""COMPUTED_VALUE"""),2004723)</f>
        <v>2004723</v>
      </c>
    </row>
    <row r="1051" spans="1:6" x14ac:dyDescent="0.35">
      <c r="A1051" s="2">
        <f ca="1">IFERROR(__xludf.DUMMYFUNCTION("""COMPUTED_VALUE"""),43530.6666666666)</f>
        <v>43530.666666666599</v>
      </c>
      <c r="B1051" s="1">
        <f ca="1">IFERROR(__xludf.DUMMYFUNCTION("""COMPUTED_VALUE"""),58.59)</f>
        <v>58.59</v>
      </c>
      <c r="C1051" s="1">
        <f ca="1">IFERROR(__xludf.DUMMYFUNCTION("""COMPUTED_VALUE"""),58.74)</f>
        <v>58.74</v>
      </c>
      <c r="D1051" s="1">
        <f ca="1">IFERROR(__xludf.DUMMYFUNCTION("""COMPUTED_VALUE"""),58.15)</f>
        <v>58.15</v>
      </c>
      <c r="E1051" s="1">
        <f ca="1">IFERROR(__xludf.DUMMYFUNCTION("""COMPUTED_VALUE"""),58.25)</f>
        <v>58.25</v>
      </c>
      <c r="F1051" s="1">
        <f ca="1">IFERROR(__xludf.DUMMYFUNCTION("""COMPUTED_VALUE"""),1180052)</f>
        <v>1180052</v>
      </c>
    </row>
    <row r="1052" spans="1:6" x14ac:dyDescent="0.35">
      <c r="A1052" s="2">
        <f ca="1">IFERROR(__xludf.DUMMYFUNCTION("""COMPUTED_VALUE"""),43531.6666666666)</f>
        <v>43531.666666666599</v>
      </c>
      <c r="B1052" s="1">
        <f ca="1">IFERROR(__xludf.DUMMYFUNCTION("""COMPUTED_VALUE"""),58.03)</f>
        <v>58.03</v>
      </c>
      <c r="C1052" s="1">
        <f ca="1">IFERROR(__xludf.DUMMYFUNCTION("""COMPUTED_VALUE"""),58.18)</f>
        <v>58.18</v>
      </c>
      <c r="D1052" s="1">
        <f ca="1">IFERROR(__xludf.DUMMYFUNCTION("""COMPUTED_VALUE"""),57.09)</f>
        <v>57.09</v>
      </c>
      <c r="E1052" s="1">
        <f ca="1">IFERROR(__xludf.DUMMYFUNCTION("""COMPUTED_VALUE"""),57.54)</f>
        <v>57.54</v>
      </c>
      <c r="F1052" s="1">
        <f ca="1">IFERROR(__xludf.DUMMYFUNCTION("""COMPUTED_VALUE"""),1504328)</f>
        <v>1504328</v>
      </c>
    </row>
    <row r="1053" spans="1:6" x14ac:dyDescent="0.35">
      <c r="A1053" s="2">
        <f ca="1">IFERROR(__xludf.DUMMYFUNCTION("""COMPUTED_VALUE"""),43532.6666666666)</f>
        <v>43532.666666666599</v>
      </c>
      <c r="B1053" s="1">
        <f ca="1">IFERROR(__xludf.DUMMYFUNCTION("""COMPUTED_VALUE"""),56.7)</f>
        <v>56.7</v>
      </c>
      <c r="C1053" s="1">
        <f ca="1">IFERROR(__xludf.DUMMYFUNCTION("""COMPUTED_VALUE"""),57.67)</f>
        <v>57.67</v>
      </c>
      <c r="D1053" s="1">
        <f ca="1">IFERROR(__xludf.DUMMYFUNCTION("""COMPUTED_VALUE"""),56.51)</f>
        <v>56.51</v>
      </c>
      <c r="E1053" s="1">
        <f ca="1">IFERROR(__xludf.DUMMYFUNCTION("""COMPUTED_VALUE"""),57.5)</f>
        <v>57.5</v>
      </c>
      <c r="F1053" s="1">
        <f ca="1">IFERROR(__xludf.DUMMYFUNCTION("""COMPUTED_VALUE"""),1184732)</f>
        <v>1184732</v>
      </c>
    </row>
    <row r="1054" spans="1:6" x14ac:dyDescent="0.35">
      <c r="A1054" s="2">
        <f ca="1">IFERROR(__xludf.DUMMYFUNCTION("""COMPUTED_VALUE"""),43535.6666666666)</f>
        <v>43535.666666666599</v>
      </c>
      <c r="B1054" s="1">
        <f ca="1">IFERROR(__xludf.DUMMYFUNCTION("""COMPUTED_VALUE"""),57.6)</f>
        <v>57.6</v>
      </c>
      <c r="C1054" s="1">
        <f ca="1">IFERROR(__xludf.DUMMYFUNCTION("""COMPUTED_VALUE"""),59)</f>
        <v>59</v>
      </c>
      <c r="D1054" s="1">
        <f ca="1">IFERROR(__xludf.DUMMYFUNCTION("""COMPUTED_VALUE"""),57.58)</f>
        <v>57.58</v>
      </c>
      <c r="E1054" s="1">
        <f ca="1">IFERROR(__xludf.DUMMYFUNCTION("""COMPUTED_VALUE"""),58.96)</f>
        <v>58.96</v>
      </c>
      <c r="F1054" s="1">
        <f ca="1">IFERROR(__xludf.DUMMYFUNCTION("""COMPUTED_VALUE"""),1501633)</f>
        <v>1501633</v>
      </c>
    </row>
    <row r="1055" spans="1:6" x14ac:dyDescent="0.35">
      <c r="A1055" s="2">
        <f ca="1">IFERROR(__xludf.DUMMYFUNCTION("""COMPUTED_VALUE"""),43536.6666666666)</f>
        <v>43536.666666666599</v>
      </c>
      <c r="B1055" s="1">
        <f ca="1">IFERROR(__xludf.DUMMYFUNCTION("""COMPUTED_VALUE"""),59.12)</f>
        <v>59.12</v>
      </c>
      <c r="C1055" s="1">
        <f ca="1">IFERROR(__xludf.DUMMYFUNCTION("""COMPUTED_VALUE"""),60.29)</f>
        <v>60.29</v>
      </c>
      <c r="D1055" s="1">
        <f ca="1">IFERROR(__xludf.DUMMYFUNCTION("""COMPUTED_VALUE"""),59.12)</f>
        <v>59.12</v>
      </c>
      <c r="E1055" s="1">
        <f ca="1">IFERROR(__xludf.DUMMYFUNCTION("""COMPUTED_VALUE"""),59.86)</f>
        <v>59.86</v>
      </c>
      <c r="F1055" s="1">
        <f ca="1">IFERROR(__xludf.DUMMYFUNCTION("""COMPUTED_VALUE"""),2110979)</f>
        <v>2110979</v>
      </c>
    </row>
    <row r="1056" spans="1:6" x14ac:dyDescent="0.35">
      <c r="A1056" s="2">
        <f ca="1">IFERROR(__xludf.DUMMYFUNCTION("""COMPUTED_VALUE"""),43537.6666666666)</f>
        <v>43537.666666666599</v>
      </c>
      <c r="B1056" s="1">
        <f ca="1">IFERROR(__xludf.DUMMYFUNCTION("""COMPUTED_VALUE"""),60.3)</f>
        <v>60.3</v>
      </c>
      <c r="C1056" s="1">
        <f ca="1">IFERROR(__xludf.DUMMYFUNCTION("""COMPUTED_VALUE"""),60.36)</f>
        <v>60.36</v>
      </c>
      <c r="D1056" s="1">
        <f ca="1">IFERROR(__xludf.DUMMYFUNCTION("""COMPUTED_VALUE"""),59.9)</f>
        <v>59.9</v>
      </c>
      <c r="E1056" s="1">
        <f ca="1">IFERROR(__xludf.DUMMYFUNCTION("""COMPUTED_VALUE"""),59.95)</f>
        <v>59.95</v>
      </c>
      <c r="F1056" s="1">
        <f ca="1">IFERROR(__xludf.DUMMYFUNCTION("""COMPUTED_VALUE"""),1294354)</f>
        <v>1294354</v>
      </c>
    </row>
    <row r="1057" spans="1:6" x14ac:dyDescent="0.35">
      <c r="A1057" s="2">
        <f ca="1">IFERROR(__xludf.DUMMYFUNCTION("""COMPUTED_VALUE"""),43538.6666666666)</f>
        <v>43538.666666666599</v>
      </c>
      <c r="B1057" s="1">
        <f ca="1">IFERROR(__xludf.DUMMYFUNCTION("""COMPUTED_VALUE"""),59.95)</f>
        <v>59.95</v>
      </c>
      <c r="C1057" s="1">
        <f ca="1">IFERROR(__xludf.DUMMYFUNCTION("""COMPUTED_VALUE"""),60.24)</f>
        <v>60.24</v>
      </c>
      <c r="D1057" s="1">
        <f ca="1">IFERROR(__xludf.DUMMYFUNCTION("""COMPUTED_VALUE"""),59.56)</f>
        <v>59.56</v>
      </c>
      <c r="E1057" s="1">
        <f ca="1">IFERROR(__xludf.DUMMYFUNCTION("""COMPUTED_VALUE"""),59.63)</f>
        <v>59.63</v>
      </c>
      <c r="F1057" s="1">
        <f ca="1">IFERROR(__xludf.DUMMYFUNCTION("""COMPUTED_VALUE"""),1365072)</f>
        <v>1365072</v>
      </c>
    </row>
    <row r="1058" spans="1:6" x14ac:dyDescent="0.35">
      <c r="A1058" s="2">
        <f ca="1">IFERROR(__xludf.DUMMYFUNCTION("""COMPUTED_VALUE"""),43539.6666666666)</f>
        <v>43539.666666666599</v>
      </c>
      <c r="B1058" s="1">
        <f ca="1">IFERROR(__xludf.DUMMYFUNCTION("""COMPUTED_VALUE"""),59.9)</f>
        <v>59.9</v>
      </c>
      <c r="C1058" s="1">
        <f ca="1">IFERROR(__xludf.DUMMYFUNCTION("""COMPUTED_VALUE"""),60.09)</f>
        <v>60.09</v>
      </c>
      <c r="D1058" s="1">
        <f ca="1">IFERROR(__xludf.DUMMYFUNCTION("""COMPUTED_VALUE"""),59.35)</f>
        <v>59.35</v>
      </c>
      <c r="E1058" s="1">
        <f ca="1">IFERROR(__xludf.DUMMYFUNCTION("""COMPUTED_VALUE"""),59.52)</f>
        <v>59.52</v>
      </c>
      <c r="F1058" s="1">
        <f ca="1">IFERROR(__xludf.DUMMYFUNCTION("""COMPUTED_VALUE"""),2593338)</f>
        <v>2593338</v>
      </c>
    </row>
    <row r="1059" spans="1:6" x14ac:dyDescent="0.35">
      <c r="A1059" s="2">
        <f ca="1">IFERROR(__xludf.DUMMYFUNCTION("""COMPUTED_VALUE"""),43542.6666666666)</f>
        <v>43542.666666666599</v>
      </c>
      <c r="B1059" s="1">
        <f ca="1">IFERROR(__xludf.DUMMYFUNCTION("""COMPUTED_VALUE"""),59.48)</f>
        <v>59.48</v>
      </c>
      <c r="C1059" s="1">
        <f ca="1">IFERROR(__xludf.DUMMYFUNCTION("""COMPUTED_VALUE"""),59.75)</f>
        <v>59.75</v>
      </c>
      <c r="D1059" s="1">
        <f ca="1">IFERROR(__xludf.DUMMYFUNCTION("""COMPUTED_VALUE"""),59.07)</f>
        <v>59.07</v>
      </c>
      <c r="E1059" s="1">
        <f ca="1">IFERROR(__xludf.DUMMYFUNCTION("""COMPUTED_VALUE"""),59.43)</f>
        <v>59.43</v>
      </c>
      <c r="F1059" s="1">
        <f ca="1">IFERROR(__xludf.DUMMYFUNCTION("""COMPUTED_VALUE"""),1222203)</f>
        <v>1222203</v>
      </c>
    </row>
    <row r="1060" spans="1:6" x14ac:dyDescent="0.35">
      <c r="A1060" s="2">
        <f ca="1">IFERROR(__xludf.DUMMYFUNCTION("""COMPUTED_VALUE"""),43543.6666666666)</f>
        <v>43543.666666666599</v>
      </c>
      <c r="B1060" s="1">
        <f ca="1">IFERROR(__xludf.DUMMYFUNCTION("""COMPUTED_VALUE"""),59.59)</f>
        <v>59.59</v>
      </c>
      <c r="C1060" s="1">
        <f ca="1">IFERROR(__xludf.DUMMYFUNCTION("""COMPUTED_VALUE"""),60.17)</f>
        <v>60.17</v>
      </c>
      <c r="D1060" s="1">
        <f ca="1">IFERROR(__xludf.DUMMYFUNCTION("""COMPUTED_VALUE"""),59.47)</f>
        <v>59.47</v>
      </c>
      <c r="E1060" s="1">
        <f ca="1">IFERROR(__xludf.DUMMYFUNCTION("""COMPUTED_VALUE"""),60.12)</f>
        <v>60.12</v>
      </c>
      <c r="F1060" s="1">
        <f ca="1">IFERROR(__xludf.DUMMYFUNCTION("""COMPUTED_VALUE"""),1489407)</f>
        <v>1489407</v>
      </c>
    </row>
    <row r="1061" spans="1:6" x14ac:dyDescent="0.35">
      <c r="A1061" s="2">
        <f ca="1">IFERROR(__xludf.DUMMYFUNCTION("""COMPUTED_VALUE"""),43544.6666666666)</f>
        <v>43544.666666666599</v>
      </c>
      <c r="B1061" s="1">
        <f ca="1">IFERROR(__xludf.DUMMYFUNCTION("""COMPUTED_VALUE"""),60.07)</f>
        <v>60.07</v>
      </c>
      <c r="C1061" s="1">
        <f ca="1">IFERROR(__xludf.DUMMYFUNCTION("""COMPUTED_VALUE"""),61.5)</f>
        <v>61.5</v>
      </c>
      <c r="D1061" s="1">
        <f ca="1">IFERROR(__xludf.DUMMYFUNCTION("""COMPUTED_VALUE"""),59.98)</f>
        <v>59.98</v>
      </c>
      <c r="E1061" s="1">
        <f ca="1">IFERROR(__xludf.DUMMYFUNCTION("""COMPUTED_VALUE"""),61.32)</f>
        <v>61.32</v>
      </c>
      <c r="F1061" s="1">
        <f ca="1">IFERROR(__xludf.DUMMYFUNCTION("""COMPUTED_VALUE"""),2075442)</f>
        <v>2075442</v>
      </c>
    </row>
    <row r="1062" spans="1:6" x14ac:dyDescent="0.35">
      <c r="A1062" s="2">
        <f ca="1">IFERROR(__xludf.DUMMYFUNCTION("""COMPUTED_VALUE"""),43545.6666666666)</f>
        <v>43545.666666666599</v>
      </c>
      <c r="B1062" s="1">
        <f ca="1">IFERROR(__xludf.DUMMYFUNCTION("""COMPUTED_VALUE"""),61)</f>
        <v>61</v>
      </c>
      <c r="C1062" s="1">
        <f ca="1">IFERROR(__xludf.DUMMYFUNCTION("""COMPUTED_VALUE"""),61.82)</f>
        <v>61.82</v>
      </c>
      <c r="D1062" s="1">
        <f ca="1">IFERROR(__xludf.DUMMYFUNCTION("""COMPUTED_VALUE"""),60.83)</f>
        <v>60.83</v>
      </c>
      <c r="E1062" s="1">
        <f ca="1">IFERROR(__xludf.DUMMYFUNCTION("""COMPUTED_VALUE"""),61.81)</f>
        <v>61.81</v>
      </c>
      <c r="F1062" s="1">
        <f ca="1">IFERROR(__xludf.DUMMYFUNCTION("""COMPUTED_VALUE"""),1407480)</f>
        <v>1407480</v>
      </c>
    </row>
    <row r="1063" spans="1:6" x14ac:dyDescent="0.35">
      <c r="A1063" s="2">
        <f ca="1">IFERROR(__xludf.DUMMYFUNCTION("""COMPUTED_VALUE"""),43546.6666666666)</f>
        <v>43546.666666666599</v>
      </c>
      <c r="B1063" s="1">
        <f ca="1">IFERROR(__xludf.DUMMYFUNCTION("""COMPUTED_VALUE"""),61.44)</f>
        <v>61.44</v>
      </c>
      <c r="C1063" s="1">
        <f ca="1">IFERROR(__xludf.DUMMYFUNCTION("""COMPUTED_VALUE"""),61.68)</f>
        <v>61.68</v>
      </c>
      <c r="D1063" s="1">
        <f ca="1">IFERROR(__xludf.DUMMYFUNCTION("""COMPUTED_VALUE"""),60.3)</f>
        <v>60.3</v>
      </c>
      <c r="E1063" s="1">
        <f ca="1">IFERROR(__xludf.DUMMYFUNCTION("""COMPUTED_VALUE"""),60.38)</f>
        <v>60.38</v>
      </c>
      <c r="F1063" s="1">
        <f ca="1">IFERROR(__xludf.DUMMYFUNCTION("""COMPUTED_VALUE"""),1721133)</f>
        <v>1721133</v>
      </c>
    </row>
    <row r="1064" spans="1:6" x14ac:dyDescent="0.35">
      <c r="A1064" s="2">
        <f ca="1">IFERROR(__xludf.DUMMYFUNCTION("""COMPUTED_VALUE"""),43549.6666666666)</f>
        <v>43549.666666666599</v>
      </c>
      <c r="B1064" s="1">
        <f ca="1">IFERROR(__xludf.DUMMYFUNCTION("""COMPUTED_VALUE"""),59.98)</f>
        <v>59.98</v>
      </c>
      <c r="C1064" s="1">
        <f ca="1">IFERROR(__xludf.DUMMYFUNCTION("""COMPUTED_VALUE"""),60.47)</f>
        <v>60.47</v>
      </c>
      <c r="D1064" s="1">
        <f ca="1">IFERROR(__xludf.DUMMYFUNCTION("""COMPUTED_VALUE"""),59.5)</f>
        <v>59.5</v>
      </c>
      <c r="E1064" s="1">
        <f ca="1">IFERROR(__xludf.DUMMYFUNCTION("""COMPUTED_VALUE"""),59.87)</f>
        <v>59.87</v>
      </c>
      <c r="F1064" s="1">
        <f ca="1">IFERROR(__xludf.DUMMYFUNCTION("""COMPUTED_VALUE"""),1378849)</f>
        <v>1378849</v>
      </c>
    </row>
    <row r="1065" spans="1:6" x14ac:dyDescent="0.35">
      <c r="A1065" s="2">
        <f ca="1">IFERROR(__xludf.DUMMYFUNCTION("""COMPUTED_VALUE"""),43550.6666666666)</f>
        <v>43550.666666666599</v>
      </c>
      <c r="B1065" s="1">
        <f ca="1">IFERROR(__xludf.DUMMYFUNCTION("""COMPUTED_VALUE"""),60.26)</f>
        <v>60.26</v>
      </c>
      <c r="C1065" s="1">
        <f ca="1">IFERROR(__xludf.DUMMYFUNCTION("""COMPUTED_VALUE"""),60.38)</f>
        <v>60.38</v>
      </c>
      <c r="D1065" s="1">
        <f ca="1">IFERROR(__xludf.DUMMYFUNCTION("""COMPUTED_VALUE"""),59.09)</f>
        <v>59.09</v>
      </c>
      <c r="E1065" s="1">
        <f ca="1">IFERROR(__xludf.DUMMYFUNCTION("""COMPUTED_VALUE"""),59.49)</f>
        <v>59.49</v>
      </c>
      <c r="F1065" s="1">
        <f ca="1">IFERROR(__xludf.DUMMYFUNCTION("""COMPUTED_VALUE"""),1537606)</f>
        <v>1537606</v>
      </c>
    </row>
    <row r="1066" spans="1:6" x14ac:dyDescent="0.35">
      <c r="A1066" s="2">
        <f ca="1">IFERROR(__xludf.DUMMYFUNCTION("""COMPUTED_VALUE"""),43551.6666666666)</f>
        <v>43551.666666666599</v>
      </c>
      <c r="B1066" s="1">
        <f ca="1">IFERROR(__xludf.DUMMYFUNCTION("""COMPUTED_VALUE"""),59.6)</f>
        <v>59.6</v>
      </c>
      <c r="C1066" s="1">
        <f ca="1">IFERROR(__xludf.DUMMYFUNCTION("""COMPUTED_VALUE"""),59.6)</f>
        <v>59.6</v>
      </c>
      <c r="D1066" s="1">
        <f ca="1">IFERROR(__xludf.DUMMYFUNCTION("""COMPUTED_VALUE"""),58.21)</f>
        <v>58.21</v>
      </c>
      <c r="E1066" s="1">
        <f ca="1">IFERROR(__xludf.DUMMYFUNCTION("""COMPUTED_VALUE"""),58.9)</f>
        <v>58.9</v>
      </c>
      <c r="F1066" s="1">
        <f ca="1">IFERROR(__xludf.DUMMYFUNCTION("""COMPUTED_VALUE"""),1471402)</f>
        <v>1471402</v>
      </c>
    </row>
    <row r="1067" spans="1:6" x14ac:dyDescent="0.35">
      <c r="A1067" s="2">
        <f ca="1">IFERROR(__xludf.DUMMYFUNCTION("""COMPUTED_VALUE"""),43552.6666666666)</f>
        <v>43552.666666666599</v>
      </c>
      <c r="B1067" s="1">
        <f ca="1">IFERROR(__xludf.DUMMYFUNCTION("""COMPUTED_VALUE"""),58.78)</f>
        <v>58.78</v>
      </c>
      <c r="C1067" s="1">
        <f ca="1">IFERROR(__xludf.DUMMYFUNCTION("""COMPUTED_VALUE"""),58.86)</f>
        <v>58.86</v>
      </c>
      <c r="D1067" s="1">
        <f ca="1">IFERROR(__xludf.DUMMYFUNCTION("""COMPUTED_VALUE"""),58.17)</f>
        <v>58.17</v>
      </c>
      <c r="E1067" s="1">
        <f ca="1">IFERROR(__xludf.DUMMYFUNCTION("""COMPUTED_VALUE"""),58.61)</f>
        <v>58.61</v>
      </c>
      <c r="F1067" s="1">
        <f ca="1">IFERROR(__xludf.DUMMYFUNCTION("""COMPUTED_VALUE"""),1120122)</f>
        <v>1120122</v>
      </c>
    </row>
    <row r="1068" spans="1:6" x14ac:dyDescent="0.35">
      <c r="A1068" s="2">
        <f ca="1">IFERROR(__xludf.DUMMYFUNCTION("""COMPUTED_VALUE"""),43553.6666666666)</f>
        <v>43553.666666666599</v>
      </c>
      <c r="B1068" s="1">
        <f ca="1">IFERROR(__xludf.DUMMYFUNCTION("""COMPUTED_VALUE"""),59.01)</f>
        <v>59.01</v>
      </c>
      <c r="C1068" s="1">
        <f ca="1">IFERROR(__xludf.DUMMYFUNCTION("""COMPUTED_VALUE"""),59.2)</f>
        <v>59.2</v>
      </c>
      <c r="D1068" s="1">
        <f ca="1">IFERROR(__xludf.DUMMYFUNCTION("""COMPUTED_VALUE"""),58.32)</f>
        <v>58.32</v>
      </c>
      <c r="E1068" s="1">
        <f ca="1">IFERROR(__xludf.DUMMYFUNCTION("""COMPUTED_VALUE"""),58.84)</f>
        <v>58.84</v>
      </c>
      <c r="F1068" s="1">
        <f ca="1">IFERROR(__xludf.DUMMYFUNCTION("""COMPUTED_VALUE"""),1544615)</f>
        <v>1544615</v>
      </c>
    </row>
    <row r="1069" spans="1:6" x14ac:dyDescent="0.35">
      <c r="A1069" s="2">
        <f ca="1">IFERROR(__xludf.DUMMYFUNCTION("""COMPUTED_VALUE"""),43556.6666666666)</f>
        <v>43556.666666666599</v>
      </c>
      <c r="B1069" s="1">
        <f ca="1">IFERROR(__xludf.DUMMYFUNCTION("""COMPUTED_VALUE"""),59.38)</f>
        <v>59.38</v>
      </c>
      <c r="C1069" s="1">
        <f ca="1">IFERROR(__xludf.DUMMYFUNCTION("""COMPUTED_VALUE"""),60.01)</f>
        <v>60.01</v>
      </c>
      <c r="D1069" s="1">
        <f ca="1">IFERROR(__xludf.DUMMYFUNCTION("""COMPUTED_VALUE"""),59.32)</f>
        <v>59.32</v>
      </c>
      <c r="E1069" s="1">
        <f ca="1">IFERROR(__xludf.DUMMYFUNCTION("""COMPUTED_VALUE"""),59.95)</f>
        <v>59.95</v>
      </c>
      <c r="F1069" s="1">
        <f ca="1">IFERROR(__xludf.DUMMYFUNCTION("""COMPUTED_VALUE"""),1385595)</f>
        <v>1385595</v>
      </c>
    </row>
    <row r="1070" spans="1:6" x14ac:dyDescent="0.35">
      <c r="A1070" s="2">
        <f ca="1">IFERROR(__xludf.DUMMYFUNCTION("""COMPUTED_VALUE"""),43557.6666666666)</f>
        <v>43557.666666666599</v>
      </c>
      <c r="B1070" s="1">
        <f ca="1">IFERROR(__xludf.DUMMYFUNCTION("""COMPUTED_VALUE"""),60)</f>
        <v>60</v>
      </c>
      <c r="C1070" s="1">
        <f ca="1">IFERROR(__xludf.DUMMYFUNCTION("""COMPUTED_VALUE"""),60.29)</f>
        <v>60.29</v>
      </c>
      <c r="D1070" s="1">
        <f ca="1">IFERROR(__xludf.DUMMYFUNCTION("""COMPUTED_VALUE"""),59.56)</f>
        <v>59.56</v>
      </c>
      <c r="E1070" s="1">
        <f ca="1">IFERROR(__xludf.DUMMYFUNCTION("""COMPUTED_VALUE"""),60.28)</f>
        <v>60.28</v>
      </c>
      <c r="F1070" s="1">
        <f ca="1">IFERROR(__xludf.DUMMYFUNCTION("""COMPUTED_VALUE"""),914413)</f>
        <v>914413</v>
      </c>
    </row>
    <row r="1071" spans="1:6" x14ac:dyDescent="0.35">
      <c r="A1071" s="2">
        <f ca="1">IFERROR(__xludf.DUMMYFUNCTION("""COMPUTED_VALUE"""),43558.6666666666)</f>
        <v>43558.666666666599</v>
      </c>
      <c r="B1071" s="1">
        <f ca="1">IFERROR(__xludf.DUMMYFUNCTION("""COMPUTED_VALUE"""),60.64)</f>
        <v>60.64</v>
      </c>
      <c r="C1071" s="1">
        <f ca="1">IFERROR(__xludf.DUMMYFUNCTION("""COMPUTED_VALUE"""),61.03)</f>
        <v>61.03</v>
      </c>
      <c r="D1071" s="1">
        <f ca="1">IFERROR(__xludf.DUMMYFUNCTION("""COMPUTED_VALUE"""),60.25)</f>
        <v>60.25</v>
      </c>
      <c r="E1071" s="1">
        <f ca="1">IFERROR(__xludf.DUMMYFUNCTION("""COMPUTED_VALUE"""),60.54)</f>
        <v>60.54</v>
      </c>
      <c r="F1071" s="1">
        <f ca="1">IFERROR(__xludf.DUMMYFUNCTION("""COMPUTED_VALUE"""),1109614)</f>
        <v>1109614</v>
      </c>
    </row>
    <row r="1072" spans="1:6" x14ac:dyDescent="0.35">
      <c r="A1072" s="2">
        <f ca="1">IFERROR(__xludf.DUMMYFUNCTION("""COMPUTED_VALUE"""),43559.6666666666)</f>
        <v>43559.666666666599</v>
      </c>
      <c r="B1072" s="1">
        <f ca="1">IFERROR(__xludf.DUMMYFUNCTION("""COMPUTED_VALUE"""),60.56)</f>
        <v>60.56</v>
      </c>
      <c r="C1072" s="1">
        <f ca="1">IFERROR(__xludf.DUMMYFUNCTION("""COMPUTED_VALUE"""),61.03)</f>
        <v>61.03</v>
      </c>
      <c r="D1072" s="1">
        <f ca="1">IFERROR(__xludf.DUMMYFUNCTION("""COMPUTED_VALUE"""),60.45)</f>
        <v>60.45</v>
      </c>
      <c r="E1072" s="1">
        <f ca="1">IFERROR(__xludf.DUMMYFUNCTION("""COMPUTED_VALUE"""),60.97)</f>
        <v>60.97</v>
      </c>
      <c r="F1072" s="1">
        <f ca="1">IFERROR(__xludf.DUMMYFUNCTION("""COMPUTED_VALUE"""),1051089)</f>
        <v>1051089</v>
      </c>
    </row>
    <row r="1073" spans="1:6" x14ac:dyDescent="0.35">
      <c r="A1073" s="2">
        <f ca="1">IFERROR(__xludf.DUMMYFUNCTION("""COMPUTED_VALUE"""),43560.6666666666)</f>
        <v>43560.666666666599</v>
      </c>
      <c r="B1073" s="1">
        <f ca="1">IFERROR(__xludf.DUMMYFUNCTION("""COMPUTED_VALUE"""),60.97)</f>
        <v>60.97</v>
      </c>
      <c r="C1073" s="1">
        <f ca="1">IFERROR(__xludf.DUMMYFUNCTION("""COMPUTED_VALUE"""),61.02)</f>
        <v>61.02</v>
      </c>
      <c r="D1073" s="1">
        <f ca="1">IFERROR(__xludf.DUMMYFUNCTION("""COMPUTED_VALUE"""),60.5)</f>
        <v>60.5</v>
      </c>
      <c r="E1073" s="1">
        <f ca="1">IFERROR(__xludf.DUMMYFUNCTION("""COMPUTED_VALUE"""),60.57)</f>
        <v>60.57</v>
      </c>
      <c r="F1073" s="1">
        <f ca="1">IFERROR(__xludf.DUMMYFUNCTION("""COMPUTED_VALUE"""),1001044)</f>
        <v>1001044</v>
      </c>
    </row>
    <row r="1074" spans="1:6" x14ac:dyDescent="0.35">
      <c r="A1074" s="2">
        <f ca="1">IFERROR(__xludf.DUMMYFUNCTION("""COMPUTED_VALUE"""),43563.6666666666)</f>
        <v>43563.666666666599</v>
      </c>
      <c r="B1074" s="1">
        <f ca="1">IFERROR(__xludf.DUMMYFUNCTION("""COMPUTED_VALUE"""),60.56)</f>
        <v>60.56</v>
      </c>
      <c r="C1074" s="1">
        <f ca="1">IFERROR(__xludf.DUMMYFUNCTION("""COMPUTED_VALUE"""),60.7)</f>
        <v>60.7</v>
      </c>
      <c r="D1074" s="1">
        <f ca="1">IFERROR(__xludf.DUMMYFUNCTION("""COMPUTED_VALUE"""),60.23)</f>
        <v>60.23</v>
      </c>
      <c r="E1074" s="1">
        <f ca="1">IFERROR(__xludf.DUMMYFUNCTION("""COMPUTED_VALUE"""),60.41)</f>
        <v>60.41</v>
      </c>
      <c r="F1074" s="1">
        <f ca="1">IFERROR(__xludf.DUMMYFUNCTION("""COMPUTED_VALUE"""),1087588)</f>
        <v>1087588</v>
      </c>
    </row>
    <row r="1075" spans="1:6" x14ac:dyDescent="0.35">
      <c r="A1075" s="2">
        <f ca="1">IFERROR(__xludf.DUMMYFUNCTION("""COMPUTED_VALUE"""),43564.6666666666)</f>
        <v>43564.666666666599</v>
      </c>
      <c r="B1075" s="1">
        <f ca="1">IFERROR(__xludf.DUMMYFUNCTION("""COMPUTED_VALUE"""),60.09)</f>
        <v>60.09</v>
      </c>
      <c r="C1075" s="1">
        <f ca="1">IFERROR(__xludf.DUMMYFUNCTION("""COMPUTED_VALUE"""),60.36)</f>
        <v>60.36</v>
      </c>
      <c r="D1075" s="1">
        <f ca="1">IFERROR(__xludf.DUMMYFUNCTION("""COMPUTED_VALUE"""),59.92)</f>
        <v>59.92</v>
      </c>
      <c r="E1075" s="1">
        <f ca="1">IFERROR(__xludf.DUMMYFUNCTION("""COMPUTED_VALUE"""),60.13)</f>
        <v>60.13</v>
      </c>
      <c r="F1075" s="1">
        <f ca="1">IFERROR(__xludf.DUMMYFUNCTION("""COMPUTED_VALUE"""),983840)</f>
        <v>983840</v>
      </c>
    </row>
    <row r="1076" spans="1:6" x14ac:dyDescent="0.35">
      <c r="A1076" s="2">
        <f ca="1">IFERROR(__xludf.DUMMYFUNCTION("""COMPUTED_VALUE"""),43565.6666666666)</f>
        <v>43565.666666666599</v>
      </c>
      <c r="B1076" s="1">
        <f ca="1">IFERROR(__xludf.DUMMYFUNCTION("""COMPUTED_VALUE"""),60.25)</f>
        <v>60.25</v>
      </c>
      <c r="C1076" s="1">
        <f ca="1">IFERROR(__xludf.DUMMYFUNCTION("""COMPUTED_VALUE"""),60.45)</f>
        <v>60.45</v>
      </c>
      <c r="D1076" s="1">
        <f ca="1">IFERROR(__xludf.DUMMYFUNCTION("""COMPUTED_VALUE"""),60.03)</f>
        <v>60.03</v>
      </c>
      <c r="E1076" s="1">
        <f ca="1">IFERROR(__xludf.DUMMYFUNCTION("""COMPUTED_VALUE"""),60.32)</f>
        <v>60.32</v>
      </c>
      <c r="F1076" s="1">
        <f ca="1">IFERROR(__xludf.DUMMYFUNCTION("""COMPUTED_VALUE"""),775456)</f>
        <v>775456</v>
      </c>
    </row>
    <row r="1077" spans="1:6" x14ac:dyDescent="0.35">
      <c r="A1077" s="2">
        <f ca="1">IFERROR(__xludf.DUMMYFUNCTION("""COMPUTED_VALUE"""),43566.6666666666)</f>
        <v>43566.666666666599</v>
      </c>
      <c r="B1077" s="1">
        <f ca="1">IFERROR(__xludf.DUMMYFUNCTION("""COMPUTED_VALUE"""),60.45)</f>
        <v>60.45</v>
      </c>
      <c r="C1077" s="1">
        <f ca="1">IFERROR(__xludf.DUMMYFUNCTION("""COMPUTED_VALUE"""),60.64)</f>
        <v>60.64</v>
      </c>
      <c r="D1077" s="1">
        <f ca="1">IFERROR(__xludf.DUMMYFUNCTION("""COMPUTED_VALUE"""),60.23)</f>
        <v>60.23</v>
      </c>
      <c r="E1077" s="1">
        <f ca="1">IFERROR(__xludf.DUMMYFUNCTION("""COMPUTED_VALUE"""),60.48)</f>
        <v>60.48</v>
      </c>
      <c r="F1077" s="1">
        <f ca="1">IFERROR(__xludf.DUMMYFUNCTION("""COMPUTED_VALUE"""),849947)</f>
        <v>849947</v>
      </c>
    </row>
    <row r="1078" spans="1:6" x14ac:dyDescent="0.35">
      <c r="A1078" s="2">
        <f ca="1">IFERROR(__xludf.DUMMYFUNCTION("""COMPUTED_VALUE"""),43567.6666666666)</f>
        <v>43567.666666666599</v>
      </c>
      <c r="B1078" s="1">
        <f ca="1">IFERROR(__xludf.DUMMYFUNCTION("""COMPUTED_VALUE"""),60.78)</f>
        <v>60.78</v>
      </c>
      <c r="C1078" s="1">
        <f ca="1">IFERROR(__xludf.DUMMYFUNCTION("""COMPUTED_VALUE"""),61.15)</f>
        <v>61.15</v>
      </c>
      <c r="D1078" s="1">
        <f ca="1">IFERROR(__xludf.DUMMYFUNCTION("""COMPUTED_VALUE"""),60.66)</f>
        <v>60.66</v>
      </c>
      <c r="E1078" s="1">
        <f ca="1">IFERROR(__xludf.DUMMYFUNCTION("""COMPUTED_VALUE"""),61.14)</f>
        <v>61.14</v>
      </c>
      <c r="F1078" s="1">
        <f ca="1">IFERROR(__xludf.DUMMYFUNCTION("""COMPUTED_VALUE"""),1215610)</f>
        <v>1215610</v>
      </c>
    </row>
    <row r="1079" spans="1:6" x14ac:dyDescent="0.35">
      <c r="A1079" s="2">
        <f ca="1">IFERROR(__xludf.DUMMYFUNCTION("""COMPUTED_VALUE"""),43570.6666666666)</f>
        <v>43570.666666666599</v>
      </c>
      <c r="B1079" s="1">
        <f ca="1">IFERROR(__xludf.DUMMYFUNCTION("""COMPUTED_VALUE"""),61.2)</f>
        <v>61.2</v>
      </c>
      <c r="C1079" s="1">
        <f ca="1">IFERROR(__xludf.DUMMYFUNCTION("""COMPUTED_VALUE"""),61.46)</f>
        <v>61.46</v>
      </c>
      <c r="D1079" s="1">
        <f ca="1">IFERROR(__xludf.DUMMYFUNCTION("""COMPUTED_VALUE"""),60.73)</f>
        <v>60.73</v>
      </c>
      <c r="E1079" s="1">
        <f ca="1">IFERROR(__xludf.DUMMYFUNCTION("""COMPUTED_VALUE"""),61.33)</f>
        <v>61.33</v>
      </c>
      <c r="F1079" s="1">
        <f ca="1">IFERROR(__xludf.DUMMYFUNCTION("""COMPUTED_VALUE"""),1189974)</f>
        <v>1189974</v>
      </c>
    </row>
    <row r="1080" spans="1:6" x14ac:dyDescent="0.35">
      <c r="A1080" s="2">
        <f ca="1">IFERROR(__xludf.DUMMYFUNCTION("""COMPUTED_VALUE"""),43571.6666666666)</f>
        <v>43571.666666666599</v>
      </c>
      <c r="B1080" s="1">
        <f ca="1">IFERROR(__xludf.DUMMYFUNCTION("""COMPUTED_VALUE"""),61.5)</f>
        <v>61.5</v>
      </c>
      <c r="C1080" s="1">
        <f ca="1">IFERROR(__xludf.DUMMYFUNCTION("""COMPUTED_VALUE"""),61.8)</f>
        <v>61.8</v>
      </c>
      <c r="D1080" s="1">
        <f ca="1">IFERROR(__xludf.DUMMYFUNCTION("""COMPUTED_VALUE"""),61.25)</f>
        <v>61.25</v>
      </c>
      <c r="E1080" s="1">
        <f ca="1">IFERROR(__xludf.DUMMYFUNCTION("""COMPUTED_VALUE"""),61.6)</f>
        <v>61.6</v>
      </c>
      <c r="F1080" s="1">
        <f ca="1">IFERROR(__xludf.DUMMYFUNCTION("""COMPUTED_VALUE"""),1131099)</f>
        <v>1131099</v>
      </c>
    </row>
    <row r="1081" spans="1:6" x14ac:dyDescent="0.35">
      <c r="A1081" s="2">
        <f ca="1">IFERROR(__xludf.DUMMYFUNCTION("""COMPUTED_VALUE"""),43572.6666666666)</f>
        <v>43572.666666666599</v>
      </c>
      <c r="B1081" s="1">
        <f ca="1">IFERROR(__xludf.DUMMYFUNCTION("""COMPUTED_VALUE"""),61.85)</f>
        <v>61.85</v>
      </c>
      <c r="C1081" s="1">
        <f ca="1">IFERROR(__xludf.DUMMYFUNCTION("""COMPUTED_VALUE"""),62.25)</f>
        <v>62.25</v>
      </c>
      <c r="D1081" s="1">
        <f ca="1">IFERROR(__xludf.DUMMYFUNCTION("""COMPUTED_VALUE"""),61.65)</f>
        <v>61.65</v>
      </c>
      <c r="E1081" s="1">
        <f ca="1">IFERROR(__xludf.DUMMYFUNCTION("""COMPUTED_VALUE"""),62.01)</f>
        <v>62.01</v>
      </c>
      <c r="F1081" s="1">
        <f ca="1">IFERROR(__xludf.DUMMYFUNCTION("""COMPUTED_VALUE"""),1518286)</f>
        <v>1518286</v>
      </c>
    </row>
    <row r="1082" spans="1:6" x14ac:dyDescent="0.35">
      <c r="A1082" s="2">
        <f ca="1">IFERROR(__xludf.DUMMYFUNCTION("""COMPUTED_VALUE"""),43573.6666666666)</f>
        <v>43573.666666666599</v>
      </c>
      <c r="B1082" s="1">
        <f ca="1">IFERROR(__xludf.DUMMYFUNCTION("""COMPUTED_VALUE"""),62.25)</f>
        <v>62.25</v>
      </c>
      <c r="C1082" s="1">
        <f ca="1">IFERROR(__xludf.DUMMYFUNCTION("""COMPUTED_VALUE"""),62.3)</f>
        <v>62.3</v>
      </c>
      <c r="D1082" s="1">
        <f ca="1">IFERROR(__xludf.DUMMYFUNCTION("""COMPUTED_VALUE"""),61.97)</f>
        <v>61.97</v>
      </c>
      <c r="E1082" s="1">
        <f ca="1">IFERROR(__xludf.DUMMYFUNCTION("""COMPUTED_VALUE"""),62.07)</f>
        <v>62.07</v>
      </c>
      <c r="F1082" s="1">
        <f ca="1">IFERROR(__xludf.DUMMYFUNCTION("""COMPUTED_VALUE"""),1237788)</f>
        <v>1237788</v>
      </c>
    </row>
    <row r="1083" spans="1:6" x14ac:dyDescent="0.35">
      <c r="A1083" s="2">
        <f ca="1">IFERROR(__xludf.DUMMYFUNCTION("""COMPUTED_VALUE"""),43577.6666666666)</f>
        <v>43577.666666666599</v>
      </c>
      <c r="B1083" s="1">
        <f ca="1">IFERROR(__xludf.DUMMYFUNCTION("""COMPUTED_VALUE"""),61.83)</f>
        <v>61.83</v>
      </c>
      <c r="C1083" s="1">
        <f ca="1">IFERROR(__xludf.DUMMYFUNCTION("""COMPUTED_VALUE"""),62.72)</f>
        <v>62.72</v>
      </c>
      <c r="D1083" s="1">
        <f ca="1">IFERROR(__xludf.DUMMYFUNCTION("""COMPUTED_VALUE"""),61.67)</f>
        <v>61.67</v>
      </c>
      <c r="E1083" s="1">
        <f ca="1">IFERROR(__xludf.DUMMYFUNCTION("""COMPUTED_VALUE"""),62.69)</f>
        <v>62.69</v>
      </c>
      <c r="F1083" s="1">
        <f ca="1">IFERROR(__xludf.DUMMYFUNCTION("""COMPUTED_VALUE"""),954419)</f>
        <v>954419</v>
      </c>
    </row>
    <row r="1084" spans="1:6" x14ac:dyDescent="0.35">
      <c r="A1084" s="2">
        <f ca="1">IFERROR(__xludf.DUMMYFUNCTION("""COMPUTED_VALUE"""),43578.6666666666)</f>
        <v>43578.666666666599</v>
      </c>
      <c r="B1084" s="1">
        <f ca="1">IFERROR(__xludf.DUMMYFUNCTION("""COMPUTED_VALUE"""),62.83)</f>
        <v>62.83</v>
      </c>
      <c r="C1084" s="1">
        <f ca="1">IFERROR(__xludf.DUMMYFUNCTION("""COMPUTED_VALUE"""),63.72)</f>
        <v>63.72</v>
      </c>
      <c r="D1084" s="1">
        <f ca="1">IFERROR(__xludf.DUMMYFUNCTION("""COMPUTED_VALUE"""),62.6)</f>
        <v>62.6</v>
      </c>
      <c r="E1084" s="1">
        <f ca="1">IFERROR(__xludf.DUMMYFUNCTION("""COMPUTED_VALUE"""),63.53)</f>
        <v>63.53</v>
      </c>
      <c r="F1084" s="1">
        <f ca="1">IFERROR(__xludf.DUMMYFUNCTION("""COMPUTED_VALUE"""),1593449)</f>
        <v>1593449</v>
      </c>
    </row>
    <row r="1085" spans="1:6" x14ac:dyDescent="0.35">
      <c r="A1085" s="2">
        <f ca="1">IFERROR(__xludf.DUMMYFUNCTION("""COMPUTED_VALUE"""),43579.6666666666)</f>
        <v>43579.666666666599</v>
      </c>
      <c r="B1085" s="1">
        <f ca="1">IFERROR(__xludf.DUMMYFUNCTION("""COMPUTED_VALUE"""),63.53)</f>
        <v>63.53</v>
      </c>
      <c r="C1085" s="1">
        <f ca="1">IFERROR(__xludf.DUMMYFUNCTION("""COMPUTED_VALUE"""),63.7)</f>
        <v>63.7</v>
      </c>
      <c r="D1085" s="1">
        <f ca="1">IFERROR(__xludf.DUMMYFUNCTION("""COMPUTED_VALUE"""),62.99)</f>
        <v>62.99</v>
      </c>
      <c r="E1085" s="1">
        <f ca="1">IFERROR(__xludf.DUMMYFUNCTION("""COMPUTED_VALUE"""),63)</f>
        <v>63</v>
      </c>
      <c r="F1085" s="1">
        <f ca="1">IFERROR(__xludf.DUMMYFUNCTION("""COMPUTED_VALUE"""),1169797)</f>
        <v>1169797</v>
      </c>
    </row>
    <row r="1086" spans="1:6" x14ac:dyDescent="0.35">
      <c r="A1086" s="2">
        <f ca="1">IFERROR(__xludf.DUMMYFUNCTION("""COMPUTED_VALUE"""),43580.6666666666)</f>
        <v>43580.666666666599</v>
      </c>
      <c r="B1086" s="1">
        <f ca="1">IFERROR(__xludf.DUMMYFUNCTION("""COMPUTED_VALUE"""),63.52)</f>
        <v>63.52</v>
      </c>
      <c r="C1086" s="1">
        <f ca="1">IFERROR(__xludf.DUMMYFUNCTION("""COMPUTED_VALUE"""),63.64)</f>
        <v>63.64</v>
      </c>
      <c r="D1086" s="1">
        <f ca="1">IFERROR(__xludf.DUMMYFUNCTION("""COMPUTED_VALUE"""),62.9)</f>
        <v>62.9</v>
      </c>
      <c r="E1086" s="1">
        <f ca="1">IFERROR(__xludf.DUMMYFUNCTION("""COMPUTED_VALUE"""),63.37)</f>
        <v>63.37</v>
      </c>
      <c r="F1086" s="1">
        <f ca="1">IFERROR(__xludf.DUMMYFUNCTION("""COMPUTED_VALUE"""),1567161)</f>
        <v>1567161</v>
      </c>
    </row>
    <row r="1087" spans="1:6" x14ac:dyDescent="0.35">
      <c r="A1087" s="2">
        <f ca="1">IFERROR(__xludf.DUMMYFUNCTION("""COMPUTED_VALUE"""),43581.6666666666)</f>
        <v>43581.666666666599</v>
      </c>
      <c r="B1087" s="1">
        <f ca="1">IFERROR(__xludf.DUMMYFUNCTION("""COMPUTED_VALUE"""),63.67)</f>
        <v>63.67</v>
      </c>
      <c r="C1087" s="1">
        <f ca="1">IFERROR(__xludf.DUMMYFUNCTION("""COMPUTED_VALUE"""),63.95)</f>
        <v>63.95</v>
      </c>
      <c r="D1087" s="1">
        <f ca="1">IFERROR(__xludf.DUMMYFUNCTION("""COMPUTED_VALUE"""),63.25)</f>
        <v>63.25</v>
      </c>
      <c r="E1087" s="1">
        <f ca="1">IFERROR(__xludf.DUMMYFUNCTION("""COMPUTED_VALUE"""),63.87)</f>
        <v>63.87</v>
      </c>
      <c r="F1087" s="1">
        <f ca="1">IFERROR(__xludf.DUMMYFUNCTION("""COMPUTED_VALUE"""),1361419)</f>
        <v>1361419</v>
      </c>
    </row>
    <row r="1088" spans="1:6" x14ac:dyDescent="0.35">
      <c r="A1088" s="2">
        <f ca="1">IFERROR(__xludf.DUMMYFUNCTION("""COMPUTED_VALUE"""),43584.6666666666)</f>
        <v>43584.666666666599</v>
      </c>
      <c r="B1088" s="1">
        <f ca="1">IFERROR(__xludf.DUMMYFUNCTION("""COMPUTED_VALUE"""),64.03)</f>
        <v>64.03</v>
      </c>
      <c r="C1088" s="1">
        <f ca="1">IFERROR(__xludf.DUMMYFUNCTION("""COMPUTED_VALUE"""),64.85)</f>
        <v>64.849999999999994</v>
      </c>
      <c r="D1088" s="1">
        <f ca="1">IFERROR(__xludf.DUMMYFUNCTION("""COMPUTED_VALUE"""),63.59)</f>
        <v>63.59</v>
      </c>
      <c r="E1088" s="1">
        <f ca="1">IFERROR(__xludf.DUMMYFUNCTION("""COMPUTED_VALUE"""),64.81)</f>
        <v>64.81</v>
      </c>
      <c r="F1088" s="1">
        <f ca="1">IFERROR(__xludf.DUMMYFUNCTION("""COMPUTED_VALUE"""),3618362)</f>
        <v>3618362</v>
      </c>
    </row>
    <row r="1089" spans="1:6" x14ac:dyDescent="0.35">
      <c r="A1089" s="2">
        <f ca="1">IFERROR(__xludf.DUMMYFUNCTION("""COMPUTED_VALUE"""),43585.6666666666)</f>
        <v>43585.666666666599</v>
      </c>
      <c r="B1089" s="1">
        <f ca="1">IFERROR(__xludf.DUMMYFUNCTION("""COMPUTED_VALUE"""),59.53)</f>
        <v>59.53</v>
      </c>
      <c r="C1089" s="1">
        <f ca="1">IFERROR(__xludf.DUMMYFUNCTION("""COMPUTED_VALUE"""),60.05)</f>
        <v>60.05</v>
      </c>
      <c r="D1089" s="1">
        <f ca="1">IFERROR(__xludf.DUMMYFUNCTION("""COMPUTED_VALUE"""),59.15)</f>
        <v>59.15</v>
      </c>
      <c r="E1089" s="1">
        <f ca="1">IFERROR(__xludf.DUMMYFUNCTION("""COMPUTED_VALUE"""),59.95)</f>
        <v>59.95</v>
      </c>
      <c r="F1089" s="1">
        <f ca="1">IFERROR(__xludf.DUMMYFUNCTION("""COMPUTED_VALUE"""),6658855)</f>
        <v>6658855</v>
      </c>
    </row>
    <row r="1090" spans="1:6" x14ac:dyDescent="0.35">
      <c r="A1090" s="2">
        <f ca="1">IFERROR(__xludf.DUMMYFUNCTION("""COMPUTED_VALUE"""),43586.6666666666)</f>
        <v>43586.666666666599</v>
      </c>
      <c r="B1090" s="1">
        <f ca="1">IFERROR(__xludf.DUMMYFUNCTION("""COMPUTED_VALUE"""),59.88)</f>
        <v>59.88</v>
      </c>
      <c r="C1090" s="1">
        <f ca="1">IFERROR(__xludf.DUMMYFUNCTION("""COMPUTED_VALUE"""),59.96)</f>
        <v>59.96</v>
      </c>
      <c r="D1090" s="1">
        <f ca="1">IFERROR(__xludf.DUMMYFUNCTION("""COMPUTED_VALUE"""),58.58)</f>
        <v>58.58</v>
      </c>
      <c r="E1090" s="1">
        <f ca="1">IFERROR(__xludf.DUMMYFUNCTION("""COMPUTED_VALUE"""),58.67)</f>
        <v>58.67</v>
      </c>
      <c r="F1090" s="1">
        <f ca="1">IFERROR(__xludf.DUMMYFUNCTION("""COMPUTED_VALUE"""),3717018)</f>
        <v>3717018</v>
      </c>
    </row>
    <row r="1091" spans="1:6" x14ac:dyDescent="0.35">
      <c r="A1091" s="2">
        <f ca="1">IFERROR(__xludf.DUMMYFUNCTION("""COMPUTED_VALUE"""),43587.6666666666)</f>
        <v>43587.666666666599</v>
      </c>
      <c r="B1091" s="1">
        <f ca="1">IFERROR(__xludf.DUMMYFUNCTION("""COMPUTED_VALUE"""),58.63)</f>
        <v>58.63</v>
      </c>
      <c r="C1091" s="1">
        <f ca="1">IFERROR(__xludf.DUMMYFUNCTION("""COMPUTED_VALUE"""),58.97)</f>
        <v>58.97</v>
      </c>
      <c r="D1091" s="1">
        <f ca="1">IFERROR(__xludf.DUMMYFUNCTION("""COMPUTED_VALUE"""),57.92)</f>
        <v>57.92</v>
      </c>
      <c r="E1091" s="1">
        <f ca="1">IFERROR(__xludf.DUMMYFUNCTION("""COMPUTED_VALUE"""),58.33)</f>
        <v>58.33</v>
      </c>
      <c r="F1091" s="1">
        <f ca="1">IFERROR(__xludf.DUMMYFUNCTION("""COMPUTED_VALUE"""),2254890)</f>
        <v>2254890</v>
      </c>
    </row>
    <row r="1092" spans="1:6" x14ac:dyDescent="0.35">
      <c r="A1092" s="2">
        <f ca="1">IFERROR(__xludf.DUMMYFUNCTION("""COMPUTED_VALUE"""),43588.6666666666)</f>
        <v>43588.666666666599</v>
      </c>
      <c r="B1092" s="1">
        <f ca="1">IFERROR(__xludf.DUMMYFUNCTION("""COMPUTED_VALUE"""),58.87)</f>
        <v>58.87</v>
      </c>
      <c r="C1092" s="1">
        <f ca="1">IFERROR(__xludf.DUMMYFUNCTION("""COMPUTED_VALUE"""),59.57)</f>
        <v>59.57</v>
      </c>
      <c r="D1092" s="1">
        <f ca="1">IFERROR(__xludf.DUMMYFUNCTION("""COMPUTED_VALUE"""),58.68)</f>
        <v>58.68</v>
      </c>
      <c r="E1092" s="1">
        <f ca="1">IFERROR(__xludf.DUMMYFUNCTION("""COMPUTED_VALUE"""),59.48)</f>
        <v>59.48</v>
      </c>
      <c r="F1092" s="1">
        <f ca="1">IFERROR(__xludf.DUMMYFUNCTION("""COMPUTED_VALUE"""),2079376)</f>
        <v>2079376</v>
      </c>
    </row>
    <row r="1093" spans="1:6" x14ac:dyDescent="0.35">
      <c r="A1093" s="2">
        <f ca="1">IFERROR(__xludf.DUMMYFUNCTION("""COMPUTED_VALUE"""),43591.6666666666)</f>
        <v>43591.666666666599</v>
      </c>
      <c r="B1093" s="1">
        <f ca="1">IFERROR(__xludf.DUMMYFUNCTION("""COMPUTED_VALUE"""),58.6)</f>
        <v>58.6</v>
      </c>
      <c r="C1093" s="1">
        <f ca="1">IFERROR(__xludf.DUMMYFUNCTION("""COMPUTED_VALUE"""),59.77)</f>
        <v>59.77</v>
      </c>
      <c r="D1093" s="1">
        <f ca="1">IFERROR(__xludf.DUMMYFUNCTION("""COMPUTED_VALUE"""),58.56)</f>
        <v>58.56</v>
      </c>
      <c r="E1093" s="1">
        <f ca="1">IFERROR(__xludf.DUMMYFUNCTION("""COMPUTED_VALUE"""),59.67)</f>
        <v>59.67</v>
      </c>
      <c r="F1093" s="1">
        <f ca="1">IFERROR(__xludf.DUMMYFUNCTION("""COMPUTED_VALUE"""),1588684)</f>
        <v>1588684</v>
      </c>
    </row>
    <row r="1094" spans="1:6" x14ac:dyDescent="0.35">
      <c r="A1094" s="2">
        <f ca="1">IFERROR(__xludf.DUMMYFUNCTION("""COMPUTED_VALUE"""),43592.6666666666)</f>
        <v>43592.666666666599</v>
      </c>
      <c r="B1094" s="1">
        <f ca="1">IFERROR(__xludf.DUMMYFUNCTION("""COMPUTED_VALUE"""),59.29)</f>
        <v>59.29</v>
      </c>
      <c r="C1094" s="1">
        <f ca="1">IFERROR(__xludf.DUMMYFUNCTION("""COMPUTED_VALUE"""),59.74)</f>
        <v>59.74</v>
      </c>
      <c r="D1094" s="1">
        <f ca="1">IFERROR(__xludf.DUMMYFUNCTION("""COMPUTED_VALUE"""),58.25)</f>
        <v>58.25</v>
      </c>
      <c r="E1094" s="1">
        <f ca="1">IFERROR(__xludf.DUMMYFUNCTION("""COMPUTED_VALUE"""),58.94)</f>
        <v>58.94</v>
      </c>
      <c r="F1094" s="1">
        <f ca="1">IFERROR(__xludf.DUMMYFUNCTION("""COMPUTED_VALUE"""),1830238)</f>
        <v>1830238</v>
      </c>
    </row>
    <row r="1095" spans="1:6" x14ac:dyDescent="0.35">
      <c r="A1095" s="2">
        <f ca="1">IFERROR(__xludf.DUMMYFUNCTION("""COMPUTED_VALUE"""),43593.6666666666)</f>
        <v>43593.666666666599</v>
      </c>
      <c r="B1095" s="1">
        <f ca="1">IFERROR(__xludf.DUMMYFUNCTION("""COMPUTED_VALUE"""),58.86)</f>
        <v>58.86</v>
      </c>
      <c r="C1095" s="1">
        <f ca="1">IFERROR(__xludf.DUMMYFUNCTION("""COMPUTED_VALUE"""),59.21)</f>
        <v>59.21</v>
      </c>
      <c r="D1095" s="1">
        <f ca="1">IFERROR(__xludf.DUMMYFUNCTION("""COMPUTED_VALUE"""),58.38)</f>
        <v>58.38</v>
      </c>
      <c r="E1095" s="1">
        <f ca="1">IFERROR(__xludf.DUMMYFUNCTION("""COMPUTED_VALUE"""),58.54)</f>
        <v>58.54</v>
      </c>
      <c r="F1095" s="1">
        <f ca="1">IFERROR(__xludf.DUMMYFUNCTION("""COMPUTED_VALUE"""),1276022)</f>
        <v>1276022</v>
      </c>
    </row>
    <row r="1096" spans="1:6" x14ac:dyDescent="0.35">
      <c r="A1096" s="2">
        <f ca="1">IFERROR(__xludf.DUMMYFUNCTION("""COMPUTED_VALUE"""),43594.6666666666)</f>
        <v>43594.666666666599</v>
      </c>
      <c r="B1096" s="1">
        <f ca="1">IFERROR(__xludf.DUMMYFUNCTION("""COMPUTED_VALUE"""),58.13)</f>
        <v>58.13</v>
      </c>
      <c r="C1096" s="1">
        <f ca="1">IFERROR(__xludf.DUMMYFUNCTION("""COMPUTED_VALUE"""),58.7)</f>
        <v>58.7</v>
      </c>
      <c r="D1096" s="1">
        <f ca="1">IFERROR(__xludf.DUMMYFUNCTION("""COMPUTED_VALUE"""),57.73)</f>
        <v>57.73</v>
      </c>
      <c r="E1096" s="1">
        <f ca="1">IFERROR(__xludf.DUMMYFUNCTION("""COMPUTED_VALUE"""),58.4)</f>
        <v>58.4</v>
      </c>
      <c r="F1096" s="1">
        <f ca="1">IFERROR(__xludf.DUMMYFUNCTION("""COMPUTED_VALUE"""),1477752)</f>
        <v>1477752</v>
      </c>
    </row>
    <row r="1097" spans="1:6" x14ac:dyDescent="0.35">
      <c r="A1097" s="2">
        <f ca="1">IFERROR(__xludf.DUMMYFUNCTION("""COMPUTED_VALUE"""),43595.6666666666)</f>
        <v>43595.666666666599</v>
      </c>
      <c r="B1097" s="1">
        <f ca="1">IFERROR(__xludf.DUMMYFUNCTION("""COMPUTED_VALUE"""),58.44)</f>
        <v>58.44</v>
      </c>
      <c r="C1097" s="1">
        <f ca="1">IFERROR(__xludf.DUMMYFUNCTION("""COMPUTED_VALUE"""),58.81)</f>
        <v>58.81</v>
      </c>
      <c r="D1097" s="1">
        <f ca="1">IFERROR(__xludf.DUMMYFUNCTION("""COMPUTED_VALUE"""),57.32)</f>
        <v>57.32</v>
      </c>
      <c r="E1097" s="1">
        <f ca="1">IFERROR(__xludf.DUMMYFUNCTION("""COMPUTED_VALUE"""),58.38)</f>
        <v>58.38</v>
      </c>
      <c r="F1097" s="1">
        <f ca="1">IFERROR(__xludf.DUMMYFUNCTION("""COMPUTED_VALUE"""),1582460)</f>
        <v>1582460</v>
      </c>
    </row>
    <row r="1098" spans="1:6" x14ac:dyDescent="0.35">
      <c r="A1098" s="2">
        <f ca="1">IFERROR(__xludf.DUMMYFUNCTION("""COMPUTED_VALUE"""),43598.6666666666)</f>
        <v>43598.666666666599</v>
      </c>
      <c r="B1098" s="1">
        <f ca="1">IFERROR(__xludf.DUMMYFUNCTION("""COMPUTED_VALUE"""),57.26)</f>
        <v>57.26</v>
      </c>
      <c r="C1098" s="1">
        <f ca="1">IFERROR(__xludf.DUMMYFUNCTION("""COMPUTED_VALUE"""),57.6)</f>
        <v>57.6</v>
      </c>
      <c r="D1098" s="1">
        <f ca="1">IFERROR(__xludf.DUMMYFUNCTION("""COMPUTED_VALUE"""),56.28)</f>
        <v>56.28</v>
      </c>
      <c r="E1098" s="1">
        <f ca="1">IFERROR(__xludf.DUMMYFUNCTION("""COMPUTED_VALUE"""),56.83)</f>
        <v>56.83</v>
      </c>
      <c r="F1098" s="1">
        <f ca="1">IFERROR(__xludf.DUMMYFUNCTION("""COMPUTED_VALUE"""),2281686)</f>
        <v>2281686</v>
      </c>
    </row>
    <row r="1099" spans="1:6" x14ac:dyDescent="0.35">
      <c r="A1099" s="2">
        <f ca="1">IFERROR(__xludf.DUMMYFUNCTION("""COMPUTED_VALUE"""),43599.6666666666)</f>
        <v>43599.666666666599</v>
      </c>
      <c r="B1099" s="1">
        <f ca="1">IFERROR(__xludf.DUMMYFUNCTION("""COMPUTED_VALUE"""),57.12)</f>
        <v>57.12</v>
      </c>
      <c r="C1099" s="1">
        <f ca="1">IFERROR(__xludf.DUMMYFUNCTION("""COMPUTED_VALUE"""),57.24)</f>
        <v>57.24</v>
      </c>
      <c r="D1099" s="1">
        <f ca="1">IFERROR(__xludf.DUMMYFUNCTION("""COMPUTED_VALUE"""),56.18)</f>
        <v>56.18</v>
      </c>
      <c r="E1099" s="1">
        <f ca="1">IFERROR(__xludf.DUMMYFUNCTION("""COMPUTED_VALUE"""),56.24)</f>
        <v>56.24</v>
      </c>
      <c r="F1099" s="1">
        <f ca="1">IFERROR(__xludf.DUMMYFUNCTION("""COMPUTED_VALUE"""),2019550)</f>
        <v>2019550</v>
      </c>
    </row>
    <row r="1100" spans="1:6" x14ac:dyDescent="0.35">
      <c r="A1100" s="2">
        <f ca="1">IFERROR(__xludf.DUMMYFUNCTION("""COMPUTED_VALUE"""),43600.6666666666)</f>
        <v>43600.666666666599</v>
      </c>
      <c r="B1100" s="1">
        <f ca="1">IFERROR(__xludf.DUMMYFUNCTION("""COMPUTED_VALUE"""),56.13)</f>
        <v>56.13</v>
      </c>
      <c r="C1100" s="1">
        <f ca="1">IFERROR(__xludf.DUMMYFUNCTION("""COMPUTED_VALUE"""),58.92)</f>
        <v>58.92</v>
      </c>
      <c r="D1100" s="1">
        <f ca="1">IFERROR(__xludf.DUMMYFUNCTION("""COMPUTED_VALUE"""),56.07)</f>
        <v>56.07</v>
      </c>
      <c r="E1100" s="1">
        <f ca="1">IFERROR(__xludf.DUMMYFUNCTION("""COMPUTED_VALUE"""),58.54)</f>
        <v>58.54</v>
      </c>
      <c r="F1100" s="1">
        <f ca="1">IFERROR(__xludf.DUMMYFUNCTION("""COMPUTED_VALUE"""),2965117)</f>
        <v>2965117</v>
      </c>
    </row>
    <row r="1101" spans="1:6" x14ac:dyDescent="0.35">
      <c r="A1101" s="2">
        <f ca="1">IFERROR(__xludf.DUMMYFUNCTION("""COMPUTED_VALUE"""),43601.6666666666)</f>
        <v>43601.666666666599</v>
      </c>
      <c r="B1101" s="1">
        <f ca="1">IFERROR(__xludf.DUMMYFUNCTION("""COMPUTED_VALUE"""),58.59)</f>
        <v>58.59</v>
      </c>
      <c r="C1101" s="1">
        <f ca="1">IFERROR(__xludf.DUMMYFUNCTION("""COMPUTED_VALUE"""),59.71)</f>
        <v>59.71</v>
      </c>
      <c r="D1101" s="1">
        <f ca="1">IFERROR(__xludf.DUMMYFUNCTION("""COMPUTED_VALUE"""),58.42)</f>
        <v>58.42</v>
      </c>
      <c r="E1101" s="1">
        <f ca="1">IFERROR(__xludf.DUMMYFUNCTION("""COMPUTED_VALUE"""),59.23)</f>
        <v>59.23</v>
      </c>
      <c r="F1101" s="1">
        <f ca="1">IFERROR(__xludf.DUMMYFUNCTION("""COMPUTED_VALUE"""),1765388)</f>
        <v>1765388</v>
      </c>
    </row>
    <row r="1102" spans="1:6" x14ac:dyDescent="0.35">
      <c r="A1102" s="2">
        <f ca="1">IFERROR(__xludf.DUMMYFUNCTION("""COMPUTED_VALUE"""),43602.6666666666)</f>
        <v>43602.666666666599</v>
      </c>
      <c r="B1102" s="1">
        <f ca="1">IFERROR(__xludf.DUMMYFUNCTION("""COMPUTED_VALUE"""),58.79)</f>
        <v>58.79</v>
      </c>
      <c r="C1102" s="1">
        <f ca="1">IFERROR(__xludf.DUMMYFUNCTION("""COMPUTED_VALUE"""),59.31)</f>
        <v>59.31</v>
      </c>
      <c r="D1102" s="1">
        <f ca="1">IFERROR(__xludf.DUMMYFUNCTION("""COMPUTED_VALUE"""),58.32)</f>
        <v>58.32</v>
      </c>
      <c r="E1102" s="1">
        <f ca="1">IFERROR(__xludf.DUMMYFUNCTION("""COMPUTED_VALUE"""),58.44)</f>
        <v>58.44</v>
      </c>
      <c r="F1102" s="1">
        <f ca="1">IFERROR(__xludf.DUMMYFUNCTION("""COMPUTED_VALUE"""),1268050)</f>
        <v>1268050</v>
      </c>
    </row>
    <row r="1103" spans="1:6" x14ac:dyDescent="0.35">
      <c r="A1103" s="2">
        <f ca="1">IFERROR(__xludf.DUMMYFUNCTION("""COMPUTED_VALUE"""),43605.6666666666)</f>
        <v>43605.666666666599</v>
      </c>
      <c r="B1103" s="1">
        <f ca="1">IFERROR(__xludf.DUMMYFUNCTION("""COMPUTED_VALUE"""),57.65)</f>
        <v>57.65</v>
      </c>
      <c r="C1103" s="1">
        <f ca="1">IFERROR(__xludf.DUMMYFUNCTION("""COMPUTED_VALUE"""),57.65)</f>
        <v>57.65</v>
      </c>
      <c r="D1103" s="1">
        <f ca="1">IFERROR(__xludf.DUMMYFUNCTION("""COMPUTED_VALUE"""),56.91)</f>
        <v>56.91</v>
      </c>
      <c r="E1103" s="1">
        <f ca="1">IFERROR(__xludf.DUMMYFUNCTION("""COMPUTED_VALUE"""),57.23)</f>
        <v>57.23</v>
      </c>
      <c r="F1103" s="1">
        <f ca="1">IFERROR(__xludf.DUMMYFUNCTION("""COMPUTED_VALUE"""),1530126)</f>
        <v>1530126</v>
      </c>
    </row>
    <row r="1104" spans="1:6" x14ac:dyDescent="0.35">
      <c r="A1104" s="2">
        <f ca="1">IFERROR(__xludf.DUMMYFUNCTION("""COMPUTED_VALUE"""),43606.6666666666)</f>
        <v>43606.666666666599</v>
      </c>
      <c r="B1104" s="1">
        <f ca="1">IFERROR(__xludf.DUMMYFUNCTION("""COMPUTED_VALUE"""),57.72)</f>
        <v>57.72</v>
      </c>
      <c r="C1104" s="1">
        <f ca="1">IFERROR(__xludf.DUMMYFUNCTION("""COMPUTED_VALUE"""),57.9)</f>
        <v>57.9</v>
      </c>
      <c r="D1104" s="1">
        <f ca="1">IFERROR(__xludf.DUMMYFUNCTION("""COMPUTED_VALUE"""),57.17)</f>
        <v>57.17</v>
      </c>
      <c r="E1104" s="1">
        <f ca="1">IFERROR(__xludf.DUMMYFUNCTION("""COMPUTED_VALUE"""),57.72)</f>
        <v>57.72</v>
      </c>
      <c r="F1104" s="1">
        <f ca="1">IFERROR(__xludf.DUMMYFUNCTION("""COMPUTED_VALUE"""),1028248)</f>
        <v>1028248</v>
      </c>
    </row>
    <row r="1105" spans="1:6" x14ac:dyDescent="0.35">
      <c r="A1105" s="2">
        <f ca="1">IFERROR(__xludf.DUMMYFUNCTION("""COMPUTED_VALUE"""),43607.6666666666)</f>
        <v>43607.666666666599</v>
      </c>
      <c r="B1105" s="1">
        <f ca="1">IFERROR(__xludf.DUMMYFUNCTION("""COMPUTED_VALUE"""),57.56)</f>
        <v>57.56</v>
      </c>
      <c r="C1105" s="1">
        <f ca="1">IFERROR(__xludf.DUMMYFUNCTION("""COMPUTED_VALUE"""),58.19)</f>
        <v>58.19</v>
      </c>
      <c r="D1105" s="1">
        <f ca="1">IFERROR(__xludf.DUMMYFUNCTION("""COMPUTED_VALUE"""),57.55)</f>
        <v>57.55</v>
      </c>
      <c r="E1105" s="1">
        <f ca="1">IFERROR(__xludf.DUMMYFUNCTION("""COMPUTED_VALUE"""),57.79)</f>
        <v>57.79</v>
      </c>
      <c r="F1105" s="1">
        <f ca="1">IFERROR(__xludf.DUMMYFUNCTION("""COMPUTED_VALUE"""),941279)</f>
        <v>941279</v>
      </c>
    </row>
    <row r="1106" spans="1:6" x14ac:dyDescent="0.35">
      <c r="A1106" s="2">
        <f ca="1">IFERROR(__xludf.DUMMYFUNCTION("""COMPUTED_VALUE"""),43608.6666666666)</f>
        <v>43608.666666666599</v>
      </c>
      <c r="B1106" s="1">
        <f ca="1">IFERROR(__xludf.DUMMYFUNCTION("""COMPUTED_VALUE"""),57.3)</f>
        <v>57.3</v>
      </c>
      <c r="C1106" s="1">
        <f ca="1">IFERROR(__xludf.DUMMYFUNCTION("""COMPUTED_VALUE"""),57.5)</f>
        <v>57.5</v>
      </c>
      <c r="D1106" s="1">
        <f ca="1">IFERROR(__xludf.DUMMYFUNCTION("""COMPUTED_VALUE"""),56.66)</f>
        <v>56.66</v>
      </c>
      <c r="E1106" s="1">
        <f ca="1">IFERROR(__xludf.DUMMYFUNCTION("""COMPUTED_VALUE"""),57.27)</f>
        <v>57.27</v>
      </c>
      <c r="F1106" s="1">
        <f ca="1">IFERROR(__xludf.DUMMYFUNCTION("""COMPUTED_VALUE"""),1260657)</f>
        <v>1260657</v>
      </c>
    </row>
    <row r="1107" spans="1:6" x14ac:dyDescent="0.35">
      <c r="A1107" s="2">
        <f ca="1">IFERROR(__xludf.DUMMYFUNCTION("""COMPUTED_VALUE"""),43609.6666666666)</f>
        <v>43609.666666666599</v>
      </c>
      <c r="B1107" s="1">
        <f ca="1">IFERROR(__xludf.DUMMYFUNCTION("""COMPUTED_VALUE"""),57.6)</f>
        <v>57.6</v>
      </c>
      <c r="C1107" s="1">
        <f ca="1">IFERROR(__xludf.DUMMYFUNCTION("""COMPUTED_VALUE"""),57.72)</f>
        <v>57.72</v>
      </c>
      <c r="D1107" s="1">
        <f ca="1">IFERROR(__xludf.DUMMYFUNCTION("""COMPUTED_VALUE"""),56.84)</f>
        <v>56.84</v>
      </c>
      <c r="E1107" s="1">
        <f ca="1">IFERROR(__xludf.DUMMYFUNCTION("""COMPUTED_VALUE"""),56.93)</f>
        <v>56.93</v>
      </c>
      <c r="F1107" s="1">
        <f ca="1">IFERROR(__xludf.DUMMYFUNCTION("""COMPUTED_VALUE"""),927651)</f>
        <v>927651</v>
      </c>
    </row>
    <row r="1108" spans="1:6" x14ac:dyDescent="0.35">
      <c r="A1108" s="2">
        <f ca="1">IFERROR(__xludf.DUMMYFUNCTION("""COMPUTED_VALUE"""),43613.6666666666)</f>
        <v>43613.666666666599</v>
      </c>
      <c r="B1108" s="1">
        <f ca="1">IFERROR(__xludf.DUMMYFUNCTION("""COMPUTED_VALUE"""),57.07)</f>
        <v>57.07</v>
      </c>
      <c r="C1108" s="1">
        <f ca="1">IFERROR(__xludf.DUMMYFUNCTION("""COMPUTED_VALUE"""),57.82)</f>
        <v>57.82</v>
      </c>
      <c r="D1108" s="1">
        <f ca="1">IFERROR(__xludf.DUMMYFUNCTION("""COMPUTED_VALUE"""),56.93)</f>
        <v>56.93</v>
      </c>
      <c r="E1108" s="1">
        <f ca="1">IFERROR(__xludf.DUMMYFUNCTION("""COMPUTED_VALUE"""),56.98)</f>
        <v>56.98</v>
      </c>
      <c r="F1108" s="1">
        <f ca="1">IFERROR(__xludf.DUMMYFUNCTION("""COMPUTED_VALUE"""),1047554)</f>
        <v>1047554</v>
      </c>
    </row>
    <row r="1109" spans="1:6" x14ac:dyDescent="0.35">
      <c r="A1109" s="2">
        <f ca="1">IFERROR(__xludf.DUMMYFUNCTION("""COMPUTED_VALUE"""),43614.6666666666)</f>
        <v>43614.666666666599</v>
      </c>
      <c r="B1109" s="1">
        <f ca="1">IFERROR(__xludf.DUMMYFUNCTION("""COMPUTED_VALUE"""),56.64)</f>
        <v>56.64</v>
      </c>
      <c r="C1109" s="1">
        <f ca="1">IFERROR(__xludf.DUMMYFUNCTION("""COMPUTED_VALUE"""),56.75)</f>
        <v>56.75</v>
      </c>
      <c r="D1109" s="1">
        <f ca="1">IFERROR(__xludf.DUMMYFUNCTION("""COMPUTED_VALUE"""),55.6)</f>
        <v>55.6</v>
      </c>
      <c r="E1109" s="1">
        <f ca="1">IFERROR(__xludf.DUMMYFUNCTION("""COMPUTED_VALUE"""),56)</f>
        <v>56</v>
      </c>
      <c r="F1109" s="1">
        <f ca="1">IFERROR(__xludf.DUMMYFUNCTION("""COMPUTED_VALUE"""),1811510)</f>
        <v>1811510</v>
      </c>
    </row>
    <row r="1110" spans="1:6" x14ac:dyDescent="0.35">
      <c r="A1110" s="2">
        <f ca="1">IFERROR(__xludf.DUMMYFUNCTION("""COMPUTED_VALUE"""),43615.6666666666)</f>
        <v>43615.666666666599</v>
      </c>
      <c r="B1110" s="1">
        <f ca="1">IFERROR(__xludf.DUMMYFUNCTION("""COMPUTED_VALUE"""),56.01)</f>
        <v>56.01</v>
      </c>
      <c r="C1110" s="1">
        <f ca="1">IFERROR(__xludf.DUMMYFUNCTION("""COMPUTED_VALUE"""),56.34)</f>
        <v>56.34</v>
      </c>
      <c r="D1110" s="1">
        <f ca="1">IFERROR(__xludf.DUMMYFUNCTION("""COMPUTED_VALUE"""),55.8)</f>
        <v>55.8</v>
      </c>
      <c r="E1110" s="1">
        <f ca="1">IFERROR(__xludf.DUMMYFUNCTION("""COMPUTED_VALUE"""),56.07)</f>
        <v>56.07</v>
      </c>
      <c r="F1110" s="1">
        <f ca="1">IFERROR(__xludf.DUMMYFUNCTION("""COMPUTED_VALUE"""),904419)</f>
        <v>904419</v>
      </c>
    </row>
    <row r="1111" spans="1:6" x14ac:dyDescent="0.35">
      <c r="A1111" s="2">
        <f ca="1">IFERROR(__xludf.DUMMYFUNCTION("""COMPUTED_VALUE"""),43616.6666666666)</f>
        <v>43616.666666666599</v>
      </c>
      <c r="B1111" s="1">
        <f ca="1">IFERROR(__xludf.DUMMYFUNCTION("""COMPUTED_VALUE"""),55.28)</f>
        <v>55.28</v>
      </c>
      <c r="C1111" s="1">
        <f ca="1">IFERROR(__xludf.DUMMYFUNCTION("""COMPUTED_VALUE"""),55.67)</f>
        <v>55.67</v>
      </c>
      <c r="D1111" s="1">
        <f ca="1">IFERROR(__xludf.DUMMYFUNCTION("""COMPUTED_VALUE"""),55.17)</f>
        <v>55.17</v>
      </c>
      <c r="E1111" s="1">
        <f ca="1">IFERROR(__xludf.DUMMYFUNCTION("""COMPUTED_VALUE"""),55.33)</f>
        <v>55.33</v>
      </c>
      <c r="F1111" s="1">
        <f ca="1">IFERROR(__xludf.DUMMYFUNCTION("""COMPUTED_VALUE"""),1579481)</f>
        <v>1579481</v>
      </c>
    </row>
    <row r="1112" spans="1:6" x14ac:dyDescent="0.35">
      <c r="A1112" s="2">
        <f ca="1">IFERROR(__xludf.DUMMYFUNCTION("""COMPUTED_VALUE"""),43619.6666666666)</f>
        <v>43619.666666666599</v>
      </c>
      <c r="B1112" s="1">
        <f ca="1">IFERROR(__xludf.DUMMYFUNCTION("""COMPUTED_VALUE"""),53.35)</f>
        <v>53.35</v>
      </c>
      <c r="C1112" s="1">
        <f ca="1">IFERROR(__xludf.DUMMYFUNCTION("""COMPUTED_VALUE"""),53.35)</f>
        <v>53.35</v>
      </c>
      <c r="D1112" s="1">
        <f ca="1">IFERROR(__xludf.DUMMYFUNCTION("""COMPUTED_VALUE"""),51.35)</f>
        <v>51.35</v>
      </c>
      <c r="E1112" s="1">
        <f ca="1">IFERROR(__xludf.DUMMYFUNCTION("""COMPUTED_VALUE"""),51.94)</f>
        <v>51.94</v>
      </c>
      <c r="F1112" s="1">
        <f ca="1">IFERROR(__xludf.DUMMYFUNCTION("""COMPUTED_VALUE"""),4844480)</f>
        <v>4844480</v>
      </c>
    </row>
    <row r="1113" spans="1:6" x14ac:dyDescent="0.35">
      <c r="A1113" s="2">
        <f ca="1">IFERROR(__xludf.DUMMYFUNCTION("""COMPUTED_VALUE"""),43620.6666666666)</f>
        <v>43620.666666666599</v>
      </c>
      <c r="B1113" s="1">
        <f ca="1">IFERROR(__xludf.DUMMYFUNCTION("""COMPUTED_VALUE"""),52.22)</f>
        <v>52.22</v>
      </c>
      <c r="C1113" s="1">
        <f ca="1">IFERROR(__xludf.DUMMYFUNCTION("""COMPUTED_VALUE"""),52.92)</f>
        <v>52.92</v>
      </c>
      <c r="D1113" s="1">
        <f ca="1">IFERROR(__xludf.DUMMYFUNCTION("""COMPUTED_VALUE"""),51.8)</f>
        <v>51.8</v>
      </c>
      <c r="E1113" s="1">
        <f ca="1">IFERROR(__xludf.DUMMYFUNCTION("""COMPUTED_VALUE"""),52.72)</f>
        <v>52.72</v>
      </c>
      <c r="F1113" s="1">
        <f ca="1">IFERROR(__xludf.DUMMYFUNCTION("""COMPUTED_VALUE"""),3025564)</f>
        <v>3025564</v>
      </c>
    </row>
    <row r="1114" spans="1:6" x14ac:dyDescent="0.35">
      <c r="A1114" s="2">
        <f ca="1">IFERROR(__xludf.DUMMYFUNCTION("""COMPUTED_VALUE"""),43621.6666666666)</f>
        <v>43621.666666666599</v>
      </c>
      <c r="B1114" s="1">
        <f ca="1">IFERROR(__xludf.DUMMYFUNCTION("""COMPUTED_VALUE"""),52.75)</f>
        <v>52.75</v>
      </c>
      <c r="C1114" s="1">
        <f ca="1">IFERROR(__xludf.DUMMYFUNCTION("""COMPUTED_VALUE"""),52.84)</f>
        <v>52.84</v>
      </c>
      <c r="D1114" s="1">
        <f ca="1">IFERROR(__xludf.DUMMYFUNCTION("""COMPUTED_VALUE"""),51.65)</f>
        <v>51.65</v>
      </c>
      <c r="E1114" s="1">
        <f ca="1">IFERROR(__xludf.DUMMYFUNCTION("""COMPUTED_VALUE"""),52.23)</f>
        <v>52.23</v>
      </c>
      <c r="F1114" s="1">
        <f ca="1">IFERROR(__xludf.DUMMYFUNCTION("""COMPUTED_VALUE"""),2349436)</f>
        <v>2349436</v>
      </c>
    </row>
    <row r="1115" spans="1:6" x14ac:dyDescent="0.35">
      <c r="A1115" s="2">
        <f ca="1">IFERROR(__xludf.DUMMYFUNCTION("""COMPUTED_VALUE"""),43622.6666666666)</f>
        <v>43622.666666666599</v>
      </c>
      <c r="B1115" s="1">
        <f ca="1">IFERROR(__xludf.DUMMYFUNCTION("""COMPUTED_VALUE"""),52.31)</f>
        <v>52.31</v>
      </c>
      <c r="C1115" s="1">
        <f ca="1">IFERROR(__xludf.DUMMYFUNCTION("""COMPUTED_VALUE"""),52.5)</f>
        <v>52.5</v>
      </c>
      <c r="D1115" s="1">
        <f ca="1">IFERROR(__xludf.DUMMYFUNCTION("""COMPUTED_VALUE"""),51.78)</f>
        <v>51.78</v>
      </c>
      <c r="E1115" s="1">
        <f ca="1">IFERROR(__xludf.DUMMYFUNCTION("""COMPUTED_VALUE"""),52.39)</f>
        <v>52.39</v>
      </c>
      <c r="F1115" s="1">
        <f ca="1">IFERROR(__xludf.DUMMYFUNCTION("""COMPUTED_VALUE"""),1451026)</f>
        <v>1451026</v>
      </c>
    </row>
    <row r="1116" spans="1:6" x14ac:dyDescent="0.35">
      <c r="A1116" s="2">
        <f ca="1">IFERROR(__xludf.DUMMYFUNCTION("""COMPUTED_VALUE"""),43623.6666666666)</f>
        <v>43623.666666666599</v>
      </c>
      <c r="B1116" s="1">
        <f ca="1">IFERROR(__xludf.DUMMYFUNCTION("""COMPUTED_VALUE"""),52.71)</f>
        <v>52.71</v>
      </c>
      <c r="C1116" s="1">
        <f ca="1">IFERROR(__xludf.DUMMYFUNCTION("""COMPUTED_VALUE"""),53.67)</f>
        <v>53.67</v>
      </c>
      <c r="D1116" s="1">
        <f ca="1">IFERROR(__xludf.DUMMYFUNCTION("""COMPUTED_VALUE"""),52.56)</f>
        <v>52.56</v>
      </c>
      <c r="E1116" s="1">
        <f ca="1">IFERROR(__xludf.DUMMYFUNCTION("""COMPUTED_VALUE"""),53.42)</f>
        <v>53.42</v>
      </c>
      <c r="F1116" s="1">
        <f ca="1">IFERROR(__xludf.DUMMYFUNCTION("""COMPUTED_VALUE"""),2191357)</f>
        <v>2191357</v>
      </c>
    </row>
    <row r="1117" spans="1:6" x14ac:dyDescent="0.35">
      <c r="A1117" s="2">
        <f ca="1">IFERROR(__xludf.DUMMYFUNCTION("""COMPUTED_VALUE"""),43626.6666666666)</f>
        <v>43626.666666666599</v>
      </c>
      <c r="B1117" s="1">
        <f ca="1">IFERROR(__xludf.DUMMYFUNCTION("""COMPUTED_VALUE"""),53.85)</f>
        <v>53.85</v>
      </c>
      <c r="C1117" s="1">
        <f ca="1">IFERROR(__xludf.DUMMYFUNCTION("""COMPUTED_VALUE"""),54.74)</f>
        <v>54.74</v>
      </c>
      <c r="D1117" s="1">
        <f ca="1">IFERROR(__xludf.DUMMYFUNCTION("""COMPUTED_VALUE"""),53.76)</f>
        <v>53.76</v>
      </c>
      <c r="E1117" s="1">
        <f ca="1">IFERROR(__xludf.DUMMYFUNCTION("""COMPUTED_VALUE"""),54.14)</f>
        <v>54.14</v>
      </c>
      <c r="F1117" s="1">
        <f ca="1">IFERROR(__xludf.DUMMYFUNCTION("""COMPUTED_VALUE"""),1425464)</f>
        <v>1425464</v>
      </c>
    </row>
    <row r="1118" spans="1:6" x14ac:dyDescent="0.35">
      <c r="A1118" s="2">
        <f ca="1">IFERROR(__xludf.DUMMYFUNCTION("""COMPUTED_VALUE"""),43627.6666666666)</f>
        <v>43627.666666666599</v>
      </c>
      <c r="B1118" s="1">
        <f ca="1">IFERROR(__xludf.DUMMYFUNCTION("""COMPUTED_VALUE"""),54.85)</f>
        <v>54.85</v>
      </c>
      <c r="C1118" s="1">
        <f ca="1">IFERROR(__xludf.DUMMYFUNCTION("""COMPUTED_VALUE"""),55.2)</f>
        <v>55.2</v>
      </c>
      <c r="D1118" s="1">
        <f ca="1">IFERROR(__xludf.DUMMYFUNCTION("""COMPUTED_VALUE"""),53.98)</f>
        <v>53.98</v>
      </c>
      <c r="E1118" s="1">
        <f ca="1">IFERROR(__xludf.DUMMYFUNCTION("""COMPUTED_VALUE"""),54.05)</f>
        <v>54.05</v>
      </c>
      <c r="F1118" s="1">
        <f ca="1">IFERROR(__xludf.DUMMYFUNCTION("""COMPUTED_VALUE"""),1675817)</f>
        <v>1675817</v>
      </c>
    </row>
    <row r="1119" spans="1:6" x14ac:dyDescent="0.35">
      <c r="A1119" s="2">
        <f ca="1">IFERROR(__xludf.DUMMYFUNCTION("""COMPUTED_VALUE"""),43628.6666666666)</f>
        <v>43628.666666666599</v>
      </c>
      <c r="B1119" s="1">
        <f ca="1">IFERROR(__xludf.DUMMYFUNCTION("""COMPUTED_VALUE"""),54)</f>
        <v>54</v>
      </c>
      <c r="C1119" s="1">
        <f ca="1">IFERROR(__xludf.DUMMYFUNCTION("""COMPUTED_VALUE"""),54.13)</f>
        <v>54.13</v>
      </c>
      <c r="D1119" s="1">
        <f ca="1">IFERROR(__xludf.DUMMYFUNCTION("""COMPUTED_VALUE"""),53.48)</f>
        <v>53.48</v>
      </c>
      <c r="E1119" s="1">
        <f ca="1">IFERROR(__xludf.DUMMYFUNCTION("""COMPUTED_VALUE"""),53.96)</f>
        <v>53.96</v>
      </c>
      <c r="F1119" s="1">
        <f ca="1">IFERROR(__xludf.DUMMYFUNCTION("""COMPUTED_VALUE"""),1183650)</f>
        <v>1183650</v>
      </c>
    </row>
    <row r="1120" spans="1:6" x14ac:dyDescent="0.35">
      <c r="A1120" s="2">
        <f ca="1">IFERROR(__xludf.DUMMYFUNCTION("""COMPUTED_VALUE"""),43629.6666666666)</f>
        <v>43629.666666666599</v>
      </c>
      <c r="B1120" s="1">
        <f ca="1">IFERROR(__xludf.DUMMYFUNCTION("""COMPUTED_VALUE"""),54.24)</f>
        <v>54.24</v>
      </c>
      <c r="C1120" s="1">
        <f ca="1">IFERROR(__xludf.DUMMYFUNCTION("""COMPUTED_VALUE"""),54.83)</f>
        <v>54.83</v>
      </c>
      <c r="D1120" s="1">
        <f ca="1">IFERROR(__xludf.DUMMYFUNCTION("""COMPUTED_VALUE"""),54.13)</f>
        <v>54.13</v>
      </c>
      <c r="E1120" s="1">
        <f ca="1">IFERROR(__xludf.DUMMYFUNCTION("""COMPUTED_VALUE"""),54.55)</f>
        <v>54.55</v>
      </c>
      <c r="F1120" s="1">
        <f ca="1">IFERROR(__xludf.DUMMYFUNCTION("""COMPUTED_VALUE"""),1040661)</f>
        <v>1040661</v>
      </c>
    </row>
    <row r="1121" spans="1:6" x14ac:dyDescent="0.35">
      <c r="A1121" s="2">
        <f ca="1">IFERROR(__xludf.DUMMYFUNCTION("""COMPUTED_VALUE"""),43630.6666666666)</f>
        <v>43630.666666666599</v>
      </c>
      <c r="B1121" s="1">
        <f ca="1">IFERROR(__xludf.DUMMYFUNCTION("""COMPUTED_VALUE"""),54.49)</f>
        <v>54.49</v>
      </c>
      <c r="C1121" s="1">
        <f ca="1">IFERROR(__xludf.DUMMYFUNCTION("""COMPUTED_VALUE"""),54.74)</f>
        <v>54.74</v>
      </c>
      <c r="D1121" s="1">
        <f ca="1">IFERROR(__xludf.DUMMYFUNCTION("""COMPUTED_VALUE"""),54.07)</f>
        <v>54.07</v>
      </c>
      <c r="E1121" s="1">
        <f ca="1">IFERROR(__xludf.DUMMYFUNCTION("""COMPUTED_VALUE"""),54.32)</f>
        <v>54.32</v>
      </c>
      <c r="F1121" s="1">
        <f ca="1">IFERROR(__xludf.DUMMYFUNCTION("""COMPUTED_VALUE"""),1229304)</f>
        <v>1229304</v>
      </c>
    </row>
    <row r="1122" spans="1:6" x14ac:dyDescent="0.35">
      <c r="A1122" s="2">
        <f ca="1">IFERROR(__xludf.DUMMYFUNCTION("""COMPUTED_VALUE"""),43633.6666666666)</f>
        <v>43633.666666666599</v>
      </c>
      <c r="B1122" s="1">
        <f ca="1">IFERROR(__xludf.DUMMYFUNCTION("""COMPUTED_VALUE"""),54.46)</f>
        <v>54.46</v>
      </c>
      <c r="C1122" s="1">
        <f ca="1">IFERROR(__xludf.DUMMYFUNCTION("""COMPUTED_VALUE"""),55.06)</f>
        <v>55.06</v>
      </c>
      <c r="D1122" s="1">
        <f ca="1">IFERROR(__xludf.DUMMYFUNCTION("""COMPUTED_VALUE"""),54.4)</f>
        <v>54.4</v>
      </c>
      <c r="E1122" s="1">
        <f ca="1">IFERROR(__xludf.DUMMYFUNCTION("""COMPUTED_VALUE"""),54.69)</f>
        <v>54.69</v>
      </c>
      <c r="F1122" s="1">
        <f ca="1">IFERROR(__xludf.DUMMYFUNCTION("""COMPUTED_VALUE"""),988491)</f>
        <v>988491</v>
      </c>
    </row>
    <row r="1123" spans="1:6" x14ac:dyDescent="0.35">
      <c r="A1123" s="2">
        <f ca="1">IFERROR(__xludf.DUMMYFUNCTION("""COMPUTED_VALUE"""),43634.6666666666)</f>
        <v>43634.666666666599</v>
      </c>
      <c r="B1123" s="1">
        <f ca="1">IFERROR(__xludf.DUMMYFUNCTION("""COMPUTED_VALUE"""),55.58)</f>
        <v>55.58</v>
      </c>
      <c r="C1123" s="1">
        <f ca="1">IFERROR(__xludf.DUMMYFUNCTION("""COMPUTED_VALUE"""),55.94)</f>
        <v>55.94</v>
      </c>
      <c r="D1123" s="1">
        <f ca="1">IFERROR(__xludf.DUMMYFUNCTION("""COMPUTED_VALUE"""),55.04)</f>
        <v>55.04</v>
      </c>
      <c r="E1123" s="1">
        <f ca="1">IFERROR(__xludf.DUMMYFUNCTION("""COMPUTED_VALUE"""),55.26)</f>
        <v>55.26</v>
      </c>
      <c r="F1123" s="1">
        <f ca="1">IFERROR(__xludf.DUMMYFUNCTION("""COMPUTED_VALUE"""),1726312)</f>
        <v>1726312</v>
      </c>
    </row>
    <row r="1124" spans="1:6" x14ac:dyDescent="0.35">
      <c r="A1124" s="2">
        <f ca="1">IFERROR(__xludf.DUMMYFUNCTION("""COMPUTED_VALUE"""),43635.6666666666)</f>
        <v>43635.666666666599</v>
      </c>
      <c r="B1124" s="1">
        <f ca="1">IFERROR(__xludf.DUMMYFUNCTION("""COMPUTED_VALUE"""),55.36)</f>
        <v>55.36</v>
      </c>
      <c r="C1124" s="1">
        <f ca="1">IFERROR(__xludf.DUMMYFUNCTION("""COMPUTED_VALUE"""),55.47)</f>
        <v>55.47</v>
      </c>
      <c r="D1124" s="1">
        <f ca="1">IFERROR(__xludf.DUMMYFUNCTION("""COMPUTED_VALUE"""),54.8)</f>
        <v>54.8</v>
      </c>
      <c r="E1124" s="1">
        <f ca="1">IFERROR(__xludf.DUMMYFUNCTION("""COMPUTED_VALUE"""),55.23)</f>
        <v>55.23</v>
      </c>
      <c r="F1124" s="1">
        <f ca="1">IFERROR(__xludf.DUMMYFUNCTION("""COMPUTED_VALUE"""),1336015)</f>
        <v>1336015</v>
      </c>
    </row>
    <row r="1125" spans="1:6" x14ac:dyDescent="0.35">
      <c r="A1125" s="2">
        <f ca="1">IFERROR(__xludf.DUMMYFUNCTION("""COMPUTED_VALUE"""),43636.6666666666)</f>
        <v>43636.666666666599</v>
      </c>
      <c r="B1125" s="1">
        <f ca="1">IFERROR(__xludf.DUMMYFUNCTION("""COMPUTED_VALUE"""),56.09)</f>
        <v>56.09</v>
      </c>
      <c r="C1125" s="1">
        <f ca="1">IFERROR(__xludf.DUMMYFUNCTION("""COMPUTED_VALUE"""),56.14)</f>
        <v>56.14</v>
      </c>
      <c r="D1125" s="1">
        <f ca="1">IFERROR(__xludf.DUMMYFUNCTION("""COMPUTED_VALUE"""),55.35)</f>
        <v>55.35</v>
      </c>
      <c r="E1125" s="1">
        <f ca="1">IFERROR(__xludf.DUMMYFUNCTION("""COMPUTED_VALUE"""),55.66)</f>
        <v>55.66</v>
      </c>
      <c r="F1125" s="1">
        <f ca="1">IFERROR(__xludf.DUMMYFUNCTION("""COMPUTED_VALUE"""),1200908)</f>
        <v>1200908</v>
      </c>
    </row>
    <row r="1126" spans="1:6" x14ac:dyDescent="0.35">
      <c r="A1126" s="2">
        <f ca="1">IFERROR(__xludf.DUMMYFUNCTION("""COMPUTED_VALUE"""),43637.6666666666)</f>
        <v>43637.666666666599</v>
      </c>
      <c r="B1126" s="1">
        <f ca="1">IFERROR(__xludf.DUMMYFUNCTION("""COMPUTED_VALUE"""),55.49)</f>
        <v>55.49</v>
      </c>
      <c r="C1126" s="1">
        <f ca="1">IFERROR(__xludf.DUMMYFUNCTION("""COMPUTED_VALUE"""),56.33)</f>
        <v>56.33</v>
      </c>
      <c r="D1126" s="1">
        <f ca="1">IFERROR(__xludf.DUMMYFUNCTION("""COMPUTED_VALUE"""),55.49)</f>
        <v>55.49</v>
      </c>
      <c r="E1126" s="1">
        <f ca="1">IFERROR(__xludf.DUMMYFUNCTION("""COMPUTED_VALUE"""),56.27)</f>
        <v>56.27</v>
      </c>
      <c r="F1126" s="1">
        <f ca="1">IFERROR(__xludf.DUMMYFUNCTION("""COMPUTED_VALUE"""),2538872)</f>
        <v>2538872</v>
      </c>
    </row>
    <row r="1127" spans="1:6" x14ac:dyDescent="0.35">
      <c r="A1127" s="2">
        <f ca="1">IFERROR(__xludf.DUMMYFUNCTION("""COMPUTED_VALUE"""),43640.6666666666)</f>
        <v>43640.666666666599</v>
      </c>
      <c r="B1127" s="1">
        <f ca="1">IFERROR(__xludf.DUMMYFUNCTION("""COMPUTED_VALUE"""),56)</f>
        <v>56</v>
      </c>
      <c r="C1127" s="1">
        <f ca="1">IFERROR(__xludf.DUMMYFUNCTION("""COMPUTED_VALUE"""),56.18)</f>
        <v>56.18</v>
      </c>
      <c r="D1127" s="1">
        <f ca="1">IFERROR(__xludf.DUMMYFUNCTION("""COMPUTED_VALUE"""),55.67)</f>
        <v>55.67</v>
      </c>
      <c r="E1127" s="1">
        <f ca="1">IFERROR(__xludf.DUMMYFUNCTION("""COMPUTED_VALUE"""),55.84)</f>
        <v>55.84</v>
      </c>
      <c r="F1127" s="1">
        <f ca="1">IFERROR(__xludf.DUMMYFUNCTION("""COMPUTED_VALUE"""),1211893)</f>
        <v>1211893</v>
      </c>
    </row>
    <row r="1128" spans="1:6" x14ac:dyDescent="0.35">
      <c r="A1128" s="2">
        <f ca="1">IFERROR(__xludf.DUMMYFUNCTION("""COMPUTED_VALUE"""),43641.6666666666)</f>
        <v>43641.666666666599</v>
      </c>
      <c r="B1128" s="1">
        <f ca="1">IFERROR(__xludf.DUMMYFUNCTION("""COMPUTED_VALUE"""),55.75)</f>
        <v>55.75</v>
      </c>
      <c r="C1128" s="1">
        <f ca="1">IFERROR(__xludf.DUMMYFUNCTION("""COMPUTED_VALUE"""),55.79)</f>
        <v>55.79</v>
      </c>
      <c r="D1128" s="1">
        <f ca="1">IFERROR(__xludf.DUMMYFUNCTION("""COMPUTED_VALUE"""),54.23)</f>
        <v>54.23</v>
      </c>
      <c r="E1128" s="1">
        <f ca="1">IFERROR(__xludf.DUMMYFUNCTION("""COMPUTED_VALUE"""),54.38)</f>
        <v>54.38</v>
      </c>
      <c r="F1128" s="1">
        <f ca="1">IFERROR(__xludf.DUMMYFUNCTION("""COMPUTED_VALUE"""),1582217)</f>
        <v>1582217</v>
      </c>
    </row>
    <row r="1129" spans="1:6" x14ac:dyDescent="0.35">
      <c r="A1129" s="2">
        <f ca="1">IFERROR(__xludf.DUMMYFUNCTION("""COMPUTED_VALUE"""),43642.6666666666)</f>
        <v>43642.666666666599</v>
      </c>
      <c r="B1129" s="1">
        <f ca="1">IFERROR(__xludf.DUMMYFUNCTION("""COMPUTED_VALUE"""),54.55)</f>
        <v>54.55</v>
      </c>
      <c r="C1129" s="1">
        <f ca="1">IFERROR(__xludf.DUMMYFUNCTION("""COMPUTED_VALUE"""),54.76)</f>
        <v>54.76</v>
      </c>
      <c r="D1129" s="1">
        <f ca="1">IFERROR(__xludf.DUMMYFUNCTION("""COMPUTED_VALUE"""),53.68)</f>
        <v>53.68</v>
      </c>
      <c r="E1129" s="1">
        <f ca="1">IFERROR(__xludf.DUMMYFUNCTION("""COMPUTED_VALUE"""),54.02)</f>
        <v>54.02</v>
      </c>
      <c r="F1129" s="1">
        <f ca="1">IFERROR(__xludf.DUMMYFUNCTION("""COMPUTED_VALUE"""),1734873)</f>
        <v>1734873</v>
      </c>
    </row>
    <row r="1130" spans="1:6" x14ac:dyDescent="0.35">
      <c r="A1130" s="2">
        <f ca="1">IFERROR(__xludf.DUMMYFUNCTION("""COMPUTED_VALUE"""),43643.6666666666)</f>
        <v>43643.666666666599</v>
      </c>
      <c r="B1130" s="1">
        <f ca="1">IFERROR(__xludf.DUMMYFUNCTION("""COMPUTED_VALUE"""),54.34)</f>
        <v>54.34</v>
      </c>
      <c r="C1130" s="1">
        <f ca="1">IFERROR(__xludf.DUMMYFUNCTION("""COMPUTED_VALUE"""),54.42)</f>
        <v>54.42</v>
      </c>
      <c r="D1130" s="1">
        <f ca="1">IFERROR(__xludf.DUMMYFUNCTION("""COMPUTED_VALUE"""),53.79)</f>
        <v>53.79</v>
      </c>
      <c r="E1130" s="1">
        <f ca="1">IFERROR(__xludf.DUMMYFUNCTION("""COMPUTED_VALUE"""),53.83)</f>
        <v>53.83</v>
      </c>
      <c r="F1130" s="1">
        <f ca="1">IFERROR(__xludf.DUMMYFUNCTION("""COMPUTED_VALUE"""),1203914)</f>
        <v>1203914</v>
      </c>
    </row>
    <row r="1131" spans="1:6" x14ac:dyDescent="0.35">
      <c r="A1131" s="2">
        <f ca="1">IFERROR(__xludf.DUMMYFUNCTION("""COMPUTED_VALUE"""),43644.6666666666)</f>
        <v>43644.666666666599</v>
      </c>
      <c r="B1131" s="1">
        <f ca="1">IFERROR(__xludf.DUMMYFUNCTION("""COMPUTED_VALUE"""),53.86)</f>
        <v>53.86</v>
      </c>
      <c r="C1131" s="1">
        <f ca="1">IFERROR(__xludf.DUMMYFUNCTION("""COMPUTED_VALUE"""),54.14)</f>
        <v>54.14</v>
      </c>
      <c r="D1131" s="1">
        <f ca="1">IFERROR(__xludf.DUMMYFUNCTION("""COMPUTED_VALUE"""),53.69)</f>
        <v>53.69</v>
      </c>
      <c r="E1131" s="1">
        <f ca="1">IFERROR(__xludf.DUMMYFUNCTION("""COMPUTED_VALUE"""),54.14)</f>
        <v>54.14</v>
      </c>
      <c r="F1131" s="1">
        <f ca="1">IFERROR(__xludf.DUMMYFUNCTION("""COMPUTED_VALUE"""),1683568)</f>
        <v>1683568</v>
      </c>
    </row>
    <row r="1132" spans="1:6" x14ac:dyDescent="0.35">
      <c r="A1132" s="2">
        <f ca="1">IFERROR(__xludf.DUMMYFUNCTION("""COMPUTED_VALUE"""),43647.6666666666)</f>
        <v>43647.666666666599</v>
      </c>
      <c r="B1132" s="1">
        <f ca="1">IFERROR(__xludf.DUMMYFUNCTION("""COMPUTED_VALUE"""),55.05)</f>
        <v>55.05</v>
      </c>
      <c r="C1132" s="1">
        <f ca="1">IFERROR(__xludf.DUMMYFUNCTION("""COMPUTED_VALUE"""),55.43)</f>
        <v>55.43</v>
      </c>
      <c r="D1132" s="1">
        <f ca="1">IFERROR(__xludf.DUMMYFUNCTION("""COMPUTED_VALUE"""),54.77)</f>
        <v>54.77</v>
      </c>
      <c r="E1132" s="1">
        <f ca="1">IFERROR(__xludf.DUMMYFUNCTION("""COMPUTED_VALUE"""),55)</f>
        <v>55</v>
      </c>
      <c r="F1132" s="1">
        <f ca="1">IFERROR(__xludf.DUMMYFUNCTION("""COMPUTED_VALUE"""),1464449)</f>
        <v>1464449</v>
      </c>
    </row>
    <row r="1133" spans="1:6" x14ac:dyDescent="0.35">
      <c r="A1133" s="2">
        <f ca="1">IFERROR(__xludf.DUMMYFUNCTION("""COMPUTED_VALUE"""),43648.6666666666)</f>
        <v>43648.666666666599</v>
      </c>
      <c r="B1133" s="1">
        <f ca="1">IFERROR(__xludf.DUMMYFUNCTION("""COMPUTED_VALUE"""),55.24)</f>
        <v>55.24</v>
      </c>
      <c r="C1133" s="1">
        <f ca="1">IFERROR(__xludf.DUMMYFUNCTION("""COMPUTED_VALUE"""),55.64)</f>
        <v>55.64</v>
      </c>
      <c r="D1133" s="1">
        <f ca="1">IFERROR(__xludf.DUMMYFUNCTION("""COMPUTED_VALUE"""),54.98)</f>
        <v>54.98</v>
      </c>
      <c r="E1133" s="1">
        <f ca="1">IFERROR(__xludf.DUMMYFUNCTION("""COMPUTED_VALUE"""),55.63)</f>
        <v>55.63</v>
      </c>
      <c r="F1133" s="1">
        <f ca="1">IFERROR(__xludf.DUMMYFUNCTION("""COMPUTED_VALUE"""),1031919)</f>
        <v>1031919</v>
      </c>
    </row>
    <row r="1134" spans="1:6" x14ac:dyDescent="0.35">
      <c r="A1134" s="2">
        <f ca="1">IFERROR(__xludf.DUMMYFUNCTION("""COMPUTED_VALUE"""),43649.5416666666)</f>
        <v>43649.541666666599</v>
      </c>
      <c r="B1134" s="1">
        <f ca="1">IFERROR(__xludf.DUMMYFUNCTION("""COMPUTED_VALUE"""),55.93)</f>
        <v>55.93</v>
      </c>
      <c r="C1134" s="1">
        <f ca="1">IFERROR(__xludf.DUMMYFUNCTION("""COMPUTED_VALUE"""),56.4)</f>
        <v>56.4</v>
      </c>
      <c r="D1134" s="1">
        <f ca="1">IFERROR(__xludf.DUMMYFUNCTION("""COMPUTED_VALUE"""),55.74)</f>
        <v>55.74</v>
      </c>
      <c r="E1134" s="1">
        <f ca="1">IFERROR(__xludf.DUMMYFUNCTION("""COMPUTED_VALUE"""),56.15)</f>
        <v>56.15</v>
      </c>
      <c r="F1134" s="1">
        <f ca="1">IFERROR(__xludf.DUMMYFUNCTION("""COMPUTED_VALUE"""),1007718)</f>
        <v>1007718</v>
      </c>
    </row>
    <row r="1135" spans="1:6" x14ac:dyDescent="0.35">
      <c r="A1135" s="2">
        <f ca="1">IFERROR(__xludf.DUMMYFUNCTION("""COMPUTED_VALUE"""),43651.6666666666)</f>
        <v>43651.666666666599</v>
      </c>
      <c r="B1135" s="1">
        <f ca="1">IFERROR(__xludf.DUMMYFUNCTION("""COMPUTED_VALUE"""),55.97)</f>
        <v>55.97</v>
      </c>
      <c r="C1135" s="1">
        <f ca="1">IFERROR(__xludf.DUMMYFUNCTION("""COMPUTED_VALUE"""),56.73)</f>
        <v>56.73</v>
      </c>
      <c r="D1135" s="1">
        <f ca="1">IFERROR(__xludf.DUMMYFUNCTION("""COMPUTED_VALUE"""),55.88)</f>
        <v>55.88</v>
      </c>
      <c r="E1135" s="1">
        <f ca="1">IFERROR(__xludf.DUMMYFUNCTION("""COMPUTED_VALUE"""),56.63)</f>
        <v>56.63</v>
      </c>
      <c r="F1135" s="1">
        <f ca="1">IFERROR(__xludf.DUMMYFUNCTION("""COMPUTED_VALUE"""),1489678)</f>
        <v>1489678</v>
      </c>
    </row>
    <row r="1136" spans="1:6" x14ac:dyDescent="0.35">
      <c r="A1136" s="2">
        <f ca="1">IFERROR(__xludf.DUMMYFUNCTION("""COMPUTED_VALUE"""),43654.6666666666)</f>
        <v>43654.666666666599</v>
      </c>
      <c r="B1136" s="1">
        <f ca="1">IFERROR(__xludf.DUMMYFUNCTION("""COMPUTED_VALUE"""),56.29)</f>
        <v>56.29</v>
      </c>
      <c r="C1136" s="1">
        <f ca="1">IFERROR(__xludf.DUMMYFUNCTION("""COMPUTED_VALUE"""),56.36)</f>
        <v>56.36</v>
      </c>
      <c r="D1136" s="1">
        <f ca="1">IFERROR(__xludf.DUMMYFUNCTION("""COMPUTED_VALUE"""),55.59)</f>
        <v>55.59</v>
      </c>
      <c r="E1136" s="1">
        <f ca="1">IFERROR(__xludf.DUMMYFUNCTION("""COMPUTED_VALUE"""),55.84)</f>
        <v>55.84</v>
      </c>
      <c r="F1136" s="1">
        <f ca="1">IFERROR(__xludf.DUMMYFUNCTION("""COMPUTED_VALUE"""),1494371)</f>
        <v>1494371</v>
      </c>
    </row>
    <row r="1137" spans="1:6" x14ac:dyDescent="0.35">
      <c r="A1137" s="2">
        <f ca="1">IFERROR(__xludf.DUMMYFUNCTION("""COMPUTED_VALUE"""),43655.6666666666)</f>
        <v>43655.666666666599</v>
      </c>
      <c r="B1137" s="1">
        <f ca="1">IFERROR(__xludf.DUMMYFUNCTION("""COMPUTED_VALUE"""),55.52)</f>
        <v>55.52</v>
      </c>
      <c r="C1137" s="1">
        <f ca="1">IFERROR(__xludf.DUMMYFUNCTION("""COMPUTED_VALUE"""),56.39)</f>
        <v>56.39</v>
      </c>
      <c r="D1137" s="1">
        <f ca="1">IFERROR(__xludf.DUMMYFUNCTION("""COMPUTED_VALUE"""),55.36)</f>
        <v>55.36</v>
      </c>
      <c r="E1137" s="1">
        <f ca="1">IFERROR(__xludf.DUMMYFUNCTION("""COMPUTED_VALUE"""),56.21)</f>
        <v>56.21</v>
      </c>
      <c r="F1137" s="1">
        <f ca="1">IFERROR(__xludf.DUMMYFUNCTION("""COMPUTED_VALUE"""),1473622)</f>
        <v>1473622</v>
      </c>
    </row>
    <row r="1138" spans="1:6" x14ac:dyDescent="0.35">
      <c r="A1138" s="2">
        <f ca="1">IFERROR(__xludf.DUMMYFUNCTION("""COMPUTED_VALUE"""),43656.6666666666)</f>
        <v>43656.666666666599</v>
      </c>
      <c r="B1138" s="1">
        <f ca="1">IFERROR(__xludf.DUMMYFUNCTION("""COMPUTED_VALUE"""),56.62)</f>
        <v>56.62</v>
      </c>
      <c r="C1138" s="1">
        <f ca="1">IFERROR(__xludf.DUMMYFUNCTION("""COMPUTED_VALUE"""),57.12)</f>
        <v>57.12</v>
      </c>
      <c r="D1138" s="1">
        <f ca="1">IFERROR(__xludf.DUMMYFUNCTION("""COMPUTED_VALUE"""),56.53)</f>
        <v>56.53</v>
      </c>
      <c r="E1138" s="1">
        <f ca="1">IFERROR(__xludf.DUMMYFUNCTION("""COMPUTED_VALUE"""),57.05)</f>
        <v>57.05</v>
      </c>
      <c r="F1138" s="1">
        <f ca="1">IFERROR(__xludf.DUMMYFUNCTION("""COMPUTED_VALUE"""),1535546)</f>
        <v>1535546</v>
      </c>
    </row>
    <row r="1139" spans="1:6" x14ac:dyDescent="0.35">
      <c r="A1139" s="2">
        <f ca="1">IFERROR(__xludf.DUMMYFUNCTION("""COMPUTED_VALUE"""),43657.6666666666)</f>
        <v>43657.666666666599</v>
      </c>
      <c r="B1139" s="1">
        <f ca="1">IFERROR(__xludf.DUMMYFUNCTION("""COMPUTED_VALUE"""),57.31)</f>
        <v>57.31</v>
      </c>
      <c r="C1139" s="1">
        <f ca="1">IFERROR(__xludf.DUMMYFUNCTION("""COMPUTED_VALUE"""),57.66)</f>
        <v>57.66</v>
      </c>
      <c r="D1139" s="1">
        <f ca="1">IFERROR(__xludf.DUMMYFUNCTION("""COMPUTED_VALUE"""),56.98)</f>
        <v>56.98</v>
      </c>
      <c r="E1139" s="1">
        <f ca="1">IFERROR(__xludf.DUMMYFUNCTION("""COMPUTED_VALUE"""),57.2)</f>
        <v>57.2</v>
      </c>
      <c r="F1139" s="1">
        <f ca="1">IFERROR(__xludf.DUMMYFUNCTION("""COMPUTED_VALUE"""),1300529)</f>
        <v>1300529</v>
      </c>
    </row>
    <row r="1140" spans="1:6" x14ac:dyDescent="0.35">
      <c r="A1140" s="2">
        <f ca="1">IFERROR(__xludf.DUMMYFUNCTION("""COMPUTED_VALUE"""),43658.6666666666)</f>
        <v>43658.666666666599</v>
      </c>
      <c r="B1140" s="1">
        <f ca="1">IFERROR(__xludf.DUMMYFUNCTION("""COMPUTED_VALUE"""),57.15)</f>
        <v>57.15</v>
      </c>
      <c r="C1140" s="1">
        <f ca="1">IFERROR(__xludf.DUMMYFUNCTION("""COMPUTED_VALUE"""),57.38)</f>
        <v>57.38</v>
      </c>
      <c r="D1140" s="1">
        <f ca="1">IFERROR(__xludf.DUMMYFUNCTION("""COMPUTED_VALUE"""),56.93)</f>
        <v>56.93</v>
      </c>
      <c r="E1140" s="1">
        <f ca="1">IFERROR(__xludf.DUMMYFUNCTION("""COMPUTED_VALUE"""),57.27)</f>
        <v>57.27</v>
      </c>
      <c r="F1140" s="1">
        <f ca="1">IFERROR(__xludf.DUMMYFUNCTION("""COMPUTED_VALUE"""),1093933)</f>
        <v>1093933</v>
      </c>
    </row>
    <row r="1141" spans="1:6" x14ac:dyDescent="0.35">
      <c r="A1141" s="2">
        <f ca="1">IFERROR(__xludf.DUMMYFUNCTION("""COMPUTED_VALUE"""),43661.6666666666)</f>
        <v>43661.666666666599</v>
      </c>
      <c r="B1141" s="1">
        <f ca="1">IFERROR(__xludf.DUMMYFUNCTION("""COMPUTED_VALUE"""),57.27)</f>
        <v>57.27</v>
      </c>
      <c r="C1141" s="1">
        <f ca="1">IFERROR(__xludf.DUMMYFUNCTION("""COMPUTED_VALUE"""),57.53)</f>
        <v>57.53</v>
      </c>
      <c r="D1141" s="1">
        <f ca="1">IFERROR(__xludf.DUMMYFUNCTION("""COMPUTED_VALUE"""),57)</f>
        <v>57</v>
      </c>
      <c r="E1141" s="1">
        <f ca="1">IFERROR(__xludf.DUMMYFUNCTION("""COMPUTED_VALUE"""),57.53)</f>
        <v>57.53</v>
      </c>
      <c r="F1141" s="1">
        <f ca="1">IFERROR(__xludf.DUMMYFUNCTION("""COMPUTED_VALUE"""),1058431)</f>
        <v>1058431</v>
      </c>
    </row>
    <row r="1142" spans="1:6" x14ac:dyDescent="0.35">
      <c r="A1142" s="2">
        <f ca="1">IFERROR(__xludf.DUMMYFUNCTION("""COMPUTED_VALUE"""),43662.6666666666)</f>
        <v>43662.666666666599</v>
      </c>
      <c r="B1142" s="1">
        <f ca="1">IFERROR(__xludf.DUMMYFUNCTION("""COMPUTED_VALUE"""),57.34)</f>
        <v>57.34</v>
      </c>
      <c r="C1142" s="1">
        <f ca="1">IFERROR(__xludf.DUMMYFUNCTION("""COMPUTED_VALUE"""),57.93)</f>
        <v>57.93</v>
      </c>
      <c r="D1142" s="1">
        <f ca="1">IFERROR(__xludf.DUMMYFUNCTION("""COMPUTED_VALUE"""),57.34)</f>
        <v>57.34</v>
      </c>
      <c r="E1142" s="1">
        <f ca="1">IFERROR(__xludf.DUMMYFUNCTION("""COMPUTED_VALUE"""),57.67)</f>
        <v>57.67</v>
      </c>
      <c r="F1142" s="1">
        <f ca="1">IFERROR(__xludf.DUMMYFUNCTION("""COMPUTED_VALUE"""),1267641)</f>
        <v>1267641</v>
      </c>
    </row>
    <row r="1143" spans="1:6" x14ac:dyDescent="0.35">
      <c r="A1143" s="2">
        <f ca="1">IFERROR(__xludf.DUMMYFUNCTION("""COMPUTED_VALUE"""),43663.6666666666)</f>
        <v>43663.666666666599</v>
      </c>
      <c r="B1143" s="1">
        <f ca="1">IFERROR(__xludf.DUMMYFUNCTION("""COMPUTED_VALUE"""),57.55)</f>
        <v>57.55</v>
      </c>
      <c r="C1143" s="1">
        <f ca="1">IFERROR(__xludf.DUMMYFUNCTION("""COMPUTED_VALUE"""),57.92)</f>
        <v>57.92</v>
      </c>
      <c r="D1143" s="1">
        <f ca="1">IFERROR(__xludf.DUMMYFUNCTION("""COMPUTED_VALUE"""),57.33)</f>
        <v>57.33</v>
      </c>
      <c r="E1143" s="1">
        <f ca="1">IFERROR(__xludf.DUMMYFUNCTION("""COMPUTED_VALUE"""),57.34)</f>
        <v>57.34</v>
      </c>
      <c r="F1143" s="1">
        <f ca="1">IFERROR(__xludf.DUMMYFUNCTION("""COMPUTED_VALUE"""),976894)</f>
        <v>976894</v>
      </c>
    </row>
    <row r="1144" spans="1:6" x14ac:dyDescent="0.35">
      <c r="A1144" s="2">
        <f ca="1">IFERROR(__xludf.DUMMYFUNCTION("""COMPUTED_VALUE"""),43664.6666666666)</f>
        <v>43664.666666666599</v>
      </c>
      <c r="B1144" s="1">
        <f ca="1">IFERROR(__xludf.DUMMYFUNCTION("""COMPUTED_VALUE"""),57.1)</f>
        <v>57.1</v>
      </c>
      <c r="C1144" s="1">
        <f ca="1">IFERROR(__xludf.DUMMYFUNCTION("""COMPUTED_VALUE"""),57.41)</f>
        <v>57.41</v>
      </c>
      <c r="D1144" s="1">
        <f ca="1">IFERROR(__xludf.DUMMYFUNCTION("""COMPUTED_VALUE"""),56.64)</f>
        <v>56.64</v>
      </c>
      <c r="E1144" s="1">
        <f ca="1">IFERROR(__xludf.DUMMYFUNCTION("""COMPUTED_VALUE"""),57.36)</f>
        <v>57.36</v>
      </c>
      <c r="F1144" s="1">
        <f ca="1">IFERROR(__xludf.DUMMYFUNCTION("""COMPUTED_VALUE"""),1273769)</f>
        <v>1273769</v>
      </c>
    </row>
    <row r="1145" spans="1:6" x14ac:dyDescent="0.35">
      <c r="A1145" s="2">
        <f ca="1">IFERROR(__xludf.DUMMYFUNCTION("""COMPUTED_VALUE"""),43665.6666666666)</f>
        <v>43665.666666666599</v>
      </c>
      <c r="B1145" s="1">
        <f ca="1">IFERROR(__xludf.DUMMYFUNCTION("""COMPUTED_VALUE"""),57.47)</f>
        <v>57.47</v>
      </c>
      <c r="C1145" s="1">
        <f ca="1">IFERROR(__xludf.DUMMYFUNCTION("""COMPUTED_VALUE"""),57.58)</f>
        <v>57.58</v>
      </c>
      <c r="D1145" s="1">
        <f ca="1">IFERROR(__xludf.DUMMYFUNCTION("""COMPUTED_VALUE"""),56.56)</f>
        <v>56.56</v>
      </c>
      <c r="E1145" s="1">
        <f ca="1">IFERROR(__xludf.DUMMYFUNCTION("""COMPUTED_VALUE"""),56.58)</f>
        <v>56.58</v>
      </c>
      <c r="F1145" s="1">
        <f ca="1">IFERROR(__xludf.DUMMYFUNCTION("""COMPUTED_VALUE"""),1159153)</f>
        <v>1159153</v>
      </c>
    </row>
    <row r="1146" spans="1:6" x14ac:dyDescent="0.35">
      <c r="A1146" s="2">
        <f ca="1">IFERROR(__xludf.DUMMYFUNCTION("""COMPUTED_VALUE"""),43668.6666666666)</f>
        <v>43668.666666666599</v>
      </c>
      <c r="B1146" s="1">
        <f ca="1">IFERROR(__xludf.DUMMYFUNCTION("""COMPUTED_VALUE"""),56.77)</f>
        <v>56.77</v>
      </c>
      <c r="C1146" s="1">
        <f ca="1">IFERROR(__xludf.DUMMYFUNCTION("""COMPUTED_VALUE"""),57)</f>
        <v>57</v>
      </c>
      <c r="D1146" s="1">
        <f ca="1">IFERROR(__xludf.DUMMYFUNCTION("""COMPUTED_VALUE"""),56.26)</f>
        <v>56.26</v>
      </c>
      <c r="E1146" s="1">
        <f ca="1">IFERROR(__xludf.DUMMYFUNCTION("""COMPUTED_VALUE"""),56.96)</f>
        <v>56.96</v>
      </c>
      <c r="F1146" s="1">
        <f ca="1">IFERROR(__xludf.DUMMYFUNCTION("""COMPUTED_VALUE"""),1446757)</f>
        <v>1446757</v>
      </c>
    </row>
    <row r="1147" spans="1:6" x14ac:dyDescent="0.35">
      <c r="A1147" s="2">
        <f ca="1">IFERROR(__xludf.DUMMYFUNCTION("""COMPUTED_VALUE"""),43669.6666666666)</f>
        <v>43669.666666666599</v>
      </c>
      <c r="B1147" s="1">
        <f ca="1">IFERROR(__xludf.DUMMYFUNCTION("""COMPUTED_VALUE"""),57.17)</f>
        <v>57.17</v>
      </c>
      <c r="C1147" s="1">
        <f ca="1">IFERROR(__xludf.DUMMYFUNCTION("""COMPUTED_VALUE"""),57.44)</f>
        <v>57.44</v>
      </c>
      <c r="D1147" s="1">
        <f ca="1">IFERROR(__xludf.DUMMYFUNCTION("""COMPUTED_VALUE"""),56.64)</f>
        <v>56.64</v>
      </c>
      <c r="E1147" s="1">
        <f ca="1">IFERROR(__xludf.DUMMYFUNCTION("""COMPUTED_VALUE"""),57.4)</f>
        <v>57.4</v>
      </c>
      <c r="F1147" s="1">
        <f ca="1">IFERROR(__xludf.DUMMYFUNCTION("""COMPUTED_VALUE"""),1032438)</f>
        <v>1032438</v>
      </c>
    </row>
    <row r="1148" spans="1:6" x14ac:dyDescent="0.35">
      <c r="A1148" s="2">
        <f ca="1">IFERROR(__xludf.DUMMYFUNCTION("""COMPUTED_VALUE"""),43670.6666666666)</f>
        <v>43670.666666666599</v>
      </c>
      <c r="B1148" s="1">
        <f ca="1">IFERROR(__xludf.DUMMYFUNCTION("""COMPUTED_VALUE"""),56.63)</f>
        <v>56.63</v>
      </c>
      <c r="C1148" s="1">
        <f ca="1">IFERROR(__xludf.DUMMYFUNCTION("""COMPUTED_VALUE"""),57.27)</f>
        <v>57.27</v>
      </c>
      <c r="D1148" s="1">
        <f ca="1">IFERROR(__xludf.DUMMYFUNCTION("""COMPUTED_VALUE"""),56.43)</f>
        <v>56.43</v>
      </c>
      <c r="E1148" s="1">
        <f ca="1">IFERROR(__xludf.DUMMYFUNCTION("""COMPUTED_VALUE"""),56.99)</f>
        <v>56.99</v>
      </c>
      <c r="F1148" s="1">
        <f ca="1">IFERROR(__xludf.DUMMYFUNCTION("""COMPUTED_VALUE"""),1359956)</f>
        <v>1359956</v>
      </c>
    </row>
    <row r="1149" spans="1:6" x14ac:dyDescent="0.35">
      <c r="A1149" s="2">
        <f ca="1">IFERROR(__xludf.DUMMYFUNCTION("""COMPUTED_VALUE"""),43671.6666666666)</f>
        <v>43671.666666666599</v>
      </c>
      <c r="B1149" s="1">
        <f ca="1">IFERROR(__xludf.DUMMYFUNCTION("""COMPUTED_VALUE"""),56.95)</f>
        <v>56.95</v>
      </c>
      <c r="C1149" s="1">
        <f ca="1">IFERROR(__xludf.DUMMYFUNCTION("""COMPUTED_VALUE"""),57.18)</f>
        <v>57.18</v>
      </c>
      <c r="D1149" s="1">
        <f ca="1">IFERROR(__xludf.DUMMYFUNCTION("""COMPUTED_VALUE"""),56.19)</f>
        <v>56.19</v>
      </c>
      <c r="E1149" s="1">
        <f ca="1">IFERROR(__xludf.DUMMYFUNCTION("""COMPUTED_VALUE"""),56.8)</f>
        <v>56.8</v>
      </c>
      <c r="F1149" s="1">
        <f ca="1">IFERROR(__xludf.DUMMYFUNCTION("""COMPUTED_VALUE"""),2738139)</f>
        <v>2738139</v>
      </c>
    </row>
    <row r="1150" spans="1:6" x14ac:dyDescent="0.35">
      <c r="A1150" s="2">
        <f ca="1">IFERROR(__xludf.DUMMYFUNCTION("""COMPUTED_VALUE"""),43672.6666666666)</f>
        <v>43672.666666666599</v>
      </c>
      <c r="B1150" s="1">
        <f ca="1">IFERROR(__xludf.DUMMYFUNCTION("""COMPUTED_VALUE"""),61.4)</f>
        <v>61.4</v>
      </c>
      <c r="C1150" s="1">
        <f ca="1">IFERROR(__xludf.DUMMYFUNCTION("""COMPUTED_VALUE"""),63.42)</f>
        <v>63.42</v>
      </c>
      <c r="D1150" s="1">
        <f ca="1">IFERROR(__xludf.DUMMYFUNCTION("""COMPUTED_VALUE"""),61.4)</f>
        <v>61.4</v>
      </c>
      <c r="E1150" s="1">
        <f ca="1">IFERROR(__xludf.DUMMYFUNCTION("""COMPUTED_VALUE"""),62.26)</f>
        <v>62.26</v>
      </c>
      <c r="F1150" s="1">
        <f ca="1">IFERROR(__xludf.DUMMYFUNCTION("""COMPUTED_VALUE"""),6060795)</f>
        <v>6060795</v>
      </c>
    </row>
    <row r="1151" spans="1:6" x14ac:dyDescent="0.35">
      <c r="A1151" s="2">
        <f ca="1">IFERROR(__xludf.DUMMYFUNCTION("""COMPUTED_VALUE"""),43675.6666666666)</f>
        <v>43675.666666666599</v>
      </c>
      <c r="B1151" s="1">
        <f ca="1">IFERROR(__xludf.DUMMYFUNCTION("""COMPUTED_VALUE"""),62.13)</f>
        <v>62.13</v>
      </c>
      <c r="C1151" s="1">
        <f ca="1">IFERROR(__xludf.DUMMYFUNCTION("""COMPUTED_VALUE"""),62.45)</f>
        <v>62.45</v>
      </c>
      <c r="D1151" s="1">
        <f ca="1">IFERROR(__xludf.DUMMYFUNCTION("""COMPUTED_VALUE"""),61.51)</f>
        <v>61.51</v>
      </c>
      <c r="E1151" s="1">
        <f ca="1">IFERROR(__xludf.DUMMYFUNCTION("""COMPUTED_VALUE"""),62.09)</f>
        <v>62.09</v>
      </c>
      <c r="F1151" s="1">
        <f ca="1">IFERROR(__xludf.DUMMYFUNCTION("""COMPUTED_VALUE"""),2069127)</f>
        <v>2069127</v>
      </c>
    </row>
    <row r="1152" spans="1:6" x14ac:dyDescent="0.35">
      <c r="A1152" s="2">
        <f ca="1">IFERROR(__xludf.DUMMYFUNCTION("""COMPUTED_VALUE"""),43676.6666666666)</f>
        <v>43676.666666666599</v>
      </c>
      <c r="B1152" s="1">
        <f ca="1">IFERROR(__xludf.DUMMYFUNCTION("""COMPUTED_VALUE"""),61.35)</f>
        <v>61.35</v>
      </c>
      <c r="C1152" s="1">
        <f ca="1">IFERROR(__xludf.DUMMYFUNCTION("""COMPUTED_VALUE"""),61.85)</f>
        <v>61.85</v>
      </c>
      <c r="D1152" s="1">
        <f ca="1">IFERROR(__xludf.DUMMYFUNCTION("""COMPUTED_VALUE"""),61.27)</f>
        <v>61.27</v>
      </c>
      <c r="E1152" s="1">
        <f ca="1">IFERROR(__xludf.DUMMYFUNCTION("""COMPUTED_VALUE"""),61.4)</f>
        <v>61.4</v>
      </c>
      <c r="F1152" s="1">
        <f ca="1">IFERROR(__xludf.DUMMYFUNCTION("""COMPUTED_VALUE"""),1430775)</f>
        <v>1430775</v>
      </c>
    </row>
    <row r="1153" spans="1:6" x14ac:dyDescent="0.35">
      <c r="A1153" s="2">
        <f ca="1">IFERROR(__xludf.DUMMYFUNCTION("""COMPUTED_VALUE"""),43677.6666666666)</f>
        <v>43677.666666666599</v>
      </c>
      <c r="B1153" s="1">
        <f ca="1">IFERROR(__xludf.DUMMYFUNCTION("""COMPUTED_VALUE"""),61.24)</f>
        <v>61.24</v>
      </c>
      <c r="C1153" s="1">
        <f ca="1">IFERROR(__xludf.DUMMYFUNCTION("""COMPUTED_VALUE"""),61.75)</f>
        <v>61.75</v>
      </c>
      <c r="D1153" s="1">
        <f ca="1">IFERROR(__xludf.DUMMYFUNCTION("""COMPUTED_VALUE"""),60.41)</f>
        <v>60.41</v>
      </c>
      <c r="E1153" s="1">
        <f ca="1">IFERROR(__xludf.DUMMYFUNCTION("""COMPUTED_VALUE"""),60.91)</f>
        <v>60.91</v>
      </c>
      <c r="F1153" s="1">
        <f ca="1">IFERROR(__xludf.DUMMYFUNCTION("""COMPUTED_VALUE"""),1997999)</f>
        <v>1997999</v>
      </c>
    </row>
    <row r="1154" spans="1:6" x14ac:dyDescent="0.35">
      <c r="A1154" s="2">
        <f ca="1">IFERROR(__xludf.DUMMYFUNCTION("""COMPUTED_VALUE"""),43678.6666666666)</f>
        <v>43678.666666666599</v>
      </c>
      <c r="B1154" s="1">
        <f ca="1">IFERROR(__xludf.DUMMYFUNCTION("""COMPUTED_VALUE"""),60.88)</f>
        <v>60.88</v>
      </c>
      <c r="C1154" s="1">
        <f ca="1">IFERROR(__xludf.DUMMYFUNCTION("""COMPUTED_VALUE"""),61.81)</f>
        <v>61.81</v>
      </c>
      <c r="D1154" s="1">
        <f ca="1">IFERROR(__xludf.DUMMYFUNCTION("""COMPUTED_VALUE"""),60.35)</f>
        <v>60.35</v>
      </c>
      <c r="E1154" s="1">
        <f ca="1">IFERROR(__xludf.DUMMYFUNCTION("""COMPUTED_VALUE"""),60.59)</f>
        <v>60.59</v>
      </c>
      <c r="F1154" s="1">
        <f ca="1">IFERROR(__xludf.DUMMYFUNCTION("""COMPUTED_VALUE"""),1771271)</f>
        <v>1771271</v>
      </c>
    </row>
    <row r="1155" spans="1:6" x14ac:dyDescent="0.35">
      <c r="A1155" s="2">
        <f ca="1">IFERROR(__xludf.DUMMYFUNCTION("""COMPUTED_VALUE"""),43679.6666666666)</f>
        <v>43679.666666666599</v>
      </c>
      <c r="B1155" s="1">
        <f ca="1">IFERROR(__xludf.DUMMYFUNCTION("""COMPUTED_VALUE"""),60.15)</f>
        <v>60.15</v>
      </c>
      <c r="C1155" s="1">
        <f ca="1">IFERROR(__xludf.DUMMYFUNCTION("""COMPUTED_VALUE"""),60.48)</f>
        <v>60.48</v>
      </c>
      <c r="D1155" s="1">
        <f ca="1">IFERROR(__xludf.DUMMYFUNCTION("""COMPUTED_VALUE"""),59.5)</f>
        <v>59.5</v>
      </c>
      <c r="E1155" s="1">
        <f ca="1">IFERROR(__xludf.DUMMYFUNCTION("""COMPUTED_VALUE"""),59.82)</f>
        <v>59.82</v>
      </c>
      <c r="F1155" s="1">
        <f ca="1">IFERROR(__xludf.DUMMYFUNCTION("""COMPUTED_VALUE"""),1745450)</f>
        <v>1745450</v>
      </c>
    </row>
    <row r="1156" spans="1:6" x14ac:dyDescent="0.35">
      <c r="A1156" s="2">
        <f ca="1">IFERROR(__xludf.DUMMYFUNCTION("""COMPUTED_VALUE"""),43682.6666666666)</f>
        <v>43682.666666666599</v>
      </c>
      <c r="B1156" s="1">
        <f ca="1">IFERROR(__xludf.DUMMYFUNCTION("""COMPUTED_VALUE"""),58.65)</f>
        <v>58.65</v>
      </c>
      <c r="C1156" s="1">
        <f ca="1">IFERROR(__xludf.DUMMYFUNCTION("""COMPUTED_VALUE"""),58.84)</f>
        <v>58.84</v>
      </c>
      <c r="D1156" s="1">
        <f ca="1">IFERROR(__xludf.DUMMYFUNCTION("""COMPUTED_VALUE"""),57.14)</f>
        <v>57.14</v>
      </c>
      <c r="E1156" s="1">
        <f ca="1">IFERROR(__xludf.DUMMYFUNCTION("""COMPUTED_VALUE"""),57.74)</f>
        <v>57.74</v>
      </c>
      <c r="F1156" s="1">
        <f ca="1">IFERROR(__xludf.DUMMYFUNCTION("""COMPUTED_VALUE"""),2391972)</f>
        <v>2391972</v>
      </c>
    </row>
    <row r="1157" spans="1:6" x14ac:dyDescent="0.35">
      <c r="A1157" s="2">
        <f ca="1">IFERROR(__xludf.DUMMYFUNCTION("""COMPUTED_VALUE"""),43683.6666666666)</f>
        <v>43683.666666666599</v>
      </c>
      <c r="B1157" s="1">
        <f ca="1">IFERROR(__xludf.DUMMYFUNCTION("""COMPUTED_VALUE"""),58.28)</f>
        <v>58.28</v>
      </c>
      <c r="C1157" s="1">
        <f ca="1">IFERROR(__xludf.DUMMYFUNCTION("""COMPUTED_VALUE"""),59.07)</f>
        <v>59.07</v>
      </c>
      <c r="D1157" s="1">
        <f ca="1">IFERROR(__xludf.DUMMYFUNCTION("""COMPUTED_VALUE"""),58.08)</f>
        <v>58.08</v>
      </c>
      <c r="E1157" s="1">
        <f ca="1">IFERROR(__xludf.DUMMYFUNCTION("""COMPUTED_VALUE"""),58.55)</f>
        <v>58.55</v>
      </c>
      <c r="F1157" s="1">
        <f ca="1">IFERROR(__xludf.DUMMYFUNCTION("""COMPUTED_VALUE"""),1800707)</f>
        <v>1800707</v>
      </c>
    </row>
    <row r="1158" spans="1:6" x14ac:dyDescent="0.35">
      <c r="A1158" s="2">
        <f ca="1">IFERROR(__xludf.DUMMYFUNCTION("""COMPUTED_VALUE"""),43684.6666666666)</f>
        <v>43684.666666666599</v>
      </c>
      <c r="B1158" s="1">
        <f ca="1">IFERROR(__xludf.DUMMYFUNCTION("""COMPUTED_VALUE"""),57.89)</f>
        <v>57.89</v>
      </c>
      <c r="C1158" s="1">
        <f ca="1">IFERROR(__xludf.DUMMYFUNCTION("""COMPUTED_VALUE"""),58.99)</f>
        <v>58.99</v>
      </c>
      <c r="D1158" s="1">
        <f ca="1">IFERROR(__xludf.DUMMYFUNCTION("""COMPUTED_VALUE"""),57.54)</f>
        <v>57.54</v>
      </c>
      <c r="E1158" s="1">
        <f ca="1">IFERROR(__xludf.DUMMYFUNCTION("""COMPUTED_VALUE"""),58.8)</f>
        <v>58.8</v>
      </c>
      <c r="F1158" s="1">
        <f ca="1">IFERROR(__xludf.DUMMYFUNCTION("""COMPUTED_VALUE"""),1534347)</f>
        <v>1534347</v>
      </c>
    </row>
    <row r="1159" spans="1:6" x14ac:dyDescent="0.35">
      <c r="A1159" s="2">
        <f ca="1">IFERROR(__xludf.DUMMYFUNCTION("""COMPUTED_VALUE"""),43685.6666666666)</f>
        <v>43685.666666666599</v>
      </c>
      <c r="B1159" s="1">
        <f ca="1">IFERROR(__xludf.DUMMYFUNCTION("""COMPUTED_VALUE"""),59.32)</f>
        <v>59.32</v>
      </c>
      <c r="C1159" s="1">
        <f ca="1">IFERROR(__xludf.DUMMYFUNCTION("""COMPUTED_VALUE"""),60.31)</f>
        <v>60.31</v>
      </c>
      <c r="D1159" s="1">
        <f ca="1">IFERROR(__xludf.DUMMYFUNCTION("""COMPUTED_VALUE"""),58.7)</f>
        <v>58.7</v>
      </c>
      <c r="E1159" s="1">
        <f ca="1">IFERROR(__xludf.DUMMYFUNCTION("""COMPUTED_VALUE"""),60.31)</f>
        <v>60.31</v>
      </c>
      <c r="F1159" s="1">
        <f ca="1">IFERROR(__xludf.DUMMYFUNCTION("""COMPUTED_VALUE"""),1505848)</f>
        <v>1505848</v>
      </c>
    </row>
    <row r="1160" spans="1:6" x14ac:dyDescent="0.35">
      <c r="A1160" s="2">
        <f ca="1">IFERROR(__xludf.DUMMYFUNCTION("""COMPUTED_VALUE"""),43686.6666666666)</f>
        <v>43686.666666666599</v>
      </c>
      <c r="B1160" s="1">
        <f ca="1">IFERROR(__xludf.DUMMYFUNCTION("""COMPUTED_VALUE"""),60)</f>
        <v>60</v>
      </c>
      <c r="C1160" s="1">
        <f ca="1">IFERROR(__xludf.DUMMYFUNCTION("""COMPUTED_VALUE"""),60.22)</f>
        <v>60.22</v>
      </c>
      <c r="D1160" s="1">
        <f ca="1">IFERROR(__xludf.DUMMYFUNCTION("""COMPUTED_VALUE"""),59.24)</f>
        <v>59.24</v>
      </c>
      <c r="E1160" s="1">
        <f ca="1">IFERROR(__xludf.DUMMYFUNCTION("""COMPUTED_VALUE"""),59.45)</f>
        <v>59.45</v>
      </c>
      <c r="F1160" s="1">
        <f ca="1">IFERROR(__xludf.DUMMYFUNCTION("""COMPUTED_VALUE"""),1020945)</f>
        <v>1020945</v>
      </c>
    </row>
    <row r="1161" spans="1:6" x14ac:dyDescent="0.35">
      <c r="A1161" s="2">
        <f ca="1">IFERROR(__xludf.DUMMYFUNCTION("""COMPUTED_VALUE"""),43689.6666666666)</f>
        <v>43689.666666666599</v>
      </c>
      <c r="B1161" s="1">
        <f ca="1">IFERROR(__xludf.DUMMYFUNCTION("""COMPUTED_VALUE"""),59)</f>
        <v>59</v>
      </c>
      <c r="C1161" s="1">
        <f ca="1">IFERROR(__xludf.DUMMYFUNCTION("""COMPUTED_VALUE"""),59.28)</f>
        <v>59.28</v>
      </c>
      <c r="D1161" s="1">
        <f ca="1">IFERROR(__xludf.DUMMYFUNCTION("""COMPUTED_VALUE"""),58.44)</f>
        <v>58.44</v>
      </c>
      <c r="E1161" s="1">
        <f ca="1">IFERROR(__xludf.DUMMYFUNCTION("""COMPUTED_VALUE"""),58.73)</f>
        <v>58.73</v>
      </c>
      <c r="F1161" s="1">
        <f ca="1">IFERROR(__xludf.DUMMYFUNCTION("""COMPUTED_VALUE"""),1103243)</f>
        <v>1103243</v>
      </c>
    </row>
    <row r="1162" spans="1:6" x14ac:dyDescent="0.35">
      <c r="A1162" s="2">
        <f ca="1">IFERROR(__xludf.DUMMYFUNCTION("""COMPUTED_VALUE"""),43690.6666666666)</f>
        <v>43690.666666666599</v>
      </c>
      <c r="B1162" s="1">
        <f ca="1">IFERROR(__xludf.DUMMYFUNCTION("""COMPUTED_VALUE"""),58.72)</f>
        <v>58.72</v>
      </c>
      <c r="C1162" s="1">
        <f ca="1">IFERROR(__xludf.DUMMYFUNCTION("""COMPUTED_VALUE"""),60.27)</f>
        <v>60.27</v>
      </c>
      <c r="D1162" s="1">
        <f ca="1">IFERROR(__xludf.DUMMYFUNCTION("""COMPUTED_VALUE"""),58.65)</f>
        <v>58.65</v>
      </c>
      <c r="E1162" s="1">
        <f ca="1">IFERROR(__xludf.DUMMYFUNCTION("""COMPUTED_VALUE"""),59.84)</f>
        <v>59.84</v>
      </c>
      <c r="F1162" s="1">
        <f ca="1">IFERROR(__xludf.DUMMYFUNCTION("""COMPUTED_VALUE"""),1430240)</f>
        <v>1430240</v>
      </c>
    </row>
    <row r="1163" spans="1:6" x14ac:dyDescent="0.35">
      <c r="A1163" s="2">
        <f ca="1">IFERROR(__xludf.DUMMYFUNCTION("""COMPUTED_VALUE"""),43691.6666666666)</f>
        <v>43691.666666666599</v>
      </c>
      <c r="B1163" s="1">
        <f ca="1">IFERROR(__xludf.DUMMYFUNCTION("""COMPUTED_VALUE"""),58.8)</f>
        <v>58.8</v>
      </c>
      <c r="C1163" s="1">
        <f ca="1">IFERROR(__xludf.DUMMYFUNCTION("""COMPUTED_VALUE"""),59.14)</f>
        <v>59.14</v>
      </c>
      <c r="D1163" s="1">
        <f ca="1">IFERROR(__xludf.DUMMYFUNCTION("""COMPUTED_VALUE"""),58.05)</f>
        <v>58.05</v>
      </c>
      <c r="E1163" s="1">
        <f ca="1">IFERROR(__xludf.DUMMYFUNCTION("""COMPUTED_VALUE"""),58.21)</f>
        <v>58.21</v>
      </c>
      <c r="F1163" s="1">
        <f ca="1">IFERROR(__xludf.DUMMYFUNCTION("""COMPUTED_VALUE"""),1771501)</f>
        <v>1771501</v>
      </c>
    </row>
    <row r="1164" spans="1:6" x14ac:dyDescent="0.35">
      <c r="A1164" s="2">
        <f ca="1">IFERROR(__xludf.DUMMYFUNCTION("""COMPUTED_VALUE"""),43692.6666666666)</f>
        <v>43692.666666666599</v>
      </c>
      <c r="B1164" s="1">
        <f ca="1">IFERROR(__xludf.DUMMYFUNCTION("""COMPUTED_VALUE"""),58.42)</f>
        <v>58.42</v>
      </c>
      <c r="C1164" s="1">
        <f ca="1">IFERROR(__xludf.DUMMYFUNCTION("""COMPUTED_VALUE"""),58.82)</f>
        <v>58.82</v>
      </c>
      <c r="D1164" s="1">
        <f ca="1">IFERROR(__xludf.DUMMYFUNCTION("""COMPUTED_VALUE"""),58.15)</f>
        <v>58.15</v>
      </c>
      <c r="E1164" s="1">
        <f ca="1">IFERROR(__xludf.DUMMYFUNCTION("""COMPUTED_VALUE"""),58.47)</f>
        <v>58.47</v>
      </c>
      <c r="F1164" s="1">
        <f ca="1">IFERROR(__xludf.DUMMYFUNCTION("""COMPUTED_VALUE"""),1430715)</f>
        <v>1430715</v>
      </c>
    </row>
    <row r="1165" spans="1:6" x14ac:dyDescent="0.35">
      <c r="A1165" s="2">
        <f ca="1">IFERROR(__xludf.DUMMYFUNCTION("""COMPUTED_VALUE"""),43693.6666666666)</f>
        <v>43693.666666666599</v>
      </c>
      <c r="B1165" s="1">
        <f ca="1">IFERROR(__xludf.DUMMYFUNCTION("""COMPUTED_VALUE"""),59.04)</f>
        <v>59.04</v>
      </c>
      <c r="C1165" s="1">
        <f ca="1">IFERROR(__xludf.DUMMYFUNCTION("""COMPUTED_VALUE"""),59.19)</f>
        <v>59.19</v>
      </c>
      <c r="D1165" s="1">
        <f ca="1">IFERROR(__xludf.DUMMYFUNCTION("""COMPUTED_VALUE"""),58.65)</f>
        <v>58.65</v>
      </c>
      <c r="E1165" s="1">
        <f ca="1">IFERROR(__xludf.DUMMYFUNCTION("""COMPUTED_VALUE"""),58.96)</f>
        <v>58.96</v>
      </c>
      <c r="F1165" s="1">
        <f ca="1">IFERROR(__xludf.DUMMYFUNCTION("""COMPUTED_VALUE"""),1265187)</f>
        <v>1265187</v>
      </c>
    </row>
    <row r="1166" spans="1:6" x14ac:dyDescent="0.35">
      <c r="A1166" s="2">
        <f ca="1">IFERROR(__xludf.DUMMYFUNCTION("""COMPUTED_VALUE"""),43696.6666666666)</f>
        <v>43696.666666666599</v>
      </c>
      <c r="B1166" s="1">
        <f ca="1">IFERROR(__xludf.DUMMYFUNCTION("""COMPUTED_VALUE"""),59.59)</f>
        <v>59.59</v>
      </c>
      <c r="C1166" s="1">
        <f ca="1">IFERROR(__xludf.DUMMYFUNCTION("""COMPUTED_VALUE"""),60.47)</f>
        <v>60.47</v>
      </c>
      <c r="D1166" s="1">
        <f ca="1">IFERROR(__xludf.DUMMYFUNCTION("""COMPUTED_VALUE"""),59.52)</f>
        <v>59.52</v>
      </c>
      <c r="E1166" s="1">
        <f ca="1">IFERROR(__xludf.DUMMYFUNCTION("""COMPUTED_VALUE"""),60.02)</f>
        <v>60.02</v>
      </c>
      <c r="F1166" s="1">
        <f ca="1">IFERROR(__xludf.DUMMYFUNCTION("""COMPUTED_VALUE"""),1222854)</f>
        <v>1222854</v>
      </c>
    </row>
    <row r="1167" spans="1:6" x14ac:dyDescent="0.35">
      <c r="A1167" s="2">
        <f ca="1">IFERROR(__xludf.DUMMYFUNCTION("""COMPUTED_VALUE"""),43697.6666666666)</f>
        <v>43697.666666666599</v>
      </c>
      <c r="B1167" s="1">
        <f ca="1">IFERROR(__xludf.DUMMYFUNCTION("""COMPUTED_VALUE"""),59.77)</f>
        <v>59.77</v>
      </c>
      <c r="C1167" s="1">
        <f ca="1">IFERROR(__xludf.DUMMYFUNCTION("""COMPUTED_VALUE"""),59.9)</f>
        <v>59.9</v>
      </c>
      <c r="D1167" s="1">
        <f ca="1">IFERROR(__xludf.DUMMYFUNCTION("""COMPUTED_VALUE"""),59.15)</f>
        <v>59.15</v>
      </c>
      <c r="E1167" s="1">
        <f ca="1">IFERROR(__xludf.DUMMYFUNCTION("""COMPUTED_VALUE"""),59.18)</f>
        <v>59.18</v>
      </c>
      <c r="F1167" s="1">
        <f ca="1">IFERROR(__xludf.DUMMYFUNCTION("""COMPUTED_VALUE"""),1010566)</f>
        <v>1010566</v>
      </c>
    </row>
    <row r="1168" spans="1:6" x14ac:dyDescent="0.35">
      <c r="A1168" s="2">
        <f ca="1">IFERROR(__xludf.DUMMYFUNCTION("""COMPUTED_VALUE"""),43698.6666666666)</f>
        <v>43698.666666666599</v>
      </c>
      <c r="B1168" s="1">
        <f ca="1">IFERROR(__xludf.DUMMYFUNCTION("""COMPUTED_VALUE"""),59.79)</f>
        <v>59.79</v>
      </c>
      <c r="C1168" s="1">
        <f ca="1">IFERROR(__xludf.DUMMYFUNCTION("""COMPUTED_VALUE"""),60.03)</f>
        <v>60.03</v>
      </c>
      <c r="D1168" s="1">
        <f ca="1">IFERROR(__xludf.DUMMYFUNCTION("""COMPUTED_VALUE"""),59.4)</f>
        <v>59.4</v>
      </c>
      <c r="E1168" s="1">
        <f ca="1">IFERROR(__xludf.DUMMYFUNCTION("""COMPUTED_VALUE"""),59.58)</f>
        <v>59.58</v>
      </c>
      <c r="F1168" s="1">
        <f ca="1">IFERROR(__xludf.DUMMYFUNCTION("""COMPUTED_VALUE"""),708272)</f>
        <v>708272</v>
      </c>
    </row>
    <row r="1169" spans="1:6" x14ac:dyDescent="0.35">
      <c r="A1169" s="2">
        <f ca="1">IFERROR(__xludf.DUMMYFUNCTION("""COMPUTED_VALUE"""),43699.6666666666)</f>
        <v>43699.666666666599</v>
      </c>
      <c r="B1169" s="1">
        <f ca="1">IFERROR(__xludf.DUMMYFUNCTION("""COMPUTED_VALUE"""),59.69)</f>
        <v>59.69</v>
      </c>
      <c r="C1169" s="1">
        <f ca="1">IFERROR(__xludf.DUMMYFUNCTION("""COMPUTED_VALUE"""),59.94)</f>
        <v>59.94</v>
      </c>
      <c r="D1169" s="1">
        <f ca="1">IFERROR(__xludf.DUMMYFUNCTION("""COMPUTED_VALUE"""),58.95)</f>
        <v>58.95</v>
      </c>
      <c r="E1169" s="1">
        <f ca="1">IFERROR(__xludf.DUMMYFUNCTION("""COMPUTED_VALUE"""),59.58)</f>
        <v>59.58</v>
      </c>
      <c r="F1169" s="1">
        <f ca="1">IFERROR(__xludf.DUMMYFUNCTION("""COMPUTED_VALUE"""),867915)</f>
        <v>867915</v>
      </c>
    </row>
    <row r="1170" spans="1:6" x14ac:dyDescent="0.35">
      <c r="A1170" s="2">
        <f ca="1">IFERROR(__xludf.DUMMYFUNCTION("""COMPUTED_VALUE"""),43700.6666666666)</f>
        <v>43700.666666666599</v>
      </c>
      <c r="B1170" s="1">
        <f ca="1">IFERROR(__xludf.DUMMYFUNCTION("""COMPUTED_VALUE"""),59.26)</f>
        <v>59.26</v>
      </c>
      <c r="C1170" s="1">
        <f ca="1">IFERROR(__xludf.DUMMYFUNCTION("""COMPUTED_VALUE"""),59.78)</f>
        <v>59.78</v>
      </c>
      <c r="D1170" s="1">
        <f ca="1">IFERROR(__xludf.DUMMYFUNCTION("""COMPUTED_VALUE"""),57.5)</f>
        <v>57.5</v>
      </c>
      <c r="E1170" s="1">
        <f ca="1">IFERROR(__xludf.DUMMYFUNCTION("""COMPUTED_VALUE"""),57.68)</f>
        <v>57.68</v>
      </c>
      <c r="F1170" s="1">
        <f ca="1">IFERROR(__xludf.DUMMYFUNCTION("""COMPUTED_VALUE"""),1813141)</f>
        <v>1813141</v>
      </c>
    </row>
    <row r="1171" spans="1:6" x14ac:dyDescent="0.35">
      <c r="A1171" s="2">
        <f ca="1">IFERROR(__xludf.DUMMYFUNCTION("""COMPUTED_VALUE"""),43703.6666666666)</f>
        <v>43703.666666666599</v>
      </c>
      <c r="B1171" s="1">
        <f ca="1">IFERROR(__xludf.DUMMYFUNCTION("""COMPUTED_VALUE"""),57.97)</f>
        <v>57.97</v>
      </c>
      <c r="C1171" s="1">
        <f ca="1">IFERROR(__xludf.DUMMYFUNCTION("""COMPUTED_VALUE"""),58.59)</f>
        <v>58.59</v>
      </c>
      <c r="D1171" s="1">
        <f ca="1">IFERROR(__xludf.DUMMYFUNCTION("""COMPUTED_VALUE"""),57.74)</f>
        <v>57.74</v>
      </c>
      <c r="E1171" s="1">
        <f ca="1">IFERROR(__xludf.DUMMYFUNCTION("""COMPUTED_VALUE"""),58.56)</f>
        <v>58.56</v>
      </c>
      <c r="F1171" s="1">
        <f ca="1">IFERROR(__xludf.DUMMYFUNCTION("""COMPUTED_VALUE"""),1058926)</f>
        <v>1058926</v>
      </c>
    </row>
    <row r="1172" spans="1:6" x14ac:dyDescent="0.35">
      <c r="A1172" s="2">
        <f ca="1">IFERROR(__xludf.DUMMYFUNCTION("""COMPUTED_VALUE"""),43704.6666666666)</f>
        <v>43704.666666666599</v>
      </c>
      <c r="B1172" s="1">
        <f ca="1">IFERROR(__xludf.DUMMYFUNCTION("""COMPUTED_VALUE"""),59.15)</f>
        <v>59.15</v>
      </c>
      <c r="C1172" s="1">
        <f ca="1">IFERROR(__xludf.DUMMYFUNCTION("""COMPUTED_VALUE"""),59.25)</f>
        <v>59.25</v>
      </c>
      <c r="D1172" s="1">
        <f ca="1">IFERROR(__xludf.DUMMYFUNCTION("""COMPUTED_VALUE"""),58.23)</f>
        <v>58.23</v>
      </c>
      <c r="E1172" s="1">
        <f ca="1">IFERROR(__xludf.DUMMYFUNCTION("""COMPUTED_VALUE"""),58.54)</f>
        <v>58.54</v>
      </c>
      <c r="F1172" s="1">
        <f ca="1">IFERROR(__xludf.DUMMYFUNCTION("""COMPUTED_VALUE"""),1173489)</f>
        <v>1173489</v>
      </c>
    </row>
    <row r="1173" spans="1:6" x14ac:dyDescent="0.35">
      <c r="A1173" s="2">
        <f ca="1">IFERROR(__xludf.DUMMYFUNCTION("""COMPUTED_VALUE"""),43705.6666666666)</f>
        <v>43705.666666666599</v>
      </c>
      <c r="B1173" s="1">
        <f ca="1">IFERROR(__xludf.DUMMYFUNCTION("""COMPUTED_VALUE"""),58.24)</f>
        <v>58.24</v>
      </c>
      <c r="C1173" s="1">
        <f ca="1">IFERROR(__xludf.DUMMYFUNCTION("""COMPUTED_VALUE"""),58.93)</f>
        <v>58.93</v>
      </c>
      <c r="D1173" s="1">
        <f ca="1">IFERROR(__xludf.DUMMYFUNCTION("""COMPUTED_VALUE"""),58.01)</f>
        <v>58.01</v>
      </c>
      <c r="E1173" s="1">
        <f ca="1">IFERROR(__xludf.DUMMYFUNCTION("""COMPUTED_VALUE"""),58.69)</f>
        <v>58.69</v>
      </c>
      <c r="F1173" s="1">
        <f ca="1">IFERROR(__xludf.DUMMYFUNCTION("""COMPUTED_VALUE"""),840829)</f>
        <v>840829</v>
      </c>
    </row>
    <row r="1174" spans="1:6" x14ac:dyDescent="0.35">
      <c r="A1174" s="2">
        <f ca="1">IFERROR(__xludf.DUMMYFUNCTION("""COMPUTED_VALUE"""),43706.6666666666)</f>
        <v>43706.666666666599</v>
      </c>
      <c r="B1174" s="1">
        <f ca="1">IFERROR(__xludf.DUMMYFUNCTION("""COMPUTED_VALUE"""),59.32)</f>
        <v>59.32</v>
      </c>
      <c r="C1174" s="1">
        <f ca="1">IFERROR(__xludf.DUMMYFUNCTION("""COMPUTED_VALUE"""),59.96)</f>
        <v>59.96</v>
      </c>
      <c r="D1174" s="1">
        <f ca="1">IFERROR(__xludf.DUMMYFUNCTION("""COMPUTED_VALUE"""),59.26)</f>
        <v>59.26</v>
      </c>
      <c r="E1174" s="1">
        <f ca="1">IFERROR(__xludf.DUMMYFUNCTION("""COMPUTED_VALUE"""),59.71)</f>
        <v>59.71</v>
      </c>
      <c r="F1174" s="1">
        <f ca="1">IFERROR(__xludf.DUMMYFUNCTION("""COMPUTED_VALUE"""),982098)</f>
        <v>982098</v>
      </c>
    </row>
    <row r="1175" spans="1:6" x14ac:dyDescent="0.35">
      <c r="A1175" s="2">
        <f ca="1">IFERROR(__xludf.DUMMYFUNCTION("""COMPUTED_VALUE"""),43707.6666666666)</f>
        <v>43707.666666666599</v>
      </c>
      <c r="B1175" s="1">
        <f ca="1">IFERROR(__xludf.DUMMYFUNCTION("""COMPUTED_VALUE"""),60.02)</f>
        <v>60.02</v>
      </c>
      <c r="C1175" s="1">
        <f ca="1">IFERROR(__xludf.DUMMYFUNCTION("""COMPUTED_VALUE"""),60.02)</f>
        <v>60.02</v>
      </c>
      <c r="D1175" s="1">
        <f ca="1">IFERROR(__xludf.DUMMYFUNCTION("""COMPUTED_VALUE"""),59.29)</f>
        <v>59.29</v>
      </c>
      <c r="E1175" s="1">
        <f ca="1">IFERROR(__xludf.DUMMYFUNCTION("""COMPUTED_VALUE"""),59.53)</f>
        <v>59.53</v>
      </c>
      <c r="F1175" s="1">
        <f ca="1">IFERROR(__xludf.DUMMYFUNCTION("""COMPUTED_VALUE"""),903375)</f>
        <v>903375</v>
      </c>
    </row>
    <row r="1176" spans="1:6" x14ac:dyDescent="0.35">
      <c r="A1176" s="2">
        <f ca="1">IFERROR(__xludf.DUMMYFUNCTION("""COMPUTED_VALUE"""),43711.6666666666)</f>
        <v>43711.666666666599</v>
      </c>
      <c r="B1176" s="1">
        <f ca="1">IFERROR(__xludf.DUMMYFUNCTION("""COMPUTED_VALUE"""),59.09)</f>
        <v>59.09</v>
      </c>
      <c r="C1176" s="1">
        <f ca="1">IFERROR(__xludf.DUMMYFUNCTION("""COMPUTED_VALUE"""),59.45)</f>
        <v>59.45</v>
      </c>
      <c r="D1176" s="1">
        <f ca="1">IFERROR(__xludf.DUMMYFUNCTION("""COMPUTED_VALUE"""),58.19)</f>
        <v>58.19</v>
      </c>
      <c r="E1176" s="1">
        <f ca="1">IFERROR(__xludf.DUMMYFUNCTION("""COMPUTED_VALUE"""),58.48)</f>
        <v>58.48</v>
      </c>
      <c r="F1176" s="1">
        <f ca="1">IFERROR(__xludf.DUMMYFUNCTION("""COMPUTED_VALUE"""),1296116)</f>
        <v>1296116</v>
      </c>
    </row>
    <row r="1177" spans="1:6" x14ac:dyDescent="0.35">
      <c r="A1177" s="2">
        <f ca="1">IFERROR(__xludf.DUMMYFUNCTION("""COMPUTED_VALUE"""),43712.6666666666)</f>
        <v>43712.666666666599</v>
      </c>
      <c r="B1177" s="1">
        <f ca="1">IFERROR(__xludf.DUMMYFUNCTION("""COMPUTED_VALUE"""),58.97)</f>
        <v>58.97</v>
      </c>
      <c r="C1177" s="1">
        <f ca="1">IFERROR(__xludf.DUMMYFUNCTION("""COMPUTED_VALUE"""),59.24)</f>
        <v>59.24</v>
      </c>
      <c r="D1177" s="1">
        <f ca="1">IFERROR(__xludf.DUMMYFUNCTION("""COMPUTED_VALUE"""),58.58)</f>
        <v>58.58</v>
      </c>
      <c r="E1177" s="1">
        <f ca="1">IFERROR(__xludf.DUMMYFUNCTION("""COMPUTED_VALUE"""),59.11)</f>
        <v>59.11</v>
      </c>
      <c r="F1177" s="1">
        <f ca="1">IFERROR(__xludf.DUMMYFUNCTION("""COMPUTED_VALUE"""),1065666)</f>
        <v>1065666</v>
      </c>
    </row>
    <row r="1178" spans="1:6" x14ac:dyDescent="0.35">
      <c r="A1178" s="2">
        <f ca="1">IFERROR(__xludf.DUMMYFUNCTION("""COMPUTED_VALUE"""),43713.6666666666)</f>
        <v>43713.666666666599</v>
      </c>
      <c r="B1178" s="1">
        <f ca="1">IFERROR(__xludf.DUMMYFUNCTION("""COMPUTED_VALUE"""),59.68)</f>
        <v>59.68</v>
      </c>
      <c r="C1178" s="1">
        <f ca="1">IFERROR(__xludf.DUMMYFUNCTION("""COMPUTED_VALUE"""),60.7)</f>
        <v>60.7</v>
      </c>
      <c r="D1178" s="1">
        <f ca="1">IFERROR(__xludf.DUMMYFUNCTION("""COMPUTED_VALUE"""),59.63)</f>
        <v>59.63</v>
      </c>
      <c r="E1178" s="1">
        <f ca="1">IFERROR(__xludf.DUMMYFUNCTION("""COMPUTED_VALUE"""),60.61)</f>
        <v>60.61</v>
      </c>
      <c r="F1178" s="1">
        <f ca="1">IFERROR(__xludf.DUMMYFUNCTION("""COMPUTED_VALUE"""),1320656)</f>
        <v>1320656</v>
      </c>
    </row>
    <row r="1179" spans="1:6" x14ac:dyDescent="0.35">
      <c r="A1179" s="2">
        <f ca="1">IFERROR(__xludf.DUMMYFUNCTION("""COMPUTED_VALUE"""),43714.6666666666)</f>
        <v>43714.666666666599</v>
      </c>
      <c r="B1179" s="1">
        <f ca="1">IFERROR(__xludf.DUMMYFUNCTION("""COMPUTED_VALUE"""),60.46)</f>
        <v>60.46</v>
      </c>
      <c r="C1179" s="1">
        <f ca="1">IFERROR(__xludf.DUMMYFUNCTION("""COMPUTED_VALUE"""),60.65)</f>
        <v>60.65</v>
      </c>
      <c r="D1179" s="1">
        <f ca="1">IFERROR(__xludf.DUMMYFUNCTION("""COMPUTED_VALUE"""),60.16)</f>
        <v>60.16</v>
      </c>
      <c r="E1179" s="1">
        <f ca="1">IFERROR(__xludf.DUMMYFUNCTION("""COMPUTED_VALUE"""),60.32)</f>
        <v>60.32</v>
      </c>
      <c r="F1179" s="1">
        <f ca="1">IFERROR(__xludf.DUMMYFUNCTION("""COMPUTED_VALUE"""),948580)</f>
        <v>948580</v>
      </c>
    </row>
    <row r="1180" spans="1:6" x14ac:dyDescent="0.35">
      <c r="A1180" s="2">
        <f ca="1">IFERROR(__xludf.DUMMYFUNCTION("""COMPUTED_VALUE"""),43717.6666666666)</f>
        <v>43717.666666666599</v>
      </c>
      <c r="B1180" s="1">
        <f ca="1">IFERROR(__xludf.DUMMYFUNCTION("""COMPUTED_VALUE"""),60.35)</f>
        <v>60.35</v>
      </c>
      <c r="C1180" s="1">
        <f ca="1">IFERROR(__xludf.DUMMYFUNCTION("""COMPUTED_VALUE"""),61.03)</f>
        <v>61.03</v>
      </c>
      <c r="D1180" s="1">
        <f ca="1">IFERROR(__xludf.DUMMYFUNCTION("""COMPUTED_VALUE"""),59.66)</f>
        <v>59.66</v>
      </c>
      <c r="E1180" s="1">
        <f ca="1">IFERROR(__xludf.DUMMYFUNCTION("""COMPUTED_VALUE"""),60.26)</f>
        <v>60.26</v>
      </c>
      <c r="F1180" s="1">
        <f ca="1">IFERROR(__xludf.DUMMYFUNCTION("""COMPUTED_VALUE"""),1592958)</f>
        <v>1592958</v>
      </c>
    </row>
    <row r="1181" spans="1:6" x14ac:dyDescent="0.35">
      <c r="A1181" s="2">
        <f ca="1">IFERROR(__xludf.DUMMYFUNCTION("""COMPUTED_VALUE"""),43718.6666666666)</f>
        <v>43718.666666666599</v>
      </c>
      <c r="B1181" s="1">
        <f ca="1">IFERROR(__xludf.DUMMYFUNCTION("""COMPUTED_VALUE"""),59.8)</f>
        <v>59.8</v>
      </c>
      <c r="C1181" s="1">
        <f ca="1">IFERROR(__xludf.DUMMYFUNCTION("""COMPUTED_VALUE"""),60.5)</f>
        <v>60.5</v>
      </c>
      <c r="D1181" s="1">
        <f ca="1">IFERROR(__xludf.DUMMYFUNCTION("""COMPUTED_VALUE"""),59.8)</f>
        <v>59.8</v>
      </c>
      <c r="E1181" s="1">
        <f ca="1">IFERROR(__xludf.DUMMYFUNCTION("""COMPUTED_VALUE"""),60.29)</f>
        <v>60.29</v>
      </c>
      <c r="F1181" s="1">
        <f ca="1">IFERROR(__xludf.DUMMYFUNCTION("""COMPUTED_VALUE"""),1396077)</f>
        <v>1396077</v>
      </c>
    </row>
    <row r="1182" spans="1:6" x14ac:dyDescent="0.35">
      <c r="A1182" s="2">
        <f ca="1">IFERROR(__xludf.DUMMYFUNCTION("""COMPUTED_VALUE"""),43719.6666666666)</f>
        <v>43719.666666666599</v>
      </c>
      <c r="B1182" s="1">
        <f ca="1">IFERROR(__xludf.DUMMYFUNCTION("""COMPUTED_VALUE"""),60.19)</f>
        <v>60.19</v>
      </c>
      <c r="C1182" s="1">
        <f ca="1">IFERROR(__xludf.DUMMYFUNCTION("""COMPUTED_VALUE"""),61.12)</f>
        <v>61.12</v>
      </c>
      <c r="D1182" s="1">
        <f ca="1">IFERROR(__xludf.DUMMYFUNCTION("""COMPUTED_VALUE"""),60.11)</f>
        <v>60.11</v>
      </c>
      <c r="E1182" s="1">
        <f ca="1">IFERROR(__xludf.DUMMYFUNCTION("""COMPUTED_VALUE"""),61)</f>
        <v>61</v>
      </c>
      <c r="F1182" s="1">
        <f ca="1">IFERROR(__xludf.DUMMYFUNCTION("""COMPUTED_VALUE"""),1176066)</f>
        <v>1176066</v>
      </c>
    </row>
    <row r="1183" spans="1:6" x14ac:dyDescent="0.35">
      <c r="A1183" s="2">
        <f ca="1">IFERROR(__xludf.DUMMYFUNCTION("""COMPUTED_VALUE"""),43720.6666666666)</f>
        <v>43720.666666666599</v>
      </c>
      <c r="B1183" s="1">
        <f ca="1">IFERROR(__xludf.DUMMYFUNCTION("""COMPUTED_VALUE"""),61.17)</f>
        <v>61.17</v>
      </c>
      <c r="C1183" s="1">
        <f ca="1">IFERROR(__xludf.DUMMYFUNCTION("""COMPUTED_VALUE"""),62.12)</f>
        <v>62.12</v>
      </c>
      <c r="D1183" s="1">
        <f ca="1">IFERROR(__xludf.DUMMYFUNCTION("""COMPUTED_VALUE"""),61.13)</f>
        <v>61.13</v>
      </c>
      <c r="E1183" s="1">
        <f ca="1">IFERROR(__xludf.DUMMYFUNCTION("""COMPUTED_VALUE"""),61.75)</f>
        <v>61.75</v>
      </c>
      <c r="F1183" s="1">
        <f ca="1">IFERROR(__xludf.DUMMYFUNCTION("""COMPUTED_VALUE"""),1582230)</f>
        <v>1582230</v>
      </c>
    </row>
    <row r="1184" spans="1:6" x14ac:dyDescent="0.35">
      <c r="A1184" s="2">
        <f ca="1">IFERROR(__xludf.DUMMYFUNCTION("""COMPUTED_VALUE"""),43721.6666666666)</f>
        <v>43721.666666666599</v>
      </c>
      <c r="B1184" s="1">
        <f ca="1">IFERROR(__xludf.DUMMYFUNCTION("""COMPUTED_VALUE"""),61.61)</f>
        <v>61.61</v>
      </c>
      <c r="C1184" s="1">
        <f ca="1">IFERROR(__xludf.DUMMYFUNCTION("""COMPUTED_VALUE"""),62.05)</f>
        <v>62.05</v>
      </c>
      <c r="D1184" s="1">
        <f ca="1">IFERROR(__xludf.DUMMYFUNCTION("""COMPUTED_VALUE"""),61.35)</f>
        <v>61.35</v>
      </c>
      <c r="E1184" s="1">
        <f ca="1">IFERROR(__xludf.DUMMYFUNCTION("""COMPUTED_VALUE"""),62)</f>
        <v>62</v>
      </c>
      <c r="F1184" s="1">
        <f ca="1">IFERROR(__xludf.DUMMYFUNCTION("""COMPUTED_VALUE"""),1183762)</f>
        <v>1183762</v>
      </c>
    </row>
    <row r="1185" spans="1:6" x14ac:dyDescent="0.35">
      <c r="A1185" s="2">
        <f ca="1">IFERROR(__xludf.DUMMYFUNCTION("""COMPUTED_VALUE"""),43724.6666666666)</f>
        <v>43724.666666666599</v>
      </c>
      <c r="B1185" s="1">
        <f ca="1">IFERROR(__xludf.DUMMYFUNCTION("""COMPUTED_VALUE"""),61.52)</f>
        <v>61.52</v>
      </c>
      <c r="C1185" s="1">
        <f ca="1">IFERROR(__xludf.DUMMYFUNCTION("""COMPUTED_VALUE"""),61.95)</f>
        <v>61.95</v>
      </c>
      <c r="D1185" s="1">
        <f ca="1">IFERROR(__xludf.DUMMYFUNCTION("""COMPUTED_VALUE"""),61.26)</f>
        <v>61.26</v>
      </c>
      <c r="E1185" s="1">
        <f ca="1">IFERROR(__xludf.DUMMYFUNCTION("""COMPUTED_VALUE"""),61.58)</f>
        <v>61.58</v>
      </c>
      <c r="F1185" s="1">
        <f ca="1">IFERROR(__xludf.DUMMYFUNCTION("""COMPUTED_VALUE"""),1410880)</f>
        <v>1410880</v>
      </c>
    </row>
    <row r="1186" spans="1:6" x14ac:dyDescent="0.35">
      <c r="A1186" s="2">
        <f ca="1">IFERROR(__xludf.DUMMYFUNCTION("""COMPUTED_VALUE"""),43725.6666666666)</f>
        <v>43725.666666666599</v>
      </c>
      <c r="B1186" s="1">
        <f ca="1">IFERROR(__xludf.DUMMYFUNCTION("""COMPUTED_VALUE"""),61.58)</f>
        <v>61.58</v>
      </c>
      <c r="C1186" s="1">
        <f ca="1">IFERROR(__xludf.DUMMYFUNCTION("""COMPUTED_VALUE"""),61.75)</f>
        <v>61.75</v>
      </c>
      <c r="D1186" s="1">
        <f ca="1">IFERROR(__xludf.DUMMYFUNCTION("""COMPUTED_VALUE"""),61.17)</f>
        <v>61.17</v>
      </c>
      <c r="E1186" s="1">
        <f ca="1">IFERROR(__xludf.DUMMYFUNCTION("""COMPUTED_VALUE"""),61.49)</f>
        <v>61.49</v>
      </c>
      <c r="F1186" s="1">
        <f ca="1">IFERROR(__xludf.DUMMYFUNCTION("""COMPUTED_VALUE"""),1047201)</f>
        <v>1047201</v>
      </c>
    </row>
    <row r="1187" spans="1:6" x14ac:dyDescent="0.35">
      <c r="A1187" s="2">
        <f ca="1">IFERROR(__xludf.DUMMYFUNCTION("""COMPUTED_VALUE"""),43726.6666666666)</f>
        <v>43726.666666666599</v>
      </c>
      <c r="B1187" s="1">
        <f ca="1">IFERROR(__xludf.DUMMYFUNCTION("""COMPUTED_VALUE"""),61.51)</f>
        <v>61.51</v>
      </c>
      <c r="C1187" s="1">
        <f ca="1">IFERROR(__xludf.DUMMYFUNCTION("""COMPUTED_VALUE"""),61.81)</f>
        <v>61.81</v>
      </c>
      <c r="D1187" s="1">
        <f ca="1">IFERROR(__xludf.DUMMYFUNCTION("""COMPUTED_VALUE"""),60.82)</f>
        <v>60.82</v>
      </c>
      <c r="E1187" s="1">
        <f ca="1">IFERROR(__xludf.DUMMYFUNCTION("""COMPUTED_VALUE"""),61.63)</f>
        <v>61.63</v>
      </c>
      <c r="F1187" s="1">
        <f ca="1">IFERROR(__xludf.DUMMYFUNCTION("""COMPUTED_VALUE"""),892788)</f>
        <v>892788</v>
      </c>
    </row>
    <row r="1188" spans="1:6" x14ac:dyDescent="0.35">
      <c r="A1188" s="2">
        <f ca="1">IFERROR(__xludf.DUMMYFUNCTION("""COMPUTED_VALUE"""),43727.6666666666)</f>
        <v>43727.666666666599</v>
      </c>
      <c r="B1188" s="1">
        <f ca="1">IFERROR(__xludf.DUMMYFUNCTION("""COMPUTED_VALUE"""),61.62)</f>
        <v>61.62</v>
      </c>
      <c r="C1188" s="1">
        <f ca="1">IFERROR(__xludf.DUMMYFUNCTION("""COMPUTED_VALUE"""),62.22)</f>
        <v>62.22</v>
      </c>
      <c r="D1188" s="1">
        <f ca="1">IFERROR(__xludf.DUMMYFUNCTION("""COMPUTED_VALUE"""),61.62)</f>
        <v>61.62</v>
      </c>
      <c r="E1188" s="1">
        <f ca="1">IFERROR(__xludf.DUMMYFUNCTION("""COMPUTED_VALUE"""),61.94)</f>
        <v>61.94</v>
      </c>
      <c r="F1188" s="1">
        <f ca="1">IFERROR(__xludf.DUMMYFUNCTION("""COMPUTED_VALUE"""),847002)</f>
        <v>847002</v>
      </c>
    </row>
    <row r="1189" spans="1:6" x14ac:dyDescent="0.35">
      <c r="A1189" s="2">
        <f ca="1">IFERROR(__xludf.DUMMYFUNCTION("""COMPUTED_VALUE"""),43728.6666666666)</f>
        <v>43728.666666666599</v>
      </c>
      <c r="B1189" s="1">
        <f ca="1">IFERROR(__xludf.DUMMYFUNCTION("""COMPUTED_VALUE"""),61.68)</f>
        <v>61.68</v>
      </c>
      <c r="C1189" s="1">
        <f ca="1">IFERROR(__xludf.DUMMYFUNCTION("""COMPUTED_VALUE"""),62.14)</f>
        <v>62.14</v>
      </c>
      <c r="D1189" s="1">
        <f ca="1">IFERROR(__xludf.DUMMYFUNCTION("""COMPUTED_VALUE"""),61.18)</f>
        <v>61.18</v>
      </c>
      <c r="E1189" s="1">
        <f ca="1">IFERROR(__xludf.DUMMYFUNCTION("""COMPUTED_VALUE"""),61.49)</f>
        <v>61.49</v>
      </c>
      <c r="F1189" s="1">
        <f ca="1">IFERROR(__xludf.DUMMYFUNCTION("""COMPUTED_VALUE"""),1937743)</f>
        <v>1937743</v>
      </c>
    </row>
    <row r="1190" spans="1:6" x14ac:dyDescent="0.35">
      <c r="A1190" s="2">
        <f ca="1">IFERROR(__xludf.DUMMYFUNCTION("""COMPUTED_VALUE"""),43731.6666666666)</f>
        <v>43731.666666666599</v>
      </c>
      <c r="B1190" s="1">
        <f ca="1">IFERROR(__xludf.DUMMYFUNCTION("""COMPUTED_VALUE"""),61.33)</f>
        <v>61.33</v>
      </c>
      <c r="C1190" s="1">
        <f ca="1">IFERROR(__xludf.DUMMYFUNCTION("""COMPUTED_VALUE"""),61.98)</f>
        <v>61.98</v>
      </c>
      <c r="D1190" s="1">
        <f ca="1">IFERROR(__xludf.DUMMYFUNCTION("""COMPUTED_VALUE"""),61.19)</f>
        <v>61.19</v>
      </c>
      <c r="E1190" s="1">
        <f ca="1">IFERROR(__xludf.DUMMYFUNCTION("""COMPUTED_VALUE"""),61.73)</f>
        <v>61.73</v>
      </c>
      <c r="F1190" s="1">
        <f ca="1">IFERROR(__xludf.DUMMYFUNCTION("""COMPUTED_VALUE"""),1197069)</f>
        <v>1197069</v>
      </c>
    </row>
    <row r="1191" spans="1:6" x14ac:dyDescent="0.35">
      <c r="A1191" s="2">
        <f ca="1">IFERROR(__xludf.DUMMYFUNCTION("""COMPUTED_VALUE"""),43732.6666666666)</f>
        <v>43732.666666666599</v>
      </c>
      <c r="B1191" s="1">
        <f ca="1">IFERROR(__xludf.DUMMYFUNCTION("""COMPUTED_VALUE"""),62)</f>
        <v>62</v>
      </c>
      <c r="C1191" s="1">
        <f ca="1">IFERROR(__xludf.DUMMYFUNCTION("""COMPUTED_VALUE"""),62.36)</f>
        <v>62.36</v>
      </c>
      <c r="D1191" s="1">
        <f ca="1">IFERROR(__xludf.DUMMYFUNCTION("""COMPUTED_VALUE"""),60.53)</f>
        <v>60.53</v>
      </c>
      <c r="E1191" s="1">
        <f ca="1">IFERROR(__xludf.DUMMYFUNCTION("""COMPUTED_VALUE"""),60.92)</f>
        <v>60.92</v>
      </c>
      <c r="F1191" s="1">
        <f ca="1">IFERROR(__xludf.DUMMYFUNCTION("""COMPUTED_VALUE"""),1835712)</f>
        <v>1835712</v>
      </c>
    </row>
    <row r="1192" spans="1:6" x14ac:dyDescent="0.35">
      <c r="A1192" s="2">
        <f ca="1">IFERROR(__xludf.DUMMYFUNCTION("""COMPUTED_VALUE"""),43733.6666666666)</f>
        <v>43733.666666666599</v>
      </c>
      <c r="B1192" s="1">
        <f ca="1">IFERROR(__xludf.DUMMYFUNCTION("""COMPUTED_VALUE"""),60.8)</f>
        <v>60.8</v>
      </c>
      <c r="C1192" s="1">
        <f ca="1">IFERROR(__xludf.DUMMYFUNCTION("""COMPUTED_VALUE"""),62.4)</f>
        <v>62.4</v>
      </c>
      <c r="D1192" s="1">
        <f ca="1">IFERROR(__xludf.DUMMYFUNCTION("""COMPUTED_VALUE"""),60.46)</f>
        <v>60.46</v>
      </c>
      <c r="E1192" s="1">
        <f ca="1">IFERROR(__xludf.DUMMYFUNCTION("""COMPUTED_VALUE"""),62.3)</f>
        <v>62.3</v>
      </c>
      <c r="F1192" s="1">
        <f ca="1">IFERROR(__xludf.DUMMYFUNCTION("""COMPUTED_VALUE"""),1355162)</f>
        <v>1355162</v>
      </c>
    </row>
    <row r="1193" spans="1:6" x14ac:dyDescent="0.35">
      <c r="A1193" s="2">
        <f ca="1">IFERROR(__xludf.DUMMYFUNCTION("""COMPUTED_VALUE"""),43734.6666666666)</f>
        <v>43734.666666666599</v>
      </c>
      <c r="B1193" s="1">
        <f ca="1">IFERROR(__xludf.DUMMYFUNCTION("""COMPUTED_VALUE"""),62.11)</f>
        <v>62.11</v>
      </c>
      <c r="C1193" s="1">
        <f ca="1">IFERROR(__xludf.DUMMYFUNCTION("""COMPUTED_VALUE"""),62.23)</f>
        <v>62.23</v>
      </c>
      <c r="D1193" s="1">
        <f ca="1">IFERROR(__xludf.DUMMYFUNCTION("""COMPUTED_VALUE"""),61.59)</f>
        <v>61.59</v>
      </c>
      <c r="E1193" s="1">
        <f ca="1">IFERROR(__xludf.DUMMYFUNCTION("""COMPUTED_VALUE"""),62.11)</f>
        <v>62.11</v>
      </c>
      <c r="F1193" s="1">
        <f ca="1">IFERROR(__xludf.DUMMYFUNCTION("""COMPUTED_VALUE"""),1171577)</f>
        <v>1171577</v>
      </c>
    </row>
    <row r="1194" spans="1:6" x14ac:dyDescent="0.35">
      <c r="A1194" s="2">
        <f ca="1">IFERROR(__xludf.DUMMYFUNCTION("""COMPUTED_VALUE"""),43735.6666666666)</f>
        <v>43735.666666666599</v>
      </c>
      <c r="B1194" s="1">
        <f ca="1">IFERROR(__xludf.DUMMYFUNCTION("""COMPUTED_VALUE"""),62.14)</f>
        <v>62.14</v>
      </c>
      <c r="C1194" s="1">
        <f ca="1">IFERROR(__xludf.DUMMYFUNCTION("""COMPUTED_VALUE"""),62.25)</f>
        <v>62.25</v>
      </c>
      <c r="D1194" s="1">
        <f ca="1">IFERROR(__xludf.DUMMYFUNCTION("""COMPUTED_VALUE"""),60.76)</f>
        <v>60.76</v>
      </c>
      <c r="E1194" s="1">
        <f ca="1">IFERROR(__xludf.DUMMYFUNCTION("""COMPUTED_VALUE"""),61.3)</f>
        <v>61.3</v>
      </c>
      <c r="F1194" s="1">
        <f ca="1">IFERROR(__xludf.DUMMYFUNCTION("""COMPUTED_VALUE"""),1722481)</f>
        <v>1722481</v>
      </c>
    </row>
    <row r="1195" spans="1:6" x14ac:dyDescent="0.35">
      <c r="A1195" s="2">
        <f ca="1">IFERROR(__xludf.DUMMYFUNCTION("""COMPUTED_VALUE"""),43738.6666666666)</f>
        <v>43738.666666666599</v>
      </c>
      <c r="B1195" s="1">
        <f ca="1">IFERROR(__xludf.DUMMYFUNCTION("""COMPUTED_VALUE"""),61.03)</f>
        <v>61.03</v>
      </c>
      <c r="C1195" s="1">
        <f ca="1">IFERROR(__xludf.DUMMYFUNCTION("""COMPUTED_VALUE"""),61.37)</f>
        <v>61.37</v>
      </c>
      <c r="D1195" s="1">
        <f ca="1">IFERROR(__xludf.DUMMYFUNCTION("""COMPUTED_VALUE"""),60.67)</f>
        <v>60.67</v>
      </c>
      <c r="E1195" s="1">
        <f ca="1">IFERROR(__xludf.DUMMYFUNCTION("""COMPUTED_VALUE"""),61.06)</f>
        <v>61.06</v>
      </c>
      <c r="F1195" s="1">
        <f ca="1">IFERROR(__xludf.DUMMYFUNCTION("""COMPUTED_VALUE"""),1294609)</f>
        <v>1294609</v>
      </c>
    </row>
    <row r="1196" spans="1:6" x14ac:dyDescent="0.35">
      <c r="A1196" s="2">
        <f ca="1">IFERROR(__xludf.DUMMYFUNCTION("""COMPUTED_VALUE"""),43739.6666666666)</f>
        <v>43739.666666666599</v>
      </c>
      <c r="B1196" s="1">
        <f ca="1">IFERROR(__xludf.DUMMYFUNCTION("""COMPUTED_VALUE"""),61.12)</f>
        <v>61.12</v>
      </c>
      <c r="C1196" s="1">
        <f ca="1">IFERROR(__xludf.DUMMYFUNCTION("""COMPUTED_VALUE"""),61.64)</f>
        <v>61.64</v>
      </c>
      <c r="D1196" s="1">
        <f ca="1">IFERROR(__xludf.DUMMYFUNCTION("""COMPUTED_VALUE"""),60.28)</f>
        <v>60.28</v>
      </c>
      <c r="E1196" s="1">
        <f ca="1">IFERROR(__xludf.DUMMYFUNCTION("""COMPUTED_VALUE"""),60.3)</f>
        <v>60.3</v>
      </c>
      <c r="F1196" s="1">
        <f ca="1">IFERROR(__xludf.DUMMYFUNCTION("""COMPUTED_VALUE"""),1282735)</f>
        <v>1282735</v>
      </c>
    </row>
    <row r="1197" spans="1:6" x14ac:dyDescent="0.35">
      <c r="A1197" s="2">
        <f ca="1">IFERROR(__xludf.DUMMYFUNCTION("""COMPUTED_VALUE"""),43740.6666666666)</f>
        <v>43740.666666666599</v>
      </c>
      <c r="B1197" s="1">
        <f ca="1">IFERROR(__xludf.DUMMYFUNCTION("""COMPUTED_VALUE"""),59.83)</f>
        <v>59.83</v>
      </c>
      <c r="C1197" s="1">
        <f ca="1">IFERROR(__xludf.DUMMYFUNCTION("""COMPUTED_VALUE"""),59.94)</f>
        <v>59.94</v>
      </c>
      <c r="D1197" s="1">
        <f ca="1">IFERROR(__xludf.DUMMYFUNCTION("""COMPUTED_VALUE"""),58.63)</f>
        <v>58.63</v>
      </c>
      <c r="E1197" s="1">
        <f ca="1">IFERROR(__xludf.DUMMYFUNCTION("""COMPUTED_VALUE"""),58.9)</f>
        <v>58.9</v>
      </c>
      <c r="F1197" s="1">
        <f ca="1">IFERROR(__xludf.DUMMYFUNCTION("""COMPUTED_VALUE"""),1674774)</f>
        <v>1674774</v>
      </c>
    </row>
    <row r="1198" spans="1:6" x14ac:dyDescent="0.35">
      <c r="A1198" s="2">
        <f ca="1">IFERROR(__xludf.DUMMYFUNCTION("""COMPUTED_VALUE"""),43741.6666666666)</f>
        <v>43741.666666666599</v>
      </c>
      <c r="B1198" s="1">
        <f ca="1">IFERROR(__xludf.DUMMYFUNCTION("""COMPUTED_VALUE"""),59.17)</f>
        <v>59.17</v>
      </c>
      <c r="C1198" s="1">
        <f ca="1">IFERROR(__xludf.DUMMYFUNCTION("""COMPUTED_VALUE"""),59.55)</f>
        <v>59.55</v>
      </c>
      <c r="D1198" s="1">
        <f ca="1">IFERROR(__xludf.DUMMYFUNCTION("""COMPUTED_VALUE"""),58.16)</f>
        <v>58.16</v>
      </c>
      <c r="E1198" s="1">
        <f ca="1">IFERROR(__xludf.DUMMYFUNCTION("""COMPUTED_VALUE"""),59.47)</f>
        <v>59.47</v>
      </c>
      <c r="F1198" s="1">
        <f ca="1">IFERROR(__xludf.DUMMYFUNCTION("""COMPUTED_VALUE"""),1469413)</f>
        <v>1469413</v>
      </c>
    </row>
    <row r="1199" spans="1:6" x14ac:dyDescent="0.35">
      <c r="A1199" s="2">
        <f ca="1">IFERROR(__xludf.DUMMYFUNCTION("""COMPUTED_VALUE"""),43742.6666666666)</f>
        <v>43742.666666666599</v>
      </c>
      <c r="B1199" s="1">
        <f ca="1">IFERROR(__xludf.DUMMYFUNCTION("""COMPUTED_VALUE"""),59.71)</f>
        <v>59.71</v>
      </c>
      <c r="C1199" s="1">
        <f ca="1">IFERROR(__xludf.DUMMYFUNCTION("""COMPUTED_VALUE"""),60.62)</f>
        <v>60.62</v>
      </c>
      <c r="D1199" s="1">
        <f ca="1">IFERROR(__xludf.DUMMYFUNCTION("""COMPUTED_VALUE"""),59.55)</f>
        <v>59.55</v>
      </c>
      <c r="E1199" s="1">
        <f ca="1">IFERROR(__xludf.DUMMYFUNCTION("""COMPUTED_VALUE"""),60.55)</f>
        <v>60.55</v>
      </c>
      <c r="F1199" s="1">
        <f ca="1">IFERROR(__xludf.DUMMYFUNCTION("""COMPUTED_VALUE"""),1228686)</f>
        <v>1228686</v>
      </c>
    </row>
    <row r="1200" spans="1:6" x14ac:dyDescent="0.35">
      <c r="A1200" s="2">
        <f ca="1">IFERROR(__xludf.DUMMYFUNCTION("""COMPUTED_VALUE"""),43745.6666666666)</f>
        <v>43745.666666666599</v>
      </c>
      <c r="B1200" s="1">
        <f ca="1">IFERROR(__xludf.DUMMYFUNCTION("""COMPUTED_VALUE"""),60.35)</f>
        <v>60.35</v>
      </c>
      <c r="C1200" s="1">
        <f ca="1">IFERROR(__xludf.DUMMYFUNCTION("""COMPUTED_VALUE"""),60.95)</f>
        <v>60.95</v>
      </c>
      <c r="D1200" s="1">
        <f ca="1">IFERROR(__xludf.DUMMYFUNCTION("""COMPUTED_VALUE"""),60.22)</f>
        <v>60.22</v>
      </c>
      <c r="E1200" s="1">
        <f ca="1">IFERROR(__xludf.DUMMYFUNCTION("""COMPUTED_VALUE"""),60.41)</f>
        <v>60.41</v>
      </c>
      <c r="F1200" s="1">
        <f ca="1">IFERROR(__xludf.DUMMYFUNCTION("""COMPUTED_VALUE"""),879020)</f>
        <v>879020</v>
      </c>
    </row>
    <row r="1201" spans="1:6" x14ac:dyDescent="0.35">
      <c r="A1201" s="2">
        <f ca="1">IFERROR(__xludf.DUMMYFUNCTION("""COMPUTED_VALUE"""),43746.6666666666)</f>
        <v>43746.666666666599</v>
      </c>
      <c r="B1201" s="1">
        <f ca="1">IFERROR(__xludf.DUMMYFUNCTION("""COMPUTED_VALUE"""),59.94)</f>
        <v>59.94</v>
      </c>
      <c r="C1201" s="1">
        <f ca="1">IFERROR(__xludf.DUMMYFUNCTION("""COMPUTED_VALUE"""),60.34)</f>
        <v>60.34</v>
      </c>
      <c r="D1201" s="1">
        <f ca="1">IFERROR(__xludf.DUMMYFUNCTION("""COMPUTED_VALUE"""),59.47)</f>
        <v>59.47</v>
      </c>
      <c r="E1201" s="1">
        <f ca="1">IFERROR(__xludf.DUMMYFUNCTION("""COMPUTED_VALUE"""),59.51)</f>
        <v>59.51</v>
      </c>
      <c r="F1201" s="1">
        <f ca="1">IFERROR(__xludf.DUMMYFUNCTION("""COMPUTED_VALUE"""),1032426)</f>
        <v>1032426</v>
      </c>
    </row>
    <row r="1202" spans="1:6" x14ac:dyDescent="0.35">
      <c r="A1202" s="2">
        <f ca="1">IFERROR(__xludf.DUMMYFUNCTION("""COMPUTED_VALUE"""),43747.6666666666)</f>
        <v>43747.666666666599</v>
      </c>
      <c r="B1202" s="1">
        <f ca="1">IFERROR(__xludf.DUMMYFUNCTION("""COMPUTED_VALUE"""),60.07)</f>
        <v>60.07</v>
      </c>
      <c r="C1202" s="1">
        <f ca="1">IFERROR(__xludf.DUMMYFUNCTION("""COMPUTED_VALUE"""),60.42)</f>
        <v>60.42</v>
      </c>
      <c r="D1202" s="1">
        <f ca="1">IFERROR(__xludf.DUMMYFUNCTION("""COMPUTED_VALUE"""),59.91)</f>
        <v>59.91</v>
      </c>
      <c r="E1202" s="1">
        <f ca="1">IFERROR(__xludf.DUMMYFUNCTION("""COMPUTED_VALUE"""),60.12)</f>
        <v>60.12</v>
      </c>
      <c r="F1202" s="1">
        <f ca="1">IFERROR(__xludf.DUMMYFUNCTION("""COMPUTED_VALUE"""),813216)</f>
        <v>813216</v>
      </c>
    </row>
    <row r="1203" spans="1:6" x14ac:dyDescent="0.35">
      <c r="A1203" s="2">
        <f ca="1">IFERROR(__xludf.DUMMYFUNCTION("""COMPUTED_VALUE"""),43748.6666666666)</f>
        <v>43748.666666666599</v>
      </c>
      <c r="B1203" s="1">
        <f ca="1">IFERROR(__xludf.DUMMYFUNCTION("""COMPUTED_VALUE"""),59.93)</f>
        <v>59.93</v>
      </c>
      <c r="C1203" s="1">
        <f ca="1">IFERROR(__xludf.DUMMYFUNCTION("""COMPUTED_VALUE"""),60.78)</f>
        <v>60.78</v>
      </c>
      <c r="D1203" s="1">
        <f ca="1">IFERROR(__xludf.DUMMYFUNCTION("""COMPUTED_VALUE"""),59.89)</f>
        <v>59.89</v>
      </c>
      <c r="E1203" s="1">
        <f ca="1">IFERROR(__xludf.DUMMYFUNCTION("""COMPUTED_VALUE"""),60.47)</f>
        <v>60.47</v>
      </c>
      <c r="F1203" s="1">
        <f ca="1">IFERROR(__xludf.DUMMYFUNCTION("""COMPUTED_VALUE"""),668244)</f>
        <v>668244</v>
      </c>
    </row>
    <row r="1204" spans="1:6" x14ac:dyDescent="0.35">
      <c r="A1204" s="2">
        <f ca="1">IFERROR(__xludf.DUMMYFUNCTION("""COMPUTED_VALUE"""),43749.6666666666)</f>
        <v>43749.666666666599</v>
      </c>
      <c r="B1204" s="1">
        <f ca="1">IFERROR(__xludf.DUMMYFUNCTION("""COMPUTED_VALUE"""),61.2)</f>
        <v>61.2</v>
      </c>
      <c r="C1204" s="1">
        <f ca="1">IFERROR(__xludf.DUMMYFUNCTION("""COMPUTED_VALUE"""),61.44)</f>
        <v>61.44</v>
      </c>
      <c r="D1204" s="1">
        <f ca="1">IFERROR(__xludf.DUMMYFUNCTION("""COMPUTED_VALUE"""),60.68)</f>
        <v>60.68</v>
      </c>
      <c r="E1204" s="1">
        <f ca="1">IFERROR(__xludf.DUMMYFUNCTION("""COMPUTED_VALUE"""),60.79)</f>
        <v>60.79</v>
      </c>
      <c r="F1204" s="1">
        <f ca="1">IFERROR(__xludf.DUMMYFUNCTION("""COMPUTED_VALUE"""),1126452)</f>
        <v>1126452</v>
      </c>
    </row>
    <row r="1205" spans="1:6" x14ac:dyDescent="0.35">
      <c r="A1205" s="2">
        <f ca="1">IFERROR(__xludf.DUMMYFUNCTION("""COMPUTED_VALUE"""),43752.6666666666)</f>
        <v>43752.666666666599</v>
      </c>
      <c r="B1205" s="1">
        <f ca="1">IFERROR(__xludf.DUMMYFUNCTION("""COMPUTED_VALUE"""),60.69)</f>
        <v>60.69</v>
      </c>
      <c r="C1205" s="1">
        <f ca="1">IFERROR(__xludf.DUMMYFUNCTION("""COMPUTED_VALUE"""),61.29)</f>
        <v>61.29</v>
      </c>
      <c r="D1205" s="1">
        <f ca="1">IFERROR(__xludf.DUMMYFUNCTION("""COMPUTED_VALUE"""),60.59)</f>
        <v>60.59</v>
      </c>
      <c r="E1205" s="1">
        <f ca="1">IFERROR(__xludf.DUMMYFUNCTION("""COMPUTED_VALUE"""),60.89)</f>
        <v>60.89</v>
      </c>
      <c r="F1205" s="1">
        <f ca="1">IFERROR(__xludf.DUMMYFUNCTION("""COMPUTED_VALUE"""),683926)</f>
        <v>683926</v>
      </c>
    </row>
    <row r="1206" spans="1:6" x14ac:dyDescent="0.35">
      <c r="A1206" s="2">
        <f ca="1">IFERROR(__xludf.DUMMYFUNCTION("""COMPUTED_VALUE"""),43753.6666666666)</f>
        <v>43753.666666666599</v>
      </c>
      <c r="B1206" s="1">
        <f ca="1">IFERROR(__xludf.DUMMYFUNCTION("""COMPUTED_VALUE"""),61.08)</f>
        <v>61.08</v>
      </c>
      <c r="C1206" s="1">
        <f ca="1">IFERROR(__xludf.DUMMYFUNCTION("""COMPUTED_VALUE"""),62.36)</f>
        <v>62.36</v>
      </c>
      <c r="D1206" s="1">
        <f ca="1">IFERROR(__xludf.DUMMYFUNCTION("""COMPUTED_VALUE"""),61.05)</f>
        <v>61.05</v>
      </c>
      <c r="E1206" s="1">
        <f ca="1">IFERROR(__xludf.DUMMYFUNCTION("""COMPUTED_VALUE"""),62.11)</f>
        <v>62.11</v>
      </c>
      <c r="F1206" s="1">
        <f ca="1">IFERROR(__xludf.DUMMYFUNCTION("""COMPUTED_VALUE"""),1527216)</f>
        <v>1527216</v>
      </c>
    </row>
    <row r="1207" spans="1:6" x14ac:dyDescent="0.35">
      <c r="A1207" s="2">
        <f ca="1">IFERROR(__xludf.DUMMYFUNCTION("""COMPUTED_VALUE"""),43754.6666666666)</f>
        <v>43754.666666666599</v>
      </c>
      <c r="B1207" s="1">
        <f ca="1">IFERROR(__xludf.DUMMYFUNCTION("""COMPUTED_VALUE"""),62.09)</f>
        <v>62.09</v>
      </c>
      <c r="C1207" s="1">
        <f ca="1">IFERROR(__xludf.DUMMYFUNCTION("""COMPUTED_VALUE"""),62.71)</f>
        <v>62.71</v>
      </c>
      <c r="D1207" s="1">
        <f ca="1">IFERROR(__xludf.DUMMYFUNCTION("""COMPUTED_VALUE"""),61.93)</f>
        <v>61.93</v>
      </c>
      <c r="E1207" s="1">
        <f ca="1">IFERROR(__xludf.DUMMYFUNCTION("""COMPUTED_VALUE"""),62.15)</f>
        <v>62.15</v>
      </c>
      <c r="F1207" s="1">
        <f ca="1">IFERROR(__xludf.DUMMYFUNCTION("""COMPUTED_VALUE"""),1151028)</f>
        <v>1151028</v>
      </c>
    </row>
    <row r="1208" spans="1:6" x14ac:dyDescent="0.35">
      <c r="A1208" s="2">
        <f ca="1">IFERROR(__xludf.DUMMYFUNCTION("""COMPUTED_VALUE"""),43755.6666666666)</f>
        <v>43755.666666666599</v>
      </c>
      <c r="B1208" s="1">
        <f ca="1">IFERROR(__xludf.DUMMYFUNCTION("""COMPUTED_VALUE"""),62.57)</f>
        <v>62.57</v>
      </c>
      <c r="C1208" s="1">
        <f ca="1">IFERROR(__xludf.DUMMYFUNCTION("""COMPUTED_VALUE"""),63.19)</f>
        <v>63.19</v>
      </c>
      <c r="D1208" s="1">
        <f ca="1">IFERROR(__xludf.DUMMYFUNCTION("""COMPUTED_VALUE"""),62.49)</f>
        <v>62.49</v>
      </c>
      <c r="E1208" s="1">
        <f ca="1">IFERROR(__xludf.DUMMYFUNCTION("""COMPUTED_VALUE"""),62.64)</f>
        <v>62.64</v>
      </c>
      <c r="F1208" s="1">
        <f ca="1">IFERROR(__xludf.DUMMYFUNCTION("""COMPUTED_VALUE"""),1063981)</f>
        <v>1063981</v>
      </c>
    </row>
    <row r="1209" spans="1:6" x14ac:dyDescent="0.35">
      <c r="A1209" s="2">
        <f ca="1">IFERROR(__xludf.DUMMYFUNCTION("""COMPUTED_VALUE"""),43756.6666666666)</f>
        <v>43756.666666666599</v>
      </c>
      <c r="B1209" s="1">
        <f ca="1">IFERROR(__xludf.DUMMYFUNCTION("""COMPUTED_VALUE"""),62.73)</f>
        <v>62.73</v>
      </c>
      <c r="C1209" s="1">
        <f ca="1">IFERROR(__xludf.DUMMYFUNCTION("""COMPUTED_VALUE"""),62.91)</f>
        <v>62.91</v>
      </c>
      <c r="D1209" s="1">
        <f ca="1">IFERROR(__xludf.DUMMYFUNCTION("""COMPUTED_VALUE"""),62.01)</f>
        <v>62.01</v>
      </c>
      <c r="E1209" s="1">
        <f ca="1">IFERROR(__xludf.DUMMYFUNCTION("""COMPUTED_VALUE"""),62.22)</f>
        <v>62.22</v>
      </c>
      <c r="F1209" s="1">
        <f ca="1">IFERROR(__xludf.DUMMYFUNCTION("""COMPUTED_VALUE"""),1582320)</f>
        <v>1582320</v>
      </c>
    </row>
    <row r="1210" spans="1:6" x14ac:dyDescent="0.35">
      <c r="A1210" s="2">
        <f ca="1">IFERROR(__xludf.DUMMYFUNCTION("""COMPUTED_VALUE"""),43759.6666666666)</f>
        <v>43759.666666666599</v>
      </c>
      <c r="B1210" s="1">
        <f ca="1">IFERROR(__xludf.DUMMYFUNCTION("""COMPUTED_VALUE"""),62.44)</f>
        <v>62.44</v>
      </c>
      <c r="C1210" s="1">
        <f ca="1">IFERROR(__xludf.DUMMYFUNCTION("""COMPUTED_VALUE"""),62.68)</f>
        <v>62.68</v>
      </c>
      <c r="D1210" s="1">
        <f ca="1">IFERROR(__xludf.DUMMYFUNCTION("""COMPUTED_VALUE"""),62)</f>
        <v>62</v>
      </c>
      <c r="E1210" s="1">
        <f ca="1">IFERROR(__xludf.DUMMYFUNCTION("""COMPUTED_VALUE"""),62.21)</f>
        <v>62.21</v>
      </c>
      <c r="F1210" s="1">
        <f ca="1">IFERROR(__xludf.DUMMYFUNCTION("""COMPUTED_VALUE"""),1030085)</f>
        <v>1030085</v>
      </c>
    </row>
    <row r="1211" spans="1:6" x14ac:dyDescent="0.35">
      <c r="A1211" s="2">
        <f ca="1">IFERROR(__xludf.DUMMYFUNCTION("""COMPUTED_VALUE"""),43760.6666666666)</f>
        <v>43760.666666666599</v>
      </c>
      <c r="B1211" s="1">
        <f ca="1">IFERROR(__xludf.DUMMYFUNCTION("""COMPUTED_VALUE"""),62.22)</f>
        <v>62.22</v>
      </c>
      <c r="C1211" s="1">
        <f ca="1">IFERROR(__xludf.DUMMYFUNCTION("""COMPUTED_VALUE"""),62.44)</f>
        <v>62.44</v>
      </c>
      <c r="D1211" s="1">
        <f ca="1">IFERROR(__xludf.DUMMYFUNCTION("""COMPUTED_VALUE"""),61.99)</f>
        <v>61.99</v>
      </c>
      <c r="E1211" s="1">
        <f ca="1">IFERROR(__xludf.DUMMYFUNCTION("""COMPUTED_VALUE"""),62.06)</f>
        <v>62.06</v>
      </c>
      <c r="F1211" s="1">
        <f ca="1">IFERROR(__xludf.DUMMYFUNCTION("""COMPUTED_VALUE"""),1281821)</f>
        <v>1281821</v>
      </c>
    </row>
    <row r="1212" spans="1:6" x14ac:dyDescent="0.35">
      <c r="A1212" s="2">
        <f ca="1">IFERROR(__xludf.DUMMYFUNCTION("""COMPUTED_VALUE"""),43761.6666666666)</f>
        <v>43761.666666666599</v>
      </c>
      <c r="B1212" s="1">
        <f ca="1">IFERROR(__xludf.DUMMYFUNCTION("""COMPUTED_VALUE"""),62.01)</f>
        <v>62.01</v>
      </c>
      <c r="C1212" s="1">
        <f ca="1">IFERROR(__xludf.DUMMYFUNCTION("""COMPUTED_VALUE"""),62.9)</f>
        <v>62.9</v>
      </c>
      <c r="D1212" s="1">
        <f ca="1">IFERROR(__xludf.DUMMYFUNCTION("""COMPUTED_VALUE"""),62.01)</f>
        <v>62.01</v>
      </c>
      <c r="E1212" s="1">
        <f ca="1">IFERROR(__xludf.DUMMYFUNCTION("""COMPUTED_VALUE"""),62.88)</f>
        <v>62.88</v>
      </c>
      <c r="F1212" s="1">
        <f ca="1">IFERROR(__xludf.DUMMYFUNCTION("""COMPUTED_VALUE"""),1176281)</f>
        <v>1176281</v>
      </c>
    </row>
    <row r="1213" spans="1:6" x14ac:dyDescent="0.35">
      <c r="A1213" s="2">
        <f ca="1">IFERROR(__xludf.DUMMYFUNCTION("""COMPUTED_VALUE"""),43762.6666666666)</f>
        <v>43762.666666666599</v>
      </c>
      <c r="B1213" s="1">
        <f ca="1">IFERROR(__xludf.DUMMYFUNCTION("""COMPUTED_VALUE"""),62.96)</f>
        <v>62.96</v>
      </c>
      <c r="C1213" s="1">
        <f ca="1">IFERROR(__xludf.DUMMYFUNCTION("""COMPUTED_VALUE"""),63.15)</f>
        <v>63.15</v>
      </c>
      <c r="D1213" s="1">
        <f ca="1">IFERROR(__xludf.DUMMYFUNCTION("""COMPUTED_VALUE"""),62.62)</f>
        <v>62.62</v>
      </c>
      <c r="E1213" s="1">
        <f ca="1">IFERROR(__xludf.DUMMYFUNCTION("""COMPUTED_VALUE"""),62.96)</f>
        <v>62.96</v>
      </c>
      <c r="F1213" s="1">
        <f ca="1">IFERROR(__xludf.DUMMYFUNCTION("""COMPUTED_VALUE"""),1140478)</f>
        <v>1140478</v>
      </c>
    </row>
    <row r="1214" spans="1:6" x14ac:dyDescent="0.35">
      <c r="A1214" s="2">
        <f ca="1">IFERROR(__xludf.DUMMYFUNCTION("""COMPUTED_VALUE"""),43763.6666666666)</f>
        <v>43763.666666666599</v>
      </c>
      <c r="B1214" s="1">
        <f ca="1">IFERROR(__xludf.DUMMYFUNCTION("""COMPUTED_VALUE"""),62.6)</f>
        <v>62.6</v>
      </c>
      <c r="C1214" s="1">
        <f ca="1">IFERROR(__xludf.DUMMYFUNCTION("""COMPUTED_VALUE"""),63.4)</f>
        <v>63.4</v>
      </c>
      <c r="D1214" s="1">
        <f ca="1">IFERROR(__xludf.DUMMYFUNCTION("""COMPUTED_VALUE"""),62.46)</f>
        <v>62.46</v>
      </c>
      <c r="E1214" s="1">
        <f ca="1">IFERROR(__xludf.DUMMYFUNCTION("""COMPUTED_VALUE"""),63.22)</f>
        <v>63.22</v>
      </c>
      <c r="F1214" s="1">
        <f ca="1">IFERROR(__xludf.DUMMYFUNCTION("""COMPUTED_VALUE"""),1355248)</f>
        <v>1355248</v>
      </c>
    </row>
    <row r="1215" spans="1:6" x14ac:dyDescent="0.35">
      <c r="A1215" s="2">
        <f ca="1">IFERROR(__xludf.DUMMYFUNCTION("""COMPUTED_VALUE"""),43766.6666666666)</f>
        <v>43766.666666666599</v>
      </c>
      <c r="B1215" s="1">
        <f ca="1">IFERROR(__xludf.DUMMYFUNCTION("""COMPUTED_VALUE"""),63.75)</f>
        <v>63.75</v>
      </c>
      <c r="C1215" s="1">
        <f ca="1">IFERROR(__xludf.DUMMYFUNCTION("""COMPUTED_VALUE"""),64.96)</f>
        <v>64.959999999999994</v>
      </c>
      <c r="D1215" s="1">
        <f ca="1">IFERROR(__xludf.DUMMYFUNCTION("""COMPUTED_VALUE"""),63.62)</f>
        <v>63.62</v>
      </c>
      <c r="E1215" s="1">
        <f ca="1">IFERROR(__xludf.DUMMYFUNCTION("""COMPUTED_VALUE"""),64.45)</f>
        <v>64.45</v>
      </c>
      <c r="F1215" s="1">
        <f ca="1">IFERROR(__xludf.DUMMYFUNCTION("""COMPUTED_VALUE"""),3271411)</f>
        <v>3271411</v>
      </c>
    </row>
    <row r="1216" spans="1:6" x14ac:dyDescent="0.35">
      <c r="A1216" s="2">
        <f ca="1">IFERROR(__xludf.DUMMYFUNCTION("""COMPUTED_VALUE"""),43767.6666666666)</f>
        <v>43767.666666666599</v>
      </c>
      <c r="B1216" s="1">
        <f ca="1">IFERROR(__xludf.DUMMYFUNCTION("""COMPUTED_VALUE"""),63.8)</f>
        <v>63.8</v>
      </c>
      <c r="C1216" s="1">
        <f ca="1">IFERROR(__xludf.DUMMYFUNCTION("""COMPUTED_VALUE"""),64.04)</f>
        <v>64.040000000000006</v>
      </c>
      <c r="D1216" s="1">
        <f ca="1">IFERROR(__xludf.DUMMYFUNCTION("""COMPUTED_VALUE"""),62.78)</f>
        <v>62.78</v>
      </c>
      <c r="E1216" s="1">
        <f ca="1">IFERROR(__xludf.DUMMYFUNCTION("""COMPUTED_VALUE"""),63.03)</f>
        <v>63.03</v>
      </c>
      <c r="F1216" s="1">
        <f ca="1">IFERROR(__xludf.DUMMYFUNCTION("""COMPUTED_VALUE"""),2632715)</f>
        <v>2632715</v>
      </c>
    </row>
    <row r="1217" spans="1:6" x14ac:dyDescent="0.35">
      <c r="A1217" s="2">
        <f ca="1">IFERROR(__xludf.DUMMYFUNCTION("""COMPUTED_VALUE"""),43768.6666666666)</f>
        <v>43768.666666666599</v>
      </c>
      <c r="B1217" s="1">
        <f ca="1">IFERROR(__xludf.DUMMYFUNCTION("""COMPUTED_VALUE"""),62.76)</f>
        <v>62.76</v>
      </c>
      <c r="C1217" s="1">
        <f ca="1">IFERROR(__xludf.DUMMYFUNCTION("""COMPUTED_VALUE"""),63.4)</f>
        <v>63.4</v>
      </c>
      <c r="D1217" s="1">
        <f ca="1">IFERROR(__xludf.DUMMYFUNCTION("""COMPUTED_VALUE"""),62.53)</f>
        <v>62.53</v>
      </c>
      <c r="E1217" s="1">
        <f ca="1">IFERROR(__xludf.DUMMYFUNCTION("""COMPUTED_VALUE"""),63.04)</f>
        <v>63.04</v>
      </c>
      <c r="F1217" s="1">
        <f ca="1">IFERROR(__xludf.DUMMYFUNCTION("""COMPUTED_VALUE"""),1460193)</f>
        <v>1460193</v>
      </c>
    </row>
    <row r="1218" spans="1:6" x14ac:dyDescent="0.35">
      <c r="A1218" s="2">
        <f ca="1">IFERROR(__xludf.DUMMYFUNCTION("""COMPUTED_VALUE"""),43769.6666666666)</f>
        <v>43769.666666666599</v>
      </c>
      <c r="B1218" s="1">
        <f ca="1">IFERROR(__xludf.DUMMYFUNCTION("""COMPUTED_VALUE"""),63)</f>
        <v>63</v>
      </c>
      <c r="C1218" s="1">
        <f ca="1">IFERROR(__xludf.DUMMYFUNCTION("""COMPUTED_VALUE"""),63.33)</f>
        <v>63.33</v>
      </c>
      <c r="D1218" s="1">
        <f ca="1">IFERROR(__xludf.DUMMYFUNCTION("""COMPUTED_VALUE"""),62.47)</f>
        <v>62.47</v>
      </c>
      <c r="E1218" s="1">
        <f ca="1">IFERROR(__xludf.DUMMYFUNCTION("""COMPUTED_VALUE"""),62.94)</f>
        <v>62.94</v>
      </c>
      <c r="F1218" s="1">
        <f ca="1">IFERROR(__xludf.DUMMYFUNCTION("""COMPUTED_VALUE"""),1595154)</f>
        <v>1595154</v>
      </c>
    </row>
    <row r="1219" spans="1:6" x14ac:dyDescent="0.35">
      <c r="A1219" s="2">
        <f ca="1">IFERROR(__xludf.DUMMYFUNCTION("""COMPUTED_VALUE"""),43770.6666666666)</f>
        <v>43770.666666666599</v>
      </c>
      <c r="B1219" s="1">
        <f ca="1">IFERROR(__xludf.DUMMYFUNCTION("""COMPUTED_VALUE"""),63.29)</f>
        <v>63.29</v>
      </c>
      <c r="C1219" s="1">
        <f ca="1">IFERROR(__xludf.DUMMYFUNCTION("""COMPUTED_VALUE"""),63.65)</f>
        <v>63.65</v>
      </c>
      <c r="D1219" s="1">
        <f ca="1">IFERROR(__xludf.DUMMYFUNCTION("""COMPUTED_VALUE"""),62.99)</f>
        <v>62.99</v>
      </c>
      <c r="E1219" s="1">
        <f ca="1">IFERROR(__xludf.DUMMYFUNCTION("""COMPUTED_VALUE"""),63.61)</f>
        <v>63.61</v>
      </c>
      <c r="F1219" s="1">
        <f ca="1">IFERROR(__xludf.DUMMYFUNCTION("""COMPUTED_VALUE"""),1440607)</f>
        <v>1440607</v>
      </c>
    </row>
    <row r="1220" spans="1:6" x14ac:dyDescent="0.35">
      <c r="A1220" s="2">
        <f ca="1">IFERROR(__xludf.DUMMYFUNCTION("""COMPUTED_VALUE"""),43773.6666666666)</f>
        <v>43773.666666666599</v>
      </c>
      <c r="B1220" s="1">
        <f ca="1">IFERROR(__xludf.DUMMYFUNCTION("""COMPUTED_VALUE"""),63.81)</f>
        <v>63.81</v>
      </c>
      <c r="C1220" s="1">
        <f ca="1">IFERROR(__xludf.DUMMYFUNCTION("""COMPUTED_VALUE"""),64.63)</f>
        <v>64.63</v>
      </c>
      <c r="D1220" s="1">
        <f ca="1">IFERROR(__xludf.DUMMYFUNCTION("""COMPUTED_VALUE"""),63.81)</f>
        <v>63.81</v>
      </c>
      <c r="E1220" s="1">
        <f ca="1">IFERROR(__xludf.DUMMYFUNCTION("""COMPUTED_VALUE"""),64.48)</f>
        <v>64.48</v>
      </c>
      <c r="F1220" s="1">
        <f ca="1">IFERROR(__xludf.DUMMYFUNCTION("""COMPUTED_VALUE"""),1531622)</f>
        <v>1531622</v>
      </c>
    </row>
    <row r="1221" spans="1:6" x14ac:dyDescent="0.35">
      <c r="A1221" s="2">
        <f ca="1">IFERROR(__xludf.DUMMYFUNCTION("""COMPUTED_VALUE"""),43774.6666666666)</f>
        <v>43774.666666666599</v>
      </c>
      <c r="B1221" s="1">
        <f ca="1">IFERROR(__xludf.DUMMYFUNCTION("""COMPUTED_VALUE"""),64.56)</f>
        <v>64.56</v>
      </c>
      <c r="C1221" s="1">
        <f ca="1">IFERROR(__xludf.DUMMYFUNCTION("""COMPUTED_VALUE"""),64.86)</f>
        <v>64.86</v>
      </c>
      <c r="D1221" s="1">
        <f ca="1">IFERROR(__xludf.DUMMYFUNCTION("""COMPUTED_VALUE"""),64.47)</f>
        <v>64.47</v>
      </c>
      <c r="E1221" s="1">
        <f ca="1">IFERROR(__xludf.DUMMYFUNCTION("""COMPUTED_VALUE"""),64.57)</f>
        <v>64.569999999999993</v>
      </c>
      <c r="F1221" s="1">
        <f ca="1">IFERROR(__xludf.DUMMYFUNCTION("""COMPUTED_VALUE"""),1257427)</f>
        <v>1257427</v>
      </c>
    </row>
    <row r="1222" spans="1:6" x14ac:dyDescent="0.35">
      <c r="A1222" s="2">
        <f ca="1">IFERROR(__xludf.DUMMYFUNCTION("""COMPUTED_VALUE"""),43775.6666666666)</f>
        <v>43775.666666666599</v>
      </c>
      <c r="B1222" s="1">
        <f ca="1">IFERROR(__xludf.DUMMYFUNCTION("""COMPUTED_VALUE"""),64.5)</f>
        <v>64.5</v>
      </c>
      <c r="C1222" s="1">
        <f ca="1">IFERROR(__xludf.DUMMYFUNCTION("""COMPUTED_VALUE"""),64.65)</f>
        <v>64.650000000000006</v>
      </c>
      <c r="D1222" s="1">
        <f ca="1">IFERROR(__xludf.DUMMYFUNCTION("""COMPUTED_VALUE"""),64.11)</f>
        <v>64.11</v>
      </c>
      <c r="E1222" s="1">
        <f ca="1">IFERROR(__xludf.DUMMYFUNCTION("""COMPUTED_VALUE"""),64.55)</f>
        <v>64.55</v>
      </c>
      <c r="F1222" s="1">
        <f ca="1">IFERROR(__xludf.DUMMYFUNCTION("""COMPUTED_VALUE"""),1231265)</f>
        <v>1231265</v>
      </c>
    </row>
    <row r="1223" spans="1:6" x14ac:dyDescent="0.35">
      <c r="A1223" s="2">
        <f ca="1">IFERROR(__xludf.DUMMYFUNCTION("""COMPUTED_VALUE"""),43776.6666666666)</f>
        <v>43776.666666666599</v>
      </c>
      <c r="B1223" s="1">
        <f ca="1">IFERROR(__xludf.DUMMYFUNCTION("""COMPUTED_VALUE"""),64.71)</f>
        <v>64.709999999999994</v>
      </c>
      <c r="C1223" s="1">
        <f ca="1">IFERROR(__xludf.DUMMYFUNCTION("""COMPUTED_VALUE"""),66.13)</f>
        <v>66.13</v>
      </c>
      <c r="D1223" s="1">
        <f ca="1">IFERROR(__xludf.DUMMYFUNCTION("""COMPUTED_VALUE"""),64.69)</f>
        <v>64.69</v>
      </c>
      <c r="E1223" s="1">
        <f ca="1">IFERROR(__xludf.DUMMYFUNCTION("""COMPUTED_VALUE"""),65.35)</f>
        <v>65.349999999999994</v>
      </c>
      <c r="F1223" s="1">
        <f ca="1">IFERROR(__xludf.DUMMYFUNCTION("""COMPUTED_VALUE"""),2257005)</f>
        <v>2257005</v>
      </c>
    </row>
    <row r="1224" spans="1:6" x14ac:dyDescent="0.35">
      <c r="A1224" s="2">
        <f ca="1">IFERROR(__xludf.DUMMYFUNCTION("""COMPUTED_VALUE"""),43777.6666666666)</f>
        <v>43777.666666666599</v>
      </c>
      <c r="B1224" s="1">
        <f ca="1">IFERROR(__xludf.DUMMYFUNCTION("""COMPUTED_VALUE"""),65.08)</f>
        <v>65.08</v>
      </c>
      <c r="C1224" s="1">
        <f ca="1">IFERROR(__xludf.DUMMYFUNCTION("""COMPUTED_VALUE"""),65.86)</f>
        <v>65.86</v>
      </c>
      <c r="D1224" s="1">
        <f ca="1">IFERROR(__xludf.DUMMYFUNCTION("""COMPUTED_VALUE"""),65.08)</f>
        <v>65.08</v>
      </c>
      <c r="E1224" s="1">
        <f ca="1">IFERROR(__xludf.DUMMYFUNCTION("""COMPUTED_VALUE"""),65.45)</f>
        <v>65.45</v>
      </c>
      <c r="F1224" s="1">
        <f ca="1">IFERROR(__xludf.DUMMYFUNCTION("""COMPUTED_VALUE"""),1521892)</f>
        <v>1521892</v>
      </c>
    </row>
    <row r="1225" spans="1:6" x14ac:dyDescent="0.35">
      <c r="A1225" s="2">
        <f ca="1">IFERROR(__xludf.DUMMYFUNCTION("""COMPUTED_VALUE"""),43780.6666666666)</f>
        <v>43780.666666666599</v>
      </c>
      <c r="B1225" s="1">
        <f ca="1">IFERROR(__xludf.DUMMYFUNCTION("""COMPUTED_VALUE"""),65.2)</f>
        <v>65.2</v>
      </c>
      <c r="C1225" s="1">
        <f ca="1">IFERROR(__xludf.DUMMYFUNCTION("""COMPUTED_VALUE"""),65.25)</f>
        <v>65.25</v>
      </c>
      <c r="D1225" s="1">
        <f ca="1">IFERROR(__xludf.DUMMYFUNCTION("""COMPUTED_VALUE"""),64.79)</f>
        <v>64.790000000000006</v>
      </c>
      <c r="E1225" s="1">
        <f ca="1">IFERROR(__xludf.DUMMYFUNCTION("""COMPUTED_VALUE"""),64.91)</f>
        <v>64.91</v>
      </c>
      <c r="F1225" s="1">
        <f ca="1">IFERROR(__xludf.DUMMYFUNCTION("""COMPUTED_VALUE"""),861860)</f>
        <v>861860</v>
      </c>
    </row>
    <row r="1226" spans="1:6" x14ac:dyDescent="0.35">
      <c r="A1226" s="2">
        <f ca="1">IFERROR(__xludf.DUMMYFUNCTION("""COMPUTED_VALUE"""),43781.6666666666)</f>
        <v>43781.666666666599</v>
      </c>
      <c r="B1226" s="1">
        <f ca="1">IFERROR(__xludf.DUMMYFUNCTION("""COMPUTED_VALUE"""),64.93)</f>
        <v>64.930000000000007</v>
      </c>
      <c r="C1226" s="1">
        <f ca="1">IFERROR(__xludf.DUMMYFUNCTION("""COMPUTED_VALUE"""),65.47)</f>
        <v>65.47</v>
      </c>
      <c r="D1226" s="1">
        <f ca="1">IFERROR(__xludf.DUMMYFUNCTION("""COMPUTED_VALUE"""),64.71)</f>
        <v>64.709999999999994</v>
      </c>
      <c r="E1226" s="1">
        <f ca="1">IFERROR(__xludf.DUMMYFUNCTION("""COMPUTED_VALUE"""),64.86)</f>
        <v>64.86</v>
      </c>
      <c r="F1226" s="1">
        <f ca="1">IFERROR(__xludf.DUMMYFUNCTION("""COMPUTED_VALUE"""),1444342)</f>
        <v>1444342</v>
      </c>
    </row>
    <row r="1227" spans="1:6" x14ac:dyDescent="0.35">
      <c r="A1227" s="2">
        <f ca="1">IFERROR(__xludf.DUMMYFUNCTION("""COMPUTED_VALUE"""),43782.6666666666)</f>
        <v>43782.666666666599</v>
      </c>
      <c r="B1227" s="1">
        <f ca="1">IFERROR(__xludf.DUMMYFUNCTION("""COMPUTED_VALUE"""),64.66)</f>
        <v>64.66</v>
      </c>
      <c r="C1227" s="1">
        <f ca="1">IFERROR(__xludf.DUMMYFUNCTION("""COMPUTED_VALUE"""),65.13)</f>
        <v>65.13</v>
      </c>
      <c r="D1227" s="1">
        <f ca="1">IFERROR(__xludf.DUMMYFUNCTION("""COMPUTED_VALUE"""),64.61)</f>
        <v>64.61</v>
      </c>
      <c r="E1227" s="1">
        <f ca="1">IFERROR(__xludf.DUMMYFUNCTION("""COMPUTED_VALUE"""),64.81)</f>
        <v>64.81</v>
      </c>
      <c r="F1227" s="1">
        <f ca="1">IFERROR(__xludf.DUMMYFUNCTION("""COMPUTED_VALUE"""),936085)</f>
        <v>936085</v>
      </c>
    </row>
    <row r="1228" spans="1:6" x14ac:dyDescent="0.35">
      <c r="A1228" s="2">
        <f ca="1">IFERROR(__xludf.DUMMYFUNCTION("""COMPUTED_VALUE"""),43783.6666666666)</f>
        <v>43783.666666666599</v>
      </c>
      <c r="B1228" s="1">
        <f ca="1">IFERROR(__xludf.DUMMYFUNCTION("""COMPUTED_VALUE"""),64.75)</f>
        <v>64.75</v>
      </c>
      <c r="C1228" s="1">
        <f ca="1">IFERROR(__xludf.DUMMYFUNCTION("""COMPUTED_VALUE"""),65.79)</f>
        <v>65.790000000000006</v>
      </c>
      <c r="D1228" s="1">
        <f ca="1">IFERROR(__xludf.DUMMYFUNCTION("""COMPUTED_VALUE"""),64.7)</f>
        <v>64.7</v>
      </c>
      <c r="E1228" s="1">
        <f ca="1">IFERROR(__xludf.DUMMYFUNCTION("""COMPUTED_VALUE"""),65.46)</f>
        <v>65.459999999999994</v>
      </c>
      <c r="F1228" s="1">
        <f ca="1">IFERROR(__xludf.DUMMYFUNCTION("""COMPUTED_VALUE"""),1450039)</f>
        <v>1450039</v>
      </c>
    </row>
    <row r="1229" spans="1:6" x14ac:dyDescent="0.35">
      <c r="A1229" s="2">
        <f ca="1">IFERROR(__xludf.DUMMYFUNCTION("""COMPUTED_VALUE"""),43784.6666666666)</f>
        <v>43784.666666666599</v>
      </c>
      <c r="B1229" s="1">
        <f ca="1">IFERROR(__xludf.DUMMYFUNCTION("""COMPUTED_VALUE"""),65.75)</f>
        <v>65.75</v>
      </c>
      <c r="C1229" s="1">
        <f ca="1">IFERROR(__xludf.DUMMYFUNCTION("""COMPUTED_VALUE"""),66.68)</f>
        <v>66.680000000000007</v>
      </c>
      <c r="D1229" s="1">
        <f ca="1">IFERROR(__xludf.DUMMYFUNCTION("""COMPUTED_VALUE"""),65.59)</f>
        <v>65.59</v>
      </c>
      <c r="E1229" s="1">
        <f ca="1">IFERROR(__xludf.DUMMYFUNCTION("""COMPUTED_VALUE"""),66.68)</f>
        <v>66.680000000000007</v>
      </c>
      <c r="F1229" s="1">
        <f ca="1">IFERROR(__xludf.DUMMYFUNCTION("""COMPUTED_VALUE"""),1964955)</f>
        <v>1964955</v>
      </c>
    </row>
    <row r="1230" spans="1:6" x14ac:dyDescent="0.35">
      <c r="A1230" s="2">
        <f ca="1">IFERROR(__xludf.DUMMYFUNCTION("""COMPUTED_VALUE"""),43787.6666666666)</f>
        <v>43787.666666666599</v>
      </c>
      <c r="B1230" s="1">
        <f ca="1">IFERROR(__xludf.DUMMYFUNCTION("""COMPUTED_VALUE"""),66.62)</f>
        <v>66.62</v>
      </c>
      <c r="C1230" s="1">
        <f ca="1">IFERROR(__xludf.DUMMYFUNCTION("""COMPUTED_VALUE"""),66.7)</f>
        <v>66.7</v>
      </c>
      <c r="D1230" s="1">
        <f ca="1">IFERROR(__xludf.DUMMYFUNCTION("""COMPUTED_VALUE"""),65.81)</f>
        <v>65.81</v>
      </c>
      <c r="E1230" s="1">
        <f ca="1">IFERROR(__xludf.DUMMYFUNCTION("""COMPUTED_VALUE"""),65.99)</f>
        <v>65.989999999999995</v>
      </c>
      <c r="F1230" s="1">
        <f ca="1">IFERROR(__xludf.DUMMYFUNCTION("""COMPUTED_VALUE"""),1399374)</f>
        <v>1399374</v>
      </c>
    </row>
    <row r="1231" spans="1:6" x14ac:dyDescent="0.35">
      <c r="A1231" s="2">
        <f ca="1">IFERROR(__xludf.DUMMYFUNCTION("""COMPUTED_VALUE"""),43788.6666666666)</f>
        <v>43788.666666666599</v>
      </c>
      <c r="B1231" s="1">
        <f ca="1">IFERROR(__xludf.DUMMYFUNCTION("""COMPUTED_VALUE"""),66.33)</f>
        <v>66.33</v>
      </c>
      <c r="C1231" s="1">
        <f ca="1">IFERROR(__xludf.DUMMYFUNCTION("""COMPUTED_VALUE"""),66.33)</f>
        <v>66.33</v>
      </c>
      <c r="D1231" s="1">
        <f ca="1">IFERROR(__xludf.DUMMYFUNCTION("""COMPUTED_VALUE"""),65.59)</f>
        <v>65.59</v>
      </c>
      <c r="E1231" s="1">
        <f ca="1">IFERROR(__xludf.DUMMYFUNCTION("""COMPUTED_VALUE"""),65.63)</f>
        <v>65.63</v>
      </c>
      <c r="F1231" s="1">
        <f ca="1">IFERROR(__xludf.DUMMYFUNCTION("""COMPUTED_VALUE"""),1093629)</f>
        <v>1093629</v>
      </c>
    </row>
    <row r="1232" spans="1:6" x14ac:dyDescent="0.35">
      <c r="A1232" s="2">
        <f ca="1">IFERROR(__xludf.DUMMYFUNCTION("""COMPUTED_VALUE"""),43789.6666666666)</f>
        <v>43789.666666666599</v>
      </c>
      <c r="B1232" s="1">
        <f ca="1">IFERROR(__xludf.DUMMYFUNCTION("""COMPUTED_VALUE"""),65.57)</f>
        <v>65.569999999999993</v>
      </c>
      <c r="C1232" s="1">
        <f ca="1">IFERROR(__xludf.DUMMYFUNCTION("""COMPUTED_VALUE"""),65.66)</f>
        <v>65.66</v>
      </c>
      <c r="D1232" s="1">
        <f ca="1">IFERROR(__xludf.DUMMYFUNCTION("""COMPUTED_VALUE"""),64.46)</f>
        <v>64.459999999999994</v>
      </c>
      <c r="E1232" s="1">
        <f ca="1">IFERROR(__xludf.DUMMYFUNCTION("""COMPUTED_VALUE"""),65.09)</f>
        <v>65.09</v>
      </c>
      <c r="F1232" s="1">
        <f ca="1">IFERROR(__xludf.DUMMYFUNCTION("""COMPUTED_VALUE"""),1445870)</f>
        <v>1445870</v>
      </c>
    </row>
    <row r="1233" spans="1:6" x14ac:dyDescent="0.35">
      <c r="A1233" s="2">
        <f ca="1">IFERROR(__xludf.DUMMYFUNCTION("""COMPUTED_VALUE"""),43790.6666666666)</f>
        <v>43790.666666666599</v>
      </c>
      <c r="B1233" s="1">
        <f ca="1">IFERROR(__xludf.DUMMYFUNCTION("""COMPUTED_VALUE"""),64.96)</f>
        <v>64.959999999999994</v>
      </c>
      <c r="C1233" s="1">
        <f ca="1">IFERROR(__xludf.DUMMYFUNCTION("""COMPUTED_VALUE"""),65.56)</f>
        <v>65.56</v>
      </c>
      <c r="D1233" s="1">
        <f ca="1">IFERROR(__xludf.DUMMYFUNCTION("""COMPUTED_VALUE"""),64.54)</f>
        <v>64.540000000000006</v>
      </c>
      <c r="E1233" s="1">
        <f ca="1">IFERROR(__xludf.DUMMYFUNCTION("""COMPUTED_VALUE"""),65.01)</f>
        <v>65.010000000000005</v>
      </c>
      <c r="F1233" s="1">
        <f ca="1">IFERROR(__xludf.DUMMYFUNCTION("""COMPUTED_VALUE"""),1277338)</f>
        <v>1277338</v>
      </c>
    </row>
    <row r="1234" spans="1:6" x14ac:dyDescent="0.35">
      <c r="A1234" s="2">
        <f ca="1">IFERROR(__xludf.DUMMYFUNCTION("""COMPUTED_VALUE"""),43791.6666666666)</f>
        <v>43791.666666666599</v>
      </c>
      <c r="B1234" s="1">
        <f ca="1">IFERROR(__xludf.DUMMYFUNCTION("""COMPUTED_VALUE"""),65.15)</f>
        <v>65.150000000000006</v>
      </c>
      <c r="C1234" s="1">
        <f ca="1">IFERROR(__xludf.DUMMYFUNCTION("""COMPUTED_VALUE"""),65.35)</f>
        <v>65.349999999999994</v>
      </c>
      <c r="D1234" s="1">
        <f ca="1">IFERROR(__xludf.DUMMYFUNCTION("""COMPUTED_VALUE"""),64.47)</f>
        <v>64.47</v>
      </c>
      <c r="E1234" s="1">
        <f ca="1">IFERROR(__xludf.DUMMYFUNCTION("""COMPUTED_VALUE"""),64.68)</f>
        <v>64.680000000000007</v>
      </c>
      <c r="F1234" s="1">
        <f ca="1">IFERROR(__xludf.DUMMYFUNCTION("""COMPUTED_VALUE"""),1388912)</f>
        <v>1388912</v>
      </c>
    </row>
    <row r="1235" spans="1:6" x14ac:dyDescent="0.35">
      <c r="A1235" s="2">
        <f ca="1">IFERROR(__xludf.DUMMYFUNCTION("""COMPUTED_VALUE"""),43794.6666666666)</f>
        <v>43794.666666666599</v>
      </c>
      <c r="B1235" s="1">
        <f ca="1">IFERROR(__xludf.DUMMYFUNCTION("""COMPUTED_VALUE"""),64.81)</f>
        <v>64.81</v>
      </c>
      <c r="C1235" s="1">
        <f ca="1">IFERROR(__xludf.DUMMYFUNCTION("""COMPUTED_VALUE"""),65.52)</f>
        <v>65.52</v>
      </c>
      <c r="D1235" s="1">
        <f ca="1">IFERROR(__xludf.DUMMYFUNCTION("""COMPUTED_VALUE"""),64.78)</f>
        <v>64.78</v>
      </c>
      <c r="E1235" s="1">
        <f ca="1">IFERROR(__xludf.DUMMYFUNCTION("""COMPUTED_VALUE"""),65.28)</f>
        <v>65.28</v>
      </c>
      <c r="F1235" s="1">
        <f ca="1">IFERROR(__xludf.DUMMYFUNCTION("""COMPUTED_VALUE"""),1179658)</f>
        <v>1179658</v>
      </c>
    </row>
    <row r="1236" spans="1:6" x14ac:dyDescent="0.35">
      <c r="A1236" s="2">
        <f ca="1">IFERROR(__xludf.DUMMYFUNCTION("""COMPUTED_VALUE"""),43795.6666666666)</f>
        <v>43795.666666666599</v>
      </c>
      <c r="B1236" s="1">
        <f ca="1">IFERROR(__xludf.DUMMYFUNCTION("""COMPUTED_VALUE"""),65.5)</f>
        <v>65.5</v>
      </c>
      <c r="C1236" s="1">
        <f ca="1">IFERROR(__xludf.DUMMYFUNCTION("""COMPUTED_VALUE"""),65.7)</f>
        <v>65.7</v>
      </c>
      <c r="D1236" s="1">
        <f ca="1">IFERROR(__xludf.DUMMYFUNCTION("""COMPUTED_VALUE"""),65.2)</f>
        <v>65.2</v>
      </c>
      <c r="E1236" s="1">
        <f ca="1">IFERROR(__xludf.DUMMYFUNCTION("""COMPUTED_VALUE"""),65.65)</f>
        <v>65.650000000000006</v>
      </c>
      <c r="F1236" s="1">
        <f ca="1">IFERROR(__xludf.DUMMYFUNCTION("""COMPUTED_VALUE"""),1097089)</f>
        <v>1097089</v>
      </c>
    </row>
    <row r="1237" spans="1:6" x14ac:dyDescent="0.35">
      <c r="A1237" s="2">
        <f ca="1">IFERROR(__xludf.DUMMYFUNCTION("""COMPUTED_VALUE"""),43796.6666666666)</f>
        <v>43796.666666666599</v>
      </c>
      <c r="B1237" s="1">
        <f ca="1">IFERROR(__xludf.DUMMYFUNCTION("""COMPUTED_VALUE"""),65.77)</f>
        <v>65.77</v>
      </c>
      <c r="C1237" s="1">
        <f ca="1">IFERROR(__xludf.DUMMYFUNCTION("""COMPUTED_VALUE"""),65.88)</f>
        <v>65.88</v>
      </c>
      <c r="D1237" s="1">
        <f ca="1">IFERROR(__xludf.DUMMYFUNCTION("""COMPUTED_VALUE"""),65.47)</f>
        <v>65.47</v>
      </c>
      <c r="E1237" s="1">
        <f ca="1">IFERROR(__xludf.DUMMYFUNCTION("""COMPUTED_VALUE"""),65.61)</f>
        <v>65.61</v>
      </c>
      <c r="F1237" s="1">
        <f ca="1">IFERROR(__xludf.DUMMYFUNCTION("""COMPUTED_VALUE"""),940536)</f>
        <v>940536</v>
      </c>
    </row>
    <row r="1238" spans="1:6" x14ac:dyDescent="0.35">
      <c r="A1238" s="2">
        <f ca="1">IFERROR(__xludf.DUMMYFUNCTION("""COMPUTED_VALUE"""),43798.5416666666)</f>
        <v>43798.541666666599</v>
      </c>
      <c r="B1238" s="1">
        <f ca="1">IFERROR(__xludf.DUMMYFUNCTION("""COMPUTED_VALUE"""),65.33)</f>
        <v>65.33</v>
      </c>
      <c r="C1238" s="1">
        <f ca="1">IFERROR(__xludf.DUMMYFUNCTION("""COMPUTED_VALUE"""),65.5)</f>
        <v>65.5</v>
      </c>
      <c r="D1238" s="1">
        <f ca="1">IFERROR(__xludf.DUMMYFUNCTION("""COMPUTED_VALUE"""),65.16)</f>
        <v>65.16</v>
      </c>
      <c r="E1238" s="1">
        <f ca="1">IFERROR(__xludf.DUMMYFUNCTION("""COMPUTED_VALUE"""),65.2)</f>
        <v>65.2</v>
      </c>
      <c r="F1238" s="1">
        <f ca="1">IFERROR(__xludf.DUMMYFUNCTION("""COMPUTED_VALUE"""),640069)</f>
        <v>640069</v>
      </c>
    </row>
    <row r="1239" spans="1:6" x14ac:dyDescent="0.35">
      <c r="A1239" s="2">
        <f ca="1">IFERROR(__xludf.DUMMYFUNCTION("""COMPUTED_VALUE"""),43801.6666666666)</f>
        <v>43801.666666666599</v>
      </c>
      <c r="B1239" s="1">
        <f ca="1">IFERROR(__xludf.DUMMYFUNCTION("""COMPUTED_VALUE"""),65.13)</f>
        <v>65.13</v>
      </c>
      <c r="C1239" s="1">
        <f ca="1">IFERROR(__xludf.DUMMYFUNCTION("""COMPUTED_VALUE"""),65.27)</f>
        <v>65.27</v>
      </c>
      <c r="D1239" s="1">
        <f ca="1">IFERROR(__xludf.DUMMYFUNCTION("""COMPUTED_VALUE"""),64.02)</f>
        <v>64.02</v>
      </c>
      <c r="E1239" s="1">
        <f ca="1">IFERROR(__xludf.DUMMYFUNCTION("""COMPUTED_VALUE"""),64.44)</f>
        <v>64.44</v>
      </c>
      <c r="F1239" s="1">
        <f ca="1">IFERROR(__xludf.DUMMYFUNCTION("""COMPUTED_VALUE"""),1328889)</f>
        <v>1328889</v>
      </c>
    </row>
    <row r="1240" spans="1:6" x14ac:dyDescent="0.35">
      <c r="A1240" s="2">
        <f ca="1">IFERROR(__xludf.DUMMYFUNCTION("""COMPUTED_VALUE"""),43802.6666666666)</f>
        <v>43802.666666666599</v>
      </c>
      <c r="B1240" s="1">
        <f ca="1">IFERROR(__xludf.DUMMYFUNCTION("""COMPUTED_VALUE"""),63.93)</f>
        <v>63.93</v>
      </c>
      <c r="C1240" s="1">
        <f ca="1">IFERROR(__xludf.DUMMYFUNCTION("""COMPUTED_VALUE"""),64.86)</f>
        <v>64.86</v>
      </c>
      <c r="D1240" s="1">
        <f ca="1">IFERROR(__xludf.DUMMYFUNCTION("""COMPUTED_VALUE"""),63.85)</f>
        <v>63.85</v>
      </c>
      <c r="E1240" s="1">
        <f ca="1">IFERROR(__xludf.DUMMYFUNCTION("""COMPUTED_VALUE"""),64.74)</f>
        <v>64.739999999999995</v>
      </c>
      <c r="F1240" s="1">
        <f ca="1">IFERROR(__xludf.DUMMYFUNCTION("""COMPUTED_VALUE"""),1480026)</f>
        <v>1480026</v>
      </c>
    </row>
    <row r="1241" spans="1:6" x14ac:dyDescent="0.35">
      <c r="A1241" s="2">
        <f ca="1">IFERROR(__xludf.DUMMYFUNCTION("""COMPUTED_VALUE"""),43803.6666666666)</f>
        <v>43803.666666666599</v>
      </c>
      <c r="B1241" s="1">
        <f ca="1">IFERROR(__xludf.DUMMYFUNCTION("""COMPUTED_VALUE"""),65.31)</f>
        <v>65.31</v>
      </c>
      <c r="C1241" s="1">
        <f ca="1">IFERROR(__xludf.DUMMYFUNCTION("""COMPUTED_VALUE"""),66.21)</f>
        <v>66.209999999999994</v>
      </c>
      <c r="D1241" s="1">
        <f ca="1">IFERROR(__xludf.DUMMYFUNCTION("""COMPUTED_VALUE"""),65.15)</f>
        <v>65.150000000000006</v>
      </c>
      <c r="E1241" s="1">
        <f ca="1">IFERROR(__xludf.DUMMYFUNCTION("""COMPUTED_VALUE"""),65.95)</f>
        <v>65.95</v>
      </c>
      <c r="F1241" s="1">
        <f ca="1">IFERROR(__xludf.DUMMYFUNCTION("""COMPUTED_VALUE"""),1776392)</f>
        <v>1776392</v>
      </c>
    </row>
    <row r="1242" spans="1:6" x14ac:dyDescent="0.35">
      <c r="A1242" s="2">
        <f ca="1">IFERROR(__xludf.DUMMYFUNCTION("""COMPUTED_VALUE"""),43804.6666666666)</f>
        <v>43804.666666666599</v>
      </c>
      <c r="B1242" s="1">
        <f ca="1">IFERROR(__xludf.DUMMYFUNCTION("""COMPUTED_VALUE"""),66.35)</f>
        <v>66.349999999999994</v>
      </c>
      <c r="C1242" s="1">
        <f ca="1">IFERROR(__xludf.DUMMYFUNCTION("""COMPUTED_VALUE"""),66.4)</f>
        <v>66.400000000000006</v>
      </c>
      <c r="D1242" s="1">
        <f ca="1">IFERROR(__xludf.DUMMYFUNCTION("""COMPUTED_VALUE"""),65.72)</f>
        <v>65.72</v>
      </c>
      <c r="E1242" s="1">
        <f ca="1">IFERROR(__xludf.DUMMYFUNCTION("""COMPUTED_VALUE"""),66.35)</f>
        <v>66.349999999999994</v>
      </c>
      <c r="F1242" s="1">
        <f ca="1">IFERROR(__xludf.DUMMYFUNCTION("""COMPUTED_VALUE"""),1220631)</f>
        <v>1220631</v>
      </c>
    </row>
    <row r="1243" spans="1:6" x14ac:dyDescent="0.35">
      <c r="A1243" s="2">
        <f ca="1">IFERROR(__xludf.DUMMYFUNCTION("""COMPUTED_VALUE"""),43805.6666666666)</f>
        <v>43805.666666666599</v>
      </c>
      <c r="B1243" s="1">
        <f ca="1">IFERROR(__xludf.DUMMYFUNCTION("""COMPUTED_VALUE"""),66.64)</f>
        <v>66.64</v>
      </c>
      <c r="C1243" s="1">
        <f ca="1">IFERROR(__xludf.DUMMYFUNCTION("""COMPUTED_VALUE"""),67.12)</f>
        <v>67.12</v>
      </c>
      <c r="D1243" s="1">
        <f ca="1">IFERROR(__xludf.DUMMYFUNCTION("""COMPUTED_VALUE"""),66.56)</f>
        <v>66.56</v>
      </c>
      <c r="E1243" s="1">
        <f ca="1">IFERROR(__xludf.DUMMYFUNCTION("""COMPUTED_VALUE"""),66.97)</f>
        <v>66.97</v>
      </c>
      <c r="F1243" s="1">
        <f ca="1">IFERROR(__xludf.DUMMYFUNCTION("""COMPUTED_VALUE"""),1648729)</f>
        <v>1648729</v>
      </c>
    </row>
    <row r="1244" spans="1:6" x14ac:dyDescent="0.35">
      <c r="A1244" s="2">
        <f ca="1">IFERROR(__xludf.DUMMYFUNCTION("""COMPUTED_VALUE"""),43808.6666666666)</f>
        <v>43808.666666666599</v>
      </c>
      <c r="B1244" s="1">
        <f ca="1">IFERROR(__xludf.DUMMYFUNCTION("""COMPUTED_VALUE"""),66.94)</f>
        <v>66.94</v>
      </c>
      <c r="C1244" s="1">
        <f ca="1">IFERROR(__xludf.DUMMYFUNCTION("""COMPUTED_VALUE"""),67.88)</f>
        <v>67.88</v>
      </c>
      <c r="D1244" s="1">
        <f ca="1">IFERROR(__xludf.DUMMYFUNCTION("""COMPUTED_VALUE"""),66.8)</f>
        <v>66.8</v>
      </c>
      <c r="E1244" s="1">
        <f ca="1">IFERROR(__xludf.DUMMYFUNCTION("""COMPUTED_VALUE"""),67.15)</f>
        <v>67.150000000000006</v>
      </c>
      <c r="F1244" s="1">
        <f ca="1">IFERROR(__xludf.DUMMYFUNCTION("""COMPUTED_VALUE"""),1556889)</f>
        <v>1556889</v>
      </c>
    </row>
    <row r="1245" spans="1:6" x14ac:dyDescent="0.35">
      <c r="A1245" s="2">
        <f ca="1">IFERROR(__xludf.DUMMYFUNCTION("""COMPUTED_VALUE"""),43809.6666666666)</f>
        <v>43809.666666666599</v>
      </c>
      <c r="B1245" s="1">
        <f ca="1">IFERROR(__xludf.DUMMYFUNCTION("""COMPUTED_VALUE"""),67)</f>
        <v>67</v>
      </c>
      <c r="C1245" s="1">
        <f ca="1">IFERROR(__xludf.DUMMYFUNCTION("""COMPUTED_VALUE"""),67.4)</f>
        <v>67.400000000000006</v>
      </c>
      <c r="D1245" s="1">
        <f ca="1">IFERROR(__xludf.DUMMYFUNCTION("""COMPUTED_VALUE"""),66.7)</f>
        <v>66.7</v>
      </c>
      <c r="E1245" s="1">
        <f ca="1">IFERROR(__xludf.DUMMYFUNCTION("""COMPUTED_VALUE"""),67.14)</f>
        <v>67.14</v>
      </c>
      <c r="F1245" s="1">
        <f ca="1">IFERROR(__xludf.DUMMYFUNCTION("""COMPUTED_VALUE"""),880430)</f>
        <v>880430</v>
      </c>
    </row>
    <row r="1246" spans="1:6" x14ac:dyDescent="0.35">
      <c r="A1246" s="2">
        <f ca="1">IFERROR(__xludf.DUMMYFUNCTION("""COMPUTED_VALUE"""),43810.6666666666)</f>
        <v>43810.666666666599</v>
      </c>
      <c r="B1246" s="1">
        <f ca="1">IFERROR(__xludf.DUMMYFUNCTION("""COMPUTED_VALUE"""),67.42)</f>
        <v>67.42</v>
      </c>
      <c r="C1246" s="1">
        <f ca="1">IFERROR(__xludf.DUMMYFUNCTION("""COMPUTED_VALUE"""),67.49)</f>
        <v>67.489999999999995</v>
      </c>
      <c r="D1246" s="1">
        <f ca="1">IFERROR(__xludf.DUMMYFUNCTION("""COMPUTED_VALUE"""),67.06)</f>
        <v>67.06</v>
      </c>
      <c r="E1246" s="1">
        <f ca="1">IFERROR(__xludf.DUMMYFUNCTION("""COMPUTED_VALUE"""),67.21)</f>
        <v>67.209999999999994</v>
      </c>
      <c r="F1246" s="1">
        <f ca="1">IFERROR(__xludf.DUMMYFUNCTION("""COMPUTED_VALUE"""),1024308)</f>
        <v>1024308</v>
      </c>
    </row>
    <row r="1247" spans="1:6" x14ac:dyDescent="0.35">
      <c r="A1247" s="2">
        <f ca="1">IFERROR(__xludf.DUMMYFUNCTION("""COMPUTED_VALUE"""),43811.6666666666)</f>
        <v>43811.666666666599</v>
      </c>
      <c r="B1247" s="1">
        <f ca="1">IFERROR(__xludf.DUMMYFUNCTION("""COMPUTED_VALUE"""),67.16)</f>
        <v>67.16</v>
      </c>
      <c r="C1247" s="1">
        <f ca="1">IFERROR(__xludf.DUMMYFUNCTION("""COMPUTED_VALUE"""),67.73)</f>
        <v>67.73</v>
      </c>
      <c r="D1247" s="1">
        <f ca="1">IFERROR(__xludf.DUMMYFUNCTION("""COMPUTED_VALUE"""),66.91)</f>
        <v>66.91</v>
      </c>
      <c r="E1247" s="1">
        <f ca="1">IFERROR(__xludf.DUMMYFUNCTION("""COMPUTED_VALUE"""),67.42)</f>
        <v>67.42</v>
      </c>
      <c r="F1247" s="1">
        <f ca="1">IFERROR(__xludf.DUMMYFUNCTION("""COMPUTED_VALUE"""),1456466)</f>
        <v>1456466</v>
      </c>
    </row>
    <row r="1248" spans="1:6" x14ac:dyDescent="0.35">
      <c r="A1248" s="2">
        <f ca="1">IFERROR(__xludf.DUMMYFUNCTION("""COMPUTED_VALUE"""),43812.6666666666)</f>
        <v>43812.666666666599</v>
      </c>
      <c r="B1248" s="1">
        <f ca="1">IFERROR(__xludf.DUMMYFUNCTION("""COMPUTED_VALUE"""),67.4)</f>
        <v>67.400000000000006</v>
      </c>
      <c r="C1248" s="1">
        <f ca="1">IFERROR(__xludf.DUMMYFUNCTION("""COMPUTED_VALUE"""),67.57)</f>
        <v>67.569999999999993</v>
      </c>
      <c r="D1248" s="1">
        <f ca="1">IFERROR(__xludf.DUMMYFUNCTION("""COMPUTED_VALUE"""),67.08)</f>
        <v>67.08</v>
      </c>
      <c r="E1248" s="1">
        <f ca="1">IFERROR(__xludf.DUMMYFUNCTION("""COMPUTED_VALUE"""),67.34)</f>
        <v>67.34</v>
      </c>
      <c r="F1248" s="1">
        <f ca="1">IFERROR(__xludf.DUMMYFUNCTION("""COMPUTED_VALUE"""),1658684)</f>
        <v>1658684</v>
      </c>
    </row>
    <row r="1249" spans="1:6" x14ac:dyDescent="0.35">
      <c r="A1249" s="2">
        <f ca="1">IFERROR(__xludf.DUMMYFUNCTION("""COMPUTED_VALUE"""),43815.6666666666)</f>
        <v>43815.666666666599</v>
      </c>
      <c r="B1249" s="1">
        <f ca="1">IFERROR(__xludf.DUMMYFUNCTION("""COMPUTED_VALUE"""),67.75)</f>
        <v>67.75</v>
      </c>
      <c r="C1249" s="1">
        <f ca="1">IFERROR(__xludf.DUMMYFUNCTION("""COMPUTED_VALUE"""),68.18)</f>
        <v>68.180000000000007</v>
      </c>
      <c r="D1249" s="1">
        <f ca="1">IFERROR(__xludf.DUMMYFUNCTION("""COMPUTED_VALUE"""),67.53)</f>
        <v>67.53</v>
      </c>
      <c r="E1249" s="1">
        <f ca="1">IFERROR(__xludf.DUMMYFUNCTION("""COMPUTED_VALUE"""),68.04)</f>
        <v>68.040000000000006</v>
      </c>
      <c r="F1249" s="1">
        <f ca="1">IFERROR(__xludf.DUMMYFUNCTION("""COMPUTED_VALUE"""),1406457)</f>
        <v>1406457</v>
      </c>
    </row>
    <row r="1250" spans="1:6" x14ac:dyDescent="0.35">
      <c r="A1250" s="2">
        <f ca="1">IFERROR(__xludf.DUMMYFUNCTION("""COMPUTED_VALUE"""),43816.6666666666)</f>
        <v>43816.666666666599</v>
      </c>
      <c r="B1250" s="1">
        <f ca="1">IFERROR(__xludf.DUMMYFUNCTION("""COMPUTED_VALUE"""),68.12)</f>
        <v>68.12</v>
      </c>
      <c r="C1250" s="1">
        <f ca="1">IFERROR(__xludf.DUMMYFUNCTION("""COMPUTED_VALUE"""),68.22)</f>
        <v>68.22</v>
      </c>
      <c r="D1250" s="1">
        <f ca="1">IFERROR(__xludf.DUMMYFUNCTION("""COMPUTED_VALUE"""),67.54)</f>
        <v>67.540000000000006</v>
      </c>
      <c r="E1250" s="1">
        <f ca="1">IFERROR(__xludf.DUMMYFUNCTION("""COMPUTED_VALUE"""),67.74)</f>
        <v>67.739999999999995</v>
      </c>
      <c r="F1250" s="1">
        <f ca="1">IFERROR(__xludf.DUMMYFUNCTION("""COMPUTED_VALUE"""),1648549)</f>
        <v>1648549</v>
      </c>
    </row>
    <row r="1251" spans="1:6" x14ac:dyDescent="0.35">
      <c r="A1251" s="2">
        <f ca="1">IFERROR(__xludf.DUMMYFUNCTION("""COMPUTED_VALUE"""),43817.6666666666)</f>
        <v>43817.666666666599</v>
      </c>
      <c r="B1251" s="1">
        <f ca="1">IFERROR(__xludf.DUMMYFUNCTION("""COMPUTED_VALUE"""),67.85)</f>
        <v>67.849999999999994</v>
      </c>
      <c r="C1251" s="1">
        <f ca="1">IFERROR(__xludf.DUMMYFUNCTION("""COMPUTED_VALUE"""),67.97)</f>
        <v>67.97</v>
      </c>
      <c r="D1251" s="1">
        <f ca="1">IFERROR(__xludf.DUMMYFUNCTION("""COMPUTED_VALUE"""),67.52)</f>
        <v>67.52</v>
      </c>
      <c r="E1251" s="1">
        <f ca="1">IFERROR(__xludf.DUMMYFUNCTION("""COMPUTED_VALUE"""),67.6)</f>
        <v>67.599999999999994</v>
      </c>
      <c r="F1251" s="1">
        <f ca="1">IFERROR(__xludf.DUMMYFUNCTION("""COMPUTED_VALUE"""),1166733)</f>
        <v>1166733</v>
      </c>
    </row>
    <row r="1252" spans="1:6" x14ac:dyDescent="0.35">
      <c r="A1252" s="2">
        <f ca="1">IFERROR(__xludf.DUMMYFUNCTION("""COMPUTED_VALUE"""),43818.6666666666)</f>
        <v>43818.666666666599</v>
      </c>
      <c r="B1252" s="1">
        <f ca="1">IFERROR(__xludf.DUMMYFUNCTION("""COMPUTED_VALUE"""),67.6)</f>
        <v>67.599999999999994</v>
      </c>
      <c r="C1252" s="1">
        <f ca="1">IFERROR(__xludf.DUMMYFUNCTION("""COMPUTED_VALUE"""),67.88)</f>
        <v>67.88</v>
      </c>
      <c r="D1252" s="1">
        <f ca="1">IFERROR(__xludf.DUMMYFUNCTION("""COMPUTED_VALUE"""),67.44)</f>
        <v>67.44</v>
      </c>
      <c r="E1252" s="1">
        <f ca="1">IFERROR(__xludf.DUMMYFUNCTION("""COMPUTED_VALUE"""),67.82)</f>
        <v>67.819999999999993</v>
      </c>
      <c r="F1252" s="1">
        <f ca="1">IFERROR(__xludf.DUMMYFUNCTION("""COMPUTED_VALUE"""),1521082)</f>
        <v>1521082</v>
      </c>
    </row>
    <row r="1253" spans="1:6" x14ac:dyDescent="0.35">
      <c r="A1253" s="2">
        <f ca="1">IFERROR(__xludf.DUMMYFUNCTION("""COMPUTED_VALUE"""),43819.6666666666)</f>
        <v>43819.666666666599</v>
      </c>
      <c r="B1253" s="1">
        <f ca="1">IFERROR(__xludf.DUMMYFUNCTION("""COMPUTED_VALUE"""),68.16)</f>
        <v>68.16</v>
      </c>
      <c r="C1253" s="1">
        <f ca="1">IFERROR(__xludf.DUMMYFUNCTION("""COMPUTED_VALUE"""),68.2)</f>
        <v>68.2</v>
      </c>
      <c r="D1253" s="1">
        <f ca="1">IFERROR(__xludf.DUMMYFUNCTION("""COMPUTED_VALUE"""),67.54)</f>
        <v>67.540000000000006</v>
      </c>
      <c r="E1253" s="1">
        <f ca="1">IFERROR(__xludf.DUMMYFUNCTION("""COMPUTED_VALUE"""),67.56)</f>
        <v>67.56</v>
      </c>
      <c r="F1253" s="1">
        <f ca="1">IFERROR(__xludf.DUMMYFUNCTION("""COMPUTED_VALUE"""),2513849)</f>
        <v>2513849</v>
      </c>
    </row>
    <row r="1254" spans="1:6" x14ac:dyDescent="0.35">
      <c r="A1254" s="2">
        <f ca="1">IFERROR(__xludf.DUMMYFUNCTION("""COMPUTED_VALUE"""),43822.6666666666)</f>
        <v>43822.666666666599</v>
      </c>
      <c r="B1254" s="1">
        <f ca="1">IFERROR(__xludf.DUMMYFUNCTION("""COMPUTED_VALUE"""),67.94)</f>
        <v>67.94</v>
      </c>
      <c r="C1254" s="1">
        <f ca="1">IFERROR(__xludf.DUMMYFUNCTION("""COMPUTED_VALUE"""),68.09)</f>
        <v>68.09</v>
      </c>
      <c r="D1254" s="1">
        <f ca="1">IFERROR(__xludf.DUMMYFUNCTION("""COMPUTED_VALUE"""),67.4)</f>
        <v>67.400000000000006</v>
      </c>
      <c r="E1254" s="1">
        <f ca="1">IFERROR(__xludf.DUMMYFUNCTION("""COMPUTED_VALUE"""),67.53)</f>
        <v>67.53</v>
      </c>
      <c r="F1254" s="1">
        <f ca="1">IFERROR(__xludf.DUMMYFUNCTION("""COMPUTED_VALUE"""),996967)</f>
        <v>996967</v>
      </c>
    </row>
    <row r="1255" spans="1:6" x14ac:dyDescent="0.35">
      <c r="A1255" s="2">
        <f ca="1">IFERROR(__xludf.DUMMYFUNCTION("""COMPUTED_VALUE"""),43823.5416666666)</f>
        <v>43823.541666666599</v>
      </c>
      <c r="B1255" s="1">
        <f ca="1">IFERROR(__xludf.DUMMYFUNCTION("""COMPUTED_VALUE"""),67.51)</f>
        <v>67.510000000000005</v>
      </c>
      <c r="C1255" s="1">
        <f ca="1">IFERROR(__xludf.DUMMYFUNCTION("""COMPUTED_VALUE"""),67.6)</f>
        <v>67.599999999999994</v>
      </c>
      <c r="D1255" s="1">
        <f ca="1">IFERROR(__xludf.DUMMYFUNCTION("""COMPUTED_VALUE"""),67.21)</f>
        <v>67.209999999999994</v>
      </c>
      <c r="E1255" s="1">
        <f ca="1">IFERROR(__xludf.DUMMYFUNCTION("""COMPUTED_VALUE"""),67.22)</f>
        <v>67.22</v>
      </c>
      <c r="F1255" s="1">
        <f ca="1">IFERROR(__xludf.DUMMYFUNCTION("""COMPUTED_VALUE"""),673410)</f>
        <v>673410</v>
      </c>
    </row>
    <row r="1256" spans="1:6" x14ac:dyDescent="0.35">
      <c r="A1256" s="2">
        <f ca="1">IFERROR(__xludf.DUMMYFUNCTION("""COMPUTED_VALUE"""),43825.6666666666)</f>
        <v>43825.666666666599</v>
      </c>
      <c r="B1256" s="1">
        <f ca="1">IFERROR(__xludf.DUMMYFUNCTION("""COMPUTED_VALUE"""),67.33)</f>
        <v>67.33</v>
      </c>
      <c r="C1256" s="1">
        <f ca="1">IFERROR(__xludf.DUMMYFUNCTION("""COMPUTED_VALUE"""),68.16)</f>
        <v>68.16</v>
      </c>
      <c r="D1256" s="1">
        <f ca="1">IFERROR(__xludf.DUMMYFUNCTION("""COMPUTED_VALUE"""),67.28)</f>
        <v>67.28</v>
      </c>
      <c r="E1256" s="1">
        <f ca="1">IFERROR(__xludf.DUMMYFUNCTION("""COMPUTED_VALUE"""),68.12)</f>
        <v>68.12</v>
      </c>
      <c r="F1256" s="1">
        <f ca="1">IFERROR(__xludf.DUMMYFUNCTION("""COMPUTED_VALUE"""),1183800)</f>
        <v>1183800</v>
      </c>
    </row>
    <row r="1257" spans="1:6" x14ac:dyDescent="0.35">
      <c r="A1257" s="2">
        <f ca="1">IFERROR(__xludf.DUMMYFUNCTION("""COMPUTED_VALUE"""),43826.6666666666)</f>
        <v>43826.666666666599</v>
      </c>
      <c r="B1257" s="1">
        <f ca="1">IFERROR(__xludf.DUMMYFUNCTION("""COMPUTED_VALUE"""),68.2)</f>
        <v>68.2</v>
      </c>
      <c r="C1257" s="1">
        <f ca="1">IFERROR(__xludf.DUMMYFUNCTION("""COMPUTED_VALUE"""),68.35)</f>
        <v>68.349999999999994</v>
      </c>
      <c r="D1257" s="1">
        <f ca="1">IFERROR(__xludf.DUMMYFUNCTION("""COMPUTED_VALUE"""),67.65)</f>
        <v>67.650000000000006</v>
      </c>
      <c r="E1257" s="1">
        <f ca="1">IFERROR(__xludf.DUMMYFUNCTION("""COMPUTED_VALUE"""),67.73)</f>
        <v>67.73</v>
      </c>
      <c r="F1257" s="1">
        <f ca="1">IFERROR(__xludf.DUMMYFUNCTION("""COMPUTED_VALUE"""),1160873)</f>
        <v>1160873</v>
      </c>
    </row>
    <row r="1258" spans="1:6" x14ac:dyDescent="0.35">
      <c r="A1258" s="2">
        <f ca="1">IFERROR(__xludf.DUMMYFUNCTION("""COMPUTED_VALUE"""),43829.6666666666)</f>
        <v>43829.666666666599</v>
      </c>
      <c r="B1258" s="1">
        <f ca="1">IFERROR(__xludf.DUMMYFUNCTION("""COMPUTED_VALUE"""),67.84)</f>
        <v>67.84</v>
      </c>
      <c r="C1258" s="1">
        <f ca="1">IFERROR(__xludf.DUMMYFUNCTION("""COMPUTED_VALUE"""),67.85)</f>
        <v>67.849999999999994</v>
      </c>
      <c r="D1258" s="1">
        <f ca="1">IFERROR(__xludf.DUMMYFUNCTION("""COMPUTED_VALUE"""),66.89)</f>
        <v>66.89</v>
      </c>
      <c r="E1258" s="1">
        <f ca="1">IFERROR(__xludf.DUMMYFUNCTION("""COMPUTED_VALUE"""),66.99)</f>
        <v>66.989999999999995</v>
      </c>
      <c r="F1258" s="1">
        <f ca="1">IFERROR(__xludf.DUMMYFUNCTION("""COMPUTED_VALUE"""),1000592)</f>
        <v>1000592</v>
      </c>
    </row>
    <row r="1259" spans="1:6" x14ac:dyDescent="0.35">
      <c r="A1259" s="2">
        <f ca="1">IFERROR(__xludf.DUMMYFUNCTION("""COMPUTED_VALUE"""),43830.6666666666)</f>
        <v>43830.666666666599</v>
      </c>
      <c r="B1259" s="1">
        <f ca="1">IFERROR(__xludf.DUMMYFUNCTION("""COMPUTED_VALUE"""),66.79)</f>
        <v>66.790000000000006</v>
      </c>
      <c r="C1259" s="1">
        <f ca="1">IFERROR(__xludf.DUMMYFUNCTION("""COMPUTED_VALUE"""),67.03)</f>
        <v>67.03</v>
      </c>
      <c r="D1259" s="1">
        <f ca="1">IFERROR(__xludf.DUMMYFUNCTION("""COMPUTED_VALUE"""),66.61)</f>
        <v>66.61</v>
      </c>
      <c r="E1259" s="1">
        <f ca="1">IFERROR(__xludf.DUMMYFUNCTION("""COMPUTED_VALUE"""),66.97)</f>
        <v>66.97</v>
      </c>
      <c r="F1259" s="1">
        <f ca="1">IFERROR(__xludf.DUMMYFUNCTION("""COMPUTED_VALUE"""),976061)</f>
        <v>976061</v>
      </c>
    </row>
    <row r="1260" spans="1:6" x14ac:dyDescent="0.35">
      <c r="A1260" s="2">
        <f ca="1">IFERROR(__xludf.DUMMYFUNCTION("""COMPUTED_VALUE"""),43832.6666666666)</f>
        <v>43832.666666666599</v>
      </c>
      <c r="B1260" s="1">
        <f ca="1">IFERROR(__xludf.DUMMYFUNCTION("""COMPUTED_VALUE"""),67.42)</f>
        <v>67.42</v>
      </c>
      <c r="C1260" s="1">
        <f ca="1">IFERROR(__xludf.DUMMYFUNCTION("""COMPUTED_VALUE"""),68.43)</f>
        <v>68.430000000000007</v>
      </c>
      <c r="D1260" s="1">
        <f ca="1">IFERROR(__xludf.DUMMYFUNCTION("""COMPUTED_VALUE"""),67.32)</f>
        <v>67.319999999999993</v>
      </c>
      <c r="E1260" s="1">
        <f ca="1">IFERROR(__xludf.DUMMYFUNCTION("""COMPUTED_VALUE"""),68.43)</f>
        <v>68.430000000000007</v>
      </c>
      <c r="F1260" s="1">
        <f ca="1">IFERROR(__xludf.DUMMYFUNCTION("""COMPUTED_VALUE"""),1364265)</f>
        <v>1364265</v>
      </c>
    </row>
    <row r="1261" spans="1:6" x14ac:dyDescent="0.35">
      <c r="A1261" s="2">
        <f ca="1">IFERROR(__xludf.DUMMYFUNCTION("""COMPUTED_VALUE"""),43833.6666666666)</f>
        <v>43833.666666666599</v>
      </c>
      <c r="B1261" s="1">
        <f ca="1">IFERROR(__xludf.DUMMYFUNCTION("""COMPUTED_VALUE"""),67.4)</f>
        <v>67.400000000000006</v>
      </c>
      <c r="C1261" s="1">
        <f ca="1">IFERROR(__xludf.DUMMYFUNCTION("""COMPUTED_VALUE"""),68.69)</f>
        <v>68.69</v>
      </c>
      <c r="D1261" s="1">
        <f ca="1">IFERROR(__xludf.DUMMYFUNCTION("""COMPUTED_VALUE"""),67.37)</f>
        <v>67.37</v>
      </c>
      <c r="E1261" s="1">
        <f ca="1">IFERROR(__xludf.DUMMYFUNCTION("""COMPUTED_VALUE"""),68.08)</f>
        <v>68.08</v>
      </c>
      <c r="F1261" s="1">
        <f ca="1">IFERROR(__xludf.DUMMYFUNCTION("""COMPUTED_VALUE"""),1170629)</f>
        <v>1170629</v>
      </c>
    </row>
    <row r="1262" spans="1:6" x14ac:dyDescent="0.35">
      <c r="A1262" s="2">
        <f ca="1">IFERROR(__xludf.DUMMYFUNCTION("""COMPUTED_VALUE"""),43836.6666666666)</f>
        <v>43836.666666666599</v>
      </c>
      <c r="B1262" s="1">
        <f ca="1">IFERROR(__xludf.DUMMYFUNCTION("""COMPUTED_VALUE"""),67.58)</f>
        <v>67.58</v>
      </c>
      <c r="C1262" s="1">
        <f ca="1">IFERROR(__xludf.DUMMYFUNCTION("""COMPUTED_VALUE"""),69.92)</f>
        <v>69.92</v>
      </c>
      <c r="D1262" s="1">
        <f ca="1">IFERROR(__xludf.DUMMYFUNCTION("""COMPUTED_VALUE"""),67.55)</f>
        <v>67.55</v>
      </c>
      <c r="E1262" s="1">
        <f ca="1">IFERROR(__xludf.DUMMYFUNCTION("""COMPUTED_VALUE"""),69.89)</f>
        <v>69.89</v>
      </c>
      <c r="F1262" s="1">
        <f ca="1">IFERROR(__xludf.DUMMYFUNCTION("""COMPUTED_VALUE"""),2339343)</f>
        <v>2339343</v>
      </c>
    </row>
    <row r="1263" spans="1:6" x14ac:dyDescent="0.35">
      <c r="A1263" s="2">
        <f ca="1">IFERROR(__xludf.DUMMYFUNCTION("""COMPUTED_VALUE"""),43837.6666666666)</f>
        <v>43837.666666666599</v>
      </c>
      <c r="B1263" s="1">
        <f ca="1">IFERROR(__xludf.DUMMYFUNCTION("""COMPUTED_VALUE"""),70.02)</f>
        <v>70.02</v>
      </c>
      <c r="C1263" s="1">
        <f ca="1">IFERROR(__xludf.DUMMYFUNCTION("""COMPUTED_VALUE"""),70.18)</f>
        <v>70.180000000000007</v>
      </c>
      <c r="D1263" s="1">
        <f ca="1">IFERROR(__xludf.DUMMYFUNCTION("""COMPUTED_VALUE"""),69.58)</f>
        <v>69.58</v>
      </c>
      <c r="E1263" s="1">
        <f ca="1">IFERROR(__xludf.DUMMYFUNCTION("""COMPUTED_VALUE"""),69.76)</f>
        <v>69.760000000000005</v>
      </c>
      <c r="F1263" s="1">
        <f ca="1">IFERROR(__xludf.DUMMYFUNCTION("""COMPUTED_VALUE"""),1726456)</f>
        <v>1726456</v>
      </c>
    </row>
    <row r="1264" spans="1:6" x14ac:dyDescent="0.35">
      <c r="A1264" s="2">
        <f ca="1">IFERROR(__xludf.DUMMYFUNCTION("""COMPUTED_VALUE"""),43838.6666666666)</f>
        <v>43838.666666666599</v>
      </c>
      <c r="B1264" s="1">
        <f ca="1">IFERROR(__xludf.DUMMYFUNCTION("""COMPUTED_VALUE"""),69.74)</f>
        <v>69.739999999999995</v>
      </c>
      <c r="C1264" s="1">
        <f ca="1">IFERROR(__xludf.DUMMYFUNCTION("""COMPUTED_VALUE"""),70.59)</f>
        <v>70.59</v>
      </c>
      <c r="D1264" s="1">
        <f ca="1">IFERROR(__xludf.DUMMYFUNCTION("""COMPUTED_VALUE"""),69.63)</f>
        <v>69.63</v>
      </c>
      <c r="E1264" s="1">
        <f ca="1">IFERROR(__xludf.DUMMYFUNCTION("""COMPUTED_VALUE"""),70.25)</f>
        <v>70.25</v>
      </c>
      <c r="F1264" s="1">
        <f ca="1">IFERROR(__xludf.DUMMYFUNCTION("""COMPUTED_VALUE"""),1766274)</f>
        <v>1766274</v>
      </c>
    </row>
    <row r="1265" spans="1:6" x14ac:dyDescent="0.35">
      <c r="A1265" s="2">
        <f ca="1">IFERROR(__xludf.DUMMYFUNCTION("""COMPUTED_VALUE"""),43839.6666666666)</f>
        <v>43839.666666666599</v>
      </c>
      <c r="B1265" s="1">
        <f ca="1">IFERROR(__xludf.DUMMYFUNCTION("""COMPUTED_VALUE"""),71.1)</f>
        <v>71.099999999999994</v>
      </c>
      <c r="C1265" s="1">
        <f ca="1">IFERROR(__xludf.DUMMYFUNCTION("""COMPUTED_VALUE"""),71.43)</f>
        <v>71.430000000000007</v>
      </c>
      <c r="D1265" s="1">
        <f ca="1">IFERROR(__xludf.DUMMYFUNCTION("""COMPUTED_VALUE"""),70.51)</f>
        <v>70.510000000000005</v>
      </c>
      <c r="E1265" s="1">
        <f ca="1">IFERROR(__xludf.DUMMYFUNCTION("""COMPUTED_VALUE"""),70.99)</f>
        <v>70.989999999999995</v>
      </c>
      <c r="F1265" s="1">
        <f ca="1">IFERROR(__xludf.DUMMYFUNCTION("""COMPUTED_VALUE"""),1661438)</f>
        <v>1661438</v>
      </c>
    </row>
    <row r="1266" spans="1:6" x14ac:dyDescent="0.35">
      <c r="A1266" s="2">
        <f ca="1">IFERROR(__xludf.DUMMYFUNCTION("""COMPUTED_VALUE"""),43840.6666666666)</f>
        <v>43840.666666666599</v>
      </c>
      <c r="B1266" s="1">
        <f ca="1">IFERROR(__xludf.DUMMYFUNCTION("""COMPUTED_VALUE"""),71.47)</f>
        <v>71.47</v>
      </c>
      <c r="C1266" s="1">
        <f ca="1">IFERROR(__xludf.DUMMYFUNCTION("""COMPUTED_VALUE"""),71.75)</f>
        <v>71.75</v>
      </c>
      <c r="D1266" s="1">
        <f ca="1">IFERROR(__xludf.DUMMYFUNCTION("""COMPUTED_VALUE"""),70.98)</f>
        <v>70.98</v>
      </c>
      <c r="E1266" s="1">
        <f ca="1">IFERROR(__xludf.DUMMYFUNCTION("""COMPUTED_VALUE"""),71.45)</f>
        <v>71.45</v>
      </c>
      <c r="F1266" s="1">
        <f ca="1">IFERROR(__xludf.DUMMYFUNCTION("""COMPUTED_VALUE"""),1313178)</f>
        <v>1313178</v>
      </c>
    </row>
    <row r="1267" spans="1:6" x14ac:dyDescent="0.35">
      <c r="A1267" s="2">
        <f ca="1">IFERROR(__xludf.DUMMYFUNCTION("""COMPUTED_VALUE"""),43843.6666666666)</f>
        <v>43843.666666666599</v>
      </c>
      <c r="B1267" s="1">
        <f ca="1">IFERROR(__xludf.DUMMYFUNCTION("""COMPUTED_VALUE"""),71.76)</f>
        <v>71.760000000000005</v>
      </c>
      <c r="C1267" s="1">
        <f ca="1">IFERROR(__xludf.DUMMYFUNCTION("""COMPUTED_VALUE"""),72.07)</f>
        <v>72.069999999999993</v>
      </c>
      <c r="D1267" s="1">
        <f ca="1">IFERROR(__xludf.DUMMYFUNCTION("""COMPUTED_VALUE"""),71.27)</f>
        <v>71.27</v>
      </c>
      <c r="E1267" s="1">
        <f ca="1">IFERROR(__xludf.DUMMYFUNCTION("""COMPUTED_VALUE"""),72)</f>
        <v>72</v>
      </c>
      <c r="F1267" s="1">
        <f ca="1">IFERROR(__xludf.DUMMYFUNCTION("""COMPUTED_VALUE"""),1537317)</f>
        <v>1537317</v>
      </c>
    </row>
    <row r="1268" spans="1:6" x14ac:dyDescent="0.35">
      <c r="A1268" s="2">
        <f ca="1">IFERROR(__xludf.DUMMYFUNCTION("""COMPUTED_VALUE"""),43844.6666666666)</f>
        <v>43844.666666666599</v>
      </c>
      <c r="B1268" s="1">
        <f ca="1">IFERROR(__xludf.DUMMYFUNCTION("""COMPUTED_VALUE"""),72)</f>
        <v>72</v>
      </c>
      <c r="C1268" s="1">
        <f ca="1">IFERROR(__xludf.DUMMYFUNCTION("""COMPUTED_VALUE"""),72.13)</f>
        <v>72.13</v>
      </c>
      <c r="D1268" s="1">
        <f ca="1">IFERROR(__xludf.DUMMYFUNCTION("""COMPUTED_VALUE"""),71.39)</f>
        <v>71.39</v>
      </c>
      <c r="E1268" s="1">
        <f ca="1">IFERROR(__xludf.DUMMYFUNCTION("""COMPUTED_VALUE"""),71.53)</f>
        <v>71.53</v>
      </c>
      <c r="F1268" s="1">
        <f ca="1">IFERROR(__xludf.DUMMYFUNCTION("""COMPUTED_VALUE"""),1305636)</f>
        <v>1305636</v>
      </c>
    </row>
    <row r="1269" spans="1:6" x14ac:dyDescent="0.35">
      <c r="A1269" s="2">
        <f ca="1">IFERROR(__xludf.DUMMYFUNCTION("""COMPUTED_VALUE"""),43845.6666666666)</f>
        <v>43845.666666666599</v>
      </c>
      <c r="B1269" s="1">
        <f ca="1">IFERROR(__xludf.DUMMYFUNCTION("""COMPUTED_VALUE"""),71.65)</f>
        <v>71.650000000000006</v>
      </c>
      <c r="C1269" s="1">
        <f ca="1">IFERROR(__xludf.DUMMYFUNCTION("""COMPUTED_VALUE"""),72.04)</f>
        <v>72.040000000000006</v>
      </c>
      <c r="D1269" s="1">
        <f ca="1">IFERROR(__xludf.DUMMYFUNCTION("""COMPUTED_VALUE"""),71.58)</f>
        <v>71.58</v>
      </c>
      <c r="E1269" s="1">
        <f ca="1">IFERROR(__xludf.DUMMYFUNCTION("""COMPUTED_VALUE"""),71.96)</f>
        <v>71.959999999999994</v>
      </c>
      <c r="F1269" s="1">
        <f ca="1">IFERROR(__xludf.DUMMYFUNCTION("""COMPUTED_VALUE"""),1077519)</f>
        <v>1077519</v>
      </c>
    </row>
    <row r="1270" spans="1:6" x14ac:dyDescent="0.35">
      <c r="A1270" s="2">
        <f ca="1">IFERROR(__xludf.DUMMYFUNCTION("""COMPUTED_VALUE"""),43846.6666666666)</f>
        <v>43846.666666666599</v>
      </c>
      <c r="B1270" s="1">
        <f ca="1">IFERROR(__xludf.DUMMYFUNCTION("""COMPUTED_VALUE"""),72.27)</f>
        <v>72.27</v>
      </c>
      <c r="C1270" s="1">
        <f ca="1">IFERROR(__xludf.DUMMYFUNCTION("""COMPUTED_VALUE"""),72.54)</f>
        <v>72.540000000000006</v>
      </c>
      <c r="D1270" s="1">
        <f ca="1">IFERROR(__xludf.DUMMYFUNCTION("""COMPUTED_VALUE"""),72)</f>
        <v>72</v>
      </c>
      <c r="E1270" s="1">
        <f ca="1">IFERROR(__xludf.DUMMYFUNCTION("""COMPUTED_VALUE"""),72.51)</f>
        <v>72.510000000000005</v>
      </c>
      <c r="F1270" s="1">
        <f ca="1">IFERROR(__xludf.DUMMYFUNCTION("""COMPUTED_VALUE"""),1304040)</f>
        <v>1304040</v>
      </c>
    </row>
    <row r="1271" spans="1:6" x14ac:dyDescent="0.35">
      <c r="A1271" s="2">
        <f ca="1">IFERROR(__xludf.DUMMYFUNCTION("""COMPUTED_VALUE"""),43847.6666666666)</f>
        <v>43847.666666666599</v>
      </c>
      <c r="B1271" s="1">
        <f ca="1">IFERROR(__xludf.DUMMYFUNCTION("""COMPUTED_VALUE"""),73.13)</f>
        <v>73.13</v>
      </c>
      <c r="C1271" s="1">
        <f ca="1">IFERROR(__xludf.DUMMYFUNCTION("""COMPUTED_VALUE"""),74.03)</f>
        <v>74.03</v>
      </c>
      <c r="D1271" s="1">
        <f ca="1">IFERROR(__xludf.DUMMYFUNCTION("""COMPUTED_VALUE"""),72.83)</f>
        <v>72.83</v>
      </c>
      <c r="E1271" s="1">
        <f ca="1">IFERROR(__xludf.DUMMYFUNCTION("""COMPUTED_VALUE"""),73.98)</f>
        <v>73.98</v>
      </c>
      <c r="F1271" s="1">
        <f ca="1">IFERROR(__xludf.DUMMYFUNCTION("""COMPUTED_VALUE"""),2621175)</f>
        <v>2621175</v>
      </c>
    </row>
    <row r="1272" spans="1:6" x14ac:dyDescent="0.35">
      <c r="A1272" s="2">
        <f ca="1">IFERROR(__xludf.DUMMYFUNCTION("""COMPUTED_VALUE"""),43851.6666666666)</f>
        <v>43851.666666666599</v>
      </c>
      <c r="B1272" s="1">
        <f ca="1">IFERROR(__xludf.DUMMYFUNCTION("""COMPUTED_VALUE"""),73.95)</f>
        <v>73.95</v>
      </c>
      <c r="C1272" s="1">
        <f ca="1">IFERROR(__xludf.DUMMYFUNCTION("""COMPUTED_VALUE"""),74.49)</f>
        <v>74.489999999999995</v>
      </c>
      <c r="D1272" s="1">
        <f ca="1">IFERROR(__xludf.DUMMYFUNCTION("""COMPUTED_VALUE"""),73.51)</f>
        <v>73.510000000000005</v>
      </c>
      <c r="E1272" s="1">
        <f ca="1">IFERROR(__xludf.DUMMYFUNCTION("""COMPUTED_VALUE"""),74.11)</f>
        <v>74.11</v>
      </c>
      <c r="F1272" s="1">
        <f ca="1">IFERROR(__xludf.DUMMYFUNCTION("""COMPUTED_VALUE"""),2446601)</f>
        <v>2446601</v>
      </c>
    </row>
    <row r="1273" spans="1:6" x14ac:dyDescent="0.35">
      <c r="A1273" s="2">
        <f ca="1">IFERROR(__xludf.DUMMYFUNCTION("""COMPUTED_VALUE"""),43852.6666666666)</f>
        <v>43852.666666666599</v>
      </c>
      <c r="B1273" s="1">
        <f ca="1">IFERROR(__xludf.DUMMYFUNCTION("""COMPUTED_VALUE"""),74.49)</f>
        <v>74.489999999999995</v>
      </c>
      <c r="C1273" s="1">
        <f ca="1">IFERROR(__xludf.DUMMYFUNCTION("""COMPUTED_VALUE"""),75.03)</f>
        <v>75.03</v>
      </c>
      <c r="D1273" s="1">
        <f ca="1">IFERROR(__xludf.DUMMYFUNCTION("""COMPUTED_VALUE"""),74.13)</f>
        <v>74.13</v>
      </c>
      <c r="E1273" s="1">
        <f ca="1">IFERROR(__xludf.DUMMYFUNCTION("""COMPUTED_VALUE"""),74.21)</f>
        <v>74.209999999999994</v>
      </c>
      <c r="F1273" s="1">
        <f ca="1">IFERROR(__xludf.DUMMYFUNCTION("""COMPUTED_VALUE"""),1422946)</f>
        <v>1422946</v>
      </c>
    </row>
    <row r="1274" spans="1:6" x14ac:dyDescent="0.35">
      <c r="A1274" s="2">
        <f ca="1">IFERROR(__xludf.DUMMYFUNCTION("""COMPUTED_VALUE"""),43853.6666666666)</f>
        <v>43853.666666666599</v>
      </c>
      <c r="B1274" s="1">
        <f ca="1">IFERROR(__xludf.DUMMYFUNCTION("""COMPUTED_VALUE"""),74.38)</f>
        <v>74.38</v>
      </c>
      <c r="C1274" s="1">
        <f ca="1">IFERROR(__xludf.DUMMYFUNCTION("""COMPUTED_VALUE"""),74.68)</f>
        <v>74.680000000000007</v>
      </c>
      <c r="D1274" s="1">
        <f ca="1">IFERROR(__xludf.DUMMYFUNCTION("""COMPUTED_VALUE"""),74.02)</f>
        <v>74.02</v>
      </c>
      <c r="E1274" s="1">
        <f ca="1">IFERROR(__xludf.DUMMYFUNCTION("""COMPUTED_VALUE"""),74.23)</f>
        <v>74.23</v>
      </c>
      <c r="F1274" s="1">
        <f ca="1">IFERROR(__xludf.DUMMYFUNCTION("""COMPUTED_VALUE"""),1332562)</f>
        <v>1332562</v>
      </c>
    </row>
    <row r="1275" spans="1:6" x14ac:dyDescent="0.35">
      <c r="A1275" s="2">
        <f ca="1">IFERROR(__xludf.DUMMYFUNCTION("""COMPUTED_VALUE"""),43854.6666666666)</f>
        <v>43854.666666666599</v>
      </c>
      <c r="B1275" s="1">
        <f ca="1">IFERROR(__xludf.DUMMYFUNCTION("""COMPUTED_VALUE"""),74.64)</f>
        <v>74.64</v>
      </c>
      <c r="C1275" s="1">
        <f ca="1">IFERROR(__xludf.DUMMYFUNCTION("""COMPUTED_VALUE"""),74.71)</f>
        <v>74.709999999999994</v>
      </c>
      <c r="D1275" s="1">
        <f ca="1">IFERROR(__xludf.DUMMYFUNCTION("""COMPUTED_VALUE"""),73.16)</f>
        <v>73.16</v>
      </c>
      <c r="E1275" s="1">
        <f ca="1">IFERROR(__xludf.DUMMYFUNCTION("""COMPUTED_VALUE"""),73.31)</f>
        <v>73.31</v>
      </c>
      <c r="F1275" s="1">
        <f ca="1">IFERROR(__xludf.DUMMYFUNCTION("""COMPUTED_VALUE"""),1489280)</f>
        <v>1489280</v>
      </c>
    </row>
    <row r="1276" spans="1:6" x14ac:dyDescent="0.35">
      <c r="A1276" s="2">
        <f ca="1">IFERROR(__xludf.DUMMYFUNCTION("""COMPUTED_VALUE"""),43857.6666666666)</f>
        <v>43857.666666666599</v>
      </c>
      <c r="B1276" s="1">
        <f ca="1">IFERROR(__xludf.DUMMYFUNCTION("""COMPUTED_VALUE"""),71.58)</f>
        <v>71.58</v>
      </c>
      <c r="C1276" s="1">
        <f ca="1">IFERROR(__xludf.DUMMYFUNCTION("""COMPUTED_VALUE"""),71.83)</f>
        <v>71.83</v>
      </c>
      <c r="D1276" s="1">
        <f ca="1">IFERROR(__xludf.DUMMYFUNCTION("""COMPUTED_VALUE"""),70.97)</f>
        <v>70.97</v>
      </c>
      <c r="E1276" s="1">
        <f ca="1">IFERROR(__xludf.DUMMYFUNCTION("""COMPUTED_VALUE"""),71.59)</f>
        <v>71.59</v>
      </c>
      <c r="F1276" s="1">
        <f ca="1">IFERROR(__xludf.DUMMYFUNCTION("""COMPUTED_VALUE"""),1706566)</f>
        <v>1706566</v>
      </c>
    </row>
    <row r="1277" spans="1:6" x14ac:dyDescent="0.35">
      <c r="A1277" s="2">
        <f ca="1">IFERROR(__xludf.DUMMYFUNCTION("""COMPUTED_VALUE"""),43858.6666666666)</f>
        <v>43858.666666666599</v>
      </c>
      <c r="B1277" s="1">
        <f ca="1">IFERROR(__xludf.DUMMYFUNCTION("""COMPUTED_VALUE"""),72.09)</f>
        <v>72.09</v>
      </c>
      <c r="C1277" s="1">
        <f ca="1">IFERROR(__xludf.DUMMYFUNCTION("""COMPUTED_VALUE"""),72.74)</f>
        <v>72.739999999999995</v>
      </c>
      <c r="D1277" s="1">
        <f ca="1">IFERROR(__xludf.DUMMYFUNCTION("""COMPUTED_VALUE"""),71.52)</f>
        <v>71.52</v>
      </c>
      <c r="E1277" s="1">
        <f ca="1">IFERROR(__xludf.DUMMYFUNCTION("""COMPUTED_VALUE"""),72.53)</f>
        <v>72.53</v>
      </c>
      <c r="F1277" s="1">
        <f ca="1">IFERROR(__xludf.DUMMYFUNCTION("""COMPUTED_VALUE"""),1486586)</f>
        <v>1486586</v>
      </c>
    </row>
    <row r="1278" spans="1:6" x14ac:dyDescent="0.35">
      <c r="A1278" s="2">
        <f ca="1">IFERROR(__xludf.DUMMYFUNCTION("""COMPUTED_VALUE"""),43859.6666666666)</f>
        <v>43859.666666666599</v>
      </c>
      <c r="B1278" s="1">
        <f ca="1">IFERROR(__xludf.DUMMYFUNCTION("""COMPUTED_VALUE"""),72.92)</f>
        <v>72.92</v>
      </c>
      <c r="C1278" s="1">
        <f ca="1">IFERROR(__xludf.DUMMYFUNCTION("""COMPUTED_VALUE"""),73.21)</f>
        <v>73.209999999999994</v>
      </c>
      <c r="D1278" s="1">
        <f ca="1">IFERROR(__xludf.DUMMYFUNCTION("""COMPUTED_VALUE"""),72.27)</f>
        <v>72.27</v>
      </c>
      <c r="E1278" s="1">
        <f ca="1">IFERROR(__xludf.DUMMYFUNCTION("""COMPUTED_VALUE"""),72.83)</f>
        <v>72.83</v>
      </c>
      <c r="F1278" s="1">
        <f ca="1">IFERROR(__xludf.DUMMYFUNCTION("""COMPUTED_VALUE"""),1081964)</f>
        <v>1081964</v>
      </c>
    </row>
    <row r="1279" spans="1:6" x14ac:dyDescent="0.35">
      <c r="A1279" s="2">
        <f ca="1">IFERROR(__xludf.DUMMYFUNCTION("""COMPUTED_VALUE"""),43860.6666666666)</f>
        <v>43860.666666666599</v>
      </c>
      <c r="B1279" s="1">
        <f ca="1">IFERROR(__xludf.DUMMYFUNCTION("""COMPUTED_VALUE"""),71.91)</f>
        <v>71.91</v>
      </c>
      <c r="C1279" s="1">
        <f ca="1">IFERROR(__xludf.DUMMYFUNCTION("""COMPUTED_VALUE"""),72.76)</f>
        <v>72.760000000000005</v>
      </c>
      <c r="D1279" s="1">
        <f ca="1">IFERROR(__xludf.DUMMYFUNCTION("""COMPUTED_VALUE"""),71.75)</f>
        <v>71.75</v>
      </c>
      <c r="E1279" s="1">
        <f ca="1">IFERROR(__xludf.DUMMYFUNCTION("""COMPUTED_VALUE"""),72.71)</f>
        <v>72.709999999999994</v>
      </c>
      <c r="F1279" s="1">
        <f ca="1">IFERROR(__xludf.DUMMYFUNCTION("""COMPUTED_VALUE"""),1355472)</f>
        <v>1355472</v>
      </c>
    </row>
    <row r="1280" spans="1:6" x14ac:dyDescent="0.35">
      <c r="A1280" s="2">
        <f ca="1">IFERROR(__xludf.DUMMYFUNCTION("""COMPUTED_VALUE"""),43861.6666666666)</f>
        <v>43861.666666666599</v>
      </c>
      <c r="B1280" s="1">
        <f ca="1">IFERROR(__xludf.DUMMYFUNCTION("""COMPUTED_VALUE"""),73.39)</f>
        <v>73.39</v>
      </c>
      <c r="C1280" s="1">
        <f ca="1">IFERROR(__xludf.DUMMYFUNCTION("""COMPUTED_VALUE"""),73.48)</f>
        <v>73.48</v>
      </c>
      <c r="D1280" s="1">
        <f ca="1">IFERROR(__xludf.DUMMYFUNCTION("""COMPUTED_VALUE"""),71.35)</f>
        <v>71.349999999999994</v>
      </c>
      <c r="E1280" s="1">
        <f ca="1">IFERROR(__xludf.DUMMYFUNCTION("""COMPUTED_VALUE"""),71.64)</f>
        <v>71.64</v>
      </c>
      <c r="F1280" s="1">
        <f ca="1">IFERROR(__xludf.DUMMYFUNCTION("""COMPUTED_VALUE"""),2191075)</f>
        <v>2191075</v>
      </c>
    </row>
    <row r="1281" spans="1:6" x14ac:dyDescent="0.35">
      <c r="A1281" s="2">
        <f ca="1">IFERROR(__xludf.DUMMYFUNCTION("""COMPUTED_VALUE"""),43864.6666666666)</f>
        <v>43864.666666666599</v>
      </c>
      <c r="B1281" s="1">
        <f ca="1">IFERROR(__xludf.DUMMYFUNCTION("""COMPUTED_VALUE"""),73.08)</f>
        <v>73.08</v>
      </c>
      <c r="C1281" s="1">
        <f ca="1">IFERROR(__xludf.DUMMYFUNCTION("""COMPUTED_VALUE"""),74.32)</f>
        <v>74.319999999999993</v>
      </c>
      <c r="D1281" s="1">
        <f ca="1">IFERROR(__xludf.DUMMYFUNCTION("""COMPUTED_VALUE"""),72.83)</f>
        <v>72.83</v>
      </c>
      <c r="E1281" s="1">
        <f ca="1">IFERROR(__xludf.DUMMYFUNCTION("""COMPUTED_VALUE"""),74.13)</f>
        <v>74.13</v>
      </c>
      <c r="F1281" s="1">
        <f ca="1">IFERROR(__xludf.DUMMYFUNCTION("""COMPUTED_VALUE"""),3608760)</f>
        <v>3608760</v>
      </c>
    </row>
    <row r="1282" spans="1:6" x14ac:dyDescent="0.35">
      <c r="A1282" s="2">
        <f ca="1">IFERROR(__xludf.DUMMYFUNCTION("""COMPUTED_VALUE"""),43865.6666666666)</f>
        <v>43865.666666666599</v>
      </c>
      <c r="B1282" s="1">
        <f ca="1">IFERROR(__xludf.DUMMYFUNCTION("""COMPUTED_VALUE"""),72.72)</f>
        <v>72.72</v>
      </c>
      <c r="C1282" s="1">
        <f ca="1">IFERROR(__xludf.DUMMYFUNCTION("""COMPUTED_VALUE"""),73.37)</f>
        <v>73.37</v>
      </c>
      <c r="D1282" s="1">
        <f ca="1">IFERROR(__xludf.DUMMYFUNCTION("""COMPUTED_VALUE"""),71.1)</f>
        <v>71.099999999999994</v>
      </c>
      <c r="E1282" s="1">
        <f ca="1">IFERROR(__xludf.DUMMYFUNCTION("""COMPUTED_VALUE"""),72.27)</f>
        <v>72.27</v>
      </c>
      <c r="F1282" s="1">
        <f ca="1">IFERROR(__xludf.DUMMYFUNCTION("""COMPUTED_VALUE"""),4793967)</f>
        <v>4793967</v>
      </c>
    </row>
    <row r="1283" spans="1:6" x14ac:dyDescent="0.35">
      <c r="A1283" s="2">
        <f ca="1">IFERROR(__xludf.DUMMYFUNCTION("""COMPUTED_VALUE"""),43866.6666666666)</f>
        <v>43866.666666666599</v>
      </c>
      <c r="B1283" s="1">
        <f ca="1">IFERROR(__xludf.DUMMYFUNCTION("""COMPUTED_VALUE"""),73.18)</f>
        <v>73.180000000000007</v>
      </c>
      <c r="C1283" s="1">
        <f ca="1">IFERROR(__xludf.DUMMYFUNCTION("""COMPUTED_VALUE"""),73.23)</f>
        <v>73.23</v>
      </c>
      <c r="D1283" s="1">
        <f ca="1">IFERROR(__xludf.DUMMYFUNCTION("""COMPUTED_VALUE"""),71.48)</f>
        <v>71.48</v>
      </c>
      <c r="E1283" s="1">
        <f ca="1">IFERROR(__xludf.DUMMYFUNCTION("""COMPUTED_VALUE"""),72.3)</f>
        <v>72.3</v>
      </c>
      <c r="F1283" s="1">
        <f ca="1">IFERROR(__xludf.DUMMYFUNCTION("""COMPUTED_VALUE"""),1818793)</f>
        <v>1818793</v>
      </c>
    </row>
    <row r="1284" spans="1:6" x14ac:dyDescent="0.35">
      <c r="A1284" s="2">
        <f ca="1">IFERROR(__xludf.DUMMYFUNCTION("""COMPUTED_VALUE"""),43867.6666666666)</f>
        <v>43867.666666666599</v>
      </c>
      <c r="B1284" s="1">
        <f ca="1">IFERROR(__xludf.DUMMYFUNCTION("""COMPUTED_VALUE"""),72.6)</f>
        <v>72.599999999999994</v>
      </c>
      <c r="C1284" s="1">
        <f ca="1">IFERROR(__xludf.DUMMYFUNCTION("""COMPUTED_VALUE"""),74.08)</f>
        <v>74.08</v>
      </c>
      <c r="D1284" s="1">
        <f ca="1">IFERROR(__xludf.DUMMYFUNCTION("""COMPUTED_VALUE"""),72.52)</f>
        <v>72.52</v>
      </c>
      <c r="E1284" s="1">
        <f ca="1">IFERROR(__xludf.DUMMYFUNCTION("""COMPUTED_VALUE"""),73.8)</f>
        <v>73.8</v>
      </c>
      <c r="F1284" s="1">
        <f ca="1">IFERROR(__xludf.DUMMYFUNCTION("""COMPUTED_VALUE"""),1891079)</f>
        <v>1891079</v>
      </c>
    </row>
    <row r="1285" spans="1:6" x14ac:dyDescent="0.35">
      <c r="A1285" s="2">
        <f ca="1">IFERROR(__xludf.DUMMYFUNCTION("""COMPUTED_VALUE"""),43868.6666666666)</f>
        <v>43868.666666666599</v>
      </c>
      <c r="B1285" s="1">
        <f ca="1">IFERROR(__xludf.DUMMYFUNCTION("""COMPUTED_VALUE"""),73.37)</f>
        <v>73.37</v>
      </c>
      <c r="C1285" s="1">
        <f ca="1">IFERROR(__xludf.DUMMYFUNCTION("""COMPUTED_VALUE"""),74.26)</f>
        <v>74.260000000000005</v>
      </c>
      <c r="D1285" s="1">
        <f ca="1">IFERROR(__xludf.DUMMYFUNCTION("""COMPUTED_VALUE"""),73.27)</f>
        <v>73.27</v>
      </c>
      <c r="E1285" s="1">
        <f ca="1">IFERROR(__xludf.DUMMYFUNCTION("""COMPUTED_VALUE"""),73.96)</f>
        <v>73.959999999999994</v>
      </c>
      <c r="F1285" s="1">
        <f ca="1">IFERROR(__xludf.DUMMYFUNCTION("""COMPUTED_VALUE"""),1418049)</f>
        <v>1418049</v>
      </c>
    </row>
    <row r="1286" spans="1:6" x14ac:dyDescent="0.35">
      <c r="A1286" s="2">
        <f ca="1">IFERROR(__xludf.DUMMYFUNCTION("""COMPUTED_VALUE"""),43871.6666666666)</f>
        <v>43871.666666666599</v>
      </c>
      <c r="B1286" s="1">
        <f ca="1">IFERROR(__xludf.DUMMYFUNCTION("""COMPUTED_VALUE"""),73.86)</f>
        <v>73.86</v>
      </c>
      <c r="C1286" s="1">
        <f ca="1">IFERROR(__xludf.DUMMYFUNCTION("""COMPUTED_VALUE"""),75.44)</f>
        <v>75.44</v>
      </c>
      <c r="D1286" s="1">
        <f ca="1">IFERROR(__xludf.DUMMYFUNCTION("""COMPUTED_VALUE"""),73.76)</f>
        <v>73.760000000000005</v>
      </c>
      <c r="E1286" s="1">
        <f ca="1">IFERROR(__xludf.DUMMYFUNCTION("""COMPUTED_VALUE"""),75.43)</f>
        <v>75.430000000000007</v>
      </c>
      <c r="F1286" s="1">
        <f ca="1">IFERROR(__xludf.DUMMYFUNCTION("""COMPUTED_VALUE"""),1915072)</f>
        <v>1915072</v>
      </c>
    </row>
    <row r="1287" spans="1:6" x14ac:dyDescent="0.35">
      <c r="A1287" s="2">
        <f ca="1">IFERROR(__xludf.DUMMYFUNCTION("""COMPUTED_VALUE"""),43872.6666666666)</f>
        <v>43872.666666666599</v>
      </c>
      <c r="B1287" s="1">
        <f ca="1">IFERROR(__xludf.DUMMYFUNCTION("""COMPUTED_VALUE"""),75.66)</f>
        <v>75.66</v>
      </c>
      <c r="C1287" s="1">
        <f ca="1">IFERROR(__xludf.DUMMYFUNCTION("""COMPUTED_VALUE"""),76.49)</f>
        <v>76.489999999999995</v>
      </c>
      <c r="D1287" s="1">
        <f ca="1">IFERROR(__xludf.DUMMYFUNCTION("""COMPUTED_VALUE"""),75.27)</f>
        <v>75.27</v>
      </c>
      <c r="E1287" s="1">
        <f ca="1">IFERROR(__xludf.DUMMYFUNCTION("""COMPUTED_VALUE"""),75.5)</f>
        <v>75.5</v>
      </c>
      <c r="F1287" s="1">
        <f ca="1">IFERROR(__xludf.DUMMYFUNCTION("""COMPUTED_VALUE"""),1742647)</f>
        <v>1742647</v>
      </c>
    </row>
    <row r="1288" spans="1:6" x14ac:dyDescent="0.35">
      <c r="A1288" s="2">
        <f ca="1">IFERROR(__xludf.DUMMYFUNCTION("""COMPUTED_VALUE"""),43873.6666666666)</f>
        <v>43873.666666666599</v>
      </c>
      <c r="B1288" s="1">
        <f ca="1">IFERROR(__xludf.DUMMYFUNCTION("""COMPUTED_VALUE"""),75.79)</f>
        <v>75.790000000000006</v>
      </c>
      <c r="C1288" s="1">
        <f ca="1">IFERROR(__xludf.DUMMYFUNCTION("""COMPUTED_VALUE"""),76.02)</f>
        <v>76.02</v>
      </c>
      <c r="D1288" s="1">
        <f ca="1">IFERROR(__xludf.DUMMYFUNCTION("""COMPUTED_VALUE"""),75.43)</f>
        <v>75.430000000000007</v>
      </c>
      <c r="E1288" s="1">
        <f ca="1">IFERROR(__xludf.DUMMYFUNCTION("""COMPUTED_VALUE"""),75.93)</f>
        <v>75.930000000000007</v>
      </c>
      <c r="F1288" s="1">
        <f ca="1">IFERROR(__xludf.DUMMYFUNCTION("""COMPUTED_VALUE"""),1552136)</f>
        <v>1552136</v>
      </c>
    </row>
    <row r="1289" spans="1:6" x14ac:dyDescent="0.35">
      <c r="A1289" s="2">
        <f ca="1">IFERROR(__xludf.DUMMYFUNCTION("""COMPUTED_VALUE"""),43874.6666666666)</f>
        <v>43874.666666666599</v>
      </c>
      <c r="B1289" s="1">
        <f ca="1">IFERROR(__xludf.DUMMYFUNCTION("""COMPUTED_VALUE"""),75.5)</f>
        <v>75.5</v>
      </c>
      <c r="C1289" s="1">
        <f ca="1">IFERROR(__xludf.DUMMYFUNCTION("""COMPUTED_VALUE"""),76.3)</f>
        <v>76.3</v>
      </c>
      <c r="D1289" s="1">
        <f ca="1">IFERROR(__xludf.DUMMYFUNCTION("""COMPUTED_VALUE"""),75.2)</f>
        <v>75.2</v>
      </c>
      <c r="E1289" s="1">
        <f ca="1">IFERROR(__xludf.DUMMYFUNCTION("""COMPUTED_VALUE"""),75.67)</f>
        <v>75.67</v>
      </c>
      <c r="F1289" s="1">
        <f ca="1">IFERROR(__xludf.DUMMYFUNCTION("""COMPUTED_VALUE"""),1145658)</f>
        <v>1145658</v>
      </c>
    </row>
    <row r="1290" spans="1:6" x14ac:dyDescent="0.35">
      <c r="A1290" s="2">
        <f ca="1">IFERROR(__xludf.DUMMYFUNCTION("""COMPUTED_VALUE"""),43875.6666666666)</f>
        <v>43875.666666666599</v>
      </c>
      <c r="B1290" s="1">
        <f ca="1">IFERROR(__xludf.DUMMYFUNCTION("""COMPUTED_VALUE"""),75.73)</f>
        <v>75.73</v>
      </c>
      <c r="C1290" s="1">
        <f ca="1">IFERROR(__xludf.DUMMYFUNCTION("""COMPUTED_VALUE"""),76)</f>
        <v>76</v>
      </c>
      <c r="D1290" s="1">
        <f ca="1">IFERROR(__xludf.DUMMYFUNCTION("""COMPUTED_VALUE"""),75.28)</f>
        <v>75.28</v>
      </c>
      <c r="E1290" s="1">
        <f ca="1">IFERROR(__xludf.DUMMYFUNCTION("""COMPUTED_VALUE"""),75.94)</f>
        <v>75.94</v>
      </c>
      <c r="F1290" s="1">
        <f ca="1">IFERROR(__xludf.DUMMYFUNCTION("""COMPUTED_VALUE"""),1159857)</f>
        <v>1159857</v>
      </c>
    </row>
    <row r="1291" spans="1:6" x14ac:dyDescent="0.35">
      <c r="A1291" s="2">
        <f ca="1">IFERROR(__xludf.DUMMYFUNCTION("""COMPUTED_VALUE"""),43879.6666666666)</f>
        <v>43879.666666666599</v>
      </c>
      <c r="B1291" s="1">
        <f ca="1">IFERROR(__xludf.DUMMYFUNCTION("""COMPUTED_VALUE"""),75.72)</f>
        <v>75.72</v>
      </c>
      <c r="C1291" s="1">
        <f ca="1">IFERROR(__xludf.DUMMYFUNCTION("""COMPUTED_VALUE"""),76.53)</f>
        <v>76.53</v>
      </c>
      <c r="D1291" s="1">
        <f ca="1">IFERROR(__xludf.DUMMYFUNCTION("""COMPUTED_VALUE"""),75.55)</f>
        <v>75.55</v>
      </c>
      <c r="E1291" s="1">
        <f ca="1">IFERROR(__xludf.DUMMYFUNCTION("""COMPUTED_VALUE"""),75.97)</f>
        <v>75.97</v>
      </c>
      <c r="F1291" s="1">
        <f ca="1">IFERROR(__xludf.DUMMYFUNCTION("""COMPUTED_VALUE"""),1284011)</f>
        <v>1284011</v>
      </c>
    </row>
    <row r="1292" spans="1:6" x14ac:dyDescent="0.35">
      <c r="A1292" s="2">
        <f ca="1">IFERROR(__xludf.DUMMYFUNCTION("""COMPUTED_VALUE"""),43880.6666666666)</f>
        <v>43880.666666666599</v>
      </c>
      <c r="B1292" s="1">
        <f ca="1">IFERROR(__xludf.DUMMYFUNCTION("""COMPUTED_VALUE"""),76.36)</f>
        <v>76.36</v>
      </c>
      <c r="C1292" s="1">
        <f ca="1">IFERROR(__xludf.DUMMYFUNCTION("""COMPUTED_VALUE"""),76.54)</f>
        <v>76.540000000000006</v>
      </c>
      <c r="D1292" s="1">
        <f ca="1">IFERROR(__xludf.DUMMYFUNCTION("""COMPUTED_VALUE"""),76.05)</f>
        <v>76.05</v>
      </c>
      <c r="E1292" s="1">
        <f ca="1">IFERROR(__xludf.DUMMYFUNCTION("""COMPUTED_VALUE"""),76.24)</f>
        <v>76.239999999999995</v>
      </c>
      <c r="F1292" s="1">
        <f ca="1">IFERROR(__xludf.DUMMYFUNCTION("""COMPUTED_VALUE"""),1137338)</f>
        <v>1137338</v>
      </c>
    </row>
    <row r="1293" spans="1:6" x14ac:dyDescent="0.35">
      <c r="A1293" s="2">
        <f ca="1">IFERROR(__xludf.DUMMYFUNCTION("""COMPUTED_VALUE"""),43881.6666666666)</f>
        <v>43881.666666666599</v>
      </c>
      <c r="B1293" s="1">
        <f ca="1">IFERROR(__xludf.DUMMYFUNCTION("""COMPUTED_VALUE"""),75.95)</f>
        <v>75.95</v>
      </c>
      <c r="C1293" s="1">
        <f ca="1">IFERROR(__xludf.DUMMYFUNCTION("""COMPUTED_VALUE"""),76.35)</f>
        <v>76.349999999999994</v>
      </c>
      <c r="D1293" s="1">
        <f ca="1">IFERROR(__xludf.DUMMYFUNCTION("""COMPUTED_VALUE"""),75.21)</f>
        <v>75.209999999999994</v>
      </c>
      <c r="E1293" s="1">
        <f ca="1">IFERROR(__xludf.DUMMYFUNCTION("""COMPUTED_VALUE"""),75.85)</f>
        <v>75.849999999999994</v>
      </c>
      <c r="F1293" s="1">
        <f ca="1">IFERROR(__xludf.DUMMYFUNCTION("""COMPUTED_VALUE"""),1298386)</f>
        <v>1298386</v>
      </c>
    </row>
    <row r="1294" spans="1:6" x14ac:dyDescent="0.35">
      <c r="A1294" s="2">
        <f ca="1">IFERROR(__xludf.DUMMYFUNCTION("""COMPUTED_VALUE"""),43882.6666666666)</f>
        <v>43882.666666666599</v>
      </c>
      <c r="B1294" s="1">
        <f ca="1">IFERROR(__xludf.DUMMYFUNCTION("""COMPUTED_VALUE"""),75.23)</f>
        <v>75.23</v>
      </c>
      <c r="C1294" s="1">
        <f ca="1">IFERROR(__xludf.DUMMYFUNCTION("""COMPUTED_VALUE"""),75.55)</f>
        <v>75.55</v>
      </c>
      <c r="D1294" s="1">
        <f ca="1">IFERROR(__xludf.DUMMYFUNCTION("""COMPUTED_VALUE"""),73.92)</f>
        <v>73.92</v>
      </c>
      <c r="E1294" s="1">
        <f ca="1">IFERROR(__xludf.DUMMYFUNCTION("""COMPUTED_VALUE"""),74.17)</f>
        <v>74.17</v>
      </c>
      <c r="F1294" s="1">
        <f ca="1">IFERROR(__xludf.DUMMYFUNCTION("""COMPUTED_VALUE"""),2126843)</f>
        <v>2126843</v>
      </c>
    </row>
    <row r="1295" spans="1:6" x14ac:dyDescent="0.35">
      <c r="A1295" s="2">
        <f ca="1">IFERROR(__xludf.DUMMYFUNCTION("""COMPUTED_VALUE"""),43885.6666666666)</f>
        <v>43885.666666666599</v>
      </c>
      <c r="B1295" s="1">
        <f ca="1">IFERROR(__xludf.DUMMYFUNCTION("""COMPUTED_VALUE"""),71.15)</f>
        <v>71.150000000000006</v>
      </c>
      <c r="C1295" s="1">
        <f ca="1">IFERROR(__xludf.DUMMYFUNCTION("""COMPUTED_VALUE"""),71.82)</f>
        <v>71.819999999999993</v>
      </c>
      <c r="D1295" s="1">
        <f ca="1">IFERROR(__xludf.DUMMYFUNCTION("""COMPUTED_VALUE"""),70.34)</f>
        <v>70.34</v>
      </c>
      <c r="E1295" s="1">
        <f ca="1">IFERROR(__xludf.DUMMYFUNCTION("""COMPUTED_VALUE"""),70.99)</f>
        <v>70.989999999999995</v>
      </c>
      <c r="F1295" s="1">
        <f ca="1">IFERROR(__xludf.DUMMYFUNCTION("""COMPUTED_VALUE"""),2478039)</f>
        <v>2478039</v>
      </c>
    </row>
    <row r="1296" spans="1:6" x14ac:dyDescent="0.35">
      <c r="A1296" s="2">
        <f ca="1">IFERROR(__xludf.DUMMYFUNCTION("""COMPUTED_VALUE"""),43886.6666666666)</f>
        <v>43886.666666666599</v>
      </c>
      <c r="B1296" s="1">
        <f ca="1">IFERROR(__xludf.DUMMYFUNCTION("""COMPUTED_VALUE"""),71.55)</f>
        <v>71.55</v>
      </c>
      <c r="C1296" s="1">
        <f ca="1">IFERROR(__xludf.DUMMYFUNCTION("""COMPUTED_VALUE"""),71.84)</f>
        <v>71.84</v>
      </c>
      <c r="D1296" s="1">
        <f ca="1">IFERROR(__xludf.DUMMYFUNCTION("""COMPUTED_VALUE"""),69.02)</f>
        <v>69.02</v>
      </c>
      <c r="E1296" s="1">
        <f ca="1">IFERROR(__xludf.DUMMYFUNCTION("""COMPUTED_VALUE"""),69.32)</f>
        <v>69.319999999999993</v>
      </c>
      <c r="F1296" s="1">
        <f ca="1">IFERROR(__xludf.DUMMYFUNCTION("""COMPUTED_VALUE"""),2578966)</f>
        <v>2578966</v>
      </c>
    </row>
    <row r="1297" spans="1:6" x14ac:dyDescent="0.35">
      <c r="A1297" s="2">
        <f ca="1">IFERROR(__xludf.DUMMYFUNCTION("""COMPUTED_VALUE"""),43887.6666666666)</f>
        <v>43887.666666666599</v>
      </c>
      <c r="B1297" s="1">
        <f ca="1">IFERROR(__xludf.DUMMYFUNCTION("""COMPUTED_VALUE"""),69.75)</f>
        <v>69.75</v>
      </c>
      <c r="C1297" s="1">
        <f ca="1">IFERROR(__xludf.DUMMYFUNCTION("""COMPUTED_VALUE"""),70.68)</f>
        <v>70.680000000000007</v>
      </c>
      <c r="D1297" s="1">
        <f ca="1">IFERROR(__xludf.DUMMYFUNCTION("""COMPUTED_VALUE"""),68.83)</f>
        <v>68.83</v>
      </c>
      <c r="E1297" s="1">
        <f ca="1">IFERROR(__xludf.DUMMYFUNCTION("""COMPUTED_VALUE"""),69.52)</f>
        <v>69.52</v>
      </c>
      <c r="F1297" s="1">
        <f ca="1">IFERROR(__xludf.DUMMYFUNCTION("""COMPUTED_VALUE"""),2490178)</f>
        <v>2490178</v>
      </c>
    </row>
    <row r="1298" spans="1:6" x14ac:dyDescent="0.35">
      <c r="A1298" s="2">
        <f ca="1">IFERROR(__xludf.DUMMYFUNCTION("""COMPUTED_VALUE"""),43888.6666666666)</f>
        <v>43888.666666666599</v>
      </c>
      <c r="B1298" s="1">
        <f ca="1">IFERROR(__xludf.DUMMYFUNCTION("""COMPUTED_VALUE"""),67.96)</f>
        <v>67.959999999999994</v>
      </c>
      <c r="C1298" s="1">
        <f ca="1">IFERROR(__xludf.DUMMYFUNCTION("""COMPUTED_VALUE"""),68.47)</f>
        <v>68.47</v>
      </c>
      <c r="D1298" s="1">
        <f ca="1">IFERROR(__xludf.DUMMYFUNCTION("""COMPUTED_VALUE"""),65.71)</f>
        <v>65.709999999999994</v>
      </c>
      <c r="E1298" s="1">
        <f ca="1">IFERROR(__xludf.DUMMYFUNCTION("""COMPUTED_VALUE"""),65.75)</f>
        <v>65.75</v>
      </c>
      <c r="F1298" s="1">
        <f ca="1">IFERROR(__xludf.DUMMYFUNCTION("""COMPUTED_VALUE"""),3114476)</f>
        <v>3114476</v>
      </c>
    </row>
    <row r="1299" spans="1:6" x14ac:dyDescent="0.35">
      <c r="A1299" s="2">
        <f ca="1">IFERROR(__xludf.DUMMYFUNCTION("""COMPUTED_VALUE"""),43889.6666666666)</f>
        <v>43889.666666666599</v>
      </c>
      <c r="B1299" s="1">
        <f ca="1">IFERROR(__xludf.DUMMYFUNCTION("""COMPUTED_VALUE"""),63.72)</f>
        <v>63.72</v>
      </c>
      <c r="C1299" s="1">
        <f ca="1">IFERROR(__xludf.DUMMYFUNCTION("""COMPUTED_VALUE"""),67.12)</f>
        <v>67.12</v>
      </c>
      <c r="D1299" s="1">
        <f ca="1">IFERROR(__xludf.DUMMYFUNCTION("""COMPUTED_VALUE"""),63.41)</f>
        <v>63.41</v>
      </c>
      <c r="E1299" s="1">
        <f ca="1">IFERROR(__xludf.DUMMYFUNCTION("""COMPUTED_VALUE"""),66.96)</f>
        <v>66.959999999999994</v>
      </c>
      <c r="F1299" s="1">
        <f ca="1">IFERROR(__xludf.DUMMYFUNCTION("""COMPUTED_VALUE"""),4010900)</f>
        <v>4010900</v>
      </c>
    </row>
    <row r="1300" spans="1:6" x14ac:dyDescent="0.35">
      <c r="A1300" s="2">
        <f ca="1">IFERROR(__xludf.DUMMYFUNCTION("""COMPUTED_VALUE"""),43892.6666666666)</f>
        <v>43892.666666666599</v>
      </c>
      <c r="B1300" s="1">
        <f ca="1">IFERROR(__xludf.DUMMYFUNCTION("""COMPUTED_VALUE"""),67.57)</f>
        <v>67.569999999999993</v>
      </c>
      <c r="C1300" s="1">
        <f ca="1">IFERROR(__xludf.DUMMYFUNCTION("""COMPUTED_VALUE"""),69.37)</f>
        <v>69.37</v>
      </c>
      <c r="D1300" s="1">
        <f ca="1">IFERROR(__xludf.DUMMYFUNCTION("""COMPUTED_VALUE"""),66.26)</f>
        <v>66.260000000000005</v>
      </c>
      <c r="E1300" s="1">
        <f ca="1">IFERROR(__xludf.DUMMYFUNCTION("""COMPUTED_VALUE"""),69.32)</f>
        <v>69.319999999999993</v>
      </c>
      <c r="F1300" s="1">
        <f ca="1">IFERROR(__xludf.DUMMYFUNCTION("""COMPUTED_VALUE"""),2771463)</f>
        <v>2771463</v>
      </c>
    </row>
    <row r="1301" spans="1:6" x14ac:dyDescent="0.35">
      <c r="A1301" s="2">
        <f ca="1">IFERROR(__xludf.DUMMYFUNCTION("""COMPUTED_VALUE"""),43893.6666666666)</f>
        <v>43893.666666666599</v>
      </c>
      <c r="B1301" s="1">
        <f ca="1">IFERROR(__xludf.DUMMYFUNCTION("""COMPUTED_VALUE"""),69.88)</f>
        <v>69.88</v>
      </c>
      <c r="C1301" s="1">
        <f ca="1">IFERROR(__xludf.DUMMYFUNCTION("""COMPUTED_VALUE"""),70.41)</f>
        <v>70.41</v>
      </c>
      <c r="D1301" s="1">
        <f ca="1">IFERROR(__xludf.DUMMYFUNCTION("""COMPUTED_VALUE"""),66.46)</f>
        <v>66.459999999999994</v>
      </c>
      <c r="E1301" s="1">
        <f ca="1">IFERROR(__xludf.DUMMYFUNCTION("""COMPUTED_VALUE"""),66.89)</f>
        <v>66.89</v>
      </c>
      <c r="F1301" s="1">
        <f ca="1">IFERROR(__xludf.DUMMYFUNCTION("""COMPUTED_VALUE"""),2830112)</f>
        <v>2830112</v>
      </c>
    </row>
    <row r="1302" spans="1:6" x14ac:dyDescent="0.35">
      <c r="A1302" s="2">
        <f ca="1">IFERROR(__xludf.DUMMYFUNCTION("""COMPUTED_VALUE"""),43894.6666666666)</f>
        <v>43894.666666666599</v>
      </c>
      <c r="B1302" s="1">
        <f ca="1">IFERROR(__xludf.DUMMYFUNCTION("""COMPUTED_VALUE"""),67.95)</f>
        <v>67.95</v>
      </c>
      <c r="C1302" s="1">
        <f ca="1">IFERROR(__xludf.DUMMYFUNCTION("""COMPUTED_VALUE"""),69.14)</f>
        <v>69.14</v>
      </c>
      <c r="D1302" s="1">
        <f ca="1">IFERROR(__xludf.DUMMYFUNCTION("""COMPUTED_VALUE"""),66.85)</f>
        <v>66.849999999999994</v>
      </c>
      <c r="E1302" s="1">
        <f ca="1">IFERROR(__xludf.DUMMYFUNCTION("""COMPUTED_VALUE"""),69.08)</f>
        <v>69.08</v>
      </c>
      <c r="F1302" s="1">
        <f ca="1">IFERROR(__xludf.DUMMYFUNCTION("""COMPUTED_VALUE"""),2379856)</f>
        <v>2379856</v>
      </c>
    </row>
    <row r="1303" spans="1:6" x14ac:dyDescent="0.35">
      <c r="A1303" s="2">
        <f ca="1">IFERROR(__xludf.DUMMYFUNCTION("""COMPUTED_VALUE"""),43895.6666666666)</f>
        <v>43895.666666666599</v>
      </c>
      <c r="B1303" s="1">
        <f ca="1">IFERROR(__xludf.DUMMYFUNCTION("""COMPUTED_VALUE"""),67.28)</f>
        <v>67.28</v>
      </c>
      <c r="C1303" s="1">
        <f ca="1">IFERROR(__xludf.DUMMYFUNCTION("""COMPUTED_VALUE"""),67.68)</f>
        <v>67.680000000000007</v>
      </c>
      <c r="D1303" s="1">
        <f ca="1">IFERROR(__xludf.DUMMYFUNCTION("""COMPUTED_VALUE"""),65.08)</f>
        <v>65.08</v>
      </c>
      <c r="E1303" s="1">
        <f ca="1">IFERROR(__xludf.DUMMYFUNCTION("""COMPUTED_VALUE"""),65.74)</f>
        <v>65.739999999999995</v>
      </c>
      <c r="F1303" s="1">
        <f ca="1">IFERROR(__xludf.DUMMYFUNCTION("""COMPUTED_VALUE"""),2718982)</f>
        <v>2718982</v>
      </c>
    </row>
    <row r="1304" spans="1:6" x14ac:dyDescent="0.35">
      <c r="A1304" s="2">
        <f ca="1">IFERROR(__xludf.DUMMYFUNCTION("""COMPUTED_VALUE"""),43896.6666666666)</f>
        <v>43896.666666666599</v>
      </c>
      <c r="B1304" s="1">
        <f ca="1">IFERROR(__xludf.DUMMYFUNCTION("""COMPUTED_VALUE"""),63.5)</f>
        <v>63.5</v>
      </c>
      <c r="C1304" s="1">
        <f ca="1">IFERROR(__xludf.DUMMYFUNCTION("""COMPUTED_VALUE"""),65.14)</f>
        <v>65.14</v>
      </c>
      <c r="D1304" s="1">
        <f ca="1">IFERROR(__xludf.DUMMYFUNCTION("""COMPUTED_VALUE"""),62.86)</f>
        <v>62.86</v>
      </c>
      <c r="E1304" s="1">
        <f ca="1">IFERROR(__xludf.DUMMYFUNCTION("""COMPUTED_VALUE"""),64.79)</f>
        <v>64.790000000000006</v>
      </c>
      <c r="F1304" s="1">
        <f ca="1">IFERROR(__xludf.DUMMYFUNCTION("""COMPUTED_VALUE"""),3232315)</f>
        <v>3232315</v>
      </c>
    </row>
    <row r="1305" spans="1:6" x14ac:dyDescent="0.35">
      <c r="A1305" s="2">
        <f ca="1">IFERROR(__xludf.DUMMYFUNCTION("""COMPUTED_VALUE"""),43899.6666666666)</f>
        <v>43899.666666666599</v>
      </c>
      <c r="B1305" s="1">
        <f ca="1">IFERROR(__xludf.DUMMYFUNCTION("""COMPUTED_VALUE"""),60.25)</f>
        <v>60.25</v>
      </c>
      <c r="C1305" s="1">
        <f ca="1">IFERROR(__xludf.DUMMYFUNCTION("""COMPUTED_VALUE"""),62.64)</f>
        <v>62.64</v>
      </c>
      <c r="D1305" s="1">
        <f ca="1">IFERROR(__xludf.DUMMYFUNCTION("""COMPUTED_VALUE"""),59.9)</f>
        <v>59.9</v>
      </c>
      <c r="E1305" s="1">
        <f ca="1">IFERROR(__xludf.DUMMYFUNCTION("""COMPUTED_VALUE"""),60.79)</f>
        <v>60.79</v>
      </c>
      <c r="F1305" s="1">
        <f ca="1">IFERROR(__xludf.DUMMYFUNCTION("""COMPUTED_VALUE"""),3462578)</f>
        <v>3462578</v>
      </c>
    </row>
    <row r="1306" spans="1:6" x14ac:dyDescent="0.35">
      <c r="A1306" s="2">
        <f ca="1">IFERROR(__xludf.DUMMYFUNCTION("""COMPUTED_VALUE"""),43900.6666666666)</f>
        <v>43900.666666666599</v>
      </c>
      <c r="B1306" s="1">
        <f ca="1">IFERROR(__xludf.DUMMYFUNCTION("""COMPUTED_VALUE"""),62.72)</f>
        <v>62.72</v>
      </c>
      <c r="C1306" s="1">
        <f ca="1">IFERROR(__xludf.DUMMYFUNCTION("""COMPUTED_VALUE"""),63.79)</f>
        <v>63.79</v>
      </c>
      <c r="D1306" s="1">
        <f ca="1">IFERROR(__xludf.DUMMYFUNCTION("""COMPUTED_VALUE"""),60.73)</f>
        <v>60.73</v>
      </c>
      <c r="E1306" s="1">
        <f ca="1">IFERROR(__xludf.DUMMYFUNCTION("""COMPUTED_VALUE"""),63.76)</f>
        <v>63.76</v>
      </c>
      <c r="F1306" s="1">
        <f ca="1">IFERROR(__xludf.DUMMYFUNCTION("""COMPUTED_VALUE"""),2743566)</f>
        <v>2743566</v>
      </c>
    </row>
    <row r="1307" spans="1:6" x14ac:dyDescent="0.35">
      <c r="A1307" s="2">
        <f ca="1">IFERROR(__xludf.DUMMYFUNCTION("""COMPUTED_VALUE"""),43901.6666666666)</f>
        <v>43901.666666666599</v>
      </c>
      <c r="B1307" s="1">
        <f ca="1">IFERROR(__xludf.DUMMYFUNCTION("""COMPUTED_VALUE"""),62.41)</f>
        <v>62.41</v>
      </c>
      <c r="C1307" s="1">
        <f ca="1">IFERROR(__xludf.DUMMYFUNCTION("""COMPUTED_VALUE"""),62.85)</f>
        <v>62.85</v>
      </c>
      <c r="D1307" s="1">
        <f ca="1">IFERROR(__xludf.DUMMYFUNCTION("""COMPUTED_VALUE"""),59.56)</f>
        <v>59.56</v>
      </c>
      <c r="E1307" s="1">
        <f ca="1">IFERROR(__xludf.DUMMYFUNCTION("""COMPUTED_VALUE"""),60.55)</f>
        <v>60.55</v>
      </c>
      <c r="F1307" s="1">
        <f ca="1">IFERROR(__xludf.DUMMYFUNCTION("""COMPUTED_VALUE"""),2741694)</f>
        <v>2741694</v>
      </c>
    </row>
    <row r="1308" spans="1:6" x14ac:dyDescent="0.35">
      <c r="A1308" s="2">
        <f ca="1">IFERROR(__xludf.DUMMYFUNCTION("""COMPUTED_VALUE"""),43902.6666666666)</f>
        <v>43902.666666666599</v>
      </c>
      <c r="B1308" s="1">
        <f ca="1">IFERROR(__xludf.DUMMYFUNCTION("""COMPUTED_VALUE"""),56.13)</f>
        <v>56.13</v>
      </c>
      <c r="C1308" s="1">
        <f ca="1">IFERROR(__xludf.DUMMYFUNCTION("""COMPUTED_VALUE"""),59.44)</f>
        <v>59.44</v>
      </c>
      <c r="D1308" s="1">
        <f ca="1">IFERROR(__xludf.DUMMYFUNCTION("""COMPUTED_VALUE"""),55.42)</f>
        <v>55.42</v>
      </c>
      <c r="E1308" s="1">
        <f ca="1">IFERROR(__xludf.DUMMYFUNCTION("""COMPUTED_VALUE"""),55.58)</f>
        <v>55.58</v>
      </c>
      <c r="F1308" s="1">
        <f ca="1">IFERROR(__xludf.DUMMYFUNCTION("""COMPUTED_VALUE"""),4716293)</f>
        <v>4716293</v>
      </c>
    </row>
    <row r="1309" spans="1:6" x14ac:dyDescent="0.35">
      <c r="A1309" s="2">
        <f ca="1">IFERROR(__xludf.DUMMYFUNCTION("""COMPUTED_VALUE"""),43903.6666666666)</f>
        <v>43903.666666666599</v>
      </c>
      <c r="B1309" s="1">
        <f ca="1">IFERROR(__xludf.DUMMYFUNCTION("""COMPUTED_VALUE"""),58.75)</f>
        <v>58.75</v>
      </c>
      <c r="C1309" s="1">
        <f ca="1">IFERROR(__xludf.DUMMYFUNCTION("""COMPUTED_VALUE"""),60.72)</f>
        <v>60.72</v>
      </c>
      <c r="D1309" s="1">
        <f ca="1">IFERROR(__xludf.DUMMYFUNCTION("""COMPUTED_VALUE"""),55.61)</f>
        <v>55.61</v>
      </c>
      <c r="E1309" s="1">
        <f ca="1">IFERROR(__xludf.DUMMYFUNCTION("""COMPUTED_VALUE"""),60.71)</f>
        <v>60.71</v>
      </c>
      <c r="F1309" s="1">
        <f ca="1">IFERROR(__xludf.DUMMYFUNCTION("""COMPUTED_VALUE"""),3969973)</f>
        <v>3969973</v>
      </c>
    </row>
    <row r="1310" spans="1:6" x14ac:dyDescent="0.35">
      <c r="A1310" s="2">
        <f ca="1">IFERROR(__xludf.DUMMYFUNCTION("""COMPUTED_VALUE"""),43906.6666666666)</f>
        <v>43906.666666666599</v>
      </c>
      <c r="B1310" s="1">
        <f ca="1">IFERROR(__xludf.DUMMYFUNCTION("""COMPUTED_VALUE"""),54.48)</f>
        <v>54.48</v>
      </c>
      <c r="C1310" s="1">
        <f ca="1">IFERROR(__xludf.DUMMYFUNCTION("""COMPUTED_VALUE"""),57.27)</f>
        <v>57.27</v>
      </c>
      <c r="D1310" s="1">
        <f ca="1">IFERROR(__xludf.DUMMYFUNCTION("""COMPUTED_VALUE"""),53.35)</f>
        <v>53.35</v>
      </c>
      <c r="E1310" s="1">
        <f ca="1">IFERROR(__xludf.DUMMYFUNCTION("""COMPUTED_VALUE"""),53.65)</f>
        <v>53.65</v>
      </c>
      <c r="F1310" s="1">
        <f ca="1">IFERROR(__xludf.DUMMYFUNCTION("""COMPUTED_VALUE"""),4825981)</f>
        <v>4825981</v>
      </c>
    </row>
    <row r="1311" spans="1:6" x14ac:dyDescent="0.35">
      <c r="A1311" s="2">
        <f ca="1">IFERROR(__xludf.DUMMYFUNCTION("""COMPUTED_VALUE"""),43907.6666666666)</f>
        <v>43907.666666666599</v>
      </c>
      <c r="B1311" s="1">
        <f ca="1">IFERROR(__xludf.DUMMYFUNCTION("""COMPUTED_VALUE"""),54.53)</f>
        <v>54.53</v>
      </c>
      <c r="C1311" s="1">
        <f ca="1">IFERROR(__xludf.DUMMYFUNCTION("""COMPUTED_VALUE"""),56.3)</f>
        <v>56.3</v>
      </c>
      <c r="D1311" s="1">
        <f ca="1">IFERROR(__xludf.DUMMYFUNCTION("""COMPUTED_VALUE"""),52.46)</f>
        <v>52.46</v>
      </c>
      <c r="E1311" s="1">
        <f ca="1">IFERROR(__xludf.DUMMYFUNCTION("""COMPUTED_VALUE"""),55.9)</f>
        <v>55.9</v>
      </c>
      <c r="F1311" s="1">
        <f ca="1">IFERROR(__xludf.DUMMYFUNCTION("""COMPUTED_VALUE"""),4159686)</f>
        <v>4159686</v>
      </c>
    </row>
    <row r="1312" spans="1:6" x14ac:dyDescent="0.35">
      <c r="A1312" s="2">
        <f ca="1">IFERROR(__xludf.DUMMYFUNCTION("""COMPUTED_VALUE"""),43908.6666666666)</f>
        <v>43908.666666666599</v>
      </c>
      <c r="B1312" s="1">
        <f ca="1">IFERROR(__xludf.DUMMYFUNCTION("""COMPUTED_VALUE"""),53)</f>
        <v>53</v>
      </c>
      <c r="C1312" s="1">
        <f ca="1">IFERROR(__xludf.DUMMYFUNCTION("""COMPUTED_VALUE"""),55.25)</f>
        <v>55.25</v>
      </c>
      <c r="D1312" s="1">
        <f ca="1">IFERROR(__xludf.DUMMYFUNCTION("""COMPUTED_VALUE"""),51.85)</f>
        <v>51.85</v>
      </c>
      <c r="E1312" s="1">
        <f ca="1">IFERROR(__xludf.DUMMYFUNCTION("""COMPUTED_VALUE"""),54.56)</f>
        <v>54.56</v>
      </c>
      <c r="F1312" s="1">
        <f ca="1">IFERROR(__xludf.DUMMYFUNCTION("""COMPUTED_VALUE"""),4652238)</f>
        <v>4652238</v>
      </c>
    </row>
    <row r="1313" spans="1:6" x14ac:dyDescent="0.35">
      <c r="A1313" s="2">
        <f ca="1">IFERROR(__xludf.DUMMYFUNCTION("""COMPUTED_VALUE"""),43909.6666666666)</f>
        <v>43909.666666666599</v>
      </c>
      <c r="B1313" s="1">
        <f ca="1">IFERROR(__xludf.DUMMYFUNCTION("""COMPUTED_VALUE"""),54.41)</f>
        <v>54.41</v>
      </c>
      <c r="C1313" s="1">
        <f ca="1">IFERROR(__xludf.DUMMYFUNCTION("""COMPUTED_VALUE"""),57.63)</f>
        <v>57.63</v>
      </c>
      <c r="D1313" s="1">
        <f ca="1">IFERROR(__xludf.DUMMYFUNCTION("""COMPUTED_VALUE"""),52.78)</f>
        <v>52.78</v>
      </c>
      <c r="E1313" s="1">
        <f ca="1">IFERROR(__xludf.DUMMYFUNCTION("""COMPUTED_VALUE"""),55.58)</f>
        <v>55.58</v>
      </c>
      <c r="F1313" s="1">
        <f ca="1">IFERROR(__xludf.DUMMYFUNCTION("""COMPUTED_VALUE"""),3703248)</f>
        <v>3703248</v>
      </c>
    </row>
    <row r="1314" spans="1:6" x14ac:dyDescent="0.35">
      <c r="A1314" s="2">
        <f ca="1">IFERROR(__xludf.DUMMYFUNCTION("""COMPUTED_VALUE"""),43910.6666666666)</f>
        <v>43910.666666666599</v>
      </c>
      <c r="B1314" s="1">
        <f ca="1">IFERROR(__xludf.DUMMYFUNCTION("""COMPUTED_VALUE"""),56.55)</f>
        <v>56.55</v>
      </c>
      <c r="C1314" s="1">
        <f ca="1">IFERROR(__xludf.DUMMYFUNCTION("""COMPUTED_VALUE"""),56.92)</f>
        <v>56.92</v>
      </c>
      <c r="D1314" s="1">
        <f ca="1">IFERROR(__xludf.DUMMYFUNCTION("""COMPUTED_VALUE"""),53.11)</f>
        <v>53.11</v>
      </c>
      <c r="E1314" s="1">
        <f ca="1">IFERROR(__xludf.DUMMYFUNCTION("""COMPUTED_VALUE"""),53.41)</f>
        <v>53.41</v>
      </c>
      <c r="F1314" s="1">
        <f ca="1">IFERROR(__xludf.DUMMYFUNCTION("""COMPUTED_VALUE"""),4143897)</f>
        <v>4143897</v>
      </c>
    </row>
    <row r="1315" spans="1:6" x14ac:dyDescent="0.35">
      <c r="A1315" s="2">
        <f ca="1">IFERROR(__xludf.DUMMYFUNCTION("""COMPUTED_VALUE"""),43913.6666666666)</f>
        <v>43913.666666666599</v>
      </c>
      <c r="B1315" s="1">
        <f ca="1">IFERROR(__xludf.DUMMYFUNCTION("""COMPUTED_VALUE"""),52.82)</f>
        <v>52.82</v>
      </c>
      <c r="C1315" s="1">
        <f ca="1">IFERROR(__xludf.DUMMYFUNCTION("""COMPUTED_VALUE"""),53.35)</f>
        <v>53.35</v>
      </c>
      <c r="D1315" s="1">
        <f ca="1">IFERROR(__xludf.DUMMYFUNCTION("""COMPUTED_VALUE"""),50.44)</f>
        <v>50.44</v>
      </c>
      <c r="E1315" s="1">
        <f ca="1">IFERROR(__xludf.DUMMYFUNCTION("""COMPUTED_VALUE"""),52.71)</f>
        <v>52.71</v>
      </c>
      <c r="F1315" s="1">
        <f ca="1">IFERROR(__xludf.DUMMYFUNCTION("""COMPUTED_VALUE"""),4183629)</f>
        <v>4183629</v>
      </c>
    </row>
    <row r="1316" spans="1:6" x14ac:dyDescent="0.35">
      <c r="A1316" s="2">
        <f ca="1">IFERROR(__xludf.DUMMYFUNCTION("""COMPUTED_VALUE"""),43914.6666666666)</f>
        <v>43914.666666666599</v>
      </c>
      <c r="B1316" s="1">
        <f ca="1">IFERROR(__xludf.DUMMYFUNCTION("""COMPUTED_VALUE"""),55.2)</f>
        <v>55.2</v>
      </c>
      <c r="C1316" s="1">
        <f ca="1">IFERROR(__xludf.DUMMYFUNCTION("""COMPUTED_VALUE"""),56.67)</f>
        <v>56.67</v>
      </c>
      <c r="D1316" s="1">
        <f ca="1">IFERROR(__xludf.DUMMYFUNCTION("""COMPUTED_VALUE"""),54.32)</f>
        <v>54.32</v>
      </c>
      <c r="E1316" s="1">
        <f ca="1">IFERROR(__xludf.DUMMYFUNCTION("""COMPUTED_VALUE"""),56.5)</f>
        <v>56.5</v>
      </c>
      <c r="F1316" s="1">
        <f ca="1">IFERROR(__xludf.DUMMYFUNCTION("""COMPUTED_VALUE"""),3623435)</f>
        <v>3623435</v>
      </c>
    </row>
    <row r="1317" spans="1:6" x14ac:dyDescent="0.35">
      <c r="A1317" s="2">
        <f ca="1">IFERROR(__xludf.DUMMYFUNCTION("""COMPUTED_VALUE"""),43915.6666666666)</f>
        <v>43915.666666666599</v>
      </c>
      <c r="B1317" s="1">
        <f ca="1">IFERROR(__xludf.DUMMYFUNCTION("""COMPUTED_VALUE"""),56.23)</f>
        <v>56.23</v>
      </c>
      <c r="C1317" s="1">
        <f ca="1">IFERROR(__xludf.DUMMYFUNCTION("""COMPUTED_VALUE"""),57.31)</f>
        <v>57.31</v>
      </c>
      <c r="D1317" s="1">
        <f ca="1">IFERROR(__xludf.DUMMYFUNCTION("""COMPUTED_VALUE"""),54.15)</f>
        <v>54.15</v>
      </c>
      <c r="E1317" s="1">
        <f ca="1">IFERROR(__xludf.DUMMYFUNCTION("""COMPUTED_VALUE"""),55.08)</f>
        <v>55.08</v>
      </c>
      <c r="F1317" s="1">
        <f ca="1">IFERROR(__xludf.DUMMYFUNCTION("""COMPUTED_VALUE"""),4516162)</f>
        <v>4516162</v>
      </c>
    </row>
    <row r="1318" spans="1:6" x14ac:dyDescent="0.35">
      <c r="A1318" s="2">
        <f ca="1">IFERROR(__xludf.DUMMYFUNCTION("""COMPUTED_VALUE"""),43916.6666666666)</f>
        <v>43916.666666666599</v>
      </c>
      <c r="B1318" s="1">
        <f ca="1">IFERROR(__xludf.DUMMYFUNCTION("""COMPUTED_VALUE"""),55.74)</f>
        <v>55.74</v>
      </c>
      <c r="C1318" s="1">
        <f ca="1">IFERROR(__xludf.DUMMYFUNCTION("""COMPUTED_VALUE"""),58.57)</f>
        <v>58.57</v>
      </c>
      <c r="D1318" s="1">
        <f ca="1">IFERROR(__xludf.DUMMYFUNCTION("""COMPUTED_VALUE"""),54.6)</f>
        <v>54.6</v>
      </c>
      <c r="E1318" s="1">
        <f ca="1">IFERROR(__xludf.DUMMYFUNCTION("""COMPUTED_VALUE"""),58.15)</f>
        <v>58.15</v>
      </c>
      <c r="F1318" s="1">
        <f ca="1">IFERROR(__xludf.DUMMYFUNCTION("""COMPUTED_VALUE"""),3834422)</f>
        <v>3834422</v>
      </c>
    </row>
    <row r="1319" spans="1:6" x14ac:dyDescent="0.35">
      <c r="A1319" s="2">
        <f ca="1">IFERROR(__xludf.DUMMYFUNCTION("""COMPUTED_VALUE"""),43917.6666666666)</f>
        <v>43917.666666666599</v>
      </c>
      <c r="B1319" s="1">
        <f ca="1">IFERROR(__xludf.DUMMYFUNCTION("""COMPUTED_VALUE"""),56.37)</f>
        <v>56.37</v>
      </c>
      <c r="C1319" s="1">
        <f ca="1">IFERROR(__xludf.DUMMYFUNCTION("""COMPUTED_VALUE"""),57.55)</f>
        <v>57.55</v>
      </c>
      <c r="D1319" s="1">
        <f ca="1">IFERROR(__xludf.DUMMYFUNCTION("""COMPUTED_VALUE"""),55.2)</f>
        <v>55.2</v>
      </c>
      <c r="E1319" s="1">
        <f ca="1">IFERROR(__xludf.DUMMYFUNCTION("""COMPUTED_VALUE"""),55.51)</f>
        <v>55.51</v>
      </c>
      <c r="F1319" s="1">
        <f ca="1">IFERROR(__xludf.DUMMYFUNCTION("""COMPUTED_VALUE"""),3139661)</f>
        <v>3139661</v>
      </c>
    </row>
    <row r="1320" spans="1:6" x14ac:dyDescent="0.35">
      <c r="A1320" s="2">
        <f ca="1">IFERROR(__xludf.DUMMYFUNCTION("""COMPUTED_VALUE"""),43920.6666666666)</f>
        <v>43920.666666666599</v>
      </c>
      <c r="B1320" s="1">
        <f ca="1">IFERROR(__xludf.DUMMYFUNCTION("""COMPUTED_VALUE"""),56.63)</f>
        <v>56.63</v>
      </c>
      <c r="C1320" s="1">
        <f ca="1">IFERROR(__xludf.DUMMYFUNCTION("""COMPUTED_VALUE"""),57.55)</f>
        <v>57.55</v>
      </c>
      <c r="D1320" s="1">
        <f ca="1">IFERROR(__xludf.DUMMYFUNCTION("""COMPUTED_VALUE"""),54.92)</f>
        <v>54.92</v>
      </c>
      <c r="E1320" s="1">
        <f ca="1">IFERROR(__xludf.DUMMYFUNCTION("""COMPUTED_VALUE"""),57.32)</f>
        <v>57.32</v>
      </c>
      <c r="F1320" s="1">
        <f ca="1">IFERROR(__xludf.DUMMYFUNCTION("""COMPUTED_VALUE"""),2936827)</f>
        <v>2936827</v>
      </c>
    </row>
    <row r="1321" spans="1:6" x14ac:dyDescent="0.35">
      <c r="A1321" s="2">
        <f ca="1">IFERROR(__xludf.DUMMYFUNCTION("""COMPUTED_VALUE"""),43921.6666666666)</f>
        <v>43921.666666666599</v>
      </c>
      <c r="B1321" s="1">
        <f ca="1">IFERROR(__xludf.DUMMYFUNCTION("""COMPUTED_VALUE"""),57.44)</f>
        <v>57.44</v>
      </c>
      <c r="C1321" s="1">
        <f ca="1">IFERROR(__xludf.DUMMYFUNCTION("""COMPUTED_VALUE"""),58.67)</f>
        <v>58.67</v>
      </c>
      <c r="D1321" s="1">
        <f ca="1">IFERROR(__xludf.DUMMYFUNCTION("""COMPUTED_VALUE"""),56.84)</f>
        <v>56.84</v>
      </c>
      <c r="E1321" s="1">
        <f ca="1">IFERROR(__xludf.DUMMYFUNCTION("""COMPUTED_VALUE"""),58.1)</f>
        <v>58.1</v>
      </c>
      <c r="F1321" s="1">
        <f ca="1">IFERROR(__xludf.DUMMYFUNCTION("""COMPUTED_VALUE"""),3263971)</f>
        <v>3263971</v>
      </c>
    </row>
    <row r="1322" spans="1:6" x14ac:dyDescent="0.35">
      <c r="A1322" s="2">
        <f ca="1">IFERROR(__xludf.DUMMYFUNCTION("""COMPUTED_VALUE"""),43922.6666666666)</f>
        <v>43922.666666666599</v>
      </c>
      <c r="B1322" s="1">
        <f ca="1">IFERROR(__xludf.DUMMYFUNCTION("""COMPUTED_VALUE"""),56.2)</f>
        <v>56.2</v>
      </c>
      <c r="C1322" s="1">
        <f ca="1">IFERROR(__xludf.DUMMYFUNCTION("""COMPUTED_VALUE"""),56.47)</f>
        <v>56.47</v>
      </c>
      <c r="D1322" s="1">
        <f ca="1">IFERROR(__xludf.DUMMYFUNCTION("""COMPUTED_VALUE"""),54.67)</f>
        <v>54.67</v>
      </c>
      <c r="E1322" s="1">
        <f ca="1">IFERROR(__xludf.DUMMYFUNCTION("""COMPUTED_VALUE"""),55.11)</f>
        <v>55.11</v>
      </c>
      <c r="F1322" s="1">
        <f ca="1">IFERROR(__xludf.DUMMYFUNCTION("""COMPUTED_VALUE"""),2598519)</f>
        <v>2598519</v>
      </c>
    </row>
    <row r="1323" spans="1:6" x14ac:dyDescent="0.35">
      <c r="A1323" s="2">
        <f ca="1">IFERROR(__xludf.DUMMYFUNCTION("""COMPUTED_VALUE"""),43923.6666666666)</f>
        <v>43923.666666666599</v>
      </c>
      <c r="B1323" s="1">
        <f ca="1">IFERROR(__xludf.DUMMYFUNCTION("""COMPUTED_VALUE"""),55)</f>
        <v>55</v>
      </c>
      <c r="C1323" s="1">
        <f ca="1">IFERROR(__xludf.DUMMYFUNCTION("""COMPUTED_VALUE"""),56.14)</f>
        <v>56.14</v>
      </c>
      <c r="D1323" s="1">
        <f ca="1">IFERROR(__xludf.DUMMYFUNCTION("""COMPUTED_VALUE"""),54.66)</f>
        <v>54.66</v>
      </c>
      <c r="E1323" s="1">
        <f ca="1">IFERROR(__xludf.DUMMYFUNCTION("""COMPUTED_VALUE"""),55.85)</f>
        <v>55.85</v>
      </c>
      <c r="F1323" s="1">
        <f ca="1">IFERROR(__xludf.DUMMYFUNCTION("""COMPUTED_VALUE"""),2820534)</f>
        <v>2820534</v>
      </c>
    </row>
    <row r="1324" spans="1:6" x14ac:dyDescent="0.35">
      <c r="A1324" s="2">
        <f ca="1">IFERROR(__xludf.DUMMYFUNCTION("""COMPUTED_VALUE"""),43924.6666666666)</f>
        <v>43924.666666666599</v>
      </c>
      <c r="B1324" s="1">
        <f ca="1">IFERROR(__xludf.DUMMYFUNCTION("""COMPUTED_VALUE"""),55.74)</f>
        <v>55.74</v>
      </c>
      <c r="C1324" s="1">
        <f ca="1">IFERROR(__xludf.DUMMYFUNCTION("""COMPUTED_VALUE"""),55.94)</f>
        <v>55.94</v>
      </c>
      <c r="D1324" s="1">
        <f ca="1">IFERROR(__xludf.DUMMYFUNCTION("""COMPUTED_VALUE"""),53.75)</f>
        <v>53.75</v>
      </c>
      <c r="E1324" s="1">
        <f ca="1">IFERROR(__xludf.DUMMYFUNCTION("""COMPUTED_VALUE"""),54.64)</f>
        <v>54.64</v>
      </c>
      <c r="F1324" s="1">
        <f ca="1">IFERROR(__xludf.DUMMYFUNCTION("""COMPUTED_VALUE"""),2568694)</f>
        <v>2568694</v>
      </c>
    </row>
    <row r="1325" spans="1:6" x14ac:dyDescent="0.35">
      <c r="A1325" s="2">
        <f ca="1">IFERROR(__xludf.DUMMYFUNCTION("""COMPUTED_VALUE"""),43927.6666666666)</f>
        <v>43927.666666666599</v>
      </c>
      <c r="B1325" s="1">
        <f ca="1">IFERROR(__xludf.DUMMYFUNCTION("""COMPUTED_VALUE"""),56.65)</f>
        <v>56.65</v>
      </c>
      <c r="C1325" s="1">
        <f ca="1">IFERROR(__xludf.DUMMYFUNCTION("""COMPUTED_VALUE"""),59.54)</f>
        <v>59.54</v>
      </c>
      <c r="D1325" s="1">
        <f ca="1">IFERROR(__xludf.DUMMYFUNCTION("""COMPUTED_VALUE"""),56.25)</f>
        <v>56.25</v>
      </c>
      <c r="E1325" s="1">
        <f ca="1">IFERROR(__xludf.DUMMYFUNCTION("""COMPUTED_VALUE"""),59.16)</f>
        <v>59.16</v>
      </c>
      <c r="F1325" s="1">
        <f ca="1">IFERROR(__xludf.DUMMYFUNCTION("""COMPUTED_VALUE"""),3165991)</f>
        <v>3165991</v>
      </c>
    </row>
    <row r="1326" spans="1:6" x14ac:dyDescent="0.35">
      <c r="A1326" s="2">
        <f ca="1">IFERROR(__xludf.DUMMYFUNCTION("""COMPUTED_VALUE"""),43928.6666666666)</f>
        <v>43928.666666666599</v>
      </c>
      <c r="B1326" s="1">
        <f ca="1">IFERROR(__xludf.DUMMYFUNCTION("""COMPUTED_VALUE"""),60.85)</f>
        <v>60.85</v>
      </c>
      <c r="C1326" s="1">
        <f ca="1">IFERROR(__xludf.DUMMYFUNCTION("""COMPUTED_VALUE"""),61.04)</f>
        <v>61.04</v>
      </c>
      <c r="D1326" s="1">
        <f ca="1">IFERROR(__xludf.DUMMYFUNCTION("""COMPUTED_VALUE"""),58.86)</f>
        <v>58.86</v>
      </c>
      <c r="E1326" s="1">
        <f ca="1">IFERROR(__xludf.DUMMYFUNCTION("""COMPUTED_VALUE"""),59.13)</f>
        <v>59.13</v>
      </c>
      <c r="F1326" s="1">
        <f ca="1">IFERROR(__xludf.DUMMYFUNCTION("""COMPUTED_VALUE"""),3080955)</f>
        <v>3080955</v>
      </c>
    </row>
    <row r="1327" spans="1:6" x14ac:dyDescent="0.35">
      <c r="A1327" s="2">
        <f ca="1">IFERROR(__xludf.DUMMYFUNCTION("""COMPUTED_VALUE"""),43929.6666666666)</f>
        <v>43929.666666666599</v>
      </c>
      <c r="B1327" s="1">
        <f ca="1">IFERROR(__xludf.DUMMYFUNCTION("""COMPUTED_VALUE"""),60.16)</f>
        <v>60.16</v>
      </c>
      <c r="C1327" s="1">
        <f ca="1">IFERROR(__xludf.DUMMYFUNCTION("""COMPUTED_VALUE"""),60.75)</f>
        <v>60.75</v>
      </c>
      <c r="D1327" s="1">
        <f ca="1">IFERROR(__xludf.DUMMYFUNCTION("""COMPUTED_VALUE"""),59.2)</f>
        <v>59.2</v>
      </c>
      <c r="E1327" s="1">
        <f ca="1">IFERROR(__xludf.DUMMYFUNCTION("""COMPUTED_VALUE"""),60.35)</f>
        <v>60.35</v>
      </c>
      <c r="F1327" s="1">
        <f ca="1">IFERROR(__xludf.DUMMYFUNCTION("""COMPUTED_VALUE"""),2016713)</f>
        <v>2016713</v>
      </c>
    </row>
    <row r="1328" spans="1:6" x14ac:dyDescent="0.35">
      <c r="A1328" s="2">
        <f ca="1">IFERROR(__xludf.DUMMYFUNCTION("""COMPUTED_VALUE"""),43930.6666666666)</f>
        <v>43930.666666666599</v>
      </c>
      <c r="B1328" s="1">
        <f ca="1">IFERROR(__xludf.DUMMYFUNCTION("""COMPUTED_VALUE"""),60.91)</f>
        <v>60.91</v>
      </c>
      <c r="C1328" s="1">
        <f ca="1">IFERROR(__xludf.DUMMYFUNCTION("""COMPUTED_VALUE"""),61.1)</f>
        <v>61.1</v>
      </c>
      <c r="D1328" s="1">
        <f ca="1">IFERROR(__xludf.DUMMYFUNCTION("""COMPUTED_VALUE"""),59.62)</f>
        <v>59.62</v>
      </c>
      <c r="E1328" s="1">
        <f ca="1">IFERROR(__xludf.DUMMYFUNCTION("""COMPUTED_VALUE"""),60.33)</f>
        <v>60.33</v>
      </c>
      <c r="F1328" s="1">
        <f ca="1">IFERROR(__xludf.DUMMYFUNCTION("""COMPUTED_VALUE"""),2701423)</f>
        <v>2701423</v>
      </c>
    </row>
    <row r="1329" spans="1:6" x14ac:dyDescent="0.35">
      <c r="A1329" s="2">
        <f ca="1">IFERROR(__xludf.DUMMYFUNCTION("""COMPUTED_VALUE"""),43934.6666666666)</f>
        <v>43934.666666666599</v>
      </c>
      <c r="B1329" s="1">
        <f ca="1">IFERROR(__xludf.DUMMYFUNCTION("""COMPUTED_VALUE"""),60.08)</f>
        <v>60.08</v>
      </c>
      <c r="C1329" s="1">
        <f ca="1">IFERROR(__xludf.DUMMYFUNCTION("""COMPUTED_VALUE"""),60.73)</f>
        <v>60.73</v>
      </c>
      <c r="D1329" s="1">
        <f ca="1">IFERROR(__xludf.DUMMYFUNCTION("""COMPUTED_VALUE"""),59.12)</f>
        <v>59.12</v>
      </c>
      <c r="E1329" s="1">
        <f ca="1">IFERROR(__xludf.DUMMYFUNCTION("""COMPUTED_VALUE"""),60.52)</f>
        <v>60.52</v>
      </c>
      <c r="F1329" s="1">
        <f ca="1">IFERROR(__xludf.DUMMYFUNCTION("""COMPUTED_VALUE"""),1935128)</f>
        <v>1935128</v>
      </c>
    </row>
    <row r="1330" spans="1:6" x14ac:dyDescent="0.35">
      <c r="A1330" s="2">
        <f ca="1">IFERROR(__xludf.DUMMYFUNCTION("""COMPUTED_VALUE"""),43935.6666666666)</f>
        <v>43935.666666666599</v>
      </c>
      <c r="B1330" s="1">
        <f ca="1">IFERROR(__xludf.DUMMYFUNCTION("""COMPUTED_VALUE"""),62)</f>
        <v>62</v>
      </c>
      <c r="C1330" s="1">
        <f ca="1">IFERROR(__xludf.DUMMYFUNCTION("""COMPUTED_VALUE"""),63.79)</f>
        <v>63.79</v>
      </c>
      <c r="D1330" s="1">
        <f ca="1">IFERROR(__xludf.DUMMYFUNCTION("""COMPUTED_VALUE"""),61.43)</f>
        <v>61.43</v>
      </c>
      <c r="E1330" s="1">
        <f ca="1">IFERROR(__xludf.DUMMYFUNCTION("""COMPUTED_VALUE"""),63.26)</f>
        <v>63.26</v>
      </c>
      <c r="F1330" s="1">
        <f ca="1">IFERROR(__xludf.DUMMYFUNCTION("""COMPUTED_VALUE"""),3167862)</f>
        <v>3167862</v>
      </c>
    </row>
    <row r="1331" spans="1:6" x14ac:dyDescent="0.35">
      <c r="A1331" s="2">
        <f ca="1">IFERROR(__xludf.DUMMYFUNCTION("""COMPUTED_VALUE"""),43936.6666666666)</f>
        <v>43936.666666666599</v>
      </c>
      <c r="B1331" s="1">
        <f ca="1">IFERROR(__xludf.DUMMYFUNCTION("""COMPUTED_VALUE"""),62.33)</f>
        <v>62.33</v>
      </c>
      <c r="C1331" s="1">
        <f ca="1">IFERROR(__xludf.DUMMYFUNCTION("""COMPUTED_VALUE"""),63.76)</f>
        <v>63.76</v>
      </c>
      <c r="D1331" s="1">
        <f ca="1">IFERROR(__xludf.DUMMYFUNCTION("""COMPUTED_VALUE"""),61.7)</f>
        <v>61.7</v>
      </c>
      <c r="E1331" s="1">
        <f ca="1">IFERROR(__xludf.DUMMYFUNCTION("""COMPUTED_VALUE"""),62.87)</f>
        <v>62.87</v>
      </c>
      <c r="F1331" s="1">
        <f ca="1">IFERROR(__xludf.DUMMYFUNCTION("""COMPUTED_VALUE"""),2111842)</f>
        <v>2111842</v>
      </c>
    </row>
    <row r="1332" spans="1:6" x14ac:dyDescent="0.35">
      <c r="A1332" s="2">
        <f ca="1">IFERROR(__xludf.DUMMYFUNCTION("""COMPUTED_VALUE"""),43937.6666666666)</f>
        <v>43937.666666666599</v>
      </c>
      <c r="B1332" s="1">
        <f ca="1">IFERROR(__xludf.DUMMYFUNCTION("""COMPUTED_VALUE"""),63.36)</f>
        <v>63.36</v>
      </c>
      <c r="C1332" s="1">
        <f ca="1">IFERROR(__xludf.DUMMYFUNCTION("""COMPUTED_VALUE"""),63.67)</f>
        <v>63.67</v>
      </c>
      <c r="D1332" s="1">
        <f ca="1">IFERROR(__xludf.DUMMYFUNCTION("""COMPUTED_VALUE"""),61.91)</f>
        <v>61.91</v>
      </c>
      <c r="E1332" s="1">
        <f ca="1">IFERROR(__xludf.DUMMYFUNCTION("""COMPUTED_VALUE"""),62.87)</f>
        <v>62.87</v>
      </c>
      <c r="F1332" s="1">
        <f ca="1">IFERROR(__xludf.DUMMYFUNCTION("""COMPUTED_VALUE"""),2894757)</f>
        <v>2894757</v>
      </c>
    </row>
    <row r="1333" spans="1:6" x14ac:dyDescent="0.35">
      <c r="A1333" s="2">
        <f ca="1">IFERROR(__xludf.DUMMYFUNCTION("""COMPUTED_VALUE"""),43938.6666666666)</f>
        <v>43938.666666666599</v>
      </c>
      <c r="B1333" s="1">
        <f ca="1">IFERROR(__xludf.DUMMYFUNCTION("""COMPUTED_VALUE"""),64.08)</f>
        <v>64.08</v>
      </c>
      <c r="C1333" s="1">
        <f ca="1">IFERROR(__xludf.DUMMYFUNCTION("""COMPUTED_VALUE"""),64.5)</f>
        <v>64.5</v>
      </c>
      <c r="D1333" s="1">
        <f ca="1">IFERROR(__xludf.DUMMYFUNCTION("""COMPUTED_VALUE"""),63.3)</f>
        <v>63.3</v>
      </c>
      <c r="E1333" s="1">
        <f ca="1">IFERROR(__xludf.DUMMYFUNCTION("""COMPUTED_VALUE"""),63.95)</f>
        <v>63.95</v>
      </c>
      <c r="F1333" s="1">
        <f ca="1">IFERROR(__xludf.DUMMYFUNCTION("""COMPUTED_VALUE"""),2552824)</f>
        <v>2552824</v>
      </c>
    </row>
    <row r="1334" spans="1:6" x14ac:dyDescent="0.35">
      <c r="A1334" s="2">
        <f ca="1">IFERROR(__xludf.DUMMYFUNCTION("""COMPUTED_VALUE"""),43941.6666666666)</f>
        <v>43941.666666666599</v>
      </c>
      <c r="B1334" s="1">
        <f ca="1">IFERROR(__xludf.DUMMYFUNCTION("""COMPUTED_VALUE"""),63.49)</f>
        <v>63.49</v>
      </c>
      <c r="C1334" s="1">
        <f ca="1">IFERROR(__xludf.DUMMYFUNCTION("""COMPUTED_VALUE"""),63.84)</f>
        <v>63.84</v>
      </c>
      <c r="D1334" s="1">
        <f ca="1">IFERROR(__xludf.DUMMYFUNCTION("""COMPUTED_VALUE"""),62.82)</f>
        <v>62.82</v>
      </c>
      <c r="E1334" s="1">
        <f ca="1">IFERROR(__xludf.DUMMYFUNCTION("""COMPUTED_VALUE"""),63.06)</f>
        <v>63.06</v>
      </c>
      <c r="F1334" s="1">
        <f ca="1">IFERROR(__xludf.DUMMYFUNCTION("""COMPUTED_VALUE"""),1764608)</f>
        <v>1764608</v>
      </c>
    </row>
    <row r="1335" spans="1:6" x14ac:dyDescent="0.35">
      <c r="A1335" s="2">
        <f ca="1">IFERROR(__xludf.DUMMYFUNCTION("""COMPUTED_VALUE"""),43942.6666666666)</f>
        <v>43942.666666666599</v>
      </c>
      <c r="B1335" s="1">
        <f ca="1">IFERROR(__xludf.DUMMYFUNCTION("""COMPUTED_VALUE"""),62.14)</f>
        <v>62.14</v>
      </c>
      <c r="C1335" s="1">
        <f ca="1">IFERROR(__xludf.DUMMYFUNCTION("""COMPUTED_VALUE"""),62.5)</f>
        <v>62.5</v>
      </c>
      <c r="D1335" s="1">
        <f ca="1">IFERROR(__xludf.DUMMYFUNCTION("""COMPUTED_VALUE"""),60.25)</f>
        <v>60.25</v>
      </c>
      <c r="E1335" s="1">
        <f ca="1">IFERROR(__xludf.DUMMYFUNCTION("""COMPUTED_VALUE"""),60.61)</f>
        <v>60.61</v>
      </c>
      <c r="F1335" s="1">
        <f ca="1">IFERROR(__xludf.DUMMYFUNCTION("""COMPUTED_VALUE"""),2482404)</f>
        <v>2482404</v>
      </c>
    </row>
    <row r="1336" spans="1:6" x14ac:dyDescent="0.35">
      <c r="A1336" s="2">
        <f ca="1">IFERROR(__xludf.DUMMYFUNCTION("""COMPUTED_VALUE"""),43943.6666666666)</f>
        <v>43943.666666666599</v>
      </c>
      <c r="B1336" s="1">
        <f ca="1">IFERROR(__xludf.DUMMYFUNCTION("""COMPUTED_VALUE"""),62.06)</f>
        <v>62.06</v>
      </c>
      <c r="C1336" s="1">
        <f ca="1">IFERROR(__xludf.DUMMYFUNCTION("""COMPUTED_VALUE"""),63.99)</f>
        <v>63.99</v>
      </c>
      <c r="D1336" s="1">
        <f ca="1">IFERROR(__xludf.DUMMYFUNCTION("""COMPUTED_VALUE"""),61.86)</f>
        <v>61.86</v>
      </c>
      <c r="E1336" s="1">
        <f ca="1">IFERROR(__xludf.DUMMYFUNCTION("""COMPUTED_VALUE"""),62.92)</f>
        <v>62.92</v>
      </c>
      <c r="F1336" s="1">
        <f ca="1">IFERROR(__xludf.DUMMYFUNCTION("""COMPUTED_VALUE"""),2315792)</f>
        <v>2315792</v>
      </c>
    </row>
    <row r="1337" spans="1:6" x14ac:dyDescent="0.35">
      <c r="A1337" s="2">
        <f ca="1">IFERROR(__xludf.DUMMYFUNCTION("""COMPUTED_VALUE"""),43944.6666666666)</f>
        <v>43944.666666666599</v>
      </c>
      <c r="B1337" s="1">
        <f ca="1">IFERROR(__xludf.DUMMYFUNCTION("""COMPUTED_VALUE"""),63.29)</f>
        <v>63.29</v>
      </c>
      <c r="C1337" s="1">
        <f ca="1">IFERROR(__xludf.DUMMYFUNCTION("""COMPUTED_VALUE"""),64.41)</f>
        <v>64.41</v>
      </c>
      <c r="D1337" s="1">
        <f ca="1">IFERROR(__xludf.DUMMYFUNCTION("""COMPUTED_VALUE"""),63.03)</f>
        <v>63.03</v>
      </c>
      <c r="E1337" s="1">
        <f ca="1">IFERROR(__xludf.DUMMYFUNCTION("""COMPUTED_VALUE"""),63.56)</f>
        <v>63.56</v>
      </c>
      <c r="F1337" s="1">
        <f ca="1">IFERROR(__xludf.DUMMYFUNCTION("""COMPUTED_VALUE"""),1710122)</f>
        <v>1710122</v>
      </c>
    </row>
    <row r="1338" spans="1:6" x14ac:dyDescent="0.35">
      <c r="A1338" s="2">
        <f ca="1">IFERROR(__xludf.DUMMYFUNCTION("""COMPUTED_VALUE"""),43945.6666666666)</f>
        <v>43945.666666666599</v>
      </c>
      <c r="B1338" s="1">
        <f ca="1">IFERROR(__xludf.DUMMYFUNCTION("""COMPUTED_VALUE"""),62.75)</f>
        <v>62.75</v>
      </c>
      <c r="C1338" s="1">
        <f ca="1">IFERROR(__xludf.DUMMYFUNCTION("""COMPUTED_VALUE"""),63.89)</f>
        <v>63.89</v>
      </c>
      <c r="D1338" s="1">
        <f ca="1">IFERROR(__xludf.DUMMYFUNCTION("""COMPUTED_VALUE"""),62.2)</f>
        <v>62.2</v>
      </c>
      <c r="E1338" s="1">
        <f ca="1">IFERROR(__xludf.DUMMYFUNCTION("""COMPUTED_VALUE"""),63.83)</f>
        <v>63.83</v>
      </c>
      <c r="F1338" s="1">
        <f ca="1">IFERROR(__xludf.DUMMYFUNCTION("""COMPUTED_VALUE"""),1872004)</f>
        <v>1872004</v>
      </c>
    </row>
    <row r="1339" spans="1:6" x14ac:dyDescent="0.35">
      <c r="A1339" s="2">
        <f ca="1">IFERROR(__xludf.DUMMYFUNCTION("""COMPUTED_VALUE"""),43948.6666666666)</f>
        <v>43948.666666666599</v>
      </c>
      <c r="B1339" s="1">
        <f ca="1">IFERROR(__xludf.DUMMYFUNCTION("""COMPUTED_VALUE"""),64.6)</f>
        <v>64.599999999999994</v>
      </c>
      <c r="C1339" s="1">
        <f ca="1">IFERROR(__xludf.DUMMYFUNCTION("""COMPUTED_VALUE"""),64.71)</f>
        <v>64.709999999999994</v>
      </c>
      <c r="D1339" s="1">
        <f ca="1">IFERROR(__xludf.DUMMYFUNCTION("""COMPUTED_VALUE"""),63.25)</f>
        <v>63.25</v>
      </c>
      <c r="E1339" s="1">
        <f ca="1">IFERROR(__xludf.DUMMYFUNCTION("""COMPUTED_VALUE"""),63.54)</f>
        <v>63.54</v>
      </c>
      <c r="F1339" s="1">
        <f ca="1">IFERROR(__xludf.DUMMYFUNCTION("""COMPUTED_VALUE"""),2209333)</f>
        <v>2209333</v>
      </c>
    </row>
    <row r="1340" spans="1:6" x14ac:dyDescent="0.35">
      <c r="A1340" s="2">
        <f ca="1">IFERROR(__xludf.DUMMYFUNCTION("""COMPUTED_VALUE"""),43949.6666666666)</f>
        <v>43949.666666666599</v>
      </c>
      <c r="B1340" s="1">
        <f ca="1">IFERROR(__xludf.DUMMYFUNCTION("""COMPUTED_VALUE"""),64.16)</f>
        <v>64.16</v>
      </c>
      <c r="C1340" s="1">
        <f ca="1">IFERROR(__xludf.DUMMYFUNCTION("""COMPUTED_VALUE"""),64.24)</f>
        <v>64.239999999999995</v>
      </c>
      <c r="D1340" s="1">
        <f ca="1">IFERROR(__xludf.DUMMYFUNCTION("""COMPUTED_VALUE"""),61.52)</f>
        <v>61.52</v>
      </c>
      <c r="E1340" s="1">
        <f ca="1">IFERROR(__xludf.DUMMYFUNCTION("""COMPUTED_VALUE"""),61.63)</f>
        <v>61.63</v>
      </c>
      <c r="F1340" s="1">
        <f ca="1">IFERROR(__xludf.DUMMYFUNCTION("""COMPUTED_VALUE"""),4035007)</f>
        <v>4035007</v>
      </c>
    </row>
    <row r="1341" spans="1:6" x14ac:dyDescent="0.35">
      <c r="A1341" s="2">
        <f ca="1">IFERROR(__xludf.DUMMYFUNCTION("""COMPUTED_VALUE"""),43950.6666666666)</f>
        <v>43950.666666666599</v>
      </c>
      <c r="B1341" s="1">
        <f ca="1">IFERROR(__xludf.DUMMYFUNCTION("""COMPUTED_VALUE"""),67.25)</f>
        <v>67.25</v>
      </c>
      <c r="C1341" s="1">
        <f ca="1">IFERROR(__xludf.DUMMYFUNCTION("""COMPUTED_VALUE"""),68.01)</f>
        <v>68.010000000000005</v>
      </c>
      <c r="D1341" s="1">
        <f ca="1">IFERROR(__xludf.DUMMYFUNCTION("""COMPUTED_VALUE"""),66.34)</f>
        <v>66.34</v>
      </c>
      <c r="E1341" s="1">
        <f ca="1">IFERROR(__xludf.DUMMYFUNCTION("""COMPUTED_VALUE"""),67.11)</f>
        <v>67.11</v>
      </c>
      <c r="F1341" s="1">
        <f ca="1">IFERROR(__xludf.DUMMYFUNCTION("""COMPUTED_VALUE"""),5417888)</f>
        <v>5417888</v>
      </c>
    </row>
    <row r="1342" spans="1:6" x14ac:dyDescent="0.35">
      <c r="A1342" s="2">
        <f ca="1">IFERROR(__xludf.DUMMYFUNCTION("""COMPUTED_VALUE"""),43951.6666666666)</f>
        <v>43951.666666666599</v>
      </c>
      <c r="B1342" s="1">
        <f ca="1">IFERROR(__xludf.DUMMYFUNCTION("""COMPUTED_VALUE"""),66.57)</f>
        <v>66.569999999999993</v>
      </c>
      <c r="C1342" s="1">
        <f ca="1">IFERROR(__xludf.DUMMYFUNCTION("""COMPUTED_VALUE"""),67.5)</f>
        <v>67.5</v>
      </c>
      <c r="D1342" s="1">
        <f ca="1">IFERROR(__xludf.DUMMYFUNCTION("""COMPUTED_VALUE"""),66.08)</f>
        <v>66.08</v>
      </c>
      <c r="E1342" s="1">
        <f ca="1">IFERROR(__xludf.DUMMYFUNCTION("""COMPUTED_VALUE"""),67.33)</f>
        <v>67.33</v>
      </c>
      <c r="F1342" s="1">
        <f ca="1">IFERROR(__xludf.DUMMYFUNCTION("""COMPUTED_VALUE"""),2792124)</f>
        <v>2792124</v>
      </c>
    </row>
    <row r="1343" spans="1:6" x14ac:dyDescent="0.35">
      <c r="A1343" s="2">
        <f ca="1">IFERROR(__xludf.DUMMYFUNCTION("""COMPUTED_VALUE"""),43952.6666666666)</f>
        <v>43952.666666666599</v>
      </c>
      <c r="B1343" s="1">
        <f ca="1">IFERROR(__xludf.DUMMYFUNCTION("""COMPUTED_VALUE"""),66.2)</f>
        <v>66.2</v>
      </c>
      <c r="C1343" s="1">
        <f ca="1">IFERROR(__xludf.DUMMYFUNCTION("""COMPUTED_VALUE"""),67.57)</f>
        <v>67.569999999999993</v>
      </c>
      <c r="D1343" s="1">
        <f ca="1">IFERROR(__xludf.DUMMYFUNCTION("""COMPUTED_VALUE"""),65.48)</f>
        <v>65.48</v>
      </c>
      <c r="E1343" s="1">
        <f ca="1">IFERROR(__xludf.DUMMYFUNCTION("""COMPUTED_VALUE"""),65.87)</f>
        <v>65.87</v>
      </c>
      <c r="F1343" s="1">
        <f ca="1">IFERROR(__xludf.DUMMYFUNCTION("""COMPUTED_VALUE"""),2443554)</f>
        <v>2443554</v>
      </c>
    </row>
    <row r="1344" spans="1:6" x14ac:dyDescent="0.35">
      <c r="A1344" s="2">
        <f ca="1">IFERROR(__xludf.DUMMYFUNCTION("""COMPUTED_VALUE"""),43955.6666666666)</f>
        <v>43955.666666666599</v>
      </c>
      <c r="B1344" s="1">
        <f ca="1">IFERROR(__xludf.DUMMYFUNCTION("""COMPUTED_VALUE"""),65.41)</f>
        <v>65.41</v>
      </c>
      <c r="C1344" s="1">
        <f ca="1">IFERROR(__xludf.DUMMYFUNCTION("""COMPUTED_VALUE"""),66.22)</f>
        <v>66.22</v>
      </c>
      <c r="D1344" s="1">
        <f ca="1">IFERROR(__xludf.DUMMYFUNCTION("""COMPUTED_VALUE"""),64.8)</f>
        <v>64.8</v>
      </c>
      <c r="E1344" s="1">
        <f ca="1">IFERROR(__xludf.DUMMYFUNCTION("""COMPUTED_VALUE"""),66.15)</f>
        <v>66.150000000000006</v>
      </c>
      <c r="F1344" s="1">
        <f ca="1">IFERROR(__xludf.DUMMYFUNCTION("""COMPUTED_VALUE"""),1540347)</f>
        <v>1540347</v>
      </c>
    </row>
    <row r="1345" spans="1:6" x14ac:dyDescent="0.35">
      <c r="A1345" s="2">
        <f ca="1">IFERROR(__xludf.DUMMYFUNCTION("""COMPUTED_VALUE"""),43956.6666666666)</f>
        <v>43956.666666666599</v>
      </c>
      <c r="B1345" s="1">
        <f ca="1">IFERROR(__xludf.DUMMYFUNCTION("""COMPUTED_VALUE"""),66.88)</f>
        <v>66.88</v>
      </c>
      <c r="C1345" s="1">
        <f ca="1">IFERROR(__xludf.DUMMYFUNCTION("""COMPUTED_VALUE"""),68.55)</f>
        <v>68.55</v>
      </c>
      <c r="D1345" s="1">
        <f ca="1">IFERROR(__xludf.DUMMYFUNCTION("""COMPUTED_VALUE"""),66.75)</f>
        <v>66.75</v>
      </c>
      <c r="E1345" s="1">
        <f ca="1">IFERROR(__xludf.DUMMYFUNCTION("""COMPUTED_VALUE"""),67.45)</f>
        <v>67.45</v>
      </c>
      <c r="F1345" s="1">
        <f ca="1">IFERROR(__xludf.DUMMYFUNCTION("""COMPUTED_VALUE"""),1983318)</f>
        <v>1983318</v>
      </c>
    </row>
    <row r="1346" spans="1:6" x14ac:dyDescent="0.35">
      <c r="A1346" s="2">
        <f ca="1">IFERROR(__xludf.DUMMYFUNCTION("""COMPUTED_VALUE"""),43957.6666666666)</f>
        <v>43957.666666666599</v>
      </c>
      <c r="B1346" s="1">
        <f ca="1">IFERROR(__xludf.DUMMYFUNCTION("""COMPUTED_VALUE"""),67.9)</f>
        <v>67.900000000000006</v>
      </c>
      <c r="C1346" s="1">
        <f ca="1">IFERROR(__xludf.DUMMYFUNCTION("""COMPUTED_VALUE"""),68.43)</f>
        <v>68.430000000000007</v>
      </c>
      <c r="D1346" s="1">
        <f ca="1">IFERROR(__xludf.DUMMYFUNCTION("""COMPUTED_VALUE"""),67.26)</f>
        <v>67.260000000000005</v>
      </c>
      <c r="E1346" s="1">
        <f ca="1">IFERROR(__xludf.DUMMYFUNCTION("""COMPUTED_VALUE"""),67.27)</f>
        <v>67.27</v>
      </c>
      <c r="F1346" s="1">
        <f ca="1">IFERROR(__xludf.DUMMYFUNCTION("""COMPUTED_VALUE"""),1586629)</f>
        <v>1586629</v>
      </c>
    </row>
    <row r="1347" spans="1:6" x14ac:dyDescent="0.35">
      <c r="A1347" s="2">
        <f ca="1">IFERROR(__xludf.DUMMYFUNCTION("""COMPUTED_VALUE"""),43958.6666666666)</f>
        <v>43958.666666666599</v>
      </c>
      <c r="B1347" s="1">
        <f ca="1">IFERROR(__xludf.DUMMYFUNCTION("""COMPUTED_VALUE"""),68.07)</f>
        <v>68.069999999999993</v>
      </c>
      <c r="C1347" s="1">
        <f ca="1">IFERROR(__xludf.DUMMYFUNCTION("""COMPUTED_VALUE"""),68.8)</f>
        <v>68.8</v>
      </c>
      <c r="D1347" s="1">
        <f ca="1">IFERROR(__xludf.DUMMYFUNCTION("""COMPUTED_VALUE"""),67.63)</f>
        <v>67.63</v>
      </c>
      <c r="E1347" s="1">
        <f ca="1">IFERROR(__xludf.DUMMYFUNCTION("""COMPUTED_VALUE"""),68.46)</f>
        <v>68.459999999999994</v>
      </c>
      <c r="F1347" s="1">
        <f ca="1">IFERROR(__xludf.DUMMYFUNCTION("""COMPUTED_VALUE"""),1535819)</f>
        <v>1535819</v>
      </c>
    </row>
    <row r="1348" spans="1:6" x14ac:dyDescent="0.35">
      <c r="A1348" s="2">
        <f ca="1">IFERROR(__xludf.DUMMYFUNCTION("""COMPUTED_VALUE"""),43959.6666666666)</f>
        <v>43959.666666666599</v>
      </c>
      <c r="B1348" s="1">
        <f ca="1">IFERROR(__xludf.DUMMYFUNCTION("""COMPUTED_VALUE"""),69.09)</f>
        <v>69.09</v>
      </c>
      <c r="C1348" s="1">
        <f ca="1">IFERROR(__xludf.DUMMYFUNCTION("""COMPUTED_VALUE"""),69.83)</f>
        <v>69.83</v>
      </c>
      <c r="D1348" s="1">
        <f ca="1">IFERROR(__xludf.DUMMYFUNCTION("""COMPUTED_VALUE"""),68.6)</f>
        <v>68.599999999999994</v>
      </c>
      <c r="E1348" s="1">
        <f ca="1">IFERROR(__xludf.DUMMYFUNCTION("""COMPUTED_VALUE"""),69.22)</f>
        <v>69.22</v>
      </c>
      <c r="F1348" s="1">
        <f ca="1">IFERROR(__xludf.DUMMYFUNCTION("""COMPUTED_VALUE"""),1666487)</f>
        <v>1666487</v>
      </c>
    </row>
    <row r="1349" spans="1:6" x14ac:dyDescent="0.35">
      <c r="A1349" s="2">
        <f ca="1">IFERROR(__xludf.DUMMYFUNCTION("""COMPUTED_VALUE"""),43962.6666666666)</f>
        <v>43962.666666666599</v>
      </c>
      <c r="B1349" s="1">
        <f ca="1">IFERROR(__xludf.DUMMYFUNCTION("""COMPUTED_VALUE"""),68.84)</f>
        <v>68.84</v>
      </c>
      <c r="C1349" s="1">
        <f ca="1">IFERROR(__xludf.DUMMYFUNCTION("""COMPUTED_VALUE"""),70.78)</f>
        <v>70.78</v>
      </c>
      <c r="D1349" s="1">
        <f ca="1">IFERROR(__xludf.DUMMYFUNCTION("""COMPUTED_VALUE"""),68.78)</f>
        <v>68.78</v>
      </c>
      <c r="E1349" s="1">
        <f ca="1">IFERROR(__xludf.DUMMYFUNCTION("""COMPUTED_VALUE"""),70.18)</f>
        <v>70.180000000000007</v>
      </c>
      <c r="F1349" s="1">
        <f ca="1">IFERROR(__xludf.DUMMYFUNCTION("""COMPUTED_VALUE"""),1635856)</f>
        <v>1635856</v>
      </c>
    </row>
    <row r="1350" spans="1:6" x14ac:dyDescent="0.35">
      <c r="A1350" s="2">
        <f ca="1">IFERROR(__xludf.DUMMYFUNCTION("""COMPUTED_VALUE"""),43963.6666666666)</f>
        <v>43963.666666666599</v>
      </c>
      <c r="B1350" s="1">
        <f ca="1">IFERROR(__xludf.DUMMYFUNCTION("""COMPUTED_VALUE"""),70.41)</f>
        <v>70.41</v>
      </c>
      <c r="C1350" s="1">
        <f ca="1">IFERROR(__xludf.DUMMYFUNCTION("""COMPUTED_VALUE"""),70.72)</f>
        <v>70.72</v>
      </c>
      <c r="D1350" s="1">
        <f ca="1">IFERROR(__xludf.DUMMYFUNCTION("""COMPUTED_VALUE"""),68.73)</f>
        <v>68.73</v>
      </c>
      <c r="E1350" s="1">
        <f ca="1">IFERROR(__xludf.DUMMYFUNCTION("""COMPUTED_VALUE"""),68.76)</f>
        <v>68.760000000000005</v>
      </c>
      <c r="F1350" s="1">
        <f ca="1">IFERROR(__xludf.DUMMYFUNCTION("""COMPUTED_VALUE"""),1695874)</f>
        <v>1695874</v>
      </c>
    </row>
    <row r="1351" spans="1:6" x14ac:dyDescent="0.35">
      <c r="A1351" s="2">
        <f ca="1">IFERROR(__xludf.DUMMYFUNCTION("""COMPUTED_VALUE"""),43964.6666666666)</f>
        <v>43964.666666666599</v>
      </c>
      <c r="B1351" s="1">
        <f ca="1">IFERROR(__xludf.DUMMYFUNCTION("""COMPUTED_VALUE"""),68.81)</f>
        <v>68.81</v>
      </c>
      <c r="C1351" s="1">
        <f ca="1">IFERROR(__xludf.DUMMYFUNCTION("""COMPUTED_VALUE"""),69.27)</f>
        <v>69.27</v>
      </c>
      <c r="D1351" s="1">
        <f ca="1">IFERROR(__xludf.DUMMYFUNCTION("""COMPUTED_VALUE"""),66.4)</f>
        <v>66.400000000000006</v>
      </c>
      <c r="E1351" s="1">
        <f ca="1">IFERROR(__xludf.DUMMYFUNCTION("""COMPUTED_VALUE"""),67.42)</f>
        <v>67.42</v>
      </c>
      <c r="F1351" s="1">
        <f ca="1">IFERROR(__xludf.DUMMYFUNCTION("""COMPUTED_VALUE"""),2018404)</f>
        <v>2018404</v>
      </c>
    </row>
    <row r="1352" spans="1:6" x14ac:dyDescent="0.35">
      <c r="A1352" s="2">
        <f ca="1">IFERROR(__xludf.DUMMYFUNCTION("""COMPUTED_VALUE"""),43965.6666666666)</f>
        <v>43965.666666666599</v>
      </c>
      <c r="B1352" s="1">
        <f ca="1">IFERROR(__xludf.DUMMYFUNCTION("""COMPUTED_VALUE"""),66.68)</f>
        <v>66.680000000000007</v>
      </c>
      <c r="C1352" s="1">
        <f ca="1">IFERROR(__xludf.DUMMYFUNCTION("""COMPUTED_VALUE"""),67.87)</f>
        <v>67.87</v>
      </c>
      <c r="D1352" s="1">
        <f ca="1">IFERROR(__xludf.DUMMYFUNCTION("""COMPUTED_VALUE"""),66.17)</f>
        <v>66.17</v>
      </c>
      <c r="E1352" s="1">
        <f ca="1">IFERROR(__xludf.DUMMYFUNCTION("""COMPUTED_VALUE"""),67.84)</f>
        <v>67.84</v>
      </c>
      <c r="F1352" s="1">
        <f ca="1">IFERROR(__xludf.DUMMYFUNCTION("""COMPUTED_VALUE"""),1833017)</f>
        <v>1833017</v>
      </c>
    </row>
    <row r="1353" spans="1:6" x14ac:dyDescent="0.35">
      <c r="A1353" s="2">
        <f ca="1">IFERROR(__xludf.DUMMYFUNCTION("""COMPUTED_VALUE"""),43966.6666666666)</f>
        <v>43966.666666666599</v>
      </c>
      <c r="B1353" s="1">
        <f ca="1">IFERROR(__xludf.DUMMYFUNCTION("""COMPUTED_VALUE"""),67.41)</f>
        <v>67.41</v>
      </c>
      <c r="C1353" s="1">
        <f ca="1">IFERROR(__xludf.DUMMYFUNCTION("""COMPUTED_VALUE"""),68.73)</f>
        <v>68.73</v>
      </c>
      <c r="D1353" s="1">
        <f ca="1">IFERROR(__xludf.DUMMYFUNCTION("""COMPUTED_VALUE"""),66.95)</f>
        <v>66.95</v>
      </c>
      <c r="E1353" s="1">
        <f ca="1">IFERROR(__xludf.DUMMYFUNCTION("""COMPUTED_VALUE"""),68.65)</f>
        <v>68.650000000000006</v>
      </c>
      <c r="F1353" s="1">
        <f ca="1">IFERROR(__xludf.DUMMYFUNCTION("""COMPUTED_VALUE"""),2077199)</f>
        <v>2077199</v>
      </c>
    </row>
    <row r="1354" spans="1:6" x14ac:dyDescent="0.35">
      <c r="A1354" s="2">
        <f ca="1">IFERROR(__xludf.DUMMYFUNCTION("""COMPUTED_VALUE"""),43969.6666666666)</f>
        <v>43969.666666666599</v>
      </c>
      <c r="B1354" s="1">
        <f ca="1">IFERROR(__xludf.DUMMYFUNCTION("""COMPUTED_VALUE"""),68.08)</f>
        <v>68.08</v>
      </c>
      <c r="C1354" s="1">
        <f ca="1">IFERROR(__xludf.DUMMYFUNCTION("""COMPUTED_VALUE"""),69.64)</f>
        <v>69.64</v>
      </c>
      <c r="D1354" s="1">
        <f ca="1">IFERROR(__xludf.DUMMYFUNCTION("""COMPUTED_VALUE"""),67.71)</f>
        <v>67.709999999999994</v>
      </c>
      <c r="E1354" s="1">
        <f ca="1">IFERROR(__xludf.DUMMYFUNCTION("""COMPUTED_VALUE"""),69.26)</f>
        <v>69.260000000000005</v>
      </c>
      <c r="F1354" s="1">
        <f ca="1">IFERROR(__xludf.DUMMYFUNCTION("""COMPUTED_VALUE"""),2356449)</f>
        <v>2356449</v>
      </c>
    </row>
    <row r="1355" spans="1:6" x14ac:dyDescent="0.35">
      <c r="A1355" s="2">
        <f ca="1">IFERROR(__xludf.DUMMYFUNCTION("""COMPUTED_VALUE"""),43970.6666666666)</f>
        <v>43970.666666666599</v>
      </c>
      <c r="B1355" s="1">
        <f ca="1">IFERROR(__xludf.DUMMYFUNCTION("""COMPUTED_VALUE"""),69.27)</f>
        <v>69.27</v>
      </c>
      <c r="C1355" s="1">
        <f ca="1">IFERROR(__xludf.DUMMYFUNCTION("""COMPUTED_VALUE"""),69.62)</f>
        <v>69.62</v>
      </c>
      <c r="D1355" s="1">
        <f ca="1">IFERROR(__xludf.DUMMYFUNCTION("""COMPUTED_VALUE"""),68.69)</f>
        <v>68.69</v>
      </c>
      <c r="E1355" s="1">
        <f ca="1">IFERROR(__xludf.DUMMYFUNCTION("""COMPUTED_VALUE"""),68.72)</f>
        <v>68.72</v>
      </c>
      <c r="F1355" s="1">
        <f ca="1">IFERROR(__xludf.DUMMYFUNCTION("""COMPUTED_VALUE"""),1579250)</f>
        <v>1579250</v>
      </c>
    </row>
    <row r="1356" spans="1:6" x14ac:dyDescent="0.35">
      <c r="A1356" s="2">
        <f ca="1">IFERROR(__xludf.DUMMYFUNCTION("""COMPUTED_VALUE"""),43971.6666666666)</f>
        <v>43971.666666666599</v>
      </c>
      <c r="B1356" s="1">
        <f ca="1">IFERROR(__xludf.DUMMYFUNCTION("""COMPUTED_VALUE"""),69.46)</f>
        <v>69.459999999999994</v>
      </c>
      <c r="C1356" s="1">
        <f ca="1">IFERROR(__xludf.DUMMYFUNCTION("""COMPUTED_VALUE"""),70.6)</f>
        <v>70.599999999999994</v>
      </c>
      <c r="D1356" s="1">
        <f ca="1">IFERROR(__xludf.DUMMYFUNCTION("""COMPUTED_VALUE"""),69.37)</f>
        <v>69.37</v>
      </c>
      <c r="E1356" s="1">
        <f ca="1">IFERROR(__xludf.DUMMYFUNCTION("""COMPUTED_VALUE"""),70.46)</f>
        <v>70.459999999999994</v>
      </c>
      <c r="F1356" s="1">
        <f ca="1">IFERROR(__xludf.DUMMYFUNCTION("""COMPUTED_VALUE"""),1913133)</f>
        <v>1913133</v>
      </c>
    </row>
    <row r="1357" spans="1:6" x14ac:dyDescent="0.35">
      <c r="A1357" s="2">
        <f ca="1">IFERROR(__xludf.DUMMYFUNCTION("""COMPUTED_VALUE"""),43972.6666666666)</f>
        <v>43972.666666666599</v>
      </c>
      <c r="B1357" s="1">
        <f ca="1">IFERROR(__xludf.DUMMYFUNCTION("""COMPUTED_VALUE"""),70.55)</f>
        <v>70.55</v>
      </c>
      <c r="C1357" s="1">
        <f ca="1">IFERROR(__xludf.DUMMYFUNCTION("""COMPUTED_VALUE"""),70.82)</f>
        <v>70.819999999999993</v>
      </c>
      <c r="D1357" s="1">
        <f ca="1">IFERROR(__xludf.DUMMYFUNCTION("""COMPUTED_VALUE"""),69.72)</f>
        <v>69.72</v>
      </c>
      <c r="E1357" s="1">
        <f ca="1">IFERROR(__xludf.DUMMYFUNCTION("""COMPUTED_VALUE"""),70.34)</f>
        <v>70.34</v>
      </c>
      <c r="F1357" s="1">
        <f ca="1">IFERROR(__xludf.DUMMYFUNCTION("""COMPUTED_VALUE"""),1544976)</f>
        <v>1544976</v>
      </c>
    </row>
    <row r="1358" spans="1:6" x14ac:dyDescent="0.35">
      <c r="A1358" s="2">
        <f ca="1">IFERROR(__xludf.DUMMYFUNCTION("""COMPUTED_VALUE"""),43973.6666666666)</f>
        <v>43973.666666666599</v>
      </c>
      <c r="B1358" s="1">
        <f ca="1">IFERROR(__xludf.DUMMYFUNCTION("""COMPUTED_VALUE"""),70.19)</f>
        <v>70.19</v>
      </c>
      <c r="C1358" s="1">
        <f ca="1">IFERROR(__xludf.DUMMYFUNCTION("""COMPUTED_VALUE"""),70.85)</f>
        <v>70.849999999999994</v>
      </c>
      <c r="D1358" s="1">
        <f ca="1">IFERROR(__xludf.DUMMYFUNCTION("""COMPUTED_VALUE"""),69.8)</f>
        <v>69.8</v>
      </c>
      <c r="E1358" s="1">
        <f ca="1">IFERROR(__xludf.DUMMYFUNCTION("""COMPUTED_VALUE"""),70.66)</f>
        <v>70.66</v>
      </c>
      <c r="F1358" s="1">
        <f ca="1">IFERROR(__xludf.DUMMYFUNCTION("""COMPUTED_VALUE"""),1427206)</f>
        <v>1427206</v>
      </c>
    </row>
    <row r="1359" spans="1:6" x14ac:dyDescent="0.35">
      <c r="A1359" s="2">
        <f ca="1">IFERROR(__xludf.DUMMYFUNCTION("""COMPUTED_VALUE"""),43977.6666666666)</f>
        <v>43977.666666666599</v>
      </c>
      <c r="B1359" s="1">
        <f ca="1">IFERROR(__xludf.DUMMYFUNCTION("""COMPUTED_VALUE"""),72.1)</f>
        <v>72.099999999999994</v>
      </c>
      <c r="C1359" s="1">
        <f ca="1">IFERROR(__xludf.DUMMYFUNCTION("""COMPUTED_VALUE"""),72.26)</f>
        <v>72.260000000000005</v>
      </c>
      <c r="D1359" s="1">
        <f ca="1">IFERROR(__xludf.DUMMYFUNCTION("""COMPUTED_VALUE"""),70.97)</f>
        <v>70.97</v>
      </c>
      <c r="E1359" s="1">
        <f ca="1">IFERROR(__xludf.DUMMYFUNCTION("""COMPUTED_VALUE"""),71.07)</f>
        <v>71.069999999999993</v>
      </c>
      <c r="F1359" s="1">
        <f ca="1">IFERROR(__xludf.DUMMYFUNCTION("""COMPUTED_VALUE"""),2229488)</f>
        <v>2229488</v>
      </c>
    </row>
    <row r="1360" spans="1:6" x14ac:dyDescent="0.35">
      <c r="A1360" s="2">
        <f ca="1">IFERROR(__xludf.DUMMYFUNCTION("""COMPUTED_VALUE"""),43978.6666666666)</f>
        <v>43978.666666666599</v>
      </c>
      <c r="B1360" s="1">
        <f ca="1">IFERROR(__xludf.DUMMYFUNCTION("""COMPUTED_VALUE"""),71)</f>
        <v>71</v>
      </c>
      <c r="C1360" s="1">
        <f ca="1">IFERROR(__xludf.DUMMYFUNCTION("""COMPUTED_VALUE"""),71.27)</f>
        <v>71.27</v>
      </c>
      <c r="D1360" s="1">
        <f ca="1">IFERROR(__xludf.DUMMYFUNCTION("""COMPUTED_VALUE"""),69.73)</f>
        <v>69.73</v>
      </c>
      <c r="E1360" s="1">
        <f ca="1">IFERROR(__xludf.DUMMYFUNCTION("""COMPUTED_VALUE"""),71.01)</f>
        <v>71.010000000000005</v>
      </c>
      <c r="F1360" s="1">
        <f ca="1">IFERROR(__xludf.DUMMYFUNCTION("""COMPUTED_VALUE"""),1584185)</f>
        <v>1584185</v>
      </c>
    </row>
    <row r="1361" spans="1:6" x14ac:dyDescent="0.35">
      <c r="A1361" s="2">
        <f ca="1">IFERROR(__xludf.DUMMYFUNCTION("""COMPUTED_VALUE"""),43979.6666666666)</f>
        <v>43979.666666666599</v>
      </c>
      <c r="B1361" s="1">
        <f ca="1">IFERROR(__xludf.DUMMYFUNCTION("""COMPUTED_VALUE"""),70)</f>
        <v>70</v>
      </c>
      <c r="C1361" s="1">
        <f ca="1">IFERROR(__xludf.DUMMYFUNCTION("""COMPUTED_VALUE"""),72.22)</f>
        <v>72.22</v>
      </c>
      <c r="D1361" s="1">
        <f ca="1">IFERROR(__xludf.DUMMYFUNCTION("""COMPUTED_VALUE"""),69.95)</f>
        <v>69.95</v>
      </c>
      <c r="E1361" s="1">
        <f ca="1">IFERROR(__xludf.DUMMYFUNCTION("""COMPUTED_VALUE"""),70.91)</f>
        <v>70.91</v>
      </c>
      <c r="F1361" s="1">
        <f ca="1">IFERROR(__xludf.DUMMYFUNCTION("""COMPUTED_VALUE"""),1759787)</f>
        <v>1759787</v>
      </c>
    </row>
    <row r="1362" spans="1:6" x14ac:dyDescent="0.35">
      <c r="A1362" s="2">
        <f ca="1">IFERROR(__xludf.DUMMYFUNCTION("""COMPUTED_VALUE"""),43980.6666666666)</f>
        <v>43980.666666666599</v>
      </c>
      <c r="B1362" s="1">
        <f ca="1">IFERROR(__xludf.DUMMYFUNCTION("""COMPUTED_VALUE"""),71.02)</f>
        <v>71.02</v>
      </c>
      <c r="C1362" s="1">
        <f ca="1">IFERROR(__xludf.DUMMYFUNCTION("""COMPUTED_VALUE"""),71.84)</f>
        <v>71.84</v>
      </c>
      <c r="D1362" s="1">
        <f ca="1">IFERROR(__xludf.DUMMYFUNCTION("""COMPUTED_VALUE"""),70.8)</f>
        <v>70.8</v>
      </c>
      <c r="E1362" s="1">
        <f ca="1">IFERROR(__xludf.DUMMYFUNCTION("""COMPUTED_VALUE"""),71.68)</f>
        <v>71.680000000000007</v>
      </c>
      <c r="F1362" s="1">
        <f ca="1">IFERROR(__xludf.DUMMYFUNCTION("""COMPUTED_VALUE"""),1852522)</f>
        <v>1852522</v>
      </c>
    </row>
    <row r="1363" spans="1:6" x14ac:dyDescent="0.35">
      <c r="A1363" s="2">
        <f ca="1">IFERROR(__xludf.DUMMYFUNCTION("""COMPUTED_VALUE"""),43983.6666666666)</f>
        <v>43983.666666666599</v>
      </c>
      <c r="B1363" s="1">
        <f ca="1">IFERROR(__xludf.DUMMYFUNCTION("""COMPUTED_VALUE"""),71.29)</f>
        <v>71.290000000000006</v>
      </c>
      <c r="C1363" s="1">
        <f ca="1">IFERROR(__xludf.DUMMYFUNCTION("""COMPUTED_VALUE"""),72.08)</f>
        <v>72.08</v>
      </c>
      <c r="D1363" s="1">
        <f ca="1">IFERROR(__xludf.DUMMYFUNCTION("""COMPUTED_VALUE"""),71.11)</f>
        <v>71.11</v>
      </c>
      <c r="E1363" s="1">
        <f ca="1">IFERROR(__xludf.DUMMYFUNCTION("""COMPUTED_VALUE"""),71.74)</f>
        <v>71.739999999999995</v>
      </c>
      <c r="F1363" s="1">
        <f ca="1">IFERROR(__xludf.DUMMYFUNCTION("""COMPUTED_VALUE"""),1259254)</f>
        <v>1259254</v>
      </c>
    </row>
    <row r="1364" spans="1:6" x14ac:dyDescent="0.35">
      <c r="A1364" s="2">
        <f ca="1">IFERROR(__xludf.DUMMYFUNCTION("""COMPUTED_VALUE"""),43984.6666666666)</f>
        <v>43984.666666666599</v>
      </c>
      <c r="B1364" s="1">
        <f ca="1">IFERROR(__xludf.DUMMYFUNCTION("""COMPUTED_VALUE"""),71.75)</f>
        <v>71.75</v>
      </c>
      <c r="C1364" s="1">
        <f ca="1">IFERROR(__xludf.DUMMYFUNCTION("""COMPUTED_VALUE"""),72.15)</f>
        <v>72.150000000000006</v>
      </c>
      <c r="D1364" s="1">
        <f ca="1">IFERROR(__xludf.DUMMYFUNCTION("""COMPUTED_VALUE"""),71.08)</f>
        <v>71.08</v>
      </c>
      <c r="E1364" s="1">
        <f ca="1">IFERROR(__xludf.DUMMYFUNCTION("""COMPUTED_VALUE"""),72.12)</f>
        <v>72.12</v>
      </c>
      <c r="F1364" s="1">
        <f ca="1">IFERROR(__xludf.DUMMYFUNCTION("""COMPUTED_VALUE"""),1172069)</f>
        <v>1172069</v>
      </c>
    </row>
    <row r="1365" spans="1:6" x14ac:dyDescent="0.35">
      <c r="A1365" s="2">
        <f ca="1">IFERROR(__xludf.DUMMYFUNCTION("""COMPUTED_VALUE"""),43985.6666666666)</f>
        <v>43985.666666666599</v>
      </c>
      <c r="B1365" s="1">
        <f ca="1">IFERROR(__xludf.DUMMYFUNCTION("""COMPUTED_VALUE"""),72.14)</f>
        <v>72.14</v>
      </c>
      <c r="C1365" s="1">
        <f ca="1">IFERROR(__xludf.DUMMYFUNCTION("""COMPUTED_VALUE"""),72.45)</f>
        <v>72.45</v>
      </c>
      <c r="D1365" s="1">
        <f ca="1">IFERROR(__xludf.DUMMYFUNCTION("""COMPUTED_VALUE"""),71.58)</f>
        <v>71.58</v>
      </c>
      <c r="E1365" s="1">
        <f ca="1">IFERROR(__xludf.DUMMYFUNCTION("""COMPUTED_VALUE"""),71.96)</f>
        <v>71.959999999999994</v>
      </c>
      <c r="F1365" s="1">
        <f ca="1">IFERROR(__xludf.DUMMYFUNCTION("""COMPUTED_VALUE"""),1386640)</f>
        <v>1386640</v>
      </c>
    </row>
    <row r="1366" spans="1:6" x14ac:dyDescent="0.35">
      <c r="A1366" s="2">
        <f ca="1">IFERROR(__xludf.DUMMYFUNCTION("""COMPUTED_VALUE"""),43986.6666666666)</f>
        <v>43986.666666666599</v>
      </c>
      <c r="B1366" s="1">
        <f ca="1">IFERROR(__xludf.DUMMYFUNCTION("""COMPUTED_VALUE"""),71.84)</f>
        <v>71.84</v>
      </c>
      <c r="C1366" s="1">
        <f ca="1">IFERROR(__xludf.DUMMYFUNCTION("""COMPUTED_VALUE"""),72.07)</f>
        <v>72.069999999999993</v>
      </c>
      <c r="D1366" s="1">
        <f ca="1">IFERROR(__xludf.DUMMYFUNCTION("""COMPUTED_VALUE"""),70.3)</f>
        <v>70.3</v>
      </c>
      <c r="E1366" s="1">
        <f ca="1">IFERROR(__xludf.DUMMYFUNCTION("""COMPUTED_VALUE"""),70.72)</f>
        <v>70.72</v>
      </c>
      <c r="F1366" s="1">
        <f ca="1">IFERROR(__xludf.DUMMYFUNCTION("""COMPUTED_VALUE"""),1349105)</f>
        <v>1349105</v>
      </c>
    </row>
    <row r="1367" spans="1:6" x14ac:dyDescent="0.35">
      <c r="A1367" s="2">
        <f ca="1">IFERROR(__xludf.DUMMYFUNCTION("""COMPUTED_VALUE"""),43987.6666666666)</f>
        <v>43987.666666666599</v>
      </c>
      <c r="B1367" s="1">
        <f ca="1">IFERROR(__xludf.DUMMYFUNCTION("""COMPUTED_VALUE"""),70.78)</f>
        <v>70.78</v>
      </c>
      <c r="C1367" s="1">
        <f ca="1">IFERROR(__xludf.DUMMYFUNCTION("""COMPUTED_VALUE"""),72.32)</f>
        <v>72.319999999999993</v>
      </c>
      <c r="D1367" s="1">
        <f ca="1">IFERROR(__xludf.DUMMYFUNCTION("""COMPUTED_VALUE"""),70.38)</f>
        <v>70.38</v>
      </c>
      <c r="E1367" s="1">
        <f ca="1">IFERROR(__xludf.DUMMYFUNCTION("""COMPUTED_VALUE"""),72)</f>
        <v>72</v>
      </c>
      <c r="F1367" s="1">
        <f ca="1">IFERROR(__xludf.DUMMYFUNCTION("""COMPUTED_VALUE"""),2132350)</f>
        <v>2132350</v>
      </c>
    </row>
    <row r="1368" spans="1:6" x14ac:dyDescent="0.35">
      <c r="A1368" s="2">
        <f ca="1">IFERROR(__xludf.DUMMYFUNCTION("""COMPUTED_VALUE"""),43990.6666666666)</f>
        <v>43990.666666666599</v>
      </c>
      <c r="B1368" s="1">
        <f ca="1">IFERROR(__xludf.DUMMYFUNCTION("""COMPUTED_VALUE"""),71.31)</f>
        <v>71.31</v>
      </c>
      <c r="C1368" s="1">
        <f ca="1">IFERROR(__xludf.DUMMYFUNCTION("""COMPUTED_VALUE"""),72.45)</f>
        <v>72.45</v>
      </c>
      <c r="D1368" s="1">
        <f ca="1">IFERROR(__xludf.DUMMYFUNCTION("""COMPUTED_VALUE"""),71.22)</f>
        <v>71.22</v>
      </c>
      <c r="E1368" s="1">
        <f ca="1">IFERROR(__xludf.DUMMYFUNCTION("""COMPUTED_VALUE"""),72.4)</f>
        <v>72.400000000000006</v>
      </c>
      <c r="F1368" s="1">
        <f ca="1">IFERROR(__xludf.DUMMYFUNCTION("""COMPUTED_VALUE"""),1693881)</f>
        <v>1693881</v>
      </c>
    </row>
    <row r="1369" spans="1:6" x14ac:dyDescent="0.35">
      <c r="A1369" s="2">
        <f ca="1">IFERROR(__xludf.DUMMYFUNCTION("""COMPUTED_VALUE"""),43991.6666666666)</f>
        <v>43991.666666666599</v>
      </c>
      <c r="B1369" s="1">
        <f ca="1">IFERROR(__xludf.DUMMYFUNCTION("""COMPUTED_VALUE"""),72.26)</f>
        <v>72.260000000000005</v>
      </c>
      <c r="C1369" s="1">
        <f ca="1">IFERROR(__xludf.DUMMYFUNCTION("""COMPUTED_VALUE"""),73.39)</f>
        <v>73.39</v>
      </c>
      <c r="D1369" s="1">
        <f ca="1">IFERROR(__xludf.DUMMYFUNCTION("""COMPUTED_VALUE"""),72.12)</f>
        <v>72.12</v>
      </c>
      <c r="E1369" s="1">
        <f ca="1">IFERROR(__xludf.DUMMYFUNCTION("""COMPUTED_VALUE"""),72.6)</f>
        <v>72.599999999999994</v>
      </c>
      <c r="F1369" s="1">
        <f ca="1">IFERROR(__xludf.DUMMYFUNCTION("""COMPUTED_VALUE"""),1681155)</f>
        <v>1681155</v>
      </c>
    </row>
    <row r="1370" spans="1:6" x14ac:dyDescent="0.35">
      <c r="A1370" s="2">
        <f ca="1">IFERROR(__xludf.DUMMYFUNCTION("""COMPUTED_VALUE"""),43992.6666666666)</f>
        <v>43992.666666666599</v>
      </c>
      <c r="B1370" s="1">
        <f ca="1">IFERROR(__xludf.DUMMYFUNCTION("""COMPUTED_VALUE"""),73.08)</f>
        <v>73.08</v>
      </c>
      <c r="C1370" s="1">
        <f ca="1">IFERROR(__xludf.DUMMYFUNCTION("""COMPUTED_VALUE"""),73.64)</f>
        <v>73.64</v>
      </c>
      <c r="D1370" s="1">
        <f ca="1">IFERROR(__xludf.DUMMYFUNCTION("""COMPUTED_VALUE"""),72.72)</f>
        <v>72.72</v>
      </c>
      <c r="E1370" s="1">
        <f ca="1">IFERROR(__xludf.DUMMYFUNCTION("""COMPUTED_VALUE"""),73.24)</f>
        <v>73.239999999999995</v>
      </c>
      <c r="F1370" s="1">
        <f ca="1">IFERROR(__xludf.DUMMYFUNCTION("""COMPUTED_VALUE"""),1588116)</f>
        <v>1588116</v>
      </c>
    </row>
    <row r="1371" spans="1:6" x14ac:dyDescent="0.35">
      <c r="A1371" s="2">
        <f ca="1">IFERROR(__xludf.DUMMYFUNCTION("""COMPUTED_VALUE"""),43993.6666666666)</f>
        <v>43993.666666666599</v>
      </c>
      <c r="B1371" s="1">
        <f ca="1">IFERROR(__xludf.DUMMYFUNCTION("""COMPUTED_VALUE"""),72.05)</f>
        <v>72.05</v>
      </c>
      <c r="C1371" s="1">
        <f ca="1">IFERROR(__xludf.DUMMYFUNCTION("""COMPUTED_VALUE"""),72.58)</f>
        <v>72.58</v>
      </c>
      <c r="D1371" s="1">
        <f ca="1">IFERROR(__xludf.DUMMYFUNCTION("""COMPUTED_VALUE"""),69.92)</f>
        <v>69.92</v>
      </c>
      <c r="E1371" s="1">
        <f ca="1">IFERROR(__xludf.DUMMYFUNCTION("""COMPUTED_VALUE"""),70.1)</f>
        <v>70.099999999999994</v>
      </c>
      <c r="F1371" s="1">
        <f ca="1">IFERROR(__xludf.DUMMYFUNCTION("""COMPUTED_VALUE"""),2357243)</f>
        <v>2357243</v>
      </c>
    </row>
    <row r="1372" spans="1:6" x14ac:dyDescent="0.35">
      <c r="A1372" s="2">
        <f ca="1">IFERROR(__xludf.DUMMYFUNCTION("""COMPUTED_VALUE"""),43994.6666666666)</f>
        <v>43994.666666666599</v>
      </c>
      <c r="B1372" s="1">
        <f ca="1">IFERROR(__xludf.DUMMYFUNCTION("""COMPUTED_VALUE"""),71.29)</f>
        <v>71.290000000000006</v>
      </c>
      <c r="C1372" s="1">
        <f ca="1">IFERROR(__xludf.DUMMYFUNCTION("""COMPUTED_VALUE"""),71.73)</f>
        <v>71.73</v>
      </c>
      <c r="D1372" s="1">
        <f ca="1">IFERROR(__xludf.DUMMYFUNCTION("""COMPUTED_VALUE"""),69.29)</f>
        <v>69.290000000000006</v>
      </c>
      <c r="E1372" s="1">
        <f ca="1">IFERROR(__xludf.DUMMYFUNCTION("""COMPUTED_VALUE"""),70.65)</f>
        <v>70.650000000000006</v>
      </c>
      <c r="F1372" s="1">
        <f ca="1">IFERROR(__xludf.DUMMYFUNCTION("""COMPUTED_VALUE"""),1833756)</f>
        <v>1833756</v>
      </c>
    </row>
    <row r="1373" spans="1:6" x14ac:dyDescent="0.35">
      <c r="A1373" s="2">
        <f ca="1">IFERROR(__xludf.DUMMYFUNCTION("""COMPUTED_VALUE"""),43997.6666666666)</f>
        <v>43997.666666666599</v>
      </c>
      <c r="B1373" s="1">
        <f ca="1">IFERROR(__xludf.DUMMYFUNCTION("""COMPUTED_VALUE"""),69.47)</f>
        <v>69.47</v>
      </c>
      <c r="C1373" s="1">
        <f ca="1">IFERROR(__xludf.DUMMYFUNCTION("""COMPUTED_VALUE"""),71.25)</f>
        <v>71.25</v>
      </c>
      <c r="D1373" s="1">
        <f ca="1">IFERROR(__xludf.DUMMYFUNCTION("""COMPUTED_VALUE"""),69.36)</f>
        <v>69.36</v>
      </c>
      <c r="E1373" s="1">
        <f ca="1">IFERROR(__xludf.DUMMYFUNCTION("""COMPUTED_VALUE"""),71.04)</f>
        <v>71.040000000000006</v>
      </c>
      <c r="F1373" s="1">
        <f ca="1">IFERROR(__xludf.DUMMYFUNCTION("""COMPUTED_VALUE"""),1527652)</f>
        <v>1527652</v>
      </c>
    </row>
    <row r="1374" spans="1:6" x14ac:dyDescent="0.35">
      <c r="A1374" s="2">
        <f ca="1">IFERROR(__xludf.DUMMYFUNCTION("""COMPUTED_VALUE"""),43998.6666666666)</f>
        <v>43998.666666666599</v>
      </c>
      <c r="B1374" s="1">
        <f ca="1">IFERROR(__xludf.DUMMYFUNCTION("""COMPUTED_VALUE"""),72.45)</f>
        <v>72.45</v>
      </c>
      <c r="C1374" s="1">
        <f ca="1">IFERROR(__xludf.DUMMYFUNCTION("""COMPUTED_VALUE"""),72.86)</f>
        <v>72.86</v>
      </c>
      <c r="D1374" s="1">
        <f ca="1">IFERROR(__xludf.DUMMYFUNCTION("""COMPUTED_VALUE"""),71.45)</f>
        <v>71.45</v>
      </c>
      <c r="E1374" s="1">
        <f ca="1">IFERROR(__xludf.DUMMYFUNCTION("""COMPUTED_VALUE"""),72.32)</f>
        <v>72.319999999999993</v>
      </c>
      <c r="F1374" s="1">
        <f ca="1">IFERROR(__xludf.DUMMYFUNCTION("""COMPUTED_VALUE"""),1534826)</f>
        <v>1534826</v>
      </c>
    </row>
    <row r="1375" spans="1:6" x14ac:dyDescent="0.35">
      <c r="A1375" s="2">
        <f ca="1">IFERROR(__xludf.DUMMYFUNCTION("""COMPUTED_VALUE"""),43999.6666666666)</f>
        <v>43999.666666666599</v>
      </c>
      <c r="B1375" s="1">
        <f ca="1">IFERROR(__xludf.DUMMYFUNCTION("""COMPUTED_VALUE"""),72.65)</f>
        <v>72.650000000000006</v>
      </c>
      <c r="C1375" s="1">
        <f ca="1">IFERROR(__xludf.DUMMYFUNCTION("""COMPUTED_VALUE"""),73.11)</f>
        <v>73.11</v>
      </c>
      <c r="D1375" s="1">
        <f ca="1">IFERROR(__xludf.DUMMYFUNCTION("""COMPUTED_VALUE"""),71.76)</f>
        <v>71.760000000000005</v>
      </c>
      <c r="E1375" s="1">
        <f ca="1">IFERROR(__xludf.DUMMYFUNCTION("""COMPUTED_VALUE"""),72.63)</f>
        <v>72.63</v>
      </c>
      <c r="F1375" s="1">
        <f ca="1">IFERROR(__xludf.DUMMYFUNCTION("""COMPUTED_VALUE"""),1530500)</f>
        <v>1530500</v>
      </c>
    </row>
    <row r="1376" spans="1:6" x14ac:dyDescent="0.35">
      <c r="A1376" s="2">
        <f ca="1">IFERROR(__xludf.DUMMYFUNCTION("""COMPUTED_VALUE"""),44000.6666666666)</f>
        <v>44000.666666666599</v>
      </c>
      <c r="B1376" s="1">
        <f ca="1">IFERROR(__xludf.DUMMYFUNCTION("""COMPUTED_VALUE"""),72.49)</f>
        <v>72.489999999999995</v>
      </c>
      <c r="C1376" s="1">
        <f ca="1">IFERROR(__xludf.DUMMYFUNCTION("""COMPUTED_VALUE"""),72.65)</f>
        <v>72.650000000000006</v>
      </c>
      <c r="D1376" s="1">
        <f ca="1">IFERROR(__xludf.DUMMYFUNCTION("""COMPUTED_VALUE"""),71.31)</f>
        <v>71.31</v>
      </c>
      <c r="E1376" s="1">
        <f ca="1">IFERROR(__xludf.DUMMYFUNCTION("""COMPUTED_VALUE"""),71.71)</f>
        <v>71.709999999999994</v>
      </c>
      <c r="F1376" s="1">
        <f ca="1">IFERROR(__xludf.DUMMYFUNCTION("""COMPUTED_VALUE"""),1743071)</f>
        <v>1743071</v>
      </c>
    </row>
    <row r="1377" spans="1:6" x14ac:dyDescent="0.35">
      <c r="A1377" s="2">
        <f ca="1">IFERROR(__xludf.DUMMYFUNCTION("""COMPUTED_VALUE"""),44001.6666666666)</f>
        <v>44001.666666666599</v>
      </c>
      <c r="B1377" s="1">
        <f ca="1">IFERROR(__xludf.DUMMYFUNCTION("""COMPUTED_VALUE"""),72)</f>
        <v>72</v>
      </c>
      <c r="C1377" s="1">
        <f ca="1">IFERROR(__xludf.DUMMYFUNCTION("""COMPUTED_VALUE"""),72.22)</f>
        <v>72.22</v>
      </c>
      <c r="D1377" s="1">
        <f ca="1">IFERROR(__xludf.DUMMYFUNCTION("""COMPUTED_VALUE"""),70.95)</f>
        <v>70.95</v>
      </c>
      <c r="E1377" s="1">
        <f ca="1">IFERROR(__xludf.DUMMYFUNCTION("""COMPUTED_VALUE"""),71.23)</f>
        <v>71.23</v>
      </c>
      <c r="F1377" s="1">
        <f ca="1">IFERROR(__xludf.DUMMYFUNCTION("""COMPUTED_VALUE"""),2639167)</f>
        <v>2639167</v>
      </c>
    </row>
    <row r="1378" spans="1:6" x14ac:dyDescent="0.35">
      <c r="A1378" s="2">
        <f ca="1">IFERROR(__xludf.DUMMYFUNCTION("""COMPUTED_VALUE"""),44004.6666666666)</f>
        <v>44004.666666666599</v>
      </c>
      <c r="B1378" s="1">
        <f ca="1">IFERROR(__xludf.DUMMYFUNCTION("""COMPUTED_VALUE"""),71.25)</f>
        <v>71.25</v>
      </c>
      <c r="C1378" s="1">
        <f ca="1">IFERROR(__xludf.DUMMYFUNCTION("""COMPUTED_VALUE"""),72.55)</f>
        <v>72.55</v>
      </c>
      <c r="D1378" s="1">
        <f ca="1">IFERROR(__xludf.DUMMYFUNCTION("""COMPUTED_VALUE"""),70.96)</f>
        <v>70.959999999999994</v>
      </c>
      <c r="E1378" s="1">
        <f ca="1">IFERROR(__xludf.DUMMYFUNCTION("""COMPUTED_VALUE"""),72.53)</f>
        <v>72.53</v>
      </c>
      <c r="F1378" s="1">
        <f ca="1">IFERROR(__xludf.DUMMYFUNCTION("""COMPUTED_VALUE"""),1472072)</f>
        <v>1472072</v>
      </c>
    </row>
    <row r="1379" spans="1:6" x14ac:dyDescent="0.35">
      <c r="A1379" s="2">
        <f ca="1">IFERROR(__xludf.DUMMYFUNCTION("""COMPUTED_VALUE"""),44005.6666666666)</f>
        <v>44005.666666666599</v>
      </c>
      <c r="B1379" s="1">
        <f ca="1">IFERROR(__xludf.DUMMYFUNCTION("""COMPUTED_VALUE"""),72.6)</f>
        <v>72.599999999999994</v>
      </c>
      <c r="C1379" s="1">
        <f ca="1">IFERROR(__xludf.DUMMYFUNCTION("""COMPUTED_VALUE"""),73.76)</f>
        <v>73.760000000000005</v>
      </c>
      <c r="D1379" s="1">
        <f ca="1">IFERROR(__xludf.DUMMYFUNCTION("""COMPUTED_VALUE"""),72.25)</f>
        <v>72.25</v>
      </c>
      <c r="E1379" s="1">
        <f ca="1">IFERROR(__xludf.DUMMYFUNCTION("""COMPUTED_VALUE"""),73.2)</f>
        <v>73.2</v>
      </c>
      <c r="F1379" s="1">
        <f ca="1">IFERROR(__xludf.DUMMYFUNCTION("""COMPUTED_VALUE"""),1887583)</f>
        <v>1887583</v>
      </c>
    </row>
    <row r="1380" spans="1:6" x14ac:dyDescent="0.35">
      <c r="A1380" s="2">
        <f ca="1">IFERROR(__xludf.DUMMYFUNCTION("""COMPUTED_VALUE"""),44006.6666666666)</f>
        <v>44006.666666666599</v>
      </c>
      <c r="B1380" s="1">
        <f ca="1">IFERROR(__xludf.DUMMYFUNCTION("""COMPUTED_VALUE"""),73.16)</f>
        <v>73.16</v>
      </c>
      <c r="C1380" s="1">
        <f ca="1">IFERROR(__xludf.DUMMYFUNCTION("""COMPUTED_VALUE"""),73.79)</f>
        <v>73.790000000000006</v>
      </c>
      <c r="D1380" s="1">
        <f ca="1">IFERROR(__xludf.DUMMYFUNCTION("""COMPUTED_VALUE"""),71.5)</f>
        <v>71.5</v>
      </c>
      <c r="E1380" s="1">
        <f ca="1">IFERROR(__xludf.DUMMYFUNCTION("""COMPUTED_VALUE"""),71.64)</f>
        <v>71.64</v>
      </c>
      <c r="F1380" s="1">
        <f ca="1">IFERROR(__xludf.DUMMYFUNCTION("""COMPUTED_VALUE"""),1579579)</f>
        <v>1579579</v>
      </c>
    </row>
    <row r="1381" spans="1:6" x14ac:dyDescent="0.35">
      <c r="A1381" s="2">
        <f ca="1">IFERROR(__xludf.DUMMYFUNCTION("""COMPUTED_VALUE"""),44007.6666666666)</f>
        <v>44007.666666666599</v>
      </c>
      <c r="B1381" s="1">
        <f ca="1">IFERROR(__xludf.DUMMYFUNCTION("""COMPUTED_VALUE"""),71.56)</f>
        <v>71.56</v>
      </c>
      <c r="C1381" s="1">
        <f ca="1">IFERROR(__xludf.DUMMYFUNCTION("""COMPUTED_VALUE"""),72.12)</f>
        <v>72.12</v>
      </c>
      <c r="D1381" s="1">
        <f ca="1">IFERROR(__xludf.DUMMYFUNCTION("""COMPUTED_VALUE"""),70.98)</f>
        <v>70.98</v>
      </c>
      <c r="E1381" s="1">
        <f ca="1">IFERROR(__xludf.DUMMYFUNCTION("""COMPUTED_VALUE"""),72.06)</f>
        <v>72.06</v>
      </c>
      <c r="F1381" s="1">
        <f ca="1">IFERROR(__xludf.DUMMYFUNCTION("""COMPUTED_VALUE"""),1197907)</f>
        <v>1197907</v>
      </c>
    </row>
    <row r="1382" spans="1:6" x14ac:dyDescent="0.35">
      <c r="A1382" s="2">
        <f ca="1">IFERROR(__xludf.DUMMYFUNCTION("""COMPUTED_VALUE"""),44008.6666666666)</f>
        <v>44008.666666666599</v>
      </c>
      <c r="B1382" s="1">
        <f ca="1">IFERROR(__xludf.DUMMYFUNCTION("""COMPUTED_VALUE"""),71.63)</f>
        <v>71.63</v>
      </c>
      <c r="C1382" s="1">
        <f ca="1">IFERROR(__xludf.DUMMYFUNCTION("""COMPUTED_VALUE"""),71.85)</f>
        <v>71.849999999999994</v>
      </c>
      <c r="D1382" s="1">
        <f ca="1">IFERROR(__xludf.DUMMYFUNCTION("""COMPUTED_VALUE"""),67.75)</f>
        <v>67.75</v>
      </c>
      <c r="E1382" s="1">
        <f ca="1">IFERROR(__xludf.DUMMYFUNCTION("""COMPUTED_VALUE"""),68.13)</f>
        <v>68.13</v>
      </c>
      <c r="F1382" s="1">
        <f ca="1">IFERROR(__xludf.DUMMYFUNCTION("""COMPUTED_VALUE"""),4882014)</f>
        <v>4882014</v>
      </c>
    </row>
    <row r="1383" spans="1:6" x14ac:dyDescent="0.35">
      <c r="A1383" s="2">
        <f ca="1">IFERROR(__xludf.DUMMYFUNCTION("""COMPUTED_VALUE"""),44011.6666666666)</f>
        <v>44011.666666666599</v>
      </c>
      <c r="B1383" s="1">
        <f ca="1">IFERROR(__xludf.DUMMYFUNCTION("""COMPUTED_VALUE"""),68.02)</f>
        <v>68.02</v>
      </c>
      <c r="C1383" s="1">
        <f ca="1">IFERROR(__xludf.DUMMYFUNCTION("""COMPUTED_VALUE"""),69.9)</f>
        <v>69.900000000000006</v>
      </c>
      <c r="D1383" s="1">
        <f ca="1">IFERROR(__xludf.DUMMYFUNCTION("""COMPUTED_VALUE"""),67.58)</f>
        <v>67.58</v>
      </c>
      <c r="E1383" s="1">
        <f ca="1">IFERROR(__xludf.DUMMYFUNCTION("""COMPUTED_VALUE"""),69.86)</f>
        <v>69.86</v>
      </c>
      <c r="F1383" s="1">
        <f ca="1">IFERROR(__xludf.DUMMYFUNCTION("""COMPUTED_VALUE"""),2253678)</f>
        <v>2253678</v>
      </c>
    </row>
    <row r="1384" spans="1:6" x14ac:dyDescent="0.35">
      <c r="A1384" s="2">
        <f ca="1">IFERROR(__xludf.DUMMYFUNCTION("""COMPUTED_VALUE"""),44012.6666666666)</f>
        <v>44012.666666666599</v>
      </c>
      <c r="B1384" s="1">
        <f ca="1">IFERROR(__xludf.DUMMYFUNCTION("""COMPUTED_VALUE"""),69.84)</f>
        <v>69.84</v>
      </c>
      <c r="C1384" s="1">
        <f ca="1">IFERROR(__xludf.DUMMYFUNCTION("""COMPUTED_VALUE"""),71.2)</f>
        <v>71.2</v>
      </c>
      <c r="D1384" s="1">
        <f ca="1">IFERROR(__xludf.DUMMYFUNCTION("""COMPUTED_VALUE"""),69.35)</f>
        <v>69.349999999999994</v>
      </c>
      <c r="E1384" s="1">
        <f ca="1">IFERROR(__xludf.DUMMYFUNCTION("""COMPUTED_VALUE"""),70.9)</f>
        <v>70.900000000000006</v>
      </c>
      <c r="F1384" s="1">
        <f ca="1">IFERROR(__xludf.DUMMYFUNCTION("""COMPUTED_VALUE"""),2014320)</f>
        <v>2014320</v>
      </c>
    </row>
    <row r="1385" spans="1:6" x14ac:dyDescent="0.35">
      <c r="A1385" s="2">
        <f ca="1">IFERROR(__xludf.DUMMYFUNCTION("""COMPUTED_VALUE"""),44013.6666666666)</f>
        <v>44013.666666666599</v>
      </c>
      <c r="B1385" s="1">
        <f ca="1">IFERROR(__xludf.DUMMYFUNCTION("""COMPUTED_VALUE"""),70.96)</f>
        <v>70.959999999999994</v>
      </c>
      <c r="C1385" s="1">
        <f ca="1">IFERROR(__xludf.DUMMYFUNCTION("""COMPUTED_VALUE"""),72.42)</f>
        <v>72.42</v>
      </c>
      <c r="D1385" s="1">
        <f ca="1">IFERROR(__xludf.DUMMYFUNCTION("""COMPUTED_VALUE"""),70.71)</f>
        <v>70.709999999999994</v>
      </c>
      <c r="E1385" s="1">
        <f ca="1">IFERROR(__xludf.DUMMYFUNCTION("""COMPUTED_VALUE"""),72.1)</f>
        <v>72.099999999999994</v>
      </c>
      <c r="F1385" s="1">
        <f ca="1">IFERROR(__xludf.DUMMYFUNCTION("""COMPUTED_VALUE"""),2109124)</f>
        <v>2109124</v>
      </c>
    </row>
    <row r="1386" spans="1:6" x14ac:dyDescent="0.35">
      <c r="A1386" s="2">
        <f ca="1">IFERROR(__xludf.DUMMYFUNCTION("""COMPUTED_VALUE"""),44014.6666666666)</f>
        <v>44014.666666666599</v>
      </c>
      <c r="B1386" s="1">
        <f ca="1">IFERROR(__xludf.DUMMYFUNCTION("""COMPUTED_VALUE"""),72.59)</f>
        <v>72.59</v>
      </c>
      <c r="C1386" s="1">
        <f ca="1">IFERROR(__xludf.DUMMYFUNCTION("""COMPUTED_VALUE"""),74.43)</f>
        <v>74.430000000000007</v>
      </c>
      <c r="D1386" s="1">
        <f ca="1">IFERROR(__xludf.DUMMYFUNCTION("""COMPUTED_VALUE"""),72.55)</f>
        <v>72.55</v>
      </c>
      <c r="E1386" s="1">
        <f ca="1">IFERROR(__xludf.DUMMYFUNCTION("""COMPUTED_VALUE"""),73.5)</f>
        <v>73.5</v>
      </c>
      <c r="F1386" s="1">
        <f ca="1">IFERROR(__xludf.DUMMYFUNCTION("""COMPUTED_VALUE"""),2860915)</f>
        <v>2860915</v>
      </c>
    </row>
    <row r="1387" spans="1:6" x14ac:dyDescent="0.35">
      <c r="A1387" s="2">
        <f ca="1">IFERROR(__xludf.DUMMYFUNCTION("""COMPUTED_VALUE"""),44018.6666666666)</f>
        <v>44018.666666666599</v>
      </c>
      <c r="B1387" s="1">
        <f ca="1">IFERROR(__xludf.DUMMYFUNCTION("""COMPUTED_VALUE"""),74.41)</f>
        <v>74.41</v>
      </c>
      <c r="C1387" s="1">
        <f ca="1">IFERROR(__xludf.DUMMYFUNCTION("""COMPUTED_VALUE"""),75.5)</f>
        <v>75.5</v>
      </c>
      <c r="D1387" s="1">
        <f ca="1">IFERROR(__xludf.DUMMYFUNCTION("""COMPUTED_VALUE"""),73.85)</f>
        <v>73.849999999999994</v>
      </c>
      <c r="E1387" s="1">
        <f ca="1">IFERROR(__xludf.DUMMYFUNCTION("""COMPUTED_VALUE"""),74.98)</f>
        <v>74.98</v>
      </c>
      <c r="F1387" s="1">
        <f ca="1">IFERROR(__xludf.DUMMYFUNCTION("""COMPUTED_VALUE"""),2235630)</f>
        <v>2235630</v>
      </c>
    </row>
    <row r="1388" spans="1:6" x14ac:dyDescent="0.35">
      <c r="A1388" s="2">
        <f ca="1">IFERROR(__xludf.DUMMYFUNCTION("""COMPUTED_VALUE"""),44019.6666666666)</f>
        <v>44019.666666666599</v>
      </c>
      <c r="B1388" s="1">
        <f ca="1">IFERROR(__xludf.DUMMYFUNCTION("""COMPUTED_VALUE"""),74.81)</f>
        <v>74.81</v>
      </c>
      <c r="C1388" s="1">
        <f ca="1">IFERROR(__xludf.DUMMYFUNCTION("""COMPUTED_VALUE"""),76.07)</f>
        <v>76.069999999999993</v>
      </c>
      <c r="D1388" s="1">
        <f ca="1">IFERROR(__xludf.DUMMYFUNCTION("""COMPUTED_VALUE"""),74.49)</f>
        <v>74.489999999999995</v>
      </c>
      <c r="E1388" s="1">
        <f ca="1">IFERROR(__xludf.DUMMYFUNCTION("""COMPUTED_VALUE"""),74.5)</f>
        <v>74.5</v>
      </c>
      <c r="F1388" s="1">
        <f ca="1">IFERROR(__xludf.DUMMYFUNCTION("""COMPUTED_VALUE"""),2118194)</f>
        <v>2118194</v>
      </c>
    </row>
    <row r="1389" spans="1:6" x14ac:dyDescent="0.35">
      <c r="A1389" s="2">
        <f ca="1">IFERROR(__xludf.DUMMYFUNCTION("""COMPUTED_VALUE"""),44020.6666666666)</f>
        <v>44020.666666666599</v>
      </c>
      <c r="B1389" s="1">
        <f ca="1">IFERROR(__xludf.DUMMYFUNCTION("""COMPUTED_VALUE"""),75.04)</f>
        <v>75.040000000000006</v>
      </c>
      <c r="C1389" s="1">
        <f ca="1">IFERROR(__xludf.DUMMYFUNCTION("""COMPUTED_VALUE"""),75.56)</f>
        <v>75.56</v>
      </c>
      <c r="D1389" s="1">
        <f ca="1">IFERROR(__xludf.DUMMYFUNCTION("""COMPUTED_VALUE"""),74.61)</f>
        <v>74.61</v>
      </c>
      <c r="E1389" s="1">
        <f ca="1">IFERROR(__xludf.DUMMYFUNCTION("""COMPUTED_VALUE"""),75.18)</f>
        <v>75.180000000000007</v>
      </c>
      <c r="F1389" s="1">
        <f ca="1">IFERROR(__xludf.DUMMYFUNCTION("""COMPUTED_VALUE"""),1588292)</f>
        <v>1588292</v>
      </c>
    </row>
    <row r="1390" spans="1:6" x14ac:dyDescent="0.35">
      <c r="A1390" s="2">
        <f ca="1">IFERROR(__xludf.DUMMYFUNCTION("""COMPUTED_VALUE"""),44021.6666666666)</f>
        <v>44021.666666666599</v>
      </c>
      <c r="B1390" s="1">
        <f ca="1">IFERROR(__xludf.DUMMYFUNCTION("""COMPUTED_VALUE"""),75.5)</f>
        <v>75.5</v>
      </c>
      <c r="C1390" s="1">
        <f ca="1">IFERROR(__xludf.DUMMYFUNCTION("""COMPUTED_VALUE"""),76.46)</f>
        <v>76.459999999999994</v>
      </c>
      <c r="D1390" s="1">
        <f ca="1">IFERROR(__xludf.DUMMYFUNCTION("""COMPUTED_VALUE"""),74.78)</f>
        <v>74.78</v>
      </c>
      <c r="E1390" s="1">
        <f ca="1">IFERROR(__xludf.DUMMYFUNCTION("""COMPUTED_VALUE"""),75.93)</f>
        <v>75.930000000000007</v>
      </c>
      <c r="F1390" s="1">
        <f ca="1">IFERROR(__xludf.DUMMYFUNCTION("""COMPUTED_VALUE"""),2091833)</f>
        <v>2091833</v>
      </c>
    </row>
    <row r="1391" spans="1:6" x14ac:dyDescent="0.35">
      <c r="A1391" s="2">
        <f ca="1">IFERROR(__xludf.DUMMYFUNCTION("""COMPUTED_VALUE"""),44022.6666666666)</f>
        <v>44022.666666666599</v>
      </c>
      <c r="B1391" s="1">
        <f ca="1">IFERROR(__xludf.DUMMYFUNCTION("""COMPUTED_VALUE"""),75.66)</f>
        <v>75.66</v>
      </c>
      <c r="C1391" s="1">
        <f ca="1">IFERROR(__xludf.DUMMYFUNCTION("""COMPUTED_VALUE"""),77.07)</f>
        <v>77.069999999999993</v>
      </c>
      <c r="D1391" s="1">
        <f ca="1">IFERROR(__xludf.DUMMYFUNCTION("""COMPUTED_VALUE"""),75.04)</f>
        <v>75.040000000000006</v>
      </c>
      <c r="E1391" s="1">
        <f ca="1">IFERROR(__xludf.DUMMYFUNCTION("""COMPUTED_VALUE"""),76.95)</f>
        <v>76.95</v>
      </c>
      <c r="F1391" s="1">
        <f ca="1">IFERROR(__xludf.DUMMYFUNCTION("""COMPUTED_VALUE"""),1796063)</f>
        <v>1796063</v>
      </c>
    </row>
    <row r="1392" spans="1:6" x14ac:dyDescent="0.35">
      <c r="A1392" s="2">
        <f ca="1">IFERROR(__xludf.DUMMYFUNCTION("""COMPUTED_VALUE"""),44025.6666666666)</f>
        <v>44025.666666666599</v>
      </c>
      <c r="B1392" s="1">
        <f ca="1">IFERROR(__xludf.DUMMYFUNCTION("""COMPUTED_VALUE"""),77.5)</f>
        <v>77.5</v>
      </c>
      <c r="C1392" s="1">
        <f ca="1">IFERROR(__xludf.DUMMYFUNCTION("""COMPUTED_VALUE"""),78.82)</f>
        <v>78.819999999999993</v>
      </c>
      <c r="D1392" s="1">
        <f ca="1">IFERROR(__xludf.DUMMYFUNCTION("""COMPUTED_VALUE"""),75.33)</f>
        <v>75.33</v>
      </c>
      <c r="E1392" s="1">
        <f ca="1">IFERROR(__xludf.DUMMYFUNCTION("""COMPUTED_VALUE"""),75.61)</f>
        <v>75.61</v>
      </c>
      <c r="F1392" s="1">
        <f ca="1">IFERROR(__xludf.DUMMYFUNCTION("""COMPUTED_VALUE"""),2147728)</f>
        <v>2147728</v>
      </c>
    </row>
    <row r="1393" spans="1:6" x14ac:dyDescent="0.35">
      <c r="A1393" s="2">
        <f ca="1">IFERROR(__xludf.DUMMYFUNCTION("""COMPUTED_VALUE"""),44026.6666666666)</f>
        <v>44026.666666666599</v>
      </c>
      <c r="B1393" s="1">
        <f ca="1">IFERROR(__xludf.DUMMYFUNCTION("""COMPUTED_VALUE"""),74.64)</f>
        <v>74.64</v>
      </c>
      <c r="C1393" s="1">
        <f ca="1">IFERROR(__xludf.DUMMYFUNCTION("""COMPUTED_VALUE"""),76.14)</f>
        <v>76.14</v>
      </c>
      <c r="D1393" s="1">
        <f ca="1">IFERROR(__xludf.DUMMYFUNCTION("""COMPUTED_VALUE"""),74.3)</f>
        <v>74.3</v>
      </c>
      <c r="E1393" s="1">
        <f ca="1">IFERROR(__xludf.DUMMYFUNCTION("""COMPUTED_VALUE"""),76.04)</f>
        <v>76.040000000000006</v>
      </c>
      <c r="F1393" s="1">
        <f ca="1">IFERROR(__xludf.DUMMYFUNCTION("""COMPUTED_VALUE"""),1905400)</f>
        <v>1905400</v>
      </c>
    </row>
    <row r="1394" spans="1:6" x14ac:dyDescent="0.35">
      <c r="A1394" s="2">
        <f ca="1">IFERROR(__xludf.DUMMYFUNCTION("""COMPUTED_VALUE"""),44027.6666666666)</f>
        <v>44027.666666666599</v>
      </c>
      <c r="B1394" s="1">
        <f ca="1">IFERROR(__xludf.DUMMYFUNCTION("""COMPUTED_VALUE"""),76.16)</f>
        <v>76.16</v>
      </c>
      <c r="C1394" s="1">
        <f ca="1">IFERROR(__xludf.DUMMYFUNCTION("""COMPUTED_VALUE"""),76.82)</f>
        <v>76.819999999999993</v>
      </c>
      <c r="D1394" s="1">
        <f ca="1">IFERROR(__xludf.DUMMYFUNCTION("""COMPUTED_VALUE"""),74.89)</f>
        <v>74.89</v>
      </c>
      <c r="E1394" s="1">
        <f ca="1">IFERROR(__xludf.DUMMYFUNCTION("""COMPUTED_VALUE"""),75.84)</f>
        <v>75.84</v>
      </c>
      <c r="F1394" s="1">
        <f ca="1">IFERROR(__xludf.DUMMYFUNCTION("""COMPUTED_VALUE"""),1551325)</f>
        <v>1551325</v>
      </c>
    </row>
    <row r="1395" spans="1:6" x14ac:dyDescent="0.35">
      <c r="A1395" s="2">
        <f ca="1">IFERROR(__xludf.DUMMYFUNCTION("""COMPUTED_VALUE"""),44028.6666666666)</f>
        <v>44028.666666666599</v>
      </c>
      <c r="B1395" s="1">
        <f ca="1">IFERROR(__xludf.DUMMYFUNCTION("""COMPUTED_VALUE"""),75.08)</f>
        <v>75.08</v>
      </c>
      <c r="C1395" s="1">
        <f ca="1">IFERROR(__xludf.DUMMYFUNCTION("""COMPUTED_VALUE"""),75.8)</f>
        <v>75.8</v>
      </c>
      <c r="D1395" s="1">
        <f ca="1">IFERROR(__xludf.DUMMYFUNCTION("""COMPUTED_VALUE"""),74.41)</f>
        <v>74.41</v>
      </c>
      <c r="E1395" s="1">
        <f ca="1">IFERROR(__xludf.DUMMYFUNCTION("""COMPUTED_VALUE"""),75.75)</f>
        <v>75.75</v>
      </c>
      <c r="F1395" s="1">
        <f ca="1">IFERROR(__xludf.DUMMYFUNCTION("""COMPUTED_VALUE"""),1324227)</f>
        <v>1324227</v>
      </c>
    </row>
    <row r="1396" spans="1:6" x14ac:dyDescent="0.35">
      <c r="A1396" s="2">
        <f ca="1">IFERROR(__xludf.DUMMYFUNCTION("""COMPUTED_VALUE"""),44029.6666666666)</f>
        <v>44029.666666666599</v>
      </c>
      <c r="B1396" s="1">
        <f ca="1">IFERROR(__xludf.DUMMYFUNCTION("""COMPUTED_VALUE"""),75.85)</f>
        <v>75.849999999999994</v>
      </c>
      <c r="C1396" s="1">
        <f ca="1">IFERROR(__xludf.DUMMYFUNCTION("""COMPUTED_VALUE"""),76.17)</f>
        <v>76.17</v>
      </c>
      <c r="D1396" s="1">
        <f ca="1">IFERROR(__xludf.DUMMYFUNCTION("""COMPUTED_VALUE"""),74.91)</f>
        <v>74.91</v>
      </c>
      <c r="E1396" s="1">
        <f ca="1">IFERROR(__xludf.DUMMYFUNCTION("""COMPUTED_VALUE"""),75.84)</f>
        <v>75.84</v>
      </c>
      <c r="F1396" s="1">
        <f ca="1">IFERROR(__xludf.DUMMYFUNCTION("""COMPUTED_VALUE"""),1713231)</f>
        <v>1713231</v>
      </c>
    </row>
    <row r="1397" spans="1:6" x14ac:dyDescent="0.35">
      <c r="A1397" s="2">
        <f ca="1">IFERROR(__xludf.DUMMYFUNCTION("""COMPUTED_VALUE"""),44032.6666666666)</f>
        <v>44032.666666666599</v>
      </c>
      <c r="B1397" s="1">
        <f ca="1">IFERROR(__xludf.DUMMYFUNCTION("""COMPUTED_VALUE"""),75.75)</f>
        <v>75.75</v>
      </c>
      <c r="C1397" s="1">
        <f ca="1">IFERROR(__xludf.DUMMYFUNCTION("""COMPUTED_VALUE"""),78.45)</f>
        <v>78.45</v>
      </c>
      <c r="D1397" s="1">
        <f ca="1">IFERROR(__xludf.DUMMYFUNCTION("""COMPUTED_VALUE"""),75.13)</f>
        <v>75.13</v>
      </c>
      <c r="E1397" s="1">
        <f ca="1">IFERROR(__xludf.DUMMYFUNCTION("""COMPUTED_VALUE"""),78.19)</f>
        <v>78.19</v>
      </c>
      <c r="F1397" s="1">
        <f ca="1">IFERROR(__xludf.DUMMYFUNCTION("""COMPUTED_VALUE"""),1508277)</f>
        <v>1508277</v>
      </c>
    </row>
    <row r="1398" spans="1:6" x14ac:dyDescent="0.35">
      <c r="A1398" s="2">
        <f ca="1">IFERROR(__xludf.DUMMYFUNCTION("""COMPUTED_VALUE"""),44033.6666666666)</f>
        <v>44033.666666666599</v>
      </c>
      <c r="B1398" s="1">
        <f ca="1">IFERROR(__xludf.DUMMYFUNCTION("""COMPUTED_VALUE"""),79.25)</f>
        <v>79.25</v>
      </c>
      <c r="C1398" s="1">
        <f ca="1">IFERROR(__xludf.DUMMYFUNCTION("""COMPUTED_VALUE"""),79.35)</f>
        <v>79.349999999999994</v>
      </c>
      <c r="D1398" s="1">
        <f ca="1">IFERROR(__xludf.DUMMYFUNCTION("""COMPUTED_VALUE"""),77.63)</f>
        <v>77.63</v>
      </c>
      <c r="E1398" s="1">
        <f ca="1">IFERROR(__xludf.DUMMYFUNCTION("""COMPUTED_VALUE"""),77.8)</f>
        <v>77.8</v>
      </c>
      <c r="F1398" s="1">
        <f ca="1">IFERROR(__xludf.DUMMYFUNCTION("""COMPUTED_VALUE"""),1377718)</f>
        <v>1377718</v>
      </c>
    </row>
    <row r="1399" spans="1:6" x14ac:dyDescent="0.35">
      <c r="A1399" s="2">
        <f ca="1">IFERROR(__xludf.DUMMYFUNCTION("""COMPUTED_VALUE"""),44034.6666666666)</f>
        <v>44034.666666666599</v>
      </c>
      <c r="B1399" s="1">
        <f ca="1">IFERROR(__xludf.DUMMYFUNCTION("""COMPUTED_VALUE"""),77.79)</f>
        <v>77.790000000000006</v>
      </c>
      <c r="C1399" s="1">
        <f ca="1">IFERROR(__xludf.DUMMYFUNCTION("""COMPUTED_VALUE"""),78.35)</f>
        <v>78.349999999999994</v>
      </c>
      <c r="D1399" s="1">
        <f ca="1">IFERROR(__xludf.DUMMYFUNCTION("""COMPUTED_VALUE"""),77.16)</f>
        <v>77.16</v>
      </c>
      <c r="E1399" s="1">
        <f ca="1">IFERROR(__xludf.DUMMYFUNCTION("""COMPUTED_VALUE"""),78.24)</f>
        <v>78.239999999999995</v>
      </c>
      <c r="F1399" s="1">
        <f ca="1">IFERROR(__xludf.DUMMYFUNCTION("""COMPUTED_VALUE"""),1224100)</f>
        <v>1224100</v>
      </c>
    </row>
    <row r="1400" spans="1:6" x14ac:dyDescent="0.35">
      <c r="A1400" s="2">
        <f ca="1">IFERROR(__xludf.DUMMYFUNCTION("""COMPUTED_VALUE"""),44035.6666666666)</f>
        <v>44035.666666666599</v>
      </c>
      <c r="B1400" s="1">
        <f ca="1">IFERROR(__xludf.DUMMYFUNCTION("""COMPUTED_VALUE"""),78.3)</f>
        <v>78.3</v>
      </c>
      <c r="C1400" s="1">
        <f ca="1">IFERROR(__xludf.DUMMYFUNCTION("""COMPUTED_VALUE"""),78.52)</f>
        <v>78.52</v>
      </c>
      <c r="D1400" s="1">
        <f ca="1">IFERROR(__xludf.DUMMYFUNCTION("""COMPUTED_VALUE"""),75.43)</f>
        <v>75.430000000000007</v>
      </c>
      <c r="E1400" s="1">
        <f ca="1">IFERROR(__xludf.DUMMYFUNCTION("""COMPUTED_VALUE"""),75.84)</f>
        <v>75.84</v>
      </c>
      <c r="F1400" s="1">
        <f ca="1">IFERROR(__xludf.DUMMYFUNCTION("""COMPUTED_VALUE"""),1695498)</f>
        <v>1695498</v>
      </c>
    </row>
    <row r="1401" spans="1:6" x14ac:dyDescent="0.35">
      <c r="A1401" s="2">
        <f ca="1">IFERROR(__xludf.DUMMYFUNCTION("""COMPUTED_VALUE"""),44036.6666666666)</f>
        <v>44036.666666666599</v>
      </c>
      <c r="B1401" s="1">
        <f ca="1">IFERROR(__xludf.DUMMYFUNCTION("""COMPUTED_VALUE"""),74.96)</f>
        <v>74.959999999999994</v>
      </c>
      <c r="C1401" s="1">
        <f ca="1">IFERROR(__xludf.DUMMYFUNCTION("""COMPUTED_VALUE"""),75.77)</f>
        <v>75.77</v>
      </c>
      <c r="D1401" s="1">
        <f ca="1">IFERROR(__xludf.DUMMYFUNCTION("""COMPUTED_VALUE"""),74.38)</f>
        <v>74.38</v>
      </c>
      <c r="E1401" s="1">
        <f ca="1">IFERROR(__xludf.DUMMYFUNCTION("""COMPUTED_VALUE"""),75.41)</f>
        <v>75.41</v>
      </c>
      <c r="F1401" s="1">
        <f ca="1">IFERROR(__xludf.DUMMYFUNCTION("""COMPUTED_VALUE"""),1495381)</f>
        <v>1495381</v>
      </c>
    </row>
    <row r="1402" spans="1:6" x14ac:dyDescent="0.35">
      <c r="A1402" s="2">
        <f ca="1">IFERROR(__xludf.DUMMYFUNCTION("""COMPUTED_VALUE"""),44039.6666666666)</f>
        <v>44039.666666666599</v>
      </c>
      <c r="B1402" s="1">
        <f ca="1">IFERROR(__xludf.DUMMYFUNCTION("""COMPUTED_VALUE"""),75.66)</f>
        <v>75.66</v>
      </c>
      <c r="C1402" s="1">
        <f ca="1">IFERROR(__xludf.DUMMYFUNCTION("""COMPUTED_VALUE"""),76.88)</f>
        <v>76.88</v>
      </c>
      <c r="D1402" s="1">
        <f ca="1">IFERROR(__xludf.DUMMYFUNCTION("""COMPUTED_VALUE"""),75.62)</f>
        <v>75.62</v>
      </c>
      <c r="E1402" s="1">
        <f ca="1">IFERROR(__xludf.DUMMYFUNCTION("""COMPUTED_VALUE"""),76.47)</f>
        <v>76.47</v>
      </c>
      <c r="F1402" s="1">
        <f ca="1">IFERROR(__xludf.DUMMYFUNCTION("""COMPUTED_VALUE"""),1356185)</f>
        <v>1356185</v>
      </c>
    </row>
    <row r="1403" spans="1:6" x14ac:dyDescent="0.35">
      <c r="A1403" s="2">
        <f ca="1">IFERROR(__xludf.DUMMYFUNCTION("""COMPUTED_VALUE"""),44040.6666666666)</f>
        <v>44040.666666666599</v>
      </c>
      <c r="B1403" s="1">
        <f ca="1">IFERROR(__xludf.DUMMYFUNCTION("""COMPUTED_VALUE"""),76.25)</f>
        <v>76.25</v>
      </c>
      <c r="C1403" s="1">
        <f ca="1">IFERROR(__xludf.DUMMYFUNCTION("""COMPUTED_VALUE"""),76.3)</f>
        <v>76.3</v>
      </c>
      <c r="D1403" s="1">
        <f ca="1">IFERROR(__xludf.DUMMYFUNCTION("""COMPUTED_VALUE"""),75.03)</f>
        <v>75.03</v>
      </c>
      <c r="E1403" s="1">
        <f ca="1">IFERROR(__xludf.DUMMYFUNCTION("""COMPUTED_VALUE"""),75.18)</f>
        <v>75.180000000000007</v>
      </c>
      <c r="F1403" s="1">
        <f ca="1">IFERROR(__xludf.DUMMYFUNCTION("""COMPUTED_VALUE"""),1545534)</f>
        <v>1545534</v>
      </c>
    </row>
    <row r="1404" spans="1:6" x14ac:dyDescent="0.35">
      <c r="A1404" s="2">
        <f ca="1">IFERROR(__xludf.DUMMYFUNCTION("""COMPUTED_VALUE"""),44041.6666666666)</f>
        <v>44041.666666666599</v>
      </c>
      <c r="B1404" s="1">
        <f ca="1">IFERROR(__xludf.DUMMYFUNCTION("""COMPUTED_VALUE"""),75.25)</f>
        <v>75.25</v>
      </c>
      <c r="C1404" s="1">
        <f ca="1">IFERROR(__xludf.DUMMYFUNCTION("""COMPUTED_VALUE"""),76.67)</f>
        <v>76.67</v>
      </c>
      <c r="D1404" s="1">
        <f ca="1">IFERROR(__xludf.DUMMYFUNCTION("""COMPUTED_VALUE"""),75.15)</f>
        <v>75.150000000000006</v>
      </c>
      <c r="E1404" s="1">
        <f ca="1">IFERROR(__xludf.DUMMYFUNCTION("""COMPUTED_VALUE"""),76.18)</f>
        <v>76.180000000000007</v>
      </c>
      <c r="F1404" s="1">
        <f ca="1">IFERROR(__xludf.DUMMYFUNCTION("""COMPUTED_VALUE"""),1133773)</f>
        <v>1133773</v>
      </c>
    </row>
    <row r="1405" spans="1:6" x14ac:dyDescent="0.35">
      <c r="A1405" s="2">
        <f ca="1">IFERROR(__xludf.DUMMYFUNCTION("""COMPUTED_VALUE"""),44042.6666666666)</f>
        <v>44042.666666666599</v>
      </c>
      <c r="B1405" s="1">
        <f ca="1">IFERROR(__xludf.DUMMYFUNCTION("""COMPUTED_VALUE"""),74.9)</f>
        <v>74.900000000000006</v>
      </c>
      <c r="C1405" s="1">
        <f ca="1">IFERROR(__xludf.DUMMYFUNCTION("""COMPUTED_VALUE"""),77.04)</f>
        <v>77.040000000000006</v>
      </c>
      <c r="D1405" s="1">
        <f ca="1">IFERROR(__xludf.DUMMYFUNCTION("""COMPUTED_VALUE"""),74.76)</f>
        <v>74.760000000000005</v>
      </c>
      <c r="E1405" s="1">
        <f ca="1">IFERROR(__xludf.DUMMYFUNCTION("""COMPUTED_VALUE"""),76.92)</f>
        <v>76.92</v>
      </c>
      <c r="F1405" s="1">
        <f ca="1">IFERROR(__xludf.DUMMYFUNCTION("""COMPUTED_VALUE"""),1802121)</f>
        <v>1802121</v>
      </c>
    </row>
    <row r="1406" spans="1:6" x14ac:dyDescent="0.35">
      <c r="A1406" s="2">
        <f ca="1">IFERROR(__xludf.DUMMYFUNCTION("""COMPUTED_VALUE"""),44043.6666666666)</f>
        <v>44043.666666666599</v>
      </c>
      <c r="B1406" s="1">
        <f ca="1">IFERROR(__xludf.DUMMYFUNCTION("""COMPUTED_VALUE"""),74.85)</f>
        <v>74.849999999999994</v>
      </c>
      <c r="C1406" s="1">
        <f ca="1">IFERROR(__xludf.DUMMYFUNCTION("""COMPUTED_VALUE"""),75.25)</f>
        <v>75.25</v>
      </c>
      <c r="D1406" s="1">
        <f ca="1">IFERROR(__xludf.DUMMYFUNCTION("""COMPUTED_VALUE"""),72.7)</f>
        <v>72.7</v>
      </c>
      <c r="E1406" s="1">
        <f ca="1">IFERROR(__xludf.DUMMYFUNCTION("""COMPUTED_VALUE"""),74.4)</f>
        <v>74.400000000000006</v>
      </c>
      <c r="F1406" s="1">
        <f ca="1">IFERROR(__xludf.DUMMYFUNCTION("""COMPUTED_VALUE"""),4576382)</f>
        <v>4576382</v>
      </c>
    </row>
    <row r="1407" spans="1:6" x14ac:dyDescent="0.35">
      <c r="A1407" s="2">
        <f ca="1">IFERROR(__xludf.DUMMYFUNCTION("""COMPUTED_VALUE"""),44046.6666666666)</f>
        <v>44046.666666666599</v>
      </c>
      <c r="B1407" s="1">
        <f ca="1">IFERROR(__xludf.DUMMYFUNCTION("""COMPUTED_VALUE"""),74.55)</f>
        <v>74.55</v>
      </c>
      <c r="C1407" s="1">
        <f ca="1">IFERROR(__xludf.DUMMYFUNCTION("""COMPUTED_VALUE"""),74.89)</f>
        <v>74.89</v>
      </c>
      <c r="D1407" s="1">
        <f ca="1">IFERROR(__xludf.DUMMYFUNCTION("""COMPUTED_VALUE"""),73.59)</f>
        <v>73.59</v>
      </c>
      <c r="E1407" s="1">
        <f ca="1">IFERROR(__xludf.DUMMYFUNCTION("""COMPUTED_VALUE"""),74.14)</f>
        <v>74.14</v>
      </c>
      <c r="F1407" s="1">
        <f ca="1">IFERROR(__xludf.DUMMYFUNCTION("""COMPUTED_VALUE"""),2276085)</f>
        <v>2276085</v>
      </c>
    </row>
    <row r="1408" spans="1:6" x14ac:dyDescent="0.35">
      <c r="A1408" s="2">
        <f ca="1">IFERROR(__xludf.DUMMYFUNCTION("""COMPUTED_VALUE"""),44047.6666666666)</f>
        <v>44047.666666666599</v>
      </c>
      <c r="B1408" s="1">
        <f ca="1">IFERROR(__xludf.DUMMYFUNCTION("""COMPUTED_VALUE"""),74.34)</f>
        <v>74.34</v>
      </c>
      <c r="C1408" s="1">
        <f ca="1">IFERROR(__xludf.DUMMYFUNCTION("""COMPUTED_VALUE"""),74.66)</f>
        <v>74.66</v>
      </c>
      <c r="D1408" s="1">
        <f ca="1">IFERROR(__xludf.DUMMYFUNCTION("""COMPUTED_VALUE"""),73.2)</f>
        <v>73.2</v>
      </c>
      <c r="E1408" s="1">
        <f ca="1">IFERROR(__xludf.DUMMYFUNCTION("""COMPUTED_VALUE"""),73.67)</f>
        <v>73.67</v>
      </c>
      <c r="F1408" s="1">
        <f ca="1">IFERROR(__xludf.DUMMYFUNCTION("""COMPUTED_VALUE"""),1860609)</f>
        <v>1860609</v>
      </c>
    </row>
    <row r="1409" spans="1:6" x14ac:dyDescent="0.35">
      <c r="A1409" s="2">
        <f ca="1">IFERROR(__xludf.DUMMYFUNCTION("""COMPUTED_VALUE"""),44048.6666666666)</f>
        <v>44048.666666666599</v>
      </c>
      <c r="B1409" s="1">
        <f ca="1">IFERROR(__xludf.DUMMYFUNCTION("""COMPUTED_VALUE"""),73.84)</f>
        <v>73.84</v>
      </c>
      <c r="C1409" s="1">
        <f ca="1">IFERROR(__xludf.DUMMYFUNCTION("""COMPUTED_VALUE"""),74.5)</f>
        <v>74.5</v>
      </c>
      <c r="D1409" s="1">
        <f ca="1">IFERROR(__xludf.DUMMYFUNCTION("""COMPUTED_VALUE"""),73.56)</f>
        <v>73.56</v>
      </c>
      <c r="E1409" s="1">
        <f ca="1">IFERROR(__xludf.DUMMYFUNCTION("""COMPUTED_VALUE"""),73.95)</f>
        <v>73.95</v>
      </c>
      <c r="F1409" s="1">
        <f ca="1">IFERROR(__xludf.DUMMYFUNCTION("""COMPUTED_VALUE"""),1457518)</f>
        <v>1457518</v>
      </c>
    </row>
    <row r="1410" spans="1:6" x14ac:dyDescent="0.35">
      <c r="A1410" s="2">
        <f ca="1">IFERROR(__xludf.DUMMYFUNCTION("""COMPUTED_VALUE"""),44049.6666666666)</f>
        <v>44049.666666666599</v>
      </c>
      <c r="B1410" s="1">
        <f ca="1">IFERROR(__xludf.DUMMYFUNCTION("""COMPUTED_VALUE"""),73.81)</f>
        <v>73.81</v>
      </c>
      <c r="C1410" s="1">
        <f ca="1">IFERROR(__xludf.DUMMYFUNCTION("""COMPUTED_VALUE"""),75.31)</f>
        <v>75.31</v>
      </c>
      <c r="D1410" s="1">
        <f ca="1">IFERROR(__xludf.DUMMYFUNCTION("""COMPUTED_VALUE"""),73.6)</f>
        <v>73.599999999999994</v>
      </c>
      <c r="E1410" s="1">
        <f ca="1">IFERROR(__xludf.DUMMYFUNCTION("""COMPUTED_VALUE"""),75.25)</f>
        <v>75.25</v>
      </c>
      <c r="F1410" s="1">
        <f ca="1">IFERROR(__xludf.DUMMYFUNCTION("""COMPUTED_VALUE"""),1665261)</f>
        <v>1665261</v>
      </c>
    </row>
    <row r="1411" spans="1:6" x14ac:dyDescent="0.35">
      <c r="A1411" s="2">
        <f ca="1">IFERROR(__xludf.DUMMYFUNCTION("""COMPUTED_VALUE"""),44050.6666666666)</f>
        <v>44050.666666666599</v>
      </c>
      <c r="B1411" s="1">
        <f ca="1">IFERROR(__xludf.DUMMYFUNCTION("""COMPUTED_VALUE"""),75.45)</f>
        <v>75.45</v>
      </c>
      <c r="C1411" s="1">
        <f ca="1">IFERROR(__xludf.DUMMYFUNCTION("""COMPUTED_VALUE"""),76)</f>
        <v>76</v>
      </c>
      <c r="D1411" s="1">
        <f ca="1">IFERROR(__xludf.DUMMYFUNCTION("""COMPUTED_VALUE"""),74.31)</f>
        <v>74.31</v>
      </c>
      <c r="E1411" s="1">
        <f ca="1">IFERROR(__xludf.DUMMYFUNCTION("""COMPUTED_VALUE"""),74.92)</f>
        <v>74.92</v>
      </c>
      <c r="F1411" s="1">
        <f ca="1">IFERROR(__xludf.DUMMYFUNCTION("""COMPUTED_VALUE"""),1386294)</f>
        <v>1386294</v>
      </c>
    </row>
    <row r="1412" spans="1:6" x14ac:dyDescent="0.35">
      <c r="A1412" s="2">
        <f ca="1">IFERROR(__xludf.DUMMYFUNCTION("""COMPUTED_VALUE"""),44053.6666666666)</f>
        <v>44053.666666666599</v>
      </c>
      <c r="B1412" s="1">
        <f ca="1">IFERROR(__xludf.DUMMYFUNCTION("""COMPUTED_VALUE"""),74.54)</f>
        <v>74.540000000000006</v>
      </c>
      <c r="C1412" s="1">
        <f ca="1">IFERROR(__xludf.DUMMYFUNCTION("""COMPUTED_VALUE"""),75.36)</f>
        <v>75.36</v>
      </c>
      <c r="D1412" s="1">
        <f ca="1">IFERROR(__xludf.DUMMYFUNCTION("""COMPUTED_VALUE"""),73.87)</f>
        <v>73.87</v>
      </c>
      <c r="E1412" s="1">
        <f ca="1">IFERROR(__xludf.DUMMYFUNCTION("""COMPUTED_VALUE"""),74.84)</f>
        <v>74.84</v>
      </c>
      <c r="F1412" s="1">
        <f ca="1">IFERROR(__xludf.DUMMYFUNCTION("""COMPUTED_VALUE"""),1027329)</f>
        <v>1027329</v>
      </c>
    </row>
    <row r="1413" spans="1:6" x14ac:dyDescent="0.35">
      <c r="A1413" s="2">
        <f ca="1">IFERROR(__xludf.DUMMYFUNCTION("""COMPUTED_VALUE"""),44054.6666666666)</f>
        <v>44054.666666666599</v>
      </c>
      <c r="B1413" s="1">
        <f ca="1">IFERROR(__xludf.DUMMYFUNCTION("""COMPUTED_VALUE"""),74.7)</f>
        <v>74.7</v>
      </c>
      <c r="C1413" s="1">
        <f ca="1">IFERROR(__xludf.DUMMYFUNCTION("""COMPUTED_VALUE"""),75.52)</f>
        <v>75.52</v>
      </c>
      <c r="D1413" s="1">
        <f ca="1">IFERROR(__xludf.DUMMYFUNCTION("""COMPUTED_VALUE"""),73.91)</f>
        <v>73.91</v>
      </c>
      <c r="E1413" s="1">
        <f ca="1">IFERROR(__xludf.DUMMYFUNCTION("""COMPUTED_VALUE"""),74.03)</f>
        <v>74.03</v>
      </c>
      <c r="F1413" s="1">
        <f ca="1">IFERROR(__xludf.DUMMYFUNCTION("""COMPUTED_VALUE"""),1554853)</f>
        <v>1554853</v>
      </c>
    </row>
    <row r="1414" spans="1:6" x14ac:dyDescent="0.35">
      <c r="A1414" s="2">
        <f ca="1">IFERROR(__xludf.DUMMYFUNCTION("""COMPUTED_VALUE"""),44055.6666666666)</f>
        <v>44055.666666666599</v>
      </c>
      <c r="B1414" s="1">
        <f ca="1">IFERROR(__xludf.DUMMYFUNCTION("""COMPUTED_VALUE"""),74.36)</f>
        <v>74.36</v>
      </c>
      <c r="C1414" s="1">
        <f ca="1">IFERROR(__xludf.DUMMYFUNCTION("""COMPUTED_VALUE"""),75.58)</f>
        <v>75.58</v>
      </c>
      <c r="D1414" s="1">
        <f ca="1">IFERROR(__xludf.DUMMYFUNCTION("""COMPUTED_VALUE"""),74.25)</f>
        <v>74.25</v>
      </c>
      <c r="E1414" s="1">
        <f ca="1">IFERROR(__xludf.DUMMYFUNCTION("""COMPUTED_VALUE"""),75.36)</f>
        <v>75.36</v>
      </c>
      <c r="F1414" s="1">
        <f ca="1">IFERROR(__xludf.DUMMYFUNCTION("""COMPUTED_VALUE"""),1126560)</f>
        <v>1126560</v>
      </c>
    </row>
    <row r="1415" spans="1:6" x14ac:dyDescent="0.35">
      <c r="A1415" s="2">
        <f ca="1">IFERROR(__xludf.DUMMYFUNCTION("""COMPUTED_VALUE"""),44056.6666666666)</f>
        <v>44056.666666666599</v>
      </c>
      <c r="B1415" s="1">
        <f ca="1">IFERROR(__xludf.DUMMYFUNCTION("""COMPUTED_VALUE"""),75.41)</f>
        <v>75.41</v>
      </c>
      <c r="C1415" s="1">
        <f ca="1">IFERROR(__xludf.DUMMYFUNCTION("""COMPUTED_VALUE"""),76.85)</f>
        <v>76.849999999999994</v>
      </c>
      <c r="D1415" s="1">
        <f ca="1">IFERROR(__xludf.DUMMYFUNCTION("""COMPUTED_VALUE"""),75.41)</f>
        <v>75.41</v>
      </c>
      <c r="E1415" s="1">
        <f ca="1">IFERROR(__xludf.DUMMYFUNCTION("""COMPUTED_VALUE"""),75.83)</f>
        <v>75.83</v>
      </c>
      <c r="F1415" s="1">
        <f ca="1">IFERROR(__xludf.DUMMYFUNCTION("""COMPUTED_VALUE"""),1119711)</f>
        <v>1119711</v>
      </c>
    </row>
    <row r="1416" spans="1:6" x14ac:dyDescent="0.35">
      <c r="A1416" s="2">
        <f ca="1">IFERROR(__xludf.DUMMYFUNCTION("""COMPUTED_VALUE"""),44057.6666666666)</f>
        <v>44057.666666666599</v>
      </c>
      <c r="B1416" s="1">
        <f ca="1">IFERROR(__xludf.DUMMYFUNCTION("""COMPUTED_VALUE"""),75.68)</f>
        <v>75.680000000000007</v>
      </c>
      <c r="C1416" s="1">
        <f ca="1">IFERROR(__xludf.DUMMYFUNCTION("""COMPUTED_VALUE"""),75.99)</f>
        <v>75.989999999999995</v>
      </c>
      <c r="D1416" s="1">
        <f ca="1">IFERROR(__xludf.DUMMYFUNCTION("""COMPUTED_VALUE"""),74.95)</f>
        <v>74.95</v>
      </c>
      <c r="E1416" s="1">
        <f ca="1">IFERROR(__xludf.DUMMYFUNCTION("""COMPUTED_VALUE"""),75.23)</f>
        <v>75.23</v>
      </c>
      <c r="F1416" s="1">
        <f ca="1">IFERROR(__xludf.DUMMYFUNCTION("""COMPUTED_VALUE"""),1097059)</f>
        <v>1097059</v>
      </c>
    </row>
    <row r="1417" spans="1:6" x14ac:dyDescent="0.35">
      <c r="A1417" s="2">
        <f ca="1">IFERROR(__xludf.DUMMYFUNCTION("""COMPUTED_VALUE"""),44060.6666666666)</f>
        <v>44060.666666666599</v>
      </c>
      <c r="B1417" s="1">
        <f ca="1">IFERROR(__xludf.DUMMYFUNCTION("""COMPUTED_VALUE"""),75.8)</f>
        <v>75.8</v>
      </c>
      <c r="C1417" s="1">
        <f ca="1">IFERROR(__xludf.DUMMYFUNCTION("""COMPUTED_VALUE"""),76.19)</f>
        <v>76.19</v>
      </c>
      <c r="D1417" s="1">
        <f ca="1">IFERROR(__xludf.DUMMYFUNCTION("""COMPUTED_VALUE"""),75.25)</f>
        <v>75.25</v>
      </c>
      <c r="E1417" s="1">
        <f ca="1">IFERROR(__xludf.DUMMYFUNCTION("""COMPUTED_VALUE"""),75.81)</f>
        <v>75.81</v>
      </c>
      <c r="F1417" s="1">
        <f ca="1">IFERROR(__xludf.DUMMYFUNCTION("""COMPUTED_VALUE"""),999934)</f>
        <v>999934</v>
      </c>
    </row>
    <row r="1418" spans="1:6" x14ac:dyDescent="0.35">
      <c r="A1418" s="2">
        <f ca="1">IFERROR(__xludf.DUMMYFUNCTION("""COMPUTED_VALUE"""),44061.6666666666)</f>
        <v>44061.666666666599</v>
      </c>
      <c r="B1418" s="1">
        <f ca="1">IFERROR(__xludf.DUMMYFUNCTION("""COMPUTED_VALUE"""),76.31)</f>
        <v>76.31</v>
      </c>
      <c r="C1418" s="1">
        <f ca="1">IFERROR(__xludf.DUMMYFUNCTION("""COMPUTED_VALUE"""),77.87)</f>
        <v>77.87</v>
      </c>
      <c r="D1418" s="1">
        <f ca="1">IFERROR(__xludf.DUMMYFUNCTION("""COMPUTED_VALUE"""),76.08)</f>
        <v>76.08</v>
      </c>
      <c r="E1418" s="1">
        <f ca="1">IFERROR(__xludf.DUMMYFUNCTION("""COMPUTED_VALUE"""),77.79)</f>
        <v>77.790000000000006</v>
      </c>
      <c r="F1418" s="1">
        <f ca="1">IFERROR(__xludf.DUMMYFUNCTION("""COMPUTED_VALUE"""),1418850)</f>
        <v>1418850</v>
      </c>
    </row>
    <row r="1419" spans="1:6" x14ac:dyDescent="0.35">
      <c r="A1419" s="2">
        <f ca="1">IFERROR(__xludf.DUMMYFUNCTION("""COMPUTED_VALUE"""),44062.6666666666)</f>
        <v>44062.666666666599</v>
      </c>
      <c r="B1419" s="1">
        <f ca="1">IFERROR(__xludf.DUMMYFUNCTION("""COMPUTED_VALUE"""),77.62)</f>
        <v>77.62</v>
      </c>
      <c r="C1419" s="1">
        <f ca="1">IFERROR(__xludf.DUMMYFUNCTION("""COMPUTED_VALUE"""),78.44)</f>
        <v>78.44</v>
      </c>
      <c r="D1419" s="1">
        <f ca="1">IFERROR(__xludf.DUMMYFUNCTION("""COMPUTED_VALUE"""),77)</f>
        <v>77</v>
      </c>
      <c r="E1419" s="1">
        <f ca="1">IFERROR(__xludf.DUMMYFUNCTION("""COMPUTED_VALUE"""),77.23)</f>
        <v>77.23</v>
      </c>
      <c r="F1419" s="1">
        <f ca="1">IFERROR(__xludf.DUMMYFUNCTION("""COMPUTED_VALUE"""),1523592)</f>
        <v>1523592</v>
      </c>
    </row>
    <row r="1420" spans="1:6" x14ac:dyDescent="0.35">
      <c r="A1420" s="2">
        <f ca="1">IFERROR(__xludf.DUMMYFUNCTION("""COMPUTED_VALUE"""),44063.6666666666)</f>
        <v>44063.666666666599</v>
      </c>
      <c r="B1420" s="1">
        <f ca="1">IFERROR(__xludf.DUMMYFUNCTION("""COMPUTED_VALUE"""),77)</f>
        <v>77</v>
      </c>
      <c r="C1420" s="1">
        <f ca="1">IFERROR(__xludf.DUMMYFUNCTION("""COMPUTED_VALUE"""),79.01)</f>
        <v>79.010000000000005</v>
      </c>
      <c r="D1420" s="1">
        <f ca="1">IFERROR(__xludf.DUMMYFUNCTION("""COMPUTED_VALUE"""),76.72)</f>
        <v>76.72</v>
      </c>
      <c r="E1420" s="1">
        <f ca="1">IFERROR(__xludf.DUMMYFUNCTION("""COMPUTED_VALUE"""),78.81)</f>
        <v>78.81</v>
      </c>
      <c r="F1420" s="1">
        <f ca="1">IFERROR(__xludf.DUMMYFUNCTION("""COMPUTED_VALUE"""),1319131)</f>
        <v>1319131</v>
      </c>
    </row>
    <row r="1421" spans="1:6" x14ac:dyDescent="0.35">
      <c r="A1421" s="2">
        <f ca="1">IFERROR(__xludf.DUMMYFUNCTION("""COMPUTED_VALUE"""),44064.6666666666)</f>
        <v>44064.666666666599</v>
      </c>
      <c r="B1421" s="1">
        <f ca="1">IFERROR(__xludf.DUMMYFUNCTION("""COMPUTED_VALUE"""),78.59)</f>
        <v>78.59</v>
      </c>
      <c r="C1421" s="1">
        <f ca="1">IFERROR(__xludf.DUMMYFUNCTION("""COMPUTED_VALUE"""),79.59)</f>
        <v>79.59</v>
      </c>
      <c r="D1421" s="1">
        <f ca="1">IFERROR(__xludf.DUMMYFUNCTION("""COMPUTED_VALUE"""),78.12)</f>
        <v>78.12</v>
      </c>
      <c r="E1421" s="1">
        <f ca="1">IFERROR(__xludf.DUMMYFUNCTION("""COMPUTED_VALUE"""),78.78)</f>
        <v>78.78</v>
      </c>
      <c r="F1421" s="1">
        <f ca="1">IFERROR(__xludf.DUMMYFUNCTION("""COMPUTED_VALUE"""),1742275)</f>
        <v>1742275</v>
      </c>
    </row>
    <row r="1422" spans="1:6" x14ac:dyDescent="0.35">
      <c r="A1422" s="2">
        <f ca="1">IFERROR(__xludf.DUMMYFUNCTION("""COMPUTED_VALUE"""),44067.6666666666)</f>
        <v>44067.666666666599</v>
      </c>
      <c r="B1422" s="1">
        <f ca="1">IFERROR(__xludf.DUMMYFUNCTION("""COMPUTED_VALUE"""),79.62)</f>
        <v>79.62</v>
      </c>
      <c r="C1422" s="1">
        <f ca="1">IFERROR(__xludf.DUMMYFUNCTION("""COMPUTED_VALUE"""),80.44)</f>
        <v>80.44</v>
      </c>
      <c r="D1422" s="1">
        <f ca="1">IFERROR(__xludf.DUMMYFUNCTION("""COMPUTED_VALUE"""),78.75)</f>
        <v>78.75</v>
      </c>
      <c r="E1422" s="1">
        <f ca="1">IFERROR(__xludf.DUMMYFUNCTION("""COMPUTED_VALUE"""),79.26)</f>
        <v>79.260000000000005</v>
      </c>
      <c r="F1422" s="1">
        <f ca="1">IFERROR(__xludf.DUMMYFUNCTION("""COMPUTED_VALUE"""),1281893)</f>
        <v>1281893</v>
      </c>
    </row>
    <row r="1423" spans="1:6" x14ac:dyDescent="0.35">
      <c r="A1423" s="2">
        <f ca="1">IFERROR(__xludf.DUMMYFUNCTION("""COMPUTED_VALUE"""),44068.6666666666)</f>
        <v>44068.666666666599</v>
      </c>
      <c r="B1423" s="1">
        <f ca="1">IFERROR(__xludf.DUMMYFUNCTION("""COMPUTED_VALUE"""),79.01)</f>
        <v>79.010000000000005</v>
      </c>
      <c r="C1423" s="1">
        <f ca="1">IFERROR(__xludf.DUMMYFUNCTION("""COMPUTED_VALUE"""),80.44)</f>
        <v>80.44</v>
      </c>
      <c r="D1423" s="1">
        <f ca="1">IFERROR(__xludf.DUMMYFUNCTION("""COMPUTED_VALUE"""),78.89)</f>
        <v>78.89</v>
      </c>
      <c r="E1423" s="1">
        <f ca="1">IFERROR(__xludf.DUMMYFUNCTION("""COMPUTED_VALUE"""),80.29)</f>
        <v>80.290000000000006</v>
      </c>
      <c r="F1423" s="1">
        <f ca="1">IFERROR(__xludf.DUMMYFUNCTION("""COMPUTED_VALUE"""),1257463)</f>
        <v>1257463</v>
      </c>
    </row>
    <row r="1424" spans="1:6" x14ac:dyDescent="0.35">
      <c r="A1424" s="2">
        <f ca="1">IFERROR(__xludf.DUMMYFUNCTION("""COMPUTED_VALUE"""),44069.6666666666)</f>
        <v>44069.666666666599</v>
      </c>
      <c r="B1424" s="1">
        <f ca="1">IFERROR(__xludf.DUMMYFUNCTION("""COMPUTED_VALUE"""),80.32)</f>
        <v>80.319999999999993</v>
      </c>
      <c r="C1424" s="1">
        <f ca="1">IFERROR(__xludf.DUMMYFUNCTION("""COMPUTED_VALUE"""),82.64)</f>
        <v>82.64</v>
      </c>
      <c r="D1424" s="1">
        <f ca="1">IFERROR(__xludf.DUMMYFUNCTION("""COMPUTED_VALUE"""),80.05)</f>
        <v>80.05</v>
      </c>
      <c r="E1424" s="1">
        <f ca="1">IFERROR(__xludf.DUMMYFUNCTION("""COMPUTED_VALUE"""),82.21)</f>
        <v>82.21</v>
      </c>
      <c r="F1424" s="1">
        <f ca="1">IFERROR(__xludf.DUMMYFUNCTION("""COMPUTED_VALUE"""),2609363)</f>
        <v>2609363</v>
      </c>
    </row>
    <row r="1425" spans="1:6" x14ac:dyDescent="0.35">
      <c r="A1425" s="2">
        <f ca="1">IFERROR(__xludf.DUMMYFUNCTION("""COMPUTED_VALUE"""),44070.6666666666)</f>
        <v>44070.666666666599</v>
      </c>
      <c r="B1425" s="1">
        <f ca="1">IFERROR(__xludf.DUMMYFUNCTION("""COMPUTED_VALUE"""),82.33)</f>
        <v>82.33</v>
      </c>
      <c r="C1425" s="1">
        <f ca="1">IFERROR(__xludf.DUMMYFUNCTION("""COMPUTED_VALUE"""),82.4)</f>
        <v>82.4</v>
      </c>
      <c r="D1425" s="1">
        <f ca="1">IFERROR(__xludf.DUMMYFUNCTION("""COMPUTED_VALUE"""),80.94)</f>
        <v>80.94</v>
      </c>
      <c r="E1425" s="1">
        <f ca="1">IFERROR(__xludf.DUMMYFUNCTION("""COMPUTED_VALUE"""),81.43)</f>
        <v>81.430000000000007</v>
      </c>
      <c r="F1425" s="1">
        <f ca="1">IFERROR(__xludf.DUMMYFUNCTION("""COMPUTED_VALUE"""),1567503)</f>
        <v>1567503</v>
      </c>
    </row>
    <row r="1426" spans="1:6" x14ac:dyDescent="0.35">
      <c r="A1426" s="2">
        <f ca="1">IFERROR(__xludf.DUMMYFUNCTION("""COMPUTED_VALUE"""),44071.6666666666)</f>
        <v>44071.666666666599</v>
      </c>
      <c r="B1426" s="1">
        <f ca="1">IFERROR(__xludf.DUMMYFUNCTION("""COMPUTED_VALUE"""),81.47)</f>
        <v>81.47</v>
      </c>
      <c r="C1426" s="1">
        <f ca="1">IFERROR(__xludf.DUMMYFUNCTION("""COMPUTED_VALUE"""),82.07)</f>
        <v>82.07</v>
      </c>
      <c r="D1426" s="1">
        <f ca="1">IFERROR(__xludf.DUMMYFUNCTION("""COMPUTED_VALUE"""),81.28)</f>
        <v>81.28</v>
      </c>
      <c r="E1426" s="1">
        <f ca="1">IFERROR(__xludf.DUMMYFUNCTION("""COMPUTED_VALUE"""),81.97)</f>
        <v>81.97</v>
      </c>
      <c r="F1426" s="1">
        <f ca="1">IFERROR(__xludf.DUMMYFUNCTION("""COMPUTED_VALUE"""),1121195)</f>
        <v>1121195</v>
      </c>
    </row>
    <row r="1427" spans="1:6" x14ac:dyDescent="0.35">
      <c r="A1427" s="2">
        <f ca="1">IFERROR(__xludf.DUMMYFUNCTION("""COMPUTED_VALUE"""),44074.6666666666)</f>
        <v>44074.666666666599</v>
      </c>
      <c r="B1427" s="1">
        <f ca="1">IFERROR(__xludf.DUMMYFUNCTION("""COMPUTED_VALUE"""),82.18)</f>
        <v>82.18</v>
      </c>
      <c r="C1427" s="1">
        <f ca="1">IFERROR(__xludf.DUMMYFUNCTION("""COMPUTED_VALUE"""),82.23)</f>
        <v>82.23</v>
      </c>
      <c r="D1427" s="1">
        <f ca="1">IFERROR(__xludf.DUMMYFUNCTION("""COMPUTED_VALUE"""),81.27)</f>
        <v>81.27</v>
      </c>
      <c r="E1427" s="1">
        <f ca="1">IFERROR(__xludf.DUMMYFUNCTION("""COMPUTED_VALUE"""),81.48)</f>
        <v>81.48</v>
      </c>
      <c r="F1427" s="1">
        <f ca="1">IFERROR(__xludf.DUMMYFUNCTION("""COMPUTED_VALUE"""),1321097)</f>
        <v>1321097</v>
      </c>
    </row>
    <row r="1428" spans="1:6" x14ac:dyDescent="0.35">
      <c r="A1428" s="2">
        <f ca="1">IFERROR(__xludf.DUMMYFUNCTION("""COMPUTED_VALUE"""),44075.6666666666)</f>
        <v>44075.666666666599</v>
      </c>
      <c r="B1428" s="1">
        <f ca="1">IFERROR(__xludf.DUMMYFUNCTION("""COMPUTED_VALUE"""),81.61)</f>
        <v>81.61</v>
      </c>
      <c r="C1428" s="1">
        <f ca="1">IFERROR(__xludf.DUMMYFUNCTION("""COMPUTED_VALUE"""),82.96)</f>
        <v>82.96</v>
      </c>
      <c r="D1428" s="1">
        <f ca="1">IFERROR(__xludf.DUMMYFUNCTION("""COMPUTED_VALUE"""),81.48)</f>
        <v>81.48</v>
      </c>
      <c r="E1428" s="1">
        <f ca="1">IFERROR(__xludf.DUMMYFUNCTION("""COMPUTED_VALUE"""),82.75)</f>
        <v>82.75</v>
      </c>
      <c r="F1428" s="1">
        <f ca="1">IFERROR(__xludf.DUMMYFUNCTION("""COMPUTED_VALUE"""),1133766)</f>
        <v>1133766</v>
      </c>
    </row>
    <row r="1429" spans="1:6" x14ac:dyDescent="0.35">
      <c r="A1429" s="2">
        <f ca="1">IFERROR(__xludf.DUMMYFUNCTION("""COMPUTED_VALUE"""),44076.6666666666)</f>
        <v>44076.666666666599</v>
      </c>
      <c r="B1429" s="1">
        <f ca="1">IFERROR(__xludf.DUMMYFUNCTION("""COMPUTED_VALUE"""),83.4)</f>
        <v>83.4</v>
      </c>
      <c r="C1429" s="1">
        <f ca="1">IFERROR(__xludf.DUMMYFUNCTION("""COMPUTED_VALUE"""),86.31)</f>
        <v>86.31</v>
      </c>
      <c r="D1429" s="1">
        <f ca="1">IFERROR(__xludf.DUMMYFUNCTION("""COMPUTED_VALUE"""),83.01)</f>
        <v>83.01</v>
      </c>
      <c r="E1429" s="1">
        <f ca="1">IFERROR(__xludf.DUMMYFUNCTION("""COMPUTED_VALUE"""),85.87)</f>
        <v>85.87</v>
      </c>
      <c r="F1429" s="1">
        <f ca="1">IFERROR(__xludf.DUMMYFUNCTION("""COMPUTED_VALUE"""),2476072)</f>
        <v>2476072</v>
      </c>
    </row>
    <row r="1430" spans="1:6" x14ac:dyDescent="0.35">
      <c r="A1430" s="2">
        <f ca="1">IFERROR(__xludf.DUMMYFUNCTION("""COMPUTED_VALUE"""),44077.6666666666)</f>
        <v>44077.666666666599</v>
      </c>
      <c r="B1430" s="1">
        <f ca="1">IFERROR(__xludf.DUMMYFUNCTION("""COMPUTED_VALUE"""),84.98)</f>
        <v>84.98</v>
      </c>
      <c r="C1430" s="1">
        <f ca="1">IFERROR(__xludf.DUMMYFUNCTION("""COMPUTED_VALUE"""),85)</f>
        <v>85</v>
      </c>
      <c r="D1430" s="1">
        <f ca="1">IFERROR(__xludf.DUMMYFUNCTION("""COMPUTED_VALUE"""),80.39)</f>
        <v>80.39</v>
      </c>
      <c r="E1430" s="1">
        <f ca="1">IFERROR(__xludf.DUMMYFUNCTION("""COMPUTED_VALUE"""),81.48)</f>
        <v>81.48</v>
      </c>
      <c r="F1430" s="1">
        <f ca="1">IFERROR(__xludf.DUMMYFUNCTION("""COMPUTED_VALUE"""),3186287)</f>
        <v>3186287</v>
      </c>
    </row>
    <row r="1431" spans="1:6" x14ac:dyDescent="0.35">
      <c r="A1431" s="2">
        <f ca="1">IFERROR(__xludf.DUMMYFUNCTION("""COMPUTED_VALUE"""),44078.6666666666)</f>
        <v>44078.666666666599</v>
      </c>
      <c r="B1431" s="1">
        <f ca="1">IFERROR(__xludf.DUMMYFUNCTION("""COMPUTED_VALUE"""),80.45)</f>
        <v>80.45</v>
      </c>
      <c r="C1431" s="1">
        <f ca="1">IFERROR(__xludf.DUMMYFUNCTION("""COMPUTED_VALUE"""),81.75)</f>
        <v>81.75</v>
      </c>
      <c r="D1431" s="1">
        <f ca="1">IFERROR(__xludf.DUMMYFUNCTION("""COMPUTED_VALUE"""),76.9)</f>
        <v>76.900000000000006</v>
      </c>
      <c r="E1431" s="1">
        <f ca="1">IFERROR(__xludf.DUMMYFUNCTION("""COMPUTED_VALUE"""),79.06)</f>
        <v>79.06</v>
      </c>
      <c r="F1431" s="1">
        <f ca="1">IFERROR(__xludf.DUMMYFUNCTION("""COMPUTED_VALUE"""),2792533)</f>
        <v>2792533</v>
      </c>
    </row>
    <row r="1432" spans="1:6" x14ac:dyDescent="0.35">
      <c r="A1432" s="2">
        <f ca="1">IFERROR(__xludf.DUMMYFUNCTION("""COMPUTED_VALUE"""),44082.6666666666)</f>
        <v>44082.666666666599</v>
      </c>
      <c r="B1432" s="1">
        <f ca="1">IFERROR(__xludf.DUMMYFUNCTION("""COMPUTED_VALUE"""),76.25)</f>
        <v>76.25</v>
      </c>
      <c r="C1432" s="1">
        <f ca="1">IFERROR(__xludf.DUMMYFUNCTION("""COMPUTED_VALUE"""),77.78)</f>
        <v>77.78</v>
      </c>
      <c r="D1432" s="1">
        <f ca="1">IFERROR(__xludf.DUMMYFUNCTION("""COMPUTED_VALUE"""),75.83)</f>
        <v>75.83</v>
      </c>
      <c r="E1432" s="1">
        <f ca="1">IFERROR(__xludf.DUMMYFUNCTION("""COMPUTED_VALUE"""),76.18)</f>
        <v>76.180000000000007</v>
      </c>
      <c r="F1432" s="1">
        <f ca="1">IFERROR(__xludf.DUMMYFUNCTION("""COMPUTED_VALUE"""),2701586)</f>
        <v>2701586</v>
      </c>
    </row>
    <row r="1433" spans="1:6" x14ac:dyDescent="0.35">
      <c r="A1433" s="2">
        <f ca="1">IFERROR(__xludf.DUMMYFUNCTION("""COMPUTED_VALUE"""),44083.6666666666)</f>
        <v>44083.666666666599</v>
      </c>
      <c r="B1433" s="1">
        <f ca="1">IFERROR(__xludf.DUMMYFUNCTION("""COMPUTED_VALUE"""),77.44)</f>
        <v>77.44</v>
      </c>
      <c r="C1433" s="1">
        <f ca="1">IFERROR(__xludf.DUMMYFUNCTION("""COMPUTED_VALUE"""),77.94)</f>
        <v>77.94</v>
      </c>
      <c r="D1433" s="1">
        <f ca="1">IFERROR(__xludf.DUMMYFUNCTION("""COMPUTED_VALUE"""),76.26)</f>
        <v>76.260000000000005</v>
      </c>
      <c r="E1433" s="1">
        <f ca="1">IFERROR(__xludf.DUMMYFUNCTION("""COMPUTED_VALUE"""),77.36)</f>
        <v>77.36</v>
      </c>
      <c r="F1433" s="1">
        <f ca="1">IFERROR(__xludf.DUMMYFUNCTION("""COMPUTED_VALUE"""),1962078)</f>
        <v>1962078</v>
      </c>
    </row>
    <row r="1434" spans="1:6" x14ac:dyDescent="0.35">
      <c r="A1434" s="2">
        <f ca="1">IFERROR(__xludf.DUMMYFUNCTION("""COMPUTED_VALUE"""),44084.6666666666)</f>
        <v>44084.666666666599</v>
      </c>
      <c r="B1434" s="1">
        <f ca="1">IFERROR(__xludf.DUMMYFUNCTION("""COMPUTED_VALUE"""),77.51)</f>
        <v>77.510000000000005</v>
      </c>
      <c r="C1434" s="1">
        <f ca="1">IFERROR(__xludf.DUMMYFUNCTION("""COMPUTED_VALUE"""),78.68)</f>
        <v>78.680000000000007</v>
      </c>
      <c r="D1434" s="1">
        <f ca="1">IFERROR(__xludf.DUMMYFUNCTION("""COMPUTED_VALUE"""),76)</f>
        <v>76</v>
      </c>
      <c r="E1434" s="1">
        <f ca="1">IFERROR(__xludf.DUMMYFUNCTION("""COMPUTED_VALUE"""),76.3)</f>
        <v>76.3</v>
      </c>
      <c r="F1434" s="1">
        <f ca="1">IFERROR(__xludf.DUMMYFUNCTION("""COMPUTED_VALUE"""),1651194)</f>
        <v>1651194</v>
      </c>
    </row>
    <row r="1435" spans="1:6" x14ac:dyDescent="0.35">
      <c r="A1435" s="2">
        <f ca="1">IFERROR(__xludf.DUMMYFUNCTION("""COMPUTED_VALUE"""),44085.6666666666)</f>
        <v>44085.666666666599</v>
      </c>
      <c r="B1435" s="1">
        <f ca="1">IFERROR(__xludf.DUMMYFUNCTION("""COMPUTED_VALUE"""),76.41)</f>
        <v>76.41</v>
      </c>
      <c r="C1435" s="1">
        <f ca="1">IFERROR(__xludf.DUMMYFUNCTION("""COMPUTED_VALUE"""),76.93)</f>
        <v>76.930000000000007</v>
      </c>
      <c r="D1435" s="1">
        <f ca="1">IFERROR(__xludf.DUMMYFUNCTION("""COMPUTED_VALUE"""),74.65)</f>
        <v>74.650000000000006</v>
      </c>
      <c r="E1435" s="1">
        <f ca="1">IFERROR(__xludf.DUMMYFUNCTION("""COMPUTED_VALUE"""),75.79)</f>
        <v>75.790000000000006</v>
      </c>
      <c r="F1435" s="1">
        <f ca="1">IFERROR(__xludf.DUMMYFUNCTION("""COMPUTED_VALUE"""),1535337)</f>
        <v>1535337</v>
      </c>
    </row>
    <row r="1436" spans="1:6" x14ac:dyDescent="0.35">
      <c r="A1436" s="2">
        <f ca="1">IFERROR(__xludf.DUMMYFUNCTION("""COMPUTED_VALUE"""),44088.6666666666)</f>
        <v>44088.666666666599</v>
      </c>
      <c r="B1436" s="1">
        <f ca="1">IFERROR(__xludf.DUMMYFUNCTION("""COMPUTED_VALUE"""),76.58)</f>
        <v>76.58</v>
      </c>
      <c r="C1436" s="1">
        <f ca="1">IFERROR(__xludf.DUMMYFUNCTION("""COMPUTED_VALUE"""),77.85)</f>
        <v>77.849999999999994</v>
      </c>
      <c r="D1436" s="1">
        <f ca="1">IFERROR(__xludf.DUMMYFUNCTION("""COMPUTED_VALUE"""),75.26)</f>
        <v>75.260000000000005</v>
      </c>
      <c r="E1436" s="1">
        <f ca="1">IFERROR(__xludf.DUMMYFUNCTION("""COMPUTED_VALUE"""),75.44)</f>
        <v>75.44</v>
      </c>
      <c r="F1436" s="1">
        <f ca="1">IFERROR(__xludf.DUMMYFUNCTION("""COMPUTED_VALUE"""),2133007)</f>
        <v>2133007</v>
      </c>
    </row>
    <row r="1437" spans="1:6" x14ac:dyDescent="0.35">
      <c r="A1437" s="2">
        <f ca="1">IFERROR(__xludf.DUMMYFUNCTION("""COMPUTED_VALUE"""),44089.6666666666)</f>
        <v>44089.666666666599</v>
      </c>
      <c r="B1437" s="1">
        <f ca="1">IFERROR(__xludf.DUMMYFUNCTION("""COMPUTED_VALUE"""),76.39)</f>
        <v>76.39</v>
      </c>
      <c r="C1437" s="1">
        <f ca="1">IFERROR(__xludf.DUMMYFUNCTION("""COMPUTED_VALUE"""),77.55)</f>
        <v>77.55</v>
      </c>
      <c r="D1437" s="1">
        <f ca="1">IFERROR(__xludf.DUMMYFUNCTION("""COMPUTED_VALUE"""),76.11)</f>
        <v>76.11</v>
      </c>
      <c r="E1437" s="1">
        <f ca="1">IFERROR(__xludf.DUMMYFUNCTION("""COMPUTED_VALUE"""),76.76)</f>
        <v>76.760000000000005</v>
      </c>
      <c r="F1437" s="1">
        <f ca="1">IFERROR(__xludf.DUMMYFUNCTION("""COMPUTED_VALUE"""),1152055)</f>
        <v>1152055</v>
      </c>
    </row>
    <row r="1438" spans="1:6" x14ac:dyDescent="0.35">
      <c r="A1438" s="2">
        <f ca="1">IFERROR(__xludf.DUMMYFUNCTION("""COMPUTED_VALUE"""),44090.6666666666)</f>
        <v>44090.666666666599</v>
      </c>
      <c r="B1438" s="1">
        <f ca="1">IFERROR(__xludf.DUMMYFUNCTION("""COMPUTED_VALUE"""),77.12)</f>
        <v>77.12</v>
      </c>
      <c r="C1438" s="1">
        <f ca="1">IFERROR(__xludf.DUMMYFUNCTION("""COMPUTED_VALUE"""),77.72)</f>
        <v>77.72</v>
      </c>
      <c r="D1438" s="1">
        <f ca="1">IFERROR(__xludf.DUMMYFUNCTION("""COMPUTED_VALUE"""),75.58)</f>
        <v>75.58</v>
      </c>
      <c r="E1438" s="1">
        <f ca="1">IFERROR(__xludf.DUMMYFUNCTION("""COMPUTED_VALUE"""),75.6)</f>
        <v>75.599999999999994</v>
      </c>
      <c r="F1438" s="1">
        <f ca="1">IFERROR(__xludf.DUMMYFUNCTION("""COMPUTED_VALUE"""),1107169)</f>
        <v>1107169</v>
      </c>
    </row>
    <row r="1439" spans="1:6" x14ac:dyDescent="0.35">
      <c r="A1439" s="2">
        <f ca="1">IFERROR(__xludf.DUMMYFUNCTION("""COMPUTED_VALUE"""),44091.6666666666)</f>
        <v>44091.666666666599</v>
      </c>
      <c r="B1439" s="1">
        <f ca="1">IFERROR(__xludf.DUMMYFUNCTION("""COMPUTED_VALUE"""),74.29)</f>
        <v>74.290000000000006</v>
      </c>
      <c r="C1439" s="1">
        <f ca="1">IFERROR(__xludf.DUMMYFUNCTION("""COMPUTED_VALUE"""),74.93)</f>
        <v>74.930000000000007</v>
      </c>
      <c r="D1439" s="1">
        <f ca="1">IFERROR(__xludf.DUMMYFUNCTION("""COMPUTED_VALUE"""),73.12)</f>
        <v>73.12</v>
      </c>
      <c r="E1439" s="1">
        <f ca="1">IFERROR(__xludf.DUMMYFUNCTION("""COMPUTED_VALUE"""),74.35)</f>
        <v>74.349999999999994</v>
      </c>
      <c r="F1439" s="1">
        <f ca="1">IFERROR(__xludf.DUMMYFUNCTION("""COMPUTED_VALUE"""),2000356)</f>
        <v>2000356</v>
      </c>
    </row>
    <row r="1440" spans="1:6" x14ac:dyDescent="0.35">
      <c r="A1440" s="2">
        <f ca="1">IFERROR(__xludf.DUMMYFUNCTION("""COMPUTED_VALUE"""),44092.6666666666)</f>
        <v>44092.666666666599</v>
      </c>
      <c r="B1440" s="1">
        <f ca="1">IFERROR(__xludf.DUMMYFUNCTION("""COMPUTED_VALUE"""),74.42)</f>
        <v>74.42</v>
      </c>
      <c r="C1440" s="1">
        <f ca="1">IFERROR(__xludf.DUMMYFUNCTION("""COMPUTED_VALUE"""),74.76)</f>
        <v>74.760000000000005</v>
      </c>
      <c r="D1440" s="1">
        <f ca="1">IFERROR(__xludf.DUMMYFUNCTION("""COMPUTED_VALUE"""),71.58)</f>
        <v>71.58</v>
      </c>
      <c r="E1440" s="1">
        <f ca="1">IFERROR(__xludf.DUMMYFUNCTION("""COMPUTED_VALUE"""),72.55)</f>
        <v>72.55</v>
      </c>
      <c r="F1440" s="1">
        <f ca="1">IFERROR(__xludf.DUMMYFUNCTION("""COMPUTED_VALUE"""),3152788)</f>
        <v>3152788</v>
      </c>
    </row>
    <row r="1441" spans="1:6" x14ac:dyDescent="0.35">
      <c r="A1441" s="2">
        <f ca="1">IFERROR(__xludf.DUMMYFUNCTION("""COMPUTED_VALUE"""),44095.6666666666)</f>
        <v>44095.666666666599</v>
      </c>
      <c r="B1441" s="1">
        <f ca="1">IFERROR(__xludf.DUMMYFUNCTION("""COMPUTED_VALUE"""),71.58)</f>
        <v>71.58</v>
      </c>
      <c r="C1441" s="1">
        <f ca="1">IFERROR(__xludf.DUMMYFUNCTION("""COMPUTED_VALUE"""),72)</f>
        <v>72</v>
      </c>
      <c r="D1441" s="1">
        <f ca="1">IFERROR(__xludf.DUMMYFUNCTION("""COMPUTED_VALUE"""),70.13)</f>
        <v>70.13</v>
      </c>
      <c r="E1441" s="1">
        <f ca="1">IFERROR(__xludf.DUMMYFUNCTION("""COMPUTED_VALUE"""),71.51)</f>
        <v>71.510000000000005</v>
      </c>
      <c r="F1441" s="1">
        <f ca="1">IFERROR(__xludf.DUMMYFUNCTION("""COMPUTED_VALUE"""),2845405)</f>
        <v>2845405</v>
      </c>
    </row>
    <row r="1442" spans="1:6" x14ac:dyDescent="0.35">
      <c r="A1442" s="2">
        <f ca="1">IFERROR(__xludf.DUMMYFUNCTION("""COMPUTED_VALUE"""),44096.6666666666)</f>
        <v>44096.666666666599</v>
      </c>
      <c r="B1442" s="1">
        <f ca="1">IFERROR(__xludf.DUMMYFUNCTION("""COMPUTED_VALUE"""),72.52)</f>
        <v>72.52</v>
      </c>
      <c r="C1442" s="1">
        <f ca="1">IFERROR(__xludf.DUMMYFUNCTION("""COMPUTED_VALUE"""),73.2)</f>
        <v>73.2</v>
      </c>
      <c r="D1442" s="1">
        <f ca="1">IFERROR(__xludf.DUMMYFUNCTION("""COMPUTED_VALUE"""),71.47)</f>
        <v>71.47</v>
      </c>
      <c r="E1442" s="1">
        <f ca="1">IFERROR(__xludf.DUMMYFUNCTION("""COMPUTED_VALUE"""),72.99)</f>
        <v>72.989999999999995</v>
      </c>
      <c r="F1442" s="1">
        <f ca="1">IFERROR(__xludf.DUMMYFUNCTION("""COMPUTED_VALUE"""),1697542)</f>
        <v>1697542</v>
      </c>
    </row>
    <row r="1443" spans="1:6" x14ac:dyDescent="0.35">
      <c r="A1443" s="2">
        <f ca="1">IFERROR(__xludf.DUMMYFUNCTION("""COMPUTED_VALUE"""),44097.6666666666)</f>
        <v>44097.666666666599</v>
      </c>
      <c r="B1443" s="1">
        <f ca="1">IFERROR(__xludf.DUMMYFUNCTION("""COMPUTED_VALUE"""),72.6)</f>
        <v>72.599999999999994</v>
      </c>
      <c r="C1443" s="1">
        <f ca="1">IFERROR(__xludf.DUMMYFUNCTION("""COMPUTED_VALUE"""),72.65)</f>
        <v>72.650000000000006</v>
      </c>
      <c r="D1443" s="1">
        <f ca="1">IFERROR(__xludf.DUMMYFUNCTION("""COMPUTED_VALUE"""),70.13)</f>
        <v>70.13</v>
      </c>
      <c r="E1443" s="1">
        <f ca="1">IFERROR(__xludf.DUMMYFUNCTION("""COMPUTED_VALUE"""),70.47)</f>
        <v>70.47</v>
      </c>
      <c r="F1443" s="1">
        <f ca="1">IFERROR(__xludf.DUMMYFUNCTION("""COMPUTED_VALUE"""),1886299)</f>
        <v>1886299</v>
      </c>
    </row>
    <row r="1444" spans="1:6" x14ac:dyDescent="0.35">
      <c r="A1444" s="2">
        <f ca="1">IFERROR(__xludf.DUMMYFUNCTION("""COMPUTED_VALUE"""),44098.6666666666)</f>
        <v>44098.666666666599</v>
      </c>
      <c r="B1444" s="1">
        <f ca="1">IFERROR(__xludf.DUMMYFUNCTION("""COMPUTED_VALUE"""),70.13)</f>
        <v>70.13</v>
      </c>
      <c r="C1444" s="1">
        <f ca="1">IFERROR(__xludf.DUMMYFUNCTION("""COMPUTED_VALUE"""),71.9)</f>
        <v>71.900000000000006</v>
      </c>
      <c r="D1444" s="1">
        <f ca="1">IFERROR(__xludf.DUMMYFUNCTION("""COMPUTED_VALUE"""),70.11)</f>
        <v>70.11</v>
      </c>
      <c r="E1444" s="1">
        <f ca="1">IFERROR(__xludf.DUMMYFUNCTION("""COMPUTED_VALUE"""),71.14)</f>
        <v>71.14</v>
      </c>
      <c r="F1444" s="1">
        <f ca="1">IFERROR(__xludf.DUMMYFUNCTION("""COMPUTED_VALUE"""),1727611)</f>
        <v>1727611</v>
      </c>
    </row>
    <row r="1445" spans="1:6" x14ac:dyDescent="0.35">
      <c r="A1445" s="2">
        <f ca="1">IFERROR(__xludf.DUMMYFUNCTION("""COMPUTED_VALUE"""),44099.6666666666)</f>
        <v>44099.666666666599</v>
      </c>
      <c r="B1445" s="1">
        <f ca="1">IFERROR(__xludf.DUMMYFUNCTION("""COMPUTED_VALUE"""),71.25)</f>
        <v>71.25</v>
      </c>
      <c r="C1445" s="1">
        <f ca="1">IFERROR(__xludf.DUMMYFUNCTION("""COMPUTED_VALUE"""),72.3)</f>
        <v>72.3</v>
      </c>
      <c r="D1445" s="1">
        <f ca="1">IFERROR(__xludf.DUMMYFUNCTION("""COMPUTED_VALUE"""),70.38)</f>
        <v>70.38</v>
      </c>
      <c r="E1445" s="1">
        <f ca="1">IFERROR(__xludf.DUMMYFUNCTION("""COMPUTED_VALUE"""),71.95)</f>
        <v>71.95</v>
      </c>
      <c r="F1445" s="1">
        <f ca="1">IFERROR(__xludf.DUMMYFUNCTION("""COMPUTED_VALUE"""),1516677)</f>
        <v>1516677</v>
      </c>
    </row>
    <row r="1446" spans="1:6" x14ac:dyDescent="0.35">
      <c r="A1446" s="2">
        <f ca="1">IFERROR(__xludf.DUMMYFUNCTION("""COMPUTED_VALUE"""),44102.6666666666)</f>
        <v>44102.666666666599</v>
      </c>
      <c r="B1446" s="1">
        <f ca="1">IFERROR(__xludf.DUMMYFUNCTION("""COMPUTED_VALUE"""),73.6)</f>
        <v>73.599999999999994</v>
      </c>
      <c r="C1446" s="1">
        <f ca="1">IFERROR(__xludf.DUMMYFUNCTION("""COMPUTED_VALUE"""),73.65)</f>
        <v>73.650000000000006</v>
      </c>
      <c r="D1446" s="1">
        <f ca="1">IFERROR(__xludf.DUMMYFUNCTION("""COMPUTED_VALUE"""),72.31)</f>
        <v>72.31</v>
      </c>
      <c r="E1446" s="1">
        <f ca="1">IFERROR(__xludf.DUMMYFUNCTION("""COMPUTED_VALUE"""),72.93)</f>
        <v>72.930000000000007</v>
      </c>
      <c r="F1446" s="1">
        <f ca="1">IFERROR(__xludf.DUMMYFUNCTION("""COMPUTED_VALUE"""),1539236)</f>
        <v>1539236</v>
      </c>
    </row>
    <row r="1447" spans="1:6" x14ac:dyDescent="0.35">
      <c r="A1447" s="2">
        <f ca="1">IFERROR(__xludf.DUMMYFUNCTION("""COMPUTED_VALUE"""),44103.6666666666)</f>
        <v>44103.666666666599</v>
      </c>
      <c r="B1447" s="1">
        <f ca="1">IFERROR(__xludf.DUMMYFUNCTION("""COMPUTED_VALUE"""),73.2)</f>
        <v>73.2</v>
      </c>
      <c r="C1447" s="1">
        <f ca="1">IFERROR(__xludf.DUMMYFUNCTION("""COMPUTED_VALUE"""),73.6)</f>
        <v>73.599999999999994</v>
      </c>
      <c r="D1447" s="1">
        <f ca="1">IFERROR(__xludf.DUMMYFUNCTION("""COMPUTED_VALUE"""),72.7)</f>
        <v>72.7</v>
      </c>
      <c r="E1447" s="1">
        <f ca="1">IFERROR(__xludf.DUMMYFUNCTION("""COMPUTED_VALUE"""),73.3)</f>
        <v>73.3</v>
      </c>
      <c r="F1447" s="1">
        <f ca="1">IFERROR(__xludf.DUMMYFUNCTION("""COMPUTED_VALUE"""),1591112)</f>
        <v>1591112</v>
      </c>
    </row>
    <row r="1448" spans="1:6" x14ac:dyDescent="0.35">
      <c r="A1448" s="2">
        <f ca="1">IFERROR(__xludf.DUMMYFUNCTION("""COMPUTED_VALUE"""),44104.6666666666)</f>
        <v>44104.666666666599</v>
      </c>
      <c r="B1448" s="1">
        <f ca="1">IFERROR(__xludf.DUMMYFUNCTION("""COMPUTED_VALUE"""),73.05)</f>
        <v>73.05</v>
      </c>
      <c r="C1448" s="1">
        <f ca="1">IFERROR(__xludf.DUMMYFUNCTION("""COMPUTED_VALUE"""),74.31)</f>
        <v>74.31</v>
      </c>
      <c r="D1448" s="1">
        <f ca="1">IFERROR(__xludf.DUMMYFUNCTION("""COMPUTED_VALUE"""),72.79)</f>
        <v>72.790000000000006</v>
      </c>
      <c r="E1448" s="1">
        <f ca="1">IFERROR(__xludf.DUMMYFUNCTION("""COMPUTED_VALUE"""),73.28)</f>
        <v>73.28</v>
      </c>
      <c r="F1448" s="1">
        <f ca="1">IFERROR(__xludf.DUMMYFUNCTION("""COMPUTED_VALUE"""),2046170)</f>
        <v>2046170</v>
      </c>
    </row>
    <row r="1449" spans="1:6" x14ac:dyDescent="0.35">
      <c r="A1449" s="2">
        <f ca="1">IFERROR(__xludf.DUMMYFUNCTION("""COMPUTED_VALUE"""),44105.6666666666)</f>
        <v>44105.666666666599</v>
      </c>
      <c r="B1449" s="1">
        <f ca="1">IFERROR(__xludf.DUMMYFUNCTION("""COMPUTED_VALUE"""),74.18)</f>
        <v>74.180000000000007</v>
      </c>
      <c r="C1449" s="1">
        <f ca="1">IFERROR(__xludf.DUMMYFUNCTION("""COMPUTED_VALUE"""),74.75)</f>
        <v>74.75</v>
      </c>
      <c r="D1449" s="1">
        <f ca="1">IFERROR(__xludf.DUMMYFUNCTION("""COMPUTED_VALUE"""),73.84)</f>
        <v>73.84</v>
      </c>
      <c r="E1449" s="1">
        <f ca="1">IFERROR(__xludf.DUMMYFUNCTION("""COMPUTED_VALUE"""),74.4)</f>
        <v>74.400000000000006</v>
      </c>
      <c r="F1449" s="1">
        <f ca="1">IFERROR(__xludf.DUMMYFUNCTION("""COMPUTED_VALUE"""),1644221)</f>
        <v>1644221</v>
      </c>
    </row>
    <row r="1450" spans="1:6" x14ac:dyDescent="0.35">
      <c r="A1450" s="2">
        <f ca="1">IFERROR(__xludf.DUMMYFUNCTION("""COMPUTED_VALUE"""),44106.6666666666)</f>
        <v>44106.666666666599</v>
      </c>
      <c r="B1450" s="1">
        <f ca="1">IFERROR(__xludf.DUMMYFUNCTION("""COMPUTED_VALUE"""),72.98)</f>
        <v>72.98</v>
      </c>
      <c r="C1450" s="1">
        <f ca="1">IFERROR(__xludf.DUMMYFUNCTION("""COMPUTED_VALUE"""),73.95)</f>
        <v>73.95</v>
      </c>
      <c r="D1450" s="1">
        <f ca="1">IFERROR(__xludf.DUMMYFUNCTION("""COMPUTED_VALUE"""),72.37)</f>
        <v>72.37</v>
      </c>
      <c r="E1450" s="1">
        <f ca="1">IFERROR(__xludf.DUMMYFUNCTION("""COMPUTED_VALUE"""),72.78)</f>
        <v>72.78</v>
      </c>
      <c r="F1450" s="1">
        <f ca="1">IFERROR(__xludf.DUMMYFUNCTION("""COMPUTED_VALUE"""),1561132)</f>
        <v>1561132</v>
      </c>
    </row>
    <row r="1451" spans="1:6" x14ac:dyDescent="0.35">
      <c r="A1451" s="2">
        <f ca="1">IFERROR(__xludf.DUMMYFUNCTION("""COMPUTED_VALUE"""),44109.6666666666)</f>
        <v>44109.666666666599</v>
      </c>
      <c r="B1451" s="1">
        <f ca="1">IFERROR(__xludf.DUMMYFUNCTION("""COMPUTED_VALUE"""),73.13)</f>
        <v>73.13</v>
      </c>
      <c r="C1451" s="1">
        <f ca="1">IFERROR(__xludf.DUMMYFUNCTION("""COMPUTED_VALUE"""),74.24)</f>
        <v>74.239999999999995</v>
      </c>
      <c r="D1451" s="1">
        <f ca="1">IFERROR(__xludf.DUMMYFUNCTION("""COMPUTED_VALUE"""),73)</f>
        <v>73</v>
      </c>
      <c r="E1451" s="1">
        <f ca="1">IFERROR(__xludf.DUMMYFUNCTION("""COMPUTED_VALUE"""),74.14)</f>
        <v>74.14</v>
      </c>
      <c r="F1451" s="1">
        <f ca="1">IFERROR(__xludf.DUMMYFUNCTION("""COMPUTED_VALUE"""),1080058)</f>
        <v>1080058</v>
      </c>
    </row>
    <row r="1452" spans="1:6" x14ac:dyDescent="0.35">
      <c r="A1452" s="2">
        <f ca="1">IFERROR(__xludf.DUMMYFUNCTION("""COMPUTED_VALUE"""),44110.6666666666)</f>
        <v>44110.666666666599</v>
      </c>
      <c r="B1452" s="1">
        <f ca="1">IFERROR(__xludf.DUMMYFUNCTION("""COMPUTED_VALUE"""),73.78)</f>
        <v>73.78</v>
      </c>
      <c r="C1452" s="1">
        <f ca="1">IFERROR(__xludf.DUMMYFUNCTION("""COMPUTED_VALUE"""),74.23)</f>
        <v>74.23</v>
      </c>
      <c r="D1452" s="1">
        <f ca="1">IFERROR(__xludf.DUMMYFUNCTION("""COMPUTED_VALUE"""),72.25)</f>
        <v>72.25</v>
      </c>
      <c r="E1452" s="1">
        <f ca="1">IFERROR(__xludf.DUMMYFUNCTION("""COMPUTED_VALUE"""),72.55)</f>
        <v>72.55</v>
      </c>
      <c r="F1452" s="1">
        <f ca="1">IFERROR(__xludf.DUMMYFUNCTION("""COMPUTED_VALUE"""),1304752)</f>
        <v>1304752</v>
      </c>
    </row>
    <row r="1453" spans="1:6" x14ac:dyDescent="0.35">
      <c r="A1453" s="2">
        <f ca="1">IFERROR(__xludf.DUMMYFUNCTION("""COMPUTED_VALUE"""),44111.6666666666)</f>
        <v>44111.666666666599</v>
      </c>
      <c r="B1453" s="1">
        <f ca="1">IFERROR(__xludf.DUMMYFUNCTION("""COMPUTED_VALUE"""),72.97)</f>
        <v>72.97</v>
      </c>
      <c r="C1453" s="1">
        <f ca="1">IFERROR(__xludf.DUMMYFUNCTION("""COMPUTED_VALUE"""),73.45)</f>
        <v>73.45</v>
      </c>
      <c r="D1453" s="1">
        <f ca="1">IFERROR(__xludf.DUMMYFUNCTION("""COMPUTED_VALUE"""),71.66)</f>
        <v>71.66</v>
      </c>
      <c r="E1453" s="1">
        <f ca="1">IFERROR(__xludf.DUMMYFUNCTION("""COMPUTED_VALUE"""),72.96)</f>
        <v>72.959999999999994</v>
      </c>
      <c r="F1453" s="1">
        <f ca="1">IFERROR(__xludf.DUMMYFUNCTION("""COMPUTED_VALUE"""),1805448)</f>
        <v>1805448</v>
      </c>
    </row>
    <row r="1454" spans="1:6" x14ac:dyDescent="0.35">
      <c r="A1454" s="2">
        <f ca="1">IFERROR(__xludf.DUMMYFUNCTION("""COMPUTED_VALUE"""),44112.6666666666)</f>
        <v>44112.666666666599</v>
      </c>
      <c r="B1454" s="1">
        <f ca="1">IFERROR(__xludf.DUMMYFUNCTION("""COMPUTED_VALUE"""),73.27)</f>
        <v>73.27</v>
      </c>
      <c r="C1454" s="1">
        <f ca="1">IFERROR(__xludf.DUMMYFUNCTION("""COMPUTED_VALUE"""),74.4)</f>
        <v>74.400000000000006</v>
      </c>
      <c r="D1454" s="1">
        <f ca="1">IFERROR(__xludf.DUMMYFUNCTION("""COMPUTED_VALUE"""),73.27)</f>
        <v>73.27</v>
      </c>
      <c r="E1454" s="1">
        <f ca="1">IFERROR(__xludf.DUMMYFUNCTION("""COMPUTED_VALUE"""),74.17)</f>
        <v>74.17</v>
      </c>
      <c r="F1454" s="1">
        <f ca="1">IFERROR(__xludf.DUMMYFUNCTION("""COMPUTED_VALUE"""),1303802)</f>
        <v>1303802</v>
      </c>
    </row>
    <row r="1455" spans="1:6" x14ac:dyDescent="0.35">
      <c r="A1455" s="2">
        <f ca="1">IFERROR(__xludf.DUMMYFUNCTION("""COMPUTED_VALUE"""),44113.6666666666)</f>
        <v>44113.666666666599</v>
      </c>
      <c r="B1455" s="1">
        <f ca="1">IFERROR(__xludf.DUMMYFUNCTION("""COMPUTED_VALUE"""),74.64)</f>
        <v>74.64</v>
      </c>
      <c r="C1455" s="1">
        <f ca="1">IFERROR(__xludf.DUMMYFUNCTION("""COMPUTED_VALUE"""),75.59)</f>
        <v>75.59</v>
      </c>
      <c r="D1455" s="1">
        <f ca="1">IFERROR(__xludf.DUMMYFUNCTION("""COMPUTED_VALUE"""),74.35)</f>
        <v>74.349999999999994</v>
      </c>
      <c r="E1455" s="1">
        <f ca="1">IFERROR(__xludf.DUMMYFUNCTION("""COMPUTED_VALUE"""),75.52)</f>
        <v>75.52</v>
      </c>
      <c r="F1455" s="1">
        <f ca="1">IFERROR(__xludf.DUMMYFUNCTION("""COMPUTED_VALUE"""),1648340)</f>
        <v>1648340</v>
      </c>
    </row>
    <row r="1456" spans="1:6" x14ac:dyDescent="0.35">
      <c r="A1456" s="2">
        <f ca="1">IFERROR(__xludf.DUMMYFUNCTION("""COMPUTED_VALUE"""),44116.6666666666)</f>
        <v>44116.666666666599</v>
      </c>
      <c r="B1456" s="1">
        <f ca="1">IFERROR(__xludf.DUMMYFUNCTION("""COMPUTED_VALUE"""),76.9)</f>
        <v>76.900000000000006</v>
      </c>
      <c r="C1456" s="1">
        <f ca="1">IFERROR(__xludf.DUMMYFUNCTION("""COMPUTED_VALUE"""),79.42)</f>
        <v>79.42</v>
      </c>
      <c r="D1456" s="1">
        <f ca="1">IFERROR(__xludf.DUMMYFUNCTION("""COMPUTED_VALUE"""),76.47)</f>
        <v>76.47</v>
      </c>
      <c r="E1456" s="1">
        <f ca="1">IFERROR(__xludf.DUMMYFUNCTION("""COMPUTED_VALUE"""),78.23)</f>
        <v>78.23</v>
      </c>
      <c r="F1456" s="1">
        <f ca="1">IFERROR(__xludf.DUMMYFUNCTION("""COMPUTED_VALUE"""),2767164)</f>
        <v>2767164</v>
      </c>
    </row>
    <row r="1457" spans="1:6" x14ac:dyDescent="0.35">
      <c r="A1457" s="2">
        <f ca="1">IFERROR(__xludf.DUMMYFUNCTION("""COMPUTED_VALUE"""),44117.6666666666)</f>
        <v>44117.666666666599</v>
      </c>
      <c r="B1457" s="1">
        <f ca="1">IFERROR(__xludf.DUMMYFUNCTION("""COMPUTED_VALUE"""),78.85)</f>
        <v>78.849999999999994</v>
      </c>
      <c r="C1457" s="1">
        <f ca="1">IFERROR(__xludf.DUMMYFUNCTION("""COMPUTED_VALUE"""),79.26)</f>
        <v>79.260000000000005</v>
      </c>
      <c r="D1457" s="1">
        <f ca="1">IFERROR(__xludf.DUMMYFUNCTION("""COMPUTED_VALUE"""),77.93)</f>
        <v>77.930000000000007</v>
      </c>
      <c r="E1457" s="1">
        <f ca="1">IFERROR(__xludf.DUMMYFUNCTION("""COMPUTED_VALUE"""),78.35)</f>
        <v>78.349999999999994</v>
      </c>
      <c r="F1457" s="1">
        <f ca="1">IFERROR(__xludf.DUMMYFUNCTION("""COMPUTED_VALUE"""),1953609)</f>
        <v>1953609</v>
      </c>
    </row>
    <row r="1458" spans="1:6" x14ac:dyDescent="0.35">
      <c r="A1458" s="2">
        <f ca="1">IFERROR(__xludf.DUMMYFUNCTION("""COMPUTED_VALUE"""),44118.6666666666)</f>
        <v>44118.666666666599</v>
      </c>
      <c r="B1458" s="1">
        <f ca="1">IFERROR(__xludf.DUMMYFUNCTION("""COMPUTED_VALUE"""),78.73)</f>
        <v>78.73</v>
      </c>
      <c r="C1458" s="1">
        <f ca="1">IFERROR(__xludf.DUMMYFUNCTION("""COMPUTED_VALUE"""),79.19)</f>
        <v>79.19</v>
      </c>
      <c r="D1458" s="1">
        <f ca="1">IFERROR(__xludf.DUMMYFUNCTION("""COMPUTED_VALUE"""),77.29)</f>
        <v>77.290000000000006</v>
      </c>
      <c r="E1458" s="1">
        <f ca="1">IFERROR(__xludf.DUMMYFUNCTION("""COMPUTED_VALUE"""),78.17)</f>
        <v>78.17</v>
      </c>
      <c r="F1458" s="1">
        <f ca="1">IFERROR(__xludf.DUMMYFUNCTION("""COMPUTED_VALUE"""),1659228)</f>
        <v>1659228</v>
      </c>
    </row>
    <row r="1459" spans="1:6" x14ac:dyDescent="0.35">
      <c r="A1459" s="2">
        <f ca="1">IFERROR(__xludf.DUMMYFUNCTION("""COMPUTED_VALUE"""),44119.6666666666)</f>
        <v>44119.666666666599</v>
      </c>
      <c r="B1459" s="1">
        <f ca="1">IFERROR(__xludf.DUMMYFUNCTION("""COMPUTED_VALUE"""),77.22)</f>
        <v>77.22</v>
      </c>
      <c r="C1459" s="1">
        <f ca="1">IFERROR(__xludf.DUMMYFUNCTION("""COMPUTED_VALUE"""),78.57)</f>
        <v>78.569999999999993</v>
      </c>
      <c r="D1459" s="1">
        <f ca="1">IFERROR(__xludf.DUMMYFUNCTION("""COMPUTED_VALUE"""),77.06)</f>
        <v>77.06</v>
      </c>
      <c r="E1459" s="1">
        <f ca="1">IFERROR(__xludf.DUMMYFUNCTION("""COMPUTED_VALUE"""),77.77)</f>
        <v>77.77</v>
      </c>
      <c r="F1459" s="1">
        <f ca="1">IFERROR(__xludf.DUMMYFUNCTION("""COMPUTED_VALUE"""),1561485)</f>
        <v>1561485</v>
      </c>
    </row>
    <row r="1460" spans="1:6" x14ac:dyDescent="0.35">
      <c r="A1460" s="2">
        <f ca="1">IFERROR(__xludf.DUMMYFUNCTION("""COMPUTED_VALUE"""),44120.6666666666)</f>
        <v>44120.666666666599</v>
      </c>
      <c r="B1460" s="1">
        <f ca="1">IFERROR(__xludf.DUMMYFUNCTION("""COMPUTED_VALUE"""),78.09)</f>
        <v>78.09</v>
      </c>
      <c r="C1460" s="1">
        <f ca="1">IFERROR(__xludf.DUMMYFUNCTION("""COMPUTED_VALUE"""),78.89)</f>
        <v>78.89</v>
      </c>
      <c r="D1460" s="1">
        <f ca="1">IFERROR(__xludf.DUMMYFUNCTION("""COMPUTED_VALUE"""),77.88)</f>
        <v>77.88</v>
      </c>
      <c r="E1460" s="1">
        <f ca="1">IFERROR(__xludf.DUMMYFUNCTION("""COMPUTED_VALUE"""),78.39)</f>
        <v>78.39</v>
      </c>
      <c r="F1460" s="1">
        <f ca="1">IFERROR(__xludf.DUMMYFUNCTION("""COMPUTED_VALUE"""),1710325)</f>
        <v>1710325</v>
      </c>
    </row>
    <row r="1461" spans="1:6" x14ac:dyDescent="0.35">
      <c r="A1461" s="2">
        <f ca="1">IFERROR(__xludf.DUMMYFUNCTION("""COMPUTED_VALUE"""),44123.6666666666)</f>
        <v>44123.666666666599</v>
      </c>
      <c r="B1461" s="1">
        <f ca="1">IFERROR(__xludf.DUMMYFUNCTION("""COMPUTED_VALUE"""),78.8)</f>
        <v>78.8</v>
      </c>
      <c r="C1461" s="1">
        <f ca="1">IFERROR(__xludf.DUMMYFUNCTION("""COMPUTED_VALUE"""),79.2)</f>
        <v>79.2</v>
      </c>
      <c r="D1461" s="1">
        <f ca="1">IFERROR(__xludf.DUMMYFUNCTION("""COMPUTED_VALUE"""),76.15)</f>
        <v>76.150000000000006</v>
      </c>
      <c r="E1461" s="1">
        <f ca="1">IFERROR(__xludf.DUMMYFUNCTION("""COMPUTED_VALUE"""),76.5)</f>
        <v>76.5</v>
      </c>
      <c r="F1461" s="1">
        <f ca="1">IFERROR(__xludf.DUMMYFUNCTION("""COMPUTED_VALUE"""),1486652)</f>
        <v>1486652</v>
      </c>
    </row>
    <row r="1462" spans="1:6" x14ac:dyDescent="0.35">
      <c r="A1462" s="2">
        <f ca="1">IFERROR(__xludf.DUMMYFUNCTION("""COMPUTED_VALUE"""),44124.6666666666)</f>
        <v>44124.666666666599</v>
      </c>
      <c r="B1462" s="1">
        <f ca="1">IFERROR(__xludf.DUMMYFUNCTION("""COMPUTED_VALUE"""),76.16)</f>
        <v>76.16</v>
      </c>
      <c r="C1462" s="1">
        <f ca="1">IFERROR(__xludf.DUMMYFUNCTION("""COMPUTED_VALUE"""),78.69)</f>
        <v>78.69</v>
      </c>
      <c r="D1462" s="1">
        <f ca="1">IFERROR(__xludf.DUMMYFUNCTION("""COMPUTED_VALUE"""),76.03)</f>
        <v>76.03</v>
      </c>
      <c r="E1462" s="1">
        <f ca="1">IFERROR(__xludf.DUMMYFUNCTION("""COMPUTED_VALUE"""),77.55)</f>
        <v>77.55</v>
      </c>
      <c r="F1462" s="1">
        <f ca="1">IFERROR(__xludf.DUMMYFUNCTION("""COMPUTED_VALUE"""),2085915)</f>
        <v>2085915</v>
      </c>
    </row>
    <row r="1463" spans="1:6" x14ac:dyDescent="0.35">
      <c r="A1463" s="2">
        <f ca="1">IFERROR(__xludf.DUMMYFUNCTION("""COMPUTED_VALUE"""),44125.6666666666)</f>
        <v>44125.666666666599</v>
      </c>
      <c r="B1463" s="1">
        <f ca="1">IFERROR(__xludf.DUMMYFUNCTION("""COMPUTED_VALUE"""),78.49)</f>
        <v>78.489999999999995</v>
      </c>
      <c r="C1463" s="1">
        <f ca="1">IFERROR(__xludf.DUMMYFUNCTION("""COMPUTED_VALUE"""),80.76)</f>
        <v>80.760000000000005</v>
      </c>
      <c r="D1463" s="1">
        <f ca="1">IFERROR(__xludf.DUMMYFUNCTION("""COMPUTED_VALUE"""),78.36)</f>
        <v>78.36</v>
      </c>
      <c r="E1463" s="1">
        <f ca="1">IFERROR(__xludf.DUMMYFUNCTION("""COMPUTED_VALUE"""),79.3)</f>
        <v>79.3</v>
      </c>
      <c r="F1463" s="1">
        <f ca="1">IFERROR(__xludf.DUMMYFUNCTION("""COMPUTED_VALUE"""),3016053)</f>
        <v>3016053</v>
      </c>
    </row>
    <row r="1464" spans="1:6" x14ac:dyDescent="0.35">
      <c r="A1464" s="2">
        <f ca="1">IFERROR(__xludf.DUMMYFUNCTION("""COMPUTED_VALUE"""),44126.6666666666)</f>
        <v>44126.666666666599</v>
      </c>
      <c r="B1464" s="1">
        <f ca="1">IFERROR(__xludf.DUMMYFUNCTION("""COMPUTED_VALUE"""),79.25)</f>
        <v>79.25</v>
      </c>
      <c r="C1464" s="1">
        <f ca="1">IFERROR(__xludf.DUMMYFUNCTION("""COMPUTED_VALUE"""),80.67)</f>
        <v>80.67</v>
      </c>
      <c r="D1464" s="1">
        <f ca="1">IFERROR(__xludf.DUMMYFUNCTION("""COMPUTED_VALUE"""),78.87)</f>
        <v>78.87</v>
      </c>
      <c r="E1464" s="1">
        <f ca="1">IFERROR(__xludf.DUMMYFUNCTION("""COMPUTED_VALUE"""),80.33)</f>
        <v>80.33</v>
      </c>
      <c r="F1464" s="1">
        <f ca="1">IFERROR(__xludf.DUMMYFUNCTION("""COMPUTED_VALUE"""),1525773)</f>
        <v>1525773</v>
      </c>
    </row>
    <row r="1465" spans="1:6" x14ac:dyDescent="0.35">
      <c r="A1465" s="2">
        <f ca="1">IFERROR(__xludf.DUMMYFUNCTION("""COMPUTED_VALUE"""),44127.6666666666)</f>
        <v>44127.666666666599</v>
      </c>
      <c r="B1465" s="1">
        <f ca="1">IFERROR(__xludf.DUMMYFUNCTION("""COMPUTED_VALUE"""),80.75)</f>
        <v>80.75</v>
      </c>
      <c r="C1465" s="1">
        <f ca="1">IFERROR(__xludf.DUMMYFUNCTION("""COMPUTED_VALUE"""),81.71)</f>
        <v>81.709999999999994</v>
      </c>
      <c r="D1465" s="1">
        <f ca="1">IFERROR(__xludf.DUMMYFUNCTION("""COMPUTED_VALUE"""),80.6)</f>
        <v>80.599999999999994</v>
      </c>
      <c r="E1465" s="1">
        <f ca="1">IFERROR(__xludf.DUMMYFUNCTION("""COMPUTED_VALUE"""),81.65)</f>
        <v>81.650000000000006</v>
      </c>
      <c r="F1465" s="1">
        <f ca="1">IFERROR(__xludf.DUMMYFUNCTION("""COMPUTED_VALUE"""),1527402)</f>
        <v>1527402</v>
      </c>
    </row>
    <row r="1466" spans="1:6" x14ac:dyDescent="0.35">
      <c r="A1466" s="2">
        <f ca="1">IFERROR(__xludf.DUMMYFUNCTION("""COMPUTED_VALUE"""),44130.6666666666)</f>
        <v>44130.666666666599</v>
      </c>
      <c r="B1466" s="1">
        <f ca="1">IFERROR(__xludf.DUMMYFUNCTION("""COMPUTED_VALUE"""),80.75)</f>
        <v>80.75</v>
      </c>
      <c r="C1466" s="1">
        <f ca="1">IFERROR(__xludf.DUMMYFUNCTION("""COMPUTED_VALUE"""),81.48)</f>
        <v>81.48</v>
      </c>
      <c r="D1466" s="1">
        <f ca="1">IFERROR(__xludf.DUMMYFUNCTION("""COMPUTED_VALUE"""),78.39)</f>
        <v>78.39</v>
      </c>
      <c r="E1466" s="1">
        <f ca="1">IFERROR(__xludf.DUMMYFUNCTION("""COMPUTED_VALUE"""),79.21)</f>
        <v>79.209999999999994</v>
      </c>
      <c r="F1466" s="1">
        <f ca="1">IFERROR(__xludf.DUMMYFUNCTION("""COMPUTED_VALUE"""),1791317)</f>
        <v>1791317</v>
      </c>
    </row>
    <row r="1467" spans="1:6" x14ac:dyDescent="0.35">
      <c r="A1467" s="2">
        <f ca="1">IFERROR(__xludf.DUMMYFUNCTION("""COMPUTED_VALUE"""),44131.6666666666)</f>
        <v>44131.666666666599</v>
      </c>
      <c r="B1467" s="1">
        <f ca="1">IFERROR(__xludf.DUMMYFUNCTION("""COMPUTED_VALUE"""),79.45)</f>
        <v>79.45</v>
      </c>
      <c r="C1467" s="1">
        <f ca="1">IFERROR(__xludf.DUMMYFUNCTION("""COMPUTED_VALUE"""),80.1)</f>
        <v>80.099999999999994</v>
      </c>
      <c r="D1467" s="1">
        <f ca="1">IFERROR(__xludf.DUMMYFUNCTION("""COMPUTED_VALUE"""),78.85)</f>
        <v>78.849999999999994</v>
      </c>
      <c r="E1467" s="1">
        <f ca="1">IFERROR(__xludf.DUMMYFUNCTION("""COMPUTED_VALUE"""),79.94)</f>
        <v>79.94</v>
      </c>
      <c r="F1467" s="1">
        <f ca="1">IFERROR(__xludf.DUMMYFUNCTION("""COMPUTED_VALUE"""),1295138)</f>
        <v>1295138</v>
      </c>
    </row>
    <row r="1468" spans="1:6" x14ac:dyDescent="0.35">
      <c r="A1468" s="2">
        <f ca="1">IFERROR(__xludf.DUMMYFUNCTION("""COMPUTED_VALUE"""),44132.6666666666)</f>
        <v>44132.666666666599</v>
      </c>
      <c r="B1468" s="1">
        <f ca="1">IFERROR(__xludf.DUMMYFUNCTION("""COMPUTED_VALUE"""),77.5)</f>
        <v>77.5</v>
      </c>
      <c r="C1468" s="1">
        <f ca="1">IFERROR(__xludf.DUMMYFUNCTION("""COMPUTED_VALUE"""),77.69)</f>
        <v>77.69</v>
      </c>
      <c r="D1468" s="1">
        <f ca="1">IFERROR(__xludf.DUMMYFUNCTION("""COMPUTED_VALUE"""),75.42)</f>
        <v>75.42</v>
      </c>
      <c r="E1468" s="1">
        <f ca="1">IFERROR(__xludf.DUMMYFUNCTION("""COMPUTED_VALUE"""),75.54)</f>
        <v>75.540000000000006</v>
      </c>
      <c r="F1468" s="1">
        <f ca="1">IFERROR(__xludf.DUMMYFUNCTION("""COMPUTED_VALUE"""),2258675)</f>
        <v>2258675</v>
      </c>
    </row>
    <row r="1469" spans="1:6" x14ac:dyDescent="0.35">
      <c r="A1469" s="2">
        <f ca="1">IFERROR(__xludf.DUMMYFUNCTION("""COMPUTED_VALUE"""),44133.6666666666)</f>
        <v>44133.666666666599</v>
      </c>
      <c r="B1469" s="1">
        <f ca="1">IFERROR(__xludf.DUMMYFUNCTION("""COMPUTED_VALUE"""),75.85)</f>
        <v>75.849999999999994</v>
      </c>
      <c r="C1469" s="1">
        <f ca="1">IFERROR(__xludf.DUMMYFUNCTION("""COMPUTED_VALUE"""),79.44)</f>
        <v>79.44</v>
      </c>
      <c r="D1469" s="1">
        <f ca="1">IFERROR(__xludf.DUMMYFUNCTION("""COMPUTED_VALUE"""),75.83)</f>
        <v>75.83</v>
      </c>
      <c r="E1469" s="1">
        <f ca="1">IFERROR(__xludf.DUMMYFUNCTION("""COMPUTED_VALUE"""),77.84)</f>
        <v>77.84</v>
      </c>
      <c r="F1469" s="1">
        <f ca="1">IFERROR(__xludf.DUMMYFUNCTION("""COMPUTED_VALUE"""),2770343)</f>
        <v>2770343</v>
      </c>
    </row>
    <row r="1470" spans="1:6" x14ac:dyDescent="0.35">
      <c r="A1470" s="2">
        <f ca="1">IFERROR(__xludf.DUMMYFUNCTION("""COMPUTED_VALUE"""),44134.6666666666)</f>
        <v>44134.666666666599</v>
      </c>
      <c r="B1470" s="1">
        <f ca="1">IFERROR(__xludf.DUMMYFUNCTION("""COMPUTED_VALUE"""),83.37)</f>
        <v>83.37</v>
      </c>
      <c r="C1470" s="1">
        <f ca="1">IFERROR(__xludf.DUMMYFUNCTION("""COMPUTED_VALUE"""),84.07)</f>
        <v>84.07</v>
      </c>
      <c r="D1470" s="1">
        <f ca="1">IFERROR(__xludf.DUMMYFUNCTION("""COMPUTED_VALUE"""),80.08)</f>
        <v>80.08</v>
      </c>
      <c r="E1470" s="1">
        <f ca="1">IFERROR(__xludf.DUMMYFUNCTION("""COMPUTED_VALUE"""),80.81)</f>
        <v>80.81</v>
      </c>
      <c r="F1470" s="1">
        <f ca="1">IFERROR(__xludf.DUMMYFUNCTION("""COMPUTED_VALUE"""),4996197)</f>
        <v>4996197</v>
      </c>
    </row>
    <row r="1471" spans="1:6" x14ac:dyDescent="0.35">
      <c r="A1471" s="2">
        <f ca="1">IFERROR(__xludf.DUMMYFUNCTION("""COMPUTED_VALUE"""),44137.6666666666)</f>
        <v>44137.666666666599</v>
      </c>
      <c r="B1471" s="1">
        <f ca="1">IFERROR(__xludf.DUMMYFUNCTION("""COMPUTED_VALUE"""),81.18)</f>
        <v>81.180000000000007</v>
      </c>
      <c r="C1471" s="1">
        <f ca="1">IFERROR(__xludf.DUMMYFUNCTION("""COMPUTED_VALUE"""),82.91)</f>
        <v>82.91</v>
      </c>
      <c r="D1471" s="1">
        <f ca="1">IFERROR(__xludf.DUMMYFUNCTION("""COMPUTED_VALUE"""),80.71)</f>
        <v>80.709999999999994</v>
      </c>
      <c r="E1471" s="1">
        <f ca="1">IFERROR(__xludf.DUMMYFUNCTION("""COMPUTED_VALUE"""),81.22)</f>
        <v>81.22</v>
      </c>
      <c r="F1471" s="1">
        <f ca="1">IFERROR(__xludf.DUMMYFUNCTION("""COMPUTED_VALUE"""),2211449)</f>
        <v>2211449</v>
      </c>
    </row>
    <row r="1472" spans="1:6" x14ac:dyDescent="0.35">
      <c r="A1472" s="2">
        <f ca="1">IFERROR(__xludf.DUMMYFUNCTION("""COMPUTED_VALUE"""),44138.6666666666)</f>
        <v>44138.666666666599</v>
      </c>
      <c r="B1472" s="1">
        <f ca="1">IFERROR(__xludf.DUMMYFUNCTION("""COMPUTED_VALUE"""),81.54)</f>
        <v>81.540000000000006</v>
      </c>
      <c r="C1472" s="1">
        <f ca="1">IFERROR(__xludf.DUMMYFUNCTION("""COMPUTED_VALUE"""),82.95)</f>
        <v>82.95</v>
      </c>
      <c r="D1472" s="1">
        <f ca="1">IFERROR(__xludf.DUMMYFUNCTION("""COMPUTED_VALUE"""),80.61)</f>
        <v>80.61</v>
      </c>
      <c r="E1472" s="1">
        <f ca="1">IFERROR(__xludf.DUMMYFUNCTION("""COMPUTED_VALUE"""),82.28)</f>
        <v>82.28</v>
      </c>
      <c r="F1472" s="1">
        <f ca="1">IFERROR(__xludf.DUMMYFUNCTION("""COMPUTED_VALUE"""),1571641)</f>
        <v>1571641</v>
      </c>
    </row>
    <row r="1473" spans="1:6" x14ac:dyDescent="0.35">
      <c r="A1473" s="2">
        <f ca="1">IFERROR(__xludf.DUMMYFUNCTION("""COMPUTED_VALUE"""),44139.6666666666)</f>
        <v>44139.666666666599</v>
      </c>
      <c r="B1473" s="1">
        <f ca="1">IFERROR(__xludf.DUMMYFUNCTION("""COMPUTED_VALUE"""),85.28)</f>
        <v>85.28</v>
      </c>
      <c r="C1473" s="1">
        <f ca="1">IFERROR(__xludf.DUMMYFUNCTION("""COMPUTED_VALUE"""),88.5)</f>
        <v>88.5</v>
      </c>
      <c r="D1473" s="1">
        <f ca="1">IFERROR(__xludf.DUMMYFUNCTION("""COMPUTED_VALUE"""),85.15)</f>
        <v>85.15</v>
      </c>
      <c r="E1473" s="1">
        <f ca="1">IFERROR(__xludf.DUMMYFUNCTION("""COMPUTED_VALUE"""),87.29)</f>
        <v>87.29</v>
      </c>
      <c r="F1473" s="1">
        <f ca="1">IFERROR(__xludf.DUMMYFUNCTION("""COMPUTED_VALUE"""),3567149)</f>
        <v>3567149</v>
      </c>
    </row>
    <row r="1474" spans="1:6" x14ac:dyDescent="0.35">
      <c r="A1474" s="2">
        <f ca="1">IFERROR(__xludf.DUMMYFUNCTION("""COMPUTED_VALUE"""),44140.6666666666)</f>
        <v>44140.666666666599</v>
      </c>
      <c r="B1474" s="1">
        <f ca="1">IFERROR(__xludf.DUMMYFUNCTION("""COMPUTED_VALUE"""),88.52)</f>
        <v>88.52</v>
      </c>
      <c r="C1474" s="1">
        <f ca="1">IFERROR(__xludf.DUMMYFUNCTION("""COMPUTED_VALUE"""),89.59)</f>
        <v>89.59</v>
      </c>
      <c r="D1474" s="1">
        <f ca="1">IFERROR(__xludf.DUMMYFUNCTION("""COMPUTED_VALUE"""),87.05)</f>
        <v>87.05</v>
      </c>
      <c r="E1474" s="1">
        <f ca="1">IFERROR(__xludf.DUMMYFUNCTION("""COMPUTED_VALUE"""),88.13)</f>
        <v>88.13</v>
      </c>
      <c r="F1474" s="1">
        <f ca="1">IFERROR(__xludf.DUMMYFUNCTION("""COMPUTED_VALUE"""),1987907)</f>
        <v>1987907</v>
      </c>
    </row>
    <row r="1475" spans="1:6" x14ac:dyDescent="0.35">
      <c r="A1475" s="2">
        <f ca="1">IFERROR(__xludf.DUMMYFUNCTION("""COMPUTED_VALUE"""),44141.6666666666)</f>
        <v>44141.666666666599</v>
      </c>
      <c r="B1475" s="1">
        <f ca="1">IFERROR(__xludf.DUMMYFUNCTION("""COMPUTED_VALUE"""),87.57)</f>
        <v>87.57</v>
      </c>
      <c r="C1475" s="1">
        <f ca="1">IFERROR(__xludf.DUMMYFUNCTION("""COMPUTED_VALUE"""),88.42)</f>
        <v>88.42</v>
      </c>
      <c r="D1475" s="1">
        <f ca="1">IFERROR(__xludf.DUMMYFUNCTION("""COMPUTED_VALUE"""),86.83)</f>
        <v>86.83</v>
      </c>
      <c r="E1475" s="1">
        <f ca="1">IFERROR(__xludf.DUMMYFUNCTION("""COMPUTED_VALUE"""),87.99)</f>
        <v>87.99</v>
      </c>
      <c r="F1475" s="1">
        <f ca="1">IFERROR(__xludf.DUMMYFUNCTION("""COMPUTED_VALUE"""),1431084)</f>
        <v>1431084</v>
      </c>
    </row>
    <row r="1476" spans="1:6" x14ac:dyDescent="0.35">
      <c r="A1476" s="2">
        <f ca="1">IFERROR(__xludf.DUMMYFUNCTION("""COMPUTED_VALUE"""),44144.6666666666)</f>
        <v>44144.666666666599</v>
      </c>
      <c r="B1476" s="1">
        <f ca="1">IFERROR(__xludf.DUMMYFUNCTION("""COMPUTED_VALUE"""),89.8)</f>
        <v>89.8</v>
      </c>
      <c r="C1476" s="1">
        <f ca="1">IFERROR(__xludf.DUMMYFUNCTION("""COMPUTED_VALUE"""),90.84)</f>
        <v>90.84</v>
      </c>
      <c r="D1476" s="1">
        <f ca="1">IFERROR(__xludf.DUMMYFUNCTION("""COMPUTED_VALUE"""),87.88)</f>
        <v>87.88</v>
      </c>
      <c r="E1476" s="1">
        <f ca="1">IFERROR(__xludf.DUMMYFUNCTION("""COMPUTED_VALUE"""),88.07)</f>
        <v>88.07</v>
      </c>
      <c r="F1476" s="1">
        <f ca="1">IFERROR(__xludf.DUMMYFUNCTION("""COMPUTED_VALUE"""),2672024)</f>
        <v>2672024</v>
      </c>
    </row>
    <row r="1477" spans="1:6" x14ac:dyDescent="0.35">
      <c r="A1477" s="2">
        <f ca="1">IFERROR(__xludf.DUMMYFUNCTION("""COMPUTED_VALUE"""),44145.6666666666)</f>
        <v>44145.666666666599</v>
      </c>
      <c r="B1477" s="1">
        <f ca="1">IFERROR(__xludf.DUMMYFUNCTION("""COMPUTED_VALUE"""),86.49)</f>
        <v>86.49</v>
      </c>
      <c r="C1477" s="1">
        <f ca="1">IFERROR(__xludf.DUMMYFUNCTION("""COMPUTED_VALUE"""),87.97)</f>
        <v>87.97</v>
      </c>
      <c r="D1477" s="1">
        <f ca="1">IFERROR(__xludf.DUMMYFUNCTION("""COMPUTED_VALUE"""),85.81)</f>
        <v>85.81</v>
      </c>
      <c r="E1477" s="1">
        <f ca="1">IFERROR(__xludf.DUMMYFUNCTION("""COMPUTED_VALUE"""),86.89)</f>
        <v>86.89</v>
      </c>
      <c r="F1477" s="1">
        <f ca="1">IFERROR(__xludf.DUMMYFUNCTION("""COMPUTED_VALUE"""),2151058)</f>
        <v>2151058</v>
      </c>
    </row>
    <row r="1478" spans="1:6" x14ac:dyDescent="0.35">
      <c r="A1478" s="2">
        <f ca="1">IFERROR(__xludf.DUMMYFUNCTION("""COMPUTED_VALUE"""),44146.6666666666)</f>
        <v>44146.666666666599</v>
      </c>
      <c r="B1478" s="1">
        <f ca="1">IFERROR(__xludf.DUMMYFUNCTION("""COMPUTED_VALUE"""),87.42)</f>
        <v>87.42</v>
      </c>
      <c r="C1478" s="1">
        <f ca="1">IFERROR(__xludf.DUMMYFUNCTION("""COMPUTED_VALUE"""),88.15)</f>
        <v>88.15</v>
      </c>
      <c r="D1478" s="1">
        <f ca="1">IFERROR(__xludf.DUMMYFUNCTION("""COMPUTED_VALUE"""),87.15)</f>
        <v>87.15</v>
      </c>
      <c r="E1478" s="1">
        <f ca="1">IFERROR(__xludf.DUMMYFUNCTION("""COMPUTED_VALUE"""),87.36)</f>
        <v>87.36</v>
      </c>
      <c r="F1478" s="1">
        <f ca="1">IFERROR(__xludf.DUMMYFUNCTION("""COMPUTED_VALUE"""),1591906)</f>
        <v>1591906</v>
      </c>
    </row>
    <row r="1479" spans="1:6" x14ac:dyDescent="0.35">
      <c r="A1479" s="2">
        <f ca="1">IFERROR(__xludf.DUMMYFUNCTION("""COMPUTED_VALUE"""),44147.6666666666)</f>
        <v>44147.666666666599</v>
      </c>
      <c r="B1479" s="1">
        <f ca="1">IFERROR(__xludf.DUMMYFUNCTION("""COMPUTED_VALUE"""),87.1)</f>
        <v>87.1</v>
      </c>
      <c r="C1479" s="1">
        <f ca="1">IFERROR(__xludf.DUMMYFUNCTION("""COMPUTED_VALUE"""),88.25)</f>
        <v>88.25</v>
      </c>
      <c r="D1479" s="1">
        <f ca="1">IFERROR(__xludf.DUMMYFUNCTION("""COMPUTED_VALUE"""),86.9)</f>
        <v>86.9</v>
      </c>
      <c r="E1479" s="1">
        <f ca="1">IFERROR(__xludf.DUMMYFUNCTION("""COMPUTED_VALUE"""),87.14)</f>
        <v>87.14</v>
      </c>
      <c r="F1479" s="1">
        <f ca="1">IFERROR(__xludf.DUMMYFUNCTION("""COMPUTED_VALUE"""),1324363)</f>
        <v>1324363</v>
      </c>
    </row>
    <row r="1480" spans="1:6" x14ac:dyDescent="0.35">
      <c r="A1480" s="2">
        <f ca="1">IFERROR(__xludf.DUMMYFUNCTION("""COMPUTED_VALUE"""),44148.6666666666)</f>
        <v>44148.666666666599</v>
      </c>
      <c r="B1480" s="1">
        <f ca="1">IFERROR(__xludf.DUMMYFUNCTION("""COMPUTED_VALUE"""),87.4)</f>
        <v>87.4</v>
      </c>
      <c r="C1480" s="1">
        <f ca="1">IFERROR(__xludf.DUMMYFUNCTION("""COMPUTED_VALUE"""),88.86)</f>
        <v>88.86</v>
      </c>
      <c r="D1480" s="1">
        <f ca="1">IFERROR(__xludf.DUMMYFUNCTION("""COMPUTED_VALUE"""),86.8)</f>
        <v>86.8</v>
      </c>
      <c r="E1480" s="1">
        <f ca="1">IFERROR(__xludf.DUMMYFUNCTION("""COMPUTED_VALUE"""),88.61)</f>
        <v>88.61</v>
      </c>
      <c r="F1480" s="1">
        <f ca="1">IFERROR(__xludf.DUMMYFUNCTION("""COMPUTED_VALUE"""),1487877)</f>
        <v>1487877</v>
      </c>
    </row>
    <row r="1481" spans="1:6" x14ac:dyDescent="0.35">
      <c r="A1481" s="2">
        <f ca="1">IFERROR(__xludf.DUMMYFUNCTION("""COMPUTED_VALUE"""),44151.6666666666)</f>
        <v>44151.666666666599</v>
      </c>
      <c r="B1481" s="1">
        <f ca="1">IFERROR(__xludf.DUMMYFUNCTION("""COMPUTED_VALUE"""),88.21)</f>
        <v>88.21</v>
      </c>
      <c r="C1481" s="1">
        <f ca="1">IFERROR(__xludf.DUMMYFUNCTION("""COMPUTED_VALUE"""),89.72)</f>
        <v>89.72</v>
      </c>
      <c r="D1481" s="1">
        <f ca="1">IFERROR(__xludf.DUMMYFUNCTION("""COMPUTED_VALUE"""),88.07)</f>
        <v>88.07</v>
      </c>
      <c r="E1481" s="1">
        <f ca="1">IFERROR(__xludf.DUMMYFUNCTION("""COMPUTED_VALUE"""),88.7)</f>
        <v>88.7</v>
      </c>
      <c r="F1481" s="1">
        <f ca="1">IFERROR(__xludf.DUMMYFUNCTION("""COMPUTED_VALUE"""),1273393)</f>
        <v>1273393</v>
      </c>
    </row>
    <row r="1482" spans="1:6" x14ac:dyDescent="0.35">
      <c r="A1482" s="2">
        <f ca="1">IFERROR(__xludf.DUMMYFUNCTION("""COMPUTED_VALUE"""),44152.6666666666)</f>
        <v>44152.666666666599</v>
      </c>
      <c r="B1482" s="1">
        <f ca="1">IFERROR(__xludf.DUMMYFUNCTION("""COMPUTED_VALUE"""),88.39)</f>
        <v>88.39</v>
      </c>
      <c r="C1482" s="1">
        <f ca="1">IFERROR(__xludf.DUMMYFUNCTION("""COMPUTED_VALUE"""),88.86)</f>
        <v>88.86</v>
      </c>
      <c r="D1482" s="1">
        <f ca="1">IFERROR(__xludf.DUMMYFUNCTION("""COMPUTED_VALUE"""),87.97)</f>
        <v>87.97</v>
      </c>
      <c r="E1482" s="1">
        <f ca="1">IFERROR(__xludf.DUMMYFUNCTION("""COMPUTED_VALUE"""),88.08)</f>
        <v>88.08</v>
      </c>
      <c r="F1482" s="1">
        <f ca="1">IFERROR(__xludf.DUMMYFUNCTION("""COMPUTED_VALUE"""),1066034)</f>
        <v>1066034</v>
      </c>
    </row>
    <row r="1483" spans="1:6" x14ac:dyDescent="0.35">
      <c r="A1483" s="2">
        <f ca="1">IFERROR(__xludf.DUMMYFUNCTION("""COMPUTED_VALUE"""),44153.6666666666)</f>
        <v>44153.666666666599</v>
      </c>
      <c r="B1483" s="1">
        <f ca="1">IFERROR(__xludf.DUMMYFUNCTION("""COMPUTED_VALUE"""),87.83)</f>
        <v>87.83</v>
      </c>
      <c r="C1483" s="1">
        <f ca="1">IFERROR(__xludf.DUMMYFUNCTION("""COMPUTED_VALUE"""),88.25)</f>
        <v>88.25</v>
      </c>
      <c r="D1483" s="1">
        <f ca="1">IFERROR(__xludf.DUMMYFUNCTION("""COMPUTED_VALUE"""),86.93)</f>
        <v>86.93</v>
      </c>
      <c r="E1483" s="1">
        <f ca="1">IFERROR(__xludf.DUMMYFUNCTION("""COMPUTED_VALUE"""),87.03)</f>
        <v>87.03</v>
      </c>
      <c r="F1483" s="1">
        <f ca="1">IFERROR(__xludf.DUMMYFUNCTION("""COMPUTED_VALUE"""),1005377)</f>
        <v>1005377</v>
      </c>
    </row>
    <row r="1484" spans="1:6" x14ac:dyDescent="0.35">
      <c r="A1484" s="2">
        <f ca="1">IFERROR(__xludf.DUMMYFUNCTION("""COMPUTED_VALUE"""),44154.6666666666)</f>
        <v>44154.666666666599</v>
      </c>
      <c r="B1484" s="1">
        <f ca="1">IFERROR(__xludf.DUMMYFUNCTION("""COMPUTED_VALUE"""),86.66)</f>
        <v>86.66</v>
      </c>
      <c r="C1484" s="1">
        <f ca="1">IFERROR(__xludf.DUMMYFUNCTION("""COMPUTED_VALUE"""),88.17)</f>
        <v>88.17</v>
      </c>
      <c r="D1484" s="1">
        <f ca="1">IFERROR(__xludf.DUMMYFUNCTION("""COMPUTED_VALUE"""),86.5)</f>
        <v>86.5</v>
      </c>
      <c r="E1484" s="1">
        <f ca="1">IFERROR(__xludf.DUMMYFUNCTION("""COMPUTED_VALUE"""),87.93)</f>
        <v>87.93</v>
      </c>
      <c r="F1484" s="1">
        <f ca="1">IFERROR(__xludf.DUMMYFUNCTION("""COMPUTED_VALUE"""),1005340)</f>
        <v>1005340</v>
      </c>
    </row>
    <row r="1485" spans="1:6" x14ac:dyDescent="0.35">
      <c r="A1485" s="2">
        <f ca="1">IFERROR(__xludf.DUMMYFUNCTION("""COMPUTED_VALUE"""),44155.6666666666)</f>
        <v>44155.666666666599</v>
      </c>
      <c r="B1485" s="1">
        <f ca="1">IFERROR(__xludf.DUMMYFUNCTION("""COMPUTED_VALUE"""),88.1)</f>
        <v>88.1</v>
      </c>
      <c r="C1485" s="1">
        <f ca="1">IFERROR(__xludf.DUMMYFUNCTION("""COMPUTED_VALUE"""),88.42)</f>
        <v>88.42</v>
      </c>
      <c r="D1485" s="1">
        <f ca="1">IFERROR(__xludf.DUMMYFUNCTION("""COMPUTED_VALUE"""),86.75)</f>
        <v>86.75</v>
      </c>
      <c r="E1485" s="1">
        <f ca="1">IFERROR(__xludf.DUMMYFUNCTION("""COMPUTED_VALUE"""),86.82)</f>
        <v>86.82</v>
      </c>
      <c r="F1485" s="1">
        <f ca="1">IFERROR(__xludf.DUMMYFUNCTION("""COMPUTED_VALUE"""),1385322)</f>
        <v>1385322</v>
      </c>
    </row>
    <row r="1486" spans="1:6" x14ac:dyDescent="0.35">
      <c r="A1486" s="2">
        <f ca="1">IFERROR(__xludf.DUMMYFUNCTION("""COMPUTED_VALUE"""),44158.6666666666)</f>
        <v>44158.666666666599</v>
      </c>
      <c r="B1486" s="1">
        <f ca="1">IFERROR(__xludf.DUMMYFUNCTION("""COMPUTED_VALUE"""),87.01)</f>
        <v>87.01</v>
      </c>
      <c r="C1486" s="1">
        <f ca="1">IFERROR(__xludf.DUMMYFUNCTION("""COMPUTED_VALUE"""),87.3)</f>
        <v>87.3</v>
      </c>
      <c r="D1486" s="1">
        <f ca="1">IFERROR(__xludf.DUMMYFUNCTION("""COMPUTED_VALUE"""),85.51)</f>
        <v>85.51</v>
      </c>
      <c r="E1486" s="1">
        <f ca="1">IFERROR(__xludf.DUMMYFUNCTION("""COMPUTED_VALUE"""),86.38)</f>
        <v>86.38</v>
      </c>
      <c r="F1486" s="1">
        <f ca="1">IFERROR(__xludf.DUMMYFUNCTION("""COMPUTED_VALUE"""),1127618)</f>
        <v>1127618</v>
      </c>
    </row>
    <row r="1487" spans="1:6" x14ac:dyDescent="0.35">
      <c r="A1487" s="2">
        <f ca="1">IFERROR(__xludf.DUMMYFUNCTION("""COMPUTED_VALUE"""),44159.6666666666)</f>
        <v>44159.666666666599</v>
      </c>
      <c r="B1487" s="1">
        <f ca="1">IFERROR(__xludf.DUMMYFUNCTION("""COMPUTED_VALUE"""),86.38)</f>
        <v>86.38</v>
      </c>
      <c r="C1487" s="1">
        <f ca="1">IFERROR(__xludf.DUMMYFUNCTION("""COMPUTED_VALUE"""),88.32)</f>
        <v>88.32</v>
      </c>
      <c r="D1487" s="1">
        <f ca="1">IFERROR(__xludf.DUMMYFUNCTION("""COMPUTED_VALUE"""),86.04)</f>
        <v>86.04</v>
      </c>
      <c r="E1487" s="1">
        <f ca="1">IFERROR(__xludf.DUMMYFUNCTION("""COMPUTED_VALUE"""),88.2)</f>
        <v>88.2</v>
      </c>
      <c r="F1487" s="1">
        <f ca="1">IFERROR(__xludf.DUMMYFUNCTION("""COMPUTED_VALUE"""),1400306)</f>
        <v>1400306</v>
      </c>
    </row>
    <row r="1488" spans="1:6" x14ac:dyDescent="0.35">
      <c r="A1488" s="2">
        <f ca="1">IFERROR(__xludf.DUMMYFUNCTION("""COMPUTED_VALUE"""),44160.6666666666)</f>
        <v>44160.666666666599</v>
      </c>
      <c r="B1488" s="1">
        <f ca="1">IFERROR(__xludf.DUMMYFUNCTION("""COMPUTED_VALUE"""),88.39)</f>
        <v>88.39</v>
      </c>
      <c r="C1488" s="1">
        <f ca="1">IFERROR(__xludf.DUMMYFUNCTION("""COMPUTED_VALUE"""),88.52)</f>
        <v>88.52</v>
      </c>
      <c r="D1488" s="1">
        <f ca="1">IFERROR(__xludf.DUMMYFUNCTION("""COMPUTED_VALUE"""),87.42)</f>
        <v>87.42</v>
      </c>
      <c r="E1488" s="1">
        <f ca="1">IFERROR(__xludf.DUMMYFUNCTION("""COMPUTED_VALUE"""),88.21)</f>
        <v>88.21</v>
      </c>
      <c r="F1488" s="1">
        <f ca="1">IFERROR(__xludf.DUMMYFUNCTION("""COMPUTED_VALUE"""),979957)</f>
        <v>979957</v>
      </c>
    </row>
    <row r="1489" spans="1:6" x14ac:dyDescent="0.35">
      <c r="A1489" s="2">
        <f ca="1">IFERROR(__xludf.DUMMYFUNCTION("""COMPUTED_VALUE"""),44162.5416666666)</f>
        <v>44162.541666666599</v>
      </c>
      <c r="B1489" s="1">
        <f ca="1">IFERROR(__xludf.DUMMYFUNCTION("""COMPUTED_VALUE"""),88.23)</f>
        <v>88.23</v>
      </c>
      <c r="C1489" s="1">
        <f ca="1">IFERROR(__xludf.DUMMYFUNCTION("""COMPUTED_VALUE"""),89.85)</f>
        <v>89.85</v>
      </c>
      <c r="D1489" s="1">
        <f ca="1">IFERROR(__xludf.DUMMYFUNCTION("""COMPUTED_VALUE"""),88.23)</f>
        <v>88.23</v>
      </c>
      <c r="E1489" s="1">
        <f ca="1">IFERROR(__xludf.DUMMYFUNCTION("""COMPUTED_VALUE"""),89.35)</f>
        <v>89.35</v>
      </c>
      <c r="F1489" s="1">
        <f ca="1">IFERROR(__xludf.DUMMYFUNCTION("""COMPUTED_VALUE"""),739507)</f>
        <v>739507</v>
      </c>
    </row>
    <row r="1490" spans="1:6" x14ac:dyDescent="0.35">
      <c r="A1490" s="2">
        <f ca="1">IFERROR(__xludf.DUMMYFUNCTION("""COMPUTED_VALUE"""),44165.6666666666)</f>
        <v>44165.666666666599</v>
      </c>
      <c r="B1490" s="1">
        <f ca="1">IFERROR(__xludf.DUMMYFUNCTION("""COMPUTED_VALUE"""),88.78)</f>
        <v>88.78</v>
      </c>
      <c r="C1490" s="1">
        <f ca="1">IFERROR(__xludf.DUMMYFUNCTION("""COMPUTED_VALUE"""),89.02)</f>
        <v>89.02</v>
      </c>
      <c r="D1490" s="1">
        <f ca="1">IFERROR(__xludf.DUMMYFUNCTION("""COMPUTED_VALUE"""),87.39)</f>
        <v>87.39</v>
      </c>
      <c r="E1490" s="1">
        <f ca="1">IFERROR(__xludf.DUMMYFUNCTION("""COMPUTED_VALUE"""),87.72)</f>
        <v>87.72</v>
      </c>
      <c r="F1490" s="1">
        <f ca="1">IFERROR(__xludf.DUMMYFUNCTION("""COMPUTED_VALUE"""),1620887)</f>
        <v>1620887</v>
      </c>
    </row>
    <row r="1491" spans="1:6" x14ac:dyDescent="0.35">
      <c r="A1491" s="2">
        <f ca="1">IFERROR(__xludf.DUMMYFUNCTION("""COMPUTED_VALUE"""),44166.6666666666)</f>
        <v>44166.666666666599</v>
      </c>
      <c r="B1491" s="1">
        <f ca="1">IFERROR(__xludf.DUMMYFUNCTION("""COMPUTED_VALUE"""),88.33)</f>
        <v>88.33</v>
      </c>
      <c r="C1491" s="1">
        <f ca="1">IFERROR(__xludf.DUMMYFUNCTION("""COMPUTED_VALUE"""),91.09)</f>
        <v>91.09</v>
      </c>
      <c r="D1491" s="1">
        <f ca="1">IFERROR(__xludf.DUMMYFUNCTION("""COMPUTED_VALUE"""),88.15)</f>
        <v>88.15</v>
      </c>
      <c r="E1491" s="1">
        <f ca="1">IFERROR(__xludf.DUMMYFUNCTION("""COMPUTED_VALUE"""),89.77)</f>
        <v>89.77</v>
      </c>
      <c r="F1491" s="1">
        <f ca="1">IFERROR(__xludf.DUMMYFUNCTION("""COMPUTED_VALUE"""),1868134)</f>
        <v>1868134</v>
      </c>
    </row>
    <row r="1492" spans="1:6" x14ac:dyDescent="0.35">
      <c r="A1492" s="2">
        <f ca="1">IFERROR(__xludf.DUMMYFUNCTION("""COMPUTED_VALUE"""),44167.6666666666)</f>
        <v>44167.666666666599</v>
      </c>
      <c r="B1492" s="1">
        <f ca="1">IFERROR(__xludf.DUMMYFUNCTION("""COMPUTED_VALUE"""),89.77)</f>
        <v>89.77</v>
      </c>
      <c r="C1492" s="1">
        <f ca="1">IFERROR(__xludf.DUMMYFUNCTION("""COMPUTED_VALUE"""),91.64)</f>
        <v>91.64</v>
      </c>
      <c r="D1492" s="1">
        <f ca="1">IFERROR(__xludf.DUMMYFUNCTION("""COMPUTED_VALUE"""),89.26)</f>
        <v>89.26</v>
      </c>
      <c r="E1492" s="1">
        <f ca="1">IFERROR(__xludf.DUMMYFUNCTION("""COMPUTED_VALUE"""),91.25)</f>
        <v>91.25</v>
      </c>
      <c r="F1492" s="1">
        <f ca="1">IFERROR(__xludf.DUMMYFUNCTION("""COMPUTED_VALUE"""),1471235)</f>
        <v>1471235</v>
      </c>
    </row>
    <row r="1493" spans="1:6" x14ac:dyDescent="0.35">
      <c r="A1493" s="2">
        <f ca="1">IFERROR(__xludf.DUMMYFUNCTION("""COMPUTED_VALUE"""),44168.6666666666)</f>
        <v>44168.666666666599</v>
      </c>
      <c r="B1493" s="1">
        <f ca="1">IFERROR(__xludf.DUMMYFUNCTION("""COMPUTED_VALUE"""),91.03)</f>
        <v>91.03</v>
      </c>
      <c r="C1493" s="1">
        <f ca="1">IFERROR(__xludf.DUMMYFUNCTION("""COMPUTED_VALUE"""),92.19)</f>
        <v>92.19</v>
      </c>
      <c r="D1493" s="1">
        <f ca="1">IFERROR(__xludf.DUMMYFUNCTION("""COMPUTED_VALUE"""),90.85)</f>
        <v>90.85</v>
      </c>
      <c r="E1493" s="1">
        <f ca="1">IFERROR(__xludf.DUMMYFUNCTION("""COMPUTED_VALUE"""),91.09)</f>
        <v>91.09</v>
      </c>
      <c r="F1493" s="1">
        <f ca="1">IFERROR(__xludf.DUMMYFUNCTION("""COMPUTED_VALUE"""),1236366)</f>
        <v>1236366</v>
      </c>
    </row>
    <row r="1494" spans="1:6" x14ac:dyDescent="0.35">
      <c r="A1494" s="2">
        <f ca="1">IFERROR(__xludf.DUMMYFUNCTION("""COMPUTED_VALUE"""),44169.6666666666)</f>
        <v>44169.666666666599</v>
      </c>
      <c r="B1494" s="1">
        <f ca="1">IFERROR(__xludf.DUMMYFUNCTION("""COMPUTED_VALUE"""),91.01)</f>
        <v>91.01</v>
      </c>
      <c r="C1494" s="1">
        <f ca="1">IFERROR(__xludf.DUMMYFUNCTION("""COMPUTED_VALUE"""),91.47)</f>
        <v>91.47</v>
      </c>
      <c r="D1494" s="1">
        <f ca="1">IFERROR(__xludf.DUMMYFUNCTION("""COMPUTED_VALUE"""),90.68)</f>
        <v>90.68</v>
      </c>
      <c r="E1494" s="1">
        <f ca="1">IFERROR(__xludf.DUMMYFUNCTION("""COMPUTED_VALUE"""),91.19)</f>
        <v>91.19</v>
      </c>
      <c r="F1494" s="1">
        <f ca="1">IFERROR(__xludf.DUMMYFUNCTION("""COMPUTED_VALUE"""),1027242)</f>
        <v>1027242</v>
      </c>
    </row>
    <row r="1495" spans="1:6" x14ac:dyDescent="0.35">
      <c r="A1495" s="2">
        <f ca="1">IFERROR(__xludf.DUMMYFUNCTION("""COMPUTED_VALUE"""),44172.6666666666)</f>
        <v>44172.666666666599</v>
      </c>
      <c r="B1495" s="1">
        <f ca="1">IFERROR(__xludf.DUMMYFUNCTION("""COMPUTED_VALUE"""),90.78)</f>
        <v>90.78</v>
      </c>
      <c r="C1495" s="1">
        <f ca="1">IFERROR(__xludf.DUMMYFUNCTION("""COMPUTED_VALUE"""),91.46)</f>
        <v>91.46</v>
      </c>
      <c r="D1495" s="1">
        <f ca="1">IFERROR(__xludf.DUMMYFUNCTION("""COMPUTED_VALUE"""),90.15)</f>
        <v>90.15</v>
      </c>
      <c r="E1495" s="1">
        <f ca="1">IFERROR(__xludf.DUMMYFUNCTION("""COMPUTED_VALUE"""),90.85)</f>
        <v>90.85</v>
      </c>
      <c r="F1495" s="1">
        <f ca="1">IFERROR(__xludf.DUMMYFUNCTION("""COMPUTED_VALUE"""),1114391)</f>
        <v>1114391</v>
      </c>
    </row>
    <row r="1496" spans="1:6" x14ac:dyDescent="0.35">
      <c r="A1496" s="2">
        <f ca="1">IFERROR(__xludf.DUMMYFUNCTION("""COMPUTED_VALUE"""),44173.6666666666)</f>
        <v>44173.666666666599</v>
      </c>
      <c r="B1496" s="1">
        <f ca="1">IFERROR(__xludf.DUMMYFUNCTION("""COMPUTED_VALUE"""),90.43)</f>
        <v>90.43</v>
      </c>
      <c r="C1496" s="1">
        <f ca="1">IFERROR(__xludf.DUMMYFUNCTION("""COMPUTED_VALUE"""),90.8)</f>
        <v>90.8</v>
      </c>
      <c r="D1496" s="1">
        <f ca="1">IFERROR(__xludf.DUMMYFUNCTION("""COMPUTED_VALUE"""),89.56)</f>
        <v>89.56</v>
      </c>
      <c r="E1496" s="1">
        <f ca="1">IFERROR(__xludf.DUMMYFUNCTION("""COMPUTED_VALUE"""),90.57)</f>
        <v>90.57</v>
      </c>
      <c r="F1496" s="1">
        <f ca="1">IFERROR(__xludf.DUMMYFUNCTION("""COMPUTED_VALUE"""),996768)</f>
        <v>996768</v>
      </c>
    </row>
    <row r="1497" spans="1:6" x14ac:dyDescent="0.35">
      <c r="A1497" s="2">
        <f ca="1">IFERROR(__xludf.DUMMYFUNCTION("""COMPUTED_VALUE"""),44174.6666666666)</f>
        <v>44174.666666666599</v>
      </c>
      <c r="B1497" s="1">
        <f ca="1">IFERROR(__xludf.DUMMYFUNCTION("""COMPUTED_VALUE"""),90.52)</f>
        <v>90.52</v>
      </c>
      <c r="C1497" s="1">
        <f ca="1">IFERROR(__xludf.DUMMYFUNCTION("""COMPUTED_VALUE"""),91.42)</f>
        <v>91.42</v>
      </c>
      <c r="D1497" s="1">
        <f ca="1">IFERROR(__xludf.DUMMYFUNCTION("""COMPUTED_VALUE"""),88.1)</f>
        <v>88.1</v>
      </c>
      <c r="E1497" s="1">
        <f ca="1">IFERROR(__xludf.DUMMYFUNCTION("""COMPUTED_VALUE"""),88.89)</f>
        <v>88.89</v>
      </c>
      <c r="F1497" s="1">
        <f ca="1">IFERROR(__xludf.DUMMYFUNCTION("""COMPUTED_VALUE"""),1586426)</f>
        <v>1586426</v>
      </c>
    </row>
    <row r="1498" spans="1:6" x14ac:dyDescent="0.35">
      <c r="A1498" s="2">
        <f ca="1">IFERROR(__xludf.DUMMYFUNCTION("""COMPUTED_VALUE"""),44175.6666666666)</f>
        <v>44175.666666666599</v>
      </c>
      <c r="B1498" s="1">
        <f ca="1">IFERROR(__xludf.DUMMYFUNCTION("""COMPUTED_VALUE"""),88.13)</f>
        <v>88.13</v>
      </c>
      <c r="C1498" s="1">
        <f ca="1">IFERROR(__xludf.DUMMYFUNCTION("""COMPUTED_VALUE"""),88.75)</f>
        <v>88.75</v>
      </c>
      <c r="D1498" s="1">
        <f ca="1">IFERROR(__xludf.DUMMYFUNCTION("""COMPUTED_VALUE"""),86.68)</f>
        <v>86.68</v>
      </c>
      <c r="E1498" s="1">
        <f ca="1">IFERROR(__xludf.DUMMYFUNCTION("""COMPUTED_VALUE"""),88.38)</f>
        <v>88.38</v>
      </c>
      <c r="F1498" s="1">
        <f ca="1">IFERROR(__xludf.DUMMYFUNCTION("""COMPUTED_VALUE"""),1434416)</f>
        <v>1434416</v>
      </c>
    </row>
    <row r="1499" spans="1:6" x14ac:dyDescent="0.35">
      <c r="A1499" s="2">
        <f ca="1">IFERROR(__xludf.DUMMYFUNCTION("""COMPUTED_VALUE"""),44176.6666666666)</f>
        <v>44176.666666666599</v>
      </c>
      <c r="B1499" s="1">
        <f ca="1">IFERROR(__xludf.DUMMYFUNCTION("""COMPUTED_VALUE"""),88)</f>
        <v>88</v>
      </c>
      <c r="C1499" s="1">
        <f ca="1">IFERROR(__xludf.DUMMYFUNCTION("""COMPUTED_VALUE"""),88.87)</f>
        <v>88.87</v>
      </c>
      <c r="D1499" s="1">
        <f ca="1">IFERROR(__xludf.DUMMYFUNCTION("""COMPUTED_VALUE"""),87.64)</f>
        <v>87.64</v>
      </c>
      <c r="E1499" s="1">
        <f ca="1">IFERROR(__xludf.DUMMYFUNCTION("""COMPUTED_VALUE"""),88.74)</f>
        <v>88.74</v>
      </c>
      <c r="F1499" s="1">
        <f ca="1">IFERROR(__xludf.DUMMYFUNCTION("""COMPUTED_VALUE"""),931431)</f>
        <v>931431</v>
      </c>
    </row>
    <row r="1500" spans="1:6" x14ac:dyDescent="0.35">
      <c r="A1500" s="2">
        <f ca="1">IFERROR(__xludf.DUMMYFUNCTION("""COMPUTED_VALUE"""),44179.6666666666)</f>
        <v>44179.666666666599</v>
      </c>
      <c r="B1500" s="1">
        <f ca="1">IFERROR(__xludf.DUMMYFUNCTION("""COMPUTED_VALUE"""),88.54)</f>
        <v>88.54</v>
      </c>
      <c r="C1500" s="1">
        <f ca="1">IFERROR(__xludf.DUMMYFUNCTION("""COMPUTED_VALUE"""),89.49)</f>
        <v>89.49</v>
      </c>
      <c r="D1500" s="1">
        <f ca="1">IFERROR(__xludf.DUMMYFUNCTION("""COMPUTED_VALUE"""),87.46)</f>
        <v>87.46</v>
      </c>
      <c r="E1500" s="1">
        <f ca="1">IFERROR(__xludf.DUMMYFUNCTION("""COMPUTED_VALUE"""),87.61)</f>
        <v>87.61</v>
      </c>
      <c r="F1500" s="1">
        <f ca="1">IFERROR(__xludf.DUMMYFUNCTION("""COMPUTED_VALUE"""),1652471)</f>
        <v>1652471</v>
      </c>
    </row>
    <row r="1501" spans="1:6" x14ac:dyDescent="0.35">
      <c r="A1501" s="2">
        <f ca="1">IFERROR(__xludf.DUMMYFUNCTION("""COMPUTED_VALUE"""),44180.6666666666)</f>
        <v>44180.666666666599</v>
      </c>
      <c r="B1501" s="1">
        <f ca="1">IFERROR(__xludf.DUMMYFUNCTION("""COMPUTED_VALUE"""),87.99)</f>
        <v>87.99</v>
      </c>
      <c r="C1501" s="1">
        <f ca="1">IFERROR(__xludf.DUMMYFUNCTION("""COMPUTED_VALUE"""),88.2)</f>
        <v>88.2</v>
      </c>
      <c r="D1501" s="1">
        <f ca="1">IFERROR(__xludf.DUMMYFUNCTION("""COMPUTED_VALUE"""),87.08)</f>
        <v>87.08</v>
      </c>
      <c r="E1501" s="1">
        <f ca="1">IFERROR(__xludf.DUMMYFUNCTION("""COMPUTED_VALUE"""),88.05)</f>
        <v>88.05</v>
      </c>
      <c r="F1501" s="1">
        <f ca="1">IFERROR(__xludf.DUMMYFUNCTION("""COMPUTED_VALUE"""),1068292)</f>
        <v>1068292</v>
      </c>
    </row>
    <row r="1502" spans="1:6" x14ac:dyDescent="0.35">
      <c r="A1502" s="2">
        <f ca="1">IFERROR(__xludf.DUMMYFUNCTION("""COMPUTED_VALUE"""),44181.6666666666)</f>
        <v>44181.666666666599</v>
      </c>
      <c r="B1502" s="1">
        <f ca="1">IFERROR(__xludf.DUMMYFUNCTION("""COMPUTED_VALUE"""),88.46)</f>
        <v>88.46</v>
      </c>
      <c r="C1502" s="1">
        <f ca="1">IFERROR(__xludf.DUMMYFUNCTION("""COMPUTED_VALUE"""),88.46)</f>
        <v>88.46</v>
      </c>
      <c r="D1502" s="1">
        <f ca="1">IFERROR(__xludf.DUMMYFUNCTION("""COMPUTED_VALUE"""),87.45)</f>
        <v>87.45</v>
      </c>
      <c r="E1502" s="1">
        <f ca="1">IFERROR(__xludf.DUMMYFUNCTION("""COMPUTED_VALUE"""),87.86)</f>
        <v>87.86</v>
      </c>
      <c r="F1502" s="1">
        <f ca="1">IFERROR(__xludf.DUMMYFUNCTION("""COMPUTED_VALUE"""),1233836)</f>
        <v>1233836</v>
      </c>
    </row>
    <row r="1503" spans="1:6" x14ac:dyDescent="0.35">
      <c r="A1503" s="2">
        <f ca="1">IFERROR(__xludf.DUMMYFUNCTION("""COMPUTED_VALUE"""),44182.6666666666)</f>
        <v>44182.666666666599</v>
      </c>
      <c r="B1503" s="1">
        <f ca="1">IFERROR(__xludf.DUMMYFUNCTION("""COMPUTED_VALUE"""),88.2)</f>
        <v>88.2</v>
      </c>
      <c r="C1503" s="1">
        <f ca="1">IFERROR(__xludf.DUMMYFUNCTION("""COMPUTED_VALUE"""),88.34)</f>
        <v>88.34</v>
      </c>
      <c r="D1503" s="1">
        <f ca="1">IFERROR(__xludf.DUMMYFUNCTION("""COMPUTED_VALUE"""),86.56)</f>
        <v>86.56</v>
      </c>
      <c r="E1503" s="1">
        <f ca="1">IFERROR(__xludf.DUMMYFUNCTION("""COMPUTED_VALUE"""),87.03)</f>
        <v>87.03</v>
      </c>
      <c r="F1503" s="1">
        <f ca="1">IFERROR(__xludf.DUMMYFUNCTION("""COMPUTED_VALUE"""),1744005)</f>
        <v>1744005</v>
      </c>
    </row>
    <row r="1504" spans="1:6" x14ac:dyDescent="0.35">
      <c r="A1504" s="2">
        <f ca="1">IFERROR(__xludf.DUMMYFUNCTION("""COMPUTED_VALUE"""),44183.6666666666)</f>
        <v>44183.666666666599</v>
      </c>
      <c r="B1504" s="1">
        <f ca="1">IFERROR(__xludf.DUMMYFUNCTION("""COMPUTED_VALUE"""),87.31)</f>
        <v>87.31</v>
      </c>
      <c r="C1504" s="1">
        <f ca="1">IFERROR(__xludf.DUMMYFUNCTION("""COMPUTED_VALUE"""),87.42)</f>
        <v>87.42</v>
      </c>
      <c r="D1504" s="1">
        <f ca="1">IFERROR(__xludf.DUMMYFUNCTION("""COMPUTED_VALUE"""),85.75)</f>
        <v>85.75</v>
      </c>
      <c r="E1504" s="1">
        <f ca="1">IFERROR(__xludf.DUMMYFUNCTION("""COMPUTED_VALUE"""),86.31)</f>
        <v>86.31</v>
      </c>
      <c r="F1504" s="1">
        <f ca="1">IFERROR(__xludf.DUMMYFUNCTION("""COMPUTED_VALUE"""),4262837)</f>
        <v>4262837</v>
      </c>
    </row>
    <row r="1505" spans="1:6" x14ac:dyDescent="0.35">
      <c r="A1505" s="2">
        <f ca="1">IFERROR(__xludf.DUMMYFUNCTION("""COMPUTED_VALUE"""),44186.6666666666)</f>
        <v>44186.666666666599</v>
      </c>
      <c r="B1505" s="1">
        <f ca="1">IFERROR(__xludf.DUMMYFUNCTION("""COMPUTED_VALUE"""),85.46)</f>
        <v>85.46</v>
      </c>
      <c r="C1505" s="1">
        <f ca="1">IFERROR(__xludf.DUMMYFUNCTION("""COMPUTED_VALUE"""),86.85)</f>
        <v>86.85</v>
      </c>
      <c r="D1505" s="1">
        <f ca="1">IFERROR(__xludf.DUMMYFUNCTION("""COMPUTED_VALUE"""),84.7)</f>
        <v>84.7</v>
      </c>
      <c r="E1505" s="1">
        <f ca="1">IFERROR(__xludf.DUMMYFUNCTION("""COMPUTED_VALUE"""),86.73)</f>
        <v>86.73</v>
      </c>
      <c r="F1505" s="1">
        <f ca="1">IFERROR(__xludf.DUMMYFUNCTION("""COMPUTED_VALUE"""),1698707)</f>
        <v>1698707</v>
      </c>
    </row>
    <row r="1506" spans="1:6" x14ac:dyDescent="0.35">
      <c r="A1506" s="2">
        <f ca="1">IFERROR(__xludf.DUMMYFUNCTION("""COMPUTED_VALUE"""),44187.6666666666)</f>
        <v>44187.666666666599</v>
      </c>
      <c r="B1506" s="1">
        <f ca="1">IFERROR(__xludf.DUMMYFUNCTION("""COMPUTED_VALUE"""),86.47)</f>
        <v>86.47</v>
      </c>
      <c r="C1506" s="1">
        <f ca="1">IFERROR(__xludf.DUMMYFUNCTION("""COMPUTED_VALUE"""),86.63)</f>
        <v>86.63</v>
      </c>
      <c r="D1506" s="1">
        <f ca="1">IFERROR(__xludf.DUMMYFUNCTION("""COMPUTED_VALUE"""),85.29)</f>
        <v>85.29</v>
      </c>
      <c r="E1506" s="1">
        <f ca="1">IFERROR(__xludf.DUMMYFUNCTION("""COMPUTED_VALUE"""),86.01)</f>
        <v>86.01</v>
      </c>
      <c r="F1506" s="1">
        <f ca="1">IFERROR(__xludf.DUMMYFUNCTION("""COMPUTED_VALUE"""),1018829)</f>
        <v>1018829</v>
      </c>
    </row>
    <row r="1507" spans="1:6" x14ac:dyDescent="0.35">
      <c r="A1507" s="2">
        <f ca="1">IFERROR(__xludf.DUMMYFUNCTION("""COMPUTED_VALUE"""),44188.6666666666)</f>
        <v>44188.666666666599</v>
      </c>
      <c r="B1507" s="1">
        <f ca="1">IFERROR(__xludf.DUMMYFUNCTION("""COMPUTED_VALUE"""),86.2)</f>
        <v>86.2</v>
      </c>
      <c r="C1507" s="1">
        <f ca="1">IFERROR(__xludf.DUMMYFUNCTION("""COMPUTED_VALUE"""),87.21)</f>
        <v>87.21</v>
      </c>
      <c r="D1507" s="1">
        <f ca="1">IFERROR(__xludf.DUMMYFUNCTION("""COMPUTED_VALUE"""),86.06)</f>
        <v>86.06</v>
      </c>
      <c r="E1507" s="1">
        <f ca="1">IFERROR(__xludf.DUMMYFUNCTION("""COMPUTED_VALUE"""),86.41)</f>
        <v>86.41</v>
      </c>
      <c r="F1507" s="1">
        <f ca="1">IFERROR(__xludf.DUMMYFUNCTION("""COMPUTED_VALUE"""),1148684)</f>
        <v>1148684</v>
      </c>
    </row>
    <row r="1508" spans="1:6" x14ac:dyDescent="0.35">
      <c r="A1508" s="2">
        <f ca="1">IFERROR(__xludf.DUMMYFUNCTION("""COMPUTED_VALUE"""),44189.5416666666)</f>
        <v>44189.541666666599</v>
      </c>
      <c r="B1508" s="1">
        <f ca="1">IFERROR(__xludf.DUMMYFUNCTION("""COMPUTED_VALUE"""),86.45)</f>
        <v>86.45</v>
      </c>
      <c r="C1508" s="1">
        <f ca="1">IFERROR(__xludf.DUMMYFUNCTION("""COMPUTED_VALUE"""),87.12)</f>
        <v>87.12</v>
      </c>
      <c r="D1508" s="1">
        <f ca="1">IFERROR(__xludf.DUMMYFUNCTION("""COMPUTED_VALUE"""),86.22)</f>
        <v>86.22</v>
      </c>
      <c r="E1508" s="1">
        <f ca="1">IFERROR(__xludf.DUMMYFUNCTION("""COMPUTED_VALUE"""),86.71)</f>
        <v>86.71</v>
      </c>
      <c r="F1508" s="1">
        <f ca="1">IFERROR(__xludf.DUMMYFUNCTION("""COMPUTED_VALUE"""),465638)</f>
        <v>465638</v>
      </c>
    </row>
    <row r="1509" spans="1:6" x14ac:dyDescent="0.35">
      <c r="A1509" s="2">
        <f ca="1">IFERROR(__xludf.DUMMYFUNCTION("""COMPUTED_VALUE"""),44193.6666666666)</f>
        <v>44193.666666666599</v>
      </c>
      <c r="B1509" s="1">
        <f ca="1">IFERROR(__xludf.DUMMYFUNCTION("""COMPUTED_VALUE"""),87.25)</f>
        <v>87.25</v>
      </c>
      <c r="C1509" s="1">
        <f ca="1">IFERROR(__xludf.DUMMYFUNCTION("""COMPUTED_VALUE"""),89.35)</f>
        <v>89.35</v>
      </c>
      <c r="D1509" s="1">
        <f ca="1">IFERROR(__xludf.DUMMYFUNCTION("""COMPUTED_VALUE"""),87.09)</f>
        <v>87.09</v>
      </c>
      <c r="E1509" s="1">
        <f ca="1">IFERROR(__xludf.DUMMYFUNCTION("""COMPUTED_VALUE"""),88.7)</f>
        <v>88.7</v>
      </c>
      <c r="F1509" s="1">
        <f ca="1">IFERROR(__xludf.DUMMYFUNCTION("""COMPUTED_VALUE"""),1382537)</f>
        <v>1382537</v>
      </c>
    </row>
    <row r="1510" spans="1:6" x14ac:dyDescent="0.35">
      <c r="A1510" s="2">
        <f ca="1">IFERROR(__xludf.DUMMYFUNCTION("""COMPUTED_VALUE"""),44194.6666666666)</f>
        <v>44194.666666666599</v>
      </c>
      <c r="B1510" s="1">
        <f ca="1">IFERROR(__xludf.DUMMYFUNCTION("""COMPUTED_VALUE"""),89.36)</f>
        <v>89.36</v>
      </c>
      <c r="C1510" s="1">
        <f ca="1">IFERROR(__xludf.DUMMYFUNCTION("""COMPUTED_VALUE"""),89.42)</f>
        <v>89.42</v>
      </c>
      <c r="D1510" s="1">
        <f ca="1">IFERROR(__xludf.DUMMYFUNCTION("""COMPUTED_VALUE"""),87.76)</f>
        <v>87.76</v>
      </c>
      <c r="E1510" s="1">
        <f ca="1">IFERROR(__xludf.DUMMYFUNCTION("""COMPUTED_VALUE"""),87.89)</f>
        <v>87.89</v>
      </c>
      <c r="F1510" s="1">
        <f ca="1">IFERROR(__xludf.DUMMYFUNCTION("""COMPUTED_VALUE"""),986287)</f>
        <v>986287</v>
      </c>
    </row>
    <row r="1511" spans="1:6" x14ac:dyDescent="0.35">
      <c r="A1511" s="2">
        <f ca="1">IFERROR(__xludf.DUMMYFUNCTION("""COMPUTED_VALUE"""),44195.6666666666)</f>
        <v>44195.666666666599</v>
      </c>
      <c r="B1511" s="1">
        <f ca="1">IFERROR(__xludf.DUMMYFUNCTION("""COMPUTED_VALUE"""),88.25)</f>
        <v>88.25</v>
      </c>
      <c r="C1511" s="1">
        <f ca="1">IFERROR(__xludf.DUMMYFUNCTION("""COMPUTED_VALUE"""),88.39)</f>
        <v>88.39</v>
      </c>
      <c r="D1511" s="1">
        <f ca="1">IFERROR(__xludf.DUMMYFUNCTION("""COMPUTED_VALUE"""),86.4)</f>
        <v>86.4</v>
      </c>
      <c r="E1511" s="1">
        <f ca="1">IFERROR(__xludf.DUMMYFUNCTION("""COMPUTED_VALUE"""),86.81)</f>
        <v>86.81</v>
      </c>
      <c r="F1511" s="1">
        <f ca="1">IFERROR(__xludf.DUMMYFUNCTION("""COMPUTED_VALUE"""),1051308)</f>
        <v>1051308</v>
      </c>
    </row>
    <row r="1512" spans="1:6" x14ac:dyDescent="0.35">
      <c r="A1512" s="2">
        <f ca="1">IFERROR(__xludf.DUMMYFUNCTION("""COMPUTED_VALUE"""),44196.6666666666)</f>
        <v>44196.666666666599</v>
      </c>
      <c r="B1512" s="1">
        <f ca="1">IFERROR(__xludf.DUMMYFUNCTION("""COMPUTED_VALUE"""),86.86)</f>
        <v>86.86</v>
      </c>
      <c r="C1512" s="1">
        <f ca="1">IFERROR(__xludf.DUMMYFUNCTION("""COMPUTED_VALUE"""),87.88)</f>
        <v>87.88</v>
      </c>
      <c r="D1512" s="1">
        <f ca="1">IFERROR(__xludf.DUMMYFUNCTION("""COMPUTED_VALUE"""),86.8)</f>
        <v>86.8</v>
      </c>
      <c r="E1512" s="1">
        <f ca="1">IFERROR(__xludf.DUMMYFUNCTION("""COMPUTED_VALUE"""),87.63)</f>
        <v>87.63</v>
      </c>
      <c r="F1512" s="1">
        <f ca="1">IFERROR(__xludf.DUMMYFUNCTION("""COMPUTED_VALUE"""),1053479)</f>
        <v>1053479</v>
      </c>
    </row>
    <row r="1513" spans="1:6" x14ac:dyDescent="0.35">
      <c r="A1513" s="2">
        <f ca="1">IFERROR(__xludf.DUMMYFUNCTION("""COMPUTED_VALUE"""),44200.6666666666)</f>
        <v>44200.666666666599</v>
      </c>
      <c r="B1513" s="1">
        <f ca="1">IFERROR(__xludf.DUMMYFUNCTION("""COMPUTED_VALUE"""),88)</f>
        <v>88</v>
      </c>
      <c r="C1513" s="1">
        <f ca="1">IFERROR(__xludf.DUMMYFUNCTION("""COMPUTED_VALUE"""),88.12)</f>
        <v>88.12</v>
      </c>
      <c r="D1513" s="1">
        <f ca="1">IFERROR(__xludf.DUMMYFUNCTION("""COMPUTED_VALUE"""),85.36)</f>
        <v>85.36</v>
      </c>
      <c r="E1513" s="1">
        <f ca="1">IFERROR(__xludf.DUMMYFUNCTION("""COMPUTED_VALUE"""),86.31)</f>
        <v>86.31</v>
      </c>
      <c r="F1513" s="1">
        <f ca="1">IFERROR(__xludf.DUMMYFUNCTION("""COMPUTED_VALUE"""),1866195)</f>
        <v>1866195</v>
      </c>
    </row>
    <row r="1514" spans="1:6" x14ac:dyDescent="0.35">
      <c r="A1514" s="2">
        <f ca="1">IFERROR(__xludf.DUMMYFUNCTION("""COMPUTED_VALUE"""),44201.6666666666)</f>
        <v>44201.666666666599</v>
      </c>
      <c r="B1514" s="1">
        <f ca="1">IFERROR(__xludf.DUMMYFUNCTION("""COMPUTED_VALUE"""),86.25)</f>
        <v>86.25</v>
      </c>
      <c r="C1514" s="1">
        <f ca="1">IFERROR(__xludf.DUMMYFUNCTION("""COMPUTED_VALUE"""),87.34)</f>
        <v>87.34</v>
      </c>
      <c r="D1514" s="1">
        <f ca="1">IFERROR(__xludf.DUMMYFUNCTION("""COMPUTED_VALUE"""),85.85)</f>
        <v>85.85</v>
      </c>
      <c r="E1514" s="1">
        <f ca="1">IFERROR(__xludf.DUMMYFUNCTION("""COMPUTED_VALUE"""),87)</f>
        <v>87</v>
      </c>
      <c r="F1514" s="1">
        <f ca="1">IFERROR(__xludf.DUMMYFUNCTION("""COMPUTED_VALUE"""),1017962)</f>
        <v>1017962</v>
      </c>
    </row>
    <row r="1515" spans="1:6" x14ac:dyDescent="0.35">
      <c r="A1515" s="2">
        <f ca="1">IFERROR(__xludf.DUMMYFUNCTION("""COMPUTED_VALUE"""),44202.6666666666)</f>
        <v>44202.666666666599</v>
      </c>
      <c r="B1515" s="1">
        <f ca="1">IFERROR(__xludf.DUMMYFUNCTION("""COMPUTED_VALUE"""),85.01)</f>
        <v>85.01</v>
      </c>
      <c r="C1515" s="1">
        <f ca="1">IFERROR(__xludf.DUMMYFUNCTION("""COMPUTED_VALUE"""),87.2)</f>
        <v>87.2</v>
      </c>
      <c r="D1515" s="1">
        <f ca="1">IFERROR(__xludf.DUMMYFUNCTION("""COMPUTED_VALUE"""),84.81)</f>
        <v>84.81</v>
      </c>
      <c r="E1515" s="1">
        <f ca="1">IFERROR(__xludf.DUMMYFUNCTION("""COMPUTED_VALUE"""),86.14)</f>
        <v>86.14</v>
      </c>
      <c r="F1515" s="1">
        <f ca="1">IFERROR(__xludf.DUMMYFUNCTION("""COMPUTED_VALUE"""),2329401)</f>
        <v>2329401</v>
      </c>
    </row>
    <row r="1516" spans="1:6" x14ac:dyDescent="0.35">
      <c r="A1516" s="2">
        <f ca="1">IFERROR(__xludf.DUMMYFUNCTION("""COMPUTED_VALUE"""),44203.6666666666)</f>
        <v>44203.666666666599</v>
      </c>
      <c r="B1516" s="1">
        <f ca="1">IFERROR(__xludf.DUMMYFUNCTION("""COMPUTED_VALUE"""),86.34)</f>
        <v>86.34</v>
      </c>
      <c r="C1516" s="1">
        <f ca="1">IFERROR(__xludf.DUMMYFUNCTION("""COMPUTED_VALUE"""),88.89)</f>
        <v>88.89</v>
      </c>
      <c r="D1516" s="1">
        <f ca="1">IFERROR(__xludf.DUMMYFUNCTION("""COMPUTED_VALUE"""),86.34)</f>
        <v>86.34</v>
      </c>
      <c r="E1516" s="1">
        <f ca="1">IFERROR(__xludf.DUMMYFUNCTION("""COMPUTED_VALUE"""),88.72)</f>
        <v>88.72</v>
      </c>
      <c r="F1516" s="1">
        <f ca="1">IFERROR(__xludf.DUMMYFUNCTION("""COMPUTED_VALUE"""),2096829)</f>
        <v>2096829</v>
      </c>
    </row>
    <row r="1517" spans="1:6" x14ac:dyDescent="0.35">
      <c r="A1517" s="2">
        <f ca="1">IFERROR(__xludf.DUMMYFUNCTION("""COMPUTED_VALUE"""),44204.6666666666)</f>
        <v>44204.666666666599</v>
      </c>
      <c r="B1517" s="1">
        <f ca="1">IFERROR(__xludf.DUMMYFUNCTION("""COMPUTED_VALUE"""),88.86)</f>
        <v>88.86</v>
      </c>
      <c r="C1517" s="1">
        <f ca="1">IFERROR(__xludf.DUMMYFUNCTION("""COMPUTED_VALUE"""),89.97)</f>
        <v>89.97</v>
      </c>
      <c r="D1517" s="1">
        <f ca="1">IFERROR(__xludf.DUMMYFUNCTION("""COMPUTED_VALUE"""),88.06)</f>
        <v>88.06</v>
      </c>
      <c r="E1517" s="1">
        <f ca="1">IFERROR(__xludf.DUMMYFUNCTION("""COMPUTED_VALUE"""),89.89)</f>
        <v>89.89</v>
      </c>
      <c r="F1517" s="1">
        <f ca="1">IFERROR(__xludf.DUMMYFUNCTION("""COMPUTED_VALUE"""),1774226)</f>
        <v>1774226</v>
      </c>
    </row>
    <row r="1518" spans="1:6" x14ac:dyDescent="0.35">
      <c r="A1518" s="2">
        <f ca="1">IFERROR(__xludf.DUMMYFUNCTION("""COMPUTED_VALUE"""),44207.6666666666)</f>
        <v>44207.666666666599</v>
      </c>
      <c r="B1518" s="1">
        <f ca="1">IFERROR(__xludf.DUMMYFUNCTION("""COMPUTED_VALUE"""),88.85)</f>
        <v>88.85</v>
      </c>
      <c r="C1518" s="1">
        <f ca="1">IFERROR(__xludf.DUMMYFUNCTION("""COMPUTED_VALUE"""),89.22)</f>
        <v>89.22</v>
      </c>
      <c r="D1518" s="1">
        <f ca="1">IFERROR(__xludf.DUMMYFUNCTION("""COMPUTED_VALUE"""),87.61)</f>
        <v>87.61</v>
      </c>
      <c r="E1518" s="1">
        <f ca="1">IFERROR(__xludf.DUMMYFUNCTION("""COMPUTED_VALUE"""),87.81)</f>
        <v>87.81</v>
      </c>
      <c r="F1518" s="1">
        <f ca="1">IFERROR(__xludf.DUMMYFUNCTION("""COMPUTED_VALUE"""),1740618)</f>
        <v>1740618</v>
      </c>
    </row>
    <row r="1519" spans="1:6" x14ac:dyDescent="0.35">
      <c r="A1519" s="2">
        <f ca="1">IFERROR(__xludf.DUMMYFUNCTION("""COMPUTED_VALUE"""),44208.6666666666)</f>
        <v>44208.666666666599</v>
      </c>
      <c r="B1519" s="1">
        <f ca="1">IFERROR(__xludf.DUMMYFUNCTION("""COMPUTED_VALUE"""),87.27)</f>
        <v>87.27</v>
      </c>
      <c r="C1519" s="1">
        <f ca="1">IFERROR(__xludf.DUMMYFUNCTION("""COMPUTED_VALUE"""),88.4)</f>
        <v>88.4</v>
      </c>
      <c r="D1519" s="1">
        <f ca="1">IFERROR(__xludf.DUMMYFUNCTION("""COMPUTED_VALUE"""),85.82)</f>
        <v>85.82</v>
      </c>
      <c r="E1519" s="1">
        <f ca="1">IFERROR(__xludf.DUMMYFUNCTION("""COMPUTED_VALUE"""),86.87)</f>
        <v>86.87</v>
      </c>
      <c r="F1519" s="1">
        <f ca="1">IFERROR(__xludf.DUMMYFUNCTION("""COMPUTED_VALUE"""),1476715)</f>
        <v>1476715</v>
      </c>
    </row>
    <row r="1520" spans="1:6" x14ac:dyDescent="0.35">
      <c r="A1520" s="2">
        <f ca="1">IFERROR(__xludf.DUMMYFUNCTION("""COMPUTED_VALUE"""),44209.6666666666)</f>
        <v>44209.666666666599</v>
      </c>
      <c r="B1520" s="1">
        <f ca="1">IFERROR(__xludf.DUMMYFUNCTION("""COMPUTED_VALUE"""),86.37)</f>
        <v>86.37</v>
      </c>
      <c r="C1520" s="1">
        <f ca="1">IFERROR(__xludf.DUMMYFUNCTION("""COMPUTED_VALUE"""),87.82)</f>
        <v>87.82</v>
      </c>
      <c r="D1520" s="1">
        <f ca="1">IFERROR(__xludf.DUMMYFUNCTION("""COMPUTED_VALUE"""),86.37)</f>
        <v>86.37</v>
      </c>
      <c r="E1520" s="1">
        <f ca="1">IFERROR(__xludf.DUMMYFUNCTION("""COMPUTED_VALUE"""),87.36)</f>
        <v>87.36</v>
      </c>
      <c r="F1520" s="1">
        <f ca="1">IFERROR(__xludf.DUMMYFUNCTION("""COMPUTED_VALUE"""),1171590)</f>
        <v>1171590</v>
      </c>
    </row>
    <row r="1521" spans="1:6" x14ac:dyDescent="0.35">
      <c r="A1521" s="2">
        <f ca="1">IFERROR(__xludf.DUMMYFUNCTION("""COMPUTED_VALUE"""),44210.6666666666)</f>
        <v>44210.666666666599</v>
      </c>
      <c r="B1521" s="1">
        <f ca="1">IFERROR(__xludf.DUMMYFUNCTION("""COMPUTED_VALUE"""),87.44)</f>
        <v>87.44</v>
      </c>
      <c r="C1521" s="1">
        <f ca="1">IFERROR(__xludf.DUMMYFUNCTION("""COMPUTED_VALUE"""),88.38)</f>
        <v>88.38</v>
      </c>
      <c r="D1521" s="1">
        <f ca="1">IFERROR(__xludf.DUMMYFUNCTION("""COMPUTED_VALUE"""),86.3)</f>
        <v>86.3</v>
      </c>
      <c r="E1521" s="1">
        <f ca="1">IFERROR(__xludf.DUMMYFUNCTION("""COMPUTED_VALUE"""),86.55)</f>
        <v>86.55</v>
      </c>
      <c r="F1521" s="1">
        <f ca="1">IFERROR(__xludf.DUMMYFUNCTION("""COMPUTED_VALUE"""),1460617)</f>
        <v>1460617</v>
      </c>
    </row>
    <row r="1522" spans="1:6" x14ac:dyDescent="0.35">
      <c r="A1522" s="2">
        <f ca="1">IFERROR(__xludf.DUMMYFUNCTION("""COMPUTED_VALUE"""),44211.6666666666)</f>
        <v>44211.666666666599</v>
      </c>
      <c r="B1522" s="1">
        <f ca="1">IFERROR(__xludf.DUMMYFUNCTION("""COMPUTED_VALUE"""),86.45)</f>
        <v>86.45</v>
      </c>
      <c r="C1522" s="1">
        <f ca="1">IFERROR(__xludf.DUMMYFUNCTION("""COMPUTED_VALUE"""),87.38)</f>
        <v>87.38</v>
      </c>
      <c r="D1522" s="1">
        <f ca="1">IFERROR(__xludf.DUMMYFUNCTION("""COMPUTED_VALUE"""),85.59)</f>
        <v>85.59</v>
      </c>
      <c r="E1522" s="1">
        <f ca="1">IFERROR(__xludf.DUMMYFUNCTION("""COMPUTED_VALUE"""),86.38)</f>
        <v>86.38</v>
      </c>
      <c r="F1522" s="1">
        <f ca="1">IFERROR(__xludf.DUMMYFUNCTION("""COMPUTED_VALUE"""),1572214)</f>
        <v>1572214</v>
      </c>
    </row>
    <row r="1523" spans="1:6" x14ac:dyDescent="0.35">
      <c r="A1523" s="2">
        <f ca="1">IFERROR(__xludf.DUMMYFUNCTION("""COMPUTED_VALUE"""),44215.6666666666)</f>
        <v>44215.666666666599</v>
      </c>
      <c r="B1523" s="1">
        <f ca="1">IFERROR(__xludf.DUMMYFUNCTION("""COMPUTED_VALUE"""),87.15)</f>
        <v>87.15</v>
      </c>
      <c r="C1523" s="1">
        <f ca="1">IFERROR(__xludf.DUMMYFUNCTION("""COMPUTED_VALUE"""),90.19)</f>
        <v>90.19</v>
      </c>
      <c r="D1523" s="1">
        <f ca="1">IFERROR(__xludf.DUMMYFUNCTION("""COMPUTED_VALUE"""),86.64)</f>
        <v>86.64</v>
      </c>
      <c r="E1523" s="1">
        <f ca="1">IFERROR(__xludf.DUMMYFUNCTION("""COMPUTED_VALUE"""),89.22)</f>
        <v>89.22</v>
      </c>
      <c r="F1523" s="1">
        <f ca="1">IFERROR(__xludf.DUMMYFUNCTION("""COMPUTED_VALUE"""),2082951)</f>
        <v>2082951</v>
      </c>
    </row>
    <row r="1524" spans="1:6" x14ac:dyDescent="0.35">
      <c r="A1524" s="2">
        <f ca="1">IFERROR(__xludf.DUMMYFUNCTION("""COMPUTED_VALUE"""),44216.6666666666)</f>
        <v>44216.666666666599</v>
      </c>
      <c r="B1524" s="1">
        <f ca="1">IFERROR(__xludf.DUMMYFUNCTION("""COMPUTED_VALUE"""),91.32)</f>
        <v>91.32</v>
      </c>
      <c r="C1524" s="1">
        <f ca="1">IFERROR(__xludf.DUMMYFUNCTION("""COMPUTED_VALUE"""),94.99)</f>
        <v>94.99</v>
      </c>
      <c r="D1524" s="1">
        <f ca="1">IFERROR(__xludf.DUMMYFUNCTION("""COMPUTED_VALUE"""),90.98)</f>
        <v>90.98</v>
      </c>
      <c r="E1524" s="1">
        <f ca="1">IFERROR(__xludf.DUMMYFUNCTION("""COMPUTED_VALUE"""),94)</f>
        <v>94</v>
      </c>
      <c r="F1524" s="1">
        <f ca="1">IFERROR(__xludf.DUMMYFUNCTION("""COMPUTED_VALUE"""),3207570)</f>
        <v>3207570</v>
      </c>
    </row>
    <row r="1525" spans="1:6" x14ac:dyDescent="0.35">
      <c r="A1525" s="2">
        <f ca="1">IFERROR(__xludf.DUMMYFUNCTION("""COMPUTED_VALUE"""),44217.6666666666)</f>
        <v>44217.666666666599</v>
      </c>
      <c r="B1525" s="1">
        <f ca="1">IFERROR(__xludf.DUMMYFUNCTION("""COMPUTED_VALUE"""),94.68)</f>
        <v>94.68</v>
      </c>
      <c r="C1525" s="1">
        <f ca="1">IFERROR(__xludf.DUMMYFUNCTION("""COMPUTED_VALUE"""),96.6)</f>
        <v>96.6</v>
      </c>
      <c r="D1525" s="1">
        <f ca="1">IFERROR(__xludf.DUMMYFUNCTION("""COMPUTED_VALUE"""),93.97)</f>
        <v>93.97</v>
      </c>
      <c r="E1525" s="1">
        <f ca="1">IFERROR(__xludf.DUMMYFUNCTION("""COMPUTED_VALUE"""),94.21)</f>
        <v>94.21</v>
      </c>
      <c r="F1525" s="1">
        <f ca="1">IFERROR(__xludf.DUMMYFUNCTION("""COMPUTED_VALUE"""),2932973)</f>
        <v>2932973</v>
      </c>
    </row>
    <row r="1526" spans="1:6" x14ac:dyDescent="0.35">
      <c r="A1526" s="2">
        <f ca="1">IFERROR(__xludf.DUMMYFUNCTION("""COMPUTED_VALUE"""),44218.6666666666)</f>
        <v>44218.666666666599</v>
      </c>
      <c r="B1526" s="1">
        <f ca="1">IFERROR(__xludf.DUMMYFUNCTION("""COMPUTED_VALUE"""),94.57)</f>
        <v>94.57</v>
      </c>
      <c r="C1526" s="1">
        <f ca="1">IFERROR(__xludf.DUMMYFUNCTION("""COMPUTED_VALUE"""),95.22)</f>
        <v>95.22</v>
      </c>
      <c r="D1526" s="1">
        <f ca="1">IFERROR(__xludf.DUMMYFUNCTION("""COMPUTED_VALUE"""),93.82)</f>
        <v>93.82</v>
      </c>
      <c r="E1526" s="1">
        <f ca="1">IFERROR(__xludf.DUMMYFUNCTION("""COMPUTED_VALUE"""),94.63)</f>
        <v>94.63</v>
      </c>
      <c r="F1526" s="1">
        <f ca="1">IFERROR(__xludf.DUMMYFUNCTION("""COMPUTED_VALUE"""),1637195)</f>
        <v>1637195</v>
      </c>
    </row>
    <row r="1527" spans="1:6" x14ac:dyDescent="0.35">
      <c r="A1527" s="2">
        <f ca="1">IFERROR(__xludf.DUMMYFUNCTION("""COMPUTED_VALUE"""),44221.6666666666)</f>
        <v>44221.666666666599</v>
      </c>
      <c r="B1527" s="1">
        <f ca="1">IFERROR(__xludf.DUMMYFUNCTION("""COMPUTED_VALUE"""),95.64)</f>
        <v>95.64</v>
      </c>
      <c r="C1527" s="1">
        <f ca="1">IFERROR(__xludf.DUMMYFUNCTION("""COMPUTED_VALUE"""),96.09)</f>
        <v>96.09</v>
      </c>
      <c r="D1527" s="1">
        <f ca="1">IFERROR(__xludf.DUMMYFUNCTION("""COMPUTED_VALUE"""),92.96)</f>
        <v>92.96</v>
      </c>
      <c r="E1527" s="1">
        <f ca="1">IFERROR(__xludf.DUMMYFUNCTION("""COMPUTED_VALUE"""),94.71)</f>
        <v>94.71</v>
      </c>
      <c r="F1527" s="1">
        <f ca="1">IFERROR(__xludf.DUMMYFUNCTION("""COMPUTED_VALUE"""),2529346)</f>
        <v>2529346</v>
      </c>
    </row>
    <row r="1528" spans="1:6" x14ac:dyDescent="0.35">
      <c r="A1528" s="2">
        <f ca="1">IFERROR(__xludf.DUMMYFUNCTION("""COMPUTED_VALUE"""),44222.6666666666)</f>
        <v>44222.666666666599</v>
      </c>
      <c r="B1528" s="1">
        <f ca="1">IFERROR(__xludf.DUMMYFUNCTION("""COMPUTED_VALUE"""),94.3)</f>
        <v>94.3</v>
      </c>
      <c r="C1528" s="1">
        <f ca="1">IFERROR(__xludf.DUMMYFUNCTION("""COMPUTED_VALUE"""),95.79)</f>
        <v>95.79</v>
      </c>
      <c r="D1528" s="1">
        <f ca="1">IFERROR(__xludf.DUMMYFUNCTION("""COMPUTED_VALUE"""),93.81)</f>
        <v>93.81</v>
      </c>
      <c r="E1528" s="1">
        <f ca="1">IFERROR(__xludf.DUMMYFUNCTION("""COMPUTED_VALUE"""),95.4)</f>
        <v>95.4</v>
      </c>
      <c r="F1528" s="1">
        <f ca="1">IFERROR(__xludf.DUMMYFUNCTION("""COMPUTED_VALUE"""),1573078)</f>
        <v>1573078</v>
      </c>
    </row>
    <row r="1529" spans="1:6" x14ac:dyDescent="0.35">
      <c r="A1529" s="2">
        <f ca="1">IFERROR(__xludf.DUMMYFUNCTION("""COMPUTED_VALUE"""),44223.6666666666)</f>
        <v>44223.666666666599</v>
      </c>
      <c r="B1529" s="1">
        <f ca="1">IFERROR(__xludf.DUMMYFUNCTION("""COMPUTED_VALUE"""),93.75)</f>
        <v>93.75</v>
      </c>
      <c r="C1529" s="1">
        <f ca="1">IFERROR(__xludf.DUMMYFUNCTION("""COMPUTED_VALUE"""),94.02)</f>
        <v>94.02</v>
      </c>
      <c r="D1529" s="1">
        <f ca="1">IFERROR(__xludf.DUMMYFUNCTION("""COMPUTED_VALUE"""),89.86)</f>
        <v>89.86</v>
      </c>
      <c r="E1529" s="1">
        <f ca="1">IFERROR(__xludf.DUMMYFUNCTION("""COMPUTED_VALUE"""),90.95)</f>
        <v>90.95</v>
      </c>
      <c r="F1529" s="1">
        <f ca="1">IFERROR(__xludf.DUMMYFUNCTION("""COMPUTED_VALUE"""),4125631)</f>
        <v>4125631</v>
      </c>
    </row>
    <row r="1530" spans="1:6" x14ac:dyDescent="0.35">
      <c r="A1530" s="2">
        <f ca="1">IFERROR(__xludf.DUMMYFUNCTION("""COMPUTED_VALUE"""),44224.6666666666)</f>
        <v>44224.666666666599</v>
      </c>
      <c r="B1530" s="1">
        <f ca="1">IFERROR(__xludf.DUMMYFUNCTION("""COMPUTED_VALUE"""),91.55)</f>
        <v>91.55</v>
      </c>
      <c r="C1530" s="1">
        <f ca="1">IFERROR(__xludf.DUMMYFUNCTION("""COMPUTED_VALUE"""),94.4)</f>
        <v>94.4</v>
      </c>
      <c r="D1530" s="1">
        <f ca="1">IFERROR(__xludf.DUMMYFUNCTION("""COMPUTED_VALUE"""),91.55)</f>
        <v>91.55</v>
      </c>
      <c r="E1530" s="1">
        <f ca="1">IFERROR(__xludf.DUMMYFUNCTION("""COMPUTED_VALUE"""),92.66)</f>
        <v>92.66</v>
      </c>
      <c r="F1530" s="1">
        <f ca="1">IFERROR(__xludf.DUMMYFUNCTION("""COMPUTED_VALUE"""),2763905)</f>
        <v>2763905</v>
      </c>
    </row>
    <row r="1531" spans="1:6" x14ac:dyDescent="0.35">
      <c r="A1531" s="2">
        <f ca="1">IFERROR(__xludf.DUMMYFUNCTION("""COMPUTED_VALUE"""),44225.6666666666)</f>
        <v>44225.666666666599</v>
      </c>
      <c r="B1531" s="1">
        <f ca="1">IFERROR(__xludf.DUMMYFUNCTION("""COMPUTED_VALUE"""),91.7)</f>
        <v>91.7</v>
      </c>
      <c r="C1531" s="1">
        <f ca="1">IFERROR(__xludf.DUMMYFUNCTION("""COMPUTED_VALUE"""),92.38)</f>
        <v>92.38</v>
      </c>
      <c r="D1531" s="1">
        <f ca="1">IFERROR(__xludf.DUMMYFUNCTION("""COMPUTED_VALUE"""),90.08)</f>
        <v>90.08</v>
      </c>
      <c r="E1531" s="1">
        <f ca="1">IFERROR(__xludf.DUMMYFUNCTION("""COMPUTED_VALUE"""),91.37)</f>
        <v>91.37</v>
      </c>
      <c r="F1531" s="1">
        <f ca="1">IFERROR(__xludf.DUMMYFUNCTION("""COMPUTED_VALUE"""),2226509)</f>
        <v>2226509</v>
      </c>
    </row>
    <row r="1532" spans="1:6" x14ac:dyDescent="0.35">
      <c r="A1532" s="2">
        <f ca="1">IFERROR(__xludf.DUMMYFUNCTION("""COMPUTED_VALUE"""),44228.6666666666)</f>
        <v>44228.666666666599</v>
      </c>
      <c r="B1532" s="1">
        <f ca="1">IFERROR(__xludf.DUMMYFUNCTION("""COMPUTED_VALUE"""),92.23)</f>
        <v>92.23</v>
      </c>
      <c r="C1532" s="1">
        <f ca="1">IFERROR(__xludf.DUMMYFUNCTION("""COMPUTED_VALUE"""),95.78)</f>
        <v>95.78</v>
      </c>
      <c r="D1532" s="1">
        <f ca="1">IFERROR(__xludf.DUMMYFUNCTION("""COMPUTED_VALUE"""),92.23)</f>
        <v>92.23</v>
      </c>
      <c r="E1532" s="1">
        <f ca="1">IFERROR(__xludf.DUMMYFUNCTION("""COMPUTED_VALUE"""),94.65)</f>
        <v>94.65</v>
      </c>
      <c r="F1532" s="1">
        <f ca="1">IFERROR(__xludf.DUMMYFUNCTION("""COMPUTED_VALUE"""),2012603)</f>
        <v>2012603</v>
      </c>
    </row>
    <row r="1533" spans="1:6" x14ac:dyDescent="0.35">
      <c r="A1533" s="2">
        <f ca="1">IFERROR(__xludf.DUMMYFUNCTION("""COMPUTED_VALUE"""),44229.6666666666)</f>
        <v>44229.666666666599</v>
      </c>
      <c r="B1533" s="1">
        <f ca="1">IFERROR(__xludf.DUMMYFUNCTION("""COMPUTED_VALUE"""),95.66)</f>
        <v>95.66</v>
      </c>
      <c r="C1533" s="1">
        <f ca="1">IFERROR(__xludf.DUMMYFUNCTION("""COMPUTED_VALUE"""),97.47)</f>
        <v>97.47</v>
      </c>
      <c r="D1533" s="1">
        <f ca="1">IFERROR(__xludf.DUMMYFUNCTION("""COMPUTED_VALUE"""),95.32)</f>
        <v>95.32</v>
      </c>
      <c r="E1533" s="1">
        <f ca="1">IFERROR(__xludf.DUMMYFUNCTION("""COMPUTED_VALUE"""),95.96)</f>
        <v>95.96</v>
      </c>
      <c r="F1533" s="1">
        <f ca="1">IFERROR(__xludf.DUMMYFUNCTION("""COMPUTED_VALUE"""),3316620)</f>
        <v>3316620</v>
      </c>
    </row>
    <row r="1534" spans="1:6" x14ac:dyDescent="0.35">
      <c r="A1534" s="2">
        <f ca="1">IFERROR(__xludf.DUMMYFUNCTION("""COMPUTED_VALUE"""),44230.6666666666)</f>
        <v>44230.666666666599</v>
      </c>
      <c r="B1534" s="1">
        <f ca="1">IFERROR(__xludf.DUMMYFUNCTION("""COMPUTED_VALUE"""),103.28)</f>
        <v>103.28</v>
      </c>
      <c r="C1534" s="1">
        <f ca="1">IFERROR(__xludf.DUMMYFUNCTION("""COMPUTED_VALUE"""),105.33)</f>
        <v>105.33</v>
      </c>
      <c r="D1534" s="1">
        <f ca="1">IFERROR(__xludf.DUMMYFUNCTION("""COMPUTED_VALUE"""),100.68)</f>
        <v>100.68</v>
      </c>
      <c r="E1534" s="1">
        <f ca="1">IFERROR(__xludf.DUMMYFUNCTION("""COMPUTED_VALUE"""),102.94)</f>
        <v>102.94</v>
      </c>
      <c r="F1534" s="1">
        <f ca="1">IFERROR(__xludf.DUMMYFUNCTION("""COMPUTED_VALUE"""),4894082)</f>
        <v>4894082</v>
      </c>
    </row>
    <row r="1535" spans="1:6" x14ac:dyDescent="0.35">
      <c r="A1535" s="2">
        <f ca="1">IFERROR(__xludf.DUMMYFUNCTION("""COMPUTED_VALUE"""),44231.6666666666)</f>
        <v>44231.666666666599</v>
      </c>
      <c r="B1535" s="1">
        <f ca="1">IFERROR(__xludf.DUMMYFUNCTION("""COMPUTED_VALUE"""),103.03)</f>
        <v>103.03</v>
      </c>
      <c r="C1535" s="1">
        <f ca="1">IFERROR(__xludf.DUMMYFUNCTION("""COMPUTED_VALUE"""),103.47)</f>
        <v>103.47</v>
      </c>
      <c r="D1535" s="1">
        <f ca="1">IFERROR(__xludf.DUMMYFUNCTION("""COMPUTED_VALUE"""),101.76)</f>
        <v>101.76</v>
      </c>
      <c r="E1535" s="1">
        <f ca="1">IFERROR(__xludf.DUMMYFUNCTION("""COMPUTED_VALUE"""),102.68)</f>
        <v>102.68</v>
      </c>
      <c r="F1535" s="1">
        <f ca="1">IFERROR(__xludf.DUMMYFUNCTION("""COMPUTED_VALUE"""),2429780)</f>
        <v>2429780</v>
      </c>
    </row>
    <row r="1536" spans="1:6" x14ac:dyDescent="0.35">
      <c r="A1536" s="2">
        <f ca="1">IFERROR(__xludf.DUMMYFUNCTION("""COMPUTED_VALUE"""),44232.6666666666)</f>
        <v>44232.666666666599</v>
      </c>
      <c r="B1536" s="1">
        <f ca="1">IFERROR(__xludf.DUMMYFUNCTION("""COMPUTED_VALUE"""),102.98)</f>
        <v>102.98</v>
      </c>
      <c r="C1536" s="1">
        <f ca="1">IFERROR(__xludf.DUMMYFUNCTION("""COMPUTED_VALUE"""),104.8)</f>
        <v>104.8</v>
      </c>
      <c r="D1536" s="1">
        <f ca="1">IFERROR(__xludf.DUMMYFUNCTION("""COMPUTED_VALUE"""),102.5)</f>
        <v>102.5</v>
      </c>
      <c r="E1536" s="1">
        <f ca="1">IFERROR(__xludf.DUMMYFUNCTION("""COMPUTED_VALUE"""),104.44)</f>
        <v>104.44</v>
      </c>
      <c r="F1536" s="1">
        <f ca="1">IFERROR(__xludf.DUMMYFUNCTION("""COMPUTED_VALUE"""),1493256)</f>
        <v>1493256</v>
      </c>
    </row>
    <row r="1537" spans="1:6" x14ac:dyDescent="0.35">
      <c r="A1537" s="2">
        <f ca="1">IFERROR(__xludf.DUMMYFUNCTION("""COMPUTED_VALUE"""),44235.6666666666)</f>
        <v>44235.666666666599</v>
      </c>
      <c r="B1537" s="1">
        <f ca="1">IFERROR(__xludf.DUMMYFUNCTION("""COMPUTED_VALUE"""),105)</f>
        <v>105</v>
      </c>
      <c r="C1537" s="1">
        <f ca="1">IFERROR(__xludf.DUMMYFUNCTION("""COMPUTED_VALUE"""),105.75)</f>
        <v>105.75</v>
      </c>
      <c r="D1537" s="1">
        <f ca="1">IFERROR(__xludf.DUMMYFUNCTION("""COMPUTED_VALUE"""),103.17)</f>
        <v>103.17</v>
      </c>
      <c r="E1537" s="1">
        <f ca="1">IFERROR(__xludf.DUMMYFUNCTION("""COMPUTED_VALUE"""),104.23)</f>
        <v>104.23</v>
      </c>
      <c r="F1537" s="1">
        <f ca="1">IFERROR(__xludf.DUMMYFUNCTION("""COMPUTED_VALUE"""),1441443)</f>
        <v>1441443</v>
      </c>
    </row>
    <row r="1538" spans="1:6" x14ac:dyDescent="0.35">
      <c r="A1538" s="2">
        <f ca="1">IFERROR(__xludf.DUMMYFUNCTION("""COMPUTED_VALUE"""),44236.6666666666)</f>
        <v>44236.666666666599</v>
      </c>
      <c r="B1538" s="1">
        <f ca="1">IFERROR(__xludf.DUMMYFUNCTION("""COMPUTED_VALUE"""),103.74)</f>
        <v>103.74</v>
      </c>
      <c r="C1538" s="1">
        <f ca="1">IFERROR(__xludf.DUMMYFUNCTION("""COMPUTED_VALUE"""),104.93)</f>
        <v>104.93</v>
      </c>
      <c r="D1538" s="1">
        <f ca="1">IFERROR(__xludf.DUMMYFUNCTION("""COMPUTED_VALUE"""),103.5)</f>
        <v>103.5</v>
      </c>
      <c r="E1538" s="1">
        <f ca="1">IFERROR(__xludf.DUMMYFUNCTION("""COMPUTED_VALUE"""),103.77)</f>
        <v>103.77</v>
      </c>
      <c r="F1538" s="1">
        <f ca="1">IFERROR(__xludf.DUMMYFUNCTION("""COMPUTED_VALUE"""),1094583)</f>
        <v>1094583</v>
      </c>
    </row>
    <row r="1539" spans="1:6" x14ac:dyDescent="0.35">
      <c r="A1539" s="2">
        <f ca="1">IFERROR(__xludf.DUMMYFUNCTION("""COMPUTED_VALUE"""),44237.6666666666)</f>
        <v>44237.666666666599</v>
      </c>
      <c r="B1539" s="1">
        <f ca="1">IFERROR(__xludf.DUMMYFUNCTION("""COMPUTED_VALUE"""),104.16)</f>
        <v>104.16</v>
      </c>
      <c r="C1539" s="1">
        <f ca="1">IFERROR(__xludf.DUMMYFUNCTION("""COMPUTED_VALUE"""),104.94)</f>
        <v>104.94</v>
      </c>
      <c r="D1539" s="1">
        <f ca="1">IFERROR(__xludf.DUMMYFUNCTION("""COMPUTED_VALUE"""),102.61)</f>
        <v>102.61</v>
      </c>
      <c r="E1539" s="1">
        <f ca="1">IFERROR(__xludf.DUMMYFUNCTION("""COMPUTED_VALUE"""),104.32)</f>
        <v>104.32</v>
      </c>
      <c r="F1539" s="1">
        <f ca="1">IFERROR(__xludf.DUMMYFUNCTION("""COMPUTED_VALUE"""),1255080)</f>
        <v>1255080</v>
      </c>
    </row>
    <row r="1540" spans="1:6" x14ac:dyDescent="0.35">
      <c r="A1540" s="2">
        <f ca="1">IFERROR(__xludf.DUMMYFUNCTION("""COMPUTED_VALUE"""),44238.6666666666)</f>
        <v>44238.666666666599</v>
      </c>
      <c r="B1540" s="1">
        <f ca="1">IFERROR(__xludf.DUMMYFUNCTION("""COMPUTED_VALUE"""),104.55)</f>
        <v>104.55</v>
      </c>
      <c r="C1540" s="1">
        <f ca="1">IFERROR(__xludf.DUMMYFUNCTION("""COMPUTED_VALUE"""),104.7)</f>
        <v>104.7</v>
      </c>
      <c r="D1540" s="1">
        <f ca="1">IFERROR(__xludf.DUMMYFUNCTION("""COMPUTED_VALUE"""),103.44)</f>
        <v>103.44</v>
      </c>
      <c r="E1540" s="1">
        <f ca="1">IFERROR(__xludf.DUMMYFUNCTION("""COMPUTED_VALUE"""),104.44)</f>
        <v>104.44</v>
      </c>
      <c r="F1540" s="1">
        <f ca="1">IFERROR(__xludf.DUMMYFUNCTION("""COMPUTED_VALUE"""),1024029)</f>
        <v>1024029</v>
      </c>
    </row>
    <row r="1541" spans="1:6" x14ac:dyDescent="0.35">
      <c r="A1541" s="2">
        <f ca="1">IFERROR(__xludf.DUMMYFUNCTION("""COMPUTED_VALUE"""),44239.6666666666)</f>
        <v>44239.666666666599</v>
      </c>
      <c r="B1541" s="1">
        <f ca="1">IFERROR(__xludf.DUMMYFUNCTION("""COMPUTED_VALUE"""),103.99)</f>
        <v>103.99</v>
      </c>
      <c r="C1541" s="1">
        <f ca="1">IFERROR(__xludf.DUMMYFUNCTION("""COMPUTED_VALUE"""),104.98)</f>
        <v>104.98</v>
      </c>
      <c r="D1541" s="1">
        <f ca="1">IFERROR(__xludf.DUMMYFUNCTION("""COMPUTED_VALUE"""),103.68)</f>
        <v>103.68</v>
      </c>
      <c r="E1541" s="1">
        <f ca="1">IFERROR(__xludf.DUMMYFUNCTION("""COMPUTED_VALUE"""),104.75)</f>
        <v>104.75</v>
      </c>
      <c r="F1541" s="1">
        <f ca="1">IFERROR(__xludf.DUMMYFUNCTION("""COMPUTED_VALUE"""),949525)</f>
        <v>949525</v>
      </c>
    </row>
    <row r="1542" spans="1:6" x14ac:dyDescent="0.35">
      <c r="A1542" s="2">
        <f ca="1">IFERROR(__xludf.DUMMYFUNCTION("""COMPUTED_VALUE"""),44243.6666666666)</f>
        <v>44243.666666666599</v>
      </c>
      <c r="B1542" s="1">
        <f ca="1">IFERROR(__xludf.DUMMYFUNCTION("""COMPUTED_VALUE"""),104.59)</f>
        <v>104.59</v>
      </c>
      <c r="C1542" s="1">
        <f ca="1">IFERROR(__xludf.DUMMYFUNCTION("""COMPUTED_VALUE"""),107.26)</f>
        <v>107.26</v>
      </c>
      <c r="D1542" s="1">
        <f ca="1">IFERROR(__xludf.DUMMYFUNCTION("""COMPUTED_VALUE"""),104.59)</f>
        <v>104.59</v>
      </c>
      <c r="E1542" s="1">
        <f ca="1">IFERROR(__xludf.DUMMYFUNCTION("""COMPUTED_VALUE"""),105.54)</f>
        <v>105.54</v>
      </c>
      <c r="F1542" s="1">
        <f ca="1">IFERROR(__xludf.DUMMYFUNCTION("""COMPUTED_VALUE"""),1550195)</f>
        <v>1550195</v>
      </c>
    </row>
    <row r="1543" spans="1:6" x14ac:dyDescent="0.35">
      <c r="A1543" s="2">
        <f ca="1">IFERROR(__xludf.DUMMYFUNCTION("""COMPUTED_VALUE"""),44244.6666666666)</f>
        <v>44244.666666666599</v>
      </c>
      <c r="B1543" s="1">
        <f ca="1">IFERROR(__xludf.DUMMYFUNCTION("""COMPUTED_VALUE"""),104.7)</f>
        <v>104.7</v>
      </c>
      <c r="C1543" s="1">
        <f ca="1">IFERROR(__xludf.DUMMYFUNCTION("""COMPUTED_VALUE"""),106.12)</f>
        <v>106.12</v>
      </c>
      <c r="D1543" s="1">
        <f ca="1">IFERROR(__xludf.DUMMYFUNCTION("""COMPUTED_VALUE"""),104.42)</f>
        <v>104.42</v>
      </c>
      <c r="E1543" s="1">
        <f ca="1">IFERROR(__xludf.DUMMYFUNCTION("""COMPUTED_VALUE"""),105.93)</f>
        <v>105.93</v>
      </c>
      <c r="F1543" s="1">
        <f ca="1">IFERROR(__xludf.DUMMYFUNCTION("""COMPUTED_VALUE"""),1015177)</f>
        <v>1015177</v>
      </c>
    </row>
    <row r="1544" spans="1:6" x14ac:dyDescent="0.35">
      <c r="A1544" s="2">
        <f ca="1">IFERROR(__xludf.DUMMYFUNCTION("""COMPUTED_VALUE"""),44245.6666666666)</f>
        <v>44245.666666666599</v>
      </c>
      <c r="B1544" s="1">
        <f ca="1">IFERROR(__xludf.DUMMYFUNCTION("""COMPUTED_VALUE"""),105.25)</f>
        <v>105.25</v>
      </c>
      <c r="C1544" s="1">
        <f ca="1">IFERROR(__xludf.DUMMYFUNCTION("""COMPUTED_VALUE"""),106.1)</f>
        <v>106.1</v>
      </c>
      <c r="D1544" s="1">
        <f ca="1">IFERROR(__xludf.DUMMYFUNCTION("""COMPUTED_VALUE"""),104.67)</f>
        <v>104.67</v>
      </c>
      <c r="E1544" s="1">
        <f ca="1">IFERROR(__xludf.DUMMYFUNCTION("""COMPUTED_VALUE"""),105.29)</f>
        <v>105.29</v>
      </c>
      <c r="F1544" s="1">
        <f ca="1">IFERROR(__xludf.DUMMYFUNCTION("""COMPUTED_VALUE"""),1128549)</f>
        <v>1128549</v>
      </c>
    </row>
    <row r="1545" spans="1:6" x14ac:dyDescent="0.35">
      <c r="A1545" s="2">
        <f ca="1">IFERROR(__xludf.DUMMYFUNCTION("""COMPUTED_VALUE"""),44246.6666666666)</f>
        <v>44246.666666666599</v>
      </c>
      <c r="B1545" s="1">
        <f ca="1">IFERROR(__xludf.DUMMYFUNCTION("""COMPUTED_VALUE"""),105.39)</f>
        <v>105.39</v>
      </c>
      <c r="C1545" s="1">
        <f ca="1">IFERROR(__xludf.DUMMYFUNCTION("""COMPUTED_VALUE"""),105.93)</f>
        <v>105.93</v>
      </c>
      <c r="D1545" s="1">
        <f ca="1">IFERROR(__xludf.DUMMYFUNCTION("""COMPUTED_VALUE"""),104.17)</f>
        <v>104.17</v>
      </c>
      <c r="E1545" s="1">
        <f ca="1">IFERROR(__xludf.DUMMYFUNCTION("""COMPUTED_VALUE"""),104.44)</f>
        <v>104.44</v>
      </c>
      <c r="F1545" s="1">
        <f ca="1">IFERROR(__xludf.DUMMYFUNCTION("""COMPUTED_VALUE"""),1896939)</f>
        <v>1896939</v>
      </c>
    </row>
    <row r="1546" spans="1:6" x14ac:dyDescent="0.35">
      <c r="A1546" s="2">
        <f ca="1">IFERROR(__xludf.DUMMYFUNCTION("""COMPUTED_VALUE"""),44249.6666666666)</f>
        <v>44249.666666666599</v>
      </c>
      <c r="B1546" s="1">
        <f ca="1">IFERROR(__xludf.DUMMYFUNCTION("""COMPUTED_VALUE"""),102.68)</f>
        <v>102.68</v>
      </c>
      <c r="C1546" s="1">
        <f ca="1">IFERROR(__xludf.DUMMYFUNCTION("""COMPUTED_VALUE"""),104.02)</f>
        <v>104.02</v>
      </c>
      <c r="D1546" s="1">
        <f ca="1">IFERROR(__xludf.DUMMYFUNCTION("""COMPUTED_VALUE"""),102.4)</f>
        <v>102.4</v>
      </c>
      <c r="E1546" s="1">
        <f ca="1">IFERROR(__xludf.DUMMYFUNCTION("""COMPUTED_VALUE"""),102.71)</f>
        <v>102.71</v>
      </c>
      <c r="F1546" s="1">
        <f ca="1">IFERROR(__xludf.DUMMYFUNCTION("""COMPUTED_VALUE"""),1473317)</f>
        <v>1473317</v>
      </c>
    </row>
    <row r="1547" spans="1:6" x14ac:dyDescent="0.35">
      <c r="A1547" s="2">
        <f ca="1">IFERROR(__xludf.DUMMYFUNCTION("""COMPUTED_VALUE"""),44250.6666666666)</f>
        <v>44250.666666666599</v>
      </c>
      <c r="B1547" s="1">
        <f ca="1">IFERROR(__xludf.DUMMYFUNCTION("""COMPUTED_VALUE"""),100.7)</f>
        <v>100.7</v>
      </c>
      <c r="C1547" s="1">
        <f ca="1">IFERROR(__xludf.DUMMYFUNCTION("""COMPUTED_VALUE"""),103.63)</f>
        <v>103.63</v>
      </c>
      <c r="D1547" s="1">
        <f ca="1">IFERROR(__xludf.DUMMYFUNCTION("""COMPUTED_VALUE"""),99.51)</f>
        <v>99.51</v>
      </c>
      <c r="E1547" s="1">
        <f ca="1">IFERROR(__xludf.DUMMYFUNCTION("""COMPUTED_VALUE"""),103.01)</f>
        <v>103.01</v>
      </c>
      <c r="F1547" s="1">
        <f ca="1">IFERROR(__xludf.DUMMYFUNCTION("""COMPUTED_VALUE"""),1732899)</f>
        <v>1732899</v>
      </c>
    </row>
    <row r="1548" spans="1:6" x14ac:dyDescent="0.35">
      <c r="A1548" s="2">
        <f ca="1">IFERROR(__xludf.DUMMYFUNCTION("""COMPUTED_VALUE"""),44251.6666666666)</f>
        <v>44251.666666666599</v>
      </c>
      <c r="B1548" s="1">
        <f ca="1">IFERROR(__xludf.DUMMYFUNCTION("""COMPUTED_VALUE"""),101.5)</f>
        <v>101.5</v>
      </c>
      <c r="C1548" s="1">
        <f ca="1">IFERROR(__xludf.DUMMYFUNCTION("""COMPUTED_VALUE"""),104.42)</f>
        <v>104.42</v>
      </c>
      <c r="D1548" s="1">
        <f ca="1">IFERROR(__xludf.DUMMYFUNCTION("""COMPUTED_VALUE"""),101.38)</f>
        <v>101.38</v>
      </c>
      <c r="E1548" s="1">
        <f ca="1">IFERROR(__xludf.DUMMYFUNCTION("""COMPUTED_VALUE"""),104.19)</f>
        <v>104.19</v>
      </c>
      <c r="F1548" s="1">
        <f ca="1">IFERROR(__xludf.DUMMYFUNCTION("""COMPUTED_VALUE"""),1130437)</f>
        <v>1130437</v>
      </c>
    </row>
    <row r="1549" spans="1:6" x14ac:dyDescent="0.35">
      <c r="A1549" s="2">
        <f ca="1">IFERROR(__xludf.DUMMYFUNCTION("""COMPUTED_VALUE"""),44252.6666666666)</f>
        <v>44252.666666666599</v>
      </c>
      <c r="B1549" s="1">
        <f ca="1">IFERROR(__xludf.DUMMYFUNCTION("""COMPUTED_VALUE"""),102.8)</f>
        <v>102.8</v>
      </c>
      <c r="C1549" s="1">
        <f ca="1">IFERROR(__xludf.DUMMYFUNCTION("""COMPUTED_VALUE"""),104.15)</f>
        <v>104.15</v>
      </c>
      <c r="D1549" s="1">
        <f ca="1">IFERROR(__xludf.DUMMYFUNCTION("""COMPUTED_VALUE"""),100.32)</f>
        <v>100.32</v>
      </c>
      <c r="E1549" s="1">
        <f ca="1">IFERROR(__xludf.DUMMYFUNCTION("""COMPUTED_VALUE"""),100.8)</f>
        <v>100.8</v>
      </c>
      <c r="F1549" s="1">
        <f ca="1">IFERROR(__xludf.DUMMYFUNCTION("""COMPUTED_VALUE"""),2077409)</f>
        <v>2077409</v>
      </c>
    </row>
    <row r="1550" spans="1:6" x14ac:dyDescent="0.35">
      <c r="A1550" s="2">
        <f ca="1">IFERROR(__xludf.DUMMYFUNCTION("""COMPUTED_VALUE"""),44253.6666666666)</f>
        <v>44253.666666666599</v>
      </c>
      <c r="B1550" s="1">
        <f ca="1">IFERROR(__xludf.DUMMYFUNCTION("""COMPUTED_VALUE"""),101.5)</f>
        <v>101.5</v>
      </c>
      <c r="C1550" s="1">
        <f ca="1">IFERROR(__xludf.DUMMYFUNCTION("""COMPUTED_VALUE"""),102.83)</f>
        <v>102.83</v>
      </c>
      <c r="D1550" s="1">
        <f ca="1">IFERROR(__xludf.DUMMYFUNCTION("""COMPUTED_VALUE"""),100.05)</f>
        <v>100.05</v>
      </c>
      <c r="E1550" s="1">
        <f ca="1">IFERROR(__xludf.DUMMYFUNCTION("""COMPUTED_VALUE"""),101.1)</f>
        <v>101.1</v>
      </c>
      <c r="F1550" s="1">
        <f ca="1">IFERROR(__xludf.DUMMYFUNCTION("""COMPUTED_VALUE"""),2002064)</f>
        <v>2002064</v>
      </c>
    </row>
    <row r="1551" spans="1:6" x14ac:dyDescent="0.35">
      <c r="A1551" s="2">
        <f ca="1">IFERROR(__xludf.DUMMYFUNCTION("""COMPUTED_VALUE"""),44256.6666666666)</f>
        <v>44256.666666666599</v>
      </c>
      <c r="B1551" s="1">
        <f ca="1">IFERROR(__xludf.DUMMYFUNCTION("""COMPUTED_VALUE"""),102.4)</f>
        <v>102.4</v>
      </c>
      <c r="C1551" s="1">
        <f ca="1">IFERROR(__xludf.DUMMYFUNCTION("""COMPUTED_VALUE"""),103.81)</f>
        <v>103.81</v>
      </c>
      <c r="D1551" s="1">
        <f ca="1">IFERROR(__xludf.DUMMYFUNCTION("""COMPUTED_VALUE"""),101.72)</f>
        <v>101.72</v>
      </c>
      <c r="E1551" s="1">
        <f ca="1">IFERROR(__xludf.DUMMYFUNCTION("""COMPUTED_VALUE"""),103.48)</f>
        <v>103.48</v>
      </c>
      <c r="F1551" s="1">
        <f ca="1">IFERROR(__xludf.DUMMYFUNCTION("""COMPUTED_VALUE"""),1303089)</f>
        <v>1303089</v>
      </c>
    </row>
    <row r="1552" spans="1:6" x14ac:dyDescent="0.35">
      <c r="A1552" s="2">
        <f ca="1">IFERROR(__xludf.DUMMYFUNCTION("""COMPUTED_VALUE"""),44257.6666666666)</f>
        <v>44257.666666666599</v>
      </c>
      <c r="B1552" s="1">
        <f ca="1">IFERROR(__xludf.DUMMYFUNCTION("""COMPUTED_VALUE"""),103.24)</f>
        <v>103.24</v>
      </c>
      <c r="C1552" s="1">
        <f ca="1">IFERROR(__xludf.DUMMYFUNCTION("""COMPUTED_VALUE"""),104.74)</f>
        <v>104.74</v>
      </c>
      <c r="D1552" s="1">
        <f ca="1">IFERROR(__xludf.DUMMYFUNCTION("""COMPUTED_VALUE"""),102.83)</f>
        <v>102.83</v>
      </c>
      <c r="E1552" s="1">
        <f ca="1">IFERROR(__xludf.DUMMYFUNCTION("""COMPUTED_VALUE"""),103.22)</f>
        <v>103.22</v>
      </c>
      <c r="F1552" s="1">
        <f ca="1">IFERROR(__xludf.DUMMYFUNCTION("""COMPUTED_VALUE"""),1278184)</f>
        <v>1278184</v>
      </c>
    </row>
    <row r="1553" spans="1:6" x14ac:dyDescent="0.35">
      <c r="A1553" s="2">
        <f ca="1">IFERROR(__xludf.DUMMYFUNCTION("""COMPUTED_VALUE"""),44258.6666666666)</f>
        <v>44258.666666666599</v>
      </c>
      <c r="B1553" s="1">
        <f ca="1">IFERROR(__xludf.DUMMYFUNCTION("""COMPUTED_VALUE"""),102.6)</f>
        <v>102.6</v>
      </c>
      <c r="C1553" s="1">
        <f ca="1">IFERROR(__xludf.DUMMYFUNCTION("""COMPUTED_VALUE"""),103.8)</f>
        <v>103.8</v>
      </c>
      <c r="D1553" s="1">
        <f ca="1">IFERROR(__xludf.DUMMYFUNCTION("""COMPUTED_VALUE"""),99.7)</f>
        <v>99.7</v>
      </c>
      <c r="E1553" s="1">
        <f ca="1">IFERROR(__xludf.DUMMYFUNCTION("""COMPUTED_VALUE"""),100.57)</f>
        <v>100.57</v>
      </c>
      <c r="F1553" s="1">
        <f ca="1">IFERROR(__xludf.DUMMYFUNCTION("""COMPUTED_VALUE"""),1694645)</f>
        <v>1694645</v>
      </c>
    </row>
    <row r="1554" spans="1:6" x14ac:dyDescent="0.35">
      <c r="A1554" s="2">
        <f ca="1">IFERROR(__xludf.DUMMYFUNCTION("""COMPUTED_VALUE"""),44259.6666666666)</f>
        <v>44259.666666666599</v>
      </c>
      <c r="B1554" s="1">
        <f ca="1">IFERROR(__xludf.DUMMYFUNCTION("""COMPUTED_VALUE"""),100.74)</f>
        <v>100.74</v>
      </c>
      <c r="C1554" s="1">
        <f ca="1">IFERROR(__xludf.DUMMYFUNCTION("""COMPUTED_VALUE"""),103.73)</f>
        <v>103.73</v>
      </c>
      <c r="D1554" s="1">
        <f ca="1">IFERROR(__xludf.DUMMYFUNCTION("""COMPUTED_VALUE"""),100.27)</f>
        <v>100.27</v>
      </c>
      <c r="E1554" s="1">
        <f ca="1">IFERROR(__xludf.DUMMYFUNCTION("""COMPUTED_VALUE"""),101.7)</f>
        <v>101.7</v>
      </c>
      <c r="F1554" s="1">
        <f ca="1">IFERROR(__xludf.DUMMYFUNCTION("""COMPUTED_VALUE"""),2460786)</f>
        <v>2460786</v>
      </c>
    </row>
    <row r="1555" spans="1:6" x14ac:dyDescent="0.35">
      <c r="A1555" s="2">
        <f ca="1">IFERROR(__xludf.DUMMYFUNCTION("""COMPUTED_VALUE"""),44260.6666666666)</f>
        <v>44260.666666666599</v>
      </c>
      <c r="B1555" s="1">
        <f ca="1">IFERROR(__xludf.DUMMYFUNCTION("""COMPUTED_VALUE"""),103.06)</f>
        <v>103.06</v>
      </c>
      <c r="C1555" s="1">
        <f ca="1">IFERROR(__xludf.DUMMYFUNCTION("""COMPUTED_VALUE"""),105.31)</f>
        <v>105.31</v>
      </c>
      <c r="D1555" s="1">
        <f ca="1">IFERROR(__xludf.DUMMYFUNCTION("""COMPUTED_VALUE"""),101.39)</f>
        <v>101.39</v>
      </c>
      <c r="E1555" s="1">
        <f ca="1">IFERROR(__xludf.DUMMYFUNCTION("""COMPUTED_VALUE"""),104.85)</f>
        <v>104.85</v>
      </c>
      <c r="F1555" s="1">
        <f ca="1">IFERROR(__xludf.DUMMYFUNCTION("""COMPUTED_VALUE"""),2654977)</f>
        <v>2654977</v>
      </c>
    </row>
    <row r="1556" spans="1:6" x14ac:dyDescent="0.35">
      <c r="A1556" s="2">
        <f ca="1">IFERROR(__xludf.DUMMYFUNCTION("""COMPUTED_VALUE"""),44263.6666666666)</f>
        <v>44263.666666666599</v>
      </c>
      <c r="B1556" s="1">
        <f ca="1">IFERROR(__xludf.DUMMYFUNCTION("""COMPUTED_VALUE"""),104.2)</f>
        <v>104.2</v>
      </c>
      <c r="C1556" s="1">
        <f ca="1">IFERROR(__xludf.DUMMYFUNCTION("""COMPUTED_VALUE"""),105.69)</f>
        <v>105.69</v>
      </c>
      <c r="D1556" s="1">
        <f ca="1">IFERROR(__xludf.DUMMYFUNCTION("""COMPUTED_VALUE"""),100.26)</f>
        <v>100.26</v>
      </c>
      <c r="E1556" s="1">
        <f ca="1">IFERROR(__xludf.DUMMYFUNCTION("""COMPUTED_VALUE"""),100.38)</f>
        <v>100.38</v>
      </c>
      <c r="F1556" s="1">
        <f ca="1">IFERROR(__xludf.DUMMYFUNCTION("""COMPUTED_VALUE"""),1843371)</f>
        <v>1843371</v>
      </c>
    </row>
    <row r="1557" spans="1:6" x14ac:dyDescent="0.35">
      <c r="A1557" s="2">
        <f ca="1">IFERROR(__xludf.DUMMYFUNCTION("""COMPUTED_VALUE"""),44264.6666666666)</f>
        <v>44264.666666666599</v>
      </c>
      <c r="B1557" s="1">
        <f ca="1">IFERROR(__xludf.DUMMYFUNCTION("""COMPUTED_VALUE"""),102.49)</f>
        <v>102.49</v>
      </c>
      <c r="C1557" s="1">
        <f ca="1">IFERROR(__xludf.DUMMYFUNCTION("""COMPUTED_VALUE"""),103.2)</f>
        <v>103.2</v>
      </c>
      <c r="D1557" s="1">
        <f ca="1">IFERROR(__xludf.DUMMYFUNCTION("""COMPUTED_VALUE"""),101.78)</f>
        <v>101.78</v>
      </c>
      <c r="E1557" s="1">
        <f ca="1">IFERROR(__xludf.DUMMYFUNCTION("""COMPUTED_VALUE"""),102.02)</f>
        <v>102.02</v>
      </c>
      <c r="F1557" s="1">
        <f ca="1">IFERROR(__xludf.DUMMYFUNCTION("""COMPUTED_VALUE"""),1696031)</f>
        <v>1696031</v>
      </c>
    </row>
    <row r="1558" spans="1:6" x14ac:dyDescent="0.35">
      <c r="A1558" s="2">
        <f ca="1">IFERROR(__xludf.DUMMYFUNCTION("""COMPUTED_VALUE"""),44265.6666666666)</f>
        <v>44265.666666666599</v>
      </c>
      <c r="B1558" s="1">
        <f ca="1">IFERROR(__xludf.DUMMYFUNCTION("""COMPUTED_VALUE"""),103.07)</f>
        <v>103.07</v>
      </c>
      <c r="C1558" s="1">
        <f ca="1">IFERROR(__xludf.DUMMYFUNCTION("""COMPUTED_VALUE"""),103.07)</f>
        <v>103.07</v>
      </c>
      <c r="D1558" s="1">
        <f ca="1">IFERROR(__xludf.DUMMYFUNCTION("""COMPUTED_VALUE"""),100.97)</f>
        <v>100.97</v>
      </c>
      <c r="E1558" s="1">
        <f ca="1">IFERROR(__xludf.DUMMYFUNCTION("""COMPUTED_VALUE"""),101.81)</f>
        <v>101.81</v>
      </c>
      <c r="F1558" s="1">
        <f ca="1">IFERROR(__xludf.DUMMYFUNCTION("""COMPUTED_VALUE"""),1355004)</f>
        <v>1355004</v>
      </c>
    </row>
    <row r="1559" spans="1:6" x14ac:dyDescent="0.35">
      <c r="A1559" s="2">
        <f ca="1">IFERROR(__xludf.DUMMYFUNCTION("""COMPUTED_VALUE"""),44266.6666666666)</f>
        <v>44266.666666666599</v>
      </c>
      <c r="B1559" s="1">
        <f ca="1">IFERROR(__xludf.DUMMYFUNCTION("""COMPUTED_VALUE"""),102.91)</f>
        <v>102.91</v>
      </c>
      <c r="C1559" s="1">
        <f ca="1">IFERROR(__xludf.DUMMYFUNCTION("""COMPUTED_VALUE"""),105.56)</f>
        <v>105.56</v>
      </c>
      <c r="D1559" s="1">
        <f ca="1">IFERROR(__xludf.DUMMYFUNCTION("""COMPUTED_VALUE"""),102.82)</f>
        <v>102.82</v>
      </c>
      <c r="E1559" s="1">
        <f ca="1">IFERROR(__xludf.DUMMYFUNCTION("""COMPUTED_VALUE"""),105.03)</f>
        <v>105.03</v>
      </c>
      <c r="F1559" s="1">
        <f ca="1">IFERROR(__xludf.DUMMYFUNCTION("""COMPUTED_VALUE"""),1385130)</f>
        <v>1385130</v>
      </c>
    </row>
    <row r="1560" spans="1:6" x14ac:dyDescent="0.35">
      <c r="A1560" s="2">
        <f ca="1">IFERROR(__xludf.DUMMYFUNCTION("""COMPUTED_VALUE"""),44267.6666666666)</f>
        <v>44267.666666666599</v>
      </c>
      <c r="B1560" s="1">
        <f ca="1">IFERROR(__xludf.DUMMYFUNCTION("""COMPUTED_VALUE"""),103.82)</f>
        <v>103.82</v>
      </c>
      <c r="C1560" s="1">
        <f ca="1">IFERROR(__xludf.DUMMYFUNCTION("""COMPUTED_VALUE"""),103.88)</f>
        <v>103.88</v>
      </c>
      <c r="D1560" s="1">
        <f ca="1">IFERROR(__xludf.DUMMYFUNCTION("""COMPUTED_VALUE"""),101.62)</f>
        <v>101.62</v>
      </c>
      <c r="E1560" s="1">
        <f ca="1">IFERROR(__xludf.DUMMYFUNCTION("""COMPUTED_VALUE"""),102.5)</f>
        <v>102.5</v>
      </c>
      <c r="F1560" s="1">
        <f ca="1">IFERROR(__xludf.DUMMYFUNCTION("""COMPUTED_VALUE"""),1690899)</f>
        <v>1690899</v>
      </c>
    </row>
    <row r="1561" spans="1:6" x14ac:dyDescent="0.35">
      <c r="A1561" s="2">
        <f ca="1">IFERROR(__xludf.DUMMYFUNCTION("""COMPUTED_VALUE"""),44270.6666666666)</f>
        <v>44270.666666666599</v>
      </c>
      <c r="B1561" s="1">
        <f ca="1">IFERROR(__xludf.DUMMYFUNCTION("""COMPUTED_VALUE"""),102.25)</f>
        <v>102.25</v>
      </c>
      <c r="C1561" s="1">
        <f ca="1">IFERROR(__xludf.DUMMYFUNCTION("""COMPUTED_VALUE"""),102.75)</f>
        <v>102.75</v>
      </c>
      <c r="D1561" s="1">
        <f ca="1">IFERROR(__xludf.DUMMYFUNCTION("""COMPUTED_VALUE"""),101.39)</f>
        <v>101.39</v>
      </c>
      <c r="E1561" s="1">
        <f ca="1">IFERROR(__xludf.DUMMYFUNCTION("""COMPUTED_VALUE"""),102.72)</f>
        <v>102.72</v>
      </c>
      <c r="F1561" s="1">
        <f ca="1">IFERROR(__xludf.DUMMYFUNCTION("""COMPUTED_VALUE"""),1310741)</f>
        <v>1310741</v>
      </c>
    </row>
    <row r="1562" spans="1:6" x14ac:dyDescent="0.35">
      <c r="A1562" s="2">
        <f ca="1">IFERROR(__xludf.DUMMYFUNCTION("""COMPUTED_VALUE"""),44271.6666666666)</f>
        <v>44271.666666666599</v>
      </c>
      <c r="B1562" s="1">
        <f ca="1">IFERROR(__xludf.DUMMYFUNCTION("""COMPUTED_VALUE"""),103.3)</f>
        <v>103.3</v>
      </c>
      <c r="C1562" s="1">
        <f ca="1">IFERROR(__xludf.DUMMYFUNCTION("""COMPUTED_VALUE"""),105.68)</f>
        <v>105.68</v>
      </c>
      <c r="D1562" s="1">
        <f ca="1">IFERROR(__xludf.DUMMYFUNCTION("""COMPUTED_VALUE"""),102.96)</f>
        <v>102.96</v>
      </c>
      <c r="E1562" s="1">
        <f ca="1">IFERROR(__xludf.DUMMYFUNCTION("""COMPUTED_VALUE"""),104.19)</f>
        <v>104.19</v>
      </c>
      <c r="F1562" s="1">
        <f ca="1">IFERROR(__xludf.DUMMYFUNCTION("""COMPUTED_VALUE"""),1595015)</f>
        <v>1595015</v>
      </c>
    </row>
    <row r="1563" spans="1:6" x14ac:dyDescent="0.35">
      <c r="A1563" s="2">
        <f ca="1">IFERROR(__xludf.DUMMYFUNCTION("""COMPUTED_VALUE"""),44272.6666666666)</f>
        <v>44272.666666666599</v>
      </c>
      <c r="B1563" s="1">
        <f ca="1">IFERROR(__xludf.DUMMYFUNCTION("""COMPUTED_VALUE"""),103.42)</f>
        <v>103.42</v>
      </c>
      <c r="C1563" s="1">
        <f ca="1">IFERROR(__xludf.DUMMYFUNCTION("""COMPUTED_VALUE"""),104.95)</f>
        <v>104.95</v>
      </c>
      <c r="D1563" s="1">
        <f ca="1">IFERROR(__xludf.DUMMYFUNCTION("""COMPUTED_VALUE"""),102.21)</f>
        <v>102.21</v>
      </c>
      <c r="E1563" s="1">
        <f ca="1">IFERROR(__xludf.DUMMYFUNCTION("""COMPUTED_VALUE"""),104.11)</f>
        <v>104.11</v>
      </c>
      <c r="F1563" s="1">
        <f ca="1">IFERROR(__xludf.DUMMYFUNCTION("""COMPUTED_VALUE"""),1319126)</f>
        <v>1319126</v>
      </c>
    </row>
    <row r="1564" spans="1:6" x14ac:dyDescent="0.35">
      <c r="A1564" s="2">
        <f ca="1">IFERROR(__xludf.DUMMYFUNCTION("""COMPUTED_VALUE"""),44273.6666666666)</f>
        <v>44273.666666666599</v>
      </c>
      <c r="B1564" s="1">
        <f ca="1">IFERROR(__xludf.DUMMYFUNCTION("""COMPUTED_VALUE"""),102.41)</f>
        <v>102.41</v>
      </c>
      <c r="C1564" s="1">
        <f ca="1">IFERROR(__xludf.DUMMYFUNCTION("""COMPUTED_VALUE"""),103.44)</f>
        <v>103.44</v>
      </c>
      <c r="D1564" s="1">
        <f ca="1">IFERROR(__xludf.DUMMYFUNCTION("""COMPUTED_VALUE"""),100.96)</f>
        <v>100.96</v>
      </c>
      <c r="E1564" s="1">
        <f ca="1">IFERROR(__xludf.DUMMYFUNCTION("""COMPUTED_VALUE"""),101.07)</f>
        <v>101.07</v>
      </c>
      <c r="F1564" s="1">
        <f ca="1">IFERROR(__xludf.DUMMYFUNCTION("""COMPUTED_VALUE"""),1585648)</f>
        <v>1585648</v>
      </c>
    </row>
    <row r="1565" spans="1:6" x14ac:dyDescent="0.35">
      <c r="A1565" s="2">
        <f ca="1">IFERROR(__xludf.DUMMYFUNCTION("""COMPUTED_VALUE"""),44274.6666666666)</f>
        <v>44274.666666666599</v>
      </c>
      <c r="B1565" s="1">
        <f ca="1">IFERROR(__xludf.DUMMYFUNCTION("""COMPUTED_VALUE"""),101.49)</f>
        <v>101.49</v>
      </c>
      <c r="C1565" s="1">
        <f ca="1">IFERROR(__xludf.DUMMYFUNCTION("""COMPUTED_VALUE"""),101.85)</f>
        <v>101.85</v>
      </c>
      <c r="D1565" s="1">
        <f ca="1">IFERROR(__xludf.DUMMYFUNCTION("""COMPUTED_VALUE"""),100.15)</f>
        <v>100.15</v>
      </c>
      <c r="E1565" s="1">
        <f ca="1">IFERROR(__xludf.DUMMYFUNCTION("""COMPUTED_VALUE"""),101.35)</f>
        <v>101.35</v>
      </c>
      <c r="F1565" s="1">
        <f ca="1">IFERROR(__xludf.DUMMYFUNCTION("""COMPUTED_VALUE"""),2303596)</f>
        <v>2303596</v>
      </c>
    </row>
    <row r="1566" spans="1:6" x14ac:dyDescent="0.35">
      <c r="A1566" s="2">
        <f ca="1">IFERROR(__xludf.DUMMYFUNCTION("""COMPUTED_VALUE"""),44277.6666666666)</f>
        <v>44277.666666666599</v>
      </c>
      <c r="B1566" s="1">
        <f ca="1">IFERROR(__xludf.DUMMYFUNCTION("""COMPUTED_VALUE"""),101.38)</f>
        <v>101.38</v>
      </c>
      <c r="C1566" s="1">
        <f ca="1">IFERROR(__xludf.DUMMYFUNCTION("""COMPUTED_VALUE"""),102.42)</f>
        <v>102.42</v>
      </c>
      <c r="D1566" s="1">
        <f ca="1">IFERROR(__xludf.DUMMYFUNCTION("""COMPUTED_VALUE"""),100.7)</f>
        <v>100.7</v>
      </c>
      <c r="E1566" s="1">
        <f ca="1">IFERROR(__xludf.DUMMYFUNCTION("""COMPUTED_VALUE"""),101.53)</f>
        <v>101.53</v>
      </c>
      <c r="F1566" s="1">
        <f ca="1">IFERROR(__xludf.DUMMYFUNCTION("""COMPUTED_VALUE"""),1676771)</f>
        <v>1676771</v>
      </c>
    </row>
    <row r="1567" spans="1:6" x14ac:dyDescent="0.35">
      <c r="A1567" s="2">
        <f ca="1">IFERROR(__xludf.DUMMYFUNCTION("""COMPUTED_VALUE"""),44278.6666666666)</f>
        <v>44278.666666666599</v>
      </c>
      <c r="B1567" s="1">
        <f ca="1">IFERROR(__xludf.DUMMYFUNCTION("""COMPUTED_VALUE"""),102)</f>
        <v>102</v>
      </c>
      <c r="C1567" s="1">
        <f ca="1">IFERROR(__xludf.DUMMYFUNCTION("""COMPUTED_VALUE"""),103.21)</f>
        <v>103.21</v>
      </c>
      <c r="D1567" s="1">
        <f ca="1">IFERROR(__xludf.DUMMYFUNCTION("""COMPUTED_VALUE"""),101.4)</f>
        <v>101.4</v>
      </c>
      <c r="E1567" s="1">
        <f ca="1">IFERROR(__xludf.DUMMYFUNCTION("""COMPUTED_VALUE"""),102.07)</f>
        <v>102.07</v>
      </c>
      <c r="F1567" s="1">
        <f ca="1">IFERROR(__xludf.DUMMYFUNCTION("""COMPUTED_VALUE"""),1425456)</f>
        <v>1425456</v>
      </c>
    </row>
    <row r="1568" spans="1:6" x14ac:dyDescent="0.35">
      <c r="A1568" s="2">
        <f ca="1">IFERROR(__xludf.DUMMYFUNCTION("""COMPUTED_VALUE"""),44279.6666666666)</f>
        <v>44279.666666666599</v>
      </c>
      <c r="B1568" s="1">
        <f ca="1">IFERROR(__xludf.DUMMYFUNCTION("""COMPUTED_VALUE"""),102.59)</f>
        <v>102.59</v>
      </c>
      <c r="C1568" s="1">
        <f ca="1">IFERROR(__xludf.DUMMYFUNCTION("""COMPUTED_VALUE"""),103.38)</f>
        <v>103.38</v>
      </c>
      <c r="D1568" s="1">
        <f ca="1">IFERROR(__xludf.DUMMYFUNCTION("""COMPUTED_VALUE"""),101.45)</f>
        <v>101.45</v>
      </c>
      <c r="E1568" s="1">
        <f ca="1">IFERROR(__xludf.DUMMYFUNCTION("""COMPUTED_VALUE"""),101.63)</f>
        <v>101.63</v>
      </c>
      <c r="F1568" s="1">
        <f ca="1">IFERROR(__xludf.DUMMYFUNCTION("""COMPUTED_VALUE"""),1260853)</f>
        <v>1260853</v>
      </c>
    </row>
    <row r="1569" spans="1:6" x14ac:dyDescent="0.35">
      <c r="A1569" s="2">
        <f ca="1">IFERROR(__xludf.DUMMYFUNCTION("""COMPUTED_VALUE"""),44280.6666666666)</f>
        <v>44280.666666666599</v>
      </c>
      <c r="B1569" s="1">
        <f ca="1">IFERROR(__xludf.DUMMYFUNCTION("""COMPUTED_VALUE"""),101.45)</f>
        <v>101.45</v>
      </c>
      <c r="C1569" s="1">
        <f ca="1">IFERROR(__xludf.DUMMYFUNCTION("""COMPUTED_VALUE"""),102.28)</f>
        <v>102.28</v>
      </c>
      <c r="D1569" s="1">
        <f ca="1">IFERROR(__xludf.DUMMYFUNCTION("""COMPUTED_VALUE"""),99.8)</f>
        <v>99.8</v>
      </c>
      <c r="E1569" s="1">
        <f ca="1">IFERROR(__xludf.DUMMYFUNCTION("""COMPUTED_VALUE"""),101.62)</f>
        <v>101.62</v>
      </c>
      <c r="F1569" s="1">
        <f ca="1">IFERROR(__xludf.DUMMYFUNCTION("""COMPUTED_VALUE"""),1780787)</f>
        <v>1780787</v>
      </c>
    </row>
    <row r="1570" spans="1:6" x14ac:dyDescent="0.35">
      <c r="A1570" s="2">
        <f ca="1">IFERROR(__xludf.DUMMYFUNCTION("""COMPUTED_VALUE"""),44281.6666666666)</f>
        <v>44281.666666666599</v>
      </c>
      <c r="B1570" s="1">
        <f ca="1">IFERROR(__xludf.DUMMYFUNCTION("""COMPUTED_VALUE"""),101.59)</f>
        <v>101.59</v>
      </c>
      <c r="C1570" s="1">
        <f ca="1">IFERROR(__xludf.DUMMYFUNCTION("""COMPUTED_VALUE"""),101.97)</f>
        <v>101.97</v>
      </c>
      <c r="D1570" s="1">
        <f ca="1">IFERROR(__xludf.DUMMYFUNCTION("""COMPUTED_VALUE"""),100.19)</f>
        <v>100.19</v>
      </c>
      <c r="E1570" s="1">
        <f ca="1">IFERROR(__xludf.DUMMYFUNCTION("""COMPUTED_VALUE"""),101.24)</f>
        <v>101.24</v>
      </c>
      <c r="F1570" s="1">
        <f ca="1">IFERROR(__xludf.DUMMYFUNCTION("""COMPUTED_VALUE"""),1398875)</f>
        <v>1398875</v>
      </c>
    </row>
    <row r="1571" spans="1:6" x14ac:dyDescent="0.35">
      <c r="A1571" s="2">
        <f ca="1">IFERROR(__xludf.DUMMYFUNCTION("""COMPUTED_VALUE"""),44284.6666666666)</f>
        <v>44284.666666666599</v>
      </c>
      <c r="B1571" s="1">
        <f ca="1">IFERROR(__xludf.DUMMYFUNCTION("""COMPUTED_VALUE"""),101.11)</f>
        <v>101.11</v>
      </c>
      <c r="C1571" s="1">
        <f ca="1">IFERROR(__xludf.DUMMYFUNCTION("""COMPUTED_VALUE"""),102.46)</f>
        <v>102.46</v>
      </c>
      <c r="D1571" s="1">
        <f ca="1">IFERROR(__xludf.DUMMYFUNCTION("""COMPUTED_VALUE"""),100.27)</f>
        <v>100.27</v>
      </c>
      <c r="E1571" s="1">
        <f ca="1">IFERROR(__xludf.DUMMYFUNCTION("""COMPUTED_VALUE"""),102.29)</f>
        <v>102.29</v>
      </c>
      <c r="F1571" s="1">
        <f ca="1">IFERROR(__xludf.DUMMYFUNCTION("""COMPUTED_VALUE"""),1324631)</f>
        <v>1324631</v>
      </c>
    </row>
    <row r="1572" spans="1:6" x14ac:dyDescent="0.35">
      <c r="A1572" s="2">
        <f ca="1">IFERROR(__xludf.DUMMYFUNCTION("""COMPUTED_VALUE"""),44285.6666666666)</f>
        <v>44285.666666666599</v>
      </c>
      <c r="B1572" s="1">
        <f ca="1">IFERROR(__xludf.DUMMYFUNCTION("""COMPUTED_VALUE"""),102.65)</f>
        <v>102.65</v>
      </c>
      <c r="C1572" s="1">
        <f ca="1">IFERROR(__xludf.DUMMYFUNCTION("""COMPUTED_VALUE"""),103.13)</f>
        <v>103.13</v>
      </c>
      <c r="D1572" s="1">
        <f ca="1">IFERROR(__xludf.DUMMYFUNCTION("""COMPUTED_VALUE"""),101.81)</f>
        <v>101.81</v>
      </c>
      <c r="E1572" s="1">
        <f ca="1">IFERROR(__xludf.DUMMYFUNCTION("""COMPUTED_VALUE"""),102.32)</f>
        <v>102.32</v>
      </c>
      <c r="F1572" s="1">
        <f ca="1">IFERROR(__xludf.DUMMYFUNCTION("""COMPUTED_VALUE"""),1365856)</f>
        <v>1365856</v>
      </c>
    </row>
    <row r="1573" spans="1:6" x14ac:dyDescent="0.35">
      <c r="A1573" s="2">
        <f ca="1">IFERROR(__xludf.DUMMYFUNCTION("""COMPUTED_VALUE"""),44286.6666666666)</f>
        <v>44286.666666666599</v>
      </c>
      <c r="B1573" s="1">
        <f ca="1">IFERROR(__xludf.DUMMYFUNCTION("""COMPUTED_VALUE"""),102.72)</f>
        <v>102.72</v>
      </c>
      <c r="C1573" s="1">
        <f ca="1">IFERROR(__xludf.DUMMYFUNCTION("""COMPUTED_VALUE"""),104.31)</f>
        <v>104.31</v>
      </c>
      <c r="D1573" s="1">
        <f ca="1">IFERROR(__xludf.DUMMYFUNCTION("""COMPUTED_VALUE"""),102.35)</f>
        <v>102.35</v>
      </c>
      <c r="E1573" s="1">
        <f ca="1">IFERROR(__xludf.DUMMYFUNCTION("""COMPUTED_VALUE"""),103.13)</f>
        <v>103.13</v>
      </c>
      <c r="F1573" s="1">
        <f ca="1">IFERROR(__xludf.DUMMYFUNCTION("""COMPUTED_VALUE"""),2128482)</f>
        <v>2128482</v>
      </c>
    </row>
    <row r="1574" spans="1:6" x14ac:dyDescent="0.35">
      <c r="A1574" s="2">
        <f ca="1">IFERROR(__xludf.DUMMYFUNCTION("""COMPUTED_VALUE"""),44287.6666666666)</f>
        <v>44287.666666666599</v>
      </c>
      <c r="B1574" s="1">
        <f ca="1">IFERROR(__xludf.DUMMYFUNCTION("""COMPUTED_VALUE"""),104.61)</f>
        <v>104.61</v>
      </c>
      <c r="C1574" s="1">
        <f ca="1">IFERROR(__xludf.DUMMYFUNCTION("""COMPUTED_VALUE"""),106.79)</f>
        <v>106.79</v>
      </c>
      <c r="D1574" s="1">
        <f ca="1">IFERROR(__xludf.DUMMYFUNCTION("""COMPUTED_VALUE"""),104.57)</f>
        <v>104.57</v>
      </c>
      <c r="E1574" s="1">
        <f ca="1">IFERROR(__xludf.DUMMYFUNCTION("""COMPUTED_VALUE"""),106.49)</f>
        <v>106.49</v>
      </c>
      <c r="F1574" s="1">
        <f ca="1">IFERROR(__xludf.DUMMYFUNCTION("""COMPUTED_VALUE"""),1994005)</f>
        <v>1994005</v>
      </c>
    </row>
    <row r="1575" spans="1:6" x14ac:dyDescent="0.35">
      <c r="A1575" s="2">
        <f ca="1">IFERROR(__xludf.DUMMYFUNCTION("""COMPUTED_VALUE"""),44291.6666666666)</f>
        <v>44291.666666666599</v>
      </c>
      <c r="B1575" s="1">
        <f ca="1">IFERROR(__xludf.DUMMYFUNCTION("""COMPUTED_VALUE"""),107.36)</f>
        <v>107.36</v>
      </c>
      <c r="C1575" s="1">
        <f ca="1">IFERROR(__xludf.DUMMYFUNCTION("""COMPUTED_VALUE"""),111.45)</f>
        <v>111.45</v>
      </c>
      <c r="D1575" s="1">
        <f ca="1">IFERROR(__xludf.DUMMYFUNCTION("""COMPUTED_VALUE"""),107.26)</f>
        <v>107.26</v>
      </c>
      <c r="E1575" s="1">
        <f ca="1">IFERROR(__xludf.DUMMYFUNCTION("""COMPUTED_VALUE"""),110.95)</f>
        <v>110.95</v>
      </c>
      <c r="F1575" s="1">
        <f ca="1">IFERROR(__xludf.DUMMYFUNCTION("""COMPUTED_VALUE"""),2425480)</f>
        <v>2425480</v>
      </c>
    </row>
    <row r="1576" spans="1:6" x14ac:dyDescent="0.35">
      <c r="A1576" s="2">
        <f ca="1">IFERROR(__xludf.DUMMYFUNCTION("""COMPUTED_VALUE"""),44292.6666666666)</f>
        <v>44292.666666666599</v>
      </c>
      <c r="B1576" s="1">
        <f ca="1">IFERROR(__xludf.DUMMYFUNCTION("""COMPUTED_VALUE"""),110.55)</f>
        <v>110.55</v>
      </c>
      <c r="C1576" s="1">
        <f ca="1">IFERROR(__xludf.DUMMYFUNCTION("""COMPUTED_VALUE"""),111.4)</f>
        <v>111.4</v>
      </c>
      <c r="D1576" s="1">
        <f ca="1">IFERROR(__xludf.DUMMYFUNCTION("""COMPUTED_VALUE"""),110.09)</f>
        <v>110.09</v>
      </c>
      <c r="E1576" s="1">
        <f ca="1">IFERROR(__xludf.DUMMYFUNCTION("""COMPUTED_VALUE"""),110.46)</f>
        <v>110.46</v>
      </c>
      <c r="F1576" s="1">
        <f ca="1">IFERROR(__xludf.DUMMYFUNCTION("""COMPUTED_VALUE"""),1762039)</f>
        <v>1762039</v>
      </c>
    </row>
    <row r="1577" spans="1:6" x14ac:dyDescent="0.35">
      <c r="A1577" s="2">
        <f ca="1">IFERROR(__xludf.DUMMYFUNCTION("""COMPUTED_VALUE"""),44293.6666666666)</f>
        <v>44293.666666666599</v>
      </c>
      <c r="B1577" s="1">
        <f ca="1">IFERROR(__xludf.DUMMYFUNCTION("""COMPUTED_VALUE"""),110.66)</f>
        <v>110.66</v>
      </c>
      <c r="C1577" s="1">
        <f ca="1">IFERROR(__xludf.DUMMYFUNCTION("""COMPUTED_VALUE"""),112.23)</f>
        <v>112.23</v>
      </c>
      <c r="D1577" s="1">
        <f ca="1">IFERROR(__xludf.DUMMYFUNCTION("""COMPUTED_VALUE"""),110.66)</f>
        <v>110.66</v>
      </c>
      <c r="E1577" s="1">
        <f ca="1">IFERROR(__xludf.DUMMYFUNCTION("""COMPUTED_VALUE"""),111.95)</f>
        <v>111.95</v>
      </c>
      <c r="F1577" s="1">
        <f ca="1">IFERROR(__xludf.DUMMYFUNCTION("""COMPUTED_VALUE"""),1206696)</f>
        <v>1206696</v>
      </c>
    </row>
    <row r="1578" spans="1:6" x14ac:dyDescent="0.35">
      <c r="A1578" s="2">
        <f ca="1">IFERROR(__xludf.DUMMYFUNCTION("""COMPUTED_VALUE"""),44294.6666666666)</f>
        <v>44294.666666666599</v>
      </c>
      <c r="B1578" s="1">
        <f ca="1">IFERROR(__xludf.DUMMYFUNCTION("""COMPUTED_VALUE"""),113.2)</f>
        <v>113.2</v>
      </c>
      <c r="C1578" s="1">
        <f ca="1">IFERROR(__xludf.DUMMYFUNCTION("""COMPUTED_VALUE"""),113.59)</f>
        <v>113.59</v>
      </c>
      <c r="D1578" s="1">
        <f ca="1">IFERROR(__xludf.DUMMYFUNCTION("""COMPUTED_VALUE"""),112.15)</f>
        <v>112.15</v>
      </c>
      <c r="E1578" s="1">
        <f ca="1">IFERROR(__xludf.DUMMYFUNCTION("""COMPUTED_VALUE"""),112.52)</f>
        <v>112.52</v>
      </c>
      <c r="F1578" s="1">
        <f ca="1">IFERROR(__xludf.DUMMYFUNCTION("""COMPUTED_VALUE"""),1433214)</f>
        <v>1433214</v>
      </c>
    </row>
    <row r="1579" spans="1:6" x14ac:dyDescent="0.35">
      <c r="A1579" s="2">
        <f ca="1">IFERROR(__xludf.DUMMYFUNCTION("""COMPUTED_VALUE"""),44295.6666666666)</f>
        <v>44295.666666666599</v>
      </c>
      <c r="B1579" s="1">
        <f ca="1">IFERROR(__xludf.DUMMYFUNCTION("""COMPUTED_VALUE"""),112.27)</f>
        <v>112.27</v>
      </c>
      <c r="C1579" s="1">
        <f ca="1">IFERROR(__xludf.DUMMYFUNCTION("""COMPUTED_VALUE"""),113.7)</f>
        <v>113.7</v>
      </c>
      <c r="D1579" s="1">
        <f ca="1">IFERROR(__xludf.DUMMYFUNCTION("""COMPUTED_VALUE"""),111.86)</f>
        <v>111.86</v>
      </c>
      <c r="E1579" s="1">
        <f ca="1">IFERROR(__xludf.DUMMYFUNCTION("""COMPUTED_VALUE"""),113.53)</f>
        <v>113.53</v>
      </c>
      <c r="F1579" s="1">
        <f ca="1">IFERROR(__xludf.DUMMYFUNCTION("""COMPUTED_VALUE"""),1307265)</f>
        <v>1307265</v>
      </c>
    </row>
    <row r="1580" spans="1:6" x14ac:dyDescent="0.35">
      <c r="A1580" s="2">
        <f ca="1">IFERROR(__xludf.DUMMYFUNCTION("""COMPUTED_VALUE"""),44298.6666666666)</f>
        <v>44298.666666666599</v>
      </c>
      <c r="B1580" s="1">
        <f ca="1">IFERROR(__xludf.DUMMYFUNCTION("""COMPUTED_VALUE"""),112.71)</f>
        <v>112.71</v>
      </c>
      <c r="C1580" s="1">
        <f ca="1">IFERROR(__xludf.DUMMYFUNCTION("""COMPUTED_VALUE"""),112.84)</f>
        <v>112.84</v>
      </c>
      <c r="D1580" s="1">
        <f ca="1">IFERROR(__xludf.DUMMYFUNCTION("""COMPUTED_VALUE"""),111.39)</f>
        <v>111.39</v>
      </c>
      <c r="E1580" s="1">
        <f ca="1">IFERROR(__xludf.DUMMYFUNCTION("""COMPUTED_VALUE"""),112.23)</f>
        <v>112.23</v>
      </c>
      <c r="F1580" s="1">
        <f ca="1">IFERROR(__xludf.DUMMYFUNCTION("""COMPUTED_VALUE"""),1251183)</f>
        <v>1251183</v>
      </c>
    </row>
    <row r="1581" spans="1:6" x14ac:dyDescent="0.35">
      <c r="A1581" s="2">
        <f ca="1">IFERROR(__xludf.DUMMYFUNCTION("""COMPUTED_VALUE"""),44299.6666666666)</f>
        <v>44299.666666666599</v>
      </c>
      <c r="B1581" s="1">
        <f ca="1">IFERROR(__xludf.DUMMYFUNCTION("""COMPUTED_VALUE"""),112.55)</f>
        <v>112.55</v>
      </c>
      <c r="C1581" s="1">
        <f ca="1">IFERROR(__xludf.DUMMYFUNCTION("""COMPUTED_VALUE"""),113.17)</f>
        <v>113.17</v>
      </c>
      <c r="D1581" s="1">
        <f ca="1">IFERROR(__xludf.DUMMYFUNCTION("""COMPUTED_VALUE"""),112.15)</f>
        <v>112.15</v>
      </c>
      <c r="E1581" s="1">
        <f ca="1">IFERROR(__xludf.DUMMYFUNCTION("""COMPUTED_VALUE"""),112.72)</f>
        <v>112.72</v>
      </c>
      <c r="F1581" s="1">
        <f ca="1">IFERROR(__xludf.DUMMYFUNCTION("""COMPUTED_VALUE"""),1284078)</f>
        <v>1284078</v>
      </c>
    </row>
    <row r="1582" spans="1:6" x14ac:dyDescent="0.35">
      <c r="A1582" s="2">
        <f ca="1">IFERROR(__xludf.DUMMYFUNCTION("""COMPUTED_VALUE"""),44300.6666666666)</f>
        <v>44300.666666666599</v>
      </c>
      <c r="B1582" s="1">
        <f ca="1">IFERROR(__xludf.DUMMYFUNCTION("""COMPUTED_VALUE"""),113.37)</f>
        <v>113.37</v>
      </c>
      <c r="C1582" s="1">
        <f ca="1">IFERROR(__xludf.DUMMYFUNCTION("""COMPUTED_VALUE"""),113.37)</f>
        <v>113.37</v>
      </c>
      <c r="D1582" s="1">
        <f ca="1">IFERROR(__xludf.DUMMYFUNCTION("""COMPUTED_VALUE"""),111.8)</f>
        <v>111.8</v>
      </c>
      <c r="E1582" s="1">
        <f ca="1">IFERROR(__xludf.DUMMYFUNCTION("""COMPUTED_VALUE"""),112.1)</f>
        <v>112.1</v>
      </c>
      <c r="F1582" s="1">
        <f ca="1">IFERROR(__xludf.DUMMYFUNCTION("""COMPUTED_VALUE"""),1050143)</f>
        <v>1050143</v>
      </c>
    </row>
    <row r="1583" spans="1:6" x14ac:dyDescent="0.35">
      <c r="A1583" s="2">
        <f ca="1">IFERROR(__xludf.DUMMYFUNCTION("""COMPUTED_VALUE"""),44301.6666666666)</f>
        <v>44301.666666666599</v>
      </c>
      <c r="B1583" s="1">
        <f ca="1">IFERROR(__xludf.DUMMYFUNCTION("""COMPUTED_VALUE"""),113.1)</f>
        <v>113.1</v>
      </c>
      <c r="C1583" s="1">
        <f ca="1">IFERROR(__xludf.DUMMYFUNCTION("""COMPUTED_VALUE"""),114.8)</f>
        <v>114.8</v>
      </c>
      <c r="D1583" s="1">
        <f ca="1">IFERROR(__xludf.DUMMYFUNCTION("""COMPUTED_VALUE"""),112.56)</f>
        <v>112.56</v>
      </c>
      <c r="E1583" s="1">
        <f ca="1">IFERROR(__xludf.DUMMYFUNCTION("""COMPUTED_VALUE"""),114.26)</f>
        <v>114.26</v>
      </c>
      <c r="F1583" s="1">
        <f ca="1">IFERROR(__xludf.DUMMYFUNCTION("""COMPUTED_VALUE"""),1458749)</f>
        <v>1458749</v>
      </c>
    </row>
    <row r="1584" spans="1:6" x14ac:dyDescent="0.35">
      <c r="A1584" s="2">
        <f ca="1">IFERROR(__xludf.DUMMYFUNCTION("""COMPUTED_VALUE"""),44302.6666666666)</f>
        <v>44302.666666666599</v>
      </c>
      <c r="B1584" s="1">
        <f ca="1">IFERROR(__xludf.DUMMYFUNCTION("""COMPUTED_VALUE"""),114.46)</f>
        <v>114.46</v>
      </c>
      <c r="C1584" s="1">
        <f ca="1">IFERROR(__xludf.DUMMYFUNCTION("""COMPUTED_VALUE"""),114.71)</f>
        <v>114.71</v>
      </c>
      <c r="D1584" s="1">
        <f ca="1">IFERROR(__xludf.DUMMYFUNCTION("""COMPUTED_VALUE"""),113.55)</f>
        <v>113.55</v>
      </c>
      <c r="E1584" s="1">
        <f ca="1">IFERROR(__xludf.DUMMYFUNCTION("""COMPUTED_VALUE"""),114.14)</f>
        <v>114.14</v>
      </c>
      <c r="F1584" s="1">
        <f ca="1">IFERROR(__xludf.DUMMYFUNCTION("""COMPUTED_VALUE"""),1314139)</f>
        <v>1314139</v>
      </c>
    </row>
    <row r="1585" spans="1:6" x14ac:dyDescent="0.35">
      <c r="A1585" s="2">
        <f ca="1">IFERROR(__xludf.DUMMYFUNCTION("""COMPUTED_VALUE"""),44305.6666666666)</f>
        <v>44305.666666666599</v>
      </c>
      <c r="B1585" s="1">
        <f ca="1">IFERROR(__xludf.DUMMYFUNCTION("""COMPUTED_VALUE"""),113.51)</f>
        <v>113.51</v>
      </c>
      <c r="C1585" s="1">
        <f ca="1">IFERROR(__xludf.DUMMYFUNCTION("""COMPUTED_VALUE"""),115.2)</f>
        <v>115.2</v>
      </c>
      <c r="D1585" s="1">
        <f ca="1">IFERROR(__xludf.DUMMYFUNCTION("""COMPUTED_VALUE"""),113.51)</f>
        <v>113.51</v>
      </c>
      <c r="E1585" s="1">
        <f ca="1">IFERROR(__xludf.DUMMYFUNCTION("""COMPUTED_VALUE"""),114.49)</f>
        <v>114.49</v>
      </c>
      <c r="F1585" s="1">
        <f ca="1">IFERROR(__xludf.DUMMYFUNCTION("""COMPUTED_VALUE"""),1514470)</f>
        <v>1514470</v>
      </c>
    </row>
    <row r="1586" spans="1:6" x14ac:dyDescent="0.35">
      <c r="A1586" s="2">
        <f ca="1">IFERROR(__xludf.DUMMYFUNCTION("""COMPUTED_VALUE"""),44306.6666666666)</f>
        <v>44306.666666666599</v>
      </c>
      <c r="B1586" s="1">
        <f ca="1">IFERROR(__xludf.DUMMYFUNCTION("""COMPUTED_VALUE"""),114.87)</f>
        <v>114.87</v>
      </c>
      <c r="C1586" s="1">
        <f ca="1">IFERROR(__xludf.DUMMYFUNCTION("""COMPUTED_VALUE"""),114.95)</f>
        <v>114.95</v>
      </c>
      <c r="D1586" s="1">
        <f ca="1">IFERROR(__xludf.DUMMYFUNCTION("""COMPUTED_VALUE"""),112.86)</f>
        <v>112.86</v>
      </c>
      <c r="E1586" s="1">
        <f ca="1">IFERROR(__xludf.DUMMYFUNCTION("""COMPUTED_VALUE"""),113.95)</f>
        <v>113.95</v>
      </c>
      <c r="F1586" s="1">
        <f ca="1">IFERROR(__xludf.DUMMYFUNCTION("""COMPUTED_VALUE"""),1114416)</f>
        <v>1114416</v>
      </c>
    </row>
    <row r="1587" spans="1:6" x14ac:dyDescent="0.35">
      <c r="A1587" s="2">
        <f ca="1">IFERROR(__xludf.DUMMYFUNCTION("""COMPUTED_VALUE"""),44307.6666666666)</f>
        <v>44307.666666666599</v>
      </c>
      <c r="B1587" s="1">
        <f ca="1">IFERROR(__xludf.DUMMYFUNCTION("""COMPUTED_VALUE"""),113.6)</f>
        <v>113.6</v>
      </c>
      <c r="C1587" s="1">
        <f ca="1">IFERROR(__xludf.DUMMYFUNCTION("""COMPUTED_VALUE"""),114)</f>
        <v>114</v>
      </c>
      <c r="D1587" s="1">
        <f ca="1">IFERROR(__xludf.DUMMYFUNCTION("""COMPUTED_VALUE"""),112.24)</f>
        <v>112.24</v>
      </c>
      <c r="E1587" s="1">
        <f ca="1">IFERROR(__xludf.DUMMYFUNCTION("""COMPUTED_VALUE"""),113.92)</f>
        <v>113.92</v>
      </c>
      <c r="F1587" s="1">
        <f ca="1">IFERROR(__xludf.DUMMYFUNCTION("""COMPUTED_VALUE"""),1160209)</f>
        <v>1160209</v>
      </c>
    </row>
    <row r="1588" spans="1:6" x14ac:dyDescent="0.35">
      <c r="A1588" s="2">
        <f ca="1">IFERROR(__xludf.DUMMYFUNCTION("""COMPUTED_VALUE"""),44308.6666666666)</f>
        <v>44308.666666666599</v>
      </c>
      <c r="B1588" s="1">
        <f ca="1">IFERROR(__xludf.DUMMYFUNCTION("""COMPUTED_VALUE"""),113.77)</f>
        <v>113.77</v>
      </c>
      <c r="C1588" s="1">
        <f ca="1">IFERROR(__xludf.DUMMYFUNCTION("""COMPUTED_VALUE"""),114.44)</f>
        <v>114.44</v>
      </c>
      <c r="D1588" s="1">
        <f ca="1">IFERROR(__xludf.DUMMYFUNCTION("""COMPUTED_VALUE"""),112.02)</f>
        <v>112.02</v>
      </c>
      <c r="E1588" s="1">
        <f ca="1">IFERROR(__xludf.DUMMYFUNCTION("""COMPUTED_VALUE"""),112.63)</f>
        <v>112.63</v>
      </c>
      <c r="F1588" s="1">
        <f ca="1">IFERROR(__xludf.DUMMYFUNCTION("""COMPUTED_VALUE"""),1207276)</f>
        <v>1207276</v>
      </c>
    </row>
    <row r="1589" spans="1:6" x14ac:dyDescent="0.35">
      <c r="A1589" s="2">
        <f ca="1">IFERROR(__xludf.DUMMYFUNCTION("""COMPUTED_VALUE"""),44309.6666666666)</f>
        <v>44309.666666666599</v>
      </c>
      <c r="B1589" s="1">
        <f ca="1">IFERROR(__xludf.DUMMYFUNCTION("""COMPUTED_VALUE"""),113.35)</f>
        <v>113.35</v>
      </c>
      <c r="C1589" s="1">
        <f ca="1">IFERROR(__xludf.DUMMYFUNCTION("""COMPUTED_VALUE"""),115.31)</f>
        <v>115.31</v>
      </c>
      <c r="D1589" s="1">
        <f ca="1">IFERROR(__xludf.DUMMYFUNCTION("""COMPUTED_VALUE"""),113.06)</f>
        <v>113.06</v>
      </c>
      <c r="E1589" s="1">
        <f ca="1">IFERROR(__xludf.DUMMYFUNCTION("""COMPUTED_VALUE"""),115)</f>
        <v>115</v>
      </c>
      <c r="F1589" s="1">
        <f ca="1">IFERROR(__xludf.DUMMYFUNCTION("""COMPUTED_VALUE"""),1455554)</f>
        <v>1455554</v>
      </c>
    </row>
    <row r="1590" spans="1:6" x14ac:dyDescent="0.35">
      <c r="A1590" s="2">
        <f ca="1">IFERROR(__xludf.DUMMYFUNCTION("""COMPUTED_VALUE"""),44312.6666666666)</f>
        <v>44312.666666666599</v>
      </c>
      <c r="B1590" s="1">
        <f ca="1">IFERROR(__xludf.DUMMYFUNCTION("""COMPUTED_VALUE"""),115.23)</f>
        <v>115.23</v>
      </c>
      <c r="C1590" s="1">
        <f ca="1">IFERROR(__xludf.DUMMYFUNCTION("""COMPUTED_VALUE"""),116.23)</f>
        <v>116.23</v>
      </c>
      <c r="D1590" s="1">
        <f ca="1">IFERROR(__xludf.DUMMYFUNCTION("""COMPUTED_VALUE"""),114.87)</f>
        <v>114.87</v>
      </c>
      <c r="E1590" s="1">
        <f ca="1">IFERROR(__xludf.DUMMYFUNCTION("""COMPUTED_VALUE"""),115.5)</f>
        <v>115.5</v>
      </c>
      <c r="F1590" s="1">
        <f ca="1">IFERROR(__xludf.DUMMYFUNCTION("""COMPUTED_VALUE"""),1601892)</f>
        <v>1601892</v>
      </c>
    </row>
    <row r="1591" spans="1:6" x14ac:dyDescent="0.35">
      <c r="A1591" s="2">
        <f ca="1">IFERROR(__xludf.DUMMYFUNCTION("""COMPUTED_VALUE"""),44313.6666666666)</f>
        <v>44313.666666666599</v>
      </c>
      <c r="B1591" s="1">
        <f ca="1">IFERROR(__xludf.DUMMYFUNCTION("""COMPUTED_VALUE"""),115.88)</f>
        <v>115.88</v>
      </c>
      <c r="C1591" s="1">
        <f ca="1">IFERROR(__xludf.DUMMYFUNCTION("""COMPUTED_VALUE"""),115.92)</f>
        <v>115.92</v>
      </c>
      <c r="D1591" s="1">
        <f ca="1">IFERROR(__xludf.DUMMYFUNCTION("""COMPUTED_VALUE"""),114.31)</f>
        <v>114.31</v>
      </c>
      <c r="E1591" s="1">
        <f ca="1">IFERROR(__xludf.DUMMYFUNCTION("""COMPUTED_VALUE"""),114.55)</f>
        <v>114.55</v>
      </c>
      <c r="F1591" s="1">
        <f ca="1">IFERROR(__xludf.DUMMYFUNCTION("""COMPUTED_VALUE"""),2219280)</f>
        <v>2219280</v>
      </c>
    </row>
    <row r="1592" spans="1:6" x14ac:dyDescent="0.35">
      <c r="A1592" s="2">
        <f ca="1">IFERROR(__xludf.DUMMYFUNCTION("""COMPUTED_VALUE"""),44314.6666666666)</f>
        <v>44314.666666666599</v>
      </c>
      <c r="B1592" s="1">
        <f ca="1">IFERROR(__xludf.DUMMYFUNCTION("""COMPUTED_VALUE"""),119.62)</f>
        <v>119.62</v>
      </c>
      <c r="C1592" s="1">
        <f ca="1">IFERROR(__xludf.DUMMYFUNCTION("""COMPUTED_VALUE"""),121.57)</f>
        <v>121.57</v>
      </c>
      <c r="D1592" s="1">
        <f ca="1">IFERROR(__xludf.DUMMYFUNCTION("""COMPUTED_VALUE"""),117.66)</f>
        <v>117.66</v>
      </c>
      <c r="E1592" s="1">
        <f ca="1">IFERROR(__xludf.DUMMYFUNCTION("""COMPUTED_VALUE"""),117.95)</f>
        <v>117.95</v>
      </c>
      <c r="F1592" s="1">
        <f ca="1">IFERROR(__xludf.DUMMYFUNCTION("""COMPUTED_VALUE"""),4055340)</f>
        <v>4055340</v>
      </c>
    </row>
    <row r="1593" spans="1:6" x14ac:dyDescent="0.35">
      <c r="A1593" s="2">
        <f ca="1">IFERROR(__xludf.DUMMYFUNCTION("""COMPUTED_VALUE"""),44315.6666666666)</f>
        <v>44315.666666666599</v>
      </c>
      <c r="B1593" s="1">
        <f ca="1">IFERROR(__xludf.DUMMYFUNCTION("""COMPUTED_VALUE"""),119.46)</f>
        <v>119.46</v>
      </c>
      <c r="C1593" s="1">
        <f ca="1">IFERROR(__xludf.DUMMYFUNCTION("""COMPUTED_VALUE"""),120.21)</f>
        <v>120.21</v>
      </c>
      <c r="D1593" s="1">
        <f ca="1">IFERROR(__xludf.DUMMYFUNCTION("""COMPUTED_VALUE"""),118.69)</f>
        <v>118.69</v>
      </c>
      <c r="E1593" s="1">
        <f ca="1">IFERROR(__xludf.DUMMYFUNCTION("""COMPUTED_VALUE"""),119.64)</f>
        <v>119.64</v>
      </c>
      <c r="F1593" s="1">
        <f ca="1">IFERROR(__xludf.DUMMYFUNCTION("""COMPUTED_VALUE"""),2061654)</f>
        <v>2061654</v>
      </c>
    </row>
    <row r="1594" spans="1:6" x14ac:dyDescent="0.35">
      <c r="A1594" s="2">
        <f ca="1">IFERROR(__xludf.DUMMYFUNCTION("""COMPUTED_VALUE"""),44316.6666666666)</f>
        <v>44316.666666666599</v>
      </c>
      <c r="B1594" s="1">
        <f ca="1">IFERROR(__xludf.DUMMYFUNCTION("""COMPUTED_VALUE"""),118.4)</f>
        <v>118.4</v>
      </c>
      <c r="C1594" s="1">
        <f ca="1">IFERROR(__xludf.DUMMYFUNCTION("""COMPUTED_VALUE"""),119.09)</f>
        <v>119.09</v>
      </c>
      <c r="D1594" s="1">
        <f ca="1">IFERROR(__xludf.DUMMYFUNCTION("""COMPUTED_VALUE"""),117.33)</f>
        <v>117.33</v>
      </c>
      <c r="E1594" s="1">
        <f ca="1">IFERROR(__xludf.DUMMYFUNCTION("""COMPUTED_VALUE"""),117.68)</f>
        <v>117.68</v>
      </c>
      <c r="F1594" s="1">
        <f ca="1">IFERROR(__xludf.DUMMYFUNCTION("""COMPUTED_VALUE"""),2242838)</f>
        <v>2242838</v>
      </c>
    </row>
    <row r="1595" spans="1:6" x14ac:dyDescent="0.35">
      <c r="A1595" s="2">
        <f ca="1">IFERROR(__xludf.DUMMYFUNCTION("""COMPUTED_VALUE"""),44319.6666666666)</f>
        <v>44319.666666666599</v>
      </c>
      <c r="B1595" s="1">
        <f ca="1">IFERROR(__xludf.DUMMYFUNCTION("""COMPUTED_VALUE"""),118.25)</f>
        <v>118.25</v>
      </c>
      <c r="C1595" s="1">
        <f ca="1">IFERROR(__xludf.DUMMYFUNCTION("""COMPUTED_VALUE"""),119.08)</f>
        <v>119.08</v>
      </c>
      <c r="D1595" s="1">
        <f ca="1">IFERROR(__xludf.DUMMYFUNCTION("""COMPUTED_VALUE"""),116.78)</f>
        <v>116.78</v>
      </c>
      <c r="E1595" s="1">
        <f ca="1">IFERROR(__xludf.DUMMYFUNCTION("""COMPUTED_VALUE"""),117.15)</f>
        <v>117.15</v>
      </c>
      <c r="F1595" s="1">
        <f ca="1">IFERROR(__xludf.DUMMYFUNCTION("""COMPUTED_VALUE"""),1412139)</f>
        <v>1412139</v>
      </c>
    </row>
    <row r="1596" spans="1:6" x14ac:dyDescent="0.35">
      <c r="A1596" s="2">
        <f ca="1">IFERROR(__xludf.DUMMYFUNCTION("""COMPUTED_VALUE"""),44320.6666666666)</f>
        <v>44320.666666666599</v>
      </c>
      <c r="B1596" s="1">
        <f ca="1">IFERROR(__xludf.DUMMYFUNCTION("""COMPUTED_VALUE"""),115.68)</f>
        <v>115.68</v>
      </c>
      <c r="C1596" s="1">
        <f ca="1">IFERROR(__xludf.DUMMYFUNCTION("""COMPUTED_VALUE"""),116.25)</f>
        <v>116.25</v>
      </c>
      <c r="D1596" s="1">
        <f ca="1">IFERROR(__xludf.DUMMYFUNCTION("""COMPUTED_VALUE"""),112.83)</f>
        <v>112.83</v>
      </c>
      <c r="E1596" s="1">
        <f ca="1">IFERROR(__xludf.DUMMYFUNCTION("""COMPUTED_VALUE"""),115.34)</f>
        <v>115.34</v>
      </c>
      <c r="F1596" s="1">
        <f ca="1">IFERROR(__xludf.DUMMYFUNCTION("""COMPUTED_VALUE"""),2240932)</f>
        <v>2240932</v>
      </c>
    </row>
    <row r="1597" spans="1:6" x14ac:dyDescent="0.35">
      <c r="A1597" s="2">
        <f ca="1">IFERROR(__xludf.DUMMYFUNCTION("""COMPUTED_VALUE"""),44321.6666666666)</f>
        <v>44321.666666666599</v>
      </c>
      <c r="B1597" s="1">
        <f ca="1">IFERROR(__xludf.DUMMYFUNCTION("""COMPUTED_VALUE"""),116.43)</f>
        <v>116.43</v>
      </c>
      <c r="C1597" s="1">
        <f ca="1">IFERROR(__xludf.DUMMYFUNCTION("""COMPUTED_VALUE"""),116.75)</f>
        <v>116.75</v>
      </c>
      <c r="D1597" s="1">
        <f ca="1">IFERROR(__xludf.DUMMYFUNCTION("""COMPUTED_VALUE"""),115.41)</f>
        <v>115.41</v>
      </c>
      <c r="E1597" s="1">
        <f ca="1">IFERROR(__xludf.DUMMYFUNCTION("""COMPUTED_VALUE"""),115.74)</f>
        <v>115.74</v>
      </c>
      <c r="F1597" s="1">
        <f ca="1">IFERROR(__xludf.DUMMYFUNCTION("""COMPUTED_VALUE"""),1331809)</f>
        <v>1331809</v>
      </c>
    </row>
    <row r="1598" spans="1:6" x14ac:dyDescent="0.35">
      <c r="A1598" s="2">
        <f ca="1">IFERROR(__xludf.DUMMYFUNCTION("""COMPUTED_VALUE"""),44322.6666666666)</f>
        <v>44322.666666666599</v>
      </c>
      <c r="B1598" s="1">
        <f ca="1">IFERROR(__xludf.DUMMYFUNCTION("""COMPUTED_VALUE"""),115.32)</f>
        <v>115.32</v>
      </c>
      <c r="C1598" s="1">
        <f ca="1">IFERROR(__xludf.DUMMYFUNCTION("""COMPUTED_VALUE"""),116.87)</f>
        <v>116.87</v>
      </c>
      <c r="D1598" s="1">
        <f ca="1">IFERROR(__xludf.DUMMYFUNCTION("""COMPUTED_VALUE"""),114.65)</f>
        <v>114.65</v>
      </c>
      <c r="E1598" s="1">
        <f ca="1">IFERROR(__xludf.DUMMYFUNCTION("""COMPUTED_VALUE"""),116.87)</f>
        <v>116.87</v>
      </c>
      <c r="F1598" s="1">
        <f ca="1">IFERROR(__xludf.DUMMYFUNCTION("""COMPUTED_VALUE"""),1259523)</f>
        <v>1259523</v>
      </c>
    </row>
    <row r="1599" spans="1:6" x14ac:dyDescent="0.35">
      <c r="A1599" s="2">
        <f ca="1">IFERROR(__xludf.DUMMYFUNCTION("""COMPUTED_VALUE"""),44323.6666666666)</f>
        <v>44323.666666666599</v>
      </c>
      <c r="B1599" s="1">
        <f ca="1">IFERROR(__xludf.DUMMYFUNCTION("""COMPUTED_VALUE"""),118.19)</f>
        <v>118.19</v>
      </c>
      <c r="C1599" s="1">
        <f ca="1">IFERROR(__xludf.DUMMYFUNCTION("""COMPUTED_VALUE"""),118.56)</f>
        <v>118.56</v>
      </c>
      <c r="D1599" s="1">
        <f ca="1">IFERROR(__xludf.DUMMYFUNCTION("""COMPUTED_VALUE"""),117.31)</f>
        <v>117.31</v>
      </c>
      <c r="E1599" s="1">
        <f ca="1">IFERROR(__xludf.DUMMYFUNCTION("""COMPUTED_VALUE"""),117.6)</f>
        <v>117.6</v>
      </c>
      <c r="F1599" s="1">
        <f ca="1">IFERROR(__xludf.DUMMYFUNCTION("""COMPUTED_VALUE"""),1444862)</f>
        <v>1444862</v>
      </c>
    </row>
    <row r="1600" spans="1:6" x14ac:dyDescent="0.35">
      <c r="A1600" s="2">
        <f ca="1">IFERROR(__xludf.DUMMYFUNCTION("""COMPUTED_VALUE"""),44326.6666666666)</f>
        <v>44326.666666666599</v>
      </c>
      <c r="B1600" s="1">
        <f ca="1">IFERROR(__xludf.DUMMYFUNCTION("""COMPUTED_VALUE"""),116.41)</f>
        <v>116.41</v>
      </c>
      <c r="C1600" s="1">
        <f ca="1">IFERROR(__xludf.DUMMYFUNCTION("""COMPUTED_VALUE"""),116.55)</f>
        <v>116.55</v>
      </c>
      <c r="D1600" s="1">
        <f ca="1">IFERROR(__xludf.DUMMYFUNCTION("""COMPUTED_VALUE"""),114.23)</f>
        <v>114.23</v>
      </c>
      <c r="E1600" s="1">
        <f ca="1">IFERROR(__xludf.DUMMYFUNCTION("""COMPUTED_VALUE"""),114.59)</f>
        <v>114.59</v>
      </c>
      <c r="F1600" s="1">
        <f ca="1">IFERROR(__xludf.DUMMYFUNCTION("""COMPUTED_VALUE"""),1545729)</f>
        <v>1545729</v>
      </c>
    </row>
    <row r="1601" spans="1:6" x14ac:dyDescent="0.35">
      <c r="A1601" s="2">
        <f ca="1">IFERROR(__xludf.DUMMYFUNCTION("""COMPUTED_VALUE"""),44327.6666666666)</f>
        <v>44327.666666666599</v>
      </c>
      <c r="B1601" s="1">
        <f ca="1">IFERROR(__xludf.DUMMYFUNCTION("""COMPUTED_VALUE"""),112.15)</f>
        <v>112.15</v>
      </c>
      <c r="C1601" s="1">
        <f ca="1">IFERROR(__xludf.DUMMYFUNCTION("""COMPUTED_VALUE"""),114.01)</f>
        <v>114.01</v>
      </c>
      <c r="D1601" s="1">
        <f ca="1">IFERROR(__xludf.DUMMYFUNCTION("""COMPUTED_VALUE"""),111.7)</f>
        <v>111.7</v>
      </c>
      <c r="E1601" s="1">
        <f ca="1">IFERROR(__xludf.DUMMYFUNCTION("""COMPUTED_VALUE"""),113.5)</f>
        <v>113.5</v>
      </c>
      <c r="F1601" s="1">
        <f ca="1">IFERROR(__xludf.DUMMYFUNCTION("""COMPUTED_VALUE"""),1709292)</f>
        <v>1709292</v>
      </c>
    </row>
    <row r="1602" spans="1:6" x14ac:dyDescent="0.35">
      <c r="A1602" s="2">
        <f ca="1">IFERROR(__xludf.DUMMYFUNCTION("""COMPUTED_VALUE"""),44328.6666666666)</f>
        <v>44328.666666666599</v>
      </c>
      <c r="B1602" s="1">
        <f ca="1">IFERROR(__xludf.DUMMYFUNCTION("""COMPUTED_VALUE"""),111.31)</f>
        <v>111.31</v>
      </c>
      <c r="C1602" s="1">
        <f ca="1">IFERROR(__xludf.DUMMYFUNCTION("""COMPUTED_VALUE"""),112.4)</f>
        <v>112.4</v>
      </c>
      <c r="D1602" s="1">
        <f ca="1">IFERROR(__xludf.DUMMYFUNCTION("""COMPUTED_VALUE"""),109.68)</f>
        <v>109.68</v>
      </c>
      <c r="E1602" s="1">
        <f ca="1">IFERROR(__xludf.DUMMYFUNCTION("""COMPUTED_VALUE"""),110.01)</f>
        <v>110.01</v>
      </c>
      <c r="F1602" s="1">
        <f ca="1">IFERROR(__xludf.DUMMYFUNCTION("""COMPUTED_VALUE"""),2318774)</f>
        <v>2318774</v>
      </c>
    </row>
    <row r="1603" spans="1:6" x14ac:dyDescent="0.35">
      <c r="A1603" s="2">
        <f ca="1">IFERROR(__xludf.DUMMYFUNCTION("""COMPUTED_VALUE"""),44329.6666666666)</f>
        <v>44329.666666666599</v>
      </c>
      <c r="B1603" s="1">
        <f ca="1">IFERROR(__xludf.DUMMYFUNCTION("""COMPUTED_VALUE"""),111.31)</f>
        <v>111.31</v>
      </c>
      <c r="C1603" s="1">
        <f ca="1">IFERROR(__xludf.DUMMYFUNCTION("""COMPUTED_VALUE"""),111.97)</f>
        <v>111.97</v>
      </c>
      <c r="D1603" s="1">
        <f ca="1">IFERROR(__xludf.DUMMYFUNCTION("""COMPUTED_VALUE"""),110.34)</f>
        <v>110.34</v>
      </c>
      <c r="E1603" s="1">
        <f ca="1">IFERROR(__xludf.DUMMYFUNCTION("""COMPUTED_VALUE"""),111.45)</f>
        <v>111.45</v>
      </c>
      <c r="F1603" s="1">
        <f ca="1">IFERROR(__xludf.DUMMYFUNCTION("""COMPUTED_VALUE"""),1661020)</f>
        <v>1661020</v>
      </c>
    </row>
    <row r="1604" spans="1:6" x14ac:dyDescent="0.35">
      <c r="A1604" s="2">
        <f ca="1">IFERROR(__xludf.DUMMYFUNCTION("""COMPUTED_VALUE"""),44330.6666666666)</f>
        <v>44330.666666666599</v>
      </c>
      <c r="B1604" s="1">
        <f ca="1">IFERROR(__xludf.DUMMYFUNCTION("""COMPUTED_VALUE"""),112.93)</f>
        <v>112.93</v>
      </c>
      <c r="C1604" s="1">
        <f ca="1">IFERROR(__xludf.DUMMYFUNCTION("""COMPUTED_VALUE"""),114.24)</f>
        <v>114.24</v>
      </c>
      <c r="D1604" s="1">
        <f ca="1">IFERROR(__xludf.DUMMYFUNCTION("""COMPUTED_VALUE"""),112.5)</f>
        <v>112.5</v>
      </c>
      <c r="E1604" s="1">
        <f ca="1">IFERROR(__xludf.DUMMYFUNCTION("""COMPUTED_VALUE"""),113.92)</f>
        <v>113.92</v>
      </c>
      <c r="F1604" s="1">
        <f ca="1">IFERROR(__xludf.DUMMYFUNCTION("""COMPUTED_VALUE"""),1599829)</f>
        <v>1599829</v>
      </c>
    </row>
    <row r="1605" spans="1:6" x14ac:dyDescent="0.35">
      <c r="A1605" s="2">
        <f ca="1">IFERROR(__xludf.DUMMYFUNCTION("""COMPUTED_VALUE"""),44333.6666666666)</f>
        <v>44333.666666666599</v>
      </c>
      <c r="B1605" s="1">
        <f ca="1">IFERROR(__xludf.DUMMYFUNCTION("""COMPUTED_VALUE"""),113.18)</f>
        <v>113.18</v>
      </c>
      <c r="C1605" s="1">
        <f ca="1">IFERROR(__xludf.DUMMYFUNCTION("""COMPUTED_VALUE"""),114.49)</f>
        <v>114.49</v>
      </c>
      <c r="D1605" s="1">
        <f ca="1">IFERROR(__xludf.DUMMYFUNCTION("""COMPUTED_VALUE"""),112.78)</f>
        <v>112.78</v>
      </c>
      <c r="E1605" s="1">
        <f ca="1">IFERROR(__xludf.DUMMYFUNCTION("""COMPUTED_VALUE"""),114.45)</f>
        <v>114.45</v>
      </c>
      <c r="F1605" s="1">
        <f ca="1">IFERROR(__xludf.DUMMYFUNCTION("""COMPUTED_VALUE"""),1079869)</f>
        <v>1079869</v>
      </c>
    </row>
    <row r="1606" spans="1:6" x14ac:dyDescent="0.35">
      <c r="A1606" s="2">
        <f ca="1">IFERROR(__xludf.DUMMYFUNCTION("""COMPUTED_VALUE"""),44334.6666666666)</f>
        <v>44334.666666666599</v>
      </c>
      <c r="B1606" s="1">
        <f ca="1">IFERROR(__xludf.DUMMYFUNCTION("""COMPUTED_VALUE"""),115.12)</f>
        <v>115.12</v>
      </c>
      <c r="C1606" s="1">
        <f ca="1">IFERROR(__xludf.DUMMYFUNCTION("""COMPUTED_VALUE"""),115.38)</f>
        <v>115.38</v>
      </c>
      <c r="D1606" s="1">
        <f ca="1">IFERROR(__xludf.DUMMYFUNCTION("""COMPUTED_VALUE"""),113.11)</f>
        <v>113.11</v>
      </c>
      <c r="E1606" s="1">
        <f ca="1">IFERROR(__xludf.DUMMYFUNCTION("""COMPUTED_VALUE"""),113.12)</f>
        <v>113.12</v>
      </c>
      <c r="F1606" s="1">
        <f ca="1">IFERROR(__xludf.DUMMYFUNCTION("""COMPUTED_VALUE"""),1110185)</f>
        <v>1110185</v>
      </c>
    </row>
    <row r="1607" spans="1:6" x14ac:dyDescent="0.35">
      <c r="A1607" s="2">
        <f ca="1">IFERROR(__xludf.DUMMYFUNCTION("""COMPUTED_VALUE"""),44335.6666666666)</f>
        <v>44335.666666666599</v>
      </c>
      <c r="B1607" s="1">
        <f ca="1">IFERROR(__xludf.DUMMYFUNCTION("""COMPUTED_VALUE"""),111.42)</f>
        <v>111.42</v>
      </c>
      <c r="C1607" s="1">
        <f ca="1">IFERROR(__xludf.DUMMYFUNCTION("""COMPUTED_VALUE"""),113.75)</f>
        <v>113.75</v>
      </c>
      <c r="D1607" s="1">
        <f ca="1">IFERROR(__xludf.DUMMYFUNCTION("""COMPUTED_VALUE"""),111.27)</f>
        <v>111.27</v>
      </c>
      <c r="E1607" s="1">
        <f ca="1">IFERROR(__xludf.DUMMYFUNCTION("""COMPUTED_VALUE"""),113.58)</f>
        <v>113.58</v>
      </c>
      <c r="F1607" s="1">
        <f ca="1">IFERROR(__xludf.DUMMYFUNCTION("""COMPUTED_VALUE"""),1184205)</f>
        <v>1184205</v>
      </c>
    </row>
    <row r="1608" spans="1:6" x14ac:dyDescent="0.35">
      <c r="A1608" s="2">
        <f ca="1">IFERROR(__xludf.DUMMYFUNCTION("""COMPUTED_VALUE"""),44336.6666666666)</f>
        <v>44336.666666666599</v>
      </c>
      <c r="B1608" s="1">
        <f ca="1">IFERROR(__xludf.DUMMYFUNCTION("""COMPUTED_VALUE"""),114.55)</f>
        <v>114.55</v>
      </c>
      <c r="C1608" s="1">
        <f ca="1">IFERROR(__xludf.DUMMYFUNCTION("""COMPUTED_VALUE"""),115.6)</f>
        <v>115.6</v>
      </c>
      <c r="D1608" s="1">
        <f ca="1">IFERROR(__xludf.DUMMYFUNCTION("""COMPUTED_VALUE"""),114.18)</f>
        <v>114.18</v>
      </c>
      <c r="E1608" s="1">
        <f ca="1">IFERROR(__xludf.DUMMYFUNCTION("""COMPUTED_VALUE"""),115.35)</f>
        <v>115.35</v>
      </c>
      <c r="F1608" s="1">
        <f ca="1">IFERROR(__xludf.DUMMYFUNCTION("""COMPUTED_VALUE"""),1617550)</f>
        <v>1617550</v>
      </c>
    </row>
    <row r="1609" spans="1:6" x14ac:dyDescent="0.35">
      <c r="A1609" s="2">
        <f ca="1">IFERROR(__xludf.DUMMYFUNCTION("""COMPUTED_VALUE"""),44337.6666666666)</f>
        <v>44337.666666666599</v>
      </c>
      <c r="B1609" s="1">
        <f ca="1">IFERROR(__xludf.DUMMYFUNCTION("""COMPUTED_VALUE"""),115.87)</f>
        <v>115.87</v>
      </c>
      <c r="C1609" s="1">
        <f ca="1">IFERROR(__xludf.DUMMYFUNCTION("""COMPUTED_VALUE"""),115.94)</f>
        <v>115.94</v>
      </c>
      <c r="D1609" s="1">
        <f ca="1">IFERROR(__xludf.DUMMYFUNCTION("""COMPUTED_VALUE"""),114.47)</f>
        <v>114.47</v>
      </c>
      <c r="E1609" s="1">
        <f ca="1">IFERROR(__xludf.DUMMYFUNCTION("""COMPUTED_VALUE"""),114.71)</f>
        <v>114.71</v>
      </c>
      <c r="F1609" s="1">
        <f ca="1">IFERROR(__xludf.DUMMYFUNCTION("""COMPUTED_VALUE"""),2031590)</f>
        <v>2031590</v>
      </c>
    </row>
    <row r="1610" spans="1:6" x14ac:dyDescent="0.35">
      <c r="A1610" s="2">
        <f ca="1">IFERROR(__xludf.DUMMYFUNCTION("""COMPUTED_VALUE"""),44340.6666666666)</f>
        <v>44340.666666666599</v>
      </c>
      <c r="B1610" s="1">
        <f ca="1">IFERROR(__xludf.DUMMYFUNCTION("""COMPUTED_VALUE"""),115.74)</f>
        <v>115.74</v>
      </c>
      <c r="C1610" s="1">
        <f ca="1">IFERROR(__xludf.DUMMYFUNCTION("""COMPUTED_VALUE"""),118.28)</f>
        <v>118.28</v>
      </c>
      <c r="D1610" s="1">
        <f ca="1">IFERROR(__xludf.DUMMYFUNCTION("""COMPUTED_VALUE"""),115.6)</f>
        <v>115.6</v>
      </c>
      <c r="E1610" s="1">
        <f ca="1">IFERROR(__xludf.DUMMYFUNCTION("""COMPUTED_VALUE"""),118.05)</f>
        <v>118.05</v>
      </c>
      <c r="F1610" s="1">
        <f ca="1">IFERROR(__xludf.DUMMYFUNCTION("""COMPUTED_VALUE"""),1591610)</f>
        <v>1591610</v>
      </c>
    </row>
    <row r="1611" spans="1:6" x14ac:dyDescent="0.35">
      <c r="A1611" s="2">
        <f ca="1">IFERROR(__xludf.DUMMYFUNCTION("""COMPUTED_VALUE"""),44341.6666666666)</f>
        <v>44341.666666666599</v>
      </c>
      <c r="B1611" s="1">
        <f ca="1">IFERROR(__xludf.DUMMYFUNCTION("""COMPUTED_VALUE"""),118.6)</f>
        <v>118.6</v>
      </c>
      <c r="C1611" s="1">
        <f ca="1">IFERROR(__xludf.DUMMYFUNCTION("""COMPUTED_VALUE"""),119.2)</f>
        <v>119.2</v>
      </c>
      <c r="D1611" s="1">
        <f ca="1">IFERROR(__xludf.DUMMYFUNCTION("""COMPUTED_VALUE"""),117.75)</f>
        <v>117.75</v>
      </c>
      <c r="E1611" s="1">
        <f ca="1">IFERROR(__xludf.DUMMYFUNCTION("""COMPUTED_VALUE"""),118.14)</f>
        <v>118.14</v>
      </c>
      <c r="F1611" s="1">
        <f ca="1">IFERROR(__xludf.DUMMYFUNCTION("""COMPUTED_VALUE"""),1121982)</f>
        <v>1121982</v>
      </c>
    </row>
    <row r="1612" spans="1:6" x14ac:dyDescent="0.35">
      <c r="A1612" s="2">
        <f ca="1">IFERROR(__xludf.DUMMYFUNCTION("""COMPUTED_VALUE"""),44342.6666666666)</f>
        <v>44342.666666666599</v>
      </c>
      <c r="B1612" s="1">
        <f ca="1">IFERROR(__xludf.DUMMYFUNCTION("""COMPUTED_VALUE"""),118.33)</f>
        <v>118.33</v>
      </c>
      <c r="C1612" s="1">
        <f ca="1">IFERROR(__xludf.DUMMYFUNCTION("""COMPUTED_VALUE"""),119.45)</f>
        <v>119.45</v>
      </c>
      <c r="D1612" s="1">
        <f ca="1">IFERROR(__xludf.DUMMYFUNCTION("""COMPUTED_VALUE"""),118.32)</f>
        <v>118.32</v>
      </c>
      <c r="E1612" s="1">
        <f ca="1">IFERROR(__xludf.DUMMYFUNCTION("""COMPUTED_VALUE"""),119.02)</f>
        <v>119.02</v>
      </c>
      <c r="F1612" s="1">
        <f ca="1">IFERROR(__xludf.DUMMYFUNCTION("""COMPUTED_VALUE"""),1078598)</f>
        <v>1078598</v>
      </c>
    </row>
    <row r="1613" spans="1:6" x14ac:dyDescent="0.35">
      <c r="A1613" s="2">
        <f ca="1">IFERROR(__xludf.DUMMYFUNCTION("""COMPUTED_VALUE"""),44343.6666666666)</f>
        <v>44343.666666666599</v>
      </c>
      <c r="B1613" s="1">
        <f ca="1">IFERROR(__xludf.DUMMYFUNCTION("""COMPUTED_VALUE"""),119.45)</f>
        <v>119.45</v>
      </c>
      <c r="C1613" s="1">
        <f ca="1">IFERROR(__xludf.DUMMYFUNCTION("""COMPUTED_VALUE"""),119.45)</f>
        <v>119.45</v>
      </c>
      <c r="D1613" s="1">
        <f ca="1">IFERROR(__xludf.DUMMYFUNCTION("""COMPUTED_VALUE"""),117.81)</f>
        <v>117.81</v>
      </c>
      <c r="E1613" s="1">
        <f ca="1">IFERROR(__xludf.DUMMYFUNCTION("""COMPUTED_VALUE"""),118.13)</f>
        <v>118.13</v>
      </c>
      <c r="F1613" s="1">
        <f ca="1">IFERROR(__xludf.DUMMYFUNCTION("""COMPUTED_VALUE"""),1761201)</f>
        <v>1761201</v>
      </c>
    </row>
    <row r="1614" spans="1:6" x14ac:dyDescent="0.35">
      <c r="A1614" s="2">
        <f ca="1">IFERROR(__xludf.DUMMYFUNCTION("""COMPUTED_VALUE"""),44344.6666666666)</f>
        <v>44344.666666666599</v>
      </c>
      <c r="B1614" s="1">
        <f ca="1">IFERROR(__xludf.DUMMYFUNCTION("""COMPUTED_VALUE"""),118.72)</f>
        <v>118.72</v>
      </c>
      <c r="C1614" s="1">
        <f ca="1">IFERROR(__xludf.DUMMYFUNCTION("""COMPUTED_VALUE"""),118.8)</f>
        <v>118.8</v>
      </c>
      <c r="D1614" s="1">
        <f ca="1">IFERROR(__xludf.DUMMYFUNCTION("""COMPUTED_VALUE"""),117.64)</f>
        <v>117.64</v>
      </c>
      <c r="E1614" s="1">
        <f ca="1">IFERROR(__xludf.DUMMYFUNCTION("""COMPUTED_VALUE"""),117.84)</f>
        <v>117.84</v>
      </c>
      <c r="F1614" s="1">
        <f ca="1">IFERROR(__xludf.DUMMYFUNCTION("""COMPUTED_VALUE"""),1074540)</f>
        <v>1074540</v>
      </c>
    </row>
    <row r="1615" spans="1:6" x14ac:dyDescent="0.35">
      <c r="A1615" s="2">
        <f ca="1">IFERROR(__xludf.DUMMYFUNCTION("""COMPUTED_VALUE"""),44348.6666666666)</f>
        <v>44348.666666666599</v>
      </c>
      <c r="B1615" s="1">
        <f ca="1">IFERROR(__xludf.DUMMYFUNCTION("""COMPUTED_VALUE"""),118.72)</f>
        <v>118.72</v>
      </c>
      <c r="C1615" s="1">
        <f ca="1">IFERROR(__xludf.DUMMYFUNCTION("""COMPUTED_VALUE"""),119.29)</f>
        <v>119.29</v>
      </c>
      <c r="D1615" s="1">
        <f ca="1">IFERROR(__xludf.DUMMYFUNCTION("""COMPUTED_VALUE"""),117.71)</f>
        <v>117.71</v>
      </c>
      <c r="E1615" s="1">
        <f ca="1">IFERROR(__xludf.DUMMYFUNCTION("""COMPUTED_VALUE"""),119.06)</f>
        <v>119.06</v>
      </c>
      <c r="F1615" s="1">
        <f ca="1">IFERROR(__xludf.DUMMYFUNCTION("""COMPUTED_VALUE"""),1167901)</f>
        <v>1167901</v>
      </c>
    </row>
    <row r="1616" spans="1:6" x14ac:dyDescent="0.35">
      <c r="A1616" s="2">
        <f ca="1">IFERROR(__xludf.DUMMYFUNCTION("""COMPUTED_VALUE"""),44349.6666666666)</f>
        <v>44349.666666666599</v>
      </c>
      <c r="B1616" s="1">
        <f ca="1">IFERROR(__xludf.DUMMYFUNCTION("""COMPUTED_VALUE"""),119.46)</f>
        <v>119.46</v>
      </c>
      <c r="C1616" s="1">
        <f ca="1">IFERROR(__xludf.DUMMYFUNCTION("""COMPUTED_VALUE"""),119.68)</f>
        <v>119.68</v>
      </c>
      <c r="D1616" s="1">
        <f ca="1">IFERROR(__xludf.DUMMYFUNCTION("""COMPUTED_VALUE"""),117.62)</f>
        <v>117.62</v>
      </c>
      <c r="E1616" s="1">
        <f ca="1">IFERROR(__xludf.DUMMYFUNCTION("""COMPUTED_VALUE"""),118.53)</f>
        <v>118.53</v>
      </c>
      <c r="F1616" s="1">
        <f ca="1">IFERROR(__xludf.DUMMYFUNCTION("""COMPUTED_VALUE"""),1058146)</f>
        <v>1058146</v>
      </c>
    </row>
    <row r="1617" spans="1:6" x14ac:dyDescent="0.35">
      <c r="A1617" s="2">
        <f ca="1">IFERROR(__xludf.DUMMYFUNCTION("""COMPUTED_VALUE"""),44350.6666666666)</f>
        <v>44350.666666666599</v>
      </c>
      <c r="B1617" s="1">
        <f ca="1">IFERROR(__xludf.DUMMYFUNCTION("""COMPUTED_VALUE"""),117.29)</f>
        <v>117.29</v>
      </c>
      <c r="C1617" s="1">
        <f ca="1">IFERROR(__xludf.DUMMYFUNCTION("""COMPUTED_VALUE"""),117.85)</f>
        <v>117.85</v>
      </c>
      <c r="D1617" s="1">
        <f ca="1">IFERROR(__xludf.DUMMYFUNCTION("""COMPUTED_VALUE"""),116.48)</f>
        <v>116.48</v>
      </c>
      <c r="E1617" s="1">
        <f ca="1">IFERROR(__xludf.DUMMYFUNCTION("""COMPUTED_VALUE"""),117.38)</f>
        <v>117.38</v>
      </c>
      <c r="F1617" s="1">
        <f ca="1">IFERROR(__xludf.DUMMYFUNCTION("""COMPUTED_VALUE"""),934796)</f>
        <v>934796</v>
      </c>
    </row>
    <row r="1618" spans="1:6" x14ac:dyDescent="0.35">
      <c r="A1618" s="2">
        <f ca="1">IFERROR(__xludf.DUMMYFUNCTION("""COMPUTED_VALUE"""),44351.6666666666)</f>
        <v>44351.666666666599</v>
      </c>
      <c r="B1618" s="1">
        <f ca="1">IFERROR(__xludf.DUMMYFUNCTION("""COMPUTED_VALUE"""),118.46)</f>
        <v>118.46</v>
      </c>
      <c r="C1618" s="1">
        <f ca="1">IFERROR(__xludf.DUMMYFUNCTION("""COMPUTED_VALUE"""),119.95)</f>
        <v>119.95</v>
      </c>
      <c r="D1618" s="1">
        <f ca="1">IFERROR(__xludf.DUMMYFUNCTION("""COMPUTED_VALUE"""),118.12)</f>
        <v>118.12</v>
      </c>
      <c r="E1618" s="1">
        <f ca="1">IFERROR(__xludf.DUMMYFUNCTION("""COMPUTED_VALUE"""),119.68)</f>
        <v>119.68</v>
      </c>
      <c r="F1618" s="1">
        <f ca="1">IFERROR(__xludf.DUMMYFUNCTION("""COMPUTED_VALUE"""),1222910)</f>
        <v>1222910</v>
      </c>
    </row>
    <row r="1619" spans="1:6" x14ac:dyDescent="0.35">
      <c r="A1619" s="2">
        <f ca="1">IFERROR(__xludf.DUMMYFUNCTION("""COMPUTED_VALUE"""),44354.6666666666)</f>
        <v>44354.666666666599</v>
      </c>
      <c r="B1619" s="1">
        <f ca="1">IFERROR(__xludf.DUMMYFUNCTION("""COMPUTED_VALUE"""),119.47)</f>
        <v>119.47</v>
      </c>
      <c r="C1619" s="1">
        <f ca="1">IFERROR(__xludf.DUMMYFUNCTION("""COMPUTED_VALUE"""),120.23)</f>
        <v>120.23</v>
      </c>
      <c r="D1619" s="1">
        <f ca="1">IFERROR(__xludf.DUMMYFUNCTION("""COMPUTED_VALUE"""),119.05)</f>
        <v>119.05</v>
      </c>
      <c r="E1619" s="1">
        <f ca="1">IFERROR(__xludf.DUMMYFUNCTION("""COMPUTED_VALUE"""),120.12)</f>
        <v>120.12</v>
      </c>
      <c r="F1619" s="1">
        <f ca="1">IFERROR(__xludf.DUMMYFUNCTION("""COMPUTED_VALUE"""),1205966)</f>
        <v>1205966</v>
      </c>
    </row>
    <row r="1620" spans="1:6" x14ac:dyDescent="0.35">
      <c r="A1620" s="2">
        <f ca="1">IFERROR(__xludf.DUMMYFUNCTION("""COMPUTED_VALUE"""),44355.6666666666)</f>
        <v>44355.666666666599</v>
      </c>
      <c r="B1620" s="1">
        <f ca="1">IFERROR(__xludf.DUMMYFUNCTION("""COMPUTED_VALUE"""),120.6)</f>
        <v>120.6</v>
      </c>
      <c r="C1620" s="1">
        <f ca="1">IFERROR(__xludf.DUMMYFUNCTION("""COMPUTED_VALUE"""),120.98)</f>
        <v>120.98</v>
      </c>
      <c r="D1620" s="1">
        <f ca="1">IFERROR(__xludf.DUMMYFUNCTION("""COMPUTED_VALUE"""),119.74)</f>
        <v>119.74</v>
      </c>
      <c r="E1620" s="1">
        <f ca="1">IFERROR(__xludf.DUMMYFUNCTION("""COMPUTED_VALUE"""),119.92)</f>
        <v>119.92</v>
      </c>
      <c r="F1620" s="1">
        <f ca="1">IFERROR(__xludf.DUMMYFUNCTION("""COMPUTED_VALUE"""),1211992)</f>
        <v>1211992</v>
      </c>
    </row>
    <row r="1621" spans="1:6" x14ac:dyDescent="0.35">
      <c r="A1621" s="2">
        <f ca="1">IFERROR(__xludf.DUMMYFUNCTION("""COMPUTED_VALUE"""),44356.6666666666)</f>
        <v>44356.666666666599</v>
      </c>
      <c r="B1621" s="1">
        <f ca="1">IFERROR(__xludf.DUMMYFUNCTION("""COMPUTED_VALUE"""),120.57)</f>
        <v>120.57</v>
      </c>
      <c r="C1621" s="1">
        <f ca="1">IFERROR(__xludf.DUMMYFUNCTION("""COMPUTED_VALUE"""),120.64)</f>
        <v>120.64</v>
      </c>
      <c r="D1621" s="1">
        <f ca="1">IFERROR(__xludf.DUMMYFUNCTION("""COMPUTED_VALUE"""),119.85)</f>
        <v>119.85</v>
      </c>
      <c r="E1621" s="1">
        <f ca="1">IFERROR(__xludf.DUMMYFUNCTION("""COMPUTED_VALUE"""),120.4)</f>
        <v>120.4</v>
      </c>
      <c r="F1621" s="1">
        <f ca="1">IFERROR(__xludf.DUMMYFUNCTION("""COMPUTED_VALUE"""),897052)</f>
        <v>897052</v>
      </c>
    </row>
    <row r="1622" spans="1:6" x14ac:dyDescent="0.35">
      <c r="A1622" s="2">
        <f ca="1">IFERROR(__xludf.DUMMYFUNCTION("""COMPUTED_VALUE"""),44357.6666666666)</f>
        <v>44357.666666666599</v>
      </c>
      <c r="B1622" s="1">
        <f ca="1">IFERROR(__xludf.DUMMYFUNCTION("""COMPUTED_VALUE"""),120.35)</f>
        <v>120.35</v>
      </c>
      <c r="C1622" s="1">
        <f ca="1">IFERROR(__xludf.DUMMYFUNCTION("""COMPUTED_VALUE"""),121.8)</f>
        <v>121.8</v>
      </c>
      <c r="D1622" s="1">
        <f ca="1">IFERROR(__xludf.DUMMYFUNCTION("""COMPUTED_VALUE"""),120.19)</f>
        <v>120.19</v>
      </c>
      <c r="E1622" s="1">
        <f ca="1">IFERROR(__xludf.DUMMYFUNCTION("""COMPUTED_VALUE"""),121.76)</f>
        <v>121.76</v>
      </c>
      <c r="F1622" s="1">
        <f ca="1">IFERROR(__xludf.DUMMYFUNCTION("""COMPUTED_VALUE"""),1295375)</f>
        <v>1295375</v>
      </c>
    </row>
    <row r="1623" spans="1:6" x14ac:dyDescent="0.35">
      <c r="A1623" s="2">
        <f ca="1">IFERROR(__xludf.DUMMYFUNCTION("""COMPUTED_VALUE"""),44358.6666666666)</f>
        <v>44358.666666666599</v>
      </c>
      <c r="B1623" s="1">
        <f ca="1">IFERROR(__xludf.DUMMYFUNCTION("""COMPUTED_VALUE"""),122)</f>
        <v>122</v>
      </c>
      <c r="C1623" s="1">
        <f ca="1">IFERROR(__xludf.DUMMYFUNCTION("""COMPUTED_VALUE"""),122.09)</f>
        <v>122.09</v>
      </c>
      <c r="D1623" s="1">
        <f ca="1">IFERROR(__xludf.DUMMYFUNCTION("""COMPUTED_VALUE"""),120.95)</f>
        <v>120.95</v>
      </c>
      <c r="E1623" s="1">
        <f ca="1">IFERROR(__xludf.DUMMYFUNCTION("""COMPUTED_VALUE"""),121.51)</f>
        <v>121.51</v>
      </c>
      <c r="F1623" s="1">
        <f ca="1">IFERROR(__xludf.DUMMYFUNCTION("""COMPUTED_VALUE"""),1097907)</f>
        <v>1097907</v>
      </c>
    </row>
    <row r="1624" spans="1:6" x14ac:dyDescent="0.35">
      <c r="A1624" s="2">
        <f ca="1">IFERROR(__xludf.DUMMYFUNCTION("""COMPUTED_VALUE"""),44361.6666666666)</f>
        <v>44361.666666666599</v>
      </c>
      <c r="B1624" s="1">
        <f ca="1">IFERROR(__xludf.DUMMYFUNCTION("""COMPUTED_VALUE"""),121.61)</f>
        <v>121.61</v>
      </c>
      <c r="C1624" s="1">
        <f ca="1">IFERROR(__xludf.DUMMYFUNCTION("""COMPUTED_VALUE"""),122.45)</f>
        <v>122.45</v>
      </c>
      <c r="D1624" s="1">
        <f ca="1">IFERROR(__xludf.DUMMYFUNCTION("""COMPUTED_VALUE"""),120.9)</f>
        <v>120.9</v>
      </c>
      <c r="E1624" s="1">
        <f ca="1">IFERROR(__xludf.DUMMYFUNCTION("""COMPUTED_VALUE"""),122.45)</f>
        <v>122.45</v>
      </c>
      <c r="F1624" s="1">
        <f ca="1">IFERROR(__xludf.DUMMYFUNCTION("""COMPUTED_VALUE"""),1104878)</f>
        <v>1104878</v>
      </c>
    </row>
    <row r="1625" spans="1:6" x14ac:dyDescent="0.35">
      <c r="A1625" s="2">
        <f ca="1">IFERROR(__xludf.DUMMYFUNCTION("""COMPUTED_VALUE"""),44362.6666666666)</f>
        <v>44362.666666666599</v>
      </c>
      <c r="B1625" s="1">
        <f ca="1">IFERROR(__xludf.DUMMYFUNCTION("""COMPUTED_VALUE"""),122.45)</f>
        <v>122.45</v>
      </c>
      <c r="C1625" s="1">
        <f ca="1">IFERROR(__xludf.DUMMYFUNCTION("""COMPUTED_VALUE"""),122.78)</f>
        <v>122.78</v>
      </c>
      <c r="D1625" s="1">
        <f ca="1">IFERROR(__xludf.DUMMYFUNCTION("""COMPUTED_VALUE"""),121.06)</f>
        <v>121.06</v>
      </c>
      <c r="E1625" s="1">
        <f ca="1">IFERROR(__xludf.DUMMYFUNCTION("""COMPUTED_VALUE"""),121.42)</f>
        <v>121.42</v>
      </c>
      <c r="F1625" s="1">
        <f ca="1">IFERROR(__xludf.DUMMYFUNCTION("""COMPUTED_VALUE"""),1078107)</f>
        <v>1078107</v>
      </c>
    </row>
    <row r="1626" spans="1:6" x14ac:dyDescent="0.35">
      <c r="A1626" s="2">
        <f ca="1">IFERROR(__xludf.DUMMYFUNCTION("""COMPUTED_VALUE"""),44363.6666666666)</f>
        <v>44363.666666666599</v>
      </c>
      <c r="B1626" s="1">
        <f ca="1">IFERROR(__xludf.DUMMYFUNCTION("""COMPUTED_VALUE"""),121.57)</f>
        <v>121.57</v>
      </c>
      <c r="C1626" s="1">
        <f ca="1">IFERROR(__xludf.DUMMYFUNCTION("""COMPUTED_VALUE"""),121.89)</f>
        <v>121.89</v>
      </c>
      <c r="D1626" s="1">
        <f ca="1">IFERROR(__xludf.DUMMYFUNCTION("""COMPUTED_VALUE"""),119.47)</f>
        <v>119.47</v>
      </c>
      <c r="E1626" s="1">
        <f ca="1">IFERROR(__xludf.DUMMYFUNCTION("""COMPUTED_VALUE"""),120.77)</f>
        <v>120.77</v>
      </c>
      <c r="F1626" s="1">
        <f ca="1">IFERROR(__xludf.DUMMYFUNCTION("""COMPUTED_VALUE"""),1323593)</f>
        <v>1323593</v>
      </c>
    </row>
    <row r="1627" spans="1:6" x14ac:dyDescent="0.35">
      <c r="A1627" s="2">
        <f ca="1">IFERROR(__xludf.DUMMYFUNCTION("""COMPUTED_VALUE"""),44364.6666666666)</f>
        <v>44364.666666666599</v>
      </c>
      <c r="B1627" s="1">
        <f ca="1">IFERROR(__xludf.DUMMYFUNCTION("""COMPUTED_VALUE"""),120.7)</f>
        <v>120.7</v>
      </c>
      <c r="C1627" s="1">
        <f ca="1">IFERROR(__xludf.DUMMYFUNCTION("""COMPUTED_VALUE"""),122.52)</f>
        <v>122.52</v>
      </c>
      <c r="D1627" s="1">
        <f ca="1">IFERROR(__xludf.DUMMYFUNCTION("""COMPUTED_VALUE"""),120.5)</f>
        <v>120.5</v>
      </c>
      <c r="E1627" s="1">
        <f ca="1">IFERROR(__xludf.DUMMYFUNCTION("""COMPUTED_VALUE"""),121.74)</f>
        <v>121.74</v>
      </c>
      <c r="F1627" s="1">
        <f ca="1">IFERROR(__xludf.DUMMYFUNCTION("""COMPUTED_VALUE"""),1292444)</f>
        <v>1292444</v>
      </c>
    </row>
    <row r="1628" spans="1:6" x14ac:dyDescent="0.35">
      <c r="A1628" s="2">
        <f ca="1">IFERROR(__xludf.DUMMYFUNCTION("""COMPUTED_VALUE"""),44365.6666666666)</f>
        <v>44365.666666666599</v>
      </c>
      <c r="B1628" s="1">
        <f ca="1">IFERROR(__xludf.DUMMYFUNCTION("""COMPUTED_VALUE"""),121.37)</f>
        <v>121.37</v>
      </c>
      <c r="C1628" s="1">
        <f ca="1">IFERROR(__xludf.DUMMYFUNCTION("""COMPUTED_VALUE"""),121.6)</f>
        <v>121.6</v>
      </c>
      <c r="D1628" s="1">
        <f ca="1">IFERROR(__xludf.DUMMYFUNCTION("""COMPUTED_VALUE"""),120.02)</f>
        <v>120.02</v>
      </c>
      <c r="E1628" s="1">
        <f ca="1">IFERROR(__xludf.DUMMYFUNCTION("""COMPUTED_VALUE"""),120.11)</f>
        <v>120.11</v>
      </c>
      <c r="F1628" s="1">
        <f ca="1">IFERROR(__xludf.DUMMYFUNCTION("""COMPUTED_VALUE"""),2305760)</f>
        <v>2305760</v>
      </c>
    </row>
    <row r="1629" spans="1:6" x14ac:dyDescent="0.35">
      <c r="A1629" s="2">
        <f ca="1">IFERROR(__xludf.DUMMYFUNCTION("""COMPUTED_VALUE"""),44368.6666666666)</f>
        <v>44368.666666666599</v>
      </c>
      <c r="B1629" s="1">
        <f ca="1">IFERROR(__xludf.DUMMYFUNCTION("""COMPUTED_VALUE"""),120.5)</f>
        <v>120.5</v>
      </c>
      <c r="C1629" s="1">
        <f ca="1">IFERROR(__xludf.DUMMYFUNCTION("""COMPUTED_VALUE"""),122)</f>
        <v>122</v>
      </c>
      <c r="D1629" s="1">
        <f ca="1">IFERROR(__xludf.DUMMYFUNCTION("""COMPUTED_VALUE"""),119.9)</f>
        <v>119.9</v>
      </c>
      <c r="E1629" s="1">
        <f ca="1">IFERROR(__xludf.DUMMYFUNCTION("""COMPUTED_VALUE"""),121.81)</f>
        <v>121.81</v>
      </c>
      <c r="F1629" s="1">
        <f ca="1">IFERROR(__xludf.DUMMYFUNCTION("""COMPUTED_VALUE"""),1370683)</f>
        <v>1370683</v>
      </c>
    </row>
    <row r="1630" spans="1:6" x14ac:dyDescent="0.35">
      <c r="A1630" s="2">
        <f ca="1">IFERROR(__xludf.DUMMYFUNCTION("""COMPUTED_VALUE"""),44369.6666666666)</f>
        <v>44369.666666666599</v>
      </c>
      <c r="B1630" s="1">
        <f ca="1">IFERROR(__xludf.DUMMYFUNCTION("""COMPUTED_VALUE"""),121.75)</f>
        <v>121.75</v>
      </c>
      <c r="C1630" s="1">
        <f ca="1">IFERROR(__xludf.DUMMYFUNCTION("""COMPUTED_VALUE"""),122.4)</f>
        <v>122.4</v>
      </c>
      <c r="D1630" s="1">
        <f ca="1">IFERROR(__xludf.DUMMYFUNCTION("""COMPUTED_VALUE"""),121.06)</f>
        <v>121.06</v>
      </c>
      <c r="E1630" s="1">
        <f ca="1">IFERROR(__xludf.DUMMYFUNCTION("""COMPUTED_VALUE"""),122.33)</f>
        <v>122.33</v>
      </c>
      <c r="F1630" s="1">
        <f ca="1">IFERROR(__xludf.DUMMYFUNCTION("""COMPUTED_VALUE"""),1119510)</f>
        <v>1119510</v>
      </c>
    </row>
    <row r="1631" spans="1:6" x14ac:dyDescent="0.35">
      <c r="A1631" s="2">
        <f ca="1">IFERROR(__xludf.DUMMYFUNCTION("""COMPUTED_VALUE"""),44370.6666666666)</f>
        <v>44370.666666666599</v>
      </c>
      <c r="B1631" s="1">
        <f ca="1">IFERROR(__xludf.DUMMYFUNCTION("""COMPUTED_VALUE"""),122.09)</f>
        <v>122.09</v>
      </c>
      <c r="C1631" s="1">
        <f ca="1">IFERROR(__xludf.DUMMYFUNCTION("""COMPUTED_VALUE"""),123.1)</f>
        <v>123.1</v>
      </c>
      <c r="D1631" s="1">
        <f ca="1">IFERROR(__xludf.DUMMYFUNCTION("""COMPUTED_VALUE"""),121.83)</f>
        <v>121.83</v>
      </c>
      <c r="E1631" s="1">
        <f ca="1">IFERROR(__xludf.DUMMYFUNCTION("""COMPUTED_VALUE"""),122.13)</f>
        <v>122.13</v>
      </c>
      <c r="F1631" s="1">
        <f ca="1">IFERROR(__xludf.DUMMYFUNCTION("""COMPUTED_VALUE"""),957708)</f>
        <v>957708</v>
      </c>
    </row>
    <row r="1632" spans="1:6" x14ac:dyDescent="0.35">
      <c r="A1632" s="2">
        <f ca="1">IFERROR(__xludf.DUMMYFUNCTION("""COMPUTED_VALUE"""),44371.6666666666)</f>
        <v>44371.666666666599</v>
      </c>
      <c r="B1632" s="1">
        <f ca="1">IFERROR(__xludf.DUMMYFUNCTION("""COMPUTED_VALUE"""),122.7)</f>
        <v>122.7</v>
      </c>
      <c r="C1632" s="1">
        <f ca="1">IFERROR(__xludf.DUMMYFUNCTION("""COMPUTED_VALUE"""),123.06)</f>
        <v>123.06</v>
      </c>
      <c r="D1632" s="1">
        <f ca="1">IFERROR(__xludf.DUMMYFUNCTION("""COMPUTED_VALUE"""),122.3)</f>
        <v>122.3</v>
      </c>
      <c r="E1632" s="1">
        <f ca="1">IFERROR(__xludf.DUMMYFUNCTION("""COMPUTED_VALUE"""),122.5)</f>
        <v>122.5</v>
      </c>
      <c r="F1632" s="1">
        <f ca="1">IFERROR(__xludf.DUMMYFUNCTION("""COMPUTED_VALUE"""),1068257)</f>
        <v>1068257</v>
      </c>
    </row>
    <row r="1633" spans="1:6" x14ac:dyDescent="0.35">
      <c r="A1633" s="2">
        <f ca="1">IFERROR(__xludf.DUMMYFUNCTION("""COMPUTED_VALUE"""),44372.6666666666)</f>
        <v>44372.666666666599</v>
      </c>
      <c r="B1633" s="1">
        <f ca="1">IFERROR(__xludf.DUMMYFUNCTION("""COMPUTED_VALUE"""),122)</f>
        <v>122</v>
      </c>
      <c r="C1633" s="1">
        <f ca="1">IFERROR(__xludf.DUMMYFUNCTION("""COMPUTED_VALUE"""),122.63)</f>
        <v>122.63</v>
      </c>
      <c r="D1633" s="1">
        <f ca="1">IFERROR(__xludf.DUMMYFUNCTION("""COMPUTED_VALUE"""),121.57)</f>
        <v>121.57</v>
      </c>
      <c r="E1633" s="1">
        <f ca="1">IFERROR(__xludf.DUMMYFUNCTION("""COMPUTED_VALUE"""),122.51)</f>
        <v>122.51</v>
      </c>
      <c r="F1633" s="1">
        <f ca="1">IFERROR(__xludf.DUMMYFUNCTION("""COMPUTED_VALUE"""),1729819)</f>
        <v>1729819</v>
      </c>
    </row>
    <row r="1634" spans="1:6" x14ac:dyDescent="0.35">
      <c r="A1634" s="2">
        <f ca="1">IFERROR(__xludf.DUMMYFUNCTION("""COMPUTED_VALUE"""),44375.6666666666)</f>
        <v>44375.666666666599</v>
      </c>
      <c r="B1634" s="1">
        <f ca="1">IFERROR(__xludf.DUMMYFUNCTION("""COMPUTED_VALUE"""),122.68)</f>
        <v>122.68</v>
      </c>
      <c r="C1634" s="1">
        <f ca="1">IFERROR(__xludf.DUMMYFUNCTION("""COMPUTED_VALUE"""),122.78)</f>
        <v>122.78</v>
      </c>
      <c r="D1634" s="1">
        <f ca="1">IFERROR(__xludf.DUMMYFUNCTION("""COMPUTED_VALUE"""),121.41)</f>
        <v>121.41</v>
      </c>
      <c r="E1634" s="1">
        <f ca="1">IFERROR(__xludf.DUMMYFUNCTION("""COMPUTED_VALUE"""),122.54)</f>
        <v>122.54</v>
      </c>
      <c r="F1634" s="1">
        <f ca="1">IFERROR(__xludf.DUMMYFUNCTION("""COMPUTED_VALUE"""),1426271)</f>
        <v>1426271</v>
      </c>
    </row>
    <row r="1635" spans="1:6" x14ac:dyDescent="0.35">
      <c r="A1635" s="2">
        <f ca="1">IFERROR(__xludf.DUMMYFUNCTION("""COMPUTED_VALUE"""),44376.6666666666)</f>
        <v>44376.666666666599</v>
      </c>
      <c r="B1635" s="1">
        <f ca="1">IFERROR(__xludf.DUMMYFUNCTION("""COMPUTED_VALUE"""),122.67)</f>
        <v>122.67</v>
      </c>
      <c r="C1635" s="1">
        <f ca="1">IFERROR(__xludf.DUMMYFUNCTION("""COMPUTED_VALUE"""),123.02)</f>
        <v>123.02</v>
      </c>
      <c r="D1635" s="1">
        <f ca="1">IFERROR(__xludf.DUMMYFUNCTION("""COMPUTED_VALUE"""),121.69)</f>
        <v>121.69</v>
      </c>
      <c r="E1635" s="1">
        <f ca="1">IFERROR(__xludf.DUMMYFUNCTION("""COMPUTED_VALUE"""),122.27)</f>
        <v>122.27</v>
      </c>
      <c r="F1635" s="1">
        <f ca="1">IFERROR(__xludf.DUMMYFUNCTION("""COMPUTED_VALUE"""),1155436)</f>
        <v>1155436</v>
      </c>
    </row>
    <row r="1636" spans="1:6" x14ac:dyDescent="0.35">
      <c r="A1636" s="2">
        <f ca="1">IFERROR(__xludf.DUMMYFUNCTION("""COMPUTED_VALUE"""),44377.6666666666)</f>
        <v>44377.666666666599</v>
      </c>
      <c r="B1636" s="1">
        <f ca="1">IFERROR(__xludf.DUMMYFUNCTION("""COMPUTED_VALUE"""),121.99)</f>
        <v>121.99</v>
      </c>
      <c r="C1636" s="1">
        <f ca="1">IFERROR(__xludf.DUMMYFUNCTION("""COMPUTED_VALUE"""),122.26)</f>
        <v>122.26</v>
      </c>
      <c r="D1636" s="1">
        <f ca="1">IFERROR(__xludf.DUMMYFUNCTION("""COMPUTED_VALUE"""),121.35)</f>
        <v>121.35</v>
      </c>
      <c r="E1636" s="1">
        <f ca="1">IFERROR(__xludf.DUMMYFUNCTION("""COMPUTED_VALUE"""),122.09)</f>
        <v>122.09</v>
      </c>
      <c r="F1636" s="1">
        <f ca="1">IFERROR(__xludf.DUMMYFUNCTION("""COMPUTED_VALUE"""),1223699)</f>
        <v>1223699</v>
      </c>
    </row>
    <row r="1637" spans="1:6" x14ac:dyDescent="0.35">
      <c r="A1637" s="2">
        <f ca="1">IFERROR(__xludf.DUMMYFUNCTION("""COMPUTED_VALUE"""),44378.6666666666)</f>
        <v>44378.666666666599</v>
      </c>
      <c r="B1637" s="1">
        <f ca="1">IFERROR(__xludf.DUMMYFUNCTION("""COMPUTED_VALUE"""),121.73)</f>
        <v>121.73</v>
      </c>
      <c r="C1637" s="1">
        <f ca="1">IFERROR(__xludf.DUMMYFUNCTION("""COMPUTED_VALUE"""),122.59)</f>
        <v>122.59</v>
      </c>
      <c r="D1637" s="1">
        <f ca="1">IFERROR(__xludf.DUMMYFUNCTION("""COMPUTED_VALUE"""),121.53)</f>
        <v>121.53</v>
      </c>
      <c r="E1637" s="1">
        <f ca="1">IFERROR(__xludf.DUMMYFUNCTION("""COMPUTED_VALUE"""),122.44)</f>
        <v>122.44</v>
      </c>
      <c r="F1637" s="1">
        <f ca="1">IFERROR(__xludf.DUMMYFUNCTION("""COMPUTED_VALUE"""),905641)</f>
        <v>905641</v>
      </c>
    </row>
    <row r="1638" spans="1:6" x14ac:dyDescent="0.35">
      <c r="A1638" s="2">
        <f ca="1">IFERROR(__xludf.DUMMYFUNCTION("""COMPUTED_VALUE"""),44379.6666666666)</f>
        <v>44379.666666666599</v>
      </c>
      <c r="B1638" s="1">
        <f ca="1">IFERROR(__xludf.DUMMYFUNCTION("""COMPUTED_VALUE"""),123.15)</f>
        <v>123.15</v>
      </c>
      <c r="C1638" s="1">
        <f ca="1">IFERROR(__xludf.DUMMYFUNCTION("""COMPUTED_VALUE"""),125.4)</f>
        <v>125.4</v>
      </c>
      <c r="D1638" s="1">
        <f ca="1">IFERROR(__xludf.DUMMYFUNCTION("""COMPUTED_VALUE"""),123.06)</f>
        <v>123.06</v>
      </c>
      <c r="E1638" s="1">
        <f ca="1">IFERROR(__xludf.DUMMYFUNCTION("""COMPUTED_VALUE"""),125.26)</f>
        <v>125.26</v>
      </c>
      <c r="F1638" s="1">
        <f ca="1">IFERROR(__xludf.DUMMYFUNCTION("""COMPUTED_VALUE"""),1300109)</f>
        <v>1300109</v>
      </c>
    </row>
    <row r="1639" spans="1:6" x14ac:dyDescent="0.35">
      <c r="A1639" s="2">
        <f ca="1">IFERROR(__xludf.DUMMYFUNCTION("""COMPUTED_VALUE"""),44383.6666666666)</f>
        <v>44383.666666666599</v>
      </c>
      <c r="B1639" s="1">
        <f ca="1">IFERROR(__xludf.DUMMYFUNCTION("""COMPUTED_VALUE"""),125.65)</f>
        <v>125.65</v>
      </c>
      <c r="C1639" s="1">
        <f ca="1">IFERROR(__xludf.DUMMYFUNCTION("""COMPUTED_VALUE"""),126.43)</f>
        <v>126.43</v>
      </c>
      <c r="D1639" s="1">
        <f ca="1">IFERROR(__xludf.DUMMYFUNCTION("""COMPUTED_VALUE"""),124.58)</f>
        <v>124.58</v>
      </c>
      <c r="E1639" s="1">
        <f ca="1">IFERROR(__xludf.DUMMYFUNCTION("""COMPUTED_VALUE"""),126.19)</f>
        <v>126.19</v>
      </c>
      <c r="F1639" s="1">
        <f ca="1">IFERROR(__xludf.DUMMYFUNCTION("""COMPUTED_VALUE"""),1320179)</f>
        <v>1320179</v>
      </c>
    </row>
    <row r="1640" spans="1:6" x14ac:dyDescent="0.35">
      <c r="A1640" s="2">
        <f ca="1">IFERROR(__xludf.DUMMYFUNCTION("""COMPUTED_VALUE"""),44384.6666666666)</f>
        <v>44384.666666666599</v>
      </c>
      <c r="B1640" s="1">
        <f ca="1">IFERROR(__xludf.DUMMYFUNCTION("""COMPUTED_VALUE"""),127.16)</f>
        <v>127.16</v>
      </c>
      <c r="C1640" s="1">
        <f ca="1">IFERROR(__xludf.DUMMYFUNCTION("""COMPUTED_VALUE"""),127.28)</f>
        <v>127.28</v>
      </c>
      <c r="D1640" s="1">
        <f ca="1">IFERROR(__xludf.DUMMYFUNCTION("""COMPUTED_VALUE"""),126.15)</f>
        <v>126.15</v>
      </c>
      <c r="E1640" s="1">
        <f ca="1">IFERROR(__xludf.DUMMYFUNCTION("""COMPUTED_VALUE"""),126.47)</f>
        <v>126.47</v>
      </c>
      <c r="F1640" s="1">
        <f ca="1">IFERROR(__xludf.DUMMYFUNCTION("""COMPUTED_VALUE"""),1202951)</f>
        <v>1202951</v>
      </c>
    </row>
    <row r="1641" spans="1:6" x14ac:dyDescent="0.35">
      <c r="A1641" s="2">
        <f ca="1">IFERROR(__xludf.DUMMYFUNCTION("""COMPUTED_VALUE"""),44385.6666666666)</f>
        <v>44385.666666666599</v>
      </c>
      <c r="B1641" s="1">
        <f ca="1">IFERROR(__xludf.DUMMYFUNCTION("""COMPUTED_VALUE"""),124.03)</f>
        <v>124.03</v>
      </c>
      <c r="C1641" s="1">
        <f ca="1">IFERROR(__xludf.DUMMYFUNCTION("""COMPUTED_VALUE"""),125.6)</f>
        <v>125.6</v>
      </c>
      <c r="D1641" s="1">
        <f ca="1">IFERROR(__xludf.DUMMYFUNCTION("""COMPUTED_VALUE"""),124.02)</f>
        <v>124.02</v>
      </c>
      <c r="E1641" s="1">
        <f ca="1">IFERROR(__xludf.DUMMYFUNCTION("""COMPUTED_VALUE"""),125.04)</f>
        <v>125.04</v>
      </c>
      <c r="F1641" s="1">
        <f ca="1">IFERROR(__xludf.DUMMYFUNCTION("""COMPUTED_VALUE"""),1189467)</f>
        <v>1189467</v>
      </c>
    </row>
    <row r="1642" spans="1:6" x14ac:dyDescent="0.35">
      <c r="A1642" s="2">
        <f ca="1">IFERROR(__xludf.DUMMYFUNCTION("""COMPUTED_VALUE"""),44386.6666666666)</f>
        <v>44386.666666666599</v>
      </c>
      <c r="B1642" s="1">
        <f ca="1">IFERROR(__xludf.DUMMYFUNCTION("""COMPUTED_VALUE"""),125.03)</f>
        <v>125.03</v>
      </c>
      <c r="C1642" s="1">
        <f ca="1">IFERROR(__xludf.DUMMYFUNCTION("""COMPUTED_VALUE"""),125.73)</f>
        <v>125.73</v>
      </c>
      <c r="D1642" s="1">
        <f ca="1">IFERROR(__xludf.DUMMYFUNCTION("""COMPUTED_VALUE"""),124.55)</f>
        <v>124.55</v>
      </c>
      <c r="E1642" s="1">
        <f ca="1">IFERROR(__xludf.DUMMYFUNCTION("""COMPUTED_VALUE"""),125.52)</f>
        <v>125.52</v>
      </c>
      <c r="F1642" s="1">
        <f ca="1">IFERROR(__xludf.DUMMYFUNCTION("""COMPUTED_VALUE"""),931584)</f>
        <v>931584</v>
      </c>
    </row>
    <row r="1643" spans="1:6" x14ac:dyDescent="0.35">
      <c r="A1643" s="2">
        <f ca="1">IFERROR(__xludf.DUMMYFUNCTION("""COMPUTED_VALUE"""),44389.6666666666)</f>
        <v>44389.666666666599</v>
      </c>
      <c r="B1643" s="1">
        <f ca="1">IFERROR(__xludf.DUMMYFUNCTION("""COMPUTED_VALUE"""),126.18)</f>
        <v>126.18</v>
      </c>
      <c r="C1643" s="1">
        <f ca="1">IFERROR(__xludf.DUMMYFUNCTION("""COMPUTED_VALUE"""),127.07)</f>
        <v>127.07</v>
      </c>
      <c r="D1643" s="1">
        <f ca="1">IFERROR(__xludf.DUMMYFUNCTION("""COMPUTED_VALUE"""),125.61)</f>
        <v>125.61</v>
      </c>
      <c r="E1643" s="1">
        <f ca="1">IFERROR(__xludf.DUMMYFUNCTION("""COMPUTED_VALUE"""),126.98)</f>
        <v>126.98</v>
      </c>
      <c r="F1643" s="1">
        <f ca="1">IFERROR(__xludf.DUMMYFUNCTION("""COMPUTED_VALUE"""),883389)</f>
        <v>883389</v>
      </c>
    </row>
    <row r="1644" spans="1:6" x14ac:dyDescent="0.35">
      <c r="A1644" s="2">
        <f ca="1">IFERROR(__xludf.DUMMYFUNCTION("""COMPUTED_VALUE"""),44390.6666666666)</f>
        <v>44390.666666666599</v>
      </c>
      <c r="B1644" s="1">
        <f ca="1">IFERROR(__xludf.DUMMYFUNCTION("""COMPUTED_VALUE"""),127.04)</f>
        <v>127.04</v>
      </c>
      <c r="C1644" s="1">
        <f ca="1">IFERROR(__xludf.DUMMYFUNCTION("""COMPUTED_VALUE"""),128.06)</f>
        <v>128.06</v>
      </c>
      <c r="D1644" s="1">
        <f ca="1">IFERROR(__xludf.DUMMYFUNCTION("""COMPUTED_VALUE"""),126.67)</f>
        <v>126.67</v>
      </c>
      <c r="E1644" s="1">
        <f ca="1">IFERROR(__xludf.DUMMYFUNCTION("""COMPUTED_VALUE"""),127.34)</f>
        <v>127.34</v>
      </c>
      <c r="F1644" s="1">
        <f ca="1">IFERROR(__xludf.DUMMYFUNCTION("""COMPUTED_VALUE"""),962347)</f>
        <v>962347</v>
      </c>
    </row>
    <row r="1645" spans="1:6" x14ac:dyDescent="0.35">
      <c r="A1645" s="2">
        <f ca="1">IFERROR(__xludf.DUMMYFUNCTION("""COMPUTED_VALUE"""),44391.6666666666)</f>
        <v>44391.666666666599</v>
      </c>
      <c r="B1645" s="1">
        <f ca="1">IFERROR(__xludf.DUMMYFUNCTION("""COMPUTED_VALUE"""),127.96)</f>
        <v>127.96</v>
      </c>
      <c r="C1645" s="1">
        <f ca="1">IFERROR(__xludf.DUMMYFUNCTION("""COMPUTED_VALUE"""),129.33)</f>
        <v>129.33000000000001</v>
      </c>
      <c r="D1645" s="1">
        <f ca="1">IFERROR(__xludf.DUMMYFUNCTION("""COMPUTED_VALUE"""),127.91)</f>
        <v>127.91</v>
      </c>
      <c r="E1645" s="1">
        <f ca="1">IFERROR(__xludf.DUMMYFUNCTION("""COMPUTED_VALUE"""),128.24)</f>
        <v>128.24</v>
      </c>
      <c r="F1645" s="1">
        <f ca="1">IFERROR(__xludf.DUMMYFUNCTION("""COMPUTED_VALUE"""),1187283)</f>
        <v>1187283</v>
      </c>
    </row>
    <row r="1646" spans="1:6" x14ac:dyDescent="0.35">
      <c r="A1646" s="2">
        <f ca="1">IFERROR(__xludf.DUMMYFUNCTION("""COMPUTED_VALUE"""),44392.6666666666)</f>
        <v>44392.666666666599</v>
      </c>
      <c r="B1646" s="1">
        <f ca="1">IFERROR(__xludf.DUMMYFUNCTION("""COMPUTED_VALUE"""),128.65)</f>
        <v>128.65</v>
      </c>
      <c r="C1646" s="1">
        <f ca="1">IFERROR(__xludf.DUMMYFUNCTION("""COMPUTED_VALUE"""),128.7)</f>
        <v>128.69999999999999</v>
      </c>
      <c r="D1646" s="1">
        <f ca="1">IFERROR(__xludf.DUMMYFUNCTION("""COMPUTED_VALUE"""),126.53)</f>
        <v>126.53</v>
      </c>
      <c r="E1646" s="1">
        <f ca="1">IFERROR(__xludf.DUMMYFUNCTION("""COMPUTED_VALUE"""),127.01)</f>
        <v>127.01</v>
      </c>
      <c r="F1646" s="1">
        <f ca="1">IFERROR(__xludf.DUMMYFUNCTION("""COMPUTED_VALUE"""),1210940)</f>
        <v>1210940</v>
      </c>
    </row>
    <row r="1647" spans="1:6" x14ac:dyDescent="0.35">
      <c r="A1647" s="2">
        <f ca="1">IFERROR(__xludf.DUMMYFUNCTION("""COMPUTED_VALUE"""),44393.6666666666)</f>
        <v>44393.666666666599</v>
      </c>
      <c r="B1647" s="1">
        <f ca="1">IFERROR(__xludf.DUMMYFUNCTION("""COMPUTED_VALUE"""),127.66)</f>
        <v>127.66</v>
      </c>
      <c r="C1647" s="1">
        <f ca="1">IFERROR(__xludf.DUMMYFUNCTION("""COMPUTED_VALUE"""),127.81)</f>
        <v>127.81</v>
      </c>
      <c r="D1647" s="1">
        <f ca="1">IFERROR(__xludf.DUMMYFUNCTION("""COMPUTED_VALUE"""),126.15)</f>
        <v>126.15</v>
      </c>
      <c r="E1647" s="1">
        <f ca="1">IFERROR(__xludf.DUMMYFUNCTION("""COMPUTED_VALUE"""),126.97)</f>
        <v>126.97</v>
      </c>
      <c r="F1647" s="1">
        <f ca="1">IFERROR(__xludf.DUMMYFUNCTION("""COMPUTED_VALUE"""),1021227)</f>
        <v>1021227</v>
      </c>
    </row>
    <row r="1648" spans="1:6" x14ac:dyDescent="0.35">
      <c r="A1648" s="2">
        <f ca="1">IFERROR(__xludf.DUMMYFUNCTION("""COMPUTED_VALUE"""),44396.6666666666)</f>
        <v>44396.666666666599</v>
      </c>
      <c r="B1648" s="1">
        <f ca="1">IFERROR(__xludf.DUMMYFUNCTION("""COMPUTED_VALUE"""),126.09)</f>
        <v>126.09</v>
      </c>
      <c r="C1648" s="1">
        <f ca="1">IFERROR(__xludf.DUMMYFUNCTION("""COMPUTED_VALUE"""),126.21)</f>
        <v>126.21</v>
      </c>
      <c r="D1648" s="1">
        <f ca="1">IFERROR(__xludf.DUMMYFUNCTION("""COMPUTED_VALUE"""),123.51)</f>
        <v>123.51</v>
      </c>
      <c r="E1648" s="1">
        <f ca="1">IFERROR(__xludf.DUMMYFUNCTION("""COMPUTED_VALUE"""),124.58)</f>
        <v>124.58</v>
      </c>
      <c r="F1648" s="1">
        <f ca="1">IFERROR(__xludf.DUMMYFUNCTION("""COMPUTED_VALUE"""),1398379)</f>
        <v>1398379</v>
      </c>
    </row>
    <row r="1649" spans="1:6" x14ac:dyDescent="0.35">
      <c r="A1649" s="2">
        <f ca="1">IFERROR(__xludf.DUMMYFUNCTION("""COMPUTED_VALUE"""),44397.6666666666)</f>
        <v>44397.666666666599</v>
      </c>
      <c r="B1649" s="1">
        <f ca="1">IFERROR(__xludf.DUMMYFUNCTION("""COMPUTED_VALUE"""),125.53)</f>
        <v>125.53</v>
      </c>
      <c r="C1649" s="1">
        <f ca="1">IFERROR(__xludf.DUMMYFUNCTION("""COMPUTED_VALUE"""),127.04)</f>
        <v>127.04</v>
      </c>
      <c r="D1649" s="1">
        <f ca="1">IFERROR(__xludf.DUMMYFUNCTION("""COMPUTED_VALUE"""),124.35)</f>
        <v>124.35</v>
      </c>
      <c r="E1649" s="1">
        <f ca="1">IFERROR(__xludf.DUMMYFUNCTION("""COMPUTED_VALUE"""),126.21)</f>
        <v>126.21</v>
      </c>
      <c r="F1649" s="1">
        <f ca="1">IFERROR(__xludf.DUMMYFUNCTION("""COMPUTED_VALUE"""),1315822)</f>
        <v>1315822</v>
      </c>
    </row>
    <row r="1650" spans="1:6" x14ac:dyDescent="0.35">
      <c r="A1650" s="2">
        <f ca="1">IFERROR(__xludf.DUMMYFUNCTION("""COMPUTED_VALUE"""),44398.6666666666)</f>
        <v>44398.666666666599</v>
      </c>
      <c r="B1650" s="1">
        <f ca="1">IFERROR(__xludf.DUMMYFUNCTION("""COMPUTED_VALUE"""),126.13)</f>
        <v>126.13</v>
      </c>
      <c r="C1650" s="1">
        <f ca="1">IFERROR(__xludf.DUMMYFUNCTION("""COMPUTED_VALUE"""),127.6)</f>
        <v>127.6</v>
      </c>
      <c r="D1650" s="1">
        <f ca="1">IFERROR(__xludf.DUMMYFUNCTION("""COMPUTED_VALUE"""),126.02)</f>
        <v>126.02</v>
      </c>
      <c r="E1650" s="1">
        <f ca="1">IFERROR(__xludf.DUMMYFUNCTION("""COMPUTED_VALUE"""),127.55)</f>
        <v>127.55</v>
      </c>
      <c r="F1650" s="1">
        <f ca="1">IFERROR(__xludf.DUMMYFUNCTION("""COMPUTED_VALUE"""),1037309)</f>
        <v>1037309</v>
      </c>
    </row>
    <row r="1651" spans="1:6" x14ac:dyDescent="0.35">
      <c r="A1651" s="2">
        <f ca="1">IFERROR(__xludf.DUMMYFUNCTION("""COMPUTED_VALUE"""),44399.6666666666)</f>
        <v>44399.666666666599</v>
      </c>
      <c r="B1651" s="1">
        <f ca="1">IFERROR(__xludf.DUMMYFUNCTION("""COMPUTED_VALUE"""),127.84)</f>
        <v>127.84</v>
      </c>
      <c r="C1651" s="1">
        <f ca="1">IFERROR(__xludf.DUMMYFUNCTION("""COMPUTED_VALUE"""),128.48)</f>
        <v>128.47999999999999</v>
      </c>
      <c r="D1651" s="1">
        <f ca="1">IFERROR(__xludf.DUMMYFUNCTION("""COMPUTED_VALUE"""),127.5)</f>
        <v>127.5</v>
      </c>
      <c r="E1651" s="1">
        <f ca="1">IFERROR(__xludf.DUMMYFUNCTION("""COMPUTED_VALUE"""),128.42)</f>
        <v>128.41999999999999</v>
      </c>
      <c r="F1651" s="1">
        <f ca="1">IFERROR(__xludf.DUMMYFUNCTION("""COMPUTED_VALUE"""),715094)</f>
        <v>715094</v>
      </c>
    </row>
    <row r="1652" spans="1:6" x14ac:dyDescent="0.35">
      <c r="A1652" s="2">
        <f ca="1">IFERROR(__xludf.DUMMYFUNCTION("""COMPUTED_VALUE"""),44400.6666666666)</f>
        <v>44400.666666666599</v>
      </c>
      <c r="B1652" s="1">
        <f ca="1">IFERROR(__xludf.DUMMYFUNCTION("""COMPUTED_VALUE"""),130.43)</f>
        <v>130.43</v>
      </c>
      <c r="C1652" s="1">
        <f ca="1">IFERROR(__xludf.DUMMYFUNCTION("""COMPUTED_VALUE"""),133.4)</f>
        <v>133.4</v>
      </c>
      <c r="D1652" s="1">
        <f ca="1">IFERROR(__xludf.DUMMYFUNCTION("""COMPUTED_VALUE"""),129.8)</f>
        <v>129.80000000000001</v>
      </c>
      <c r="E1652" s="1">
        <f ca="1">IFERROR(__xludf.DUMMYFUNCTION("""COMPUTED_VALUE"""),133.01)</f>
        <v>133.01</v>
      </c>
      <c r="F1652" s="1">
        <f ca="1">IFERROR(__xludf.DUMMYFUNCTION("""COMPUTED_VALUE"""),2075321)</f>
        <v>2075321</v>
      </c>
    </row>
    <row r="1653" spans="1:6" x14ac:dyDescent="0.35">
      <c r="A1653" s="2">
        <f ca="1">IFERROR(__xludf.DUMMYFUNCTION("""COMPUTED_VALUE"""),44403.6666666666)</f>
        <v>44403.666666666599</v>
      </c>
      <c r="B1653" s="1">
        <f ca="1">IFERROR(__xludf.DUMMYFUNCTION("""COMPUTED_VALUE"""),133.33)</f>
        <v>133.33000000000001</v>
      </c>
      <c r="C1653" s="1">
        <f ca="1">IFERROR(__xludf.DUMMYFUNCTION("""COMPUTED_VALUE"""),134.24)</f>
        <v>134.24</v>
      </c>
      <c r="D1653" s="1">
        <f ca="1">IFERROR(__xludf.DUMMYFUNCTION("""COMPUTED_VALUE"""),132.3)</f>
        <v>132.30000000000001</v>
      </c>
      <c r="E1653" s="1">
        <f ca="1">IFERROR(__xludf.DUMMYFUNCTION("""COMPUTED_VALUE"""),134.04)</f>
        <v>134.04</v>
      </c>
      <c r="F1653" s="1">
        <f ca="1">IFERROR(__xludf.DUMMYFUNCTION("""COMPUTED_VALUE"""),1528574)</f>
        <v>1528574</v>
      </c>
    </row>
    <row r="1654" spans="1:6" x14ac:dyDescent="0.35">
      <c r="A1654" s="2">
        <f ca="1">IFERROR(__xludf.DUMMYFUNCTION("""COMPUTED_VALUE"""),44404.6666666666)</f>
        <v>44404.666666666599</v>
      </c>
      <c r="B1654" s="1">
        <f ca="1">IFERROR(__xludf.DUMMYFUNCTION("""COMPUTED_VALUE"""),134.25)</f>
        <v>134.25</v>
      </c>
      <c r="C1654" s="1">
        <f ca="1">IFERROR(__xludf.DUMMYFUNCTION("""COMPUTED_VALUE"""),134.4)</f>
        <v>134.4</v>
      </c>
      <c r="D1654" s="1">
        <f ca="1">IFERROR(__xludf.DUMMYFUNCTION("""COMPUTED_VALUE"""),130.1)</f>
        <v>130.1</v>
      </c>
      <c r="E1654" s="1">
        <f ca="1">IFERROR(__xludf.DUMMYFUNCTION("""COMPUTED_VALUE"""),131.9)</f>
        <v>131.9</v>
      </c>
      <c r="F1654" s="1">
        <f ca="1">IFERROR(__xludf.DUMMYFUNCTION("""COMPUTED_VALUE"""),2735474)</f>
        <v>2735474</v>
      </c>
    </row>
    <row r="1655" spans="1:6" x14ac:dyDescent="0.35">
      <c r="A1655" s="2">
        <f ca="1">IFERROR(__xludf.DUMMYFUNCTION("""COMPUTED_VALUE"""),44405.6666666666)</f>
        <v>44405.666666666599</v>
      </c>
      <c r="B1655" s="1">
        <f ca="1">IFERROR(__xludf.DUMMYFUNCTION("""COMPUTED_VALUE"""),136.31)</f>
        <v>136.31</v>
      </c>
      <c r="C1655" s="1">
        <f ca="1">IFERROR(__xludf.DUMMYFUNCTION("""COMPUTED_VALUE"""),138.3)</f>
        <v>138.30000000000001</v>
      </c>
      <c r="D1655" s="1">
        <f ca="1">IFERROR(__xludf.DUMMYFUNCTION("""COMPUTED_VALUE"""),135.28)</f>
        <v>135.28</v>
      </c>
      <c r="E1655" s="1">
        <f ca="1">IFERROR(__xludf.DUMMYFUNCTION("""COMPUTED_VALUE"""),136.09)</f>
        <v>136.09</v>
      </c>
      <c r="F1655" s="1">
        <f ca="1">IFERROR(__xludf.DUMMYFUNCTION("""COMPUTED_VALUE"""),4756530)</f>
        <v>4756530</v>
      </c>
    </row>
    <row r="1656" spans="1:6" x14ac:dyDescent="0.35">
      <c r="A1656" s="2">
        <f ca="1">IFERROR(__xludf.DUMMYFUNCTION("""COMPUTED_VALUE"""),44406.6666666666)</f>
        <v>44406.666666666599</v>
      </c>
      <c r="B1656" s="1">
        <f ca="1">IFERROR(__xludf.DUMMYFUNCTION("""COMPUTED_VALUE"""),136.15)</f>
        <v>136.15</v>
      </c>
      <c r="C1656" s="1">
        <f ca="1">IFERROR(__xludf.DUMMYFUNCTION("""COMPUTED_VALUE"""),136.66)</f>
        <v>136.66</v>
      </c>
      <c r="D1656" s="1">
        <f ca="1">IFERROR(__xludf.DUMMYFUNCTION("""COMPUTED_VALUE"""),135.54)</f>
        <v>135.54</v>
      </c>
      <c r="E1656" s="1">
        <f ca="1">IFERROR(__xludf.DUMMYFUNCTION("""COMPUTED_VALUE"""),135.78)</f>
        <v>135.78</v>
      </c>
      <c r="F1656" s="1">
        <f ca="1">IFERROR(__xludf.DUMMYFUNCTION("""COMPUTED_VALUE"""),1585786)</f>
        <v>1585786</v>
      </c>
    </row>
    <row r="1657" spans="1:6" x14ac:dyDescent="0.35">
      <c r="A1657" s="2">
        <f ca="1">IFERROR(__xludf.DUMMYFUNCTION("""COMPUTED_VALUE"""),44407.6666666666)</f>
        <v>44407.666666666599</v>
      </c>
      <c r="B1657" s="1">
        <f ca="1">IFERROR(__xludf.DUMMYFUNCTION("""COMPUTED_VALUE"""),135.04)</f>
        <v>135.04</v>
      </c>
      <c r="C1657" s="1">
        <f ca="1">IFERROR(__xludf.DUMMYFUNCTION("""COMPUTED_VALUE"""),135.3)</f>
        <v>135.30000000000001</v>
      </c>
      <c r="D1657" s="1">
        <f ca="1">IFERROR(__xludf.DUMMYFUNCTION("""COMPUTED_VALUE"""),134.26)</f>
        <v>134.26</v>
      </c>
      <c r="E1657" s="1">
        <f ca="1">IFERROR(__xludf.DUMMYFUNCTION("""COMPUTED_VALUE"""),134.73)</f>
        <v>134.72999999999999</v>
      </c>
      <c r="F1657" s="1">
        <f ca="1">IFERROR(__xludf.DUMMYFUNCTION("""COMPUTED_VALUE"""),1278789)</f>
        <v>1278789</v>
      </c>
    </row>
    <row r="1658" spans="1:6" x14ac:dyDescent="0.35">
      <c r="A1658" s="2">
        <f ca="1">IFERROR(__xludf.DUMMYFUNCTION("""COMPUTED_VALUE"""),44410.6666666666)</f>
        <v>44410.666666666599</v>
      </c>
      <c r="B1658" s="1">
        <f ca="1">IFERROR(__xludf.DUMMYFUNCTION("""COMPUTED_VALUE"""),135.12)</f>
        <v>135.12</v>
      </c>
      <c r="C1658" s="1">
        <f ca="1">IFERROR(__xludf.DUMMYFUNCTION("""COMPUTED_VALUE"""),135.34)</f>
        <v>135.34</v>
      </c>
      <c r="D1658" s="1">
        <f ca="1">IFERROR(__xludf.DUMMYFUNCTION("""COMPUTED_VALUE"""),133.79)</f>
        <v>133.79</v>
      </c>
      <c r="E1658" s="1">
        <f ca="1">IFERROR(__xludf.DUMMYFUNCTION("""COMPUTED_VALUE"""),134.85)</f>
        <v>134.85</v>
      </c>
      <c r="F1658" s="1">
        <f ca="1">IFERROR(__xludf.DUMMYFUNCTION("""COMPUTED_VALUE"""),1081710)</f>
        <v>1081710</v>
      </c>
    </row>
    <row r="1659" spans="1:6" x14ac:dyDescent="0.35">
      <c r="A1659" s="2">
        <f ca="1">IFERROR(__xludf.DUMMYFUNCTION("""COMPUTED_VALUE"""),44411.6666666666)</f>
        <v>44411.666666666599</v>
      </c>
      <c r="B1659" s="1">
        <f ca="1">IFERROR(__xludf.DUMMYFUNCTION("""COMPUTED_VALUE"""),135.14)</f>
        <v>135.13999999999999</v>
      </c>
      <c r="C1659" s="1">
        <f ca="1">IFERROR(__xludf.DUMMYFUNCTION("""COMPUTED_VALUE"""),135.73)</f>
        <v>135.72999999999999</v>
      </c>
      <c r="D1659" s="1">
        <f ca="1">IFERROR(__xludf.DUMMYFUNCTION("""COMPUTED_VALUE"""),133.32)</f>
        <v>133.32</v>
      </c>
      <c r="E1659" s="1">
        <f ca="1">IFERROR(__xludf.DUMMYFUNCTION("""COMPUTED_VALUE"""),135.63)</f>
        <v>135.63</v>
      </c>
      <c r="F1659" s="1">
        <f ca="1">IFERROR(__xludf.DUMMYFUNCTION("""COMPUTED_VALUE"""),1038094)</f>
        <v>1038094</v>
      </c>
    </row>
    <row r="1660" spans="1:6" x14ac:dyDescent="0.35">
      <c r="A1660" s="2">
        <f ca="1">IFERROR(__xludf.DUMMYFUNCTION("""COMPUTED_VALUE"""),44412.6666666666)</f>
        <v>44412.666666666599</v>
      </c>
      <c r="B1660" s="1">
        <f ca="1">IFERROR(__xludf.DUMMYFUNCTION("""COMPUTED_VALUE"""),135.35)</f>
        <v>135.35</v>
      </c>
      <c r="C1660" s="1">
        <f ca="1">IFERROR(__xludf.DUMMYFUNCTION("""COMPUTED_VALUE"""),135.65)</f>
        <v>135.65</v>
      </c>
      <c r="D1660" s="1">
        <f ca="1">IFERROR(__xludf.DUMMYFUNCTION("""COMPUTED_VALUE"""),134.49)</f>
        <v>134.49</v>
      </c>
      <c r="E1660" s="1">
        <f ca="1">IFERROR(__xludf.DUMMYFUNCTION("""COMPUTED_VALUE"""),135.13)</f>
        <v>135.13</v>
      </c>
      <c r="F1660" s="1">
        <f ca="1">IFERROR(__xludf.DUMMYFUNCTION("""COMPUTED_VALUE"""),983801)</f>
        <v>983801</v>
      </c>
    </row>
    <row r="1661" spans="1:6" x14ac:dyDescent="0.35">
      <c r="A1661" s="2">
        <f ca="1">IFERROR(__xludf.DUMMYFUNCTION("""COMPUTED_VALUE"""),44413.6666666666)</f>
        <v>44413.666666666599</v>
      </c>
      <c r="B1661" s="1">
        <f ca="1">IFERROR(__xludf.DUMMYFUNCTION("""COMPUTED_VALUE"""),135.68)</f>
        <v>135.68</v>
      </c>
      <c r="C1661" s="1">
        <f ca="1">IFERROR(__xludf.DUMMYFUNCTION("""COMPUTED_VALUE"""),136.35)</f>
        <v>136.35</v>
      </c>
      <c r="D1661" s="1">
        <f ca="1">IFERROR(__xludf.DUMMYFUNCTION("""COMPUTED_VALUE"""),134.85)</f>
        <v>134.85</v>
      </c>
      <c r="E1661" s="1">
        <f ca="1">IFERROR(__xludf.DUMMYFUNCTION("""COMPUTED_VALUE"""),136.25)</f>
        <v>136.25</v>
      </c>
      <c r="F1661" s="1">
        <f ca="1">IFERROR(__xludf.DUMMYFUNCTION("""COMPUTED_VALUE"""),893450)</f>
        <v>893450</v>
      </c>
    </row>
    <row r="1662" spans="1:6" x14ac:dyDescent="0.35">
      <c r="A1662" s="2">
        <f ca="1">IFERROR(__xludf.DUMMYFUNCTION("""COMPUTED_VALUE"""),44414.6666666666)</f>
        <v>44414.666666666599</v>
      </c>
      <c r="B1662" s="1">
        <f ca="1">IFERROR(__xludf.DUMMYFUNCTION("""COMPUTED_VALUE"""),136.04)</f>
        <v>136.04</v>
      </c>
      <c r="C1662" s="1">
        <f ca="1">IFERROR(__xludf.DUMMYFUNCTION("""COMPUTED_VALUE"""),136.47)</f>
        <v>136.47</v>
      </c>
      <c r="D1662" s="1">
        <f ca="1">IFERROR(__xludf.DUMMYFUNCTION("""COMPUTED_VALUE"""),135.21)</f>
        <v>135.21</v>
      </c>
      <c r="E1662" s="1">
        <f ca="1">IFERROR(__xludf.DUMMYFUNCTION("""COMPUTED_VALUE"""),135.74)</f>
        <v>135.74</v>
      </c>
      <c r="F1662" s="1">
        <f ca="1">IFERROR(__xludf.DUMMYFUNCTION("""COMPUTED_VALUE"""),1024406)</f>
        <v>1024406</v>
      </c>
    </row>
    <row r="1663" spans="1:6" x14ac:dyDescent="0.35">
      <c r="A1663" s="2">
        <f ca="1">IFERROR(__xludf.DUMMYFUNCTION("""COMPUTED_VALUE"""),44417.6666666666)</f>
        <v>44417.666666666599</v>
      </c>
      <c r="B1663" s="1">
        <f ca="1">IFERROR(__xludf.DUMMYFUNCTION("""COMPUTED_VALUE"""),135.94)</f>
        <v>135.94</v>
      </c>
      <c r="C1663" s="1">
        <f ca="1">IFERROR(__xludf.DUMMYFUNCTION("""COMPUTED_VALUE"""),137.18)</f>
        <v>137.18</v>
      </c>
      <c r="D1663" s="1">
        <f ca="1">IFERROR(__xludf.DUMMYFUNCTION("""COMPUTED_VALUE"""),135.34)</f>
        <v>135.34</v>
      </c>
      <c r="E1663" s="1">
        <f ca="1">IFERROR(__xludf.DUMMYFUNCTION("""COMPUTED_VALUE"""),136.91)</f>
        <v>136.91</v>
      </c>
      <c r="F1663" s="1">
        <f ca="1">IFERROR(__xludf.DUMMYFUNCTION("""COMPUTED_VALUE"""),888300)</f>
        <v>888300</v>
      </c>
    </row>
    <row r="1664" spans="1:6" x14ac:dyDescent="0.35">
      <c r="A1664" s="2">
        <f ca="1">IFERROR(__xludf.DUMMYFUNCTION("""COMPUTED_VALUE"""),44418.6666666666)</f>
        <v>44418.666666666599</v>
      </c>
      <c r="B1664" s="1">
        <f ca="1">IFERROR(__xludf.DUMMYFUNCTION("""COMPUTED_VALUE"""),137.34)</f>
        <v>137.34</v>
      </c>
      <c r="C1664" s="1">
        <f ca="1">IFERROR(__xludf.DUMMYFUNCTION("""COMPUTED_VALUE"""),137.77)</f>
        <v>137.77000000000001</v>
      </c>
      <c r="D1664" s="1">
        <f ca="1">IFERROR(__xludf.DUMMYFUNCTION("""COMPUTED_VALUE"""),136.36)</f>
        <v>136.36000000000001</v>
      </c>
      <c r="E1664" s="1">
        <f ca="1">IFERROR(__xludf.DUMMYFUNCTION("""COMPUTED_VALUE"""),136.81)</f>
        <v>136.81</v>
      </c>
      <c r="F1664" s="1">
        <f ca="1">IFERROR(__xludf.DUMMYFUNCTION("""COMPUTED_VALUE"""),970704)</f>
        <v>970704</v>
      </c>
    </row>
    <row r="1665" spans="1:6" x14ac:dyDescent="0.35">
      <c r="A1665" s="2">
        <f ca="1">IFERROR(__xludf.DUMMYFUNCTION("""COMPUTED_VALUE"""),44419.6666666666)</f>
        <v>44419.666666666599</v>
      </c>
      <c r="B1665" s="1">
        <f ca="1">IFERROR(__xludf.DUMMYFUNCTION("""COMPUTED_VALUE"""),137.18)</f>
        <v>137.18</v>
      </c>
      <c r="C1665" s="1">
        <f ca="1">IFERROR(__xludf.DUMMYFUNCTION("""COMPUTED_VALUE"""),137.68)</f>
        <v>137.68</v>
      </c>
      <c r="D1665" s="1">
        <f ca="1">IFERROR(__xludf.DUMMYFUNCTION("""COMPUTED_VALUE"""),136.27)</f>
        <v>136.27000000000001</v>
      </c>
      <c r="E1665" s="1">
        <f ca="1">IFERROR(__xludf.DUMMYFUNCTION("""COMPUTED_VALUE"""),136.28)</f>
        <v>136.28</v>
      </c>
      <c r="F1665" s="1">
        <f ca="1">IFERROR(__xludf.DUMMYFUNCTION("""COMPUTED_VALUE"""),767600)</f>
        <v>767600</v>
      </c>
    </row>
    <row r="1666" spans="1:6" x14ac:dyDescent="0.35">
      <c r="A1666" s="2">
        <f ca="1">IFERROR(__xludf.DUMMYFUNCTION("""COMPUTED_VALUE"""),44420.6666666666)</f>
        <v>44420.666666666599</v>
      </c>
      <c r="B1666" s="1">
        <f ca="1">IFERROR(__xludf.DUMMYFUNCTION("""COMPUTED_VALUE"""),135.98)</f>
        <v>135.97999999999999</v>
      </c>
      <c r="C1666" s="1">
        <f ca="1">IFERROR(__xludf.DUMMYFUNCTION("""COMPUTED_VALUE"""),137.3)</f>
        <v>137.30000000000001</v>
      </c>
      <c r="D1666" s="1">
        <f ca="1">IFERROR(__xludf.DUMMYFUNCTION("""COMPUTED_VALUE"""),135.43)</f>
        <v>135.43</v>
      </c>
      <c r="E1666" s="1">
        <f ca="1">IFERROR(__xludf.DUMMYFUNCTION("""COMPUTED_VALUE"""),137.19)</f>
        <v>137.19</v>
      </c>
      <c r="F1666" s="1">
        <f ca="1">IFERROR(__xludf.DUMMYFUNCTION("""COMPUTED_VALUE"""),825943)</f>
        <v>825943</v>
      </c>
    </row>
    <row r="1667" spans="1:6" x14ac:dyDescent="0.35">
      <c r="A1667" s="2">
        <f ca="1">IFERROR(__xludf.DUMMYFUNCTION("""COMPUTED_VALUE"""),44421.6666666666)</f>
        <v>44421.666666666599</v>
      </c>
      <c r="B1667" s="1">
        <f ca="1">IFERROR(__xludf.DUMMYFUNCTION("""COMPUTED_VALUE"""),137.25)</f>
        <v>137.25</v>
      </c>
      <c r="C1667" s="1">
        <f ca="1">IFERROR(__xludf.DUMMYFUNCTION("""COMPUTED_VALUE"""),137.86)</f>
        <v>137.86000000000001</v>
      </c>
      <c r="D1667" s="1">
        <f ca="1">IFERROR(__xludf.DUMMYFUNCTION("""COMPUTED_VALUE"""),137.03)</f>
        <v>137.03</v>
      </c>
      <c r="E1667" s="1">
        <f ca="1">IFERROR(__xludf.DUMMYFUNCTION("""COMPUTED_VALUE"""),137.73)</f>
        <v>137.72999999999999</v>
      </c>
      <c r="F1667" s="1">
        <f ca="1">IFERROR(__xludf.DUMMYFUNCTION("""COMPUTED_VALUE"""),797372)</f>
        <v>797372</v>
      </c>
    </row>
    <row r="1668" spans="1:6" x14ac:dyDescent="0.35">
      <c r="A1668" s="2">
        <f ca="1">IFERROR(__xludf.DUMMYFUNCTION("""COMPUTED_VALUE"""),44424.6666666666)</f>
        <v>44424.666666666599</v>
      </c>
      <c r="B1668" s="1">
        <f ca="1">IFERROR(__xludf.DUMMYFUNCTION("""COMPUTED_VALUE"""),137.52)</f>
        <v>137.52000000000001</v>
      </c>
      <c r="C1668" s="1">
        <f ca="1">IFERROR(__xludf.DUMMYFUNCTION("""COMPUTED_VALUE"""),138.36)</f>
        <v>138.36000000000001</v>
      </c>
      <c r="D1668" s="1">
        <f ca="1">IFERROR(__xludf.DUMMYFUNCTION("""COMPUTED_VALUE"""),135.3)</f>
        <v>135.30000000000001</v>
      </c>
      <c r="E1668" s="1">
        <f ca="1">IFERROR(__xludf.DUMMYFUNCTION("""COMPUTED_VALUE"""),138.31)</f>
        <v>138.31</v>
      </c>
      <c r="F1668" s="1">
        <f ca="1">IFERROR(__xludf.DUMMYFUNCTION("""COMPUTED_VALUE"""),1119918)</f>
        <v>1119918</v>
      </c>
    </row>
    <row r="1669" spans="1:6" x14ac:dyDescent="0.35">
      <c r="A1669" s="2">
        <f ca="1">IFERROR(__xludf.DUMMYFUNCTION("""COMPUTED_VALUE"""),44425.6666666666)</f>
        <v>44425.666666666599</v>
      </c>
      <c r="B1669" s="1">
        <f ca="1">IFERROR(__xludf.DUMMYFUNCTION("""COMPUTED_VALUE"""),137.75)</f>
        <v>137.75</v>
      </c>
      <c r="C1669" s="1">
        <f ca="1">IFERROR(__xludf.DUMMYFUNCTION("""COMPUTED_VALUE"""),138.27)</f>
        <v>138.27000000000001</v>
      </c>
      <c r="D1669" s="1">
        <f ca="1">IFERROR(__xludf.DUMMYFUNCTION("""COMPUTED_VALUE"""),136.08)</f>
        <v>136.08000000000001</v>
      </c>
      <c r="E1669" s="1">
        <f ca="1">IFERROR(__xludf.DUMMYFUNCTION("""COMPUTED_VALUE"""),136.66)</f>
        <v>136.66</v>
      </c>
      <c r="F1669" s="1">
        <f ca="1">IFERROR(__xludf.DUMMYFUNCTION("""COMPUTED_VALUE"""),1085760)</f>
        <v>1085760</v>
      </c>
    </row>
    <row r="1670" spans="1:6" x14ac:dyDescent="0.35">
      <c r="A1670" s="2">
        <f ca="1">IFERROR(__xludf.DUMMYFUNCTION("""COMPUTED_VALUE"""),44426.6666666666)</f>
        <v>44426.666666666599</v>
      </c>
      <c r="B1670" s="1">
        <f ca="1">IFERROR(__xludf.DUMMYFUNCTION("""COMPUTED_VALUE"""),136.5)</f>
        <v>136.5</v>
      </c>
      <c r="C1670" s="1">
        <f ca="1">IFERROR(__xludf.DUMMYFUNCTION("""COMPUTED_VALUE"""),137.1)</f>
        <v>137.1</v>
      </c>
      <c r="D1670" s="1">
        <f ca="1">IFERROR(__xludf.DUMMYFUNCTION("""COMPUTED_VALUE"""),135.32)</f>
        <v>135.32</v>
      </c>
      <c r="E1670" s="1">
        <f ca="1">IFERROR(__xludf.DUMMYFUNCTION("""COMPUTED_VALUE"""),135.45)</f>
        <v>135.44999999999999</v>
      </c>
      <c r="F1670" s="1">
        <f ca="1">IFERROR(__xludf.DUMMYFUNCTION("""COMPUTED_VALUE"""),962947)</f>
        <v>962947</v>
      </c>
    </row>
    <row r="1671" spans="1:6" x14ac:dyDescent="0.35">
      <c r="A1671" s="2">
        <f ca="1">IFERROR(__xludf.DUMMYFUNCTION("""COMPUTED_VALUE"""),44427.6666666666)</f>
        <v>44427.666666666599</v>
      </c>
      <c r="B1671" s="1">
        <f ca="1">IFERROR(__xludf.DUMMYFUNCTION("""COMPUTED_VALUE"""),134.44)</f>
        <v>134.44</v>
      </c>
      <c r="C1671" s="1">
        <f ca="1">IFERROR(__xludf.DUMMYFUNCTION("""COMPUTED_VALUE"""),136.35)</f>
        <v>136.35</v>
      </c>
      <c r="D1671" s="1">
        <f ca="1">IFERROR(__xludf.DUMMYFUNCTION("""COMPUTED_VALUE"""),134.25)</f>
        <v>134.25</v>
      </c>
      <c r="E1671" s="1">
        <f ca="1">IFERROR(__xludf.DUMMYFUNCTION("""COMPUTED_VALUE"""),135.68)</f>
        <v>135.68</v>
      </c>
      <c r="F1671" s="1">
        <f ca="1">IFERROR(__xludf.DUMMYFUNCTION("""COMPUTED_VALUE"""),1089127)</f>
        <v>1089127</v>
      </c>
    </row>
    <row r="1672" spans="1:6" x14ac:dyDescent="0.35">
      <c r="A1672" s="2">
        <f ca="1">IFERROR(__xludf.DUMMYFUNCTION("""COMPUTED_VALUE"""),44428.6666666666)</f>
        <v>44428.666666666599</v>
      </c>
      <c r="B1672" s="1">
        <f ca="1">IFERROR(__xludf.DUMMYFUNCTION("""COMPUTED_VALUE"""),136)</f>
        <v>136</v>
      </c>
      <c r="C1672" s="1">
        <f ca="1">IFERROR(__xludf.DUMMYFUNCTION("""COMPUTED_VALUE"""),137.55)</f>
        <v>137.55000000000001</v>
      </c>
      <c r="D1672" s="1">
        <f ca="1">IFERROR(__xludf.DUMMYFUNCTION("""COMPUTED_VALUE"""),135.25)</f>
        <v>135.25</v>
      </c>
      <c r="E1672" s="1">
        <f ca="1">IFERROR(__xludf.DUMMYFUNCTION("""COMPUTED_VALUE"""),137.43)</f>
        <v>137.43</v>
      </c>
      <c r="F1672" s="1">
        <f ca="1">IFERROR(__xludf.DUMMYFUNCTION("""COMPUTED_VALUE"""),1559658)</f>
        <v>1559658</v>
      </c>
    </row>
    <row r="1673" spans="1:6" x14ac:dyDescent="0.35">
      <c r="A1673" s="2">
        <f ca="1">IFERROR(__xludf.DUMMYFUNCTION("""COMPUTED_VALUE"""),44431.6666666666)</f>
        <v>44431.666666666599</v>
      </c>
      <c r="B1673" s="1">
        <f ca="1">IFERROR(__xludf.DUMMYFUNCTION("""COMPUTED_VALUE"""),137.97)</f>
        <v>137.97</v>
      </c>
      <c r="C1673" s="1">
        <f ca="1">IFERROR(__xludf.DUMMYFUNCTION("""COMPUTED_VALUE"""),140.87)</f>
        <v>140.87</v>
      </c>
      <c r="D1673" s="1">
        <f ca="1">IFERROR(__xludf.DUMMYFUNCTION("""COMPUTED_VALUE"""),137.61)</f>
        <v>137.61000000000001</v>
      </c>
      <c r="E1673" s="1">
        <f ca="1">IFERROR(__xludf.DUMMYFUNCTION("""COMPUTED_VALUE"""),140.04)</f>
        <v>140.04</v>
      </c>
      <c r="F1673" s="1">
        <f ca="1">IFERROR(__xludf.DUMMYFUNCTION("""COMPUTED_VALUE"""),1422670)</f>
        <v>1422670</v>
      </c>
    </row>
    <row r="1674" spans="1:6" x14ac:dyDescent="0.35">
      <c r="A1674" s="2">
        <f ca="1">IFERROR(__xludf.DUMMYFUNCTION("""COMPUTED_VALUE"""),44432.6666666666)</f>
        <v>44432.666666666599</v>
      </c>
      <c r="B1674" s="1">
        <f ca="1">IFERROR(__xludf.DUMMYFUNCTION("""COMPUTED_VALUE"""),140.61)</f>
        <v>140.61000000000001</v>
      </c>
      <c r="C1674" s="1">
        <f ca="1">IFERROR(__xludf.DUMMYFUNCTION("""COMPUTED_VALUE"""),142.08)</f>
        <v>142.08000000000001</v>
      </c>
      <c r="D1674" s="1">
        <f ca="1">IFERROR(__xludf.DUMMYFUNCTION("""COMPUTED_VALUE"""),140.34)</f>
        <v>140.34</v>
      </c>
      <c r="E1674" s="1">
        <f ca="1">IFERROR(__xludf.DUMMYFUNCTION("""COMPUTED_VALUE"""),141.26)</f>
        <v>141.26</v>
      </c>
      <c r="F1674" s="1">
        <f ca="1">IFERROR(__xludf.DUMMYFUNCTION("""COMPUTED_VALUE"""),963361)</f>
        <v>963361</v>
      </c>
    </row>
    <row r="1675" spans="1:6" x14ac:dyDescent="0.35">
      <c r="A1675" s="2">
        <f ca="1">IFERROR(__xludf.DUMMYFUNCTION("""COMPUTED_VALUE"""),44433.6666666666)</f>
        <v>44433.666666666599</v>
      </c>
      <c r="B1675" s="1">
        <f ca="1">IFERROR(__xludf.DUMMYFUNCTION("""COMPUTED_VALUE"""),141.63)</f>
        <v>141.63</v>
      </c>
      <c r="C1675" s="1">
        <f ca="1">IFERROR(__xludf.DUMMYFUNCTION("""COMPUTED_VALUE"""),142.19)</f>
        <v>142.19</v>
      </c>
      <c r="D1675" s="1">
        <f ca="1">IFERROR(__xludf.DUMMYFUNCTION("""COMPUTED_VALUE"""),141.38)</f>
        <v>141.38</v>
      </c>
      <c r="E1675" s="1">
        <f ca="1">IFERROR(__xludf.DUMMYFUNCTION("""COMPUTED_VALUE"""),142.08)</f>
        <v>142.08000000000001</v>
      </c>
      <c r="F1675" s="1">
        <f ca="1">IFERROR(__xludf.DUMMYFUNCTION("""COMPUTED_VALUE"""),792574)</f>
        <v>792574</v>
      </c>
    </row>
    <row r="1676" spans="1:6" x14ac:dyDescent="0.35">
      <c r="A1676" s="2">
        <f ca="1">IFERROR(__xludf.DUMMYFUNCTION("""COMPUTED_VALUE"""),44434.6666666666)</f>
        <v>44434.666666666599</v>
      </c>
      <c r="B1676" s="1">
        <f ca="1">IFERROR(__xludf.DUMMYFUNCTION("""COMPUTED_VALUE"""),141.75)</f>
        <v>141.75</v>
      </c>
      <c r="C1676" s="1">
        <f ca="1">IFERROR(__xludf.DUMMYFUNCTION("""COMPUTED_VALUE"""),142.42)</f>
        <v>142.41999999999999</v>
      </c>
      <c r="D1676" s="1">
        <f ca="1">IFERROR(__xludf.DUMMYFUNCTION("""COMPUTED_VALUE"""),141.36)</f>
        <v>141.36000000000001</v>
      </c>
      <c r="E1676" s="1">
        <f ca="1">IFERROR(__xludf.DUMMYFUNCTION("""COMPUTED_VALUE"""),141.44)</f>
        <v>141.44</v>
      </c>
      <c r="F1676" s="1">
        <f ca="1">IFERROR(__xludf.DUMMYFUNCTION("""COMPUTED_VALUE"""),1030466)</f>
        <v>1030466</v>
      </c>
    </row>
    <row r="1677" spans="1:6" x14ac:dyDescent="0.35">
      <c r="A1677" s="2">
        <f ca="1">IFERROR(__xludf.DUMMYFUNCTION("""COMPUTED_VALUE"""),44435.6666666666)</f>
        <v>44435.666666666599</v>
      </c>
      <c r="B1677" s="1">
        <f ca="1">IFERROR(__xludf.DUMMYFUNCTION("""COMPUTED_VALUE"""),141.65)</f>
        <v>141.65</v>
      </c>
      <c r="C1677" s="1">
        <f ca="1">IFERROR(__xludf.DUMMYFUNCTION("""COMPUTED_VALUE"""),144.51)</f>
        <v>144.51</v>
      </c>
      <c r="D1677" s="1">
        <f ca="1">IFERROR(__xludf.DUMMYFUNCTION("""COMPUTED_VALUE"""),141.5)</f>
        <v>141.5</v>
      </c>
      <c r="E1677" s="1">
        <f ca="1">IFERROR(__xludf.DUMMYFUNCTION("""COMPUTED_VALUE"""),144)</f>
        <v>144</v>
      </c>
      <c r="F1677" s="1">
        <f ca="1">IFERROR(__xludf.DUMMYFUNCTION("""COMPUTED_VALUE"""),1439010)</f>
        <v>1439010</v>
      </c>
    </row>
    <row r="1678" spans="1:6" x14ac:dyDescent="0.35">
      <c r="A1678" s="2">
        <f ca="1">IFERROR(__xludf.DUMMYFUNCTION("""COMPUTED_VALUE"""),44438.6666666666)</f>
        <v>44438.666666666599</v>
      </c>
      <c r="B1678" s="1">
        <f ca="1">IFERROR(__xludf.DUMMYFUNCTION("""COMPUTED_VALUE"""),144.4)</f>
        <v>144.4</v>
      </c>
      <c r="C1678" s="1">
        <f ca="1">IFERROR(__xludf.DUMMYFUNCTION("""COMPUTED_VALUE"""),145.97)</f>
        <v>145.97</v>
      </c>
      <c r="D1678" s="1">
        <f ca="1">IFERROR(__xludf.DUMMYFUNCTION("""COMPUTED_VALUE"""),144.16)</f>
        <v>144.16</v>
      </c>
      <c r="E1678" s="1">
        <f ca="1">IFERROR(__xludf.DUMMYFUNCTION("""COMPUTED_VALUE"""),144.59)</f>
        <v>144.59</v>
      </c>
      <c r="F1678" s="1">
        <f ca="1">IFERROR(__xludf.DUMMYFUNCTION("""COMPUTED_VALUE"""),1221710)</f>
        <v>1221710</v>
      </c>
    </row>
    <row r="1679" spans="1:6" x14ac:dyDescent="0.35">
      <c r="A1679" s="2">
        <f ca="1">IFERROR(__xludf.DUMMYFUNCTION("""COMPUTED_VALUE"""),44439.6666666666)</f>
        <v>44439.666666666599</v>
      </c>
      <c r="B1679" s="1">
        <f ca="1">IFERROR(__xludf.DUMMYFUNCTION("""COMPUTED_VALUE"""),145.15)</f>
        <v>145.15</v>
      </c>
      <c r="C1679" s="1">
        <f ca="1">IFERROR(__xludf.DUMMYFUNCTION("""COMPUTED_VALUE"""),145.17)</f>
        <v>145.16999999999999</v>
      </c>
      <c r="D1679" s="1">
        <f ca="1">IFERROR(__xludf.DUMMYFUNCTION("""COMPUTED_VALUE"""),144.28)</f>
        <v>144.28</v>
      </c>
      <c r="E1679" s="1">
        <f ca="1">IFERROR(__xludf.DUMMYFUNCTION("""COMPUTED_VALUE"""),144.7)</f>
        <v>144.69999999999999</v>
      </c>
      <c r="F1679" s="1">
        <f ca="1">IFERROR(__xludf.DUMMYFUNCTION("""COMPUTED_VALUE"""),1122438)</f>
        <v>1122438</v>
      </c>
    </row>
    <row r="1680" spans="1:6" x14ac:dyDescent="0.35">
      <c r="A1680" s="2">
        <f ca="1">IFERROR(__xludf.DUMMYFUNCTION("""COMPUTED_VALUE"""),44440.6666666666)</f>
        <v>44440.666666666599</v>
      </c>
      <c r="B1680" s="1">
        <f ca="1">IFERROR(__xludf.DUMMYFUNCTION("""COMPUTED_VALUE"""),145)</f>
        <v>145</v>
      </c>
      <c r="C1680" s="1">
        <f ca="1">IFERROR(__xludf.DUMMYFUNCTION("""COMPUTED_VALUE"""),146.25)</f>
        <v>146.25</v>
      </c>
      <c r="D1680" s="1">
        <f ca="1">IFERROR(__xludf.DUMMYFUNCTION("""COMPUTED_VALUE"""),144.88)</f>
        <v>144.88</v>
      </c>
      <c r="E1680" s="1">
        <f ca="1">IFERROR(__xludf.DUMMYFUNCTION("""COMPUTED_VALUE"""),145.22)</f>
        <v>145.22</v>
      </c>
      <c r="F1680" s="1">
        <f ca="1">IFERROR(__xludf.DUMMYFUNCTION("""COMPUTED_VALUE"""),1096805)</f>
        <v>1096805</v>
      </c>
    </row>
    <row r="1681" spans="1:6" x14ac:dyDescent="0.35">
      <c r="A1681" s="2">
        <f ca="1">IFERROR(__xludf.DUMMYFUNCTION("""COMPUTED_VALUE"""),44441.6666666666)</f>
        <v>44441.666666666599</v>
      </c>
      <c r="B1681" s="1">
        <f ca="1">IFERROR(__xludf.DUMMYFUNCTION("""COMPUTED_VALUE"""),145.22)</f>
        <v>145.22</v>
      </c>
      <c r="C1681" s="1">
        <f ca="1">IFERROR(__xludf.DUMMYFUNCTION("""COMPUTED_VALUE"""),145.52)</f>
        <v>145.52000000000001</v>
      </c>
      <c r="D1681" s="1">
        <f ca="1">IFERROR(__xludf.DUMMYFUNCTION("""COMPUTED_VALUE"""),143.18)</f>
        <v>143.18</v>
      </c>
      <c r="E1681" s="1">
        <f ca="1">IFERROR(__xludf.DUMMYFUNCTION("""COMPUTED_VALUE"""),143.29)</f>
        <v>143.29</v>
      </c>
      <c r="F1681" s="1">
        <f ca="1">IFERROR(__xludf.DUMMYFUNCTION("""COMPUTED_VALUE"""),1617907)</f>
        <v>1617907</v>
      </c>
    </row>
    <row r="1682" spans="1:6" x14ac:dyDescent="0.35">
      <c r="A1682" s="2">
        <f ca="1">IFERROR(__xludf.DUMMYFUNCTION("""COMPUTED_VALUE"""),44442.6666666666)</f>
        <v>44442.666666666599</v>
      </c>
      <c r="B1682" s="1">
        <f ca="1">IFERROR(__xludf.DUMMYFUNCTION("""COMPUTED_VALUE"""),143.08)</f>
        <v>143.08000000000001</v>
      </c>
      <c r="C1682" s="1">
        <f ca="1">IFERROR(__xludf.DUMMYFUNCTION("""COMPUTED_VALUE"""),144.16)</f>
        <v>144.16</v>
      </c>
      <c r="D1682" s="1">
        <f ca="1">IFERROR(__xludf.DUMMYFUNCTION("""COMPUTED_VALUE"""),142.4)</f>
        <v>142.4</v>
      </c>
      <c r="E1682" s="1">
        <f ca="1">IFERROR(__xludf.DUMMYFUNCTION("""COMPUTED_VALUE"""),143.74)</f>
        <v>143.74</v>
      </c>
      <c r="F1682" s="1">
        <f ca="1">IFERROR(__xludf.DUMMYFUNCTION("""COMPUTED_VALUE"""),992718)</f>
        <v>992718</v>
      </c>
    </row>
    <row r="1683" spans="1:6" x14ac:dyDescent="0.35">
      <c r="A1683" s="2">
        <f ca="1">IFERROR(__xludf.DUMMYFUNCTION("""COMPUTED_VALUE"""),44446.6666666666)</f>
        <v>44446.666666666599</v>
      </c>
      <c r="B1683" s="1">
        <f ca="1">IFERROR(__xludf.DUMMYFUNCTION("""COMPUTED_VALUE"""),143.83)</f>
        <v>143.83000000000001</v>
      </c>
      <c r="C1683" s="1">
        <f ca="1">IFERROR(__xludf.DUMMYFUNCTION("""COMPUTED_VALUE"""),144.57)</f>
        <v>144.57</v>
      </c>
      <c r="D1683" s="1">
        <f ca="1">IFERROR(__xludf.DUMMYFUNCTION("""COMPUTED_VALUE"""),143.62)</f>
        <v>143.62</v>
      </c>
      <c r="E1683" s="1">
        <f ca="1">IFERROR(__xludf.DUMMYFUNCTION("""COMPUTED_VALUE"""),144.28)</f>
        <v>144.28</v>
      </c>
      <c r="F1683" s="1">
        <f ca="1">IFERROR(__xludf.DUMMYFUNCTION("""COMPUTED_VALUE"""),1006595)</f>
        <v>1006595</v>
      </c>
    </row>
    <row r="1684" spans="1:6" x14ac:dyDescent="0.35">
      <c r="A1684" s="2">
        <f ca="1">IFERROR(__xludf.DUMMYFUNCTION("""COMPUTED_VALUE"""),44447.6666666666)</f>
        <v>44447.666666666599</v>
      </c>
      <c r="B1684" s="1">
        <f ca="1">IFERROR(__xludf.DUMMYFUNCTION("""COMPUTED_VALUE"""),144.1)</f>
        <v>144.1</v>
      </c>
      <c r="C1684" s="1">
        <f ca="1">IFERROR(__xludf.DUMMYFUNCTION("""COMPUTED_VALUE"""),144.4)</f>
        <v>144.4</v>
      </c>
      <c r="D1684" s="1">
        <f ca="1">IFERROR(__xludf.DUMMYFUNCTION("""COMPUTED_VALUE"""),143)</f>
        <v>143</v>
      </c>
      <c r="E1684" s="1">
        <f ca="1">IFERROR(__xludf.DUMMYFUNCTION("""COMPUTED_VALUE"""),143.69)</f>
        <v>143.69</v>
      </c>
      <c r="F1684" s="1">
        <f ca="1">IFERROR(__xludf.DUMMYFUNCTION("""COMPUTED_VALUE"""),917511)</f>
        <v>917511</v>
      </c>
    </row>
    <row r="1685" spans="1:6" x14ac:dyDescent="0.35">
      <c r="A1685" s="2">
        <f ca="1">IFERROR(__xludf.DUMMYFUNCTION("""COMPUTED_VALUE"""),44448.6666666666)</f>
        <v>44448.666666666599</v>
      </c>
      <c r="B1685" s="1">
        <f ca="1">IFERROR(__xludf.DUMMYFUNCTION("""COMPUTED_VALUE"""),143.84)</f>
        <v>143.84</v>
      </c>
      <c r="C1685" s="1">
        <f ca="1">IFERROR(__xludf.DUMMYFUNCTION("""COMPUTED_VALUE"""),144.31)</f>
        <v>144.31</v>
      </c>
      <c r="D1685" s="1">
        <f ca="1">IFERROR(__xludf.DUMMYFUNCTION("""COMPUTED_VALUE"""),143.18)</f>
        <v>143.18</v>
      </c>
      <c r="E1685" s="1">
        <f ca="1">IFERROR(__xludf.DUMMYFUNCTION("""COMPUTED_VALUE"""),143.54)</f>
        <v>143.54</v>
      </c>
      <c r="F1685" s="1">
        <f ca="1">IFERROR(__xludf.DUMMYFUNCTION("""COMPUTED_VALUE"""),765855)</f>
        <v>765855</v>
      </c>
    </row>
    <row r="1686" spans="1:6" x14ac:dyDescent="0.35">
      <c r="A1686" s="2">
        <f ca="1">IFERROR(__xludf.DUMMYFUNCTION("""COMPUTED_VALUE"""),44449.6666666666)</f>
        <v>44449.666666666599</v>
      </c>
      <c r="B1686" s="1">
        <f ca="1">IFERROR(__xludf.DUMMYFUNCTION("""COMPUTED_VALUE"""),144.21)</f>
        <v>144.21</v>
      </c>
      <c r="C1686" s="1">
        <f ca="1">IFERROR(__xludf.DUMMYFUNCTION("""COMPUTED_VALUE"""),144.72)</f>
        <v>144.72</v>
      </c>
      <c r="D1686" s="1">
        <f ca="1">IFERROR(__xludf.DUMMYFUNCTION("""COMPUTED_VALUE"""),140.74)</f>
        <v>140.74</v>
      </c>
      <c r="E1686" s="1">
        <f ca="1">IFERROR(__xludf.DUMMYFUNCTION("""COMPUTED_VALUE"""),140.88)</f>
        <v>140.88</v>
      </c>
      <c r="F1686" s="1">
        <f ca="1">IFERROR(__xludf.DUMMYFUNCTION("""COMPUTED_VALUE"""),1841967)</f>
        <v>1841967</v>
      </c>
    </row>
    <row r="1687" spans="1:6" x14ac:dyDescent="0.35">
      <c r="A1687" s="2">
        <f ca="1">IFERROR(__xludf.DUMMYFUNCTION("""COMPUTED_VALUE"""),44452.6666666666)</f>
        <v>44452.666666666599</v>
      </c>
      <c r="B1687" s="1">
        <f ca="1">IFERROR(__xludf.DUMMYFUNCTION("""COMPUTED_VALUE"""),141.95)</f>
        <v>141.94999999999999</v>
      </c>
      <c r="C1687" s="1">
        <f ca="1">IFERROR(__xludf.DUMMYFUNCTION("""COMPUTED_VALUE"""),142.95)</f>
        <v>142.94999999999999</v>
      </c>
      <c r="D1687" s="1">
        <f ca="1">IFERROR(__xludf.DUMMYFUNCTION("""COMPUTED_VALUE"""),141.25)</f>
        <v>141.25</v>
      </c>
      <c r="E1687" s="1">
        <f ca="1">IFERROR(__xludf.DUMMYFUNCTION("""COMPUTED_VALUE"""),142.33)</f>
        <v>142.33000000000001</v>
      </c>
      <c r="F1687" s="1">
        <f ca="1">IFERROR(__xludf.DUMMYFUNCTION("""COMPUTED_VALUE"""),1104692)</f>
        <v>1104692</v>
      </c>
    </row>
    <row r="1688" spans="1:6" x14ac:dyDescent="0.35">
      <c r="A1688" s="2">
        <f ca="1">IFERROR(__xludf.DUMMYFUNCTION("""COMPUTED_VALUE"""),44453.6666666666)</f>
        <v>44453.666666666599</v>
      </c>
      <c r="B1688" s="1">
        <f ca="1">IFERROR(__xludf.DUMMYFUNCTION("""COMPUTED_VALUE"""),143)</f>
        <v>143</v>
      </c>
      <c r="C1688" s="1">
        <f ca="1">IFERROR(__xludf.DUMMYFUNCTION("""COMPUTED_VALUE"""),143.36)</f>
        <v>143.36000000000001</v>
      </c>
      <c r="D1688" s="1">
        <f ca="1">IFERROR(__xludf.DUMMYFUNCTION("""COMPUTED_VALUE"""),141.75)</f>
        <v>141.75</v>
      </c>
      <c r="E1688" s="1">
        <f ca="1">IFERROR(__xludf.DUMMYFUNCTION("""COMPUTED_VALUE"""),142.54)</f>
        <v>142.54</v>
      </c>
      <c r="F1688" s="1">
        <f ca="1">IFERROR(__xludf.DUMMYFUNCTION("""COMPUTED_VALUE"""),983693)</f>
        <v>983693</v>
      </c>
    </row>
    <row r="1689" spans="1:6" x14ac:dyDescent="0.35">
      <c r="A1689" s="2">
        <f ca="1">IFERROR(__xludf.DUMMYFUNCTION("""COMPUTED_VALUE"""),44454.6666666666)</f>
        <v>44454.666666666599</v>
      </c>
      <c r="B1689" s="1">
        <f ca="1">IFERROR(__xludf.DUMMYFUNCTION("""COMPUTED_VALUE"""),142.77)</f>
        <v>142.77000000000001</v>
      </c>
      <c r="C1689" s="1">
        <f ca="1">IFERROR(__xludf.DUMMYFUNCTION("""COMPUTED_VALUE"""),144.45)</f>
        <v>144.44999999999999</v>
      </c>
      <c r="D1689" s="1">
        <f ca="1">IFERROR(__xludf.DUMMYFUNCTION("""COMPUTED_VALUE"""),141.35)</f>
        <v>141.35</v>
      </c>
      <c r="E1689" s="1">
        <f ca="1">IFERROR(__xludf.DUMMYFUNCTION("""COMPUTED_VALUE"""),144.43)</f>
        <v>144.43</v>
      </c>
      <c r="F1689" s="1">
        <f ca="1">IFERROR(__xludf.DUMMYFUNCTION("""COMPUTED_VALUE"""),1370379)</f>
        <v>1370379</v>
      </c>
    </row>
    <row r="1690" spans="1:6" x14ac:dyDescent="0.35">
      <c r="A1690" s="2">
        <f ca="1">IFERROR(__xludf.DUMMYFUNCTION("""COMPUTED_VALUE"""),44455.6666666666)</f>
        <v>44455.666666666599</v>
      </c>
      <c r="B1690" s="1">
        <f ca="1">IFERROR(__xludf.DUMMYFUNCTION("""COMPUTED_VALUE"""),143.95)</f>
        <v>143.94999999999999</v>
      </c>
      <c r="C1690" s="1">
        <f ca="1">IFERROR(__xludf.DUMMYFUNCTION("""COMPUTED_VALUE"""),144.3)</f>
        <v>144.30000000000001</v>
      </c>
      <c r="D1690" s="1">
        <f ca="1">IFERROR(__xludf.DUMMYFUNCTION("""COMPUTED_VALUE"""),142.4)</f>
        <v>142.4</v>
      </c>
      <c r="E1690" s="1">
        <f ca="1">IFERROR(__xludf.DUMMYFUNCTION("""COMPUTED_VALUE"""),143.61)</f>
        <v>143.61000000000001</v>
      </c>
      <c r="F1690" s="1">
        <f ca="1">IFERROR(__xludf.DUMMYFUNCTION("""COMPUTED_VALUE"""),1309771)</f>
        <v>1309771</v>
      </c>
    </row>
    <row r="1691" spans="1:6" x14ac:dyDescent="0.35">
      <c r="A1691" s="2">
        <f ca="1">IFERROR(__xludf.DUMMYFUNCTION("""COMPUTED_VALUE"""),44456.6666666666)</f>
        <v>44456.666666666599</v>
      </c>
      <c r="B1691" s="1">
        <f ca="1">IFERROR(__xludf.DUMMYFUNCTION("""COMPUTED_VALUE"""),143.03)</f>
        <v>143.03</v>
      </c>
      <c r="C1691" s="1">
        <f ca="1">IFERROR(__xludf.DUMMYFUNCTION("""COMPUTED_VALUE"""),143.45)</f>
        <v>143.44999999999999</v>
      </c>
      <c r="D1691" s="1">
        <f ca="1">IFERROR(__xludf.DUMMYFUNCTION("""COMPUTED_VALUE"""),140.47)</f>
        <v>140.47</v>
      </c>
      <c r="E1691" s="1">
        <f ca="1">IFERROR(__xludf.DUMMYFUNCTION("""COMPUTED_VALUE"""),140.8)</f>
        <v>140.80000000000001</v>
      </c>
      <c r="F1691" s="1">
        <f ca="1">IFERROR(__xludf.DUMMYFUNCTION("""COMPUTED_VALUE"""),2669223)</f>
        <v>2669223</v>
      </c>
    </row>
    <row r="1692" spans="1:6" x14ac:dyDescent="0.35">
      <c r="A1692" s="2">
        <f ca="1">IFERROR(__xludf.DUMMYFUNCTION("""COMPUTED_VALUE"""),44459.6666666666)</f>
        <v>44459.666666666599</v>
      </c>
      <c r="B1692" s="1">
        <f ca="1">IFERROR(__xludf.DUMMYFUNCTION("""COMPUTED_VALUE"""),138.16)</f>
        <v>138.16</v>
      </c>
      <c r="C1692" s="1">
        <f ca="1">IFERROR(__xludf.DUMMYFUNCTION("""COMPUTED_VALUE"""),139)</f>
        <v>139</v>
      </c>
      <c r="D1692" s="1">
        <f ca="1">IFERROR(__xludf.DUMMYFUNCTION("""COMPUTED_VALUE"""),136.32)</f>
        <v>136.32</v>
      </c>
      <c r="E1692" s="1">
        <f ca="1">IFERROR(__xludf.DUMMYFUNCTION("""COMPUTED_VALUE"""),138.72)</f>
        <v>138.72</v>
      </c>
      <c r="F1692" s="1">
        <f ca="1">IFERROR(__xludf.DUMMYFUNCTION("""COMPUTED_VALUE"""),2325902)</f>
        <v>2325902</v>
      </c>
    </row>
    <row r="1693" spans="1:6" x14ac:dyDescent="0.35">
      <c r="A1693" s="2">
        <f ca="1">IFERROR(__xludf.DUMMYFUNCTION("""COMPUTED_VALUE"""),44460.6666666666)</f>
        <v>44460.666666666599</v>
      </c>
      <c r="B1693" s="1">
        <f ca="1">IFERROR(__xludf.DUMMYFUNCTION("""COMPUTED_VALUE"""),139.75)</f>
        <v>139.75</v>
      </c>
      <c r="C1693" s="1">
        <f ca="1">IFERROR(__xludf.DUMMYFUNCTION("""COMPUTED_VALUE"""),140.01)</f>
        <v>140.01</v>
      </c>
      <c r="D1693" s="1">
        <f ca="1">IFERROR(__xludf.DUMMYFUNCTION("""COMPUTED_VALUE"""),138.28)</f>
        <v>138.28</v>
      </c>
      <c r="E1693" s="1">
        <f ca="1">IFERROR(__xludf.DUMMYFUNCTION("""COMPUTED_VALUE"""),139.03)</f>
        <v>139.03</v>
      </c>
      <c r="F1693" s="1">
        <f ca="1">IFERROR(__xludf.DUMMYFUNCTION("""COMPUTED_VALUE"""),1266595)</f>
        <v>1266595</v>
      </c>
    </row>
    <row r="1694" spans="1:6" x14ac:dyDescent="0.35">
      <c r="A1694" s="2">
        <f ca="1">IFERROR(__xludf.DUMMYFUNCTION("""COMPUTED_VALUE"""),44461.6666666666)</f>
        <v>44461.666666666599</v>
      </c>
      <c r="B1694" s="1">
        <f ca="1">IFERROR(__xludf.DUMMYFUNCTION("""COMPUTED_VALUE"""),139.3)</f>
        <v>139.30000000000001</v>
      </c>
      <c r="C1694" s="1">
        <f ca="1">IFERROR(__xludf.DUMMYFUNCTION("""COMPUTED_VALUE"""),140.89)</f>
        <v>140.88999999999999</v>
      </c>
      <c r="D1694" s="1">
        <f ca="1">IFERROR(__xludf.DUMMYFUNCTION("""COMPUTED_VALUE"""),138.55)</f>
        <v>138.55000000000001</v>
      </c>
      <c r="E1694" s="1">
        <f ca="1">IFERROR(__xludf.DUMMYFUNCTION("""COMPUTED_VALUE"""),140.28)</f>
        <v>140.28</v>
      </c>
      <c r="F1694" s="1">
        <f ca="1">IFERROR(__xludf.DUMMYFUNCTION("""COMPUTED_VALUE"""),1252778)</f>
        <v>1252778</v>
      </c>
    </row>
    <row r="1695" spans="1:6" x14ac:dyDescent="0.35">
      <c r="A1695" s="2">
        <f ca="1">IFERROR(__xludf.DUMMYFUNCTION("""COMPUTED_VALUE"""),44462.6666666666)</f>
        <v>44462.666666666599</v>
      </c>
      <c r="B1695" s="1">
        <f ca="1">IFERROR(__xludf.DUMMYFUNCTION("""COMPUTED_VALUE"""),140.99)</f>
        <v>140.99</v>
      </c>
      <c r="C1695" s="1">
        <f ca="1">IFERROR(__xludf.DUMMYFUNCTION("""COMPUTED_VALUE"""),141.7)</f>
        <v>141.69999999999999</v>
      </c>
      <c r="D1695" s="1">
        <f ca="1">IFERROR(__xludf.DUMMYFUNCTION("""COMPUTED_VALUE"""),140.4)</f>
        <v>140.4</v>
      </c>
      <c r="E1695" s="1">
        <f ca="1">IFERROR(__xludf.DUMMYFUNCTION("""COMPUTED_VALUE"""),141.22)</f>
        <v>141.22</v>
      </c>
      <c r="F1695" s="1">
        <f ca="1">IFERROR(__xludf.DUMMYFUNCTION("""COMPUTED_VALUE"""),1047550)</f>
        <v>1047550</v>
      </c>
    </row>
    <row r="1696" spans="1:6" x14ac:dyDescent="0.35">
      <c r="A1696" s="2">
        <f ca="1">IFERROR(__xludf.DUMMYFUNCTION("""COMPUTED_VALUE"""),44463.6666666666)</f>
        <v>44463.666666666599</v>
      </c>
      <c r="B1696" s="1">
        <f ca="1">IFERROR(__xludf.DUMMYFUNCTION("""COMPUTED_VALUE"""),140.54)</f>
        <v>140.54</v>
      </c>
      <c r="C1696" s="1">
        <f ca="1">IFERROR(__xludf.DUMMYFUNCTION("""COMPUTED_VALUE"""),142.33)</f>
        <v>142.33000000000001</v>
      </c>
      <c r="D1696" s="1">
        <f ca="1">IFERROR(__xludf.DUMMYFUNCTION("""COMPUTED_VALUE"""),140.24)</f>
        <v>140.24</v>
      </c>
      <c r="E1696" s="1">
        <f ca="1">IFERROR(__xludf.DUMMYFUNCTION("""COMPUTED_VALUE"""),142.22)</f>
        <v>142.22</v>
      </c>
      <c r="F1696" s="1">
        <f ca="1">IFERROR(__xludf.DUMMYFUNCTION("""COMPUTED_VALUE"""),1149195)</f>
        <v>1149195</v>
      </c>
    </row>
    <row r="1697" spans="1:6" x14ac:dyDescent="0.35">
      <c r="A1697" s="2">
        <f ca="1">IFERROR(__xludf.DUMMYFUNCTION("""COMPUTED_VALUE"""),44466.6666666666)</f>
        <v>44466.666666666599</v>
      </c>
      <c r="B1697" s="1">
        <f ca="1">IFERROR(__xludf.DUMMYFUNCTION("""COMPUTED_VALUE"""),140.8)</f>
        <v>140.80000000000001</v>
      </c>
      <c r="C1697" s="1">
        <f ca="1">IFERROR(__xludf.DUMMYFUNCTION("""COMPUTED_VALUE"""),141.94)</f>
        <v>141.94</v>
      </c>
      <c r="D1697" s="1">
        <f ca="1">IFERROR(__xludf.DUMMYFUNCTION("""COMPUTED_VALUE"""),140.07)</f>
        <v>140.07</v>
      </c>
      <c r="E1697" s="1">
        <f ca="1">IFERROR(__xludf.DUMMYFUNCTION("""COMPUTED_VALUE"""),141.07)</f>
        <v>141.07</v>
      </c>
      <c r="F1697" s="1">
        <f ca="1">IFERROR(__xludf.DUMMYFUNCTION("""COMPUTED_VALUE"""),1094098)</f>
        <v>1094098</v>
      </c>
    </row>
    <row r="1698" spans="1:6" x14ac:dyDescent="0.35">
      <c r="A1698" s="2">
        <f ca="1">IFERROR(__xludf.DUMMYFUNCTION("""COMPUTED_VALUE"""),44467.6666666666)</f>
        <v>44467.666666666599</v>
      </c>
      <c r="B1698" s="1">
        <f ca="1">IFERROR(__xludf.DUMMYFUNCTION("""COMPUTED_VALUE"""),138.66)</f>
        <v>138.66</v>
      </c>
      <c r="C1698" s="1">
        <f ca="1">IFERROR(__xludf.DUMMYFUNCTION("""COMPUTED_VALUE"""),139.1)</f>
        <v>139.1</v>
      </c>
      <c r="D1698" s="1">
        <f ca="1">IFERROR(__xludf.DUMMYFUNCTION("""COMPUTED_VALUE"""),135.36)</f>
        <v>135.36000000000001</v>
      </c>
      <c r="E1698" s="1">
        <f ca="1">IFERROR(__xludf.DUMMYFUNCTION("""COMPUTED_VALUE"""),135.83)</f>
        <v>135.83000000000001</v>
      </c>
      <c r="F1698" s="1">
        <f ca="1">IFERROR(__xludf.DUMMYFUNCTION("""COMPUTED_VALUE"""),2288610)</f>
        <v>2288610</v>
      </c>
    </row>
    <row r="1699" spans="1:6" x14ac:dyDescent="0.35">
      <c r="A1699" s="2">
        <f ca="1">IFERROR(__xludf.DUMMYFUNCTION("""COMPUTED_VALUE"""),44468.6666666666)</f>
        <v>44468.666666666599</v>
      </c>
      <c r="B1699" s="1">
        <f ca="1">IFERROR(__xludf.DUMMYFUNCTION("""COMPUTED_VALUE"""),136.98)</f>
        <v>136.97999999999999</v>
      </c>
      <c r="C1699" s="1">
        <f ca="1">IFERROR(__xludf.DUMMYFUNCTION("""COMPUTED_VALUE"""),137.15)</f>
        <v>137.15</v>
      </c>
      <c r="D1699" s="1">
        <f ca="1">IFERROR(__xludf.DUMMYFUNCTION("""COMPUTED_VALUE"""),133.87)</f>
        <v>133.87</v>
      </c>
      <c r="E1699" s="1">
        <f ca="1">IFERROR(__xludf.DUMMYFUNCTION("""COMPUTED_VALUE"""),134.35)</f>
        <v>134.35</v>
      </c>
      <c r="F1699" s="1">
        <f ca="1">IFERROR(__xludf.DUMMYFUNCTION("""COMPUTED_VALUE"""),1542435)</f>
        <v>1542435</v>
      </c>
    </row>
    <row r="1700" spans="1:6" x14ac:dyDescent="0.35">
      <c r="A1700" s="2">
        <f ca="1">IFERROR(__xludf.DUMMYFUNCTION("""COMPUTED_VALUE"""),44469.6666666666)</f>
        <v>44469.666666666599</v>
      </c>
      <c r="B1700" s="1">
        <f ca="1">IFERROR(__xludf.DUMMYFUNCTION("""COMPUTED_VALUE"""),134.26)</f>
        <v>134.26</v>
      </c>
      <c r="C1700" s="1">
        <f ca="1">IFERROR(__xludf.DUMMYFUNCTION("""COMPUTED_VALUE"""),135.54)</f>
        <v>135.54</v>
      </c>
      <c r="D1700" s="1">
        <f ca="1">IFERROR(__xludf.DUMMYFUNCTION("""COMPUTED_VALUE"""),133.56)</f>
        <v>133.56</v>
      </c>
      <c r="E1700" s="1">
        <f ca="1">IFERROR(__xludf.DUMMYFUNCTION("""COMPUTED_VALUE"""),133.68)</f>
        <v>133.68</v>
      </c>
      <c r="F1700" s="1">
        <f ca="1">IFERROR(__xludf.DUMMYFUNCTION("""COMPUTED_VALUE"""),1901440)</f>
        <v>1901440</v>
      </c>
    </row>
    <row r="1701" spans="1:6" x14ac:dyDescent="0.35">
      <c r="A1701" s="2">
        <f ca="1">IFERROR(__xludf.DUMMYFUNCTION("""COMPUTED_VALUE"""),44470.6666666666)</f>
        <v>44470.666666666599</v>
      </c>
      <c r="B1701" s="1">
        <f ca="1">IFERROR(__xludf.DUMMYFUNCTION("""COMPUTED_VALUE"""),134.45)</f>
        <v>134.44999999999999</v>
      </c>
      <c r="C1701" s="1">
        <f ca="1">IFERROR(__xludf.DUMMYFUNCTION("""COMPUTED_VALUE"""),136.91)</f>
        <v>136.91</v>
      </c>
      <c r="D1701" s="1">
        <f ca="1">IFERROR(__xludf.DUMMYFUNCTION("""COMPUTED_VALUE"""),134.07)</f>
        <v>134.07</v>
      </c>
      <c r="E1701" s="1">
        <f ca="1">IFERROR(__xludf.DUMMYFUNCTION("""COMPUTED_VALUE"""),136.54)</f>
        <v>136.54</v>
      </c>
      <c r="F1701" s="1">
        <f ca="1">IFERROR(__xludf.DUMMYFUNCTION("""COMPUTED_VALUE"""),1768009)</f>
        <v>1768009</v>
      </c>
    </row>
    <row r="1702" spans="1:6" x14ac:dyDescent="0.35">
      <c r="A1702" s="2">
        <f ca="1">IFERROR(__xludf.DUMMYFUNCTION("""COMPUTED_VALUE"""),44473.6666666666)</f>
        <v>44473.666666666599</v>
      </c>
      <c r="B1702" s="1">
        <f ca="1">IFERROR(__xludf.DUMMYFUNCTION("""COMPUTED_VALUE"""),135.96)</f>
        <v>135.96</v>
      </c>
      <c r="C1702" s="1">
        <f ca="1">IFERROR(__xludf.DUMMYFUNCTION("""COMPUTED_VALUE"""),135.96)</f>
        <v>135.96</v>
      </c>
      <c r="D1702" s="1">
        <f ca="1">IFERROR(__xludf.DUMMYFUNCTION("""COMPUTED_VALUE"""),131.05)</f>
        <v>131.05000000000001</v>
      </c>
      <c r="E1702" s="1">
        <f ca="1">IFERROR(__xludf.DUMMYFUNCTION("""COMPUTED_VALUE"""),133.66)</f>
        <v>133.66</v>
      </c>
      <c r="F1702" s="1">
        <f ca="1">IFERROR(__xludf.DUMMYFUNCTION("""COMPUTED_VALUE"""),2560097)</f>
        <v>2560097</v>
      </c>
    </row>
    <row r="1703" spans="1:6" x14ac:dyDescent="0.35">
      <c r="A1703" s="2">
        <f ca="1">IFERROR(__xludf.DUMMYFUNCTION("""COMPUTED_VALUE"""),44474.6666666666)</f>
        <v>44474.666666666599</v>
      </c>
      <c r="B1703" s="1">
        <f ca="1">IFERROR(__xludf.DUMMYFUNCTION("""COMPUTED_VALUE"""),134.04)</f>
        <v>134.04</v>
      </c>
      <c r="C1703" s="1">
        <f ca="1">IFERROR(__xludf.DUMMYFUNCTION("""COMPUTED_VALUE"""),137.22)</f>
        <v>137.22</v>
      </c>
      <c r="D1703" s="1">
        <f ca="1">IFERROR(__xludf.DUMMYFUNCTION("""COMPUTED_VALUE"""),134.04)</f>
        <v>134.04</v>
      </c>
      <c r="E1703" s="1">
        <f ca="1">IFERROR(__xludf.DUMMYFUNCTION("""COMPUTED_VALUE"""),136.02)</f>
        <v>136.02000000000001</v>
      </c>
      <c r="F1703" s="1">
        <f ca="1">IFERROR(__xludf.DUMMYFUNCTION("""COMPUTED_VALUE"""),1620163)</f>
        <v>1620163</v>
      </c>
    </row>
    <row r="1704" spans="1:6" x14ac:dyDescent="0.35">
      <c r="A1704" s="2">
        <f ca="1">IFERROR(__xludf.DUMMYFUNCTION("""COMPUTED_VALUE"""),44475.6666666666)</f>
        <v>44475.666666666599</v>
      </c>
      <c r="B1704" s="1">
        <f ca="1">IFERROR(__xludf.DUMMYFUNCTION("""COMPUTED_VALUE"""),134.75)</f>
        <v>134.75</v>
      </c>
      <c r="C1704" s="1">
        <f ca="1">IFERROR(__xludf.DUMMYFUNCTION("""COMPUTED_VALUE"""),137.75)</f>
        <v>137.75</v>
      </c>
      <c r="D1704" s="1">
        <f ca="1">IFERROR(__xludf.DUMMYFUNCTION("""COMPUTED_VALUE"""),134.55)</f>
        <v>134.55000000000001</v>
      </c>
      <c r="E1704" s="1">
        <f ca="1">IFERROR(__xludf.DUMMYFUNCTION("""COMPUTED_VALUE"""),137.57)</f>
        <v>137.57</v>
      </c>
      <c r="F1704" s="1">
        <f ca="1">IFERROR(__xludf.DUMMYFUNCTION("""COMPUTED_VALUE"""),1218214)</f>
        <v>1218214</v>
      </c>
    </row>
    <row r="1705" spans="1:6" x14ac:dyDescent="0.35">
      <c r="A1705" s="2">
        <f ca="1">IFERROR(__xludf.DUMMYFUNCTION("""COMPUTED_VALUE"""),44476.6666666666)</f>
        <v>44476.666666666599</v>
      </c>
      <c r="B1705" s="1">
        <f ca="1">IFERROR(__xludf.DUMMYFUNCTION("""COMPUTED_VALUE"""),138.89)</f>
        <v>138.88999999999999</v>
      </c>
      <c r="C1705" s="1">
        <f ca="1">IFERROR(__xludf.DUMMYFUNCTION("""COMPUTED_VALUE"""),140.04)</f>
        <v>140.04</v>
      </c>
      <c r="D1705" s="1">
        <f ca="1">IFERROR(__xludf.DUMMYFUNCTION("""COMPUTED_VALUE"""),138.65)</f>
        <v>138.65</v>
      </c>
      <c r="E1705" s="1">
        <f ca="1">IFERROR(__xludf.DUMMYFUNCTION("""COMPUTED_VALUE"""),139.23)</f>
        <v>139.22999999999999</v>
      </c>
      <c r="F1705" s="1">
        <f ca="1">IFERROR(__xludf.DUMMYFUNCTION("""COMPUTED_VALUE"""),1255507)</f>
        <v>1255507</v>
      </c>
    </row>
    <row r="1706" spans="1:6" x14ac:dyDescent="0.35">
      <c r="A1706" s="2">
        <f ca="1">IFERROR(__xludf.DUMMYFUNCTION("""COMPUTED_VALUE"""),44477.6666666666)</f>
        <v>44477.666666666599</v>
      </c>
      <c r="B1706" s="1">
        <f ca="1">IFERROR(__xludf.DUMMYFUNCTION("""COMPUTED_VALUE"""),139.58)</f>
        <v>139.58000000000001</v>
      </c>
      <c r="C1706" s="1">
        <f ca="1">IFERROR(__xludf.DUMMYFUNCTION("""COMPUTED_VALUE"""),140.33)</f>
        <v>140.33000000000001</v>
      </c>
      <c r="D1706" s="1">
        <f ca="1">IFERROR(__xludf.DUMMYFUNCTION("""COMPUTED_VALUE"""),139.22)</f>
        <v>139.22</v>
      </c>
      <c r="E1706" s="1">
        <f ca="1">IFERROR(__xludf.DUMMYFUNCTION("""COMPUTED_VALUE"""),139.79)</f>
        <v>139.79</v>
      </c>
      <c r="F1706" s="1">
        <f ca="1">IFERROR(__xludf.DUMMYFUNCTION("""COMPUTED_VALUE"""),1326292)</f>
        <v>1326292</v>
      </c>
    </row>
    <row r="1707" spans="1:6" x14ac:dyDescent="0.35">
      <c r="A1707" s="2">
        <f ca="1">IFERROR(__xludf.DUMMYFUNCTION("""COMPUTED_VALUE"""),44480.6666666666)</f>
        <v>44480.666666666599</v>
      </c>
      <c r="B1707" s="1">
        <f ca="1">IFERROR(__xludf.DUMMYFUNCTION("""COMPUTED_VALUE"""),139.29)</f>
        <v>139.29</v>
      </c>
      <c r="C1707" s="1">
        <f ca="1">IFERROR(__xludf.DUMMYFUNCTION("""COMPUTED_VALUE"""),140.71)</f>
        <v>140.71</v>
      </c>
      <c r="D1707" s="1">
        <f ca="1">IFERROR(__xludf.DUMMYFUNCTION("""COMPUTED_VALUE"""),138.86)</f>
        <v>138.86000000000001</v>
      </c>
      <c r="E1707" s="1">
        <f ca="1">IFERROR(__xludf.DUMMYFUNCTION("""COMPUTED_VALUE"""),138.91)</f>
        <v>138.91</v>
      </c>
      <c r="F1707" s="1">
        <f ca="1">IFERROR(__xludf.DUMMYFUNCTION("""COMPUTED_VALUE"""),897681)</f>
        <v>897681</v>
      </c>
    </row>
    <row r="1708" spans="1:6" x14ac:dyDescent="0.35">
      <c r="A1708" s="2">
        <f ca="1">IFERROR(__xludf.DUMMYFUNCTION("""COMPUTED_VALUE"""),44481.6666666666)</f>
        <v>44481.666666666599</v>
      </c>
      <c r="B1708" s="1">
        <f ca="1">IFERROR(__xludf.DUMMYFUNCTION("""COMPUTED_VALUE"""),139.48)</f>
        <v>139.47999999999999</v>
      </c>
      <c r="C1708" s="1">
        <f ca="1">IFERROR(__xludf.DUMMYFUNCTION("""COMPUTED_VALUE"""),139.51)</f>
        <v>139.51</v>
      </c>
      <c r="D1708" s="1">
        <f ca="1">IFERROR(__xludf.DUMMYFUNCTION("""COMPUTED_VALUE"""),135.76)</f>
        <v>135.76</v>
      </c>
      <c r="E1708" s="1">
        <f ca="1">IFERROR(__xludf.DUMMYFUNCTION("""COMPUTED_VALUE"""),136.45)</f>
        <v>136.44999999999999</v>
      </c>
      <c r="F1708" s="1">
        <f ca="1">IFERROR(__xludf.DUMMYFUNCTION("""COMPUTED_VALUE"""),1816612)</f>
        <v>1816612</v>
      </c>
    </row>
    <row r="1709" spans="1:6" x14ac:dyDescent="0.35">
      <c r="A1709" s="2">
        <f ca="1">IFERROR(__xludf.DUMMYFUNCTION("""COMPUTED_VALUE"""),44482.6666666666)</f>
        <v>44482.666666666599</v>
      </c>
      <c r="B1709" s="1">
        <f ca="1">IFERROR(__xludf.DUMMYFUNCTION("""COMPUTED_VALUE"""),137.4)</f>
        <v>137.4</v>
      </c>
      <c r="C1709" s="1">
        <f ca="1">IFERROR(__xludf.DUMMYFUNCTION("""COMPUTED_VALUE"""),138)</f>
        <v>138</v>
      </c>
      <c r="D1709" s="1">
        <f ca="1">IFERROR(__xludf.DUMMYFUNCTION("""COMPUTED_VALUE"""),136.52)</f>
        <v>136.52000000000001</v>
      </c>
      <c r="E1709" s="1">
        <f ca="1">IFERROR(__xludf.DUMMYFUNCTION("""COMPUTED_VALUE"""),137.58)</f>
        <v>137.58000000000001</v>
      </c>
      <c r="F1709" s="1">
        <f ca="1">IFERROR(__xludf.DUMMYFUNCTION("""COMPUTED_VALUE"""),983116)</f>
        <v>983116</v>
      </c>
    </row>
    <row r="1710" spans="1:6" x14ac:dyDescent="0.35">
      <c r="A1710" s="2">
        <f ca="1">IFERROR(__xludf.DUMMYFUNCTION("""COMPUTED_VALUE"""),44483.6666666666)</f>
        <v>44483.666666666599</v>
      </c>
      <c r="B1710" s="1">
        <f ca="1">IFERROR(__xludf.DUMMYFUNCTION("""COMPUTED_VALUE"""),139.47)</f>
        <v>139.47</v>
      </c>
      <c r="C1710" s="1">
        <f ca="1">IFERROR(__xludf.DUMMYFUNCTION("""COMPUTED_VALUE"""),141.34)</f>
        <v>141.34</v>
      </c>
      <c r="D1710" s="1">
        <f ca="1">IFERROR(__xludf.DUMMYFUNCTION("""COMPUTED_VALUE"""),138.82)</f>
        <v>138.82</v>
      </c>
      <c r="E1710" s="1">
        <f ca="1">IFERROR(__xludf.DUMMYFUNCTION("""COMPUTED_VALUE"""),141.15)</f>
        <v>141.15</v>
      </c>
      <c r="F1710" s="1">
        <f ca="1">IFERROR(__xludf.DUMMYFUNCTION("""COMPUTED_VALUE"""),1596397)</f>
        <v>1596397</v>
      </c>
    </row>
    <row r="1711" spans="1:6" x14ac:dyDescent="0.35">
      <c r="A1711" s="2">
        <f ca="1">IFERROR(__xludf.DUMMYFUNCTION("""COMPUTED_VALUE"""),44484.6666666666)</f>
        <v>44484.666666666599</v>
      </c>
      <c r="B1711" s="1">
        <f ca="1">IFERROR(__xludf.DUMMYFUNCTION("""COMPUTED_VALUE"""),141.61)</f>
        <v>141.61000000000001</v>
      </c>
      <c r="C1711" s="1">
        <f ca="1">IFERROR(__xludf.DUMMYFUNCTION("""COMPUTED_VALUE"""),141.72)</f>
        <v>141.72</v>
      </c>
      <c r="D1711" s="1">
        <f ca="1">IFERROR(__xludf.DUMMYFUNCTION("""COMPUTED_VALUE"""),140.76)</f>
        <v>140.76</v>
      </c>
      <c r="E1711" s="1">
        <f ca="1">IFERROR(__xludf.DUMMYFUNCTION("""COMPUTED_VALUE"""),141.37)</f>
        <v>141.37</v>
      </c>
      <c r="F1711" s="1">
        <f ca="1">IFERROR(__xludf.DUMMYFUNCTION("""COMPUTED_VALUE"""),1513722)</f>
        <v>1513722</v>
      </c>
    </row>
    <row r="1712" spans="1:6" x14ac:dyDescent="0.35">
      <c r="A1712" s="2">
        <f ca="1">IFERROR(__xludf.DUMMYFUNCTION("""COMPUTED_VALUE"""),44487.6666666666)</f>
        <v>44487.666666666599</v>
      </c>
      <c r="B1712" s="1">
        <f ca="1">IFERROR(__xludf.DUMMYFUNCTION("""COMPUTED_VALUE"""),141.08)</f>
        <v>141.08000000000001</v>
      </c>
      <c r="C1712" s="1">
        <f ca="1">IFERROR(__xludf.DUMMYFUNCTION("""COMPUTED_VALUE"""),142.8)</f>
        <v>142.80000000000001</v>
      </c>
      <c r="D1712" s="1">
        <f ca="1">IFERROR(__xludf.DUMMYFUNCTION("""COMPUTED_VALUE"""),141.07)</f>
        <v>141.07</v>
      </c>
      <c r="E1712" s="1">
        <f ca="1">IFERROR(__xludf.DUMMYFUNCTION("""COMPUTED_VALUE"""),142.78)</f>
        <v>142.78</v>
      </c>
      <c r="F1712" s="1">
        <f ca="1">IFERROR(__xludf.DUMMYFUNCTION("""COMPUTED_VALUE"""),1019808)</f>
        <v>1019808</v>
      </c>
    </row>
    <row r="1713" spans="1:6" x14ac:dyDescent="0.35">
      <c r="A1713" s="2">
        <f ca="1">IFERROR(__xludf.DUMMYFUNCTION("""COMPUTED_VALUE"""),44488.6666666666)</f>
        <v>44488.666666666599</v>
      </c>
      <c r="B1713" s="1">
        <f ca="1">IFERROR(__xludf.DUMMYFUNCTION("""COMPUTED_VALUE"""),143.39)</f>
        <v>143.38999999999999</v>
      </c>
      <c r="C1713" s="1">
        <f ca="1">IFERROR(__xludf.DUMMYFUNCTION("""COMPUTED_VALUE"""),143.66)</f>
        <v>143.66</v>
      </c>
      <c r="D1713" s="1">
        <f ca="1">IFERROR(__xludf.DUMMYFUNCTION("""COMPUTED_VALUE"""),142.6)</f>
        <v>142.6</v>
      </c>
      <c r="E1713" s="1">
        <f ca="1">IFERROR(__xludf.DUMMYFUNCTION("""COMPUTED_VALUE"""),143.24)</f>
        <v>143.24</v>
      </c>
      <c r="F1713" s="1">
        <f ca="1">IFERROR(__xludf.DUMMYFUNCTION("""COMPUTED_VALUE"""),1008150)</f>
        <v>1008150</v>
      </c>
    </row>
    <row r="1714" spans="1:6" x14ac:dyDescent="0.35">
      <c r="A1714" s="2">
        <f ca="1">IFERROR(__xludf.DUMMYFUNCTION("""COMPUTED_VALUE"""),44489.6666666666)</f>
        <v>44489.666666666599</v>
      </c>
      <c r="B1714" s="1">
        <f ca="1">IFERROR(__xludf.DUMMYFUNCTION("""COMPUTED_VALUE"""),143.34)</f>
        <v>143.34</v>
      </c>
      <c r="C1714" s="1">
        <f ca="1">IFERROR(__xludf.DUMMYFUNCTION("""COMPUTED_VALUE"""),143.55)</f>
        <v>143.55000000000001</v>
      </c>
      <c r="D1714" s="1">
        <f ca="1">IFERROR(__xludf.DUMMYFUNCTION("""COMPUTED_VALUE"""),141.38)</f>
        <v>141.38</v>
      </c>
      <c r="E1714" s="1">
        <f ca="1">IFERROR(__xludf.DUMMYFUNCTION("""COMPUTED_VALUE"""),141.77)</f>
        <v>141.77000000000001</v>
      </c>
      <c r="F1714" s="1">
        <f ca="1">IFERROR(__xludf.DUMMYFUNCTION("""COMPUTED_VALUE"""),1164403)</f>
        <v>1164403</v>
      </c>
    </row>
    <row r="1715" spans="1:6" x14ac:dyDescent="0.35">
      <c r="A1715" s="2">
        <f ca="1">IFERROR(__xludf.DUMMYFUNCTION("""COMPUTED_VALUE"""),44490.6666666666)</f>
        <v>44490.666666666599</v>
      </c>
      <c r="B1715" s="1">
        <f ca="1">IFERROR(__xludf.DUMMYFUNCTION("""COMPUTED_VALUE"""),141.77)</f>
        <v>141.77000000000001</v>
      </c>
      <c r="C1715" s="1">
        <f ca="1">IFERROR(__xludf.DUMMYFUNCTION("""COMPUTED_VALUE"""),142.16)</f>
        <v>142.16</v>
      </c>
      <c r="D1715" s="1">
        <f ca="1">IFERROR(__xludf.DUMMYFUNCTION("""COMPUTED_VALUE"""),140.5)</f>
        <v>140.5</v>
      </c>
      <c r="E1715" s="1">
        <f ca="1">IFERROR(__xludf.DUMMYFUNCTION("""COMPUTED_VALUE"""),141.89)</f>
        <v>141.88999999999999</v>
      </c>
      <c r="F1715" s="1">
        <f ca="1">IFERROR(__xludf.DUMMYFUNCTION("""COMPUTED_VALUE"""),1314613)</f>
        <v>1314613</v>
      </c>
    </row>
    <row r="1716" spans="1:6" x14ac:dyDescent="0.35">
      <c r="A1716" s="2">
        <f ca="1">IFERROR(__xludf.DUMMYFUNCTION("""COMPUTED_VALUE"""),44491.6666666666)</f>
        <v>44491.666666666599</v>
      </c>
      <c r="B1716" s="1">
        <f ca="1">IFERROR(__xludf.DUMMYFUNCTION("""COMPUTED_VALUE"""),139.15)</f>
        <v>139.15</v>
      </c>
      <c r="C1716" s="1">
        <f ca="1">IFERROR(__xludf.DUMMYFUNCTION("""COMPUTED_VALUE"""),140.58)</f>
        <v>140.58000000000001</v>
      </c>
      <c r="D1716" s="1">
        <f ca="1">IFERROR(__xludf.DUMMYFUNCTION("""COMPUTED_VALUE"""),136.06)</f>
        <v>136.06</v>
      </c>
      <c r="E1716" s="1">
        <f ca="1">IFERROR(__xludf.DUMMYFUNCTION("""COMPUTED_VALUE"""),137.57)</f>
        <v>137.57</v>
      </c>
      <c r="F1716" s="1">
        <f ca="1">IFERROR(__xludf.DUMMYFUNCTION("""COMPUTED_VALUE"""),2529448)</f>
        <v>2529448</v>
      </c>
    </row>
    <row r="1717" spans="1:6" x14ac:dyDescent="0.35">
      <c r="A1717" s="2">
        <f ca="1">IFERROR(__xludf.DUMMYFUNCTION("""COMPUTED_VALUE"""),44494.6666666666)</f>
        <v>44494.666666666599</v>
      </c>
      <c r="B1717" s="1">
        <f ca="1">IFERROR(__xludf.DUMMYFUNCTION("""COMPUTED_VALUE"""),137.55)</f>
        <v>137.55000000000001</v>
      </c>
      <c r="C1717" s="1">
        <f ca="1">IFERROR(__xludf.DUMMYFUNCTION("""COMPUTED_VALUE"""),138)</f>
        <v>138</v>
      </c>
      <c r="D1717" s="1">
        <f ca="1">IFERROR(__xludf.DUMMYFUNCTION("""COMPUTED_VALUE"""),135.42)</f>
        <v>135.41999999999999</v>
      </c>
      <c r="E1717" s="1">
        <f ca="1">IFERROR(__xludf.DUMMYFUNCTION("""COMPUTED_VALUE"""),137.45)</f>
        <v>137.44999999999999</v>
      </c>
      <c r="F1717" s="1">
        <f ca="1">IFERROR(__xludf.DUMMYFUNCTION("""COMPUTED_VALUE"""),1720613)</f>
        <v>1720613</v>
      </c>
    </row>
    <row r="1718" spans="1:6" x14ac:dyDescent="0.35">
      <c r="A1718" s="2">
        <f ca="1">IFERROR(__xludf.DUMMYFUNCTION("""COMPUTED_VALUE"""),44495.6666666666)</f>
        <v>44495.666666666599</v>
      </c>
      <c r="B1718" s="1">
        <f ca="1">IFERROR(__xludf.DUMMYFUNCTION("""COMPUTED_VALUE"""),139.26)</f>
        <v>139.26</v>
      </c>
      <c r="C1718" s="1">
        <f ca="1">IFERROR(__xludf.DUMMYFUNCTION("""COMPUTED_VALUE"""),140.08)</f>
        <v>140.08000000000001</v>
      </c>
      <c r="D1718" s="1">
        <f ca="1">IFERROR(__xludf.DUMMYFUNCTION("""COMPUTED_VALUE"""),138.3)</f>
        <v>138.30000000000001</v>
      </c>
      <c r="E1718" s="1">
        <f ca="1">IFERROR(__xludf.DUMMYFUNCTION("""COMPUTED_VALUE"""),139.31)</f>
        <v>139.31</v>
      </c>
      <c r="F1718" s="1">
        <f ca="1">IFERROR(__xludf.DUMMYFUNCTION("""COMPUTED_VALUE"""),2461751)</f>
        <v>2461751</v>
      </c>
    </row>
    <row r="1719" spans="1:6" x14ac:dyDescent="0.35">
      <c r="A1719" s="2">
        <f ca="1">IFERROR(__xludf.DUMMYFUNCTION("""COMPUTED_VALUE"""),44496.6666666666)</f>
        <v>44496.666666666599</v>
      </c>
      <c r="B1719" s="1">
        <f ca="1">IFERROR(__xludf.DUMMYFUNCTION("""COMPUTED_VALUE"""),139.41)</f>
        <v>139.41</v>
      </c>
      <c r="C1719" s="1">
        <f ca="1">IFERROR(__xludf.DUMMYFUNCTION("""COMPUTED_VALUE"""),148.65)</f>
        <v>148.65</v>
      </c>
      <c r="D1719" s="1">
        <f ca="1">IFERROR(__xludf.DUMMYFUNCTION("""COMPUTED_VALUE"""),139.41)</f>
        <v>139.41</v>
      </c>
      <c r="E1719" s="1">
        <f ca="1">IFERROR(__xludf.DUMMYFUNCTION("""COMPUTED_VALUE"""),146.22)</f>
        <v>146.22</v>
      </c>
      <c r="F1719" s="1">
        <f ca="1">IFERROR(__xludf.DUMMYFUNCTION("""COMPUTED_VALUE"""),4289070)</f>
        <v>4289070</v>
      </c>
    </row>
    <row r="1720" spans="1:6" x14ac:dyDescent="0.35">
      <c r="A1720" s="2">
        <f ca="1">IFERROR(__xludf.DUMMYFUNCTION("""COMPUTED_VALUE"""),44497.6666666666)</f>
        <v>44497.666666666599</v>
      </c>
      <c r="B1720" s="1">
        <f ca="1">IFERROR(__xludf.DUMMYFUNCTION("""COMPUTED_VALUE"""),147.13)</f>
        <v>147.13</v>
      </c>
      <c r="C1720" s="1">
        <f ca="1">IFERROR(__xludf.DUMMYFUNCTION("""COMPUTED_VALUE"""),147.16)</f>
        <v>147.16</v>
      </c>
      <c r="D1720" s="1">
        <f ca="1">IFERROR(__xludf.DUMMYFUNCTION("""COMPUTED_VALUE"""),144.63)</f>
        <v>144.63</v>
      </c>
      <c r="E1720" s="1">
        <f ca="1">IFERROR(__xludf.DUMMYFUNCTION("""COMPUTED_VALUE"""),145.85)</f>
        <v>145.85</v>
      </c>
      <c r="F1720" s="1">
        <f ca="1">IFERROR(__xludf.DUMMYFUNCTION("""COMPUTED_VALUE"""),1810319)</f>
        <v>1810319</v>
      </c>
    </row>
    <row r="1721" spans="1:6" x14ac:dyDescent="0.35">
      <c r="A1721" s="2">
        <f ca="1">IFERROR(__xludf.DUMMYFUNCTION("""COMPUTED_VALUE"""),44498.6666666666)</f>
        <v>44498.666666666599</v>
      </c>
      <c r="B1721" s="1">
        <f ca="1">IFERROR(__xludf.DUMMYFUNCTION("""COMPUTED_VALUE"""),145.08)</f>
        <v>145.08000000000001</v>
      </c>
      <c r="C1721" s="1">
        <f ca="1">IFERROR(__xludf.DUMMYFUNCTION("""COMPUTED_VALUE"""),148.24)</f>
        <v>148.24</v>
      </c>
      <c r="D1721" s="1">
        <f ca="1">IFERROR(__xludf.DUMMYFUNCTION("""COMPUTED_VALUE"""),144.65)</f>
        <v>144.65</v>
      </c>
      <c r="E1721" s="1">
        <f ca="1">IFERROR(__xludf.DUMMYFUNCTION("""COMPUTED_VALUE"""),148.05)</f>
        <v>148.05000000000001</v>
      </c>
      <c r="F1721" s="1">
        <f ca="1">IFERROR(__xludf.DUMMYFUNCTION("""COMPUTED_VALUE"""),2166015)</f>
        <v>2166015</v>
      </c>
    </row>
    <row r="1722" spans="1:6" x14ac:dyDescent="0.35">
      <c r="A1722" s="2">
        <f ca="1">IFERROR(__xludf.DUMMYFUNCTION("""COMPUTED_VALUE"""),44501.6666666666)</f>
        <v>44501.666666666599</v>
      </c>
      <c r="B1722" s="1">
        <f ca="1">IFERROR(__xludf.DUMMYFUNCTION("""COMPUTED_VALUE"""),148.05)</f>
        <v>148.05000000000001</v>
      </c>
      <c r="C1722" s="1">
        <f ca="1">IFERROR(__xludf.DUMMYFUNCTION("""COMPUTED_VALUE"""),148.05)</f>
        <v>148.05000000000001</v>
      </c>
      <c r="D1722" s="1">
        <f ca="1">IFERROR(__xludf.DUMMYFUNCTION("""COMPUTED_VALUE"""),143.23)</f>
        <v>143.22999999999999</v>
      </c>
      <c r="E1722" s="1">
        <f ca="1">IFERROR(__xludf.DUMMYFUNCTION("""COMPUTED_VALUE"""),143.5)</f>
        <v>143.5</v>
      </c>
      <c r="F1722" s="1">
        <f ca="1">IFERROR(__xludf.DUMMYFUNCTION("""COMPUTED_VALUE"""),2346162)</f>
        <v>2346162</v>
      </c>
    </row>
    <row r="1723" spans="1:6" x14ac:dyDescent="0.35">
      <c r="A1723" s="2">
        <f ca="1">IFERROR(__xludf.DUMMYFUNCTION("""COMPUTED_VALUE"""),44502.6666666666)</f>
        <v>44502.666666666599</v>
      </c>
      <c r="B1723" s="1">
        <f ca="1">IFERROR(__xludf.DUMMYFUNCTION("""COMPUTED_VALUE"""),144.58)</f>
        <v>144.58000000000001</v>
      </c>
      <c r="C1723" s="1">
        <f ca="1">IFERROR(__xludf.DUMMYFUNCTION("""COMPUTED_VALUE"""),146.61)</f>
        <v>146.61000000000001</v>
      </c>
      <c r="D1723" s="1">
        <f ca="1">IFERROR(__xludf.DUMMYFUNCTION("""COMPUTED_VALUE"""),144.34)</f>
        <v>144.34</v>
      </c>
      <c r="E1723" s="1">
        <f ca="1">IFERROR(__xludf.DUMMYFUNCTION("""COMPUTED_VALUE"""),145.43)</f>
        <v>145.43</v>
      </c>
      <c r="F1723" s="1">
        <f ca="1">IFERROR(__xludf.DUMMYFUNCTION("""COMPUTED_VALUE"""),1674112)</f>
        <v>1674112</v>
      </c>
    </row>
    <row r="1724" spans="1:6" x14ac:dyDescent="0.35">
      <c r="A1724" s="2">
        <f ca="1">IFERROR(__xludf.DUMMYFUNCTION("""COMPUTED_VALUE"""),44503.6666666666)</f>
        <v>44503.666666666599</v>
      </c>
      <c r="B1724" s="1">
        <f ca="1">IFERROR(__xludf.DUMMYFUNCTION("""COMPUTED_VALUE"""),145.9)</f>
        <v>145.9</v>
      </c>
      <c r="C1724" s="1">
        <f ca="1">IFERROR(__xludf.DUMMYFUNCTION("""COMPUTED_VALUE"""),146.67)</f>
        <v>146.66999999999999</v>
      </c>
      <c r="D1724" s="1">
        <f ca="1">IFERROR(__xludf.DUMMYFUNCTION("""COMPUTED_VALUE"""),144.59)</f>
        <v>144.59</v>
      </c>
      <c r="E1724" s="1">
        <f ca="1">IFERROR(__xludf.DUMMYFUNCTION("""COMPUTED_VALUE"""),146.6)</f>
        <v>146.6</v>
      </c>
      <c r="F1724" s="1">
        <f ca="1">IFERROR(__xludf.DUMMYFUNCTION("""COMPUTED_VALUE"""),1374662)</f>
        <v>1374662</v>
      </c>
    </row>
    <row r="1725" spans="1:6" x14ac:dyDescent="0.35">
      <c r="A1725" s="2">
        <f ca="1">IFERROR(__xludf.DUMMYFUNCTION("""COMPUTED_VALUE"""),44504.6666666666)</f>
        <v>44504.666666666599</v>
      </c>
      <c r="B1725" s="1">
        <f ca="1">IFERROR(__xludf.DUMMYFUNCTION("""COMPUTED_VALUE"""),147.12)</f>
        <v>147.12</v>
      </c>
      <c r="C1725" s="1">
        <f ca="1">IFERROR(__xludf.DUMMYFUNCTION("""COMPUTED_VALUE"""),149.73)</f>
        <v>149.72999999999999</v>
      </c>
      <c r="D1725" s="1">
        <f ca="1">IFERROR(__xludf.DUMMYFUNCTION("""COMPUTED_VALUE"""),146.31)</f>
        <v>146.31</v>
      </c>
      <c r="E1725" s="1">
        <f ca="1">IFERROR(__xludf.DUMMYFUNCTION("""COMPUTED_VALUE"""),148.27)</f>
        <v>148.27000000000001</v>
      </c>
      <c r="F1725" s="1">
        <f ca="1">IFERROR(__xludf.DUMMYFUNCTION("""COMPUTED_VALUE"""),1920563)</f>
        <v>1920563</v>
      </c>
    </row>
    <row r="1726" spans="1:6" x14ac:dyDescent="0.35">
      <c r="A1726" s="2">
        <f ca="1">IFERROR(__xludf.DUMMYFUNCTION("""COMPUTED_VALUE"""),44505.6666666666)</f>
        <v>44505.666666666599</v>
      </c>
      <c r="B1726" s="1">
        <f ca="1">IFERROR(__xludf.DUMMYFUNCTION("""COMPUTED_VALUE"""),149.17)</f>
        <v>149.16999999999999</v>
      </c>
      <c r="C1726" s="1">
        <f ca="1">IFERROR(__xludf.DUMMYFUNCTION("""COMPUTED_VALUE"""),150.33)</f>
        <v>150.33000000000001</v>
      </c>
      <c r="D1726" s="1">
        <f ca="1">IFERROR(__xludf.DUMMYFUNCTION("""COMPUTED_VALUE"""),148.2)</f>
        <v>148.19999999999999</v>
      </c>
      <c r="E1726" s="1">
        <f ca="1">IFERROR(__xludf.DUMMYFUNCTION("""COMPUTED_VALUE"""),148.85)</f>
        <v>148.85</v>
      </c>
      <c r="F1726" s="1">
        <f ca="1">IFERROR(__xludf.DUMMYFUNCTION("""COMPUTED_VALUE"""),1917737)</f>
        <v>1917737</v>
      </c>
    </row>
    <row r="1727" spans="1:6" x14ac:dyDescent="0.35">
      <c r="A1727" s="2">
        <f ca="1">IFERROR(__xludf.DUMMYFUNCTION("""COMPUTED_VALUE"""),44508.6666666666)</f>
        <v>44508.666666666599</v>
      </c>
      <c r="B1727" s="1">
        <f ca="1">IFERROR(__xludf.DUMMYFUNCTION("""COMPUTED_VALUE"""),149.82)</f>
        <v>149.82</v>
      </c>
      <c r="C1727" s="1">
        <f ca="1">IFERROR(__xludf.DUMMYFUNCTION("""COMPUTED_VALUE"""),150.61)</f>
        <v>150.61000000000001</v>
      </c>
      <c r="D1727" s="1">
        <f ca="1">IFERROR(__xludf.DUMMYFUNCTION("""COMPUTED_VALUE"""),148.43)</f>
        <v>148.43</v>
      </c>
      <c r="E1727" s="1">
        <f ca="1">IFERROR(__xludf.DUMMYFUNCTION("""COMPUTED_VALUE"""),149.03)</f>
        <v>149.03</v>
      </c>
      <c r="F1727" s="1">
        <f ca="1">IFERROR(__xludf.DUMMYFUNCTION("""COMPUTED_VALUE"""),1152625)</f>
        <v>1152625</v>
      </c>
    </row>
    <row r="1728" spans="1:6" x14ac:dyDescent="0.35">
      <c r="A1728" s="2">
        <f ca="1">IFERROR(__xludf.DUMMYFUNCTION("""COMPUTED_VALUE"""),44509.6666666666)</f>
        <v>44509.666666666599</v>
      </c>
      <c r="B1728" s="1">
        <f ca="1">IFERROR(__xludf.DUMMYFUNCTION("""COMPUTED_VALUE"""),149.23)</f>
        <v>149.22999999999999</v>
      </c>
      <c r="C1728" s="1">
        <f ca="1">IFERROR(__xludf.DUMMYFUNCTION("""COMPUTED_VALUE"""),149.83)</f>
        <v>149.83000000000001</v>
      </c>
      <c r="D1728" s="1">
        <f ca="1">IFERROR(__xludf.DUMMYFUNCTION("""COMPUTED_VALUE"""),147.24)</f>
        <v>147.24</v>
      </c>
      <c r="E1728" s="1">
        <f ca="1">IFERROR(__xludf.DUMMYFUNCTION("""COMPUTED_VALUE"""),148.92)</f>
        <v>148.91999999999999</v>
      </c>
      <c r="F1728" s="1">
        <f ca="1">IFERROR(__xludf.DUMMYFUNCTION("""COMPUTED_VALUE"""),976487)</f>
        <v>976487</v>
      </c>
    </row>
    <row r="1729" spans="1:6" x14ac:dyDescent="0.35">
      <c r="A1729" s="2">
        <f ca="1">IFERROR(__xludf.DUMMYFUNCTION("""COMPUTED_VALUE"""),44510.6666666666)</f>
        <v>44510.666666666599</v>
      </c>
      <c r="B1729" s="1">
        <f ca="1">IFERROR(__xludf.DUMMYFUNCTION("""COMPUTED_VALUE"""),147.5)</f>
        <v>147.5</v>
      </c>
      <c r="C1729" s="1">
        <f ca="1">IFERROR(__xludf.DUMMYFUNCTION("""COMPUTED_VALUE"""),148.07)</f>
        <v>148.07</v>
      </c>
      <c r="D1729" s="1">
        <f ca="1">IFERROR(__xludf.DUMMYFUNCTION("""COMPUTED_VALUE"""),144.54)</f>
        <v>144.54</v>
      </c>
      <c r="E1729" s="1">
        <f ca="1">IFERROR(__xludf.DUMMYFUNCTION("""COMPUTED_VALUE"""),145.89)</f>
        <v>145.88999999999999</v>
      </c>
      <c r="F1729" s="1">
        <f ca="1">IFERROR(__xludf.DUMMYFUNCTION("""COMPUTED_VALUE"""),1498490)</f>
        <v>1498490</v>
      </c>
    </row>
    <row r="1730" spans="1:6" x14ac:dyDescent="0.35">
      <c r="A1730" s="2">
        <f ca="1">IFERROR(__xludf.DUMMYFUNCTION("""COMPUTED_VALUE"""),44511.6666666666)</f>
        <v>44511.666666666599</v>
      </c>
      <c r="B1730" s="1">
        <f ca="1">IFERROR(__xludf.DUMMYFUNCTION("""COMPUTED_VALUE"""),146.49)</f>
        <v>146.49</v>
      </c>
      <c r="C1730" s="1">
        <f ca="1">IFERROR(__xludf.DUMMYFUNCTION("""COMPUTED_VALUE"""),147.54)</f>
        <v>147.54</v>
      </c>
      <c r="D1730" s="1">
        <f ca="1">IFERROR(__xludf.DUMMYFUNCTION("""COMPUTED_VALUE"""),145.6)</f>
        <v>145.6</v>
      </c>
      <c r="E1730" s="1">
        <f ca="1">IFERROR(__xludf.DUMMYFUNCTION("""COMPUTED_VALUE"""),145.77)</f>
        <v>145.77000000000001</v>
      </c>
      <c r="F1730" s="1">
        <f ca="1">IFERROR(__xludf.DUMMYFUNCTION("""COMPUTED_VALUE"""),825874)</f>
        <v>825874</v>
      </c>
    </row>
    <row r="1731" spans="1:6" x14ac:dyDescent="0.35">
      <c r="A1731" s="2">
        <f ca="1">IFERROR(__xludf.DUMMYFUNCTION("""COMPUTED_VALUE"""),44512.6666666666)</f>
        <v>44512.666666666599</v>
      </c>
      <c r="B1731" s="1">
        <f ca="1">IFERROR(__xludf.DUMMYFUNCTION("""COMPUTED_VALUE"""),146.62)</f>
        <v>146.62</v>
      </c>
      <c r="C1731" s="1">
        <f ca="1">IFERROR(__xludf.DUMMYFUNCTION("""COMPUTED_VALUE"""),148.85)</f>
        <v>148.85</v>
      </c>
      <c r="D1731" s="1">
        <f ca="1">IFERROR(__xludf.DUMMYFUNCTION("""COMPUTED_VALUE"""),145.41)</f>
        <v>145.41</v>
      </c>
      <c r="E1731" s="1">
        <f ca="1">IFERROR(__xludf.DUMMYFUNCTION("""COMPUTED_VALUE"""),148.68)</f>
        <v>148.68</v>
      </c>
      <c r="F1731" s="1">
        <f ca="1">IFERROR(__xludf.DUMMYFUNCTION("""COMPUTED_VALUE"""),1118000)</f>
        <v>1118000</v>
      </c>
    </row>
    <row r="1732" spans="1:6" x14ac:dyDescent="0.35">
      <c r="A1732" s="2">
        <f ca="1">IFERROR(__xludf.DUMMYFUNCTION("""COMPUTED_VALUE"""),44515.6666666666)</f>
        <v>44515.666666666599</v>
      </c>
      <c r="B1732" s="1">
        <f ca="1">IFERROR(__xludf.DUMMYFUNCTION("""COMPUTED_VALUE"""),148.9)</f>
        <v>148.9</v>
      </c>
      <c r="C1732" s="1">
        <f ca="1">IFERROR(__xludf.DUMMYFUNCTION("""COMPUTED_VALUE"""),149.55)</f>
        <v>149.55000000000001</v>
      </c>
      <c r="D1732" s="1">
        <f ca="1">IFERROR(__xludf.DUMMYFUNCTION("""COMPUTED_VALUE"""),147.57)</f>
        <v>147.57</v>
      </c>
      <c r="E1732" s="1">
        <f ca="1">IFERROR(__xludf.DUMMYFUNCTION("""COMPUTED_VALUE"""),148.45)</f>
        <v>148.44999999999999</v>
      </c>
      <c r="F1732" s="1">
        <f ca="1">IFERROR(__xludf.DUMMYFUNCTION("""COMPUTED_VALUE"""),1175352)</f>
        <v>1175352</v>
      </c>
    </row>
    <row r="1733" spans="1:6" x14ac:dyDescent="0.35">
      <c r="A1733" s="2">
        <f ca="1">IFERROR(__xludf.DUMMYFUNCTION("""COMPUTED_VALUE"""),44516.6666666666)</f>
        <v>44516.666666666599</v>
      </c>
      <c r="B1733" s="1">
        <f ca="1">IFERROR(__xludf.DUMMYFUNCTION("""COMPUTED_VALUE"""),148.15)</f>
        <v>148.15</v>
      </c>
      <c r="C1733" s="1">
        <f ca="1">IFERROR(__xludf.DUMMYFUNCTION("""COMPUTED_VALUE"""),148.76)</f>
        <v>148.76</v>
      </c>
      <c r="D1733" s="1">
        <f ca="1">IFERROR(__xludf.DUMMYFUNCTION("""COMPUTED_VALUE"""),147.31)</f>
        <v>147.31</v>
      </c>
      <c r="E1733" s="1">
        <f ca="1">IFERROR(__xludf.DUMMYFUNCTION("""COMPUTED_VALUE"""),147.88)</f>
        <v>147.88</v>
      </c>
      <c r="F1733" s="1">
        <f ca="1">IFERROR(__xludf.DUMMYFUNCTION("""COMPUTED_VALUE"""),945200)</f>
        <v>945200</v>
      </c>
    </row>
    <row r="1734" spans="1:6" x14ac:dyDescent="0.35">
      <c r="A1734" s="2">
        <f ca="1">IFERROR(__xludf.DUMMYFUNCTION("""COMPUTED_VALUE"""),44517.6666666666)</f>
        <v>44517.666666666599</v>
      </c>
      <c r="B1734" s="1">
        <f ca="1">IFERROR(__xludf.DUMMYFUNCTION("""COMPUTED_VALUE"""),148.03)</f>
        <v>148.03</v>
      </c>
      <c r="C1734" s="1">
        <f ca="1">IFERROR(__xludf.DUMMYFUNCTION("""COMPUTED_VALUE"""),148.56)</f>
        <v>148.56</v>
      </c>
      <c r="D1734" s="1">
        <f ca="1">IFERROR(__xludf.DUMMYFUNCTION("""COMPUTED_VALUE"""),147.24)</f>
        <v>147.24</v>
      </c>
      <c r="E1734" s="1">
        <f ca="1">IFERROR(__xludf.DUMMYFUNCTION("""COMPUTED_VALUE"""),148.05)</f>
        <v>148.05000000000001</v>
      </c>
      <c r="F1734" s="1">
        <f ca="1">IFERROR(__xludf.DUMMYFUNCTION("""COMPUTED_VALUE"""),979975)</f>
        <v>979975</v>
      </c>
    </row>
    <row r="1735" spans="1:6" x14ac:dyDescent="0.35">
      <c r="A1735" s="2">
        <f ca="1">IFERROR(__xludf.DUMMYFUNCTION("""COMPUTED_VALUE"""),44518.6666666666)</f>
        <v>44518.666666666599</v>
      </c>
      <c r="B1735" s="1">
        <f ca="1">IFERROR(__xludf.DUMMYFUNCTION("""COMPUTED_VALUE"""),148.24)</f>
        <v>148.24</v>
      </c>
      <c r="C1735" s="1">
        <f ca="1">IFERROR(__xludf.DUMMYFUNCTION("""COMPUTED_VALUE"""),150.58)</f>
        <v>150.58000000000001</v>
      </c>
      <c r="D1735" s="1">
        <f ca="1">IFERROR(__xludf.DUMMYFUNCTION("""COMPUTED_VALUE"""),147.88)</f>
        <v>147.88</v>
      </c>
      <c r="E1735" s="1">
        <f ca="1">IFERROR(__xludf.DUMMYFUNCTION("""COMPUTED_VALUE"""),149.84)</f>
        <v>149.84</v>
      </c>
      <c r="F1735" s="1">
        <f ca="1">IFERROR(__xludf.DUMMYFUNCTION("""COMPUTED_VALUE"""),1781411)</f>
        <v>1781411</v>
      </c>
    </row>
    <row r="1736" spans="1:6" x14ac:dyDescent="0.35">
      <c r="A1736" s="2">
        <f ca="1">IFERROR(__xludf.DUMMYFUNCTION("""COMPUTED_VALUE"""),44519.6666666666)</f>
        <v>44519.666666666599</v>
      </c>
      <c r="B1736" s="1">
        <f ca="1">IFERROR(__xludf.DUMMYFUNCTION("""COMPUTED_VALUE"""),149.98)</f>
        <v>149.97999999999999</v>
      </c>
      <c r="C1736" s="1">
        <f ca="1">IFERROR(__xludf.DUMMYFUNCTION("""COMPUTED_VALUE"""),150.97)</f>
        <v>150.97</v>
      </c>
      <c r="D1736" s="1">
        <f ca="1">IFERROR(__xludf.DUMMYFUNCTION("""COMPUTED_VALUE"""),148.9)</f>
        <v>148.9</v>
      </c>
      <c r="E1736" s="1">
        <f ca="1">IFERROR(__xludf.DUMMYFUNCTION("""COMPUTED_VALUE"""),148.93)</f>
        <v>148.93</v>
      </c>
      <c r="F1736" s="1">
        <f ca="1">IFERROR(__xludf.DUMMYFUNCTION("""COMPUTED_VALUE"""),1684969)</f>
        <v>1684969</v>
      </c>
    </row>
    <row r="1737" spans="1:6" x14ac:dyDescent="0.35">
      <c r="A1737" s="2">
        <f ca="1">IFERROR(__xludf.DUMMYFUNCTION("""COMPUTED_VALUE"""),44522.6666666666)</f>
        <v>44522.666666666599</v>
      </c>
      <c r="B1737" s="1">
        <f ca="1">IFERROR(__xludf.DUMMYFUNCTION("""COMPUTED_VALUE"""),149.33)</f>
        <v>149.33000000000001</v>
      </c>
      <c r="C1737" s="1">
        <f ca="1">IFERROR(__xludf.DUMMYFUNCTION("""COMPUTED_VALUE"""),149.83)</f>
        <v>149.83000000000001</v>
      </c>
      <c r="D1737" s="1">
        <f ca="1">IFERROR(__xludf.DUMMYFUNCTION("""COMPUTED_VALUE"""),146.15)</f>
        <v>146.15</v>
      </c>
      <c r="E1737" s="1">
        <f ca="1">IFERROR(__xludf.DUMMYFUNCTION("""COMPUTED_VALUE"""),146.3)</f>
        <v>146.30000000000001</v>
      </c>
      <c r="F1737" s="1">
        <f ca="1">IFERROR(__xludf.DUMMYFUNCTION("""COMPUTED_VALUE"""),1531460)</f>
        <v>1531460</v>
      </c>
    </row>
    <row r="1738" spans="1:6" x14ac:dyDescent="0.35">
      <c r="A1738" s="2">
        <f ca="1">IFERROR(__xludf.DUMMYFUNCTION("""COMPUTED_VALUE"""),44523.6666666666)</f>
        <v>44523.666666666599</v>
      </c>
      <c r="B1738" s="1">
        <f ca="1">IFERROR(__xludf.DUMMYFUNCTION("""COMPUTED_VALUE"""),146.15)</f>
        <v>146.15</v>
      </c>
      <c r="C1738" s="1">
        <f ca="1">IFERROR(__xludf.DUMMYFUNCTION("""COMPUTED_VALUE"""),146.66)</f>
        <v>146.66</v>
      </c>
      <c r="D1738" s="1">
        <f ca="1">IFERROR(__xludf.DUMMYFUNCTION("""COMPUTED_VALUE"""),144.12)</f>
        <v>144.12</v>
      </c>
      <c r="E1738" s="1">
        <f ca="1">IFERROR(__xludf.DUMMYFUNCTION("""COMPUTED_VALUE"""),145.78)</f>
        <v>145.78</v>
      </c>
      <c r="F1738" s="1">
        <f ca="1">IFERROR(__xludf.DUMMYFUNCTION("""COMPUTED_VALUE"""),1361558)</f>
        <v>1361558</v>
      </c>
    </row>
    <row r="1739" spans="1:6" x14ac:dyDescent="0.35">
      <c r="A1739" s="2">
        <f ca="1">IFERROR(__xludf.DUMMYFUNCTION("""COMPUTED_VALUE"""),44524.6666666666)</f>
        <v>44524.666666666599</v>
      </c>
      <c r="B1739" s="1">
        <f ca="1">IFERROR(__xludf.DUMMYFUNCTION("""COMPUTED_VALUE"""),145.47)</f>
        <v>145.47</v>
      </c>
      <c r="C1739" s="1">
        <f ca="1">IFERROR(__xludf.DUMMYFUNCTION("""COMPUTED_VALUE"""),146.25)</f>
        <v>146.25</v>
      </c>
      <c r="D1739" s="1">
        <f ca="1">IFERROR(__xludf.DUMMYFUNCTION("""COMPUTED_VALUE"""),144.37)</f>
        <v>144.37</v>
      </c>
      <c r="E1739" s="1">
        <f ca="1">IFERROR(__xludf.DUMMYFUNCTION("""COMPUTED_VALUE"""),146.12)</f>
        <v>146.12</v>
      </c>
      <c r="F1739" s="1">
        <f ca="1">IFERROR(__xludf.DUMMYFUNCTION("""COMPUTED_VALUE"""),902007)</f>
        <v>902007</v>
      </c>
    </row>
    <row r="1740" spans="1:6" x14ac:dyDescent="0.35">
      <c r="A1740" s="2">
        <f ca="1">IFERROR(__xludf.DUMMYFUNCTION("""COMPUTED_VALUE"""),44526.5416666666)</f>
        <v>44526.541666666599</v>
      </c>
      <c r="B1740" s="1">
        <f ca="1">IFERROR(__xludf.DUMMYFUNCTION("""COMPUTED_VALUE"""),144.35)</f>
        <v>144.35</v>
      </c>
      <c r="C1740" s="1">
        <f ca="1">IFERROR(__xludf.DUMMYFUNCTION("""COMPUTED_VALUE"""),144.56)</f>
        <v>144.56</v>
      </c>
      <c r="D1740" s="1">
        <f ca="1">IFERROR(__xludf.DUMMYFUNCTION("""COMPUTED_VALUE"""),141.84)</f>
        <v>141.84</v>
      </c>
      <c r="E1740" s="1">
        <f ca="1">IFERROR(__xludf.DUMMYFUNCTION("""COMPUTED_VALUE"""),142.18)</f>
        <v>142.18</v>
      </c>
      <c r="F1740" s="1">
        <f ca="1">IFERROR(__xludf.DUMMYFUNCTION("""COMPUTED_VALUE"""),1523462)</f>
        <v>1523462</v>
      </c>
    </row>
    <row r="1741" spans="1:6" x14ac:dyDescent="0.35">
      <c r="A1741" s="2">
        <f ca="1">IFERROR(__xludf.DUMMYFUNCTION("""COMPUTED_VALUE"""),44529.6666666666)</f>
        <v>44529.666666666599</v>
      </c>
      <c r="B1741" s="1">
        <f ca="1">IFERROR(__xludf.DUMMYFUNCTION("""COMPUTED_VALUE"""),144)</f>
        <v>144</v>
      </c>
      <c r="C1741" s="1">
        <f ca="1">IFERROR(__xludf.DUMMYFUNCTION("""COMPUTED_VALUE"""),146.3)</f>
        <v>146.30000000000001</v>
      </c>
      <c r="D1741" s="1">
        <f ca="1">IFERROR(__xludf.DUMMYFUNCTION("""COMPUTED_VALUE"""),143.89)</f>
        <v>143.88999999999999</v>
      </c>
      <c r="E1741" s="1">
        <f ca="1">IFERROR(__xludf.DUMMYFUNCTION("""COMPUTED_VALUE"""),145.53)</f>
        <v>145.53</v>
      </c>
      <c r="F1741" s="1">
        <f ca="1">IFERROR(__xludf.DUMMYFUNCTION("""COMPUTED_VALUE"""),1629752)</f>
        <v>1629752</v>
      </c>
    </row>
    <row r="1742" spans="1:6" x14ac:dyDescent="0.35">
      <c r="A1742" s="2">
        <f ca="1">IFERROR(__xludf.DUMMYFUNCTION("""COMPUTED_VALUE"""),44530.6666666666)</f>
        <v>44530.666666666599</v>
      </c>
      <c r="B1742" s="1">
        <f ca="1">IFERROR(__xludf.DUMMYFUNCTION("""COMPUTED_VALUE"""),145.01)</f>
        <v>145.01</v>
      </c>
      <c r="C1742" s="1">
        <f ca="1">IFERROR(__xludf.DUMMYFUNCTION("""COMPUTED_VALUE"""),146)</f>
        <v>146</v>
      </c>
      <c r="D1742" s="1">
        <f ca="1">IFERROR(__xludf.DUMMYFUNCTION("""COMPUTED_VALUE"""),141.6)</f>
        <v>141.6</v>
      </c>
      <c r="E1742" s="1">
        <f ca="1">IFERROR(__xludf.DUMMYFUNCTION("""COMPUTED_VALUE"""),141.9)</f>
        <v>141.9</v>
      </c>
      <c r="F1742" s="1">
        <f ca="1">IFERROR(__xludf.DUMMYFUNCTION("""COMPUTED_VALUE"""),2103361)</f>
        <v>2103361</v>
      </c>
    </row>
    <row r="1743" spans="1:6" x14ac:dyDescent="0.35">
      <c r="A1743" s="2">
        <f ca="1">IFERROR(__xludf.DUMMYFUNCTION("""COMPUTED_VALUE"""),44531.6666666666)</f>
        <v>44531.666666666599</v>
      </c>
      <c r="B1743" s="1">
        <f ca="1">IFERROR(__xludf.DUMMYFUNCTION("""COMPUTED_VALUE"""),144)</f>
        <v>144</v>
      </c>
      <c r="C1743" s="1">
        <f ca="1">IFERROR(__xludf.DUMMYFUNCTION("""COMPUTED_VALUE"""),145.95)</f>
        <v>145.94999999999999</v>
      </c>
      <c r="D1743" s="1">
        <f ca="1">IFERROR(__xludf.DUMMYFUNCTION("""COMPUTED_VALUE"""),140.91)</f>
        <v>140.91</v>
      </c>
      <c r="E1743" s="1">
        <f ca="1">IFERROR(__xludf.DUMMYFUNCTION("""COMPUTED_VALUE"""),141.05)</f>
        <v>141.05000000000001</v>
      </c>
      <c r="F1743" s="1">
        <f ca="1">IFERROR(__xludf.DUMMYFUNCTION("""COMPUTED_VALUE"""),1702762)</f>
        <v>1702762</v>
      </c>
    </row>
    <row r="1744" spans="1:6" x14ac:dyDescent="0.35">
      <c r="A1744" s="2">
        <f ca="1">IFERROR(__xludf.DUMMYFUNCTION("""COMPUTED_VALUE"""),44532.6666666666)</f>
        <v>44532.666666666599</v>
      </c>
      <c r="B1744" s="1">
        <f ca="1">IFERROR(__xludf.DUMMYFUNCTION("""COMPUTED_VALUE"""),141.25)</f>
        <v>141.25</v>
      </c>
      <c r="C1744" s="1">
        <f ca="1">IFERROR(__xludf.DUMMYFUNCTION("""COMPUTED_VALUE"""),143.86)</f>
        <v>143.86000000000001</v>
      </c>
      <c r="D1744" s="1">
        <f ca="1">IFERROR(__xludf.DUMMYFUNCTION("""COMPUTED_VALUE"""),140.21)</f>
        <v>140.21</v>
      </c>
      <c r="E1744" s="1">
        <f ca="1">IFERROR(__xludf.DUMMYFUNCTION("""COMPUTED_VALUE"""),142.97)</f>
        <v>142.97</v>
      </c>
      <c r="F1744" s="1">
        <f ca="1">IFERROR(__xludf.DUMMYFUNCTION("""COMPUTED_VALUE"""),1459742)</f>
        <v>1459742</v>
      </c>
    </row>
    <row r="1745" spans="1:6" x14ac:dyDescent="0.35">
      <c r="A1745" s="2">
        <f ca="1">IFERROR(__xludf.DUMMYFUNCTION("""COMPUTED_VALUE"""),44533.6666666666)</f>
        <v>44533.666666666599</v>
      </c>
      <c r="B1745" s="1">
        <f ca="1">IFERROR(__xludf.DUMMYFUNCTION("""COMPUTED_VALUE"""),143.68)</f>
        <v>143.68</v>
      </c>
      <c r="C1745" s="1">
        <f ca="1">IFERROR(__xludf.DUMMYFUNCTION("""COMPUTED_VALUE"""),144.4)</f>
        <v>144.4</v>
      </c>
      <c r="D1745" s="1">
        <f ca="1">IFERROR(__xludf.DUMMYFUNCTION("""COMPUTED_VALUE"""),140.3)</f>
        <v>140.30000000000001</v>
      </c>
      <c r="E1745" s="1">
        <f ca="1">IFERROR(__xludf.DUMMYFUNCTION("""COMPUTED_VALUE"""),142)</f>
        <v>142</v>
      </c>
      <c r="F1745" s="1">
        <f ca="1">IFERROR(__xludf.DUMMYFUNCTION("""COMPUTED_VALUE"""),2061508)</f>
        <v>2061508</v>
      </c>
    </row>
    <row r="1746" spans="1:6" x14ac:dyDescent="0.35">
      <c r="A1746" s="2">
        <f ca="1">IFERROR(__xludf.DUMMYFUNCTION("""COMPUTED_VALUE"""),44536.6666666666)</f>
        <v>44536.666666666599</v>
      </c>
      <c r="B1746" s="1">
        <f ca="1">IFERROR(__xludf.DUMMYFUNCTION("""COMPUTED_VALUE"""),143.04)</f>
        <v>143.04</v>
      </c>
      <c r="C1746" s="1">
        <f ca="1">IFERROR(__xludf.DUMMYFUNCTION("""COMPUTED_VALUE"""),143.85)</f>
        <v>143.85</v>
      </c>
      <c r="D1746" s="1">
        <f ca="1">IFERROR(__xludf.DUMMYFUNCTION("""COMPUTED_VALUE"""),140.15)</f>
        <v>140.15</v>
      </c>
      <c r="E1746" s="1">
        <f ca="1">IFERROR(__xludf.DUMMYFUNCTION("""COMPUTED_VALUE"""),143.16)</f>
        <v>143.16</v>
      </c>
      <c r="F1746" s="1">
        <f ca="1">IFERROR(__xludf.DUMMYFUNCTION("""COMPUTED_VALUE"""),1530905)</f>
        <v>1530905</v>
      </c>
    </row>
    <row r="1747" spans="1:6" x14ac:dyDescent="0.35">
      <c r="A1747" s="2">
        <f ca="1">IFERROR(__xludf.DUMMYFUNCTION("""COMPUTED_VALUE"""),44537.6666666666)</f>
        <v>44537.666666666599</v>
      </c>
      <c r="B1747" s="1">
        <f ca="1">IFERROR(__xludf.DUMMYFUNCTION("""COMPUTED_VALUE"""),145.6)</f>
        <v>145.6</v>
      </c>
      <c r="C1747" s="1">
        <f ca="1">IFERROR(__xludf.DUMMYFUNCTION("""COMPUTED_VALUE"""),147.53)</f>
        <v>147.53</v>
      </c>
      <c r="D1747" s="1">
        <f ca="1">IFERROR(__xludf.DUMMYFUNCTION("""COMPUTED_VALUE"""),145.23)</f>
        <v>145.22999999999999</v>
      </c>
      <c r="E1747" s="1">
        <f ca="1">IFERROR(__xludf.DUMMYFUNCTION("""COMPUTED_VALUE"""),147.27)</f>
        <v>147.27000000000001</v>
      </c>
      <c r="F1747" s="1">
        <f ca="1">IFERROR(__xludf.DUMMYFUNCTION("""COMPUTED_VALUE"""),1612015)</f>
        <v>1612015</v>
      </c>
    </row>
    <row r="1748" spans="1:6" x14ac:dyDescent="0.35">
      <c r="A1748" s="2">
        <f ca="1">IFERROR(__xludf.DUMMYFUNCTION("""COMPUTED_VALUE"""),44538.6666666666)</f>
        <v>44538.666666666599</v>
      </c>
      <c r="B1748" s="1">
        <f ca="1">IFERROR(__xludf.DUMMYFUNCTION("""COMPUTED_VALUE"""),147.6)</f>
        <v>147.6</v>
      </c>
      <c r="C1748" s="1">
        <f ca="1">IFERROR(__xludf.DUMMYFUNCTION("""COMPUTED_VALUE"""),148.39)</f>
        <v>148.38999999999999</v>
      </c>
      <c r="D1748" s="1">
        <f ca="1">IFERROR(__xludf.DUMMYFUNCTION("""COMPUTED_VALUE"""),146.41)</f>
        <v>146.41</v>
      </c>
      <c r="E1748" s="1">
        <f ca="1">IFERROR(__xludf.DUMMYFUNCTION("""COMPUTED_VALUE"""),148.19)</f>
        <v>148.19</v>
      </c>
      <c r="F1748" s="1">
        <f ca="1">IFERROR(__xludf.DUMMYFUNCTION("""COMPUTED_VALUE"""),1213516)</f>
        <v>1213516</v>
      </c>
    </row>
    <row r="1749" spans="1:6" x14ac:dyDescent="0.35">
      <c r="A1749" s="2">
        <f ca="1">IFERROR(__xludf.DUMMYFUNCTION("""COMPUTED_VALUE"""),44539.6666666666)</f>
        <v>44539.666666666599</v>
      </c>
      <c r="B1749" s="1">
        <f ca="1">IFERROR(__xludf.DUMMYFUNCTION("""COMPUTED_VALUE"""),147.59)</f>
        <v>147.59</v>
      </c>
      <c r="C1749" s="1">
        <f ca="1">IFERROR(__xludf.DUMMYFUNCTION("""COMPUTED_VALUE"""),149.1)</f>
        <v>149.1</v>
      </c>
      <c r="D1749" s="1">
        <f ca="1">IFERROR(__xludf.DUMMYFUNCTION("""COMPUTED_VALUE"""),147.12)</f>
        <v>147.12</v>
      </c>
      <c r="E1749" s="1">
        <f ca="1">IFERROR(__xludf.DUMMYFUNCTION("""COMPUTED_VALUE"""),147.64)</f>
        <v>147.63999999999999</v>
      </c>
      <c r="F1749" s="1">
        <f ca="1">IFERROR(__xludf.DUMMYFUNCTION("""COMPUTED_VALUE"""),1163486)</f>
        <v>1163486</v>
      </c>
    </row>
    <row r="1750" spans="1:6" x14ac:dyDescent="0.35">
      <c r="A1750" s="2">
        <f ca="1">IFERROR(__xludf.DUMMYFUNCTION("""COMPUTED_VALUE"""),44540.6666666666)</f>
        <v>44540.666666666599</v>
      </c>
      <c r="B1750" s="1">
        <f ca="1">IFERROR(__xludf.DUMMYFUNCTION("""COMPUTED_VALUE"""),148.7)</f>
        <v>148.69999999999999</v>
      </c>
      <c r="C1750" s="1">
        <f ca="1">IFERROR(__xludf.DUMMYFUNCTION("""COMPUTED_VALUE"""),148.98)</f>
        <v>148.97999999999999</v>
      </c>
      <c r="D1750" s="1">
        <f ca="1">IFERROR(__xludf.DUMMYFUNCTION("""COMPUTED_VALUE"""),146.7)</f>
        <v>146.69999999999999</v>
      </c>
      <c r="E1750" s="1">
        <f ca="1">IFERROR(__xludf.DUMMYFUNCTION("""COMPUTED_VALUE"""),148)</f>
        <v>148</v>
      </c>
      <c r="F1750" s="1">
        <f ca="1">IFERROR(__xludf.DUMMYFUNCTION("""COMPUTED_VALUE"""),1223138)</f>
        <v>1223138</v>
      </c>
    </row>
    <row r="1751" spans="1:6" x14ac:dyDescent="0.35">
      <c r="A1751" s="2">
        <f ca="1">IFERROR(__xludf.DUMMYFUNCTION("""COMPUTED_VALUE"""),44543.6666666666)</f>
        <v>44543.666666666599</v>
      </c>
      <c r="B1751" s="1">
        <f ca="1">IFERROR(__xludf.DUMMYFUNCTION("""COMPUTED_VALUE"""),147.78)</f>
        <v>147.78</v>
      </c>
      <c r="C1751" s="1">
        <f ca="1">IFERROR(__xludf.DUMMYFUNCTION("""COMPUTED_VALUE"""),147.97)</f>
        <v>147.97</v>
      </c>
      <c r="D1751" s="1">
        <f ca="1">IFERROR(__xludf.DUMMYFUNCTION("""COMPUTED_VALUE"""),145.52)</f>
        <v>145.52000000000001</v>
      </c>
      <c r="E1751" s="1">
        <f ca="1">IFERROR(__xludf.DUMMYFUNCTION("""COMPUTED_VALUE"""),145.83)</f>
        <v>145.83000000000001</v>
      </c>
      <c r="F1751" s="1">
        <f ca="1">IFERROR(__xludf.DUMMYFUNCTION("""COMPUTED_VALUE"""),1353470)</f>
        <v>1353470</v>
      </c>
    </row>
    <row r="1752" spans="1:6" x14ac:dyDescent="0.35">
      <c r="A1752" s="2">
        <f ca="1">IFERROR(__xludf.DUMMYFUNCTION("""COMPUTED_VALUE"""),44544.6666666666)</f>
        <v>44544.666666666599</v>
      </c>
      <c r="B1752" s="1">
        <f ca="1">IFERROR(__xludf.DUMMYFUNCTION("""COMPUTED_VALUE"""),143.97)</f>
        <v>143.97</v>
      </c>
      <c r="C1752" s="1">
        <f ca="1">IFERROR(__xludf.DUMMYFUNCTION("""COMPUTED_VALUE"""),144.48)</f>
        <v>144.47999999999999</v>
      </c>
      <c r="D1752" s="1">
        <f ca="1">IFERROR(__xludf.DUMMYFUNCTION("""COMPUTED_VALUE"""),141.21)</f>
        <v>141.21</v>
      </c>
      <c r="E1752" s="1">
        <f ca="1">IFERROR(__xludf.DUMMYFUNCTION("""COMPUTED_VALUE"""),143.91)</f>
        <v>143.91</v>
      </c>
      <c r="F1752" s="1">
        <f ca="1">IFERROR(__xludf.DUMMYFUNCTION("""COMPUTED_VALUE"""),1922312)</f>
        <v>1922312</v>
      </c>
    </row>
    <row r="1753" spans="1:6" x14ac:dyDescent="0.35">
      <c r="A1753" s="2">
        <f ca="1">IFERROR(__xludf.DUMMYFUNCTION("""COMPUTED_VALUE"""),44545.6666666666)</f>
        <v>44545.666666666599</v>
      </c>
      <c r="B1753" s="1">
        <f ca="1">IFERROR(__xludf.DUMMYFUNCTION("""COMPUTED_VALUE"""),143.41)</f>
        <v>143.41</v>
      </c>
      <c r="C1753" s="1">
        <f ca="1">IFERROR(__xludf.DUMMYFUNCTION("""COMPUTED_VALUE"""),146.72)</f>
        <v>146.72</v>
      </c>
      <c r="D1753" s="1">
        <f ca="1">IFERROR(__xludf.DUMMYFUNCTION("""COMPUTED_VALUE"""),141.68)</f>
        <v>141.68</v>
      </c>
      <c r="E1753" s="1">
        <f ca="1">IFERROR(__xludf.DUMMYFUNCTION("""COMPUTED_VALUE"""),146.44)</f>
        <v>146.44</v>
      </c>
      <c r="F1753" s="1">
        <f ca="1">IFERROR(__xludf.DUMMYFUNCTION("""COMPUTED_VALUE"""),1818523)</f>
        <v>1818523</v>
      </c>
    </row>
    <row r="1754" spans="1:6" x14ac:dyDescent="0.35">
      <c r="A1754" s="2">
        <f ca="1">IFERROR(__xludf.DUMMYFUNCTION("""COMPUTED_VALUE"""),44546.6666666666)</f>
        <v>44546.666666666599</v>
      </c>
      <c r="B1754" s="1">
        <f ca="1">IFERROR(__xludf.DUMMYFUNCTION("""COMPUTED_VALUE"""),147.17)</f>
        <v>147.16999999999999</v>
      </c>
      <c r="C1754" s="1">
        <f ca="1">IFERROR(__xludf.DUMMYFUNCTION("""COMPUTED_VALUE"""),147.68)</f>
        <v>147.68</v>
      </c>
      <c r="D1754" s="1">
        <f ca="1">IFERROR(__xludf.DUMMYFUNCTION("""COMPUTED_VALUE"""),143.61)</f>
        <v>143.61000000000001</v>
      </c>
      <c r="E1754" s="1">
        <f ca="1">IFERROR(__xludf.DUMMYFUNCTION("""COMPUTED_VALUE"""),144.45)</f>
        <v>144.44999999999999</v>
      </c>
      <c r="F1754" s="1">
        <f ca="1">IFERROR(__xludf.DUMMYFUNCTION("""COMPUTED_VALUE"""),1682519)</f>
        <v>1682519</v>
      </c>
    </row>
    <row r="1755" spans="1:6" x14ac:dyDescent="0.35">
      <c r="A1755" s="2">
        <f ca="1">IFERROR(__xludf.DUMMYFUNCTION("""COMPUTED_VALUE"""),44547.6666666666)</f>
        <v>44547.666666666599</v>
      </c>
      <c r="B1755" s="1">
        <f ca="1">IFERROR(__xludf.DUMMYFUNCTION("""COMPUTED_VALUE"""),142.5)</f>
        <v>142.5</v>
      </c>
      <c r="C1755" s="1">
        <f ca="1">IFERROR(__xludf.DUMMYFUNCTION("""COMPUTED_VALUE"""),143.83)</f>
        <v>143.83000000000001</v>
      </c>
      <c r="D1755" s="1">
        <f ca="1">IFERROR(__xludf.DUMMYFUNCTION("""COMPUTED_VALUE"""),141.3)</f>
        <v>141.30000000000001</v>
      </c>
      <c r="E1755" s="1">
        <f ca="1">IFERROR(__xludf.DUMMYFUNCTION("""COMPUTED_VALUE"""),141.73)</f>
        <v>141.72999999999999</v>
      </c>
      <c r="F1755" s="1">
        <f ca="1">IFERROR(__xludf.DUMMYFUNCTION("""COMPUTED_VALUE"""),2550894)</f>
        <v>2550894</v>
      </c>
    </row>
    <row r="1756" spans="1:6" x14ac:dyDescent="0.35">
      <c r="A1756" s="2">
        <f ca="1">IFERROR(__xludf.DUMMYFUNCTION("""COMPUTED_VALUE"""),44550.6666666666)</f>
        <v>44550.666666666599</v>
      </c>
      <c r="B1756" s="1">
        <f ca="1">IFERROR(__xludf.DUMMYFUNCTION("""COMPUTED_VALUE"""),140)</f>
        <v>140</v>
      </c>
      <c r="C1756" s="1">
        <f ca="1">IFERROR(__xludf.DUMMYFUNCTION("""COMPUTED_VALUE"""),141.77)</f>
        <v>141.77000000000001</v>
      </c>
      <c r="D1756" s="1">
        <f ca="1">IFERROR(__xludf.DUMMYFUNCTION("""COMPUTED_VALUE"""),139.32)</f>
        <v>139.32</v>
      </c>
      <c r="E1756" s="1">
        <f ca="1">IFERROR(__xludf.DUMMYFUNCTION("""COMPUTED_VALUE"""),141.61)</f>
        <v>141.61000000000001</v>
      </c>
      <c r="F1756" s="1">
        <f ca="1">IFERROR(__xludf.DUMMYFUNCTION("""COMPUTED_VALUE"""),1359618)</f>
        <v>1359618</v>
      </c>
    </row>
    <row r="1757" spans="1:6" x14ac:dyDescent="0.35">
      <c r="A1757" s="2">
        <f ca="1">IFERROR(__xludf.DUMMYFUNCTION("""COMPUTED_VALUE"""),44551.6666666666)</f>
        <v>44551.666666666599</v>
      </c>
      <c r="B1757" s="1">
        <f ca="1">IFERROR(__xludf.DUMMYFUNCTION("""COMPUTED_VALUE"""),142.05)</f>
        <v>142.05000000000001</v>
      </c>
      <c r="C1757" s="1">
        <f ca="1">IFERROR(__xludf.DUMMYFUNCTION("""COMPUTED_VALUE"""),143.87)</f>
        <v>143.87</v>
      </c>
      <c r="D1757" s="1">
        <f ca="1">IFERROR(__xludf.DUMMYFUNCTION("""COMPUTED_VALUE"""),140.5)</f>
        <v>140.5</v>
      </c>
      <c r="E1757" s="1">
        <f ca="1">IFERROR(__xludf.DUMMYFUNCTION("""COMPUTED_VALUE"""),143.47)</f>
        <v>143.47</v>
      </c>
      <c r="F1757" s="1">
        <f ca="1">IFERROR(__xludf.DUMMYFUNCTION("""COMPUTED_VALUE"""),1437768)</f>
        <v>1437768</v>
      </c>
    </row>
    <row r="1758" spans="1:6" x14ac:dyDescent="0.35">
      <c r="A1758" s="2">
        <f ca="1">IFERROR(__xludf.DUMMYFUNCTION("""COMPUTED_VALUE"""),44552.6666666666)</f>
        <v>44552.666666666599</v>
      </c>
      <c r="B1758" s="1">
        <f ca="1">IFERROR(__xludf.DUMMYFUNCTION("""COMPUTED_VALUE"""),143.07)</f>
        <v>143.07</v>
      </c>
      <c r="C1758" s="1">
        <f ca="1">IFERROR(__xludf.DUMMYFUNCTION("""COMPUTED_VALUE"""),146.5)</f>
        <v>146.5</v>
      </c>
      <c r="D1758" s="1">
        <f ca="1">IFERROR(__xludf.DUMMYFUNCTION("""COMPUTED_VALUE"""),143.07)</f>
        <v>143.07</v>
      </c>
      <c r="E1758" s="1">
        <f ca="1">IFERROR(__xludf.DUMMYFUNCTION("""COMPUTED_VALUE"""),146.42)</f>
        <v>146.41999999999999</v>
      </c>
      <c r="F1758" s="1">
        <f ca="1">IFERROR(__xludf.DUMMYFUNCTION("""COMPUTED_VALUE"""),1316119)</f>
        <v>1316119</v>
      </c>
    </row>
    <row r="1759" spans="1:6" x14ac:dyDescent="0.35">
      <c r="A1759" s="2">
        <f ca="1">IFERROR(__xludf.DUMMYFUNCTION("""COMPUTED_VALUE"""),44553.6666666666)</f>
        <v>44553.666666666599</v>
      </c>
      <c r="B1759" s="1">
        <f ca="1">IFERROR(__xludf.DUMMYFUNCTION("""COMPUTED_VALUE"""),146.5)</f>
        <v>146.5</v>
      </c>
      <c r="C1759" s="1">
        <f ca="1">IFERROR(__xludf.DUMMYFUNCTION("""COMPUTED_VALUE"""),148.24)</f>
        <v>148.24</v>
      </c>
      <c r="D1759" s="1">
        <f ca="1">IFERROR(__xludf.DUMMYFUNCTION("""COMPUTED_VALUE"""),146.45)</f>
        <v>146.44999999999999</v>
      </c>
      <c r="E1759" s="1">
        <f ca="1">IFERROR(__xludf.DUMMYFUNCTION("""COMPUTED_VALUE"""),146.92)</f>
        <v>146.91999999999999</v>
      </c>
      <c r="F1759" s="1">
        <f ca="1">IFERROR(__xludf.DUMMYFUNCTION("""COMPUTED_VALUE"""),1319172)</f>
        <v>1319172</v>
      </c>
    </row>
    <row r="1760" spans="1:6" x14ac:dyDescent="0.35">
      <c r="A1760" s="2">
        <f ca="1">IFERROR(__xludf.DUMMYFUNCTION("""COMPUTED_VALUE"""),44557.6666666666)</f>
        <v>44557.666666666599</v>
      </c>
      <c r="B1760" s="1">
        <f ca="1">IFERROR(__xludf.DUMMYFUNCTION("""COMPUTED_VALUE"""),147.26)</f>
        <v>147.26</v>
      </c>
      <c r="C1760" s="1">
        <f ca="1">IFERROR(__xludf.DUMMYFUNCTION("""COMPUTED_VALUE"""),148.34)</f>
        <v>148.34</v>
      </c>
      <c r="D1760" s="1">
        <f ca="1">IFERROR(__xludf.DUMMYFUNCTION("""COMPUTED_VALUE"""),147.17)</f>
        <v>147.16999999999999</v>
      </c>
      <c r="E1760" s="1">
        <f ca="1">IFERROR(__xludf.DUMMYFUNCTION("""COMPUTED_VALUE"""),147.91)</f>
        <v>147.91</v>
      </c>
      <c r="F1760" s="1">
        <f ca="1">IFERROR(__xludf.DUMMYFUNCTION("""COMPUTED_VALUE"""),799223)</f>
        <v>799223</v>
      </c>
    </row>
    <row r="1761" spans="1:6" x14ac:dyDescent="0.35">
      <c r="A1761" s="2">
        <f ca="1">IFERROR(__xludf.DUMMYFUNCTION("""COMPUTED_VALUE"""),44558.6666666666)</f>
        <v>44558.666666666599</v>
      </c>
      <c r="B1761" s="1">
        <f ca="1">IFERROR(__xludf.DUMMYFUNCTION("""COMPUTED_VALUE"""),148.24)</f>
        <v>148.24</v>
      </c>
      <c r="C1761" s="1">
        <f ca="1">IFERROR(__xludf.DUMMYFUNCTION("""COMPUTED_VALUE"""),148.3)</f>
        <v>148.30000000000001</v>
      </c>
      <c r="D1761" s="1">
        <f ca="1">IFERROR(__xludf.DUMMYFUNCTION("""COMPUTED_VALUE"""),146.05)</f>
        <v>146.05000000000001</v>
      </c>
      <c r="E1761" s="1">
        <f ca="1">IFERROR(__xludf.DUMMYFUNCTION("""COMPUTED_VALUE"""),146.69)</f>
        <v>146.69</v>
      </c>
      <c r="F1761" s="1">
        <f ca="1">IFERROR(__xludf.DUMMYFUNCTION("""COMPUTED_VALUE"""),912715)</f>
        <v>912715</v>
      </c>
    </row>
    <row r="1762" spans="1:6" x14ac:dyDescent="0.35">
      <c r="A1762" s="2">
        <f ca="1">IFERROR(__xludf.DUMMYFUNCTION("""COMPUTED_VALUE"""),44559.6666666666)</f>
        <v>44559.666666666599</v>
      </c>
      <c r="B1762" s="1">
        <f ca="1">IFERROR(__xludf.DUMMYFUNCTION("""COMPUTED_VALUE"""),146.64)</f>
        <v>146.63999999999999</v>
      </c>
      <c r="C1762" s="1">
        <f ca="1">IFERROR(__xludf.DUMMYFUNCTION("""COMPUTED_VALUE"""),147.42)</f>
        <v>147.41999999999999</v>
      </c>
      <c r="D1762" s="1">
        <f ca="1">IFERROR(__xludf.DUMMYFUNCTION("""COMPUTED_VALUE"""),145.65)</f>
        <v>145.65</v>
      </c>
      <c r="E1762" s="1">
        <f ca="1">IFERROR(__xludf.DUMMYFUNCTION("""COMPUTED_VALUE"""),146.66)</f>
        <v>146.66</v>
      </c>
      <c r="F1762" s="1">
        <f ca="1">IFERROR(__xludf.DUMMYFUNCTION("""COMPUTED_VALUE"""),889373)</f>
        <v>889373</v>
      </c>
    </row>
    <row r="1763" spans="1:6" x14ac:dyDescent="0.35">
      <c r="A1763" s="2">
        <f ca="1">IFERROR(__xludf.DUMMYFUNCTION("""COMPUTED_VALUE"""),44560.6666666666)</f>
        <v>44560.666666666599</v>
      </c>
      <c r="B1763" s="1">
        <f ca="1">IFERROR(__xludf.DUMMYFUNCTION("""COMPUTED_VALUE"""),146.69)</f>
        <v>146.69</v>
      </c>
      <c r="C1763" s="1">
        <f ca="1">IFERROR(__xludf.DUMMYFUNCTION("""COMPUTED_VALUE"""),147.3)</f>
        <v>147.30000000000001</v>
      </c>
      <c r="D1763" s="1">
        <f ca="1">IFERROR(__xludf.DUMMYFUNCTION("""COMPUTED_VALUE"""),145.99)</f>
        <v>145.99</v>
      </c>
      <c r="E1763" s="1">
        <f ca="1">IFERROR(__xludf.DUMMYFUNCTION("""COMPUTED_VALUE"""),146.2)</f>
        <v>146.19999999999999</v>
      </c>
      <c r="F1763" s="1">
        <f ca="1">IFERROR(__xludf.DUMMYFUNCTION("""COMPUTED_VALUE"""),784386)</f>
        <v>784386</v>
      </c>
    </row>
    <row r="1764" spans="1:6" x14ac:dyDescent="0.35">
      <c r="A1764" s="2">
        <f ca="1">IFERROR(__xludf.DUMMYFUNCTION("""COMPUTED_VALUE"""),44561.6666666666)</f>
        <v>44561.666666666599</v>
      </c>
      <c r="B1764" s="1">
        <f ca="1">IFERROR(__xludf.DUMMYFUNCTION("""COMPUTED_VALUE"""),146.05)</f>
        <v>146.05000000000001</v>
      </c>
      <c r="C1764" s="1">
        <f ca="1">IFERROR(__xludf.DUMMYFUNCTION("""COMPUTED_VALUE"""),146.7)</f>
        <v>146.69999999999999</v>
      </c>
      <c r="D1764" s="1">
        <f ca="1">IFERROR(__xludf.DUMMYFUNCTION("""COMPUTED_VALUE"""),144.85)</f>
        <v>144.85</v>
      </c>
      <c r="E1764" s="1">
        <f ca="1">IFERROR(__xludf.DUMMYFUNCTION("""COMPUTED_VALUE"""),144.85)</f>
        <v>144.85</v>
      </c>
      <c r="F1764" s="1">
        <f ca="1">IFERROR(__xludf.DUMMYFUNCTION("""COMPUTED_VALUE"""),906759)</f>
        <v>906759</v>
      </c>
    </row>
    <row r="1765" spans="1:6" x14ac:dyDescent="0.35">
      <c r="A1765" s="2">
        <f ca="1">IFERROR(__xludf.DUMMYFUNCTION("""COMPUTED_VALUE"""),44564.6666666666)</f>
        <v>44564.666666666599</v>
      </c>
      <c r="B1765" s="1">
        <f ca="1">IFERROR(__xludf.DUMMYFUNCTION("""COMPUTED_VALUE"""),145.06)</f>
        <v>145.06</v>
      </c>
      <c r="C1765" s="1">
        <f ca="1">IFERROR(__xludf.DUMMYFUNCTION("""COMPUTED_VALUE"""),145.85)</f>
        <v>145.85</v>
      </c>
      <c r="D1765" s="1">
        <f ca="1">IFERROR(__xludf.DUMMYFUNCTION("""COMPUTED_VALUE"""),143.71)</f>
        <v>143.71</v>
      </c>
      <c r="E1765" s="1">
        <f ca="1">IFERROR(__xludf.DUMMYFUNCTION("""COMPUTED_VALUE"""),144.99)</f>
        <v>144.99</v>
      </c>
      <c r="F1765" s="1">
        <f ca="1">IFERROR(__xludf.DUMMYFUNCTION("""COMPUTED_VALUE"""),1433947)</f>
        <v>1433947</v>
      </c>
    </row>
    <row r="1766" spans="1:6" x14ac:dyDescent="0.35">
      <c r="A1766" s="2">
        <f ca="1">IFERROR(__xludf.DUMMYFUNCTION("""COMPUTED_VALUE"""),44565.6666666666)</f>
        <v>44565.666666666599</v>
      </c>
      <c r="B1766" s="1">
        <f ca="1">IFERROR(__xludf.DUMMYFUNCTION("""COMPUTED_VALUE"""),145.4)</f>
        <v>145.4</v>
      </c>
      <c r="C1766" s="1">
        <f ca="1">IFERROR(__xludf.DUMMYFUNCTION("""COMPUTED_VALUE"""),146.48)</f>
        <v>146.47999999999999</v>
      </c>
      <c r="D1766" s="1">
        <f ca="1">IFERROR(__xludf.DUMMYFUNCTION("""COMPUTED_VALUE"""),143.72)</f>
        <v>143.72</v>
      </c>
      <c r="E1766" s="1">
        <f ca="1">IFERROR(__xludf.DUMMYFUNCTION("""COMPUTED_VALUE"""),144.4)</f>
        <v>144.4</v>
      </c>
      <c r="F1766" s="1">
        <f ca="1">IFERROR(__xludf.DUMMYFUNCTION("""COMPUTED_VALUE"""),1419972)</f>
        <v>1419972</v>
      </c>
    </row>
    <row r="1767" spans="1:6" x14ac:dyDescent="0.35">
      <c r="A1767" s="2">
        <f ca="1">IFERROR(__xludf.DUMMYFUNCTION("""COMPUTED_VALUE"""),44566.6666666666)</f>
        <v>44566.666666666599</v>
      </c>
      <c r="B1767" s="1">
        <f ca="1">IFERROR(__xludf.DUMMYFUNCTION("""COMPUTED_VALUE"""),144.42)</f>
        <v>144.41999999999999</v>
      </c>
      <c r="C1767" s="1">
        <f ca="1">IFERROR(__xludf.DUMMYFUNCTION("""COMPUTED_VALUE"""),144.5)</f>
        <v>144.5</v>
      </c>
      <c r="D1767" s="1">
        <f ca="1">IFERROR(__xludf.DUMMYFUNCTION("""COMPUTED_VALUE"""),137.69)</f>
        <v>137.69</v>
      </c>
      <c r="E1767" s="1">
        <f ca="1">IFERROR(__xludf.DUMMYFUNCTION("""COMPUTED_VALUE"""),137.78)</f>
        <v>137.78</v>
      </c>
      <c r="F1767" s="1">
        <f ca="1">IFERROR(__xludf.DUMMYFUNCTION("""COMPUTED_VALUE"""),2730914)</f>
        <v>2730914</v>
      </c>
    </row>
    <row r="1768" spans="1:6" x14ac:dyDescent="0.35">
      <c r="A1768" s="2">
        <f ca="1">IFERROR(__xludf.DUMMYFUNCTION("""COMPUTED_VALUE"""),44567.6666666666)</f>
        <v>44567.666666666599</v>
      </c>
      <c r="B1768" s="1">
        <f ca="1">IFERROR(__xludf.DUMMYFUNCTION("""COMPUTED_VALUE"""),137)</f>
        <v>137</v>
      </c>
      <c r="C1768" s="1">
        <f ca="1">IFERROR(__xludf.DUMMYFUNCTION("""COMPUTED_VALUE"""),139.94)</f>
        <v>139.94</v>
      </c>
      <c r="D1768" s="1">
        <f ca="1">IFERROR(__xludf.DUMMYFUNCTION("""COMPUTED_VALUE"""),136.56)</f>
        <v>136.56</v>
      </c>
      <c r="E1768" s="1">
        <f ca="1">IFERROR(__xludf.DUMMYFUNCTION("""COMPUTED_VALUE"""),137.75)</f>
        <v>137.75</v>
      </c>
      <c r="F1768" s="1">
        <f ca="1">IFERROR(__xludf.DUMMYFUNCTION("""COMPUTED_VALUE"""),1867371)</f>
        <v>1867371</v>
      </c>
    </row>
    <row r="1769" spans="1:6" x14ac:dyDescent="0.35">
      <c r="A1769" s="2">
        <f ca="1">IFERROR(__xludf.DUMMYFUNCTION("""COMPUTED_VALUE"""),44568.6666666666)</f>
        <v>44568.666666666599</v>
      </c>
      <c r="B1769" s="1">
        <f ca="1">IFERROR(__xludf.DUMMYFUNCTION("""COMPUTED_VALUE"""),138.15)</f>
        <v>138.15</v>
      </c>
      <c r="C1769" s="1">
        <f ca="1">IFERROR(__xludf.DUMMYFUNCTION("""COMPUTED_VALUE"""),138.45)</f>
        <v>138.44999999999999</v>
      </c>
      <c r="D1769" s="1">
        <f ca="1">IFERROR(__xludf.DUMMYFUNCTION("""COMPUTED_VALUE"""),135.77)</f>
        <v>135.77000000000001</v>
      </c>
      <c r="E1769" s="1">
        <f ca="1">IFERROR(__xludf.DUMMYFUNCTION("""COMPUTED_VALUE"""),137.02)</f>
        <v>137.02000000000001</v>
      </c>
      <c r="F1769" s="1">
        <f ca="1">IFERROR(__xludf.DUMMYFUNCTION("""COMPUTED_VALUE"""),1488028)</f>
        <v>1488028</v>
      </c>
    </row>
    <row r="1770" spans="1:6" x14ac:dyDescent="0.35">
      <c r="A1770" s="2">
        <f ca="1">IFERROR(__xludf.DUMMYFUNCTION("""COMPUTED_VALUE"""),44571.6666666666)</f>
        <v>44571.666666666599</v>
      </c>
      <c r="B1770" s="1">
        <f ca="1">IFERROR(__xludf.DUMMYFUNCTION("""COMPUTED_VALUE"""),135.08)</f>
        <v>135.08000000000001</v>
      </c>
      <c r="C1770" s="1">
        <f ca="1">IFERROR(__xludf.DUMMYFUNCTION("""COMPUTED_VALUE"""),138.82)</f>
        <v>138.82</v>
      </c>
      <c r="D1770" s="1">
        <f ca="1">IFERROR(__xludf.DUMMYFUNCTION("""COMPUTED_VALUE"""),133.16)</f>
        <v>133.16</v>
      </c>
      <c r="E1770" s="1">
        <f ca="1">IFERROR(__xludf.DUMMYFUNCTION("""COMPUTED_VALUE"""),138.67)</f>
        <v>138.66999999999999</v>
      </c>
      <c r="F1770" s="1">
        <f ca="1">IFERROR(__xludf.DUMMYFUNCTION("""COMPUTED_VALUE"""),2220406)</f>
        <v>2220406</v>
      </c>
    </row>
    <row r="1771" spans="1:6" x14ac:dyDescent="0.35">
      <c r="A1771" s="2">
        <f ca="1">IFERROR(__xludf.DUMMYFUNCTION("""COMPUTED_VALUE"""),44572.6666666666)</f>
        <v>44572.666666666599</v>
      </c>
      <c r="B1771" s="1">
        <f ca="1">IFERROR(__xludf.DUMMYFUNCTION("""COMPUTED_VALUE"""),138.01)</f>
        <v>138.01</v>
      </c>
      <c r="C1771" s="1">
        <f ca="1">IFERROR(__xludf.DUMMYFUNCTION("""COMPUTED_VALUE"""),140.22)</f>
        <v>140.22</v>
      </c>
      <c r="D1771" s="1">
        <f ca="1">IFERROR(__xludf.DUMMYFUNCTION("""COMPUTED_VALUE"""),136.69)</f>
        <v>136.69</v>
      </c>
      <c r="E1771" s="1">
        <f ca="1">IFERROR(__xludf.DUMMYFUNCTION("""COMPUTED_VALUE"""),139.74)</f>
        <v>139.74</v>
      </c>
      <c r="F1771" s="1">
        <f ca="1">IFERROR(__xludf.DUMMYFUNCTION("""COMPUTED_VALUE"""),1436485)</f>
        <v>1436485</v>
      </c>
    </row>
    <row r="1772" spans="1:6" x14ac:dyDescent="0.35">
      <c r="A1772" s="2">
        <f ca="1">IFERROR(__xludf.DUMMYFUNCTION("""COMPUTED_VALUE"""),44573.6666666666)</f>
        <v>44573.666666666599</v>
      </c>
      <c r="B1772" s="1">
        <f ca="1">IFERROR(__xludf.DUMMYFUNCTION("""COMPUTED_VALUE"""),141.15)</f>
        <v>141.15</v>
      </c>
      <c r="C1772" s="1">
        <f ca="1">IFERROR(__xludf.DUMMYFUNCTION("""COMPUTED_VALUE"""),142.61)</f>
        <v>142.61000000000001</v>
      </c>
      <c r="D1772" s="1">
        <f ca="1">IFERROR(__xludf.DUMMYFUNCTION("""COMPUTED_VALUE"""),140.69)</f>
        <v>140.69</v>
      </c>
      <c r="E1772" s="1">
        <f ca="1">IFERROR(__xludf.DUMMYFUNCTION("""COMPUTED_VALUE"""),141.43)</f>
        <v>141.43</v>
      </c>
      <c r="F1772" s="1">
        <f ca="1">IFERROR(__xludf.DUMMYFUNCTION("""COMPUTED_VALUE"""),1305602)</f>
        <v>1305602</v>
      </c>
    </row>
    <row r="1773" spans="1:6" x14ac:dyDescent="0.35">
      <c r="A1773" s="2">
        <f ca="1">IFERROR(__xludf.DUMMYFUNCTION("""COMPUTED_VALUE"""),44574.6666666666)</f>
        <v>44574.666666666599</v>
      </c>
      <c r="B1773" s="1">
        <f ca="1">IFERROR(__xludf.DUMMYFUNCTION("""COMPUTED_VALUE"""),141.54)</f>
        <v>141.54</v>
      </c>
      <c r="C1773" s="1">
        <f ca="1">IFERROR(__xludf.DUMMYFUNCTION("""COMPUTED_VALUE"""),142.85)</f>
        <v>142.85</v>
      </c>
      <c r="D1773" s="1">
        <f ca="1">IFERROR(__xludf.DUMMYFUNCTION("""COMPUTED_VALUE"""),138.41)</f>
        <v>138.41</v>
      </c>
      <c r="E1773" s="1">
        <f ca="1">IFERROR(__xludf.DUMMYFUNCTION("""COMPUTED_VALUE"""),138.59)</f>
        <v>138.59</v>
      </c>
      <c r="F1773" s="1">
        <f ca="1">IFERROR(__xludf.DUMMYFUNCTION("""COMPUTED_VALUE"""),1571830)</f>
        <v>1571830</v>
      </c>
    </row>
    <row r="1774" spans="1:6" x14ac:dyDescent="0.35">
      <c r="A1774" s="2">
        <f ca="1">IFERROR(__xludf.DUMMYFUNCTION("""COMPUTED_VALUE"""),44575.6666666666)</f>
        <v>44575.666666666599</v>
      </c>
      <c r="B1774" s="1">
        <f ca="1">IFERROR(__xludf.DUMMYFUNCTION("""COMPUTED_VALUE"""),137.08)</f>
        <v>137.08000000000001</v>
      </c>
      <c r="C1774" s="1">
        <f ca="1">IFERROR(__xludf.DUMMYFUNCTION("""COMPUTED_VALUE"""),140.74)</f>
        <v>140.74</v>
      </c>
      <c r="D1774" s="1">
        <f ca="1">IFERROR(__xludf.DUMMYFUNCTION("""COMPUTED_VALUE"""),137)</f>
        <v>137</v>
      </c>
      <c r="E1774" s="1">
        <f ca="1">IFERROR(__xludf.DUMMYFUNCTION("""COMPUTED_VALUE"""),139.48)</f>
        <v>139.47999999999999</v>
      </c>
      <c r="F1774" s="1">
        <f ca="1">IFERROR(__xludf.DUMMYFUNCTION("""COMPUTED_VALUE"""),1483064)</f>
        <v>1483064</v>
      </c>
    </row>
    <row r="1775" spans="1:6" x14ac:dyDescent="0.35">
      <c r="A1775" s="2">
        <f ca="1">IFERROR(__xludf.DUMMYFUNCTION("""COMPUTED_VALUE"""),44579.6666666666)</f>
        <v>44579.666666666599</v>
      </c>
      <c r="B1775" s="1">
        <f ca="1">IFERROR(__xludf.DUMMYFUNCTION("""COMPUTED_VALUE"""),136.18)</f>
        <v>136.18</v>
      </c>
      <c r="C1775" s="1">
        <f ca="1">IFERROR(__xludf.DUMMYFUNCTION("""COMPUTED_VALUE"""),137.13)</f>
        <v>137.13</v>
      </c>
      <c r="D1775" s="1">
        <f ca="1">IFERROR(__xludf.DUMMYFUNCTION("""COMPUTED_VALUE"""),135.44)</f>
        <v>135.44</v>
      </c>
      <c r="E1775" s="1">
        <f ca="1">IFERROR(__xludf.DUMMYFUNCTION("""COMPUTED_VALUE"""),136)</f>
        <v>136</v>
      </c>
      <c r="F1775" s="1">
        <f ca="1">IFERROR(__xludf.DUMMYFUNCTION("""COMPUTED_VALUE"""),1744405)</f>
        <v>1744405</v>
      </c>
    </row>
    <row r="1776" spans="1:6" x14ac:dyDescent="0.35">
      <c r="A1776" s="2">
        <f ca="1">IFERROR(__xludf.DUMMYFUNCTION("""COMPUTED_VALUE"""),44580.6666666666)</f>
        <v>44580.666666666599</v>
      </c>
      <c r="B1776" s="1">
        <f ca="1">IFERROR(__xludf.DUMMYFUNCTION("""COMPUTED_VALUE"""),136.52)</f>
        <v>136.52000000000001</v>
      </c>
      <c r="C1776" s="1">
        <f ca="1">IFERROR(__xludf.DUMMYFUNCTION("""COMPUTED_VALUE"""),137.96)</f>
        <v>137.96</v>
      </c>
      <c r="D1776" s="1">
        <f ca="1">IFERROR(__xludf.DUMMYFUNCTION("""COMPUTED_VALUE"""),135.02)</f>
        <v>135.02000000000001</v>
      </c>
      <c r="E1776" s="1">
        <f ca="1">IFERROR(__xludf.DUMMYFUNCTION("""COMPUTED_VALUE"""),135.12)</f>
        <v>135.12</v>
      </c>
      <c r="F1776" s="1">
        <f ca="1">IFERROR(__xludf.DUMMYFUNCTION("""COMPUTED_VALUE"""),1432382)</f>
        <v>1432382</v>
      </c>
    </row>
    <row r="1777" spans="1:6" x14ac:dyDescent="0.35">
      <c r="A1777" s="2">
        <f ca="1">IFERROR(__xludf.DUMMYFUNCTION("""COMPUTED_VALUE"""),44581.6666666666)</f>
        <v>44581.666666666599</v>
      </c>
      <c r="B1777" s="1">
        <f ca="1">IFERROR(__xludf.DUMMYFUNCTION("""COMPUTED_VALUE"""),136.25)</f>
        <v>136.25</v>
      </c>
      <c r="C1777" s="1">
        <f ca="1">IFERROR(__xludf.DUMMYFUNCTION("""COMPUTED_VALUE"""),137.63)</f>
        <v>137.63</v>
      </c>
      <c r="D1777" s="1">
        <f ca="1">IFERROR(__xludf.DUMMYFUNCTION("""COMPUTED_VALUE"""),132.96)</f>
        <v>132.96</v>
      </c>
      <c r="E1777" s="1">
        <f ca="1">IFERROR(__xludf.DUMMYFUNCTION("""COMPUTED_VALUE"""),133.31)</f>
        <v>133.31</v>
      </c>
      <c r="F1777" s="1">
        <f ca="1">IFERROR(__xludf.DUMMYFUNCTION("""COMPUTED_VALUE"""),1495357)</f>
        <v>1495357</v>
      </c>
    </row>
    <row r="1778" spans="1:6" x14ac:dyDescent="0.35">
      <c r="A1778" s="2">
        <f ca="1">IFERROR(__xludf.DUMMYFUNCTION("""COMPUTED_VALUE"""),44582.6666666666)</f>
        <v>44582.666666666599</v>
      </c>
      <c r="B1778" s="1">
        <f ca="1">IFERROR(__xludf.DUMMYFUNCTION("""COMPUTED_VALUE"""),132.59)</f>
        <v>132.59</v>
      </c>
      <c r="C1778" s="1">
        <f ca="1">IFERROR(__xludf.DUMMYFUNCTION("""COMPUTED_VALUE"""),134.87)</f>
        <v>134.87</v>
      </c>
      <c r="D1778" s="1">
        <f ca="1">IFERROR(__xludf.DUMMYFUNCTION("""COMPUTED_VALUE"""),130.09)</f>
        <v>130.09</v>
      </c>
      <c r="E1778" s="1">
        <f ca="1">IFERROR(__xludf.DUMMYFUNCTION("""COMPUTED_VALUE"""),130.35)</f>
        <v>130.35</v>
      </c>
      <c r="F1778" s="1">
        <f ca="1">IFERROR(__xludf.DUMMYFUNCTION("""COMPUTED_VALUE"""),2782571)</f>
        <v>2782571</v>
      </c>
    </row>
    <row r="1779" spans="1:6" x14ac:dyDescent="0.35">
      <c r="A1779" s="2">
        <f ca="1">IFERROR(__xludf.DUMMYFUNCTION("""COMPUTED_VALUE"""),44585.6666666666)</f>
        <v>44585.666666666599</v>
      </c>
      <c r="B1779" s="1">
        <f ca="1">IFERROR(__xludf.DUMMYFUNCTION("""COMPUTED_VALUE"""),125.98)</f>
        <v>125.98</v>
      </c>
      <c r="C1779" s="1">
        <f ca="1">IFERROR(__xludf.DUMMYFUNCTION("""COMPUTED_VALUE"""),131.2)</f>
        <v>131.19999999999999</v>
      </c>
      <c r="D1779" s="1">
        <f ca="1">IFERROR(__xludf.DUMMYFUNCTION("""COMPUTED_VALUE"""),124.5)</f>
        <v>124.5</v>
      </c>
      <c r="E1779" s="1">
        <f ca="1">IFERROR(__xludf.DUMMYFUNCTION("""COMPUTED_VALUE"""),130.8)</f>
        <v>130.80000000000001</v>
      </c>
      <c r="F1779" s="1">
        <f ca="1">IFERROR(__xludf.DUMMYFUNCTION("""COMPUTED_VALUE"""),3834712)</f>
        <v>3834712</v>
      </c>
    </row>
    <row r="1780" spans="1:6" x14ac:dyDescent="0.35">
      <c r="A1780" s="2">
        <f ca="1">IFERROR(__xludf.DUMMYFUNCTION("""COMPUTED_VALUE"""),44586.6666666666)</f>
        <v>44586.666666666599</v>
      </c>
      <c r="B1780" s="1">
        <f ca="1">IFERROR(__xludf.DUMMYFUNCTION("""COMPUTED_VALUE"""),128.74)</f>
        <v>128.74</v>
      </c>
      <c r="C1780" s="1">
        <f ca="1">IFERROR(__xludf.DUMMYFUNCTION("""COMPUTED_VALUE"""),129.4)</f>
        <v>129.4</v>
      </c>
      <c r="D1780" s="1">
        <f ca="1">IFERROR(__xludf.DUMMYFUNCTION("""COMPUTED_VALUE"""),126.5)</f>
        <v>126.5</v>
      </c>
      <c r="E1780" s="1">
        <f ca="1">IFERROR(__xludf.DUMMYFUNCTION("""COMPUTED_VALUE"""),126.94)</f>
        <v>126.94</v>
      </c>
      <c r="F1780" s="1">
        <f ca="1">IFERROR(__xludf.DUMMYFUNCTION("""COMPUTED_VALUE"""),2348028)</f>
        <v>2348028</v>
      </c>
    </row>
    <row r="1781" spans="1:6" x14ac:dyDescent="0.35">
      <c r="A1781" s="2">
        <f ca="1">IFERROR(__xludf.DUMMYFUNCTION("""COMPUTED_VALUE"""),44587.6666666666)</f>
        <v>44587.666666666599</v>
      </c>
      <c r="B1781" s="1">
        <f ca="1">IFERROR(__xludf.DUMMYFUNCTION("""COMPUTED_VALUE"""),131.12)</f>
        <v>131.12</v>
      </c>
      <c r="C1781" s="1">
        <f ca="1">IFERROR(__xludf.DUMMYFUNCTION("""COMPUTED_VALUE"""),133)</f>
        <v>133</v>
      </c>
      <c r="D1781" s="1">
        <f ca="1">IFERROR(__xludf.DUMMYFUNCTION("""COMPUTED_VALUE"""),127.14)</f>
        <v>127.14</v>
      </c>
      <c r="E1781" s="1">
        <f ca="1">IFERROR(__xludf.DUMMYFUNCTION("""COMPUTED_VALUE"""),129.23)</f>
        <v>129.22999999999999</v>
      </c>
      <c r="F1781" s="1">
        <f ca="1">IFERROR(__xludf.DUMMYFUNCTION("""COMPUTED_VALUE"""),2456475)</f>
        <v>2456475</v>
      </c>
    </row>
    <row r="1782" spans="1:6" x14ac:dyDescent="0.35">
      <c r="A1782" s="2">
        <f ca="1">IFERROR(__xludf.DUMMYFUNCTION("""COMPUTED_VALUE"""),44588.6666666666)</f>
        <v>44588.666666666599</v>
      </c>
      <c r="B1782" s="1">
        <f ca="1">IFERROR(__xludf.DUMMYFUNCTION("""COMPUTED_VALUE"""),131.3)</f>
        <v>131.30000000000001</v>
      </c>
      <c r="C1782" s="1">
        <f ca="1">IFERROR(__xludf.DUMMYFUNCTION("""COMPUTED_VALUE"""),132.65)</f>
        <v>132.65</v>
      </c>
      <c r="D1782" s="1">
        <f ca="1">IFERROR(__xludf.DUMMYFUNCTION("""COMPUTED_VALUE"""),128.93)</f>
        <v>128.93</v>
      </c>
      <c r="E1782" s="1">
        <f ca="1">IFERROR(__xludf.DUMMYFUNCTION("""COMPUTED_VALUE"""),129.01)</f>
        <v>129.01</v>
      </c>
      <c r="F1782" s="1">
        <f ca="1">IFERROR(__xludf.DUMMYFUNCTION("""COMPUTED_VALUE"""),1600939)</f>
        <v>1600939</v>
      </c>
    </row>
    <row r="1783" spans="1:6" x14ac:dyDescent="0.35">
      <c r="A1783" s="2">
        <f ca="1">IFERROR(__xludf.DUMMYFUNCTION("""COMPUTED_VALUE"""),44589.6666666666)</f>
        <v>44589.666666666599</v>
      </c>
      <c r="B1783" s="1">
        <f ca="1">IFERROR(__xludf.DUMMYFUNCTION("""COMPUTED_VALUE"""),129.66)</f>
        <v>129.66</v>
      </c>
      <c r="C1783" s="1">
        <f ca="1">IFERROR(__xludf.DUMMYFUNCTION("""COMPUTED_VALUE"""),133.36)</f>
        <v>133.36000000000001</v>
      </c>
      <c r="D1783" s="1">
        <f ca="1">IFERROR(__xludf.DUMMYFUNCTION("""COMPUTED_VALUE"""),128.49)</f>
        <v>128.49</v>
      </c>
      <c r="E1783" s="1">
        <f ca="1">IFERROR(__xludf.DUMMYFUNCTION("""COMPUTED_VALUE"""),133.35)</f>
        <v>133.35</v>
      </c>
      <c r="F1783" s="1">
        <f ca="1">IFERROR(__xludf.DUMMYFUNCTION("""COMPUTED_VALUE"""),1718074)</f>
        <v>1718074</v>
      </c>
    </row>
    <row r="1784" spans="1:6" x14ac:dyDescent="0.35">
      <c r="A1784" s="2">
        <f ca="1">IFERROR(__xludf.DUMMYFUNCTION("""COMPUTED_VALUE"""),44592.6666666666)</f>
        <v>44592.666666666599</v>
      </c>
      <c r="B1784" s="1">
        <f ca="1">IFERROR(__xludf.DUMMYFUNCTION("""COMPUTED_VALUE"""),134.16)</f>
        <v>134.16</v>
      </c>
      <c r="C1784" s="1">
        <f ca="1">IFERROR(__xludf.DUMMYFUNCTION("""COMPUTED_VALUE"""),135.47)</f>
        <v>135.47</v>
      </c>
      <c r="D1784" s="1">
        <f ca="1">IFERROR(__xludf.DUMMYFUNCTION("""COMPUTED_VALUE"""),132.21)</f>
        <v>132.21</v>
      </c>
      <c r="E1784" s="1">
        <f ca="1">IFERROR(__xludf.DUMMYFUNCTION("""COMPUTED_VALUE"""),135.3)</f>
        <v>135.30000000000001</v>
      </c>
      <c r="F1784" s="1">
        <f ca="1">IFERROR(__xludf.DUMMYFUNCTION("""COMPUTED_VALUE"""),1999300)</f>
        <v>1999300</v>
      </c>
    </row>
    <row r="1785" spans="1:6" x14ac:dyDescent="0.35">
      <c r="A1785" s="2">
        <f ca="1">IFERROR(__xludf.DUMMYFUNCTION("""COMPUTED_VALUE"""),44593.6666666666)</f>
        <v>44593.666666666599</v>
      </c>
      <c r="B1785" s="1">
        <f ca="1">IFERROR(__xludf.DUMMYFUNCTION("""COMPUTED_VALUE"""),137.59)</f>
        <v>137.59</v>
      </c>
      <c r="C1785" s="1">
        <f ca="1">IFERROR(__xludf.DUMMYFUNCTION("""COMPUTED_VALUE"""),137.79)</f>
        <v>137.79</v>
      </c>
      <c r="D1785" s="1">
        <f ca="1">IFERROR(__xludf.DUMMYFUNCTION("""COMPUTED_VALUE"""),134.37)</f>
        <v>134.37</v>
      </c>
      <c r="E1785" s="1">
        <f ca="1">IFERROR(__xludf.DUMMYFUNCTION("""COMPUTED_VALUE"""),137.64)</f>
        <v>137.63999999999999</v>
      </c>
      <c r="F1785" s="1">
        <f ca="1">IFERROR(__xludf.DUMMYFUNCTION("""COMPUTED_VALUE"""),3432182)</f>
        <v>3432182</v>
      </c>
    </row>
    <row r="1786" spans="1:6" x14ac:dyDescent="0.35">
      <c r="A1786" s="2">
        <f ca="1">IFERROR(__xludf.DUMMYFUNCTION("""COMPUTED_VALUE"""),44594.6666666666)</f>
        <v>44594.666666666599</v>
      </c>
      <c r="B1786" s="1">
        <f ca="1">IFERROR(__xludf.DUMMYFUNCTION("""COMPUTED_VALUE"""),151.25)</f>
        <v>151.25</v>
      </c>
      <c r="C1786" s="1">
        <f ca="1">IFERROR(__xludf.DUMMYFUNCTION("""COMPUTED_VALUE"""),151.55)</f>
        <v>151.55000000000001</v>
      </c>
      <c r="D1786" s="1">
        <f ca="1">IFERROR(__xludf.DUMMYFUNCTION("""COMPUTED_VALUE"""),145.52)</f>
        <v>145.52000000000001</v>
      </c>
      <c r="E1786" s="1">
        <f ca="1">IFERROR(__xludf.DUMMYFUNCTION("""COMPUTED_VALUE"""),148)</f>
        <v>148</v>
      </c>
      <c r="F1786" s="1">
        <f ca="1">IFERROR(__xludf.DUMMYFUNCTION("""COMPUTED_VALUE"""),6159961)</f>
        <v>6159961</v>
      </c>
    </row>
    <row r="1787" spans="1:6" x14ac:dyDescent="0.35">
      <c r="A1787" s="2">
        <f ca="1">IFERROR(__xludf.DUMMYFUNCTION("""COMPUTED_VALUE"""),44595.6666666666)</f>
        <v>44595.666666666599</v>
      </c>
      <c r="B1787" s="1">
        <f ca="1">IFERROR(__xludf.DUMMYFUNCTION("""COMPUTED_VALUE"""),145.71)</f>
        <v>145.71</v>
      </c>
      <c r="C1787" s="1">
        <f ca="1">IFERROR(__xludf.DUMMYFUNCTION("""COMPUTED_VALUE"""),149.68)</f>
        <v>149.68</v>
      </c>
      <c r="D1787" s="1">
        <f ca="1">IFERROR(__xludf.DUMMYFUNCTION("""COMPUTED_VALUE"""),142.67)</f>
        <v>142.66999999999999</v>
      </c>
      <c r="E1787" s="1">
        <f ca="1">IFERROR(__xludf.DUMMYFUNCTION("""COMPUTED_VALUE"""),143.09)</f>
        <v>143.09</v>
      </c>
      <c r="F1787" s="1">
        <f ca="1">IFERROR(__xludf.DUMMYFUNCTION("""COMPUTED_VALUE"""),3575861)</f>
        <v>3575861</v>
      </c>
    </row>
    <row r="1788" spans="1:6" x14ac:dyDescent="0.35">
      <c r="A1788" s="2">
        <f ca="1">IFERROR(__xludf.DUMMYFUNCTION("""COMPUTED_VALUE"""),44596.6666666666)</f>
        <v>44596.666666666599</v>
      </c>
      <c r="B1788" s="1">
        <f ca="1">IFERROR(__xludf.DUMMYFUNCTION("""COMPUTED_VALUE"""),143.44)</f>
        <v>143.44</v>
      </c>
      <c r="C1788" s="1">
        <f ca="1">IFERROR(__xludf.DUMMYFUNCTION("""COMPUTED_VALUE"""),144.88)</f>
        <v>144.88</v>
      </c>
      <c r="D1788" s="1">
        <f ca="1">IFERROR(__xludf.DUMMYFUNCTION("""COMPUTED_VALUE"""),140.51)</f>
        <v>140.51</v>
      </c>
      <c r="E1788" s="1">
        <f ca="1">IFERROR(__xludf.DUMMYFUNCTION("""COMPUTED_VALUE"""),143.29)</f>
        <v>143.29</v>
      </c>
      <c r="F1788" s="1">
        <f ca="1">IFERROR(__xludf.DUMMYFUNCTION("""COMPUTED_VALUE"""),2899911)</f>
        <v>2899911</v>
      </c>
    </row>
    <row r="1789" spans="1:6" x14ac:dyDescent="0.35">
      <c r="A1789" s="2">
        <f ca="1">IFERROR(__xludf.DUMMYFUNCTION("""COMPUTED_VALUE"""),44599.6666666666)</f>
        <v>44599.666666666599</v>
      </c>
      <c r="B1789" s="1">
        <f ca="1">IFERROR(__xludf.DUMMYFUNCTION("""COMPUTED_VALUE"""),144.25)</f>
        <v>144.25</v>
      </c>
      <c r="C1789" s="1">
        <f ca="1">IFERROR(__xludf.DUMMYFUNCTION("""COMPUTED_VALUE"""),144.25)</f>
        <v>144.25</v>
      </c>
      <c r="D1789" s="1">
        <f ca="1">IFERROR(__xludf.DUMMYFUNCTION("""COMPUTED_VALUE"""),138.9)</f>
        <v>138.9</v>
      </c>
      <c r="E1789" s="1">
        <f ca="1">IFERROR(__xludf.DUMMYFUNCTION("""COMPUTED_VALUE"""),139.2)</f>
        <v>139.19999999999999</v>
      </c>
      <c r="F1789" s="1">
        <f ca="1">IFERROR(__xludf.DUMMYFUNCTION("""COMPUTED_VALUE"""),2748665)</f>
        <v>2748665</v>
      </c>
    </row>
    <row r="1790" spans="1:6" x14ac:dyDescent="0.35">
      <c r="A1790" s="2">
        <f ca="1">IFERROR(__xludf.DUMMYFUNCTION("""COMPUTED_VALUE"""),44600.6666666666)</f>
        <v>44600.666666666599</v>
      </c>
      <c r="B1790" s="1">
        <f ca="1">IFERROR(__xludf.DUMMYFUNCTION("""COMPUTED_VALUE"""),139.03)</f>
        <v>139.03</v>
      </c>
      <c r="C1790" s="1">
        <f ca="1">IFERROR(__xludf.DUMMYFUNCTION("""COMPUTED_VALUE"""),140)</f>
        <v>140</v>
      </c>
      <c r="D1790" s="1">
        <f ca="1">IFERROR(__xludf.DUMMYFUNCTION("""COMPUTED_VALUE"""),137.01)</f>
        <v>137.01</v>
      </c>
      <c r="E1790" s="1">
        <f ca="1">IFERROR(__xludf.DUMMYFUNCTION("""COMPUTED_VALUE"""),139.4)</f>
        <v>139.4</v>
      </c>
      <c r="F1790" s="1">
        <f ca="1">IFERROR(__xludf.DUMMYFUNCTION("""COMPUTED_VALUE"""),2714180)</f>
        <v>2714180</v>
      </c>
    </row>
    <row r="1791" spans="1:6" x14ac:dyDescent="0.35">
      <c r="A1791" s="2">
        <f ca="1">IFERROR(__xludf.DUMMYFUNCTION("""COMPUTED_VALUE"""),44601.6666666666)</f>
        <v>44601.666666666599</v>
      </c>
      <c r="B1791" s="1">
        <f ca="1">IFERROR(__xludf.DUMMYFUNCTION("""COMPUTED_VALUE"""),140.96)</f>
        <v>140.96</v>
      </c>
      <c r="C1791" s="1">
        <f ca="1">IFERROR(__xludf.DUMMYFUNCTION("""COMPUTED_VALUE"""),142.52)</f>
        <v>142.52000000000001</v>
      </c>
      <c r="D1791" s="1">
        <f ca="1">IFERROR(__xludf.DUMMYFUNCTION("""COMPUTED_VALUE"""),140.19)</f>
        <v>140.19</v>
      </c>
      <c r="E1791" s="1">
        <f ca="1">IFERROR(__xludf.DUMMYFUNCTION("""COMPUTED_VALUE"""),141.59)</f>
        <v>141.59</v>
      </c>
      <c r="F1791" s="1">
        <f ca="1">IFERROR(__xludf.DUMMYFUNCTION("""COMPUTED_VALUE"""),2007194)</f>
        <v>2007194</v>
      </c>
    </row>
    <row r="1792" spans="1:6" x14ac:dyDescent="0.35">
      <c r="A1792" s="2">
        <f ca="1">IFERROR(__xludf.DUMMYFUNCTION("""COMPUTED_VALUE"""),44602.6666666666)</f>
        <v>44602.666666666599</v>
      </c>
      <c r="B1792" s="1">
        <f ca="1">IFERROR(__xludf.DUMMYFUNCTION("""COMPUTED_VALUE"""),139.7)</f>
        <v>139.69999999999999</v>
      </c>
      <c r="C1792" s="1">
        <f ca="1">IFERROR(__xludf.DUMMYFUNCTION("""COMPUTED_VALUE"""),141.48)</f>
        <v>141.47999999999999</v>
      </c>
      <c r="D1792" s="1">
        <f ca="1">IFERROR(__xludf.DUMMYFUNCTION("""COMPUTED_VALUE"""),137.96)</f>
        <v>137.96</v>
      </c>
      <c r="E1792" s="1">
        <f ca="1">IFERROR(__xludf.DUMMYFUNCTION("""COMPUTED_VALUE"""),138.62)</f>
        <v>138.62</v>
      </c>
      <c r="F1792" s="1">
        <f ca="1">IFERROR(__xludf.DUMMYFUNCTION("""COMPUTED_VALUE"""),1966533)</f>
        <v>1966533</v>
      </c>
    </row>
    <row r="1793" spans="1:6" x14ac:dyDescent="0.35">
      <c r="A1793" s="2">
        <f ca="1">IFERROR(__xludf.DUMMYFUNCTION("""COMPUTED_VALUE"""),44603.6666666666)</f>
        <v>44603.666666666599</v>
      </c>
      <c r="B1793" s="1">
        <f ca="1">IFERROR(__xludf.DUMMYFUNCTION("""COMPUTED_VALUE"""),138.6)</f>
        <v>138.6</v>
      </c>
      <c r="C1793" s="1">
        <f ca="1">IFERROR(__xludf.DUMMYFUNCTION("""COMPUTED_VALUE"""),139.16)</f>
        <v>139.16</v>
      </c>
      <c r="D1793" s="1">
        <f ca="1">IFERROR(__xludf.DUMMYFUNCTION("""COMPUTED_VALUE"""),133.4)</f>
        <v>133.4</v>
      </c>
      <c r="E1793" s="1">
        <f ca="1">IFERROR(__xludf.DUMMYFUNCTION("""COMPUTED_VALUE"""),134.28)</f>
        <v>134.28</v>
      </c>
      <c r="F1793" s="1">
        <f ca="1">IFERROR(__xludf.DUMMYFUNCTION("""COMPUTED_VALUE"""),1997917)</f>
        <v>1997917</v>
      </c>
    </row>
    <row r="1794" spans="1:6" x14ac:dyDescent="0.35">
      <c r="A1794" s="2">
        <f ca="1">IFERROR(__xludf.DUMMYFUNCTION("""COMPUTED_VALUE"""),44606.6666666666)</f>
        <v>44606.666666666599</v>
      </c>
      <c r="B1794" s="1">
        <f ca="1">IFERROR(__xludf.DUMMYFUNCTION("""COMPUTED_VALUE"""),133.26)</f>
        <v>133.26</v>
      </c>
      <c r="C1794" s="1">
        <f ca="1">IFERROR(__xludf.DUMMYFUNCTION("""COMPUTED_VALUE"""),136.3)</f>
        <v>136.30000000000001</v>
      </c>
      <c r="D1794" s="1">
        <f ca="1">IFERROR(__xludf.DUMMYFUNCTION("""COMPUTED_VALUE"""),133.26)</f>
        <v>133.26</v>
      </c>
      <c r="E1794" s="1">
        <f ca="1">IFERROR(__xludf.DUMMYFUNCTION("""COMPUTED_VALUE"""),135.53)</f>
        <v>135.53</v>
      </c>
      <c r="F1794" s="1">
        <f ca="1">IFERROR(__xludf.DUMMYFUNCTION("""COMPUTED_VALUE"""),1715054)</f>
        <v>1715054</v>
      </c>
    </row>
    <row r="1795" spans="1:6" x14ac:dyDescent="0.35">
      <c r="A1795" s="2">
        <f ca="1">IFERROR(__xludf.DUMMYFUNCTION("""COMPUTED_VALUE"""),44607.6666666666)</f>
        <v>44607.666666666599</v>
      </c>
      <c r="B1795" s="1">
        <f ca="1">IFERROR(__xludf.DUMMYFUNCTION("""COMPUTED_VALUE"""),137.57)</f>
        <v>137.57</v>
      </c>
      <c r="C1795" s="1">
        <f ca="1">IFERROR(__xludf.DUMMYFUNCTION("""COMPUTED_VALUE"""),138.11)</f>
        <v>138.11000000000001</v>
      </c>
      <c r="D1795" s="1">
        <f ca="1">IFERROR(__xludf.DUMMYFUNCTION("""COMPUTED_VALUE"""),135.82)</f>
        <v>135.82</v>
      </c>
      <c r="E1795" s="1">
        <f ca="1">IFERROR(__xludf.DUMMYFUNCTION("""COMPUTED_VALUE"""),136.61)</f>
        <v>136.61000000000001</v>
      </c>
      <c r="F1795" s="1">
        <f ca="1">IFERROR(__xludf.DUMMYFUNCTION("""COMPUTED_VALUE"""),1335563)</f>
        <v>1335563</v>
      </c>
    </row>
    <row r="1796" spans="1:6" x14ac:dyDescent="0.35">
      <c r="A1796" s="2">
        <f ca="1">IFERROR(__xludf.DUMMYFUNCTION("""COMPUTED_VALUE"""),44608.6666666666)</f>
        <v>44608.666666666599</v>
      </c>
      <c r="B1796" s="1">
        <f ca="1">IFERROR(__xludf.DUMMYFUNCTION("""COMPUTED_VALUE"""),136.65)</f>
        <v>136.65</v>
      </c>
      <c r="C1796" s="1">
        <f ca="1">IFERROR(__xludf.DUMMYFUNCTION("""COMPUTED_VALUE"""),138.09)</f>
        <v>138.09</v>
      </c>
      <c r="D1796" s="1">
        <f ca="1">IFERROR(__xludf.DUMMYFUNCTION("""COMPUTED_VALUE"""),134.92)</f>
        <v>134.91999999999999</v>
      </c>
      <c r="E1796" s="1">
        <f ca="1">IFERROR(__xludf.DUMMYFUNCTION("""COMPUTED_VALUE"""),137.74)</f>
        <v>137.74</v>
      </c>
      <c r="F1796" s="1">
        <f ca="1">IFERROR(__xludf.DUMMYFUNCTION("""COMPUTED_VALUE"""),1251065)</f>
        <v>1251065</v>
      </c>
    </row>
    <row r="1797" spans="1:6" x14ac:dyDescent="0.35">
      <c r="A1797" s="2">
        <f ca="1">IFERROR(__xludf.DUMMYFUNCTION("""COMPUTED_VALUE"""),44609.6666666666)</f>
        <v>44609.666666666599</v>
      </c>
      <c r="B1797" s="1">
        <f ca="1">IFERROR(__xludf.DUMMYFUNCTION("""COMPUTED_VALUE"""),136.24)</f>
        <v>136.24</v>
      </c>
      <c r="C1797" s="1">
        <f ca="1">IFERROR(__xludf.DUMMYFUNCTION("""COMPUTED_VALUE"""),137.11)</f>
        <v>137.11000000000001</v>
      </c>
      <c r="D1797" s="1">
        <f ca="1">IFERROR(__xludf.DUMMYFUNCTION("""COMPUTED_VALUE"""),132.48)</f>
        <v>132.47999999999999</v>
      </c>
      <c r="E1797" s="1">
        <f ca="1">IFERROR(__xludf.DUMMYFUNCTION("""COMPUTED_VALUE"""),132.54)</f>
        <v>132.54</v>
      </c>
      <c r="F1797" s="1">
        <f ca="1">IFERROR(__xludf.DUMMYFUNCTION("""COMPUTED_VALUE"""),1947475)</f>
        <v>1947475</v>
      </c>
    </row>
    <row r="1798" spans="1:6" x14ac:dyDescent="0.35">
      <c r="A1798" s="2">
        <f ca="1">IFERROR(__xludf.DUMMYFUNCTION("""COMPUTED_VALUE"""),44610.6666666666)</f>
        <v>44610.666666666599</v>
      </c>
      <c r="B1798" s="1">
        <f ca="1">IFERROR(__xludf.DUMMYFUNCTION("""COMPUTED_VALUE"""),133.47)</f>
        <v>133.47</v>
      </c>
      <c r="C1798" s="1">
        <f ca="1">IFERROR(__xludf.DUMMYFUNCTION("""COMPUTED_VALUE"""),134.07)</f>
        <v>134.07</v>
      </c>
      <c r="D1798" s="1">
        <f ca="1">IFERROR(__xludf.DUMMYFUNCTION("""COMPUTED_VALUE"""),130.2)</f>
        <v>130.19999999999999</v>
      </c>
      <c r="E1798" s="1">
        <f ca="1">IFERROR(__xludf.DUMMYFUNCTION("""COMPUTED_VALUE"""),130.4)</f>
        <v>130.4</v>
      </c>
      <c r="F1798" s="1">
        <f ca="1">IFERROR(__xludf.DUMMYFUNCTION("""COMPUTED_VALUE"""),2280972)</f>
        <v>2280972</v>
      </c>
    </row>
    <row r="1799" spans="1:6" x14ac:dyDescent="0.35">
      <c r="A1799" s="2">
        <f ca="1">IFERROR(__xludf.DUMMYFUNCTION("""COMPUTED_VALUE"""),44614.6666666666)</f>
        <v>44614.666666666599</v>
      </c>
      <c r="B1799" s="1">
        <f ca="1">IFERROR(__xludf.DUMMYFUNCTION("""COMPUTED_VALUE"""),129.84)</f>
        <v>129.84</v>
      </c>
      <c r="C1799" s="1">
        <f ca="1">IFERROR(__xludf.DUMMYFUNCTION("""COMPUTED_VALUE"""),132.18)</f>
        <v>132.18</v>
      </c>
      <c r="D1799" s="1">
        <f ca="1">IFERROR(__xludf.DUMMYFUNCTION("""COMPUTED_VALUE"""),128.22)</f>
        <v>128.22</v>
      </c>
      <c r="E1799" s="1">
        <f ca="1">IFERROR(__xludf.DUMMYFUNCTION("""COMPUTED_VALUE"""),129.81)</f>
        <v>129.81</v>
      </c>
      <c r="F1799" s="1">
        <f ca="1">IFERROR(__xludf.DUMMYFUNCTION("""COMPUTED_VALUE"""),2249537)</f>
        <v>2249537</v>
      </c>
    </row>
    <row r="1800" spans="1:6" x14ac:dyDescent="0.35">
      <c r="A1800" s="2">
        <f ca="1">IFERROR(__xludf.DUMMYFUNCTION("""COMPUTED_VALUE"""),44615.6666666666)</f>
        <v>44615.666666666599</v>
      </c>
      <c r="B1800" s="1">
        <f ca="1">IFERROR(__xludf.DUMMYFUNCTION("""COMPUTED_VALUE"""),131.65)</f>
        <v>131.65</v>
      </c>
      <c r="C1800" s="1">
        <f ca="1">IFERROR(__xludf.DUMMYFUNCTION("""COMPUTED_VALUE"""),132.05)</f>
        <v>132.05000000000001</v>
      </c>
      <c r="D1800" s="1">
        <f ca="1">IFERROR(__xludf.DUMMYFUNCTION("""COMPUTED_VALUE"""),127.53)</f>
        <v>127.53</v>
      </c>
      <c r="E1800" s="1">
        <f ca="1">IFERROR(__xludf.DUMMYFUNCTION("""COMPUTED_VALUE"""),127.59)</f>
        <v>127.59</v>
      </c>
      <c r="F1800" s="1">
        <f ca="1">IFERROR(__xludf.DUMMYFUNCTION("""COMPUTED_VALUE"""),1639301)</f>
        <v>1639301</v>
      </c>
    </row>
    <row r="1801" spans="1:6" x14ac:dyDescent="0.35">
      <c r="A1801" s="2">
        <f ca="1">IFERROR(__xludf.DUMMYFUNCTION("""COMPUTED_VALUE"""),44616.6666666666)</f>
        <v>44616.666666666599</v>
      </c>
      <c r="B1801" s="1">
        <f ca="1">IFERROR(__xludf.DUMMYFUNCTION("""COMPUTED_VALUE"""),124.95)</f>
        <v>124.95</v>
      </c>
      <c r="C1801" s="1">
        <f ca="1">IFERROR(__xludf.DUMMYFUNCTION("""COMPUTED_VALUE"""),133)</f>
        <v>133</v>
      </c>
      <c r="D1801" s="1">
        <f ca="1">IFERROR(__xludf.DUMMYFUNCTION("""COMPUTED_VALUE"""),124.95)</f>
        <v>124.95</v>
      </c>
      <c r="E1801" s="1">
        <f ca="1">IFERROR(__xludf.DUMMYFUNCTION("""COMPUTED_VALUE"""),132.69)</f>
        <v>132.69</v>
      </c>
      <c r="F1801" s="1">
        <f ca="1">IFERROR(__xludf.DUMMYFUNCTION("""COMPUTED_VALUE"""),2722754)</f>
        <v>2722754</v>
      </c>
    </row>
    <row r="1802" spans="1:6" x14ac:dyDescent="0.35">
      <c r="A1802" s="2">
        <f ca="1">IFERROR(__xludf.DUMMYFUNCTION("""COMPUTED_VALUE"""),44617.6666666666)</f>
        <v>44617.666666666599</v>
      </c>
      <c r="B1802" s="1">
        <f ca="1">IFERROR(__xludf.DUMMYFUNCTION("""COMPUTED_VALUE"""),133.55)</f>
        <v>133.55000000000001</v>
      </c>
      <c r="C1802" s="1">
        <f ca="1">IFERROR(__xludf.DUMMYFUNCTION("""COMPUTED_VALUE"""),135.27)</f>
        <v>135.27000000000001</v>
      </c>
      <c r="D1802" s="1">
        <f ca="1">IFERROR(__xludf.DUMMYFUNCTION("""COMPUTED_VALUE"""),131.75)</f>
        <v>131.75</v>
      </c>
      <c r="E1802" s="1">
        <f ca="1">IFERROR(__xludf.DUMMYFUNCTION("""COMPUTED_VALUE"""),134.46)</f>
        <v>134.46</v>
      </c>
      <c r="F1802" s="1">
        <f ca="1">IFERROR(__xludf.DUMMYFUNCTION("""COMPUTED_VALUE"""),1820299)</f>
        <v>1820299</v>
      </c>
    </row>
    <row r="1803" spans="1:6" x14ac:dyDescent="0.35">
      <c r="A1803" s="2">
        <f ca="1">IFERROR(__xludf.DUMMYFUNCTION("""COMPUTED_VALUE"""),44620.6666666666)</f>
        <v>44620.666666666599</v>
      </c>
      <c r="B1803" s="1">
        <f ca="1">IFERROR(__xludf.DUMMYFUNCTION("""COMPUTED_VALUE"""),133.05)</f>
        <v>133.05000000000001</v>
      </c>
      <c r="C1803" s="1">
        <f ca="1">IFERROR(__xludf.DUMMYFUNCTION("""COMPUTED_VALUE"""),135.75)</f>
        <v>135.75</v>
      </c>
      <c r="D1803" s="1">
        <f ca="1">IFERROR(__xludf.DUMMYFUNCTION("""COMPUTED_VALUE"""),132.59)</f>
        <v>132.59</v>
      </c>
      <c r="E1803" s="1">
        <f ca="1">IFERROR(__xludf.DUMMYFUNCTION("""COMPUTED_VALUE"""),135.06)</f>
        <v>135.06</v>
      </c>
      <c r="F1803" s="1">
        <f ca="1">IFERROR(__xludf.DUMMYFUNCTION("""COMPUTED_VALUE"""),1943221)</f>
        <v>1943221</v>
      </c>
    </row>
    <row r="1804" spans="1:6" x14ac:dyDescent="0.35">
      <c r="A1804" s="2">
        <f ca="1">IFERROR(__xludf.DUMMYFUNCTION("""COMPUTED_VALUE"""),44621.6666666666)</f>
        <v>44621.666666666599</v>
      </c>
      <c r="B1804" s="1">
        <f ca="1">IFERROR(__xludf.DUMMYFUNCTION("""COMPUTED_VALUE"""),134.88)</f>
        <v>134.88</v>
      </c>
      <c r="C1804" s="1">
        <f ca="1">IFERROR(__xludf.DUMMYFUNCTION("""COMPUTED_VALUE"""),136.26)</f>
        <v>136.26</v>
      </c>
      <c r="D1804" s="1">
        <f ca="1">IFERROR(__xludf.DUMMYFUNCTION("""COMPUTED_VALUE"""),133.22)</f>
        <v>133.22</v>
      </c>
      <c r="E1804" s="1">
        <f ca="1">IFERROR(__xludf.DUMMYFUNCTION("""COMPUTED_VALUE"""),134.06)</f>
        <v>134.06</v>
      </c>
      <c r="F1804" s="1">
        <f ca="1">IFERROR(__xludf.DUMMYFUNCTION("""COMPUTED_VALUE"""),1324768)</f>
        <v>1324768</v>
      </c>
    </row>
    <row r="1805" spans="1:6" x14ac:dyDescent="0.35">
      <c r="A1805" s="2">
        <f ca="1">IFERROR(__xludf.DUMMYFUNCTION("""COMPUTED_VALUE"""),44622.6666666666)</f>
        <v>44622.666666666599</v>
      </c>
      <c r="B1805" s="1">
        <f ca="1">IFERROR(__xludf.DUMMYFUNCTION("""COMPUTED_VALUE"""),134.63)</f>
        <v>134.63</v>
      </c>
      <c r="C1805" s="1">
        <f ca="1">IFERROR(__xludf.DUMMYFUNCTION("""COMPUTED_VALUE"""),135.26)</f>
        <v>135.26</v>
      </c>
      <c r="D1805" s="1">
        <f ca="1">IFERROR(__xludf.DUMMYFUNCTION("""COMPUTED_VALUE"""),133.07)</f>
        <v>133.07</v>
      </c>
      <c r="E1805" s="1">
        <f ca="1">IFERROR(__xludf.DUMMYFUNCTION("""COMPUTED_VALUE"""),134.57)</f>
        <v>134.57</v>
      </c>
      <c r="F1805" s="1">
        <f ca="1">IFERROR(__xludf.DUMMYFUNCTION("""COMPUTED_VALUE"""),1175990)</f>
        <v>1175990</v>
      </c>
    </row>
    <row r="1806" spans="1:6" x14ac:dyDescent="0.35">
      <c r="A1806" s="2">
        <f ca="1">IFERROR(__xludf.DUMMYFUNCTION("""COMPUTED_VALUE"""),44623.6666666666)</f>
        <v>44623.666666666599</v>
      </c>
      <c r="B1806" s="1">
        <f ca="1">IFERROR(__xludf.DUMMYFUNCTION("""COMPUTED_VALUE"""),136.01)</f>
        <v>136.01</v>
      </c>
      <c r="C1806" s="1">
        <f ca="1">IFERROR(__xludf.DUMMYFUNCTION("""COMPUTED_VALUE"""),136.44)</f>
        <v>136.44</v>
      </c>
      <c r="D1806" s="1">
        <f ca="1">IFERROR(__xludf.DUMMYFUNCTION("""COMPUTED_VALUE"""),133.03)</f>
        <v>133.03</v>
      </c>
      <c r="E1806" s="1">
        <f ca="1">IFERROR(__xludf.DUMMYFUNCTION("""COMPUTED_VALUE"""),133.9)</f>
        <v>133.9</v>
      </c>
      <c r="F1806" s="1">
        <f ca="1">IFERROR(__xludf.DUMMYFUNCTION("""COMPUTED_VALUE"""),1230162)</f>
        <v>1230162</v>
      </c>
    </row>
    <row r="1807" spans="1:6" x14ac:dyDescent="0.35">
      <c r="A1807" s="2">
        <f ca="1">IFERROR(__xludf.DUMMYFUNCTION("""COMPUTED_VALUE"""),44624.6666666666)</f>
        <v>44624.666666666599</v>
      </c>
      <c r="B1807" s="1">
        <f ca="1">IFERROR(__xludf.DUMMYFUNCTION("""COMPUTED_VALUE"""),132.93)</f>
        <v>132.93</v>
      </c>
      <c r="C1807" s="1">
        <f ca="1">IFERROR(__xludf.DUMMYFUNCTION("""COMPUTED_VALUE"""),133.85)</f>
        <v>133.85</v>
      </c>
      <c r="D1807" s="1">
        <f ca="1">IFERROR(__xludf.DUMMYFUNCTION("""COMPUTED_VALUE"""),130.34)</f>
        <v>130.34</v>
      </c>
      <c r="E1807" s="1">
        <f ca="1">IFERROR(__xludf.DUMMYFUNCTION("""COMPUTED_VALUE"""),131.91)</f>
        <v>131.91</v>
      </c>
      <c r="F1807" s="1">
        <f ca="1">IFERROR(__xludf.DUMMYFUNCTION("""COMPUTED_VALUE"""),1522532)</f>
        <v>1522532</v>
      </c>
    </row>
    <row r="1808" spans="1:6" x14ac:dyDescent="0.35">
      <c r="A1808" s="2">
        <f ca="1">IFERROR(__xludf.DUMMYFUNCTION("""COMPUTED_VALUE"""),44627.6666666666)</f>
        <v>44627.666666666599</v>
      </c>
      <c r="B1808" s="1">
        <f ca="1">IFERROR(__xludf.DUMMYFUNCTION("""COMPUTED_VALUE"""),131.49)</f>
        <v>131.49</v>
      </c>
      <c r="C1808" s="1">
        <f ca="1">IFERROR(__xludf.DUMMYFUNCTION("""COMPUTED_VALUE"""),131.74)</f>
        <v>131.74</v>
      </c>
      <c r="D1808" s="1">
        <f ca="1">IFERROR(__xludf.DUMMYFUNCTION("""COMPUTED_VALUE"""),126.3)</f>
        <v>126.3</v>
      </c>
      <c r="E1808" s="1">
        <f ca="1">IFERROR(__xludf.DUMMYFUNCTION("""COMPUTED_VALUE"""),126.38)</f>
        <v>126.38</v>
      </c>
      <c r="F1808" s="1">
        <f ca="1">IFERROR(__xludf.DUMMYFUNCTION("""COMPUTED_VALUE"""),2255647)</f>
        <v>2255647</v>
      </c>
    </row>
    <row r="1809" spans="1:6" x14ac:dyDescent="0.35">
      <c r="A1809" s="2">
        <f ca="1">IFERROR(__xludf.DUMMYFUNCTION("""COMPUTED_VALUE"""),44628.6666666666)</f>
        <v>44628.666666666599</v>
      </c>
      <c r="B1809" s="1">
        <f ca="1">IFERROR(__xludf.DUMMYFUNCTION("""COMPUTED_VALUE"""),126.25)</f>
        <v>126.25</v>
      </c>
      <c r="C1809" s="1">
        <f ca="1">IFERROR(__xludf.DUMMYFUNCTION("""COMPUTED_VALUE"""),131.25)</f>
        <v>131.25</v>
      </c>
      <c r="D1809" s="1">
        <f ca="1">IFERROR(__xludf.DUMMYFUNCTION("""COMPUTED_VALUE"""),125.67)</f>
        <v>125.67</v>
      </c>
      <c r="E1809" s="1">
        <f ca="1">IFERROR(__xludf.DUMMYFUNCTION("""COMPUTED_VALUE"""),127.1)</f>
        <v>127.1</v>
      </c>
      <c r="F1809" s="1">
        <f ca="1">IFERROR(__xludf.DUMMYFUNCTION("""COMPUTED_VALUE"""),2021355)</f>
        <v>2021355</v>
      </c>
    </row>
    <row r="1810" spans="1:6" x14ac:dyDescent="0.35">
      <c r="A1810" s="2">
        <f ca="1">IFERROR(__xludf.DUMMYFUNCTION("""COMPUTED_VALUE"""),44629.6666666666)</f>
        <v>44629.666666666599</v>
      </c>
      <c r="B1810" s="1">
        <f ca="1">IFERROR(__xludf.DUMMYFUNCTION("""COMPUTED_VALUE"""),131.25)</f>
        <v>131.25</v>
      </c>
      <c r="C1810" s="1">
        <f ca="1">IFERROR(__xludf.DUMMYFUNCTION("""COMPUTED_VALUE"""),133.74)</f>
        <v>133.74</v>
      </c>
      <c r="D1810" s="1">
        <f ca="1">IFERROR(__xludf.DUMMYFUNCTION("""COMPUTED_VALUE"""),129.9)</f>
        <v>129.9</v>
      </c>
      <c r="E1810" s="1">
        <f ca="1">IFERROR(__xludf.DUMMYFUNCTION("""COMPUTED_VALUE"""),133.42)</f>
        <v>133.41999999999999</v>
      </c>
      <c r="F1810" s="1">
        <f ca="1">IFERROR(__xludf.DUMMYFUNCTION("""COMPUTED_VALUE"""),1851270)</f>
        <v>1851270</v>
      </c>
    </row>
    <row r="1811" spans="1:6" x14ac:dyDescent="0.35">
      <c r="A1811" s="2">
        <f ca="1">IFERROR(__xludf.DUMMYFUNCTION("""COMPUTED_VALUE"""),44630.6666666666)</f>
        <v>44630.666666666599</v>
      </c>
      <c r="B1811" s="1">
        <f ca="1">IFERROR(__xludf.DUMMYFUNCTION("""COMPUTED_VALUE"""),131.27)</f>
        <v>131.27000000000001</v>
      </c>
      <c r="C1811" s="1">
        <f ca="1">IFERROR(__xludf.DUMMYFUNCTION("""COMPUTED_VALUE"""),133.27)</f>
        <v>133.27000000000001</v>
      </c>
      <c r="D1811" s="1">
        <f ca="1">IFERROR(__xludf.DUMMYFUNCTION("""COMPUTED_VALUE"""),130.91)</f>
        <v>130.91</v>
      </c>
      <c r="E1811" s="1">
        <f ca="1">IFERROR(__xludf.DUMMYFUNCTION("""COMPUTED_VALUE"""),132.43)</f>
        <v>132.43</v>
      </c>
      <c r="F1811" s="1">
        <f ca="1">IFERROR(__xludf.DUMMYFUNCTION("""COMPUTED_VALUE"""),1355070)</f>
        <v>1355070</v>
      </c>
    </row>
    <row r="1812" spans="1:6" x14ac:dyDescent="0.35">
      <c r="A1812" s="2">
        <f ca="1">IFERROR(__xludf.DUMMYFUNCTION("""COMPUTED_VALUE"""),44631.6666666666)</f>
        <v>44631.666666666599</v>
      </c>
      <c r="B1812" s="1">
        <f ca="1">IFERROR(__xludf.DUMMYFUNCTION("""COMPUTED_VALUE"""),133.49)</f>
        <v>133.49</v>
      </c>
      <c r="C1812" s="1">
        <f ca="1">IFERROR(__xludf.DUMMYFUNCTION("""COMPUTED_VALUE"""),133.8)</f>
        <v>133.80000000000001</v>
      </c>
      <c r="D1812" s="1">
        <f ca="1">IFERROR(__xludf.DUMMYFUNCTION("""COMPUTED_VALUE"""),129.63)</f>
        <v>129.63</v>
      </c>
      <c r="E1812" s="1">
        <f ca="1">IFERROR(__xludf.DUMMYFUNCTION("""COMPUTED_VALUE"""),129.87)</f>
        <v>129.87</v>
      </c>
      <c r="F1812" s="1">
        <f ca="1">IFERROR(__xludf.DUMMYFUNCTION("""COMPUTED_VALUE"""),1576322)</f>
        <v>1576322</v>
      </c>
    </row>
    <row r="1813" spans="1:6" x14ac:dyDescent="0.35">
      <c r="A1813" s="2">
        <f ca="1">IFERROR(__xludf.DUMMYFUNCTION("""COMPUTED_VALUE"""),44634.6666666666)</f>
        <v>44634.666666666599</v>
      </c>
      <c r="B1813" s="1">
        <f ca="1">IFERROR(__xludf.DUMMYFUNCTION("""COMPUTED_VALUE"""),130.25)</f>
        <v>130.25</v>
      </c>
      <c r="C1813" s="1">
        <f ca="1">IFERROR(__xludf.DUMMYFUNCTION("""COMPUTED_VALUE"""),130.41)</f>
        <v>130.41</v>
      </c>
      <c r="D1813" s="1">
        <f ca="1">IFERROR(__xludf.DUMMYFUNCTION("""COMPUTED_VALUE"""),125.28)</f>
        <v>125.28</v>
      </c>
      <c r="E1813" s="1">
        <f ca="1">IFERROR(__xludf.DUMMYFUNCTION("""COMPUTED_VALUE"""),125.95)</f>
        <v>125.95</v>
      </c>
      <c r="F1813" s="1">
        <f ca="1">IFERROR(__xludf.DUMMYFUNCTION("""COMPUTED_VALUE"""),1940563)</f>
        <v>1940563</v>
      </c>
    </row>
    <row r="1814" spans="1:6" x14ac:dyDescent="0.35">
      <c r="A1814" s="2">
        <f ca="1">IFERROR(__xludf.DUMMYFUNCTION("""COMPUTED_VALUE"""),44635.6666666666)</f>
        <v>44635.666666666599</v>
      </c>
      <c r="B1814" s="1">
        <f ca="1">IFERROR(__xludf.DUMMYFUNCTION("""COMPUTED_VALUE"""),126.98)</f>
        <v>126.98</v>
      </c>
      <c r="C1814" s="1">
        <f ca="1">IFERROR(__xludf.DUMMYFUNCTION("""COMPUTED_VALUE"""),129.85)</f>
        <v>129.85</v>
      </c>
      <c r="D1814" s="1">
        <f ca="1">IFERROR(__xludf.DUMMYFUNCTION("""COMPUTED_VALUE"""),125.72)</f>
        <v>125.72</v>
      </c>
      <c r="E1814" s="1">
        <f ca="1">IFERROR(__xludf.DUMMYFUNCTION("""COMPUTED_VALUE"""),129.2)</f>
        <v>129.19999999999999</v>
      </c>
      <c r="F1814" s="1">
        <f ca="1">IFERROR(__xludf.DUMMYFUNCTION("""COMPUTED_VALUE"""),1545976)</f>
        <v>1545976</v>
      </c>
    </row>
    <row r="1815" spans="1:6" x14ac:dyDescent="0.35">
      <c r="A1815" s="2">
        <f ca="1">IFERROR(__xludf.DUMMYFUNCTION("""COMPUTED_VALUE"""),44636.6666666666)</f>
        <v>44636.666666666599</v>
      </c>
      <c r="B1815" s="1">
        <f ca="1">IFERROR(__xludf.DUMMYFUNCTION("""COMPUTED_VALUE"""),130.73)</f>
        <v>130.72999999999999</v>
      </c>
      <c r="C1815" s="1">
        <f ca="1">IFERROR(__xludf.DUMMYFUNCTION("""COMPUTED_VALUE"""),133.33)</f>
        <v>133.33000000000001</v>
      </c>
      <c r="D1815" s="1">
        <f ca="1">IFERROR(__xludf.DUMMYFUNCTION("""COMPUTED_VALUE"""),128.73)</f>
        <v>128.72999999999999</v>
      </c>
      <c r="E1815" s="1">
        <f ca="1">IFERROR(__xludf.DUMMYFUNCTION("""COMPUTED_VALUE"""),133.28)</f>
        <v>133.28</v>
      </c>
      <c r="F1815" s="1">
        <f ca="1">IFERROR(__xludf.DUMMYFUNCTION("""COMPUTED_VALUE"""),1778849)</f>
        <v>1778849</v>
      </c>
    </row>
    <row r="1816" spans="1:6" x14ac:dyDescent="0.35">
      <c r="A1816" s="2">
        <f ca="1">IFERROR(__xludf.DUMMYFUNCTION("""COMPUTED_VALUE"""),44637.6666666666)</f>
        <v>44637.666666666599</v>
      </c>
      <c r="B1816" s="1">
        <f ca="1">IFERROR(__xludf.DUMMYFUNCTION("""COMPUTED_VALUE"""),133.15)</f>
        <v>133.15</v>
      </c>
      <c r="C1816" s="1">
        <f ca="1">IFERROR(__xludf.DUMMYFUNCTION("""COMPUTED_VALUE"""),134.08)</f>
        <v>134.08000000000001</v>
      </c>
      <c r="D1816" s="1">
        <f ca="1">IFERROR(__xludf.DUMMYFUNCTION("""COMPUTED_VALUE"""),132.19)</f>
        <v>132.19</v>
      </c>
      <c r="E1816" s="1">
        <f ca="1">IFERROR(__xludf.DUMMYFUNCTION("""COMPUTED_VALUE"""),133.84)</f>
        <v>133.84</v>
      </c>
      <c r="F1816" s="1">
        <f ca="1">IFERROR(__xludf.DUMMYFUNCTION("""COMPUTED_VALUE"""),1413196)</f>
        <v>1413196</v>
      </c>
    </row>
    <row r="1817" spans="1:6" x14ac:dyDescent="0.35">
      <c r="A1817" s="2">
        <f ca="1">IFERROR(__xludf.DUMMYFUNCTION("""COMPUTED_VALUE"""),44638.6666666666)</f>
        <v>44638.666666666599</v>
      </c>
      <c r="B1817" s="1">
        <f ca="1">IFERROR(__xludf.DUMMYFUNCTION("""COMPUTED_VALUE"""),133.42)</f>
        <v>133.41999999999999</v>
      </c>
      <c r="C1817" s="1">
        <f ca="1">IFERROR(__xludf.DUMMYFUNCTION("""COMPUTED_VALUE"""),136.24)</f>
        <v>136.24</v>
      </c>
      <c r="D1817" s="1">
        <f ca="1">IFERROR(__xludf.DUMMYFUNCTION("""COMPUTED_VALUE"""),132.26)</f>
        <v>132.26</v>
      </c>
      <c r="E1817" s="1">
        <f ca="1">IFERROR(__xludf.DUMMYFUNCTION("""COMPUTED_VALUE"""),136.13)</f>
        <v>136.13</v>
      </c>
      <c r="F1817" s="1">
        <f ca="1">IFERROR(__xludf.DUMMYFUNCTION("""COMPUTED_VALUE"""),2228345)</f>
        <v>2228345</v>
      </c>
    </row>
    <row r="1818" spans="1:6" x14ac:dyDescent="0.35">
      <c r="A1818" s="2">
        <f ca="1">IFERROR(__xludf.DUMMYFUNCTION("""COMPUTED_VALUE"""),44641.6666666666)</f>
        <v>44641.666666666599</v>
      </c>
      <c r="B1818" s="1">
        <f ca="1">IFERROR(__xludf.DUMMYFUNCTION("""COMPUTED_VALUE"""),136.16)</f>
        <v>136.16</v>
      </c>
      <c r="C1818" s="1">
        <f ca="1">IFERROR(__xludf.DUMMYFUNCTION("""COMPUTED_VALUE"""),137.05)</f>
        <v>137.05000000000001</v>
      </c>
      <c r="D1818" s="1">
        <f ca="1">IFERROR(__xludf.DUMMYFUNCTION("""COMPUTED_VALUE"""),134.09)</f>
        <v>134.09</v>
      </c>
      <c r="E1818" s="1">
        <f ca="1">IFERROR(__xludf.DUMMYFUNCTION("""COMPUTED_VALUE"""),136.1)</f>
        <v>136.1</v>
      </c>
      <c r="F1818" s="1">
        <f ca="1">IFERROR(__xludf.DUMMYFUNCTION("""COMPUTED_VALUE"""),1341584)</f>
        <v>1341584</v>
      </c>
    </row>
    <row r="1819" spans="1:6" x14ac:dyDescent="0.35">
      <c r="A1819" s="2">
        <f ca="1">IFERROR(__xludf.DUMMYFUNCTION("""COMPUTED_VALUE"""),44642.6666666666)</f>
        <v>44642.666666666599</v>
      </c>
      <c r="B1819" s="1">
        <f ca="1">IFERROR(__xludf.DUMMYFUNCTION("""COMPUTED_VALUE"""),136.1)</f>
        <v>136.1</v>
      </c>
      <c r="C1819" s="1">
        <f ca="1">IFERROR(__xludf.DUMMYFUNCTION("""COMPUTED_VALUE"""),141.05)</f>
        <v>141.05000000000001</v>
      </c>
      <c r="D1819" s="1">
        <f ca="1">IFERROR(__xludf.DUMMYFUNCTION("""COMPUTED_VALUE"""),136.1)</f>
        <v>136.1</v>
      </c>
      <c r="E1819" s="1">
        <f ca="1">IFERROR(__xludf.DUMMYFUNCTION("""COMPUTED_VALUE"""),139.87)</f>
        <v>139.87</v>
      </c>
      <c r="F1819" s="1">
        <f ca="1">IFERROR(__xludf.DUMMYFUNCTION("""COMPUTED_VALUE"""),1774777)</f>
        <v>1774777</v>
      </c>
    </row>
    <row r="1820" spans="1:6" x14ac:dyDescent="0.35">
      <c r="A1820" s="2">
        <f ca="1">IFERROR(__xludf.DUMMYFUNCTION("""COMPUTED_VALUE"""),44643.6666666666)</f>
        <v>44643.666666666599</v>
      </c>
      <c r="B1820" s="1">
        <f ca="1">IFERROR(__xludf.DUMMYFUNCTION("""COMPUTED_VALUE"""),138.7)</f>
        <v>138.69999999999999</v>
      </c>
      <c r="C1820" s="1">
        <f ca="1">IFERROR(__xludf.DUMMYFUNCTION("""COMPUTED_VALUE"""),139.59)</f>
        <v>139.59</v>
      </c>
      <c r="D1820" s="1">
        <f ca="1">IFERROR(__xludf.DUMMYFUNCTION("""COMPUTED_VALUE"""),137.84)</f>
        <v>137.84</v>
      </c>
      <c r="E1820" s="1">
        <f ca="1">IFERROR(__xludf.DUMMYFUNCTION("""COMPUTED_VALUE"""),138.28)</f>
        <v>138.28</v>
      </c>
      <c r="F1820" s="1">
        <f ca="1">IFERROR(__xludf.DUMMYFUNCTION("""COMPUTED_VALUE"""),1257670)</f>
        <v>1257670</v>
      </c>
    </row>
    <row r="1821" spans="1:6" x14ac:dyDescent="0.35">
      <c r="A1821" s="2">
        <f ca="1">IFERROR(__xludf.DUMMYFUNCTION("""COMPUTED_VALUE"""),44644.6666666666)</f>
        <v>44644.666666666599</v>
      </c>
      <c r="B1821" s="1">
        <f ca="1">IFERROR(__xludf.DUMMYFUNCTION("""COMPUTED_VALUE"""),139.2)</f>
        <v>139.19999999999999</v>
      </c>
      <c r="C1821" s="1">
        <f ca="1">IFERROR(__xludf.DUMMYFUNCTION("""COMPUTED_VALUE"""),141.62)</f>
        <v>141.62</v>
      </c>
      <c r="D1821" s="1">
        <f ca="1">IFERROR(__xludf.DUMMYFUNCTION("""COMPUTED_VALUE"""),137.75)</f>
        <v>137.75</v>
      </c>
      <c r="E1821" s="1">
        <f ca="1">IFERROR(__xludf.DUMMYFUNCTION("""COMPUTED_VALUE"""),141.57)</f>
        <v>141.57</v>
      </c>
      <c r="F1821" s="1">
        <f ca="1">IFERROR(__xludf.DUMMYFUNCTION("""COMPUTED_VALUE"""),1319828)</f>
        <v>1319828</v>
      </c>
    </row>
    <row r="1822" spans="1:6" x14ac:dyDescent="0.35">
      <c r="A1822" s="2">
        <f ca="1">IFERROR(__xludf.DUMMYFUNCTION("""COMPUTED_VALUE"""),44645.6666666666)</f>
        <v>44645.666666666599</v>
      </c>
      <c r="B1822" s="1">
        <f ca="1">IFERROR(__xludf.DUMMYFUNCTION("""COMPUTED_VALUE"""),141.92)</f>
        <v>141.91999999999999</v>
      </c>
      <c r="C1822" s="1">
        <f ca="1">IFERROR(__xludf.DUMMYFUNCTION("""COMPUTED_VALUE"""),142.04)</f>
        <v>142.04</v>
      </c>
      <c r="D1822" s="1">
        <f ca="1">IFERROR(__xludf.DUMMYFUNCTION("""COMPUTED_VALUE"""),139.74)</f>
        <v>139.74</v>
      </c>
      <c r="E1822" s="1">
        <f ca="1">IFERROR(__xludf.DUMMYFUNCTION("""COMPUTED_VALUE"""),141.67)</f>
        <v>141.66999999999999</v>
      </c>
      <c r="F1822" s="1">
        <f ca="1">IFERROR(__xludf.DUMMYFUNCTION("""COMPUTED_VALUE"""),1207154)</f>
        <v>1207154</v>
      </c>
    </row>
    <row r="1823" spans="1:6" x14ac:dyDescent="0.35">
      <c r="A1823" s="2">
        <f ca="1">IFERROR(__xludf.DUMMYFUNCTION("""COMPUTED_VALUE"""),44648.6666666666)</f>
        <v>44648.666666666599</v>
      </c>
      <c r="B1823" s="1">
        <f ca="1">IFERROR(__xludf.DUMMYFUNCTION("""COMPUTED_VALUE"""),140.9)</f>
        <v>140.9</v>
      </c>
      <c r="C1823" s="1">
        <f ca="1">IFERROR(__xludf.DUMMYFUNCTION("""COMPUTED_VALUE"""),142)</f>
        <v>142</v>
      </c>
      <c r="D1823" s="1">
        <f ca="1">IFERROR(__xludf.DUMMYFUNCTION("""COMPUTED_VALUE"""),139.81)</f>
        <v>139.81</v>
      </c>
      <c r="E1823" s="1">
        <f ca="1">IFERROR(__xludf.DUMMYFUNCTION("""COMPUTED_VALUE"""),141.46)</f>
        <v>141.46</v>
      </c>
      <c r="F1823" s="1">
        <f ca="1">IFERROR(__xludf.DUMMYFUNCTION("""COMPUTED_VALUE"""),1752463)</f>
        <v>1752463</v>
      </c>
    </row>
    <row r="1824" spans="1:6" x14ac:dyDescent="0.35">
      <c r="A1824" s="2">
        <f ca="1">IFERROR(__xludf.DUMMYFUNCTION("""COMPUTED_VALUE"""),44649.6666666666)</f>
        <v>44649.666666666599</v>
      </c>
      <c r="B1824" s="1">
        <f ca="1">IFERROR(__xludf.DUMMYFUNCTION("""COMPUTED_VALUE"""),142.65)</f>
        <v>142.65</v>
      </c>
      <c r="C1824" s="1">
        <f ca="1">IFERROR(__xludf.DUMMYFUNCTION("""COMPUTED_VALUE"""),143.79)</f>
        <v>143.79</v>
      </c>
      <c r="D1824" s="1">
        <f ca="1">IFERROR(__xludf.DUMMYFUNCTION("""COMPUTED_VALUE"""),142.04)</f>
        <v>142.04</v>
      </c>
      <c r="E1824" s="1">
        <f ca="1">IFERROR(__xludf.DUMMYFUNCTION("""COMPUTED_VALUE"""),142.51)</f>
        <v>142.51</v>
      </c>
      <c r="F1824" s="1">
        <f ca="1">IFERROR(__xludf.DUMMYFUNCTION("""COMPUTED_VALUE"""),1715851)</f>
        <v>1715851</v>
      </c>
    </row>
    <row r="1825" spans="1:6" x14ac:dyDescent="0.35">
      <c r="A1825" s="2">
        <f ca="1">IFERROR(__xludf.DUMMYFUNCTION("""COMPUTED_VALUE"""),44650.6666666666)</f>
        <v>44650.666666666599</v>
      </c>
      <c r="B1825" s="1">
        <f ca="1">IFERROR(__xludf.DUMMYFUNCTION("""COMPUTED_VALUE"""),142.46)</f>
        <v>142.46</v>
      </c>
      <c r="C1825" s="1">
        <f ca="1">IFERROR(__xludf.DUMMYFUNCTION("""COMPUTED_VALUE"""),142.72)</f>
        <v>142.72</v>
      </c>
      <c r="D1825" s="1">
        <f ca="1">IFERROR(__xludf.DUMMYFUNCTION("""COMPUTED_VALUE"""),141.6)</f>
        <v>141.6</v>
      </c>
      <c r="E1825" s="1">
        <f ca="1">IFERROR(__xludf.DUMMYFUNCTION("""COMPUTED_VALUE"""),141.94)</f>
        <v>141.94</v>
      </c>
      <c r="F1825" s="1">
        <f ca="1">IFERROR(__xludf.DUMMYFUNCTION("""COMPUTED_VALUE"""),994238)</f>
        <v>994238</v>
      </c>
    </row>
    <row r="1826" spans="1:6" x14ac:dyDescent="0.35">
      <c r="A1826" s="2">
        <f ca="1">IFERROR(__xludf.DUMMYFUNCTION("""COMPUTED_VALUE"""),44651.6666666666)</f>
        <v>44651.666666666599</v>
      </c>
      <c r="B1826" s="1">
        <f ca="1">IFERROR(__xludf.DUMMYFUNCTION("""COMPUTED_VALUE"""),142.05)</f>
        <v>142.05000000000001</v>
      </c>
      <c r="C1826" s="1">
        <f ca="1">IFERROR(__xludf.DUMMYFUNCTION("""COMPUTED_VALUE"""),142.11)</f>
        <v>142.11000000000001</v>
      </c>
      <c r="D1826" s="1">
        <f ca="1">IFERROR(__xludf.DUMMYFUNCTION("""COMPUTED_VALUE"""),139.02)</f>
        <v>139.02000000000001</v>
      </c>
      <c r="E1826" s="1">
        <f ca="1">IFERROR(__xludf.DUMMYFUNCTION("""COMPUTED_VALUE"""),139.07)</f>
        <v>139.07</v>
      </c>
      <c r="F1826" s="1">
        <f ca="1">IFERROR(__xludf.DUMMYFUNCTION("""COMPUTED_VALUE"""),1876236)</f>
        <v>1876236</v>
      </c>
    </row>
    <row r="1827" spans="1:6" x14ac:dyDescent="0.35">
      <c r="A1827" s="2">
        <f ca="1">IFERROR(__xludf.DUMMYFUNCTION("""COMPUTED_VALUE"""),44652.6666666666)</f>
        <v>44652.666666666599</v>
      </c>
      <c r="B1827" s="1">
        <f ca="1">IFERROR(__xludf.DUMMYFUNCTION("""COMPUTED_VALUE"""),139.5)</f>
        <v>139.5</v>
      </c>
      <c r="C1827" s="1">
        <f ca="1">IFERROR(__xludf.DUMMYFUNCTION("""COMPUTED_VALUE"""),140.47)</f>
        <v>140.47</v>
      </c>
      <c r="D1827" s="1">
        <f ca="1">IFERROR(__xludf.DUMMYFUNCTION("""COMPUTED_VALUE"""),138.31)</f>
        <v>138.31</v>
      </c>
      <c r="E1827" s="1">
        <f ca="1">IFERROR(__xludf.DUMMYFUNCTION("""COMPUTED_VALUE"""),140.15)</f>
        <v>140.15</v>
      </c>
      <c r="F1827" s="1">
        <f ca="1">IFERROR(__xludf.DUMMYFUNCTION("""COMPUTED_VALUE"""),1297072)</f>
        <v>1297072</v>
      </c>
    </row>
    <row r="1828" spans="1:6" x14ac:dyDescent="0.35">
      <c r="A1828" s="2">
        <f ca="1">IFERROR(__xludf.DUMMYFUNCTION("""COMPUTED_VALUE"""),44655.6666666666)</f>
        <v>44655.666666666599</v>
      </c>
      <c r="B1828" s="1">
        <f ca="1">IFERROR(__xludf.DUMMYFUNCTION("""COMPUTED_VALUE"""),140.36)</f>
        <v>140.36000000000001</v>
      </c>
      <c r="C1828" s="1">
        <f ca="1">IFERROR(__xludf.DUMMYFUNCTION("""COMPUTED_VALUE"""),143.71)</f>
        <v>143.71</v>
      </c>
      <c r="D1828" s="1">
        <f ca="1">IFERROR(__xludf.DUMMYFUNCTION("""COMPUTED_VALUE"""),140.31)</f>
        <v>140.31</v>
      </c>
      <c r="E1828" s="1">
        <f ca="1">IFERROR(__xludf.DUMMYFUNCTION("""COMPUTED_VALUE"""),142.97)</f>
        <v>142.97</v>
      </c>
      <c r="F1828" s="1">
        <f ca="1">IFERROR(__xludf.DUMMYFUNCTION("""COMPUTED_VALUE"""),1298542)</f>
        <v>1298542</v>
      </c>
    </row>
    <row r="1829" spans="1:6" x14ac:dyDescent="0.35">
      <c r="A1829" s="2">
        <f ca="1">IFERROR(__xludf.DUMMYFUNCTION("""COMPUTED_VALUE"""),44656.6666666666)</f>
        <v>44656.666666666599</v>
      </c>
      <c r="B1829" s="1">
        <f ca="1">IFERROR(__xludf.DUMMYFUNCTION("""COMPUTED_VALUE"""),142.87)</f>
        <v>142.87</v>
      </c>
      <c r="C1829" s="1">
        <f ca="1">IFERROR(__xludf.DUMMYFUNCTION("""COMPUTED_VALUE"""),142.99)</f>
        <v>142.99</v>
      </c>
      <c r="D1829" s="1">
        <f ca="1">IFERROR(__xludf.DUMMYFUNCTION("""COMPUTED_VALUE"""),140.38)</f>
        <v>140.38</v>
      </c>
      <c r="E1829" s="1">
        <f ca="1">IFERROR(__xludf.DUMMYFUNCTION("""COMPUTED_VALUE"""),140.59)</f>
        <v>140.59</v>
      </c>
      <c r="F1829" s="1">
        <f ca="1">IFERROR(__xludf.DUMMYFUNCTION("""COMPUTED_VALUE"""),1070906)</f>
        <v>1070906</v>
      </c>
    </row>
    <row r="1830" spans="1:6" x14ac:dyDescent="0.35">
      <c r="A1830" s="2">
        <f ca="1">IFERROR(__xludf.DUMMYFUNCTION("""COMPUTED_VALUE"""),44657.6666666666)</f>
        <v>44657.666666666599</v>
      </c>
      <c r="B1830" s="1">
        <f ca="1">IFERROR(__xludf.DUMMYFUNCTION("""COMPUTED_VALUE"""),138.75)</f>
        <v>138.75</v>
      </c>
      <c r="C1830" s="1">
        <f ca="1">IFERROR(__xludf.DUMMYFUNCTION("""COMPUTED_VALUE"""),139.36)</f>
        <v>139.36000000000001</v>
      </c>
      <c r="D1830" s="1">
        <f ca="1">IFERROR(__xludf.DUMMYFUNCTION("""COMPUTED_VALUE"""),135.52)</f>
        <v>135.52000000000001</v>
      </c>
      <c r="E1830" s="1">
        <f ca="1">IFERROR(__xludf.DUMMYFUNCTION("""COMPUTED_VALUE"""),136.55)</f>
        <v>136.55000000000001</v>
      </c>
      <c r="F1830" s="1">
        <f ca="1">IFERROR(__xludf.DUMMYFUNCTION("""COMPUTED_VALUE"""),1623424)</f>
        <v>1623424</v>
      </c>
    </row>
    <row r="1831" spans="1:6" x14ac:dyDescent="0.35">
      <c r="A1831" s="2">
        <f ca="1">IFERROR(__xludf.DUMMYFUNCTION("""COMPUTED_VALUE"""),44658.6666666666)</f>
        <v>44658.666666666599</v>
      </c>
      <c r="B1831" s="1">
        <f ca="1">IFERROR(__xludf.DUMMYFUNCTION("""COMPUTED_VALUE"""),136.01)</f>
        <v>136.01</v>
      </c>
      <c r="C1831" s="1">
        <f ca="1">IFERROR(__xludf.DUMMYFUNCTION("""COMPUTED_VALUE"""),137.16)</f>
        <v>137.16</v>
      </c>
      <c r="D1831" s="1">
        <f ca="1">IFERROR(__xludf.DUMMYFUNCTION("""COMPUTED_VALUE"""),134.23)</f>
        <v>134.22999999999999</v>
      </c>
      <c r="E1831" s="1">
        <f ca="1">IFERROR(__xludf.DUMMYFUNCTION("""COMPUTED_VALUE"""),135.89)</f>
        <v>135.88999999999999</v>
      </c>
      <c r="F1831" s="1">
        <f ca="1">IFERROR(__xludf.DUMMYFUNCTION("""COMPUTED_VALUE"""),1311680)</f>
        <v>1311680</v>
      </c>
    </row>
    <row r="1832" spans="1:6" x14ac:dyDescent="0.35">
      <c r="A1832" s="2">
        <f ca="1">IFERROR(__xludf.DUMMYFUNCTION("""COMPUTED_VALUE"""),44659.6666666666)</f>
        <v>44659.666666666599</v>
      </c>
      <c r="B1832" s="1">
        <f ca="1">IFERROR(__xludf.DUMMYFUNCTION("""COMPUTED_VALUE"""),135.58)</f>
        <v>135.58000000000001</v>
      </c>
      <c r="C1832" s="1">
        <f ca="1">IFERROR(__xludf.DUMMYFUNCTION("""COMPUTED_VALUE"""),135.67)</f>
        <v>135.66999999999999</v>
      </c>
      <c r="D1832" s="1">
        <f ca="1">IFERROR(__xludf.DUMMYFUNCTION("""COMPUTED_VALUE"""),132.97)</f>
        <v>132.97</v>
      </c>
      <c r="E1832" s="1">
        <f ca="1">IFERROR(__xludf.DUMMYFUNCTION("""COMPUTED_VALUE"""),133.29)</f>
        <v>133.29</v>
      </c>
      <c r="F1832" s="1">
        <f ca="1">IFERROR(__xludf.DUMMYFUNCTION("""COMPUTED_VALUE"""),1257140)</f>
        <v>1257140</v>
      </c>
    </row>
    <row r="1833" spans="1:6" x14ac:dyDescent="0.35">
      <c r="A1833" s="2">
        <f ca="1">IFERROR(__xludf.DUMMYFUNCTION("""COMPUTED_VALUE"""),44662.6666666666)</f>
        <v>44662.666666666599</v>
      </c>
      <c r="B1833" s="1">
        <f ca="1">IFERROR(__xludf.DUMMYFUNCTION("""COMPUTED_VALUE"""),131.82)</f>
        <v>131.82</v>
      </c>
      <c r="C1833" s="1">
        <f ca="1">IFERROR(__xludf.DUMMYFUNCTION("""COMPUTED_VALUE"""),132.09)</f>
        <v>132.09</v>
      </c>
      <c r="D1833" s="1">
        <f ca="1">IFERROR(__xludf.DUMMYFUNCTION("""COMPUTED_VALUE"""),128.67)</f>
        <v>128.66999999999999</v>
      </c>
      <c r="E1833" s="1">
        <f ca="1">IFERROR(__xludf.DUMMYFUNCTION("""COMPUTED_VALUE"""),128.82)</f>
        <v>128.82</v>
      </c>
      <c r="F1833" s="1">
        <f ca="1">IFERROR(__xludf.DUMMYFUNCTION("""COMPUTED_VALUE"""),1844153)</f>
        <v>1844153</v>
      </c>
    </row>
    <row r="1834" spans="1:6" x14ac:dyDescent="0.35">
      <c r="A1834" s="2">
        <f ca="1">IFERROR(__xludf.DUMMYFUNCTION("""COMPUTED_VALUE"""),44663.6666666666)</f>
        <v>44663.666666666599</v>
      </c>
      <c r="B1834" s="1">
        <f ca="1">IFERROR(__xludf.DUMMYFUNCTION("""COMPUTED_VALUE"""),131.6)</f>
        <v>131.6</v>
      </c>
      <c r="C1834" s="1">
        <f ca="1">IFERROR(__xludf.DUMMYFUNCTION("""COMPUTED_VALUE"""),131.6)</f>
        <v>131.6</v>
      </c>
      <c r="D1834" s="1">
        <f ca="1">IFERROR(__xludf.DUMMYFUNCTION("""COMPUTED_VALUE"""),126.79)</f>
        <v>126.79</v>
      </c>
      <c r="E1834" s="1">
        <f ca="1">IFERROR(__xludf.DUMMYFUNCTION("""COMPUTED_VALUE"""),127.71)</f>
        <v>127.71</v>
      </c>
      <c r="F1834" s="1">
        <f ca="1">IFERROR(__xludf.DUMMYFUNCTION("""COMPUTED_VALUE"""),1635535)</f>
        <v>1635535</v>
      </c>
    </row>
    <row r="1835" spans="1:6" x14ac:dyDescent="0.35">
      <c r="A1835" s="2">
        <f ca="1">IFERROR(__xludf.DUMMYFUNCTION("""COMPUTED_VALUE"""),44664.6666666666)</f>
        <v>44664.666666666599</v>
      </c>
      <c r="B1835" s="1">
        <f ca="1">IFERROR(__xludf.DUMMYFUNCTION("""COMPUTED_VALUE"""),128)</f>
        <v>128</v>
      </c>
      <c r="C1835" s="1">
        <f ca="1">IFERROR(__xludf.DUMMYFUNCTION("""COMPUTED_VALUE"""),130.33)</f>
        <v>130.33000000000001</v>
      </c>
      <c r="D1835" s="1">
        <f ca="1">IFERROR(__xludf.DUMMYFUNCTION("""COMPUTED_VALUE"""),127.74)</f>
        <v>127.74</v>
      </c>
      <c r="E1835" s="1">
        <f ca="1">IFERROR(__xludf.DUMMYFUNCTION("""COMPUTED_VALUE"""),129.89)</f>
        <v>129.88999999999999</v>
      </c>
      <c r="F1835" s="1">
        <f ca="1">IFERROR(__xludf.DUMMYFUNCTION("""COMPUTED_VALUE"""),1396362)</f>
        <v>1396362</v>
      </c>
    </row>
    <row r="1836" spans="1:6" x14ac:dyDescent="0.35">
      <c r="A1836" s="2">
        <f ca="1">IFERROR(__xludf.DUMMYFUNCTION("""COMPUTED_VALUE"""),44665.6666666666)</f>
        <v>44665.666666666599</v>
      </c>
      <c r="B1836" s="1">
        <f ca="1">IFERROR(__xludf.DUMMYFUNCTION("""COMPUTED_VALUE"""),130.48)</f>
        <v>130.47999999999999</v>
      </c>
      <c r="C1836" s="1">
        <f ca="1">IFERROR(__xludf.DUMMYFUNCTION("""COMPUTED_VALUE"""),130.48)</f>
        <v>130.47999999999999</v>
      </c>
      <c r="D1836" s="1">
        <f ca="1">IFERROR(__xludf.DUMMYFUNCTION("""COMPUTED_VALUE"""),126.6)</f>
        <v>126.6</v>
      </c>
      <c r="E1836" s="1">
        <f ca="1">IFERROR(__xludf.DUMMYFUNCTION("""COMPUTED_VALUE"""),126.73)</f>
        <v>126.73</v>
      </c>
      <c r="F1836" s="1">
        <f ca="1">IFERROR(__xludf.DUMMYFUNCTION("""COMPUTED_VALUE"""),1579899)</f>
        <v>1579899</v>
      </c>
    </row>
    <row r="1837" spans="1:6" x14ac:dyDescent="0.35">
      <c r="A1837" s="2">
        <f ca="1">IFERROR(__xludf.DUMMYFUNCTION("""COMPUTED_VALUE"""),44669.6666666666)</f>
        <v>44669.666666666599</v>
      </c>
      <c r="B1837" s="1">
        <f ca="1">IFERROR(__xludf.DUMMYFUNCTION("""COMPUTED_VALUE"""),127)</f>
        <v>127</v>
      </c>
      <c r="C1837" s="1">
        <f ca="1">IFERROR(__xludf.DUMMYFUNCTION("""COMPUTED_VALUE"""),128.21)</f>
        <v>128.21</v>
      </c>
      <c r="D1837" s="1">
        <f ca="1">IFERROR(__xludf.DUMMYFUNCTION("""COMPUTED_VALUE"""),126.18)</f>
        <v>126.18</v>
      </c>
      <c r="E1837" s="1">
        <f ca="1">IFERROR(__xludf.DUMMYFUNCTION("""COMPUTED_VALUE"""),127.68)</f>
        <v>127.68</v>
      </c>
      <c r="F1837" s="1">
        <f ca="1">IFERROR(__xludf.DUMMYFUNCTION("""COMPUTED_VALUE"""),1040433)</f>
        <v>1040433</v>
      </c>
    </row>
    <row r="1838" spans="1:6" x14ac:dyDescent="0.35">
      <c r="A1838" s="2">
        <f ca="1">IFERROR(__xludf.DUMMYFUNCTION("""COMPUTED_VALUE"""),44670.6666666666)</f>
        <v>44670.666666666599</v>
      </c>
      <c r="B1838" s="1">
        <f ca="1">IFERROR(__xludf.DUMMYFUNCTION("""COMPUTED_VALUE"""),127.69)</f>
        <v>127.69</v>
      </c>
      <c r="C1838" s="1">
        <f ca="1">IFERROR(__xludf.DUMMYFUNCTION("""COMPUTED_VALUE"""),130.33)</f>
        <v>130.33000000000001</v>
      </c>
      <c r="D1838" s="1">
        <f ca="1">IFERROR(__xludf.DUMMYFUNCTION("""COMPUTED_VALUE"""),127)</f>
        <v>127</v>
      </c>
      <c r="E1838" s="1">
        <f ca="1">IFERROR(__xludf.DUMMYFUNCTION("""COMPUTED_VALUE"""),130.01)</f>
        <v>130.01</v>
      </c>
      <c r="F1838" s="1">
        <f ca="1">IFERROR(__xludf.DUMMYFUNCTION("""COMPUTED_VALUE"""),1324488)</f>
        <v>1324488</v>
      </c>
    </row>
    <row r="1839" spans="1:6" x14ac:dyDescent="0.35">
      <c r="A1839" s="2">
        <f ca="1">IFERROR(__xludf.DUMMYFUNCTION("""COMPUTED_VALUE"""),44671.6666666666)</f>
        <v>44671.666666666599</v>
      </c>
      <c r="B1839" s="1">
        <f ca="1">IFERROR(__xludf.DUMMYFUNCTION("""COMPUTED_VALUE"""),130.89)</f>
        <v>130.88999999999999</v>
      </c>
      <c r="C1839" s="1">
        <f ca="1">IFERROR(__xludf.DUMMYFUNCTION("""COMPUTED_VALUE"""),131.4)</f>
        <v>131.4</v>
      </c>
      <c r="D1839" s="1">
        <f ca="1">IFERROR(__xludf.DUMMYFUNCTION("""COMPUTED_VALUE"""),127.5)</f>
        <v>127.5</v>
      </c>
      <c r="E1839" s="1">
        <f ca="1">IFERROR(__xludf.DUMMYFUNCTION("""COMPUTED_VALUE"""),128.04)</f>
        <v>128.04</v>
      </c>
      <c r="F1839" s="1">
        <f ca="1">IFERROR(__xludf.DUMMYFUNCTION("""COMPUTED_VALUE"""),1584773)</f>
        <v>1584773</v>
      </c>
    </row>
    <row r="1840" spans="1:6" x14ac:dyDescent="0.35">
      <c r="A1840" s="2">
        <f ca="1">IFERROR(__xludf.DUMMYFUNCTION("""COMPUTED_VALUE"""),44672.6666666666)</f>
        <v>44672.666666666599</v>
      </c>
      <c r="B1840" s="1">
        <f ca="1">IFERROR(__xludf.DUMMYFUNCTION("""COMPUTED_VALUE"""),129.25)</f>
        <v>129.25</v>
      </c>
      <c r="C1840" s="1">
        <f ca="1">IFERROR(__xludf.DUMMYFUNCTION("""COMPUTED_VALUE"""),130.1)</f>
        <v>130.1</v>
      </c>
      <c r="D1840" s="1">
        <f ca="1">IFERROR(__xludf.DUMMYFUNCTION("""COMPUTED_VALUE"""),124.53)</f>
        <v>124.53</v>
      </c>
      <c r="E1840" s="1">
        <f ca="1">IFERROR(__xludf.DUMMYFUNCTION("""COMPUTED_VALUE"""),124.81)</f>
        <v>124.81</v>
      </c>
      <c r="F1840" s="1">
        <f ca="1">IFERROR(__xludf.DUMMYFUNCTION("""COMPUTED_VALUE"""),1822258)</f>
        <v>1822258</v>
      </c>
    </row>
    <row r="1841" spans="1:6" x14ac:dyDescent="0.35">
      <c r="A1841" s="2">
        <f ca="1">IFERROR(__xludf.DUMMYFUNCTION("""COMPUTED_VALUE"""),44673.6666666666)</f>
        <v>44673.666666666599</v>
      </c>
      <c r="B1841" s="1">
        <f ca="1">IFERROR(__xludf.DUMMYFUNCTION("""COMPUTED_VALUE"""),125)</f>
        <v>125</v>
      </c>
      <c r="C1841" s="1">
        <f ca="1">IFERROR(__xludf.DUMMYFUNCTION("""COMPUTED_VALUE"""),125.4)</f>
        <v>125.4</v>
      </c>
      <c r="D1841" s="1">
        <f ca="1">IFERROR(__xludf.DUMMYFUNCTION("""COMPUTED_VALUE"""),118.93)</f>
        <v>118.93</v>
      </c>
      <c r="E1841" s="1">
        <f ca="1">IFERROR(__xludf.DUMMYFUNCTION("""COMPUTED_VALUE"""),119.64)</f>
        <v>119.64</v>
      </c>
      <c r="F1841" s="1">
        <f ca="1">IFERROR(__xludf.DUMMYFUNCTION("""COMPUTED_VALUE"""),2844186)</f>
        <v>2844186</v>
      </c>
    </row>
    <row r="1842" spans="1:6" x14ac:dyDescent="0.35">
      <c r="A1842" s="2">
        <f ca="1">IFERROR(__xludf.DUMMYFUNCTION("""COMPUTED_VALUE"""),44676.6666666666)</f>
        <v>44676.666666666599</v>
      </c>
      <c r="B1842" s="1">
        <f ca="1">IFERROR(__xludf.DUMMYFUNCTION("""COMPUTED_VALUE"""),119.1)</f>
        <v>119.1</v>
      </c>
      <c r="C1842" s="1">
        <f ca="1">IFERROR(__xludf.DUMMYFUNCTION("""COMPUTED_VALUE"""),123.28)</f>
        <v>123.28</v>
      </c>
      <c r="D1842" s="1">
        <f ca="1">IFERROR(__xludf.DUMMYFUNCTION("""COMPUTED_VALUE"""),118.51)</f>
        <v>118.51</v>
      </c>
      <c r="E1842" s="1">
        <f ca="1">IFERROR(__xludf.DUMMYFUNCTION("""COMPUTED_VALUE"""),123.07)</f>
        <v>123.07</v>
      </c>
      <c r="F1842" s="1">
        <f ca="1">IFERROR(__xludf.DUMMYFUNCTION("""COMPUTED_VALUE"""),2306413)</f>
        <v>2306413</v>
      </c>
    </row>
    <row r="1843" spans="1:6" x14ac:dyDescent="0.35">
      <c r="A1843" s="2">
        <f ca="1">IFERROR(__xludf.DUMMYFUNCTION("""COMPUTED_VALUE"""),44677.6666666666)</f>
        <v>44677.666666666599</v>
      </c>
      <c r="B1843" s="1">
        <f ca="1">IFERROR(__xludf.DUMMYFUNCTION("""COMPUTED_VALUE"""),122.29)</f>
        <v>122.29</v>
      </c>
      <c r="C1843" s="1">
        <f ca="1">IFERROR(__xludf.DUMMYFUNCTION("""COMPUTED_VALUE"""),122.51)</f>
        <v>122.51</v>
      </c>
      <c r="D1843" s="1">
        <f ca="1">IFERROR(__xludf.DUMMYFUNCTION("""COMPUTED_VALUE"""),118.51)</f>
        <v>118.51</v>
      </c>
      <c r="E1843" s="1">
        <f ca="1">IFERROR(__xludf.DUMMYFUNCTION("""COMPUTED_VALUE"""),118.65)</f>
        <v>118.65</v>
      </c>
      <c r="F1843" s="1">
        <f ca="1">IFERROR(__xludf.DUMMYFUNCTION("""COMPUTED_VALUE"""),3652744)</f>
        <v>3652744</v>
      </c>
    </row>
    <row r="1844" spans="1:6" x14ac:dyDescent="0.35">
      <c r="A1844" s="2">
        <f ca="1">IFERROR(__xludf.DUMMYFUNCTION("""COMPUTED_VALUE"""),44678.6666666666)</f>
        <v>44678.666666666599</v>
      </c>
      <c r="B1844" s="1">
        <f ca="1">IFERROR(__xludf.DUMMYFUNCTION("""COMPUTED_VALUE"""),114.47)</f>
        <v>114.47</v>
      </c>
      <c r="C1844" s="1">
        <f ca="1">IFERROR(__xludf.DUMMYFUNCTION("""COMPUTED_VALUE"""),117.24)</f>
        <v>117.24</v>
      </c>
      <c r="D1844" s="1">
        <f ca="1">IFERROR(__xludf.DUMMYFUNCTION("""COMPUTED_VALUE"""),112.74)</f>
        <v>112.74</v>
      </c>
      <c r="E1844" s="1">
        <f ca="1">IFERROR(__xludf.DUMMYFUNCTION("""COMPUTED_VALUE"""),114.29)</f>
        <v>114.29</v>
      </c>
      <c r="F1844" s="1">
        <f ca="1">IFERROR(__xludf.DUMMYFUNCTION("""COMPUTED_VALUE"""),4591029)</f>
        <v>4591029</v>
      </c>
    </row>
    <row r="1845" spans="1:6" x14ac:dyDescent="0.35">
      <c r="A1845" s="2">
        <f ca="1">IFERROR(__xludf.DUMMYFUNCTION("""COMPUTED_VALUE"""),44679.6666666666)</f>
        <v>44679.666666666599</v>
      </c>
      <c r="B1845" s="1">
        <f ca="1">IFERROR(__xludf.DUMMYFUNCTION("""COMPUTED_VALUE"""),116.42)</f>
        <v>116.42</v>
      </c>
      <c r="C1845" s="1">
        <f ca="1">IFERROR(__xludf.DUMMYFUNCTION("""COMPUTED_VALUE"""),119.65)</f>
        <v>119.65</v>
      </c>
      <c r="D1845" s="1">
        <f ca="1">IFERROR(__xludf.DUMMYFUNCTION("""COMPUTED_VALUE"""),114.12)</f>
        <v>114.12</v>
      </c>
      <c r="E1845" s="1">
        <f ca="1">IFERROR(__xludf.DUMMYFUNCTION("""COMPUTED_VALUE"""),118.52)</f>
        <v>118.52</v>
      </c>
      <c r="F1845" s="1">
        <f ca="1">IFERROR(__xludf.DUMMYFUNCTION("""COMPUTED_VALUE"""),2444232)</f>
        <v>2444232</v>
      </c>
    </row>
    <row r="1846" spans="1:6" x14ac:dyDescent="0.35">
      <c r="A1846" s="2">
        <f ca="1">IFERROR(__xludf.DUMMYFUNCTION("""COMPUTED_VALUE"""),44680.6666666666)</f>
        <v>44680.666666666599</v>
      </c>
      <c r="B1846" s="1">
        <f ca="1">IFERROR(__xludf.DUMMYFUNCTION("""COMPUTED_VALUE"""),116.73)</f>
        <v>116.73</v>
      </c>
      <c r="C1846" s="1">
        <f ca="1">IFERROR(__xludf.DUMMYFUNCTION("""COMPUTED_VALUE"""),117.92)</f>
        <v>117.92</v>
      </c>
      <c r="D1846" s="1">
        <f ca="1">IFERROR(__xludf.DUMMYFUNCTION("""COMPUTED_VALUE"""),113.81)</f>
        <v>113.81</v>
      </c>
      <c r="E1846" s="1">
        <f ca="1">IFERROR(__xludf.DUMMYFUNCTION("""COMPUTED_VALUE"""),114.11)</f>
        <v>114.11</v>
      </c>
      <c r="F1846" s="1">
        <f ca="1">IFERROR(__xludf.DUMMYFUNCTION("""COMPUTED_VALUE"""),2133800)</f>
        <v>2133800</v>
      </c>
    </row>
    <row r="1847" spans="1:6" x14ac:dyDescent="0.35">
      <c r="A1847" s="2">
        <f ca="1">IFERROR(__xludf.DUMMYFUNCTION("""COMPUTED_VALUE"""),44683.6666666666)</f>
        <v>44683.666666666599</v>
      </c>
      <c r="B1847" s="1">
        <f ca="1">IFERROR(__xludf.DUMMYFUNCTION("""COMPUTED_VALUE"""),113.41)</f>
        <v>113.41</v>
      </c>
      <c r="C1847" s="1">
        <f ca="1">IFERROR(__xludf.DUMMYFUNCTION("""COMPUTED_VALUE"""),116.75)</f>
        <v>116.75</v>
      </c>
      <c r="D1847" s="1">
        <f ca="1">IFERROR(__xludf.DUMMYFUNCTION("""COMPUTED_VALUE"""),112.6)</f>
        <v>112.6</v>
      </c>
      <c r="E1847" s="1">
        <f ca="1">IFERROR(__xludf.DUMMYFUNCTION("""COMPUTED_VALUE"""),116.58)</f>
        <v>116.58</v>
      </c>
      <c r="F1847" s="1">
        <f ca="1">IFERROR(__xludf.DUMMYFUNCTION("""COMPUTED_VALUE"""),1776651)</f>
        <v>1776651</v>
      </c>
    </row>
    <row r="1848" spans="1:6" x14ac:dyDescent="0.35">
      <c r="A1848" s="2">
        <f ca="1">IFERROR(__xludf.DUMMYFUNCTION("""COMPUTED_VALUE"""),44684.6666666666)</f>
        <v>44684.666666666599</v>
      </c>
      <c r="B1848" s="1">
        <f ca="1">IFERROR(__xludf.DUMMYFUNCTION("""COMPUTED_VALUE"""),116.43)</f>
        <v>116.43</v>
      </c>
      <c r="C1848" s="1">
        <f ca="1">IFERROR(__xludf.DUMMYFUNCTION("""COMPUTED_VALUE"""),118.44)</f>
        <v>118.44</v>
      </c>
      <c r="D1848" s="1">
        <f ca="1">IFERROR(__xludf.DUMMYFUNCTION("""COMPUTED_VALUE"""),116.03)</f>
        <v>116.03</v>
      </c>
      <c r="E1848" s="1">
        <f ca="1">IFERROR(__xludf.DUMMYFUNCTION("""COMPUTED_VALUE"""),117.33)</f>
        <v>117.33</v>
      </c>
      <c r="F1848" s="1">
        <f ca="1">IFERROR(__xludf.DUMMYFUNCTION("""COMPUTED_VALUE"""),1248368)</f>
        <v>1248368</v>
      </c>
    </row>
    <row r="1849" spans="1:6" x14ac:dyDescent="0.35">
      <c r="A1849" s="2">
        <f ca="1">IFERROR(__xludf.DUMMYFUNCTION("""COMPUTED_VALUE"""),44685.6666666666)</f>
        <v>44685.666666666599</v>
      </c>
      <c r="B1849" s="1">
        <f ca="1">IFERROR(__xludf.DUMMYFUNCTION("""COMPUTED_VALUE"""),117.03)</f>
        <v>117.03</v>
      </c>
      <c r="C1849" s="1">
        <f ca="1">IFERROR(__xludf.DUMMYFUNCTION("""COMPUTED_VALUE"""),122.85)</f>
        <v>122.85</v>
      </c>
      <c r="D1849" s="1">
        <f ca="1">IFERROR(__xludf.DUMMYFUNCTION("""COMPUTED_VALUE"""),115.12)</f>
        <v>115.12</v>
      </c>
      <c r="E1849" s="1">
        <f ca="1">IFERROR(__xludf.DUMMYFUNCTION("""COMPUTED_VALUE"""),122.26)</f>
        <v>122.26</v>
      </c>
      <c r="F1849" s="1">
        <f ca="1">IFERROR(__xludf.DUMMYFUNCTION("""COMPUTED_VALUE"""),2495764)</f>
        <v>2495764</v>
      </c>
    </row>
    <row r="1850" spans="1:6" x14ac:dyDescent="0.35">
      <c r="A1850" s="2">
        <f ca="1">IFERROR(__xludf.DUMMYFUNCTION("""COMPUTED_VALUE"""),44686.6666666666)</f>
        <v>44686.666666666599</v>
      </c>
      <c r="B1850" s="1">
        <f ca="1">IFERROR(__xludf.DUMMYFUNCTION("""COMPUTED_VALUE"""),120.2)</f>
        <v>120.2</v>
      </c>
      <c r="C1850" s="1">
        <f ca="1">IFERROR(__xludf.DUMMYFUNCTION("""COMPUTED_VALUE"""),121.04)</f>
        <v>121.04</v>
      </c>
      <c r="D1850" s="1">
        <f ca="1">IFERROR(__xludf.DUMMYFUNCTION("""COMPUTED_VALUE"""),115.01)</f>
        <v>115.01</v>
      </c>
      <c r="E1850" s="1">
        <f ca="1">IFERROR(__xludf.DUMMYFUNCTION("""COMPUTED_VALUE"""),116.51)</f>
        <v>116.51</v>
      </c>
      <c r="F1850" s="1">
        <f ca="1">IFERROR(__xludf.DUMMYFUNCTION("""COMPUTED_VALUE"""),2292029)</f>
        <v>2292029</v>
      </c>
    </row>
    <row r="1851" spans="1:6" x14ac:dyDescent="0.35">
      <c r="A1851" s="2">
        <f ca="1">IFERROR(__xludf.DUMMYFUNCTION("""COMPUTED_VALUE"""),44687.6666666666)</f>
        <v>44687.666666666599</v>
      </c>
      <c r="B1851" s="1">
        <f ca="1">IFERROR(__xludf.DUMMYFUNCTION("""COMPUTED_VALUE"""),115.18)</f>
        <v>115.18</v>
      </c>
      <c r="C1851" s="1">
        <f ca="1">IFERROR(__xludf.DUMMYFUNCTION("""COMPUTED_VALUE"""),117.57)</f>
        <v>117.57</v>
      </c>
      <c r="D1851" s="1">
        <f ca="1">IFERROR(__xludf.DUMMYFUNCTION("""COMPUTED_VALUE"""),114.02)</f>
        <v>114.02</v>
      </c>
      <c r="E1851" s="1">
        <f ca="1">IFERROR(__xludf.DUMMYFUNCTION("""COMPUTED_VALUE"""),115.75)</f>
        <v>115.75</v>
      </c>
      <c r="F1851" s="1">
        <f ca="1">IFERROR(__xludf.DUMMYFUNCTION("""COMPUTED_VALUE"""),1985479)</f>
        <v>1985479</v>
      </c>
    </row>
    <row r="1852" spans="1:6" x14ac:dyDescent="0.35">
      <c r="A1852" s="2">
        <f ca="1">IFERROR(__xludf.DUMMYFUNCTION("""COMPUTED_VALUE"""),44690.6666666666)</f>
        <v>44690.666666666599</v>
      </c>
      <c r="B1852" s="1">
        <f ca="1">IFERROR(__xludf.DUMMYFUNCTION("""COMPUTED_VALUE"""),113.25)</f>
        <v>113.25</v>
      </c>
      <c r="C1852" s="1">
        <f ca="1">IFERROR(__xludf.DUMMYFUNCTION("""COMPUTED_VALUE"""),115.08)</f>
        <v>115.08</v>
      </c>
      <c r="D1852" s="1">
        <f ca="1">IFERROR(__xludf.DUMMYFUNCTION("""COMPUTED_VALUE"""),112)</f>
        <v>112</v>
      </c>
      <c r="E1852" s="1">
        <f ca="1">IFERROR(__xludf.DUMMYFUNCTION("""COMPUTED_VALUE"""),112.51)</f>
        <v>112.51</v>
      </c>
      <c r="F1852" s="1">
        <f ca="1">IFERROR(__xludf.DUMMYFUNCTION("""COMPUTED_VALUE"""),2040143)</f>
        <v>2040143</v>
      </c>
    </row>
    <row r="1853" spans="1:6" x14ac:dyDescent="0.35">
      <c r="A1853" s="2">
        <f ca="1">IFERROR(__xludf.DUMMYFUNCTION("""COMPUTED_VALUE"""),44691.6666666666)</f>
        <v>44691.666666666599</v>
      </c>
      <c r="B1853" s="1">
        <f ca="1">IFERROR(__xludf.DUMMYFUNCTION("""COMPUTED_VALUE"""),115.51)</f>
        <v>115.51</v>
      </c>
      <c r="C1853" s="1">
        <f ca="1">IFERROR(__xludf.DUMMYFUNCTION("""COMPUTED_VALUE"""),116.25)</f>
        <v>116.25</v>
      </c>
      <c r="D1853" s="1">
        <f ca="1">IFERROR(__xludf.DUMMYFUNCTION("""COMPUTED_VALUE"""),112.9)</f>
        <v>112.9</v>
      </c>
      <c r="E1853" s="1">
        <f ca="1">IFERROR(__xludf.DUMMYFUNCTION("""COMPUTED_VALUE"""),114.4)</f>
        <v>114.4</v>
      </c>
      <c r="F1853" s="1">
        <f ca="1">IFERROR(__xludf.DUMMYFUNCTION("""COMPUTED_VALUE"""),1995019)</f>
        <v>1995019</v>
      </c>
    </row>
    <row r="1854" spans="1:6" x14ac:dyDescent="0.35">
      <c r="A1854" s="2">
        <f ca="1">IFERROR(__xludf.DUMMYFUNCTION("""COMPUTED_VALUE"""),44692.6666666666)</f>
        <v>44692.666666666599</v>
      </c>
      <c r="B1854" s="1">
        <f ca="1">IFERROR(__xludf.DUMMYFUNCTION("""COMPUTED_VALUE"""),113.24)</f>
        <v>113.24</v>
      </c>
      <c r="C1854" s="1">
        <f ca="1">IFERROR(__xludf.DUMMYFUNCTION("""COMPUTED_VALUE"""),116.36)</f>
        <v>116.36</v>
      </c>
      <c r="D1854" s="1">
        <f ca="1">IFERROR(__xludf.DUMMYFUNCTION("""COMPUTED_VALUE"""),113.24)</f>
        <v>113.24</v>
      </c>
      <c r="E1854" s="1">
        <f ca="1">IFERROR(__xludf.DUMMYFUNCTION("""COMPUTED_VALUE"""),113.6)</f>
        <v>113.6</v>
      </c>
      <c r="F1854" s="1">
        <f ca="1">IFERROR(__xludf.DUMMYFUNCTION("""COMPUTED_VALUE"""),1876737)</f>
        <v>1876737</v>
      </c>
    </row>
    <row r="1855" spans="1:6" x14ac:dyDescent="0.35">
      <c r="A1855" s="2">
        <f ca="1">IFERROR(__xludf.DUMMYFUNCTION("""COMPUTED_VALUE"""),44693.6666666666)</f>
        <v>44693.666666666599</v>
      </c>
      <c r="B1855" s="1">
        <f ca="1">IFERROR(__xludf.DUMMYFUNCTION("""COMPUTED_VALUE"""),111.38)</f>
        <v>111.38</v>
      </c>
      <c r="C1855" s="1">
        <f ca="1">IFERROR(__xludf.DUMMYFUNCTION("""COMPUTED_VALUE"""),114.3)</f>
        <v>114.3</v>
      </c>
      <c r="D1855" s="1">
        <f ca="1">IFERROR(__xludf.DUMMYFUNCTION("""COMPUTED_VALUE"""),109.82)</f>
        <v>109.82</v>
      </c>
      <c r="E1855" s="1">
        <f ca="1">IFERROR(__xludf.DUMMYFUNCTION("""COMPUTED_VALUE"""),112.84)</f>
        <v>112.84</v>
      </c>
      <c r="F1855" s="1">
        <f ca="1">IFERROR(__xludf.DUMMYFUNCTION("""COMPUTED_VALUE"""),2691809)</f>
        <v>2691809</v>
      </c>
    </row>
    <row r="1856" spans="1:6" x14ac:dyDescent="0.35">
      <c r="A1856" s="2">
        <f ca="1">IFERROR(__xludf.DUMMYFUNCTION("""COMPUTED_VALUE"""),44694.6666666666)</f>
        <v>44694.666666666599</v>
      </c>
      <c r="B1856" s="1">
        <f ca="1">IFERROR(__xludf.DUMMYFUNCTION("""COMPUTED_VALUE"""),114.53)</f>
        <v>114.53</v>
      </c>
      <c r="C1856" s="1">
        <f ca="1">IFERROR(__xludf.DUMMYFUNCTION("""COMPUTED_VALUE"""),117.88)</f>
        <v>117.88</v>
      </c>
      <c r="D1856" s="1">
        <f ca="1">IFERROR(__xludf.DUMMYFUNCTION("""COMPUTED_VALUE"""),113.61)</f>
        <v>113.61</v>
      </c>
      <c r="E1856" s="1">
        <f ca="1">IFERROR(__xludf.DUMMYFUNCTION("""COMPUTED_VALUE"""),116.05)</f>
        <v>116.05</v>
      </c>
      <c r="F1856" s="1">
        <f ca="1">IFERROR(__xludf.DUMMYFUNCTION("""COMPUTED_VALUE"""),1751924)</f>
        <v>1751924</v>
      </c>
    </row>
    <row r="1857" spans="1:6" x14ac:dyDescent="0.35">
      <c r="A1857" s="2">
        <f ca="1">IFERROR(__xludf.DUMMYFUNCTION("""COMPUTED_VALUE"""),44697.6666666666)</f>
        <v>44697.666666666599</v>
      </c>
      <c r="B1857" s="1">
        <f ca="1">IFERROR(__xludf.DUMMYFUNCTION("""COMPUTED_VALUE"""),114.96)</f>
        <v>114.96</v>
      </c>
      <c r="C1857" s="1">
        <f ca="1">IFERROR(__xludf.DUMMYFUNCTION("""COMPUTED_VALUE"""),116.17)</f>
        <v>116.17</v>
      </c>
      <c r="D1857" s="1">
        <f ca="1">IFERROR(__xludf.DUMMYFUNCTION("""COMPUTED_VALUE"""),113.89)</f>
        <v>113.89</v>
      </c>
      <c r="E1857" s="1">
        <f ca="1">IFERROR(__xludf.DUMMYFUNCTION("""COMPUTED_VALUE"""),114.45)</f>
        <v>114.45</v>
      </c>
      <c r="F1857" s="1">
        <f ca="1">IFERROR(__xludf.DUMMYFUNCTION("""COMPUTED_VALUE"""),1299522)</f>
        <v>1299522</v>
      </c>
    </row>
    <row r="1858" spans="1:6" x14ac:dyDescent="0.35">
      <c r="A1858" s="2">
        <f ca="1">IFERROR(__xludf.DUMMYFUNCTION("""COMPUTED_VALUE"""),44698.6666666666)</f>
        <v>44698.666666666599</v>
      </c>
      <c r="B1858" s="1">
        <f ca="1">IFERROR(__xludf.DUMMYFUNCTION("""COMPUTED_VALUE"""),116.84)</f>
        <v>116.84</v>
      </c>
      <c r="C1858" s="1">
        <f ca="1">IFERROR(__xludf.DUMMYFUNCTION("""COMPUTED_VALUE"""),116.9)</f>
        <v>116.9</v>
      </c>
      <c r="D1858" s="1">
        <f ca="1">IFERROR(__xludf.DUMMYFUNCTION("""COMPUTED_VALUE"""),114.87)</f>
        <v>114.87</v>
      </c>
      <c r="E1858" s="1">
        <f ca="1">IFERROR(__xludf.DUMMYFUNCTION("""COMPUTED_VALUE"""),116.47)</f>
        <v>116.47</v>
      </c>
      <c r="F1858" s="1">
        <f ca="1">IFERROR(__xludf.DUMMYFUNCTION("""COMPUTED_VALUE"""),1152658)</f>
        <v>1152658</v>
      </c>
    </row>
    <row r="1859" spans="1:6" x14ac:dyDescent="0.35">
      <c r="A1859" s="2">
        <f ca="1">IFERROR(__xludf.DUMMYFUNCTION("""COMPUTED_VALUE"""),44699.6666666666)</f>
        <v>44699.666666666599</v>
      </c>
      <c r="B1859" s="1">
        <f ca="1">IFERROR(__xludf.DUMMYFUNCTION("""COMPUTED_VALUE"""),115)</f>
        <v>115</v>
      </c>
      <c r="C1859" s="1">
        <f ca="1">IFERROR(__xludf.DUMMYFUNCTION("""COMPUTED_VALUE"""),115.4)</f>
        <v>115.4</v>
      </c>
      <c r="D1859" s="1">
        <f ca="1">IFERROR(__xludf.DUMMYFUNCTION("""COMPUTED_VALUE"""),111.56)</f>
        <v>111.56</v>
      </c>
      <c r="E1859" s="1">
        <f ca="1">IFERROR(__xludf.DUMMYFUNCTION("""COMPUTED_VALUE"""),111.9)</f>
        <v>111.9</v>
      </c>
      <c r="F1859" s="1">
        <f ca="1">IFERROR(__xludf.DUMMYFUNCTION("""COMPUTED_VALUE"""),1756299)</f>
        <v>1756299</v>
      </c>
    </row>
    <row r="1860" spans="1:6" x14ac:dyDescent="0.35">
      <c r="A1860" s="2">
        <f ca="1">IFERROR(__xludf.DUMMYFUNCTION("""COMPUTED_VALUE"""),44700.6666666666)</f>
        <v>44700.666666666599</v>
      </c>
      <c r="B1860" s="1">
        <f ca="1">IFERROR(__xludf.DUMMYFUNCTION("""COMPUTED_VALUE"""),111.43)</f>
        <v>111.43</v>
      </c>
      <c r="C1860" s="1">
        <f ca="1">IFERROR(__xludf.DUMMYFUNCTION("""COMPUTED_VALUE"""),113.01)</f>
        <v>113.01</v>
      </c>
      <c r="D1860" s="1">
        <f ca="1">IFERROR(__xludf.DUMMYFUNCTION("""COMPUTED_VALUE"""),110)</f>
        <v>110</v>
      </c>
      <c r="E1860" s="1">
        <f ca="1">IFERROR(__xludf.DUMMYFUNCTION("""COMPUTED_VALUE"""),110.38)</f>
        <v>110.38</v>
      </c>
      <c r="F1860" s="1">
        <f ca="1">IFERROR(__xludf.DUMMYFUNCTION("""COMPUTED_VALUE"""),1707220)</f>
        <v>1707220</v>
      </c>
    </row>
    <row r="1861" spans="1:6" x14ac:dyDescent="0.35">
      <c r="A1861" s="2">
        <f ca="1">IFERROR(__xludf.DUMMYFUNCTION("""COMPUTED_VALUE"""),44701.6666666666)</f>
        <v>44701.666666666599</v>
      </c>
      <c r="B1861" s="1">
        <f ca="1">IFERROR(__xludf.DUMMYFUNCTION("""COMPUTED_VALUE"""),111.95)</f>
        <v>111.95</v>
      </c>
      <c r="C1861" s="1">
        <f ca="1">IFERROR(__xludf.DUMMYFUNCTION("""COMPUTED_VALUE"""),112.18)</f>
        <v>112.18</v>
      </c>
      <c r="D1861" s="1">
        <f ca="1">IFERROR(__xludf.DUMMYFUNCTION("""COMPUTED_VALUE"""),105.8)</f>
        <v>105.8</v>
      </c>
      <c r="E1861" s="1">
        <f ca="1">IFERROR(__xludf.DUMMYFUNCTION("""COMPUTED_VALUE"""),108.91)</f>
        <v>108.91</v>
      </c>
      <c r="F1861" s="1">
        <f ca="1">IFERROR(__xludf.DUMMYFUNCTION("""COMPUTED_VALUE"""),2448148)</f>
        <v>2448148</v>
      </c>
    </row>
    <row r="1862" spans="1:6" x14ac:dyDescent="0.35">
      <c r="A1862" s="2">
        <f ca="1">IFERROR(__xludf.DUMMYFUNCTION("""COMPUTED_VALUE"""),44704.6666666666)</f>
        <v>44704.666666666599</v>
      </c>
      <c r="B1862" s="1">
        <f ca="1">IFERROR(__xludf.DUMMYFUNCTION("""COMPUTED_VALUE"""),109.59)</f>
        <v>109.59</v>
      </c>
      <c r="C1862" s="1">
        <f ca="1">IFERROR(__xludf.DUMMYFUNCTION("""COMPUTED_VALUE"""),112.15)</f>
        <v>112.15</v>
      </c>
      <c r="D1862" s="1">
        <f ca="1">IFERROR(__xludf.DUMMYFUNCTION("""COMPUTED_VALUE"""),108.74)</f>
        <v>108.74</v>
      </c>
      <c r="E1862" s="1">
        <f ca="1">IFERROR(__xludf.DUMMYFUNCTION("""COMPUTED_VALUE"""),111.49)</f>
        <v>111.49</v>
      </c>
      <c r="F1862" s="1">
        <f ca="1">IFERROR(__xludf.DUMMYFUNCTION("""COMPUTED_VALUE"""),1859247)</f>
        <v>1859247</v>
      </c>
    </row>
    <row r="1863" spans="1:6" x14ac:dyDescent="0.35">
      <c r="A1863" s="2">
        <f ca="1">IFERROR(__xludf.DUMMYFUNCTION("""COMPUTED_VALUE"""),44705.6666666666)</f>
        <v>44705.666666666599</v>
      </c>
      <c r="B1863" s="1">
        <f ca="1">IFERROR(__xludf.DUMMYFUNCTION("""COMPUTED_VALUE"""),105.77)</f>
        <v>105.77</v>
      </c>
      <c r="C1863" s="1">
        <f ca="1">IFERROR(__xludf.DUMMYFUNCTION("""COMPUTED_VALUE"""),106.46)</f>
        <v>106.46</v>
      </c>
      <c r="D1863" s="1">
        <f ca="1">IFERROR(__xludf.DUMMYFUNCTION("""COMPUTED_VALUE"""),101.88)</f>
        <v>101.88</v>
      </c>
      <c r="E1863" s="1">
        <f ca="1">IFERROR(__xludf.DUMMYFUNCTION("""COMPUTED_VALUE"""),105.97)</f>
        <v>105.97</v>
      </c>
      <c r="F1863" s="1">
        <f ca="1">IFERROR(__xludf.DUMMYFUNCTION("""COMPUTED_VALUE"""),3838989)</f>
        <v>3838989</v>
      </c>
    </row>
    <row r="1864" spans="1:6" x14ac:dyDescent="0.35">
      <c r="A1864" s="2">
        <f ca="1">IFERROR(__xludf.DUMMYFUNCTION("""COMPUTED_VALUE"""),44706.6666666666)</f>
        <v>44706.666666666599</v>
      </c>
      <c r="B1864" s="1">
        <f ca="1">IFERROR(__xludf.DUMMYFUNCTION("""COMPUTED_VALUE"""),104.99)</f>
        <v>104.99</v>
      </c>
      <c r="C1864" s="1">
        <f ca="1">IFERROR(__xludf.DUMMYFUNCTION("""COMPUTED_VALUE"""),106.5)</f>
        <v>106.5</v>
      </c>
      <c r="D1864" s="1">
        <f ca="1">IFERROR(__xludf.DUMMYFUNCTION("""COMPUTED_VALUE"""),103.86)</f>
        <v>103.86</v>
      </c>
      <c r="E1864" s="1">
        <f ca="1">IFERROR(__xludf.DUMMYFUNCTION("""COMPUTED_VALUE"""),105.81)</f>
        <v>105.81</v>
      </c>
      <c r="F1864" s="1">
        <f ca="1">IFERROR(__xludf.DUMMYFUNCTION("""COMPUTED_VALUE"""),2012867)</f>
        <v>2012867</v>
      </c>
    </row>
    <row r="1865" spans="1:6" x14ac:dyDescent="0.35">
      <c r="A1865" s="2">
        <f ca="1">IFERROR(__xludf.DUMMYFUNCTION("""COMPUTED_VALUE"""),44707.6666666666)</f>
        <v>44707.666666666599</v>
      </c>
      <c r="B1865" s="1">
        <f ca="1">IFERROR(__xludf.DUMMYFUNCTION("""COMPUTED_VALUE"""),105.68)</f>
        <v>105.68</v>
      </c>
      <c r="C1865" s="1">
        <f ca="1">IFERROR(__xludf.DUMMYFUNCTION("""COMPUTED_VALUE"""),108.65)</f>
        <v>108.65</v>
      </c>
      <c r="D1865" s="1">
        <f ca="1">IFERROR(__xludf.DUMMYFUNCTION("""COMPUTED_VALUE"""),105.22)</f>
        <v>105.22</v>
      </c>
      <c r="E1865" s="1">
        <f ca="1">IFERROR(__xludf.DUMMYFUNCTION("""COMPUTED_VALUE"""),107.79)</f>
        <v>107.79</v>
      </c>
      <c r="F1865" s="1">
        <f ca="1">IFERROR(__xludf.DUMMYFUNCTION("""COMPUTED_VALUE"""),1897361)</f>
        <v>1897361</v>
      </c>
    </row>
    <row r="1866" spans="1:6" x14ac:dyDescent="0.35">
      <c r="A1866" s="2">
        <f ca="1">IFERROR(__xludf.DUMMYFUNCTION("""COMPUTED_VALUE"""),44708.6666666666)</f>
        <v>44708.666666666599</v>
      </c>
      <c r="B1866" s="1">
        <f ca="1">IFERROR(__xludf.DUMMYFUNCTION("""COMPUTED_VALUE"""),109.48)</f>
        <v>109.48</v>
      </c>
      <c r="C1866" s="1">
        <f ca="1">IFERROR(__xludf.DUMMYFUNCTION("""COMPUTED_VALUE"""),112.32)</f>
        <v>112.32</v>
      </c>
      <c r="D1866" s="1">
        <f ca="1">IFERROR(__xludf.DUMMYFUNCTION("""COMPUTED_VALUE"""),109.14)</f>
        <v>109.14</v>
      </c>
      <c r="E1866" s="1">
        <f ca="1">IFERROR(__xludf.DUMMYFUNCTION("""COMPUTED_VALUE"""),112.32)</f>
        <v>112.32</v>
      </c>
      <c r="F1866" s="1">
        <f ca="1">IFERROR(__xludf.DUMMYFUNCTION("""COMPUTED_VALUE"""),1895706)</f>
        <v>1895706</v>
      </c>
    </row>
    <row r="1867" spans="1:6" x14ac:dyDescent="0.35">
      <c r="A1867" s="2">
        <f ca="1">IFERROR(__xludf.DUMMYFUNCTION("""COMPUTED_VALUE"""),44712.6666666666)</f>
        <v>44712.666666666599</v>
      </c>
      <c r="B1867" s="1">
        <f ca="1">IFERROR(__xludf.DUMMYFUNCTION("""COMPUTED_VALUE"""),112.75)</f>
        <v>112.75</v>
      </c>
      <c r="C1867" s="1">
        <f ca="1">IFERROR(__xludf.DUMMYFUNCTION("""COMPUTED_VALUE"""),115.74)</f>
        <v>115.74</v>
      </c>
      <c r="D1867" s="1">
        <f ca="1">IFERROR(__xludf.DUMMYFUNCTION("""COMPUTED_VALUE"""),112.08)</f>
        <v>112.08</v>
      </c>
      <c r="E1867" s="1">
        <f ca="1">IFERROR(__xludf.DUMMYFUNCTION("""COMPUTED_VALUE"""),113.76)</f>
        <v>113.76</v>
      </c>
      <c r="F1867" s="1">
        <f ca="1">IFERROR(__xludf.DUMMYFUNCTION("""COMPUTED_VALUE"""),2500613)</f>
        <v>2500613</v>
      </c>
    </row>
    <row r="1868" spans="1:6" x14ac:dyDescent="0.35">
      <c r="A1868" s="2">
        <f ca="1">IFERROR(__xludf.DUMMYFUNCTION("""COMPUTED_VALUE"""),44713.6666666666)</f>
        <v>44713.666666666599</v>
      </c>
      <c r="B1868" s="1">
        <f ca="1">IFERROR(__xludf.DUMMYFUNCTION("""COMPUTED_VALUE"""),114.86)</f>
        <v>114.86</v>
      </c>
      <c r="C1868" s="1">
        <f ca="1">IFERROR(__xludf.DUMMYFUNCTION("""COMPUTED_VALUE"""),117.1)</f>
        <v>117.1</v>
      </c>
      <c r="D1868" s="1">
        <f ca="1">IFERROR(__xludf.DUMMYFUNCTION("""COMPUTED_VALUE"""),113.25)</f>
        <v>113.25</v>
      </c>
      <c r="E1868" s="1">
        <f ca="1">IFERROR(__xludf.DUMMYFUNCTION("""COMPUTED_VALUE"""),113.89)</f>
        <v>113.89</v>
      </c>
      <c r="F1868" s="1">
        <f ca="1">IFERROR(__xludf.DUMMYFUNCTION("""COMPUTED_VALUE"""),1830276)</f>
        <v>1830276</v>
      </c>
    </row>
    <row r="1869" spans="1:6" x14ac:dyDescent="0.35">
      <c r="A1869" s="2">
        <f ca="1">IFERROR(__xludf.DUMMYFUNCTION("""COMPUTED_VALUE"""),44714.6666666666)</f>
        <v>44714.666666666599</v>
      </c>
      <c r="B1869" s="1">
        <f ca="1">IFERROR(__xludf.DUMMYFUNCTION("""COMPUTED_VALUE"""),114)</f>
        <v>114</v>
      </c>
      <c r="C1869" s="1">
        <f ca="1">IFERROR(__xludf.DUMMYFUNCTION("""COMPUTED_VALUE"""),117.9)</f>
        <v>117.9</v>
      </c>
      <c r="D1869" s="1">
        <f ca="1">IFERROR(__xludf.DUMMYFUNCTION("""COMPUTED_VALUE"""),112.95)</f>
        <v>112.95</v>
      </c>
      <c r="E1869" s="1">
        <f ca="1">IFERROR(__xludf.DUMMYFUNCTION("""COMPUTED_VALUE"""),117.62)</f>
        <v>117.62</v>
      </c>
      <c r="F1869" s="1">
        <f ca="1">IFERROR(__xludf.DUMMYFUNCTION("""COMPUTED_VALUE"""),1899614)</f>
        <v>1899614</v>
      </c>
    </row>
    <row r="1870" spans="1:6" x14ac:dyDescent="0.35">
      <c r="A1870" s="2">
        <f ca="1">IFERROR(__xludf.DUMMYFUNCTION("""COMPUTED_VALUE"""),44715.6666666666)</f>
        <v>44715.666666666599</v>
      </c>
      <c r="B1870" s="1">
        <f ca="1">IFERROR(__xludf.DUMMYFUNCTION("""COMPUTED_VALUE"""),116.06)</f>
        <v>116.06</v>
      </c>
      <c r="C1870" s="1">
        <f ca="1">IFERROR(__xludf.DUMMYFUNCTION("""COMPUTED_VALUE"""),116.32)</f>
        <v>116.32</v>
      </c>
      <c r="D1870" s="1">
        <f ca="1">IFERROR(__xludf.DUMMYFUNCTION("""COMPUTED_VALUE"""),113.52)</f>
        <v>113.52</v>
      </c>
      <c r="E1870" s="1">
        <f ca="1">IFERROR(__xludf.DUMMYFUNCTION("""COMPUTED_VALUE"""),114.54)</f>
        <v>114.54</v>
      </c>
      <c r="F1870" s="1">
        <f ca="1">IFERROR(__xludf.DUMMYFUNCTION("""COMPUTED_VALUE"""),1306773)</f>
        <v>1306773</v>
      </c>
    </row>
    <row r="1871" spans="1:6" x14ac:dyDescent="0.35">
      <c r="A1871" s="2">
        <f ca="1">IFERROR(__xludf.DUMMYFUNCTION("""COMPUTED_VALUE"""),44718.6666666666)</f>
        <v>44718.666666666599</v>
      </c>
      <c r="B1871" s="1">
        <f ca="1">IFERROR(__xludf.DUMMYFUNCTION("""COMPUTED_VALUE"""),116.7)</f>
        <v>116.7</v>
      </c>
      <c r="C1871" s="1">
        <f ca="1">IFERROR(__xludf.DUMMYFUNCTION("""COMPUTED_VALUE"""),119.35)</f>
        <v>119.35</v>
      </c>
      <c r="D1871" s="1">
        <f ca="1">IFERROR(__xludf.DUMMYFUNCTION("""COMPUTED_VALUE"""),116.16)</f>
        <v>116.16</v>
      </c>
      <c r="E1871" s="1">
        <f ca="1">IFERROR(__xludf.DUMMYFUNCTION("""COMPUTED_VALUE"""),116.82)</f>
        <v>116.82</v>
      </c>
      <c r="F1871" s="1">
        <f ca="1">IFERROR(__xludf.DUMMYFUNCTION("""COMPUTED_VALUE"""),1677077)</f>
        <v>1677077</v>
      </c>
    </row>
    <row r="1872" spans="1:6" x14ac:dyDescent="0.35">
      <c r="A1872" s="2">
        <f ca="1">IFERROR(__xludf.DUMMYFUNCTION("""COMPUTED_VALUE"""),44719.6666666666)</f>
        <v>44719.666666666599</v>
      </c>
      <c r="B1872" s="1">
        <f ca="1">IFERROR(__xludf.DUMMYFUNCTION("""COMPUTED_VALUE"""),115.48)</f>
        <v>115.48</v>
      </c>
      <c r="C1872" s="1">
        <f ca="1">IFERROR(__xludf.DUMMYFUNCTION("""COMPUTED_VALUE"""),117.69)</f>
        <v>117.69</v>
      </c>
      <c r="D1872" s="1">
        <f ca="1">IFERROR(__xludf.DUMMYFUNCTION("""COMPUTED_VALUE"""),115.05)</f>
        <v>115.05</v>
      </c>
      <c r="E1872" s="1">
        <f ca="1">IFERROR(__xludf.DUMMYFUNCTION("""COMPUTED_VALUE"""),117.15)</f>
        <v>117.15</v>
      </c>
      <c r="F1872" s="1">
        <f ca="1">IFERROR(__xludf.DUMMYFUNCTION("""COMPUTED_VALUE"""),1579523)</f>
        <v>1579523</v>
      </c>
    </row>
    <row r="1873" spans="1:6" x14ac:dyDescent="0.35">
      <c r="A1873" s="2">
        <f ca="1">IFERROR(__xludf.DUMMYFUNCTION("""COMPUTED_VALUE"""),44720.6666666666)</f>
        <v>44720.666666666599</v>
      </c>
      <c r="B1873" s="1">
        <f ca="1">IFERROR(__xludf.DUMMYFUNCTION("""COMPUTED_VALUE"""),116.76)</f>
        <v>116.76</v>
      </c>
      <c r="C1873" s="1">
        <f ca="1">IFERROR(__xludf.DUMMYFUNCTION("""COMPUTED_VALUE"""),118.57)</f>
        <v>118.57</v>
      </c>
      <c r="D1873" s="1">
        <f ca="1">IFERROR(__xludf.DUMMYFUNCTION("""COMPUTED_VALUE"""),116.6)</f>
        <v>116.6</v>
      </c>
      <c r="E1873" s="1">
        <f ca="1">IFERROR(__xludf.DUMMYFUNCTION("""COMPUTED_VALUE"""),117.19)</f>
        <v>117.19</v>
      </c>
      <c r="F1873" s="1">
        <f ca="1">IFERROR(__xludf.DUMMYFUNCTION("""COMPUTED_VALUE"""),1305387)</f>
        <v>1305387</v>
      </c>
    </row>
    <row r="1874" spans="1:6" x14ac:dyDescent="0.35">
      <c r="A1874" s="2">
        <f ca="1">IFERROR(__xludf.DUMMYFUNCTION("""COMPUTED_VALUE"""),44721.6666666666)</f>
        <v>44721.666666666599</v>
      </c>
      <c r="B1874" s="1">
        <f ca="1">IFERROR(__xludf.DUMMYFUNCTION("""COMPUTED_VALUE"""),116.33)</f>
        <v>116.33</v>
      </c>
      <c r="C1874" s="1">
        <f ca="1">IFERROR(__xludf.DUMMYFUNCTION("""COMPUTED_VALUE"""),118.3)</f>
        <v>118.3</v>
      </c>
      <c r="D1874" s="1">
        <f ca="1">IFERROR(__xludf.DUMMYFUNCTION("""COMPUTED_VALUE"""),114.78)</f>
        <v>114.78</v>
      </c>
      <c r="E1874" s="1">
        <f ca="1">IFERROR(__xludf.DUMMYFUNCTION("""COMPUTED_VALUE"""),114.84)</f>
        <v>114.84</v>
      </c>
      <c r="F1874" s="1">
        <f ca="1">IFERROR(__xludf.DUMMYFUNCTION("""COMPUTED_VALUE"""),1289898)</f>
        <v>1289898</v>
      </c>
    </row>
    <row r="1875" spans="1:6" x14ac:dyDescent="0.35">
      <c r="A1875" s="2">
        <f ca="1">IFERROR(__xludf.DUMMYFUNCTION("""COMPUTED_VALUE"""),44722.6666666666)</f>
        <v>44722.666666666599</v>
      </c>
      <c r="B1875" s="1">
        <f ca="1">IFERROR(__xludf.DUMMYFUNCTION("""COMPUTED_VALUE"""),112.45)</f>
        <v>112.45</v>
      </c>
      <c r="C1875" s="1">
        <f ca="1">IFERROR(__xludf.DUMMYFUNCTION("""COMPUTED_VALUE"""),113.28)</f>
        <v>113.28</v>
      </c>
      <c r="D1875" s="1">
        <f ca="1">IFERROR(__xludf.DUMMYFUNCTION("""COMPUTED_VALUE"""),110.37)</f>
        <v>110.37</v>
      </c>
      <c r="E1875" s="1">
        <f ca="1">IFERROR(__xludf.DUMMYFUNCTION("""COMPUTED_VALUE"""),111.16)</f>
        <v>111.16</v>
      </c>
      <c r="F1875" s="1">
        <f ca="1">IFERROR(__xludf.DUMMYFUNCTION("""COMPUTED_VALUE"""),2074092)</f>
        <v>2074092</v>
      </c>
    </row>
    <row r="1876" spans="1:6" x14ac:dyDescent="0.35">
      <c r="A1876" s="2">
        <f ca="1">IFERROR(__xludf.DUMMYFUNCTION("""COMPUTED_VALUE"""),44725.6666666666)</f>
        <v>44725.666666666599</v>
      </c>
      <c r="B1876" s="1">
        <f ca="1">IFERROR(__xludf.DUMMYFUNCTION("""COMPUTED_VALUE"""),106.79)</f>
        <v>106.79</v>
      </c>
      <c r="C1876" s="1">
        <f ca="1">IFERROR(__xludf.DUMMYFUNCTION("""COMPUTED_VALUE"""),108.79)</f>
        <v>108.79</v>
      </c>
      <c r="D1876" s="1">
        <f ca="1">IFERROR(__xludf.DUMMYFUNCTION("""COMPUTED_VALUE"""),106.12)</f>
        <v>106.12</v>
      </c>
      <c r="E1876" s="1">
        <f ca="1">IFERROR(__xludf.DUMMYFUNCTION("""COMPUTED_VALUE"""),106.39)</f>
        <v>106.39</v>
      </c>
      <c r="F1876" s="1">
        <f ca="1">IFERROR(__xludf.DUMMYFUNCTION("""COMPUTED_VALUE"""),2362596)</f>
        <v>2362596</v>
      </c>
    </row>
    <row r="1877" spans="1:6" x14ac:dyDescent="0.35">
      <c r="A1877" s="2">
        <f ca="1">IFERROR(__xludf.DUMMYFUNCTION("""COMPUTED_VALUE"""),44726.6666666666)</f>
        <v>44726.666666666599</v>
      </c>
      <c r="B1877" s="1">
        <f ca="1">IFERROR(__xludf.DUMMYFUNCTION("""COMPUTED_VALUE"""),106.54)</f>
        <v>106.54</v>
      </c>
      <c r="C1877" s="1">
        <f ca="1">IFERROR(__xludf.DUMMYFUNCTION("""COMPUTED_VALUE"""),107.92)</f>
        <v>107.92</v>
      </c>
      <c r="D1877" s="1">
        <f ca="1">IFERROR(__xludf.DUMMYFUNCTION("""COMPUTED_VALUE"""),105.8)</f>
        <v>105.8</v>
      </c>
      <c r="E1877" s="1">
        <f ca="1">IFERROR(__xludf.DUMMYFUNCTION("""COMPUTED_VALUE"""),106.72)</f>
        <v>106.72</v>
      </c>
      <c r="F1877" s="1">
        <f ca="1">IFERROR(__xludf.DUMMYFUNCTION("""COMPUTED_VALUE"""),1685313)</f>
        <v>1685313</v>
      </c>
    </row>
    <row r="1878" spans="1:6" x14ac:dyDescent="0.35">
      <c r="A1878" s="2">
        <f ca="1">IFERROR(__xludf.DUMMYFUNCTION("""COMPUTED_VALUE"""),44727.6666666666)</f>
        <v>44727.666666666599</v>
      </c>
      <c r="B1878" s="1">
        <f ca="1">IFERROR(__xludf.DUMMYFUNCTION("""COMPUTED_VALUE"""),108.55)</f>
        <v>108.55</v>
      </c>
      <c r="C1878" s="1">
        <f ca="1">IFERROR(__xludf.DUMMYFUNCTION("""COMPUTED_VALUE"""),111.42)</f>
        <v>111.42</v>
      </c>
      <c r="D1878" s="1">
        <f ca="1">IFERROR(__xludf.DUMMYFUNCTION("""COMPUTED_VALUE"""),107.67)</f>
        <v>107.67</v>
      </c>
      <c r="E1878" s="1">
        <f ca="1">IFERROR(__xludf.DUMMYFUNCTION("""COMPUTED_VALUE"""),109.76)</f>
        <v>109.76</v>
      </c>
      <c r="F1878" s="1">
        <f ca="1">IFERROR(__xludf.DUMMYFUNCTION("""COMPUTED_VALUE"""),1984909)</f>
        <v>1984909</v>
      </c>
    </row>
    <row r="1879" spans="1:6" x14ac:dyDescent="0.35">
      <c r="A1879" s="2">
        <f ca="1">IFERROR(__xludf.DUMMYFUNCTION("""COMPUTED_VALUE"""),44728.6666666666)</f>
        <v>44728.666666666599</v>
      </c>
      <c r="B1879" s="1">
        <f ca="1">IFERROR(__xludf.DUMMYFUNCTION("""COMPUTED_VALUE"""),107.22)</f>
        <v>107.22</v>
      </c>
      <c r="C1879" s="1">
        <f ca="1">IFERROR(__xludf.DUMMYFUNCTION("""COMPUTED_VALUE"""),108.65)</f>
        <v>108.65</v>
      </c>
      <c r="D1879" s="1">
        <f ca="1">IFERROR(__xludf.DUMMYFUNCTION("""COMPUTED_VALUE"""),105.14)</f>
        <v>105.14</v>
      </c>
      <c r="E1879" s="1">
        <f ca="1">IFERROR(__xludf.DUMMYFUNCTION("""COMPUTED_VALUE"""),106.03)</f>
        <v>106.03</v>
      </c>
      <c r="F1879" s="1">
        <f ca="1">IFERROR(__xludf.DUMMYFUNCTION("""COMPUTED_VALUE"""),2584248)</f>
        <v>2584248</v>
      </c>
    </row>
    <row r="1880" spans="1:6" x14ac:dyDescent="0.35">
      <c r="A1880" s="2">
        <f ca="1">IFERROR(__xludf.DUMMYFUNCTION("""COMPUTED_VALUE"""),44729.6666666666)</f>
        <v>44729.666666666599</v>
      </c>
      <c r="B1880" s="1">
        <f ca="1">IFERROR(__xludf.DUMMYFUNCTION("""COMPUTED_VALUE"""),106.03)</f>
        <v>106.03</v>
      </c>
      <c r="C1880" s="1">
        <f ca="1">IFERROR(__xludf.DUMMYFUNCTION("""COMPUTED_VALUE"""),108.7)</f>
        <v>108.7</v>
      </c>
      <c r="D1880" s="1">
        <f ca="1">IFERROR(__xludf.DUMMYFUNCTION("""COMPUTED_VALUE"""),105.05)</f>
        <v>105.05</v>
      </c>
      <c r="E1880" s="1">
        <f ca="1">IFERROR(__xludf.DUMMYFUNCTION("""COMPUTED_VALUE"""),107.14)</f>
        <v>107.14</v>
      </c>
      <c r="F1880" s="1">
        <f ca="1">IFERROR(__xludf.DUMMYFUNCTION("""COMPUTED_VALUE"""),2568826)</f>
        <v>2568826</v>
      </c>
    </row>
    <row r="1881" spans="1:6" x14ac:dyDescent="0.35">
      <c r="A1881" s="2">
        <f ca="1">IFERROR(__xludf.DUMMYFUNCTION("""COMPUTED_VALUE"""),44733.6666666666)</f>
        <v>44733.666666666599</v>
      </c>
      <c r="B1881" s="1">
        <f ca="1">IFERROR(__xludf.DUMMYFUNCTION("""COMPUTED_VALUE"""),108.93)</f>
        <v>108.93</v>
      </c>
      <c r="C1881" s="1">
        <f ca="1">IFERROR(__xludf.DUMMYFUNCTION("""COMPUTED_VALUE"""),112.49)</f>
        <v>112.49</v>
      </c>
      <c r="D1881" s="1">
        <f ca="1">IFERROR(__xludf.DUMMYFUNCTION("""COMPUTED_VALUE"""),108.6)</f>
        <v>108.6</v>
      </c>
      <c r="E1881" s="1">
        <f ca="1">IFERROR(__xludf.DUMMYFUNCTION("""COMPUTED_VALUE"""),111.54)</f>
        <v>111.54</v>
      </c>
      <c r="F1881" s="1">
        <f ca="1">IFERROR(__xludf.DUMMYFUNCTION("""COMPUTED_VALUE"""),2370790)</f>
        <v>2370790</v>
      </c>
    </row>
    <row r="1882" spans="1:6" x14ac:dyDescent="0.35">
      <c r="A1882" s="2">
        <f ca="1">IFERROR(__xludf.DUMMYFUNCTION("""COMPUTED_VALUE"""),44734.6666666666)</f>
        <v>44734.666666666599</v>
      </c>
      <c r="B1882" s="1">
        <f ca="1">IFERROR(__xludf.DUMMYFUNCTION("""COMPUTED_VALUE"""),110.56)</f>
        <v>110.56</v>
      </c>
      <c r="C1882" s="1">
        <f ca="1">IFERROR(__xludf.DUMMYFUNCTION("""COMPUTED_VALUE"""),113.35)</f>
        <v>113.35</v>
      </c>
      <c r="D1882" s="1">
        <f ca="1">IFERROR(__xludf.DUMMYFUNCTION("""COMPUTED_VALUE"""),110.38)</f>
        <v>110.38</v>
      </c>
      <c r="E1882" s="1">
        <f ca="1">IFERROR(__xludf.DUMMYFUNCTION("""COMPUTED_VALUE"""),111.49)</f>
        <v>111.49</v>
      </c>
      <c r="F1882" s="1">
        <f ca="1">IFERROR(__xludf.DUMMYFUNCTION("""COMPUTED_VALUE"""),1538707)</f>
        <v>1538707</v>
      </c>
    </row>
    <row r="1883" spans="1:6" x14ac:dyDescent="0.35">
      <c r="A1883" s="2">
        <f ca="1">IFERROR(__xludf.DUMMYFUNCTION("""COMPUTED_VALUE"""),44735.6666666666)</f>
        <v>44735.666666666599</v>
      </c>
      <c r="B1883" s="1">
        <f ca="1">IFERROR(__xludf.DUMMYFUNCTION("""COMPUTED_VALUE"""),112.23)</f>
        <v>112.23</v>
      </c>
      <c r="C1883" s="1">
        <f ca="1">IFERROR(__xludf.DUMMYFUNCTION("""COMPUTED_VALUE"""),112.74)</f>
        <v>112.74</v>
      </c>
      <c r="D1883" s="1">
        <f ca="1">IFERROR(__xludf.DUMMYFUNCTION("""COMPUTED_VALUE"""),110.5)</f>
        <v>110.5</v>
      </c>
      <c r="E1883" s="1">
        <f ca="1">IFERROR(__xludf.DUMMYFUNCTION("""COMPUTED_VALUE"""),112.24)</f>
        <v>112.24</v>
      </c>
      <c r="F1883" s="1">
        <f ca="1">IFERROR(__xludf.DUMMYFUNCTION("""COMPUTED_VALUE"""),1418096)</f>
        <v>1418096</v>
      </c>
    </row>
    <row r="1884" spans="1:6" x14ac:dyDescent="0.35">
      <c r="A1884" s="2">
        <f ca="1">IFERROR(__xludf.DUMMYFUNCTION("""COMPUTED_VALUE"""),44736.6666666666)</f>
        <v>44736.666666666599</v>
      </c>
      <c r="B1884" s="1">
        <f ca="1">IFERROR(__xludf.DUMMYFUNCTION("""COMPUTED_VALUE"""),113)</f>
        <v>113</v>
      </c>
      <c r="C1884" s="1">
        <f ca="1">IFERROR(__xludf.DUMMYFUNCTION("""COMPUTED_VALUE"""),118.08)</f>
        <v>118.08</v>
      </c>
      <c r="D1884" s="1">
        <f ca="1">IFERROR(__xludf.DUMMYFUNCTION("""COMPUTED_VALUE"""),112.95)</f>
        <v>112.95</v>
      </c>
      <c r="E1884" s="1">
        <f ca="1">IFERROR(__xludf.DUMMYFUNCTION("""COMPUTED_VALUE"""),117.98)</f>
        <v>117.98</v>
      </c>
      <c r="F1884" s="1">
        <f ca="1">IFERROR(__xludf.DUMMYFUNCTION("""COMPUTED_VALUE"""),2058184)</f>
        <v>2058184</v>
      </c>
    </row>
    <row r="1885" spans="1:6" x14ac:dyDescent="0.35">
      <c r="A1885" s="2">
        <f ca="1">IFERROR(__xludf.DUMMYFUNCTION("""COMPUTED_VALUE"""),44739.6666666666)</f>
        <v>44739.666666666599</v>
      </c>
      <c r="B1885" s="1">
        <f ca="1">IFERROR(__xludf.DUMMYFUNCTION("""COMPUTED_VALUE"""),118.27)</f>
        <v>118.27</v>
      </c>
      <c r="C1885" s="1">
        <f ca="1">IFERROR(__xludf.DUMMYFUNCTION("""COMPUTED_VALUE"""),118.58)</f>
        <v>118.58</v>
      </c>
      <c r="D1885" s="1">
        <f ca="1">IFERROR(__xludf.DUMMYFUNCTION("""COMPUTED_VALUE"""),115.18)</f>
        <v>115.18</v>
      </c>
      <c r="E1885" s="1">
        <f ca="1">IFERROR(__xludf.DUMMYFUNCTION("""COMPUTED_VALUE"""),115.83)</f>
        <v>115.83</v>
      </c>
      <c r="F1885" s="1">
        <f ca="1">IFERROR(__xludf.DUMMYFUNCTION("""COMPUTED_VALUE"""),1821038)</f>
        <v>1821038</v>
      </c>
    </row>
    <row r="1886" spans="1:6" x14ac:dyDescent="0.35">
      <c r="A1886" s="2">
        <f ca="1">IFERROR(__xludf.DUMMYFUNCTION("""COMPUTED_VALUE"""),44740.6666666666)</f>
        <v>44740.666666666599</v>
      </c>
      <c r="B1886" s="1">
        <f ca="1">IFERROR(__xludf.DUMMYFUNCTION("""COMPUTED_VALUE"""),115.8)</f>
        <v>115.8</v>
      </c>
      <c r="C1886" s="1">
        <f ca="1">IFERROR(__xludf.DUMMYFUNCTION("""COMPUTED_VALUE"""),117.31)</f>
        <v>117.31</v>
      </c>
      <c r="D1886" s="1">
        <f ca="1">IFERROR(__xludf.DUMMYFUNCTION("""COMPUTED_VALUE"""),111.85)</f>
        <v>111.85</v>
      </c>
      <c r="E1886" s="1">
        <f ca="1">IFERROR(__xludf.DUMMYFUNCTION("""COMPUTED_VALUE"""),112.01)</f>
        <v>112.01</v>
      </c>
      <c r="F1886" s="1">
        <f ca="1">IFERROR(__xludf.DUMMYFUNCTION("""COMPUTED_VALUE"""),1794048)</f>
        <v>1794048</v>
      </c>
    </row>
    <row r="1887" spans="1:6" x14ac:dyDescent="0.35">
      <c r="A1887" s="2">
        <f ca="1">IFERROR(__xludf.DUMMYFUNCTION("""COMPUTED_VALUE"""),44741.6666666666)</f>
        <v>44741.666666666599</v>
      </c>
      <c r="B1887" s="1">
        <f ca="1">IFERROR(__xludf.DUMMYFUNCTION("""COMPUTED_VALUE"""),111.55)</f>
        <v>111.55</v>
      </c>
      <c r="C1887" s="1">
        <f ca="1">IFERROR(__xludf.DUMMYFUNCTION("""COMPUTED_VALUE"""),113.16)</f>
        <v>113.16</v>
      </c>
      <c r="D1887" s="1">
        <f ca="1">IFERROR(__xludf.DUMMYFUNCTION("""COMPUTED_VALUE"""),110.87)</f>
        <v>110.87</v>
      </c>
      <c r="E1887" s="1">
        <f ca="1">IFERROR(__xludf.DUMMYFUNCTION("""COMPUTED_VALUE"""),111.7)</f>
        <v>111.7</v>
      </c>
      <c r="F1887" s="1">
        <f ca="1">IFERROR(__xludf.DUMMYFUNCTION("""COMPUTED_VALUE"""),1235841)</f>
        <v>1235841</v>
      </c>
    </row>
    <row r="1888" spans="1:6" x14ac:dyDescent="0.35">
      <c r="A1888" s="2">
        <f ca="1">IFERROR(__xludf.DUMMYFUNCTION("""COMPUTED_VALUE"""),44742.6666666666)</f>
        <v>44742.666666666599</v>
      </c>
      <c r="B1888" s="1">
        <f ca="1">IFERROR(__xludf.DUMMYFUNCTION("""COMPUTED_VALUE"""),110)</f>
        <v>110</v>
      </c>
      <c r="C1888" s="1">
        <f ca="1">IFERROR(__xludf.DUMMYFUNCTION("""COMPUTED_VALUE"""),110.89)</f>
        <v>110.89</v>
      </c>
      <c r="D1888" s="1">
        <f ca="1">IFERROR(__xludf.DUMMYFUNCTION("""COMPUTED_VALUE"""),106.75)</f>
        <v>106.75</v>
      </c>
      <c r="E1888" s="1">
        <f ca="1">IFERROR(__xludf.DUMMYFUNCTION("""COMPUTED_VALUE"""),108.96)</f>
        <v>108.96</v>
      </c>
      <c r="F1888" s="1">
        <f ca="1">IFERROR(__xludf.DUMMYFUNCTION("""COMPUTED_VALUE"""),2158453)</f>
        <v>2158453</v>
      </c>
    </row>
    <row r="1889" spans="1:6" x14ac:dyDescent="0.35">
      <c r="A1889" s="2">
        <f ca="1">IFERROR(__xludf.DUMMYFUNCTION("""COMPUTED_VALUE"""),44743.6666666666)</f>
        <v>44743.666666666599</v>
      </c>
      <c r="B1889" s="1">
        <f ca="1">IFERROR(__xludf.DUMMYFUNCTION("""COMPUTED_VALUE"""),107.93)</f>
        <v>107.93</v>
      </c>
      <c r="C1889" s="1">
        <f ca="1">IFERROR(__xludf.DUMMYFUNCTION("""COMPUTED_VALUE"""),109.25)</f>
        <v>109.25</v>
      </c>
      <c r="D1889" s="1">
        <f ca="1">IFERROR(__xludf.DUMMYFUNCTION("""COMPUTED_VALUE"""),106.73)</f>
        <v>106.73</v>
      </c>
      <c r="E1889" s="1">
        <f ca="1">IFERROR(__xludf.DUMMYFUNCTION("""COMPUTED_VALUE"""),108.74)</f>
        <v>108.74</v>
      </c>
      <c r="F1889" s="1">
        <f ca="1">IFERROR(__xludf.DUMMYFUNCTION("""COMPUTED_VALUE"""),1773783)</f>
        <v>1773783</v>
      </c>
    </row>
    <row r="1890" spans="1:6" x14ac:dyDescent="0.35">
      <c r="A1890" s="2">
        <f ca="1">IFERROR(__xludf.DUMMYFUNCTION("""COMPUTED_VALUE"""),44747.6666666666)</f>
        <v>44747.666666666599</v>
      </c>
      <c r="B1890" s="1">
        <f ca="1">IFERROR(__xludf.DUMMYFUNCTION("""COMPUTED_VALUE"""),107.1)</f>
        <v>107.1</v>
      </c>
      <c r="C1890" s="1">
        <f ca="1">IFERROR(__xludf.DUMMYFUNCTION("""COMPUTED_VALUE"""),113.38)</f>
        <v>113.38</v>
      </c>
      <c r="D1890" s="1">
        <f ca="1">IFERROR(__xludf.DUMMYFUNCTION("""COMPUTED_VALUE"""),105.73)</f>
        <v>105.73</v>
      </c>
      <c r="E1890" s="1">
        <f ca="1">IFERROR(__xludf.DUMMYFUNCTION("""COMPUTED_VALUE"""),113.26)</f>
        <v>113.26</v>
      </c>
      <c r="F1890" s="1">
        <f ca="1">IFERROR(__xludf.DUMMYFUNCTION("""COMPUTED_VALUE"""),1969982)</f>
        <v>1969982</v>
      </c>
    </row>
    <row r="1891" spans="1:6" x14ac:dyDescent="0.35">
      <c r="A1891" s="2">
        <f ca="1">IFERROR(__xludf.DUMMYFUNCTION("""COMPUTED_VALUE"""),44748.6666666666)</f>
        <v>44748.666666666599</v>
      </c>
      <c r="B1891" s="1">
        <f ca="1">IFERROR(__xludf.DUMMYFUNCTION("""COMPUTED_VALUE"""),113.3)</f>
        <v>113.3</v>
      </c>
      <c r="C1891" s="1">
        <f ca="1">IFERROR(__xludf.DUMMYFUNCTION("""COMPUTED_VALUE"""),115.59)</f>
        <v>115.59</v>
      </c>
      <c r="D1891" s="1">
        <f ca="1">IFERROR(__xludf.DUMMYFUNCTION("""COMPUTED_VALUE"""),111.48)</f>
        <v>111.48</v>
      </c>
      <c r="E1891" s="1">
        <f ca="1">IFERROR(__xludf.DUMMYFUNCTION("""COMPUTED_VALUE"""),114.57)</f>
        <v>114.57</v>
      </c>
      <c r="F1891" s="1">
        <f ca="1">IFERROR(__xludf.DUMMYFUNCTION("""COMPUTED_VALUE"""),1871569)</f>
        <v>1871569</v>
      </c>
    </row>
    <row r="1892" spans="1:6" x14ac:dyDescent="0.35">
      <c r="A1892" s="2">
        <f ca="1">IFERROR(__xludf.DUMMYFUNCTION("""COMPUTED_VALUE"""),44749.6666666666)</f>
        <v>44749.666666666599</v>
      </c>
      <c r="B1892" s="1">
        <f ca="1">IFERROR(__xludf.DUMMYFUNCTION("""COMPUTED_VALUE"""),115.08)</f>
        <v>115.08</v>
      </c>
      <c r="C1892" s="1">
        <f ca="1">IFERROR(__xludf.DUMMYFUNCTION("""COMPUTED_VALUE"""),119.19)</f>
        <v>119.19</v>
      </c>
      <c r="D1892" s="1">
        <f ca="1">IFERROR(__xludf.DUMMYFUNCTION("""COMPUTED_VALUE"""),114.83)</f>
        <v>114.83</v>
      </c>
      <c r="E1892" s="1">
        <f ca="1">IFERROR(__xludf.DUMMYFUNCTION("""COMPUTED_VALUE"""),118.78)</f>
        <v>118.78</v>
      </c>
      <c r="F1892" s="1">
        <f ca="1">IFERROR(__xludf.DUMMYFUNCTION("""COMPUTED_VALUE"""),2046794)</f>
        <v>2046794</v>
      </c>
    </row>
    <row r="1893" spans="1:6" x14ac:dyDescent="0.35">
      <c r="A1893" s="2">
        <f ca="1">IFERROR(__xludf.DUMMYFUNCTION("""COMPUTED_VALUE"""),44750.6666666666)</f>
        <v>44750.666666666599</v>
      </c>
      <c r="B1893" s="1">
        <f ca="1">IFERROR(__xludf.DUMMYFUNCTION("""COMPUTED_VALUE"""),117.25)</f>
        <v>117.25</v>
      </c>
      <c r="C1893" s="1">
        <f ca="1">IFERROR(__xludf.DUMMYFUNCTION("""COMPUTED_VALUE"""),119.69)</f>
        <v>119.69</v>
      </c>
      <c r="D1893" s="1">
        <f ca="1">IFERROR(__xludf.DUMMYFUNCTION("""COMPUTED_VALUE"""),116.9)</f>
        <v>116.9</v>
      </c>
      <c r="E1893" s="1">
        <f ca="1">IFERROR(__xludf.DUMMYFUNCTION("""COMPUTED_VALUE"""),119.35)</f>
        <v>119.35</v>
      </c>
      <c r="F1893" s="1">
        <f ca="1">IFERROR(__xludf.DUMMYFUNCTION("""COMPUTED_VALUE"""),1911908)</f>
        <v>1911908</v>
      </c>
    </row>
    <row r="1894" spans="1:6" x14ac:dyDescent="0.35">
      <c r="A1894" s="2">
        <f ca="1">IFERROR(__xludf.DUMMYFUNCTION("""COMPUTED_VALUE"""),44753.6666666666)</f>
        <v>44753.666666666599</v>
      </c>
      <c r="B1894" s="1">
        <f ca="1">IFERROR(__xludf.DUMMYFUNCTION("""COMPUTED_VALUE"""),118)</f>
        <v>118</v>
      </c>
      <c r="C1894" s="1">
        <f ca="1">IFERROR(__xludf.DUMMYFUNCTION("""COMPUTED_VALUE"""),118)</f>
        <v>118</v>
      </c>
      <c r="D1894" s="1">
        <f ca="1">IFERROR(__xludf.DUMMYFUNCTION("""COMPUTED_VALUE"""),115.33)</f>
        <v>115.33</v>
      </c>
      <c r="E1894" s="1">
        <f ca="1">IFERROR(__xludf.DUMMYFUNCTION("""COMPUTED_VALUE"""),115.68)</f>
        <v>115.68</v>
      </c>
      <c r="F1894" s="1">
        <f ca="1">IFERROR(__xludf.DUMMYFUNCTION("""COMPUTED_VALUE"""),1562185)</f>
        <v>1562185</v>
      </c>
    </row>
    <row r="1895" spans="1:6" x14ac:dyDescent="0.35">
      <c r="A1895" s="2">
        <f ca="1">IFERROR(__xludf.DUMMYFUNCTION("""COMPUTED_VALUE"""),44754.6666666666)</f>
        <v>44754.666666666599</v>
      </c>
      <c r="B1895" s="1">
        <f ca="1">IFERROR(__xludf.DUMMYFUNCTION("""COMPUTED_VALUE"""),116.22)</f>
        <v>116.22</v>
      </c>
      <c r="C1895" s="1">
        <f ca="1">IFERROR(__xludf.DUMMYFUNCTION("""COMPUTED_VALUE"""),116.97)</f>
        <v>116.97</v>
      </c>
      <c r="D1895" s="1">
        <f ca="1">IFERROR(__xludf.DUMMYFUNCTION("""COMPUTED_VALUE"""),113.69)</f>
        <v>113.69</v>
      </c>
      <c r="E1895" s="1">
        <f ca="1">IFERROR(__xludf.DUMMYFUNCTION("""COMPUTED_VALUE"""),114.02)</f>
        <v>114.02</v>
      </c>
      <c r="F1895" s="1">
        <f ca="1">IFERROR(__xludf.DUMMYFUNCTION("""COMPUTED_VALUE"""),1497985)</f>
        <v>1497985</v>
      </c>
    </row>
    <row r="1896" spans="1:6" x14ac:dyDescent="0.35">
      <c r="A1896" s="2">
        <f ca="1">IFERROR(__xludf.DUMMYFUNCTION("""COMPUTED_VALUE"""),44755.6666666666)</f>
        <v>44755.666666666599</v>
      </c>
      <c r="B1896" s="1">
        <f ca="1">IFERROR(__xludf.DUMMYFUNCTION("""COMPUTED_VALUE"""),111.7)</f>
        <v>111.7</v>
      </c>
      <c r="C1896" s="1">
        <f ca="1">IFERROR(__xludf.DUMMYFUNCTION("""COMPUTED_VALUE"""),114.2)</f>
        <v>114.2</v>
      </c>
      <c r="D1896" s="1">
        <f ca="1">IFERROR(__xludf.DUMMYFUNCTION("""COMPUTED_VALUE"""),111.2)</f>
        <v>111.2</v>
      </c>
      <c r="E1896" s="1">
        <f ca="1">IFERROR(__xludf.DUMMYFUNCTION("""COMPUTED_VALUE"""),111.35)</f>
        <v>111.35</v>
      </c>
      <c r="F1896" s="1">
        <f ca="1">IFERROR(__xludf.DUMMYFUNCTION("""COMPUTED_VALUE"""),2186101)</f>
        <v>2186101</v>
      </c>
    </row>
    <row r="1897" spans="1:6" x14ac:dyDescent="0.35">
      <c r="A1897" s="2">
        <f ca="1">IFERROR(__xludf.DUMMYFUNCTION("""COMPUTED_VALUE"""),44756.6666666666)</f>
        <v>44756.666666666599</v>
      </c>
      <c r="B1897" s="1">
        <f ca="1">IFERROR(__xludf.DUMMYFUNCTION("""COMPUTED_VALUE"""),110.21)</f>
        <v>110.21</v>
      </c>
      <c r="C1897" s="1">
        <f ca="1">IFERROR(__xludf.DUMMYFUNCTION("""COMPUTED_VALUE"""),111.09)</f>
        <v>111.09</v>
      </c>
      <c r="D1897" s="1">
        <f ca="1">IFERROR(__xludf.DUMMYFUNCTION("""COMPUTED_VALUE"""),108.37)</f>
        <v>108.37</v>
      </c>
      <c r="E1897" s="1">
        <f ca="1">IFERROR(__xludf.DUMMYFUNCTION("""COMPUTED_VALUE"""),110.37)</f>
        <v>110.37</v>
      </c>
      <c r="F1897" s="1">
        <f ca="1">IFERROR(__xludf.DUMMYFUNCTION("""COMPUTED_VALUE"""),1850152)</f>
        <v>1850152</v>
      </c>
    </row>
    <row r="1898" spans="1:6" x14ac:dyDescent="0.35">
      <c r="A1898" s="2">
        <f ca="1">IFERROR(__xludf.DUMMYFUNCTION("""COMPUTED_VALUE"""),44757.6666666666)</f>
        <v>44757.666666666599</v>
      </c>
      <c r="B1898" s="1">
        <f ca="1">IFERROR(__xludf.DUMMYFUNCTION("""COMPUTED_VALUE"""),112)</f>
        <v>112</v>
      </c>
      <c r="C1898" s="1">
        <f ca="1">IFERROR(__xludf.DUMMYFUNCTION("""COMPUTED_VALUE"""),113.14)</f>
        <v>113.14</v>
      </c>
      <c r="D1898" s="1">
        <f ca="1">IFERROR(__xludf.DUMMYFUNCTION("""COMPUTED_VALUE"""),110.9)</f>
        <v>110.9</v>
      </c>
      <c r="E1898" s="1">
        <f ca="1">IFERROR(__xludf.DUMMYFUNCTION("""COMPUTED_VALUE"""),111.78)</f>
        <v>111.78</v>
      </c>
      <c r="F1898" s="1">
        <f ca="1">IFERROR(__xludf.DUMMYFUNCTION("""COMPUTED_VALUE"""),2338456)</f>
        <v>2338456</v>
      </c>
    </row>
    <row r="1899" spans="1:6" x14ac:dyDescent="0.35">
      <c r="A1899" s="2">
        <f ca="1">IFERROR(__xludf.DUMMYFUNCTION("""COMPUTED_VALUE"""),44760.6666666666)</f>
        <v>44760.666666666599</v>
      </c>
      <c r="B1899" s="1">
        <f ca="1">IFERROR(__xludf.DUMMYFUNCTION("""COMPUTED_VALUE"""),112.64)</f>
        <v>112.64</v>
      </c>
      <c r="C1899" s="1">
        <f ca="1">IFERROR(__xludf.DUMMYFUNCTION("""COMPUTED_VALUE"""),113.68)</f>
        <v>113.68</v>
      </c>
      <c r="D1899" s="1">
        <f ca="1">IFERROR(__xludf.DUMMYFUNCTION("""COMPUTED_VALUE"""),108.37)</f>
        <v>108.37</v>
      </c>
      <c r="E1899" s="1">
        <f ca="1">IFERROR(__xludf.DUMMYFUNCTION("""COMPUTED_VALUE"""),109.03)</f>
        <v>109.03</v>
      </c>
      <c r="F1899" s="1">
        <f ca="1">IFERROR(__xludf.DUMMYFUNCTION("""COMPUTED_VALUE"""),43164588)</f>
        <v>43164588</v>
      </c>
    </row>
    <row r="1900" spans="1:6" x14ac:dyDescent="0.35">
      <c r="A1900" s="2">
        <f ca="1">IFERROR(__xludf.DUMMYFUNCTION("""COMPUTED_VALUE"""),44761.6666666666)</f>
        <v>44761.666666666599</v>
      </c>
      <c r="B1900" s="1">
        <f ca="1">IFERROR(__xludf.DUMMYFUNCTION("""COMPUTED_VALUE"""),110.85)</f>
        <v>110.85</v>
      </c>
      <c r="C1900" s="1">
        <f ca="1">IFERROR(__xludf.DUMMYFUNCTION("""COMPUTED_VALUE"""),114.02)</f>
        <v>114.02</v>
      </c>
      <c r="D1900" s="1">
        <f ca="1">IFERROR(__xludf.DUMMYFUNCTION("""COMPUTED_VALUE"""),109.56)</f>
        <v>109.56</v>
      </c>
      <c r="E1900" s="1">
        <f ca="1">IFERROR(__xludf.DUMMYFUNCTION("""COMPUTED_VALUE"""),113.81)</f>
        <v>113.81</v>
      </c>
      <c r="F1900" s="1">
        <f ca="1">IFERROR(__xludf.DUMMYFUNCTION("""COMPUTED_VALUE"""),36530945)</f>
        <v>36530945</v>
      </c>
    </row>
    <row r="1901" spans="1:6" x14ac:dyDescent="0.35">
      <c r="A1901" s="2">
        <f ca="1">IFERROR(__xludf.DUMMYFUNCTION("""COMPUTED_VALUE"""),44762.6666666666)</f>
        <v>44762.666666666599</v>
      </c>
      <c r="B1901" s="1">
        <f ca="1">IFERROR(__xludf.DUMMYFUNCTION("""COMPUTED_VALUE"""),113.17)</f>
        <v>113.17</v>
      </c>
      <c r="C1901" s="1">
        <f ca="1">IFERROR(__xludf.DUMMYFUNCTION("""COMPUTED_VALUE"""),115.4)</f>
        <v>115.4</v>
      </c>
      <c r="D1901" s="1">
        <f ca="1">IFERROR(__xludf.DUMMYFUNCTION("""COMPUTED_VALUE"""),112.48)</f>
        <v>112.48</v>
      </c>
      <c r="E1901" s="1">
        <f ca="1">IFERROR(__xludf.DUMMYFUNCTION("""COMPUTED_VALUE"""),113.9)</f>
        <v>113.9</v>
      </c>
      <c r="F1901" s="1">
        <f ca="1">IFERROR(__xludf.DUMMYFUNCTION("""COMPUTED_VALUE"""),35600426)</f>
        <v>35600426</v>
      </c>
    </row>
    <row r="1902" spans="1:6" x14ac:dyDescent="0.35">
      <c r="A1902" s="2">
        <f ca="1">IFERROR(__xludf.DUMMYFUNCTION("""COMPUTED_VALUE"""),44763.6666666666)</f>
        <v>44763.666666666599</v>
      </c>
      <c r="B1902" s="1">
        <f ca="1">IFERROR(__xludf.DUMMYFUNCTION("""COMPUTED_VALUE"""),114.28)</f>
        <v>114.28</v>
      </c>
      <c r="C1902" s="1">
        <f ca="1">IFERROR(__xludf.DUMMYFUNCTION("""COMPUTED_VALUE"""),114.55)</f>
        <v>114.55</v>
      </c>
      <c r="D1902" s="1">
        <f ca="1">IFERROR(__xludf.DUMMYFUNCTION("""COMPUTED_VALUE"""),111.11)</f>
        <v>111.11</v>
      </c>
      <c r="E1902" s="1">
        <f ca="1">IFERROR(__xludf.DUMMYFUNCTION("""COMPUTED_VALUE"""),114.34)</f>
        <v>114.34</v>
      </c>
      <c r="F1902" s="1">
        <f ca="1">IFERROR(__xludf.DUMMYFUNCTION("""COMPUTED_VALUE"""),32676166)</f>
        <v>32676166</v>
      </c>
    </row>
    <row r="1903" spans="1:6" x14ac:dyDescent="0.35">
      <c r="A1903" s="2">
        <f ca="1">IFERROR(__xludf.DUMMYFUNCTION("""COMPUTED_VALUE"""),44764.6666666666)</f>
        <v>44764.666666666599</v>
      </c>
      <c r="B1903" s="1">
        <f ca="1">IFERROR(__xludf.DUMMYFUNCTION("""COMPUTED_VALUE"""),111)</f>
        <v>111</v>
      </c>
      <c r="C1903" s="1">
        <f ca="1">IFERROR(__xludf.DUMMYFUNCTION("""COMPUTED_VALUE"""),112.34)</f>
        <v>112.34</v>
      </c>
      <c r="D1903" s="1">
        <f ca="1">IFERROR(__xludf.DUMMYFUNCTION("""COMPUTED_VALUE"""),106.5)</f>
        <v>106.5</v>
      </c>
      <c r="E1903" s="1">
        <f ca="1">IFERROR(__xludf.DUMMYFUNCTION("""COMPUTED_VALUE"""),107.9)</f>
        <v>107.9</v>
      </c>
      <c r="F1903" s="1">
        <f ca="1">IFERROR(__xludf.DUMMYFUNCTION("""COMPUTED_VALUE"""),48901184)</f>
        <v>48901184</v>
      </c>
    </row>
    <row r="1904" spans="1:6" x14ac:dyDescent="0.35">
      <c r="A1904" s="2">
        <f ca="1">IFERROR(__xludf.DUMMYFUNCTION("""COMPUTED_VALUE"""),44767.6666666666)</f>
        <v>44767.666666666599</v>
      </c>
      <c r="B1904" s="1">
        <f ca="1">IFERROR(__xludf.DUMMYFUNCTION("""COMPUTED_VALUE"""),108.41)</f>
        <v>108.41</v>
      </c>
      <c r="C1904" s="1">
        <f ca="1">IFERROR(__xludf.DUMMYFUNCTION("""COMPUTED_VALUE"""),109.87)</f>
        <v>109.87</v>
      </c>
      <c r="D1904" s="1">
        <f ca="1">IFERROR(__xludf.DUMMYFUNCTION("""COMPUTED_VALUE"""),106.3)</f>
        <v>106.3</v>
      </c>
      <c r="E1904" s="1">
        <f ca="1">IFERROR(__xludf.DUMMYFUNCTION("""COMPUTED_VALUE"""),107.51)</f>
        <v>107.51</v>
      </c>
      <c r="F1904" s="1">
        <f ca="1">IFERROR(__xludf.DUMMYFUNCTION("""COMPUTED_VALUE"""),34690894)</f>
        <v>34690894</v>
      </c>
    </row>
    <row r="1905" spans="1:6" x14ac:dyDescent="0.35">
      <c r="A1905" s="2">
        <f ca="1">IFERROR(__xludf.DUMMYFUNCTION("""COMPUTED_VALUE"""),44768.6666666666)</f>
        <v>44768.666666666599</v>
      </c>
      <c r="B1905" s="1">
        <f ca="1">IFERROR(__xludf.DUMMYFUNCTION("""COMPUTED_VALUE"""),106.6)</f>
        <v>106.6</v>
      </c>
      <c r="C1905" s="1">
        <f ca="1">IFERROR(__xludf.DUMMYFUNCTION("""COMPUTED_VALUE"""),107.2)</f>
        <v>107.2</v>
      </c>
      <c r="D1905" s="1">
        <f ca="1">IFERROR(__xludf.DUMMYFUNCTION("""COMPUTED_VALUE"""),104.07)</f>
        <v>104.07</v>
      </c>
      <c r="E1905" s="1">
        <f ca="1">IFERROR(__xludf.DUMMYFUNCTION("""COMPUTED_VALUE"""),105.02)</f>
        <v>105.02</v>
      </c>
      <c r="F1905" s="1">
        <f ca="1">IFERROR(__xludf.DUMMYFUNCTION("""COMPUTED_VALUE"""),47990963)</f>
        <v>47990963</v>
      </c>
    </row>
    <row r="1906" spans="1:6" x14ac:dyDescent="0.35">
      <c r="A1906" s="2">
        <f ca="1">IFERROR(__xludf.DUMMYFUNCTION("""COMPUTED_VALUE"""),44769.6666666666)</f>
        <v>44769.666666666599</v>
      </c>
      <c r="B1906" s="1">
        <f ca="1">IFERROR(__xludf.DUMMYFUNCTION("""COMPUTED_VALUE"""),109.26)</f>
        <v>109.26</v>
      </c>
      <c r="C1906" s="1">
        <f ca="1">IFERROR(__xludf.DUMMYFUNCTION("""COMPUTED_VALUE"""),113.91)</f>
        <v>113.91</v>
      </c>
      <c r="D1906" s="1">
        <f ca="1">IFERROR(__xludf.DUMMYFUNCTION("""COMPUTED_VALUE"""),108.01)</f>
        <v>108.01</v>
      </c>
      <c r="E1906" s="1">
        <f ca="1">IFERROR(__xludf.DUMMYFUNCTION("""COMPUTED_VALUE"""),113.06)</f>
        <v>113.06</v>
      </c>
      <c r="F1906" s="1">
        <f ca="1">IFERROR(__xludf.DUMMYFUNCTION("""COMPUTED_VALUE"""),59858495)</f>
        <v>59858495</v>
      </c>
    </row>
    <row r="1907" spans="1:6" x14ac:dyDescent="0.35">
      <c r="A1907" s="2">
        <f ca="1">IFERROR(__xludf.DUMMYFUNCTION("""COMPUTED_VALUE"""),44770.6666666666)</f>
        <v>44770.666666666599</v>
      </c>
      <c r="B1907" s="1">
        <f ca="1">IFERROR(__xludf.DUMMYFUNCTION("""COMPUTED_VALUE"""),112.37)</f>
        <v>112.37</v>
      </c>
      <c r="C1907" s="1">
        <f ca="1">IFERROR(__xludf.DUMMYFUNCTION("""COMPUTED_VALUE"""),114.34)</f>
        <v>114.34</v>
      </c>
      <c r="D1907" s="1">
        <f ca="1">IFERROR(__xludf.DUMMYFUNCTION("""COMPUTED_VALUE"""),111.46)</f>
        <v>111.46</v>
      </c>
      <c r="E1907" s="1">
        <f ca="1">IFERROR(__xludf.DUMMYFUNCTION("""COMPUTED_VALUE"""),114.22)</f>
        <v>114.22</v>
      </c>
      <c r="F1907" s="1">
        <f ca="1">IFERROR(__xludf.DUMMYFUNCTION("""COMPUTED_VALUE"""),32816568)</f>
        <v>32816568</v>
      </c>
    </row>
    <row r="1908" spans="1:6" x14ac:dyDescent="0.35">
      <c r="A1908" s="2">
        <f ca="1">IFERROR(__xludf.DUMMYFUNCTION("""COMPUTED_VALUE"""),44771.6666666666)</f>
        <v>44771.666666666599</v>
      </c>
      <c r="B1908" s="1">
        <f ca="1">IFERROR(__xludf.DUMMYFUNCTION("""COMPUTED_VALUE"""),113.08)</f>
        <v>113.08</v>
      </c>
      <c r="C1908" s="1">
        <f ca="1">IFERROR(__xludf.DUMMYFUNCTION("""COMPUTED_VALUE"""),116.71)</f>
        <v>116.71</v>
      </c>
      <c r="D1908" s="1">
        <f ca="1">IFERROR(__xludf.DUMMYFUNCTION("""COMPUTED_VALUE"""),113.06)</f>
        <v>113.06</v>
      </c>
      <c r="E1908" s="1">
        <f ca="1">IFERROR(__xludf.DUMMYFUNCTION("""COMPUTED_VALUE"""),116.32)</f>
        <v>116.32</v>
      </c>
      <c r="F1908" s="1">
        <f ca="1">IFERROR(__xludf.DUMMYFUNCTION("""COMPUTED_VALUE"""),37223391)</f>
        <v>37223391</v>
      </c>
    </row>
    <row r="1909" spans="1:6" x14ac:dyDescent="0.35">
      <c r="A1909" s="2">
        <f ca="1">IFERROR(__xludf.DUMMYFUNCTION("""COMPUTED_VALUE"""),44774.6666666666)</f>
        <v>44774.666666666599</v>
      </c>
      <c r="B1909" s="1">
        <f ca="1">IFERROR(__xludf.DUMMYFUNCTION("""COMPUTED_VALUE"""),115.3)</f>
        <v>115.3</v>
      </c>
      <c r="C1909" s="1">
        <f ca="1">IFERROR(__xludf.DUMMYFUNCTION("""COMPUTED_VALUE"""),116.72)</f>
        <v>116.72</v>
      </c>
      <c r="D1909" s="1">
        <f ca="1">IFERROR(__xludf.DUMMYFUNCTION("""COMPUTED_VALUE"""),114.34)</f>
        <v>114.34</v>
      </c>
      <c r="E1909" s="1">
        <f ca="1">IFERROR(__xludf.DUMMYFUNCTION("""COMPUTED_VALUE"""),114.86)</f>
        <v>114.86</v>
      </c>
      <c r="F1909" s="1">
        <f ca="1">IFERROR(__xludf.DUMMYFUNCTION("""COMPUTED_VALUE"""),26034288)</f>
        <v>26034288</v>
      </c>
    </row>
    <row r="1910" spans="1:6" x14ac:dyDescent="0.35">
      <c r="A1910" s="2">
        <f ca="1">IFERROR(__xludf.DUMMYFUNCTION("""COMPUTED_VALUE"""),44775.6666666666)</f>
        <v>44775.666666666599</v>
      </c>
      <c r="B1910" s="1">
        <f ca="1">IFERROR(__xludf.DUMMYFUNCTION("""COMPUTED_VALUE"""),114)</f>
        <v>114</v>
      </c>
      <c r="C1910" s="1">
        <f ca="1">IFERROR(__xludf.DUMMYFUNCTION("""COMPUTED_VALUE"""),116.35)</f>
        <v>116.35</v>
      </c>
      <c r="D1910" s="1">
        <f ca="1">IFERROR(__xludf.DUMMYFUNCTION("""COMPUTED_VALUE"""),113.72)</f>
        <v>113.72</v>
      </c>
      <c r="E1910" s="1">
        <f ca="1">IFERROR(__xludf.DUMMYFUNCTION("""COMPUTED_VALUE"""),115.13)</f>
        <v>115.13</v>
      </c>
      <c r="F1910" s="1">
        <f ca="1">IFERROR(__xludf.DUMMYFUNCTION("""COMPUTED_VALUE"""),20236029)</f>
        <v>20236029</v>
      </c>
    </row>
    <row r="1911" spans="1:6" x14ac:dyDescent="0.35">
      <c r="A1911" s="2">
        <f ca="1">IFERROR(__xludf.DUMMYFUNCTION("""COMPUTED_VALUE"""),44776.6666666666)</f>
        <v>44776.666666666599</v>
      </c>
      <c r="B1911" s="1">
        <f ca="1">IFERROR(__xludf.DUMMYFUNCTION("""COMPUTED_VALUE"""),115.71)</f>
        <v>115.71</v>
      </c>
      <c r="C1911" s="1">
        <f ca="1">IFERROR(__xludf.DUMMYFUNCTION("""COMPUTED_VALUE"""),118.62)</f>
        <v>118.62</v>
      </c>
      <c r="D1911" s="1">
        <f ca="1">IFERROR(__xludf.DUMMYFUNCTION("""COMPUTED_VALUE"""),115.48)</f>
        <v>115.48</v>
      </c>
      <c r="E1911" s="1">
        <f ca="1">IFERROR(__xludf.DUMMYFUNCTION("""COMPUTED_VALUE"""),118.08)</f>
        <v>118.08</v>
      </c>
      <c r="F1911" s="1">
        <f ca="1">IFERROR(__xludf.DUMMYFUNCTION("""COMPUTED_VALUE"""),28499014)</f>
        <v>28499014</v>
      </c>
    </row>
    <row r="1912" spans="1:6" x14ac:dyDescent="0.35">
      <c r="A1912" s="2">
        <f ca="1">IFERROR(__xludf.DUMMYFUNCTION("""COMPUTED_VALUE"""),44777.6666666666)</f>
        <v>44777.666666666599</v>
      </c>
      <c r="B1912" s="1">
        <f ca="1">IFERROR(__xludf.DUMMYFUNCTION("""COMPUTED_VALUE"""),117.48)</f>
        <v>117.48</v>
      </c>
      <c r="C1912" s="1">
        <f ca="1">IFERROR(__xludf.DUMMYFUNCTION("""COMPUTED_VALUE"""),118.78)</f>
        <v>118.78</v>
      </c>
      <c r="D1912" s="1">
        <f ca="1">IFERROR(__xludf.DUMMYFUNCTION("""COMPUTED_VALUE"""),116.89)</f>
        <v>116.89</v>
      </c>
      <c r="E1912" s="1">
        <f ca="1">IFERROR(__xludf.DUMMYFUNCTION("""COMPUTED_VALUE"""),118.19)</f>
        <v>118.19</v>
      </c>
      <c r="F1912" s="1">
        <f ca="1">IFERROR(__xludf.DUMMYFUNCTION("""COMPUTED_VALUE"""),21602925)</f>
        <v>21602925</v>
      </c>
    </row>
    <row r="1913" spans="1:6" x14ac:dyDescent="0.35">
      <c r="A1913" s="2">
        <f ca="1">IFERROR(__xludf.DUMMYFUNCTION("""COMPUTED_VALUE"""),44778.6666666666)</f>
        <v>44778.666666666599</v>
      </c>
      <c r="B1913" s="1">
        <f ca="1">IFERROR(__xludf.DUMMYFUNCTION("""COMPUTED_VALUE"""),116.23)</f>
        <v>116.23</v>
      </c>
      <c r="C1913" s="1">
        <f ca="1">IFERROR(__xludf.DUMMYFUNCTION("""COMPUTED_VALUE"""),118.11)</f>
        <v>118.11</v>
      </c>
      <c r="D1913" s="1">
        <f ca="1">IFERROR(__xludf.DUMMYFUNCTION("""COMPUTED_VALUE"""),116)</f>
        <v>116</v>
      </c>
      <c r="E1913" s="1">
        <f ca="1">IFERROR(__xludf.DUMMYFUNCTION("""COMPUTED_VALUE"""),117.47)</f>
        <v>117.47</v>
      </c>
      <c r="F1913" s="1">
        <f ca="1">IFERROR(__xludf.DUMMYFUNCTION("""COMPUTED_VALUE"""),19159520)</f>
        <v>19159520</v>
      </c>
    </row>
    <row r="1914" spans="1:6" x14ac:dyDescent="0.35">
      <c r="A1914" s="2">
        <f ca="1">IFERROR(__xludf.DUMMYFUNCTION("""COMPUTED_VALUE"""),44781.6666666666)</f>
        <v>44781.666666666599</v>
      </c>
      <c r="B1914" s="1">
        <f ca="1">IFERROR(__xludf.DUMMYFUNCTION("""COMPUTED_VALUE"""),118.39)</f>
        <v>118.39</v>
      </c>
      <c r="C1914" s="1">
        <f ca="1">IFERROR(__xludf.DUMMYFUNCTION("""COMPUTED_VALUE"""),120.15)</f>
        <v>120.15</v>
      </c>
      <c r="D1914" s="1">
        <f ca="1">IFERROR(__xludf.DUMMYFUNCTION("""COMPUTED_VALUE"""),116.88)</f>
        <v>116.88</v>
      </c>
      <c r="E1914" s="1">
        <f ca="1">IFERROR(__xludf.DUMMYFUNCTION("""COMPUTED_VALUE"""),117.3)</f>
        <v>117.3</v>
      </c>
      <c r="F1914" s="1">
        <f ca="1">IFERROR(__xludf.DUMMYFUNCTION("""COMPUTED_VALUE"""),19169479)</f>
        <v>19169479</v>
      </c>
    </row>
    <row r="1915" spans="1:6" x14ac:dyDescent="0.35">
      <c r="A1915" s="2">
        <f ca="1">IFERROR(__xludf.DUMMYFUNCTION("""COMPUTED_VALUE"""),44782.6666666666)</f>
        <v>44782.666666666599</v>
      </c>
      <c r="B1915" s="1">
        <f ca="1">IFERROR(__xludf.DUMMYFUNCTION("""COMPUTED_VALUE"""),117.14)</f>
        <v>117.14</v>
      </c>
      <c r="C1915" s="1">
        <f ca="1">IFERROR(__xludf.DUMMYFUNCTION("""COMPUTED_VALUE"""),117.32)</f>
        <v>117.32</v>
      </c>
      <c r="D1915" s="1">
        <f ca="1">IFERROR(__xludf.DUMMYFUNCTION("""COMPUTED_VALUE"""),115.71)</f>
        <v>115.71</v>
      </c>
      <c r="E1915" s="1">
        <f ca="1">IFERROR(__xludf.DUMMYFUNCTION("""COMPUTED_VALUE"""),116.63)</f>
        <v>116.63</v>
      </c>
      <c r="F1915" s="1">
        <f ca="1">IFERROR(__xludf.DUMMYFUNCTION("""COMPUTED_VALUE"""),19086465)</f>
        <v>19086465</v>
      </c>
    </row>
    <row r="1916" spans="1:6" x14ac:dyDescent="0.35">
      <c r="A1916" s="2">
        <f ca="1">IFERROR(__xludf.DUMMYFUNCTION("""COMPUTED_VALUE"""),44783.6666666666)</f>
        <v>44783.666666666599</v>
      </c>
      <c r="B1916" s="1">
        <f ca="1">IFERROR(__xludf.DUMMYFUNCTION("""COMPUTED_VALUE"""),118.78)</f>
        <v>118.78</v>
      </c>
      <c r="C1916" s="1">
        <f ca="1">IFERROR(__xludf.DUMMYFUNCTION("""COMPUTED_VALUE"""),120.92)</f>
        <v>120.92</v>
      </c>
      <c r="D1916" s="1">
        <f ca="1">IFERROR(__xludf.DUMMYFUNCTION("""COMPUTED_VALUE"""),118.41)</f>
        <v>118.41</v>
      </c>
      <c r="E1916" s="1">
        <f ca="1">IFERROR(__xludf.DUMMYFUNCTION("""COMPUTED_VALUE"""),119.7)</f>
        <v>119.7</v>
      </c>
      <c r="F1916" s="1">
        <f ca="1">IFERROR(__xludf.DUMMYFUNCTION("""COMPUTED_VALUE"""),30930350)</f>
        <v>30930350</v>
      </c>
    </row>
    <row r="1917" spans="1:6" x14ac:dyDescent="0.35">
      <c r="A1917" s="2">
        <f ca="1">IFERROR(__xludf.DUMMYFUNCTION("""COMPUTED_VALUE"""),44784.6666666666)</f>
        <v>44784.666666666599</v>
      </c>
      <c r="B1917" s="1">
        <f ca="1">IFERROR(__xludf.DUMMYFUNCTION("""COMPUTED_VALUE"""),121.28)</f>
        <v>121.28</v>
      </c>
      <c r="C1917" s="1">
        <f ca="1">IFERROR(__xludf.DUMMYFUNCTION("""COMPUTED_VALUE"""),121.49)</f>
        <v>121.49</v>
      </c>
      <c r="D1917" s="1">
        <f ca="1">IFERROR(__xludf.DUMMYFUNCTION("""COMPUTED_VALUE"""),118.56)</f>
        <v>118.56</v>
      </c>
      <c r="E1917" s="1">
        <f ca="1">IFERROR(__xludf.DUMMYFUNCTION("""COMPUTED_VALUE"""),118.84)</f>
        <v>118.84</v>
      </c>
      <c r="F1917" s="1">
        <f ca="1">IFERROR(__xludf.DUMMYFUNCTION("""COMPUTED_VALUE"""),24293654)</f>
        <v>24293654</v>
      </c>
    </row>
    <row r="1918" spans="1:6" x14ac:dyDescent="0.35">
      <c r="A1918" s="2">
        <f ca="1">IFERROR(__xludf.DUMMYFUNCTION("""COMPUTED_VALUE"""),44785.6666666666)</f>
        <v>44785.666666666599</v>
      </c>
      <c r="B1918" s="1">
        <f ca="1">IFERROR(__xludf.DUMMYFUNCTION("""COMPUTED_VALUE"""),120.26)</f>
        <v>120.26</v>
      </c>
      <c r="C1918" s="1">
        <f ca="1">IFERROR(__xludf.DUMMYFUNCTION("""COMPUTED_VALUE"""),121.68)</f>
        <v>121.68</v>
      </c>
      <c r="D1918" s="1">
        <f ca="1">IFERROR(__xludf.DUMMYFUNCTION("""COMPUTED_VALUE"""),119.46)</f>
        <v>119.46</v>
      </c>
      <c r="E1918" s="1">
        <f ca="1">IFERROR(__xludf.DUMMYFUNCTION("""COMPUTED_VALUE"""),121.68)</f>
        <v>121.68</v>
      </c>
      <c r="F1918" s="1">
        <f ca="1">IFERROR(__xludf.DUMMYFUNCTION("""COMPUTED_VALUE"""),19096268)</f>
        <v>19096268</v>
      </c>
    </row>
    <row r="1919" spans="1:6" x14ac:dyDescent="0.35">
      <c r="A1919" s="2">
        <f ca="1">IFERROR(__xludf.DUMMYFUNCTION("""COMPUTED_VALUE"""),44788.6666666666)</f>
        <v>44788.666666666599</v>
      </c>
      <c r="B1919" s="1">
        <f ca="1">IFERROR(__xludf.DUMMYFUNCTION("""COMPUTED_VALUE"""),121.13)</f>
        <v>121.13</v>
      </c>
      <c r="C1919" s="1">
        <f ca="1">IFERROR(__xludf.DUMMYFUNCTION("""COMPUTED_VALUE"""),122.3)</f>
        <v>122.3</v>
      </c>
      <c r="D1919" s="1">
        <f ca="1">IFERROR(__xludf.DUMMYFUNCTION("""COMPUTED_VALUE"""),120.61)</f>
        <v>120.61</v>
      </c>
      <c r="E1919" s="1">
        <f ca="1">IFERROR(__xludf.DUMMYFUNCTION("""COMPUTED_VALUE"""),122.08)</f>
        <v>122.08</v>
      </c>
      <c r="F1919" s="1">
        <f ca="1">IFERROR(__xludf.DUMMYFUNCTION("""COMPUTED_VALUE"""),19494825)</f>
        <v>19494825</v>
      </c>
    </row>
    <row r="1920" spans="1:6" x14ac:dyDescent="0.35">
      <c r="A1920" s="2">
        <f ca="1">IFERROR(__xludf.DUMMYFUNCTION("""COMPUTED_VALUE"""),44789.6666666666)</f>
        <v>44789.666666666599</v>
      </c>
      <c r="B1920" s="1">
        <f ca="1">IFERROR(__xludf.DUMMYFUNCTION("""COMPUTED_VALUE"""),121.52)</f>
        <v>121.52</v>
      </c>
      <c r="C1920" s="1">
        <f ca="1">IFERROR(__xludf.DUMMYFUNCTION("""COMPUTED_VALUE"""),122.43)</f>
        <v>122.43</v>
      </c>
      <c r="D1920" s="1">
        <f ca="1">IFERROR(__xludf.DUMMYFUNCTION("""COMPUTED_VALUE"""),120.64)</f>
        <v>120.64</v>
      </c>
      <c r="E1920" s="1">
        <f ca="1">IFERROR(__xludf.DUMMYFUNCTION("""COMPUTED_VALUE"""),121.7)</f>
        <v>121.7</v>
      </c>
      <c r="F1920" s="1">
        <f ca="1">IFERROR(__xludf.DUMMYFUNCTION("""COMPUTED_VALUE"""),19041230)</f>
        <v>19041230</v>
      </c>
    </row>
    <row r="1921" spans="1:6" x14ac:dyDescent="0.35">
      <c r="A1921" s="2">
        <f ca="1">IFERROR(__xludf.DUMMYFUNCTION("""COMPUTED_VALUE"""),44790.6666666666)</f>
        <v>44790.666666666599</v>
      </c>
      <c r="B1921" s="1">
        <f ca="1">IFERROR(__xludf.DUMMYFUNCTION("""COMPUTED_VALUE"""),120.12)</f>
        <v>120.12</v>
      </c>
      <c r="C1921" s="1">
        <f ca="1">IFERROR(__xludf.DUMMYFUNCTION("""COMPUTED_VALUE"""),121.29)</f>
        <v>121.29</v>
      </c>
      <c r="D1921" s="1">
        <f ca="1">IFERROR(__xludf.DUMMYFUNCTION("""COMPUTED_VALUE"""),119.38)</f>
        <v>119.38</v>
      </c>
      <c r="E1921" s="1">
        <f ca="1">IFERROR(__xludf.DUMMYFUNCTION("""COMPUTED_VALUE"""),119.55)</f>
        <v>119.55</v>
      </c>
      <c r="F1921" s="1">
        <f ca="1">IFERROR(__xludf.DUMMYFUNCTION("""COMPUTED_VALUE"""),22846958)</f>
        <v>22846958</v>
      </c>
    </row>
    <row r="1922" spans="1:6" x14ac:dyDescent="0.35">
      <c r="A1922" s="2">
        <f ca="1">IFERROR(__xludf.DUMMYFUNCTION("""COMPUTED_VALUE"""),44791.6666666666)</f>
        <v>44791.666666666599</v>
      </c>
      <c r="B1922" s="1">
        <f ca="1">IFERROR(__xludf.DUMMYFUNCTION("""COMPUTED_VALUE"""),119.43)</f>
        <v>119.43</v>
      </c>
      <c r="C1922" s="1">
        <f ca="1">IFERROR(__xludf.DUMMYFUNCTION("""COMPUTED_VALUE"""),120.82)</f>
        <v>120.82</v>
      </c>
      <c r="D1922" s="1">
        <f ca="1">IFERROR(__xludf.DUMMYFUNCTION("""COMPUTED_VALUE"""),118.72)</f>
        <v>118.72</v>
      </c>
      <c r="E1922" s="1">
        <f ca="1">IFERROR(__xludf.DUMMYFUNCTION("""COMPUTED_VALUE"""),120.17)</f>
        <v>120.17</v>
      </c>
      <c r="F1922" s="1">
        <f ca="1">IFERROR(__xludf.DUMMYFUNCTION("""COMPUTED_VALUE"""),17987660)</f>
        <v>17987660</v>
      </c>
    </row>
    <row r="1923" spans="1:6" x14ac:dyDescent="0.35">
      <c r="A1923" s="2">
        <f ca="1">IFERROR(__xludf.DUMMYFUNCTION("""COMPUTED_VALUE"""),44792.6666666666)</f>
        <v>44792.666666666599</v>
      </c>
      <c r="B1923" s="1">
        <f ca="1">IFERROR(__xludf.DUMMYFUNCTION("""COMPUTED_VALUE"""),119.06)</f>
        <v>119.06</v>
      </c>
      <c r="C1923" s="1">
        <f ca="1">IFERROR(__xludf.DUMMYFUNCTION("""COMPUTED_VALUE"""),119.15)</f>
        <v>119.15</v>
      </c>
      <c r="D1923" s="1">
        <f ca="1">IFERROR(__xludf.DUMMYFUNCTION("""COMPUTED_VALUE"""),116.76)</f>
        <v>116.76</v>
      </c>
      <c r="E1923" s="1">
        <f ca="1">IFERROR(__xludf.DUMMYFUNCTION("""COMPUTED_VALUE"""),117.21)</f>
        <v>117.21</v>
      </c>
      <c r="F1923" s="1">
        <f ca="1">IFERROR(__xludf.DUMMYFUNCTION("""COMPUTED_VALUE"""),21809528)</f>
        <v>21809528</v>
      </c>
    </row>
    <row r="1924" spans="1:6" x14ac:dyDescent="0.35">
      <c r="A1924" s="2">
        <f ca="1">IFERROR(__xludf.DUMMYFUNCTION("""COMPUTED_VALUE"""),44795.6666666666)</f>
        <v>44795.666666666599</v>
      </c>
      <c r="B1924" s="1">
        <f ca="1">IFERROR(__xludf.DUMMYFUNCTION("""COMPUTED_VALUE"""),115.2)</f>
        <v>115.2</v>
      </c>
      <c r="C1924" s="1">
        <f ca="1">IFERROR(__xludf.DUMMYFUNCTION("""COMPUTED_VALUE"""),115.63)</f>
        <v>115.63</v>
      </c>
      <c r="D1924" s="1">
        <f ca="1">IFERROR(__xludf.DUMMYFUNCTION("""COMPUTED_VALUE"""),113.85)</f>
        <v>113.85</v>
      </c>
      <c r="E1924" s="1">
        <f ca="1">IFERROR(__xludf.DUMMYFUNCTION("""COMPUTED_VALUE"""),114.24)</f>
        <v>114.24</v>
      </c>
      <c r="F1924" s="1">
        <f ca="1">IFERROR(__xludf.DUMMYFUNCTION("""COMPUTED_VALUE"""),21456648)</f>
        <v>21456648</v>
      </c>
    </row>
    <row r="1925" spans="1:6" x14ac:dyDescent="0.35">
      <c r="A1925" s="2">
        <f ca="1">IFERROR(__xludf.DUMMYFUNCTION("""COMPUTED_VALUE"""),44796.6666666666)</f>
        <v>44796.666666666599</v>
      </c>
      <c r="B1925" s="1">
        <f ca="1">IFERROR(__xludf.DUMMYFUNCTION("""COMPUTED_VALUE"""),113.48)</f>
        <v>113.48</v>
      </c>
      <c r="C1925" s="1">
        <f ca="1">IFERROR(__xludf.DUMMYFUNCTION("""COMPUTED_VALUE"""),115.01)</f>
        <v>115.01</v>
      </c>
      <c r="D1925" s="1">
        <f ca="1">IFERROR(__xludf.DUMMYFUNCTION("""COMPUTED_VALUE"""),113.43)</f>
        <v>113.43</v>
      </c>
      <c r="E1925" s="1">
        <f ca="1">IFERROR(__xludf.DUMMYFUNCTION("""COMPUTED_VALUE"""),113.86)</f>
        <v>113.86</v>
      </c>
      <c r="F1925" s="1">
        <f ca="1">IFERROR(__xludf.DUMMYFUNCTION("""COMPUTED_VALUE"""),15870373)</f>
        <v>15870373</v>
      </c>
    </row>
    <row r="1926" spans="1:6" x14ac:dyDescent="0.35">
      <c r="A1926" s="2">
        <f ca="1">IFERROR(__xludf.DUMMYFUNCTION("""COMPUTED_VALUE"""),44797.6666666666)</f>
        <v>44797.666666666599</v>
      </c>
      <c r="B1926" s="1">
        <f ca="1">IFERROR(__xludf.DUMMYFUNCTION("""COMPUTED_VALUE"""),113.5)</f>
        <v>113.5</v>
      </c>
      <c r="C1926" s="1">
        <f ca="1">IFERROR(__xludf.DUMMYFUNCTION("""COMPUTED_VALUE"""),114.78)</f>
        <v>114.78</v>
      </c>
      <c r="D1926" s="1">
        <f ca="1">IFERROR(__xludf.DUMMYFUNCTION("""COMPUTED_VALUE"""),112.87)</f>
        <v>112.87</v>
      </c>
      <c r="E1926" s="1">
        <f ca="1">IFERROR(__xludf.DUMMYFUNCTION("""COMPUTED_VALUE"""),113.69)</f>
        <v>113.69</v>
      </c>
      <c r="F1926" s="1">
        <f ca="1">IFERROR(__xludf.DUMMYFUNCTION("""COMPUTED_VALUE"""),17734624)</f>
        <v>17734624</v>
      </c>
    </row>
    <row r="1927" spans="1:6" x14ac:dyDescent="0.35">
      <c r="A1927" s="2">
        <f ca="1">IFERROR(__xludf.DUMMYFUNCTION("""COMPUTED_VALUE"""),44798.6666666666)</f>
        <v>44798.666666666599</v>
      </c>
      <c r="B1927" s="1">
        <f ca="1">IFERROR(__xludf.DUMMYFUNCTION("""COMPUTED_VALUE"""),114.24)</f>
        <v>114.24</v>
      </c>
      <c r="C1927" s="1">
        <f ca="1">IFERROR(__xludf.DUMMYFUNCTION("""COMPUTED_VALUE"""),116.72)</f>
        <v>116.72</v>
      </c>
      <c r="D1927" s="1">
        <f ca="1">IFERROR(__xludf.DUMMYFUNCTION("""COMPUTED_VALUE"""),114.11)</f>
        <v>114.11</v>
      </c>
      <c r="E1927" s="1">
        <f ca="1">IFERROR(__xludf.DUMMYFUNCTION("""COMPUTED_VALUE"""),116.65)</f>
        <v>116.65</v>
      </c>
      <c r="F1927" s="1">
        <f ca="1">IFERROR(__xludf.DUMMYFUNCTION("""COMPUTED_VALUE"""),16956794)</f>
        <v>16956794</v>
      </c>
    </row>
    <row r="1928" spans="1:6" x14ac:dyDescent="0.35">
      <c r="A1928" s="2">
        <f ca="1">IFERROR(__xludf.DUMMYFUNCTION("""COMPUTED_VALUE"""),44799.6666666666)</f>
        <v>44799.666666666599</v>
      </c>
      <c r="B1928" s="1">
        <f ca="1">IFERROR(__xludf.DUMMYFUNCTION("""COMPUTED_VALUE"""),114.72)</f>
        <v>114.72</v>
      </c>
      <c r="C1928" s="1">
        <f ca="1">IFERROR(__xludf.DUMMYFUNCTION("""COMPUTED_VALUE"""),115.12)</f>
        <v>115.12</v>
      </c>
      <c r="D1928" s="1">
        <f ca="1">IFERROR(__xludf.DUMMYFUNCTION("""COMPUTED_VALUE"""),110.19)</f>
        <v>110.19</v>
      </c>
      <c r="E1928" s="1">
        <f ca="1">IFERROR(__xludf.DUMMYFUNCTION("""COMPUTED_VALUE"""),110.34)</f>
        <v>110.34</v>
      </c>
      <c r="F1928" s="1">
        <f ca="1">IFERROR(__xludf.DUMMYFUNCTION("""COMPUTED_VALUE"""),37245697)</f>
        <v>37245697</v>
      </c>
    </row>
    <row r="1929" spans="1:6" x14ac:dyDescent="0.35">
      <c r="A1929" s="2">
        <f ca="1">IFERROR(__xludf.DUMMYFUNCTION("""COMPUTED_VALUE"""),44802.6666666666)</f>
        <v>44802.666666666599</v>
      </c>
      <c r="B1929" s="1">
        <f ca="1">IFERROR(__xludf.DUMMYFUNCTION("""COMPUTED_VALUE"""),109.99)</f>
        <v>109.99</v>
      </c>
      <c r="C1929" s="1">
        <f ca="1">IFERROR(__xludf.DUMMYFUNCTION("""COMPUTED_VALUE"""),110.95)</f>
        <v>110.95</v>
      </c>
      <c r="D1929" s="1">
        <f ca="1">IFERROR(__xludf.DUMMYFUNCTION("""COMPUTED_VALUE"""),108.8)</f>
        <v>108.8</v>
      </c>
      <c r="E1929" s="1">
        <f ca="1">IFERROR(__xludf.DUMMYFUNCTION("""COMPUTED_VALUE"""),109.42)</f>
        <v>109.42</v>
      </c>
      <c r="F1929" s="1">
        <f ca="1">IFERROR(__xludf.DUMMYFUNCTION("""COMPUTED_VALUE"""),21191157)</f>
        <v>21191157</v>
      </c>
    </row>
    <row r="1930" spans="1:6" x14ac:dyDescent="0.35">
      <c r="A1930" s="2">
        <f ca="1">IFERROR(__xludf.DUMMYFUNCTION("""COMPUTED_VALUE"""),44803.6666666666)</f>
        <v>44803.666666666599</v>
      </c>
      <c r="B1930" s="1">
        <f ca="1">IFERROR(__xludf.DUMMYFUNCTION("""COMPUTED_VALUE"""),110.17)</f>
        <v>110.17</v>
      </c>
      <c r="C1930" s="1">
        <f ca="1">IFERROR(__xludf.DUMMYFUNCTION("""COMPUTED_VALUE"""),110.5)</f>
        <v>110.5</v>
      </c>
      <c r="D1930" s="1">
        <f ca="1">IFERROR(__xludf.DUMMYFUNCTION("""COMPUTED_VALUE"""),107.8)</f>
        <v>107.8</v>
      </c>
      <c r="E1930" s="1">
        <f ca="1">IFERROR(__xludf.DUMMYFUNCTION("""COMPUTED_VALUE"""),108.94)</f>
        <v>108.94</v>
      </c>
      <c r="F1930" s="1">
        <f ca="1">IFERROR(__xludf.DUMMYFUNCTION("""COMPUTED_VALUE"""),27513255)</f>
        <v>27513255</v>
      </c>
    </row>
    <row r="1931" spans="1:6" x14ac:dyDescent="0.35">
      <c r="A1931" s="2">
        <f ca="1">IFERROR(__xludf.DUMMYFUNCTION("""COMPUTED_VALUE"""),44804.6666666666)</f>
        <v>44804.666666666599</v>
      </c>
      <c r="B1931" s="1">
        <f ca="1">IFERROR(__xludf.DUMMYFUNCTION("""COMPUTED_VALUE"""),110.65)</f>
        <v>110.65</v>
      </c>
      <c r="C1931" s="1">
        <f ca="1">IFERROR(__xludf.DUMMYFUNCTION("""COMPUTED_VALUE"""),110.85)</f>
        <v>110.85</v>
      </c>
      <c r="D1931" s="1">
        <f ca="1">IFERROR(__xludf.DUMMYFUNCTION("""COMPUTED_VALUE"""),108.13)</f>
        <v>108.13</v>
      </c>
      <c r="E1931" s="1">
        <f ca="1">IFERROR(__xludf.DUMMYFUNCTION("""COMPUTED_VALUE"""),108.22)</f>
        <v>108.22</v>
      </c>
      <c r="F1931" s="1">
        <f ca="1">IFERROR(__xludf.DUMMYFUNCTION("""COMPUTED_VALUE"""),28626972)</f>
        <v>28626972</v>
      </c>
    </row>
    <row r="1932" spans="1:6" x14ac:dyDescent="0.35">
      <c r="A1932" s="2">
        <f ca="1">IFERROR(__xludf.DUMMYFUNCTION("""COMPUTED_VALUE"""),44805.6666666666)</f>
        <v>44805.666666666599</v>
      </c>
      <c r="B1932" s="1">
        <f ca="1">IFERROR(__xludf.DUMMYFUNCTION("""COMPUTED_VALUE"""),108.28)</f>
        <v>108.28</v>
      </c>
      <c r="C1932" s="1">
        <f ca="1">IFERROR(__xludf.DUMMYFUNCTION("""COMPUTED_VALUE"""),110.45)</f>
        <v>110.45</v>
      </c>
      <c r="D1932" s="1">
        <f ca="1">IFERROR(__xludf.DUMMYFUNCTION("""COMPUTED_VALUE"""),107.36)</f>
        <v>107.36</v>
      </c>
      <c r="E1932" s="1">
        <f ca="1">IFERROR(__xludf.DUMMYFUNCTION("""COMPUTED_VALUE"""),109.74)</f>
        <v>109.74</v>
      </c>
      <c r="F1932" s="1">
        <f ca="1">IFERROR(__xludf.DUMMYFUNCTION("""COMPUTED_VALUE"""),28360926)</f>
        <v>28360926</v>
      </c>
    </row>
    <row r="1933" spans="1:6" x14ac:dyDescent="0.35">
      <c r="A1933" s="2">
        <f ca="1">IFERROR(__xludf.DUMMYFUNCTION("""COMPUTED_VALUE"""),44806.6666666666)</f>
        <v>44806.666666666599</v>
      </c>
      <c r="B1933" s="1">
        <f ca="1">IFERROR(__xludf.DUMMYFUNCTION("""COMPUTED_VALUE"""),110.59)</f>
        <v>110.59</v>
      </c>
      <c r="C1933" s="1">
        <f ca="1">IFERROR(__xludf.DUMMYFUNCTION("""COMPUTED_VALUE"""),110.74)</f>
        <v>110.74</v>
      </c>
      <c r="D1933" s="1">
        <f ca="1">IFERROR(__xludf.DUMMYFUNCTION("""COMPUTED_VALUE"""),107.26)</f>
        <v>107.26</v>
      </c>
      <c r="E1933" s="1">
        <f ca="1">IFERROR(__xludf.DUMMYFUNCTION("""COMPUTED_VALUE"""),107.85)</f>
        <v>107.85</v>
      </c>
      <c r="F1933" s="1">
        <f ca="1">IFERROR(__xludf.DUMMYFUNCTION("""COMPUTED_VALUE"""),24160711)</f>
        <v>24160711</v>
      </c>
    </row>
    <row r="1934" spans="1:6" x14ac:dyDescent="0.35">
      <c r="A1934" s="2">
        <f ca="1">IFERROR(__xludf.DUMMYFUNCTION("""COMPUTED_VALUE"""),44810.6666666666)</f>
        <v>44810.666666666599</v>
      </c>
      <c r="B1934" s="1">
        <f ca="1">IFERROR(__xludf.DUMMYFUNCTION("""COMPUTED_VALUE"""),107.3)</f>
        <v>107.3</v>
      </c>
      <c r="C1934" s="1">
        <f ca="1">IFERROR(__xludf.DUMMYFUNCTION("""COMPUTED_VALUE"""),108.03)</f>
        <v>108.03</v>
      </c>
      <c r="D1934" s="1">
        <f ca="1">IFERROR(__xludf.DUMMYFUNCTION("""COMPUTED_VALUE"""),105.78)</f>
        <v>105.78</v>
      </c>
      <c r="E1934" s="1">
        <f ca="1">IFERROR(__xludf.DUMMYFUNCTION("""COMPUTED_VALUE"""),106.81)</f>
        <v>106.81</v>
      </c>
      <c r="F1934" s="1">
        <f ca="1">IFERROR(__xludf.DUMMYFUNCTION("""COMPUTED_VALUE"""),25068280)</f>
        <v>25068280</v>
      </c>
    </row>
    <row r="1935" spans="1:6" x14ac:dyDescent="0.35">
      <c r="A1935" s="2">
        <f ca="1">IFERROR(__xludf.DUMMYFUNCTION("""COMPUTED_VALUE"""),44811.6666666666)</f>
        <v>44811.666666666599</v>
      </c>
      <c r="B1935" s="1">
        <f ca="1">IFERROR(__xludf.DUMMYFUNCTION("""COMPUTED_VALUE"""),107.06)</f>
        <v>107.06</v>
      </c>
      <c r="C1935" s="1">
        <f ca="1">IFERROR(__xludf.DUMMYFUNCTION("""COMPUTED_VALUE"""),109.98)</f>
        <v>109.98</v>
      </c>
      <c r="D1935" s="1">
        <f ca="1">IFERROR(__xludf.DUMMYFUNCTION("""COMPUTED_VALUE"""),106.9)</f>
        <v>106.9</v>
      </c>
      <c r="E1935" s="1">
        <f ca="1">IFERROR(__xludf.DUMMYFUNCTION("""COMPUTED_VALUE"""),109.45)</f>
        <v>109.45</v>
      </c>
      <c r="F1935" s="1">
        <f ca="1">IFERROR(__xludf.DUMMYFUNCTION("""COMPUTED_VALUE"""),23166967)</f>
        <v>23166967</v>
      </c>
    </row>
    <row r="1936" spans="1:6" x14ac:dyDescent="0.35">
      <c r="A1936" s="2">
        <f ca="1">IFERROR(__xludf.DUMMYFUNCTION("""COMPUTED_VALUE"""),44812.6666666666)</f>
        <v>44812.666666666599</v>
      </c>
      <c r="B1936" s="1">
        <f ca="1">IFERROR(__xludf.DUMMYFUNCTION("""COMPUTED_VALUE"""),108.04)</f>
        <v>108.04</v>
      </c>
      <c r="C1936" s="1">
        <f ca="1">IFERROR(__xludf.DUMMYFUNCTION("""COMPUTED_VALUE"""),109.6)</f>
        <v>109.6</v>
      </c>
      <c r="D1936" s="1">
        <f ca="1">IFERROR(__xludf.DUMMYFUNCTION("""COMPUTED_VALUE"""),107.16)</f>
        <v>107.16</v>
      </c>
      <c r="E1936" s="1">
        <f ca="1">IFERROR(__xludf.DUMMYFUNCTION("""COMPUTED_VALUE"""),108.38)</f>
        <v>108.38</v>
      </c>
      <c r="F1936" s="1">
        <f ca="1">IFERROR(__xludf.DUMMYFUNCTION("""COMPUTED_VALUE"""),24238293)</f>
        <v>24238293</v>
      </c>
    </row>
    <row r="1937" spans="1:6" x14ac:dyDescent="0.35">
      <c r="A1937" s="2">
        <f ca="1">IFERROR(__xludf.DUMMYFUNCTION("""COMPUTED_VALUE"""),44813.6666666666)</f>
        <v>44813.666666666599</v>
      </c>
      <c r="B1937" s="1">
        <f ca="1">IFERROR(__xludf.DUMMYFUNCTION("""COMPUTED_VALUE"""),109.07)</f>
        <v>109.07</v>
      </c>
      <c r="C1937" s="1">
        <f ca="1">IFERROR(__xludf.DUMMYFUNCTION("""COMPUTED_VALUE"""),110.99)</f>
        <v>110.99</v>
      </c>
      <c r="D1937" s="1">
        <f ca="1">IFERROR(__xludf.DUMMYFUNCTION("""COMPUTED_VALUE"""),109.02)</f>
        <v>109.02</v>
      </c>
      <c r="E1937" s="1">
        <f ca="1">IFERROR(__xludf.DUMMYFUNCTION("""COMPUTED_VALUE"""),110.65)</f>
        <v>110.65</v>
      </c>
      <c r="F1937" s="1">
        <f ca="1">IFERROR(__xludf.DUMMYFUNCTION("""COMPUTED_VALUE"""),23213585)</f>
        <v>23213585</v>
      </c>
    </row>
    <row r="1938" spans="1:6" x14ac:dyDescent="0.35">
      <c r="A1938" s="2">
        <f ca="1">IFERROR(__xludf.DUMMYFUNCTION("""COMPUTED_VALUE"""),44816.6666666666)</f>
        <v>44816.666666666599</v>
      </c>
      <c r="B1938" s="1">
        <f ca="1">IFERROR(__xludf.DUMMYFUNCTION("""COMPUTED_VALUE"""),110.99)</f>
        <v>110.99</v>
      </c>
      <c r="C1938" s="1">
        <f ca="1">IFERROR(__xludf.DUMMYFUNCTION("""COMPUTED_VALUE"""),111.62)</f>
        <v>111.62</v>
      </c>
      <c r="D1938" s="1">
        <f ca="1">IFERROR(__xludf.DUMMYFUNCTION("""COMPUTED_VALUE"""),109.93)</f>
        <v>109.93</v>
      </c>
      <c r="E1938" s="1">
        <f ca="1">IFERROR(__xludf.DUMMYFUNCTION("""COMPUTED_VALUE"""),110.86)</f>
        <v>110.86</v>
      </c>
      <c r="F1938" s="1">
        <f ca="1">IFERROR(__xludf.DUMMYFUNCTION("""COMPUTED_VALUE"""),22966752)</f>
        <v>22966752</v>
      </c>
    </row>
    <row r="1939" spans="1:6" x14ac:dyDescent="0.35">
      <c r="A1939" s="2">
        <f ca="1">IFERROR(__xludf.DUMMYFUNCTION("""COMPUTED_VALUE"""),44817.6666666666)</f>
        <v>44817.666666666599</v>
      </c>
      <c r="B1939" s="1">
        <f ca="1">IFERROR(__xludf.DUMMYFUNCTION("""COMPUTED_VALUE"""),107.8)</f>
        <v>107.8</v>
      </c>
      <c r="C1939" s="1">
        <f ca="1">IFERROR(__xludf.DUMMYFUNCTION("""COMPUTED_VALUE"""),108.3)</f>
        <v>108.3</v>
      </c>
      <c r="D1939" s="1">
        <f ca="1">IFERROR(__xludf.DUMMYFUNCTION("""COMPUTED_VALUE"""),104.09)</f>
        <v>104.09</v>
      </c>
      <c r="E1939" s="1">
        <f ca="1">IFERROR(__xludf.DUMMYFUNCTION("""COMPUTED_VALUE"""),104.32)</f>
        <v>104.32</v>
      </c>
      <c r="F1939" s="1">
        <f ca="1">IFERROR(__xludf.DUMMYFUNCTION("""COMPUTED_VALUE"""),38172871)</f>
        <v>38172871</v>
      </c>
    </row>
    <row r="1940" spans="1:6" x14ac:dyDescent="0.35">
      <c r="A1940" s="2">
        <f ca="1">IFERROR(__xludf.DUMMYFUNCTION("""COMPUTED_VALUE"""),44818.6666666666)</f>
        <v>44818.666666666599</v>
      </c>
      <c r="B1940" s="1">
        <f ca="1">IFERROR(__xludf.DUMMYFUNCTION("""COMPUTED_VALUE"""),104.57)</f>
        <v>104.57</v>
      </c>
      <c r="C1940" s="1">
        <f ca="1">IFERROR(__xludf.DUMMYFUNCTION("""COMPUTED_VALUE"""),105.28)</f>
        <v>105.28</v>
      </c>
      <c r="D1940" s="1">
        <f ca="1">IFERROR(__xludf.DUMMYFUNCTION("""COMPUTED_VALUE"""),103.66)</f>
        <v>103.66</v>
      </c>
      <c r="E1940" s="1">
        <f ca="1">IFERROR(__xludf.DUMMYFUNCTION("""COMPUTED_VALUE"""),105)</f>
        <v>105</v>
      </c>
      <c r="F1940" s="1">
        <f ca="1">IFERROR(__xludf.DUMMYFUNCTION("""COMPUTED_VALUE"""),26395134)</f>
        <v>26395134</v>
      </c>
    </row>
    <row r="1941" spans="1:6" x14ac:dyDescent="0.35">
      <c r="A1941" s="2">
        <f ca="1">IFERROR(__xludf.DUMMYFUNCTION("""COMPUTED_VALUE"""),44819.6666666666)</f>
        <v>44819.666666666599</v>
      </c>
      <c r="B1941" s="1">
        <f ca="1">IFERROR(__xludf.DUMMYFUNCTION("""COMPUTED_VALUE"""),104.03)</f>
        <v>104.03</v>
      </c>
      <c r="C1941" s="1">
        <f ca="1">IFERROR(__xludf.DUMMYFUNCTION("""COMPUTED_VALUE"""),105.27)</f>
        <v>105.27</v>
      </c>
      <c r="D1941" s="1">
        <f ca="1">IFERROR(__xludf.DUMMYFUNCTION("""COMPUTED_VALUE"""),102.35)</f>
        <v>102.35</v>
      </c>
      <c r="E1941" s="1">
        <f ca="1">IFERROR(__xludf.DUMMYFUNCTION("""COMPUTED_VALUE"""),102.91)</f>
        <v>102.91</v>
      </c>
      <c r="F1941" s="1">
        <f ca="1">IFERROR(__xludf.DUMMYFUNCTION("""COMPUTED_VALUE"""),34188284)</f>
        <v>34188284</v>
      </c>
    </row>
    <row r="1942" spans="1:6" x14ac:dyDescent="0.35">
      <c r="A1942" s="2">
        <f ca="1">IFERROR(__xludf.DUMMYFUNCTION("""COMPUTED_VALUE"""),44820.6666666666)</f>
        <v>44820.666666666599</v>
      </c>
      <c r="B1942" s="1">
        <f ca="1">IFERROR(__xludf.DUMMYFUNCTION("""COMPUTED_VALUE"""),102.07)</f>
        <v>102.07</v>
      </c>
      <c r="C1942" s="1">
        <f ca="1">IFERROR(__xludf.DUMMYFUNCTION("""COMPUTED_VALUE"""),103.13)</f>
        <v>103.13</v>
      </c>
      <c r="D1942" s="1">
        <f ca="1">IFERROR(__xludf.DUMMYFUNCTION("""COMPUTED_VALUE"""),100.94)</f>
        <v>100.94</v>
      </c>
      <c r="E1942" s="1">
        <f ca="1">IFERROR(__xludf.DUMMYFUNCTION("""COMPUTED_VALUE"""),102.8)</f>
        <v>102.8</v>
      </c>
      <c r="F1942" s="1">
        <f ca="1">IFERROR(__xludf.DUMMYFUNCTION("""COMPUTED_VALUE"""),42797172)</f>
        <v>42797172</v>
      </c>
    </row>
    <row r="1943" spans="1:6" x14ac:dyDescent="0.35">
      <c r="A1943" s="2">
        <f ca="1">IFERROR(__xludf.DUMMYFUNCTION("""COMPUTED_VALUE"""),44823.6666666666)</f>
        <v>44823.666666666599</v>
      </c>
      <c r="B1943" s="1">
        <f ca="1">IFERROR(__xludf.DUMMYFUNCTION("""COMPUTED_VALUE"""),101.75)</f>
        <v>101.75</v>
      </c>
      <c r="C1943" s="1">
        <f ca="1">IFERROR(__xludf.DUMMYFUNCTION("""COMPUTED_VALUE"""),103.33)</f>
        <v>103.33</v>
      </c>
      <c r="D1943" s="1">
        <f ca="1">IFERROR(__xludf.DUMMYFUNCTION("""COMPUTED_VALUE"""),101.55)</f>
        <v>101.55</v>
      </c>
      <c r="E1943" s="1">
        <f ca="1">IFERROR(__xludf.DUMMYFUNCTION("""COMPUTED_VALUE"""),103.07)</f>
        <v>103.07</v>
      </c>
      <c r="F1943" s="1">
        <f ca="1">IFERROR(__xludf.DUMMYFUNCTION("""COMPUTED_VALUE"""),23036811)</f>
        <v>23036811</v>
      </c>
    </row>
    <row r="1944" spans="1:6" x14ac:dyDescent="0.35">
      <c r="A1944" s="2">
        <f ca="1">IFERROR(__xludf.DUMMYFUNCTION("""COMPUTED_VALUE"""),44824.6666666666)</f>
        <v>44824.666666666599</v>
      </c>
      <c r="B1944" s="1">
        <f ca="1">IFERROR(__xludf.DUMMYFUNCTION("""COMPUTED_VALUE"""),102.08)</f>
        <v>102.08</v>
      </c>
      <c r="C1944" s="1">
        <f ca="1">IFERROR(__xludf.DUMMYFUNCTION("""COMPUTED_VALUE"""),102.37)</f>
        <v>102.37</v>
      </c>
      <c r="D1944" s="1">
        <f ca="1">IFERROR(__xludf.DUMMYFUNCTION("""COMPUTED_VALUE"""),100.52)</f>
        <v>100.52</v>
      </c>
      <c r="E1944" s="1">
        <f ca="1">IFERROR(__xludf.DUMMYFUNCTION("""COMPUTED_VALUE"""),101.14)</f>
        <v>101.14</v>
      </c>
      <c r="F1944" s="1">
        <f ca="1">IFERROR(__xludf.DUMMYFUNCTION("""COMPUTED_VALUE"""),26517123)</f>
        <v>26517123</v>
      </c>
    </row>
    <row r="1945" spans="1:6" x14ac:dyDescent="0.35">
      <c r="A1945" s="2">
        <f ca="1">IFERROR(__xludf.DUMMYFUNCTION("""COMPUTED_VALUE"""),44825.6666666666)</f>
        <v>44825.666666666599</v>
      </c>
      <c r="B1945" s="1">
        <f ca="1">IFERROR(__xludf.DUMMYFUNCTION("""COMPUTED_VALUE"""),101.67)</f>
        <v>101.67</v>
      </c>
      <c r="C1945" s="1">
        <f ca="1">IFERROR(__xludf.DUMMYFUNCTION("""COMPUTED_VALUE"""),102.88)</f>
        <v>102.88</v>
      </c>
      <c r="D1945" s="1">
        <f ca="1">IFERROR(__xludf.DUMMYFUNCTION("""COMPUTED_VALUE"""),99.27)</f>
        <v>99.27</v>
      </c>
      <c r="E1945" s="1">
        <f ca="1">IFERROR(__xludf.DUMMYFUNCTION("""COMPUTED_VALUE"""),99.28)</f>
        <v>99.28</v>
      </c>
      <c r="F1945" s="1">
        <f ca="1">IFERROR(__xludf.DUMMYFUNCTION("""COMPUTED_VALUE"""),31487265)</f>
        <v>31487265</v>
      </c>
    </row>
    <row r="1946" spans="1:6" x14ac:dyDescent="0.35">
      <c r="A1946" s="2">
        <f ca="1">IFERROR(__xludf.DUMMYFUNCTION("""COMPUTED_VALUE"""),44826.6666666666)</f>
        <v>44826.666666666599</v>
      </c>
      <c r="B1946" s="1">
        <f ca="1">IFERROR(__xludf.DUMMYFUNCTION("""COMPUTED_VALUE"""),98.82)</f>
        <v>98.82</v>
      </c>
      <c r="C1946" s="1">
        <f ca="1">IFERROR(__xludf.DUMMYFUNCTION("""COMPUTED_VALUE"""),101.24)</f>
        <v>101.24</v>
      </c>
      <c r="D1946" s="1">
        <f ca="1">IFERROR(__xludf.DUMMYFUNCTION("""COMPUTED_VALUE"""),98.79)</f>
        <v>98.79</v>
      </c>
      <c r="E1946" s="1">
        <f ca="1">IFERROR(__xludf.DUMMYFUNCTION("""COMPUTED_VALUE"""),100.14)</f>
        <v>100.14</v>
      </c>
      <c r="F1946" s="1">
        <f ca="1">IFERROR(__xludf.DUMMYFUNCTION("""COMPUTED_VALUE"""),34298619)</f>
        <v>34298619</v>
      </c>
    </row>
    <row r="1947" spans="1:6" x14ac:dyDescent="0.35">
      <c r="A1947" s="2">
        <f ca="1">IFERROR(__xludf.DUMMYFUNCTION("""COMPUTED_VALUE"""),44827.6666666666)</f>
        <v>44827.666666666599</v>
      </c>
      <c r="B1947" s="1">
        <f ca="1">IFERROR(__xludf.DUMMYFUNCTION("""COMPUTED_VALUE"""),99.63)</f>
        <v>99.63</v>
      </c>
      <c r="C1947" s="1">
        <f ca="1">IFERROR(__xludf.DUMMYFUNCTION("""COMPUTED_VALUE"""),99.66)</f>
        <v>99.66</v>
      </c>
      <c r="D1947" s="1">
        <f ca="1">IFERROR(__xludf.DUMMYFUNCTION("""COMPUTED_VALUE"""),97.47)</f>
        <v>97.47</v>
      </c>
      <c r="E1947" s="1">
        <f ca="1">IFERROR(__xludf.DUMMYFUNCTION("""COMPUTED_VALUE"""),98.74)</f>
        <v>98.74</v>
      </c>
      <c r="F1947" s="1">
        <f ca="1">IFERROR(__xludf.DUMMYFUNCTION("""COMPUTED_VALUE"""),31625437)</f>
        <v>31625437</v>
      </c>
    </row>
    <row r="1948" spans="1:6" x14ac:dyDescent="0.35">
      <c r="A1948" s="2">
        <f ca="1">IFERROR(__xludf.DUMMYFUNCTION("""COMPUTED_VALUE"""),44830.6666666666)</f>
        <v>44830.666666666599</v>
      </c>
      <c r="B1948" s="1">
        <f ca="1">IFERROR(__xludf.DUMMYFUNCTION("""COMPUTED_VALUE"""),98.1)</f>
        <v>98.1</v>
      </c>
      <c r="C1948" s="1">
        <f ca="1">IFERROR(__xludf.DUMMYFUNCTION("""COMPUTED_VALUE"""),99.88)</f>
        <v>99.88</v>
      </c>
      <c r="D1948" s="1">
        <f ca="1">IFERROR(__xludf.DUMMYFUNCTION("""COMPUTED_VALUE"""),97.8)</f>
        <v>97.8</v>
      </c>
      <c r="E1948" s="1">
        <f ca="1">IFERROR(__xludf.DUMMYFUNCTION("""COMPUTED_VALUE"""),98.17)</f>
        <v>98.17</v>
      </c>
      <c r="F1948" s="1">
        <f ca="1">IFERROR(__xludf.DUMMYFUNCTION("""COMPUTED_VALUE"""),27072662)</f>
        <v>27072662</v>
      </c>
    </row>
    <row r="1949" spans="1:6" x14ac:dyDescent="0.35">
      <c r="A1949" s="2">
        <f ca="1">IFERROR(__xludf.DUMMYFUNCTION("""COMPUTED_VALUE"""),44831.6666666666)</f>
        <v>44831.666666666599</v>
      </c>
      <c r="B1949" s="1">
        <f ca="1">IFERROR(__xludf.DUMMYFUNCTION("""COMPUTED_VALUE"""),99.43)</f>
        <v>99.43</v>
      </c>
      <c r="C1949" s="1">
        <f ca="1">IFERROR(__xludf.DUMMYFUNCTION("""COMPUTED_VALUE"""),100)</f>
        <v>100</v>
      </c>
      <c r="D1949" s="1">
        <f ca="1">IFERROR(__xludf.DUMMYFUNCTION("""COMPUTED_VALUE"""),96.87)</f>
        <v>96.87</v>
      </c>
      <c r="E1949" s="1">
        <f ca="1">IFERROR(__xludf.DUMMYFUNCTION("""COMPUTED_VALUE"""),97.5)</f>
        <v>97.5</v>
      </c>
      <c r="F1949" s="1">
        <f ca="1">IFERROR(__xludf.DUMMYFUNCTION("""COMPUTED_VALUE"""),30072781)</f>
        <v>30072781</v>
      </c>
    </row>
    <row r="1950" spans="1:6" x14ac:dyDescent="0.35">
      <c r="A1950" s="2">
        <f ca="1">IFERROR(__xludf.DUMMYFUNCTION("""COMPUTED_VALUE"""),44832.6666666666)</f>
        <v>44832.666666666599</v>
      </c>
      <c r="B1950" s="1">
        <f ca="1">IFERROR(__xludf.DUMMYFUNCTION("""COMPUTED_VALUE"""),97.65)</f>
        <v>97.65</v>
      </c>
      <c r="C1950" s="1">
        <f ca="1">IFERROR(__xludf.DUMMYFUNCTION("""COMPUTED_VALUE"""),100.7)</f>
        <v>100.7</v>
      </c>
      <c r="D1950" s="1">
        <f ca="1">IFERROR(__xludf.DUMMYFUNCTION("""COMPUTED_VALUE"""),97.11)</f>
        <v>97.11</v>
      </c>
      <c r="E1950" s="1">
        <f ca="1">IFERROR(__xludf.DUMMYFUNCTION("""COMPUTED_VALUE"""),100.05)</f>
        <v>100.05</v>
      </c>
      <c r="F1950" s="1">
        <f ca="1">IFERROR(__xludf.DUMMYFUNCTION("""COMPUTED_VALUE"""),32466323)</f>
        <v>32466323</v>
      </c>
    </row>
    <row r="1951" spans="1:6" x14ac:dyDescent="0.35">
      <c r="A1951" s="2">
        <f ca="1">IFERROR(__xludf.DUMMYFUNCTION("""COMPUTED_VALUE"""),44833.6666666666)</f>
        <v>44833.666666666599</v>
      </c>
      <c r="B1951" s="1">
        <f ca="1">IFERROR(__xludf.DUMMYFUNCTION("""COMPUTED_VALUE"""),98.64)</f>
        <v>98.64</v>
      </c>
      <c r="C1951" s="1">
        <f ca="1">IFERROR(__xludf.DUMMYFUNCTION("""COMPUTED_VALUE"""),98.64)</f>
        <v>98.64</v>
      </c>
      <c r="D1951" s="1">
        <f ca="1">IFERROR(__xludf.DUMMYFUNCTION("""COMPUTED_VALUE"""),95.96)</f>
        <v>95.96</v>
      </c>
      <c r="E1951" s="1">
        <f ca="1">IFERROR(__xludf.DUMMYFUNCTION("""COMPUTED_VALUE"""),97.42)</f>
        <v>97.42</v>
      </c>
      <c r="F1951" s="1">
        <f ca="1">IFERROR(__xludf.DUMMYFUNCTION("""COMPUTED_VALUE"""),31047224)</f>
        <v>31047224</v>
      </c>
    </row>
    <row r="1952" spans="1:6" x14ac:dyDescent="0.35">
      <c r="A1952" s="2">
        <f ca="1">IFERROR(__xludf.DUMMYFUNCTION("""COMPUTED_VALUE"""),44834.6666666666)</f>
        <v>44834.666666666599</v>
      </c>
      <c r="B1952" s="1">
        <f ca="1">IFERROR(__xludf.DUMMYFUNCTION("""COMPUTED_VALUE"""),97.05)</f>
        <v>97.05</v>
      </c>
      <c r="C1952" s="1">
        <f ca="1">IFERROR(__xludf.DUMMYFUNCTION("""COMPUTED_VALUE"""),98.9)</f>
        <v>98.9</v>
      </c>
      <c r="D1952" s="1">
        <f ca="1">IFERROR(__xludf.DUMMYFUNCTION("""COMPUTED_VALUE"""),95.56)</f>
        <v>95.56</v>
      </c>
      <c r="E1952" s="1">
        <f ca="1">IFERROR(__xludf.DUMMYFUNCTION("""COMPUTED_VALUE"""),95.65)</f>
        <v>95.65</v>
      </c>
      <c r="F1952" s="1">
        <f ca="1">IFERROR(__xludf.DUMMYFUNCTION("""COMPUTED_VALUE"""),32941493)</f>
        <v>32941493</v>
      </c>
    </row>
    <row r="1953" spans="1:6" x14ac:dyDescent="0.35">
      <c r="A1953" s="2">
        <f ca="1">IFERROR(__xludf.DUMMYFUNCTION("""COMPUTED_VALUE"""),44837.6666666666)</f>
        <v>44837.666666666599</v>
      </c>
      <c r="B1953" s="1">
        <f ca="1">IFERROR(__xludf.DUMMYFUNCTION("""COMPUTED_VALUE"""),96.76)</f>
        <v>96.76</v>
      </c>
      <c r="C1953" s="1">
        <f ca="1">IFERROR(__xludf.DUMMYFUNCTION("""COMPUTED_VALUE"""),99.29)</f>
        <v>99.29</v>
      </c>
      <c r="D1953" s="1">
        <f ca="1">IFERROR(__xludf.DUMMYFUNCTION("""COMPUTED_VALUE"""),96.52)</f>
        <v>96.52</v>
      </c>
      <c r="E1953" s="1">
        <f ca="1">IFERROR(__xludf.DUMMYFUNCTION("""COMPUTED_VALUE"""),98.64)</f>
        <v>98.64</v>
      </c>
      <c r="F1953" s="1">
        <f ca="1">IFERROR(__xludf.DUMMYFUNCTION("""COMPUTED_VALUE"""),27982031)</f>
        <v>27982031</v>
      </c>
    </row>
    <row r="1954" spans="1:6" x14ac:dyDescent="0.35">
      <c r="A1954" s="2">
        <f ca="1">IFERROR(__xludf.DUMMYFUNCTION("""COMPUTED_VALUE"""),44838.6666666666)</f>
        <v>44838.666666666599</v>
      </c>
      <c r="B1954" s="1">
        <f ca="1">IFERROR(__xludf.DUMMYFUNCTION("""COMPUTED_VALUE"""),100.44)</f>
        <v>100.44</v>
      </c>
      <c r="C1954" s="1">
        <f ca="1">IFERROR(__xludf.DUMMYFUNCTION("""COMPUTED_VALUE"""),101.84)</f>
        <v>101.84</v>
      </c>
      <c r="D1954" s="1">
        <f ca="1">IFERROR(__xludf.DUMMYFUNCTION("""COMPUTED_VALUE"""),100.38)</f>
        <v>100.38</v>
      </c>
      <c r="E1954" s="1">
        <f ca="1">IFERROR(__xludf.DUMMYFUNCTION("""COMPUTED_VALUE"""),101.64)</f>
        <v>101.64</v>
      </c>
      <c r="F1954" s="1">
        <f ca="1">IFERROR(__xludf.DUMMYFUNCTION("""COMPUTED_VALUE"""),28850773)</f>
        <v>28850773</v>
      </c>
    </row>
    <row r="1955" spans="1:6" x14ac:dyDescent="0.35">
      <c r="A1955" s="2">
        <f ca="1">IFERROR(__xludf.DUMMYFUNCTION("""COMPUTED_VALUE"""),44839.6666666666)</f>
        <v>44839.666666666599</v>
      </c>
      <c r="B1955" s="1">
        <f ca="1">IFERROR(__xludf.DUMMYFUNCTION("""COMPUTED_VALUE"""),99.83)</f>
        <v>99.83</v>
      </c>
      <c r="C1955" s="1">
        <f ca="1">IFERROR(__xludf.DUMMYFUNCTION("""COMPUTED_VALUE"""),101.93)</f>
        <v>101.93</v>
      </c>
      <c r="D1955" s="1">
        <f ca="1">IFERROR(__xludf.DUMMYFUNCTION("""COMPUTED_VALUE"""),98.8)</f>
        <v>98.8</v>
      </c>
      <c r="E1955" s="1">
        <f ca="1">IFERROR(__xludf.DUMMYFUNCTION("""COMPUTED_VALUE"""),101.43)</f>
        <v>101.43</v>
      </c>
      <c r="F1955" s="1">
        <f ca="1">IFERROR(__xludf.DUMMYFUNCTION("""COMPUTED_VALUE"""),22176903)</f>
        <v>22176903</v>
      </c>
    </row>
    <row r="1956" spans="1:6" x14ac:dyDescent="0.35">
      <c r="A1956" s="2">
        <f ca="1">IFERROR(__xludf.DUMMYFUNCTION("""COMPUTED_VALUE"""),44840.6666666666)</f>
        <v>44840.666666666599</v>
      </c>
      <c r="B1956" s="1">
        <f ca="1">IFERROR(__xludf.DUMMYFUNCTION("""COMPUTED_VALUE"""),100.68)</f>
        <v>100.68</v>
      </c>
      <c r="C1956" s="1">
        <f ca="1">IFERROR(__xludf.DUMMYFUNCTION("""COMPUTED_VALUE"""),102.93)</f>
        <v>102.93</v>
      </c>
      <c r="D1956" s="1">
        <f ca="1">IFERROR(__xludf.DUMMYFUNCTION("""COMPUTED_VALUE"""),100.59)</f>
        <v>100.59</v>
      </c>
      <c r="E1956" s="1">
        <f ca="1">IFERROR(__xludf.DUMMYFUNCTION("""COMPUTED_VALUE"""),101.42)</f>
        <v>101.42</v>
      </c>
      <c r="F1956" s="1">
        <f ca="1">IFERROR(__xludf.DUMMYFUNCTION("""COMPUTED_VALUE"""),22323989)</f>
        <v>22323989</v>
      </c>
    </row>
    <row r="1957" spans="1:6" x14ac:dyDescent="0.35">
      <c r="A1957" s="2">
        <f ca="1">IFERROR(__xludf.DUMMYFUNCTION("""COMPUTED_VALUE"""),44841.6666666666)</f>
        <v>44841.666666666599</v>
      </c>
      <c r="B1957" s="1">
        <f ca="1">IFERROR(__xludf.DUMMYFUNCTION("""COMPUTED_VALUE"""),99.85)</f>
        <v>99.85</v>
      </c>
      <c r="C1957" s="1">
        <f ca="1">IFERROR(__xludf.DUMMYFUNCTION("""COMPUTED_VALUE"""),100.53)</f>
        <v>100.53</v>
      </c>
      <c r="D1957" s="1">
        <f ca="1">IFERROR(__xludf.DUMMYFUNCTION("""COMPUTED_VALUE"""),98.3)</f>
        <v>98.3</v>
      </c>
      <c r="E1957" s="1">
        <f ca="1">IFERROR(__xludf.DUMMYFUNCTION("""COMPUTED_VALUE"""),98.68)</f>
        <v>98.68</v>
      </c>
      <c r="F1957" s="1">
        <f ca="1">IFERROR(__xludf.DUMMYFUNCTION("""COMPUTED_VALUE"""),27502765)</f>
        <v>27502765</v>
      </c>
    </row>
    <row r="1958" spans="1:6" x14ac:dyDescent="0.35">
      <c r="A1958" s="2">
        <f ca="1">IFERROR(__xludf.DUMMYFUNCTION("""COMPUTED_VALUE"""),44844.6666666666)</f>
        <v>44844.666666666599</v>
      </c>
      <c r="B1958" s="1">
        <f ca="1">IFERROR(__xludf.DUMMYFUNCTION("""COMPUTED_VALUE"""),99)</f>
        <v>99</v>
      </c>
      <c r="C1958" s="1">
        <f ca="1">IFERROR(__xludf.DUMMYFUNCTION("""COMPUTED_VALUE"""),99.1)</f>
        <v>99.1</v>
      </c>
      <c r="D1958" s="1">
        <f ca="1">IFERROR(__xludf.DUMMYFUNCTION("""COMPUTED_VALUE"""),97.01)</f>
        <v>97.01</v>
      </c>
      <c r="E1958" s="1">
        <f ca="1">IFERROR(__xludf.DUMMYFUNCTION("""COMPUTED_VALUE"""),97.86)</f>
        <v>97.86</v>
      </c>
      <c r="F1958" s="1">
        <f ca="1">IFERROR(__xludf.DUMMYFUNCTION("""COMPUTED_VALUE"""),18225094)</f>
        <v>18225094</v>
      </c>
    </row>
    <row r="1959" spans="1:6" x14ac:dyDescent="0.35">
      <c r="A1959" s="2">
        <f ca="1">IFERROR(__xludf.DUMMYFUNCTION("""COMPUTED_VALUE"""),44845.6666666666)</f>
        <v>44845.666666666599</v>
      </c>
      <c r="B1959" s="1">
        <f ca="1">IFERROR(__xludf.DUMMYFUNCTION("""COMPUTED_VALUE"""),97.43)</f>
        <v>97.43</v>
      </c>
      <c r="C1959" s="1">
        <f ca="1">IFERROR(__xludf.DUMMYFUNCTION("""COMPUTED_VALUE"""),99.25)</f>
        <v>99.25</v>
      </c>
      <c r="D1959" s="1">
        <f ca="1">IFERROR(__xludf.DUMMYFUNCTION("""COMPUTED_VALUE"""),96.31)</f>
        <v>96.31</v>
      </c>
      <c r="E1959" s="1">
        <f ca="1">IFERROR(__xludf.DUMMYFUNCTION("""COMPUTED_VALUE"""),97.18)</f>
        <v>97.18</v>
      </c>
      <c r="F1959" s="1">
        <f ca="1">IFERROR(__xludf.DUMMYFUNCTION("""COMPUTED_VALUE"""),26507103)</f>
        <v>26507103</v>
      </c>
    </row>
    <row r="1960" spans="1:6" x14ac:dyDescent="0.35">
      <c r="A1960" s="2">
        <f ca="1">IFERROR(__xludf.DUMMYFUNCTION("""COMPUTED_VALUE"""),44846.6666666666)</f>
        <v>44846.666666666599</v>
      </c>
      <c r="B1960" s="1">
        <f ca="1">IFERROR(__xludf.DUMMYFUNCTION("""COMPUTED_VALUE"""),97.3)</f>
        <v>97.3</v>
      </c>
      <c r="C1960" s="1">
        <f ca="1">IFERROR(__xludf.DUMMYFUNCTION("""COMPUTED_VALUE"""),98.75)</f>
        <v>98.75</v>
      </c>
      <c r="D1960" s="1">
        <f ca="1">IFERROR(__xludf.DUMMYFUNCTION("""COMPUTED_VALUE"""),96.74)</f>
        <v>96.74</v>
      </c>
      <c r="E1960" s="1">
        <f ca="1">IFERROR(__xludf.DUMMYFUNCTION("""COMPUTED_VALUE"""),97.56)</f>
        <v>97.56</v>
      </c>
      <c r="F1960" s="1">
        <f ca="1">IFERROR(__xludf.DUMMYFUNCTION("""COMPUTED_VALUE"""),21876362)</f>
        <v>21876362</v>
      </c>
    </row>
    <row r="1961" spans="1:6" x14ac:dyDescent="0.35">
      <c r="A1961" s="2">
        <f ca="1">IFERROR(__xludf.DUMMYFUNCTION("""COMPUTED_VALUE"""),44847.6666666666)</f>
        <v>44847.666666666599</v>
      </c>
      <c r="B1961" s="1">
        <f ca="1">IFERROR(__xludf.DUMMYFUNCTION("""COMPUTED_VALUE"""),95.15)</f>
        <v>95.15</v>
      </c>
      <c r="C1961" s="1">
        <f ca="1">IFERROR(__xludf.DUMMYFUNCTION("""COMPUTED_VALUE"""),99.78)</f>
        <v>99.78</v>
      </c>
      <c r="D1961" s="1">
        <f ca="1">IFERROR(__xludf.DUMMYFUNCTION("""COMPUTED_VALUE"""),94.38)</f>
        <v>94.38</v>
      </c>
      <c r="E1961" s="1">
        <f ca="1">IFERROR(__xludf.DUMMYFUNCTION("""COMPUTED_VALUE"""),99.06)</f>
        <v>99.06</v>
      </c>
      <c r="F1961" s="1">
        <f ca="1">IFERROR(__xludf.DUMMYFUNCTION("""COMPUTED_VALUE"""),34574549)</f>
        <v>34574549</v>
      </c>
    </row>
    <row r="1962" spans="1:6" x14ac:dyDescent="0.35">
      <c r="A1962" s="2">
        <f ca="1">IFERROR(__xludf.DUMMYFUNCTION("""COMPUTED_VALUE"""),44848.6666666666)</f>
        <v>44848.666666666599</v>
      </c>
      <c r="B1962" s="1">
        <f ca="1">IFERROR(__xludf.DUMMYFUNCTION("""COMPUTED_VALUE"""),99.99)</f>
        <v>99.99</v>
      </c>
      <c r="C1962" s="1">
        <f ca="1">IFERROR(__xludf.DUMMYFUNCTION("""COMPUTED_VALUE"""),100.69)</f>
        <v>100.69</v>
      </c>
      <c r="D1962" s="1">
        <f ca="1">IFERROR(__xludf.DUMMYFUNCTION("""COMPUTED_VALUE"""),96.37)</f>
        <v>96.37</v>
      </c>
      <c r="E1962" s="1">
        <f ca="1">IFERROR(__xludf.DUMMYFUNCTION("""COMPUTED_VALUE"""),96.56)</f>
        <v>96.56</v>
      </c>
      <c r="F1962" s="1">
        <f ca="1">IFERROR(__xludf.DUMMYFUNCTION("""COMPUTED_VALUE"""),25410674)</f>
        <v>25410674</v>
      </c>
    </row>
    <row r="1963" spans="1:6" x14ac:dyDescent="0.35">
      <c r="A1963" s="2">
        <f ca="1">IFERROR(__xludf.DUMMYFUNCTION("""COMPUTED_VALUE"""),44851.6666666666)</f>
        <v>44851.666666666599</v>
      </c>
      <c r="B1963" s="1">
        <f ca="1">IFERROR(__xludf.DUMMYFUNCTION("""COMPUTED_VALUE"""),98.86)</f>
        <v>98.86</v>
      </c>
      <c r="C1963" s="1">
        <f ca="1">IFERROR(__xludf.DUMMYFUNCTION("""COMPUTED_VALUE"""),100.93)</f>
        <v>100.93</v>
      </c>
      <c r="D1963" s="1">
        <f ca="1">IFERROR(__xludf.DUMMYFUNCTION("""COMPUTED_VALUE"""),98.83)</f>
        <v>98.83</v>
      </c>
      <c r="E1963" s="1">
        <f ca="1">IFERROR(__xludf.DUMMYFUNCTION("""COMPUTED_VALUE"""),99.97)</f>
        <v>99.97</v>
      </c>
      <c r="F1963" s="1">
        <f ca="1">IFERROR(__xludf.DUMMYFUNCTION("""COMPUTED_VALUE"""),28419192)</f>
        <v>28419192</v>
      </c>
    </row>
    <row r="1964" spans="1:6" x14ac:dyDescent="0.35">
      <c r="A1964" s="2">
        <f ca="1">IFERROR(__xludf.DUMMYFUNCTION("""COMPUTED_VALUE"""),44852.6666666666)</f>
        <v>44852.666666666599</v>
      </c>
      <c r="B1964" s="1">
        <f ca="1">IFERROR(__xludf.DUMMYFUNCTION("""COMPUTED_VALUE"""),103.13)</f>
        <v>103.13</v>
      </c>
      <c r="C1964" s="1">
        <f ca="1">IFERROR(__xludf.DUMMYFUNCTION("""COMPUTED_VALUE"""),103.47)</f>
        <v>103.47</v>
      </c>
      <c r="D1964" s="1">
        <f ca="1">IFERROR(__xludf.DUMMYFUNCTION("""COMPUTED_VALUE"""),99.97)</f>
        <v>99.97</v>
      </c>
      <c r="E1964" s="1">
        <f ca="1">IFERROR(__xludf.DUMMYFUNCTION("""COMPUTED_VALUE"""),100.77)</f>
        <v>100.77</v>
      </c>
      <c r="F1964" s="1">
        <f ca="1">IFERROR(__xludf.DUMMYFUNCTION("""COMPUTED_VALUE"""),24060671)</f>
        <v>24060671</v>
      </c>
    </row>
    <row r="1965" spans="1:6" x14ac:dyDescent="0.35">
      <c r="A1965" s="2">
        <f ca="1">IFERROR(__xludf.DUMMYFUNCTION("""COMPUTED_VALUE"""),44853.6666666666)</f>
        <v>44853.666666666599</v>
      </c>
      <c r="B1965" s="1">
        <f ca="1">IFERROR(__xludf.DUMMYFUNCTION("""COMPUTED_VALUE"""),100.01)</f>
        <v>100.01</v>
      </c>
      <c r="C1965" s="1">
        <f ca="1">IFERROR(__xludf.DUMMYFUNCTION("""COMPUTED_VALUE"""),101.02)</f>
        <v>101.02</v>
      </c>
      <c r="D1965" s="1">
        <f ca="1">IFERROR(__xludf.DUMMYFUNCTION("""COMPUTED_VALUE"""),98.92)</f>
        <v>98.92</v>
      </c>
      <c r="E1965" s="1">
        <f ca="1">IFERROR(__xludf.DUMMYFUNCTION("""COMPUTED_VALUE"""),99.63)</f>
        <v>99.63</v>
      </c>
      <c r="F1965" s="1">
        <f ca="1">IFERROR(__xludf.DUMMYFUNCTION("""COMPUTED_VALUE"""),23811064)</f>
        <v>23811064</v>
      </c>
    </row>
    <row r="1966" spans="1:6" x14ac:dyDescent="0.35">
      <c r="A1966" s="2">
        <f ca="1">IFERROR(__xludf.DUMMYFUNCTION("""COMPUTED_VALUE"""),44854.6666666666)</f>
        <v>44854.666666666599</v>
      </c>
      <c r="B1966" s="1">
        <f ca="1">IFERROR(__xludf.DUMMYFUNCTION("""COMPUTED_VALUE"""),100)</f>
        <v>100</v>
      </c>
      <c r="C1966" s="1">
        <f ca="1">IFERROR(__xludf.DUMMYFUNCTION("""COMPUTED_VALUE"""),102.32)</f>
        <v>102.32</v>
      </c>
      <c r="D1966" s="1">
        <f ca="1">IFERROR(__xludf.DUMMYFUNCTION("""COMPUTED_VALUE"""),99.39)</f>
        <v>99.39</v>
      </c>
      <c r="E1966" s="1">
        <f ca="1">IFERROR(__xludf.DUMMYFUNCTION("""COMPUTED_VALUE"""),99.97)</f>
        <v>99.97</v>
      </c>
      <c r="F1966" s="1">
        <f ca="1">IFERROR(__xludf.DUMMYFUNCTION("""COMPUTED_VALUE"""),25323202)</f>
        <v>25323202</v>
      </c>
    </row>
    <row r="1967" spans="1:6" x14ac:dyDescent="0.35">
      <c r="A1967" s="2">
        <f ca="1">IFERROR(__xludf.DUMMYFUNCTION("""COMPUTED_VALUE"""),44855.6666666666)</f>
        <v>44855.666666666599</v>
      </c>
      <c r="B1967" s="1">
        <f ca="1">IFERROR(__xludf.DUMMYFUNCTION("""COMPUTED_VALUE"""),97.85)</f>
        <v>97.85</v>
      </c>
      <c r="C1967" s="1">
        <f ca="1">IFERROR(__xludf.DUMMYFUNCTION("""COMPUTED_VALUE"""),101.31)</f>
        <v>101.31</v>
      </c>
      <c r="D1967" s="1">
        <f ca="1">IFERROR(__xludf.DUMMYFUNCTION("""COMPUTED_VALUE"""),97.72)</f>
        <v>97.72</v>
      </c>
      <c r="E1967" s="1">
        <f ca="1">IFERROR(__xludf.DUMMYFUNCTION("""COMPUTED_VALUE"""),101.13)</f>
        <v>101.13</v>
      </c>
      <c r="F1967" s="1">
        <f ca="1">IFERROR(__xludf.DUMMYFUNCTION("""COMPUTED_VALUE"""),32458722)</f>
        <v>32458722</v>
      </c>
    </row>
    <row r="1968" spans="1:6" x14ac:dyDescent="0.35">
      <c r="A1968" s="2">
        <f ca="1">IFERROR(__xludf.DUMMYFUNCTION("""COMPUTED_VALUE"""),44858.6666666666)</f>
        <v>44858.666666666599</v>
      </c>
      <c r="B1968" s="1">
        <f ca="1">IFERROR(__xludf.DUMMYFUNCTION("""COMPUTED_VALUE"""),101.8)</f>
        <v>101.8</v>
      </c>
      <c r="C1968" s="1">
        <f ca="1">IFERROR(__xludf.DUMMYFUNCTION("""COMPUTED_VALUE"""),102.75)</f>
        <v>102.75</v>
      </c>
      <c r="D1968" s="1">
        <f ca="1">IFERROR(__xludf.DUMMYFUNCTION("""COMPUTED_VALUE"""),99.98)</f>
        <v>99.98</v>
      </c>
      <c r="E1968" s="1">
        <f ca="1">IFERROR(__xludf.DUMMYFUNCTION("""COMPUTED_VALUE"""),102.52)</f>
        <v>102.52</v>
      </c>
      <c r="F1968" s="1">
        <f ca="1">IFERROR(__xludf.DUMMYFUNCTION("""COMPUTED_VALUE"""),27176417)</f>
        <v>27176417</v>
      </c>
    </row>
    <row r="1969" spans="1:6" x14ac:dyDescent="0.35">
      <c r="A1969" s="2">
        <f ca="1">IFERROR(__xludf.DUMMYFUNCTION("""COMPUTED_VALUE"""),44859.6666666666)</f>
        <v>44859.666666666599</v>
      </c>
      <c r="B1969" s="1">
        <f ca="1">IFERROR(__xludf.DUMMYFUNCTION("""COMPUTED_VALUE"""),102.9)</f>
        <v>102.9</v>
      </c>
      <c r="C1969" s="1">
        <f ca="1">IFERROR(__xludf.DUMMYFUNCTION("""COMPUTED_VALUE"""),104.82)</f>
        <v>104.82</v>
      </c>
      <c r="D1969" s="1">
        <f ca="1">IFERROR(__xludf.DUMMYFUNCTION("""COMPUTED_VALUE"""),102.72)</f>
        <v>102.72</v>
      </c>
      <c r="E1969" s="1">
        <f ca="1">IFERROR(__xludf.DUMMYFUNCTION("""COMPUTED_VALUE"""),104.48)</f>
        <v>104.48</v>
      </c>
      <c r="F1969" s="1">
        <f ca="1">IFERROR(__xludf.DUMMYFUNCTION("""COMPUTED_VALUE"""),40611375)</f>
        <v>40611375</v>
      </c>
    </row>
    <row r="1970" spans="1:6" x14ac:dyDescent="0.35">
      <c r="A1970" s="2">
        <f ca="1">IFERROR(__xludf.DUMMYFUNCTION("""COMPUTED_VALUE"""),44860.6666666666)</f>
        <v>44860.666666666599</v>
      </c>
      <c r="B1970" s="1">
        <f ca="1">IFERROR(__xludf.DUMMYFUNCTION("""COMPUTED_VALUE"""),96.43)</f>
        <v>96.43</v>
      </c>
      <c r="C1970" s="1">
        <f ca="1">IFERROR(__xludf.DUMMYFUNCTION("""COMPUTED_VALUE"""),98.31)</f>
        <v>98.31</v>
      </c>
      <c r="D1970" s="1">
        <f ca="1">IFERROR(__xludf.DUMMYFUNCTION("""COMPUTED_VALUE"""),94.69)</f>
        <v>94.69</v>
      </c>
      <c r="E1970" s="1">
        <f ca="1">IFERROR(__xludf.DUMMYFUNCTION("""COMPUTED_VALUE"""),94.93)</f>
        <v>94.93</v>
      </c>
      <c r="F1970" s="1">
        <f ca="1">IFERROR(__xludf.DUMMYFUNCTION("""COMPUTED_VALUE"""),88279042)</f>
        <v>88279042</v>
      </c>
    </row>
    <row r="1971" spans="1:6" x14ac:dyDescent="0.35">
      <c r="A1971" s="2">
        <f ca="1">IFERROR(__xludf.DUMMYFUNCTION("""COMPUTED_VALUE"""),44861.6666666666)</f>
        <v>44861.666666666599</v>
      </c>
      <c r="B1971" s="1">
        <f ca="1">IFERROR(__xludf.DUMMYFUNCTION("""COMPUTED_VALUE"""),94.52)</f>
        <v>94.52</v>
      </c>
      <c r="C1971" s="1">
        <f ca="1">IFERROR(__xludf.DUMMYFUNCTION("""COMPUTED_VALUE"""),95.43)</f>
        <v>95.43</v>
      </c>
      <c r="D1971" s="1">
        <f ca="1">IFERROR(__xludf.DUMMYFUNCTION("""COMPUTED_VALUE"""),91.8)</f>
        <v>91.8</v>
      </c>
      <c r="E1971" s="1">
        <f ca="1">IFERROR(__xludf.DUMMYFUNCTION("""COMPUTED_VALUE"""),92.22)</f>
        <v>92.22</v>
      </c>
      <c r="F1971" s="1">
        <f ca="1">IFERROR(__xludf.DUMMYFUNCTION("""COMPUTED_VALUE"""),60710859)</f>
        <v>60710859</v>
      </c>
    </row>
    <row r="1972" spans="1:6" x14ac:dyDescent="0.35">
      <c r="A1972" s="2">
        <f ca="1">IFERROR(__xludf.DUMMYFUNCTION("""COMPUTED_VALUE"""),44862.6666666666)</f>
        <v>44862.666666666599</v>
      </c>
      <c r="B1972" s="1">
        <f ca="1">IFERROR(__xludf.DUMMYFUNCTION("""COMPUTED_VALUE"""),92.27)</f>
        <v>92.27</v>
      </c>
      <c r="C1972" s="1">
        <f ca="1">IFERROR(__xludf.DUMMYFUNCTION("""COMPUTED_VALUE"""),96.55)</f>
        <v>96.55</v>
      </c>
      <c r="D1972" s="1">
        <f ca="1">IFERROR(__xludf.DUMMYFUNCTION("""COMPUTED_VALUE"""),92.13)</f>
        <v>92.13</v>
      </c>
      <c r="E1972" s="1">
        <f ca="1">IFERROR(__xludf.DUMMYFUNCTION("""COMPUTED_VALUE"""),96.29)</f>
        <v>96.29</v>
      </c>
      <c r="F1972" s="1">
        <f ca="1">IFERROR(__xludf.DUMMYFUNCTION("""COMPUTED_VALUE"""),43697286)</f>
        <v>43697286</v>
      </c>
    </row>
    <row r="1973" spans="1:6" x14ac:dyDescent="0.35">
      <c r="A1973" s="2">
        <f ca="1">IFERROR(__xludf.DUMMYFUNCTION("""COMPUTED_VALUE"""),44865.6666666666)</f>
        <v>44865.666666666599</v>
      </c>
      <c r="B1973" s="1">
        <f ca="1">IFERROR(__xludf.DUMMYFUNCTION("""COMPUTED_VALUE"""),95.42)</f>
        <v>95.42</v>
      </c>
      <c r="C1973" s="1">
        <f ca="1">IFERROR(__xludf.DUMMYFUNCTION("""COMPUTED_VALUE"""),96.03)</f>
        <v>96.03</v>
      </c>
      <c r="D1973" s="1">
        <f ca="1">IFERROR(__xludf.DUMMYFUNCTION("""COMPUTED_VALUE"""),93.98)</f>
        <v>93.98</v>
      </c>
      <c r="E1973" s="1">
        <f ca="1">IFERROR(__xludf.DUMMYFUNCTION("""COMPUTED_VALUE"""),94.51)</f>
        <v>94.51</v>
      </c>
      <c r="F1973" s="1">
        <f ca="1">IFERROR(__xludf.DUMMYFUNCTION("""COMPUTED_VALUE"""),31675036)</f>
        <v>31675036</v>
      </c>
    </row>
    <row r="1974" spans="1:6" x14ac:dyDescent="0.35">
      <c r="A1974" s="2">
        <f ca="1">IFERROR(__xludf.DUMMYFUNCTION("""COMPUTED_VALUE"""),44866.6666666666)</f>
        <v>44866.666666666599</v>
      </c>
      <c r="B1974" s="1">
        <f ca="1">IFERROR(__xludf.DUMMYFUNCTION("""COMPUTED_VALUE"""),95.45)</f>
        <v>95.45</v>
      </c>
      <c r="C1974" s="1">
        <f ca="1">IFERROR(__xludf.DUMMYFUNCTION("""COMPUTED_VALUE"""),96.03)</f>
        <v>96.03</v>
      </c>
      <c r="D1974" s="1">
        <f ca="1">IFERROR(__xludf.DUMMYFUNCTION("""COMPUTED_VALUE"""),90.37)</f>
        <v>90.37</v>
      </c>
      <c r="E1974" s="1">
        <f ca="1">IFERROR(__xludf.DUMMYFUNCTION("""COMPUTED_VALUE"""),90.47)</f>
        <v>90.47</v>
      </c>
      <c r="F1974" s="1">
        <f ca="1">IFERROR(__xludf.DUMMYFUNCTION("""COMPUTED_VALUE"""),47161351)</f>
        <v>47161351</v>
      </c>
    </row>
    <row r="1975" spans="1:6" x14ac:dyDescent="0.35">
      <c r="A1975" s="2">
        <f ca="1">IFERROR(__xludf.DUMMYFUNCTION("""COMPUTED_VALUE"""),44867.6666666666)</f>
        <v>44867.666666666599</v>
      </c>
      <c r="B1975" s="1">
        <f ca="1">IFERROR(__xludf.DUMMYFUNCTION("""COMPUTED_VALUE"""),90.94)</f>
        <v>90.94</v>
      </c>
      <c r="C1975" s="1">
        <f ca="1">IFERROR(__xludf.DUMMYFUNCTION("""COMPUTED_VALUE"""),91.18)</f>
        <v>91.18</v>
      </c>
      <c r="D1975" s="1">
        <f ca="1">IFERROR(__xludf.DUMMYFUNCTION("""COMPUTED_VALUE"""),86.88)</f>
        <v>86.88</v>
      </c>
      <c r="E1975" s="1">
        <f ca="1">IFERROR(__xludf.DUMMYFUNCTION("""COMPUTED_VALUE"""),86.97)</f>
        <v>86.97</v>
      </c>
      <c r="F1975" s="1">
        <f ca="1">IFERROR(__xludf.DUMMYFUNCTION("""COMPUTED_VALUE"""),57038282)</f>
        <v>57038282</v>
      </c>
    </row>
    <row r="1976" spans="1:6" x14ac:dyDescent="0.35">
      <c r="A1976" s="2">
        <f ca="1">IFERROR(__xludf.DUMMYFUNCTION("""COMPUTED_VALUE"""),44868.6666666666)</f>
        <v>44868.666666666599</v>
      </c>
      <c r="B1976" s="1">
        <f ca="1">IFERROR(__xludf.DUMMYFUNCTION("""COMPUTED_VALUE"""),86.32)</f>
        <v>86.32</v>
      </c>
      <c r="C1976" s="1">
        <f ca="1">IFERROR(__xludf.DUMMYFUNCTION("""COMPUTED_VALUE"""),86.52)</f>
        <v>86.52</v>
      </c>
      <c r="D1976" s="1">
        <f ca="1">IFERROR(__xludf.DUMMYFUNCTION("""COMPUTED_VALUE"""),83.34)</f>
        <v>83.34</v>
      </c>
      <c r="E1976" s="1">
        <f ca="1">IFERROR(__xludf.DUMMYFUNCTION("""COMPUTED_VALUE"""),83.43)</f>
        <v>83.43</v>
      </c>
      <c r="F1976" s="1">
        <f ca="1">IFERROR(__xludf.DUMMYFUNCTION("""COMPUTED_VALUE"""),61288019)</f>
        <v>61288019</v>
      </c>
    </row>
    <row r="1977" spans="1:6" x14ac:dyDescent="0.35">
      <c r="A1977" s="2">
        <f ca="1">IFERROR(__xludf.DUMMYFUNCTION("""COMPUTED_VALUE"""),44869.6666666666)</f>
        <v>44869.666666666599</v>
      </c>
      <c r="B1977" s="1">
        <f ca="1">IFERROR(__xludf.DUMMYFUNCTION("""COMPUTED_VALUE"""),85.4)</f>
        <v>85.4</v>
      </c>
      <c r="C1977" s="1">
        <f ca="1">IFERROR(__xludf.DUMMYFUNCTION("""COMPUTED_VALUE"""),86.64)</f>
        <v>86.64</v>
      </c>
      <c r="D1977" s="1">
        <f ca="1">IFERROR(__xludf.DUMMYFUNCTION("""COMPUTED_VALUE"""),83.71)</f>
        <v>83.71</v>
      </c>
      <c r="E1977" s="1">
        <f ca="1">IFERROR(__xludf.DUMMYFUNCTION("""COMPUTED_VALUE"""),86.58)</f>
        <v>86.58</v>
      </c>
      <c r="F1977" s="1">
        <f ca="1">IFERROR(__xludf.DUMMYFUNCTION("""COMPUTED_VALUE"""),51124904)</f>
        <v>51124904</v>
      </c>
    </row>
    <row r="1978" spans="1:6" x14ac:dyDescent="0.35">
      <c r="A1978" s="2">
        <f ca="1">IFERROR(__xludf.DUMMYFUNCTION("""COMPUTED_VALUE"""),44872.6666666666)</f>
        <v>44872.666666666599</v>
      </c>
      <c r="B1978" s="1">
        <f ca="1">IFERROR(__xludf.DUMMYFUNCTION("""COMPUTED_VALUE"""),87.28)</f>
        <v>87.28</v>
      </c>
      <c r="C1978" s="1">
        <f ca="1">IFERROR(__xludf.DUMMYFUNCTION("""COMPUTED_VALUE"""),88.9)</f>
        <v>88.9</v>
      </c>
      <c r="D1978" s="1">
        <f ca="1">IFERROR(__xludf.DUMMYFUNCTION("""COMPUTED_VALUE"""),86.85)</f>
        <v>86.85</v>
      </c>
      <c r="E1978" s="1">
        <f ca="1">IFERROR(__xludf.DUMMYFUNCTION("""COMPUTED_VALUE"""),88.49)</f>
        <v>88.49</v>
      </c>
      <c r="F1978" s="1">
        <f ca="1">IFERROR(__xludf.DUMMYFUNCTION("""COMPUTED_VALUE"""),34078912)</f>
        <v>34078912</v>
      </c>
    </row>
    <row r="1979" spans="1:6" x14ac:dyDescent="0.35">
      <c r="A1979" s="2">
        <f ca="1">IFERROR(__xludf.DUMMYFUNCTION("""COMPUTED_VALUE"""),44873.6666666666)</f>
        <v>44873.666666666599</v>
      </c>
      <c r="B1979" s="1">
        <f ca="1">IFERROR(__xludf.DUMMYFUNCTION("""COMPUTED_VALUE"""),88.9)</f>
        <v>88.9</v>
      </c>
      <c r="C1979" s="1">
        <f ca="1">IFERROR(__xludf.DUMMYFUNCTION("""COMPUTED_VALUE"""),90.32)</f>
        <v>90.32</v>
      </c>
      <c r="D1979" s="1">
        <f ca="1">IFERROR(__xludf.DUMMYFUNCTION("""COMPUTED_VALUE"""),87.59)</f>
        <v>87.59</v>
      </c>
      <c r="E1979" s="1">
        <f ca="1">IFERROR(__xludf.DUMMYFUNCTION("""COMPUTED_VALUE"""),88.9)</f>
        <v>88.9</v>
      </c>
      <c r="F1979" s="1">
        <f ca="1">IFERROR(__xludf.DUMMYFUNCTION("""COMPUTED_VALUE"""),30429025)</f>
        <v>30429025</v>
      </c>
    </row>
    <row r="1980" spans="1:6" x14ac:dyDescent="0.35">
      <c r="A1980" s="2">
        <f ca="1">IFERROR(__xludf.DUMMYFUNCTION("""COMPUTED_VALUE"""),44874.6666666666)</f>
        <v>44874.666666666599</v>
      </c>
      <c r="B1980" s="1">
        <f ca="1">IFERROR(__xludf.DUMMYFUNCTION("""COMPUTED_VALUE"""),88.45)</f>
        <v>88.45</v>
      </c>
      <c r="C1980" s="1">
        <f ca="1">IFERROR(__xludf.DUMMYFUNCTION("""COMPUTED_VALUE"""),89.44)</f>
        <v>89.44</v>
      </c>
      <c r="D1980" s="1">
        <f ca="1">IFERROR(__xludf.DUMMYFUNCTION("""COMPUTED_VALUE"""),87.28)</f>
        <v>87.28</v>
      </c>
      <c r="E1980" s="1">
        <f ca="1">IFERROR(__xludf.DUMMYFUNCTION("""COMPUTED_VALUE"""),87.32)</f>
        <v>87.32</v>
      </c>
      <c r="F1980" s="1">
        <f ca="1">IFERROR(__xludf.DUMMYFUNCTION("""COMPUTED_VALUE"""),31769099)</f>
        <v>31769099</v>
      </c>
    </row>
    <row r="1981" spans="1:6" x14ac:dyDescent="0.35">
      <c r="A1981" s="2">
        <f ca="1">IFERROR(__xludf.DUMMYFUNCTION("""COMPUTED_VALUE"""),44875.6666666666)</f>
        <v>44875.666666666599</v>
      </c>
      <c r="B1981" s="1">
        <f ca="1">IFERROR(__xludf.DUMMYFUNCTION("""COMPUTED_VALUE"""),92.25)</f>
        <v>92.25</v>
      </c>
      <c r="C1981" s="1">
        <f ca="1">IFERROR(__xludf.DUMMYFUNCTION("""COMPUTED_VALUE"""),94.39)</f>
        <v>94.39</v>
      </c>
      <c r="D1981" s="1">
        <f ca="1">IFERROR(__xludf.DUMMYFUNCTION("""COMPUTED_VALUE"""),91.61)</f>
        <v>91.61</v>
      </c>
      <c r="E1981" s="1">
        <f ca="1">IFERROR(__xludf.DUMMYFUNCTION("""COMPUTED_VALUE"""),93.94)</f>
        <v>93.94</v>
      </c>
      <c r="F1981" s="1">
        <f ca="1">IFERROR(__xludf.DUMMYFUNCTION("""COMPUTED_VALUE"""),51620136)</f>
        <v>51620136</v>
      </c>
    </row>
    <row r="1982" spans="1:6" x14ac:dyDescent="0.35">
      <c r="A1982" s="2">
        <f ca="1">IFERROR(__xludf.DUMMYFUNCTION("""COMPUTED_VALUE"""),44876.6666666666)</f>
        <v>44876.666666666599</v>
      </c>
      <c r="B1982" s="1">
        <f ca="1">IFERROR(__xludf.DUMMYFUNCTION("""COMPUTED_VALUE"""),94.69)</f>
        <v>94.69</v>
      </c>
      <c r="C1982" s="1">
        <f ca="1">IFERROR(__xludf.DUMMYFUNCTION("""COMPUTED_VALUE"""),96.93)</f>
        <v>96.93</v>
      </c>
      <c r="D1982" s="1">
        <f ca="1">IFERROR(__xludf.DUMMYFUNCTION("""COMPUTED_VALUE"""),93.92)</f>
        <v>93.92</v>
      </c>
      <c r="E1982" s="1">
        <f ca="1">IFERROR(__xludf.DUMMYFUNCTION("""COMPUTED_VALUE"""),96.41)</f>
        <v>96.41</v>
      </c>
      <c r="F1982" s="1">
        <f ca="1">IFERROR(__xludf.DUMMYFUNCTION("""COMPUTED_VALUE"""),33090482)</f>
        <v>33090482</v>
      </c>
    </row>
    <row r="1983" spans="1:6" x14ac:dyDescent="0.35">
      <c r="A1983" s="2">
        <f ca="1">IFERROR(__xludf.DUMMYFUNCTION("""COMPUTED_VALUE"""),44879.6666666666)</f>
        <v>44879.666666666599</v>
      </c>
      <c r="B1983" s="1">
        <f ca="1">IFERROR(__xludf.DUMMYFUNCTION("""COMPUTED_VALUE"""),95.09)</f>
        <v>95.09</v>
      </c>
      <c r="C1983" s="1">
        <f ca="1">IFERROR(__xludf.DUMMYFUNCTION("""COMPUTED_VALUE"""),96.79)</f>
        <v>96.79</v>
      </c>
      <c r="D1983" s="1">
        <f ca="1">IFERROR(__xludf.DUMMYFUNCTION("""COMPUTED_VALUE"""),94.51)</f>
        <v>94.51</v>
      </c>
      <c r="E1983" s="1">
        <f ca="1">IFERROR(__xludf.DUMMYFUNCTION("""COMPUTED_VALUE"""),95.7)</f>
        <v>95.7</v>
      </c>
      <c r="F1983" s="1">
        <f ca="1">IFERROR(__xludf.DUMMYFUNCTION("""COMPUTED_VALUE"""),30179539)</f>
        <v>30179539</v>
      </c>
    </row>
    <row r="1984" spans="1:6" x14ac:dyDescent="0.35">
      <c r="A1984" s="2">
        <f ca="1">IFERROR(__xludf.DUMMYFUNCTION("""COMPUTED_VALUE"""),44880.6666666666)</f>
        <v>44880.666666666599</v>
      </c>
      <c r="B1984" s="1">
        <f ca="1">IFERROR(__xludf.DUMMYFUNCTION("""COMPUTED_VALUE"""),98.26)</f>
        <v>98.26</v>
      </c>
      <c r="C1984" s="1">
        <f ca="1">IFERROR(__xludf.DUMMYFUNCTION("""COMPUTED_VALUE"""),100.14)</f>
        <v>100.14</v>
      </c>
      <c r="D1984" s="1">
        <f ca="1">IFERROR(__xludf.DUMMYFUNCTION("""COMPUTED_VALUE"""),96.71)</f>
        <v>96.71</v>
      </c>
      <c r="E1984" s="1">
        <f ca="1">IFERROR(__xludf.DUMMYFUNCTION("""COMPUTED_VALUE"""),98.44)</f>
        <v>98.44</v>
      </c>
      <c r="F1984" s="1">
        <f ca="1">IFERROR(__xludf.DUMMYFUNCTION("""COMPUTED_VALUE"""),41640816)</f>
        <v>41640816</v>
      </c>
    </row>
    <row r="1985" spans="1:6" x14ac:dyDescent="0.35">
      <c r="A1985" s="2">
        <f ca="1">IFERROR(__xludf.DUMMYFUNCTION("""COMPUTED_VALUE"""),44881.6666666666)</f>
        <v>44881.666666666599</v>
      </c>
      <c r="B1985" s="1">
        <f ca="1">IFERROR(__xludf.DUMMYFUNCTION("""COMPUTED_VALUE"""),97.9)</f>
        <v>97.9</v>
      </c>
      <c r="C1985" s="1">
        <f ca="1">IFERROR(__xludf.DUMMYFUNCTION("""COMPUTED_VALUE"""),99.64)</f>
        <v>99.64</v>
      </c>
      <c r="D1985" s="1">
        <f ca="1">IFERROR(__xludf.DUMMYFUNCTION("""COMPUTED_VALUE"""),97.64)</f>
        <v>97.64</v>
      </c>
      <c r="E1985" s="1">
        <f ca="1">IFERROR(__xludf.DUMMYFUNCTION("""COMPUTED_VALUE"""),98.85)</f>
        <v>98.85</v>
      </c>
      <c r="F1985" s="1">
        <f ca="1">IFERROR(__xludf.DUMMYFUNCTION("""COMPUTED_VALUE"""),29105154)</f>
        <v>29105154</v>
      </c>
    </row>
    <row r="1986" spans="1:6" x14ac:dyDescent="0.35">
      <c r="A1986" s="2">
        <f ca="1">IFERROR(__xludf.DUMMYFUNCTION("""COMPUTED_VALUE"""),44882.6666666666)</f>
        <v>44882.666666666599</v>
      </c>
      <c r="B1986" s="1">
        <f ca="1">IFERROR(__xludf.DUMMYFUNCTION("""COMPUTED_VALUE"""),96.97)</f>
        <v>96.97</v>
      </c>
      <c r="C1986" s="1">
        <f ca="1">IFERROR(__xludf.DUMMYFUNCTION("""COMPUTED_VALUE"""),99.28)</f>
        <v>99.28</v>
      </c>
      <c r="D1986" s="1">
        <f ca="1">IFERROR(__xludf.DUMMYFUNCTION("""COMPUTED_VALUE"""),96.79)</f>
        <v>96.79</v>
      </c>
      <c r="E1986" s="1">
        <f ca="1">IFERROR(__xludf.DUMMYFUNCTION("""COMPUTED_VALUE"""),98.36)</f>
        <v>98.36</v>
      </c>
      <c r="F1986" s="1">
        <f ca="1">IFERROR(__xludf.DUMMYFUNCTION("""COMPUTED_VALUE"""),26052599)</f>
        <v>26052599</v>
      </c>
    </row>
    <row r="1987" spans="1:6" x14ac:dyDescent="0.35">
      <c r="A1987" s="2">
        <f ca="1">IFERROR(__xludf.DUMMYFUNCTION("""COMPUTED_VALUE"""),44883.6666666666)</f>
        <v>44883.666666666599</v>
      </c>
      <c r="B1987" s="1">
        <f ca="1">IFERROR(__xludf.DUMMYFUNCTION("""COMPUTED_VALUE"""),98.77)</f>
        <v>98.77</v>
      </c>
      <c r="C1987" s="1">
        <f ca="1">IFERROR(__xludf.DUMMYFUNCTION("""COMPUTED_VALUE"""),98.9)</f>
        <v>98.9</v>
      </c>
      <c r="D1987" s="1">
        <f ca="1">IFERROR(__xludf.DUMMYFUNCTION("""COMPUTED_VALUE"""),96.37)</f>
        <v>96.37</v>
      </c>
      <c r="E1987" s="1">
        <f ca="1">IFERROR(__xludf.DUMMYFUNCTION("""COMPUTED_VALUE"""),97.43)</f>
        <v>97.43</v>
      </c>
      <c r="F1987" s="1">
        <f ca="1">IFERROR(__xludf.DUMMYFUNCTION("""COMPUTED_VALUE"""),28342297)</f>
        <v>28342297</v>
      </c>
    </row>
    <row r="1988" spans="1:6" x14ac:dyDescent="0.35">
      <c r="A1988" s="2">
        <f ca="1">IFERROR(__xludf.DUMMYFUNCTION("""COMPUTED_VALUE"""),44886.6666666666)</f>
        <v>44886.666666666599</v>
      </c>
      <c r="B1988" s="1">
        <f ca="1">IFERROR(__xludf.DUMMYFUNCTION("""COMPUTED_VALUE"""),97.29)</f>
        <v>97.29</v>
      </c>
      <c r="C1988" s="1">
        <f ca="1">IFERROR(__xludf.DUMMYFUNCTION("""COMPUTED_VALUE"""),98.4)</f>
        <v>98.4</v>
      </c>
      <c r="D1988" s="1">
        <f ca="1">IFERROR(__xludf.DUMMYFUNCTION("""COMPUTED_VALUE"""),95.36)</f>
        <v>95.36</v>
      </c>
      <c r="E1988" s="1">
        <f ca="1">IFERROR(__xludf.DUMMYFUNCTION("""COMPUTED_VALUE"""),95.6)</f>
        <v>95.6</v>
      </c>
      <c r="F1988" s="1">
        <f ca="1">IFERROR(__xludf.DUMMYFUNCTION("""COMPUTED_VALUE"""),21647387)</f>
        <v>21647387</v>
      </c>
    </row>
    <row r="1989" spans="1:6" x14ac:dyDescent="0.35">
      <c r="A1989" s="2">
        <f ca="1">IFERROR(__xludf.DUMMYFUNCTION("""COMPUTED_VALUE"""),44887.6666666666)</f>
        <v>44887.666666666599</v>
      </c>
      <c r="B1989" s="1">
        <f ca="1">IFERROR(__xludf.DUMMYFUNCTION("""COMPUTED_VALUE"""),95.95)</f>
        <v>95.95</v>
      </c>
      <c r="C1989" s="1">
        <f ca="1">IFERROR(__xludf.DUMMYFUNCTION("""COMPUTED_VALUE"""),97.22)</f>
        <v>97.22</v>
      </c>
      <c r="D1989" s="1">
        <f ca="1">IFERROR(__xludf.DUMMYFUNCTION("""COMPUTED_VALUE"""),94.05)</f>
        <v>94.05</v>
      </c>
      <c r="E1989" s="1">
        <f ca="1">IFERROR(__xludf.DUMMYFUNCTION("""COMPUTED_VALUE"""),97.05)</f>
        <v>97.05</v>
      </c>
      <c r="F1989" s="1">
        <f ca="1">IFERROR(__xludf.DUMMYFUNCTION("""COMPUTED_VALUE"""),23438480)</f>
        <v>23438480</v>
      </c>
    </row>
    <row r="1990" spans="1:6" x14ac:dyDescent="0.35">
      <c r="A1990" s="2">
        <f ca="1">IFERROR(__xludf.DUMMYFUNCTION("""COMPUTED_VALUE"""),44888.6666666666)</f>
        <v>44888.666666666599</v>
      </c>
      <c r="B1990" s="1">
        <f ca="1">IFERROR(__xludf.DUMMYFUNCTION("""COMPUTED_VALUE"""),97.09)</f>
        <v>97.09</v>
      </c>
      <c r="C1990" s="1">
        <f ca="1">IFERROR(__xludf.DUMMYFUNCTION("""COMPUTED_VALUE"""),98.76)</f>
        <v>98.76</v>
      </c>
      <c r="D1990" s="1">
        <f ca="1">IFERROR(__xludf.DUMMYFUNCTION("""COMPUTED_VALUE"""),97.09)</f>
        <v>97.09</v>
      </c>
      <c r="E1990" s="1">
        <f ca="1">IFERROR(__xludf.DUMMYFUNCTION("""COMPUTED_VALUE"""),98.46)</f>
        <v>98.46</v>
      </c>
      <c r="F1990" s="1">
        <f ca="1">IFERROR(__xludf.DUMMYFUNCTION("""COMPUTED_VALUE"""),18868092)</f>
        <v>18868092</v>
      </c>
    </row>
    <row r="1991" spans="1:6" x14ac:dyDescent="0.35">
      <c r="A1991" s="2">
        <f ca="1">IFERROR(__xludf.DUMMYFUNCTION("""COMPUTED_VALUE"""),44890.5451388888)</f>
        <v>44890.545138888803</v>
      </c>
      <c r="B1991" s="1">
        <f ca="1">IFERROR(__xludf.DUMMYFUNCTION("""COMPUTED_VALUE"""),98.24)</f>
        <v>98.24</v>
      </c>
      <c r="C1991" s="1">
        <f ca="1">IFERROR(__xludf.DUMMYFUNCTION("""COMPUTED_VALUE"""),98.64)</f>
        <v>98.64</v>
      </c>
      <c r="D1991" s="1">
        <f ca="1">IFERROR(__xludf.DUMMYFUNCTION("""COMPUTED_VALUE"""),97.4)</f>
        <v>97.4</v>
      </c>
      <c r="E1991" s="1">
        <f ca="1">IFERROR(__xludf.DUMMYFUNCTION("""COMPUTED_VALUE"""),97.46)</f>
        <v>97.46</v>
      </c>
      <c r="F1991" s="1">
        <f ca="1">IFERROR(__xludf.DUMMYFUNCTION("""COMPUTED_VALUE"""),9701441)</f>
        <v>9701441</v>
      </c>
    </row>
    <row r="1992" spans="1:6" x14ac:dyDescent="0.35">
      <c r="A1992" s="2">
        <f ca="1">IFERROR(__xludf.DUMMYFUNCTION("""COMPUTED_VALUE"""),44893.6666666666)</f>
        <v>44893.666666666599</v>
      </c>
      <c r="B1992" s="1">
        <f ca="1">IFERROR(__xludf.DUMMYFUNCTION("""COMPUTED_VALUE"""),97.04)</f>
        <v>97.04</v>
      </c>
      <c r="C1992" s="1">
        <f ca="1">IFERROR(__xludf.DUMMYFUNCTION("""COMPUTED_VALUE"""),97.58)</f>
        <v>97.58</v>
      </c>
      <c r="D1992" s="1">
        <f ca="1">IFERROR(__xludf.DUMMYFUNCTION("""COMPUTED_VALUE"""),95.61)</f>
        <v>95.61</v>
      </c>
      <c r="E1992" s="1">
        <f ca="1">IFERROR(__xludf.DUMMYFUNCTION("""COMPUTED_VALUE"""),96.05)</f>
        <v>96.05</v>
      </c>
      <c r="F1992" s="1">
        <f ca="1">IFERROR(__xludf.DUMMYFUNCTION("""COMPUTED_VALUE"""),26252433)</f>
        <v>26252433</v>
      </c>
    </row>
    <row r="1993" spans="1:6" x14ac:dyDescent="0.35">
      <c r="A1993" s="2">
        <f ca="1">IFERROR(__xludf.DUMMYFUNCTION("""COMPUTED_VALUE"""),44894.6666666666)</f>
        <v>44894.666666666599</v>
      </c>
      <c r="B1993" s="1">
        <f ca="1">IFERROR(__xludf.DUMMYFUNCTION("""COMPUTED_VALUE"""),95.73)</f>
        <v>95.73</v>
      </c>
      <c r="C1993" s="1">
        <f ca="1">IFERROR(__xludf.DUMMYFUNCTION("""COMPUTED_VALUE"""),96.12)</f>
        <v>96.12</v>
      </c>
      <c r="D1993" s="1">
        <f ca="1">IFERROR(__xludf.DUMMYFUNCTION("""COMPUTED_VALUE"""),94.11)</f>
        <v>94.11</v>
      </c>
      <c r="E1993" s="1">
        <f ca="1">IFERROR(__xludf.DUMMYFUNCTION("""COMPUTED_VALUE"""),95.19)</f>
        <v>95.19</v>
      </c>
      <c r="F1993" s="1">
        <f ca="1">IFERROR(__xludf.DUMMYFUNCTION("""COMPUTED_VALUE"""),20061720)</f>
        <v>20061720</v>
      </c>
    </row>
    <row r="1994" spans="1:6" x14ac:dyDescent="0.35">
      <c r="A1994" s="2">
        <f ca="1">IFERROR(__xludf.DUMMYFUNCTION("""COMPUTED_VALUE"""),44895.6666666666)</f>
        <v>44895.666666666599</v>
      </c>
      <c r="B1994" s="1">
        <f ca="1">IFERROR(__xludf.DUMMYFUNCTION("""COMPUTED_VALUE"""),94.82)</f>
        <v>94.82</v>
      </c>
      <c r="C1994" s="1">
        <f ca="1">IFERROR(__xludf.DUMMYFUNCTION("""COMPUTED_VALUE"""),101.04)</f>
        <v>101.04</v>
      </c>
      <c r="D1994" s="1">
        <f ca="1">IFERROR(__xludf.DUMMYFUNCTION("""COMPUTED_VALUE"""),94.42)</f>
        <v>94.42</v>
      </c>
      <c r="E1994" s="1">
        <f ca="1">IFERROR(__xludf.DUMMYFUNCTION("""COMPUTED_VALUE"""),100.99)</f>
        <v>100.99</v>
      </c>
      <c r="F1994" s="1">
        <f ca="1">IFERROR(__xludf.DUMMYFUNCTION("""COMPUTED_VALUE"""),43647481)</f>
        <v>43647481</v>
      </c>
    </row>
    <row r="1995" spans="1:6" x14ac:dyDescent="0.35">
      <c r="A1995" s="2">
        <f ca="1">IFERROR(__xludf.DUMMYFUNCTION("""COMPUTED_VALUE"""),44896.6666666666)</f>
        <v>44896.666666666599</v>
      </c>
      <c r="B1995" s="1">
        <f ca="1">IFERROR(__xludf.DUMMYFUNCTION("""COMPUTED_VALUE"""),101.02)</f>
        <v>101.02</v>
      </c>
      <c r="C1995" s="1">
        <f ca="1">IFERROR(__xludf.DUMMYFUNCTION("""COMPUTED_VALUE"""),102.25)</f>
        <v>102.25</v>
      </c>
      <c r="D1995" s="1">
        <f ca="1">IFERROR(__xludf.DUMMYFUNCTION("""COMPUTED_VALUE"""),100.25)</f>
        <v>100.25</v>
      </c>
      <c r="E1995" s="1">
        <f ca="1">IFERROR(__xludf.DUMMYFUNCTION("""COMPUTED_VALUE"""),100.99)</f>
        <v>100.99</v>
      </c>
      <c r="F1995" s="1">
        <f ca="1">IFERROR(__xludf.DUMMYFUNCTION("""COMPUTED_VALUE"""),28687096)</f>
        <v>28687096</v>
      </c>
    </row>
    <row r="1996" spans="1:6" x14ac:dyDescent="0.35">
      <c r="A1996" s="2">
        <f ca="1">IFERROR(__xludf.DUMMYFUNCTION("""COMPUTED_VALUE"""),44897.6666666666)</f>
        <v>44897.666666666599</v>
      </c>
      <c r="B1996" s="1">
        <f ca="1">IFERROR(__xludf.DUMMYFUNCTION("""COMPUTED_VALUE"""),99.05)</f>
        <v>99.05</v>
      </c>
      <c r="C1996" s="1">
        <f ca="1">IFERROR(__xludf.DUMMYFUNCTION("""COMPUTED_VALUE"""),100.77)</f>
        <v>100.77</v>
      </c>
      <c r="D1996" s="1">
        <f ca="1">IFERROR(__xludf.DUMMYFUNCTION("""COMPUTED_VALUE"""),98.9)</f>
        <v>98.9</v>
      </c>
      <c r="E1996" s="1">
        <f ca="1">IFERROR(__xludf.DUMMYFUNCTION("""COMPUTED_VALUE"""),100.44)</f>
        <v>100.44</v>
      </c>
      <c r="F1996" s="1">
        <f ca="1">IFERROR(__xludf.DUMMYFUNCTION("""COMPUTED_VALUE"""),21480703)</f>
        <v>21480703</v>
      </c>
    </row>
    <row r="1997" spans="1:6" x14ac:dyDescent="0.35">
      <c r="A1997" s="2">
        <f ca="1">IFERROR(__xludf.DUMMYFUNCTION("""COMPUTED_VALUE"""),44900.6666666666)</f>
        <v>44900.666666666599</v>
      </c>
      <c r="B1997" s="1">
        <f ca="1">IFERROR(__xludf.DUMMYFUNCTION("""COMPUTED_VALUE"""),99.4)</f>
        <v>99.4</v>
      </c>
      <c r="C1997" s="1">
        <f ca="1">IFERROR(__xludf.DUMMYFUNCTION("""COMPUTED_VALUE"""),101.38)</f>
        <v>101.38</v>
      </c>
      <c r="D1997" s="1">
        <f ca="1">IFERROR(__xludf.DUMMYFUNCTION("""COMPUTED_VALUE"""),99)</f>
        <v>99</v>
      </c>
      <c r="E1997" s="1">
        <f ca="1">IFERROR(__xludf.DUMMYFUNCTION("""COMPUTED_VALUE"""),99.48)</f>
        <v>99.48</v>
      </c>
      <c r="F1997" s="1">
        <f ca="1">IFERROR(__xludf.DUMMYFUNCTION("""COMPUTED_VALUE"""),24405087)</f>
        <v>24405087</v>
      </c>
    </row>
    <row r="1998" spans="1:6" x14ac:dyDescent="0.35">
      <c r="A1998" s="2">
        <f ca="1">IFERROR(__xludf.DUMMYFUNCTION("""COMPUTED_VALUE"""),44901.6666666666)</f>
        <v>44901.666666666599</v>
      </c>
      <c r="B1998" s="1">
        <f ca="1">IFERROR(__xludf.DUMMYFUNCTION("""COMPUTED_VALUE"""),99.3)</f>
        <v>99.3</v>
      </c>
      <c r="C1998" s="1">
        <f ca="1">IFERROR(__xludf.DUMMYFUNCTION("""COMPUTED_VALUE"""),99.78)</f>
        <v>99.78</v>
      </c>
      <c r="D1998" s="1">
        <f ca="1">IFERROR(__xludf.DUMMYFUNCTION("""COMPUTED_VALUE"""),96.42)</f>
        <v>96.42</v>
      </c>
      <c r="E1998" s="1">
        <f ca="1">IFERROR(__xludf.DUMMYFUNCTION("""COMPUTED_VALUE"""),96.98)</f>
        <v>96.98</v>
      </c>
      <c r="F1998" s="1">
        <f ca="1">IFERROR(__xludf.DUMMYFUNCTION("""COMPUTED_VALUE"""),24910655)</f>
        <v>24910655</v>
      </c>
    </row>
    <row r="1999" spans="1:6" x14ac:dyDescent="0.35">
      <c r="A1999" s="2">
        <f ca="1">IFERROR(__xludf.DUMMYFUNCTION("""COMPUTED_VALUE"""),44902.6666666666)</f>
        <v>44902.666666666599</v>
      </c>
      <c r="B1999" s="1">
        <f ca="1">IFERROR(__xludf.DUMMYFUNCTION("""COMPUTED_VALUE"""),96.41)</f>
        <v>96.41</v>
      </c>
      <c r="C1999" s="1">
        <f ca="1">IFERROR(__xludf.DUMMYFUNCTION("""COMPUTED_VALUE"""),96.88)</f>
        <v>96.88</v>
      </c>
      <c r="D1999" s="1">
        <f ca="1">IFERROR(__xludf.DUMMYFUNCTION("""COMPUTED_VALUE"""),94.72)</f>
        <v>94.72</v>
      </c>
      <c r="E1999" s="1">
        <f ca="1">IFERROR(__xludf.DUMMYFUNCTION("""COMPUTED_VALUE"""),94.94)</f>
        <v>94.94</v>
      </c>
      <c r="F1999" s="1">
        <f ca="1">IFERROR(__xludf.DUMMYFUNCTION("""COMPUTED_VALUE"""),31045449)</f>
        <v>31045449</v>
      </c>
    </row>
    <row r="2000" spans="1:6" x14ac:dyDescent="0.35">
      <c r="A2000" s="2">
        <f ca="1">IFERROR(__xludf.DUMMYFUNCTION("""COMPUTED_VALUE"""),44903.6666666666)</f>
        <v>44903.666666666599</v>
      </c>
      <c r="B2000" s="1">
        <f ca="1">IFERROR(__xludf.DUMMYFUNCTION("""COMPUTED_VALUE"""),95.38)</f>
        <v>95.38</v>
      </c>
      <c r="C2000" s="1">
        <f ca="1">IFERROR(__xludf.DUMMYFUNCTION("""COMPUTED_VALUE"""),95.58)</f>
        <v>95.58</v>
      </c>
      <c r="D2000" s="1">
        <f ca="1">IFERROR(__xludf.DUMMYFUNCTION("""COMPUTED_VALUE"""),93.45)</f>
        <v>93.45</v>
      </c>
      <c r="E2000" s="1">
        <f ca="1">IFERROR(__xludf.DUMMYFUNCTION("""COMPUTED_VALUE"""),93.71)</f>
        <v>93.71</v>
      </c>
      <c r="F2000" s="1">
        <f ca="1">IFERROR(__xludf.DUMMYFUNCTION("""COMPUTED_VALUE"""),32213288)</f>
        <v>32213288</v>
      </c>
    </row>
    <row r="2001" spans="1:6" x14ac:dyDescent="0.35">
      <c r="A2001" s="2">
        <f ca="1">IFERROR(__xludf.DUMMYFUNCTION("""COMPUTED_VALUE"""),44904.6666666666)</f>
        <v>44904.666666666599</v>
      </c>
      <c r="B2001" s="1">
        <f ca="1">IFERROR(__xludf.DUMMYFUNCTION("""COMPUTED_VALUE"""),93.77)</f>
        <v>93.77</v>
      </c>
      <c r="C2001" s="1">
        <f ca="1">IFERROR(__xludf.DUMMYFUNCTION("""COMPUTED_VALUE"""),94.26)</f>
        <v>94.26</v>
      </c>
      <c r="D2001" s="1">
        <f ca="1">IFERROR(__xludf.DUMMYFUNCTION("""COMPUTED_VALUE"""),92.75)</f>
        <v>92.75</v>
      </c>
      <c r="E2001" s="1">
        <f ca="1">IFERROR(__xludf.DUMMYFUNCTION("""COMPUTED_VALUE"""),92.83)</f>
        <v>92.83</v>
      </c>
      <c r="F2001" s="1">
        <f ca="1">IFERROR(__xludf.DUMMYFUNCTION("""COMPUTED_VALUE"""),28225448)</f>
        <v>28225448</v>
      </c>
    </row>
    <row r="2002" spans="1:6" x14ac:dyDescent="0.35">
      <c r="A2002" s="2">
        <f ca="1">IFERROR(__xludf.DUMMYFUNCTION("""COMPUTED_VALUE"""),44907.6666666666)</f>
        <v>44907.666666666599</v>
      </c>
      <c r="B2002" s="1">
        <f ca="1">IFERROR(__xludf.DUMMYFUNCTION("""COMPUTED_VALUE"""),92.71)</f>
        <v>92.71</v>
      </c>
      <c r="C2002" s="1">
        <f ca="1">IFERROR(__xludf.DUMMYFUNCTION("""COMPUTED_VALUE"""),93.56)</f>
        <v>93.56</v>
      </c>
      <c r="D2002" s="1">
        <f ca="1">IFERROR(__xludf.DUMMYFUNCTION("""COMPUTED_VALUE"""),91.61)</f>
        <v>91.61</v>
      </c>
      <c r="E2002" s="1">
        <f ca="1">IFERROR(__xludf.DUMMYFUNCTION("""COMPUTED_VALUE"""),93.31)</f>
        <v>93.31</v>
      </c>
      <c r="F2002" s="1">
        <f ca="1">IFERROR(__xludf.DUMMYFUNCTION("""COMPUTED_VALUE"""),29009013)</f>
        <v>29009013</v>
      </c>
    </row>
    <row r="2003" spans="1:6" x14ac:dyDescent="0.35">
      <c r="A2003" s="2">
        <f ca="1">IFERROR(__xludf.DUMMYFUNCTION("""COMPUTED_VALUE"""),44908.6666666666)</f>
        <v>44908.666666666599</v>
      </c>
      <c r="B2003" s="1">
        <f ca="1">IFERROR(__xludf.DUMMYFUNCTION("""COMPUTED_VALUE"""),97.76)</f>
        <v>97.76</v>
      </c>
      <c r="C2003" s="1">
        <f ca="1">IFERROR(__xludf.DUMMYFUNCTION("""COMPUTED_VALUE"""),99.53)</f>
        <v>99.53</v>
      </c>
      <c r="D2003" s="1">
        <f ca="1">IFERROR(__xludf.DUMMYFUNCTION("""COMPUTED_VALUE"""),95.03)</f>
        <v>95.03</v>
      </c>
      <c r="E2003" s="1">
        <f ca="1">IFERROR(__xludf.DUMMYFUNCTION("""COMPUTED_VALUE"""),95.63)</f>
        <v>95.63</v>
      </c>
      <c r="F2003" s="1">
        <f ca="1">IFERROR(__xludf.DUMMYFUNCTION("""COMPUTED_VALUE"""),40593656)</f>
        <v>40593656</v>
      </c>
    </row>
    <row r="2004" spans="1:6" x14ac:dyDescent="0.35">
      <c r="A2004" s="2">
        <f ca="1">IFERROR(__xludf.DUMMYFUNCTION("""COMPUTED_VALUE"""),44909.6666666666)</f>
        <v>44909.666666666599</v>
      </c>
      <c r="B2004" s="1">
        <f ca="1">IFERROR(__xludf.DUMMYFUNCTION("""COMPUTED_VALUE"""),95.2)</f>
        <v>95.2</v>
      </c>
      <c r="C2004" s="1">
        <f ca="1">IFERROR(__xludf.DUMMYFUNCTION("""COMPUTED_VALUE"""),96.87)</f>
        <v>96.87</v>
      </c>
      <c r="D2004" s="1">
        <f ca="1">IFERROR(__xludf.DUMMYFUNCTION("""COMPUTED_VALUE"""),93.6)</f>
        <v>93.6</v>
      </c>
      <c r="E2004" s="1">
        <f ca="1">IFERROR(__xludf.DUMMYFUNCTION("""COMPUTED_VALUE"""),95.07)</f>
        <v>95.07</v>
      </c>
      <c r="F2004" s="1">
        <f ca="1">IFERROR(__xludf.DUMMYFUNCTION("""COMPUTED_VALUE"""),28733599)</f>
        <v>28733599</v>
      </c>
    </row>
    <row r="2005" spans="1:6" x14ac:dyDescent="0.35">
      <c r="A2005" s="2">
        <f ca="1">IFERROR(__xludf.DUMMYFUNCTION("""COMPUTED_VALUE"""),44910.6666666666)</f>
        <v>44910.666666666599</v>
      </c>
      <c r="B2005" s="1">
        <f ca="1">IFERROR(__xludf.DUMMYFUNCTION("""COMPUTED_VALUE"""),93.13)</f>
        <v>93.13</v>
      </c>
      <c r="C2005" s="1">
        <f ca="1">IFERROR(__xludf.DUMMYFUNCTION("""COMPUTED_VALUE"""),93.64)</f>
        <v>93.64</v>
      </c>
      <c r="D2005" s="1">
        <f ca="1">IFERROR(__xludf.DUMMYFUNCTION("""COMPUTED_VALUE"""),90.01)</f>
        <v>90.01</v>
      </c>
      <c r="E2005" s="1">
        <f ca="1">IFERROR(__xludf.DUMMYFUNCTION("""COMPUTED_VALUE"""),90.86)</f>
        <v>90.86</v>
      </c>
      <c r="F2005" s="1">
        <f ca="1">IFERROR(__xludf.DUMMYFUNCTION("""COMPUTED_VALUE"""),40107033)</f>
        <v>40107033</v>
      </c>
    </row>
    <row r="2006" spans="1:6" x14ac:dyDescent="0.35">
      <c r="A2006" s="2">
        <f ca="1">IFERROR(__xludf.DUMMYFUNCTION("""COMPUTED_VALUE"""),44911.6666666666)</f>
        <v>44911.666666666599</v>
      </c>
      <c r="B2006" s="1">
        <f ca="1">IFERROR(__xludf.DUMMYFUNCTION("""COMPUTED_VALUE"""),90.76)</f>
        <v>90.76</v>
      </c>
      <c r="C2006" s="1">
        <f ca="1">IFERROR(__xludf.DUMMYFUNCTION("""COMPUTED_VALUE"""),91.33)</f>
        <v>91.33</v>
      </c>
      <c r="D2006" s="1">
        <f ca="1">IFERROR(__xludf.DUMMYFUNCTION("""COMPUTED_VALUE"""),89.52)</f>
        <v>89.52</v>
      </c>
      <c r="E2006" s="1">
        <f ca="1">IFERROR(__xludf.DUMMYFUNCTION("""COMPUTED_VALUE"""),90.26)</f>
        <v>90.26</v>
      </c>
      <c r="F2006" s="1">
        <f ca="1">IFERROR(__xludf.DUMMYFUNCTION("""COMPUTED_VALUE"""),58011847)</f>
        <v>58011847</v>
      </c>
    </row>
    <row r="2007" spans="1:6" x14ac:dyDescent="0.35">
      <c r="A2007" s="2">
        <f ca="1">IFERROR(__xludf.DUMMYFUNCTION("""COMPUTED_VALUE"""),44914.6666666666)</f>
        <v>44914.666666666599</v>
      </c>
      <c r="B2007" s="1">
        <f ca="1">IFERROR(__xludf.DUMMYFUNCTION("""COMPUTED_VALUE"""),90.26)</f>
        <v>90.26</v>
      </c>
      <c r="C2007" s="1">
        <f ca="1">IFERROR(__xludf.DUMMYFUNCTION("""COMPUTED_VALUE"""),90.56)</f>
        <v>90.56</v>
      </c>
      <c r="D2007" s="1">
        <f ca="1">IFERROR(__xludf.DUMMYFUNCTION("""COMPUTED_VALUE"""),88.21)</f>
        <v>88.21</v>
      </c>
      <c r="E2007" s="1">
        <f ca="1">IFERROR(__xludf.DUMMYFUNCTION("""COMPUTED_VALUE"""),88.44)</f>
        <v>88.44</v>
      </c>
      <c r="F2007" s="1">
        <f ca="1">IFERROR(__xludf.DUMMYFUNCTION("""COMPUTED_VALUE"""),29493030)</f>
        <v>29493030</v>
      </c>
    </row>
    <row r="2008" spans="1:6" x14ac:dyDescent="0.35">
      <c r="A2008" s="2">
        <f ca="1">IFERROR(__xludf.DUMMYFUNCTION("""COMPUTED_VALUE"""),44915.6666666666)</f>
        <v>44915.666666666599</v>
      </c>
      <c r="B2008" s="1">
        <f ca="1">IFERROR(__xludf.DUMMYFUNCTION("""COMPUTED_VALUE"""),88.11)</f>
        <v>88.11</v>
      </c>
      <c r="C2008" s="1">
        <f ca="1">IFERROR(__xludf.DUMMYFUNCTION("""COMPUTED_VALUE"""),89.18)</f>
        <v>89.18</v>
      </c>
      <c r="D2008" s="1">
        <f ca="1">IFERROR(__xludf.DUMMYFUNCTION("""COMPUTED_VALUE"""),87.44)</f>
        <v>87.44</v>
      </c>
      <c r="E2008" s="1">
        <f ca="1">IFERROR(__xludf.DUMMYFUNCTION("""COMPUTED_VALUE"""),89.02)</f>
        <v>89.02</v>
      </c>
      <c r="F2008" s="1">
        <f ca="1">IFERROR(__xludf.DUMMYFUNCTION("""COMPUTED_VALUE"""),23453836)</f>
        <v>23453836</v>
      </c>
    </row>
    <row r="2009" spans="1:6" x14ac:dyDescent="0.35">
      <c r="A2009" s="2">
        <f ca="1">IFERROR(__xludf.DUMMYFUNCTION("""COMPUTED_VALUE"""),44916.6666666666)</f>
        <v>44916.666666666599</v>
      </c>
      <c r="B2009" s="1">
        <f ca="1">IFERROR(__xludf.DUMMYFUNCTION("""COMPUTED_VALUE"""),89.08)</f>
        <v>89.08</v>
      </c>
      <c r="C2009" s="1">
        <f ca="1">IFERROR(__xludf.DUMMYFUNCTION("""COMPUTED_VALUE"""),90.22)</f>
        <v>90.22</v>
      </c>
      <c r="D2009" s="1">
        <f ca="1">IFERROR(__xludf.DUMMYFUNCTION("""COMPUTED_VALUE"""),88.32)</f>
        <v>88.32</v>
      </c>
      <c r="E2009" s="1">
        <f ca="1">IFERROR(__xludf.DUMMYFUNCTION("""COMPUTED_VALUE"""),89.58)</f>
        <v>89.58</v>
      </c>
      <c r="F2009" s="1">
        <f ca="1">IFERROR(__xludf.DUMMYFUNCTION("""COMPUTED_VALUE"""),24745637)</f>
        <v>24745637</v>
      </c>
    </row>
    <row r="2010" spans="1:6" x14ac:dyDescent="0.35">
      <c r="A2010" s="2">
        <f ca="1">IFERROR(__xludf.DUMMYFUNCTION("""COMPUTED_VALUE"""),44917.6666666666)</f>
        <v>44917.666666666599</v>
      </c>
      <c r="B2010" s="1">
        <f ca="1">IFERROR(__xludf.DUMMYFUNCTION("""COMPUTED_VALUE"""),88.16)</f>
        <v>88.16</v>
      </c>
      <c r="C2010" s="1">
        <f ca="1">IFERROR(__xludf.DUMMYFUNCTION("""COMPUTED_VALUE"""),88.54)</f>
        <v>88.54</v>
      </c>
      <c r="D2010" s="1">
        <f ca="1">IFERROR(__xludf.DUMMYFUNCTION("""COMPUTED_VALUE"""),86.32)</f>
        <v>86.32</v>
      </c>
      <c r="E2010" s="1">
        <f ca="1">IFERROR(__xludf.DUMMYFUNCTION("""COMPUTED_VALUE"""),87.76)</f>
        <v>87.76</v>
      </c>
      <c r="F2010" s="1">
        <f ca="1">IFERROR(__xludf.DUMMYFUNCTION("""COMPUTED_VALUE"""),27658293)</f>
        <v>27658293</v>
      </c>
    </row>
    <row r="2011" spans="1:6" x14ac:dyDescent="0.35">
      <c r="A2011" s="2">
        <f ca="1">IFERROR(__xludf.DUMMYFUNCTION("""COMPUTED_VALUE"""),44918.6666666666)</f>
        <v>44918.666666666599</v>
      </c>
      <c r="B2011" s="1">
        <f ca="1">IFERROR(__xludf.DUMMYFUNCTION("""COMPUTED_VALUE"""),87.11)</f>
        <v>87.11</v>
      </c>
      <c r="C2011" s="1">
        <f ca="1">IFERROR(__xludf.DUMMYFUNCTION("""COMPUTED_VALUE"""),89.55)</f>
        <v>89.55</v>
      </c>
      <c r="D2011" s="1">
        <f ca="1">IFERROR(__xludf.DUMMYFUNCTION("""COMPUTED_VALUE"""),87.07)</f>
        <v>87.07</v>
      </c>
      <c r="E2011" s="1">
        <f ca="1">IFERROR(__xludf.DUMMYFUNCTION("""COMPUTED_VALUE"""),89.23)</f>
        <v>89.23</v>
      </c>
      <c r="F2011" s="1">
        <f ca="1">IFERROR(__xludf.DUMMYFUNCTION("""COMPUTED_VALUE"""),23003035)</f>
        <v>23003035</v>
      </c>
    </row>
    <row r="2012" spans="1:6" x14ac:dyDescent="0.35">
      <c r="A2012" s="2">
        <f ca="1">IFERROR(__xludf.DUMMYFUNCTION("""COMPUTED_VALUE"""),44922.6666666666)</f>
        <v>44922.666666666599</v>
      </c>
      <c r="B2012" s="1">
        <f ca="1">IFERROR(__xludf.DUMMYFUNCTION("""COMPUTED_VALUE"""),88.8)</f>
        <v>88.8</v>
      </c>
      <c r="C2012" s="1">
        <f ca="1">IFERROR(__xludf.DUMMYFUNCTION("""COMPUTED_VALUE"""),88.94)</f>
        <v>88.94</v>
      </c>
      <c r="D2012" s="1">
        <f ca="1">IFERROR(__xludf.DUMMYFUNCTION("""COMPUTED_VALUE"""),87.01)</f>
        <v>87.01</v>
      </c>
      <c r="E2012" s="1">
        <f ca="1">IFERROR(__xludf.DUMMYFUNCTION("""COMPUTED_VALUE"""),87.39)</f>
        <v>87.39</v>
      </c>
      <c r="F2012" s="1">
        <f ca="1">IFERROR(__xludf.DUMMYFUNCTION("""COMPUTED_VALUE"""),20097346)</f>
        <v>20097346</v>
      </c>
    </row>
    <row r="2013" spans="1:6" x14ac:dyDescent="0.35">
      <c r="A2013" s="2">
        <f ca="1">IFERROR(__xludf.DUMMYFUNCTION("""COMPUTED_VALUE"""),44923.6666666666)</f>
        <v>44923.666666666599</v>
      </c>
      <c r="B2013" s="1">
        <f ca="1">IFERROR(__xludf.DUMMYFUNCTION("""COMPUTED_VALUE"""),86.98)</f>
        <v>86.98</v>
      </c>
      <c r="C2013" s="1">
        <f ca="1">IFERROR(__xludf.DUMMYFUNCTION("""COMPUTED_VALUE"""),88.04)</f>
        <v>88.04</v>
      </c>
      <c r="D2013" s="1">
        <f ca="1">IFERROR(__xludf.DUMMYFUNCTION("""COMPUTED_VALUE"""),85.94)</f>
        <v>85.94</v>
      </c>
      <c r="E2013" s="1">
        <f ca="1">IFERROR(__xludf.DUMMYFUNCTION("""COMPUTED_VALUE"""),86.02)</f>
        <v>86.02</v>
      </c>
      <c r="F2013" s="1">
        <f ca="1">IFERROR(__xludf.DUMMYFUNCTION("""COMPUTED_VALUE"""),19523176)</f>
        <v>19523176</v>
      </c>
    </row>
    <row r="2014" spans="1:6" x14ac:dyDescent="0.35">
      <c r="A2014" s="2">
        <f ca="1">IFERROR(__xludf.DUMMYFUNCTION("""COMPUTED_VALUE"""),44924.6666666666)</f>
        <v>44924.666666666599</v>
      </c>
      <c r="B2014" s="1">
        <f ca="1">IFERROR(__xludf.DUMMYFUNCTION("""COMPUTED_VALUE"""),86.62)</f>
        <v>86.62</v>
      </c>
      <c r="C2014" s="1">
        <f ca="1">IFERROR(__xludf.DUMMYFUNCTION("""COMPUTED_VALUE"""),88.85)</f>
        <v>88.85</v>
      </c>
      <c r="D2014" s="1">
        <f ca="1">IFERROR(__xludf.DUMMYFUNCTION("""COMPUTED_VALUE"""),86.61)</f>
        <v>86.61</v>
      </c>
      <c r="E2014" s="1">
        <f ca="1">IFERROR(__xludf.DUMMYFUNCTION("""COMPUTED_VALUE"""),88.45)</f>
        <v>88.45</v>
      </c>
      <c r="F2014" s="1">
        <f ca="1">IFERROR(__xludf.DUMMYFUNCTION("""COMPUTED_VALUE"""),23333537)</f>
        <v>23333537</v>
      </c>
    </row>
    <row r="2015" spans="1:6" x14ac:dyDescent="0.35">
      <c r="A2015" s="2">
        <f ca="1">IFERROR(__xludf.DUMMYFUNCTION("""COMPUTED_VALUE"""),44925.6666666666)</f>
        <v>44925.666666666599</v>
      </c>
      <c r="B2015" s="1">
        <f ca="1">IFERROR(__xludf.DUMMYFUNCTION("""COMPUTED_VALUE"""),86.98)</f>
        <v>86.98</v>
      </c>
      <c r="C2015" s="1">
        <f ca="1">IFERROR(__xludf.DUMMYFUNCTION("""COMPUTED_VALUE"""),88.3)</f>
        <v>88.3</v>
      </c>
      <c r="D2015" s="1">
        <f ca="1">IFERROR(__xludf.DUMMYFUNCTION("""COMPUTED_VALUE"""),86.57)</f>
        <v>86.57</v>
      </c>
      <c r="E2015" s="1">
        <f ca="1">IFERROR(__xludf.DUMMYFUNCTION("""COMPUTED_VALUE"""),88.23)</f>
        <v>88.23</v>
      </c>
      <c r="F2015" s="1">
        <f ca="1">IFERROR(__xludf.DUMMYFUNCTION("""COMPUTED_VALUE"""),23986297)</f>
        <v>23986297</v>
      </c>
    </row>
    <row r="2016" spans="1:6" x14ac:dyDescent="0.35">
      <c r="A2016" s="2">
        <f ca="1">IFERROR(__xludf.DUMMYFUNCTION("""COMPUTED_VALUE"""),44929.6666666666)</f>
        <v>44929.666666666599</v>
      </c>
      <c r="B2016" s="1">
        <f ca="1">IFERROR(__xludf.DUMMYFUNCTION("""COMPUTED_VALUE"""),89.59)</f>
        <v>89.59</v>
      </c>
      <c r="C2016" s="1">
        <f ca="1">IFERROR(__xludf.DUMMYFUNCTION("""COMPUTED_VALUE"""),91.05)</f>
        <v>91.05</v>
      </c>
      <c r="D2016" s="1">
        <f ca="1">IFERROR(__xludf.DUMMYFUNCTION("""COMPUTED_VALUE"""),88.52)</f>
        <v>88.52</v>
      </c>
      <c r="E2016" s="1">
        <f ca="1">IFERROR(__xludf.DUMMYFUNCTION("""COMPUTED_VALUE"""),89.12)</f>
        <v>89.12</v>
      </c>
      <c r="F2016" s="1">
        <f ca="1">IFERROR(__xludf.DUMMYFUNCTION("""COMPUTED_VALUE"""),28131224)</f>
        <v>28131224</v>
      </c>
    </row>
    <row r="2017" spans="1:6" x14ac:dyDescent="0.35">
      <c r="A2017" s="2">
        <f ca="1">IFERROR(__xludf.DUMMYFUNCTION("""COMPUTED_VALUE"""),44930.6666666666)</f>
        <v>44930.666666666599</v>
      </c>
      <c r="B2017" s="1">
        <f ca="1">IFERROR(__xludf.DUMMYFUNCTION("""COMPUTED_VALUE"""),90.35)</f>
        <v>90.35</v>
      </c>
      <c r="C2017" s="1">
        <f ca="1">IFERROR(__xludf.DUMMYFUNCTION("""COMPUTED_VALUE"""),90.65)</f>
        <v>90.65</v>
      </c>
      <c r="D2017" s="1">
        <f ca="1">IFERROR(__xludf.DUMMYFUNCTION("""COMPUTED_VALUE"""),87.27)</f>
        <v>87.27</v>
      </c>
      <c r="E2017" s="1">
        <f ca="1">IFERROR(__xludf.DUMMYFUNCTION("""COMPUTED_VALUE"""),88.08)</f>
        <v>88.08</v>
      </c>
      <c r="F2017" s="1">
        <f ca="1">IFERROR(__xludf.DUMMYFUNCTION("""COMPUTED_VALUE"""),34854776)</f>
        <v>34854776</v>
      </c>
    </row>
    <row r="2018" spans="1:6" x14ac:dyDescent="0.35">
      <c r="A2018" s="2">
        <f ca="1">IFERROR(__xludf.DUMMYFUNCTION("""COMPUTED_VALUE"""),44931.6666666666)</f>
        <v>44931.666666666599</v>
      </c>
      <c r="B2018" s="1">
        <f ca="1">IFERROR(__xludf.DUMMYFUNCTION("""COMPUTED_VALUE"""),87.47)</f>
        <v>87.47</v>
      </c>
      <c r="C2018" s="1">
        <f ca="1">IFERROR(__xludf.DUMMYFUNCTION("""COMPUTED_VALUE"""),87.57)</f>
        <v>87.57</v>
      </c>
      <c r="D2018" s="1">
        <f ca="1">IFERROR(__xludf.DUMMYFUNCTION("""COMPUTED_VALUE"""),85.9)</f>
        <v>85.9</v>
      </c>
      <c r="E2018" s="1">
        <f ca="1">IFERROR(__xludf.DUMMYFUNCTION("""COMPUTED_VALUE"""),86.2)</f>
        <v>86.2</v>
      </c>
      <c r="F2018" s="1">
        <f ca="1">IFERROR(__xludf.DUMMYFUNCTION("""COMPUTED_VALUE"""),27194375)</f>
        <v>27194375</v>
      </c>
    </row>
    <row r="2019" spans="1:6" x14ac:dyDescent="0.35">
      <c r="A2019" s="2">
        <f ca="1">IFERROR(__xludf.DUMMYFUNCTION("""COMPUTED_VALUE"""),44932.6666666666)</f>
        <v>44932.666666666599</v>
      </c>
      <c r="B2019" s="1">
        <f ca="1">IFERROR(__xludf.DUMMYFUNCTION("""COMPUTED_VALUE"""),86.79)</f>
        <v>86.79</v>
      </c>
      <c r="C2019" s="1">
        <f ca="1">IFERROR(__xludf.DUMMYFUNCTION("""COMPUTED_VALUE"""),87.69)</f>
        <v>87.69</v>
      </c>
      <c r="D2019" s="1">
        <f ca="1">IFERROR(__xludf.DUMMYFUNCTION("""COMPUTED_VALUE"""),84.86)</f>
        <v>84.86</v>
      </c>
      <c r="E2019" s="1">
        <f ca="1">IFERROR(__xludf.DUMMYFUNCTION("""COMPUTED_VALUE"""),87.34)</f>
        <v>87.34</v>
      </c>
      <c r="F2019" s="1">
        <f ca="1">IFERROR(__xludf.DUMMYFUNCTION("""COMPUTED_VALUE"""),41381495)</f>
        <v>41381495</v>
      </c>
    </row>
    <row r="2020" spans="1:6" x14ac:dyDescent="0.35">
      <c r="A2020" s="2">
        <f ca="1">IFERROR(__xludf.DUMMYFUNCTION("""COMPUTED_VALUE"""),44935.6666666666)</f>
        <v>44935.666666666599</v>
      </c>
      <c r="B2020" s="1">
        <f ca="1">IFERROR(__xludf.DUMMYFUNCTION("""COMPUTED_VALUE"""),88.36)</f>
        <v>88.36</v>
      </c>
      <c r="C2020" s="1">
        <f ca="1">IFERROR(__xludf.DUMMYFUNCTION("""COMPUTED_VALUE"""),90.05)</f>
        <v>90.05</v>
      </c>
      <c r="D2020" s="1">
        <f ca="1">IFERROR(__xludf.DUMMYFUNCTION("""COMPUTED_VALUE"""),87.86)</f>
        <v>87.86</v>
      </c>
      <c r="E2020" s="1">
        <f ca="1">IFERROR(__xludf.DUMMYFUNCTION("""COMPUTED_VALUE"""),88.02)</f>
        <v>88.02</v>
      </c>
      <c r="F2020" s="1">
        <f ca="1">IFERROR(__xludf.DUMMYFUNCTION("""COMPUTED_VALUE"""),29003901)</f>
        <v>29003901</v>
      </c>
    </row>
    <row r="2021" spans="1:6" x14ac:dyDescent="0.35">
      <c r="A2021" s="2">
        <f ca="1">IFERROR(__xludf.DUMMYFUNCTION("""COMPUTED_VALUE"""),44936.6666666666)</f>
        <v>44936.666666666599</v>
      </c>
      <c r="B2021" s="1">
        <f ca="1">IFERROR(__xludf.DUMMYFUNCTION("""COMPUTED_VALUE"""),85.98)</f>
        <v>85.98</v>
      </c>
      <c r="C2021" s="1">
        <f ca="1">IFERROR(__xludf.DUMMYFUNCTION("""COMPUTED_VALUE"""),88.67)</f>
        <v>88.67</v>
      </c>
      <c r="D2021" s="1">
        <f ca="1">IFERROR(__xludf.DUMMYFUNCTION("""COMPUTED_VALUE"""),85.83)</f>
        <v>85.83</v>
      </c>
      <c r="E2021" s="1">
        <f ca="1">IFERROR(__xludf.DUMMYFUNCTION("""COMPUTED_VALUE"""),88.42)</f>
        <v>88.42</v>
      </c>
      <c r="F2021" s="1">
        <f ca="1">IFERROR(__xludf.DUMMYFUNCTION("""COMPUTED_VALUE"""),30467755)</f>
        <v>30467755</v>
      </c>
    </row>
    <row r="2022" spans="1:6" x14ac:dyDescent="0.35">
      <c r="A2022" s="2">
        <f ca="1">IFERROR(__xludf.DUMMYFUNCTION("""COMPUTED_VALUE"""),44937.6666666666)</f>
        <v>44937.666666666599</v>
      </c>
      <c r="B2022" s="1">
        <f ca="1">IFERROR(__xludf.DUMMYFUNCTION("""COMPUTED_VALUE"""),89.18)</f>
        <v>89.18</v>
      </c>
      <c r="C2022" s="1">
        <f ca="1">IFERROR(__xludf.DUMMYFUNCTION("""COMPUTED_VALUE"""),91.6)</f>
        <v>91.6</v>
      </c>
      <c r="D2022" s="1">
        <f ca="1">IFERROR(__xludf.DUMMYFUNCTION("""COMPUTED_VALUE"""),89.01)</f>
        <v>89.01</v>
      </c>
      <c r="E2022" s="1">
        <f ca="1">IFERROR(__xludf.DUMMYFUNCTION("""COMPUTED_VALUE"""),91.52)</f>
        <v>91.52</v>
      </c>
      <c r="F2022" s="1">
        <f ca="1">IFERROR(__xludf.DUMMYFUNCTION("""COMPUTED_VALUE"""),26861969)</f>
        <v>26861969</v>
      </c>
    </row>
    <row r="2023" spans="1:6" x14ac:dyDescent="0.35">
      <c r="A2023" s="2">
        <f ca="1">IFERROR(__xludf.DUMMYFUNCTION("""COMPUTED_VALUE"""),44938.6666666666)</f>
        <v>44938.666666666599</v>
      </c>
      <c r="B2023" s="1">
        <f ca="1">IFERROR(__xludf.DUMMYFUNCTION("""COMPUTED_VALUE"""),91.48)</f>
        <v>91.48</v>
      </c>
      <c r="C2023" s="1">
        <f ca="1">IFERROR(__xludf.DUMMYFUNCTION("""COMPUTED_VALUE"""),91.87)</f>
        <v>91.87</v>
      </c>
      <c r="D2023" s="1">
        <f ca="1">IFERROR(__xludf.DUMMYFUNCTION("""COMPUTED_VALUE"""),89.75)</f>
        <v>89.75</v>
      </c>
      <c r="E2023" s="1">
        <f ca="1">IFERROR(__xludf.DUMMYFUNCTION("""COMPUTED_VALUE"""),91.13)</f>
        <v>91.13</v>
      </c>
      <c r="F2023" s="1">
        <f ca="1">IFERROR(__xludf.DUMMYFUNCTION("""COMPUTED_VALUE"""),30258135)</f>
        <v>30258135</v>
      </c>
    </row>
    <row r="2024" spans="1:6" x14ac:dyDescent="0.35">
      <c r="A2024" s="2">
        <f ca="1">IFERROR(__xludf.DUMMYFUNCTION("""COMPUTED_VALUE"""),44939.6666666666)</f>
        <v>44939.666666666599</v>
      </c>
      <c r="B2024" s="1">
        <f ca="1">IFERROR(__xludf.DUMMYFUNCTION("""COMPUTED_VALUE"""),90.85)</f>
        <v>90.85</v>
      </c>
      <c r="C2024" s="1">
        <f ca="1">IFERROR(__xludf.DUMMYFUNCTION("""COMPUTED_VALUE"""),92.19)</f>
        <v>92.19</v>
      </c>
      <c r="D2024" s="1">
        <f ca="1">IFERROR(__xludf.DUMMYFUNCTION("""COMPUTED_VALUE"""),90.13)</f>
        <v>90.13</v>
      </c>
      <c r="E2024" s="1">
        <f ca="1">IFERROR(__xludf.DUMMYFUNCTION("""COMPUTED_VALUE"""),92.12)</f>
        <v>92.12</v>
      </c>
      <c r="F2024" s="1">
        <f ca="1">IFERROR(__xludf.DUMMYFUNCTION("""COMPUTED_VALUE"""),26329212)</f>
        <v>26329212</v>
      </c>
    </row>
    <row r="2025" spans="1:6" x14ac:dyDescent="0.35">
      <c r="A2025" s="2">
        <f ca="1">IFERROR(__xludf.DUMMYFUNCTION("""COMPUTED_VALUE"""),44943.6666666666)</f>
        <v>44943.666666666599</v>
      </c>
      <c r="B2025" s="1">
        <f ca="1">IFERROR(__xludf.DUMMYFUNCTION("""COMPUTED_VALUE"""),92.06)</f>
        <v>92.06</v>
      </c>
      <c r="C2025" s="1">
        <f ca="1">IFERROR(__xludf.DUMMYFUNCTION("""COMPUTED_VALUE"""),92.25)</f>
        <v>92.25</v>
      </c>
      <c r="D2025" s="1">
        <f ca="1">IFERROR(__xludf.DUMMYFUNCTION("""COMPUTED_VALUE"""),90.05)</f>
        <v>90.05</v>
      </c>
      <c r="E2025" s="1">
        <f ca="1">IFERROR(__xludf.DUMMYFUNCTION("""COMPUTED_VALUE"""),91.29)</f>
        <v>91.29</v>
      </c>
      <c r="F2025" s="1">
        <f ca="1">IFERROR(__xludf.DUMMYFUNCTION("""COMPUTED_VALUE"""),32602423)</f>
        <v>32602423</v>
      </c>
    </row>
    <row r="2026" spans="1:6" x14ac:dyDescent="0.35">
      <c r="A2026" s="2">
        <f ca="1">IFERROR(__xludf.DUMMYFUNCTION("""COMPUTED_VALUE"""),44944.6666666666)</f>
        <v>44944.666666666599</v>
      </c>
      <c r="B2026" s="1">
        <f ca="1">IFERROR(__xludf.DUMMYFUNCTION("""COMPUTED_VALUE"""),92.14)</f>
        <v>92.14</v>
      </c>
      <c r="C2026" s="1">
        <f ca="1">IFERROR(__xludf.DUMMYFUNCTION("""COMPUTED_VALUE"""),92.8)</f>
        <v>92.8</v>
      </c>
      <c r="D2026" s="1">
        <f ca="1">IFERROR(__xludf.DUMMYFUNCTION("""COMPUTED_VALUE"""),90.64)</f>
        <v>90.64</v>
      </c>
      <c r="E2026" s="1">
        <f ca="1">IFERROR(__xludf.DUMMYFUNCTION("""COMPUTED_VALUE"""),91.12)</f>
        <v>91.12</v>
      </c>
      <c r="F2026" s="1">
        <f ca="1">IFERROR(__xludf.DUMMYFUNCTION("""COMPUTED_VALUE"""),29116691)</f>
        <v>29116691</v>
      </c>
    </row>
    <row r="2027" spans="1:6" x14ac:dyDescent="0.35">
      <c r="A2027" s="2">
        <f ca="1">IFERROR(__xludf.DUMMYFUNCTION("""COMPUTED_VALUE"""),44945.6666666666)</f>
        <v>44945.666666666599</v>
      </c>
      <c r="B2027" s="1">
        <f ca="1">IFERROR(__xludf.DUMMYFUNCTION("""COMPUTED_VALUE"""),90.72)</f>
        <v>90.72</v>
      </c>
      <c r="C2027" s="1">
        <f ca="1">IFERROR(__xludf.DUMMYFUNCTION("""COMPUTED_VALUE"""),93.61)</f>
        <v>93.61</v>
      </c>
      <c r="D2027" s="1">
        <f ca="1">IFERROR(__xludf.DUMMYFUNCTION("""COMPUTED_VALUE"""),90.63)</f>
        <v>90.63</v>
      </c>
      <c r="E2027" s="1">
        <f ca="1">IFERROR(__xludf.DUMMYFUNCTION("""COMPUTED_VALUE"""),93.05)</f>
        <v>93.05</v>
      </c>
      <c r="F2027" s="1">
        <f ca="1">IFERROR(__xludf.DUMMYFUNCTION("""COMPUTED_VALUE"""),37000395)</f>
        <v>37000395</v>
      </c>
    </row>
    <row r="2028" spans="1:6" x14ac:dyDescent="0.35">
      <c r="A2028" s="2">
        <f ca="1">IFERROR(__xludf.DUMMYFUNCTION("""COMPUTED_VALUE"""),44946.6666666666)</f>
        <v>44946.666666666599</v>
      </c>
      <c r="B2028" s="1">
        <f ca="1">IFERROR(__xludf.DUMMYFUNCTION("""COMPUTED_VALUE"""),95.1)</f>
        <v>95.1</v>
      </c>
      <c r="C2028" s="1">
        <f ca="1">IFERROR(__xludf.DUMMYFUNCTION("""COMPUTED_VALUE"""),98.3)</f>
        <v>98.3</v>
      </c>
      <c r="D2028" s="1">
        <f ca="1">IFERROR(__xludf.DUMMYFUNCTION("""COMPUTED_VALUE"""),95.02)</f>
        <v>95.02</v>
      </c>
      <c r="E2028" s="1">
        <f ca="1">IFERROR(__xludf.DUMMYFUNCTION("""COMPUTED_VALUE"""),98.02)</f>
        <v>98.02</v>
      </c>
      <c r="F2028" s="1">
        <f ca="1">IFERROR(__xludf.DUMMYFUNCTION("""COMPUTED_VALUE"""),63191078)</f>
        <v>63191078</v>
      </c>
    </row>
    <row r="2029" spans="1:6" x14ac:dyDescent="0.35">
      <c r="A2029" s="2">
        <f ca="1">IFERROR(__xludf.DUMMYFUNCTION("""COMPUTED_VALUE"""),44949.6666666666)</f>
        <v>44949.666666666599</v>
      </c>
      <c r="B2029" s="1">
        <f ca="1">IFERROR(__xludf.DUMMYFUNCTION("""COMPUTED_VALUE"""),97.95)</f>
        <v>97.95</v>
      </c>
      <c r="C2029" s="1">
        <f ca="1">IFERROR(__xludf.DUMMYFUNCTION("""COMPUTED_VALUE"""),100.04)</f>
        <v>100.04</v>
      </c>
      <c r="D2029" s="1">
        <f ca="1">IFERROR(__xludf.DUMMYFUNCTION("""COMPUTED_VALUE"""),97.5)</f>
        <v>97.5</v>
      </c>
      <c r="E2029" s="1">
        <f ca="1">IFERROR(__xludf.DUMMYFUNCTION("""COMPUTED_VALUE"""),99.79)</f>
        <v>99.79</v>
      </c>
      <c r="F2029" s="1">
        <f ca="1">IFERROR(__xludf.DUMMYFUNCTION("""COMPUTED_VALUE"""),40005055)</f>
        <v>40005055</v>
      </c>
    </row>
    <row r="2030" spans="1:6" x14ac:dyDescent="0.35">
      <c r="A2030" s="2">
        <f ca="1">IFERROR(__xludf.DUMMYFUNCTION("""COMPUTED_VALUE"""),44950.6666666666)</f>
        <v>44950.666666666599</v>
      </c>
      <c r="B2030" s="1">
        <f ca="1">IFERROR(__xludf.DUMMYFUNCTION("""COMPUTED_VALUE"""),98.1)</f>
        <v>98.1</v>
      </c>
      <c r="C2030" s="1">
        <f ca="1">IFERROR(__xludf.DUMMYFUNCTION("""COMPUTED_VALUE"""),99.61)</f>
        <v>99.61</v>
      </c>
      <c r="D2030" s="1">
        <f ca="1">IFERROR(__xludf.DUMMYFUNCTION("""COMPUTED_VALUE"""),97.2)</f>
        <v>97.2</v>
      </c>
      <c r="E2030" s="1">
        <f ca="1">IFERROR(__xludf.DUMMYFUNCTION("""COMPUTED_VALUE"""),97.7)</f>
        <v>97.7</v>
      </c>
      <c r="F2030" s="1">
        <f ca="1">IFERROR(__xludf.DUMMYFUNCTION("""COMPUTED_VALUE"""),33078512)</f>
        <v>33078512</v>
      </c>
    </row>
    <row r="2031" spans="1:6" x14ac:dyDescent="0.35">
      <c r="A2031" s="2">
        <f ca="1">IFERROR(__xludf.DUMMYFUNCTION("""COMPUTED_VALUE"""),44951.6666666666)</f>
        <v>44951.666666666599</v>
      </c>
      <c r="B2031" s="1">
        <f ca="1">IFERROR(__xludf.DUMMYFUNCTION("""COMPUTED_VALUE"""),95.57)</f>
        <v>95.57</v>
      </c>
      <c r="C2031" s="1">
        <f ca="1">IFERROR(__xludf.DUMMYFUNCTION("""COMPUTED_VALUE"""),96.16)</f>
        <v>96.16</v>
      </c>
      <c r="D2031" s="1">
        <f ca="1">IFERROR(__xludf.DUMMYFUNCTION("""COMPUTED_VALUE"""),93.76)</f>
        <v>93.76</v>
      </c>
      <c r="E2031" s="1">
        <f ca="1">IFERROR(__xludf.DUMMYFUNCTION("""COMPUTED_VALUE"""),95.22)</f>
        <v>95.22</v>
      </c>
      <c r="F2031" s="1">
        <f ca="1">IFERROR(__xludf.DUMMYFUNCTION("""COMPUTED_VALUE"""),42329952)</f>
        <v>42329952</v>
      </c>
    </row>
    <row r="2032" spans="1:6" x14ac:dyDescent="0.35">
      <c r="A2032" s="2">
        <f ca="1">IFERROR(__xludf.DUMMYFUNCTION("""COMPUTED_VALUE"""),44952.6666666666)</f>
        <v>44952.666666666599</v>
      </c>
      <c r="B2032" s="1">
        <f ca="1">IFERROR(__xludf.DUMMYFUNCTION("""COMPUTED_VALUE"""),96.5)</f>
        <v>96.5</v>
      </c>
      <c r="C2032" s="1">
        <f ca="1">IFERROR(__xludf.DUMMYFUNCTION("""COMPUTED_VALUE"""),97.57)</f>
        <v>97.57</v>
      </c>
      <c r="D2032" s="1">
        <f ca="1">IFERROR(__xludf.DUMMYFUNCTION("""COMPUTED_VALUE"""),95.38)</f>
        <v>95.38</v>
      </c>
      <c r="E2032" s="1">
        <f ca="1">IFERROR(__xludf.DUMMYFUNCTION("""COMPUTED_VALUE"""),97.52)</f>
        <v>97.52</v>
      </c>
      <c r="F2032" s="1">
        <f ca="1">IFERROR(__xludf.DUMMYFUNCTION("""COMPUTED_VALUE"""),30113974)</f>
        <v>30113974</v>
      </c>
    </row>
    <row r="2033" spans="1:6" x14ac:dyDescent="0.35">
      <c r="A2033" s="2">
        <f ca="1">IFERROR(__xludf.DUMMYFUNCTION("""COMPUTED_VALUE"""),44953.6666666666)</f>
        <v>44953.666666666599</v>
      </c>
      <c r="B2033" s="1">
        <f ca="1">IFERROR(__xludf.DUMMYFUNCTION("""COMPUTED_VALUE"""),97.31)</f>
        <v>97.31</v>
      </c>
      <c r="C2033" s="1">
        <f ca="1">IFERROR(__xludf.DUMMYFUNCTION("""COMPUTED_VALUE"""),100.32)</f>
        <v>100.32</v>
      </c>
      <c r="D2033" s="1">
        <f ca="1">IFERROR(__xludf.DUMMYFUNCTION("""COMPUTED_VALUE"""),97.31)</f>
        <v>97.31</v>
      </c>
      <c r="E2033" s="1">
        <f ca="1">IFERROR(__xludf.DUMMYFUNCTION("""COMPUTED_VALUE"""),99.37)</f>
        <v>99.37</v>
      </c>
      <c r="F2033" s="1">
        <f ca="1">IFERROR(__xludf.DUMMYFUNCTION("""COMPUTED_VALUE"""),33879753)</f>
        <v>33879753</v>
      </c>
    </row>
    <row r="2034" spans="1:6" x14ac:dyDescent="0.35">
      <c r="A2034" s="2">
        <f ca="1">IFERROR(__xludf.DUMMYFUNCTION("""COMPUTED_VALUE"""),44956.6666666666)</f>
        <v>44956.666666666599</v>
      </c>
      <c r="B2034" s="1">
        <f ca="1">IFERROR(__xludf.DUMMYFUNCTION("""COMPUTED_VALUE"""),97.48)</f>
        <v>97.48</v>
      </c>
      <c r="C2034" s="1">
        <f ca="1">IFERROR(__xludf.DUMMYFUNCTION("""COMPUTED_VALUE"""),98.29)</f>
        <v>98.29</v>
      </c>
      <c r="D2034" s="1">
        <f ca="1">IFERROR(__xludf.DUMMYFUNCTION("""COMPUTED_VALUE"""),96.4)</f>
        <v>96.4</v>
      </c>
      <c r="E2034" s="1">
        <f ca="1">IFERROR(__xludf.DUMMYFUNCTION("""COMPUTED_VALUE"""),96.94)</f>
        <v>96.94</v>
      </c>
      <c r="F2034" s="1">
        <f ca="1">IFERROR(__xludf.DUMMYFUNCTION("""COMPUTED_VALUE"""),27226198)</f>
        <v>27226198</v>
      </c>
    </row>
    <row r="2035" spans="1:6" x14ac:dyDescent="0.35">
      <c r="A2035" s="2">
        <f ca="1">IFERROR(__xludf.DUMMYFUNCTION("""COMPUTED_VALUE"""),44957.6666666666)</f>
        <v>44957.666666666599</v>
      </c>
      <c r="B2035" s="1">
        <f ca="1">IFERROR(__xludf.DUMMYFUNCTION("""COMPUTED_VALUE"""),96.87)</f>
        <v>96.87</v>
      </c>
      <c r="C2035" s="1">
        <f ca="1">IFERROR(__xludf.DUMMYFUNCTION("""COMPUTED_VALUE"""),98.88)</f>
        <v>98.88</v>
      </c>
      <c r="D2035" s="1">
        <f ca="1">IFERROR(__xludf.DUMMYFUNCTION("""COMPUTED_VALUE"""),96.82)</f>
        <v>96.82</v>
      </c>
      <c r="E2035" s="1">
        <f ca="1">IFERROR(__xludf.DUMMYFUNCTION("""COMPUTED_VALUE"""),98.84)</f>
        <v>98.84</v>
      </c>
      <c r="F2035" s="1">
        <f ca="1">IFERROR(__xludf.DUMMYFUNCTION("""COMPUTED_VALUE"""),29870669)</f>
        <v>29870669</v>
      </c>
    </row>
    <row r="2036" spans="1:6" x14ac:dyDescent="0.35">
      <c r="A2036" s="2">
        <f ca="1">IFERROR(__xludf.DUMMYFUNCTION("""COMPUTED_VALUE"""),44958.6666666666)</f>
        <v>44958.666666666599</v>
      </c>
      <c r="B2036" s="1">
        <f ca="1">IFERROR(__xludf.DUMMYFUNCTION("""COMPUTED_VALUE"""),98.71)</f>
        <v>98.71</v>
      </c>
      <c r="C2036" s="1">
        <f ca="1">IFERROR(__xludf.DUMMYFUNCTION("""COMPUTED_VALUE"""),101.19)</f>
        <v>101.19</v>
      </c>
      <c r="D2036" s="1">
        <f ca="1">IFERROR(__xludf.DUMMYFUNCTION("""COMPUTED_VALUE"""),97.58)</f>
        <v>97.58</v>
      </c>
      <c r="E2036" s="1">
        <f ca="1">IFERROR(__xludf.DUMMYFUNCTION("""COMPUTED_VALUE"""),100.43)</f>
        <v>100.43</v>
      </c>
      <c r="F2036" s="1">
        <f ca="1">IFERROR(__xludf.DUMMYFUNCTION("""COMPUTED_VALUE"""),35531104)</f>
        <v>35531104</v>
      </c>
    </row>
    <row r="2037" spans="1:6" x14ac:dyDescent="0.35">
      <c r="A2037" s="2">
        <f ca="1">IFERROR(__xludf.DUMMYFUNCTION("""COMPUTED_VALUE"""),44959.6666666666)</f>
        <v>44959.666666666599</v>
      </c>
      <c r="B2037" s="1">
        <f ca="1">IFERROR(__xludf.DUMMYFUNCTION("""COMPUTED_VALUE"""),105.8)</f>
        <v>105.8</v>
      </c>
      <c r="C2037" s="1">
        <f ca="1">IFERROR(__xludf.DUMMYFUNCTION("""COMPUTED_VALUE"""),107.85)</f>
        <v>107.85</v>
      </c>
      <c r="D2037" s="1">
        <f ca="1">IFERROR(__xludf.DUMMYFUNCTION("""COMPUTED_VALUE"""),105.61)</f>
        <v>105.61</v>
      </c>
      <c r="E2037" s="1">
        <f ca="1">IFERROR(__xludf.DUMMYFUNCTION("""COMPUTED_VALUE"""),107.74)</f>
        <v>107.74</v>
      </c>
      <c r="F2037" s="1">
        <f ca="1">IFERROR(__xludf.DUMMYFUNCTION("""COMPUTED_VALUE"""),69883762)</f>
        <v>69883762</v>
      </c>
    </row>
    <row r="2038" spans="1:6" x14ac:dyDescent="0.35">
      <c r="A2038" s="2">
        <f ca="1">IFERROR(__xludf.DUMMYFUNCTION("""COMPUTED_VALUE"""),44960.6666666666)</f>
        <v>44960.666666666599</v>
      </c>
      <c r="B2038" s="1">
        <f ca="1">IFERROR(__xludf.DUMMYFUNCTION("""COMPUTED_VALUE"""),102.93)</f>
        <v>102.93</v>
      </c>
      <c r="C2038" s="1">
        <f ca="1">IFERROR(__xludf.DUMMYFUNCTION("""COMPUTED_VALUE"""),107.81)</f>
        <v>107.81</v>
      </c>
      <c r="D2038" s="1">
        <f ca="1">IFERROR(__xludf.DUMMYFUNCTION("""COMPUTED_VALUE"""),102.58)</f>
        <v>102.58</v>
      </c>
      <c r="E2038" s="1">
        <f ca="1">IFERROR(__xludf.DUMMYFUNCTION("""COMPUTED_VALUE"""),104.78)</f>
        <v>104.78</v>
      </c>
      <c r="F2038" s="1">
        <f ca="1">IFERROR(__xludf.DUMMYFUNCTION("""COMPUTED_VALUE"""),65309261)</f>
        <v>65309261</v>
      </c>
    </row>
    <row r="2039" spans="1:6" x14ac:dyDescent="0.35">
      <c r="A2039" s="2">
        <f ca="1">IFERROR(__xludf.DUMMYFUNCTION("""COMPUTED_VALUE"""),44963.6666666666)</f>
        <v>44963.666666666599</v>
      </c>
      <c r="B2039" s="1">
        <f ca="1">IFERROR(__xludf.DUMMYFUNCTION("""COMPUTED_VALUE"""),102.4)</f>
        <v>102.4</v>
      </c>
      <c r="C2039" s="1">
        <f ca="1">IFERROR(__xludf.DUMMYFUNCTION("""COMPUTED_VALUE"""),104.36)</f>
        <v>104.36</v>
      </c>
      <c r="D2039" s="1">
        <f ca="1">IFERROR(__xludf.DUMMYFUNCTION("""COMPUTED_VALUE"""),101.88)</f>
        <v>101.88</v>
      </c>
      <c r="E2039" s="1">
        <f ca="1">IFERROR(__xludf.DUMMYFUNCTION("""COMPUTED_VALUE"""),102.9)</f>
        <v>102.9</v>
      </c>
      <c r="F2039" s="1">
        <f ca="1">IFERROR(__xludf.DUMMYFUNCTION("""COMPUTED_VALUE"""),31999562)</f>
        <v>31999562</v>
      </c>
    </row>
    <row r="2040" spans="1:6" x14ac:dyDescent="0.35">
      <c r="A2040" s="2">
        <f ca="1">IFERROR(__xludf.DUMMYFUNCTION("""COMPUTED_VALUE"""),44964.6666666666)</f>
        <v>44964.666666666599</v>
      </c>
      <c r="B2040" s="1">
        <f ca="1">IFERROR(__xludf.DUMMYFUNCTION("""COMPUTED_VALUE"""),103.22)</f>
        <v>103.22</v>
      </c>
      <c r="C2040" s="1">
        <f ca="1">IFERROR(__xludf.DUMMYFUNCTION("""COMPUTED_VALUE"""),108.18)</f>
        <v>108.18</v>
      </c>
      <c r="D2040" s="1">
        <f ca="1">IFERROR(__xludf.DUMMYFUNCTION("""COMPUTED_VALUE"""),103.12)</f>
        <v>103.12</v>
      </c>
      <c r="E2040" s="1">
        <f ca="1">IFERROR(__xludf.DUMMYFUNCTION("""COMPUTED_VALUE"""),107.64)</f>
        <v>107.64</v>
      </c>
      <c r="F2040" s="1">
        <f ca="1">IFERROR(__xludf.DUMMYFUNCTION("""COMPUTED_VALUE"""),49010230)</f>
        <v>49010230</v>
      </c>
    </row>
    <row r="2041" spans="1:6" x14ac:dyDescent="0.35">
      <c r="A2041" s="2">
        <f ca="1">IFERROR(__xludf.DUMMYFUNCTION("""COMPUTED_VALUE"""),44965.6666666666)</f>
        <v>44965.666666666599</v>
      </c>
      <c r="B2041" s="1">
        <f ca="1">IFERROR(__xludf.DUMMYFUNCTION("""COMPUTED_VALUE"""),102.05)</f>
        <v>102.05</v>
      </c>
      <c r="C2041" s="1">
        <f ca="1">IFERROR(__xludf.DUMMYFUNCTION("""COMPUTED_VALUE"""),103.14)</f>
        <v>103.14</v>
      </c>
      <c r="D2041" s="1">
        <f ca="1">IFERROR(__xludf.DUMMYFUNCTION("""COMPUTED_VALUE"""),98.04)</f>
        <v>98.04</v>
      </c>
      <c r="E2041" s="1">
        <f ca="1">IFERROR(__xludf.DUMMYFUNCTION("""COMPUTED_VALUE"""),99.37)</f>
        <v>99.37</v>
      </c>
      <c r="F2041" s="1">
        <f ca="1">IFERROR(__xludf.DUMMYFUNCTION("""COMPUTED_VALUE"""),94743515)</f>
        <v>94743515</v>
      </c>
    </row>
    <row r="2042" spans="1:6" x14ac:dyDescent="0.35">
      <c r="A2042" s="2">
        <f ca="1">IFERROR(__xludf.DUMMYFUNCTION("""COMPUTED_VALUE"""),44966.6666666666)</f>
        <v>44966.666666666599</v>
      </c>
      <c r="B2042" s="1">
        <f ca="1">IFERROR(__xludf.DUMMYFUNCTION("""COMPUTED_VALUE"""),100)</f>
        <v>100</v>
      </c>
      <c r="C2042" s="1">
        <f ca="1">IFERROR(__xludf.DUMMYFUNCTION("""COMPUTED_VALUE"""),100.03)</f>
        <v>100.03</v>
      </c>
      <c r="D2042" s="1">
        <f ca="1">IFERROR(__xludf.DUMMYFUNCTION("""COMPUTED_VALUE"""),93.63)</f>
        <v>93.63</v>
      </c>
      <c r="E2042" s="1">
        <f ca="1">IFERROR(__xludf.DUMMYFUNCTION("""COMPUTED_VALUE"""),95.01)</f>
        <v>95.01</v>
      </c>
      <c r="F2042" s="1">
        <f ca="1">IFERROR(__xludf.DUMMYFUNCTION("""COMPUTED_VALUE"""),119455020)</f>
        <v>119455020</v>
      </c>
    </row>
    <row r="2043" spans="1:6" x14ac:dyDescent="0.35">
      <c r="A2043" s="2">
        <f ca="1">IFERROR(__xludf.DUMMYFUNCTION("""COMPUTED_VALUE"""),44967.6666666666)</f>
        <v>44967.666666666599</v>
      </c>
      <c r="B2043" s="1">
        <f ca="1">IFERROR(__xludf.DUMMYFUNCTION("""COMPUTED_VALUE"""),95.45)</f>
        <v>95.45</v>
      </c>
      <c r="C2043" s="1">
        <f ca="1">IFERROR(__xludf.DUMMYFUNCTION("""COMPUTED_VALUE"""),96.75)</f>
        <v>96.75</v>
      </c>
      <c r="D2043" s="1">
        <f ca="1">IFERROR(__xludf.DUMMYFUNCTION("""COMPUTED_VALUE"""),94.25)</f>
        <v>94.25</v>
      </c>
      <c r="E2043" s="1">
        <f ca="1">IFERROR(__xludf.DUMMYFUNCTION("""COMPUTED_VALUE"""),94.57)</f>
        <v>94.57</v>
      </c>
      <c r="F2043" s="1">
        <f ca="1">IFERROR(__xludf.DUMMYFUNCTION("""COMPUTED_VALUE"""),54980696)</f>
        <v>54980696</v>
      </c>
    </row>
    <row r="2044" spans="1:6" x14ac:dyDescent="0.35">
      <c r="A2044" s="2">
        <f ca="1">IFERROR(__xludf.DUMMYFUNCTION("""COMPUTED_VALUE"""),44970.6666666666)</f>
        <v>44970.666666666599</v>
      </c>
      <c r="B2044" s="1">
        <f ca="1">IFERROR(__xludf.DUMMYFUNCTION("""COMPUTED_VALUE"""),94.74)</f>
        <v>94.74</v>
      </c>
      <c r="C2044" s="1">
        <f ca="1">IFERROR(__xludf.DUMMYFUNCTION("""COMPUTED_VALUE"""),95.2)</f>
        <v>95.2</v>
      </c>
      <c r="D2044" s="1">
        <f ca="1">IFERROR(__xludf.DUMMYFUNCTION("""COMPUTED_VALUE"""),93.84)</f>
        <v>93.84</v>
      </c>
      <c r="E2044" s="1">
        <f ca="1">IFERROR(__xludf.DUMMYFUNCTION("""COMPUTED_VALUE"""),94.61)</f>
        <v>94.61</v>
      </c>
      <c r="F2044" s="1">
        <f ca="1">IFERROR(__xludf.DUMMYFUNCTION("""COMPUTED_VALUE"""),50076120)</f>
        <v>50076120</v>
      </c>
    </row>
    <row r="2045" spans="1:6" x14ac:dyDescent="0.35">
      <c r="A2045" s="2">
        <f ca="1">IFERROR(__xludf.DUMMYFUNCTION("""COMPUTED_VALUE"""),44971.6666666666)</f>
        <v>44971.666666666599</v>
      </c>
      <c r="B2045" s="1">
        <f ca="1">IFERROR(__xludf.DUMMYFUNCTION("""COMPUTED_VALUE"""),94.43)</f>
        <v>94.43</v>
      </c>
      <c r="C2045" s="1">
        <f ca="1">IFERROR(__xludf.DUMMYFUNCTION("""COMPUTED_VALUE"""),94.85)</f>
        <v>94.85</v>
      </c>
      <c r="D2045" s="1">
        <f ca="1">IFERROR(__xludf.DUMMYFUNCTION("""COMPUTED_VALUE"""),92.26)</f>
        <v>92.26</v>
      </c>
      <c r="E2045" s="1">
        <f ca="1">IFERROR(__xludf.DUMMYFUNCTION("""COMPUTED_VALUE"""),94.68)</f>
        <v>94.68</v>
      </c>
      <c r="F2045" s="1">
        <f ca="1">IFERROR(__xludf.DUMMYFUNCTION("""COMPUTED_VALUE"""),54726120)</f>
        <v>54726120</v>
      </c>
    </row>
    <row r="2046" spans="1:6" x14ac:dyDescent="0.35">
      <c r="A2046" s="2">
        <f ca="1">IFERROR(__xludf.DUMMYFUNCTION("""COMPUTED_VALUE"""),44972.6666666666)</f>
        <v>44972.666666666599</v>
      </c>
      <c r="B2046" s="1">
        <f ca="1">IFERROR(__xludf.DUMMYFUNCTION("""COMPUTED_VALUE"""),94.49)</f>
        <v>94.49</v>
      </c>
      <c r="C2046" s="1">
        <f ca="1">IFERROR(__xludf.DUMMYFUNCTION("""COMPUTED_VALUE"""),97.12)</f>
        <v>97.12</v>
      </c>
      <c r="D2046" s="1">
        <f ca="1">IFERROR(__xludf.DUMMYFUNCTION("""COMPUTED_VALUE"""),94.15)</f>
        <v>94.15</v>
      </c>
      <c r="E2046" s="1">
        <f ca="1">IFERROR(__xludf.DUMMYFUNCTION("""COMPUTED_VALUE"""),96.94)</f>
        <v>96.94</v>
      </c>
      <c r="F2046" s="1">
        <f ca="1">IFERROR(__xludf.DUMMYFUNCTION("""COMPUTED_VALUE"""),50298481)</f>
        <v>50298481</v>
      </c>
    </row>
    <row r="2047" spans="1:6" x14ac:dyDescent="0.35">
      <c r="A2047" s="2">
        <f ca="1">IFERROR(__xludf.DUMMYFUNCTION("""COMPUTED_VALUE"""),44973.6666666666)</f>
        <v>44973.666666666599</v>
      </c>
      <c r="B2047" s="1">
        <f ca="1">IFERROR(__xludf.DUMMYFUNCTION("""COMPUTED_VALUE"""),95.37)</f>
        <v>95.37</v>
      </c>
      <c r="C2047" s="1">
        <f ca="1">IFERROR(__xludf.DUMMYFUNCTION("""COMPUTED_VALUE"""),97.68)</f>
        <v>97.68</v>
      </c>
      <c r="D2047" s="1">
        <f ca="1">IFERROR(__xludf.DUMMYFUNCTION("""COMPUTED_VALUE"""),94.74)</f>
        <v>94.74</v>
      </c>
      <c r="E2047" s="1">
        <f ca="1">IFERROR(__xludf.DUMMYFUNCTION("""COMPUTED_VALUE"""),95.51)</f>
        <v>95.51</v>
      </c>
      <c r="F2047" s="1">
        <f ca="1">IFERROR(__xludf.DUMMYFUNCTION("""COMPUTED_VALUE"""),42462618)</f>
        <v>42462618</v>
      </c>
    </row>
    <row r="2048" spans="1:6" x14ac:dyDescent="0.35">
      <c r="A2048" s="2">
        <f ca="1">IFERROR(__xludf.DUMMYFUNCTION("""COMPUTED_VALUE"""),44974.6666666666)</f>
        <v>44974.666666666599</v>
      </c>
      <c r="B2048" s="1">
        <f ca="1">IFERROR(__xludf.DUMMYFUNCTION("""COMPUTED_VALUE"""),94.85)</f>
        <v>94.85</v>
      </c>
      <c r="C2048" s="1">
        <f ca="1">IFERROR(__xludf.DUMMYFUNCTION("""COMPUTED_VALUE"""),95.56)</f>
        <v>95.56</v>
      </c>
      <c r="D2048" s="1">
        <f ca="1">IFERROR(__xludf.DUMMYFUNCTION("""COMPUTED_VALUE"""),93.21)</f>
        <v>93.21</v>
      </c>
      <c r="E2048" s="1">
        <f ca="1">IFERROR(__xludf.DUMMYFUNCTION("""COMPUTED_VALUE"""),94.35)</f>
        <v>94.35</v>
      </c>
      <c r="F2048" s="1">
        <f ca="1">IFERROR(__xludf.DUMMYFUNCTION("""COMPUTED_VALUE"""),34284118)</f>
        <v>34284118</v>
      </c>
    </row>
    <row r="2049" spans="1:6" x14ac:dyDescent="0.35">
      <c r="A2049" s="2">
        <f ca="1">IFERROR(__xludf.DUMMYFUNCTION("""COMPUTED_VALUE"""),44978.6666666666)</f>
        <v>44978.666666666599</v>
      </c>
      <c r="B2049" s="1">
        <f ca="1">IFERROR(__xludf.DUMMYFUNCTION("""COMPUTED_VALUE"""),93)</f>
        <v>93</v>
      </c>
      <c r="C2049" s="1">
        <f ca="1">IFERROR(__xludf.DUMMYFUNCTION("""COMPUTED_VALUE"""),93.1)</f>
        <v>93.1</v>
      </c>
      <c r="D2049" s="1">
        <f ca="1">IFERROR(__xludf.DUMMYFUNCTION("""COMPUTED_VALUE"""),91.72)</f>
        <v>91.72</v>
      </c>
      <c r="E2049" s="1">
        <f ca="1">IFERROR(__xludf.DUMMYFUNCTION("""COMPUTED_VALUE"""),91.79)</f>
        <v>91.79</v>
      </c>
      <c r="F2049" s="1">
        <f ca="1">IFERROR(__xludf.DUMMYFUNCTION("""COMPUTED_VALUE"""),33629256)</f>
        <v>33629256</v>
      </c>
    </row>
    <row r="2050" spans="1:6" x14ac:dyDescent="0.35">
      <c r="A2050" s="2">
        <f ca="1">IFERROR(__xludf.DUMMYFUNCTION("""COMPUTED_VALUE"""),44979.6666666666)</f>
        <v>44979.666666666599</v>
      </c>
      <c r="B2050" s="1">
        <f ca="1">IFERROR(__xludf.DUMMYFUNCTION("""COMPUTED_VALUE"""),91.7)</f>
        <v>91.7</v>
      </c>
      <c r="C2050" s="1">
        <f ca="1">IFERROR(__xludf.DUMMYFUNCTION("""COMPUTED_VALUE"""),92.11)</f>
        <v>92.11</v>
      </c>
      <c r="D2050" s="1">
        <f ca="1">IFERROR(__xludf.DUMMYFUNCTION("""COMPUTED_VALUE"""),90.61)</f>
        <v>90.61</v>
      </c>
      <c r="E2050" s="1">
        <f ca="1">IFERROR(__xludf.DUMMYFUNCTION("""COMPUTED_VALUE"""),91.65)</f>
        <v>91.65</v>
      </c>
      <c r="F2050" s="1">
        <f ca="1">IFERROR(__xludf.DUMMYFUNCTION("""COMPUTED_VALUE"""),30884017)</f>
        <v>30884017</v>
      </c>
    </row>
    <row r="2051" spans="1:6" x14ac:dyDescent="0.35">
      <c r="A2051" s="2">
        <f ca="1">IFERROR(__xludf.DUMMYFUNCTION("""COMPUTED_VALUE"""),44980.6666666666)</f>
        <v>44980.666666666599</v>
      </c>
      <c r="B2051" s="1">
        <f ca="1">IFERROR(__xludf.DUMMYFUNCTION("""COMPUTED_VALUE"""),91.92)</f>
        <v>91.92</v>
      </c>
      <c r="C2051" s="1">
        <f ca="1">IFERROR(__xludf.DUMMYFUNCTION("""COMPUTED_VALUE"""),91.94)</f>
        <v>91.94</v>
      </c>
      <c r="D2051" s="1">
        <f ca="1">IFERROR(__xludf.DUMMYFUNCTION("""COMPUTED_VALUE"""),89.76)</f>
        <v>89.76</v>
      </c>
      <c r="E2051" s="1">
        <f ca="1">IFERROR(__xludf.DUMMYFUNCTION("""COMPUTED_VALUE"""),90.89)</f>
        <v>90.89</v>
      </c>
      <c r="F2051" s="1">
        <f ca="1">IFERROR(__xludf.DUMMYFUNCTION("""COMPUTED_VALUE"""),41206380)</f>
        <v>41206380</v>
      </c>
    </row>
    <row r="2052" spans="1:6" x14ac:dyDescent="0.35">
      <c r="A2052" s="2">
        <f ca="1">IFERROR(__xludf.DUMMYFUNCTION("""COMPUTED_VALUE"""),44981.6666666666)</f>
        <v>44981.666666666599</v>
      </c>
      <c r="B2052" s="1">
        <f ca="1">IFERROR(__xludf.DUMMYFUNCTION("""COMPUTED_VALUE"""),89.44)</f>
        <v>89.44</v>
      </c>
      <c r="C2052" s="1">
        <f ca="1">IFERROR(__xludf.DUMMYFUNCTION("""COMPUTED_VALUE"""),89.89)</f>
        <v>89.89</v>
      </c>
      <c r="D2052" s="1">
        <f ca="1">IFERROR(__xludf.DUMMYFUNCTION("""COMPUTED_VALUE"""),88.58)</f>
        <v>88.58</v>
      </c>
      <c r="E2052" s="1">
        <f ca="1">IFERROR(__xludf.DUMMYFUNCTION("""COMPUTED_VALUE"""),89.13)</f>
        <v>89.13</v>
      </c>
      <c r="F2052" s="1">
        <f ca="1">IFERROR(__xludf.DUMMYFUNCTION("""COMPUTED_VALUE"""),36585093)</f>
        <v>36585093</v>
      </c>
    </row>
    <row r="2053" spans="1:6" x14ac:dyDescent="0.35">
      <c r="A2053" s="2">
        <f ca="1">IFERROR(__xludf.DUMMYFUNCTION("""COMPUTED_VALUE"""),44984.6666666666)</f>
        <v>44984.666666666599</v>
      </c>
      <c r="B2053" s="1">
        <f ca="1">IFERROR(__xludf.DUMMYFUNCTION("""COMPUTED_VALUE"""),89.87)</f>
        <v>89.87</v>
      </c>
      <c r="C2053" s="1">
        <f ca="1">IFERROR(__xludf.DUMMYFUNCTION("""COMPUTED_VALUE"""),90.16)</f>
        <v>90.16</v>
      </c>
      <c r="D2053" s="1">
        <f ca="1">IFERROR(__xludf.DUMMYFUNCTION("""COMPUTED_VALUE"""),89.34)</f>
        <v>89.34</v>
      </c>
      <c r="E2053" s="1">
        <f ca="1">IFERROR(__xludf.DUMMYFUNCTION("""COMPUTED_VALUE"""),89.87)</f>
        <v>89.87</v>
      </c>
      <c r="F2053" s="1">
        <f ca="1">IFERROR(__xludf.DUMMYFUNCTION("""COMPUTED_VALUE"""),27502302)</f>
        <v>27502302</v>
      </c>
    </row>
    <row r="2054" spans="1:6" x14ac:dyDescent="0.35">
      <c r="A2054" s="2">
        <f ca="1">IFERROR(__xludf.DUMMYFUNCTION("""COMPUTED_VALUE"""),44985.6666666666)</f>
        <v>44985.666666666599</v>
      </c>
      <c r="B2054" s="1">
        <f ca="1">IFERROR(__xludf.DUMMYFUNCTION("""COMPUTED_VALUE"""),89.33)</f>
        <v>89.33</v>
      </c>
      <c r="C2054" s="1">
        <f ca="1">IFERROR(__xludf.DUMMYFUNCTION("""COMPUTED_VALUE"""),91.23)</f>
        <v>91.23</v>
      </c>
      <c r="D2054" s="1">
        <f ca="1">IFERROR(__xludf.DUMMYFUNCTION("""COMPUTED_VALUE"""),89.32)</f>
        <v>89.32</v>
      </c>
      <c r="E2054" s="1">
        <f ca="1">IFERROR(__xludf.DUMMYFUNCTION("""COMPUTED_VALUE"""),90.06)</f>
        <v>90.06</v>
      </c>
      <c r="F2054" s="1">
        <f ca="1">IFERROR(__xludf.DUMMYFUNCTION("""COMPUTED_VALUE"""),30142039)</f>
        <v>30142039</v>
      </c>
    </row>
    <row r="2055" spans="1:6" x14ac:dyDescent="0.35">
      <c r="A2055" s="2">
        <f ca="1">IFERROR(__xludf.DUMMYFUNCTION("""COMPUTED_VALUE"""),44986.6666666666)</f>
        <v>44986.666666666599</v>
      </c>
      <c r="B2055" s="1">
        <f ca="1">IFERROR(__xludf.DUMMYFUNCTION("""COMPUTED_VALUE"""),89.98)</f>
        <v>89.98</v>
      </c>
      <c r="C2055" s="1">
        <f ca="1">IFERROR(__xludf.DUMMYFUNCTION("""COMPUTED_VALUE"""),91.03)</f>
        <v>91.03</v>
      </c>
      <c r="D2055" s="1">
        <f ca="1">IFERROR(__xludf.DUMMYFUNCTION("""COMPUTED_VALUE"""),89.67)</f>
        <v>89.67</v>
      </c>
      <c r="E2055" s="1">
        <f ca="1">IFERROR(__xludf.DUMMYFUNCTION("""COMPUTED_VALUE"""),90.36)</f>
        <v>90.36</v>
      </c>
      <c r="F2055" s="1">
        <f ca="1">IFERROR(__xludf.DUMMYFUNCTION("""COMPUTED_VALUE"""),31111225)</f>
        <v>31111225</v>
      </c>
    </row>
    <row r="2056" spans="1:6" x14ac:dyDescent="0.35">
      <c r="A2056" s="2">
        <f ca="1">IFERROR(__xludf.DUMMYFUNCTION("""COMPUTED_VALUE"""),44987.6666666666)</f>
        <v>44987.666666666599</v>
      </c>
      <c r="B2056" s="1">
        <f ca="1">IFERROR(__xludf.DUMMYFUNCTION("""COMPUTED_VALUE"""),89.66)</f>
        <v>89.66</v>
      </c>
      <c r="C2056" s="1">
        <f ca="1">IFERROR(__xludf.DUMMYFUNCTION("""COMPUTED_VALUE"""),92.28)</f>
        <v>92.28</v>
      </c>
      <c r="D2056" s="1">
        <f ca="1">IFERROR(__xludf.DUMMYFUNCTION("""COMPUTED_VALUE"""),89.59)</f>
        <v>89.59</v>
      </c>
      <c r="E2056" s="1">
        <f ca="1">IFERROR(__xludf.DUMMYFUNCTION("""COMPUTED_VALUE"""),92)</f>
        <v>92</v>
      </c>
      <c r="F2056" s="1">
        <f ca="1">IFERROR(__xludf.DUMMYFUNCTION("""COMPUTED_VALUE"""),32226229)</f>
        <v>32226229</v>
      </c>
    </row>
    <row r="2057" spans="1:6" x14ac:dyDescent="0.35">
      <c r="A2057" s="2">
        <f ca="1">IFERROR(__xludf.DUMMYFUNCTION("""COMPUTED_VALUE"""),44988.6666666666)</f>
        <v>44988.666666666599</v>
      </c>
      <c r="B2057" s="1">
        <f ca="1">IFERROR(__xludf.DUMMYFUNCTION("""COMPUTED_VALUE"""),92.48)</f>
        <v>92.48</v>
      </c>
      <c r="C2057" s="1">
        <f ca="1">IFERROR(__xludf.DUMMYFUNCTION("""COMPUTED_VALUE"""),93.73)</f>
        <v>93.73</v>
      </c>
      <c r="D2057" s="1">
        <f ca="1">IFERROR(__xludf.DUMMYFUNCTION("""COMPUTED_VALUE"""),92.45)</f>
        <v>92.45</v>
      </c>
      <c r="E2057" s="1">
        <f ca="1">IFERROR(__xludf.DUMMYFUNCTION("""COMPUTED_VALUE"""),93.65)</f>
        <v>93.65</v>
      </c>
      <c r="F2057" s="1">
        <f ca="1">IFERROR(__xludf.DUMMYFUNCTION("""COMPUTED_VALUE"""),35160105)</f>
        <v>35160105</v>
      </c>
    </row>
    <row r="2058" spans="1:6" x14ac:dyDescent="0.35">
      <c r="A2058" s="2">
        <f ca="1">IFERROR(__xludf.DUMMYFUNCTION("""COMPUTED_VALUE"""),44991.6666666666)</f>
        <v>44991.666666666599</v>
      </c>
      <c r="B2058" s="1">
        <f ca="1">IFERROR(__xludf.DUMMYFUNCTION("""COMPUTED_VALUE"""),94.02)</f>
        <v>94.02</v>
      </c>
      <c r="C2058" s="1">
        <f ca="1">IFERROR(__xludf.DUMMYFUNCTION("""COMPUTED_VALUE"""),95.97)</f>
        <v>95.97</v>
      </c>
      <c r="D2058" s="1">
        <f ca="1">IFERROR(__xludf.DUMMYFUNCTION("""COMPUTED_VALUE"""),94)</f>
        <v>94</v>
      </c>
      <c r="E2058" s="1">
        <f ca="1">IFERROR(__xludf.DUMMYFUNCTION("""COMPUTED_VALUE"""),95.13)</f>
        <v>95.13</v>
      </c>
      <c r="F2058" s="1">
        <f ca="1">IFERROR(__xludf.DUMMYFUNCTION("""COMPUTED_VALUE"""),32639313)</f>
        <v>32639313</v>
      </c>
    </row>
    <row r="2059" spans="1:6" x14ac:dyDescent="0.35">
      <c r="A2059" s="2">
        <f ca="1">IFERROR(__xludf.DUMMYFUNCTION("""COMPUTED_VALUE"""),44992.6666666666)</f>
        <v>44992.666666666599</v>
      </c>
      <c r="B2059" s="1">
        <f ca="1">IFERROR(__xludf.DUMMYFUNCTION("""COMPUTED_VALUE"""),94.98)</f>
        <v>94.98</v>
      </c>
      <c r="C2059" s="1">
        <f ca="1">IFERROR(__xludf.DUMMYFUNCTION("""COMPUTED_VALUE"""),95.67)</f>
        <v>95.67</v>
      </c>
      <c r="D2059" s="1">
        <f ca="1">IFERROR(__xludf.DUMMYFUNCTION("""COMPUTED_VALUE"""),93.53)</f>
        <v>93.53</v>
      </c>
      <c r="E2059" s="1">
        <f ca="1">IFERROR(__xludf.DUMMYFUNCTION("""COMPUTED_VALUE"""),93.86)</f>
        <v>93.86</v>
      </c>
      <c r="F2059" s="1">
        <f ca="1">IFERROR(__xludf.DUMMYFUNCTION("""COMPUTED_VALUE"""),27835476)</f>
        <v>27835476</v>
      </c>
    </row>
    <row r="2060" spans="1:6" x14ac:dyDescent="0.35">
      <c r="A2060" s="2">
        <f ca="1">IFERROR(__xludf.DUMMYFUNCTION("""COMPUTED_VALUE"""),44993.6666666666)</f>
        <v>44993.666666666599</v>
      </c>
      <c r="B2060" s="1">
        <f ca="1">IFERROR(__xludf.DUMMYFUNCTION("""COMPUTED_VALUE"""),94.12)</f>
        <v>94.12</v>
      </c>
      <c r="C2060" s="1">
        <f ca="1">IFERROR(__xludf.DUMMYFUNCTION("""COMPUTED_VALUE"""),95.96)</f>
        <v>95.96</v>
      </c>
      <c r="D2060" s="1">
        <f ca="1">IFERROR(__xludf.DUMMYFUNCTION("""COMPUTED_VALUE"""),94)</f>
        <v>94</v>
      </c>
      <c r="E2060" s="1">
        <f ca="1">IFERROR(__xludf.DUMMYFUNCTION("""COMPUTED_VALUE"""),94.25)</f>
        <v>94.25</v>
      </c>
      <c r="F2060" s="1">
        <f ca="1">IFERROR(__xludf.DUMMYFUNCTION("""COMPUTED_VALUE"""),34103265)</f>
        <v>34103265</v>
      </c>
    </row>
    <row r="2061" spans="1:6" x14ac:dyDescent="0.35">
      <c r="A2061" s="2">
        <f ca="1">IFERROR(__xludf.DUMMYFUNCTION("""COMPUTED_VALUE"""),44994.6666666666)</f>
        <v>44994.666666666599</v>
      </c>
      <c r="B2061" s="1">
        <f ca="1">IFERROR(__xludf.DUMMYFUNCTION("""COMPUTED_VALUE"""),94.05)</f>
        <v>94.05</v>
      </c>
      <c r="C2061" s="1">
        <f ca="1">IFERROR(__xludf.DUMMYFUNCTION("""COMPUTED_VALUE"""),95.53)</f>
        <v>95.53</v>
      </c>
      <c r="D2061" s="1">
        <f ca="1">IFERROR(__xludf.DUMMYFUNCTION("""COMPUTED_VALUE"""),91.9)</f>
        <v>91.9</v>
      </c>
      <c r="E2061" s="1">
        <f ca="1">IFERROR(__xludf.DUMMYFUNCTION("""COMPUTED_VALUE"""),92.32)</f>
        <v>92.32</v>
      </c>
      <c r="F2061" s="1">
        <f ca="1">IFERROR(__xludf.DUMMYFUNCTION("""COMPUTED_VALUE"""),28813532)</f>
        <v>28813532</v>
      </c>
    </row>
    <row r="2062" spans="1:6" x14ac:dyDescent="0.35">
      <c r="A2062" s="2">
        <f ca="1">IFERROR(__xludf.DUMMYFUNCTION("""COMPUTED_VALUE"""),44995.6666666666)</f>
        <v>44995.666666666599</v>
      </c>
      <c r="B2062" s="1">
        <f ca="1">IFERROR(__xludf.DUMMYFUNCTION("""COMPUTED_VALUE"""),92.17)</f>
        <v>92.17</v>
      </c>
      <c r="C2062" s="1">
        <f ca="1">IFERROR(__xludf.DUMMYFUNCTION("""COMPUTED_VALUE"""),92.79)</f>
        <v>92.79</v>
      </c>
      <c r="D2062" s="1">
        <f ca="1">IFERROR(__xludf.DUMMYFUNCTION("""COMPUTED_VALUE"""),90.4)</f>
        <v>90.4</v>
      </c>
      <c r="E2062" s="1">
        <f ca="1">IFERROR(__xludf.DUMMYFUNCTION("""COMPUTED_VALUE"""),90.63)</f>
        <v>90.63</v>
      </c>
      <c r="F2062" s="1">
        <f ca="1">IFERROR(__xludf.DUMMYFUNCTION("""COMPUTED_VALUE"""),35941046)</f>
        <v>35941046</v>
      </c>
    </row>
    <row r="2063" spans="1:6" x14ac:dyDescent="0.35">
      <c r="A2063" s="2">
        <f ca="1">IFERROR(__xludf.DUMMYFUNCTION("""COMPUTED_VALUE"""),44998.6666666666)</f>
        <v>44998.666666666599</v>
      </c>
      <c r="B2063" s="1">
        <f ca="1">IFERROR(__xludf.DUMMYFUNCTION("""COMPUTED_VALUE"""),90.09)</f>
        <v>90.09</v>
      </c>
      <c r="C2063" s="1">
        <f ca="1">IFERROR(__xludf.DUMMYFUNCTION("""COMPUTED_VALUE"""),92.57)</f>
        <v>92.57</v>
      </c>
      <c r="D2063" s="1">
        <f ca="1">IFERROR(__xludf.DUMMYFUNCTION("""COMPUTED_VALUE"""),89.42)</f>
        <v>89.42</v>
      </c>
      <c r="E2063" s="1">
        <f ca="1">IFERROR(__xludf.DUMMYFUNCTION("""COMPUTED_VALUE"""),91.11)</f>
        <v>91.11</v>
      </c>
      <c r="F2063" s="1">
        <f ca="1">IFERROR(__xludf.DUMMYFUNCTION("""COMPUTED_VALUE"""),37335573)</f>
        <v>37335573</v>
      </c>
    </row>
    <row r="2064" spans="1:6" x14ac:dyDescent="0.35">
      <c r="A2064" s="2">
        <f ca="1">IFERROR(__xludf.DUMMYFUNCTION("""COMPUTED_VALUE"""),44999.6666666666)</f>
        <v>44999.666666666599</v>
      </c>
      <c r="B2064" s="1">
        <f ca="1">IFERROR(__xludf.DUMMYFUNCTION("""COMPUTED_VALUE"""),92.56)</f>
        <v>92.56</v>
      </c>
      <c r="C2064" s="1">
        <f ca="1">IFERROR(__xludf.DUMMYFUNCTION("""COMPUTED_VALUE"""),94.36)</f>
        <v>94.36</v>
      </c>
      <c r="D2064" s="1">
        <f ca="1">IFERROR(__xludf.DUMMYFUNCTION("""COMPUTED_VALUE"""),92.44)</f>
        <v>92.44</v>
      </c>
      <c r="E2064" s="1">
        <f ca="1">IFERROR(__xludf.DUMMYFUNCTION("""COMPUTED_VALUE"""),93.97)</f>
        <v>93.97</v>
      </c>
      <c r="F2064" s="1">
        <f ca="1">IFERROR(__xludf.DUMMYFUNCTION("""COMPUTED_VALUE"""),36050214)</f>
        <v>36050214</v>
      </c>
    </row>
    <row r="2065" spans="1:6" x14ac:dyDescent="0.35">
      <c r="A2065" s="2">
        <f ca="1">IFERROR(__xludf.DUMMYFUNCTION("""COMPUTED_VALUE"""),45000.6666666666)</f>
        <v>45000.666666666599</v>
      </c>
      <c r="B2065" s="1">
        <f ca="1">IFERROR(__xludf.DUMMYFUNCTION("""COMPUTED_VALUE"""),93.22)</f>
        <v>93.22</v>
      </c>
      <c r="C2065" s="1">
        <f ca="1">IFERROR(__xludf.DUMMYFUNCTION("""COMPUTED_VALUE"""),96.93)</f>
        <v>96.93</v>
      </c>
      <c r="D2065" s="1">
        <f ca="1">IFERROR(__xludf.DUMMYFUNCTION("""COMPUTED_VALUE"""),92.64)</f>
        <v>92.64</v>
      </c>
      <c r="E2065" s="1">
        <f ca="1">IFERROR(__xludf.DUMMYFUNCTION("""COMPUTED_VALUE"""),96.11)</f>
        <v>96.11</v>
      </c>
      <c r="F2065" s="1">
        <f ca="1">IFERROR(__xludf.DUMMYFUNCTION("""COMPUTED_VALUE"""),50622050)</f>
        <v>50622050</v>
      </c>
    </row>
    <row r="2066" spans="1:6" x14ac:dyDescent="0.35">
      <c r="A2066" s="2">
        <f ca="1">IFERROR(__xludf.DUMMYFUNCTION("""COMPUTED_VALUE"""),45001.6666666666)</f>
        <v>45001.666666666599</v>
      </c>
      <c r="B2066" s="1">
        <f ca="1">IFERROR(__xludf.DUMMYFUNCTION("""COMPUTED_VALUE"""),96.2)</f>
        <v>96.2</v>
      </c>
      <c r="C2066" s="1">
        <f ca="1">IFERROR(__xludf.DUMMYFUNCTION("""COMPUTED_VALUE"""),101.19)</f>
        <v>101.19</v>
      </c>
      <c r="D2066" s="1">
        <f ca="1">IFERROR(__xludf.DUMMYFUNCTION("""COMPUTED_VALUE"""),95.5)</f>
        <v>95.5</v>
      </c>
      <c r="E2066" s="1">
        <f ca="1">IFERROR(__xludf.DUMMYFUNCTION("""COMPUTED_VALUE"""),100.32)</f>
        <v>100.32</v>
      </c>
      <c r="F2066" s="1">
        <f ca="1">IFERROR(__xludf.DUMMYFUNCTION("""COMPUTED_VALUE"""),65567656)</f>
        <v>65567656</v>
      </c>
    </row>
    <row r="2067" spans="1:6" x14ac:dyDescent="0.35">
      <c r="A2067" s="2">
        <f ca="1">IFERROR(__xludf.DUMMYFUNCTION("""COMPUTED_VALUE"""),45002.6666666666)</f>
        <v>45002.666666666599</v>
      </c>
      <c r="B2067" s="1">
        <f ca="1">IFERROR(__xludf.DUMMYFUNCTION("""COMPUTED_VALUE"""),100.26)</f>
        <v>100.26</v>
      </c>
      <c r="C2067" s="1">
        <f ca="1">IFERROR(__xludf.DUMMYFUNCTION("""COMPUTED_VALUE"""),102.84)</f>
        <v>102.84</v>
      </c>
      <c r="D2067" s="1">
        <f ca="1">IFERROR(__xludf.DUMMYFUNCTION("""COMPUTED_VALUE"""),100.1)</f>
        <v>100.1</v>
      </c>
      <c r="E2067" s="1">
        <f ca="1">IFERROR(__xludf.DUMMYFUNCTION("""COMPUTED_VALUE"""),101.62)</f>
        <v>101.62</v>
      </c>
      <c r="F2067" s="1">
        <f ca="1">IFERROR(__xludf.DUMMYFUNCTION("""COMPUTED_VALUE"""),61028547)</f>
        <v>61028547</v>
      </c>
    </row>
    <row r="2068" spans="1:6" x14ac:dyDescent="0.35">
      <c r="A2068" s="2">
        <f ca="1">IFERROR(__xludf.DUMMYFUNCTION("""COMPUTED_VALUE"""),45005.6666666666)</f>
        <v>45005.666666666599</v>
      </c>
      <c r="B2068" s="1">
        <f ca="1">IFERROR(__xludf.DUMMYFUNCTION("""COMPUTED_VALUE"""),100.12)</f>
        <v>100.12</v>
      </c>
      <c r="C2068" s="1">
        <f ca="1">IFERROR(__xludf.DUMMYFUNCTION("""COMPUTED_VALUE"""),101.75)</f>
        <v>101.75</v>
      </c>
      <c r="D2068" s="1">
        <f ca="1">IFERROR(__xludf.DUMMYFUNCTION("""COMPUTED_VALUE"""),99.87)</f>
        <v>99.87</v>
      </c>
      <c r="E2068" s="1">
        <f ca="1">IFERROR(__xludf.DUMMYFUNCTION("""COMPUTED_VALUE"""),101.22)</f>
        <v>101.22</v>
      </c>
      <c r="F2068" s="1">
        <f ca="1">IFERROR(__xludf.DUMMYFUNCTION("""COMPUTED_VALUE"""),32960440)</f>
        <v>32960440</v>
      </c>
    </row>
    <row r="2069" spans="1:6" x14ac:dyDescent="0.35">
      <c r="A2069" s="2">
        <f ca="1">IFERROR(__xludf.DUMMYFUNCTION("""COMPUTED_VALUE"""),45006.6666666666)</f>
        <v>45006.666666666599</v>
      </c>
      <c r="B2069" s="1">
        <f ca="1">IFERROR(__xludf.DUMMYFUNCTION("""COMPUTED_VALUE"""),101.25)</f>
        <v>101.25</v>
      </c>
      <c r="C2069" s="1">
        <f ca="1">IFERROR(__xludf.DUMMYFUNCTION("""COMPUTED_VALUE"""),105.1)</f>
        <v>105.1</v>
      </c>
      <c r="D2069" s="1">
        <f ca="1">IFERROR(__xludf.DUMMYFUNCTION("""COMPUTED_VALUE"""),101.22)</f>
        <v>101.22</v>
      </c>
      <c r="E2069" s="1">
        <f ca="1">IFERROR(__xludf.DUMMYFUNCTION("""COMPUTED_VALUE"""),104.92)</f>
        <v>104.92</v>
      </c>
      <c r="F2069" s="1">
        <f ca="1">IFERROR(__xludf.DUMMYFUNCTION("""COMPUTED_VALUE"""),42110279)</f>
        <v>42110279</v>
      </c>
    </row>
    <row r="2070" spans="1:6" x14ac:dyDescent="0.35">
      <c r="A2070" s="2">
        <f ca="1">IFERROR(__xludf.DUMMYFUNCTION("""COMPUTED_VALUE"""),45007.6666666666)</f>
        <v>45007.666666666599</v>
      </c>
      <c r="B2070" s="1">
        <f ca="1">IFERROR(__xludf.DUMMYFUNCTION("""COMPUTED_VALUE"""),104.27)</f>
        <v>104.27</v>
      </c>
      <c r="C2070" s="1">
        <f ca="1">IFERROR(__xludf.DUMMYFUNCTION("""COMPUTED_VALUE"""),106.59)</f>
        <v>106.59</v>
      </c>
      <c r="D2070" s="1">
        <f ca="1">IFERROR(__xludf.DUMMYFUNCTION("""COMPUTED_VALUE"""),103.33)</f>
        <v>103.33</v>
      </c>
      <c r="E2070" s="1">
        <f ca="1">IFERROR(__xludf.DUMMYFUNCTION("""COMPUTED_VALUE"""),103.37)</f>
        <v>103.37</v>
      </c>
      <c r="F2070" s="1">
        <f ca="1">IFERROR(__xludf.DUMMYFUNCTION("""COMPUTED_VALUE"""),43427419)</f>
        <v>43427419</v>
      </c>
    </row>
    <row r="2071" spans="1:6" x14ac:dyDescent="0.35">
      <c r="A2071" s="2">
        <f ca="1">IFERROR(__xludf.DUMMYFUNCTION("""COMPUTED_VALUE"""),45008.6666666666)</f>
        <v>45008.666666666599</v>
      </c>
      <c r="B2071" s="1">
        <f ca="1">IFERROR(__xludf.DUMMYFUNCTION("""COMPUTED_VALUE"""),105.06)</f>
        <v>105.06</v>
      </c>
      <c r="C2071" s="1">
        <f ca="1">IFERROR(__xludf.DUMMYFUNCTION("""COMPUTED_VALUE"""),106.3)</f>
        <v>106.3</v>
      </c>
      <c r="D2071" s="1">
        <f ca="1">IFERROR(__xludf.DUMMYFUNCTION("""COMPUTED_VALUE"""),104.46)</f>
        <v>104.46</v>
      </c>
      <c r="E2071" s="1">
        <f ca="1">IFERROR(__xludf.DUMMYFUNCTION("""COMPUTED_VALUE"""),105.6)</f>
        <v>105.6</v>
      </c>
      <c r="F2071" s="1">
        <f ca="1">IFERROR(__xludf.DUMMYFUNCTION("""COMPUTED_VALUE"""),40797769)</f>
        <v>40797769</v>
      </c>
    </row>
    <row r="2072" spans="1:6" x14ac:dyDescent="0.35">
      <c r="A2072" s="2">
        <f ca="1">IFERROR(__xludf.DUMMYFUNCTION("""COMPUTED_VALUE"""),45009.6666666666)</f>
        <v>45009.666666666599</v>
      </c>
      <c r="B2072" s="1">
        <f ca="1">IFERROR(__xludf.DUMMYFUNCTION("""COMPUTED_VALUE"""),104.99)</f>
        <v>104.99</v>
      </c>
      <c r="C2072" s="1">
        <f ca="1">IFERROR(__xludf.DUMMYFUNCTION("""COMPUTED_VALUE"""),105.49)</f>
        <v>105.49</v>
      </c>
      <c r="D2072" s="1">
        <f ca="1">IFERROR(__xludf.DUMMYFUNCTION("""COMPUTED_VALUE"""),103.84)</f>
        <v>103.84</v>
      </c>
      <c r="E2072" s="1">
        <f ca="1">IFERROR(__xludf.DUMMYFUNCTION("""COMPUTED_VALUE"""),105.44)</f>
        <v>105.44</v>
      </c>
      <c r="F2072" s="1">
        <f ca="1">IFERROR(__xludf.DUMMYFUNCTION("""COMPUTED_VALUE"""),30411043)</f>
        <v>30411043</v>
      </c>
    </row>
    <row r="2073" spans="1:6" x14ac:dyDescent="0.35">
      <c r="A2073" s="2">
        <f ca="1">IFERROR(__xludf.DUMMYFUNCTION("""COMPUTED_VALUE"""),45012.6666666666)</f>
        <v>45012.666666666599</v>
      </c>
      <c r="B2073" s="1">
        <f ca="1">IFERROR(__xludf.DUMMYFUNCTION("""COMPUTED_VALUE"""),104.62)</f>
        <v>104.62</v>
      </c>
      <c r="C2073" s="1">
        <f ca="1">IFERROR(__xludf.DUMMYFUNCTION("""COMPUTED_VALUE"""),104.76)</f>
        <v>104.76</v>
      </c>
      <c r="D2073" s="1">
        <f ca="1">IFERROR(__xludf.DUMMYFUNCTION("""COMPUTED_VALUE"""),101.93)</f>
        <v>101.93</v>
      </c>
      <c r="E2073" s="1">
        <f ca="1">IFERROR(__xludf.DUMMYFUNCTION("""COMPUTED_VALUE"""),102.46)</f>
        <v>102.46</v>
      </c>
      <c r="F2073" s="1">
        <f ca="1">IFERROR(__xludf.DUMMYFUNCTION("""COMPUTED_VALUE"""),31120864)</f>
        <v>31120864</v>
      </c>
    </row>
    <row r="2074" spans="1:6" x14ac:dyDescent="0.35">
      <c r="A2074" s="2">
        <f ca="1">IFERROR(__xludf.DUMMYFUNCTION("""COMPUTED_VALUE"""),45013.6666666666)</f>
        <v>45013.666666666599</v>
      </c>
      <c r="B2074" s="1">
        <f ca="1">IFERROR(__xludf.DUMMYFUNCTION("""COMPUTED_VALUE"""),102.44)</f>
        <v>102.44</v>
      </c>
      <c r="C2074" s="1">
        <f ca="1">IFERROR(__xludf.DUMMYFUNCTION("""COMPUTED_VALUE"""),102.45)</f>
        <v>102.45</v>
      </c>
      <c r="D2074" s="1">
        <f ca="1">IFERROR(__xludf.DUMMYFUNCTION("""COMPUTED_VALUE"""),99.74)</f>
        <v>99.74</v>
      </c>
      <c r="E2074" s="1">
        <f ca="1">IFERROR(__xludf.DUMMYFUNCTION("""COMPUTED_VALUE"""),101.03)</f>
        <v>101.03</v>
      </c>
      <c r="F2074" s="1">
        <f ca="1">IFERROR(__xludf.DUMMYFUNCTION("""COMPUTED_VALUE"""),32057865)</f>
        <v>32057865</v>
      </c>
    </row>
    <row r="2075" spans="1:6" x14ac:dyDescent="0.35">
      <c r="A2075" s="2">
        <f ca="1">IFERROR(__xludf.DUMMYFUNCTION("""COMPUTED_VALUE"""),45014.6666666666)</f>
        <v>45014.666666666599</v>
      </c>
      <c r="B2075" s="1">
        <f ca="1">IFERROR(__xludf.DUMMYFUNCTION("""COMPUTED_VALUE"""),102.28)</f>
        <v>102.28</v>
      </c>
      <c r="C2075" s="1">
        <f ca="1">IFERROR(__xludf.DUMMYFUNCTION("""COMPUTED_VALUE"""),102.49)</f>
        <v>102.49</v>
      </c>
      <c r="D2075" s="1">
        <f ca="1">IFERROR(__xludf.DUMMYFUNCTION("""COMPUTED_VALUE"""),100.65)</f>
        <v>100.65</v>
      </c>
      <c r="E2075" s="1">
        <f ca="1">IFERROR(__xludf.DUMMYFUNCTION("""COMPUTED_VALUE"""),101.39)</f>
        <v>101.39</v>
      </c>
      <c r="F2075" s="1">
        <f ca="1">IFERROR(__xludf.DUMMYFUNCTION("""COMPUTED_VALUE"""),28779572)</f>
        <v>28779572</v>
      </c>
    </row>
    <row r="2076" spans="1:6" x14ac:dyDescent="0.35">
      <c r="A2076" s="2">
        <f ca="1">IFERROR(__xludf.DUMMYFUNCTION("""COMPUTED_VALUE"""),45015.6666666666)</f>
        <v>45015.666666666599</v>
      </c>
      <c r="B2076" s="1">
        <f ca="1">IFERROR(__xludf.DUMMYFUNCTION("""COMPUTED_VALUE"""),100.91)</f>
        <v>100.91</v>
      </c>
      <c r="C2076" s="1">
        <f ca="1">IFERROR(__xludf.DUMMYFUNCTION("""COMPUTED_VALUE"""),101.16)</f>
        <v>101.16</v>
      </c>
      <c r="D2076" s="1">
        <f ca="1">IFERROR(__xludf.DUMMYFUNCTION("""COMPUTED_VALUE"""),99.78)</f>
        <v>99.78</v>
      </c>
      <c r="E2076" s="1">
        <f ca="1">IFERROR(__xludf.DUMMYFUNCTION("""COMPUTED_VALUE"""),100.89)</f>
        <v>100.89</v>
      </c>
      <c r="F2076" s="1">
        <f ca="1">IFERROR(__xludf.DUMMYFUNCTION("""COMPUTED_VALUE"""),33086183)</f>
        <v>33086183</v>
      </c>
    </row>
    <row r="2077" spans="1:6" x14ac:dyDescent="0.35">
      <c r="A2077" s="2">
        <f ca="1">IFERROR(__xludf.DUMMYFUNCTION("""COMPUTED_VALUE"""),45016.6666666666)</f>
        <v>45016.666666666599</v>
      </c>
      <c r="B2077" s="1">
        <f ca="1">IFERROR(__xludf.DUMMYFUNCTION("""COMPUTED_VALUE"""),101.3)</f>
        <v>101.3</v>
      </c>
      <c r="C2077" s="1">
        <f ca="1">IFERROR(__xludf.DUMMYFUNCTION("""COMPUTED_VALUE"""),103.89)</f>
        <v>103.89</v>
      </c>
      <c r="D2077" s="1">
        <f ca="1">IFERROR(__xludf.DUMMYFUNCTION("""COMPUTED_VALUE"""),101.04)</f>
        <v>101.04</v>
      </c>
      <c r="E2077" s="1">
        <f ca="1">IFERROR(__xludf.DUMMYFUNCTION("""COMPUTED_VALUE"""),103.73)</f>
        <v>103.73</v>
      </c>
      <c r="F2077" s="1">
        <f ca="1">IFERROR(__xludf.DUMMYFUNCTION("""COMPUTED_VALUE"""),36863369)</f>
        <v>36863369</v>
      </c>
    </row>
    <row r="2078" spans="1:6" x14ac:dyDescent="0.35">
      <c r="A2078" s="2">
        <f ca="1">IFERROR(__xludf.DUMMYFUNCTION("""COMPUTED_VALUE"""),45019.6666666666)</f>
        <v>45019.666666666599</v>
      </c>
      <c r="B2078" s="1">
        <f ca="1">IFERROR(__xludf.DUMMYFUNCTION("""COMPUTED_VALUE"""),102.39)</f>
        <v>102.39</v>
      </c>
      <c r="C2078" s="1">
        <f ca="1">IFERROR(__xludf.DUMMYFUNCTION("""COMPUTED_VALUE"""),104.53)</f>
        <v>104.53</v>
      </c>
      <c r="D2078" s="1">
        <f ca="1">IFERROR(__xludf.DUMMYFUNCTION("""COMPUTED_VALUE"""),101.93)</f>
        <v>101.93</v>
      </c>
      <c r="E2078" s="1">
        <f ca="1">IFERROR(__xludf.DUMMYFUNCTION("""COMPUTED_VALUE"""),104.36)</f>
        <v>104.36</v>
      </c>
      <c r="F2078" s="1">
        <f ca="1">IFERROR(__xludf.DUMMYFUNCTION("""COMPUTED_VALUE"""),25035399)</f>
        <v>25035399</v>
      </c>
    </row>
    <row r="2079" spans="1:6" x14ac:dyDescent="0.35">
      <c r="A2079" s="2">
        <f ca="1">IFERROR(__xludf.DUMMYFUNCTION("""COMPUTED_VALUE"""),45020.6666666666)</f>
        <v>45020.666666666599</v>
      </c>
      <c r="B2079" s="1">
        <f ca="1">IFERROR(__xludf.DUMMYFUNCTION("""COMPUTED_VALUE"""),104.33)</f>
        <v>104.33</v>
      </c>
      <c r="C2079" s="1">
        <f ca="1">IFERROR(__xludf.DUMMYFUNCTION("""COMPUTED_VALUE"""),105.58)</f>
        <v>105.58</v>
      </c>
      <c r="D2079" s="1">
        <f ca="1">IFERROR(__xludf.DUMMYFUNCTION("""COMPUTED_VALUE"""),104.04)</f>
        <v>104.04</v>
      </c>
      <c r="E2079" s="1">
        <f ca="1">IFERROR(__xludf.DUMMYFUNCTION("""COMPUTED_VALUE"""),104.72)</f>
        <v>104.72</v>
      </c>
      <c r="F2079" s="1">
        <f ca="1">IFERROR(__xludf.DUMMYFUNCTION("""COMPUTED_VALUE"""),24420079)</f>
        <v>24420079</v>
      </c>
    </row>
    <row r="2080" spans="1:6" x14ac:dyDescent="0.35">
      <c r="A2080" s="2">
        <f ca="1">IFERROR(__xludf.DUMMYFUNCTION("""COMPUTED_VALUE"""),45021.6666666666)</f>
        <v>45021.666666666599</v>
      </c>
      <c r="B2080" s="1">
        <f ca="1">IFERROR(__xludf.DUMMYFUNCTION("""COMPUTED_VALUE"""),105.78)</f>
        <v>105.78</v>
      </c>
      <c r="C2080" s="1">
        <f ca="1">IFERROR(__xludf.DUMMYFUNCTION("""COMPUTED_VALUE"""),106.1)</f>
        <v>106.1</v>
      </c>
      <c r="D2080" s="1">
        <f ca="1">IFERROR(__xludf.DUMMYFUNCTION("""COMPUTED_VALUE"""),103.66)</f>
        <v>103.66</v>
      </c>
      <c r="E2080" s="1">
        <f ca="1">IFERROR(__xludf.DUMMYFUNCTION("""COMPUTED_VALUE"""),104.47)</f>
        <v>104.47</v>
      </c>
      <c r="F2080" s="1">
        <f ca="1">IFERROR(__xludf.DUMMYFUNCTION("""COMPUTED_VALUE"""),28290503)</f>
        <v>28290503</v>
      </c>
    </row>
    <row r="2081" spans="1:6" x14ac:dyDescent="0.35">
      <c r="A2081" s="2">
        <f ca="1">IFERROR(__xludf.DUMMYFUNCTION("""COMPUTED_VALUE"""),45022.6666666666)</f>
        <v>45022.666666666599</v>
      </c>
      <c r="B2081" s="1">
        <f ca="1">IFERROR(__xludf.DUMMYFUNCTION("""COMPUTED_VALUE"""),105.26)</f>
        <v>105.26</v>
      </c>
      <c r="C2081" s="1">
        <f ca="1">IFERROR(__xludf.DUMMYFUNCTION("""COMPUTED_VALUE"""),109.17)</f>
        <v>109.17</v>
      </c>
      <c r="D2081" s="1">
        <f ca="1">IFERROR(__xludf.DUMMYFUNCTION("""COMPUTED_VALUE"""),104.33)</f>
        <v>104.33</v>
      </c>
      <c r="E2081" s="1">
        <f ca="1">IFERROR(__xludf.DUMMYFUNCTION("""COMPUTED_VALUE"""),108.42)</f>
        <v>108.42</v>
      </c>
      <c r="F2081" s="1">
        <f ca="1">IFERROR(__xludf.DUMMYFUNCTION("""COMPUTED_VALUE"""),48711480)</f>
        <v>48711480</v>
      </c>
    </row>
    <row r="2082" spans="1:6" x14ac:dyDescent="0.35">
      <c r="A2082" s="2">
        <f ca="1">IFERROR(__xludf.DUMMYFUNCTION("""COMPUTED_VALUE"""),45026.6666666666)</f>
        <v>45026.666666666599</v>
      </c>
      <c r="B2082" s="1">
        <f ca="1">IFERROR(__xludf.DUMMYFUNCTION("""COMPUTED_VALUE"""),106.98)</f>
        <v>106.98</v>
      </c>
      <c r="C2082" s="1">
        <f ca="1">IFERROR(__xludf.DUMMYFUNCTION("""COMPUTED_VALUE"""),107.59)</f>
        <v>107.59</v>
      </c>
      <c r="D2082" s="1">
        <f ca="1">IFERROR(__xludf.DUMMYFUNCTION("""COMPUTED_VALUE"""),105.12)</f>
        <v>105.12</v>
      </c>
      <c r="E2082" s="1">
        <f ca="1">IFERROR(__xludf.DUMMYFUNCTION("""COMPUTED_VALUE"""),106.44)</f>
        <v>106.44</v>
      </c>
      <c r="F2082" s="1">
        <f ca="1">IFERROR(__xludf.DUMMYFUNCTION("""COMPUTED_VALUE"""),27067355)</f>
        <v>27067355</v>
      </c>
    </row>
    <row r="2083" spans="1:6" x14ac:dyDescent="0.35">
      <c r="A2083" s="2">
        <f ca="1">IFERROR(__xludf.DUMMYFUNCTION("""COMPUTED_VALUE"""),45027.6666666666)</f>
        <v>45027.666666666599</v>
      </c>
      <c r="B2083" s="1">
        <f ca="1">IFERROR(__xludf.DUMMYFUNCTION("""COMPUTED_VALUE"""),106.55)</f>
        <v>106.55</v>
      </c>
      <c r="C2083" s="1">
        <f ca="1">IFERROR(__xludf.DUMMYFUNCTION("""COMPUTED_VALUE"""),106.73)</f>
        <v>106.73</v>
      </c>
      <c r="D2083" s="1">
        <f ca="1">IFERROR(__xludf.DUMMYFUNCTION("""COMPUTED_VALUE"""),104.68)</f>
        <v>104.68</v>
      </c>
      <c r="E2083" s="1">
        <f ca="1">IFERROR(__xludf.DUMMYFUNCTION("""COMPUTED_VALUE"""),105.35)</f>
        <v>105.35</v>
      </c>
      <c r="F2083" s="1">
        <f ca="1">IFERROR(__xludf.DUMMYFUNCTION("""COMPUTED_VALUE"""),26311803)</f>
        <v>26311803</v>
      </c>
    </row>
    <row r="2084" spans="1:6" x14ac:dyDescent="0.35">
      <c r="A2084" s="2">
        <f ca="1">IFERROR(__xludf.DUMMYFUNCTION("""COMPUTED_VALUE"""),45028.6666666666)</f>
        <v>45028.666666666599</v>
      </c>
      <c r="B2084" s="1">
        <f ca="1">IFERROR(__xludf.DUMMYFUNCTION("""COMPUTED_VALUE"""),106.58)</f>
        <v>106.58</v>
      </c>
      <c r="C2084" s="1">
        <f ca="1">IFERROR(__xludf.DUMMYFUNCTION("""COMPUTED_VALUE"""),106.75)</f>
        <v>106.75</v>
      </c>
      <c r="D2084" s="1">
        <f ca="1">IFERROR(__xludf.DUMMYFUNCTION("""COMPUTED_VALUE"""),104.34)</f>
        <v>104.34</v>
      </c>
      <c r="E2084" s="1">
        <f ca="1">IFERROR(__xludf.DUMMYFUNCTION("""COMPUTED_VALUE"""),104.64)</f>
        <v>104.64</v>
      </c>
      <c r="F2084" s="1">
        <f ca="1">IFERROR(__xludf.DUMMYFUNCTION("""COMPUTED_VALUE"""),24370274)</f>
        <v>24370274</v>
      </c>
    </row>
    <row r="2085" spans="1:6" x14ac:dyDescent="0.35">
      <c r="A2085" s="2">
        <f ca="1">IFERROR(__xludf.DUMMYFUNCTION("""COMPUTED_VALUE"""),45029.6666666666)</f>
        <v>45029.666666666599</v>
      </c>
      <c r="B2085" s="1">
        <f ca="1">IFERROR(__xludf.DUMMYFUNCTION("""COMPUTED_VALUE"""),105.84)</f>
        <v>105.84</v>
      </c>
      <c r="C2085" s="1">
        <f ca="1">IFERROR(__xludf.DUMMYFUNCTION("""COMPUTED_VALUE"""),107.49)</f>
        <v>107.49</v>
      </c>
      <c r="D2085" s="1">
        <f ca="1">IFERROR(__xludf.DUMMYFUNCTION("""COMPUTED_VALUE"""),105.84)</f>
        <v>105.84</v>
      </c>
      <c r="E2085" s="1">
        <f ca="1">IFERROR(__xludf.DUMMYFUNCTION("""COMPUTED_VALUE"""),107.43)</f>
        <v>107.43</v>
      </c>
      <c r="F2085" s="1">
        <f ca="1">IFERROR(__xludf.DUMMYFUNCTION("""COMPUTED_VALUE"""),24843579)</f>
        <v>24843579</v>
      </c>
    </row>
    <row r="2086" spans="1:6" x14ac:dyDescent="0.35">
      <c r="A2086" s="2">
        <f ca="1">IFERROR(__xludf.DUMMYFUNCTION("""COMPUTED_VALUE"""),45030.6666666666)</f>
        <v>45030.666666666599</v>
      </c>
      <c r="B2086" s="1">
        <f ca="1">IFERROR(__xludf.DUMMYFUNCTION("""COMPUTED_VALUE"""),106.89)</f>
        <v>106.89</v>
      </c>
      <c r="C2086" s="1">
        <f ca="1">IFERROR(__xludf.DUMMYFUNCTION("""COMPUTED_VALUE"""),108.94)</f>
        <v>108.94</v>
      </c>
      <c r="D2086" s="1">
        <f ca="1">IFERROR(__xludf.DUMMYFUNCTION("""COMPUTED_VALUE"""),106.84)</f>
        <v>106.84</v>
      </c>
      <c r="E2086" s="1">
        <f ca="1">IFERROR(__xludf.DUMMYFUNCTION("""COMPUTED_VALUE"""),108.87)</f>
        <v>108.87</v>
      </c>
      <c r="F2086" s="1">
        <f ca="1">IFERROR(__xludf.DUMMYFUNCTION("""COMPUTED_VALUE"""),26578002)</f>
        <v>26578002</v>
      </c>
    </row>
    <row r="2087" spans="1:6" x14ac:dyDescent="0.35">
      <c r="A2087" s="2">
        <f ca="1">IFERROR(__xludf.DUMMYFUNCTION("""COMPUTED_VALUE"""),45033.6666666666)</f>
        <v>45033.666666666599</v>
      </c>
      <c r="B2087" s="1">
        <f ca="1">IFERROR(__xludf.DUMMYFUNCTION("""COMPUTED_VALUE"""),104.66)</f>
        <v>104.66</v>
      </c>
      <c r="C2087" s="1">
        <f ca="1">IFERROR(__xludf.DUMMYFUNCTION("""COMPUTED_VALUE"""),106.16)</f>
        <v>106.16</v>
      </c>
      <c r="D2087" s="1">
        <f ca="1">IFERROR(__xludf.DUMMYFUNCTION("""COMPUTED_VALUE"""),104.52)</f>
        <v>104.52</v>
      </c>
      <c r="E2087" s="1">
        <f ca="1">IFERROR(__xludf.DUMMYFUNCTION("""COMPUTED_VALUE"""),105.97)</f>
        <v>105.97</v>
      </c>
      <c r="F2087" s="1">
        <f ca="1">IFERROR(__xludf.DUMMYFUNCTION("""COMPUTED_VALUE"""),37571218)</f>
        <v>37571218</v>
      </c>
    </row>
    <row r="2088" spans="1:6" x14ac:dyDescent="0.35">
      <c r="A2088" s="2">
        <f ca="1">IFERROR(__xludf.DUMMYFUNCTION("""COMPUTED_VALUE"""),45034.6666666666)</f>
        <v>45034.666666666599</v>
      </c>
      <c r="B2088" s="1">
        <f ca="1">IFERROR(__xludf.DUMMYFUNCTION("""COMPUTED_VALUE"""),106.49)</f>
        <v>106.49</v>
      </c>
      <c r="C2088" s="1">
        <f ca="1">IFERROR(__xludf.DUMMYFUNCTION("""COMPUTED_VALUE"""),106.54)</f>
        <v>106.54</v>
      </c>
      <c r="D2088" s="1">
        <f ca="1">IFERROR(__xludf.DUMMYFUNCTION("""COMPUTED_VALUE"""),104.07)</f>
        <v>104.07</v>
      </c>
      <c r="E2088" s="1">
        <f ca="1">IFERROR(__xludf.DUMMYFUNCTION("""COMPUTED_VALUE"""),104.5)</f>
        <v>104.5</v>
      </c>
      <c r="F2088" s="1">
        <f ca="1">IFERROR(__xludf.DUMMYFUNCTION("""COMPUTED_VALUE"""),26596445)</f>
        <v>26596445</v>
      </c>
    </row>
    <row r="2089" spans="1:6" x14ac:dyDescent="0.35">
      <c r="A2089" s="2">
        <f ca="1">IFERROR(__xludf.DUMMYFUNCTION("""COMPUTED_VALUE"""),45035.6666666666)</f>
        <v>45035.666666666599</v>
      </c>
      <c r="B2089" s="1">
        <f ca="1">IFERROR(__xludf.DUMMYFUNCTION("""COMPUTED_VALUE"""),103.58)</f>
        <v>103.58</v>
      </c>
      <c r="C2089" s="1">
        <f ca="1">IFERROR(__xludf.DUMMYFUNCTION("""COMPUTED_VALUE"""),104.98)</f>
        <v>104.98</v>
      </c>
      <c r="D2089" s="1">
        <f ca="1">IFERROR(__xludf.DUMMYFUNCTION("""COMPUTED_VALUE"""),103.07)</f>
        <v>103.07</v>
      </c>
      <c r="E2089" s="1">
        <f ca="1">IFERROR(__xludf.DUMMYFUNCTION("""COMPUTED_VALUE"""),104.18)</f>
        <v>104.18</v>
      </c>
      <c r="F2089" s="1">
        <f ca="1">IFERROR(__xludf.DUMMYFUNCTION("""COMPUTED_VALUE"""),20905684)</f>
        <v>20905684</v>
      </c>
    </row>
    <row r="2090" spans="1:6" x14ac:dyDescent="0.35">
      <c r="A2090" s="2">
        <f ca="1">IFERROR(__xludf.DUMMYFUNCTION("""COMPUTED_VALUE"""),45036.6666666666)</f>
        <v>45036.666666666599</v>
      </c>
      <c r="B2090" s="1">
        <f ca="1">IFERROR(__xludf.DUMMYFUNCTION("""COMPUTED_VALUE"""),103.91)</f>
        <v>103.91</v>
      </c>
      <c r="C2090" s="1">
        <f ca="1">IFERROR(__xludf.DUMMYFUNCTION("""COMPUTED_VALUE"""),106.25)</f>
        <v>106.25</v>
      </c>
      <c r="D2090" s="1">
        <f ca="1">IFERROR(__xludf.DUMMYFUNCTION("""COMPUTED_VALUE"""),103.87)</f>
        <v>103.87</v>
      </c>
      <c r="E2090" s="1">
        <f ca="1">IFERROR(__xludf.DUMMYFUNCTION("""COMPUTED_VALUE"""),105.29)</f>
        <v>105.29</v>
      </c>
      <c r="F2090" s="1">
        <f ca="1">IFERROR(__xludf.DUMMYFUNCTION("""COMPUTED_VALUE"""),27820794)</f>
        <v>27820794</v>
      </c>
    </row>
    <row r="2091" spans="1:6" x14ac:dyDescent="0.35">
      <c r="A2091" s="2">
        <f ca="1">IFERROR(__xludf.DUMMYFUNCTION("""COMPUTED_VALUE"""),45037.6666666666)</f>
        <v>45037.666666666599</v>
      </c>
      <c r="B2091" s="1">
        <f ca="1">IFERROR(__xludf.DUMMYFUNCTION("""COMPUTED_VALUE"""),105.47)</f>
        <v>105.47</v>
      </c>
      <c r="C2091" s="1">
        <f ca="1">IFERROR(__xludf.DUMMYFUNCTION("""COMPUTED_VALUE"""),106)</f>
        <v>106</v>
      </c>
      <c r="D2091" s="1">
        <f ca="1">IFERROR(__xludf.DUMMYFUNCTION("""COMPUTED_VALUE"""),104.78)</f>
        <v>104.78</v>
      </c>
      <c r="E2091" s="1">
        <f ca="1">IFERROR(__xludf.DUMMYFUNCTION("""COMPUTED_VALUE"""),105.41)</f>
        <v>105.41</v>
      </c>
      <c r="F2091" s="1">
        <f ca="1">IFERROR(__xludf.DUMMYFUNCTION("""COMPUTED_VALUE"""),25800082)</f>
        <v>25800082</v>
      </c>
    </row>
    <row r="2092" spans="1:6" x14ac:dyDescent="0.35">
      <c r="A2092" s="2">
        <f ca="1">IFERROR(__xludf.DUMMYFUNCTION("""COMPUTED_VALUE"""),45040.6666666666)</f>
        <v>45040.666666666599</v>
      </c>
      <c r="B2092" s="1">
        <f ca="1">IFERROR(__xludf.DUMMYFUNCTION("""COMPUTED_VALUE"""),105.49)</f>
        <v>105.49</v>
      </c>
      <c r="C2092" s="1">
        <f ca="1">IFERROR(__xludf.DUMMYFUNCTION("""COMPUTED_VALUE"""),106.63)</f>
        <v>106.63</v>
      </c>
      <c r="D2092" s="1">
        <f ca="1">IFERROR(__xludf.DUMMYFUNCTION("""COMPUTED_VALUE"""),104.7)</f>
        <v>104.7</v>
      </c>
      <c r="E2092" s="1">
        <f ca="1">IFERROR(__xludf.DUMMYFUNCTION("""COMPUTED_VALUE"""),105.97)</f>
        <v>105.97</v>
      </c>
      <c r="F2092" s="1">
        <f ca="1">IFERROR(__xludf.DUMMYFUNCTION("""COMPUTED_VALUE"""),23542829)</f>
        <v>23542829</v>
      </c>
    </row>
    <row r="2093" spans="1:6" x14ac:dyDescent="0.35">
      <c r="A2093" s="2">
        <f ca="1">IFERROR(__xludf.DUMMYFUNCTION("""COMPUTED_VALUE"""),45041.6666666666)</f>
        <v>45041.666666666599</v>
      </c>
      <c r="B2093" s="1">
        <f ca="1">IFERROR(__xludf.DUMMYFUNCTION("""COMPUTED_VALUE"""),105.83)</f>
        <v>105.83</v>
      </c>
      <c r="C2093" s="1">
        <f ca="1">IFERROR(__xludf.DUMMYFUNCTION("""COMPUTED_VALUE"""),106.69)</f>
        <v>106.69</v>
      </c>
      <c r="D2093" s="1">
        <f ca="1">IFERROR(__xludf.DUMMYFUNCTION("""COMPUTED_VALUE"""),103.84)</f>
        <v>103.84</v>
      </c>
      <c r="E2093" s="1">
        <f ca="1">IFERROR(__xludf.DUMMYFUNCTION("""COMPUTED_VALUE"""),103.85)</f>
        <v>103.85</v>
      </c>
      <c r="F2093" s="1">
        <f ca="1">IFERROR(__xludf.DUMMYFUNCTION("""COMPUTED_VALUE"""),46664104)</f>
        <v>46664104</v>
      </c>
    </row>
    <row r="2094" spans="1:6" x14ac:dyDescent="0.35">
      <c r="A2094" s="2">
        <f ca="1">IFERROR(__xludf.DUMMYFUNCTION("""COMPUTED_VALUE"""),45042.6666666666)</f>
        <v>45042.666666666599</v>
      </c>
      <c r="B2094" s="1">
        <f ca="1">IFERROR(__xludf.DUMMYFUNCTION("""COMPUTED_VALUE"""),104.92)</f>
        <v>104.92</v>
      </c>
      <c r="C2094" s="1">
        <f ca="1">IFERROR(__xludf.DUMMYFUNCTION("""COMPUTED_VALUE"""),106.35)</f>
        <v>106.35</v>
      </c>
      <c r="D2094" s="1">
        <f ca="1">IFERROR(__xludf.DUMMYFUNCTION("""COMPUTED_VALUE"""),102.63)</f>
        <v>102.63</v>
      </c>
      <c r="E2094" s="1">
        <f ca="1">IFERROR(__xludf.DUMMYFUNCTION("""COMPUTED_VALUE"""),103.71)</f>
        <v>103.71</v>
      </c>
      <c r="F2094" s="1">
        <f ca="1">IFERROR(__xludf.DUMMYFUNCTION("""COMPUTED_VALUE"""),53347560)</f>
        <v>53347560</v>
      </c>
    </row>
    <row r="2095" spans="1:6" x14ac:dyDescent="0.35">
      <c r="A2095" s="2">
        <f ca="1">IFERROR(__xludf.DUMMYFUNCTION("""COMPUTED_VALUE"""),45043.6666666666)</f>
        <v>45043.666666666599</v>
      </c>
      <c r="B2095" s="1">
        <f ca="1">IFERROR(__xludf.DUMMYFUNCTION("""COMPUTED_VALUE"""),104.45)</f>
        <v>104.45</v>
      </c>
      <c r="C2095" s="1">
        <f ca="1">IFERROR(__xludf.DUMMYFUNCTION("""COMPUTED_VALUE"""),108.37)</f>
        <v>108.37</v>
      </c>
      <c r="D2095" s="1">
        <f ca="1">IFERROR(__xludf.DUMMYFUNCTION("""COMPUTED_VALUE"""),103.54)</f>
        <v>103.54</v>
      </c>
      <c r="E2095" s="1">
        <f ca="1">IFERROR(__xludf.DUMMYFUNCTION("""COMPUTED_VALUE"""),107.59)</f>
        <v>107.59</v>
      </c>
      <c r="F2095" s="1">
        <f ca="1">IFERROR(__xludf.DUMMYFUNCTION("""COMPUTED_VALUE"""),50089187)</f>
        <v>50089187</v>
      </c>
    </row>
    <row r="2096" spans="1:6" x14ac:dyDescent="0.35">
      <c r="A2096" s="2">
        <f ca="1">IFERROR(__xludf.DUMMYFUNCTION("""COMPUTED_VALUE"""),45044.6666666666)</f>
        <v>45044.666666666599</v>
      </c>
      <c r="B2096" s="1">
        <f ca="1">IFERROR(__xludf.DUMMYFUNCTION("""COMPUTED_VALUE"""),107.04)</f>
        <v>107.04</v>
      </c>
      <c r="C2096" s="1">
        <f ca="1">IFERROR(__xludf.DUMMYFUNCTION("""COMPUTED_VALUE"""),107.35)</f>
        <v>107.35</v>
      </c>
      <c r="D2096" s="1">
        <f ca="1">IFERROR(__xludf.DUMMYFUNCTION("""COMPUTED_VALUE"""),105.09)</f>
        <v>105.09</v>
      </c>
      <c r="E2096" s="1">
        <f ca="1">IFERROR(__xludf.DUMMYFUNCTION("""COMPUTED_VALUE"""),107.34)</f>
        <v>107.34</v>
      </c>
      <c r="F2096" s="1">
        <f ca="1">IFERROR(__xludf.DUMMYFUNCTION("""COMPUTED_VALUE"""),36139847)</f>
        <v>36139847</v>
      </c>
    </row>
    <row r="2097" spans="1:6" x14ac:dyDescent="0.35">
      <c r="A2097" s="2">
        <f ca="1">IFERROR(__xludf.DUMMYFUNCTION("""COMPUTED_VALUE"""),45047.6666666666)</f>
        <v>45047.666666666599</v>
      </c>
      <c r="B2097" s="1">
        <f ca="1">IFERROR(__xludf.DUMMYFUNCTION("""COMPUTED_VALUE"""),106.84)</f>
        <v>106.84</v>
      </c>
      <c r="C2097" s="1">
        <f ca="1">IFERROR(__xludf.DUMMYFUNCTION("""COMPUTED_VALUE"""),107.99)</f>
        <v>107.99</v>
      </c>
      <c r="D2097" s="1">
        <f ca="1">IFERROR(__xludf.DUMMYFUNCTION("""COMPUTED_VALUE"""),106.82)</f>
        <v>106.82</v>
      </c>
      <c r="E2097" s="1">
        <f ca="1">IFERROR(__xludf.DUMMYFUNCTION("""COMPUTED_VALUE"""),107.2)</f>
        <v>107.2</v>
      </c>
      <c r="F2097" s="1">
        <f ca="1">IFERROR(__xludf.DUMMYFUNCTION("""COMPUTED_VALUE"""),26681680)</f>
        <v>26681680</v>
      </c>
    </row>
    <row r="2098" spans="1:6" x14ac:dyDescent="0.35">
      <c r="A2098" s="2">
        <f ca="1">IFERROR(__xludf.DUMMYFUNCTION("""COMPUTED_VALUE"""),45048.6666666666)</f>
        <v>45048.666666666599</v>
      </c>
      <c r="B2098" s="1">
        <f ca="1">IFERROR(__xludf.DUMMYFUNCTION("""COMPUTED_VALUE"""),107.14)</f>
        <v>107.14</v>
      </c>
      <c r="C2098" s="1">
        <f ca="1">IFERROR(__xludf.DUMMYFUNCTION("""COMPUTED_VALUE"""),107.2)</f>
        <v>107.2</v>
      </c>
      <c r="D2098" s="1">
        <f ca="1">IFERROR(__xludf.DUMMYFUNCTION("""COMPUTED_VALUE"""),103.71)</f>
        <v>103.71</v>
      </c>
      <c r="E2098" s="1">
        <f ca="1">IFERROR(__xludf.DUMMYFUNCTION("""COMPUTED_VALUE"""),105.32)</f>
        <v>105.32</v>
      </c>
      <c r="F2098" s="1">
        <f ca="1">IFERROR(__xludf.DUMMYFUNCTION("""COMPUTED_VALUE"""),30997245)</f>
        <v>30997245</v>
      </c>
    </row>
    <row r="2099" spans="1:6" x14ac:dyDescent="0.35">
      <c r="A2099" s="2">
        <f ca="1">IFERROR(__xludf.DUMMYFUNCTION("""COMPUTED_VALUE"""),45049.6666666666)</f>
        <v>45049.666666666599</v>
      </c>
      <c r="B2099" s="1">
        <f ca="1">IFERROR(__xludf.DUMMYFUNCTION("""COMPUTED_VALUE"""),105.53)</f>
        <v>105.53</v>
      </c>
      <c r="C2099" s="1">
        <f ca="1">IFERROR(__xludf.DUMMYFUNCTION("""COMPUTED_VALUE"""),107.49)</f>
        <v>107.49</v>
      </c>
      <c r="D2099" s="1">
        <f ca="1">IFERROR(__xludf.DUMMYFUNCTION("""COMPUTED_VALUE"""),104.96)</f>
        <v>104.96</v>
      </c>
      <c r="E2099" s="1">
        <f ca="1">IFERROR(__xludf.DUMMYFUNCTION("""COMPUTED_VALUE"""),105.41)</f>
        <v>105.41</v>
      </c>
      <c r="F2099" s="1">
        <f ca="1">IFERROR(__xludf.DUMMYFUNCTION("""COMPUTED_VALUE"""),21795405)</f>
        <v>21795405</v>
      </c>
    </row>
    <row r="2100" spans="1:6" x14ac:dyDescent="0.35">
      <c r="A2100" s="2">
        <f ca="1">IFERROR(__xludf.DUMMYFUNCTION("""COMPUTED_VALUE"""),45050.6666666666)</f>
        <v>45050.666666666599</v>
      </c>
      <c r="B2100" s="1">
        <f ca="1">IFERROR(__xludf.DUMMYFUNCTION("""COMPUTED_VALUE"""),105.49)</f>
        <v>105.49</v>
      </c>
      <c r="C2100" s="1">
        <f ca="1">IFERROR(__xludf.DUMMYFUNCTION("""COMPUTED_VALUE"""),105.6)</f>
        <v>105.6</v>
      </c>
      <c r="D2100" s="1">
        <f ca="1">IFERROR(__xludf.DUMMYFUNCTION("""COMPUTED_VALUE"""),103.97)</f>
        <v>103.97</v>
      </c>
      <c r="E2100" s="1">
        <f ca="1">IFERROR(__xludf.DUMMYFUNCTION("""COMPUTED_VALUE"""),104.69)</f>
        <v>104.69</v>
      </c>
      <c r="F2100" s="1">
        <f ca="1">IFERROR(__xludf.DUMMYFUNCTION("""COMPUTED_VALUE"""),23419506)</f>
        <v>23419506</v>
      </c>
    </row>
    <row r="2101" spans="1:6" x14ac:dyDescent="0.35">
      <c r="A2101" s="2">
        <f ca="1">IFERROR(__xludf.DUMMYFUNCTION("""COMPUTED_VALUE"""),45051.6666666666)</f>
        <v>45051.666666666599</v>
      </c>
      <c r="B2101" s="1">
        <f ca="1">IFERROR(__xludf.DUMMYFUNCTION("""COMPUTED_VALUE"""),104.82)</f>
        <v>104.82</v>
      </c>
      <c r="C2101" s="1">
        <f ca="1">IFERROR(__xludf.DUMMYFUNCTION("""COMPUTED_VALUE"""),105.88)</f>
        <v>105.88</v>
      </c>
      <c r="D2101" s="1">
        <f ca="1">IFERROR(__xludf.DUMMYFUNCTION("""COMPUTED_VALUE"""),104.11)</f>
        <v>104.11</v>
      </c>
      <c r="E2101" s="1">
        <f ca="1">IFERROR(__xludf.DUMMYFUNCTION("""COMPUTED_VALUE"""),105.57)</f>
        <v>105.57</v>
      </c>
      <c r="F2101" s="1">
        <f ca="1">IFERROR(__xludf.DUMMYFUNCTION("""COMPUTED_VALUE"""),26639254)</f>
        <v>26639254</v>
      </c>
    </row>
    <row r="2102" spans="1:6" x14ac:dyDescent="0.35">
      <c r="A2102" s="2">
        <f ca="1">IFERROR(__xludf.DUMMYFUNCTION("""COMPUTED_VALUE"""),45054.6666666666)</f>
        <v>45054.666666666599</v>
      </c>
      <c r="B2102" s="1">
        <f ca="1">IFERROR(__xludf.DUMMYFUNCTION("""COMPUTED_VALUE"""),105.18)</f>
        <v>105.18</v>
      </c>
      <c r="C2102" s="1">
        <f ca="1">IFERROR(__xludf.DUMMYFUNCTION("""COMPUTED_VALUE"""),107.96)</f>
        <v>107.96</v>
      </c>
      <c r="D2102" s="1">
        <f ca="1">IFERROR(__xludf.DUMMYFUNCTION("""COMPUTED_VALUE"""),105.16)</f>
        <v>105.16</v>
      </c>
      <c r="E2102" s="1">
        <f ca="1">IFERROR(__xludf.DUMMYFUNCTION("""COMPUTED_VALUE"""),107.77)</f>
        <v>107.77</v>
      </c>
      <c r="F2102" s="1">
        <f ca="1">IFERROR(__xludf.DUMMYFUNCTION("""COMPUTED_VALUE"""),26511445)</f>
        <v>26511445</v>
      </c>
    </row>
    <row r="2103" spans="1:6" x14ac:dyDescent="0.35">
      <c r="A2103" s="2">
        <f ca="1">IFERROR(__xludf.DUMMYFUNCTION("""COMPUTED_VALUE"""),45055.6666666666)</f>
        <v>45055.666666666599</v>
      </c>
      <c r="B2103" s="1">
        <f ca="1">IFERROR(__xludf.DUMMYFUNCTION("""COMPUTED_VALUE"""),108.39)</f>
        <v>108.39</v>
      </c>
      <c r="C2103" s="1">
        <f ca="1">IFERROR(__xludf.DUMMYFUNCTION("""COMPUTED_VALUE"""),110.15)</f>
        <v>110.15</v>
      </c>
      <c r="D2103" s="1">
        <f ca="1">IFERROR(__xludf.DUMMYFUNCTION("""COMPUTED_VALUE"""),107.19)</f>
        <v>107.19</v>
      </c>
      <c r="E2103" s="1">
        <f ca="1">IFERROR(__xludf.DUMMYFUNCTION("""COMPUTED_VALUE"""),107.35)</f>
        <v>107.35</v>
      </c>
      <c r="F2103" s="1">
        <f ca="1">IFERROR(__xludf.DUMMYFUNCTION("""COMPUTED_VALUE"""),36360141)</f>
        <v>36360141</v>
      </c>
    </row>
    <row r="2104" spans="1:6" x14ac:dyDescent="0.35">
      <c r="A2104" s="2">
        <f ca="1">IFERROR(__xludf.DUMMYFUNCTION("""COMPUTED_VALUE"""),45056.6666666666)</f>
        <v>45056.666666666599</v>
      </c>
      <c r="B2104" s="1">
        <f ca="1">IFERROR(__xludf.DUMMYFUNCTION("""COMPUTED_VALUE"""),107.97)</f>
        <v>107.97</v>
      </c>
      <c r="C2104" s="1">
        <f ca="1">IFERROR(__xludf.DUMMYFUNCTION("""COMPUTED_VALUE"""),112.94)</f>
        <v>112.94</v>
      </c>
      <c r="D2104" s="1">
        <f ca="1">IFERROR(__xludf.DUMMYFUNCTION("""COMPUTED_VALUE"""),107.93)</f>
        <v>107.93</v>
      </c>
      <c r="E2104" s="1">
        <f ca="1">IFERROR(__xludf.DUMMYFUNCTION("""COMPUTED_VALUE"""),111.75)</f>
        <v>111.75</v>
      </c>
      <c r="F2104" s="1">
        <f ca="1">IFERROR(__xludf.DUMMYFUNCTION("""COMPUTED_VALUE"""),63153367)</f>
        <v>63153367</v>
      </c>
    </row>
    <row r="2105" spans="1:6" x14ac:dyDescent="0.35">
      <c r="A2105" s="2">
        <f ca="1">IFERROR(__xludf.DUMMYFUNCTION("""COMPUTED_VALUE"""),45057.6666666666)</f>
        <v>45057.666666666599</v>
      </c>
      <c r="B2105" s="1">
        <f ca="1">IFERROR(__xludf.DUMMYFUNCTION("""COMPUTED_VALUE"""),115.4)</f>
        <v>115.4</v>
      </c>
      <c r="C2105" s="1">
        <f ca="1">IFERROR(__xludf.DUMMYFUNCTION("""COMPUTED_VALUE"""),117.92)</f>
        <v>117.92</v>
      </c>
      <c r="D2105" s="1">
        <f ca="1">IFERROR(__xludf.DUMMYFUNCTION("""COMPUTED_VALUE"""),114.41)</f>
        <v>114.41</v>
      </c>
      <c r="E2105" s="1">
        <f ca="1">IFERROR(__xludf.DUMMYFUNCTION("""COMPUTED_VALUE"""),116.57)</f>
        <v>116.57</v>
      </c>
      <c r="F2105" s="1">
        <f ca="1">IFERROR(__xludf.DUMMYFUNCTION("""COMPUTED_VALUE"""),78900029)</f>
        <v>78900029</v>
      </c>
    </row>
    <row r="2106" spans="1:6" x14ac:dyDescent="0.35">
      <c r="A2106" s="2">
        <f ca="1">IFERROR(__xludf.DUMMYFUNCTION("""COMPUTED_VALUE"""),45058.6666666666)</f>
        <v>45058.666666666599</v>
      </c>
      <c r="B2106" s="1">
        <f ca="1">IFERROR(__xludf.DUMMYFUNCTION("""COMPUTED_VALUE"""),116.68)</f>
        <v>116.68</v>
      </c>
      <c r="C2106" s="1">
        <f ca="1">IFERROR(__xludf.DUMMYFUNCTION("""COMPUTED_VALUE"""),118.03)</f>
        <v>118.03</v>
      </c>
      <c r="D2106" s="1">
        <f ca="1">IFERROR(__xludf.DUMMYFUNCTION("""COMPUTED_VALUE"""),116.11)</f>
        <v>116.11</v>
      </c>
      <c r="E2106" s="1">
        <f ca="1">IFERROR(__xludf.DUMMYFUNCTION("""COMPUTED_VALUE"""),117.51)</f>
        <v>117.51</v>
      </c>
      <c r="F2106" s="1">
        <f ca="1">IFERROR(__xludf.DUMMYFUNCTION("""COMPUTED_VALUE"""),41102330)</f>
        <v>41102330</v>
      </c>
    </row>
    <row r="2107" spans="1:6" x14ac:dyDescent="0.35">
      <c r="A2107" s="2">
        <f ca="1">IFERROR(__xludf.DUMMYFUNCTION("""COMPUTED_VALUE"""),45061.6666666666)</f>
        <v>45061.666666666599</v>
      </c>
      <c r="B2107" s="1">
        <f ca="1">IFERROR(__xludf.DUMMYFUNCTION("""COMPUTED_VALUE"""),116.11)</f>
        <v>116.11</v>
      </c>
      <c r="C2107" s="1">
        <f ca="1">IFERROR(__xludf.DUMMYFUNCTION("""COMPUTED_VALUE"""),118.48)</f>
        <v>118.48</v>
      </c>
      <c r="D2107" s="1">
        <f ca="1">IFERROR(__xludf.DUMMYFUNCTION("""COMPUTED_VALUE"""),116.01)</f>
        <v>116.01</v>
      </c>
      <c r="E2107" s="1">
        <f ca="1">IFERROR(__xludf.DUMMYFUNCTION("""COMPUTED_VALUE"""),116.51)</f>
        <v>116.51</v>
      </c>
      <c r="F2107" s="1">
        <f ca="1">IFERROR(__xludf.DUMMYFUNCTION("""COMPUTED_VALUE"""),36266765)</f>
        <v>36266765</v>
      </c>
    </row>
    <row r="2108" spans="1:6" x14ac:dyDescent="0.35">
      <c r="A2108" s="2">
        <f ca="1">IFERROR(__xludf.DUMMYFUNCTION("""COMPUTED_VALUE"""),45062.6666666666)</f>
        <v>45062.666666666599</v>
      </c>
      <c r="B2108" s="1">
        <f ca="1">IFERROR(__xludf.DUMMYFUNCTION("""COMPUTED_VALUE"""),116.49)</f>
        <v>116.49</v>
      </c>
      <c r="C2108" s="1">
        <f ca="1">IFERROR(__xludf.DUMMYFUNCTION("""COMPUTED_VALUE"""),120.75)</f>
        <v>120.75</v>
      </c>
      <c r="D2108" s="1">
        <f ca="1">IFERROR(__xludf.DUMMYFUNCTION("""COMPUTED_VALUE"""),116.43)</f>
        <v>116.43</v>
      </c>
      <c r="E2108" s="1">
        <f ca="1">IFERROR(__xludf.DUMMYFUNCTION("""COMPUTED_VALUE"""),119.51)</f>
        <v>119.51</v>
      </c>
      <c r="F2108" s="1">
        <f ca="1">IFERROR(__xludf.DUMMYFUNCTION("""COMPUTED_VALUE"""),45035558)</f>
        <v>45035558</v>
      </c>
    </row>
    <row r="2109" spans="1:6" x14ac:dyDescent="0.35">
      <c r="A2109" s="2">
        <f ca="1">IFERROR(__xludf.DUMMYFUNCTION("""COMPUTED_VALUE"""),45063.6666666666)</f>
        <v>45063.666666666599</v>
      </c>
      <c r="B2109" s="1">
        <f ca="1">IFERROR(__xludf.DUMMYFUNCTION("""COMPUTED_VALUE"""),119.61)</f>
        <v>119.61</v>
      </c>
      <c r="C2109" s="1">
        <f ca="1">IFERROR(__xludf.DUMMYFUNCTION("""COMPUTED_VALUE"""),121.67)</f>
        <v>121.67</v>
      </c>
      <c r="D2109" s="1">
        <f ca="1">IFERROR(__xludf.DUMMYFUNCTION("""COMPUTED_VALUE"""),118.89)</f>
        <v>118.89</v>
      </c>
      <c r="E2109" s="1">
        <f ca="1">IFERROR(__xludf.DUMMYFUNCTION("""COMPUTED_VALUE"""),120.84)</f>
        <v>120.84</v>
      </c>
      <c r="F2109" s="1">
        <f ca="1">IFERROR(__xludf.DUMMYFUNCTION("""COMPUTED_VALUE"""),33323588)</f>
        <v>33323588</v>
      </c>
    </row>
    <row r="2110" spans="1:6" x14ac:dyDescent="0.35">
      <c r="A2110" s="2">
        <f ca="1">IFERROR(__xludf.DUMMYFUNCTION("""COMPUTED_VALUE"""),45064.6666666666)</f>
        <v>45064.666666666599</v>
      </c>
      <c r="B2110" s="1">
        <f ca="1">IFERROR(__xludf.DUMMYFUNCTION("""COMPUTED_VALUE"""),120.95)</f>
        <v>120.95</v>
      </c>
      <c r="C2110" s="1">
        <f ca="1">IFERROR(__xludf.DUMMYFUNCTION("""COMPUTED_VALUE"""),123.31)</f>
        <v>123.31</v>
      </c>
      <c r="D2110" s="1">
        <f ca="1">IFERROR(__xludf.DUMMYFUNCTION("""COMPUTED_VALUE"""),120.83)</f>
        <v>120.83</v>
      </c>
      <c r="E2110" s="1">
        <f ca="1">IFERROR(__xludf.DUMMYFUNCTION("""COMPUTED_VALUE"""),122.83)</f>
        <v>122.83</v>
      </c>
      <c r="F2110" s="1">
        <f ca="1">IFERROR(__xludf.DUMMYFUNCTION("""COMPUTED_VALUE"""),35234233)</f>
        <v>35234233</v>
      </c>
    </row>
    <row r="2111" spans="1:6" x14ac:dyDescent="0.35">
      <c r="A2111" s="2">
        <f ca="1">IFERROR(__xludf.DUMMYFUNCTION("""COMPUTED_VALUE"""),45065.6666666666)</f>
        <v>45065.666666666599</v>
      </c>
      <c r="B2111" s="1">
        <f ca="1">IFERROR(__xludf.DUMMYFUNCTION("""COMPUTED_VALUE"""),123.55)</f>
        <v>123.55</v>
      </c>
      <c r="C2111" s="1">
        <f ca="1">IFERROR(__xludf.DUMMYFUNCTION("""COMPUTED_VALUE"""),125.97)</f>
        <v>125.97</v>
      </c>
      <c r="D2111" s="1">
        <f ca="1">IFERROR(__xludf.DUMMYFUNCTION("""COMPUTED_VALUE"""),122.15)</f>
        <v>122.15</v>
      </c>
      <c r="E2111" s="1">
        <f ca="1">IFERROR(__xludf.DUMMYFUNCTION("""COMPUTED_VALUE"""),122.76)</f>
        <v>122.76</v>
      </c>
      <c r="F2111" s="1">
        <f ca="1">IFERROR(__xludf.DUMMYFUNCTION("""COMPUTED_VALUE"""),41353445)</f>
        <v>41353445</v>
      </c>
    </row>
    <row r="2112" spans="1:6" x14ac:dyDescent="0.35">
      <c r="A2112" s="2">
        <f ca="1">IFERROR(__xludf.DUMMYFUNCTION("""COMPUTED_VALUE"""),45068.6666666666)</f>
        <v>45068.666666666599</v>
      </c>
      <c r="B2112" s="1">
        <f ca="1">IFERROR(__xludf.DUMMYFUNCTION("""COMPUTED_VALUE"""),122.94)</f>
        <v>122.94</v>
      </c>
      <c r="C2112" s="1">
        <f ca="1">IFERROR(__xludf.DUMMYFUNCTION("""COMPUTED_VALUE"""),126.43)</f>
        <v>126.43</v>
      </c>
      <c r="D2112" s="1">
        <f ca="1">IFERROR(__xludf.DUMMYFUNCTION("""COMPUTED_VALUE"""),122.74)</f>
        <v>122.74</v>
      </c>
      <c r="E2112" s="1">
        <f ca="1">IFERROR(__xludf.DUMMYFUNCTION("""COMPUTED_VALUE"""),125.05)</f>
        <v>125.05</v>
      </c>
      <c r="F2112" s="1">
        <f ca="1">IFERROR(__xludf.DUMMYFUNCTION("""COMPUTED_VALUE"""),35253034)</f>
        <v>35253034</v>
      </c>
    </row>
    <row r="2113" spans="1:6" x14ac:dyDescent="0.35">
      <c r="A2113" s="2">
        <f ca="1">IFERROR(__xludf.DUMMYFUNCTION("""COMPUTED_VALUE"""),45069.6666666666)</f>
        <v>45069.666666666599</v>
      </c>
      <c r="B2113" s="1">
        <f ca="1">IFERROR(__xludf.DUMMYFUNCTION("""COMPUTED_VALUE"""),124.16)</f>
        <v>124.16</v>
      </c>
      <c r="C2113" s="1">
        <f ca="1">IFERROR(__xludf.DUMMYFUNCTION("""COMPUTED_VALUE"""),124.63)</f>
        <v>124.63</v>
      </c>
      <c r="D2113" s="1">
        <f ca="1">IFERROR(__xludf.DUMMYFUNCTION("""COMPUTED_VALUE"""),122.21)</f>
        <v>122.21</v>
      </c>
      <c r="E2113" s="1">
        <f ca="1">IFERROR(__xludf.DUMMYFUNCTION("""COMPUTED_VALUE"""),122.56)</f>
        <v>122.56</v>
      </c>
      <c r="F2113" s="1">
        <f ca="1">IFERROR(__xludf.DUMMYFUNCTION("""COMPUTED_VALUE"""),34046251)</f>
        <v>34046251</v>
      </c>
    </row>
    <row r="2114" spans="1:6" x14ac:dyDescent="0.35">
      <c r="A2114" s="2">
        <f ca="1">IFERROR(__xludf.DUMMYFUNCTION("""COMPUTED_VALUE"""),45070.6666666666)</f>
        <v>45070.666666666599</v>
      </c>
      <c r="B2114" s="1">
        <f ca="1">IFERROR(__xludf.DUMMYFUNCTION("""COMPUTED_VALUE"""),121.12)</f>
        <v>121.12</v>
      </c>
      <c r="C2114" s="1">
        <f ca="1">IFERROR(__xludf.DUMMYFUNCTION("""COMPUTED_VALUE"""),121.91)</f>
        <v>121.91</v>
      </c>
      <c r="D2114" s="1">
        <f ca="1">IFERROR(__xludf.DUMMYFUNCTION("""COMPUTED_VALUE"""),119.86)</f>
        <v>119.86</v>
      </c>
      <c r="E2114" s="1">
        <f ca="1">IFERROR(__xludf.DUMMYFUNCTION("""COMPUTED_VALUE"""),120.9)</f>
        <v>120.9</v>
      </c>
      <c r="F2114" s="1">
        <f ca="1">IFERROR(__xludf.DUMMYFUNCTION("""COMPUTED_VALUE"""),34182635)</f>
        <v>34182635</v>
      </c>
    </row>
    <row r="2115" spans="1:6" x14ac:dyDescent="0.35">
      <c r="A2115" s="2">
        <f ca="1">IFERROR(__xludf.DUMMYFUNCTION("""COMPUTED_VALUE"""),45071.6666666666)</f>
        <v>45071.666666666599</v>
      </c>
      <c r="B2115" s="1">
        <f ca="1">IFERROR(__xludf.DUMMYFUNCTION("""COMPUTED_VALUE"""),124.52)</f>
        <v>124.52</v>
      </c>
      <c r="C2115" s="1">
        <f ca="1">IFERROR(__xludf.DUMMYFUNCTION("""COMPUTED_VALUE"""),125.32)</f>
        <v>125.32</v>
      </c>
      <c r="D2115" s="1">
        <f ca="1">IFERROR(__xludf.DUMMYFUNCTION("""COMPUTED_VALUE"""),121.96)</f>
        <v>121.96</v>
      </c>
      <c r="E2115" s="1">
        <f ca="1">IFERROR(__xludf.DUMMYFUNCTION("""COMPUTED_VALUE"""),123.48)</f>
        <v>123.48</v>
      </c>
      <c r="F2115" s="1">
        <f ca="1">IFERROR(__xludf.DUMMYFUNCTION("""COMPUTED_VALUE"""),42316986)</f>
        <v>42316986</v>
      </c>
    </row>
    <row r="2116" spans="1:6" x14ac:dyDescent="0.35">
      <c r="A2116" s="2">
        <f ca="1">IFERROR(__xludf.DUMMYFUNCTION("""COMPUTED_VALUE"""),45072.6666666666)</f>
        <v>45072.666666666599</v>
      </c>
      <c r="B2116" s="1">
        <f ca="1">IFERROR(__xludf.DUMMYFUNCTION("""COMPUTED_VALUE"""),123.17)</f>
        <v>123.17</v>
      </c>
      <c r="C2116" s="1">
        <f ca="1">IFERROR(__xludf.DUMMYFUNCTION("""COMPUTED_VALUE"""),125.26)</f>
        <v>125.26</v>
      </c>
      <c r="D2116" s="1">
        <f ca="1">IFERROR(__xludf.DUMMYFUNCTION("""COMPUTED_VALUE"""),122.45)</f>
        <v>122.45</v>
      </c>
      <c r="E2116" s="1">
        <f ca="1">IFERROR(__xludf.DUMMYFUNCTION("""COMPUTED_VALUE"""),124.61)</f>
        <v>124.61</v>
      </c>
      <c r="F2116" s="1">
        <f ca="1">IFERROR(__xludf.DUMMYFUNCTION("""COMPUTED_VALUE"""),35635937)</f>
        <v>35635937</v>
      </c>
    </row>
    <row r="2117" spans="1:6" x14ac:dyDescent="0.35">
      <c r="A2117" s="2">
        <f ca="1">IFERROR(__xludf.DUMMYFUNCTION("""COMPUTED_VALUE"""),45076.6666666666)</f>
        <v>45076.666666666599</v>
      </c>
      <c r="B2117" s="1">
        <f ca="1">IFERROR(__xludf.DUMMYFUNCTION("""COMPUTED_VALUE"""),125.64)</f>
        <v>125.64</v>
      </c>
      <c r="C2117" s="1">
        <f ca="1">IFERROR(__xludf.DUMMYFUNCTION("""COMPUTED_VALUE"""),125.66)</f>
        <v>125.66</v>
      </c>
      <c r="D2117" s="1">
        <f ca="1">IFERROR(__xludf.DUMMYFUNCTION("""COMPUTED_VALUE"""),122)</f>
        <v>122</v>
      </c>
      <c r="E2117" s="1">
        <f ca="1">IFERROR(__xludf.DUMMYFUNCTION("""COMPUTED_VALUE"""),123.67)</f>
        <v>123.67</v>
      </c>
      <c r="F2117" s="1">
        <f ca="1">IFERROR(__xludf.DUMMYFUNCTION("""COMPUTED_VALUE"""),35076658)</f>
        <v>35076658</v>
      </c>
    </row>
    <row r="2118" spans="1:6" x14ac:dyDescent="0.35">
      <c r="A2118" s="2">
        <f ca="1">IFERROR(__xludf.DUMMYFUNCTION("""COMPUTED_VALUE"""),45077.6666666666)</f>
        <v>45077.666666666599</v>
      </c>
      <c r="B2118" s="1">
        <f ca="1">IFERROR(__xludf.DUMMYFUNCTION("""COMPUTED_VALUE"""),122.75)</f>
        <v>122.75</v>
      </c>
      <c r="C2118" s="1">
        <f ca="1">IFERROR(__xludf.DUMMYFUNCTION("""COMPUTED_VALUE"""),124.06)</f>
        <v>124.06</v>
      </c>
      <c r="D2118" s="1">
        <f ca="1">IFERROR(__xludf.DUMMYFUNCTION("""COMPUTED_VALUE"""),122.5)</f>
        <v>122.5</v>
      </c>
      <c r="E2118" s="1">
        <f ca="1">IFERROR(__xludf.DUMMYFUNCTION("""COMPUTED_VALUE"""),122.87)</f>
        <v>122.87</v>
      </c>
      <c r="F2118" s="1">
        <f ca="1">IFERROR(__xludf.DUMMYFUNCTION("""COMPUTED_VALUE"""),37325787)</f>
        <v>37325787</v>
      </c>
    </row>
    <row r="2119" spans="1:6" x14ac:dyDescent="0.35">
      <c r="A2119" s="2">
        <f ca="1">IFERROR(__xludf.DUMMYFUNCTION("""COMPUTED_VALUE"""),45078.6666666666)</f>
        <v>45078.666666666599</v>
      </c>
      <c r="B2119" s="1">
        <f ca="1">IFERROR(__xludf.DUMMYFUNCTION("""COMPUTED_VALUE"""),122.82)</f>
        <v>122.82</v>
      </c>
      <c r="C2119" s="1">
        <f ca="1">IFERROR(__xludf.DUMMYFUNCTION("""COMPUTED_VALUE"""),124.42)</f>
        <v>124.42</v>
      </c>
      <c r="D2119" s="1">
        <f ca="1">IFERROR(__xludf.DUMMYFUNCTION("""COMPUTED_VALUE"""),122.62)</f>
        <v>122.62</v>
      </c>
      <c r="E2119" s="1">
        <f ca="1">IFERROR(__xludf.DUMMYFUNCTION("""COMPUTED_VALUE"""),123.72)</f>
        <v>123.72</v>
      </c>
      <c r="F2119" s="1">
        <f ca="1">IFERROR(__xludf.DUMMYFUNCTION("""COMPUTED_VALUE"""),30772683)</f>
        <v>30772683</v>
      </c>
    </row>
    <row r="2120" spans="1:6" x14ac:dyDescent="0.35">
      <c r="A2120" s="2">
        <f ca="1">IFERROR(__xludf.DUMMYFUNCTION("""COMPUTED_VALUE"""),45079.6666666666)</f>
        <v>45079.666666666599</v>
      </c>
      <c r="B2120" s="1">
        <f ca="1">IFERROR(__xludf.DUMMYFUNCTION("""COMPUTED_VALUE"""),123.99)</f>
        <v>123.99</v>
      </c>
      <c r="C2120" s="1">
        <f ca="1">IFERROR(__xludf.DUMMYFUNCTION("""COMPUTED_VALUE"""),126.15)</f>
        <v>126.15</v>
      </c>
      <c r="D2120" s="1">
        <f ca="1">IFERROR(__xludf.DUMMYFUNCTION("""COMPUTED_VALUE"""),123.76)</f>
        <v>123.76</v>
      </c>
      <c r="E2120" s="1">
        <f ca="1">IFERROR(__xludf.DUMMYFUNCTION("""COMPUTED_VALUE"""),124.67)</f>
        <v>124.67</v>
      </c>
      <c r="F2120" s="1">
        <f ca="1">IFERROR(__xludf.DUMMYFUNCTION("""COMPUTED_VALUE"""),26980147)</f>
        <v>26980147</v>
      </c>
    </row>
    <row r="2121" spans="1:6" x14ac:dyDescent="0.35">
      <c r="A2121" s="2">
        <f ca="1">IFERROR(__xludf.DUMMYFUNCTION("""COMPUTED_VALUE"""),45082.6666666666)</f>
        <v>45082.666666666599</v>
      </c>
      <c r="B2121" s="1">
        <f ca="1">IFERROR(__xludf.DUMMYFUNCTION("""COMPUTED_VALUE"""),124.01)</f>
        <v>124.01</v>
      </c>
      <c r="C2121" s="1">
        <f ca="1">IFERROR(__xludf.DUMMYFUNCTION("""COMPUTED_VALUE"""),127.43)</f>
        <v>127.43</v>
      </c>
      <c r="D2121" s="1">
        <f ca="1">IFERROR(__xludf.DUMMYFUNCTION("""COMPUTED_VALUE"""),123.84)</f>
        <v>123.84</v>
      </c>
      <c r="E2121" s="1">
        <f ca="1">IFERROR(__xludf.DUMMYFUNCTION("""COMPUTED_VALUE"""),126.01)</f>
        <v>126.01</v>
      </c>
      <c r="F2121" s="1">
        <f ca="1">IFERROR(__xludf.DUMMYFUNCTION("""COMPUTED_VALUE"""),32305531)</f>
        <v>32305531</v>
      </c>
    </row>
    <row r="2122" spans="1:6" x14ac:dyDescent="0.35">
      <c r="A2122" s="2">
        <f ca="1">IFERROR(__xludf.DUMMYFUNCTION("""COMPUTED_VALUE"""),45083.6666666666)</f>
        <v>45083.666666666599</v>
      </c>
      <c r="B2122" s="1">
        <f ca="1">IFERROR(__xludf.DUMMYFUNCTION("""COMPUTED_VALUE"""),126.01)</f>
        <v>126.01</v>
      </c>
      <c r="C2122" s="1">
        <f ca="1">IFERROR(__xludf.DUMMYFUNCTION("""COMPUTED_VALUE"""),128.29)</f>
        <v>128.29</v>
      </c>
      <c r="D2122" s="1">
        <f ca="1">IFERROR(__xludf.DUMMYFUNCTION("""COMPUTED_VALUE"""),125.36)</f>
        <v>125.36</v>
      </c>
      <c r="E2122" s="1">
        <f ca="1">IFERROR(__xludf.DUMMYFUNCTION("""COMPUTED_VALUE"""),127.31)</f>
        <v>127.31</v>
      </c>
      <c r="F2122" s="1">
        <f ca="1">IFERROR(__xludf.DUMMYFUNCTION("""COMPUTED_VALUE"""),26638295)</f>
        <v>26638295</v>
      </c>
    </row>
    <row r="2123" spans="1:6" x14ac:dyDescent="0.35">
      <c r="A2123" s="2">
        <f ca="1">IFERROR(__xludf.DUMMYFUNCTION("""COMPUTED_VALUE"""),45084.6666666666)</f>
        <v>45084.666666666599</v>
      </c>
      <c r="B2123" s="1">
        <f ca="1">IFERROR(__xludf.DUMMYFUNCTION("""COMPUTED_VALUE"""),126.97)</f>
        <v>126.97</v>
      </c>
      <c r="C2123" s="1">
        <f ca="1">IFERROR(__xludf.DUMMYFUNCTION("""COMPUTED_VALUE"""),129.04)</f>
        <v>129.04</v>
      </c>
      <c r="D2123" s="1">
        <f ca="1">IFERROR(__xludf.DUMMYFUNCTION("""COMPUTED_VALUE"""),122.12)</f>
        <v>122.12</v>
      </c>
      <c r="E2123" s="1">
        <f ca="1">IFERROR(__xludf.DUMMYFUNCTION("""COMPUTED_VALUE"""),122.5)</f>
        <v>122.5</v>
      </c>
      <c r="F2123" s="1">
        <f ca="1">IFERROR(__xludf.DUMMYFUNCTION("""COMPUTED_VALUE"""),52538986)</f>
        <v>52538986</v>
      </c>
    </row>
    <row r="2124" spans="1:6" x14ac:dyDescent="0.35">
      <c r="A2124" s="2">
        <f ca="1">IFERROR(__xludf.DUMMYFUNCTION("""COMPUTED_VALUE"""),45085.6666666666)</f>
        <v>45085.666666666599</v>
      </c>
      <c r="B2124" s="1">
        <f ca="1">IFERROR(__xludf.DUMMYFUNCTION("""COMPUTED_VALUE"""),122.23)</f>
        <v>122.23</v>
      </c>
      <c r="C2124" s="1">
        <f ca="1">IFERROR(__xludf.DUMMYFUNCTION("""COMPUTED_VALUE"""),123.23)</f>
        <v>123.23</v>
      </c>
      <c r="D2124" s="1">
        <f ca="1">IFERROR(__xludf.DUMMYFUNCTION("""COMPUTED_VALUE"""),121.24)</f>
        <v>121.24</v>
      </c>
      <c r="E2124" s="1">
        <f ca="1">IFERROR(__xludf.DUMMYFUNCTION("""COMPUTED_VALUE"""),122.14)</f>
        <v>122.14</v>
      </c>
      <c r="F2124" s="1">
        <f ca="1">IFERROR(__xludf.DUMMYFUNCTION("""COMPUTED_VALUE"""),29389167)</f>
        <v>29389167</v>
      </c>
    </row>
    <row r="2125" spans="1:6" x14ac:dyDescent="0.35">
      <c r="A2125" s="2">
        <f ca="1">IFERROR(__xludf.DUMMYFUNCTION("""COMPUTED_VALUE"""),45086.6666666666)</f>
        <v>45086.666666666599</v>
      </c>
      <c r="B2125" s="1">
        <f ca="1">IFERROR(__xludf.DUMMYFUNCTION("""COMPUTED_VALUE"""),122.25)</f>
        <v>122.25</v>
      </c>
      <c r="C2125" s="1">
        <f ca="1">IFERROR(__xludf.DUMMYFUNCTION("""COMPUTED_VALUE"""),123.76)</f>
        <v>123.76</v>
      </c>
      <c r="D2125" s="1">
        <f ca="1">IFERROR(__xludf.DUMMYFUNCTION("""COMPUTED_VALUE"""),121.91)</f>
        <v>121.91</v>
      </c>
      <c r="E2125" s="1">
        <f ca="1">IFERROR(__xludf.DUMMYFUNCTION("""COMPUTED_VALUE"""),122.23)</f>
        <v>122.23</v>
      </c>
      <c r="F2125" s="1">
        <f ca="1">IFERROR(__xludf.DUMMYFUNCTION("""COMPUTED_VALUE"""),23778319)</f>
        <v>23778319</v>
      </c>
    </row>
    <row r="2126" spans="1:6" x14ac:dyDescent="0.35">
      <c r="A2126" s="2">
        <f ca="1">IFERROR(__xludf.DUMMYFUNCTION("""COMPUTED_VALUE"""),45089.6666666666)</f>
        <v>45089.666666666599</v>
      </c>
      <c r="B2126" s="1">
        <f ca="1">IFERROR(__xludf.DUMMYFUNCTION("""COMPUTED_VALUE"""),122.79)</f>
        <v>122.79</v>
      </c>
      <c r="C2126" s="1">
        <f ca="1">IFERROR(__xludf.DUMMYFUNCTION("""COMPUTED_VALUE"""),124.05)</f>
        <v>124.05</v>
      </c>
      <c r="D2126" s="1">
        <f ca="1">IFERROR(__xludf.DUMMYFUNCTION("""COMPUTED_VALUE"""),121.66)</f>
        <v>121.66</v>
      </c>
      <c r="E2126" s="1">
        <f ca="1">IFERROR(__xludf.DUMMYFUNCTION("""COMPUTED_VALUE"""),123.64)</f>
        <v>123.64</v>
      </c>
      <c r="F2126" s="1">
        <f ca="1">IFERROR(__xludf.DUMMYFUNCTION("""COMPUTED_VALUE"""),28338743)</f>
        <v>28338743</v>
      </c>
    </row>
    <row r="2127" spans="1:6" x14ac:dyDescent="0.35">
      <c r="A2127" s="2">
        <f ca="1">IFERROR(__xludf.DUMMYFUNCTION("""COMPUTED_VALUE"""),45090.6666666666)</f>
        <v>45090.666666666599</v>
      </c>
      <c r="B2127" s="1">
        <f ca="1">IFERROR(__xludf.DUMMYFUNCTION("""COMPUTED_VALUE"""),124.98)</f>
        <v>124.98</v>
      </c>
      <c r="C2127" s="1">
        <f ca="1">IFERROR(__xludf.DUMMYFUNCTION("""COMPUTED_VALUE"""),125.16)</f>
        <v>125.16</v>
      </c>
      <c r="D2127" s="1">
        <f ca="1">IFERROR(__xludf.DUMMYFUNCTION("""COMPUTED_VALUE"""),123.18)</f>
        <v>123.18</v>
      </c>
      <c r="E2127" s="1">
        <f ca="1">IFERROR(__xludf.DUMMYFUNCTION("""COMPUTED_VALUE"""),123.83)</f>
        <v>123.83</v>
      </c>
      <c r="F2127" s="1">
        <f ca="1">IFERROR(__xludf.DUMMYFUNCTION("""COMPUTED_VALUE"""),22278313)</f>
        <v>22278313</v>
      </c>
    </row>
    <row r="2128" spans="1:6" x14ac:dyDescent="0.35">
      <c r="A2128" s="2">
        <f ca="1">IFERROR(__xludf.DUMMYFUNCTION("""COMPUTED_VALUE"""),45091.6666666666)</f>
        <v>45091.666666666599</v>
      </c>
      <c r="B2128" s="1">
        <f ca="1">IFERROR(__xludf.DUMMYFUNCTION("""COMPUTED_VALUE"""),123.1)</f>
        <v>123.1</v>
      </c>
      <c r="C2128" s="1">
        <f ca="1">IFERROR(__xludf.DUMMYFUNCTION("""COMPUTED_VALUE"""),124.05)</f>
        <v>124.05</v>
      </c>
      <c r="D2128" s="1">
        <f ca="1">IFERROR(__xludf.DUMMYFUNCTION("""COMPUTED_VALUE"""),121.45)</f>
        <v>121.45</v>
      </c>
      <c r="E2128" s="1">
        <f ca="1">IFERROR(__xludf.DUMMYFUNCTION("""COMPUTED_VALUE"""),123.67)</f>
        <v>123.67</v>
      </c>
      <c r="F2128" s="1">
        <f ca="1">IFERROR(__xludf.DUMMYFUNCTION("""COMPUTED_VALUE"""),30592297)</f>
        <v>30592297</v>
      </c>
    </row>
    <row r="2129" spans="1:6" x14ac:dyDescent="0.35">
      <c r="A2129" s="2">
        <f ca="1">IFERROR(__xludf.DUMMYFUNCTION("""COMPUTED_VALUE"""),45092.6666666666)</f>
        <v>45092.666666666599</v>
      </c>
      <c r="B2129" s="1">
        <f ca="1">IFERROR(__xludf.DUMMYFUNCTION("""COMPUTED_VALUE"""),123.14)</f>
        <v>123.14</v>
      </c>
      <c r="C2129" s="1">
        <f ca="1">IFERROR(__xludf.DUMMYFUNCTION("""COMPUTED_VALUE"""),125.46)</f>
        <v>125.46</v>
      </c>
      <c r="D2129" s="1">
        <f ca="1">IFERROR(__xludf.DUMMYFUNCTION("""COMPUTED_VALUE"""),122.4)</f>
        <v>122.4</v>
      </c>
      <c r="E2129" s="1">
        <f ca="1">IFERROR(__xludf.DUMMYFUNCTION("""COMPUTED_VALUE"""),125.09)</f>
        <v>125.09</v>
      </c>
      <c r="F2129" s="1">
        <f ca="1">IFERROR(__xludf.DUMMYFUNCTION("""COMPUTED_VALUE"""),35246268)</f>
        <v>35246268</v>
      </c>
    </row>
    <row r="2130" spans="1:6" x14ac:dyDescent="0.35">
      <c r="A2130" s="2">
        <f ca="1">IFERROR(__xludf.DUMMYFUNCTION("""COMPUTED_VALUE"""),45093.6666666666)</f>
        <v>45093.666666666599</v>
      </c>
      <c r="B2130" s="1">
        <f ca="1">IFERROR(__xludf.DUMMYFUNCTION("""COMPUTED_VALUE"""),125.93)</f>
        <v>125.93</v>
      </c>
      <c r="C2130" s="1">
        <f ca="1">IFERROR(__xludf.DUMMYFUNCTION("""COMPUTED_VALUE"""),126.11)</f>
        <v>126.11</v>
      </c>
      <c r="D2130" s="1">
        <f ca="1">IFERROR(__xludf.DUMMYFUNCTION("""COMPUTED_VALUE"""),123.28)</f>
        <v>123.28</v>
      </c>
      <c r="E2130" s="1">
        <f ca="1">IFERROR(__xludf.DUMMYFUNCTION("""COMPUTED_VALUE"""),123.53)</f>
        <v>123.53</v>
      </c>
      <c r="F2130" s="1">
        <f ca="1">IFERROR(__xludf.DUMMYFUNCTION("""COMPUTED_VALUE"""),45535553)</f>
        <v>45535553</v>
      </c>
    </row>
    <row r="2131" spans="1:6" x14ac:dyDescent="0.35">
      <c r="A2131" s="2">
        <f ca="1">IFERROR(__xludf.DUMMYFUNCTION("""COMPUTED_VALUE"""),45097.6666666666)</f>
        <v>45097.666666666599</v>
      </c>
      <c r="B2131" s="1">
        <f ca="1">IFERROR(__xludf.DUMMYFUNCTION("""COMPUTED_VALUE"""),122.93)</f>
        <v>122.93</v>
      </c>
      <c r="C2131" s="1">
        <f ca="1">IFERROR(__xludf.DUMMYFUNCTION("""COMPUTED_VALUE"""),124.57)</f>
        <v>124.57</v>
      </c>
      <c r="D2131" s="1">
        <f ca="1">IFERROR(__xludf.DUMMYFUNCTION("""COMPUTED_VALUE"""),122.14)</f>
        <v>122.14</v>
      </c>
      <c r="E2131" s="1">
        <f ca="1">IFERROR(__xludf.DUMMYFUNCTION("""COMPUTED_VALUE"""),123.1)</f>
        <v>123.1</v>
      </c>
      <c r="F2131" s="1">
        <f ca="1">IFERROR(__xludf.DUMMYFUNCTION("""COMPUTED_VALUE"""),26097492)</f>
        <v>26097492</v>
      </c>
    </row>
    <row r="2132" spans="1:6" x14ac:dyDescent="0.35">
      <c r="A2132" s="2">
        <f ca="1">IFERROR(__xludf.DUMMYFUNCTION("""COMPUTED_VALUE"""),45098.6666666666)</f>
        <v>45098.666666666599</v>
      </c>
      <c r="B2132" s="1">
        <f ca="1">IFERROR(__xludf.DUMMYFUNCTION("""COMPUTED_VALUE"""),122.4)</f>
        <v>122.4</v>
      </c>
      <c r="C2132" s="1">
        <f ca="1">IFERROR(__xludf.DUMMYFUNCTION("""COMPUTED_VALUE"""),122.66)</f>
        <v>122.66</v>
      </c>
      <c r="D2132" s="1">
        <f ca="1">IFERROR(__xludf.DUMMYFUNCTION("""COMPUTED_VALUE"""),120.1)</f>
        <v>120.1</v>
      </c>
      <c r="E2132" s="1">
        <f ca="1">IFERROR(__xludf.DUMMYFUNCTION("""COMPUTED_VALUE"""),120.55)</f>
        <v>120.55</v>
      </c>
      <c r="F2132" s="1">
        <f ca="1">IFERROR(__xludf.DUMMYFUNCTION("""COMPUTED_VALUE"""),30306336)</f>
        <v>30306336</v>
      </c>
    </row>
    <row r="2133" spans="1:6" x14ac:dyDescent="0.35">
      <c r="A2133" s="2">
        <f ca="1">IFERROR(__xludf.DUMMYFUNCTION("""COMPUTED_VALUE"""),45099.6666666666)</f>
        <v>45099.666666666599</v>
      </c>
      <c r="B2133" s="1">
        <f ca="1">IFERROR(__xludf.DUMMYFUNCTION("""COMPUTED_VALUE"""),120)</f>
        <v>120</v>
      </c>
      <c r="C2133" s="1">
        <f ca="1">IFERROR(__xludf.DUMMYFUNCTION("""COMPUTED_VALUE"""),123.24)</f>
        <v>123.24</v>
      </c>
      <c r="D2133" s="1">
        <f ca="1">IFERROR(__xludf.DUMMYFUNCTION("""COMPUTED_VALUE"""),118.83)</f>
        <v>118.83</v>
      </c>
      <c r="E2133" s="1">
        <f ca="1">IFERROR(__xludf.DUMMYFUNCTION("""COMPUTED_VALUE"""),123.15)</f>
        <v>123.15</v>
      </c>
      <c r="F2133" s="1">
        <f ca="1">IFERROR(__xludf.DUMMYFUNCTION("""COMPUTED_VALUE"""),26952246)</f>
        <v>26952246</v>
      </c>
    </row>
    <row r="2134" spans="1:6" x14ac:dyDescent="0.35">
      <c r="A2134" s="2">
        <f ca="1">IFERROR(__xludf.DUMMYFUNCTION("""COMPUTED_VALUE"""),45100.6666666666)</f>
        <v>45100.666666666599</v>
      </c>
      <c r="B2134" s="1">
        <f ca="1">IFERROR(__xludf.DUMMYFUNCTION("""COMPUTED_VALUE"""),121.38)</f>
        <v>121.38</v>
      </c>
      <c r="C2134" s="1">
        <f ca="1">IFERROR(__xludf.DUMMYFUNCTION("""COMPUTED_VALUE"""),122.79)</f>
        <v>122.79</v>
      </c>
      <c r="D2134" s="1">
        <f ca="1">IFERROR(__xludf.DUMMYFUNCTION("""COMPUTED_VALUE"""),121.06)</f>
        <v>121.06</v>
      </c>
      <c r="E2134" s="1">
        <f ca="1">IFERROR(__xludf.DUMMYFUNCTION("""COMPUTED_VALUE"""),122.34)</f>
        <v>122.34</v>
      </c>
      <c r="F2134" s="1">
        <f ca="1">IFERROR(__xludf.DUMMYFUNCTION("""COMPUTED_VALUE"""),34913637)</f>
        <v>34913637</v>
      </c>
    </row>
    <row r="2135" spans="1:6" x14ac:dyDescent="0.35">
      <c r="A2135" s="2">
        <f ca="1">IFERROR(__xludf.DUMMYFUNCTION("""COMPUTED_VALUE"""),45103.6666666666)</f>
        <v>45103.666666666599</v>
      </c>
      <c r="B2135" s="1">
        <f ca="1">IFERROR(__xludf.DUMMYFUNCTION("""COMPUTED_VALUE"""),120.76)</f>
        <v>120.76</v>
      </c>
      <c r="C2135" s="1">
        <f ca="1">IFERROR(__xludf.DUMMYFUNCTION("""COMPUTED_VALUE"""),122)</f>
        <v>122</v>
      </c>
      <c r="D2135" s="1">
        <f ca="1">IFERROR(__xludf.DUMMYFUNCTION("""COMPUTED_VALUE"""),118.27)</f>
        <v>118.27</v>
      </c>
      <c r="E2135" s="1">
        <f ca="1">IFERROR(__xludf.DUMMYFUNCTION("""COMPUTED_VALUE"""),118.34)</f>
        <v>118.34</v>
      </c>
      <c r="F2135" s="1">
        <f ca="1">IFERROR(__xludf.DUMMYFUNCTION("""COMPUTED_VALUE"""),33969897)</f>
        <v>33969897</v>
      </c>
    </row>
    <row r="2136" spans="1:6" x14ac:dyDescent="0.35">
      <c r="A2136" s="2">
        <f ca="1">IFERROR(__xludf.DUMMYFUNCTION("""COMPUTED_VALUE"""),45104.6666666666)</f>
        <v>45104.666666666599</v>
      </c>
      <c r="B2136" s="1">
        <f ca="1">IFERROR(__xludf.DUMMYFUNCTION("""COMPUTED_VALUE"""),117.08)</f>
        <v>117.08</v>
      </c>
      <c r="C2136" s="1">
        <f ca="1">IFERROR(__xludf.DUMMYFUNCTION("""COMPUTED_VALUE"""),119.08)</f>
        <v>119.08</v>
      </c>
      <c r="D2136" s="1">
        <f ca="1">IFERROR(__xludf.DUMMYFUNCTION("""COMPUTED_VALUE"""),116.1)</f>
        <v>116.1</v>
      </c>
      <c r="E2136" s="1">
        <f ca="1">IFERROR(__xludf.DUMMYFUNCTION("""COMPUTED_VALUE"""),118.33)</f>
        <v>118.33</v>
      </c>
      <c r="F2136" s="1">
        <f ca="1">IFERROR(__xludf.DUMMYFUNCTION("""COMPUTED_VALUE"""),39535936)</f>
        <v>39535936</v>
      </c>
    </row>
    <row r="2137" spans="1:6" x14ac:dyDescent="0.35">
      <c r="A2137" s="2">
        <f ca="1">IFERROR(__xludf.DUMMYFUNCTION("""COMPUTED_VALUE"""),45105.6666666666)</f>
        <v>45105.666666666599</v>
      </c>
      <c r="B2137" s="1">
        <f ca="1">IFERROR(__xludf.DUMMYFUNCTION("""COMPUTED_VALUE"""),117.09)</f>
        <v>117.09</v>
      </c>
      <c r="C2137" s="1">
        <f ca="1">IFERROR(__xludf.DUMMYFUNCTION("""COMPUTED_VALUE"""),120.39)</f>
        <v>120.39</v>
      </c>
      <c r="D2137" s="1">
        <f ca="1">IFERROR(__xludf.DUMMYFUNCTION("""COMPUTED_VALUE"""),116.85)</f>
        <v>116.85</v>
      </c>
      <c r="E2137" s="1">
        <f ca="1">IFERROR(__xludf.DUMMYFUNCTION("""COMPUTED_VALUE"""),120.18)</f>
        <v>120.18</v>
      </c>
      <c r="F2137" s="1">
        <f ca="1">IFERROR(__xludf.DUMMYFUNCTION("""COMPUTED_VALUE"""),27091449)</f>
        <v>27091449</v>
      </c>
    </row>
    <row r="2138" spans="1:6" x14ac:dyDescent="0.35">
      <c r="A2138" s="2">
        <f ca="1">IFERROR(__xludf.DUMMYFUNCTION("""COMPUTED_VALUE"""),45106.6666666666)</f>
        <v>45106.666666666599</v>
      </c>
      <c r="B2138" s="1">
        <f ca="1">IFERROR(__xludf.DUMMYFUNCTION("""COMPUTED_VALUE"""),119.24)</f>
        <v>119.24</v>
      </c>
      <c r="C2138" s="1">
        <f ca="1">IFERROR(__xludf.DUMMYFUNCTION("""COMPUTED_VALUE"""),120.06)</f>
        <v>120.06</v>
      </c>
      <c r="D2138" s="1">
        <f ca="1">IFERROR(__xludf.DUMMYFUNCTION("""COMPUTED_VALUE"""),118.3)</f>
        <v>118.3</v>
      </c>
      <c r="E2138" s="1">
        <f ca="1">IFERROR(__xludf.DUMMYFUNCTION("""COMPUTED_VALUE"""),119.1)</f>
        <v>119.1</v>
      </c>
      <c r="F2138" s="1">
        <f ca="1">IFERROR(__xludf.DUMMYFUNCTION("""COMPUTED_VALUE"""),24090902)</f>
        <v>24090902</v>
      </c>
    </row>
    <row r="2139" spans="1:6" x14ac:dyDescent="0.35">
      <c r="A2139" s="2">
        <f ca="1">IFERROR(__xludf.DUMMYFUNCTION("""COMPUTED_VALUE"""),45107.6666666666)</f>
        <v>45107.666666666599</v>
      </c>
      <c r="B2139" s="1">
        <f ca="1">IFERROR(__xludf.DUMMYFUNCTION("""COMPUTED_VALUE"""),120.17)</f>
        <v>120.17</v>
      </c>
      <c r="C2139" s="1">
        <f ca="1">IFERROR(__xludf.DUMMYFUNCTION("""COMPUTED_VALUE"""),121.08)</f>
        <v>121.08</v>
      </c>
      <c r="D2139" s="1">
        <f ca="1">IFERROR(__xludf.DUMMYFUNCTION("""COMPUTED_VALUE"""),119.69)</f>
        <v>119.69</v>
      </c>
      <c r="E2139" s="1">
        <f ca="1">IFERROR(__xludf.DUMMYFUNCTION("""COMPUTED_VALUE"""),119.7)</f>
        <v>119.7</v>
      </c>
      <c r="F2139" s="1">
        <f ca="1">IFERROR(__xludf.DUMMYFUNCTION("""COMPUTED_VALUE"""),29532241)</f>
        <v>29532241</v>
      </c>
    </row>
    <row r="2140" spans="1:6" x14ac:dyDescent="0.35">
      <c r="A2140" s="2">
        <f ca="1">IFERROR(__xludf.DUMMYFUNCTION("""COMPUTED_VALUE"""),45110.5451388888)</f>
        <v>45110.545138888803</v>
      </c>
      <c r="B2140" s="1">
        <f ca="1">IFERROR(__xludf.DUMMYFUNCTION("""COMPUTED_VALUE"""),119.24)</f>
        <v>119.24</v>
      </c>
      <c r="C2140" s="1">
        <f ca="1">IFERROR(__xludf.DUMMYFUNCTION("""COMPUTED_VALUE"""),120.19)</f>
        <v>120.19</v>
      </c>
      <c r="D2140" s="1">
        <f ca="1">IFERROR(__xludf.DUMMYFUNCTION("""COMPUTED_VALUE"""),118.82)</f>
        <v>118.82</v>
      </c>
      <c r="E2140" s="1">
        <f ca="1">IFERROR(__xludf.DUMMYFUNCTION("""COMPUTED_VALUE"""),119.9)</f>
        <v>119.9</v>
      </c>
      <c r="F2140" s="1">
        <f ca="1">IFERROR(__xludf.DUMMYFUNCTION("""COMPUTED_VALUE"""),14467850)</f>
        <v>14467850</v>
      </c>
    </row>
    <row r="2141" spans="1:6" x14ac:dyDescent="0.35">
      <c r="A2141" s="2">
        <f ca="1">IFERROR(__xludf.DUMMYFUNCTION("""COMPUTED_VALUE"""),45112.6666666666)</f>
        <v>45112.666666666599</v>
      </c>
      <c r="B2141" s="1">
        <f ca="1">IFERROR(__xludf.DUMMYFUNCTION("""COMPUTED_VALUE"""),119.24)</f>
        <v>119.24</v>
      </c>
      <c r="C2141" s="1">
        <f ca="1">IFERROR(__xludf.DUMMYFUNCTION("""COMPUTED_VALUE"""),122.61)</f>
        <v>122.61</v>
      </c>
      <c r="D2141" s="1">
        <f ca="1">IFERROR(__xludf.DUMMYFUNCTION("""COMPUTED_VALUE"""),119.23)</f>
        <v>119.23</v>
      </c>
      <c r="E2141" s="1">
        <f ca="1">IFERROR(__xludf.DUMMYFUNCTION("""COMPUTED_VALUE"""),121.75)</f>
        <v>121.75</v>
      </c>
      <c r="F2141" s="1">
        <f ca="1">IFERROR(__xludf.DUMMYFUNCTION("""COMPUTED_VALUE"""),27584809)</f>
        <v>27584809</v>
      </c>
    </row>
    <row r="2142" spans="1:6" x14ac:dyDescent="0.35">
      <c r="A2142" s="2">
        <f ca="1">IFERROR(__xludf.DUMMYFUNCTION("""COMPUTED_VALUE"""),45113.6666666666)</f>
        <v>45113.666666666599</v>
      </c>
      <c r="B2142" s="1">
        <f ca="1">IFERROR(__xludf.DUMMYFUNCTION("""COMPUTED_VALUE"""),119.8)</f>
        <v>119.8</v>
      </c>
      <c r="C2142" s="1">
        <f ca="1">IFERROR(__xludf.DUMMYFUNCTION("""COMPUTED_VALUE"""),120.3)</f>
        <v>120.3</v>
      </c>
      <c r="D2142" s="1">
        <f ca="1">IFERROR(__xludf.DUMMYFUNCTION("""COMPUTED_VALUE"""),118.4)</f>
        <v>118.4</v>
      </c>
      <c r="E2142" s="1">
        <f ca="1">IFERROR(__xludf.DUMMYFUNCTION("""COMPUTED_VALUE"""),120.11)</f>
        <v>120.11</v>
      </c>
      <c r="F2142" s="1">
        <f ca="1">IFERROR(__xludf.DUMMYFUNCTION("""COMPUTED_VALUE"""),24778801)</f>
        <v>24778801</v>
      </c>
    </row>
    <row r="2143" spans="1:6" x14ac:dyDescent="0.35">
      <c r="A2143" s="2">
        <f ca="1">IFERROR(__xludf.DUMMYFUNCTION("""COMPUTED_VALUE"""),45114.6666666666)</f>
        <v>45114.666666666599</v>
      </c>
      <c r="B2143" s="1">
        <f ca="1">IFERROR(__xludf.DUMMYFUNCTION("""COMPUTED_VALUE"""),120.1)</f>
        <v>120.1</v>
      </c>
      <c r="C2143" s="1">
        <f ca="1">IFERROR(__xludf.DUMMYFUNCTION("""COMPUTED_VALUE"""),121.05)</f>
        <v>121.05</v>
      </c>
      <c r="D2143" s="1">
        <f ca="1">IFERROR(__xludf.DUMMYFUNCTION("""COMPUTED_VALUE"""),119.4)</f>
        <v>119.4</v>
      </c>
      <c r="E2143" s="1">
        <f ca="1">IFERROR(__xludf.DUMMYFUNCTION("""COMPUTED_VALUE"""),119.48)</f>
        <v>119.48</v>
      </c>
      <c r="F2143" s="1">
        <f ca="1">IFERROR(__xludf.DUMMYFUNCTION("""COMPUTED_VALUE"""),21709549)</f>
        <v>21709549</v>
      </c>
    </row>
    <row r="2144" spans="1:6" x14ac:dyDescent="0.35">
      <c r="A2144" s="2">
        <f ca="1">IFERROR(__xludf.DUMMYFUNCTION("""COMPUTED_VALUE"""),45117.6666666666)</f>
        <v>45117.666666666599</v>
      </c>
      <c r="B2144" s="1">
        <f ca="1">IFERROR(__xludf.DUMMYFUNCTION("""COMPUTED_VALUE"""),118.3)</f>
        <v>118.3</v>
      </c>
      <c r="C2144" s="1">
        <f ca="1">IFERROR(__xludf.DUMMYFUNCTION("""COMPUTED_VALUE"""),118.31)</f>
        <v>118.31</v>
      </c>
      <c r="D2144" s="1">
        <f ca="1">IFERROR(__xludf.DUMMYFUNCTION("""COMPUTED_VALUE"""),116.14)</f>
        <v>116.14</v>
      </c>
      <c r="E2144" s="1">
        <f ca="1">IFERROR(__xludf.DUMMYFUNCTION("""COMPUTED_VALUE"""),116.45)</f>
        <v>116.45</v>
      </c>
      <c r="F2144" s="1">
        <f ca="1">IFERROR(__xludf.DUMMYFUNCTION("""COMPUTED_VALUE"""),35315235)</f>
        <v>35315235</v>
      </c>
    </row>
    <row r="2145" spans="1:6" x14ac:dyDescent="0.35">
      <c r="A2145" s="2">
        <f ca="1">IFERROR(__xludf.DUMMYFUNCTION("""COMPUTED_VALUE"""),45118.6666666666)</f>
        <v>45118.666666666599</v>
      </c>
      <c r="B2145" s="1">
        <f ca="1">IFERROR(__xludf.DUMMYFUNCTION("""COMPUTED_VALUE"""),116.29)</f>
        <v>116.29</v>
      </c>
      <c r="C2145" s="1">
        <f ca="1">IFERROR(__xludf.DUMMYFUNCTION("""COMPUTED_VALUE"""),117.71)</f>
        <v>117.71</v>
      </c>
      <c r="D2145" s="1">
        <f ca="1">IFERROR(__xludf.DUMMYFUNCTION("""COMPUTED_VALUE"""),115.35)</f>
        <v>115.35</v>
      </c>
      <c r="E2145" s="1">
        <f ca="1">IFERROR(__xludf.DUMMYFUNCTION("""COMPUTED_VALUE"""),117.14)</f>
        <v>117.14</v>
      </c>
      <c r="F2145" s="1">
        <f ca="1">IFERROR(__xludf.DUMMYFUNCTION("""COMPUTED_VALUE"""),23078782)</f>
        <v>23078782</v>
      </c>
    </row>
    <row r="2146" spans="1:6" x14ac:dyDescent="0.35">
      <c r="A2146" s="2">
        <f ca="1">IFERROR(__xludf.DUMMYFUNCTION("""COMPUTED_VALUE"""),45119.6666666666)</f>
        <v>45119.666666666599</v>
      </c>
      <c r="B2146" s="1">
        <f ca="1">IFERROR(__xludf.DUMMYFUNCTION("""COMPUTED_VALUE"""),118.8)</f>
        <v>118.8</v>
      </c>
      <c r="C2146" s="1">
        <f ca="1">IFERROR(__xludf.DUMMYFUNCTION("""COMPUTED_VALUE"""),120.33)</f>
        <v>120.33</v>
      </c>
      <c r="D2146" s="1">
        <f ca="1">IFERROR(__xludf.DUMMYFUNCTION("""COMPUTED_VALUE"""),118.41)</f>
        <v>118.41</v>
      </c>
      <c r="E2146" s="1">
        <f ca="1">IFERROR(__xludf.DUMMYFUNCTION("""COMPUTED_VALUE"""),118.93)</f>
        <v>118.93</v>
      </c>
      <c r="F2146" s="1">
        <f ca="1">IFERROR(__xludf.DUMMYFUNCTION("""COMPUTED_VALUE"""),30404409)</f>
        <v>30404409</v>
      </c>
    </row>
    <row r="2147" spans="1:6" x14ac:dyDescent="0.35">
      <c r="A2147" s="2">
        <f ca="1">IFERROR(__xludf.DUMMYFUNCTION("""COMPUTED_VALUE"""),45120.6666666666)</f>
        <v>45120.666666666599</v>
      </c>
      <c r="B2147" s="1">
        <f ca="1">IFERROR(__xludf.DUMMYFUNCTION("""COMPUTED_VALUE"""),120.93)</f>
        <v>120.93</v>
      </c>
      <c r="C2147" s="1">
        <f ca="1">IFERROR(__xludf.DUMMYFUNCTION("""COMPUTED_VALUE"""),124.83)</f>
        <v>124.83</v>
      </c>
      <c r="D2147" s="1">
        <f ca="1">IFERROR(__xludf.DUMMYFUNCTION("""COMPUTED_VALUE"""),120.45)</f>
        <v>120.45</v>
      </c>
      <c r="E2147" s="1">
        <f ca="1">IFERROR(__xludf.DUMMYFUNCTION("""COMPUTED_VALUE"""),124.54)</f>
        <v>124.54</v>
      </c>
      <c r="F2147" s="1">
        <f ca="1">IFERROR(__xludf.DUMMYFUNCTION("""COMPUTED_VALUE"""),44297915)</f>
        <v>44297915</v>
      </c>
    </row>
    <row r="2148" spans="1:6" x14ac:dyDescent="0.35">
      <c r="A2148" s="2">
        <f ca="1">IFERROR(__xludf.DUMMYFUNCTION("""COMPUTED_VALUE"""),45121.6666666666)</f>
        <v>45121.666666666599</v>
      </c>
      <c r="B2148" s="1">
        <f ca="1">IFERROR(__xludf.DUMMYFUNCTION("""COMPUTED_VALUE"""),124.8)</f>
        <v>124.8</v>
      </c>
      <c r="C2148" s="1">
        <f ca="1">IFERROR(__xludf.DUMMYFUNCTION("""COMPUTED_VALUE"""),126.78)</f>
        <v>126.78</v>
      </c>
      <c r="D2148" s="1">
        <f ca="1">IFERROR(__xludf.DUMMYFUNCTION("""COMPUTED_VALUE"""),123.49)</f>
        <v>123.49</v>
      </c>
      <c r="E2148" s="1">
        <f ca="1">IFERROR(__xludf.DUMMYFUNCTION("""COMPUTED_VALUE"""),125.42)</f>
        <v>125.42</v>
      </c>
      <c r="F2148" s="1">
        <f ca="1">IFERROR(__xludf.DUMMYFUNCTION("""COMPUTED_VALUE"""),33283076)</f>
        <v>33283076</v>
      </c>
    </row>
    <row r="2149" spans="1:6" x14ac:dyDescent="0.35">
      <c r="A2149" s="2">
        <f ca="1">IFERROR(__xludf.DUMMYFUNCTION("""COMPUTED_VALUE"""),45124.6666666666)</f>
        <v>45124.666666666599</v>
      </c>
      <c r="B2149" s="1">
        <f ca="1">IFERROR(__xludf.DUMMYFUNCTION("""COMPUTED_VALUE"""),125.94)</f>
        <v>125.94</v>
      </c>
      <c r="C2149" s="1">
        <f ca="1">IFERROR(__xludf.DUMMYFUNCTION("""COMPUTED_VALUE"""),127.1)</f>
        <v>127.1</v>
      </c>
      <c r="D2149" s="1">
        <f ca="1">IFERROR(__xludf.DUMMYFUNCTION("""COMPUTED_VALUE"""),124.2)</f>
        <v>124.2</v>
      </c>
      <c r="E2149" s="1">
        <f ca="1">IFERROR(__xludf.DUMMYFUNCTION("""COMPUTED_VALUE"""),124.65)</f>
        <v>124.65</v>
      </c>
      <c r="F2149" s="1">
        <f ca="1">IFERROR(__xludf.DUMMYFUNCTION("""COMPUTED_VALUE"""),25716215)</f>
        <v>25716215</v>
      </c>
    </row>
    <row r="2150" spans="1:6" x14ac:dyDescent="0.35">
      <c r="A2150" s="2">
        <f ca="1">IFERROR(__xludf.DUMMYFUNCTION("""COMPUTED_VALUE"""),45125.6666666666)</f>
        <v>45125.666666666599</v>
      </c>
      <c r="B2150" s="1">
        <f ca="1">IFERROR(__xludf.DUMMYFUNCTION("""COMPUTED_VALUE"""),124.6)</f>
        <v>124.6</v>
      </c>
      <c r="C2150" s="1">
        <f ca="1">IFERROR(__xludf.DUMMYFUNCTION("""COMPUTED_VALUE"""),124.68)</f>
        <v>124.68</v>
      </c>
      <c r="D2150" s="1">
        <f ca="1">IFERROR(__xludf.DUMMYFUNCTION("""COMPUTED_VALUE"""),122.96)</f>
        <v>122.96</v>
      </c>
      <c r="E2150" s="1">
        <f ca="1">IFERROR(__xludf.DUMMYFUNCTION("""COMPUTED_VALUE"""),123.76)</f>
        <v>123.76</v>
      </c>
      <c r="F2150" s="1">
        <f ca="1">IFERROR(__xludf.DUMMYFUNCTION("""COMPUTED_VALUE"""),26226447)</f>
        <v>26226447</v>
      </c>
    </row>
    <row r="2151" spans="1:6" x14ac:dyDescent="0.35">
      <c r="A2151" s="2">
        <f ca="1">IFERROR(__xludf.DUMMYFUNCTION("""COMPUTED_VALUE"""),45126.6666666666)</f>
        <v>45126.666666666599</v>
      </c>
      <c r="B2151" s="1">
        <f ca="1">IFERROR(__xludf.DUMMYFUNCTION("""COMPUTED_VALUE"""),124.6)</f>
        <v>124.6</v>
      </c>
      <c r="C2151" s="1">
        <f ca="1">IFERROR(__xludf.DUMMYFUNCTION("""COMPUTED_VALUE"""),125.18)</f>
        <v>125.18</v>
      </c>
      <c r="D2151" s="1">
        <f ca="1">IFERROR(__xludf.DUMMYFUNCTION("""COMPUTED_VALUE"""),121.8)</f>
        <v>121.8</v>
      </c>
      <c r="E2151" s="1">
        <f ca="1">IFERROR(__xludf.DUMMYFUNCTION("""COMPUTED_VALUE"""),122.03)</f>
        <v>122.03</v>
      </c>
      <c r="F2151" s="1">
        <f ca="1">IFERROR(__xludf.DUMMYFUNCTION("""COMPUTED_VALUE"""),37224033)</f>
        <v>37224033</v>
      </c>
    </row>
    <row r="2152" spans="1:6" x14ac:dyDescent="0.35">
      <c r="A2152" s="2">
        <f ca="1">IFERROR(__xludf.DUMMYFUNCTION("""COMPUTED_VALUE"""),45127.6666666666)</f>
        <v>45127.666666666599</v>
      </c>
      <c r="B2152" s="1">
        <f ca="1">IFERROR(__xludf.DUMMYFUNCTION("""COMPUTED_VALUE"""),121.42)</f>
        <v>121.42</v>
      </c>
      <c r="C2152" s="1">
        <f ca="1">IFERROR(__xludf.DUMMYFUNCTION("""COMPUTED_VALUE"""),124.09)</f>
        <v>124.09</v>
      </c>
      <c r="D2152" s="1">
        <f ca="1">IFERROR(__xludf.DUMMYFUNCTION("""COMPUTED_VALUE"""),118.22)</f>
        <v>118.22</v>
      </c>
      <c r="E2152" s="1">
        <f ca="1">IFERROR(__xludf.DUMMYFUNCTION("""COMPUTED_VALUE"""),119.2)</f>
        <v>119.2</v>
      </c>
      <c r="F2152" s="1">
        <f ca="1">IFERROR(__xludf.DUMMYFUNCTION("""COMPUTED_VALUE"""),37906763)</f>
        <v>37906763</v>
      </c>
    </row>
    <row r="2153" spans="1:6" x14ac:dyDescent="0.35">
      <c r="A2153" s="2">
        <f ca="1">IFERROR(__xludf.DUMMYFUNCTION("""COMPUTED_VALUE"""),45128.6666666666)</f>
        <v>45128.666666666599</v>
      </c>
      <c r="B2153" s="1">
        <f ca="1">IFERROR(__xludf.DUMMYFUNCTION("""COMPUTED_VALUE"""),120.62)</f>
        <v>120.62</v>
      </c>
      <c r="C2153" s="1">
        <f ca="1">IFERROR(__xludf.DUMMYFUNCTION("""COMPUTED_VALUE"""),120.99)</f>
        <v>120.99</v>
      </c>
      <c r="D2153" s="1">
        <f ca="1">IFERROR(__xludf.DUMMYFUNCTION("""COMPUTED_VALUE"""),118.73)</f>
        <v>118.73</v>
      </c>
      <c r="E2153" s="1">
        <f ca="1">IFERROR(__xludf.DUMMYFUNCTION("""COMPUTED_VALUE"""),120.02)</f>
        <v>120.02</v>
      </c>
      <c r="F2153" s="1">
        <f ca="1">IFERROR(__xludf.DUMMYFUNCTION("""COMPUTED_VALUE"""),71606474)</f>
        <v>71606474</v>
      </c>
    </row>
    <row r="2154" spans="1:6" x14ac:dyDescent="0.35">
      <c r="A2154" s="2">
        <f ca="1">IFERROR(__xludf.DUMMYFUNCTION("""COMPUTED_VALUE"""),45131.6666666666)</f>
        <v>45131.666666666599</v>
      </c>
      <c r="B2154" s="1">
        <f ca="1">IFERROR(__xludf.DUMMYFUNCTION("""COMPUTED_VALUE"""),121.66)</f>
        <v>121.66</v>
      </c>
      <c r="C2154" s="1">
        <f ca="1">IFERROR(__xludf.DUMMYFUNCTION("""COMPUTED_VALUE"""),123)</f>
        <v>123</v>
      </c>
      <c r="D2154" s="1">
        <f ca="1">IFERROR(__xludf.DUMMYFUNCTION("""COMPUTED_VALUE"""),120.98)</f>
        <v>120.98</v>
      </c>
      <c r="E2154" s="1">
        <f ca="1">IFERROR(__xludf.DUMMYFUNCTION("""COMPUTED_VALUE"""),121.53)</f>
        <v>121.53</v>
      </c>
      <c r="F2154" s="1">
        <f ca="1">IFERROR(__xludf.DUMMYFUNCTION("""COMPUTED_VALUE"""),29723667)</f>
        <v>29723667</v>
      </c>
    </row>
    <row r="2155" spans="1:6" x14ac:dyDescent="0.35">
      <c r="A2155" s="2">
        <f ca="1">IFERROR(__xludf.DUMMYFUNCTION("""COMPUTED_VALUE"""),45132.6666666666)</f>
        <v>45132.666666666599</v>
      </c>
      <c r="B2155" s="1">
        <f ca="1">IFERROR(__xludf.DUMMYFUNCTION("""COMPUTED_VALUE"""),121.36)</f>
        <v>121.36</v>
      </c>
      <c r="C2155" s="1">
        <f ca="1">IFERROR(__xludf.DUMMYFUNCTION("""COMPUTED_VALUE"""),123.15)</f>
        <v>123.15</v>
      </c>
      <c r="D2155" s="1">
        <f ca="1">IFERROR(__xludf.DUMMYFUNCTION("""COMPUTED_VALUE"""),121.02)</f>
        <v>121.02</v>
      </c>
      <c r="E2155" s="1">
        <f ca="1">IFERROR(__xludf.DUMMYFUNCTION("""COMPUTED_VALUE"""),122.21)</f>
        <v>122.21</v>
      </c>
      <c r="F2155" s="1">
        <f ca="1">IFERROR(__xludf.DUMMYFUNCTION("""COMPUTED_VALUE"""),52509551)</f>
        <v>52509551</v>
      </c>
    </row>
    <row r="2156" spans="1:6" x14ac:dyDescent="0.35">
      <c r="A2156" s="2">
        <f ca="1">IFERROR(__xludf.DUMMYFUNCTION("""COMPUTED_VALUE"""),45133.6666666666)</f>
        <v>45133.666666666599</v>
      </c>
      <c r="B2156" s="1">
        <f ca="1">IFERROR(__xludf.DUMMYFUNCTION("""COMPUTED_VALUE"""),130.07)</f>
        <v>130.07</v>
      </c>
      <c r="C2156" s="1">
        <f ca="1">IFERROR(__xludf.DUMMYFUNCTION("""COMPUTED_VALUE"""),130.98)</f>
        <v>130.97999999999999</v>
      </c>
      <c r="D2156" s="1">
        <f ca="1">IFERROR(__xludf.DUMMYFUNCTION("""COMPUTED_VALUE"""),128.32)</f>
        <v>128.32</v>
      </c>
      <c r="E2156" s="1">
        <f ca="1">IFERROR(__xludf.DUMMYFUNCTION("""COMPUTED_VALUE"""),129.27)</f>
        <v>129.27000000000001</v>
      </c>
      <c r="F2156" s="1">
        <f ca="1">IFERROR(__xludf.DUMMYFUNCTION("""COMPUTED_VALUE"""),61682093)</f>
        <v>61682093</v>
      </c>
    </row>
    <row r="2157" spans="1:6" x14ac:dyDescent="0.35">
      <c r="A2157" s="2">
        <f ca="1">IFERROR(__xludf.DUMMYFUNCTION("""COMPUTED_VALUE"""),45134.6666666666)</f>
        <v>45134.666666666599</v>
      </c>
      <c r="B2157" s="1">
        <f ca="1">IFERROR(__xludf.DUMMYFUNCTION("""COMPUTED_VALUE"""),131.67)</f>
        <v>131.66999999999999</v>
      </c>
      <c r="C2157" s="1">
        <f ca="1">IFERROR(__xludf.DUMMYFUNCTION("""COMPUTED_VALUE"""),133.24)</f>
        <v>133.24</v>
      </c>
      <c r="D2157" s="1">
        <f ca="1">IFERROR(__xludf.DUMMYFUNCTION("""COMPUTED_VALUE"""),128.79)</f>
        <v>128.79</v>
      </c>
      <c r="E2157" s="1">
        <f ca="1">IFERROR(__xludf.DUMMYFUNCTION("""COMPUTED_VALUE"""),129.4)</f>
        <v>129.4</v>
      </c>
      <c r="F2157" s="1">
        <f ca="1">IFERROR(__xludf.DUMMYFUNCTION("""COMPUTED_VALUE"""),44952074)</f>
        <v>44952074</v>
      </c>
    </row>
    <row r="2158" spans="1:6" x14ac:dyDescent="0.35">
      <c r="A2158" s="2">
        <f ca="1">IFERROR(__xludf.DUMMYFUNCTION("""COMPUTED_VALUE"""),45135.6666666666)</f>
        <v>45135.666666666599</v>
      </c>
      <c r="B2158" s="1">
        <f ca="1">IFERROR(__xludf.DUMMYFUNCTION("""COMPUTED_VALUE"""),130.78)</f>
        <v>130.78</v>
      </c>
      <c r="C2158" s="1">
        <f ca="1">IFERROR(__xludf.DUMMYFUNCTION("""COMPUTED_VALUE"""),133.74)</f>
        <v>133.74</v>
      </c>
      <c r="D2158" s="1">
        <f ca="1">IFERROR(__xludf.DUMMYFUNCTION("""COMPUTED_VALUE"""),130.57)</f>
        <v>130.57</v>
      </c>
      <c r="E2158" s="1">
        <f ca="1">IFERROR(__xludf.DUMMYFUNCTION("""COMPUTED_VALUE"""),132.58)</f>
        <v>132.58000000000001</v>
      </c>
      <c r="F2158" s="1">
        <f ca="1">IFERROR(__xludf.DUMMYFUNCTION("""COMPUTED_VALUE"""),36591158)</f>
        <v>36591158</v>
      </c>
    </row>
    <row r="2159" spans="1:6" x14ac:dyDescent="0.35">
      <c r="A2159" s="2">
        <f ca="1">IFERROR(__xludf.DUMMYFUNCTION("""COMPUTED_VALUE"""),45138.6666666666)</f>
        <v>45138.666666666599</v>
      </c>
      <c r="B2159" s="1">
        <f ca="1">IFERROR(__xludf.DUMMYFUNCTION("""COMPUTED_VALUE"""),132.73)</f>
        <v>132.72999999999999</v>
      </c>
      <c r="C2159" s="1">
        <f ca="1">IFERROR(__xludf.DUMMYFUNCTION("""COMPUTED_VALUE"""),133.53)</f>
        <v>133.53</v>
      </c>
      <c r="D2159" s="1">
        <f ca="1">IFERROR(__xludf.DUMMYFUNCTION("""COMPUTED_VALUE"""),131.78)</f>
        <v>131.78</v>
      </c>
      <c r="E2159" s="1">
        <f ca="1">IFERROR(__xludf.DUMMYFUNCTION("""COMPUTED_VALUE"""),132.72)</f>
        <v>132.72</v>
      </c>
      <c r="F2159" s="1">
        <f ca="1">IFERROR(__xludf.DUMMYFUNCTION("""COMPUTED_VALUE"""),28055531)</f>
        <v>28055531</v>
      </c>
    </row>
    <row r="2160" spans="1:6" x14ac:dyDescent="0.35">
      <c r="A2160" s="2">
        <f ca="1">IFERROR(__xludf.DUMMYFUNCTION("""COMPUTED_VALUE"""),45139.6666666666)</f>
        <v>45139.666666666599</v>
      </c>
      <c r="B2160" s="1">
        <f ca="1">IFERROR(__xludf.DUMMYFUNCTION("""COMPUTED_VALUE"""),130.78)</f>
        <v>130.78</v>
      </c>
      <c r="C2160" s="1">
        <f ca="1">IFERROR(__xludf.DUMMYFUNCTION("""COMPUTED_VALUE"""),132.63)</f>
        <v>132.63</v>
      </c>
      <c r="D2160" s="1">
        <f ca="1">IFERROR(__xludf.DUMMYFUNCTION("""COMPUTED_VALUE"""),130.68)</f>
        <v>130.68</v>
      </c>
      <c r="E2160" s="1">
        <f ca="1">IFERROR(__xludf.DUMMYFUNCTION("""COMPUTED_VALUE"""),131.55)</f>
        <v>131.55000000000001</v>
      </c>
      <c r="F2160" s="1">
        <f ca="1">IFERROR(__xludf.DUMMYFUNCTION("""COMPUTED_VALUE"""),23276440)</f>
        <v>23276440</v>
      </c>
    </row>
    <row r="2161" spans="1:6" x14ac:dyDescent="0.35">
      <c r="A2161" s="2">
        <f ca="1">IFERROR(__xludf.DUMMYFUNCTION("""COMPUTED_VALUE"""),45140.6666666666)</f>
        <v>45140.666666666599</v>
      </c>
      <c r="B2161" s="1">
        <f ca="1">IFERROR(__xludf.DUMMYFUNCTION("""COMPUTED_VALUE"""),129.45)</f>
        <v>129.44999999999999</v>
      </c>
      <c r="C2161" s="1">
        <f ca="1">IFERROR(__xludf.DUMMYFUNCTION("""COMPUTED_VALUE"""),130.09)</f>
        <v>130.09</v>
      </c>
      <c r="D2161" s="1">
        <f ca="1">IFERROR(__xludf.DUMMYFUNCTION("""COMPUTED_VALUE"""),127.56)</f>
        <v>127.56</v>
      </c>
      <c r="E2161" s="1">
        <f ca="1">IFERROR(__xludf.DUMMYFUNCTION("""COMPUTED_VALUE"""),128.38)</f>
        <v>128.38</v>
      </c>
      <c r="F2161" s="1">
        <f ca="1">IFERROR(__xludf.DUMMYFUNCTION("""COMPUTED_VALUE"""),26273258)</f>
        <v>26273258</v>
      </c>
    </row>
    <row r="2162" spans="1:6" x14ac:dyDescent="0.35">
      <c r="A2162" s="2">
        <f ca="1">IFERROR(__xludf.DUMMYFUNCTION("""COMPUTED_VALUE"""),45141.6666666666)</f>
        <v>45141.666666666599</v>
      </c>
      <c r="B2162" s="1">
        <f ca="1">IFERROR(__xludf.DUMMYFUNCTION("""COMPUTED_VALUE"""),127.97)</f>
        <v>127.97</v>
      </c>
      <c r="C2162" s="1">
        <f ca="1">IFERROR(__xludf.DUMMYFUNCTION("""COMPUTED_VALUE"""),129.39)</f>
        <v>129.38999999999999</v>
      </c>
      <c r="D2162" s="1">
        <f ca="1">IFERROR(__xludf.DUMMYFUNCTION("""COMPUTED_VALUE"""),127.42)</f>
        <v>127.42</v>
      </c>
      <c r="E2162" s="1">
        <f ca="1">IFERROR(__xludf.DUMMYFUNCTION("""COMPUTED_VALUE"""),128.45)</f>
        <v>128.44999999999999</v>
      </c>
      <c r="F2162" s="1">
        <f ca="1">IFERROR(__xludf.DUMMYFUNCTION("""COMPUTED_VALUE"""),20159528)</f>
        <v>20159528</v>
      </c>
    </row>
    <row r="2163" spans="1:6" x14ac:dyDescent="0.35">
      <c r="A2163" s="2">
        <f ca="1">IFERROR(__xludf.DUMMYFUNCTION("""COMPUTED_VALUE"""),45142.6666666666)</f>
        <v>45142.666666666599</v>
      </c>
      <c r="B2163" s="1">
        <f ca="1">IFERROR(__xludf.DUMMYFUNCTION("""COMPUTED_VALUE"""),129.28)</f>
        <v>129.28</v>
      </c>
      <c r="C2163" s="1">
        <f ca="1">IFERROR(__xludf.DUMMYFUNCTION("""COMPUTED_VALUE"""),131.51)</f>
        <v>131.51</v>
      </c>
      <c r="D2163" s="1">
        <f ca="1">IFERROR(__xludf.DUMMYFUNCTION("""COMPUTED_VALUE"""),127.91)</f>
        <v>127.91</v>
      </c>
      <c r="E2163" s="1">
        <f ca="1">IFERROR(__xludf.DUMMYFUNCTION("""COMPUTED_VALUE"""),128.11)</f>
        <v>128.11000000000001</v>
      </c>
      <c r="F2163" s="1">
        <f ca="1">IFERROR(__xludf.DUMMYFUNCTION("""COMPUTED_VALUE"""),26147158)</f>
        <v>26147158</v>
      </c>
    </row>
    <row r="2164" spans="1:6" x14ac:dyDescent="0.35">
      <c r="A2164" s="2">
        <f ca="1">IFERROR(__xludf.DUMMYFUNCTION("""COMPUTED_VALUE"""),45145.6666666666)</f>
        <v>45145.666666666599</v>
      </c>
      <c r="B2164" s="1">
        <f ca="1">IFERROR(__xludf.DUMMYFUNCTION("""COMPUTED_VALUE"""),129.16)</f>
        <v>129.16</v>
      </c>
      <c r="C2164" s="1">
        <f ca="1">IFERROR(__xludf.DUMMYFUNCTION("""COMPUTED_VALUE"""),131.61)</f>
        <v>131.61000000000001</v>
      </c>
      <c r="D2164" s="1">
        <f ca="1">IFERROR(__xludf.DUMMYFUNCTION("""COMPUTED_VALUE"""),129.02)</f>
        <v>129.02000000000001</v>
      </c>
      <c r="E2164" s="1">
        <f ca="1">IFERROR(__xludf.DUMMYFUNCTION("""COMPUTED_VALUE"""),131.53)</f>
        <v>131.53</v>
      </c>
      <c r="F2164" s="1">
        <f ca="1">IFERROR(__xludf.DUMMYFUNCTION("""COMPUTED_VALUE"""),22746290)</f>
        <v>22746290</v>
      </c>
    </row>
    <row r="2165" spans="1:6" x14ac:dyDescent="0.35">
      <c r="A2165" s="2">
        <f ca="1">IFERROR(__xludf.DUMMYFUNCTION("""COMPUTED_VALUE"""),45146.6666666666)</f>
        <v>45146.666666666599</v>
      </c>
      <c r="B2165" s="1">
        <f ca="1">IFERROR(__xludf.DUMMYFUNCTION("""COMPUTED_VALUE"""),130.62)</f>
        <v>130.62</v>
      </c>
      <c r="C2165" s="1">
        <f ca="1">IFERROR(__xludf.DUMMYFUNCTION("""COMPUTED_VALUE"""),131.51)</f>
        <v>131.51</v>
      </c>
      <c r="D2165" s="1">
        <f ca="1">IFERROR(__xludf.DUMMYFUNCTION("""COMPUTED_VALUE"""),129.54)</f>
        <v>129.54</v>
      </c>
      <c r="E2165" s="1">
        <f ca="1">IFERROR(__xludf.DUMMYFUNCTION("""COMPUTED_VALUE"""),131.4)</f>
        <v>131.4</v>
      </c>
      <c r="F2165" s="1">
        <f ca="1">IFERROR(__xludf.DUMMYFUNCTION("""COMPUTED_VALUE"""),23535181)</f>
        <v>23535181</v>
      </c>
    </row>
    <row r="2166" spans="1:6" x14ac:dyDescent="0.35">
      <c r="A2166" s="2">
        <f ca="1">IFERROR(__xludf.DUMMYFUNCTION("""COMPUTED_VALUE"""),45147.6666666666)</f>
        <v>45147.666666666599</v>
      </c>
      <c r="B2166" s="1">
        <f ca="1">IFERROR(__xludf.DUMMYFUNCTION("""COMPUTED_VALUE"""),131.66)</f>
        <v>131.66</v>
      </c>
      <c r="C2166" s="1">
        <f ca="1">IFERROR(__xludf.DUMMYFUNCTION("""COMPUTED_VALUE"""),132.04)</f>
        <v>132.04</v>
      </c>
      <c r="D2166" s="1">
        <f ca="1">IFERROR(__xludf.DUMMYFUNCTION("""COMPUTED_VALUE"""),129)</f>
        <v>129</v>
      </c>
      <c r="E2166" s="1">
        <f ca="1">IFERROR(__xludf.DUMMYFUNCTION("""COMPUTED_VALUE"""),129.66)</f>
        <v>129.66</v>
      </c>
      <c r="F2166" s="1">
        <f ca="1">IFERROR(__xludf.DUMMYFUNCTION("""COMPUTED_VALUE"""),24912918)</f>
        <v>24912918</v>
      </c>
    </row>
    <row r="2167" spans="1:6" x14ac:dyDescent="0.35">
      <c r="A2167" s="2">
        <f ca="1">IFERROR(__xludf.DUMMYFUNCTION("""COMPUTED_VALUE"""),45148.6666666666)</f>
        <v>45148.666666666599</v>
      </c>
      <c r="B2167" s="1">
        <f ca="1">IFERROR(__xludf.DUMMYFUNCTION("""COMPUTED_VALUE"""),131.32)</f>
        <v>131.32</v>
      </c>
      <c r="C2167" s="1">
        <f ca="1">IFERROR(__xludf.DUMMYFUNCTION("""COMPUTED_VALUE"""),132.05)</f>
        <v>132.05000000000001</v>
      </c>
      <c r="D2167" s="1">
        <f ca="1">IFERROR(__xludf.DUMMYFUNCTION("""COMPUTED_VALUE"""),129.45)</f>
        <v>129.44999999999999</v>
      </c>
      <c r="E2167" s="1">
        <f ca="1">IFERROR(__xludf.DUMMYFUNCTION("""COMPUTED_VALUE"""),129.69)</f>
        <v>129.69</v>
      </c>
      <c r="F2167" s="1">
        <f ca="1">IFERROR(__xludf.DUMMYFUNCTION("""COMPUTED_VALUE"""),20857754)</f>
        <v>20857754</v>
      </c>
    </row>
    <row r="2168" spans="1:6" x14ac:dyDescent="0.35">
      <c r="A2168" s="2">
        <f ca="1">IFERROR(__xludf.DUMMYFUNCTION("""COMPUTED_VALUE"""),45149.6666666666)</f>
        <v>45149.666666666599</v>
      </c>
      <c r="B2168" s="1">
        <f ca="1">IFERROR(__xludf.DUMMYFUNCTION("""COMPUTED_VALUE"""),128.66)</f>
        <v>128.66</v>
      </c>
      <c r="C2168" s="1">
        <f ca="1">IFERROR(__xludf.DUMMYFUNCTION("""COMPUTED_VALUE"""),129.93)</f>
        <v>129.93</v>
      </c>
      <c r="D2168" s="1">
        <f ca="1">IFERROR(__xludf.DUMMYFUNCTION("""COMPUTED_VALUE"""),128.17)</f>
        <v>128.16999999999999</v>
      </c>
      <c r="E2168" s="1">
        <f ca="1">IFERROR(__xludf.DUMMYFUNCTION("""COMPUTED_VALUE"""),129.56)</f>
        <v>129.56</v>
      </c>
      <c r="F2168" s="1">
        <f ca="1">IFERROR(__xludf.DUMMYFUNCTION("""COMPUTED_VALUE"""),19591080)</f>
        <v>19591080</v>
      </c>
    </row>
    <row r="2169" spans="1:6" x14ac:dyDescent="0.35">
      <c r="A2169" s="2">
        <f ca="1">IFERROR(__xludf.DUMMYFUNCTION("""COMPUTED_VALUE"""),45152.6666666666)</f>
        <v>45152.666666666599</v>
      </c>
      <c r="B2169" s="1">
        <f ca="1">IFERROR(__xludf.DUMMYFUNCTION("""COMPUTED_VALUE"""),129.39)</f>
        <v>129.38999999999999</v>
      </c>
      <c r="C2169" s="1">
        <f ca="1">IFERROR(__xludf.DUMMYFUNCTION("""COMPUTED_VALUE"""),131.37)</f>
        <v>131.37</v>
      </c>
      <c r="D2169" s="1">
        <f ca="1">IFERROR(__xludf.DUMMYFUNCTION("""COMPUTED_VALUE"""),128.96)</f>
        <v>128.96</v>
      </c>
      <c r="E2169" s="1">
        <f ca="1">IFERROR(__xludf.DUMMYFUNCTION("""COMPUTED_VALUE"""),131.33)</f>
        <v>131.33000000000001</v>
      </c>
      <c r="F2169" s="1">
        <f ca="1">IFERROR(__xludf.DUMMYFUNCTION("""COMPUTED_VALUE"""),24695608)</f>
        <v>24695608</v>
      </c>
    </row>
    <row r="2170" spans="1:6" x14ac:dyDescent="0.35">
      <c r="A2170" s="2">
        <f ca="1">IFERROR(__xludf.DUMMYFUNCTION("""COMPUTED_VALUE"""),45153.6666666666)</f>
        <v>45153.666666666599</v>
      </c>
      <c r="B2170" s="1">
        <f ca="1">IFERROR(__xludf.DUMMYFUNCTION("""COMPUTED_VALUE"""),131.1)</f>
        <v>131.1</v>
      </c>
      <c r="C2170" s="1">
        <f ca="1">IFERROR(__xludf.DUMMYFUNCTION("""COMPUTED_VALUE"""),131.42)</f>
        <v>131.41999999999999</v>
      </c>
      <c r="D2170" s="1">
        <f ca="1">IFERROR(__xludf.DUMMYFUNCTION("""COMPUTED_VALUE"""),129.28)</f>
        <v>129.28</v>
      </c>
      <c r="E2170" s="1">
        <f ca="1">IFERROR(__xludf.DUMMYFUNCTION("""COMPUTED_VALUE"""),129.78)</f>
        <v>129.78</v>
      </c>
      <c r="F2170" s="1">
        <f ca="1">IFERROR(__xludf.DUMMYFUNCTION("""COMPUTED_VALUE"""),19770732)</f>
        <v>19770732</v>
      </c>
    </row>
    <row r="2171" spans="1:6" x14ac:dyDescent="0.35">
      <c r="A2171" s="2">
        <f ca="1">IFERROR(__xludf.DUMMYFUNCTION("""COMPUTED_VALUE"""),45154.6666666666)</f>
        <v>45154.666666666599</v>
      </c>
      <c r="B2171" s="1">
        <f ca="1">IFERROR(__xludf.DUMMYFUNCTION("""COMPUTED_VALUE"""),128.7)</f>
        <v>128.69999999999999</v>
      </c>
      <c r="C2171" s="1">
        <f ca="1">IFERROR(__xludf.DUMMYFUNCTION("""COMPUTED_VALUE"""),130.28)</f>
        <v>130.28</v>
      </c>
      <c r="D2171" s="1">
        <f ca="1">IFERROR(__xludf.DUMMYFUNCTION("""COMPUTED_VALUE"""),127.87)</f>
        <v>127.87</v>
      </c>
      <c r="E2171" s="1">
        <f ca="1">IFERROR(__xludf.DUMMYFUNCTION("""COMPUTED_VALUE"""),128.7)</f>
        <v>128.69999999999999</v>
      </c>
      <c r="F2171" s="1">
        <f ca="1">IFERROR(__xludf.DUMMYFUNCTION("""COMPUTED_VALUE"""),25216068)</f>
        <v>25216068</v>
      </c>
    </row>
    <row r="2172" spans="1:6" x14ac:dyDescent="0.35">
      <c r="A2172" s="2">
        <f ca="1">IFERROR(__xludf.DUMMYFUNCTION("""COMPUTED_VALUE"""),45155.6666666666)</f>
        <v>45155.666666666599</v>
      </c>
      <c r="B2172" s="1">
        <f ca="1">IFERROR(__xludf.DUMMYFUNCTION("""COMPUTED_VALUE"""),129.8)</f>
        <v>129.80000000000001</v>
      </c>
      <c r="C2172" s="1">
        <f ca="1">IFERROR(__xludf.DUMMYFUNCTION("""COMPUTED_VALUE"""),131.99)</f>
        <v>131.99</v>
      </c>
      <c r="D2172" s="1">
        <f ca="1">IFERROR(__xludf.DUMMYFUNCTION("""COMPUTED_VALUE"""),129.29)</f>
        <v>129.29</v>
      </c>
      <c r="E2172" s="1">
        <f ca="1">IFERROR(__xludf.DUMMYFUNCTION("""COMPUTED_VALUE"""),129.92)</f>
        <v>129.91999999999999</v>
      </c>
      <c r="F2172" s="1">
        <f ca="1">IFERROR(__xludf.DUMMYFUNCTION("""COMPUTED_VALUE"""),33446280)</f>
        <v>33446280</v>
      </c>
    </row>
    <row r="2173" spans="1:6" x14ac:dyDescent="0.35">
      <c r="A2173" s="2">
        <f ca="1">IFERROR(__xludf.DUMMYFUNCTION("""COMPUTED_VALUE"""),45156.6666666666)</f>
        <v>45156.666666666599</v>
      </c>
      <c r="B2173" s="1">
        <f ca="1">IFERROR(__xludf.DUMMYFUNCTION("""COMPUTED_VALUE"""),128.51)</f>
        <v>128.51</v>
      </c>
      <c r="C2173" s="1">
        <f ca="1">IFERROR(__xludf.DUMMYFUNCTION("""COMPUTED_VALUE"""),129.25)</f>
        <v>129.25</v>
      </c>
      <c r="D2173" s="1">
        <f ca="1">IFERROR(__xludf.DUMMYFUNCTION("""COMPUTED_VALUE"""),126.38)</f>
        <v>126.38</v>
      </c>
      <c r="E2173" s="1">
        <f ca="1">IFERROR(__xludf.DUMMYFUNCTION("""COMPUTED_VALUE"""),127.46)</f>
        <v>127.46</v>
      </c>
      <c r="F2173" s="1">
        <f ca="1">IFERROR(__xludf.DUMMYFUNCTION("""COMPUTED_VALUE"""),30504769)</f>
        <v>30504769</v>
      </c>
    </row>
    <row r="2174" spans="1:6" x14ac:dyDescent="0.35">
      <c r="A2174" s="2">
        <f ca="1">IFERROR(__xludf.DUMMYFUNCTION("""COMPUTED_VALUE"""),45159.6666666666)</f>
        <v>45159.666666666599</v>
      </c>
      <c r="B2174" s="1">
        <f ca="1">IFERROR(__xludf.DUMMYFUNCTION("""COMPUTED_VALUE"""),127.18)</f>
        <v>127.18</v>
      </c>
      <c r="C2174" s="1">
        <f ca="1">IFERROR(__xludf.DUMMYFUNCTION("""COMPUTED_VALUE"""),128.73)</f>
        <v>128.72999999999999</v>
      </c>
      <c r="D2174" s="1">
        <f ca="1">IFERROR(__xludf.DUMMYFUNCTION("""COMPUTED_VALUE"""),126.56)</f>
        <v>126.56</v>
      </c>
      <c r="E2174" s="1">
        <f ca="1">IFERROR(__xludf.DUMMYFUNCTION("""COMPUTED_VALUE"""),128.37)</f>
        <v>128.37</v>
      </c>
      <c r="F2174" s="1">
        <f ca="1">IFERROR(__xludf.DUMMYFUNCTION("""COMPUTED_VALUE"""),25248729)</f>
        <v>25248729</v>
      </c>
    </row>
    <row r="2175" spans="1:6" x14ac:dyDescent="0.35">
      <c r="A2175" s="2">
        <f ca="1">IFERROR(__xludf.DUMMYFUNCTION("""COMPUTED_VALUE"""),45160.6666666666)</f>
        <v>45160.666666666599</v>
      </c>
      <c r="B2175" s="1">
        <f ca="1">IFERROR(__xludf.DUMMYFUNCTION("""COMPUTED_VALUE"""),128.51)</f>
        <v>128.51</v>
      </c>
      <c r="C2175" s="1">
        <f ca="1">IFERROR(__xludf.DUMMYFUNCTION("""COMPUTED_VALUE"""),130.28)</f>
        <v>130.28</v>
      </c>
      <c r="D2175" s="1">
        <f ca="1">IFERROR(__xludf.DUMMYFUNCTION("""COMPUTED_VALUE"""),128.32)</f>
        <v>128.32</v>
      </c>
      <c r="E2175" s="1">
        <f ca="1">IFERROR(__xludf.DUMMYFUNCTION("""COMPUTED_VALUE"""),129.08)</f>
        <v>129.08000000000001</v>
      </c>
      <c r="F2175" s="1">
        <f ca="1">IFERROR(__xludf.DUMMYFUNCTION("""COMPUTED_VALUE"""),22067520)</f>
        <v>22067520</v>
      </c>
    </row>
    <row r="2176" spans="1:6" x14ac:dyDescent="0.35">
      <c r="A2176" s="2">
        <f ca="1">IFERROR(__xludf.DUMMYFUNCTION("""COMPUTED_VALUE"""),45161.6666666666)</f>
        <v>45161.666666666599</v>
      </c>
      <c r="B2176" s="1">
        <f ca="1">IFERROR(__xludf.DUMMYFUNCTION("""COMPUTED_VALUE"""),130.18)</f>
        <v>130.18</v>
      </c>
      <c r="C2176" s="1">
        <f ca="1">IFERROR(__xludf.DUMMYFUNCTION("""COMPUTED_VALUE"""),133.41)</f>
        <v>133.41</v>
      </c>
      <c r="D2176" s="1">
        <f ca="1">IFERROR(__xludf.DUMMYFUNCTION("""COMPUTED_VALUE"""),129.87)</f>
        <v>129.87</v>
      </c>
      <c r="E2176" s="1">
        <f ca="1">IFERROR(__xludf.DUMMYFUNCTION("""COMPUTED_VALUE"""),132.37)</f>
        <v>132.37</v>
      </c>
      <c r="F2176" s="1">
        <f ca="1">IFERROR(__xludf.DUMMYFUNCTION("""COMPUTED_VALUE"""),27819713)</f>
        <v>27819713</v>
      </c>
    </row>
    <row r="2177" spans="1:6" x14ac:dyDescent="0.35">
      <c r="A2177" s="2">
        <f ca="1">IFERROR(__xludf.DUMMYFUNCTION("""COMPUTED_VALUE"""),45162.6666666666)</f>
        <v>45162.666666666599</v>
      </c>
      <c r="B2177" s="1">
        <f ca="1">IFERROR(__xludf.DUMMYFUNCTION("""COMPUTED_VALUE"""),133.95)</f>
        <v>133.94999999999999</v>
      </c>
      <c r="C2177" s="1">
        <f ca="1">IFERROR(__xludf.DUMMYFUNCTION("""COMPUTED_VALUE"""),134.25)</f>
        <v>134.25</v>
      </c>
      <c r="D2177" s="1">
        <f ca="1">IFERROR(__xludf.DUMMYFUNCTION("""COMPUTED_VALUE"""),129.57)</f>
        <v>129.57</v>
      </c>
      <c r="E2177" s="1">
        <f ca="1">IFERROR(__xludf.DUMMYFUNCTION("""COMPUTED_VALUE"""),129.78)</f>
        <v>129.78</v>
      </c>
      <c r="F2177" s="1">
        <f ca="1">IFERROR(__xludf.DUMMYFUNCTION("""COMPUTED_VALUE"""),28500694)</f>
        <v>28500694</v>
      </c>
    </row>
    <row r="2178" spans="1:6" x14ac:dyDescent="0.35">
      <c r="A2178" s="2">
        <f ca="1">IFERROR(__xludf.DUMMYFUNCTION("""COMPUTED_VALUE"""),45163.6666666666)</f>
        <v>45163.666666666599</v>
      </c>
      <c r="B2178" s="1">
        <f ca="1">IFERROR(__xludf.DUMMYFUNCTION("""COMPUTED_VALUE"""),129.54)</f>
        <v>129.54</v>
      </c>
      <c r="C2178" s="1">
        <f ca="1">IFERROR(__xludf.DUMMYFUNCTION("""COMPUTED_VALUE"""),130.76)</f>
        <v>130.76</v>
      </c>
      <c r="D2178" s="1">
        <f ca="1">IFERROR(__xludf.DUMMYFUNCTION("""COMPUTED_VALUE"""),127.25)</f>
        <v>127.25</v>
      </c>
      <c r="E2178" s="1">
        <f ca="1">IFERROR(__xludf.DUMMYFUNCTION("""COMPUTED_VALUE"""),129.88)</f>
        <v>129.88</v>
      </c>
      <c r="F2178" s="1">
        <f ca="1">IFERROR(__xludf.DUMMYFUNCTION("""COMPUTED_VALUE"""),26762891)</f>
        <v>26762891</v>
      </c>
    </row>
    <row r="2179" spans="1:6" x14ac:dyDescent="0.35">
      <c r="A2179" s="2">
        <f ca="1">IFERROR(__xludf.DUMMYFUNCTION("""COMPUTED_VALUE"""),45166.6666666666)</f>
        <v>45166.666666666599</v>
      </c>
      <c r="B2179" s="1">
        <f ca="1">IFERROR(__xludf.DUMMYFUNCTION("""COMPUTED_VALUE"""),131.31)</f>
        <v>131.31</v>
      </c>
      <c r="C2179" s="1">
        <f ca="1">IFERROR(__xludf.DUMMYFUNCTION("""COMPUTED_VALUE"""),132.54)</f>
        <v>132.54</v>
      </c>
      <c r="D2179" s="1">
        <f ca="1">IFERROR(__xludf.DUMMYFUNCTION("""COMPUTED_VALUE"""),130.14)</f>
        <v>130.13999999999999</v>
      </c>
      <c r="E2179" s="1">
        <f ca="1">IFERROR(__xludf.DUMMYFUNCTION("""COMPUTED_VALUE"""),131.01)</f>
        <v>131.01</v>
      </c>
      <c r="F2179" s="1">
        <f ca="1">IFERROR(__xludf.DUMMYFUNCTION("""COMPUTED_VALUE"""),20543266)</f>
        <v>20543266</v>
      </c>
    </row>
    <row r="2180" spans="1:6" x14ac:dyDescent="0.35">
      <c r="A2180" s="2">
        <f ca="1">IFERROR(__xludf.DUMMYFUNCTION("""COMPUTED_VALUE"""),45167.6666666666)</f>
        <v>45167.666666666599</v>
      </c>
      <c r="B2180" s="1">
        <f ca="1">IFERROR(__xludf.DUMMYFUNCTION("""COMPUTED_VALUE"""),132.24)</f>
        <v>132.24</v>
      </c>
      <c r="C2180" s="1">
        <f ca="1">IFERROR(__xludf.DUMMYFUNCTION("""COMPUTED_VALUE"""),136.57)</f>
        <v>136.57</v>
      </c>
      <c r="D2180" s="1">
        <f ca="1">IFERROR(__xludf.DUMMYFUNCTION("""COMPUTED_VALUE"""),132.24)</f>
        <v>132.24</v>
      </c>
      <c r="E2180" s="1">
        <f ca="1">IFERROR(__xludf.DUMMYFUNCTION("""COMPUTED_VALUE"""),134.57)</f>
        <v>134.57</v>
      </c>
      <c r="F2180" s="1">
        <f ca="1">IFERROR(__xludf.DUMMYFUNCTION("""COMPUTED_VALUE"""),43075556)</f>
        <v>43075556</v>
      </c>
    </row>
    <row r="2181" spans="1:6" x14ac:dyDescent="0.35">
      <c r="A2181" s="2">
        <f ca="1">IFERROR(__xludf.DUMMYFUNCTION("""COMPUTED_VALUE"""),45168.6666666666)</f>
        <v>45168.666666666599</v>
      </c>
      <c r="B2181" s="1">
        <f ca="1">IFERROR(__xludf.DUMMYFUNCTION("""COMPUTED_VALUE"""),134.78)</f>
        <v>134.78</v>
      </c>
      <c r="C2181" s="1">
        <f ca="1">IFERROR(__xludf.DUMMYFUNCTION("""COMPUTED_VALUE"""),136.28)</f>
        <v>136.28</v>
      </c>
      <c r="D2181" s="1">
        <f ca="1">IFERROR(__xludf.DUMMYFUNCTION("""COMPUTED_VALUE"""),134.07)</f>
        <v>134.07</v>
      </c>
      <c r="E2181" s="1">
        <f ca="1">IFERROR(__xludf.DUMMYFUNCTION("""COMPUTED_VALUE"""),135.88)</f>
        <v>135.88</v>
      </c>
      <c r="F2181" s="1">
        <f ca="1">IFERROR(__xludf.DUMMYFUNCTION("""COMPUTED_VALUE"""),28315769)</f>
        <v>28315769</v>
      </c>
    </row>
    <row r="2182" spans="1:6" x14ac:dyDescent="0.35">
      <c r="A2182" s="2">
        <f ca="1">IFERROR(__xludf.DUMMYFUNCTION("""COMPUTED_VALUE"""),45169.6666666666)</f>
        <v>45169.666666666599</v>
      </c>
      <c r="B2182" s="1">
        <f ca="1">IFERROR(__xludf.DUMMYFUNCTION("""COMPUTED_VALUE"""),136.01)</f>
        <v>136.01</v>
      </c>
      <c r="C2182" s="1">
        <f ca="1">IFERROR(__xludf.DUMMYFUNCTION("""COMPUTED_VALUE"""),138)</f>
        <v>138</v>
      </c>
      <c r="D2182" s="1">
        <f ca="1">IFERROR(__xludf.DUMMYFUNCTION("""COMPUTED_VALUE"""),135.79)</f>
        <v>135.79</v>
      </c>
      <c r="E2182" s="1">
        <f ca="1">IFERROR(__xludf.DUMMYFUNCTION("""COMPUTED_VALUE"""),136.17)</f>
        <v>136.16999999999999</v>
      </c>
      <c r="F2182" s="1">
        <f ca="1">IFERROR(__xludf.DUMMYFUNCTION("""COMPUTED_VALUE"""),30053800)</f>
        <v>30053800</v>
      </c>
    </row>
    <row r="2183" spans="1:6" x14ac:dyDescent="0.35">
      <c r="A2183" s="2">
        <f ca="1">IFERROR(__xludf.DUMMYFUNCTION("""COMPUTED_VALUE"""),45170.6666666666)</f>
        <v>45170.666666666599</v>
      </c>
      <c r="B2183" s="1">
        <f ca="1">IFERROR(__xludf.DUMMYFUNCTION("""COMPUTED_VALUE"""),137.46)</f>
        <v>137.46</v>
      </c>
      <c r="C2183" s="1">
        <f ca="1">IFERROR(__xludf.DUMMYFUNCTION("""COMPUTED_VALUE"""),137.46)</f>
        <v>137.46</v>
      </c>
      <c r="D2183" s="1">
        <f ca="1">IFERROR(__xludf.DUMMYFUNCTION("""COMPUTED_VALUE"""),134.85)</f>
        <v>134.85</v>
      </c>
      <c r="E2183" s="1">
        <f ca="1">IFERROR(__xludf.DUMMYFUNCTION("""COMPUTED_VALUE"""),135.66)</f>
        <v>135.66</v>
      </c>
      <c r="F2183" s="1">
        <f ca="1">IFERROR(__xludf.DUMMYFUNCTION("""COMPUTED_VALUE"""),21543687)</f>
        <v>21543687</v>
      </c>
    </row>
    <row r="2184" spans="1:6" x14ac:dyDescent="0.35">
      <c r="A2184" s="2">
        <f ca="1">IFERROR(__xludf.DUMMYFUNCTION("""COMPUTED_VALUE"""),45174.6666666666)</f>
        <v>45174.666666666599</v>
      </c>
      <c r="B2184" s="1">
        <f ca="1">IFERROR(__xludf.DUMMYFUNCTION("""COMPUTED_VALUE"""),135.44)</f>
        <v>135.44</v>
      </c>
      <c r="C2184" s="1">
        <f ca="1">IFERROR(__xludf.DUMMYFUNCTION("""COMPUTED_VALUE"""),136.42)</f>
        <v>136.41999999999999</v>
      </c>
      <c r="D2184" s="1">
        <f ca="1">IFERROR(__xludf.DUMMYFUNCTION("""COMPUTED_VALUE"""),134.58)</f>
        <v>134.58000000000001</v>
      </c>
      <c r="E2184" s="1">
        <f ca="1">IFERROR(__xludf.DUMMYFUNCTION("""COMPUTED_VALUE"""),135.77)</f>
        <v>135.77000000000001</v>
      </c>
      <c r="F2184" s="1">
        <f ca="1">IFERROR(__xludf.DUMMYFUNCTION("""COMPUTED_VALUE"""),19403112)</f>
        <v>19403112</v>
      </c>
    </row>
    <row r="2185" spans="1:6" x14ac:dyDescent="0.35">
      <c r="A2185" s="2">
        <f ca="1">IFERROR(__xludf.DUMMYFUNCTION("""COMPUTED_VALUE"""),45175.6666666666)</f>
        <v>45175.666666666599</v>
      </c>
      <c r="B2185" s="1">
        <f ca="1">IFERROR(__xludf.DUMMYFUNCTION("""COMPUTED_VALUE"""),136.02)</f>
        <v>136.02000000000001</v>
      </c>
      <c r="C2185" s="1">
        <f ca="1">IFERROR(__xludf.DUMMYFUNCTION("""COMPUTED_VALUE"""),136.53)</f>
        <v>136.53</v>
      </c>
      <c r="D2185" s="1">
        <f ca="1">IFERROR(__xludf.DUMMYFUNCTION("""COMPUTED_VALUE"""),133.67)</f>
        <v>133.66999999999999</v>
      </c>
      <c r="E2185" s="1">
        <f ca="1">IFERROR(__xludf.DUMMYFUNCTION("""COMPUTED_VALUE"""),134.46)</f>
        <v>134.46</v>
      </c>
      <c r="F2185" s="1">
        <f ca="1">IFERROR(__xludf.DUMMYFUNCTION("""COMPUTED_VALUE"""),18684534)</f>
        <v>18684534</v>
      </c>
    </row>
    <row r="2186" spans="1:6" x14ac:dyDescent="0.35">
      <c r="A2186" s="2">
        <f ca="1">IFERROR(__xludf.DUMMYFUNCTION("""COMPUTED_VALUE"""),45176.6666666666)</f>
        <v>45176.666666666599</v>
      </c>
      <c r="B2186" s="1">
        <f ca="1">IFERROR(__xludf.DUMMYFUNCTION("""COMPUTED_VALUE"""),133.59)</f>
        <v>133.59</v>
      </c>
      <c r="C2186" s="1">
        <f ca="1">IFERROR(__xludf.DUMMYFUNCTION("""COMPUTED_VALUE"""),135.58)</f>
        <v>135.58000000000001</v>
      </c>
      <c r="D2186" s="1">
        <f ca="1">IFERROR(__xludf.DUMMYFUNCTION("""COMPUTED_VALUE"""),132.95)</f>
        <v>132.94999999999999</v>
      </c>
      <c r="E2186" s="1">
        <f ca="1">IFERROR(__xludf.DUMMYFUNCTION("""COMPUTED_VALUE"""),135.26)</f>
        <v>135.26</v>
      </c>
      <c r="F2186" s="1">
        <f ca="1">IFERROR(__xludf.DUMMYFUNCTION("""COMPUTED_VALUE"""),18844342)</f>
        <v>18844342</v>
      </c>
    </row>
    <row r="2187" spans="1:6" x14ac:dyDescent="0.35">
      <c r="A2187" s="2">
        <f ca="1">IFERROR(__xludf.DUMMYFUNCTION("""COMPUTED_VALUE"""),45177.6666666666)</f>
        <v>45177.666666666599</v>
      </c>
      <c r="B2187" s="1">
        <f ca="1">IFERROR(__xludf.DUMMYFUNCTION("""COMPUTED_VALUE"""),134.91)</f>
        <v>134.91</v>
      </c>
      <c r="C2187" s="1">
        <f ca="1">IFERROR(__xludf.DUMMYFUNCTION("""COMPUTED_VALUE"""),136.66)</f>
        <v>136.66</v>
      </c>
      <c r="D2187" s="1">
        <f ca="1">IFERROR(__xludf.DUMMYFUNCTION("""COMPUTED_VALUE"""),134.85)</f>
        <v>134.85</v>
      </c>
      <c r="E2187" s="1">
        <f ca="1">IFERROR(__xludf.DUMMYFUNCTION("""COMPUTED_VALUE"""),136.38)</f>
        <v>136.38</v>
      </c>
      <c r="F2187" s="1">
        <f ca="1">IFERROR(__xludf.DUMMYFUNCTION("""COMPUTED_VALUE"""),23584188)</f>
        <v>23584188</v>
      </c>
    </row>
    <row r="2188" spans="1:6" x14ac:dyDescent="0.35">
      <c r="A2188" s="2">
        <f ca="1">IFERROR(__xludf.DUMMYFUNCTION("""COMPUTED_VALUE"""),45180.6666666666)</f>
        <v>45180.666666666599</v>
      </c>
      <c r="B2188" s="1">
        <f ca="1">IFERROR(__xludf.DUMMYFUNCTION("""COMPUTED_VALUE"""),136.54)</f>
        <v>136.54</v>
      </c>
      <c r="C2188" s="1">
        <f ca="1">IFERROR(__xludf.DUMMYFUNCTION("""COMPUTED_VALUE"""),137.48)</f>
        <v>137.47999999999999</v>
      </c>
      <c r="D2188" s="1">
        <f ca="1">IFERROR(__xludf.DUMMYFUNCTION("""COMPUTED_VALUE"""),135.79)</f>
        <v>135.79</v>
      </c>
      <c r="E2188" s="1">
        <f ca="1">IFERROR(__xludf.DUMMYFUNCTION("""COMPUTED_VALUE"""),136.92)</f>
        <v>136.91999999999999</v>
      </c>
      <c r="F2188" s="1">
        <f ca="1">IFERROR(__xludf.DUMMYFUNCTION("""COMPUTED_VALUE"""),20763350)</f>
        <v>20763350</v>
      </c>
    </row>
    <row r="2189" spans="1:6" x14ac:dyDescent="0.35">
      <c r="A2189" s="2">
        <f ca="1">IFERROR(__xludf.DUMMYFUNCTION("""COMPUTED_VALUE"""),45181.6666666666)</f>
        <v>45181.666666666599</v>
      </c>
      <c r="B2189" s="1">
        <f ca="1">IFERROR(__xludf.DUMMYFUNCTION("""COMPUTED_VALUE"""),136.26)</f>
        <v>136.26</v>
      </c>
      <c r="C2189" s="1">
        <f ca="1">IFERROR(__xludf.DUMMYFUNCTION("""COMPUTED_VALUE"""),136.87)</f>
        <v>136.87</v>
      </c>
      <c r="D2189" s="1">
        <f ca="1">IFERROR(__xludf.DUMMYFUNCTION("""COMPUTED_VALUE"""),135.19)</f>
        <v>135.19</v>
      </c>
      <c r="E2189" s="1">
        <f ca="1">IFERROR(__xludf.DUMMYFUNCTION("""COMPUTED_VALUE"""),135.34)</f>
        <v>135.34</v>
      </c>
      <c r="F2189" s="1">
        <f ca="1">IFERROR(__xludf.DUMMYFUNCTION("""COMPUTED_VALUE"""),18405505)</f>
        <v>18405505</v>
      </c>
    </row>
    <row r="2190" spans="1:6" x14ac:dyDescent="0.35">
      <c r="A2190" s="2">
        <f ca="1">IFERROR(__xludf.DUMMYFUNCTION("""COMPUTED_VALUE"""),45182.6666666666)</f>
        <v>45182.666666666599</v>
      </c>
      <c r="B2190" s="1">
        <f ca="1">IFERROR(__xludf.DUMMYFUNCTION("""COMPUTED_VALUE"""),135.09)</f>
        <v>135.09</v>
      </c>
      <c r="C2190" s="1">
        <f ca="1">IFERROR(__xludf.DUMMYFUNCTION("""COMPUTED_VALUE"""),136.9)</f>
        <v>136.9</v>
      </c>
      <c r="D2190" s="1">
        <f ca="1">IFERROR(__xludf.DUMMYFUNCTION("""COMPUTED_VALUE"""),134.15)</f>
        <v>134.15</v>
      </c>
      <c r="E2190" s="1">
        <f ca="1">IFERROR(__xludf.DUMMYFUNCTION("""COMPUTED_VALUE"""),136.71)</f>
        <v>136.71</v>
      </c>
      <c r="F2190" s="1">
        <f ca="1">IFERROR(__xludf.DUMMYFUNCTION("""COMPUTED_VALUE"""),20749496)</f>
        <v>20749496</v>
      </c>
    </row>
    <row r="2191" spans="1:6" x14ac:dyDescent="0.35">
      <c r="A2191" s="2">
        <f ca="1">IFERROR(__xludf.DUMMYFUNCTION("""COMPUTED_VALUE"""),45183.6666666666)</f>
        <v>45183.666666666599</v>
      </c>
      <c r="B2191" s="1">
        <f ca="1">IFERROR(__xludf.DUMMYFUNCTION("""COMPUTED_VALUE"""),137.6)</f>
        <v>137.6</v>
      </c>
      <c r="C2191" s="1">
        <f ca="1">IFERROR(__xludf.DUMMYFUNCTION("""COMPUTED_VALUE"""),138.7)</f>
        <v>138.69999999999999</v>
      </c>
      <c r="D2191" s="1">
        <f ca="1">IFERROR(__xludf.DUMMYFUNCTION("""COMPUTED_VALUE"""),136.24)</f>
        <v>136.24</v>
      </c>
      <c r="E2191" s="1">
        <f ca="1">IFERROR(__xludf.DUMMYFUNCTION("""COMPUTED_VALUE"""),138.1)</f>
        <v>138.1</v>
      </c>
      <c r="F2191" s="1">
        <f ca="1">IFERROR(__xludf.DUMMYFUNCTION("""COMPUTED_VALUE"""),24750968)</f>
        <v>24750968</v>
      </c>
    </row>
    <row r="2192" spans="1:6" x14ac:dyDescent="0.35">
      <c r="A2192" s="2">
        <f ca="1">IFERROR(__xludf.DUMMYFUNCTION("""COMPUTED_VALUE"""),45184.6666666666)</f>
        <v>45184.666666666599</v>
      </c>
      <c r="B2192" s="1">
        <f ca="1">IFERROR(__xludf.DUMMYFUNCTION("""COMPUTED_VALUE"""),137.98)</f>
        <v>137.97999999999999</v>
      </c>
      <c r="C2192" s="1">
        <f ca="1">IFERROR(__xludf.DUMMYFUNCTION("""COMPUTED_VALUE"""),138.52)</f>
        <v>138.52000000000001</v>
      </c>
      <c r="D2192" s="1">
        <f ca="1">IFERROR(__xludf.DUMMYFUNCTION("""COMPUTED_VALUE"""),136.48)</f>
        <v>136.47999999999999</v>
      </c>
      <c r="E2192" s="1">
        <f ca="1">IFERROR(__xludf.DUMMYFUNCTION("""COMPUTED_VALUE"""),137.4)</f>
        <v>137.4</v>
      </c>
      <c r="F2192" s="1">
        <f ca="1">IFERROR(__xludf.DUMMYFUNCTION("""COMPUTED_VALUE"""),38919614)</f>
        <v>38919614</v>
      </c>
    </row>
    <row r="2193" spans="1:6" x14ac:dyDescent="0.35">
      <c r="A2193" s="2">
        <f ca="1">IFERROR(__xludf.DUMMYFUNCTION("""COMPUTED_VALUE"""),45187.6666666666)</f>
        <v>45187.666666666599</v>
      </c>
      <c r="B2193" s="1">
        <f ca="1">IFERROR(__xludf.DUMMYFUNCTION("""COMPUTED_VALUE"""),136.61)</f>
        <v>136.61000000000001</v>
      </c>
      <c r="C2193" s="1">
        <f ca="1">IFERROR(__xludf.DUMMYFUNCTION("""COMPUTED_VALUE"""),139.16)</f>
        <v>139.16</v>
      </c>
      <c r="D2193" s="1">
        <f ca="1">IFERROR(__xludf.DUMMYFUNCTION("""COMPUTED_VALUE"""),136.61)</f>
        <v>136.61000000000001</v>
      </c>
      <c r="E2193" s="1">
        <f ca="1">IFERROR(__xludf.DUMMYFUNCTION("""COMPUTED_VALUE"""),138.21)</f>
        <v>138.21</v>
      </c>
      <c r="F2193" s="1">
        <f ca="1">IFERROR(__xludf.DUMMYFUNCTION("""COMPUTED_VALUE"""),21861346)</f>
        <v>21861346</v>
      </c>
    </row>
    <row r="2194" spans="1:6" x14ac:dyDescent="0.35">
      <c r="A2194" s="2">
        <f ca="1">IFERROR(__xludf.DUMMYFUNCTION("""COMPUTED_VALUE"""),45188.6666666666)</f>
        <v>45188.666666666599</v>
      </c>
      <c r="B2194" s="1">
        <f ca="1">IFERROR(__xludf.DUMMYFUNCTION("""COMPUTED_VALUE"""),137.42)</f>
        <v>137.41999999999999</v>
      </c>
      <c r="C2194" s="1">
        <f ca="1">IFERROR(__xludf.DUMMYFUNCTION("""COMPUTED_VALUE"""),138.41)</f>
        <v>138.41</v>
      </c>
      <c r="D2194" s="1">
        <f ca="1">IFERROR(__xludf.DUMMYFUNCTION("""COMPUTED_VALUE"""),136.62)</f>
        <v>136.62</v>
      </c>
      <c r="E2194" s="1">
        <f ca="1">IFERROR(__xludf.DUMMYFUNCTION("""COMPUTED_VALUE"""),138.04)</f>
        <v>138.04</v>
      </c>
      <c r="F2194" s="1">
        <f ca="1">IFERROR(__xludf.DUMMYFUNCTION("""COMPUTED_VALUE"""),20353653)</f>
        <v>20353653</v>
      </c>
    </row>
    <row r="2195" spans="1:6" x14ac:dyDescent="0.35">
      <c r="A2195" s="2">
        <f ca="1">IFERROR(__xludf.DUMMYFUNCTION("""COMPUTED_VALUE"""),45189.6666666666)</f>
        <v>45189.666666666599</v>
      </c>
      <c r="B2195" s="1">
        <f ca="1">IFERROR(__xludf.DUMMYFUNCTION("""COMPUTED_VALUE"""),138.08)</f>
        <v>138.08000000000001</v>
      </c>
      <c r="C2195" s="1">
        <f ca="1">IFERROR(__xludf.DUMMYFUNCTION("""COMPUTED_VALUE"""),138.08)</f>
        <v>138.08000000000001</v>
      </c>
      <c r="D2195" s="1">
        <f ca="1">IFERROR(__xludf.DUMMYFUNCTION("""COMPUTED_VALUE"""),133.62)</f>
        <v>133.62</v>
      </c>
      <c r="E2195" s="1">
        <f ca="1">IFERROR(__xludf.DUMMYFUNCTION("""COMPUTED_VALUE"""),133.74)</f>
        <v>133.74</v>
      </c>
      <c r="F2195" s="1">
        <f ca="1">IFERROR(__xludf.DUMMYFUNCTION("""COMPUTED_VALUE"""),29927475)</f>
        <v>29927475</v>
      </c>
    </row>
    <row r="2196" spans="1:6" x14ac:dyDescent="0.35">
      <c r="A2196" s="2">
        <f ca="1">IFERROR(__xludf.DUMMYFUNCTION("""COMPUTED_VALUE"""),45190.6666666666)</f>
        <v>45190.666666666599</v>
      </c>
      <c r="B2196" s="1">
        <f ca="1">IFERROR(__xludf.DUMMYFUNCTION("""COMPUTED_VALUE"""),131.44)</f>
        <v>131.44</v>
      </c>
      <c r="C2196" s="1">
        <f ca="1">IFERROR(__xludf.DUMMYFUNCTION("""COMPUTED_VALUE"""),132.23)</f>
        <v>132.22999999999999</v>
      </c>
      <c r="D2196" s="1">
        <f ca="1">IFERROR(__xludf.DUMMYFUNCTION("""COMPUTED_VALUE"""),130.07)</f>
        <v>130.07</v>
      </c>
      <c r="E2196" s="1">
        <f ca="1">IFERROR(__xludf.DUMMYFUNCTION("""COMPUTED_VALUE"""),130.44)</f>
        <v>130.44</v>
      </c>
      <c r="F2196" s="1">
        <f ca="1">IFERROR(__xludf.DUMMYFUNCTION("""COMPUTED_VALUE"""),31503910)</f>
        <v>31503910</v>
      </c>
    </row>
    <row r="2197" spans="1:6" x14ac:dyDescent="0.35">
      <c r="A2197" s="2">
        <f ca="1">IFERROR(__xludf.DUMMYFUNCTION("""COMPUTED_VALUE"""),45191.6666666666)</f>
        <v>45191.666666666599</v>
      </c>
      <c r="B2197" s="1">
        <f ca="1">IFERROR(__xludf.DUMMYFUNCTION("""COMPUTED_VALUE"""),130.76)</f>
        <v>130.76</v>
      </c>
      <c r="C2197" s="1">
        <f ca="1">IFERROR(__xludf.DUMMYFUNCTION("""COMPUTED_VALUE"""),132.03)</f>
        <v>132.03</v>
      </c>
      <c r="D2197" s="1">
        <f ca="1">IFERROR(__xludf.DUMMYFUNCTION("""COMPUTED_VALUE"""),129.6)</f>
        <v>129.6</v>
      </c>
      <c r="E2197" s="1">
        <f ca="1">IFERROR(__xludf.DUMMYFUNCTION("""COMPUTED_VALUE"""),130.25)</f>
        <v>130.25</v>
      </c>
      <c r="F2197" s="1">
        <f ca="1">IFERROR(__xludf.DUMMYFUNCTION("""COMPUTED_VALUE"""),26397337)</f>
        <v>26397337</v>
      </c>
    </row>
    <row r="2198" spans="1:6" x14ac:dyDescent="0.35">
      <c r="A2198" s="2">
        <f ca="1">IFERROR(__xludf.DUMMYFUNCTION("""COMPUTED_VALUE"""),45194.6666666666)</f>
        <v>45194.666666666599</v>
      </c>
      <c r="B2198" s="1">
        <f ca="1">IFERROR(__xludf.DUMMYFUNCTION("""COMPUTED_VALUE"""),129.83)</f>
        <v>129.83000000000001</v>
      </c>
      <c r="C2198" s="1">
        <f ca="1">IFERROR(__xludf.DUMMYFUNCTION("""COMPUTED_VALUE"""),131.17)</f>
        <v>131.16999999999999</v>
      </c>
      <c r="D2198" s="1">
        <f ca="1">IFERROR(__xludf.DUMMYFUNCTION("""COMPUTED_VALUE"""),128.96)</f>
        <v>128.96</v>
      </c>
      <c r="E2198" s="1">
        <f ca="1">IFERROR(__xludf.DUMMYFUNCTION("""COMPUTED_VALUE"""),131.11)</f>
        <v>131.11000000000001</v>
      </c>
      <c r="F2198" s="1">
        <f ca="1">IFERROR(__xludf.DUMMYFUNCTION("""COMPUTED_VALUE"""),20094643)</f>
        <v>20094643</v>
      </c>
    </row>
    <row r="2199" spans="1:6" x14ac:dyDescent="0.35">
      <c r="A2199" s="2">
        <f ca="1">IFERROR(__xludf.DUMMYFUNCTION("""COMPUTED_VALUE"""),45195.6666666666)</f>
        <v>45195.666666666599</v>
      </c>
      <c r="B2199" s="1">
        <f ca="1">IFERROR(__xludf.DUMMYFUNCTION("""COMPUTED_VALUE"""),129.77)</f>
        <v>129.77000000000001</v>
      </c>
      <c r="C2199" s="1">
        <f ca="1">IFERROR(__xludf.DUMMYFUNCTION("""COMPUTED_VALUE"""),130.36)</f>
        <v>130.36000000000001</v>
      </c>
      <c r="D2199" s="1">
        <f ca="1">IFERROR(__xludf.DUMMYFUNCTION("""COMPUTED_VALUE"""),127.22)</f>
        <v>127.22</v>
      </c>
      <c r="E2199" s="1">
        <f ca="1">IFERROR(__xludf.DUMMYFUNCTION("""COMPUTED_VALUE"""),128.57)</f>
        <v>128.57</v>
      </c>
      <c r="F2199" s="1">
        <f ca="1">IFERROR(__xludf.DUMMYFUNCTION("""COMPUTED_VALUE"""),25718704)</f>
        <v>25718704</v>
      </c>
    </row>
    <row r="2200" spans="1:6" x14ac:dyDescent="0.35">
      <c r="A2200" s="2">
        <f ca="1">IFERROR(__xludf.DUMMYFUNCTION("""COMPUTED_VALUE"""),45196.6666666666)</f>
        <v>45196.666666666599</v>
      </c>
      <c r="B2200" s="1">
        <f ca="1">IFERROR(__xludf.DUMMYFUNCTION("""COMPUTED_VALUE"""),128.57)</f>
        <v>128.57</v>
      </c>
      <c r="C2200" s="1">
        <f ca="1">IFERROR(__xludf.DUMMYFUNCTION("""COMPUTED_VALUE"""),130.9)</f>
        <v>130.9</v>
      </c>
      <c r="D2200" s="1">
        <f ca="1">IFERROR(__xludf.DUMMYFUNCTION("""COMPUTED_VALUE"""),128.57)</f>
        <v>128.57</v>
      </c>
      <c r="E2200" s="1">
        <f ca="1">IFERROR(__xludf.DUMMYFUNCTION("""COMPUTED_VALUE"""),130.54)</f>
        <v>130.54</v>
      </c>
      <c r="F2200" s="1">
        <f ca="1">IFERROR(__xludf.DUMMYFUNCTION("""COMPUTED_VALUE"""),22746452)</f>
        <v>22746452</v>
      </c>
    </row>
    <row r="2201" spans="1:6" x14ac:dyDescent="0.35">
      <c r="A2201" s="2">
        <f ca="1">IFERROR(__xludf.DUMMYFUNCTION("""COMPUTED_VALUE"""),45197.6666666666)</f>
        <v>45197.666666666599</v>
      </c>
      <c r="B2201" s="1">
        <f ca="1">IFERROR(__xludf.DUMMYFUNCTION("""COMPUTED_VALUE"""),129.84)</f>
        <v>129.84</v>
      </c>
      <c r="C2201" s="1">
        <f ca="1">IFERROR(__xludf.DUMMYFUNCTION("""COMPUTED_VALUE"""),133.3)</f>
        <v>133.30000000000001</v>
      </c>
      <c r="D2201" s="1">
        <f ca="1">IFERROR(__xludf.DUMMYFUNCTION("""COMPUTED_VALUE"""),129.79)</f>
        <v>129.79</v>
      </c>
      <c r="E2201" s="1">
        <f ca="1">IFERROR(__xludf.DUMMYFUNCTION("""COMPUTED_VALUE"""),132.31)</f>
        <v>132.31</v>
      </c>
      <c r="F2201" s="1">
        <f ca="1">IFERROR(__xludf.DUMMYFUNCTION("""COMPUTED_VALUE"""),22513132)</f>
        <v>22513132</v>
      </c>
    </row>
    <row r="2202" spans="1:6" x14ac:dyDescent="0.35">
      <c r="A2202" s="2">
        <f ca="1">IFERROR(__xludf.DUMMYFUNCTION("""COMPUTED_VALUE"""),45198.6666666666)</f>
        <v>45198.666666666599</v>
      </c>
      <c r="B2202" s="1">
        <f ca="1">IFERROR(__xludf.DUMMYFUNCTION("""COMPUTED_VALUE"""),133.28)</f>
        <v>133.28</v>
      </c>
      <c r="C2202" s="1">
        <f ca="1">IFERROR(__xludf.DUMMYFUNCTION("""COMPUTED_VALUE"""),134.05)</f>
        <v>134.05000000000001</v>
      </c>
      <c r="D2202" s="1">
        <f ca="1">IFERROR(__xludf.DUMMYFUNCTION("""COMPUTED_VALUE"""),130.36)</f>
        <v>130.36000000000001</v>
      </c>
      <c r="E2202" s="1">
        <f ca="1">IFERROR(__xludf.DUMMYFUNCTION("""COMPUTED_VALUE"""),130.86)</f>
        <v>130.86000000000001</v>
      </c>
      <c r="F2202" s="1">
        <f ca="1">IFERROR(__xludf.DUMMYFUNCTION("""COMPUTED_VALUE"""),30859790)</f>
        <v>30859790</v>
      </c>
    </row>
    <row r="2203" spans="1:6" x14ac:dyDescent="0.35">
      <c r="A2203" s="2">
        <f ca="1">IFERROR(__xludf.DUMMYFUNCTION("""COMPUTED_VALUE"""),45201.6666666666)</f>
        <v>45201.666666666599</v>
      </c>
      <c r="B2203" s="1">
        <f ca="1">IFERROR(__xludf.DUMMYFUNCTION("""COMPUTED_VALUE"""),131.21)</f>
        <v>131.21</v>
      </c>
      <c r="C2203" s="1">
        <f ca="1">IFERROR(__xludf.DUMMYFUNCTION("""COMPUTED_VALUE"""),134.42)</f>
        <v>134.41999999999999</v>
      </c>
      <c r="D2203" s="1">
        <f ca="1">IFERROR(__xludf.DUMMYFUNCTION("""COMPUTED_VALUE"""),131.17)</f>
        <v>131.16999999999999</v>
      </c>
      <c r="E2203" s="1">
        <f ca="1">IFERROR(__xludf.DUMMYFUNCTION("""COMPUTED_VALUE"""),134.17)</f>
        <v>134.16999999999999</v>
      </c>
      <c r="F2203" s="1">
        <f ca="1">IFERROR(__xludf.DUMMYFUNCTION("""COMPUTED_VALUE"""),22288038)</f>
        <v>22288038</v>
      </c>
    </row>
    <row r="2204" spans="1:6" x14ac:dyDescent="0.35">
      <c r="A2204" s="2">
        <f ca="1">IFERROR(__xludf.DUMMYFUNCTION("""COMPUTED_VALUE"""),45202.6666666666)</f>
        <v>45202.666666666599</v>
      </c>
      <c r="B2204" s="1">
        <f ca="1">IFERROR(__xludf.DUMMYFUNCTION("""COMPUTED_VALUE"""),133.94)</f>
        <v>133.94</v>
      </c>
      <c r="C2204" s="1">
        <f ca="1">IFERROR(__xludf.DUMMYFUNCTION("""COMPUTED_VALUE"""),134.26)</f>
        <v>134.26</v>
      </c>
      <c r="D2204" s="1">
        <f ca="1">IFERROR(__xludf.DUMMYFUNCTION("""COMPUTED_VALUE"""),131.84)</f>
        <v>131.84</v>
      </c>
      <c r="E2204" s="1">
        <f ca="1">IFERROR(__xludf.DUMMYFUNCTION("""COMPUTED_VALUE"""),132.43)</f>
        <v>132.43</v>
      </c>
      <c r="F2204" s="1">
        <f ca="1">IFERROR(__xludf.DUMMYFUNCTION("""COMPUTED_VALUE"""),22989401)</f>
        <v>22989401</v>
      </c>
    </row>
    <row r="2205" spans="1:6" x14ac:dyDescent="0.35">
      <c r="A2205" s="2">
        <f ca="1">IFERROR(__xludf.DUMMYFUNCTION("""COMPUTED_VALUE"""),45203.6666666666)</f>
        <v>45203.666666666599</v>
      </c>
      <c r="B2205" s="1">
        <f ca="1">IFERROR(__xludf.DUMMYFUNCTION("""COMPUTED_VALUE"""),132.79)</f>
        <v>132.79</v>
      </c>
      <c r="C2205" s="1">
        <f ca="1">IFERROR(__xludf.DUMMYFUNCTION("""COMPUTED_VALUE"""),135.57)</f>
        <v>135.57</v>
      </c>
      <c r="D2205" s="1">
        <f ca="1">IFERROR(__xludf.DUMMYFUNCTION("""COMPUTED_VALUE"""),132.53)</f>
        <v>132.53</v>
      </c>
      <c r="E2205" s="1">
        <f ca="1">IFERROR(__xludf.DUMMYFUNCTION("""COMPUTED_VALUE"""),135.24)</f>
        <v>135.24</v>
      </c>
      <c r="F2205" s="1">
        <f ca="1">IFERROR(__xludf.DUMMYFUNCTION("""COMPUTED_VALUE"""),26752295)</f>
        <v>26752295</v>
      </c>
    </row>
    <row r="2206" spans="1:6" x14ac:dyDescent="0.35">
      <c r="A2206" s="2">
        <f ca="1">IFERROR(__xludf.DUMMYFUNCTION("""COMPUTED_VALUE"""),45204.6666666666)</f>
        <v>45204.666666666599</v>
      </c>
      <c r="B2206" s="1">
        <f ca="1">IFERROR(__xludf.DUMMYFUNCTION("""COMPUTED_VALUE"""),135.07)</f>
        <v>135.07</v>
      </c>
      <c r="C2206" s="1">
        <f ca="1">IFERROR(__xludf.DUMMYFUNCTION("""COMPUTED_VALUE"""),135.49)</f>
        <v>135.49</v>
      </c>
      <c r="D2206" s="1">
        <f ca="1">IFERROR(__xludf.DUMMYFUNCTION("""COMPUTED_VALUE"""),133.45)</f>
        <v>133.44999999999999</v>
      </c>
      <c r="E2206" s="1">
        <f ca="1">IFERROR(__xludf.DUMMYFUNCTION("""COMPUTED_VALUE"""),135.07)</f>
        <v>135.07</v>
      </c>
      <c r="F2206" s="1">
        <f ca="1">IFERROR(__xludf.DUMMYFUNCTION("""COMPUTED_VALUE"""),19832615)</f>
        <v>19832615</v>
      </c>
    </row>
    <row r="2207" spans="1:6" x14ac:dyDescent="0.35">
      <c r="A2207" s="2">
        <f ca="1">IFERROR(__xludf.DUMMYFUNCTION("""COMPUTED_VALUE"""),45205.6666666666)</f>
        <v>45205.666666666599</v>
      </c>
      <c r="B2207" s="1">
        <f ca="1">IFERROR(__xludf.DUMMYFUNCTION("""COMPUTED_VALUE"""),134.01)</f>
        <v>134.01</v>
      </c>
      <c r="C2207" s="1">
        <f ca="1">IFERROR(__xludf.DUMMYFUNCTION("""COMPUTED_VALUE"""),138.16)</f>
        <v>138.16</v>
      </c>
      <c r="D2207" s="1">
        <f ca="1">IFERROR(__xludf.DUMMYFUNCTION("""COMPUTED_VALUE"""),134.01)</f>
        <v>134.01</v>
      </c>
      <c r="E2207" s="1">
        <f ca="1">IFERROR(__xludf.DUMMYFUNCTION("""COMPUTED_VALUE"""),137.58)</f>
        <v>137.58000000000001</v>
      </c>
      <c r="F2207" s="1">
        <f ca="1">IFERROR(__xludf.DUMMYFUNCTION("""COMPUTED_VALUE"""),27597598)</f>
        <v>27597598</v>
      </c>
    </row>
    <row r="2208" spans="1:6" x14ac:dyDescent="0.35">
      <c r="A2208" s="2">
        <f ca="1">IFERROR(__xludf.DUMMYFUNCTION("""COMPUTED_VALUE"""),45208.6666666666)</f>
        <v>45208.666666666599</v>
      </c>
      <c r="B2208" s="1">
        <f ca="1">IFERROR(__xludf.DUMMYFUNCTION("""COMPUTED_VALUE"""),136.94)</f>
        <v>136.94</v>
      </c>
      <c r="C2208" s="1">
        <f ca="1">IFERROR(__xludf.DUMMYFUNCTION("""COMPUTED_VALUE"""),138.94)</f>
        <v>138.94</v>
      </c>
      <c r="D2208" s="1">
        <f ca="1">IFERROR(__xludf.DUMMYFUNCTION("""COMPUTED_VALUE"""),135.61)</f>
        <v>135.61000000000001</v>
      </c>
      <c r="E2208" s="1">
        <f ca="1">IFERROR(__xludf.DUMMYFUNCTION("""COMPUTED_VALUE"""),138.42)</f>
        <v>138.41999999999999</v>
      </c>
      <c r="F2208" s="1">
        <f ca="1">IFERROR(__xludf.DUMMYFUNCTION("""COMPUTED_VALUE"""),19278070)</f>
        <v>19278070</v>
      </c>
    </row>
    <row r="2209" spans="1:6" x14ac:dyDescent="0.35">
      <c r="A2209" s="2">
        <f ca="1">IFERROR(__xludf.DUMMYFUNCTION("""COMPUTED_VALUE"""),45209.6666666666)</f>
        <v>45209.666666666599</v>
      </c>
      <c r="B2209" s="1">
        <f ca="1">IFERROR(__xludf.DUMMYFUNCTION("""COMPUTED_VALUE"""),138.5)</f>
        <v>138.5</v>
      </c>
      <c r="C2209" s="1">
        <f ca="1">IFERROR(__xludf.DUMMYFUNCTION("""COMPUTED_VALUE"""),139.72)</f>
        <v>139.72</v>
      </c>
      <c r="D2209" s="1">
        <f ca="1">IFERROR(__xludf.DUMMYFUNCTION("""COMPUTED_VALUE"""),137.33)</f>
        <v>137.33000000000001</v>
      </c>
      <c r="E2209" s="1">
        <f ca="1">IFERROR(__xludf.DUMMYFUNCTION("""COMPUTED_VALUE"""),138.06)</f>
        <v>138.06</v>
      </c>
      <c r="F2209" s="1">
        <f ca="1">IFERROR(__xludf.DUMMYFUNCTION("""COMPUTED_VALUE"""),27786613)</f>
        <v>27786613</v>
      </c>
    </row>
    <row r="2210" spans="1:6" x14ac:dyDescent="0.35">
      <c r="A2210" s="2">
        <f ca="1">IFERROR(__xludf.DUMMYFUNCTION("""COMPUTED_VALUE"""),45210.6666666666)</f>
        <v>45210.666666666599</v>
      </c>
      <c r="B2210" s="1">
        <f ca="1">IFERROR(__xludf.DUMMYFUNCTION("""COMPUTED_VALUE"""),138.58)</f>
        <v>138.58000000000001</v>
      </c>
      <c r="C2210" s="1">
        <f ca="1">IFERROR(__xludf.DUMMYFUNCTION("""COMPUTED_VALUE"""),141.11)</f>
        <v>141.11000000000001</v>
      </c>
      <c r="D2210" s="1">
        <f ca="1">IFERROR(__xludf.DUMMYFUNCTION("""COMPUTED_VALUE"""),138.58)</f>
        <v>138.58000000000001</v>
      </c>
      <c r="E2210" s="1">
        <f ca="1">IFERROR(__xludf.DUMMYFUNCTION("""COMPUTED_VALUE"""),140.55)</f>
        <v>140.55000000000001</v>
      </c>
      <c r="F2210" s="1">
        <f ca="1">IFERROR(__xludf.DUMMYFUNCTION("""COMPUTED_VALUE"""),25884303)</f>
        <v>25884303</v>
      </c>
    </row>
    <row r="2211" spans="1:6" x14ac:dyDescent="0.35">
      <c r="A2211" s="2">
        <f ca="1">IFERROR(__xludf.DUMMYFUNCTION("""COMPUTED_VALUE"""),45211.6666666666)</f>
        <v>45211.666666666599</v>
      </c>
      <c r="B2211" s="1">
        <f ca="1">IFERROR(__xludf.DUMMYFUNCTION("""COMPUTED_VALUE"""),141.05)</f>
        <v>141.05000000000001</v>
      </c>
      <c r="C2211" s="1">
        <f ca="1">IFERROR(__xludf.DUMMYFUNCTION("""COMPUTED_VALUE"""),141.22)</f>
        <v>141.22</v>
      </c>
      <c r="D2211" s="1">
        <f ca="1">IFERROR(__xludf.DUMMYFUNCTION("""COMPUTED_VALUE"""),138.26)</f>
        <v>138.26</v>
      </c>
      <c r="E2211" s="1">
        <f ca="1">IFERROR(__xludf.DUMMYFUNCTION("""COMPUTED_VALUE"""),138.97)</f>
        <v>138.97</v>
      </c>
      <c r="F2211" s="1">
        <f ca="1">IFERROR(__xludf.DUMMYFUNCTION("""COMPUTED_VALUE"""),24765537)</f>
        <v>24765537</v>
      </c>
    </row>
    <row r="2212" spans="1:6" x14ac:dyDescent="0.35">
      <c r="A2212" s="2">
        <f ca="1">IFERROR(__xludf.DUMMYFUNCTION("""COMPUTED_VALUE"""),45212.6666666666)</f>
        <v>45212.666666666599</v>
      </c>
      <c r="B2212" s="1">
        <f ca="1">IFERROR(__xludf.DUMMYFUNCTION("""COMPUTED_VALUE"""),139.38)</f>
        <v>139.38</v>
      </c>
      <c r="C2212" s="1">
        <f ca="1">IFERROR(__xludf.DUMMYFUNCTION("""COMPUTED_VALUE"""),140)</f>
        <v>140</v>
      </c>
      <c r="D2212" s="1">
        <f ca="1">IFERROR(__xludf.DUMMYFUNCTION("""COMPUTED_VALUE"""),136.62)</f>
        <v>136.62</v>
      </c>
      <c r="E2212" s="1">
        <f ca="1">IFERROR(__xludf.DUMMYFUNCTION("""COMPUTED_VALUE"""),137.36)</f>
        <v>137.36000000000001</v>
      </c>
      <c r="F2212" s="1">
        <f ca="1">IFERROR(__xludf.DUMMYFUNCTION("""COMPUTED_VALUE"""),23435599)</f>
        <v>23435599</v>
      </c>
    </row>
    <row r="2213" spans="1:6" x14ac:dyDescent="0.35">
      <c r="A2213" s="2">
        <f ca="1">IFERROR(__xludf.DUMMYFUNCTION("""COMPUTED_VALUE"""),45215.6666666666)</f>
        <v>45215.666666666599</v>
      </c>
      <c r="B2213" s="1">
        <f ca="1">IFERROR(__xludf.DUMMYFUNCTION("""COMPUTED_VALUE"""),138.17)</f>
        <v>138.16999999999999</v>
      </c>
      <c r="C2213" s="1">
        <f ca="1">IFERROR(__xludf.DUMMYFUNCTION("""COMPUTED_VALUE"""),139.63)</f>
        <v>139.63</v>
      </c>
      <c r="D2213" s="1">
        <f ca="1">IFERROR(__xludf.DUMMYFUNCTION("""COMPUTED_VALUE"""),137.99)</f>
        <v>137.99</v>
      </c>
      <c r="E2213" s="1">
        <f ca="1">IFERROR(__xludf.DUMMYFUNCTION("""COMPUTED_VALUE"""),139.1)</f>
        <v>139.1</v>
      </c>
      <c r="F2213" s="1">
        <f ca="1">IFERROR(__xludf.DUMMYFUNCTION("""COMPUTED_VALUE"""),28501871)</f>
        <v>28501871</v>
      </c>
    </row>
    <row r="2214" spans="1:6" x14ac:dyDescent="0.35">
      <c r="A2214" s="2">
        <f ca="1">IFERROR(__xludf.DUMMYFUNCTION("""COMPUTED_VALUE"""),45216.6666666666)</f>
        <v>45216.666666666599</v>
      </c>
      <c r="B2214" s="1">
        <f ca="1">IFERROR(__xludf.DUMMYFUNCTION("""COMPUTED_VALUE"""),138.63)</f>
        <v>138.63</v>
      </c>
      <c r="C2214" s="1">
        <f ca="1">IFERROR(__xludf.DUMMYFUNCTION("""COMPUTED_VALUE"""),139.9)</f>
        <v>139.9</v>
      </c>
      <c r="D2214" s="1">
        <f ca="1">IFERROR(__xludf.DUMMYFUNCTION("""COMPUTED_VALUE"""),137.18)</f>
        <v>137.18</v>
      </c>
      <c r="E2214" s="1">
        <f ca="1">IFERROR(__xludf.DUMMYFUNCTION("""COMPUTED_VALUE"""),139.72)</f>
        <v>139.72</v>
      </c>
      <c r="F2214" s="1">
        <f ca="1">IFERROR(__xludf.DUMMYFUNCTION("""COMPUTED_VALUE"""),23515780)</f>
        <v>23515780</v>
      </c>
    </row>
    <row r="2215" spans="1:6" x14ac:dyDescent="0.35">
      <c r="A2215" s="2">
        <f ca="1">IFERROR(__xludf.DUMMYFUNCTION("""COMPUTED_VALUE"""),45217.6666666666)</f>
        <v>45217.666666666599</v>
      </c>
      <c r="B2215" s="1">
        <f ca="1">IFERROR(__xludf.DUMMYFUNCTION("""COMPUTED_VALUE"""),139.45)</f>
        <v>139.44999999999999</v>
      </c>
      <c r="C2215" s="1">
        <f ca="1">IFERROR(__xludf.DUMMYFUNCTION("""COMPUTED_VALUE"""),140.72)</f>
        <v>140.72</v>
      </c>
      <c r="D2215" s="1">
        <f ca="1">IFERROR(__xludf.DUMMYFUNCTION("""COMPUTED_VALUE"""),137.38)</f>
        <v>137.38</v>
      </c>
      <c r="E2215" s="1">
        <f ca="1">IFERROR(__xludf.DUMMYFUNCTION("""COMPUTED_VALUE"""),137.96)</f>
        <v>137.96</v>
      </c>
      <c r="F2215" s="1">
        <f ca="1">IFERROR(__xludf.DUMMYFUNCTION("""COMPUTED_VALUE"""),23374998)</f>
        <v>23374998</v>
      </c>
    </row>
    <row r="2216" spans="1:6" x14ac:dyDescent="0.35">
      <c r="A2216" s="2">
        <f ca="1">IFERROR(__xludf.DUMMYFUNCTION("""COMPUTED_VALUE"""),45218.6666666666)</f>
        <v>45218.666666666599</v>
      </c>
      <c r="B2216" s="1">
        <f ca="1">IFERROR(__xludf.DUMMYFUNCTION("""COMPUTED_VALUE"""),138.5)</f>
        <v>138.5</v>
      </c>
      <c r="C2216" s="1">
        <f ca="1">IFERROR(__xludf.DUMMYFUNCTION("""COMPUTED_VALUE"""),139.66)</f>
        <v>139.66</v>
      </c>
      <c r="D2216" s="1">
        <f ca="1">IFERROR(__xludf.DUMMYFUNCTION("""COMPUTED_VALUE"""),137.38)</f>
        <v>137.38</v>
      </c>
      <c r="E2216" s="1">
        <f ca="1">IFERROR(__xludf.DUMMYFUNCTION("""COMPUTED_VALUE"""),137.75)</f>
        <v>137.75</v>
      </c>
      <c r="F2216" s="1">
        <f ca="1">IFERROR(__xludf.DUMMYFUNCTION("""COMPUTED_VALUE"""),26066011)</f>
        <v>26066011</v>
      </c>
    </row>
    <row r="2217" spans="1:6" x14ac:dyDescent="0.35">
      <c r="A2217" s="2">
        <f ca="1">IFERROR(__xludf.DUMMYFUNCTION("""COMPUTED_VALUE"""),45219.6666666666)</f>
        <v>45219.666666666599</v>
      </c>
      <c r="B2217" s="1">
        <f ca="1">IFERROR(__xludf.DUMMYFUNCTION("""COMPUTED_VALUE"""),137.33)</f>
        <v>137.33000000000001</v>
      </c>
      <c r="C2217" s="1">
        <f ca="1">IFERROR(__xludf.DUMMYFUNCTION("""COMPUTED_VALUE"""),137.87)</f>
        <v>137.87</v>
      </c>
      <c r="D2217" s="1">
        <f ca="1">IFERROR(__xludf.DUMMYFUNCTION("""COMPUTED_VALUE"""),135.08)</f>
        <v>135.08000000000001</v>
      </c>
      <c r="E2217" s="1">
        <f ca="1">IFERROR(__xludf.DUMMYFUNCTION("""COMPUTED_VALUE"""),135.6)</f>
        <v>135.6</v>
      </c>
      <c r="F2217" s="1">
        <f ca="1">IFERROR(__xludf.DUMMYFUNCTION("""COMPUTED_VALUE"""),26335673)</f>
        <v>26335673</v>
      </c>
    </row>
    <row r="2218" spans="1:6" x14ac:dyDescent="0.35">
      <c r="A2218" s="2">
        <f ca="1">IFERROR(__xludf.DUMMYFUNCTION("""COMPUTED_VALUE"""),45222.6666666666)</f>
        <v>45222.666666666599</v>
      </c>
      <c r="B2218" s="1">
        <f ca="1">IFERROR(__xludf.DUMMYFUNCTION("""COMPUTED_VALUE"""),135.04)</f>
        <v>135.04</v>
      </c>
      <c r="C2218" s="1">
        <f ca="1">IFERROR(__xludf.DUMMYFUNCTION("""COMPUTED_VALUE"""),137.66)</f>
        <v>137.66</v>
      </c>
      <c r="D2218" s="1">
        <f ca="1">IFERROR(__xludf.DUMMYFUNCTION("""COMPUTED_VALUE"""),133.95)</f>
        <v>133.94999999999999</v>
      </c>
      <c r="E2218" s="1">
        <f ca="1">IFERROR(__xludf.DUMMYFUNCTION("""COMPUTED_VALUE"""),136.5)</f>
        <v>136.5</v>
      </c>
      <c r="F2218" s="1">
        <f ca="1">IFERROR(__xludf.DUMMYFUNCTION("""COMPUTED_VALUE"""),26317930)</f>
        <v>26317930</v>
      </c>
    </row>
    <row r="2219" spans="1:6" x14ac:dyDescent="0.35">
      <c r="A2219" s="2">
        <f ca="1">IFERROR(__xludf.DUMMYFUNCTION("""COMPUTED_VALUE"""),45223.6666666666)</f>
        <v>45223.666666666599</v>
      </c>
      <c r="B2219" s="1">
        <f ca="1">IFERROR(__xludf.DUMMYFUNCTION("""COMPUTED_VALUE"""),137.83)</f>
        <v>137.83000000000001</v>
      </c>
      <c r="C2219" s="1">
        <f ca="1">IFERROR(__xludf.DUMMYFUNCTION("""COMPUTED_VALUE"""),139.36)</f>
        <v>139.36000000000001</v>
      </c>
      <c r="D2219" s="1">
        <f ca="1">IFERROR(__xludf.DUMMYFUNCTION("""COMPUTED_VALUE"""),137.42)</f>
        <v>137.41999999999999</v>
      </c>
      <c r="E2219" s="1">
        <f ca="1">IFERROR(__xludf.DUMMYFUNCTION("""COMPUTED_VALUE"""),138.81)</f>
        <v>138.81</v>
      </c>
      <c r="F2219" s="1">
        <f ca="1">IFERROR(__xludf.DUMMYFUNCTION("""COMPUTED_VALUE"""),44814321)</f>
        <v>44814321</v>
      </c>
    </row>
    <row r="2220" spans="1:6" x14ac:dyDescent="0.35">
      <c r="A2220" s="2">
        <f ca="1">IFERROR(__xludf.DUMMYFUNCTION("""COMPUTED_VALUE"""),45224.6666666666)</f>
        <v>45224.666666666599</v>
      </c>
      <c r="B2220" s="1">
        <f ca="1">IFERROR(__xludf.DUMMYFUNCTION("""COMPUTED_VALUE"""),128.16)</f>
        <v>128.16</v>
      </c>
      <c r="C2220" s="1">
        <f ca="1">IFERROR(__xludf.DUMMYFUNCTION("""COMPUTED_VALUE"""),128.31)</f>
        <v>128.31</v>
      </c>
      <c r="D2220" s="1">
        <f ca="1">IFERROR(__xludf.DUMMYFUNCTION("""COMPUTED_VALUE"""),125.07)</f>
        <v>125.07</v>
      </c>
      <c r="E2220" s="1">
        <f ca="1">IFERROR(__xludf.DUMMYFUNCTION("""COMPUTED_VALUE"""),125.61)</f>
        <v>125.61</v>
      </c>
      <c r="F2220" s="1">
        <f ca="1">IFERROR(__xludf.DUMMYFUNCTION("""COMPUTED_VALUE"""),84366208)</f>
        <v>84366208</v>
      </c>
    </row>
    <row r="2221" spans="1:6" x14ac:dyDescent="0.35">
      <c r="A2221" s="2">
        <f ca="1">IFERROR(__xludf.DUMMYFUNCTION("""COMPUTED_VALUE"""),45225.6666666666)</f>
        <v>45225.666666666599</v>
      </c>
      <c r="B2221" s="1">
        <f ca="1">IFERROR(__xludf.DUMMYFUNCTION("""COMPUTED_VALUE"""),123.27)</f>
        <v>123.27</v>
      </c>
      <c r="C2221" s="1">
        <f ca="1">IFERROR(__xludf.DUMMYFUNCTION("""COMPUTED_VALUE"""),124.33)</f>
        <v>124.33</v>
      </c>
      <c r="D2221" s="1">
        <f ca="1">IFERROR(__xludf.DUMMYFUNCTION("""COMPUTED_VALUE"""),121.27)</f>
        <v>121.27</v>
      </c>
      <c r="E2221" s="1">
        <f ca="1">IFERROR(__xludf.DUMMYFUNCTION("""COMPUTED_VALUE"""),122.28)</f>
        <v>122.28</v>
      </c>
      <c r="F2221" s="1">
        <f ca="1">IFERROR(__xludf.DUMMYFUNCTION("""COMPUTED_VALUE"""),57061140)</f>
        <v>57061140</v>
      </c>
    </row>
    <row r="2222" spans="1:6" x14ac:dyDescent="0.35">
      <c r="A2222" s="2">
        <f ca="1">IFERROR(__xludf.DUMMYFUNCTION("""COMPUTED_VALUE"""),45226.6666666666)</f>
        <v>45226.666666666599</v>
      </c>
      <c r="B2222" s="1">
        <f ca="1">IFERROR(__xludf.DUMMYFUNCTION("""COMPUTED_VALUE"""),122.88)</f>
        <v>122.88</v>
      </c>
      <c r="C2222" s="1">
        <f ca="1">IFERROR(__xludf.DUMMYFUNCTION("""COMPUTED_VALUE"""),123.31)</f>
        <v>123.31</v>
      </c>
      <c r="D2222" s="1">
        <f ca="1">IFERROR(__xludf.DUMMYFUNCTION("""COMPUTED_VALUE"""),120.21)</f>
        <v>120.21</v>
      </c>
      <c r="E2222" s="1">
        <f ca="1">IFERROR(__xludf.DUMMYFUNCTION("""COMPUTED_VALUE"""),122.17)</f>
        <v>122.17</v>
      </c>
      <c r="F2222" s="1">
        <f ca="1">IFERROR(__xludf.DUMMYFUNCTION("""COMPUTED_VALUE"""),44566506)</f>
        <v>44566506</v>
      </c>
    </row>
    <row r="2223" spans="1:6" x14ac:dyDescent="0.35">
      <c r="A2223" s="2">
        <f ca="1">IFERROR(__xludf.DUMMYFUNCTION("""COMPUTED_VALUE"""),45229.6666666666)</f>
        <v>45229.666666666599</v>
      </c>
      <c r="B2223" s="1">
        <f ca="1">IFERROR(__xludf.DUMMYFUNCTION("""COMPUTED_VALUE"""),123.21)</f>
        <v>123.21</v>
      </c>
      <c r="C2223" s="1">
        <f ca="1">IFERROR(__xludf.DUMMYFUNCTION("""COMPUTED_VALUE"""),125.4)</f>
        <v>125.4</v>
      </c>
      <c r="D2223" s="1">
        <f ca="1">IFERROR(__xludf.DUMMYFUNCTION("""COMPUTED_VALUE"""),122.75)</f>
        <v>122.75</v>
      </c>
      <c r="E2223" s="1">
        <f ca="1">IFERROR(__xludf.DUMMYFUNCTION("""COMPUTED_VALUE"""),124.46)</f>
        <v>124.46</v>
      </c>
      <c r="F2223" s="1">
        <f ca="1">IFERROR(__xludf.DUMMYFUNCTION("""COMPUTED_VALUE"""),28940081)</f>
        <v>28940081</v>
      </c>
    </row>
    <row r="2224" spans="1:6" x14ac:dyDescent="0.35">
      <c r="A2224" s="2">
        <f ca="1">IFERROR(__xludf.DUMMYFUNCTION("""COMPUTED_VALUE"""),45230.6666666666)</f>
        <v>45230.666666666599</v>
      </c>
      <c r="B2224" s="1">
        <f ca="1">IFERROR(__xludf.DUMMYFUNCTION("""COMPUTED_VALUE"""),125.06)</f>
        <v>125.06</v>
      </c>
      <c r="C2224" s="1">
        <f ca="1">IFERROR(__xludf.DUMMYFUNCTION("""COMPUTED_VALUE"""),125.37)</f>
        <v>125.37</v>
      </c>
      <c r="D2224" s="1">
        <f ca="1">IFERROR(__xludf.DUMMYFUNCTION("""COMPUTED_VALUE"""),122.69)</f>
        <v>122.69</v>
      </c>
      <c r="E2224" s="1">
        <f ca="1">IFERROR(__xludf.DUMMYFUNCTION("""COMPUTED_VALUE"""),124.08)</f>
        <v>124.08</v>
      </c>
      <c r="F2224" s="1">
        <f ca="1">IFERROR(__xludf.DUMMYFUNCTION("""COMPUTED_VALUE"""),26292342)</f>
        <v>26292342</v>
      </c>
    </row>
    <row r="2225" spans="1:6" x14ac:dyDescent="0.35">
      <c r="A2225" s="2">
        <f ca="1">IFERROR(__xludf.DUMMYFUNCTION("""COMPUTED_VALUE"""),45231.6666666666)</f>
        <v>45231.666666666599</v>
      </c>
      <c r="B2225" s="1">
        <f ca="1">IFERROR(__xludf.DUMMYFUNCTION("""COMPUTED_VALUE"""),124.07)</f>
        <v>124.07</v>
      </c>
      <c r="C2225" s="1">
        <f ca="1">IFERROR(__xludf.DUMMYFUNCTION("""COMPUTED_VALUE"""),126.49)</f>
        <v>126.49</v>
      </c>
      <c r="D2225" s="1">
        <f ca="1">IFERROR(__xludf.DUMMYFUNCTION("""COMPUTED_VALUE"""),123.72)</f>
        <v>123.72</v>
      </c>
      <c r="E2225" s="1">
        <f ca="1">IFERROR(__xludf.DUMMYFUNCTION("""COMPUTED_VALUE"""),126.45)</f>
        <v>126.45</v>
      </c>
      <c r="F2225" s="1">
        <f ca="1">IFERROR(__xludf.DUMMYFUNCTION("""COMPUTED_VALUE"""),30082438)</f>
        <v>30082438</v>
      </c>
    </row>
    <row r="2226" spans="1:6" x14ac:dyDescent="0.35">
      <c r="A2226" s="2">
        <f ca="1">IFERROR(__xludf.DUMMYFUNCTION("""COMPUTED_VALUE"""),45232.6666666666)</f>
        <v>45232.666666666599</v>
      </c>
      <c r="B2226" s="1">
        <f ca="1">IFERROR(__xludf.DUMMYFUNCTION("""COMPUTED_VALUE"""),128.42)</f>
        <v>128.41999999999999</v>
      </c>
      <c r="C2226" s="1">
        <f ca="1">IFERROR(__xludf.DUMMYFUNCTION("""COMPUTED_VALUE"""),128.98)</f>
        <v>128.97999999999999</v>
      </c>
      <c r="D2226" s="1">
        <f ca="1">IFERROR(__xludf.DUMMYFUNCTION("""COMPUTED_VALUE"""),126.93)</f>
        <v>126.93</v>
      </c>
      <c r="E2226" s="1">
        <f ca="1">IFERROR(__xludf.DUMMYFUNCTION("""COMPUTED_VALUE"""),127.49)</f>
        <v>127.49</v>
      </c>
      <c r="F2226" s="1">
        <f ca="1">IFERROR(__xludf.DUMMYFUNCTION("""COMPUTED_VALUE"""),27124647)</f>
        <v>27124647</v>
      </c>
    </row>
    <row r="2227" spans="1:6" x14ac:dyDescent="0.35">
      <c r="A2227" s="2">
        <f ca="1">IFERROR(__xludf.DUMMYFUNCTION("""COMPUTED_VALUE"""),45233.6666666666)</f>
        <v>45233.666666666599</v>
      </c>
      <c r="B2227" s="1">
        <f ca="1">IFERROR(__xludf.DUMMYFUNCTION("""COMPUTED_VALUE"""),128.02)</f>
        <v>128.02000000000001</v>
      </c>
      <c r="C2227" s="1">
        <f ca="1">IFERROR(__xludf.DUMMYFUNCTION("""COMPUTED_VALUE"""),129.53)</f>
        <v>129.53</v>
      </c>
      <c r="D2227" s="1">
        <f ca="1">IFERROR(__xludf.DUMMYFUNCTION("""COMPUTED_VALUE"""),127.86)</f>
        <v>127.86</v>
      </c>
      <c r="E2227" s="1">
        <f ca="1">IFERROR(__xludf.DUMMYFUNCTION("""COMPUTED_VALUE"""),129.1)</f>
        <v>129.1</v>
      </c>
      <c r="F2227" s="1">
        <f ca="1">IFERROR(__xludf.DUMMYFUNCTION("""COMPUTED_VALUE"""),26393109)</f>
        <v>26393109</v>
      </c>
    </row>
    <row r="2228" spans="1:6" x14ac:dyDescent="0.35">
      <c r="A2228" s="2">
        <f ca="1">IFERROR(__xludf.DUMMYFUNCTION("""COMPUTED_VALUE"""),45236.6666666666)</f>
        <v>45236.666666666599</v>
      </c>
      <c r="B2228" s="1">
        <f ca="1">IFERROR(__xludf.DUMMYFUNCTION("""COMPUTED_VALUE"""),129.05)</f>
        <v>129.05000000000001</v>
      </c>
      <c r="C2228" s="1">
        <f ca="1">IFERROR(__xludf.DUMMYFUNCTION("""COMPUTED_VALUE"""),130.34)</f>
        <v>130.34</v>
      </c>
      <c r="D2228" s="1">
        <f ca="1">IFERROR(__xludf.DUMMYFUNCTION("""COMPUTED_VALUE"""),128.67)</f>
        <v>128.66999999999999</v>
      </c>
      <c r="E2228" s="1">
        <f ca="1">IFERROR(__xludf.DUMMYFUNCTION("""COMPUTED_VALUE"""),130.25)</f>
        <v>130.25</v>
      </c>
      <c r="F2228" s="1">
        <f ca="1">IFERROR(__xludf.DUMMYFUNCTION("""COMPUTED_VALUE"""),19052740)</f>
        <v>19052740</v>
      </c>
    </row>
    <row r="2229" spans="1:6" x14ac:dyDescent="0.35">
      <c r="A2229" s="2">
        <f ca="1">IFERROR(__xludf.DUMMYFUNCTION("""COMPUTED_VALUE"""),45237.6666666666)</f>
        <v>45237.666666666599</v>
      </c>
      <c r="B2229" s="1">
        <f ca="1">IFERROR(__xludf.DUMMYFUNCTION("""COMPUTED_VALUE"""),130.71)</f>
        <v>130.71</v>
      </c>
      <c r="C2229" s="1">
        <f ca="1">IFERROR(__xludf.DUMMYFUNCTION("""COMPUTED_VALUE"""),131.91)</f>
        <v>131.91</v>
      </c>
      <c r="D2229" s="1">
        <f ca="1">IFERROR(__xludf.DUMMYFUNCTION("""COMPUTED_VALUE"""),129.88)</f>
        <v>129.88</v>
      </c>
      <c r="E2229" s="1">
        <f ca="1">IFERROR(__xludf.DUMMYFUNCTION("""COMPUTED_VALUE"""),130.97)</f>
        <v>130.97</v>
      </c>
      <c r="F2229" s="1">
        <f ca="1">IFERROR(__xludf.DUMMYFUNCTION("""COMPUTED_VALUE"""),29757276)</f>
        <v>29757276</v>
      </c>
    </row>
    <row r="2230" spans="1:6" x14ac:dyDescent="0.35">
      <c r="A2230" s="2">
        <f ca="1">IFERROR(__xludf.DUMMYFUNCTION("""COMPUTED_VALUE"""),45238.6666666666)</f>
        <v>45238.666666666599</v>
      </c>
      <c r="B2230" s="1">
        <f ca="1">IFERROR(__xludf.DUMMYFUNCTION("""COMPUTED_VALUE"""),130.97)</f>
        <v>130.97</v>
      </c>
      <c r="C2230" s="1">
        <f ca="1">IFERROR(__xludf.DUMMYFUNCTION("""COMPUTED_VALUE"""),132.21)</f>
        <v>132.21</v>
      </c>
      <c r="D2230" s="1">
        <f ca="1">IFERROR(__xludf.DUMMYFUNCTION("""COMPUTED_VALUE"""),130.78)</f>
        <v>130.78</v>
      </c>
      <c r="E2230" s="1">
        <f ca="1">IFERROR(__xludf.DUMMYFUNCTION("""COMPUTED_VALUE"""),131.84)</f>
        <v>131.84</v>
      </c>
      <c r="F2230" s="1">
        <f ca="1">IFERROR(__xludf.DUMMYFUNCTION("""COMPUTED_VALUE"""),26425849)</f>
        <v>26425849</v>
      </c>
    </row>
    <row r="2231" spans="1:6" x14ac:dyDescent="0.35">
      <c r="A2231" s="2">
        <f ca="1">IFERROR(__xludf.DUMMYFUNCTION("""COMPUTED_VALUE"""),45239.6666666666)</f>
        <v>45239.666666666599</v>
      </c>
      <c r="B2231" s="1">
        <f ca="1">IFERROR(__xludf.DUMMYFUNCTION("""COMPUTED_VALUE"""),131.96)</f>
        <v>131.96</v>
      </c>
      <c r="C2231" s="1">
        <f ca="1">IFERROR(__xludf.DUMMYFUNCTION("""COMPUTED_VALUE"""),132.55)</f>
        <v>132.55000000000001</v>
      </c>
      <c r="D2231" s="1">
        <f ca="1">IFERROR(__xludf.DUMMYFUNCTION("""COMPUTED_VALUE"""),130.07)</f>
        <v>130.07</v>
      </c>
      <c r="E2231" s="1">
        <f ca="1">IFERROR(__xludf.DUMMYFUNCTION("""COMPUTED_VALUE"""),130.24)</f>
        <v>130.24</v>
      </c>
      <c r="F2231" s="1">
        <f ca="1">IFERROR(__xludf.DUMMYFUNCTION("""COMPUTED_VALUE"""),23747773)</f>
        <v>23747773</v>
      </c>
    </row>
    <row r="2232" spans="1:6" x14ac:dyDescent="0.35">
      <c r="A2232" s="2">
        <f ca="1">IFERROR(__xludf.DUMMYFUNCTION("""COMPUTED_VALUE"""),45240.6666666666)</f>
        <v>45240.666666666599</v>
      </c>
      <c r="B2232" s="1">
        <f ca="1">IFERROR(__xludf.DUMMYFUNCTION("""COMPUTED_VALUE"""),130.1)</f>
        <v>130.1</v>
      </c>
      <c r="C2232" s="1">
        <f ca="1">IFERROR(__xludf.DUMMYFUNCTION("""COMPUTED_VALUE"""),132.8)</f>
        <v>132.80000000000001</v>
      </c>
      <c r="D2232" s="1">
        <f ca="1">IFERROR(__xludf.DUMMYFUNCTION("""COMPUTED_VALUE"""),129.41)</f>
        <v>129.41</v>
      </c>
      <c r="E2232" s="1">
        <f ca="1">IFERROR(__xludf.DUMMYFUNCTION("""COMPUTED_VALUE"""),132.59)</f>
        <v>132.59</v>
      </c>
      <c r="F2232" s="1">
        <f ca="1">IFERROR(__xludf.DUMMYFUNCTION("""COMPUTED_VALUE"""),26927826)</f>
        <v>26927826</v>
      </c>
    </row>
    <row r="2233" spans="1:6" x14ac:dyDescent="0.35">
      <c r="A2233" s="2">
        <f ca="1">IFERROR(__xludf.DUMMYFUNCTION("""COMPUTED_VALUE"""),45243.6666666666)</f>
        <v>45243.666666666599</v>
      </c>
      <c r="B2233" s="1">
        <f ca="1">IFERROR(__xludf.DUMMYFUNCTION("""COMPUTED_VALUE"""),131.78)</f>
        <v>131.78</v>
      </c>
      <c r="C2233" s="1">
        <f ca="1">IFERROR(__xludf.DUMMYFUNCTION("""COMPUTED_VALUE"""),132.59)</f>
        <v>132.59</v>
      </c>
      <c r="D2233" s="1">
        <f ca="1">IFERROR(__xludf.DUMMYFUNCTION("""COMPUTED_VALUE"""),131.25)</f>
        <v>131.25</v>
      </c>
      <c r="E2233" s="1">
        <f ca="1">IFERROR(__xludf.DUMMYFUNCTION("""COMPUTED_VALUE"""),132.09)</f>
        <v>132.09</v>
      </c>
      <c r="F2233" s="1">
        <f ca="1">IFERROR(__xludf.DUMMYFUNCTION("""COMPUTED_VALUE"""),18324751)</f>
        <v>18324751</v>
      </c>
    </row>
    <row r="2234" spans="1:6" x14ac:dyDescent="0.35">
      <c r="A2234" s="2">
        <f ca="1">IFERROR(__xludf.DUMMYFUNCTION("""COMPUTED_VALUE"""),45244.6666666666)</f>
        <v>45244.666666666599</v>
      </c>
      <c r="B2234" s="1">
        <f ca="1">IFERROR(__xludf.DUMMYFUNCTION("""COMPUTED_VALUE"""),134.19)</f>
        <v>134.19</v>
      </c>
      <c r="C2234" s="1">
        <f ca="1">IFERROR(__xludf.DUMMYFUNCTION("""COMPUTED_VALUE"""),135.7)</f>
        <v>135.69999999999999</v>
      </c>
      <c r="D2234" s="1">
        <f ca="1">IFERROR(__xludf.DUMMYFUNCTION("""COMPUTED_VALUE"""),133.32)</f>
        <v>133.32</v>
      </c>
      <c r="E2234" s="1">
        <f ca="1">IFERROR(__xludf.DUMMYFUNCTION("""COMPUTED_VALUE"""),133.62)</f>
        <v>133.62</v>
      </c>
      <c r="F2234" s="1">
        <f ca="1">IFERROR(__xludf.DUMMYFUNCTION("""COMPUTED_VALUE"""),32395178)</f>
        <v>32395178</v>
      </c>
    </row>
    <row r="2235" spans="1:6" x14ac:dyDescent="0.35">
      <c r="A2235" s="2">
        <f ca="1">IFERROR(__xludf.DUMMYFUNCTION("""COMPUTED_VALUE"""),45245.6666666666)</f>
        <v>45245.666666666599</v>
      </c>
      <c r="B2235" s="1">
        <f ca="1">IFERROR(__xludf.DUMMYFUNCTION("""COMPUTED_VALUE"""),134.87)</f>
        <v>134.87</v>
      </c>
      <c r="C2235" s="1">
        <f ca="1">IFERROR(__xludf.DUMMYFUNCTION("""COMPUTED_VALUE"""),135.03)</f>
        <v>135.03</v>
      </c>
      <c r="D2235" s="1">
        <f ca="1">IFERROR(__xludf.DUMMYFUNCTION("""COMPUTED_VALUE"""),133.57)</f>
        <v>133.57</v>
      </c>
      <c r="E2235" s="1">
        <f ca="1">IFERROR(__xludf.DUMMYFUNCTION("""COMPUTED_VALUE"""),134.62)</f>
        <v>134.62</v>
      </c>
      <c r="F2235" s="1">
        <f ca="1">IFERROR(__xludf.DUMMYFUNCTION("""COMPUTED_VALUE"""),23861515)</f>
        <v>23861515</v>
      </c>
    </row>
    <row r="2236" spans="1:6" x14ac:dyDescent="0.35">
      <c r="A2236" s="2">
        <f ca="1">IFERROR(__xludf.DUMMYFUNCTION("""COMPUTED_VALUE"""),45246.6666666666)</f>
        <v>45246.666666666599</v>
      </c>
      <c r="B2236" s="1">
        <f ca="1">IFERROR(__xludf.DUMMYFUNCTION("""COMPUTED_VALUE"""),135.19)</f>
        <v>135.19</v>
      </c>
      <c r="C2236" s="1">
        <f ca="1">IFERROR(__xludf.DUMMYFUNCTION("""COMPUTED_VALUE"""),137.22)</f>
        <v>137.22</v>
      </c>
      <c r="D2236" s="1">
        <f ca="1">IFERROR(__xludf.DUMMYFUNCTION("""COMPUTED_VALUE"""),134.32)</f>
        <v>134.32</v>
      </c>
      <c r="E2236" s="1">
        <f ca="1">IFERROR(__xludf.DUMMYFUNCTION("""COMPUTED_VALUE"""),136.93)</f>
        <v>136.93</v>
      </c>
      <c r="F2236" s="1">
        <f ca="1">IFERROR(__xludf.DUMMYFUNCTION("""COMPUTED_VALUE"""),28013179)</f>
        <v>28013179</v>
      </c>
    </row>
    <row r="2237" spans="1:6" x14ac:dyDescent="0.35">
      <c r="A2237" s="2">
        <f ca="1">IFERROR(__xludf.DUMMYFUNCTION("""COMPUTED_VALUE"""),45247.6666666666)</f>
        <v>45247.666666666599</v>
      </c>
      <c r="B2237" s="1">
        <f ca="1">IFERROR(__xludf.DUMMYFUNCTION("""COMPUTED_VALUE"""),136)</f>
        <v>136</v>
      </c>
      <c r="C2237" s="1">
        <f ca="1">IFERROR(__xludf.DUMMYFUNCTION("""COMPUTED_VALUE"""),136.06)</f>
        <v>136.06</v>
      </c>
      <c r="D2237" s="1">
        <f ca="1">IFERROR(__xludf.DUMMYFUNCTION("""COMPUTED_VALUE"""),133.65)</f>
        <v>133.65</v>
      </c>
      <c r="E2237" s="1">
        <f ca="1">IFERROR(__xludf.DUMMYFUNCTION("""COMPUTED_VALUE"""),135.31)</f>
        <v>135.31</v>
      </c>
      <c r="F2237" s="1">
        <f ca="1">IFERROR(__xludf.DUMMYFUNCTION("""COMPUTED_VALUE"""),37287691)</f>
        <v>37287691</v>
      </c>
    </row>
    <row r="2238" spans="1:6" x14ac:dyDescent="0.35">
      <c r="A2238" s="2">
        <f ca="1">IFERROR(__xludf.DUMMYFUNCTION("""COMPUTED_VALUE"""),45250.6666666666)</f>
        <v>45250.666666666599</v>
      </c>
      <c r="B2238" s="1">
        <f ca="1">IFERROR(__xludf.DUMMYFUNCTION("""COMPUTED_VALUE"""),133.69)</f>
        <v>133.69</v>
      </c>
      <c r="C2238" s="1">
        <f ca="1">IFERROR(__xludf.DUMMYFUNCTION("""COMPUTED_VALUE"""),136.66)</f>
        <v>136.66</v>
      </c>
      <c r="D2238" s="1">
        <f ca="1">IFERROR(__xludf.DUMMYFUNCTION("""COMPUTED_VALUE"""),133.62)</f>
        <v>133.62</v>
      </c>
      <c r="E2238" s="1">
        <f ca="1">IFERROR(__xludf.DUMMYFUNCTION("""COMPUTED_VALUE"""),136.25)</f>
        <v>136.25</v>
      </c>
      <c r="F2238" s="1">
        <f ca="1">IFERROR(__xludf.DUMMYFUNCTION("""COMPUTED_VALUE"""),27850762)</f>
        <v>27850762</v>
      </c>
    </row>
    <row r="2239" spans="1:6" x14ac:dyDescent="0.35">
      <c r="A2239" s="2">
        <f ca="1">IFERROR(__xludf.DUMMYFUNCTION("""COMPUTED_VALUE"""),45251.6666666666)</f>
        <v>45251.666666666599</v>
      </c>
      <c r="B2239" s="1">
        <f ca="1">IFERROR(__xludf.DUMMYFUNCTION("""COMPUTED_VALUE"""),136.29)</f>
        <v>136.29</v>
      </c>
      <c r="C2239" s="1">
        <f ca="1">IFERROR(__xludf.DUMMYFUNCTION("""COMPUTED_VALUE"""),137.18)</f>
        <v>137.18</v>
      </c>
      <c r="D2239" s="1">
        <f ca="1">IFERROR(__xludf.DUMMYFUNCTION("""COMPUTED_VALUE"""),135.96)</f>
        <v>135.96</v>
      </c>
      <c r="E2239" s="1">
        <f ca="1">IFERROR(__xludf.DUMMYFUNCTION("""COMPUTED_VALUE"""),136.97)</f>
        <v>136.97</v>
      </c>
      <c r="F2239" s="1">
        <f ca="1">IFERROR(__xludf.DUMMYFUNCTION("""COMPUTED_VALUE"""),22635272)</f>
        <v>22635272</v>
      </c>
    </row>
    <row r="2240" spans="1:6" x14ac:dyDescent="0.35">
      <c r="A2240" s="2">
        <f ca="1">IFERROR(__xludf.DUMMYFUNCTION("""COMPUTED_VALUE"""),45252.6666666666)</f>
        <v>45252.666666666599</v>
      </c>
      <c r="B2240" s="1">
        <f ca="1">IFERROR(__xludf.DUMMYFUNCTION("""COMPUTED_VALUE"""),137.47)</f>
        <v>137.47</v>
      </c>
      <c r="C2240" s="1">
        <f ca="1">IFERROR(__xludf.DUMMYFUNCTION("""COMPUTED_VALUE"""),139.42)</f>
        <v>139.41999999999999</v>
      </c>
      <c r="D2240" s="1">
        <f ca="1">IFERROR(__xludf.DUMMYFUNCTION("""COMPUTED_VALUE"""),137.47)</f>
        <v>137.47</v>
      </c>
      <c r="E2240" s="1">
        <f ca="1">IFERROR(__xludf.DUMMYFUNCTION("""COMPUTED_VALUE"""),138.49)</f>
        <v>138.49</v>
      </c>
      <c r="F2240" s="1">
        <f ca="1">IFERROR(__xludf.DUMMYFUNCTION("""COMPUTED_VALUE"""),17820456)</f>
        <v>17820456</v>
      </c>
    </row>
    <row r="2241" spans="1:6" x14ac:dyDescent="0.35">
      <c r="A2241" s="2">
        <f ca="1">IFERROR(__xludf.DUMMYFUNCTION("""COMPUTED_VALUE"""),45254.5451388888)</f>
        <v>45254.545138888803</v>
      </c>
      <c r="B2241" s="1">
        <f ca="1">IFERROR(__xludf.DUMMYFUNCTION("""COMPUTED_VALUE"""),138.03)</f>
        <v>138.03</v>
      </c>
      <c r="C2241" s="1">
        <f ca="1">IFERROR(__xludf.DUMMYFUNCTION("""COMPUTED_VALUE"""),138.13)</f>
        <v>138.13</v>
      </c>
      <c r="D2241" s="1">
        <f ca="1">IFERROR(__xludf.DUMMYFUNCTION("""COMPUTED_VALUE"""),135.99)</f>
        <v>135.99</v>
      </c>
      <c r="E2241" s="1">
        <f ca="1">IFERROR(__xludf.DUMMYFUNCTION("""COMPUTED_VALUE"""),136.69)</f>
        <v>136.69</v>
      </c>
      <c r="F2241" s="1">
        <f ca="1">IFERROR(__xludf.DUMMYFUNCTION("""COMPUTED_VALUE"""),12514322)</f>
        <v>12514322</v>
      </c>
    </row>
    <row r="2242" spans="1:6" x14ac:dyDescent="0.35">
      <c r="A2242" s="2">
        <f ca="1">IFERROR(__xludf.DUMMYFUNCTION("""COMPUTED_VALUE"""),45257.6666666666)</f>
        <v>45257.666666666599</v>
      </c>
      <c r="B2242" s="1">
        <f ca="1">IFERROR(__xludf.DUMMYFUNCTION("""COMPUTED_VALUE"""),136.03)</f>
        <v>136.03</v>
      </c>
      <c r="C2242" s="1">
        <f ca="1">IFERROR(__xludf.DUMMYFUNCTION("""COMPUTED_VALUE"""),138.42)</f>
        <v>138.41999999999999</v>
      </c>
      <c r="D2242" s="1">
        <f ca="1">IFERROR(__xludf.DUMMYFUNCTION("""COMPUTED_VALUE"""),136)</f>
        <v>136</v>
      </c>
      <c r="E2242" s="1">
        <f ca="1">IFERROR(__xludf.DUMMYFUNCTION("""COMPUTED_VALUE"""),136.41)</f>
        <v>136.41</v>
      </c>
      <c r="F2242" s="1">
        <f ca="1">IFERROR(__xludf.DUMMYFUNCTION("""COMPUTED_VALUE"""),23436526)</f>
        <v>23436526</v>
      </c>
    </row>
    <row r="2243" spans="1:6" x14ac:dyDescent="0.35">
      <c r="A2243" s="2">
        <f ca="1">IFERROR(__xludf.DUMMYFUNCTION("""COMPUTED_VALUE"""),45258.6666666666)</f>
        <v>45258.666666666599</v>
      </c>
      <c r="B2243" s="1">
        <f ca="1">IFERROR(__xludf.DUMMYFUNCTION("""COMPUTED_VALUE"""),136.08)</f>
        <v>136.08000000000001</v>
      </c>
      <c r="C2243" s="1">
        <f ca="1">IFERROR(__xludf.DUMMYFUNCTION("""COMPUTED_VALUE"""),137.25)</f>
        <v>137.25</v>
      </c>
      <c r="D2243" s="1">
        <f ca="1">IFERROR(__xludf.DUMMYFUNCTION("""COMPUTED_VALUE"""),135.42)</f>
        <v>135.41999999999999</v>
      </c>
      <c r="E2243" s="1">
        <f ca="1">IFERROR(__xludf.DUMMYFUNCTION("""COMPUTED_VALUE"""),137.2)</f>
        <v>137.19999999999999</v>
      </c>
      <c r="F2243" s="1">
        <f ca="1">IFERROR(__xludf.DUMMYFUNCTION("""COMPUTED_VALUE"""),18730032)</f>
        <v>18730032</v>
      </c>
    </row>
    <row r="2244" spans="1:6" x14ac:dyDescent="0.35">
      <c r="A2244" s="2">
        <f ca="1">IFERROR(__xludf.DUMMYFUNCTION("""COMPUTED_VALUE"""),45259.6666666666)</f>
        <v>45259.666666666599</v>
      </c>
      <c r="B2244" s="1">
        <f ca="1">IFERROR(__xludf.DUMMYFUNCTION("""COMPUTED_VALUE"""),137.57)</f>
        <v>137.57</v>
      </c>
      <c r="C2244" s="1">
        <f ca="1">IFERROR(__xludf.DUMMYFUNCTION("""COMPUTED_VALUE"""),138.29)</f>
        <v>138.29</v>
      </c>
      <c r="D2244" s="1">
        <f ca="1">IFERROR(__xludf.DUMMYFUNCTION("""COMPUTED_VALUE"""),134.84)</f>
        <v>134.84</v>
      </c>
      <c r="E2244" s="1">
        <f ca="1">IFERROR(__xludf.DUMMYFUNCTION("""COMPUTED_VALUE"""),134.99)</f>
        <v>134.99</v>
      </c>
      <c r="F2244" s="1">
        <f ca="1">IFERROR(__xludf.DUMMYFUNCTION("""COMPUTED_VALUE"""),23967222)</f>
        <v>23967222</v>
      </c>
    </row>
    <row r="2245" spans="1:6" x14ac:dyDescent="0.35">
      <c r="A2245" s="2">
        <f ca="1">IFERROR(__xludf.DUMMYFUNCTION("""COMPUTED_VALUE"""),45260.6666666666)</f>
        <v>45260.666666666599</v>
      </c>
      <c r="B2245" s="1">
        <f ca="1">IFERROR(__xludf.DUMMYFUNCTION("""COMPUTED_VALUE"""),135.05)</f>
        <v>135.05000000000001</v>
      </c>
      <c r="C2245" s="1">
        <f ca="1">IFERROR(__xludf.DUMMYFUNCTION("""COMPUTED_VALUE"""),135.55)</f>
        <v>135.55000000000001</v>
      </c>
      <c r="D2245" s="1">
        <f ca="1">IFERROR(__xludf.DUMMYFUNCTION("""COMPUTED_VALUE"""),131.28)</f>
        <v>131.28</v>
      </c>
      <c r="E2245" s="1">
        <f ca="1">IFERROR(__xludf.DUMMYFUNCTION("""COMPUTED_VALUE"""),132.53)</f>
        <v>132.53</v>
      </c>
      <c r="F2245" s="1">
        <f ca="1">IFERROR(__xludf.DUMMYFUNCTION("""COMPUTED_VALUE"""),38988263)</f>
        <v>38988263</v>
      </c>
    </row>
    <row r="2246" spans="1:6" x14ac:dyDescent="0.35">
      <c r="A2246" s="2">
        <f ca="1">IFERROR(__xludf.DUMMYFUNCTION("""COMPUTED_VALUE"""),45261.6666666666)</f>
        <v>45261.666666666599</v>
      </c>
      <c r="B2246" s="1">
        <f ca="1">IFERROR(__xludf.DUMMYFUNCTION("""COMPUTED_VALUE"""),131.86)</f>
        <v>131.86000000000001</v>
      </c>
      <c r="C2246" s="1">
        <f ca="1">IFERROR(__xludf.DUMMYFUNCTION("""COMPUTED_VALUE"""),132.11)</f>
        <v>132.11000000000001</v>
      </c>
      <c r="D2246" s="1">
        <f ca="1">IFERROR(__xludf.DUMMYFUNCTION("""COMPUTED_VALUE"""),130.67)</f>
        <v>130.66999999999999</v>
      </c>
      <c r="E2246" s="1">
        <f ca="1">IFERROR(__xludf.DUMMYFUNCTION("""COMPUTED_VALUE"""),131.86)</f>
        <v>131.86000000000001</v>
      </c>
      <c r="F2246" s="1">
        <f ca="1">IFERROR(__xludf.DUMMYFUNCTION("""COMPUTED_VALUE"""),31442263)</f>
        <v>31442263</v>
      </c>
    </row>
    <row r="2247" spans="1:6" x14ac:dyDescent="0.35">
      <c r="A2247" s="2">
        <f ca="1">IFERROR(__xludf.DUMMYFUNCTION("""COMPUTED_VALUE"""),45264.6666666666)</f>
        <v>45264.666666666599</v>
      </c>
      <c r="B2247" s="1">
        <f ca="1">IFERROR(__xludf.DUMMYFUNCTION("""COMPUTED_VALUE"""),129.88)</f>
        <v>129.88</v>
      </c>
      <c r="C2247" s="1">
        <f ca="1">IFERROR(__xludf.DUMMYFUNCTION("""COMPUTED_VALUE"""),130.03)</f>
        <v>130.03</v>
      </c>
      <c r="D2247" s="1">
        <f ca="1">IFERROR(__xludf.DUMMYFUNCTION("""COMPUTED_VALUE"""),127.9)</f>
        <v>127.9</v>
      </c>
      <c r="E2247" s="1">
        <f ca="1">IFERROR(__xludf.DUMMYFUNCTION("""COMPUTED_VALUE"""),129.27)</f>
        <v>129.27000000000001</v>
      </c>
      <c r="F2247" s="1">
        <f ca="1">IFERROR(__xludf.DUMMYFUNCTION("""COMPUTED_VALUE"""),36669876)</f>
        <v>36669876</v>
      </c>
    </row>
    <row r="2248" spans="1:6" x14ac:dyDescent="0.35">
      <c r="A2248" s="2">
        <f ca="1">IFERROR(__xludf.DUMMYFUNCTION("""COMPUTED_VALUE"""),45265.6666666666)</f>
        <v>45265.666666666599</v>
      </c>
      <c r="B2248" s="1">
        <f ca="1">IFERROR(__xludf.DUMMYFUNCTION("""COMPUTED_VALUE"""),128.95)</f>
        <v>128.94999999999999</v>
      </c>
      <c r="C2248" s="1">
        <f ca="1">IFERROR(__xludf.DUMMYFUNCTION("""COMPUTED_VALUE"""),132.14)</f>
        <v>132.13999999999999</v>
      </c>
      <c r="D2248" s="1">
        <f ca="1">IFERROR(__xludf.DUMMYFUNCTION("""COMPUTED_VALUE"""),128.25)</f>
        <v>128.25</v>
      </c>
      <c r="E2248" s="1">
        <f ca="1">IFERROR(__xludf.DUMMYFUNCTION("""COMPUTED_VALUE"""),130.99)</f>
        <v>130.99</v>
      </c>
      <c r="F2248" s="1">
        <f ca="1">IFERROR(__xludf.DUMMYFUNCTION("""COMPUTED_VALUE"""),27384784)</f>
        <v>27384784</v>
      </c>
    </row>
    <row r="2249" spans="1:6" x14ac:dyDescent="0.35">
      <c r="A2249" s="2">
        <f ca="1">IFERROR(__xludf.DUMMYFUNCTION("""COMPUTED_VALUE"""),45266.6666666666)</f>
        <v>45266.666666666599</v>
      </c>
      <c r="B2249" s="1">
        <f ca="1">IFERROR(__xludf.DUMMYFUNCTION("""COMPUTED_VALUE"""),131.44)</f>
        <v>131.44</v>
      </c>
      <c r="C2249" s="1">
        <f ca="1">IFERROR(__xludf.DUMMYFUNCTION("""COMPUTED_VALUE"""),131.84)</f>
        <v>131.84</v>
      </c>
      <c r="D2249" s="1">
        <f ca="1">IFERROR(__xludf.DUMMYFUNCTION("""COMPUTED_VALUE"""),129.88)</f>
        <v>129.88</v>
      </c>
      <c r="E2249" s="1">
        <f ca="1">IFERROR(__xludf.DUMMYFUNCTION("""COMPUTED_VALUE"""),130.02)</f>
        <v>130.02000000000001</v>
      </c>
      <c r="F2249" s="1">
        <f ca="1">IFERROR(__xludf.DUMMYFUNCTION("""COMPUTED_VALUE"""),23576176)</f>
        <v>23576176</v>
      </c>
    </row>
    <row r="2250" spans="1:6" x14ac:dyDescent="0.35">
      <c r="A2250" s="2">
        <f ca="1">IFERROR(__xludf.DUMMYFUNCTION("""COMPUTED_VALUE"""),45267.6666666666)</f>
        <v>45267.666666666599</v>
      </c>
      <c r="B2250" s="1">
        <f ca="1">IFERROR(__xludf.DUMMYFUNCTION("""COMPUTED_VALUE"""),135.04)</f>
        <v>135.04</v>
      </c>
      <c r="C2250" s="1">
        <f ca="1">IFERROR(__xludf.DUMMYFUNCTION("""COMPUTED_VALUE"""),138.56)</f>
        <v>138.56</v>
      </c>
      <c r="D2250" s="1">
        <f ca="1">IFERROR(__xludf.DUMMYFUNCTION("""COMPUTED_VALUE"""),134.7)</f>
        <v>134.69999999999999</v>
      </c>
      <c r="E2250" s="1">
        <f ca="1">IFERROR(__xludf.DUMMYFUNCTION("""COMPUTED_VALUE"""),136.93)</f>
        <v>136.93</v>
      </c>
      <c r="F2250" s="1">
        <f ca="1">IFERROR(__xludf.DUMMYFUNCTION("""COMPUTED_VALUE"""),56767100)</f>
        <v>56767100</v>
      </c>
    </row>
    <row r="2251" spans="1:6" x14ac:dyDescent="0.35">
      <c r="A2251" s="2">
        <f ca="1">IFERROR(__xludf.DUMMYFUNCTION("""COMPUTED_VALUE"""),45268.6666666666)</f>
        <v>45268.666666666599</v>
      </c>
      <c r="B2251" s="1">
        <f ca="1">IFERROR(__xludf.DUMMYFUNCTION("""COMPUTED_VALUE"""),134.2)</f>
        <v>134.19999999999999</v>
      </c>
      <c r="C2251" s="1">
        <f ca="1">IFERROR(__xludf.DUMMYFUNCTION("""COMPUTED_VALUE"""),136.4)</f>
        <v>136.4</v>
      </c>
      <c r="D2251" s="1">
        <f ca="1">IFERROR(__xludf.DUMMYFUNCTION("""COMPUTED_VALUE"""),134.03)</f>
        <v>134.03</v>
      </c>
      <c r="E2251" s="1">
        <f ca="1">IFERROR(__xludf.DUMMYFUNCTION("""COMPUTED_VALUE"""),134.99)</f>
        <v>134.99</v>
      </c>
      <c r="F2251" s="1">
        <f ca="1">IFERROR(__xludf.DUMMYFUNCTION("""COMPUTED_VALUE"""),32260112)</f>
        <v>32260112</v>
      </c>
    </row>
    <row r="2252" spans="1:6" x14ac:dyDescent="0.35">
      <c r="A2252" s="2">
        <f ca="1">IFERROR(__xludf.DUMMYFUNCTION("""COMPUTED_VALUE"""),45271.6666666666)</f>
        <v>45271.666666666599</v>
      </c>
      <c r="B2252" s="1">
        <f ca="1">IFERROR(__xludf.DUMMYFUNCTION("""COMPUTED_VALUE"""),132.38)</f>
        <v>132.38</v>
      </c>
      <c r="C2252" s="1">
        <f ca="1">IFERROR(__xludf.DUMMYFUNCTION("""COMPUTED_VALUE"""),133.34)</f>
        <v>133.34</v>
      </c>
      <c r="D2252" s="1">
        <f ca="1">IFERROR(__xludf.DUMMYFUNCTION("""COMPUTED_VALUE"""),131.36)</f>
        <v>131.36000000000001</v>
      </c>
      <c r="E2252" s="1">
        <f ca="1">IFERROR(__xludf.DUMMYFUNCTION("""COMPUTED_VALUE"""),133.29)</f>
        <v>133.29</v>
      </c>
      <c r="F2252" s="1">
        <f ca="1">IFERROR(__xludf.DUMMYFUNCTION("""COMPUTED_VALUE"""),31138011)</f>
        <v>31138011</v>
      </c>
    </row>
    <row r="2253" spans="1:6" x14ac:dyDescent="0.35">
      <c r="A2253" s="2">
        <f ca="1">IFERROR(__xludf.DUMMYFUNCTION("""COMPUTED_VALUE"""),45272.6666666666)</f>
        <v>45272.666666666599</v>
      </c>
      <c r="B2253" s="1">
        <f ca="1">IFERROR(__xludf.DUMMYFUNCTION("""COMPUTED_VALUE"""),131.81)</f>
        <v>131.81</v>
      </c>
      <c r="C2253" s="1">
        <f ca="1">IFERROR(__xludf.DUMMYFUNCTION("""COMPUTED_VALUE"""),133)</f>
        <v>133</v>
      </c>
      <c r="D2253" s="1">
        <f ca="1">IFERROR(__xludf.DUMMYFUNCTION("""COMPUTED_VALUE"""),131.26)</f>
        <v>131.26</v>
      </c>
      <c r="E2253" s="1">
        <f ca="1">IFERROR(__xludf.DUMMYFUNCTION("""COMPUTED_VALUE"""),132.52)</f>
        <v>132.52000000000001</v>
      </c>
      <c r="F2253" s="1">
        <f ca="1">IFERROR(__xludf.DUMMYFUNCTION("""COMPUTED_VALUE"""),29032831)</f>
        <v>29032831</v>
      </c>
    </row>
    <row r="2254" spans="1:6" x14ac:dyDescent="0.35">
      <c r="A2254" s="2">
        <f ca="1">IFERROR(__xludf.DUMMYFUNCTION("""COMPUTED_VALUE"""),45273.6666666666)</f>
        <v>45273.666666666599</v>
      </c>
      <c r="B2254" s="1">
        <f ca="1">IFERROR(__xludf.DUMMYFUNCTION("""COMPUTED_VALUE"""),133.38)</f>
        <v>133.38</v>
      </c>
      <c r="C2254" s="1">
        <f ca="1">IFERROR(__xludf.DUMMYFUNCTION("""COMPUTED_VALUE"""),133.5)</f>
        <v>133.5</v>
      </c>
      <c r="D2254" s="1">
        <f ca="1">IFERROR(__xludf.DUMMYFUNCTION("""COMPUTED_VALUE"""),131.57)</f>
        <v>131.57</v>
      </c>
      <c r="E2254" s="1">
        <f ca="1">IFERROR(__xludf.DUMMYFUNCTION("""COMPUTED_VALUE"""),132.57)</f>
        <v>132.57</v>
      </c>
      <c r="F2254" s="1">
        <f ca="1">IFERROR(__xludf.DUMMYFUNCTION("""COMPUTED_VALUE"""),30104775)</f>
        <v>30104775</v>
      </c>
    </row>
    <row r="2255" spans="1:6" x14ac:dyDescent="0.35">
      <c r="A2255" s="2">
        <f ca="1">IFERROR(__xludf.DUMMYFUNCTION("""COMPUTED_VALUE"""),45274.6666666666)</f>
        <v>45274.666666666599</v>
      </c>
      <c r="B2255" s="1">
        <f ca="1">IFERROR(__xludf.DUMMYFUNCTION("""COMPUTED_VALUE"""),133.38)</f>
        <v>133.38</v>
      </c>
      <c r="C2255" s="1">
        <f ca="1">IFERROR(__xludf.DUMMYFUNCTION("""COMPUTED_VALUE"""),133.72)</f>
        <v>133.72</v>
      </c>
      <c r="D2255" s="1">
        <f ca="1">IFERROR(__xludf.DUMMYFUNCTION("""COMPUTED_VALUE"""),129.69)</f>
        <v>129.69</v>
      </c>
      <c r="E2255" s="1">
        <f ca="1">IFERROR(__xludf.DUMMYFUNCTION("""COMPUTED_VALUE"""),131.94)</f>
        <v>131.94</v>
      </c>
      <c r="F2255" s="1">
        <f ca="1">IFERROR(__xludf.DUMMYFUNCTION("""COMPUTED_VALUE"""),38722413)</f>
        <v>38722413</v>
      </c>
    </row>
    <row r="2256" spans="1:6" x14ac:dyDescent="0.35">
      <c r="A2256" s="2">
        <f ca="1">IFERROR(__xludf.DUMMYFUNCTION("""COMPUTED_VALUE"""),45275.6666666666)</f>
        <v>45275.666666666599</v>
      </c>
      <c r="B2256" s="1">
        <f ca="1">IFERROR(__xludf.DUMMYFUNCTION("""COMPUTED_VALUE"""),131.62)</f>
        <v>131.62</v>
      </c>
      <c r="C2256" s="1">
        <f ca="1">IFERROR(__xludf.DUMMYFUNCTION("""COMPUTED_VALUE"""),133.51)</f>
        <v>133.51</v>
      </c>
      <c r="D2256" s="1">
        <f ca="1">IFERROR(__xludf.DUMMYFUNCTION("""COMPUTED_VALUE"""),131.18)</f>
        <v>131.18</v>
      </c>
      <c r="E2256" s="1">
        <f ca="1">IFERROR(__xludf.DUMMYFUNCTION("""COMPUTED_VALUE"""),132.6)</f>
        <v>132.6</v>
      </c>
      <c r="F2256" s="1">
        <f ca="1">IFERROR(__xludf.DUMMYFUNCTION("""COMPUTED_VALUE"""),50847113)</f>
        <v>50847113</v>
      </c>
    </row>
    <row r="2257" spans="1:6" x14ac:dyDescent="0.35">
      <c r="A2257" s="2">
        <f ca="1">IFERROR(__xludf.DUMMYFUNCTION("""COMPUTED_VALUE"""),45278.6666666666)</f>
        <v>45278.666666666599</v>
      </c>
      <c r="B2257" s="1">
        <f ca="1">IFERROR(__xludf.DUMMYFUNCTION("""COMPUTED_VALUE"""),132.63)</f>
        <v>132.63</v>
      </c>
      <c r="C2257" s="1">
        <f ca="1">IFERROR(__xludf.DUMMYFUNCTION("""COMPUTED_VALUE"""),137.15)</f>
        <v>137.15</v>
      </c>
      <c r="D2257" s="1">
        <f ca="1">IFERROR(__xludf.DUMMYFUNCTION("""COMPUTED_VALUE"""),132.43)</f>
        <v>132.43</v>
      </c>
      <c r="E2257" s="1">
        <f ca="1">IFERROR(__xludf.DUMMYFUNCTION("""COMPUTED_VALUE"""),135.8)</f>
        <v>135.80000000000001</v>
      </c>
      <c r="F2257" s="1">
        <f ca="1">IFERROR(__xludf.DUMMYFUNCTION("""COMPUTED_VALUE"""),32257967)</f>
        <v>32257967</v>
      </c>
    </row>
    <row r="2258" spans="1:6" x14ac:dyDescent="0.35">
      <c r="A2258" s="2">
        <f ca="1">IFERROR(__xludf.DUMMYFUNCTION("""COMPUTED_VALUE"""),45279.6666666666)</f>
        <v>45279.666666666599</v>
      </c>
      <c r="B2258" s="1">
        <f ca="1">IFERROR(__xludf.DUMMYFUNCTION("""COMPUTED_VALUE"""),136.84)</f>
        <v>136.84</v>
      </c>
      <c r="C2258" s="1">
        <f ca="1">IFERROR(__xludf.DUMMYFUNCTION("""COMPUTED_VALUE"""),137.47)</f>
        <v>137.47</v>
      </c>
      <c r="D2258" s="1">
        <f ca="1">IFERROR(__xludf.DUMMYFUNCTION("""COMPUTED_VALUE"""),136.08)</f>
        <v>136.08000000000001</v>
      </c>
      <c r="E2258" s="1">
        <f ca="1">IFERROR(__xludf.DUMMYFUNCTION("""COMPUTED_VALUE"""),136.65)</f>
        <v>136.65</v>
      </c>
      <c r="F2258" s="1">
        <f ca="1">IFERROR(__xludf.DUMMYFUNCTION("""COMPUTED_VALUE"""),25476753)</f>
        <v>25476753</v>
      </c>
    </row>
    <row r="2259" spans="1:6" x14ac:dyDescent="0.35">
      <c r="A2259" s="2">
        <f ca="1">IFERROR(__xludf.DUMMYFUNCTION("""COMPUTED_VALUE"""),45280.6666666666)</f>
        <v>45280.666666666599</v>
      </c>
      <c r="B2259" s="1">
        <f ca="1">IFERROR(__xludf.DUMMYFUNCTION("""COMPUTED_VALUE"""),138.97)</f>
        <v>138.97</v>
      </c>
      <c r="C2259" s="1">
        <f ca="1">IFERROR(__xludf.DUMMYFUNCTION("""COMPUTED_VALUE"""),141.7)</f>
        <v>141.69999999999999</v>
      </c>
      <c r="D2259" s="1">
        <f ca="1">IFERROR(__xludf.DUMMYFUNCTION("""COMPUTED_VALUE"""),138.07)</f>
        <v>138.07</v>
      </c>
      <c r="E2259" s="1">
        <f ca="1">IFERROR(__xludf.DUMMYFUNCTION("""COMPUTED_VALUE"""),138.34)</f>
        <v>138.34</v>
      </c>
      <c r="F2259" s="1">
        <f ca="1">IFERROR(__xludf.DUMMYFUNCTION("""COMPUTED_VALUE"""),49107179)</f>
        <v>49107179</v>
      </c>
    </row>
    <row r="2260" spans="1:6" x14ac:dyDescent="0.35">
      <c r="A2260" s="2">
        <f ca="1">IFERROR(__xludf.DUMMYFUNCTION("""COMPUTED_VALUE"""),45281.6666666666)</f>
        <v>45281.666666666599</v>
      </c>
      <c r="B2260" s="1">
        <f ca="1">IFERROR(__xludf.DUMMYFUNCTION("""COMPUTED_VALUE"""),139.49)</f>
        <v>139.49</v>
      </c>
      <c r="C2260" s="1">
        <f ca="1">IFERROR(__xludf.DUMMYFUNCTION("""COMPUTED_VALUE"""),140.69)</f>
        <v>140.69</v>
      </c>
      <c r="D2260" s="1">
        <f ca="1">IFERROR(__xludf.DUMMYFUNCTION("""COMPUTED_VALUE"""),139.18)</f>
        <v>139.18</v>
      </c>
      <c r="E2260" s="1">
        <f ca="1">IFERROR(__xludf.DUMMYFUNCTION("""COMPUTED_VALUE"""),140.42)</f>
        <v>140.41999999999999</v>
      </c>
      <c r="F2260" s="1">
        <f ca="1">IFERROR(__xludf.DUMMYFUNCTION("""COMPUTED_VALUE"""),27488284)</f>
        <v>27488284</v>
      </c>
    </row>
    <row r="2261" spans="1:6" x14ac:dyDescent="0.35">
      <c r="A2261" s="2">
        <f ca="1">IFERROR(__xludf.DUMMYFUNCTION("""COMPUTED_VALUE"""),45282.6666666666)</f>
        <v>45282.666666666599</v>
      </c>
      <c r="B2261" s="1">
        <f ca="1">IFERROR(__xludf.DUMMYFUNCTION("""COMPUTED_VALUE"""),140.77)</f>
        <v>140.77000000000001</v>
      </c>
      <c r="C2261" s="1">
        <f ca="1">IFERROR(__xludf.DUMMYFUNCTION("""COMPUTED_VALUE"""),141.99)</f>
        <v>141.99</v>
      </c>
      <c r="D2261" s="1">
        <f ca="1">IFERROR(__xludf.DUMMYFUNCTION("""COMPUTED_VALUE"""),140.71)</f>
        <v>140.71</v>
      </c>
      <c r="E2261" s="1">
        <f ca="1">IFERROR(__xludf.DUMMYFUNCTION("""COMPUTED_VALUE"""),141.49)</f>
        <v>141.49</v>
      </c>
      <c r="F2261" s="1">
        <f ca="1">IFERROR(__xludf.DUMMYFUNCTION("""COMPUTED_VALUE"""),26532199)</f>
        <v>26532199</v>
      </c>
    </row>
    <row r="2262" spans="1:6" x14ac:dyDescent="0.35">
      <c r="A2262" s="2">
        <f ca="1">IFERROR(__xludf.DUMMYFUNCTION("""COMPUTED_VALUE"""),45286.6666666666)</f>
        <v>45286.666666666599</v>
      </c>
      <c r="B2262" s="1">
        <f ca="1">IFERROR(__xludf.DUMMYFUNCTION("""COMPUTED_VALUE"""),141.59)</f>
        <v>141.59</v>
      </c>
      <c r="C2262" s="1">
        <f ca="1">IFERROR(__xludf.DUMMYFUNCTION("""COMPUTED_VALUE"""),142.68)</f>
        <v>142.68</v>
      </c>
      <c r="D2262" s="1">
        <f ca="1">IFERROR(__xludf.DUMMYFUNCTION("""COMPUTED_VALUE"""),141.19)</f>
        <v>141.19</v>
      </c>
      <c r="E2262" s="1">
        <f ca="1">IFERROR(__xludf.DUMMYFUNCTION("""COMPUTED_VALUE"""),141.52)</f>
        <v>141.52000000000001</v>
      </c>
      <c r="F2262" s="1">
        <f ca="1">IFERROR(__xludf.DUMMYFUNCTION("""COMPUTED_VALUE"""),16780333)</f>
        <v>16780333</v>
      </c>
    </row>
    <row r="2263" spans="1:6" x14ac:dyDescent="0.35">
      <c r="A2263" s="2">
        <f ca="1">IFERROR(__xludf.DUMMYFUNCTION("""COMPUTED_VALUE"""),45287.6666666666)</f>
        <v>45287.666666666599</v>
      </c>
      <c r="B2263" s="1">
        <f ca="1">IFERROR(__xludf.DUMMYFUNCTION("""COMPUTED_VALUE"""),141.59)</f>
        <v>141.59</v>
      </c>
      <c r="C2263" s="1">
        <f ca="1">IFERROR(__xludf.DUMMYFUNCTION("""COMPUTED_VALUE"""),142.08)</f>
        <v>142.08000000000001</v>
      </c>
      <c r="D2263" s="1">
        <f ca="1">IFERROR(__xludf.DUMMYFUNCTION("""COMPUTED_VALUE"""),139.89)</f>
        <v>139.88999999999999</v>
      </c>
      <c r="E2263" s="1">
        <f ca="1">IFERROR(__xludf.DUMMYFUNCTION("""COMPUTED_VALUE"""),140.37)</f>
        <v>140.37</v>
      </c>
      <c r="F2263" s="1">
        <f ca="1">IFERROR(__xludf.DUMMYFUNCTION("""COMPUTED_VALUE"""),19628618)</f>
        <v>19628618</v>
      </c>
    </row>
    <row r="2264" spans="1:6" x14ac:dyDescent="0.35">
      <c r="A2264" s="2">
        <f ca="1">IFERROR(__xludf.DUMMYFUNCTION("""COMPUTED_VALUE"""),45288.6666666666)</f>
        <v>45288.666666666599</v>
      </c>
      <c r="B2264" s="1">
        <f ca="1">IFERROR(__xludf.DUMMYFUNCTION("""COMPUTED_VALUE"""),140.78)</f>
        <v>140.78</v>
      </c>
      <c r="C2264" s="1">
        <f ca="1">IFERROR(__xludf.DUMMYFUNCTION("""COMPUTED_VALUE"""),141.14)</f>
        <v>141.13999999999999</v>
      </c>
      <c r="D2264" s="1">
        <f ca="1">IFERROR(__xludf.DUMMYFUNCTION("""COMPUTED_VALUE"""),139.75)</f>
        <v>139.75</v>
      </c>
      <c r="E2264" s="1">
        <f ca="1">IFERROR(__xludf.DUMMYFUNCTION("""COMPUTED_VALUE"""),140.23)</f>
        <v>140.22999999999999</v>
      </c>
      <c r="F2264" s="1">
        <f ca="1">IFERROR(__xludf.DUMMYFUNCTION("""COMPUTED_VALUE"""),16045712)</f>
        <v>16045712</v>
      </c>
    </row>
    <row r="2265" spans="1:6" x14ac:dyDescent="0.35">
      <c r="A2265" s="2">
        <f ca="1">IFERROR(__xludf.DUMMYFUNCTION("""COMPUTED_VALUE"""),45289.6666666666)</f>
        <v>45289.666666666599</v>
      </c>
      <c r="B2265" s="1">
        <f ca="1">IFERROR(__xludf.DUMMYFUNCTION("""COMPUTED_VALUE"""),139.63)</f>
        <v>139.63</v>
      </c>
      <c r="C2265" s="1">
        <f ca="1">IFERROR(__xludf.DUMMYFUNCTION("""COMPUTED_VALUE"""),140.36)</f>
        <v>140.36000000000001</v>
      </c>
      <c r="D2265" s="1">
        <f ca="1">IFERROR(__xludf.DUMMYFUNCTION("""COMPUTED_VALUE"""),138.78)</f>
        <v>138.78</v>
      </c>
      <c r="E2265" s="1">
        <f ca="1">IFERROR(__xludf.DUMMYFUNCTION("""COMPUTED_VALUE"""),139.69)</f>
        <v>139.69</v>
      </c>
      <c r="F2265" s="1">
        <f ca="1">IFERROR(__xludf.DUMMYFUNCTION("""COMPUTED_VALUE"""),18733017)</f>
        <v>18733017</v>
      </c>
    </row>
    <row r="2266" spans="1:6" x14ac:dyDescent="0.35">
      <c r="A2266" s="2">
        <f ca="1">IFERROR(__xludf.DUMMYFUNCTION("""COMPUTED_VALUE"""),45293.6666666666)</f>
        <v>45293.666666666599</v>
      </c>
      <c r="B2266" s="1">
        <f ca="1">IFERROR(__xludf.DUMMYFUNCTION("""COMPUTED_VALUE"""),138.55)</f>
        <v>138.55000000000001</v>
      </c>
      <c r="C2266" s="1">
        <f ca="1">IFERROR(__xludf.DUMMYFUNCTION("""COMPUTED_VALUE"""),139.45)</f>
        <v>139.44999999999999</v>
      </c>
      <c r="D2266" s="1">
        <f ca="1">IFERROR(__xludf.DUMMYFUNCTION("""COMPUTED_VALUE"""),136.48)</f>
        <v>136.47999999999999</v>
      </c>
      <c r="E2266" s="1">
        <f ca="1">IFERROR(__xludf.DUMMYFUNCTION("""COMPUTED_VALUE"""),138.17)</f>
        <v>138.16999999999999</v>
      </c>
      <c r="F2266" s="1">
        <f ca="1">IFERROR(__xludf.DUMMYFUNCTION("""COMPUTED_VALUE"""),23711220)</f>
        <v>23711220</v>
      </c>
    </row>
    <row r="2267" spans="1:6" x14ac:dyDescent="0.35">
      <c r="A2267" s="2">
        <f ca="1">IFERROR(__xludf.DUMMYFUNCTION("""COMPUTED_VALUE"""),45294.6666666666)</f>
        <v>45294.666666666599</v>
      </c>
      <c r="B2267" s="1">
        <f ca="1">IFERROR(__xludf.DUMMYFUNCTION("""COMPUTED_VALUE"""),137.25)</f>
        <v>137.25</v>
      </c>
      <c r="C2267" s="1">
        <f ca="1">IFERROR(__xludf.DUMMYFUNCTION("""COMPUTED_VALUE"""),139.63)</f>
        <v>139.63</v>
      </c>
      <c r="D2267" s="1">
        <f ca="1">IFERROR(__xludf.DUMMYFUNCTION("""COMPUTED_VALUE"""),137.08)</f>
        <v>137.08000000000001</v>
      </c>
      <c r="E2267" s="1">
        <f ca="1">IFERROR(__xludf.DUMMYFUNCTION("""COMPUTED_VALUE"""),138.92)</f>
        <v>138.91999999999999</v>
      </c>
      <c r="F2267" s="1">
        <f ca="1">IFERROR(__xludf.DUMMYFUNCTION("""COMPUTED_VALUE"""),24212147)</f>
        <v>24212147</v>
      </c>
    </row>
    <row r="2268" spans="1:6" x14ac:dyDescent="0.35">
      <c r="A2268" s="2">
        <f ca="1">IFERROR(__xludf.DUMMYFUNCTION("""COMPUTED_VALUE"""),45295.6666666666)</f>
        <v>45295.666666666599</v>
      </c>
      <c r="B2268" s="1">
        <f ca="1">IFERROR(__xludf.DUMMYFUNCTION("""COMPUTED_VALUE"""),138.42)</f>
        <v>138.41999999999999</v>
      </c>
      <c r="C2268" s="1">
        <f ca="1">IFERROR(__xludf.DUMMYFUNCTION("""COMPUTED_VALUE"""),139.16)</f>
        <v>139.16</v>
      </c>
      <c r="D2268" s="1">
        <f ca="1">IFERROR(__xludf.DUMMYFUNCTION("""COMPUTED_VALUE"""),136.35)</f>
        <v>136.35</v>
      </c>
      <c r="E2268" s="1">
        <f ca="1">IFERROR(__xludf.DUMMYFUNCTION("""COMPUTED_VALUE"""),136.39)</f>
        <v>136.38999999999999</v>
      </c>
      <c r="F2268" s="1">
        <f ca="1">IFERROR(__xludf.DUMMYFUNCTION("""COMPUTED_VALUE"""),27137735)</f>
        <v>27137735</v>
      </c>
    </row>
    <row r="2269" spans="1:6" x14ac:dyDescent="0.35">
      <c r="A2269" s="2">
        <f ca="1">IFERROR(__xludf.DUMMYFUNCTION("""COMPUTED_VALUE"""),45296.6666666666)</f>
        <v>45296.666666666599</v>
      </c>
      <c r="B2269" s="1">
        <f ca="1">IFERROR(__xludf.DUMMYFUNCTION("""COMPUTED_VALUE"""),136.75)</f>
        <v>136.75</v>
      </c>
      <c r="C2269" s="1">
        <f ca="1">IFERROR(__xludf.DUMMYFUNCTION("""COMPUTED_VALUE"""),137.16)</f>
        <v>137.16</v>
      </c>
      <c r="D2269" s="1">
        <f ca="1">IFERROR(__xludf.DUMMYFUNCTION("""COMPUTED_VALUE"""),135.15)</f>
        <v>135.15</v>
      </c>
      <c r="E2269" s="1">
        <f ca="1">IFERROR(__xludf.DUMMYFUNCTION("""COMPUTED_VALUE"""),135.73)</f>
        <v>135.72999999999999</v>
      </c>
      <c r="F2269" s="1">
        <f ca="1">IFERROR(__xludf.DUMMYFUNCTION("""COMPUTED_VALUE"""),22513854)</f>
        <v>22513854</v>
      </c>
    </row>
    <row r="2270" spans="1:6" x14ac:dyDescent="0.35">
      <c r="A2270" s="2">
        <f ca="1">IFERROR(__xludf.DUMMYFUNCTION("""COMPUTED_VALUE"""),45299.6666666666)</f>
        <v>45299.666666666599</v>
      </c>
      <c r="B2270" s="1">
        <f ca="1">IFERROR(__xludf.DUMMYFUNCTION("""COMPUTED_VALUE"""),136.29)</f>
        <v>136.29</v>
      </c>
      <c r="C2270" s="1">
        <f ca="1">IFERROR(__xludf.DUMMYFUNCTION("""COMPUTED_VALUE"""),139.01)</f>
        <v>139.01</v>
      </c>
      <c r="D2270" s="1">
        <f ca="1">IFERROR(__xludf.DUMMYFUNCTION("""COMPUTED_VALUE"""),136.26)</f>
        <v>136.26</v>
      </c>
      <c r="E2270" s="1">
        <f ca="1">IFERROR(__xludf.DUMMYFUNCTION("""COMPUTED_VALUE"""),138.84)</f>
        <v>138.84</v>
      </c>
      <c r="F2270" s="1">
        <f ca="1">IFERROR(__xludf.DUMMYFUNCTION("""COMPUTED_VALUE"""),21403982)</f>
        <v>21403982</v>
      </c>
    </row>
    <row r="2271" spans="1:6" x14ac:dyDescent="0.35">
      <c r="A2271" s="2">
        <f ca="1">IFERROR(__xludf.DUMMYFUNCTION("""COMPUTED_VALUE"""),45300.6666666666)</f>
        <v>45300.666666666599</v>
      </c>
      <c r="B2271" s="1">
        <f ca="1">IFERROR(__xludf.DUMMYFUNCTION("""COMPUTED_VALUE"""),138.5)</f>
        <v>138.5</v>
      </c>
      <c r="C2271" s="1">
        <f ca="1">IFERROR(__xludf.DUMMYFUNCTION("""COMPUTED_VALUE"""),141.49)</f>
        <v>141.49</v>
      </c>
      <c r="D2271" s="1">
        <f ca="1">IFERROR(__xludf.DUMMYFUNCTION("""COMPUTED_VALUE"""),138.15)</f>
        <v>138.15</v>
      </c>
      <c r="E2271" s="1">
        <f ca="1">IFERROR(__xludf.DUMMYFUNCTION("""COMPUTED_VALUE"""),140.95)</f>
        <v>140.94999999999999</v>
      </c>
      <c r="F2271" s="1">
        <f ca="1">IFERROR(__xludf.DUMMYFUNCTION("""COMPUTED_VALUE"""),24759598)</f>
        <v>24759598</v>
      </c>
    </row>
    <row r="2272" spans="1:6" x14ac:dyDescent="0.35">
      <c r="A2272" s="2">
        <f ca="1">IFERROR(__xludf.DUMMYFUNCTION("""COMPUTED_VALUE"""),45301.6666666666)</f>
        <v>45301.666666666599</v>
      </c>
      <c r="B2272" s="1">
        <f ca="1">IFERROR(__xludf.DUMMYFUNCTION("""COMPUTED_VALUE"""),141)</f>
        <v>141</v>
      </c>
      <c r="C2272" s="1">
        <f ca="1">IFERROR(__xludf.DUMMYFUNCTION("""COMPUTED_VALUE"""),143)</f>
        <v>143</v>
      </c>
      <c r="D2272" s="1">
        <f ca="1">IFERROR(__xludf.DUMMYFUNCTION("""COMPUTED_VALUE"""),140.91)</f>
        <v>140.91</v>
      </c>
      <c r="E2272" s="1">
        <f ca="1">IFERROR(__xludf.DUMMYFUNCTION("""COMPUTED_VALUE"""),142.28)</f>
        <v>142.28</v>
      </c>
      <c r="F2272" s="1">
        <f ca="1">IFERROR(__xludf.DUMMYFUNCTION("""COMPUTED_VALUE"""),21320203)</f>
        <v>21320203</v>
      </c>
    </row>
    <row r="2273" spans="1:6" x14ac:dyDescent="0.35">
      <c r="A2273" s="2">
        <f ca="1">IFERROR(__xludf.DUMMYFUNCTION("""COMPUTED_VALUE"""),45302.6666666666)</f>
        <v>45302.666666666599</v>
      </c>
      <c r="B2273" s="1">
        <f ca="1">IFERROR(__xludf.DUMMYFUNCTION("""COMPUTED_VALUE"""),143.49)</f>
        <v>143.49</v>
      </c>
      <c r="C2273" s="1">
        <f ca="1">IFERROR(__xludf.DUMMYFUNCTION("""COMPUTED_VALUE"""),145.22)</f>
        <v>145.22</v>
      </c>
      <c r="D2273" s="1">
        <f ca="1">IFERROR(__xludf.DUMMYFUNCTION("""COMPUTED_VALUE"""),140.64)</f>
        <v>140.63999999999999</v>
      </c>
      <c r="E2273" s="1">
        <f ca="1">IFERROR(__xludf.DUMMYFUNCTION("""COMPUTED_VALUE"""),142.08)</f>
        <v>142.08000000000001</v>
      </c>
      <c r="F2273" s="1">
        <f ca="1">IFERROR(__xludf.DUMMYFUNCTION("""COMPUTED_VALUE"""),24008722)</f>
        <v>24008722</v>
      </c>
    </row>
    <row r="2274" spans="1:6" x14ac:dyDescent="0.35">
      <c r="A2274" s="2">
        <f ca="1">IFERROR(__xludf.DUMMYFUNCTION("""COMPUTED_VALUE"""),45303.6666666666)</f>
        <v>45303.666666666599</v>
      </c>
      <c r="B2274" s="1">
        <f ca="1">IFERROR(__xludf.DUMMYFUNCTION("""COMPUTED_VALUE"""),142.67)</f>
        <v>142.66999999999999</v>
      </c>
      <c r="C2274" s="1">
        <f ca="1">IFERROR(__xludf.DUMMYFUNCTION("""COMPUTED_VALUE"""),143.2)</f>
        <v>143.19999999999999</v>
      </c>
      <c r="D2274" s="1">
        <f ca="1">IFERROR(__xludf.DUMMYFUNCTION("""COMPUTED_VALUE"""),141.82)</f>
        <v>141.82</v>
      </c>
      <c r="E2274" s="1">
        <f ca="1">IFERROR(__xludf.DUMMYFUNCTION("""COMPUTED_VALUE"""),142.65)</f>
        <v>142.65</v>
      </c>
      <c r="F2274" s="1">
        <f ca="1">IFERROR(__xludf.DUMMYFUNCTION("""COMPUTED_VALUE"""),18785514)</f>
        <v>18785514</v>
      </c>
    </row>
    <row r="2275" spans="1:6" x14ac:dyDescent="0.35">
      <c r="A2275" s="2">
        <f ca="1">IFERROR(__xludf.DUMMYFUNCTION("""COMPUTED_VALUE"""),45307.6666666666)</f>
        <v>45307.666666666599</v>
      </c>
      <c r="B2275" s="1">
        <f ca="1">IFERROR(__xludf.DUMMYFUNCTION("""COMPUTED_VALUE"""),142)</f>
        <v>142</v>
      </c>
      <c r="C2275" s="1">
        <f ca="1">IFERROR(__xludf.DUMMYFUNCTION("""COMPUTED_VALUE"""),144.35)</f>
        <v>144.35</v>
      </c>
      <c r="D2275" s="1">
        <f ca="1">IFERROR(__xludf.DUMMYFUNCTION("""COMPUTED_VALUE"""),141.45)</f>
        <v>141.44999999999999</v>
      </c>
      <c r="E2275" s="1">
        <f ca="1">IFERROR(__xludf.DUMMYFUNCTION("""COMPUTED_VALUE"""),142.49)</f>
        <v>142.49</v>
      </c>
      <c r="F2275" s="1">
        <f ca="1">IFERROR(__xludf.DUMMYFUNCTION("""COMPUTED_VALUE"""),22670467)</f>
        <v>22670467</v>
      </c>
    </row>
    <row r="2276" spans="1:6" x14ac:dyDescent="0.35">
      <c r="A2276" s="2">
        <f ca="1">IFERROR(__xludf.DUMMYFUNCTION("""COMPUTED_VALUE"""),45308.6666666666)</f>
        <v>45308.666666666599</v>
      </c>
      <c r="B2276" s="1">
        <f ca="1">IFERROR(__xludf.DUMMYFUNCTION("""COMPUTED_VALUE"""),141.35)</f>
        <v>141.35</v>
      </c>
      <c r="C2276" s="1">
        <f ca="1">IFERROR(__xludf.DUMMYFUNCTION("""COMPUTED_VALUE"""),141.84)</f>
        <v>141.84</v>
      </c>
      <c r="D2276" s="1">
        <f ca="1">IFERROR(__xludf.DUMMYFUNCTION("""COMPUTED_VALUE"""),138.9)</f>
        <v>138.9</v>
      </c>
      <c r="E2276" s="1">
        <f ca="1">IFERROR(__xludf.DUMMYFUNCTION("""COMPUTED_VALUE"""),141.47)</f>
        <v>141.47</v>
      </c>
      <c r="F2276" s="1">
        <f ca="1">IFERROR(__xludf.DUMMYFUNCTION("""COMPUTED_VALUE"""),20968649)</f>
        <v>20968649</v>
      </c>
    </row>
    <row r="2277" spans="1:6" x14ac:dyDescent="0.35">
      <c r="A2277" s="2">
        <f ca="1">IFERROR(__xludf.DUMMYFUNCTION("""COMPUTED_VALUE"""),45309.6666666666)</f>
        <v>45309.666666666599</v>
      </c>
      <c r="B2277" s="1">
        <f ca="1">IFERROR(__xludf.DUMMYFUNCTION("""COMPUTED_VALUE"""),142.05)</f>
        <v>142.05000000000001</v>
      </c>
      <c r="C2277" s="1">
        <f ca="1">IFERROR(__xludf.DUMMYFUNCTION("""COMPUTED_VALUE"""),144.21)</f>
        <v>144.21</v>
      </c>
      <c r="D2277" s="1">
        <f ca="1">IFERROR(__xludf.DUMMYFUNCTION("""COMPUTED_VALUE"""),141.99)</f>
        <v>141.99</v>
      </c>
      <c r="E2277" s="1">
        <f ca="1">IFERROR(__xludf.DUMMYFUNCTION("""COMPUTED_VALUE"""),143.48)</f>
        <v>143.47999999999999</v>
      </c>
      <c r="F2277" s="1">
        <f ca="1">IFERROR(__xludf.DUMMYFUNCTION("""COMPUTED_VALUE"""),25746417)</f>
        <v>25746417</v>
      </c>
    </row>
    <row r="2278" spans="1:6" x14ac:dyDescent="0.35">
      <c r="A2278" s="2">
        <f ca="1">IFERROR(__xludf.DUMMYFUNCTION("""COMPUTED_VALUE"""),45310.6666666666)</f>
        <v>45310.666666666599</v>
      </c>
      <c r="B2278" s="1">
        <f ca="1">IFERROR(__xludf.DUMMYFUNCTION("""COMPUTED_VALUE"""),144.74)</f>
        <v>144.74</v>
      </c>
      <c r="C2278" s="1">
        <f ca="1">IFERROR(__xludf.DUMMYFUNCTION("""COMPUTED_VALUE"""),146.45)</f>
        <v>146.44999999999999</v>
      </c>
      <c r="D2278" s="1">
        <f ca="1">IFERROR(__xludf.DUMMYFUNCTION("""COMPUTED_VALUE"""),144.38)</f>
        <v>144.38</v>
      </c>
      <c r="E2278" s="1">
        <f ca="1">IFERROR(__xludf.DUMMYFUNCTION("""COMPUTED_VALUE"""),146.38)</f>
        <v>146.38</v>
      </c>
      <c r="F2278" s="1">
        <f ca="1">IFERROR(__xludf.DUMMYFUNCTION("""COMPUTED_VALUE"""),34271867)</f>
        <v>34271867</v>
      </c>
    </row>
    <row r="2279" spans="1:6" x14ac:dyDescent="0.35">
      <c r="A2279" s="2">
        <f ca="1">IFERROR(__xludf.DUMMYFUNCTION("""COMPUTED_VALUE"""),45313.6666666666)</f>
        <v>45313.666666666599</v>
      </c>
      <c r="B2279" s="1">
        <f ca="1">IFERROR(__xludf.DUMMYFUNCTION("""COMPUTED_VALUE"""),147.1)</f>
        <v>147.1</v>
      </c>
      <c r="C2279" s="1">
        <f ca="1">IFERROR(__xludf.DUMMYFUNCTION("""COMPUTED_VALUE"""),148.39)</f>
        <v>148.38999999999999</v>
      </c>
      <c r="D2279" s="1">
        <f ca="1">IFERROR(__xludf.DUMMYFUNCTION("""COMPUTED_VALUE"""),145.84)</f>
        <v>145.84</v>
      </c>
      <c r="E2279" s="1">
        <f ca="1">IFERROR(__xludf.DUMMYFUNCTION("""COMPUTED_VALUE"""),145.99)</f>
        <v>145.99</v>
      </c>
      <c r="F2279" s="1">
        <f ca="1">IFERROR(__xludf.DUMMYFUNCTION("""COMPUTED_VALUE"""),32200369)</f>
        <v>32200369</v>
      </c>
    </row>
    <row r="2280" spans="1:6" x14ac:dyDescent="0.35">
      <c r="A2280" s="2">
        <f ca="1">IFERROR(__xludf.DUMMYFUNCTION("""COMPUTED_VALUE"""),45314.6666666666)</f>
        <v>45314.666666666599</v>
      </c>
      <c r="B2280" s="1">
        <f ca="1">IFERROR(__xludf.DUMMYFUNCTION("""COMPUTED_VALUE"""),145.89)</f>
        <v>145.88999999999999</v>
      </c>
      <c r="C2280" s="1">
        <f ca="1">IFERROR(__xludf.DUMMYFUNCTION("""COMPUTED_VALUE"""),147.18)</f>
        <v>147.18</v>
      </c>
      <c r="D2280" s="1">
        <f ca="1">IFERROR(__xludf.DUMMYFUNCTION("""COMPUTED_VALUE"""),145.5)</f>
        <v>145.5</v>
      </c>
      <c r="E2280" s="1">
        <f ca="1">IFERROR(__xludf.DUMMYFUNCTION("""COMPUTED_VALUE"""),147.04)</f>
        <v>147.04</v>
      </c>
      <c r="F2280" s="1">
        <f ca="1">IFERROR(__xludf.DUMMYFUNCTION("""COMPUTED_VALUE"""),21636129)</f>
        <v>21636129</v>
      </c>
    </row>
    <row r="2281" spans="1:6" x14ac:dyDescent="0.35">
      <c r="A2281" s="2">
        <f ca="1">IFERROR(__xludf.DUMMYFUNCTION("""COMPUTED_VALUE"""),45315.6666666666)</f>
        <v>45315.666666666599</v>
      </c>
      <c r="B2281" s="1">
        <f ca="1">IFERROR(__xludf.DUMMYFUNCTION("""COMPUTED_VALUE"""),148.54)</f>
        <v>148.54</v>
      </c>
      <c r="C2281" s="1">
        <f ca="1">IFERROR(__xludf.DUMMYFUNCTION("""COMPUTED_VALUE"""),149.85)</f>
        <v>149.85</v>
      </c>
      <c r="D2281" s="1">
        <f ca="1">IFERROR(__xludf.DUMMYFUNCTION("""COMPUTED_VALUE"""),148.1)</f>
        <v>148.1</v>
      </c>
      <c r="E2281" s="1">
        <f ca="1">IFERROR(__xludf.DUMMYFUNCTION("""COMPUTED_VALUE"""),148.7)</f>
        <v>148.69999999999999</v>
      </c>
      <c r="F2281" s="1">
        <f ca="1">IFERROR(__xludf.DUMMYFUNCTION("""COMPUTED_VALUE"""),25233450)</f>
        <v>25233450</v>
      </c>
    </row>
    <row r="2282" spans="1:6" x14ac:dyDescent="0.35">
      <c r="A2282" s="2">
        <f ca="1">IFERROR(__xludf.DUMMYFUNCTION("""COMPUTED_VALUE"""),45316.6666666666)</f>
        <v>45316.666666666599</v>
      </c>
      <c r="B2282" s="1">
        <f ca="1">IFERROR(__xludf.DUMMYFUNCTION("""COMPUTED_VALUE"""),150.07)</f>
        <v>150.07</v>
      </c>
      <c r="C2282" s="1">
        <f ca="1">IFERROR(__xludf.DUMMYFUNCTION("""COMPUTED_VALUE"""),153.05)</f>
        <v>153.05000000000001</v>
      </c>
      <c r="D2282" s="1">
        <f ca="1">IFERROR(__xludf.DUMMYFUNCTION("""COMPUTED_VALUE"""),149.54)</f>
        <v>149.54</v>
      </c>
      <c r="E2282" s="1">
        <f ca="1">IFERROR(__xludf.DUMMYFUNCTION("""COMPUTED_VALUE"""),151.87)</f>
        <v>151.87</v>
      </c>
      <c r="F2282" s="1">
        <f ca="1">IFERROR(__xludf.DUMMYFUNCTION("""COMPUTED_VALUE"""),29149069)</f>
        <v>29149069</v>
      </c>
    </row>
    <row r="2283" spans="1:6" x14ac:dyDescent="0.35">
      <c r="A2283" s="2">
        <f ca="1">IFERROR(__xludf.DUMMYFUNCTION("""COMPUTED_VALUE"""),45317.6666666666)</f>
        <v>45317.666666666599</v>
      </c>
      <c r="B2283" s="1">
        <f ca="1">IFERROR(__xludf.DUMMYFUNCTION("""COMPUTED_VALUE"""),151.1)</f>
        <v>151.1</v>
      </c>
      <c r="C2283" s="1">
        <f ca="1">IFERROR(__xludf.DUMMYFUNCTION("""COMPUTED_VALUE"""),152.54)</f>
        <v>152.54</v>
      </c>
      <c r="D2283" s="1">
        <f ca="1">IFERROR(__xludf.DUMMYFUNCTION("""COMPUTED_VALUE"""),151.01)</f>
        <v>151.01</v>
      </c>
      <c r="E2283" s="1">
        <f ca="1">IFERROR(__xludf.DUMMYFUNCTION("""COMPUTED_VALUE"""),152.19)</f>
        <v>152.19</v>
      </c>
      <c r="F2283" s="1">
        <f ca="1">IFERROR(__xludf.DUMMYFUNCTION("""COMPUTED_VALUE"""),26115494)</f>
        <v>26115494</v>
      </c>
    </row>
    <row r="2284" spans="1:6" x14ac:dyDescent="0.35">
      <c r="A2284" s="2">
        <f ca="1">IFERROR(__xludf.DUMMYFUNCTION("""COMPUTED_VALUE"""),45320.6666666666)</f>
        <v>45320.666666666599</v>
      </c>
      <c r="B2284" s="1">
        <f ca="1">IFERROR(__xludf.DUMMYFUNCTION("""COMPUTED_VALUE"""),152.06)</f>
        <v>152.06</v>
      </c>
      <c r="C2284" s="1">
        <f ca="1">IFERROR(__xludf.DUMMYFUNCTION("""COMPUTED_VALUE"""),153.78)</f>
        <v>153.78</v>
      </c>
      <c r="D2284" s="1">
        <f ca="1">IFERROR(__xludf.DUMMYFUNCTION("""COMPUTED_VALUE"""),151.43)</f>
        <v>151.43</v>
      </c>
      <c r="E2284" s="1">
        <f ca="1">IFERROR(__xludf.DUMMYFUNCTION("""COMPUTED_VALUE"""),153.51)</f>
        <v>153.51</v>
      </c>
      <c r="F2284" s="1">
        <f ca="1">IFERROR(__xludf.DUMMYFUNCTION("""COMPUTED_VALUE"""),27784259)</f>
        <v>27784259</v>
      </c>
    </row>
    <row r="2285" spans="1:6" x14ac:dyDescent="0.35">
      <c r="A2285" s="2">
        <f ca="1">IFERROR(__xludf.DUMMYFUNCTION("""COMPUTED_VALUE"""),45321.6666666666)</f>
        <v>45321.666666666599</v>
      </c>
      <c r="B2285" s="1">
        <f ca="1">IFERROR(__xludf.DUMMYFUNCTION("""COMPUTED_VALUE"""),152.8)</f>
        <v>152.80000000000001</v>
      </c>
      <c r="C2285" s="1">
        <f ca="1">IFERROR(__xludf.DUMMYFUNCTION("""COMPUTED_VALUE"""),153.62)</f>
        <v>153.62</v>
      </c>
      <c r="D2285" s="1">
        <f ca="1">IFERROR(__xludf.DUMMYFUNCTION("""COMPUTED_VALUE"""),151.19)</f>
        <v>151.19</v>
      </c>
      <c r="E2285" s="1">
        <f ca="1">IFERROR(__xludf.DUMMYFUNCTION("""COMPUTED_VALUE"""),151.46)</f>
        <v>151.46</v>
      </c>
      <c r="F2285" s="1">
        <f ca="1">IFERROR(__xludf.DUMMYFUNCTION("""COMPUTED_VALUE"""),36331833)</f>
        <v>36331833</v>
      </c>
    </row>
    <row r="2286" spans="1:6" x14ac:dyDescent="0.35">
      <c r="A2286" s="2">
        <f ca="1">IFERROR(__xludf.DUMMYFUNCTION("""COMPUTED_VALUE"""),45322.6666666666)</f>
        <v>45322.666666666599</v>
      </c>
      <c r="B2286" s="1">
        <f ca="1">IFERROR(__xludf.DUMMYFUNCTION("""COMPUTED_VALUE"""),143.62)</f>
        <v>143.62</v>
      </c>
      <c r="C2286" s="1">
        <f ca="1">IFERROR(__xludf.DUMMYFUNCTION("""COMPUTED_VALUE"""),144)</f>
        <v>144</v>
      </c>
      <c r="D2286" s="1">
        <f ca="1">IFERROR(__xludf.DUMMYFUNCTION("""COMPUTED_VALUE"""),139.87)</f>
        <v>139.87</v>
      </c>
      <c r="E2286" s="1">
        <f ca="1">IFERROR(__xludf.DUMMYFUNCTION("""COMPUTED_VALUE"""),140.1)</f>
        <v>140.1</v>
      </c>
      <c r="F2286" s="1">
        <f ca="1">IFERROR(__xludf.DUMMYFUNCTION("""COMPUTED_VALUE"""),71910044)</f>
        <v>71910044</v>
      </c>
    </row>
    <row r="2287" spans="1:6" x14ac:dyDescent="0.35">
      <c r="A2287" s="2">
        <f ca="1">IFERROR(__xludf.DUMMYFUNCTION("""COMPUTED_VALUE"""),45323.6666666666)</f>
        <v>45323.666666666599</v>
      </c>
      <c r="B2287" s="1">
        <f ca="1">IFERROR(__xludf.DUMMYFUNCTION("""COMPUTED_VALUE"""),142.12)</f>
        <v>142.12</v>
      </c>
      <c r="C2287" s="1">
        <f ca="1">IFERROR(__xludf.DUMMYFUNCTION("""COMPUTED_VALUE"""),143.06)</f>
        <v>143.06</v>
      </c>
      <c r="D2287" s="1">
        <f ca="1">IFERROR(__xludf.DUMMYFUNCTION("""COMPUTED_VALUE"""),140.79)</f>
        <v>140.79</v>
      </c>
      <c r="E2287" s="1">
        <f ca="1">IFERROR(__xludf.DUMMYFUNCTION("""COMPUTED_VALUE"""),141.16)</f>
        <v>141.16</v>
      </c>
      <c r="F2287" s="1">
        <f ca="1">IFERROR(__xludf.DUMMYFUNCTION("""COMPUTED_VALUE"""),40466549)</f>
        <v>40466549</v>
      </c>
    </row>
    <row r="2288" spans="1:6" x14ac:dyDescent="0.35">
      <c r="A2288" s="2">
        <f ca="1">IFERROR(__xludf.DUMMYFUNCTION("""COMPUTED_VALUE"""),45324.6666666666)</f>
        <v>45324.666666666599</v>
      </c>
      <c r="B2288" s="1">
        <f ca="1">IFERROR(__xludf.DUMMYFUNCTION("""COMPUTED_VALUE"""),139.26)</f>
        <v>139.26</v>
      </c>
      <c r="C2288" s="1">
        <f ca="1">IFERROR(__xludf.DUMMYFUNCTION("""COMPUTED_VALUE"""),142.62)</f>
        <v>142.62</v>
      </c>
      <c r="D2288" s="1">
        <f ca="1">IFERROR(__xludf.DUMMYFUNCTION("""COMPUTED_VALUE"""),136.5)</f>
        <v>136.5</v>
      </c>
      <c r="E2288" s="1">
        <f ca="1">IFERROR(__xludf.DUMMYFUNCTION("""COMPUTED_VALUE"""),142.38)</f>
        <v>142.38</v>
      </c>
      <c r="F2288" s="1">
        <f ca="1">IFERROR(__xludf.DUMMYFUNCTION("""COMPUTED_VALUE"""),62499574)</f>
        <v>62499574</v>
      </c>
    </row>
    <row r="2289" spans="1:6" x14ac:dyDescent="0.35">
      <c r="A2289" s="2">
        <f ca="1">IFERROR(__xludf.DUMMYFUNCTION("""COMPUTED_VALUE"""),45327.6666666666)</f>
        <v>45327.666666666599</v>
      </c>
      <c r="B2289" s="1">
        <f ca="1">IFERROR(__xludf.DUMMYFUNCTION("""COMPUTED_VALUE"""),142.82)</f>
        <v>142.82</v>
      </c>
      <c r="C2289" s="1">
        <f ca="1">IFERROR(__xludf.DUMMYFUNCTION("""COMPUTED_VALUE"""),145.47)</f>
        <v>145.47</v>
      </c>
      <c r="D2289" s="1">
        <f ca="1">IFERROR(__xludf.DUMMYFUNCTION("""COMPUTED_VALUE"""),142.78)</f>
        <v>142.78</v>
      </c>
      <c r="E2289" s="1">
        <f ca="1">IFERROR(__xludf.DUMMYFUNCTION("""COMPUTED_VALUE"""),143.68)</f>
        <v>143.68</v>
      </c>
      <c r="F2289" s="1">
        <f ca="1">IFERROR(__xludf.DUMMYFUNCTION("""COMPUTED_VALUE"""),38505405)</f>
        <v>38505405</v>
      </c>
    </row>
    <row r="2290" spans="1:6" x14ac:dyDescent="0.35">
      <c r="A2290" s="2">
        <f ca="1">IFERROR(__xludf.DUMMYFUNCTION("""COMPUTED_VALUE"""),45328.6666666666)</f>
        <v>45328.666666666599</v>
      </c>
      <c r="B2290" s="1">
        <f ca="1">IFERROR(__xludf.DUMMYFUNCTION("""COMPUTED_VALUE"""),144.65)</f>
        <v>144.65</v>
      </c>
      <c r="C2290" s="1">
        <f ca="1">IFERROR(__xludf.DUMMYFUNCTION("""COMPUTED_VALUE"""),145.36)</f>
        <v>145.36000000000001</v>
      </c>
      <c r="D2290" s="1">
        <f ca="1">IFERROR(__xludf.DUMMYFUNCTION("""COMPUTED_VALUE"""),143.19)</f>
        <v>143.19</v>
      </c>
      <c r="E2290" s="1">
        <f ca="1">IFERROR(__xludf.DUMMYFUNCTION("""COMPUTED_VALUE"""),144.1)</f>
        <v>144.1</v>
      </c>
      <c r="F2290" s="1">
        <f ca="1">IFERROR(__xludf.DUMMYFUNCTION("""COMPUTED_VALUE"""),29128201)</f>
        <v>29128201</v>
      </c>
    </row>
    <row r="2291" spans="1:6" x14ac:dyDescent="0.35">
      <c r="A2291" s="2">
        <f ca="1">IFERROR(__xludf.DUMMYFUNCTION("""COMPUTED_VALUE"""),45329.6666666666)</f>
        <v>45329.666666666599</v>
      </c>
      <c r="B2291" s="1">
        <f ca="1">IFERROR(__xludf.DUMMYFUNCTION("""COMPUTED_VALUE"""),144.76)</f>
        <v>144.76</v>
      </c>
      <c r="C2291" s="1">
        <f ca="1">IFERROR(__xludf.DUMMYFUNCTION("""COMPUTED_VALUE"""),145.62)</f>
        <v>145.62</v>
      </c>
      <c r="D2291" s="1">
        <f ca="1">IFERROR(__xludf.DUMMYFUNCTION("""COMPUTED_VALUE"""),143.93)</f>
        <v>143.93</v>
      </c>
      <c r="E2291" s="1">
        <f ca="1">IFERROR(__xludf.DUMMYFUNCTION("""COMPUTED_VALUE"""),145.54)</f>
        <v>145.54</v>
      </c>
      <c r="F2291" s="1">
        <f ca="1">IFERROR(__xludf.DUMMYFUNCTION("""COMPUTED_VALUE"""),25208862)</f>
        <v>25208862</v>
      </c>
    </row>
    <row r="2292" spans="1:6" x14ac:dyDescent="0.35">
      <c r="A2292" s="2">
        <f ca="1">IFERROR(__xludf.DUMMYFUNCTION("""COMPUTED_VALUE"""),45330.6666666666)</f>
        <v>45330.666666666599</v>
      </c>
      <c r="B2292" s="1">
        <f ca="1">IFERROR(__xludf.DUMMYFUNCTION("""COMPUTED_VALUE"""),145.83)</f>
        <v>145.83000000000001</v>
      </c>
      <c r="C2292" s="1">
        <f ca="1">IFERROR(__xludf.DUMMYFUNCTION("""COMPUTED_VALUE"""),146.33)</f>
        <v>146.33000000000001</v>
      </c>
      <c r="D2292" s="1">
        <f ca="1">IFERROR(__xludf.DUMMYFUNCTION("""COMPUTED_VALUE"""),145.1)</f>
        <v>145.1</v>
      </c>
      <c r="E2292" s="1">
        <f ca="1">IFERROR(__xludf.DUMMYFUNCTION("""COMPUTED_VALUE"""),145.91)</f>
        <v>145.91</v>
      </c>
      <c r="F2292" s="1">
        <f ca="1">IFERROR(__xludf.DUMMYFUNCTION("""COMPUTED_VALUE"""),22563764)</f>
        <v>22563764</v>
      </c>
    </row>
    <row r="2293" spans="1:6" x14ac:dyDescent="0.35">
      <c r="A2293" s="2">
        <f ca="1">IFERROR(__xludf.DUMMYFUNCTION("""COMPUTED_VALUE"""),45331.6666666666)</f>
        <v>45331.666666666599</v>
      </c>
      <c r="B2293" s="1">
        <f ca="1">IFERROR(__xludf.DUMMYFUNCTION("""COMPUTED_VALUE"""),146.68)</f>
        <v>146.68</v>
      </c>
      <c r="C2293" s="1">
        <f ca="1">IFERROR(__xludf.DUMMYFUNCTION("""COMPUTED_VALUE"""),149.44)</f>
        <v>149.44</v>
      </c>
      <c r="D2293" s="1">
        <f ca="1">IFERROR(__xludf.DUMMYFUNCTION("""COMPUTED_VALUE"""),146.18)</f>
        <v>146.18</v>
      </c>
      <c r="E2293" s="1">
        <f ca="1">IFERROR(__xludf.DUMMYFUNCTION("""COMPUTED_VALUE"""),149)</f>
        <v>149</v>
      </c>
      <c r="F2293" s="1">
        <f ca="1">IFERROR(__xludf.DUMMYFUNCTION("""COMPUTED_VALUE"""),26829504)</f>
        <v>26829504</v>
      </c>
    </row>
    <row r="2294" spans="1:6" x14ac:dyDescent="0.35">
      <c r="A2294" s="2">
        <f ca="1">IFERROR(__xludf.DUMMYFUNCTION("""COMPUTED_VALUE"""),45334.6666666666)</f>
        <v>45334.666666666599</v>
      </c>
      <c r="B2294" s="1">
        <f ca="1">IFERROR(__xludf.DUMMYFUNCTION("""COMPUTED_VALUE"""),148.42)</f>
        <v>148.41999999999999</v>
      </c>
      <c r="C2294" s="1">
        <f ca="1">IFERROR(__xludf.DUMMYFUNCTION("""COMPUTED_VALUE"""),149.34)</f>
        <v>149.34</v>
      </c>
      <c r="D2294" s="1">
        <f ca="1">IFERROR(__xludf.DUMMYFUNCTION("""COMPUTED_VALUE"""),147.37)</f>
        <v>147.37</v>
      </c>
      <c r="E2294" s="1">
        <f ca="1">IFERROR(__xludf.DUMMYFUNCTION("""COMPUTED_VALUE"""),147.53)</f>
        <v>147.53</v>
      </c>
      <c r="F2294" s="1">
        <f ca="1">IFERROR(__xludf.DUMMYFUNCTION("""COMPUTED_VALUE"""),21564085)</f>
        <v>21564085</v>
      </c>
    </row>
    <row r="2295" spans="1:6" x14ac:dyDescent="0.35">
      <c r="A2295" s="2">
        <f ca="1">IFERROR(__xludf.DUMMYFUNCTION("""COMPUTED_VALUE"""),45335.6666666666)</f>
        <v>45335.666666666599</v>
      </c>
      <c r="B2295" s="1">
        <f ca="1">IFERROR(__xludf.DUMMYFUNCTION("""COMPUTED_VALUE"""),144.92)</f>
        <v>144.91999999999999</v>
      </c>
      <c r="C2295" s="1">
        <f ca="1">IFERROR(__xludf.DUMMYFUNCTION("""COMPUTED_VALUE"""),146.67)</f>
        <v>146.66999999999999</v>
      </c>
      <c r="D2295" s="1">
        <f ca="1">IFERROR(__xludf.DUMMYFUNCTION("""COMPUTED_VALUE"""),143.69)</f>
        <v>143.69</v>
      </c>
      <c r="E2295" s="1">
        <f ca="1">IFERROR(__xludf.DUMMYFUNCTION("""COMPUTED_VALUE"""),145.14)</f>
        <v>145.13999999999999</v>
      </c>
      <c r="F2295" s="1">
        <f ca="1">IFERROR(__xludf.DUMMYFUNCTION("""COMPUTED_VALUE"""),27837730)</f>
        <v>27837730</v>
      </c>
    </row>
    <row r="2296" spans="1:6" x14ac:dyDescent="0.35">
      <c r="A2296" s="2">
        <f ca="1">IFERROR(__xludf.DUMMYFUNCTION("""COMPUTED_VALUE"""),45336.6666666666)</f>
        <v>45336.666666666599</v>
      </c>
      <c r="B2296" s="1">
        <f ca="1">IFERROR(__xludf.DUMMYFUNCTION("""COMPUTED_VALUE"""),146.08)</f>
        <v>146.08000000000001</v>
      </c>
      <c r="C2296" s="1">
        <f ca="1">IFERROR(__xludf.DUMMYFUNCTION("""COMPUTED_VALUE"""),146.52)</f>
        <v>146.52000000000001</v>
      </c>
      <c r="D2296" s="1">
        <f ca="1">IFERROR(__xludf.DUMMYFUNCTION("""COMPUTED_VALUE"""),144.09)</f>
        <v>144.09</v>
      </c>
      <c r="E2296" s="1">
        <f ca="1">IFERROR(__xludf.DUMMYFUNCTION("""COMPUTED_VALUE"""),145.94)</f>
        <v>145.94</v>
      </c>
      <c r="F2296" s="1">
        <f ca="1">IFERROR(__xludf.DUMMYFUNCTION("""COMPUTED_VALUE"""),22704166)</f>
        <v>22704166</v>
      </c>
    </row>
    <row r="2297" spans="1:6" x14ac:dyDescent="0.35">
      <c r="A2297" s="2">
        <f ca="1">IFERROR(__xludf.DUMMYFUNCTION("""COMPUTED_VALUE"""),45337.6666666666)</f>
        <v>45337.666666666599</v>
      </c>
      <c r="B2297" s="1">
        <f ca="1">IFERROR(__xludf.DUMMYFUNCTION("""COMPUTED_VALUE"""),143.14)</f>
        <v>143.13999999999999</v>
      </c>
      <c r="C2297" s="1">
        <f ca="1">IFERROR(__xludf.DUMMYFUNCTION("""COMPUTED_VALUE"""),143.52)</f>
        <v>143.52000000000001</v>
      </c>
      <c r="D2297" s="1">
        <f ca="1">IFERROR(__xludf.DUMMYFUNCTION("""COMPUTED_VALUE"""),140.46)</f>
        <v>140.46</v>
      </c>
      <c r="E2297" s="1">
        <f ca="1">IFERROR(__xludf.DUMMYFUNCTION("""COMPUTED_VALUE"""),142.77)</f>
        <v>142.77000000000001</v>
      </c>
      <c r="F2297" s="1">
        <f ca="1">IFERROR(__xludf.DUMMYFUNCTION("""COMPUTED_VALUE"""),37590695)</f>
        <v>37590695</v>
      </c>
    </row>
    <row r="2298" spans="1:6" x14ac:dyDescent="0.35">
      <c r="A2298" s="2">
        <f ca="1">IFERROR(__xludf.DUMMYFUNCTION("""COMPUTED_VALUE"""),45338.6666666666)</f>
        <v>45338.666666666599</v>
      </c>
      <c r="B2298" s="1">
        <f ca="1">IFERROR(__xludf.DUMMYFUNCTION("""COMPUTED_VALUE"""),142.99)</f>
        <v>142.99</v>
      </c>
      <c r="C2298" s="1">
        <f ca="1">IFERROR(__xludf.DUMMYFUNCTION("""COMPUTED_VALUE"""),143.19)</f>
        <v>143.19</v>
      </c>
      <c r="D2298" s="1">
        <f ca="1">IFERROR(__xludf.DUMMYFUNCTION("""COMPUTED_VALUE"""),140.14)</f>
        <v>140.13999999999999</v>
      </c>
      <c r="E2298" s="1">
        <f ca="1">IFERROR(__xludf.DUMMYFUNCTION("""COMPUTED_VALUE"""),140.52)</f>
        <v>140.52000000000001</v>
      </c>
      <c r="F2298" s="1">
        <f ca="1">IFERROR(__xludf.DUMMYFUNCTION("""COMPUTED_VALUE"""),31468926)</f>
        <v>31468926</v>
      </c>
    </row>
    <row r="2299" spans="1:6" x14ac:dyDescent="0.35">
      <c r="A2299" s="2">
        <f ca="1">IFERROR(__xludf.DUMMYFUNCTION("""COMPUTED_VALUE"""),45342.6666666666)</f>
        <v>45342.666666666599</v>
      </c>
      <c r="B2299" s="1">
        <f ca="1">IFERROR(__xludf.DUMMYFUNCTION("""COMPUTED_VALUE"""),139.66)</f>
        <v>139.66</v>
      </c>
      <c r="C2299" s="1">
        <f ca="1">IFERROR(__xludf.DUMMYFUNCTION("""COMPUTED_VALUE"""),142.08)</f>
        <v>142.08000000000001</v>
      </c>
      <c r="D2299" s="1">
        <f ca="1">IFERROR(__xludf.DUMMYFUNCTION("""COMPUTED_VALUE"""),139.49)</f>
        <v>139.49</v>
      </c>
      <c r="E2299" s="1">
        <f ca="1">IFERROR(__xludf.DUMMYFUNCTION("""COMPUTED_VALUE"""),141.12)</f>
        <v>141.12</v>
      </c>
      <c r="F2299" s="1">
        <f ca="1">IFERROR(__xludf.DUMMYFUNCTION("""COMPUTED_VALUE"""),24935710)</f>
        <v>24935710</v>
      </c>
    </row>
    <row r="2300" spans="1:6" x14ac:dyDescent="0.35">
      <c r="A2300" s="2">
        <f ca="1">IFERROR(__xludf.DUMMYFUNCTION("""COMPUTED_VALUE"""),45343.6666666666)</f>
        <v>45343.666666666599</v>
      </c>
      <c r="B2300" s="1">
        <f ca="1">IFERROR(__xludf.DUMMYFUNCTION("""COMPUTED_VALUE"""),141.45)</f>
        <v>141.44999999999999</v>
      </c>
      <c r="C2300" s="1">
        <f ca="1">IFERROR(__xludf.DUMMYFUNCTION("""COMPUTED_VALUE"""),142.69)</f>
        <v>142.69</v>
      </c>
      <c r="D2300" s="1">
        <f ca="1">IFERROR(__xludf.DUMMYFUNCTION("""COMPUTED_VALUE"""),140.68)</f>
        <v>140.68</v>
      </c>
      <c r="E2300" s="1">
        <f ca="1">IFERROR(__xludf.DUMMYFUNCTION("""COMPUTED_VALUE"""),142.55)</f>
        <v>142.55000000000001</v>
      </c>
      <c r="F2300" s="1">
        <f ca="1">IFERROR(__xludf.DUMMYFUNCTION("""COMPUTED_VALUE"""),23315687)</f>
        <v>23315687</v>
      </c>
    </row>
    <row r="2301" spans="1:6" x14ac:dyDescent="0.35">
      <c r="A2301" s="2">
        <f ca="1">IFERROR(__xludf.DUMMYFUNCTION("""COMPUTED_VALUE"""),45344.6666666666)</f>
        <v>45344.666666666599</v>
      </c>
      <c r="B2301" s="1">
        <f ca="1">IFERROR(__xludf.DUMMYFUNCTION("""COMPUTED_VALUE"""),144.93)</f>
        <v>144.93</v>
      </c>
      <c r="C2301" s="1">
        <f ca="1">IFERROR(__xludf.DUMMYFUNCTION("""COMPUTED_VALUE"""),145)</f>
        <v>145</v>
      </c>
      <c r="D2301" s="1">
        <f ca="1">IFERROR(__xludf.DUMMYFUNCTION("""COMPUTED_VALUE"""),142.8)</f>
        <v>142.80000000000001</v>
      </c>
      <c r="E2301" s="1">
        <f ca="1">IFERROR(__xludf.DUMMYFUNCTION("""COMPUTED_VALUE"""),144.09)</f>
        <v>144.09</v>
      </c>
      <c r="F2301" s="1">
        <f ca="1">IFERROR(__xludf.DUMMYFUNCTION("""COMPUTED_VALUE"""),27191892)</f>
        <v>27191892</v>
      </c>
    </row>
    <row r="2302" spans="1:6" x14ac:dyDescent="0.35">
      <c r="A2302" s="2">
        <f ca="1">IFERROR(__xludf.DUMMYFUNCTION("""COMPUTED_VALUE"""),45345.6666666666)</f>
        <v>45345.666666666599</v>
      </c>
      <c r="B2302" s="1">
        <f ca="1">IFERROR(__xludf.DUMMYFUNCTION("""COMPUTED_VALUE"""),143.67)</f>
        <v>143.66999999999999</v>
      </c>
      <c r="C2302" s="1">
        <f ca="1">IFERROR(__xludf.DUMMYFUNCTION("""COMPUTED_VALUE"""),144.68)</f>
        <v>144.68</v>
      </c>
      <c r="D2302" s="1">
        <f ca="1">IFERROR(__xludf.DUMMYFUNCTION("""COMPUTED_VALUE"""),143.43)</f>
        <v>143.43</v>
      </c>
      <c r="E2302" s="1">
        <f ca="1">IFERROR(__xludf.DUMMYFUNCTION("""COMPUTED_VALUE"""),143.96)</f>
        <v>143.96</v>
      </c>
      <c r="F2302" s="1">
        <f ca="1">IFERROR(__xludf.DUMMYFUNCTION("""COMPUTED_VALUE"""),19493752)</f>
        <v>19493752</v>
      </c>
    </row>
    <row r="2303" spans="1:6" x14ac:dyDescent="0.35">
      <c r="A2303" s="2">
        <f ca="1">IFERROR(__xludf.DUMMYFUNCTION("""COMPUTED_VALUE"""),45348.6666666666)</f>
        <v>45348.666666666599</v>
      </c>
      <c r="B2303" s="1">
        <f ca="1">IFERROR(__xludf.DUMMYFUNCTION("""COMPUTED_VALUE"""),142.14)</f>
        <v>142.13999999999999</v>
      </c>
      <c r="C2303" s="1">
        <f ca="1">IFERROR(__xludf.DUMMYFUNCTION("""COMPUTED_VALUE"""),142.44)</f>
        <v>142.44</v>
      </c>
      <c r="D2303" s="1">
        <f ca="1">IFERROR(__xludf.DUMMYFUNCTION("""COMPUTED_VALUE"""),137.39)</f>
        <v>137.38999999999999</v>
      </c>
      <c r="E2303" s="1">
        <f ca="1">IFERROR(__xludf.DUMMYFUNCTION("""COMPUTED_VALUE"""),137.57)</f>
        <v>137.57</v>
      </c>
      <c r="F2303" s="1">
        <f ca="1">IFERROR(__xludf.DUMMYFUNCTION("""COMPUTED_VALUE"""),53641795)</f>
        <v>53641795</v>
      </c>
    </row>
    <row r="2304" spans="1:6" x14ac:dyDescent="0.35">
      <c r="A2304" s="2">
        <f ca="1">IFERROR(__xludf.DUMMYFUNCTION("""COMPUTED_VALUE"""),45349.6666666666)</f>
        <v>45349.666666666599</v>
      </c>
      <c r="B2304" s="1">
        <f ca="1">IFERROR(__xludf.DUMMYFUNCTION("""COMPUTED_VALUE"""),138.02)</f>
        <v>138.02000000000001</v>
      </c>
      <c r="C2304" s="1">
        <f ca="1">IFERROR(__xludf.DUMMYFUNCTION("""COMPUTED_VALUE"""),139.25)</f>
        <v>139.25</v>
      </c>
      <c r="D2304" s="1">
        <f ca="1">IFERROR(__xludf.DUMMYFUNCTION("""COMPUTED_VALUE"""),137.09)</f>
        <v>137.09</v>
      </c>
      <c r="E2304" s="1">
        <f ca="1">IFERROR(__xludf.DUMMYFUNCTION("""COMPUTED_VALUE"""),138.88)</f>
        <v>138.88</v>
      </c>
      <c r="F2304" s="1">
        <f ca="1">IFERROR(__xludf.DUMMYFUNCTION("""COMPUTED_VALUE"""),33099190)</f>
        <v>33099190</v>
      </c>
    </row>
    <row r="2305" spans="1:6" x14ac:dyDescent="0.35">
      <c r="A2305" s="2">
        <f ca="1">IFERROR(__xludf.DUMMYFUNCTION("""COMPUTED_VALUE"""),45350.6666666666)</f>
        <v>45350.666666666599</v>
      </c>
      <c r="B2305" s="1">
        <f ca="1">IFERROR(__xludf.DUMMYFUNCTION("""COMPUTED_VALUE"""),137.9)</f>
        <v>137.9</v>
      </c>
      <c r="C2305" s="1">
        <f ca="1">IFERROR(__xludf.DUMMYFUNCTION("""COMPUTED_VALUE"""),138.01)</f>
        <v>138.01</v>
      </c>
      <c r="D2305" s="1">
        <f ca="1">IFERROR(__xludf.DUMMYFUNCTION("""COMPUTED_VALUE"""),135.41)</f>
        <v>135.41</v>
      </c>
      <c r="E2305" s="1">
        <f ca="1">IFERROR(__xludf.DUMMYFUNCTION("""COMPUTED_VALUE"""),136.38)</f>
        <v>136.38</v>
      </c>
      <c r="F2305" s="1">
        <f ca="1">IFERROR(__xludf.DUMMYFUNCTION("""COMPUTED_VALUE"""),37328558)</f>
        <v>37328558</v>
      </c>
    </row>
    <row r="2306" spans="1:6" x14ac:dyDescent="0.35">
      <c r="A2306" s="2">
        <f ca="1">IFERROR(__xludf.DUMMYFUNCTION("""COMPUTED_VALUE"""),45351.6666666666)</f>
        <v>45351.666666666599</v>
      </c>
      <c r="B2306" s="1">
        <f ca="1">IFERROR(__xludf.DUMMYFUNCTION("""COMPUTED_VALUE"""),137.28)</f>
        <v>137.28</v>
      </c>
      <c r="C2306" s="1">
        <f ca="1">IFERROR(__xludf.DUMMYFUNCTION("""COMPUTED_VALUE"""),138.86)</f>
        <v>138.86000000000001</v>
      </c>
      <c r="D2306" s="1">
        <f ca="1">IFERROR(__xludf.DUMMYFUNCTION("""COMPUTED_VALUE"""),136.4)</f>
        <v>136.4</v>
      </c>
      <c r="E2306" s="1">
        <f ca="1">IFERROR(__xludf.DUMMYFUNCTION("""COMPUTED_VALUE"""),138.46)</f>
        <v>138.46</v>
      </c>
      <c r="F2306" s="1">
        <f ca="1">IFERROR(__xludf.DUMMYFUNCTION("""COMPUTED_VALUE"""),42132953)</f>
        <v>42132953</v>
      </c>
    </row>
    <row r="2307" spans="1:6" x14ac:dyDescent="0.35">
      <c r="A2307" s="2">
        <f ca="1">IFERROR(__xludf.DUMMYFUNCTION("""COMPUTED_VALUE"""),45352.6666666666)</f>
        <v>45352.666666666599</v>
      </c>
      <c r="B2307" s="1">
        <f ca="1">IFERROR(__xludf.DUMMYFUNCTION("""COMPUTED_VALUE"""),138.43)</f>
        <v>138.43</v>
      </c>
      <c r="C2307" s="1">
        <f ca="1">IFERROR(__xludf.DUMMYFUNCTION("""COMPUTED_VALUE"""),138.87)</f>
        <v>138.87</v>
      </c>
      <c r="D2307" s="1">
        <f ca="1">IFERROR(__xludf.DUMMYFUNCTION("""COMPUTED_VALUE"""),136.92)</f>
        <v>136.91999999999999</v>
      </c>
      <c r="E2307" s="1">
        <f ca="1">IFERROR(__xludf.DUMMYFUNCTION("""COMPUTED_VALUE"""),137.14)</f>
        <v>137.13999999999999</v>
      </c>
      <c r="F2307" s="1">
        <f ca="1">IFERROR(__xludf.DUMMYFUNCTION("""COMPUTED_VALUE"""),31151116)</f>
        <v>31151116</v>
      </c>
    </row>
    <row r="2308" spans="1:6" x14ac:dyDescent="0.35">
      <c r="A2308" s="2">
        <f ca="1">IFERROR(__xludf.DUMMYFUNCTION("""COMPUTED_VALUE"""),45355.6666666666)</f>
        <v>45355.666666666599</v>
      </c>
      <c r="B2308" s="1">
        <f ca="1">IFERROR(__xludf.DUMMYFUNCTION("""COMPUTED_VALUE"""),135.66)</f>
        <v>135.66</v>
      </c>
      <c r="C2308" s="1">
        <f ca="1">IFERROR(__xludf.DUMMYFUNCTION("""COMPUTED_VALUE"""),135.66)</f>
        <v>135.66</v>
      </c>
      <c r="D2308" s="1">
        <f ca="1">IFERROR(__xludf.DUMMYFUNCTION("""COMPUTED_VALUE"""),131.91)</f>
        <v>131.91</v>
      </c>
      <c r="E2308" s="1">
        <f ca="1">IFERROR(__xludf.DUMMYFUNCTION("""COMPUTED_VALUE"""),133.35)</f>
        <v>133.35</v>
      </c>
      <c r="F2308" s="1">
        <f ca="1">IFERROR(__xludf.DUMMYFUNCTION("""COMPUTED_VALUE"""),55999415)</f>
        <v>55999415</v>
      </c>
    </row>
    <row r="2309" spans="1:6" x14ac:dyDescent="0.35">
      <c r="A2309" s="2">
        <f ca="1">IFERROR(__xludf.DUMMYFUNCTION("""COMPUTED_VALUE"""),45356.6666666666)</f>
        <v>45356.666666666599</v>
      </c>
      <c r="B2309" s="1">
        <f ca="1">IFERROR(__xludf.DUMMYFUNCTION("""COMPUTED_VALUE"""),131.88)</f>
        <v>131.88</v>
      </c>
      <c r="C2309" s="1">
        <f ca="1">IFERROR(__xludf.DUMMYFUNCTION("""COMPUTED_VALUE"""),133.24)</f>
        <v>133.24</v>
      </c>
      <c r="D2309" s="1">
        <f ca="1">IFERROR(__xludf.DUMMYFUNCTION("""COMPUTED_VALUE"""),130.67)</f>
        <v>130.66999999999999</v>
      </c>
      <c r="E2309" s="1">
        <f ca="1">IFERROR(__xludf.DUMMYFUNCTION("""COMPUTED_VALUE"""),132.67)</f>
        <v>132.66999999999999</v>
      </c>
      <c r="F2309" s="1">
        <f ca="1">IFERROR(__xludf.DUMMYFUNCTION("""COMPUTED_VALUE"""),40194757)</f>
        <v>40194757</v>
      </c>
    </row>
    <row r="2310" spans="1:6" x14ac:dyDescent="0.35">
      <c r="A2310" s="2">
        <f ca="1">IFERROR(__xludf.DUMMYFUNCTION("""COMPUTED_VALUE"""),45357.6666666666)</f>
        <v>45357.666666666599</v>
      </c>
      <c r="B2310" s="1">
        <f ca="1">IFERROR(__xludf.DUMMYFUNCTION("""COMPUTED_VALUE"""),133.12)</f>
        <v>133.12</v>
      </c>
      <c r="C2310" s="1">
        <f ca="1">IFERROR(__xludf.DUMMYFUNCTION("""COMPUTED_VALUE"""),133.58)</f>
        <v>133.58000000000001</v>
      </c>
      <c r="D2310" s="1">
        <f ca="1">IFERROR(__xludf.DUMMYFUNCTION("""COMPUTED_VALUE"""),130.85)</f>
        <v>130.85</v>
      </c>
      <c r="E2310" s="1">
        <f ca="1">IFERROR(__xludf.DUMMYFUNCTION("""COMPUTED_VALUE"""),131.4)</f>
        <v>131.4</v>
      </c>
      <c r="F2310" s="1">
        <f ca="1">IFERROR(__xludf.DUMMYFUNCTION("""COMPUTED_VALUE"""),35318610)</f>
        <v>35318610</v>
      </c>
    </row>
    <row r="2311" spans="1:6" x14ac:dyDescent="0.35">
      <c r="A2311" s="2">
        <f ca="1">IFERROR(__xludf.DUMMYFUNCTION("""COMPUTED_VALUE"""),45358.6666666666)</f>
        <v>45358.666666666599</v>
      </c>
      <c r="B2311" s="1">
        <f ca="1">IFERROR(__xludf.DUMMYFUNCTION("""COMPUTED_VALUE"""),132.79)</f>
        <v>132.79</v>
      </c>
      <c r="C2311" s="1">
        <f ca="1">IFERROR(__xludf.DUMMYFUNCTION("""COMPUTED_VALUE"""),134.94)</f>
        <v>134.94</v>
      </c>
      <c r="D2311" s="1">
        <f ca="1">IFERROR(__xludf.DUMMYFUNCTION("""COMPUTED_VALUE"""),131.61)</f>
        <v>131.61000000000001</v>
      </c>
      <c r="E2311" s="1">
        <f ca="1">IFERROR(__xludf.DUMMYFUNCTION("""COMPUTED_VALUE"""),134.38)</f>
        <v>134.38</v>
      </c>
      <c r="F2311" s="1">
        <f ca="1">IFERROR(__xludf.DUMMYFUNCTION("""COMPUTED_VALUE"""),37738209)</f>
        <v>37738209</v>
      </c>
    </row>
    <row r="2312" spans="1:6" x14ac:dyDescent="0.35">
      <c r="A2312" s="2">
        <f ca="1">IFERROR(__xludf.DUMMYFUNCTION("""COMPUTED_VALUE"""),45359.6666666666)</f>
        <v>45359.666666666599</v>
      </c>
      <c r="B2312" s="1">
        <f ca="1">IFERROR(__xludf.DUMMYFUNCTION("""COMPUTED_VALUE"""),134.21)</f>
        <v>134.21</v>
      </c>
      <c r="C2312" s="1">
        <f ca="1">IFERROR(__xludf.DUMMYFUNCTION("""COMPUTED_VALUE"""),138.09)</f>
        <v>138.09</v>
      </c>
      <c r="D2312" s="1">
        <f ca="1">IFERROR(__xludf.DUMMYFUNCTION("""COMPUTED_VALUE"""),134)</f>
        <v>134</v>
      </c>
      <c r="E2312" s="1">
        <f ca="1">IFERROR(__xludf.DUMMYFUNCTION("""COMPUTED_VALUE"""),135.41)</f>
        <v>135.41</v>
      </c>
      <c r="F2312" s="1">
        <f ca="1">IFERROR(__xludf.DUMMYFUNCTION("""COMPUTED_VALUE"""),39370392)</f>
        <v>39370392</v>
      </c>
    </row>
    <row r="2313" spans="1:6" x14ac:dyDescent="0.35">
      <c r="A2313" s="2">
        <f ca="1">IFERROR(__xludf.DUMMYFUNCTION("""COMPUTED_VALUE"""),45362.6666666666)</f>
        <v>45362.666666666599</v>
      </c>
      <c r="B2313" s="1">
        <f ca="1">IFERROR(__xludf.DUMMYFUNCTION("""COMPUTED_VALUE"""),136.13)</f>
        <v>136.13</v>
      </c>
      <c r="C2313" s="1">
        <f ca="1">IFERROR(__xludf.DUMMYFUNCTION("""COMPUTED_VALUE"""),139.1)</f>
        <v>139.1</v>
      </c>
      <c r="D2313" s="1">
        <f ca="1">IFERROR(__xludf.DUMMYFUNCTION("""COMPUTED_VALUE"""),136.13)</f>
        <v>136.13</v>
      </c>
      <c r="E2313" s="1">
        <f ca="1">IFERROR(__xludf.DUMMYFUNCTION("""COMPUTED_VALUE"""),137.67)</f>
        <v>137.66999999999999</v>
      </c>
      <c r="F2313" s="1">
        <f ca="1">IFERROR(__xludf.DUMMYFUNCTION("""COMPUTED_VALUE"""),32437772)</f>
        <v>32437772</v>
      </c>
    </row>
    <row r="2314" spans="1:6" x14ac:dyDescent="0.35">
      <c r="A2314" s="2">
        <f ca="1">IFERROR(__xludf.DUMMYFUNCTION("""COMPUTED_VALUE"""),45363.6666666666)</f>
        <v>45363.666666666599</v>
      </c>
      <c r="B2314" s="1">
        <f ca="1">IFERROR(__xludf.DUMMYFUNCTION("""COMPUTED_VALUE"""),137.03)</f>
        <v>137.03</v>
      </c>
      <c r="C2314" s="1">
        <f ca="1">IFERROR(__xludf.DUMMYFUNCTION("""COMPUTED_VALUE"""),139.38)</f>
        <v>139.38</v>
      </c>
      <c r="D2314" s="1">
        <f ca="1">IFERROR(__xludf.DUMMYFUNCTION("""COMPUTED_VALUE"""),137.03)</f>
        <v>137.03</v>
      </c>
      <c r="E2314" s="1">
        <f ca="1">IFERROR(__xludf.DUMMYFUNCTION("""COMPUTED_VALUE"""),138.5)</f>
        <v>138.5</v>
      </c>
      <c r="F2314" s="1">
        <f ca="1">IFERROR(__xludf.DUMMYFUNCTION("""COMPUTED_VALUE"""),27563354)</f>
        <v>27563354</v>
      </c>
    </row>
    <row r="2315" spans="1:6" x14ac:dyDescent="0.35">
      <c r="A2315" s="2">
        <f ca="1">IFERROR(__xludf.DUMMYFUNCTION("""COMPUTED_VALUE"""),45364.6666666666)</f>
        <v>45364.666666666599</v>
      </c>
      <c r="B2315" s="1">
        <f ca="1">IFERROR(__xludf.DUMMYFUNCTION("""COMPUTED_VALUE"""),139)</f>
        <v>139</v>
      </c>
      <c r="C2315" s="1">
        <f ca="1">IFERROR(__xludf.DUMMYFUNCTION("""COMPUTED_VALUE"""),141.09)</f>
        <v>141.09</v>
      </c>
      <c r="D2315" s="1">
        <f ca="1">IFERROR(__xludf.DUMMYFUNCTION("""COMPUTED_VALUE"""),138.99)</f>
        <v>138.99</v>
      </c>
      <c r="E2315" s="1">
        <f ca="1">IFERROR(__xludf.DUMMYFUNCTION("""COMPUTED_VALUE"""),139.79)</f>
        <v>139.79</v>
      </c>
      <c r="F2315" s="1">
        <f ca="1">IFERROR(__xludf.DUMMYFUNCTION("""COMPUTED_VALUE"""),23347208)</f>
        <v>23347208</v>
      </c>
    </row>
    <row r="2316" spans="1:6" x14ac:dyDescent="0.35">
      <c r="A2316" s="2">
        <f ca="1">IFERROR(__xludf.DUMMYFUNCTION("""COMPUTED_VALUE"""),45365.6666666666)</f>
        <v>45365.666666666599</v>
      </c>
      <c r="B2316" s="1">
        <f ca="1">IFERROR(__xludf.DUMMYFUNCTION("""COMPUTED_VALUE"""),141.19)</f>
        <v>141.19</v>
      </c>
      <c r="C2316" s="1">
        <f ca="1">IFERROR(__xludf.DUMMYFUNCTION("""COMPUTED_VALUE"""),143.59)</f>
        <v>143.59</v>
      </c>
      <c r="D2316" s="1">
        <f ca="1">IFERROR(__xludf.DUMMYFUNCTION("""COMPUTED_VALUE"""),140.46)</f>
        <v>140.46</v>
      </c>
      <c r="E2316" s="1">
        <f ca="1">IFERROR(__xludf.DUMMYFUNCTION("""COMPUTED_VALUE"""),143.1)</f>
        <v>143.1</v>
      </c>
      <c r="F2316" s="1">
        <f ca="1">IFERROR(__xludf.DUMMYFUNCTION("""COMPUTED_VALUE"""),42753387)</f>
        <v>42753387</v>
      </c>
    </row>
    <row r="2317" spans="1:6" x14ac:dyDescent="0.35">
      <c r="A2317" s="2">
        <f ca="1">IFERROR(__xludf.DUMMYFUNCTION("""COMPUTED_VALUE"""),45366.6666666666)</f>
        <v>45366.666666666599</v>
      </c>
      <c r="B2317" s="1">
        <f ca="1">IFERROR(__xludf.DUMMYFUNCTION("""COMPUTED_VALUE"""),142.5)</f>
        <v>142.5</v>
      </c>
      <c r="C2317" s="1">
        <f ca="1">IFERROR(__xludf.DUMMYFUNCTION("""COMPUTED_VALUE"""),143.18)</f>
        <v>143.18</v>
      </c>
      <c r="D2317" s="1">
        <f ca="1">IFERROR(__xludf.DUMMYFUNCTION("""COMPUTED_VALUE"""),140.03)</f>
        <v>140.03</v>
      </c>
      <c r="E2317" s="1">
        <f ca="1">IFERROR(__xludf.DUMMYFUNCTION("""COMPUTED_VALUE"""),141.18)</f>
        <v>141.18</v>
      </c>
      <c r="F2317" s="1">
        <f ca="1">IFERROR(__xludf.DUMMYFUNCTION("""COMPUTED_VALUE"""),49475417)</f>
        <v>49475417</v>
      </c>
    </row>
    <row r="2318" spans="1:6" x14ac:dyDescent="0.35">
      <c r="A2318" s="2">
        <f ca="1">IFERROR(__xludf.DUMMYFUNCTION("""COMPUTED_VALUE"""),45369.6666666666)</f>
        <v>45369.666666666599</v>
      </c>
      <c r="B2318" s="1">
        <f ca="1">IFERROR(__xludf.DUMMYFUNCTION("""COMPUTED_VALUE"""),148.61)</f>
        <v>148.61000000000001</v>
      </c>
      <c r="C2318" s="1">
        <f ca="1">IFERROR(__xludf.DUMMYFUNCTION("""COMPUTED_VALUE"""),152.15)</f>
        <v>152.15</v>
      </c>
      <c r="D2318" s="1">
        <f ca="1">IFERROR(__xludf.DUMMYFUNCTION("""COMPUTED_VALUE"""),147.17)</f>
        <v>147.16999999999999</v>
      </c>
      <c r="E2318" s="1">
        <f ca="1">IFERROR(__xludf.DUMMYFUNCTION("""COMPUTED_VALUE"""),147.68)</f>
        <v>147.68</v>
      </c>
      <c r="F2318" s="1">
        <f ca="1">IFERROR(__xludf.DUMMYFUNCTION("""COMPUTED_VALUE"""),69273699)</f>
        <v>69273699</v>
      </c>
    </row>
    <row r="2319" spans="1:6" x14ac:dyDescent="0.35">
      <c r="A2319" s="2">
        <f ca="1">IFERROR(__xludf.DUMMYFUNCTION("""COMPUTED_VALUE"""),45370.6666666666)</f>
        <v>45370.666666666599</v>
      </c>
      <c r="B2319" s="1">
        <f ca="1">IFERROR(__xludf.DUMMYFUNCTION("""COMPUTED_VALUE"""),148.16)</f>
        <v>148.16</v>
      </c>
      <c r="C2319" s="1">
        <f ca="1">IFERROR(__xludf.DUMMYFUNCTION("""COMPUTED_VALUE"""),148.79)</f>
        <v>148.79</v>
      </c>
      <c r="D2319" s="1">
        <f ca="1">IFERROR(__xludf.DUMMYFUNCTION("""COMPUTED_VALUE"""),146.08)</f>
        <v>146.08000000000001</v>
      </c>
      <c r="E2319" s="1">
        <f ca="1">IFERROR(__xludf.DUMMYFUNCTION("""COMPUTED_VALUE"""),147.03)</f>
        <v>147.03</v>
      </c>
      <c r="F2319" s="1">
        <f ca="1">IFERROR(__xludf.DUMMYFUNCTION("""COMPUTED_VALUE"""),24070435)</f>
        <v>24070435</v>
      </c>
    </row>
    <row r="2320" spans="1:6" x14ac:dyDescent="0.35">
      <c r="A2320" s="2">
        <f ca="1">IFERROR(__xludf.DUMMYFUNCTION("""COMPUTED_VALUE"""),45371.6666666666)</f>
        <v>45371.666666666599</v>
      </c>
      <c r="B2320" s="1">
        <f ca="1">IFERROR(__xludf.DUMMYFUNCTION("""COMPUTED_VALUE"""),148)</f>
        <v>148</v>
      </c>
      <c r="C2320" s="1">
        <f ca="1">IFERROR(__xludf.DUMMYFUNCTION("""COMPUTED_VALUE"""),148.86)</f>
        <v>148.86000000000001</v>
      </c>
      <c r="D2320" s="1">
        <f ca="1">IFERROR(__xludf.DUMMYFUNCTION("""COMPUTED_VALUE"""),146.74)</f>
        <v>146.74</v>
      </c>
      <c r="E2320" s="1">
        <f ca="1">IFERROR(__xludf.DUMMYFUNCTION("""COMPUTED_VALUE"""),148.74)</f>
        <v>148.74</v>
      </c>
      <c r="F2320" s="1">
        <f ca="1">IFERROR(__xludf.DUMMYFUNCTION("""COMPUTED_VALUE"""),21311501)</f>
        <v>21311501</v>
      </c>
    </row>
    <row r="2321" spans="1:6" x14ac:dyDescent="0.35">
      <c r="A2321" s="2">
        <f ca="1">IFERROR(__xludf.DUMMYFUNCTION("""COMPUTED_VALUE"""),45372.6666666666)</f>
        <v>45372.666666666599</v>
      </c>
      <c r="B2321" s="1">
        <f ca="1">IFERROR(__xludf.DUMMYFUNCTION("""COMPUTED_VALUE"""),149.47)</f>
        <v>149.47</v>
      </c>
      <c r="C2321" s="1">
        <f ca="1">IFERROR(__xludf.DUMMYFUNCTION("""COMPUTED_VALUE"""),150.37)</f>
        <v>150.37</v>
      </c>
      <c r="D2321" s="1">
        <f ca="1">IFERROR(__xludf.DUMMYFUNCTION("""COMPUTED_VALUE"""),146.9)</f>
        <v>146.9</v>
      </c>
      <c r="E2321" s="1">
        <f ca="1">IFERROR(__xludf.DUMMYFUNCTION("""COMPUTED_VALUE"""),147.6)</f>
        <v>147.6</v>
      </c>
      <c r="F2321" s="1">
        <f ca="1">IFERROR(__xludf.DUMMYFUNCTION("""COMPUTED_VALUE"""),24755597)</f>
        <v>24755597</v>
      </c>
    </row>
    <row r="2322" spans="1:6" x14ac:dyDescent="0.35">
      <c r="A2322" s="2">
        <f ca="1">IFERROR(__xludf.DUMMYFUNCTION("""COMPUTED_VALUE"""),45373.6666666666)</f>
        <v>45373.666666666599</v>
      </c>
      <c r="B2322" s="1">
        <f ca="1">IFERROR(__xludf.DUMMYFUNCTION("""COMPUTED_VALUE"""),149.12)</f>
        <v>149.12</v>
      </c>
      <c r="C2322" s="1">
        <f ca="1">IFERROR(__xludf.DUMMYFUNCTION("""COMPUTED_VALUE"""),151.58)</f>
        <v>151.58000000000001</v>
      </c>
      <c r="D2322" s="1">
        <f ca="1">IFERROR(__xludf.DUMMYFUNCTION("""COMPUTED_VALUE"""),148.98)</f>
        <v>148.97999999999999</v>
      </c>
      <c r="E2322" s="1">
        <f ca="1">IFERROR(__xludf.DUMMYFUNCTION("""COMPUTED_VALUE"""),150.77)</f>
        <v>150.77000000000001</v>
      </c>
      <c r="F2322" s="1">
        <f ca="1">IFERROR(__xludf.DUMMYFUNCTION("""COMPUTED_VALUE"""),29211769)</f>
        <v>29211769</v>
      </c>
    </row>
    <row r="2323" spans="1:6" x14ac:dyDescent="0.35">
      <c r="A2323" s="2">
        <f ca="1">IFERROR(__xludf.DUMMYFUNCTION("""COMPUTED_VALUE"""),45376.6666666666)</f>
        <v>45376.666666666599</v>
      </c>
      <c r="B2323" s="1">
        <f ca="1">IFERROR(__xludf.DUMMYFUNCTION("""COMPUTED_VALUE"""),149.94)</f>
        <v>149.94</v>
      </c>
      <c r="C2323" s="1">
        <f ca="1">IFERROR(__xludf.DUMMYFUNCTION("""COMPUTED_VALUE"""),150.38)</f>
        <v>150.38</v>
      </c>
      <c r="D2323" s="1">
        <f ca="1">IFERROR(__xludf.DUMMYFUNCTION("""COMPUTED_VALUE"""),147.82)</f>
        <v>147.82</v>
      </c>
      <c r="E2323" s="1">
        <f ca="1">IFERROR(__xludf.DUMMYFUNCTION("""COMPUTED_VALUE"""),150.07)</f>
        <v>150.07</v>
      </c>
      <c r="F2323" s="1">
        <f ca="1">IFERROR(__xludf.DUMMYFUNCTION("""COMPUTED_VALUE"""),19229285)</f>
        <v>19229285</v>
      </c>
    </row>
    <row r="2324" spans="1:6" x14ac:dyDescent="0.35">
      <c r="A2324" s="2">
        <f ca="1">IFERROR(__xludf.DUMMYFUNCTION("""COMPUTED_VALUE"""),45377.6666666666)</f>
        <v>45377.666666666599</v>
      </c>
      <c r="B2324" s="1">
        <f ca="1">IFERROR(__xludf.DUMMYFUNCTION("""COMPUTED_VALUE"""),150.22)</f>
        <v>150.22</v>
      </c>
      <c r="C2324" s="1">
        <f ca="1">IFERROR(__xludf.DUMMYFUNCTION("""COMPUTED_VALUE"""),152.26)</f>
        <v>152.26</v>
      </c>
      <c r="D2324" s="1">
        <f ca="1">IFERROR(__xludf.DUMMYFUNCTION("""COMPUTED_VALUE"""),149.98)</f>
        <v>149.97999999999999</v>
      </c>
      <c r="E2324" s="1">
        <f ca="1">IFERROR(__xludf.DUMMYFUNCTION("""COMPUTED_VALUE"""),150.67)</f>
        <v>150.66999999999999</v>
      </c>
      <c r="F2324" s="1">
        <f ca="1">IFERROR(__xludf.DUMMYFUNCTION("""COMPUTED_VALUE"""),22149137)</f>
        <v>22149137</v>
      </c>
    </row>
    <row r="2325" spans="1:6" x14ac:dyDescent="0.35">
      <c r="A2325" s="2">
        <f ca="1">IFERROR(__xludf.DUMMYFUNCTION("""COMPUTED_VALUE"""),45378.6666666666)</f>
        <v>45378.666666666599</v>
      </c>
      <c r="B2325" s="1">
        <f ca="1">IFERROR(__xludf.DUMMYFUNCTION("""COMPUTED_VALUE"""),151.18)</f>
        <v>151.18</v>
      </c>
      <c r="C2325" s="1">
        <f ca="1">IFERROR(__xludf.DUMMYFUNCTION("""COMPUTED_VALUE"""),151.64)</f>
        <v>151.63999999999999</v>
      </c>
      <c r="D2325" s="1">
        <f ca="1">IFERROR(__xludf.DUMMYFUNCTION("""COMPUTED_VALUE"""),148.9)</f>
        <v>148.9</v>
      </c>
      <c r="E2325" s="1">
        <f ca="1">IFERROR(__xludf.DUMMYFUNCTION("""COMPUTED_VALUE"""),150.87)</f>
        <v>150.87</v>
      </c>
      <c r="F2325" s="1">
        <f ca="1">IFERROR(__xludf.DUMMYFUNCTION("""COMPUTED_VALUE"""),22879178)</f>
        <v>22879178</v>
      </c>
    </row>
    <row r="2326" spans="1:6" x14ac:dyDescent="0.35">
      <c r="A2326" s="2">
        <f ca="1">IFERROR(__xludf.DUMMYFUNCTION("""COMPUTED_VALUE"""),45379.6666666666)</f>
        <v>45379.666666666599</v>
      </c>
      <c r="B2326" s="1">
        <f ca="1">IFERROR(__xludf.DUMMYFUNCTION("""COMPUTED_VALUE"""),150.85)</f>
        <v>150.85</v>
      </c>
      <c r="C2326" s="1">
        <f ca="1">IFERROR(__xludf.DUMMYFUNCTION("""COMPUTED_VALUE"""),151.43)</f>
        <v>151.43</v>
      </c>
      <c r="D2326" s="1">
        <f ca="1">IFERROR(__xludf.DUMMYFUNCTION("""COMPUTED_VALUE"""),150.17)</f>
        <v>150.16999999999999</v>
      </c>
      <c r="E2326" s="1">
        <f ca="1">IFERROR(__xludf.DUMMYFUNCTION("""COMPUTED_VALUE"""),150.93)</f>
        <v>150.93</v>
      </c>
      <c r="F2326" s="1">
        <f ca="1">IFERROR(__xludf.DUMMYFUNCTION("""COMPUTED_VALUE"""),24485390)</f>
        <v>24485390</v>
      </c>
    </row>
    <row r="2327" spans="1:6" x14ac:dyDescent="0.35">
      <c r="A2327" s="2">
        <f ca="1">IFERROR(__xludf.DUMMYFUNCTION("""COMPUTED_VALUE"""),45383.6666666666)</f>
        <v>45383.666666666599</v>
      </c>
      <c r="B2327" s="1">
        <f ca="1">IFERROR(__xludf.DUMMYFUNCTION("""COMPUTED_VALUE"""),150.69)</f>
        <v>150.69</v>
      </c>
      <c r="C2327" s="1">
        <f ca="1">IFERROR(__xludf.DUMMYFUNCTION("""COMPUTED_VALUE"""),155.74)</f>
        <v>155.74</v>
      </c>
      <c r="D2327" s="1">
        <f ca="1">IFERROR(__xludf.DUMMYFUNCTION("""COMPUTED_VALUE"""),150.61)</f>
        <v>150.61000000000001</v>
      </c>
      <c r="E2327" s="1">
        <f ca="1">IFERROR(__xludf.DUMMYFUNCTION("""COMPUTED_VALUE"""),155.49)</f>
        <v>155.49</v>
      </c>
      <c r="F2327" s="1">
        <f ca="1">IFERROR(__xludf.DUMMYFUNCTION("""COMPUTED_VALUE"""),31730848)</f>
        <v>31730848</v>
      </c>
    </row>
    <row r="2328" spans="1:6" x14ac:dyDescent="0.35">
      <c r="A2328" s="2">
        <f ca="1">IFERROR(__xludf.DUMMYFUNCTION("""COMPUTED_VALUE"""),45384.6666666666)</f>
        <v>45384.666666666599</v>
      </c>
      <c r="B2328" s="1">
        <f ca="1">IFERROR(__xludf.DUMMYFUNCTION("""COMPUTED_VALUE"""),153.5)</f>
        <v>153.5</v>
      </c>
      <c r="C2328" s="1">
        <f ca="1">IFERROR(__xludf.DUMMYFUNCTION("""COMPUTED_VALUE"""),154.7)</f>
        <v>154.69999999999999</v>
      </c>
      <c r="D2328" s="1">
        <f ca="1">IFERROR(__xludf.DUMMYFUNCTION("""COMPUTED_VALUE"""),152.15)</f>
        <v>152.15</v>
      </c>
      <c r="E2328" s="1">
        <f ca="1">IFERROR(__xludf.DUMMYFUNCTION("""COMPUTED_VALUE"""),154.56)</f>
        <v>154.56</v>
      </c>
      <c r="F2328" s="1">
        <f ca="1">IFERROR(__xludf.DUMMYFUNCTION("""COMPUTED_VALUE"""),24585985)</f>
        <v>24585985</v>
      </c>
    </row>
    <row r="2329" spans="1:6" x14ac:dyDescent="0.35">
      <c r="A2329" s="2">
        <f ca="1">IFERROR(__xludf.DUMMYFUNCTION("""COMPUTED_VALUE"""),45385.6666666666)</f>
        <v>45385.666666666599</v>
      </c>
      <c r="B2329" s="1">
        <f ca="1">IFERROR(__xludf.DUMMYFUNCTION("""COMPUTED_VALUE"""),153.6)</f>
        <v>153.6</v>
      </c>
      <c r="C2329" s="1">
        <f ca="1">IFERROR(__xludf.DUMMYFUNCTION("""COMPUTED_VALUE"""),155.08)</f>
        <v>155.08000000000001</v>
      </c>
      <c r="D2329" s="1">
        <f ca="1">IFERROR(__xludf.DUMMYFUNCTION("""COMPUTED_VALUE"""),152.73)</f>
        <v>152.72999999999999</v>
      </c>
      <c r="E2329" s="1">
        <f ca="1">IFERROR(__xludf.DUMMYFUNCTION("""COMPUTED_VALUE"""),154.92)</f>
        <v>154.91999999999999</v>
      </c>
      <c r="F2329" s="1">
        <f ca="1">IFERROR(__xludf.DUMMYFUNCTION("""COMPUTED_VALUE"""),24704991)</f>
        <v>24704991</v>
      </c>
    </row>
    <row r="2330" spans="1:6" x14ac:dyDescent="0.35">
      <c r="A2330" s="2">
        <f ca="1">IFERROR(__xludf.DUMMYFUNCTION("""COMPUTED_VALUE"""),45386.6666666666)</f>
        <v>45386.666666666599</v>
      </c>
      <c r="B2330" s="1">
        <f ca="1">IFERROR(__xludf.DUMMYFUNCTION("""COMPUTED_VALUE"""),153.5)</f>
        <v>153.5</v>
      </c>
      <c r="C2330" s="1">
        <f ca="1">IFERROR(__xludf.DUMMYFUNCTION("""COMPUTED_VALUE"""),154.77)</f>
        <v>154.77000000000001</v>
      </c>
      <c r="D2330" s="1">
        <f ca="1">IFERROR(__xludf.DUMMYFUNCTION("""COMPUTED_VALUE"""),150.45)</f>
        <v>150.44999999999999</v>
      </c>
      <c r="E2330" s="1">
        <f ca="1">IFERROR(__xludf.DUMMYFUNCTION("""COMPUTED_VALUE"""),150.53)</f>
        <v>150.53</v>
      </c>
      <c r="F2330" s="1">
        <f ca="1">IFERROR(__xludf.DUMMYFUNCTION("""COMPUTED_VALUE"""),34724738)</f>
        <v>34724738</v>
      </c>
    </row>
    <row r="2331" spans="1:6" x14ac:dyDescent="0.35">
      <c r="A2331" s="2">
        <f ca="1">IFERROR(__xludf.DUMMYFUNCTION("""COMPUTED_VALUE"""),45387.6666666666)</f>
        <v>45387.666666666599</v>
      </c>
      <c r="B2331" s="1">
        <f ca="1">IFERROR(__xludf.DUMMYFUNCTION("""COMPUTED_VALUE"""),150.03)</f>
        <v>150.03</v>
      </c>
      <c r="C2331" s="1">
        <f ca="1">IFERROR(__xludf.DUMMYFUNCTION("""COMPUTED_VALUE"""),153.42)</f>
        <v>153.41999999999999</v>
      </c>
      <c r="D2331" s="1">
        <f ca="1">IFERROR(__xludf.DUMMYFUNCTION("""COMPUTED_VALUE"""),149.6)</f>
        <v>149.6</v>
      </c>
      <c r="E2331" s="1">
        <f ca="1">IFERROR(__xludf.DUMMYFUNCTION("""COMPUTED_VALUE"""),152.5)</f>
        <v>152.5</v>
      </c>
      <c r="F2331" s="1">
        <f ca="1">IFERROR(__xludf.DUMMYFUNCTION("""COMPUTED_VALUE"""),23459246)</f>
        <v>23459246</v>
      </c>
    </row>
    <row r="2332" spans="1:6" x14ac:dyDescent="0.35">
      <c r="A2332" s="2">
        <f ca="1">IFERROR(__xludf.DUMMYFUNCTION("""COMPUTED_VALUE"""),45390.6666666666)</f>
        <v>45390.666666666599</v>
      </c>
      <c r="B2332" s="1">
        <f ca="1">IFERROR(__xludf.DUMMYFUNCTION("""COMPUTED_VALUE"""),152.78)</f>
        <v>152.78</v>
      </c>
      <c r="C2332" s="1">
        <f ca="1">IFERROR(__xludf.DUMMYFUNCTION("""COMPUTED_VALUE"""),155.27)</f>
        <v>155.27000000000001</v>
      </c>
      <c r="D2332" s="1">
        <f ca="1">IFERROR(__xludf.DUMMYFUNCTION("""COMPUTED_VALUE"""),152.61)</f>
        <v>152.61000000000001</v>
      </c>
      <c r="E2332" s="1">
        <f ca="1">IFERROR(__xludf.DUMMYFUNCTION("""COMPUTED_VALUE"""),154.85)</f>
        <v>154.85</v>
      </c>
      <c r="F2332" s="1">
        <f ca="1">IFERROR(__xludf.DUMMYFUNCTION("""COMPUTED_VALUE"""),20701974)</f>
        <v>20701974</v>
      </c>
    </row>
    <row r="2333" spans="1:6" x14ac:dyDescent="0.35">
      <c r="A2333" s="2">
        <f ca="1">IFERROR(__xludf.DUMMYFUNCTION("""COMPUTED_VALUE"""),45391.6666666666)</f>
        <v>45391.666666666599</v>
      </c>
      <c r="B2333" s="1">
        <f ca="1">IFERROR(__xludf.DUMMYFUNCTION("""COMPUTED_VALUE"""),156.09)</f>
        <v>156.09</v>
      </c>
      <c r="C2333" s="1">
        <f ca="1">IFERROR(__xludf.DUMMYFUNCTION("""COMPUTED_VALUE"""),158.56)</f>
        <v>158.56</v>
      </c>
      <c r="D2333" s="1">
        <f ca="1">IFERROR(__xludf.DUMMYFUNCTION("""COMPUTED_VALUE"""),155.19)</f>
        <v>155.19</v>
      </c>
      <c r="E2333" s="1">
        <f ca="1">IFERROR(__xludf.DUMMYFUNCTION("""COMPUTED_VALUE"""),156.6)</f>
        <v>156.6</v>
      </c>
      <c r="F2333" s="1">
        <f ca="1">IFERROR(__xludf.DUMMYFUNCTION("""COMPUTED_VALUE"""),31113013)</f>
        <v>31113013</v>
      </c>
    </row>
    <row r="2334" spans="1:6" x14ac:dyDescent="0.35">
      <c r="A2334" s="2">
        <f ca="1">IFERROR(__xludf.DUMMYFUNCTION("""COMPUTED_VALUE"""),45392.6666666666)</f>
        <v>45392.666666666599</v>
      </c>
      <c r="B2334" s="1">
        <f ca="1">IFERROR(__xludf.DUMMYFUNCTION("""COMPUTED_VALUE"""),156.21)</f>
        <v>156.21</v>
      </c>
      <c r="C2334" s="1">
        <f ca="1">IFERROR(__xludf.DUMMYFUNCTION("""COMPUTED_VALUE"""),156.61)</f>
        <v>156.61000000000001</v>
      </c>
      <c r="D2334" s="1">
        <f ca="1">IFERROR(__xludf.DUMMYFUNCTION("""COMPUTED_VALUE"""),154.68)</f>
        <v>154.68</v>
      </c>
      <c r="E2334" s="1">
        <f ca="1">IFERROR(__xludf.DUMMYFUNCTION("""COMPUTED_VALUE"""),156.14)</f>
        <v>156.13999999999999</v>
      </c>
      <c r="F2334" s="1">
        <f ca="1">IFERROR(__xludf.DUMMYFUNCTION("""COMPUTED_VALUE"""),22838629)</f>
        <v>22838629</v>
      </c>
    </row>
    <row r="2335" spans="1:6" x14ac:dyDescent="0.35">
      <c r="A2335" s="2">
        <f ca="1">IFERROR(__xludf.DUMMYFUNCTION("""COMPUTED_VALUE"""),45393.6666666666)</f>
        <v>45393.666666666599</v>
      </c>
      <c r="B2335" s="1">
        <f ca="1">IFERROR(__xludf.DUMMYFUNCTION("""COMPUTED_VALUE"""),156.91)</f>
        <v>156.91</v>
      </c>
      <c r="C2335" s="1">
        <f ca="1">IFERROR(__xludf.DUMMYFUNCTION("""COMPUTED_VALUE"""),159.68)</f>
        <v>159.68</v>
      </c>
      <c r="D2335" s="1">
        <f ca="1">IFERROR(__xludf.DUMMYFUNCTION("""COMPUTED_VALUE"""),156.46)</f>
        <v>156.46</v>
      </c>
      <c r="E2335" s="1">
        <f ca="1">IFERROR(__xludf.DUMMYFUNCTION("""COMPUTED_VALUE"""),159.41)</f>
        <v>159.41</v>
      </c>
      <c r="F2335" s="1">
        <f ca="1">IFERROR(__xludf.DUMMYFUNCTION("""COMPUTED_VALUE"""),27166431)</f>
        <v>27166431</v>
      </c>
    </row>
    <row r="2336" spans="1:6" x14ac:dyDescent="0.35">
      <c r="A2336" s="2">
        <f ca="1">IFERROR(__xludf.DUMMYFUNCTION("""COMPUTED_VALUE"""),45394.6666666666)</f>
        <v>45394.666666666599</v>
      </c>
      <c r="B2336" s="1">
        <f ca="1">IFERROR(__xludf.DUMMYFUNCTION("""COMPUTED_VALUE"""),157.96)</f>
        <v>157.96</v>
      </c>
      <c r="C2336" s="1">
        <f ca="1">IFERROR(__xludf.DUMMYFUNCTION("""COMPUTED_VALUE"""),160.22)</f>
        <v>160.22</v>
      </c>
      <c r="D2336" s="1">
        <f ca="1">IFERROR(__xludf.DUMMYFUNCTION("""COMPUTED_VALUE"""),157.14)</f>
        <v>157.13999999999999</v>
      </c>
      <c r="E2336" s="1">
        <f ca="1">IFERROR(__xludf.DUMMYFUNCTION("""COMPUTED_VALUE"""),157.73)</f>
        <v>157.72999999999999</v>
      </c>
      <c r="F2336" s="1">
        <f ca="1">IFERROR(__xludf.DUMMYFUNCTION("""COMPUTED_VALUE"""),25353746)</f>
        <v>25353746</v>
      </c>
    </row>
    <row r="2337" spans="1:6" x14ac:dyDescent="0.35">
      <c r="A2337" s="2">
        <f ca="1">IFERROR(__xludf.DUMMYFUNCTION("""COMPUTED_VALUE"""),45397.6666666666)</f>
        <v>45397.666666666599</v>
      </c>
      <c r="B2337" s="1">
        <f ca="1">IFERROR(__xludf.DUMMYFUNCTION("""COMPUTED_VALUE"""),158.86)</f>
        <v>158.86000000000001</v>
      </c>
      <c r="C2337" s="1">
        <f ca="1">IFERROR(__xludf.DUMMYFUNCTION("""COMPUTED_VALUE"""),159.24)</f>
        <v>159.24</v>
      </c>
      <c r="D2337" s="1">
        <f ca="1">IFERROR(__xludf.DUMMYFUNCTION("""COMPUTED_VALUE"""),154.59)</f>
        <v>154.59</v>
      </c>
      <c r="E2337" s="1">
        <f ca="1">IFERROR(__xludf.DUMMYFUNCTION("""COMPUTED_VALUE"""),154.86)</f>
        <v>154.86000000000001</v>
      </c>
      <c r="F2337" s="1">
        <f ca="1">IFERROR(__xludf.DUMMYFUNCTION("""COMPUTED_VALUE"""),27136472)</f>
        <v>27136472</v>
      </c>
    </row>
    <row r="2338" spans="1:6" x14ac:dyDescent="0.35">
      <c r="A2338" s="2">
        <f ca="1">IFERROR(__xludf.DUMMYFUNCTION("""COMPUTED_VALUE"""),45398.6666666666)</f>
        <v>45398.666666666599</v>
      </c>
      <c r="B2338" s="1">
        <f ca="1">IFERROR(__xludf.DUMMYFUNCTION("""COMPUTED_VALUE"""),154.19)</f>
        <v>154.19</v>
      </c>
      <c r="C2338" s="1">
        <f ca="1">IFERROR(__xludf.DUMMYFUNCTION("""COMPUTED_VALUE"""),155.65)</f>
        <v>155.65</v>
      </c>
      <c r="D2338" s="1">
        <f ca="1">IFERROR(__xludf.DUMMYFUNCTION("""COMPUTED_VALUE"""),153.43)</f>
        <v>153.43</v>
      </c>
      <c r="E2338" s="1">
        <f ca="1">IFERROR(__xludf.DUMMYFUNCTION("""COMPUTED_VALUE"""),154.4)</f>
        <v>154.4</v>
      </c>
      <c r="F2338" s="1">
        <f ca="1">IFERROR(__xludf.DUMMYFUNCTION("""COMPUTED_VALUE"""),20779495)</f>
        <v>20779495</v>
      </c>
    </row>
    <row r="2339" spans="1:6" x14ac:dyDescent="0.35">
      <c r="A2339" s="2">
        <f ca="1">IFERROR(__xludf.DUMMYFUNCTION("""COMPUTED_VALUE"""),45399.6666666666)</f>
        <v>45399.666666666599</v>
      </c>
      <c r="B2339" s="1">
        <f ca="1">IFERROR(__xludf.DUMMYFUNCTION("""COMPUTED_VALUE"""),155.62)</f>
        <v>155.62</v>
      </c>
      <c r="C2339" s="1">
        <f ca="1">IFERROR(__xludf.DUMMYFUNCTION("""COMPUTED_VALUE"""),157.08)</f>
        <v>157.08000000000001</v>
      </c>
      <c r="D2339" s="1">
        <f ca="1">IFERROR(__xludf.DUMMYFUNCTION("""COMPUTED_VALUE"""),154.58)</f>
        <v>154.58000000000001</v>
      </c>
      <c r="E2339" s="1">
        <f ca="1">IFERROR(__xludf.DUMMYFUNCTION("""COMPUTED_VALUE"""),155.47)</f>
        <v>155.47</v>
      </c>
      <c r="F2339" s="1">
        <f ca="1">IFERROR(__xludf.DUMMYFUNCTION("""COMPUTED_VALUE"""),21763130)</f>
        <v>21763130</v>
      </c>
    </row>
    <row r="2340" spans="1:6" x14ac:dyDescent="0.35">
      <c r="A2340" s="2">
        <f ca="1">IFERROR(__xludf.DUMMYFUNCTION("""COMPUTED_VALUE"""),45400.6666666666)</f>
        <v>45400.666666666599</v>
      </c>
      <c r="B2340" s="1">
        <f ca="1">IFERROR(__xludf.DUMMYFUNCTION("""COMPUTED_VALUE"""),155.34)</f>
        <v>155.34</v>
      </c>
      <c r="C2340" s="1">
        <f ca="1">IFERROR(__xludf.DUMMYFUNCTION("""COMPUTED_VALUE"""),156.94)</f>
        <v>156.94</v>
      </c>
      <c r="D2340" s="1">
        <f ca="1">IFERROR(__xludf.DUMMYFUNCTION("""COMPUTED_VALUE"""),154.62)</f>
        <v>154.62</v>
      </c>
      <c r="E2340" s="1">
        <f ca="1">IFERROR(__xludf.DUMMYFUNCTION("""COMPUTED_VALUE"""),156.01)</f>
        <v>156.01</v>
      </c>
      <c r="F2340" s="1">
        <f ca="1">IFERROR(__xludf.DUMMYFUNCTION("""COMPUTED_VALUE"""),19883044)</f>
        <v>19883044</v>
      </c>
    </row>
    <row r="2341" spans="1:6" x14ac:dyDescent="0.35">
      <c r="A2341" s="2">
        <f ca="1">IFERROR(__xludf.DUMMYFUNCTION("""COMPUTED_VALUE"""),45401.6666666666)</f>
        <v>45401.666666666599</v>
      </c>
      <c r="B2341" s="1">
        <f ca="1">IFERROR(__xludf.DUMMYFUNCTION("""COMPUTED_VALUE"""),156.2)</f>
        <v>156.19999999999999</v>
      </c>
      <c r="C2341" s="1">
        <f ca="1">IFERROR(__xludf.DUMMYFUNCTION("""COMPUTED_VALUE"""),156.36)</f>
        <v>156.36000000000001</v>
      </c>
      <c r="D2341" s="1">
        <f ca="1">IFERROR(__xludf.DUMMYFUNCTION("""COMPUTED_VALUE"""),152.3)</f>
        <v>152.30000000000001</v>
      </c>
      <c r="E2341" s="1">
        <f ca="1">IFERROR(__xludf.DUMMYFUNCTION("""COMPUTED_VALUE"""),154.09)</f>
        <v>154.09</v>
      </c>
      <c r="F2341" s="1">
        <f ca="1">IFERROR(__xludf.DUMMYFUNCTION("""COMPUTED_VALUE"""),32615639)</f>
        <v>32615639</v>
      </c>
    </row>
    <row r="2342" spans="1:6" x14ac:dyDescent="0.35">
      <c r="A2342" s="2">
        <f ca="1">IFERROR(__xludf.DUMMYFUNCTION("""COMPUTED_VALUE"""),45404.6666666666)</f>
        <v>45404.666666666599</v>
      </c>
      <c r="B2342" s="1">
        <f ca="1">IFERROR(__xludf.DUMMYFUNCTION("""COMPUTED_VALUE"""),154.31)</f>
        <v>154.31</v>
      </c>
      <c r="C2342" s="1">
        <f ca="1">IFERROR(__xludf.DUMMYFUNCTION("""COMPUTED_VALUE"""),157.64)</f>
        <v>157.63999999999999</v>
      </c>
      <c r="D2342" s="1">
        <f ca="1">IFERROR(__xludf.DUMMYFUNCTION("""COMPUTED_VALUE"""),154.06)</f>
        <v>154.06</v>
      </c>
      <c r="E2342" s="1">
        <f ca="1">IFERROR(__xludf.DUMMYFUNCTION("""COMPUTED_VALUE"""),156.28)</f>
        <v>156.28</v>
      </c>
      <c r="F2342" s="1">
        <f ca="1">IFERROR(__xludf.DUMMYFUNCTION("""COMPUTED_VALUE"""),26446206)</f>
        <v>26446206</v>
      </c>
    </row>
    <row r="2343" spans="1:6" x14ac:dyDescent="0.35">
      <c r="A2343" s="2">
        <f ca="1">IFERROR(__xludf.DUMMYFUNCTION("""COMPUTED_VALUE"""),45405.6666666666)</f>
        <v>45405.666666666599</v>
      </c>
      <c r="B2343" s="1">
        <f ca="1">IFERROR(__xludf.DUMMYFUNCTION("""COMPUTED_VALUE"""),156.96)</f>
        <v>156.96</v>
      </c>
      <c r="C2343" s="1">
        <f ca="1">IFERROR(__xludf.DUMMYFUNCTION("""COMPUTED_VALUE"""),158.97)</f>
        <v>158.97</v>
      </c>
      <c r="D2343" s="1">
        <f ca="1">IFERROR(__xludf.DUMMYFUNCTION("""COMPUTED_VALUE"""),156.28)</f>
        <v>156.28</v>
      </c>
      <c r="E2343" s="1">
        <f ca="1">IFERROR(__xludf.DUMMYFUNCTION("""COMPUTED_VALUE"""),158.26)</f>
        <v>158.26</v>
      </c>
      <c r="F2343" s="1">
        <f ca="1">IFERROR(__xludf.DUMMYFUNCTION("""COMPUTED_VALUE"""),21151568)</f>
        <v>21151568</v>
      </c>
    </row>
    <row r="2344" spans="1:6" x14ac:dyDescent="0.35">
      <c r="A2344" s="2">
        <f ca="1">IFERROR(__xludf.DUMMYFUNCTION("""COMPUTED_VALUE"""),45406.6666666666)</f>
        <v>45406.666666666599</v>
      </c>
      <c r="B2344" s="1">
        <f ca="1">IFERROR(__xludf.DUMMYFUNCTION("""COMPUTED_VALUE"""),157.49)</f>
        <v>157.49</v>
      </c>
      <c r="C2344" s="1">
        <f ca="1">IFERROR(__xludf.DUMMYFUNCTION("""COMPUTED_VALUE"""),159.57)</f>
        <v>159.57</v>
      </c>
      <c r="D2344" s="1">
        <f ca="1">IFERROR(__xludf.DUMMYFUNCTION("""COMPUTED_VALUE"""),157.17)</f>
        <v>157.16999999999999</v>
      </c>
      <c r="E2344" s="1">
        <f ca="1">IFERROR(__xludf.DUMMYFUNCTION("""COMPUTED_VALUE"""),159.13)</f>
        <v>159.13</v>
      </c>
      <c r="F2344" s="1">
        <f ca="1">IFERROR(__xludf.DUMMYFUNCTION("""COMPUTED_VALUE"""),22779112)</f>
        <v>22779112</v>
      </c>
    </row>
    <row r="2345" spans="1:6" x14ac:dyDescent="0.35">
      <c r="A2345" s="2">
        <f ca="1">IFERROR(__xludf.DUMMYFUNCTION("""COMPUTED_VALUE"""),45407.6666666666)</f>
        <v>45407.666666666599</v>
      </c>
      <c r="B2345" s="1">
        <f ca="1">IFERROR(__xludf.DUMMYFUNCTION("""COMPUTED_VALUE"""),151.33)</f>
        <v>151.33000000000001</v>
      </c>
      <c r="C2345" s="1">
        <f ca="1">IFERROR(__xludf.DUMMYFUNCTION("""COMPUTED_VALUE"""),156.49)</f>
        <v>156.49</v>
      </c>
      <c r="D2345" s="1">
        <f ca="1">IFERROR(__xludf.DUMMYFUNCTION("""COMPUTED_VALUE"""),150.87)</f>
        <v>150.87</v>
      </c>
      <c r="E2345" s="1">
        <f ca="1">IFERROR(__xludf.DUMMYFUNCTION("""COMPUTED_VALUE"""),156)</f>
        <v>156</v>
      </c>
      <c r="F2345" s="1">
        <f ca="1">IFERROR(__xludf.DUMMYFUNCTION("""COMPUTED_VALUE"""),57109730)</f>
        <v>57109730</v>
      </c>
    </row>
    <row r="2346" spans="1:6" x14ac:dyDescent="0.35">
      <c r="A2346" s="2">
        <f ca="1">IFERROR(__xludf.DUMMYFUNCTION("""COMPUTED_VALUE"""),45408.6666666666)</f>
        <v>45408.666666666599</v>
      </c>
      <c r="B2346" s="1">
        <f ca="1">IFERROR(__xludf.DUMMYFUNCTION("""COMPUTED_VALUE"""),174.37)</f>
        <v>174.37</v>
      </c>
      <c r="C2346" s="1">
        <f ca="1">IFERROR(__xludf.DUMMYFUNCTION("""COMPUTED_VALUE"""),174.71)</f>
        <v>174.71</v>
      </c>
      <c r="D2346" s="1">
        <f ca="1">IFERROR(__xludf.DUMMYFUNCTION("""COMPUTED_VALUE"""),169.65)</f>
        <v>169.65</v>
      </c>
      <c r="E2346" s="1">
        <f ca="1">IFERROR(__xludf.DUMMYFUNCTION("""COMPUTED_VALUE"""),171.95)</f>
        <v>171.95</v>
      </c>
      <c r="F2346" s="1">
        <f ca="1">IFERROR(__xludf.DUMMYFUNCTION("""COMPUTED_VALUE"""),64665299)</f>
        <v>64665299</v>
      </c>
    </row>
    <row r="2347" spans="1:6" x14ac:dyDescent="0.35">
      <c r="A2347" s="2">
        <f ca="1">IFERROR(__xludf.DUMMYFUNCTION("""COMPUTED_VALUE"""),45411.6666666666)</f>
        <v>45411.666666666599</v>
      </c>
      <c r="B2347" s="1">
        <f ca="1">IFERROR(__xludf.DUMMYFUNCTION("""COMPUTED_VALUE"""),169.06)</f>
        <v>169.06</v>
      </c>
      <c r="C2347" s="1">
        <f ca="1">IFERROR(__xludf.DUMMYFUNCTION("""COMPUTED_VALUE"""),169.55)</f>
        <v>169.55</v>
      </c>
      <c r="D2347" s="1">
        <f ca="1">IFERROR(__xludf.DUMMYFUNCTION("""COMPUTED_VALUE"""),165.21)</f>
        <v>165.21</v>
      </c>
      <c r="E2347" s="1">
        <f ca="1">IFERROR(__xludf.DUMMYFUNCTION("""COMPUTED_VALUE"""),166.15)</f>
        <v>166.15</v>
      </c>
      <c r="F2347" s="1">
        <f ca="1">IFERROR(__xludf.DUMMYFUNCTION("""COMPUTED_VALUE"""),45610024)</f>
        <v>45610024</v>
      </c>
    </row>
    <row r="2348" spans="1:6" x14ac:dyDescent="0.35">
      <c r="A2348" s="2">
        <f ca="1">IFERROR(__xludf.DUMMYFUNCTION("""COMPUTED_VALUE"""),45412.6666666666)</f>
        <v>45412.666666666599</v>
      </c>
      <c r="B2348" s="1">
        <f ca="1">IFERROR(__xludf.DUMMYFUNCTION("""COMPUTED_VALUE"""),165.61)</f>
        <v>165.61</v>
      </c>
      <c r="C2348" s="1">
        <f ca="1">IFERROR(__xludf.DUMMYFUNCTION("""COMPUTED_VALUE"""),168.1)</f>
        <v>168.1</v>
      </c>
      <c r="D2348" s="1">
        <f ca="1">IFERROR(__xludf.DUMMYFUNCTION("""COMPUTED_VALUE"""),162.6)</f>
        <v>162.6</v>
      </c>
      <c r="E2348" s="1">
        <f ca="1">IFERROR(__xludf.DUMMYFUNCTION("""COMPUTED_VALUE"""),162.78)</f>
        <v>162.78</v>
      </c>
      <c r="F2348" s="1">
        <f ca="1">IFERROR(__xludf.DUMMYFUNCTION("""COMPUTED_VALUE"""),33562861)</f>
        <v>33562861</v>
      </c>
    </row>
    <row r="2349" spans="1:6" x14ac:dyDescent="0.35">
      <c r="A2349" s="2">
        <f ca="1">IFERROR(__xludf.DUMMYFUNCTION("""COMPUTED_VALUE"""),45413.6666666666)</f>
        <v>45413.666666666599</v>
      </c>
      <c r="B2349" s="1">
        <f ca="1">IFERROR(__xludf.DUMMYFUNCTION("""COMPUTED_VALUE"""),164.3)</f>
        <v>164.3</v>
      </c>
      <c r="C2349" s="1">
        <f ca="1">IFERROR(__xludf.DUMMYFUNCTION("""COMPUTED_VALUE"""),167.12)</f>
        <v>167.12</v>
      </c>
      <c r="D2349" s="1">
        <f ca="1">IFERROR(__xludf.DUMMYFUNCTION("""COMPUTED_VALUE"""),163.09)</f>
        <v>163.09</v>
      </c>
      <c r="E2349" s="1">
        <f ca="1">IFERROR(__xludf.DUMMYFUNCTION("""COMPUTED_VALUE"""),163.86)</f>
        <v>163.86</v>
      </c>
      <c r="F2349" s="1">
        <f ca="1">IFERROR(__xludf.DUMMYFUNCTION("""COMPUTED_VALUE"""),33493151)</f>
        <v>33493151</v>
      </c>
    </row>
    <row r="2350" spans="1:6" x14ac:dyDescent="0.35">
      <c r="A2350" s="2">
        <f ca="1">IFERROR(__xludf.DUMMYFUNCTION("""COMPUTED_VALUE"""),45414.6666666666)</f>
        <v>45414.666666666599</v>
      </c>
      <c r="B2350" s="1">
        <f ca="1">IFERROR(__xludf.DUMMYFUNCTION("""COMPUTED_VALUE"""),164.79)</f>
        <v>164.79</v>
      </c>
      <c r="C2350" s="1">
        <f ca="1">IFERROR(__xludf.DUMMYFUNCTION("""COMPUTED_VALUE"""),166.73)</f>
        <v>166.73</v>
      </c>
      <c r="D2350" s="1">
        <f ca="1">IFERROR(__xludf.DUMMYFUNCTION("""COMPUTED_VALUE"""),163.89)</f>
        <v>163.89</v>
      </c>
      <c r="E2350" s="1">
        <f ca="1">IFERROR(__xludf.DUMMYFUNCTION("""COMPUTED_VALUE"""),166.62)</f>
        <v>166.62</v>
      </c>
      <c r="F2350" s="1">
        <f ca="1">IFERROR(__xludf.DUMMYFUNCTION("""COMPUTED_VALUE"""),24294549)</f>
        <v>24294549</v>
      </c>
    </row>
    <row r="2351" spans="1:6" x14ac:dyDescent="0.35">
      <c r="A2351" s="2">
        <f ca="1">IFERROR(__xludf.DUMMYFUNCTION("""COMPUTED_VALUE"""),45415.6666666666)</f>
        <v>45415.666666666599</v>
      </c>
      <c r="B2351" s="1">
        <f ca="1">IFERROR(__xludf.DUMMYFUNCTION("""COMPUTED_VALUE"""),167.56)</f>
        <v>167.56</v>
      </c>
      <c r="C2351" s="1">
        <f ca="1">IFERROR(__xludf.DUMMYFUNCTION("""COMPUTED_VALUE"""),167.96)</f>
        <v>167.96</v>
      </c>
      <c r="D2351" s="1">
        <f ca="1">IFERROR(__xludf.DUMMYFUNCTION("""COMPUTED_VALUE"""),163.05)</f>
        <v>163.05000000000001</v>
      </c>
      <c r="E2351" s="1">
        <f ca="1">IFERROR(__xludf.DUMMYFUNCTION("""COMPUTED_VALUE"""),167.24)</f>
        <v>167.24</v>
      </c>
      <c r="F2351" s="1">
        <f ca="1">IFERROR(__xludf.DUMMYFUNCTION("""COMPUTED_VALUE"""),34662432)</f>
        <v>34662432</v>
      </c>
    </row>
    <row r="2352" spans="1:6" x14ac:dyDescent="0.35">
      <c r="A2352" s="2">
        <f ca="1">IFERROR(__xludf.DUMMYFUNCTION("""COMPUTED_VALUE"""),45418.6666666666)</f>
        <v>45418.666666666599</v>
      </c>
      <c r="B2352" s="1">
        <f ca="1">IFERROR(__xludf.DUMMYFUNCTION("""COMPUTED_VALUE"""),167.46)</f>
        <v>167.46</v>
      </c>
      <c r="C2352" s="1">
        <f ca="1">IFERROR(__xludf.DUMMYFUNCTION("""COMPUTED_VALUE"""),168.14)</f>
        <v>168.14</v>
      </c>
      <c r="D2352" s="1">
        <f ca="1">IFERROR(__xludf.DUMMYFUNCTION("""COMPUTED_VALUE"""),166.03)</f>
        <v>166.03</v>
      </c>
      <c r="E2352" s="1">
        <f ca="1">IFERROR(__xludf.DUMMYFUNCTION("""COMPUTED_VALUE"""),168.1)</f>
        <v>168.1</v>
      </c>
      <c r="F2352" s="1">
        <f ca="1">IFERROR(__xludf.DUMMYFUNCTION("""COMPUTED_VALUE"""),21871283)</f>
        <v>21871283</v>
      </c>
    </row>
    <row r="2353" spans="1:6" x14ac:dyDescent="0.35">
      <c r="A2353" s="2">
        <f ca="1">IFERROR(__xludf.DUMMYFUNCTION("""COMPUTED_VALUE"""),45419.6666666666)</f>
        <v>45419.666666666599</v>
      </c>
      <c r="B2353" s="1">
        <f ca="1">IFERROR(__xludf.DUMMYFUNCTION("""COMPUTED_VALUE"""),168.5)</f>
        <v>168.5</v>
      </c>
      <c r="C2353" s="1">
        <f ca="1">IFERROR(__xludf.DUMMYFUNCTION("""COMPUTED_VALUE"""),171.76)</f>
        <v>171.76</v>
      </c>
      <c r="D2353" s="1">
        <f ca="1">IFERROR(__xludf.DUMMYFUNCTION("""COMPUTED_VALUE"""),168.39)</f>
        <v>168.39</v>
      </c>
      <c r="E2353" s="1">
        <f ca="1">IFERROR(__xludf.DUMMYFUNCTION("""COMPUTED_VALUE"""),171.25)</f>
        <v>171.25</v>
      </c>
      <c r="F2353" s="1">
        <f ca="1">IFERROR(__xludf.DUMMYFUNCTION("""COMPUTED_VALUE"""),28039696)</f>
        <v>28039696</v>
      </c>
    </row>
    <row r="2354" spans="1:6" x14ac:dyDescent="0.35">
      <c r="A2354" s="2">
        <f ca="1">IFERROR(__xludf.DUMMYFUNCTION("""COMPUTED_VALUE"""),45420.6666666666)</f>
        <v>45420.666666666599</v>
      </c>
      <c r="B2354" s="1">
        <f ca="1">IFERROR(__xludf.DUMMYFUNCTION("""COMPUTED_VALUE"""),169)</f>
        <v>169</v>
      </c>
      <c r="C2354" s="1">
        <f ca="1">IFERROR(__xludf.DUMMYFUNCTION("""COMPUTED_VALUE"""),170.15)</f>
        <v>170.15</v>
      </c>
      <c r="D2354" s="1">
        <f ca="1">IFERROR(__xludf.DUMMYFUNCTION("""COMPUTED_VALUE"""),168.74)</f>
        <v>168.74</v>
      </c>
      <c r="E2354" s="1">
        <f ca="1">IFERROR(__xludf.DUMMYFUNCTION("""COMPUTED_VALUE"""),169.38)</f>
        <v>169.38</v>
      </c>
      <c r="F2354" s="1">
        <f ca="1">IFERROR(__xludf.DUMMYFUNCTION("""COMPUTED_VALUE"""),19569146)</f>
        <v>19569146</v>
      </c>
    </row>
    <row r="2355" spans="1:6" x14ac:dyDescent="0.35">
      <c r="A2355" s="2">
        <f ca="1">IFERROR(__xludf.DUMMYFUNCTION("""COMPUTED_VALUE"""),45421.6666666666)</f>
        <v>45421.666666666599</v>
      </c>
      <c r="B2355" s="1">
        <f ca="1">IFERROR(__xludf.DUMMYFUNCTION("""COMPUTED_VALUE"""),169.39)</f>
        <v>169.39</v>
      </c>
      <c r="C2355" s="1">
        <f ca="1">IFERROR(__xludf.DUMMYFUNCTION("""COMPUTED_VALUE"""),170.69)</f>
        <v>170.69</v>
      </c>
      <c r="D2355" s="1">
        <f ca="1">IFERROR(__xludf.DUMMYFUNCTION("""COMPUTED_VALUE"""),168.18)</f>
        <v>168.18</v>
      </c>
      <c r="E2355" s="1">
        <f ca="1">IFERROR(__xludf.DUMMYFUNCTION("""COMPUTED_VALUE"""),169.96)</f>
        <v>169.96</v>
      </c>
      <c r="F2355" s="1">
        <f ca="1">IFERROR(__xludf.DUMMYFUNCTION("""COMPUTED_VALUE"""),15346700)</f>
        <v>15346700</v>
      </c>
    </row>
    <row r="2356" spans="1:6" x14ac:dyDescent="0.35">
      <c r="A2356" s="2">
        <f ca="1">IFERROR(__xludf.DUMMYFUNCTION("""COMPUTED_VALUE"""),45422.6666666666)</f>
        <v>45422.666666666599</v>
      </c>
      <c r="B2356" s="1">
        <f ca="1">IFERROR(__xludf.DUMMYFUNCTION("""COMPUTED_VALUE"""),168.03)</f>
        <v>168.03</v>
      </c>
      <c r="C2356" s="1">
        <f ca="1">IFERROR(__xludf.DUMMYFUNCTION("""COMPUTED_VALUE"""),169.85)</f>
        <v>169.85</v>
      </c>
      <c r="D2356" s="1">
        <f ca="1">IFERROR(__xludf.DUMMYFUNCTION("""COMPUTED_VALUE"""),166.19)</f>
        <v>166.19</v>
      </c>
      <c r="E2356" s="1">
        <f ca="1">IFERROR(__xludf.DUMMYFUNCTION("""COMPUTED_VALUE"""),168.65)</f>
        <v>168.65</v>
      </c>
      <c r="F2356" s="1">
        <f ca="1">IFERROR(__xludf.DUMMYFUNCTION("""COMPUTED_VALUE"""),29799931)</f>
        <v>29799931</v>
      </c>
    </row>
    <row r="2357" spans="1:6" x14ac:dyDescent="0.35">
      <c r="A2357" s="2">
        <f ca="1">IFERROR(__xludf.DUMMYFUNCTION("""COMPUTED_VALUE"""),45425.6666666666)</f>
        <v>45425.666666666599</v>
      </c>
      <c r="B2357" s="1">
        <f ca="1">IFERROR(__xludf.DUMMYFUNCTION("""COMPUTED_VALUE"""),164.26)</f>
        <v>164.26</v>
      </c>
      <c r="C2357" s="1">
        <f ca="1">IFERROR(__xludf.DUMMYFUNCTION("""COMPUTED_VALUE"""),169.28)</f>
        <v>169.28</v>
      </c>
      <c r="D2357" s="1">
        <f ca="1">IFERROR(__xludf.DUMMYFUNCTION("""COMPUTED_VALUE"""),164)</f>
        <v>164</v>
      </c>
      <c r="E2357" s="1">
        <f ca="1">IFERROR(__xludf.DUMMYFUNCTION("""COMPUTED_VALUE"""),169.14)</f>
        <v>169.14</v>
      </c>
      <c r="F2357" s="1">
        <f ca="1">IFERROR(__xludf.DUMMYFUNCTION("""COMPUTED_VALUE"""),31327602)</f>
        <v>31327602</v>
      </c>
    </row>
    <row r="2358" spans="1:6" x14ac:dyDescent="0.35">
      <c r="A2358" s="2">
        <f ca="1">IFERROR(__xludf.DUMMYFUNCTION("""COMPUTED_VALUE"""),45426.6666666666)</f>
        <v>45426.666666666599</v>
      </c>
      <c r="B2358" s="1">
        <f ca="1">IFERROR(__xludf.DUMMYFUNCTION("""COMPUTED_VALUE"""),169.77)</f>
        <v>169.77</v>
      </c>
      <c r="C2358" s="1">
        <f ca="1">IFERROR(__xludf.DUMMYFUNCTION("""COMPUTED_VALUE"""),171.25)</f>
        <v>171.25</v>
      </c>
      <c r="D2358" s="1">
        <f ca="1">IFERROR(__xludf.DUMMYFUNCTION("""COMPUTED_VALUE"""),168.8)</f>
        <v>168.8</v>
      </c>
      <c r="E2358" s="1">
        <f ca="1">IFERROR(__xludf.DUMMYFUNCTION("""COMPUTED_VALUE"""),170.34)</f>
        <v>170.34</v>
      </c>
      <c r="F2358" s="1">
        <f ca="1">IFERROR(__xludf.DUMMYFUNCTION("""COMPUTED_VALUE"""),25127138)</f>
        <v>25127138</v>
      </c>
    </row>
    <row r="2359" spans="1:6" x14ac:dyDescent="0.35">
      <c r="A2359" s="2">
        <f ca="1">IFERROR(__xludf.DUMMYFUNCTION("""COMPUTED_VALUE"""),45427.6666666666)</f>
        <v>45427.666666666599</v>
      </c>
      <c r="B2359" s="1">
        <f ca="1">IFERROR(__xludf.DUMMYFUNCTION("""COMPUTED_VALUE"""),170.63)</f>
        <v>170.63</v>
      </c>
      <c r="C2359" s="1">
        <f ca="1">IFERROR(__xludf.DUMMYFUNCTION("""COMPUTED_VALUE"""),172.65)</f>
        <v>172.65</v>
      </c>
      <c r="D2359" s="1">
        <f ca="1">IFERROR(__xludf.DUMMYFUNCTION("""COMPUTED_VALUE"""),170.51)</f>
        <v>170.51</v>
      </c>
      <c r="E2359" s="1">
        <f ca="1">IFERROR(__xludf.DUMMYFUNCTION("""COMPUTED_VALUE"""),172.51)</f>
        <v>172.51</v>
      </c>
      <c r="F2359" s="1">
        <f ca="1">IFERROR(__xludf.DUMMYFUNCTION("""COMPUTED_VALUE"""),26948370)</f>
        <v>26948370</v>
      </c>
    </row>
    <row r="2360" spans="1:6" x14ac:dyDescent="0.35">
      <c r="A2360" s="2">
        <f ca="1">IFERROR(__xludf.DUMMYFUNCTION("""COMPUTED_VALUE"""),45428.6666666666)</f>
        <v>45428.666666666599</v>
      </c>
      <c r="B2360" s="1">
        <f ca="1">IFERROR(__xludf.DUMMYFUNCTION("""COMPUTED_VALUE"""),173.29)</f>
        <v>173.29</v>
      </c>
      <c r="C2360" s="1">
        <f ca="1">IFERROR(__xludf.DUMMYFUNCTION("""COMPUTED_VALUE"""),175.12)</f>
        <v>175.12</v>
      </c>
      <c r="D2360" s="1">
        <f ca="1">IFERROR(__xludf.DUMMYFUNCTION("""COMPUTED_VALUE"""),172.69)</f>
        <v>172.69</v>
      </c>
      <c r="E2360" s="1">
        <f ca="1">IFERROR(__xludf.DUMMYFUNCTION("""COMPUTED_VALUE"""),174.18)</f>
        <v>174.18</v>
      </c>
      <c r="F2360" s="1">
        <f ca="1">IFERROR(__xludf.DUMMYFUNCTION("""COMPUTED_VALUE"""),27867947)</f>
        <v>27867947</v>
      </c>
    </row>
    <row r="2361" spans="1:6" x14ac:dyDescent="0.35">
      <c r="A2361" s="2">
        <f ca="1">IFERROR(__xludf.DUMMYFUNCTION("""COMPUTED_VALUE"""),45429.6666666666)</f>
        <v>45429.666666666599</v>
      </c>
      <c r="B2361" s="1">
        <f ca="1">IFERROR(__xludf.DUMMYFUNCTION("""COMPUTED_VALUE"""),174.18)</f>
        <v>174.18</v>
      </c>
      <c r="C2361" s="1">
        <f ca="1">IFERROR(__xludf.DUMMYFUNCTION("""COMPUTED_VALUE"""),176.27)</f>
        <v>176.27</v>
      </c>
      <c r="D2361" s="1">
        <f ca="1">IFERROR(__xludf.DUMMYFUNCTION("""COMPUTED_VALUE"""),173.69)</f>
        <v>173.69</v>
      </c>
      <c r="E2361" s="1">
        <f ca="1">IFERROR(__xludf.DUMMYFUNCTION("""COMPUTED_VALUE"""),176.06)</f>
        <v>176.06</v>
      </c>
      <c r="F2361" s="1">
        <f ca="1">IFERROR(__xludf.DUMMYFUNCTION("""COMPUTED_VALUE"""),24479262)</f>
        <v>24479262</v>
      </c>
    </row>
    <row r="2362" spans="1:6" x14ac:dyDescent="0.35">
      <c r="A2362" s="2">
        <f ca="1">IFERROR(__xludf.DUMMYFUNCTION("""COMPUTED_VALUE"""),45432.6666666666)</f>
        <v>45432.666666666599</v>
      </c>
      <c r="B2362" s="1">
        <f ca="1">IFERROR(__xludf.DUMMYFUNCTION("""COMPUTED_VALUE"""),176.19)</f>
        <v>176.19</v>
      </c>
      <c r="C2362" s="1">
        <f ca="1">IFERROR(__xludf.DUMMYFUNCTION("""COMPUTED_VALUE"""),178.77)</f>
        <v>178.77</v>
      </c>
      <c r="D2362" s="1">
        <f ca="1">IFERROR(__xludf.DUMMYFUNCTION("""COMPUTED_VALUE"""),176.08)</f>
        <v>176.08</v>
      </c>
      <c r="E2362" s="1">
        <f ca="1">IFERROR(__xludf.DUMMYFUNCTION("""COMPUTED_VALUE"""),176.92)</f>
        <v>176.92</v>
      </c>
      <c r="F2362" s="1">
        <f ca="1">IFERROR(__xludf.DUMMYFUNCTION("""COMPUTED_VALUE"""),22554400)</f>
        <v>22554400</v>
      </c>
    </row>
    <row r="2363" spans="1:6" x14ac:dyDescent="0.35">
      <c r="A2363" s="2">
        <f ca="1">IFERROR(__xludf.DUMMYFUNCTION("""COMPUTED_VALUE"""),45433.6666666666)</f>
        <v>45433.666666666599</v>
      </c>
      <c r="B2363" s="1">
        <f ca="1">IFERROR(__xludf.DUMMYFUNCTION("""COMPUTED_VALUE"""),176.9)</f>
        <v>176.9</v>
      </c>
      <c r="C2363" s="1">
        <f ca="1">IFERROR(__xludf.DUMMYFUNCTION("""COMPUTED_VALUE"""),178.15)</f>
        <v>178.15</v>
      </c>
      <c r="D2363" s="1">
        <f ca="1">IFERROR(__xludf.DUMMYFUNCTION("""COMPUTED_VALUE"""),175.81)</f>
        <v>175.81</v>
      </c>
      <c r="E2363" s="1">
        <f ca="1">IFERROR(__xludf.DUMMYFUNCTION("""COMPUTED_VALUE"""),177.85)</f>
        <v>177.85</v>
      </c>
      <c r="F2363" s="1">
        <f ca="1">IFERROR(__xludf.DUMMYFUNCTION("""COMPUTED_VALUE"""),16989369)</f>
        <v>16989369</v>
      </c>
    </row>
    <row r="2364" spans="1:6" x14ac:dyDescent="0.35">
      <c r="A2364" s="2">
        <f ca="1">IFERROR(__xludf.DUMMYFUNCTION("""COMPUTED_VALUE"""),45434.6666666666)</f>
        <v>45434.666666666599</v>
      </c>
      <c r="B2364" s="1">
        <f ca="1">IFERROR(__xludf.DUMMYFUNCTION("""COMPUTED_VALUE"""),176.64)</f>
        <v>176.64</v>
      </c>
      <c r="C2364" s="1">
        <f ca="1">IFERROR(__xludf.DUMMYFUNCTION("""COMPUTED_VALUE"""),177.15)</f>
        <v>177.15</v>
      </c>
      <c r="D2364" s="1">
        <f ca="1">IFERROR(__xludf.DUMMYFUNCTION("""COMPUTED_VALUE"""),175.21)</f>
        <v>175.21</v>
      </c>
      <c r="E2364" s="1">
        <f ca="1">IFERROR(__xludf.DUMMYFUNCTION("""COMPUTED_VALUE"""),176.38)</f>
        <v>176.38</v>
      </c>
      <c r="F2364" s="1">
        <f ca="1">IFERROR(__xludf.DUMMYFUNCTION("""COMPUTED_VALUE"""),17880042)</f>
        <v>17880042</v>
      </c>
    </row>
    <row r="2365" spans="1:6" x14ac:dyDescent="0.35">
      <c r="A2365" s="2">
        <f ca="1">IFERROR(__xludf.DUMMYFUNCTION("""COMPUTED_VALUE"""),45435.6666666666)</f>
        <v>45435.666666666599</v>
      </c>
      <c r="B2365" s="1">
        <f ca="1">IFERROR(__xludf.DUMMYFUNCTION("""COMPUTED_VALUE"""),177.07)</f>
        <v>177.07</v>
      </c>
      <c r="C2365" s="1">
        <f ca="1">IFERROR(__xludf.DUMMYFUNCTION("""COMPUTED_VALUE"""),178.25)</f>
        <v>178.25</v>
      </c>
      <c r="D2365" s="1">
        <f ca="1">IFERROR(__xludf.DUMMYFUNCTION("""COMPUTED_VALUE"""),172.95)</f>
        <v>172.95</v>
      </c>
      <c r="E2365" s="1">
        <f ca="1">IFERROR(__xludf.DUMMYFUNCTION("""COMPUTED_VALUE"""),173.55)</f>
        <v>173.55</v>
      </c>
      <c r="F2365" s="1">
        <f ca="1">IFERROR(__xludf.DUMMYFUNCTION("""COMPUTED_VALUE"""),21024935)</f>
        <v>21024935</v>
      </c>
    </row>
    <row r="2366" spans="1:6" x14ac:dyDescent="0.35">
      <c r="A2366" s="2">
        <f ca="1">IFERROR(__xludf.DUMMYFUNCTION("""COMPUTED_VALUE"""),45436.6666666666)</f>
        <v>45436.666666666599</v>
      </c>
      <c r="B2366" s="1">
        <f ca="1">IFERROR(__xludf.DUMMYFUNCTION("""COMPUTED_VALUE"""),174.98)</f>
        <v>174.98</v>
      </c>
      <c r="C2366" s="1">
        <f ca="1">IFERROR(__xludf.DUMMYFUNCTION("""COMPUTED_VALUE"""),175.77)</f>
        <v>175.77</v>
      </c>
      <c r="D2366" s="1">
        <f ca="1">IFERROR(__xludf.DUMMYFUNCTION("""COMPUTED_VALUE"""),173.65)</f>
        <v>173.65</v>
      </c>
      <c r="E2366" s="1">
        <f ca="1">IFERROR(__xludf.DUMMYFUNCTION("""COMPUTED_VALUE"""),174.99)</f>
        <v>174.99</v>
      </c>
      <c r="F2366" s="1">
        <f ca="1">IFERROR(__xludf.DUMMYFUNCTION("""COMPUTED_VALUE"""),16579438)</f>
        <v>16579438</v>
      </c>
    </row>
    <row r="2367" spans="1:6" x14ac:dyDescent="0.35">
      <c r="A2367" s="2">
        <f ca="1">IFERROR(__xludf.DUMMYFUNCTION("""COMPUTED_VALUE"""),45440.6666666666)</f>
        <v>45440.666666666599</v>
      </c>
      <c r="B2367" s="1">
        <f ca="1">IFERROR(__xludf.DUMMYFUNCTION("""COMPUTED_VALUE"""),174.45)</f>
        <v>174.45</v>
      </c>
      <c r="C2367" s="1">
        <f ca="1">IFERROR(__xludf.DUMMYFUNCTION("""COMPUTED_VALUE"""),177.27)</f>
        <v>177.27</v>
      </c>
      <c r="D2367" s="1">
        <f ca="1">IFERROR(__xludf.DUMMYFUNCTION("""COMPUTED_VALUE"""),174.37)</f>
        <v>174.37</v>
      </c>
      <c r="E2367" s="1">
        <f ca="1">IFERROR(__xludf.DUMMYFUNCTION("""COMPUTED_VALUE"""),176.4)</f>
        <v>176.4</v>
      </c>
      <c r="F2367" s="1">
        <f ca="1">IFERROR(__xludf.DUMMYFUNCTION("""COMPUTED_VALUE"""),20572157)</f>
        <v>20572157</v>
      </c>
    </row>
    <row r="2368" spans="1:6" x14ac:dyDescent="0.35">
      <c r="A2368" s="2">
        <f ca="1">IFERROR(__xludf.DUMMYFUNCTION("""COMPUTED_VALUE"""),45441.6666666666)</f>
        <v>45441.666666666599</v>
      </c>
      <c r="B2368" s="1">
        <f ca="1">IFERROR(__xludf.DUMMYFUNCTION("""COMPUTED_VALUE"""),175.43)</f>
        <v>175.43</v>
      </c>
      <c r="C2368" s="1">
        <f ca="1">IFERROR(__xludf.DUMMYFUNCTION("""COMPUTED_VALUE"""),176.84)</f>
        <v>176.84</v>
      </c>
      <c r="D2368" s="1">
        <f ca="1">IFERROR(__xludf.DUMMYFUNCTION("""COMPUTED_VALUE"""),174.72)</f>
        <v>174.72</v>
      </c>
      <c r="E2368" s="1">
        <f ca="1">IFERROR(__xludf.DUMMYFUNCTION("""COMPUTED_VALUE"""),175.9)</f>
        <v>175.9</v>
      </c>
      <c r="F2368" s="1">
        <f ca="1">IFERROR(__xludf.DUMMYFUNCTION("""COMPUTED_VALUE"""),23388693)</f>
        <v>23388693</v>
      </c>
    </row>
    <row r="2369" spans="1:6" x14ac:dyDescent="0.35">
      <c r="A2369" s="2">
        <f ca="1">IFERROR(__xludf.DUMMYFUNCTION("""COMPUTED_VALUE"""),45442.6666666666)</f>
        <v>45442.666666666599</v>
      </c>
      <c r="B2369" s="1">
        <f ca="1">IFERROR(__xludf.DUMMYFUNCTION("""COMPUTED_VALUE"""),175.2)</f>
        <v>175.2</v>
      </c>
      <c r="C2369" s="1">
        <f ca="1">IFERROR(__xludf.DUMMYFUNCTION("""COMPUTED_VALUE"""),175.22)</f>
        <v>175.22</v>
      </c>
      <c r="D2369" s="1">
        <f ca="1">IFERROR(__xludf.DUMMYFUNCTION("""COMPUTED_VALUE"""),171.79)</f>
        <v>171.79</v>
      </c>
      <c r="E2369" s="1">
        <f ca="1">IFERROR(__xludf.DUMMYFUNCTION("""COMPUTED_VALUE"""),172.11)</f>
        <v>172.11</v>
      </c>
      <c r="F2369" s="1">
        <f ca="1">IFERROR(__xludf.DUMMYFUNCTION("""COMPUTED_VALUE"""),22958677)</f>
        <v>22958677</v>
      </c>
    </row>
    <row r="2370" spans="1:6" x14ac:dyDescent="0.35">
      <c r="A2370" s="2">
        <f ca="1">IFERROR(__xludf.DUMMYFUNCTION("""COMPUTED_VALUE"""),45443.6666666666)</f>
        <v>45443.666666666599</v>
      </c>
      <c r="B2370" s="1">
        <f ca="1">IFERROR(__xludf.DUMMYFUNCTION("""COMPUTED_VALUE"""),171.86)</f>
        <v>171.86</v>
      </c>
      <c r="C2370" s="1">
        <f ca="1">IFERROR(__xludf.DUMMYFUNCTION("""COMPUTED_VALUE"""),173.06)</f>
        <v>173.06</v>
      </c>
      <c r="D2370" s="1">
        <f ca="1">IFERROR(__xludf.DUMMYFUNCTION("""COMPUTED_VALUE"""),169.44)</f>
        <v>169.44</v>
      </c>
      <c r="E2370" s="1">
        <f ca="1">IFERROR(__xludf.DUMMYFUNCTION("""COMPUTED_VALUE"""),172.5)</f>
        <v>172.5</v>
      </c>
      <c r="F2370" s="1">
        <f ca="1">IFERROR(__xludf.DUMMYFUNCTION("""COMPUTED_VALUE"""),37638876)</f>
        <v>37638876</v>
      </c>
    </row>
    <row r="2371" spans="1:6" x14ac:dyDescent="0.35">
      <c r="A2371" s="2">
        <f ca="1">IFERROR(__xludf.DUMMYFUNCTION("""COMPUTED_VALUE"""),45446.6666666666)</f>
        <v>45446.666666666599</v>
      </c>
      <c r="B2371" s="1">
        <f ca="1">IFERROR(__xludf.DUMMYFUNCTION("""COMPUTED_VALUE"""),172.54)</f>
        <v>172.54</v>
      </c>
      <c r="C2371" s="1">
        <f ca="1">IFERROR(__xludf.DUMMYFUNCTION("""COMPUTED_VALUE"""),174.53)</f>
        <v>174.53</v>
      </c>
      <c r="D2371" s="1">
        <f ca="1">IFERROR(__xludf.DUMMYFUNCTION("""COMPUTED_VALUE"""),171.16)</f>
        <v>171.16</v>
      </c>
      <c r="E2371" s="1">
        <f ca="1">IFERROR(__xludf.DUMMYFUNCTION("""COMPUTED_VALUE"""),173.17)</f>
        <v>173.17</v>
      </c>
      <c r="F2371" s="1">
        <f ca="1">IFERROR(__xludf.DUMMYFUNCTION("""COMPUTED_VALUE"""),27459118)</f>
        <v>27459118</v>
      </c>
    </row>
    <row r="2372" spans="1:6" x14ac:dyDescent="0.35">
      <c r="A2372" s="2">
        <f ca="1">IFERROR(__xludf.DUMMYFUNCTION("""COMPUTED_VALUE"""),45447.6666666666)</f>
        <v>45447.666666666599</v>
      </c>
      <c r="B2372" s="1">
        <f ca="1">IFERROR(__xludf.DUMMYFUNCTION("""COMPUTED_VALUE"""),173.28)</f>
        <v>173.28</v>
      </c>
      <c r="C2372" s="1">
        <f ca="1">IFERROR(__xludf.DUMMYFUNCTION("""COMPUTED_VALUE"""),173.85)</f>
        <v>173.85</v>
      </c>
      <c r="D2372" s="1">
        <f ca="1">IFERROR(__xludf.DUMMYFUNCTION("""COMPUTED_VALUE"""),171.89)</f>
        <v>171.89</v>
      </c>
      <c r="E2372" s="1">
        <f ca="1">IFERROR(__xludf.DUMMYFUNCTION("""COMPUTED_VALUE"""),173.79)</f>
        <v>173.79</v>
      </c>
      <c r="F2372" s="1">
        <f ca="1">IFERROR(__xludf.DUMMYFUNCTION("""COMPUTED_VALUE"""),26879596)</f>
        <v>26879596</v>
      </c>
    </row>
    <row r="2373" spans="1:6" x14ac:dyDescent="0.35">
      <c r="A2373" s="2">
        <f ca="1">IFERROR(__xludf.DUMMYFUNCTION("""COMPUTED_VALUE"""),45448.6666666666)</f>
        <v>45448.666666666599</v>
      </c>
      <c r="B2373" s="1">
        <f ca="1">IFERROR(__xludf.DUMMYFUNCTION("""COMPUTED_VALUE"""),175.2)</f>
        <v>175.2</v>
      </c>
      <c r="C2373" s="1">
        <f ca="1">IFERROR(__xludf.DUMMYFUNCTION("""COMPUTED_VALUE"""),176.65)</f>
        <v>176.65</v>
      </c>
      <c r="D2373" s="1">
        <f ca="1">IFERROR(__xludf.DUMMYFUNCTION("""COMPUTED_VALUE"""),173.93)</f>
        <v>173.93</v>
      </c>
      <c r="E2373" s="1">
        <f ca="1">IFERROR(__xludf.DUMMYFUNCTION("""COMPUTED_VALUE"""),175.41)</f>
        <v>175.41</v>
      </c>
      <c r="F2373" s="1">
        <f ca="1">IFERROR(__xludf.DUMMYFUNCTION("""COMPUTED_VALUE"""),22068519)</f>
        <v>22068519</v>
      </c>
    </row>
    <row r="2374" spans="1:6" x14ac:dyDescent="0.35">
      <c r="A2374" s="2">
        <f ca="1">IFERROR(__xludf.DUMMYFUNCTION("""COMPUTED_VALUE"""),45449.6666666666)</f>
        <v>45449.666666666599</v>
      </c>
      <c r="B2374" s="1">
        <f ca="1">IFERROR(__xludf.DUMMYFUNCTION("""COMPUTED_VALUE"""),175.9)</f>
        <v>175.9</v>
      </c>
      <c r="C2374" s="1">
        <f ca="1">IFERROR(__xludf.DUMMYFUNCTION("""COMPUTED_VALUE"""),177.15)</f>
        <v>177.15</v>
      </c>
      <c r="D2374" s="1">
        <f ca="1">IFERROR(__xludf.DUMMYFUNCTION("""COMPUTED_VALUE"""),175.75)</f>
        <v>175.75</v>
      </c>
      <c r="E2374" s="1">
        <f ca="1">IFERROR(__xludf.DUMMYFUNCTION("""COMPUTED_VALUE"""),176.73)</f>
        <v>176.73</v>
      </c>
      <c r="F2374" s="1">
        <f ca="1">IFERROR(__xludf.DUMMYFUNCTION("""COMPUTED_VALUE"""),23251013)</f>
        <v>23251013</v>
      </c>
    </row>
    <row r="2375" spans="1:6" x14ac:dyDescent="0.35">
      <c r="A2375" s="2">
        <f ca="1">IFERROR(__xludf.DUMMYFUNCTION("""COMPUTED_VALUE"""),45450.6666666666)</f>
        <v>45450.666666666599</v>
      </c>
      <c r="B2375" s="1">
        <f ca="1">IFERROR(__xludf.DUMMYFUNCTION("""COMPUTED_VALUE"""),177.05)</f>
        <v>177.05</v>
      </c>
      <c r="C2375" s="1">
        <f ca="1">IFERROR(__xludf.DUMMYFUNCTION("""COMPUTED_VALUE"""),177.87)</f>
        <v>177.87</v>
      </c>
      <c r="D2375" s="1">
        <f ca="1">IFERROR(__xludf.DUMMYFUNCTION("""COMPUTED_VALUE"""),174.3)</f>
        <v>174.3</v>
      </c>
      <c r="E2375" s="1">
        <f ca="1">IFERROR(__xludf.DUMMYFUNCTION("""COMPUTED_VALUE"""),174.46)</f>
        <v>174.46</v>
      </c>
      <c r="F2375" s="1">
        <f ca="1">IFERROR(__xludf.DUMMYFUNCTION("""COMPUTED_VALUE"""),19661399)</f>
        <v>19661399</v>
      </c>
    </row>
    <row r="2376" spans="1:6" x14ac:dyDescent="0.35">
      <c r="A2376" s="2">
        <f ca="1">IFERROR(__xludf.DUMMYFUNCTION("""COMPUTED_VALUE"""),45453.6666666666)</f>
        <v>45453.666666666599</v>
      </c>
      <c r="B2376" s="1">
        <f ca="1">IFERROR(__xludf.DUMMYFUNCTION("""COMPUTED_VALUE"""),174.97)</f>
        <v>174.97</v>
      </c>
      <c r="C2376" s="1">
        <f ca="1">IFERROR(__xludf.DUMMYFUNCTION("""COMPUTED_VALUE"""),177.06)</f>
        <v>177.06</v>
      </c>
      <c r="D2376" s="1">
        <f ca="1">IFERROR(__xludf.DUMMYFUNCTION("""COMPUTED_VALUE"""),172.76)</f>
        <v>172.76</v>
      </c>
      <c r="E2376" s="1">
        <f ca="1">IFERROR(__xludf.DUMMYFUNCTION("""COMPUTED_VALUE"""),175.01)</f>
        <v>175.01</v>
      </c>
      <c r="F2376" s="1">
        <f ca="1">IFERROR(__xludf.DUMMYFUNCTION("""COMPUTED_VALUE"""),23779218)</f>
        <v>23779218</v>
      </c>
    </row>
    <row r="2377" spans="1:6" x14ac:dyDescent="0.35">
      <c r="A2377" s="2">
        <f ca="1">IFERROR(__xludf.DUMMYFUNCTION("""COMPUTED_VALUE"""),45454.6666666666)</f>
        <v>45454.666666666599</v>
      </c>
      <c r="B2377" s="1">
        <f ca="1">IFERROR(__xludf.DUMMYFUNCTION("""COMPUTED_VALUE"""),176.22)</f>
        <v>176.22</v>
      </c>
      <c r="C2377" s="1">
        <f ca="1">IFERROR(__xludf.DUMMYFUNCTION("""COMPUTED_VALUE"""),176.84)</f>
        <v>176.84</v>
      </c>
      <c r="D2377" s="1">
        <f ca="1">IFERROR(__xludf.DUMMYFUNCTION("""COMPUTED_VALUE"""),173.77)</f>
        <v>173.77</v>
      </c>
      <c r="E2377" s="1">
        <f ca="1">IFERROR(__xludf.DUMMYFUNCTION("""COMPUTED_VALUE"""),176.62)</f>
        <v>176.62</v>
      </c>
      <c r="F2377" s="1">
        <f ca="1">IFERROR(__xludf.DUMMYFUNCTION("""COMPUTED_VALUE"""),21540582)</f>
        <v>21540582</v>
      </c>
    </row>
    <row r="2378" spans="1:6" x14ac:dyDescent="0.35">
      <c r="A2378" s="2">
        <f ca="1">IFERROR(__xludf.DUMMYFUNCTION("""COMPUTED_VALUE"""),45455.6666666666)</f>
        <v>45455.666666666599</v>
      </c>
      <c r="B2378" s="1">
        <f ca="1">IFERROR(__xludf.DUMMYFUNCTION("""COMPUTED_VALUE"""),178.25)</f>
        <v>178.25</v>
      </c>
      <c r="C2378" s="1">
        <f ca="1">IFERROR(__xludf.DUMMYFUNCTION("""COMPUTED_VALUE"""),180.41)</f>
        <v>180.41</v>
      </c>
      <c r="D2378" s="1">
        <f ca="1">IFERROR(__xludf.DUMMYFUNCTION("""COMPUTED_VALUE"""),176.11)</f>
        <v>176.11</v>
      </c>
      <c r="E2378" s="1">
        <f ca="1">IFERROR(__xludf.DUMMYFUNCTION("""COMPUTED_VALUE"""),177.79)</f>
        <v>177.79</v>
      </c>
      <c r="F2378" s="1">
        <f ca="1">IFERROR(__xludf.DUMMYFUNCTION("""COMPUTED_VALUE"""),27864737)</f>
        <v>27864737</v>
      </c>
    </row>
    <row r="2379" spans="1:6" x14ac:dyDescent="0.35">
      <c r="A2379" s="2">
        <f ca="1">IFERROR(__xludf.DUMMYFUNCTION("""COMPUTED_VALUE"""),45456.6666666666)</f>
        <v>45456.666666666599</v>
      </c>
      <c r="B2379" s="1">
        <f ca="1">IFERROR(__xludf.DUMMYFUNCTION("""COMPUTED_VALUE"""),176.11)</f>
        <v>176.11</v>
      </c>
      <c r="C2379" s="1">
        <f ca="1">IFERROR(__xludf.DUMMYFUNCTION("""COMPUTED_VALUE"""),176.74)</f>
        <v>176.74</v>
      </c>
      <c r="D2379" s="1">
        <f ca="1">IFERROR(__xludf.DUMMYFUNCTION("""COMPUTED_VALUE"""),174.88)</f>
        <v>174.88</v>
      </c>
      <c r="E2379" s="1">
        <f ca="1">IFERROR(__xludf.DUMMYFUNCTION("""COMPUTED_VALUE"""),175.16)</f>
        <v>175.16</v>
      </c>
      <c r="F2379" s="1">
        <f ca="1">IFERROR(__xludf.DUMMYFUNCTION("""COMPUTED_VALUE"""),20913299)</f>
        <v>20913299</v>
      </c>
    </row>
    <row r="2380" spans="1:6" x14ac:dyDescent="0.35">
      <c r="A2380" s="2">
        <f ca="1">IFERROR(__xludf.DUMMYFUNCTION("""COMPUTED_VALUE"""),45457.6666666666)</f>
        <v>45457.666666666599</v>
      </c>
      <c r="B2380" s="1">
        <f ca="1">IFERROR(__xludf.DUMMYFUNCTION("""COMPUTED_VALUE"""),174.22)</f>
        <v>174.22</v>
      </c>
      <c r="C2380" s="1">
        <f ca="1">IFERROR(__xludf.DUMMYFUNCTION("""COMPUTED_VALUE"""),177.06)</f>
        <v>177.06</v>
      </c>
      <c r="D2380" s="1">
        <f ca="1">IFERROR(__xludf.DUMMYFUNCTION("""COMPUTED_VALUE"""),174.15)</f>
        <v>174.15</v>
      </c>
      <c r="E2380" s="1">
        <f ca="1">IFERROR(__xludf.DUMMYFUNCTION("""COMPUTED_VALUE"""),176.79)</f>
        <v>176.79</v>
      </c>
      <c r="F2380" s="1">
        <f ca="1">IFERROR(__xludf.DUMMYFUNCTION("""COMPUTED_VALUE"""),18063555)</f>
        <v>18063555</v>
      </c>
    </row>
    <row r="2381" spans="1:6" x14ac:dyDescent="0.35">
      <c r="A2381" s="2">
        <f ca="1">IFERROR(__xludf.DUMMYFUNCTION("""COMPUTED_VALUE"""),45460.6666666666)</f>
        <v>45460.666666666599</v>
      </c>
      <c r="B2381" s="1">
        <f ca="1">IFERROR(__xludf.DUMMYFUNCTION("""COMPUTED_VALUE"""),175.46)</f>
        <v>175.46</v>
      </c>
      <c r="C2381" s="1">
        <f ca="1">IFERROR(__xludf.DUMMYFUNCTION("""COMPUTED_VALUE"""),178.36)</f>
        <v>178.36</v>
      </c>
      <c r="D2381" s="1">
        <f ca="1">IFERROR(__xludf.DUMMYFUNCTION("""COMPUTED_VALUE"""),174.81)</f>
        <v>174.81</v>
      </c>
      <c r="E2381" s="1">
        <f ca="1">IFERROR(__xludf.DUMMYFUNCTION("""COMPUTED_VALUE"""),177.24)</f>
        <v>177.24</v>
      </c>
      <c r="F2381" s="1">
        <f ca="1">IFERROR(__xludf.DUMMYFUNCTION("""COMPUTED_VALUE"""),19618497)</f>
        <v>19618497</v>
      </c>
    </row>
    <row r="2382" spans="1:6" x14ac:dyDescent="0.35">
      <c r="A2382" s="2">
        <f ca="1">IFERROR(__xludf.DUMMYFUNCTION("""COMPUTED_VALUE"""),45461.6666666666)</f>
        <v>45461.666666666599</v>
      </c>
      <c r="B2382" s="1">
        <f ca="1">IFERROR(__xludf.DUMMYFUNCTION("""COMPUTED_VALUE"""),177.14)</f>
        <v>177.14</v>
      </c>
      <c r="C2382" s="1">
        <f ca="1">IFERROR(__xludf.DUMMYFUNCTION("""COMPUTED_VALUE"""),177.39)</f>
        <v>177.39</v>
      </c>
      <c r="D2382" s="1">
        <f ca="1">IFERROR(__xludf.DUMMYFUNCTION("""COMPUTED_VALUE"""),174.1)</f>
        <v>174.1</v>
      </c>
      <c r="E2382" s="1">
        <f ca="1">IFERROR(__xludf.DUMMYFUNCTION("""COMPUTED_VALUE"""),175.09)</f>
        <v>175.09</v>
      </c>
      <c r="F2382" s="1">
        <f ca="1">IFERROR(__xludf.DUMMYFUNCTION("""COMPUTED_VALUE"""),21869857)</f>
        <v>21869857</v>
      </c>
    </row>
    <row r="2383" spans="1:6" x14ac:dyDescent="0.35">
      <c r="A2383" s="2">
        <f ca="1">IFERROR(__xludf.DUMMYFUNCTION("""COMPUTED_VALUE"""),45463.6666666666)</f>
        <v>45463.666666666599</v>
      </c>
      <c r="B2383" s="1">
        <f ca="1">IFERROR(__xludf.DUMMYFUNCTION("""COMPUTED_VALUE"""),175.37)</f>
        <v>175.37</v>
      </c>
      <c r="C2383" s="1">
        <f ca="1">IFERROR(__xludf.DUMMYFUNCTION("""COMPUTED_VALUE"""),177.29)</f>
        <v>177.29</v>
      </c>
      <c r="D2383" s="1">
        <f ca="1">IFERROR(__xludf.DUMMYFUNCTION("""COMPUTED_VALUE"""),174.99)</f>
        <v>174.99</v>
      </c>
      <c r="E2383" s="1">
        <f ca="1">IFERROR(__xludf.DUMMYFUNCTION("""COMPUTED_VALUE"""),176.3)</f>
        <v>176.3</v>
      </c>
      <c r="F2383" s="1">
        <f ca="1">IFERROR(__xludf.DUMMYFUNCTION("""COMPUTED_VALUE"""),20160085)</f>
        <v>20160085</v>
      </c>
    </row>
    <row r="2384" spans="1:6" x14ac:dyDescent="0.35">
      <c r="A2384" s="2">
        <f ca="1">IFERROR(__xludf.DUMMYFUNCTION("""COMPUTED_VALUE"""),45464.6666666666)</f>
        <v>45464.666666666599</v>
      </c>
      <c r="B2384" s="1">
        <f ca="1">IFERROR(__xludf.DUMMYFUNCTION("""COMPUTED_VALUE"""),177)</f>
        <v>177</v>
      </c>
      <c r="C2384" s="1">
        <f ca="1">IFERROR(__xludf.DUMMYFUNCTION("""COMPUTED_VALUE"""),180.85)</f>
        <v>180.85</v>
      </c>
      <c r="D2384" s="1">
        <f ca="1">IFERROR(__xludf.DUMMYFUNCTION("""COMPUTED_VALUE"""),176.61)</f>
        <v>176.61</v>
      </c>
      <c r="E2384" s="1">
        <f ca="1">IFERROR(__xludf.DUMMYFUNCTION("""COMPUTED_VALUE"""),179.63)</f>
        <v>179.63</v>
      </c>
      <c r="F2384" s="1">
        <f ca="1">IFERROR(__xludf.DUMMYFUNCTION("""COMPUTED_VALUE"""),58582743)</f>
        <v>58582743</v>
      </c>
    </row>
    <row r="2385" spans="1:6" x14ac:dyDescent="0.35">
      <c r="A2385" s="2">
        <f ca="1">IFERROR(__xludf.DUMMYFUNCTION("""COMPUTED_VALUE"""),45467.6666666666)</f>
        <v>45467.666666666599</v>
      </c>
      <c r="B2385" s="1">
        <f ca="1">IFERROR(__xludf.DUMMYFUNCTION("""COMPUTED_VALUE"""),180.16)</f>
        <v>180.16</v>
      </c>
      <c r="C2385" s="1">
        <f ca="1">IFERROR(__xludf.DUMMYFUNCTION("""COMPUTED_VALUE"""),180.89)</f>
        <v>180.89</v>
      </c>
      <c r="D2385" s="1">
        <f ca="1">IFERROR(__xludf.DUMMYFUNCTION("""COMPUTED_VALUE"""),178.67)</f>
        <v>178.67</v>
      </c>
      <c r="E2385" s="1">
        <f ca="1">IFERROR(__xludf.DUMMYFUNCTION("""COMPUTED_VALUE"""),179.22)</f>
        <v>179.22</v>
      </c>
      <c r="F2385" s="1">
        <f ca="1">IFERROR(__xludf.DUMMYFUNCTION("""COMPUTED_VALUE"""),18298012)</f>
        <v>18298012</v>
      </c>
    </row>
    <row r="2386" spans="1:6" x14ac:dyDescent="0.35">
      <c r="A2386" s="2">
        <f ca="1">IFERROR(__xludf.DUMMYFUNCTION("""COMPUTED_VALUE"""),45468.6666666666)</f>
        <v>45468.666666666599</v>
      </c>
      <c r="B2386" s="1">
        <f ca="1">IFERROR(__xludf.DUMMYFUNCTION("""COMPUTED_VALUE"""),179.62)</f>
        <v>179.62</v>
      </c>
      <c r="C2386" s="1">
        <f ca="1">IFERROR(__xludf.DUMMYFUNCTION("""COMPUTED_VALUE"""),184.29)</f>
        <v>184.29</v>
      </c>
      <c r="D2386" s="1">
        <f ca="1">IFERROR(__xludf.DUMMYFUNCTION("""COMPUTED_VALUE"""),179.42)</f>
        <v>179.42</v>
      </c>
      <c r="E2386" s="1">
        <f ca="1">IFERROR(__xludf.DUMMYFUNCTION("""COMPUTED_VALUE"""),184.03)</f>
        <v>184.03</v>
      </c>
      <c r="F2386" s="1">
        <f ca="1">IFERROR(__xludf.DUMMYFUNCTION("""COMPUTED_VALUE"""),23235589)</f>
        <v>23235589</v>
      </c>
    </row>
    <row r="2387" spans="1:6" x14ac:dyDescent="0.35">
      <c r="A2387" s="2">
        <f ca="1">IFERROR(__xludf.DUMMYFUNCTION("""COMPUTED_VALUE"""),45469.6666666666)</f>
        <v>45469.666666666599</v>
      </c>
      <c r="B2387" s="1">
        <f ca="1">IFERROR(__xludf.DUMMYFUNCTION("""COMPUTED_VALUE"""),182.63)</f>
        <v>182.63</v>
      </c>
      <c r="C2387" s="1">
        <f ca="1">IFERROR(__xludf.DUMMYFUNCTION("""COMPUTED_VALUE"""),184.51)</f>
        <v>184.51</v>
      </c>
      <c r="D2387" s="1">
        <f ca="1">IFERROR(__xludf.DUMMYFUNCTION("""COMPUTED_VALUE"""),182.48)</f>
        <v>182.48</v>
      </c>
      <c r="E2387" s="1">
        <f ca="1">IFERROR(__xludf.DUMMYFUNCTION("""COMPUTED_VALUE"""),183.88)</f>
        <v>183.88</v>
      </c>
      <c r="F2387" s="1">
        <f ca="1">IFERROR(__xludf.DUMMYFUNCTION("""COMPUTED_VALUE"""),19838972)</f>
        <v>19838972</v>
      </c>
    </row>
    <row r="2388" spans="1:6" x14ac:dyDescent="0.35">
      <c r="A2388" s="2">
        <f ca="1">IFERROR(__xludf.DUMMYFUNCTION("""COMPUTED_VALUE"""),45470.6666666666)</f>
        <v>45470.666666666599</v>
      </c>
      <c r="B2388" s="1">
        <f ca="1">IFERROR(__xludf.DUMMYFUNCTION("""COMPUTED_VALUE"""),184.18)</f>
        <v>184.18</v>
      </c>
      <c r="C2388" s="1">
        <f ca="1">IFERROR(__xludf.DUMMYFUNCTION("""COMPUTED_VALUE"""),186.05)</f>
        <v>186.05</v>
      </c>
      <c r="D2388" s="1">
        <f ca="1">IFERROR(__xludf.DUMMYFUNCTION("""COMPUTED_VALUE"""),184.02)</f>
        <v>184.02</v>
      </c>
      <c r="E2388" s="1">
        <f ca="1">IFERROR(__xludf.DUMMYFUNCTION("""COMPUTED_VALUE"""),185.41)</f>
        <v>185.41</v>
      </c>
      <c r="F2388" s="1">
        <f ca="1">IFERROR(__xludf.DUMMYFUNCTION("""COMPUTED_VALUE"""),18848884)</f>
        <v>18848884</v>
      </c>
    </row>
    <row r="2389" spans="1:6" x14ac:dyDescent="0.35">
      <c r="A2389" s="2">
        <f ca="1">IFERROR(__xludf.DUMMYFUNCTION("""COMPUTED_VALUE"""),45471.6666666666)</f>
        <v>45471.666666666599</v>
      </c>
      <c r="B2389" s="1">
        <f ca="1">IFERROR(__xludf.DUMMYFUNCTION("""COMPUTED_VALUE"""),184.32)</f>
        <v>184.32</v>
      </c>
      <c r="C2389" s="1">
        <f ca="1">IFERROR(__xludf.DUMMYFUNCTION("""COMPUTED_VALUE"""),185.13)</f>
        <v>185.13</v>
      </c>
      <c r="D2389" s="1">
        <f ca="1">IFERROR(__xludf.DUMMYFUNCTION("""COMPUTED_VALUE"""),181.96)</f>
        <v>181.96</v>
      </c>
      <c r="E2389" s="1">
        <f ca="1">IFERROR(__xludf.DUMMYFUNCTION("""COMPUTED_VALUE"""),182.15)</f>
        <v>182.15</v>
      </c>
      <c r="F2389" s="1">
        <f ca="1">IFERROR(__xludf.DUMMYFUNCTION("""COMPUTED_VALUE"""),29156644)</f>
        <v>29156644</v>
      </c>
    </row>
    <row r="2390" spans="1:6" x14ac:dyDescent="0.35">
      <c r="A2390" s="2">
        <f ca="1">IFERROR(__xludf.DUMMYFUNCTION("""COMPUTED_VALUE"""),45474.6666666666)</f>
        <v>45474.666666666599</v>
      </c>
      <c r="B2390" s="1">
        <f ca="1">IFERROR(__xludf.DUMMYFUNCTION("""COMPUTED_VALUE"""),183.03)</f>
        <v>183.03</v>
      </c>
      <c r="C2390" s="1">
        <f ca="1">IFERROR(__xludf.DUMMYFUNCTION("""COMPUTED_VALUE"""),183.88)</f>
        <v>183.88</v>
      </c>
      <c r="D2390" s="1">
        <f ca="1">IFERROR(__xludf.DUMMYFUNCTION("""COMPUTED_VALUE"""),181.3)</f>
        <v>181.3</v>
      </c>
      <c r="E2390" s="1">
        <f ca="1">IFERROR(__xludf.DUMMYFUNCTION("""COMPUTED_VALUE"""),182.99)</f>
        <v>182.99</v>
      </c>
      <c r="F2390" s="1">
        <f ca="1">IFERROR(__xludf.DUMMYFUNCTION("""COMPUTED_VALUE"""),16006128)</f>
        <v>16006128</v>
      </c>
    </row>
    <row r="2391" spans="1:6" x14ac:dyDescent="0.35">
      <c r="A2391" s="2">
        <f ca="1">IFERROR(__xludf.DUMMYFUNCTION("""COMPUTED_VALUE"""),45475.6666666666)</f>
        <v>45475.666666666599</v>
      </c>
      <c r="B2391" s="1">
        <f ca="1">IFERROR(__xludf.DUMMYFUNCTION("""COMPUTED_VALUE"""),182.05)</f>
        <v>182.05</v>
      </c>
      <c r="C2391" s="1">
        <f ca="1">IFERROR(__xludf.DUMMYFUNCTION("""COMPUTED_VALUE"""),185.57)</f>
        <v>185.57</v>
      </c>
      <c r="D2391" s="1">
        <f ca="1">IFERROR(__xludf.DUMMYFUNCTION("""COMPUTED_VALUE"""),181.56)</f>
        <v>181.56</v>
      </c>
      <c r="E2391" s="1">
        <f ca="1">IFERROR(__xludf.DUMMYFUNCTION("""COMPUTED_VALUE"""),185.24)</f>
        <v>185.24</v>
      </c>
      <c r="F2391" s="1">
        <f ca="1">IFERROR(__xludf.DUMMYFUNCTION("""COMPUTED_VALUE"""),17372485)</f>
        <v>17372485</v>
      </c>
    </row>
    <row r="2392" spans="1:6" x14ac:dyDescent="0.35">
      <c r="A2392" s="2">
        <f ca="1">IFERROR(__xludf.DUMMYFUNCTION("""COMPUTED_VALUE"""),45476.5451388888)</f>
        <v>45476.545138888803</v>
      </c>
      <c r="B2392" s="1">
        <f ca="1">IFERROR(__xludf.DUMMYFUNCTION("""COMPUTED_VALUE"""),184.85)</f>
        <v>184.85</v>
      </c>
      <c r="C2392" s="1">
        <f ca="1">IFERROR(__xludf.DUMMYFUNCTION("""COMPUTED_VALUE"""),186.09)</f>
        <v>186.09</v>
      </c>
      <c r="D2392" s="1">
        <f ca="1">IFERROR(__xludf.DUMMYFUNCTION("""COMPUTED_VALUE"""),184)</f>
        <v>184</v>
      </c>
      <c r="E2392" s="1">
        <f ca="1">IFERROR(__xludf.DUMMYFUNCTION("""COMPUTED_VALUE"""),185.82)</f>
        <v>185.82</v>
      </c>
      <c r="F2392" s="1">
        <f ca="1">IFERROR(__xludf.DUMMYFUNCTION("""COMPUTED_VALUE"""),10242126)</f>
        <v>10242126</v>
      </c>
    </row>
    <row r="2393" spans="1:6" x14ac:dyDescent="0.35">
      <c r="A2393" s="2">
        <f ca="1">IFERROR(__xludf.DUMMYFUNCTION("""COMPUTED_VALUE"""),45478.6666666666)</f>
        <v>45478.666666666599</v>
      </c>
      <c r="B2393" s="1">
        <f ca="1">IFERROR(__xludf.DUMMYFUNCTION("""COMPUTED_VALUE"""),185.86)</f>
        <v>185.86</v>
      </c>
      <c r="C2393" s="1">
        <f ca="1">IFERROR(__xludf.DUMMYFUNCTION("""COMPUTED_VALUE"""),190.86)</f>
        <v>190.86</v>
      </c>
      <c r="D2393" s="1">
        <f ca="1">IFERROR(__xludf.DUMMYFUNCTION("""COMPUTED_VALUE"""),185.8)</f>
        <v>185.8</v>
      </c>
      <c r="E2393" s="1">
        <f ca="1">IFERROR(__xludf.DUMMYFUNCTION("""COMPUTED_VALUE"""),190.6)</f>
        <v>190.6</v>
      </c>
      <c r="F2393" s="1">
        <f ca="1">IFERROR(__xludf.DUMMYFUNCTION("""COMPUTED_VALUE"""),20967450)</f>
        <v>20967450</v>
      </c>
    </row>
    <row r="2394" spans="1:6" x14ac:dyDescent="0.35">
      <c r="A2394" s="2">
        <f ca="1">IFERROR(__xludf.DUMMYFUNCTION("""COMPUTED_VALUE"""),45481.6666666666)</f>
        <v>45481.666666666599</v>
      </c>
      <c r="B2394" s="1">
        <f ca="1">IFERROR(__xludf.DUMMYFUNCTION("""COMPUTED_VALUE"""),189.9)</f>
        <v>189.9</v>
      </c>
      <c r="C2394" s="1">
        <f ca="1">IFERROR(__xludf.DUMMYFUNCTION("""COMPUTED_VALUE"""),190.17)</f>
        <v>190.17</v>
      </c>
      <c r="D2394" s="1">
        <f ca="1">IFERROR(__xludf.DUMMYFUNCTION("""COMPUTED_VALUE"""),187.78)</f>
        <v>187.78</v>
      </c>
      <c r="E2394" s="1">
        <f ca="1">IFERROR(__xludf.DUMMYFUNCTION("""COMPUTED_VALUE"""),189.03)</f>
        <v>189.03</v>
      </c>
      <c r="F2394" s="1">
        <f ca="1">IFERROR(__xludf.DUMMYFUNCTION("""COMPUTED_VALUE"""),21035886)</f>
        <v>21035886</v>
      </c>
    </row>
    <row r="2395" spans="1:6" x14ac:dyDescent="0.35">
      <c r="A2395" s="2">
        <f ca="1">IFERROR(__xludf.DUMMYFUNCTION("""COMPUTED_VALUE"""),45482.6666666666)</f>
        <v>45482.666666666599</v>
      </c>
      <c r="B2395" s="1">
        <f ca="1">IFERROR(__xludf.DUMMYFUNCTION("""COMPUTED_VALUE"""),190.31)</f>
        <v>190.31</v>
      </c>
      <c r="C2395" s="1">
        <f ca="1">IFERROR(__xludf.DUMMYFUNCTION("""COMPUTED_VALUE"""),191.36)</f>
        <v>191.36</v>
      </c>
      <c r="D2395" s="1">
        <f ca="1">IFERROR(__xludf.DUMMYFUNCTION("""COMPUTED_VALUE"""),188.72)</f>
        <v>188.72</v>
      </c>
      <c r="E2395" s="1">
        <f ca="1">IFERROR(__xludf.DUMMYFUNCTION("""COMPUTED_VALUE"""),188.98)</f>
        <v>188.98</v>
      </c>
      <c r="F2395" s="1">
        <f ca="1">IFERROR(__xludf.DUMMYFUNCTION("""COMPUTED_VALUE"""),15141312)</f>
        <v>15141312</v>
      </c>
    </row>
    <row r="2396" spans="1:6" x14ac:dyDescent="0.35">
      <c r="A2396" s="2">
        <f ca="1">IFERROR(__xludf.DUMMYFUNCTION("""COMPUTED_VALUE"""),45483.6666666666)</f>
        <v>45483.666666666599</v>
      </c>
      <c r="B2396" s="1">
        <f ca="1">IFERROR(__xludf.DUMMYFUNCTION("""COMPUTED_VALUE"""),189.15)</f>
        <v>189.15</v>
      </c>
      <c r="C2396" s="1">
        <f ca="1">IFERROR(__xludf.DUMMYFUNCTION("""COMPUTED_VALUE"""),191.75)</f>
        <v>191.75</v>
      </c>
      <c r="D2396" s="1">
        <f ca="1">IFERROR(__xludf.DUMMYFUNCTION("""COMPUTED_VALUE"""),189.03)</f>
        <v>189.03</v>
      </c>
      <c r="E2396" s="1">
        <f ca="1">IFERROR(__xludf.DUMMYFUNCTION("""COMPUTED_VALUE"""),191.18)</f>
        <v>191.18</v>
      </c>
      <c r="F2396" s="1">
        <f ca="1">IFERROR(__xludf.DUMMYFUNCTION("""COMPUTED_VALUE"""),15952454)</f>
        <v>15952454</v>
      </c>
    </row>
    <row r="2397" spans="1:6" x14ac:dyDescent="0.35">
      <c r="A2397" s="2">
        <f ca="1">IFERROR(__xludf.DUMMYFUNCTION("""COMPUTED_VALUE"""),45484.6666666666)</f>
        <v>45484.666666666599</v>
      </c>
      <c r="B2397" s="1">
        <f ca="1">IFERROR(__xludf.DUMMYFUNCTION("""COMPUTED_VALUE"""),189.85)</f>
        <v>189.85</v>
      </c>
      <c r="C2397" s="1">
        <f ca="1">IFERROR(__xludf.DUMMYFUNCTION("""COMPUTED_VALUE"""),190.86)</f>
        <v>190.86</v>
      </c>
      <c r="D2397" s="1">
        <f ca="1">IFERROR(__xludf.DUMMYFUNCTION("""COMPUTED_VALUE"""),185.08)</f>
        <v>185.08</v>
      </c>
      <c r="E2397" s="1">
        <f ca="1">IFERROR(__xludf.DUMMYFUNCTION("""COMPUTED_VALUE"""),185.57)</f>
        <v>185.57</v>
      </c>
      <c r="F2397" s="1">
        <f ca="1">IFERROR(__xludf.DUMMYFUNCTION("""COMPUTED_VALUE"""),25625784)</f>
        <v>25625784</v>
      </c>
    </row>
    <row r="2398" spans="1:6" x14ac:dyDescent="0.35">
      <c r="A2398" s="2">
        <f ca="1">IFERROR(__xludf.DUMMYFUNCTION("""COMPUTED_VALUE"""),45485.6666666666)</f>
        <v>45485.666666666599</v>
      </c>
      <c r="B2398" s="1">
        <f ca="1">IFERROR(__xludf.DUMMYFUNCTION("""COMPUTED_VALUE"""),185.08)</f>
        <v>185.08</v>
      </c>
      <c r="C2398" s="1">
        <f ca="1">IFERROR(__xludf.DUMMYFUNCTION("""COMPUTED_VALUE"""),187.11)</f>
        <v>187.11</v>
      </c>
      <c r="D2398" s="1">
        <f ca="1">IFERROR(__xludf.DUMMYFUNCTION("""COMPUTED_VALUE"""),184.49)</f>
        <v>184.49</v>
      </c>
      <c r="E2398" s="1">
        <f ca="1">IFERROR(__xludf.DUMMYFUNCTION("""COMPUTED_VALUE"""),185.07)</f>
        <v>185.07</v>
      </c>
      <c r="F2398" s="1">
        <f ca="1">IFERROR(__xludf.DUMMYFUNCTION("""COMPUTED_VALUE"""),22898406)</f>
        <v>22898406</v>
      </c>
    </row>
    <row r="2399" spans="1:6" x14ac:dyDescent="0.35">
      <c r="A2399" s="2">
        <f ca="1">IFERROR(__xludf.DUMMYFUNCTION("""COMPUTED_VALUE"""),45488.6666666666)</f>
        <v>45488.666666666599</v>
      </c>
      <c r="B2399" s="1">
        <f ca="1">IFERROR(__xludf.DUMMYFUNCTION("""COMPUTED_VALUE"""),184.92)</f>
        <v>184.92</v>
      </c>
      <c r="C2399" s="1">
        <f ca="1">IFERROR(__xludf.DUMMYFUNCTION("""COMPUTED_VALUE"""),188.24)</f>
        <v>188.24</v>
      </c>
      <c r="D2399" s="1">
        <f ca="1">IFERROR(__xludf.DUMMYFUNCTION("""COMPUTED_VALUE"""),184.92)</f>
        <v>184.92</v>
      </c>
      <c r="E2399" s="1">
        <f ca="1">IFERROR(__xludf.DUMMYFUNCTION("""COMPUTED_VALUE"""),186.53)</f>
        <v>186.53</v>
      </c>
      <c r="F2399" s="1">
        <f ca="1">IFERROR(__xludf.DUMMYFUNCTION("""COMPUTED_VALUE"""),16474043)</f>
        <v>16474043</v>
      </c>
    </row>
    <row r="2400" spans="1:6" x14ac:dyDescent="0.35">
      <c r="A2400" s="2">
        <f ca="1">IFERROR(__xludf.DUMMYFUNCTION("""COMPUTED_VALUE"""),45489.6666666666)</f>
        <v>45489.666666666599</v>
      </c>
      <c r="B2400" s="1">
        <f ca="1">IFERROR(__xludf.DUMMYFUNCTION("""COMPUTED_VALUE"""),187.36)</f>
        <v>187.36</v>
      </c>
      <c r="C2400" s="1">
        <f ca="1">IFERROR(__xludf.DUMMYFUNCTION("""COMPUTED_VALUE"""),188.68)</f>
        <v>188.68</v>
      </c>
      <c r="D2400" s="1">
        <f ca="1">IFERROR(__xludf.DUMMYFUNCTION("""COMPUTED_VALUE"""),183.37)</f>
        <v>183.37</v>
      </c>
      <c r="E2400" s="1">
        <f ca="1">IFERROR(__xludf.DUMMYFUNCTION("""COMPUTED_VALUE"""),183.92)</f>
        <v>183.92</v>
      </c>
      <c r="F2400" s="1">
        <f ca="1">IFERROR(__xludf.DUMMYFUNCTION("""COMPUTED_VALUE"""),18290722)</f>
        <v>18290722</v>
      </c>
    </row>
    <row r="2401" spans="1:6" x14ac:dyDescent="0.35">
      <c r="A2401" s="2">
        <f ca="1">IFERROR(__xludf.DUMMYFUNCTION("""COMPUTED_VALUE"""),45490.6666666666)</f>
        <v>45490.666666666599</v>
      </c>
      <c r="B2401" s="1">
        <f ca="1">IFERROR(__xludf.DUMMYFUNCTION("""COMPUTED_VALUE"""),182.97)</f>
        <v>182.97</v>
      </c>
      <c r="C2401" s="1">
        <f ca="1">IFERROR(__xludf.DUMMYFUNCTION("""COMPUTED_VALUE"""),183.55)</f>
        <v>183.55</v>
      </c>
      <c r="D2401" s="1">
        <f ca="1">IFERROR(__xludf.DUMMYFUNCTION("""COMPUTED_VALUE"""),179.9)</f>
        <v>179.9</v>
      </c>
      <c r="E2401" s="1">
        <f ca="1">IFERROR(__xludf.DUMMYFUNCTION("""COMPUTED_VALUE"""),181.02)</f>
        <v>181.02</v>
      </c>
      <c r="F2401" s="1">
        <f ca="1">IFERROR(__xludf.DUMMYFUNCTION("""COMPUTED_VALUE"""),20734071)</f>
        <v>20734071</v>
      </c>
    </row>
    <row r="2402" spans="1:6" x14ac:dyDescent="0.35">
      <c r="A2402" s="2">
        <f ca="1">IFERROR(__xludf.DUMMYFUNCTION("""COMPUTED_VALUE"""),45491.6666666666)</f>
        <v>45491.666666666599</v>
      </c>
      <c r="B2402" s="1">
        <f ca="1">IFERROR(__xludf.DUMMYFUNCTION("""COMPUTED_VALUE"""),181.93)</f>
        <v>181.93</v>
      </c>
      <c r="C2402" s="1">
        <f ca="1">IFERROR(__xludf.DUMMYFUNCTION("""COMPUTED_VALUE"""),182.5)</f>
        <v>182.5</v>
      </c>
      <c r="D2402" s="1">
        <f ca="1">IFERROR(__xludf.DUMMYFUNCTION("""COMPUTED_VALUE"""),176.47)</f>
        <v>176.47</v>
      </c>
      <c r="E2402" s="1">
        <f ca="1">IFERROR(__xludf.DUMMYFUNCTION("""COMPUTED_VALUE"""),177.69)</f>
        <v>177.69</v>
      </c>
      <c r="F2402" s="1">
        <f ca="1">IFERROR(__xludf.DUMMYFUNCTION("""COMPUTED_VALUE"""),25315727)</f>
        <v>25315727</v>
      </c>
    </row>
    <row r="2403" spans="1:6" x14ac:dyDescent="0.35">
      <c r="A2403" s="2">
        <f ca="1">IFERROR(__xludf.DUMMYFUNCTION("""COMPUTED_VALUE"""),45492.6666666666)</f>
        <v>45492.666666666599</v>
      </c>
      <c r="B2403" s="1">
        <f ca="1">IFERROR(__xludf.DUMMYFUNCTION("""COMPUTED_VALUE"""),178.88)</f>
        <v>178.88</v>
      </c>
      <c r="C2403" s="1">
        <f ca="1">IFERROR(__xludf.DUMMYFUNCTION("""COMPUTED_VALUE"""),180.29)</f>
        <v>180.29</v>
      </c>
      <c r="D2403" s="1">
        <f ca="1">IFERROR(__xludf.DUMMYFUNCTION("""COMPUTED_VALUE"""),177.13)</f>
        <v>177.13</v>
      </c>
      <c r="E2403" s="1">
        <f ca="1">IFERROR(__xludf.DUMMYFUNCTION("""COMPUTED_VALUE"""),177.66)</f>
        <v>177.66</v>
      </c>
      <c r="F2403" s="1">
        <f ca="1">IFERROR(__xludf.DUMMYFUNCTION("""COMPUTED_VALUE"""),18881885)</f>
        <v>18881885</v>
      </c>
    </row>
    <row r="2404" spans="1:6" x14ac:dyDescent="0.35">
      <c r="A2404" s="2">
        <f ca="1">IFERROR(__xludf.DUMMYFUNCTION("""COMPUTED_VALUE"""),45495.6666666666)</f>
        <v>45495.666666666599</v>
      </c>
      <c r="B2404" s="1">
        <f ca="1">IFERROR(__xludf.DUMMYFUNCTION("""COMPUTED_VALUE"""),180.59)</f>
        <v>180.59</v>
      </c>
      <c r="C2404" s="1">
        <f ca="1">IFERROR(__xludf.DUMMYFUNCTION("""COMPUTED_VALUE"""),182.7)</f>
        <v>182.7</v>
      </c>
      <c r="D2404" s="1">
        <f ca="1">IFERROR(__xludf.DUMMYFUNCTION("""COMPUTED_VALUE"""),180.23)</f>
        <v>180.23</v>
      </c>
      <c r="E2404" s="1">
        <f ca="1">IFERROR(__xludf.DUMMYFUNCTION("""COMPUTED_VALUE"""),181.67)</f>
        <v>181.67</v>
      </c>
      <c r="F2404" s="1">
        <f ca="1">IFERROR(__xludf.DUMMYFUNCTION("""COMPUTED_VALUE"""),24100345)</f>
        <v>24100345</v>
      </c>
    </row>
    <row r="2405" spans="1:6" x14ac:dyDescent="0.35">
      <c r="A2405" s="2">
        <f ca="1">IFERROR(__xludf.DUMMYFUNCTION("""COMPUTED_VALUE"""),45496.6666666666)</f>
        <v>45496.666666666599</v>
      </c>
      <c r="B2405" s="1">
        <f ca="1">IFERROR(__xludf.DUMMYFUNCTION("""COMPUTED_VALUE"""),182.05)</f>
        <v>182.05</v>
      </c>
      <c r="C2405" s="1">
        <f ca="1">IFERROR(__xludf.DUMMYFUNCTION("""COMPUTED_VALUE"""),183.61)</f>
        <v>183.61</v>
      </c>
      <c r="D2405" s="1">
        <f ca="1">IFERROR(__xludf.DUMMYFUNCTION("""COMPUTED_VALUE"""),181.54)</f>
        <v>181.54</v>
      </c>
      <c r="E2405" s="1">
        <f ca="1">IFERROR(__xludf.DUMMYFUNCTION("""COMPUTED_VALUE"""),181.79)</f>
        <v>181.79</v>
      </c>
      <c r="F2405" s="1">
        <f ca="1">IFERROR(__xludf.DUMMYFUNCTION("""COMPUTED_VALUE"""),36352714)</f>
        <v>36352714</v>
      </c>
    </row>
    <row r="2406" spans="1:6" x14ac:dyDescent="0.35">
      <c r="A2406" s="2">
        <f ca="1">IFERROR(__xludf.DUMMYFUNCTION("""COMPUTED_VALUE"""),45497.6666666666)</f>
        <v>45497.666666666599</v>
      </c>
      <c r="B2406" s="1">
        <f ca="1">IFERROR(__xludf.DUMMYFUNCTION("""COMPUTED_VALUE"""),173.6)</f>
        <v>173.6</v>
      </c>
      <c r="C2406" s="1">
        <f ca="1">IFERROR(__xludf.DUMMYFUNCTION("""COMPUTED_VALUE"""),176.19)</f>
        <v>176.19</v>
      </c>
      <c r="D2406" s="1">
        <f ca="1">IFERROR(__xludf.DUMMYFUNCTION("""COMPUTED_VALUE"""),171.82)</f>
        <v>171.82</v>
      </c>
      <c r="E2406" s="1">
        <f ca="1">IFERROR(__xludf.DUMMYFUNCTION("""COMPUTED_VALUE"""),172.63)</f>
        <v>172.63</v>
      </c>
      <c r="F2406" s="1">
        <f ca="1">IFERROR(__xludf.DUMMYFUNCTION("""COMPUTED_VALUE"""),49585203)</f>
        <v>49585203</v>
      </c>
    </row>
    <row r="2407" spans="1:6" x14ac:dyDescent="0.35">
      <c r="A2407" s="2">
        <f ca="1">IFERROR(__xludf.DUMMYFUNCTION("""COMPUTED_VALUE"""),45498.6666666666)</f>
        <v>45498.666666666599</v>
      </c>
      <c r="B2407" s="1">
        <f ca="1">IFERROR(__xludf.DUMMYFUNCTION("""COMPUTED_VALUE"""),172.52)</f>
        <v>172.52</v>
      </c>
      <c r="C2407" s="1">
        <f ca="1">IFERROR(__xludf.DUMMYFUNCTION("""COMPUTED_VALUE"""),173.42)</f>
        <v>173.42</v>
      </c>
      <c r="D2407" s="1">
        <f ca="1">IFERROR(__xludf.DUMMYFUNCTION("""COMPUTED_VALUE"""),167.19)</f>
        <v>167.19</v>
      </c>
      <c r="E2407" s="1">
        <f ca="1">IFERROR(__xludf.DUMMYFUNCTION("""COMPUTED_VALUE"""),167.28)</f>
        <v>167.28</v>
      </c>
      <c r="F2407" s="1">
        <f ca="1">IFERROR(__xludf.DUMMYFUNCTION("""COMPUTED_VALUE"""),44851973)</f>
        <v>44851973</v>
      </c>
    </row>
    <row r="2408" spans="1:6" x14ac:dyDescent="0.35">
      <c r="A2408" s="2">
        <f ca="1">IFERROR(__xludf.DUMMYFUNCTION("""COMPUTED_VALUE"""),45499.6666666666)</f>
        <v>45499.666666666599</v>
      </c>
      <c r="B2408" s="1">
        <f ca="1">IFERROR(__xludf.DUMMYFUNCTION("""COMPUTED_VALUE"""),167.15)</f>
        <v>167.15</v>
      </c>
      <c r="C2408" s="1">
        <f ca="1">IFERROR(__xludf.DUMMYFUNCTION("""COMPUTED_VALUE"""),168.09)</f>
        <v>168.09</v>
      </c>
      <c r="D2408" s="1">
        <f ca="1">IFERROR(__xludf.DUMMYFUNCTION("""COMPUTED_VALUE"""),164.06)</f>
        <v>164.06</v>
      </c>
      <c r="E2408" s="1">
        <f ca="1">IFERROR(__xludf.DUMMYFUNCTION("""COMPUTED_VALUE"""),167)</f>
        <v>167</v>
      </c>
      <c r="F2408" s="1">
        <f ca="1">IFERROR(__xludf.DUMMYFUNCTION("""COMPUTED_VALUE"""),41336886)</f>
        <v>41336886</v>
      </c>
    </row>
    <row r="2409" spans="1:6" x14ac:dyDescent="0.35">
      <c r="A2409" s="2">
        <f ca="1">IFERROR(__xludf.DUMMYFUNCTION("""COMPUTED_VALUE"""),45502.6666666666)</f>
        <v>45502.666666666599</v>
      </c>
      <c r="B2409" s="1">
        <f ca="1">IFERROR(__xludf.DUMMYFUNCTION("""COMPUTED_VALUE"""),168.83)</f>
        <v>168.83</v>
      </c>
      <c r="C2409" s="1">
        <f ca="1">IFERROR(__xludf.DUMMYFUNCTION("""COMPUTED_VALUE"""),170.43)</f>
        <v>170.43</v>
      </c>
      <c r="D2409" s="1">
        <f ca="1">IFERROR(__xludf.DUMMYFUNCTION("""COMPUTED_VALUE"""),167.99)</f>
        <v>167.99</v>
      </c>
      <c r="E2409" s="1">
        <f ca="1">IFERROR(__xludf.DUMMYFUNCTION("""COMPUTED_VALUE"""),169.53)</f>
        <v>169.53</v>
      </c>
      <c r="F2409" s="1">
        <f ca="1">IFERROR(__xludf.DUMMYFUNCTION("""COMPUTED_VALUE"""),20293822)</f>
        <v>20293822</v>
      </c>
    </row>
    <row r="2410" spans="1:6" x14ac:dyDescent="0.35">
      <c r="A2410" s="2">
        <f ca="1">IFERROR(__xludf.DUMMYFUNCTION("""COMPUTED_VALUE"""),45503.6666666666)</f>
        <v>45503.666666666599</v>
      </c>
      <c r="B2410" s="1">
        <f ca="1">IFERROR(__xludf.DUMMYFUNCTION("""COMPUTED_VALUE"""),170.24)</f>
        <v>170.24</v>
      </c>
      <c r="C2410" s="1">
        <f ca="1">IFERROR(__xludf.DUMMYFUNCTION("""COMPUTED_VALUE"""),171.23)</f>
        <v>171.23</v>
      </c>
      <c r="D2410" s="1">
        <f ca="1">IFERROR(__xludf.DUMMYFUNCTION("""COMPUTED_VALUE"""),168.44)</f>
        <v>168.44</v>
      </c>
      <c r="E2410" s="1">
        <f ca="1">IFERROR(__xludf.DUMMYFUNCTION("""COMPUTED_VALUE"""),170.29)</f>
        <v>170.29</v>
      </c>
      <c r="F2410" s="1">
        <f ca="1">IFERROR(__xludf.DUMMYFUNCTION("""COMPUTED_VALUE"""),18959686)</f>
        <v>18959686</v>
      </c>
    </row>
    <row r="2411" spans="1:6" x14ac:dyDescent="0.35">
      <c r="A2411" s="2">
        <f ca="1">IFERROR(__xludf.DUMMYFUNCTION("""COMPUTED_VALUE"""),45504.6666666666)</f>
        <v>45504.666666666599</v>
      </c>
      <c r="B2411" s="1">
        <f ca="1">IFERROR(__xludf.DUMMYFUNCTION("""COMPUTED_VALUE"""),173.24)</f>
        <v>173.24</v>
      </c>
      <c r="C2411" s="1">
        <f ca="1">IFERROR(__xludf.DUMMYFUNCTION("""COMPUTED_VALUE"""),174.25)</f>
        <v>174.25</v>
      </c>
      <c r="D2411" s="1">
        <f ca="1">IFERROR(__xludf.DUMMYFUNCTION("""COMPUTED_VALUE"""),170.01)</f>
        <v>170.01</v>
      </c>
      <c r="E2411" s="1">
        <f ca="1">IFERROR(__xludf.DUMMYFUNCTION("""COMPUTED_VALUE"""),171.54)</f>
        <v>171.54</v>
      </c>
      <c r="F2411" s="1">
        <f ca="1">IFERROR(__xludf.DUMMYFUNCTION("""COMPUTED_VALUE"""),25729090)</f>
        <v>25729090</v>
      </c>
    </row>
    <row r="2412" spans="1:6" x14ac:dyDescent="0.35">
      <c r="A2412" s="2">
        <f ca="1">IFERROR(__xludf.DUMMYFUNCTION("""COMPUTED_VALUE"""),45505.6666666666)</f>
        <v>45505.666666666599</v>
      </c>
      <c r="B2412" s="1">
        <f ca="1">IFERROR(__xludf.DUMMYFUNCTION("""COMPUTED_VALUE"""),170.25)</f>
        <v>170.25</v>
      </c>
      <c r="C2412" s="1">
        <f ca="1">IFERROR(__xludf.DUMMYFUNCTION("""COMPUTED_VALUE"""),174.05)</f>
        <v>174.05</v>
      </c>
      <c r="D2412" s="1">
        <f ca="1">IFERROR(__xludf.DUMMYFUNCTION("""COMPUTED_VALUE"""),168.88)</f>
        <v>168.88</v>
      </c>
      <c r="E2412" s="1">
        <f ca="1">IFERROR(__xludf.DUMMYFUNCTION("""COMPUTED_VALUE"""),170.76)</f>
        <v>170.76</v>
      </c>
      <c r="F2412" s="1">
        <f ca="1">IFERROR(__xludf.DUMMYFUNCTION("""COMPUTED_VALUE"""),24531392)</f>
        <v>24531392</v>
      </c>
    </row>
    <row r="2413" spans="1:6" x14ac:dyDescent="0.35">
      <c r="A2413" s="2">
        <f ca="1">IFERROR(__xludf.DUMMYFUNCTION("""COMPUTED_VALUE"""),45506.6666666666)</f>
        <v>45506.666666666599</v>
      </c>
      <c r="B2413" s="1">
        <f ca="1">IFERROR(__xludf.DUMMYFUNCTION("""COMPUTED_VALUE"""),166.44)</f>
        <v>166.44</v>
      </c>
      <c r="C2413" s="1">
        <f ca="1">IFERROR(__xludf.DUMMYFUNCTION("""COMPUTED_VALUE"""),168.51)</f>
        <v>168.51</v>
      </c>
      <c r="D2413" s="1">
        <f ca="1">IFERROR(__xludf.DUMMYFUNCTION("""COMPUTED_VALUE"""),164.67)</f>
        <v>164.67</v>
      </c>
      <c r="E2413" s="1">
        <f ca="1">IFERROR(__xludf.DUMMYFUNCTION("""COMPUTED_VALUE"""),166.66)</f>
        <v>166.66</v>
      </c>
      <c r="F2413" s="1">
        <f ca="1">IFERROR(__xludf.DUMMYFUNCTION("""COMPUTED_VALUE"""),29130102)</f>
        <v>29130102</v>
      </c>
    </row>
    <row r="2414" spans="1:6" x14ac:dyDescent="0.35">
      <c r="A2414" s="2">
        <f ca="1">IFERROR(__xludf.DUMMYFUNCTION("""COMPUTED_VALUE"""),45509.6666666666)</f>
        <v>45509.666666666599</v>
      </c>
      <c r="B2414" s="1">
        <f ca="1">IFERROR(__xludf.DUMMYFUNCTION("""COMPUTED_VALUE"""),155.5)</f>
        <v>155.5</v>
      </c>
      <c r="C2414" s="1">
        <f ca="1">IFERROR(__xludf.DUMMYFUNCTION("""COMPUTED_VALUE"""),164.43)</f>
        <v>164.43</v>
      </c>
      <c r="D2414" s="1">
        <f ca="1">IFERROR(__xludf.DUMMYFUNCTION("""COMPUTED_VALUE"""),154.93)</f>
        <v>154.93</v>
      </c>
      <c r="E2414" s="1">
        <f ca="1">IFERROR(__xludf.DUMMYFUNCTION("""COMPUTED_VALUE"""),159.25)</f>
        <v>159.25</v>
      </c>
      <c r="F2414" s="1">
        <f ca="1">IFERROR(__xludf.DUMMYFUNCTION("""COMPUTED_VALUE"""),53630673)</f>
        <v>53630673</v>
      </c>
    </row>
    <row r="2415" spans="1:6" x14ac:dyDescent="0.35">
      <c r="A2415" s="2">
        <f ca="1">IFERROR(__xludf.DUMMYFUNCTION("""COMPUTED_VALUE"""),45510.6666666666)</f>
        <v>45510.666666666599</v>
      </c>
      <c r="B2415" s="1">
        <f ca="1">IFERROR(__xludf.DUMMYFUNCTION("""COMPUTED_VALUE"""),159.33)</f>
        <v>159.33000000000001</v>
      </c>
      <c r="C2415" s="1">
        <f ca="1">IFERROR(__xludf.DUMMYFUNCTION("""COMPUTED_VALUE"""),160.57)</f>
        <v>160.57</v>
      </c>
      <c r="D2415" s="1">
        <f ca="1">IFERROR(__xludf.DUMMYFUNCTION("""COMPUTED_VALUE"""),156.41)</f>
        <v>156.41</v>
      </c>
      <c r="E2415" s="1">
        <f ca="1">IFERROR(__xludf.DUMMYFUNCTION("""COMPUTED_VALUE"""),158.29)</f>
        <v>158.29</v>
      </c>
      <c r="F2415" s="1">
        <f ca="1">IFERROR(__xludf.DUMMYFUNCTION("""COMPUTED_VALUE"""),49004561)</f>
        <v>49004561</v>
      </c>
    </row>
    <row r="2416" spans="1:6" x14ac:dyDescent="0.35">
      <c r="A2416" s="2">
        <f ca="1">IFERROR(__xludf.DUMMYFUNCTION("""COMPUTED_VALUE"""),45511.6666666666)</f>
        <v>45511.666666666599</v>
      </c>
      <c r="B2416" s="1">
        <f ca="1">IFERROR(__xludf.DUMMYFUNCTION("""COMPUTED_VALUE"""),161.25)</f>
        <v>161.25</v>
      </c>
      <c r="C2416" s="1">
        <f ca="1">IFERROR(__xludf.DUMMYFUNCTION("""COMPUTED_VALUE"""),162.98)</f>
        <v>162.97999999999999</v>
      </c>
      <c r="D2416" s="1">
        <f ca="1">IFERROR(__xludf.DUMMYFUNCTION("""COMPUTED_VALUE"""),158.47)</f>
        <v>158.47</v>
      </c>
      <c r="E2416" s="1">
        <f ca="1">IFERROR(__xludf.DUMMYFUNCTION("""COMPUTED_VALUE"""),158.94)</f>
        <v>158.94</v>
      </c>
      <c r="F2416" s="1">
        <f ca="1">IFERROR(__xludf.DUMMYFUNCTION("""COMPUTED_VALUE"""),25138573)</f>
        <v>25138573</v>
      </c>
    </row>
    <row r="2417" spans="1:6" x14ac:dyDescent="0.35">
      <c r="A2417" s="2">
        <f ca="1">IFERROR(__xludf.DUMMYFUNCTION("""COMPUTED_VALUE"""),45512.6666666666)</f>
        <v>45512.666666666599</v>
      </c>
      <c r="B2417" s="1">
        <f ca="1">IFERROR(__xludf.DUMMYFUNCTION("""COMPUTED_VALUE"""),160.51)</f>
        <v>160.51</v>
      </c>
      <c r="C2417" s="1">
        <f ca="1">IFERROR(__xludf.DUMMYFUNCTION("""COMPUTED_VALUE"""),163.69)</f>
        <v>163.69</v>
      </c>
      <c r="D2417" s="1">
        <f ca="1">IFERROR(__xludf.DUMMYFUNCTION("""COMPUTED_VALUE"""),160.21)</f>
        <v>160.21</v>
      </c>
      <c r="E2417" s="1">
        <f ca="1">IFERROR(__xludf.DUMMYFUNCTION("""COMPUTED_VALUE"""),162.03)</f>
        <v>162.03</v>
      </c>
      <c r="F2417" s="1">
        <f ca="1">IFERROR(__xludf.DUMMYFUNCTION("""COMPUTED_VALUE"""),25578839)</f>
        <v>25578839</v>
      </c>
    </row>
    <row r="2418" spans="1:6" x14ac:dyDescent="0.35">
      <c r="A2418" s="2">
        <f ca="1">IFERROR(__xludf.DUMMYFUNCTION("""COMPUTED_VALUE"""),45513.6666666666)</f>
        <v>45513.666666666599</v>
      </c>
      <c r="B2418" s="1">
        <f ca="1">IFERROR(__xludf.DUMMYFUNCTION("""COMPUTED_VALUE"""),160.01)</f>
        <v>160.01</v>
      </c>
      <c r="C2418" s="1">
        <f ca="1">IFERROR(__xludf.DUMMYFUNCTION("""COMPUTED_VALUE"""),163.79)</f>
        <v>163.79</v>
      </c>
      <c r="D2418" s="1">
        <f ca="1">IFERROR(__xludf.DUMMYFUNCTION("""COMPUTED_VALUE"""),159.06)</f>
        <v>159.06</v>
      </c>
      <c r="E2418" s="1">
        <f ca="1">IFERROR(__xludf.DUMMYFUNCTION("""COMPUTED_VALUE"""),163.67)</f>
        <v>163.66999999999999</v>
      </c>
      <c r="F2418" s="1">
        <f ca="1">IFERROR(__xludf.DUMMYFUNCTION("""COMPUTED_VALUE"""),28602285)</f>
        <v>28602285</v>
      </c>
    </row>
    <row r="2419" spans="1:6" x14ac:dyDescent="0.35">
      <c r="A2419" s="2">
        <f ca="1">IFERROR(__xludf.DUMMYFUNCTION("""COMPUTED_VALUE"""),45516.6666666666)</f>
        <v>45516.666666666599</v>
      </c>
      <c r="B2419" s="1">
        <f ca="1">IFERROR(__xludf.DUMMYFUNCTION("""COMPUTED_VALUE"""),164.35)</f>
        <v>164.35</v>
      </c>
      <c r="C2419" s="1">
        <f ca="1">IFERROR(__xludf.DUMMYFUNCTION("""COMPUTED_VALUE"""),164.9)</f>
        <v>164.9</v>
      </c>
      <c r="D2419" s="1">
        <f ca="1">IFERROR(__xludf.DUMMYFUNCTION("""COMPUTED_VALUE"""),161.84)</f>
        <v>161.84</v>
      </c>
      <c r="E2419" s="1">
        <f ca="1">IFERROR(__xludf.DUMMYFUNCTION("""COMPUTED_VALUE"""),162.29)</f>
        <v>162.29</v>
      </c>
      <c r="F2419" s="1">
        <f ca="1">IFERROR(__xludf.DUMMYFUNCTION("""COMPUTED_VALUE"""),15895286)</f>
        <v>15895286</v>
      </c>
    </row>
    <row r="2420" spans="1:6" x14ac:dyDescent="0.35">
      <c r="A2420" s="2">
        <f ca="1">IFERROR(__xludf.DUMMYFUNCTION("""COMPUTED_VALUE"""),45517.6666666666)</f>
        <v>45517.666666666599</v>
      </c>
      <c r="B2420" s="1">
        <f ca="1">IFERROR(__xludf.DUMMYFUNCTION("""COMPUTED_VALUE"""),163.41)</f>
        <v>163.41</v>
      </c>
      <c r="C2420" s="1">
        <f ca="1">IFERROR(__xludf.DUMMYFUNCTION("""COMPUTED_VALUE"""),164.73)</f>
        <v>164.73</v>
      </c>
      <c r="D2420" s="1">
        <f ca="1">IFERROR(__xludf.DUMMYFUNCTION("""COMPUTED_VALUE"""),162.97)</f>
        <v>162.97</v>
      </c>
      <c r="E2420" s="1">
        <f ca="1">IFERROR(__xludf.DUMMYFUNCTION("""COMPUTED_VALUE"""),164.16)</f>
        <v>164.16</v>
      </c>
      <c r="F2420" s="1">
        <f ca="1">IFERROR(__xludf.DUMMYFUNCTION("""COMPUTED_VALUE"""),18551690)</f>
        <v>18551690</v>
      </c>
    </row>
    <row r="2421" spans="1:6" x14ac:dyDescent="0.35">
      <c r="A2421" s="2">
        <f ca="1">IFERROR(__xludf.DUMMYFUNCTION("""COMPUTED_VALUE"""),45518.6666666666)</f>
        <v>45518.666666666599</v>
      </c>
      <c r="B2421" s="1">
        <f ca="1">IFERROR(__xludf.DUMMYFUNCTION("""COMPUTED_VALUE"""),162.4)</f>
        <v>162.4</v>
      </c>
      <c r="C2421" s="1">
        <f ca="1">IFERROR(__xludf.DUMMYFUNCTION("""COMPUTED_VALUE"""),163.22)</f>
        <v>163.22</v>
      </c>
      <c r="D2421" s="1">
        <f ca="1">IFERROR(__xludf.DUMMYFUNCTION("""COMPUTED_VALUE"""),157.71)</f>
        <v>157.71</v>
      </c>
      <c r="E2421" s="1">
        <f ca="1">IFERROR(__xludf.DUMMYFUNCTION("""COMPUTED_VALUE"""),160.37)</f>
        <v>160.37</v>
      </c>
      <c r="F2421" s="1">
        <f ca="1">IFERROR(__xludf.DUMMYFUNCTION("""COMPUTED_VALUE"""),40591126)</f>
        <v>40591126</v>
      </c>
    </row>
    <row r="2422" spans="1:6" x14ac:dyDescent="0.35">
      <c r="A2422" s="2">
        <f ca="1">IFERROR(__xludf.DUMMYFUNCTION("""COMPUTED_VALUE"""),45519.6666666666)</f>
        <v>45519.666666666599</v>
      </c>
      <c r="B2422" s="1">
        <f ca="1">IFERROR(__xludf.DUMMYFUNCTION("""COMPUTED_VALUE"""),160.5)</f>
        <v>160.5</v>
      </c>
      <c r="C2422" s="1">
        <f ca="1">IFERROR(__xludf.DUMMYFUNCTION("""COMPUTED_VALUE"""),161.64)</f>
        <v>161.63999999999999</v>
      </c>
      <c r="D2422" s="1">
        <f ca="1">IFERROR(__xludf.DUMMYFUNCTION("""COMPUTED_VALUE"""),159.61)</f>
        <v>159.61000000000001</v>
      </c>
      <c r="E2422" s="1">
        <f ca="1">IFERROR(__xludf.DUMMYFUNCTION("""COMPUTED_VALUE"""),161.3)</f>
        <v>161.30000000000001</v>
      </c>
      <c r="F2422" s="1">
        <f ca="1">IFERROR(__xludf.DUMMYFUNCTION("""COMPUTED_VALUE"""),31524252)</f>
        <v>31524252</v>
      </c>
    </row>
    <row r="2423" spans="1:6" x14ac:dyDescent="0.35">
      <c r="A2423" s="2">
        <f ca="1">IFERROR(__xludf.DUMMYFUNCTION("""COMPUTED_VALUE"""),45520.6666666666)</f>
        <v>45520.666666666599</v>
      </c>
      <c r="B2423" s="1">
        <f ca="1">IFERROR(__xludf.DUMMYFUNCTION("""COMPUTED_VALUE"""),161.47)</f>
        <v>161.47</v>
      </c>
      <c r="C2423" s="1">
        <f ca="1">IFERROR(__xludf.DUMMYFUNCTION("""COMPUTED_VALUE"""),165.06)</f>
        <v>165.06</v>
      </c>
      <c r="D2423" s="1">
        <f ca="1">IFERROR(__xludf.DUMMYFUNCTION("""COMPUTED_VALUE"""),161.13)</f>
        <v>161.13</v>
      </c>
      <c r="E2423" s="1">
        <f ca="1">IFERROR(__xludf.DUMMYFUNCTION("""COMPUTED_VALUE"""),162.96)</f>
        <v>162.96</v>
      </c>
      <c r="F2423" s="1">
        <f ca="1">IFERROR(__xludf.DUMMYFUNCTION("""COMPUTED_VALUE"""),24208647)</f>
        <v>24208647</v>
      </c>
    </row>
    <row r="2424" spans="1:6" x14ac:dyDescent="0.35">
      <c r="A2424" s="2">
        <f ca="1">IFERROR(__xludf.DUMMYFUNCTION("""COMPUTED_VALUE"""),45523.6666666666)</f>
        <v>45523.666666666599</v>
      </c>
      <c r="B2424" s="1">
        <f ca="1">IFERROR(__xludf.DUMMYFUNCTION("""COMPUTED_VALUE"""),165.28)</f>
        <v>165.28</v>
      </c>
      <c r="C2424" s="1">
        <f ca="1">IFERROR(__xludf.DUMMYFUNCTION("""COMPUTED_VALUE"""),166.69)</f>
        <v>166.69</v>
      </c>
      <c r="D2424" s="1">
        <f ca="1">IFERROR(__xludf.DUMMYFUNCTION("""COMPUTED_VALUE"""),164.26)</f>
        <v>164.26</v>
      </c>
      <c r="E2424" s="1">
        <f ca="1">IFERROR(__xludf.DUMMYFUNCTION("""COMPUTED_VALUE"""),166.67)</f>
        <v>166.67</v>
      </c>
      <c r="F2424" s="1">
        <f ca="1">IFERROR(__xludf.DUMMYFUNCTION("""COMPUTED_VALUE"""),22416185)</f>
        <v>22416185</v>
      </c>
    </row>
    <row r="2425" spans="1:6" x14ac:dyDescent="0.35">
      <c r="A2425" s="2">
        <f ca="1">IFERROR(__xludf.DUMMYFUNCTION("""COMPUTED_VALUE"""),45524.6666666666)</f>
        <v>45524.666666666599</v>
      </c>
      <c r="B2425" s="1">
        <f ca="1">IFERROR(__xludf.DUMMYFUNCTION("""COMPUTED_VALUE"""),166.9)</f>
        <v>166.9</v>
      </c>
      <c r="C2425" s="1">
        <f ca="1">IFERROR(__xludf.DUMMYFUNCTION("""COMPUTED_VALUE"""),168.64)</f>
        <v>168.64</v>
      </c>
      <c r="D2425" s="1">
        <f ca="1">IFERROR(__xludf.DUMMYFUNCTION("""COMPUTED_VALUE"""),166.82)</f>
        <v>166.82</v>
      </c>
      <c r="E2425" s="1">
        <f ca="1">IFERROR(__xludf.DUMMYFUNCTION("""COMPUTED_VALUE"""),167.18)</f>
        <v>167.18</v>
      </c>
      <c r="F2425" s="1">
        <f ca="1">IFERROR(__xludf.DUMMYFUNCTION("""COMPUTED_VALUE"""),18341533)</f>
        <v>18341533</v>
      </c>
    </row>
    <row r="2426" spans="1:6" x14ac:dyDescent="0.35">
      <c r="A2426" s="2">
        <f ca="1">IFERROR(__xludf.DUMMYFUNCTION("""COMPUTED_VALUE"""),45525.6666666666)</f>
        <v>45525.666666666599</v>
      </c>
      <c r="B2426" s="1">
        <f ca="1">IFERROR(__xludf.DUMMYFUNCTION("""COMPUTED_VALUE"""),165.15)</f>
        <v>165.15</v>
      </c>
      <c r="C2426" s="1">
        <f ca="1">IFERROR(__xludf.DUMMYFUNCTION("""COMPUTED_VALUE"""),166.85)</f>
        <v>166.85</v>
      </c>
      <c r="D2426" s="1">
        <f ca="1">IFERROR(__xludf.DUMMYFUNCTION("""COMPUTED_VALUE"""),164.67)</f>
        <v>164.67</v>
      </c>
      <c r="E2426" s="1">
        <f ca="1">IFERROR(__xludf.DUMMYFUNCTION("""COMPUTED_VALUE"""),165.85)</f>
        <v>165.85</v>
      </c>
      <c r="F2426" s="1">
        <f ca="1">IFERROR(__xludf.DUMMYFUNCTION("""COMPUTED_VALUE"""),22901997)</f>
        <v>22901997</v>
      </c>
    </row>
    <row r="2427" spans="1:6" x14ac:dyDescent="0.35">
      <c r="A2427" s="2">
        <f ca="1">IFERROR(__xludf.DUMMYFUNCTION("""COMPUTED_VALUE"""),45526.6666666666)</f>
        <v>45526.666666666599</v>
      </c>
      <c r="B2427" s="1">
        <f ca="1">IFERROR(__xludf.DUMMYFUNCTION("""COMPUTED_VALUE"""),167.26)</f>
        <v>167.26</v>
      </c>
      <c r="C2427" s="1">
        <f ca="1">IFERROR(__xludf.DUMMYFUNCTION("""COMPUTED_VALUE"""),167.59)</f>
        <v>167.59</v>
      </c>
      <c r="D2427" s="1">
        <f ca="1">IFERROR(__xludf.DUMMYFUNCTION("""COMPUTED_VALUE"""),163.31)</f>
        <v>163.31</v>
      </c>
      <c r="E2427" s="1">
        <f ca="1">IFERROR(__xludf.DUMMYFUNCTION("""COMPUTED_VALUE"""),163.8)</f>
        <v>163.80000000000001</v>
      </c>
      <c r="F2427" s="1">
        <f ca="1">IFERROR(__xludf.DUMMYFUNCTION("""COMPUTED_VALUE"""),22493275)</f>
        <v>22493275</v>
      </c>
    </row>
    <row r="2428" spans="1:6" x14ac:dyDescent="0.35">
      <c r="A2428" s="2">
        <f ca="1">IFERROR(__xludf.DUMMYFUNCTION("""COMPUTED_VALUE"""),45527.6666666666)</f>
        <v>45527.666666666599</v>
      </c>
      <c r="B2428" s="1">
        <f ca="1">IFERROR(__xludf.DUMMYFUNCTION("""COMPUTED_VALUE"""),164.72)</f>
        <v>164.72</v>
      </c>
      <c r="C2428" s="1">
        <f ca="1">IFERROR(__xludf.DUMMYFUNCTION("""COMPUTED_VALUE"""),166.18)</f>
        <v>166.18</v>
      </c>
      <c r="D2428" s="1">
        <f ca="1">IFERROR(__xludf.DUMMYFUNCTION("""COMPUTED_VALUE"""),163.83)</f>
        <v>163.83000000000001</v>
      </c>
      <c r="E2428" s="1">
        <f ca="1">IFERROR(__xludf.DUMMYFUNCTION("""COMPUTED_VALUE"""),165.62)</f>
        <v>165.62</v>
      </c>
      <c r="F2428" s="1">
        <f ca="1">IFERROR(__xludf.DUMMYFUNCTION("""COMPUTED_VALUE"""),13955741)</f>
        <v>13955741</v>
      </c>
    </row>
    <row r="2429" spans="1:6" x14ac:dyDescent="0.35">
      <c r="A2429" s="2">
        <f ca="1">IFERROR(__xludf.DUMMYFUNCTION("""COMPUTED_VALUE"""),45530.6666666666)</f>
        <v>45530.666666666599</v>
      </c>
      <c r="B2429" s="1">
        <f ca="1">IFERROR(__xludf.DUMMYFUNCTION("""COMPUTED_VALUE"""),166.38)</f>
        <v>166.38</v>
      </c>
      <c r="C2429" s="1">
        <f ca="1">IFERROR(__xludf.DUMMYFUNCTION("""COMPUTED_VALUE"""),167.55)</f>
        <v>167.55</v>
      </c>
      <c r="D2429" s="1">
        <f ca="1">IFERROR(__xludf.DUMMYFUNCTION("""COMPUTED_VALUE"""),164.46)</f>
        <v>164.46</v>
      </c>
      <c r="E2429" s="1">
        <f ca="1">IFERROR(__xludf.DUMMYFUNCTION("""COMPUTED_VALUE"""),166.16)</f>
        <v>166.16</v>
      </c>
      <c r="F2429" s="1">
        <f ca="1">IFERROR(__xludf.DUMMYFUNCTION("""COMPUTED_VALUE"""),14190417)</f>
        <v>14190417</v>
      </c>
    </row>
    <row r="2430" spans="1:6" x14ac:dyDescent="0.35">
      <c r="A2430" s="2">
        <f ca="1">IFERROR(__xludf.DUMMYFUNCTION("""COMPUTED_VALUE"""),45531.6666666666)</f>
        <v>45531.666666666599</v>
      </c>
      <c r="B2430" s="1">
        <f ca="1">IFERROR(__xludf.DUMMYFUNCTION("""COMPUTED_VALUE"""),165.84)</f>
        <v>165.84</v>
      </c>
      <c r="C2430" s="1">
        <f ca="1">IFERROR(__xludf.DUMMYFUNCTION("""COMPUTED_VALUE"""),166.44)</f>
        <v>166.44</v>
      </c>
      <c r="D2430" s="1">
        <f ca="1">IFERROR(__xludf.DUMMYFUNCTION("""COMPUTED_VALUE"""),164.46)</f>
        <v>164.46</v>
      </c>
      <c r="E2430" s="1">
        <f ca="1">IFERROR(__xludf.DUMMYFUNCTION("""COMPUTED_VALUE"""),164.68)</f>
        <v>164.68</v>
      </c>
      <c r="F2430" s="1">
        <f ca="1">IFERROR(__xludf.DUMMYFUNCTION("""COMPUTED_VALUE"""),11821941)</f>
        <v>11821941</v>
      </c>
    </row>
    <row r="2431" spans="1:6" x14ac:dyDescent="0.35">
      <c r="A2431" s="2">
        <f ca="1">IFERROR(__xludf.DUMMYFUNCTION("""COMPUTED_VALUE"""),45532.6666666666)</f>
        <v>45532.666666666599</v>
      </c>
      <c r="B2431" s="1">
        <f ca="1">IFERROR(__xludf.DUMMYFUNCTION("""COMPUTED_VALUE"""),165.04)</f>
        <v>165.04</v>
      </c>
      <c r="C2431" s="1">
        <f ca="1">IFERROR(__xludf.DUMMYFUNCTION("""COMPUTED_VALUE"""),165.6)</f>
        <v>165.6</v>
      </c>
      <c r="D2431" s="1">
        <f ca="1">IFERROR(__xludf.DUMMYFUNCTION("""COMPUTED_VALUE"""),161.53)</f>
        <v>161.53</v>
      </c>
      <c r="E2431" s="1">
        <f ca="1">IFERROR(__xludf.DUMMYFUNCTION("""COMPUTED_VALUE"""),162.85)</f>
        <v>162.85</v>
      </c>
      <c r="F2431" s="1">
        <f ca="1">IFERROR(__xludf.DUMMYFUNCTION("""COMPUTED_VALUE"""),16407444)</f>
        <v>16407444</v>
      </c>
    </row>
    <row r="2432" spans="1:6" x14ac:dyDescent="0.35">
      <c r="A2432" s="2">
        <f ca="1">IFERROR(__xludf.DUMMYFUNCTION("""COMPUTED_VALUE"""),45533.6666666666)</f>
        <v>45533.666666666599</v>
      </c>
      <c r="B2432" s="1">
        <f ca="1">IFERROR(__xludf.DUMMYFUNCTION("""COMPUTED_VALUE"""),164.31)</f>
        <v>164.31</v>
      </c>
      <c r="C2432" s="1">
        <f ca="1">IFERROR(__xludf.DUMMYFUNCTION("""COMPUTED_VALUE"""),165.97)</f>
        <v>165.97</v>
      </c>
      <c r="D2432" s="1">
        <f ca="1">IFERROR(__xludf.DUMMYFUNCTION("""COMPUTED_VALUE"""),160.25)</f>
        <v>160.25</v>
      </c>
      <c r="E2432" s="1">
        <f ca="1">IFERROR(__xludf.DUMMYFUNCTION("""COMPUTED_VALUE"""),161.78)</f>
        <v>161.78</v>
      </c>
      <c r="F2432" s="1">
        <f ca="1">IFERROR(__xludf.DUMMYFUNCTION("""COMPUTED_VALUE"""),19699767)</f>
        <v>19699767</v>
      </c>
    </row>
    <row r="2433" spans="1:6" x14ac:dyDescent="0.35">
      <c r="A2433" s="2">
        <f ca="1">IFERROR(__xludf.DUMMYFUNCTION("""COMPUTED_VALUE"""),45534.6666666666)</f>
        <v>45534.666666666599</v>
      </c>
      <c r="B2433" s="1">
        <f ca="1">IFERROR(__xludf.DUMMYFUNCTION("""COMPUTED_VALUE"""),162.62)</f>
        <v>162.62</v>
      </c>
      <c r="C2433" s="1">
        <f ca="1">IFERROR(__xludf.DUMMYFUNCTION("""COMPUTED_VALUE"""),163.66)</f>
        <v>163.66</v>
      </c>
      <c r="D2433" s="1">
        <f ca="1">IFERROR(__xludf.DUMMYFUNCTION("""COMPUTED_VALUE"""),161.69)</f>
        <v>161.69</v>
      </c>
      <c r="E2433" s="1">
        <f ca="1">IFERROR(__xludf.DUMMYFUNCTION("""COMPUTED_VALUE"""),163.38)</f>
        <v>163.38</v>
      </c>
      <c r="F2433" s="1">
        <f ca="1">IFERROR(__xludf.DUMMYFUNCTION("""COMPUTED_VALUE"""),22123811)</f>
        <v>22123811</v>
      </c>
    </row>
    <row r="2434" spans="1:6" x14ac:dyDescent="0.35">
      <c r="A2434" s="2">
        <f ca="1">IFERROR(__xludf.DUMMYFUNCTION("""COMPUTED_VALUE"""),45538.6666666666)</f>
        <v>45538.666666666599</v>
      </c>
      <c r="B2434" s="1">
        <f ca="1">IFERROR(__xludf.DUMMYFUNCTION("""COMPUTED_VALUE"""),161.72)</f>
        <v>161.72</v>
      </c>
      <c r="C2434" s="1">
        <f ca="1">IFERROR(__xludf.DUMMYFUNCTION("""COMPUTED_VALUE"""),161.85)</f>
        <v>161.85</v>
      </c>
      <c r="D2434" s="1">
        <f ca="1">IFERROR(__xludf.DUMMYFUNCTION("""COMPUTED_VALUE"""),156.48)</f>
        <v>156.47999999999999</v>
      </c>
      <c r="E2434" s="1">
        <f ca="1">IFERROR(__xludf.DUMMYFUNCTION("""COMPUTED_VALUE"""),157.36)</f>
        <v>157.36000000000001</v>
      </c>
      <c r="F2434" s="1">
        <f ca="1">IFERROR(__xludf.DUMMYFUNCTION("""COMPUTED_VALUE"""),38945301)</f>
        <v>38945301</v>
      </c>
    </row>
    <row r="2435" spans="1:6" x14ac:dyDescent="0.35">
      <c r="A2435" s="2">
        <f ca="1">IFERROR(__xludf.DUMMYFUNCTION("""COMPUTED_VALUE"""),45539.6666666666)</f>
        <v>45539.666666666599</v>
      </c>
      <c r="B2435" s="1">
        <f ca="1">IFERROR(__xludf.DUMMYFUNCTION("""COMPUTED_VALUE"""),156.66)</f>
        <v>156.66</v>
      </c>
      <c r="C2435" s="1">
        <f ca="1">IFERROR(__xludf.DUMMYFUNCTION("""COMPUTED_VALUE"""),159)</f>
        <v>159</v>
      </c>
      <c r="D2435" s="1">
        <f ca="1">IFERROR(__xludf.DUMMYFUNCTION("""COMPUTED_VALUE"""),155.96)</f>
        <v>155.96</v>
      </c>
      <c r="E2435" s="1">
        <f ca="1">IFERROR(__xludf.DUMMYFUNCTION("""COMPUTED_VALUE"""),156.45)</f>
        <v>156.44999999999999</v>
      </c>
      <c r="F2435" s="1">
        <f ca="1">IFERROR(__xludf.DUMMYFUNCTION("""COMPUTED_VALUE"""),19353759)</f>
        <v>19353759</v>
      </c>
    </row>
    <row r="2436" spans="1:6" x14ac:dyDescent="0.35">
      <c r="A2436" s="2">
        <f ca="1">IFERROR(__xludf.DUMMYFUNCTION("""COMPUTED_VALUE"""),45540.6666666666)</f>
        <v>45540.666666666599</v>
      </c>
      <c r="B2436" s="1">
        <f ca="1">IFERROR(__xludf.DUMMYFUNCTION("""COMPUTED_VALUE"""),156.3)</f>
        <v>156.30000000000001</v>
      </c>
      <c r="C2436" s="1">
        <f ca="1">IFERROR(__xludf.DUMMYFUNCTION("""COMPUTED_VALUE"""),159.45)</f>
        <v>159.44999999999999</v>
      </c>
      <c r="D2436" s="1">
        <f ca="1">IFERROR(__xludf.DUMMYFUNCTION("""COMPUTED_VALUE"""),155.98)</f>
        <v>155.97999999999999</v>
      </c>
      <c r="E2436" s="1">
        <f ca="1">IFERROR(__xludf.DUMMYFUNCTION("""COMPUTED_VALUE"""),157.24)</f>
        <v>157.24</v>
      </c>
      <c r="F2436" s="1">
        <f ca="1">IFERROR(__xludf.DUMMYFUNCTION("""COMPUTED_VALUE"""),18688747)</f>
        <v>18688747</v>
      </c>
    </row>
    <row r="2437" spans="1:6" x14ac:dyDescent="0.35">
      <c r="A2437" s="2">
        <f ca="1">IFERROR(__xludf.DUMMYFUNCTION("""COMPUTED_VALUE"""),45541.6666666666)</f>
        <v>45541.666666666599</v>
      </c>
      <c r="B2437" s="1">
        <f ca="1">IFERROR(__xludf.DUMMYFUNCTION("""COMPUTED_VALUE"""),157.3)</f>
        <v>157.30000000000001</v>
      </c>
      <c r="C2437" s="1">
        <f ca="1">IFERROR(__xludf.DUMMYFUNCTION("""COMPUTED_VALUE"""),157.83)</f>
        <v>157.83000000000001</v>
      </c>
      <c r="D2437" s="1">
        <f ca="1">IFERROR(__xludf.DUMMYFUNCTION("""COMPUTED_VALUE"""),150.55)</f>
        <v>150.55000000000001</v>
      </c>
      <c r="E2437" s="1">
        <f ca="1">IFERROR(__xludf.DUMMYFUNCTION("""COMPUTED_VALUE"""),150.92)</f>
        <v>150.91999999999999</v>
      </c>
      <c r="F2437" s="1">
        <f ca="1">IFERROR(__xludf.DUMMYFUNCTION("""COMPUTED_VALUE"""),37912130)</f>
        <v>37912130</v>
      </c>
    </row>
    <row r="2438" spans="1:6" x14ac:dyDescent="0.35">
      <c r="A2438" s="2">
        <f ca="1">IFERROR(__xludf.DUMMYFUNCTION("""COMPUTED_VALUE"""),45544.6666666666)</f>
        <v>45544.666666666599</v>
      </c>
      <c r="B2438" s="1">
        <f ca="1">IFERROR(__xludf.DUMMYFUNCTION("""COMPUTED_VALUE"""),152.51)</f>
        <v>152.51</v>
      </c>
      <c r="C2438" s="1">
        <f ca="1">IFERROR(__xludf.DUMMYFUNCTION("""COMPUTED_VALUE"""),153.4)</f>
        <v>153.4</v>
      </c>
      <c r="D2438" s="1">
        <f ca="1">IFERROR(__xludf.DUMMYFUNCTION("""COMPUTED_VALUE"""),147.22)</f>
        <v>147.22</v>
      </c>
      <c r="E2438" s="1">
        <f ca="1">IFERROR(__xludf.DUMMYFUNCTION("""COMPUTED_VALUE"""),148.71)</f>
        <v>148.71</v>
      </c>
      <c r="F2438" s="1">
        <f ca="1">IFERROR(__xludf.DUMMYFUNCTION("""COMPUTED_VALUE"""),39260451)</f>
        <v>39260451</v>
      </c>
    </row>
    <row r="2439" spans="1:6" x14ac:dyDescent="0.35">
      <c r="A2439" s="2">
        <f ca="1">IFERROR(__xludf.DUMMYFUNCTION("""COMPUTED_VALUE"""),45545.6666666666)</f>
        <v>45545.666666666599</v>
      </c>
      <c r="B2439" s="1">
        <f ca="1">IFERROR(__xludf.DUMMYFUNCTION("""COMPUTED_VALUE"""),150.45)</f>
        <v>150.44999999999999</v>
      </c>
      <c r="C2439" s="1">
        <f ca="1">IFERROR(__xludf.DUMMYFUNCTION("""COMPUTED_VALUE"""),151.27)</f>
        <v>151.27000000000001</v>
      </c>
      <c r="D2439" s="1">
        <f ca="1">IFERROR(__xludf.DUMMYFUNCTION("""COMPUTED_VALUE"""),148.34)</f>
        <v>148.34</v>
      </c>
      <c r="E2439" s="1">
        <f ca="1">IFERROR(__xludf.DUMMYFUNCTION("""COMPUTED_VALUE"""),148.66)</f>
        <v>148.66</v>
      </c>
      <c r="F2439" s="1">
        <f ca="1">IFERROR(__xludf.DUMMYFUNCTION("""COMPUTED_VALUE"""),31118765)</f>
        <v>31118765</v>
      </c>
    </row>
    <row r="2440" spans="1:6" x14ac:dyDescent="0.35">
      <c r="A2440" s="2">
        <f ca="1">IFERROR(__xludf.DUMMYFUNCTION("""COMPUTED_VALUE"""),45546.6666666666)</f>
        <v>45546.666666666599</v>
      </c>
      <c r="B2440" s="1">
        <f ca="1">IFERROR(__xludf.DUMMYFUNCTION("""COMPUTED_VALUE"""),149.92)</f>
        <v>149.91999999999999</v>
      </c>
      <c r="C2440" s="1">
        <f ca="1">IFERROR(__xludf.DUMMYFUNCTION("""COMPUTED_VALUE"""),151.5)</f>
        <v>151.5</v>
      </c>
      <c r="D2440" s="1">
        <f ca="1">IFERROR(__xludf.DUMMYFUNCTION("""COMPUTED_VALUE"""),147.52)</f>
        <v>147.52000000000001</v>
      </c>
      <c r="E2440" s="1">
        <f ca="1">IFERROR(__xludf.DUMMYFUNCTION("""COMPUTED_VALUE"""),151.16)</f>
        <v>151.16</v>
      </c>
      <c r="F2440" s="1">
        <f ca="1">IFERROR(__xludf.DUMMYFUNCTION("""COMPUTED_VALUE"""),29607693)</f>
        <v>29607693</v>
      </c>
    </row>
    <row r="2441" spans="1:6" x14ac:dyDescent="0.35">
      <c r="A2441" s="2">
        <f ca="1">IFERROR(__xludf.DUMMYFUNCTION("""COMPUTED_VALUE"""),45547.6666666666)</f>
        <v>45547.666666666599</v>
      </c>
      <c r="B2441" s="1">
        <f ca="1">IFERROR(__xludf.DUMMYFUNCTION("""COMPUTED_VALUE"""),153.8)</f>
        <v>153.80000000000001</v>
      </c>
      <c r="C2441" s="1">
        <f ca="1">IFERROR(__xludf.DUMMYFUNCTION("""COMPUTED_VALUE"""),154.82)</f>
        <v>154.82</v>
      </c>
      <c r="D2441" s="1">
        <f ca="1">IFERROR(__xludf.DUMMYFUNCTION("""COMPUTED_VALUE"""),152.65)</f>
        <v>152.65</v>
      </c>
      <c r="E2441" s="1">
        <f ca="1">IFERROR(__xludf.DUMMYFUNCTION("""COMPUTED_VALUE"""),154.69)</f>
        <v>154.69</v>
      </c>
      <c r="F2441" s="1">
        <f ca="1">IFERROR(__xludf.DUMMYFUNCTION("""COMPUTED_VALUE"""),29695048)</f>
        <v>29695048</v>
      </c>
    </row>
    <row r="2442" spans="1:6" x14ac:dyDescent="0.35">
      <c r="A2442" s="2">
        <f ca="1">IFERROR(__xludf.DUMMYFUNCTION("""COMPUTED_VALUE"""),45548.6666666666)</f>
        <v>45548.666666666599</v>
      </c>
      <c r="B2442" s="1">
        <f ca="1">IFERROR(__xludf.DUMMYFUNCTION("""COMPUTED_VALUE"""),155.43)</f>
        <v>155.43</v>
      </c>
      <c r="C2442" s="1">
        <f ca="1">IFERROR(__xludf.DUMMYFUNCTION("""COMPUTED_VALUE"""),158.38)</f>
        <v>158.38</v>
      </c>
      <c r="D2442" s="1">
        <f ca="1">IFERROR(__xludf.DUMMYFUNCTION("""COMPUTED_VALUE"""),155.21)</f>
        <v>155.21</v>
      </c>
      <c r="E2442" s="1">
        <f ca="1">IFERROR(__xludf.DUMMYFUNCTION("""COMPUTED_VALUE"""),157.46)</f>
        <v>157.46</v>
      </c>
      <c r="F2442" s="1">
        <f ca="1">IFERROR(__xludf.DUMMYFUNCTION("""COMPUTED_VALUE"""),29591152)</f>
        <v>29591152</v>
      </c>
    </row>
    <row r="2443" spans="1:6" x14ac:dyDescent="0.35">
      <c r="A2443" s="2">
        <f ca="1">IFERROR(__xludf.DUMMYFUNCTION("""COMPUTED_VALUE"""),45551.6666666666)</f>
        <v>45551.666666666599</v>
      </c>
      <c r="B2443" s="1">
        <f ca="1">IFERROR(__xludf.DUMMYFUNCTION("""COMPUTED_VALUE"""),157.31)</f>
        <v>157.31</v>
      </c>
      <c r="C2443" s="1">
        <f ca="1">IFERROR(__xludf.DUMMYFUNCTION("""COMPUTED_VALUE"""),158.25)</f>
        <v>158.25</v>
      </c>
      <c r="D2443" s="1">
        <f ca="1">IFERROR(__xludf.DUMMYFUNCTION("""COMPUTED_VALUE"""),156.6)</f>
        <v>156.6</v>
      </c>
      <c r="E2443" s="1">
        <f ca="1">IFERROR(__xludf.DUMMYFUNCTION("""COMPUTED_VALUE"""),158.06)</f>
        <v>158.06</v>
      </c>
      <c r="F2443" s="1">
        <f ca="1">IFERROR(__xludf.DUMMYFUNCTION("""COMPUTED_VALUE"""),18379775)</f>
        <v>18379775</v>
      </c>
    </row>
    <row r="2444" spans="1:6" x14ac:dyDescent="0.35">
      <c r="A2444" s="2">
        <f ca="1">IFERROR(__xludf.DUMMYFUNCTION("""COMPUTED_VALUE"""),45552.6666666666)</f>
        <v>45552.666666666599</v>
      </c>
      <c r="B2444" s="1">
        <f ca="1">IFERROR(__xludf.DUMMYFUNCTION("""COMPUTED_VALUE"""),159.02)</f>
        <v>159.02000000000001</v>
      </c>
      <c r="C2444" s="1">
        <f ca="1">IFERROR(__xludf.DUMMYFUNCTION("""COMPUTED_VALUE"""),160.55)</f>
        <v>160.55000000000001</v>
      </c>
      <c r="D2444" s="1">
        <f ca="1">IFERROR(__xludf.DUMMYFUNCTION("""COMPUTED_VALUE"""),158.38)</f>
        <v>158.38</v>
      </c>
      <c r="E2444" s="1">
        <f ca="1">IFERROR(__xludf.DUMMYFUNCTION("""COMPUTED_VALUE"""),159.32)</f>
        <v>159.32</v>
      </c>
      <c r="F2444" s="1">
        <f ca="1">IFERROR(__xludf.DUMMYFUNCTION("""COMPUTED_VALUE"""),20715612)</f>
        <v>20715612</v>
      </c>
    </row>
    <row r="2445" spans="1:6" x14ac:dyDescent="0.35">
      <c r="A2445" s="2">
        <f ca="1">IFERROR(__xludf.DUMMYFUNCTION("""COMPUTED_VALUE"""),45553.6666666666)</f>
        <v>45553.666666666599</v>
      </c>
      <c r="B2445" s="1">
        <f ca="1">IFERROR(__xludf.DUMMYFUNCTION("""COMPUTED_VALUE"""),159.86)</f>
        <v>159.86000000000001</v>
      </c>
      <c r="C2445" s="1">
        <f ca="1">IFERROR(__xludf.DUMMYFUNCTION("""COMPUTED_VALUE"""),160.5)</f>
        <v>160.5</v>
      </c>
      <c r="D2445" s="1">
        <f ca="1">IFERROR(__xludf.DUMMYFUNCTION("""COMPUTED_VALUE"""),158.6)</f>
        <v>158.6</v>
      </c>
      <c r="E2445" s="1">
        <f ca="1">IFERROR(__xludf.DUMMYFUNCTION("""COMPUTED_VALUE"""),159.81)</f>
        <v>159.81</v>
      </c>
      <c r="F2445" s="1">
        <f ca="1">IFERROR(__xludf.DUMMYFUNCTION("""COMPUTED_VALUE"""),23677315)</f>
        <v>23677315</v>
      </c>
    </row>
    <row r="2446" spans="1:6" x14ac:dyDescent="0.35">
      <c r="A2446" s="2">
        <f ca="1">IFERROR(__xludf.DUMMYFUNCTION("""COMPUTED_VALUE"""),45554.6666666666)</f>
        <v>45554.666666666599</v>
      </c>
      <c r="B2446" s="1">
        <f ca="1">IFERROR(__xludf.DUMMYFUNCTION("""COMPUTED_VALUE"""),163.71)</f>
        <v>163.71</v>
      </c>
      <c r="C2446" s="1">
        <f ca="1">IFERROR(__xludf.DUMMYFUNCTION("""COMPUTED_VALUE"""),163.79)</f>
        <v>163.79</v>
      </c>
      <c r="D2446" s="1">
        <f ca="1">IFERROR(__xludf.DUMMYFUNCTION("""COMPUTED_VALUE"""),161.34)</f>
        <v>161.34</v>
      </c>
      <c r="E2446" s="1">
        <f ca="1">IFERROR(__xludf.DUMMYFUNCTION("""COMPUTED_VALUE"""),162.14)</f>
        <v>162.13999999999999</v>
      </c>
      <c r="F2446" s="1">
        <f ca="1">IFERROR(__xludf.DUMMYFUNCTION("""COMPUTED_VALUE"""),26587733)</f>
        <v>26587733</v>
      </c>
    </row>
    <row r="2447" spans="1:6" x14ac:dyDescent="0.35">
      <c r="A2447" s="2">
        <f ca="1">IFERROR(__xludf.DUMMYFUNCTION("""COMPUTED_VALUE"""),45555.6666666666)</f>
        <v>45555.666666666599</v>
      </c>
      <c r="B2447" s="1">
        <f ca="1">IFERROR(__xludf.DUMMYFUNCTION("""COMPUTED_VALUE"""),163.5)</f>
        <v>163.5</v>
      </c>
      <c r="C2447" s="1">
        <f ca="1">IFERROR(__xludf.DUMMYFUNCTION("""COMPUTED_VALUE"""),163.73)</f>
        <v>163.72999999999999</v>
      </c>
      <c r="D2447" s="1">
        <f ca="1">IFERROR(__xludf.DUMMYFUNCTION("""COMPUTED_VALUE"""),162.06)</f>
        <v>162.06</v>
      </c>
      <c r="E2447" s="1">
        <f ca="1">IFERROR(__xludf.DUMMYFUNCTION("""COMPUTED_VALUE"""),163.59)</f>
        <v>163.59</v>
      </c>
      <c r="F2447" s="1">
        <f ca="1">IFERROR(__xludf.DUMMYFUNCTION("""COMPUTED_VALUE"""),40896438)</f>
        <v>40896438</v>
      </c>
    </row>
    <row r="2448" spans="1:6" x14ac:dyDescent="0.35">
      <c r="A2448" s="2">
        <f ca="1">IFERROR(__xludf.DUMMYFUNCTION("""COMPUTED_VALUE"""),45558.6666666666)</f>
        <v>45558.666666666599</v>
      </c>
      <c r="B2448" s="1">
        <f ca="1">IFERROR(__xludf.DUMMYFUNCTION("""COMPUTED_VALUE"""),164.35)</f>
        <v>164.35</v>
      </c>
      <c r="C2448" s="1">
        <f ca="1">IFERROR(__xludf.DUMMYFUNCTION("""COMPUTED_VALUE"""),165.49)</f>
        <v>165.49</v>
      </c>
      <c r="D2448" s="1">
        <f ca="1">IFERROR(__xludf.DUMMYFUNCTION("""COMPUTED_VALUE"""),161.67)</f>
        <v>161.66999999999999</v>
      </c>
      <c r="E2448" s="1">
        <f ca="1">IFERROR(__xludf.DUMMYFUNCTION("""COMPUTED_VALUE"""),161.85)</f>
        <v>161.85</v>
      </c>
      <c r="F2448" s="1">
        <f ca="1">IFERROR(__xludf.DUMMYFUNCTION("""COMPUTED_VALUE"""),24150852)</f>
        <v>24150852</v>
      </c>
    </row>
    <row r="2449" spans="1:6" x14ac:dyDescent="0.35">
      <c r="A2449" s="2">
        <f ca="1">IFERROR(__xludf.DUMMYFUNCTION("""COMPUTED_VALUE"""),45559.6666666666)</f>
        <v>45559.666666666599</v>
      </c>
      <c r="B2449" s="1">
        <f ca="1">IFERROR(__xludf.DUMMYFUNCTION("""COMPUTED_VALUE"""),163.03)</f>
        <v>163.03</v>
      </c>
      <c r="C2449" s="1">
        <f ca="1">IFERROR(__xludf.DUMMYFUNCTION("""COMPUTED_VALUE"""),163.22)</f>
        <v>163.22</v>
      </c>
      <c r="D2449" s="1">
        <f ca="1">IFERROR(__xludf.DUMMYFUNCTION("""COMPUTED_VALUE"""),160.69)</f>
        <v>160.69</v>
      </c>
      <c r="E2449" s="1">
        <f ca="1">IFERROR(__xludf.DUMMYFUNCTION("""COMPUTED_VALUE"""),162.29)</f>
        <v>162.29</v>
      </c>
      <c r="F2449" s="1">
        <f ca="1">IFERROR(__xludf.DUMMYFUNCTION("""COMPUTED_VALUE"""),23332147)</f>
        <v>23332147</v>
      </c>
    </row>
    <row r="2450" spans="1:6" x14ac:dyDescent="0.35">
      <c r="A2450" s="2">
        <f ca="1">IFERROR(__xludf.DUMMYFUNCTION("""COMPUTED_VALUE"""),45560.6666666666)</f>
        <v>45560.666666666599</v>
      </c>
      <c r="B2450" s="1">
        <f ca="1">IFERROR(__xludf.DUMMYFUNCTION("""COMPUTED_VALUE"""),161.47)</f>
        <v>161.47</v>
      </c>
      <c r="C2450" s="1">
        <f ca="1">IFERROR(__xludf.DUMMYFUNCTION("""COMPUTED_VALUE"""),162.81)</f>
        <v>162.81</v>
      </c>
      <c r="D2450" s="1">
        <f ca="1">IFERROR(__xludf.DUMMYFUNCTION("""COMPUTED_VALUE"""),161.3)</f>
        <v>161.30000000000001</v>
      </c>
      <c r="E2450" s="1">
        <f ca="1">IFERROR(__xludf.DUMMYFUNCTION("""COMPUTED_VALUE"""),161.49)</f>
        <v>161.49</v>
      </c>
      <c r="F2450" s="1">
        <f ca="1">IFERROR(__xludf.DUMMYFUNCTION("""COMPUTED_VALUE"""),18869199)</f>
        <v>18869199</v>
      </c>
    </row>
    <row r="2451" spans="1:6" x14ac:dyDescent="0.35">
      <c r="A2451" s="2">
        <f ca="1">IFERROR(__xludf.DUMMYFUNCTION("""COMPUTED_VALUE"""),45561.6666666666)</f>
        <v>45561.666666666599</v>
      </c>
      <c r="B2451" s="1">
        <f ca="1">IFERROR(__xludf.DUMMYFUNCTION("""COMPUTED_VALUE"""),163.64)</f>
        <v>163.63999999999999</v>
      </c>
      <c r="C2451" s="1">
        <f ca="1">IFERROR(__xludf.DUMMYFUNCTION("""COMPUTED_VALUE"""),164.08)</f>
        <v>164.08</v>
      </c>
      <c r="D2451" s="1">
        <f ca="1">IFERROR(__xludf.DUMMYFUNCTION("""COMPUTED_VALUE"""),162.28)</f>
        <v>162.28</v>
      </c>
      <c r="E2451" s="1">
        <f ca="1">IFERROR(__xludf.DUMMYFUNCTION("""COMPUTED_VALUE"""),162.73)</f>
        <v>162.72999999999999</v>
      </c>
      <c r="F2451" s="1">
        <f ca="1">IFERROR(__xludf.DUMMYFUNCTION("""COMPUTED_VALUE"""),20319336)</f>
        <v>20319336</v>
      </c>
    </row>
    <row r="2452" spans="1:6" x14ac:dyDescent="0.35">
      <c r="A2452" s="2">
        <f ca="1">IFERROR(__xludf.DUMMYFUNCTION("""COMPUTED_VALUE"""),45562.6666666666)</f>
        <v>45562.666666666599</v>
      </c>
      <c r="B2452" s="1">
        <f ca="1">IFERROR(__xludf.DUMMYFUNCTION("""COMPUTED_VALUE"""),162.81)</f>
        <v>162.81</v>
      </c>
      <c r="C2452" s="1">
        <f ca="1">IFERROR(__xludf.DUMMYFUNCTION("""COMPUTED_VALUE"""),165.7)</f>
        <v>165.7</v>
      </c>
      <c r="D2452" s="1">
        <f ca="1">IFERROR(__xludf.DUMMYFUNCTION("""COMPUTED_VALUE"""),162.63)</f>
        <v>162.63</v>
      </c>
      <c r="E2452" s="1">
        <f ca="1">IFERROR(__xludf.DUMMYFUNCTION("""COMPUTED_VALUE"""),163.95)</f>
        <v>163.95</v>
      </c>
      <c r="F2452" s="1">
        <f ca="1">IFERROR(__xludf.DUMMYFUNCTION("""COMPUTED_VALUE"""),21101307)</f>
        <v>21101307</v>
      </c>
    </row>
    <row r="2453" spans="1:6" x14ac:dyDescent="0.35">
      <c r="A2453" s="2">
        <f ca="1">IFERROR(__xludf.DUMMYFUNCTION("""COMPUTED_VALUE"""),45565.6666666666)</f>
        <v>45565.666666666599</v>
      </c>
      <c r="B2453" s="1">
        <f ca="1">IFERROR(__xludf.DUMMYFUNCTION("""COMPUTED_VALUE"""),163.32)</f>
        <v>163.32</v>
      </c>
      <c r="C2453" s="1">
        <f ca="1">IFERROR(__xludf.DUMMYFUNCTION("""COMPUTED_VALUE"""),166.15)</f>
        <v>166.15</v>
      </c>
      <c r="D2453" s="1">
        <f ca="1">IFERROR(__xludf.DUMMYFUNCTION("""COMPUTED_VALUE"""),163.26)</f>
        <v>163.26</v>
      </c>
      <c r="E2453" s="1">
        <f ca="1">IFERROR(__xludf.DUMMYFUNCTION("""COMPUTED_VALUE"""),165.85)</f>
        <v>165.85</v>
      </c>
      <c r="F2453" s="1">
        <f ca="1">IFERROR(__xludf.DUMMYFUNCTION("""COMPUTED_VALUE"""),20481303)</f>
        <v>20481303</v>
      </c>
    </row>
    <row r="2454" spans="1:6" x14ac:dyDescent="0.35">
      <c r="A2454" s="2">
        <f ca="1">IFERROR(__xludf.DUMMYFUNCTION("""COMPUTED_VALUE"""),45566.6666666666)</f>
        <v>45566.666666666599</v>
      </c>
      <c r="B2454" s="1">
        <f ca="1">IFERROR(__xludf.DUMMYFUNCTION("""COMPUTED_VALUE"""),167.69)</f>
        <v>167.69</v>
      </c>
      <c r="C2454" s="1">
        <f ca="1">IFERROR(__xludf.DUMMYFUNCTION("""COMPUTED_VALUE"""),169.16)</f>
        <v>169.16</v>
      </c>
      <c r="D2454" s="1">
        <f ca="1">IFERROR(__xludf.DUMMYFUNCTION("""COMPUTED_VALUE"""),164.58)</f>
        <v>164.58</v>
      </c>
      <c r="E2454" s="1">
        <f ca="1">IFERROR(__xludf.DUMMYFUNCTION("""COMPUTED_VALUE"""),166.99)</f>
        <v>166.99</v>
      </c>
      <c r="F2454" s="1">
        <f ca="1">IFERROR(__xludf.DUMMYFUNCTION("""COMPUTED_VALUE"""),28338123)</f>
        <v>28338123</v>
      </c>
    </row>
    <row r="2455" spans="1:6" x14ac:dyDescent="0.35">
      <c r="A2455" s="2">
        <f ca="1">IFERROR(__xludf.DUMMYFUNCTION("""COMPUTED_VALUE"""),45567.6666666666)</f>
        <v>45567.666666666599</v>
      </c>
      <c r="B2455" s="1">
        <f ca="1">IFERROR(__xludf.DUMMYFUNCTION("""COMPUTED_VALUE"""),166.42)</f>
        <v>166.42</v>
      </c>
      <c r="C2455" s="1">
        <f ca="1">IFERROR(__xludf.DUMMYFUNCTION("""COMPUTED_VALUE"""),167.52)</f>
        <v>167.52</v>
      </c>
      <c r="D2455" s="1">
        <f ca="1">IFERROR(__xludf.DUMMYFUNCTION("""COMPUTED_VALUE"""),164.73)</f>
        <v>164.73</v>
      </c>
      <c r="E2455" s="1">
        <f ca="1">IFERROR(__xludf.DUMMYFUNCTION("""COMPUTED_VALUE"""),165.86)</f>
        <v>165.86</v>
      </c>
      <c r="F2455" s="1">
        <f ca="1">IFERROR(__xludf.DUMMYFUNCTION("""COMPUTED_VALUE"""),17760179)</f>
        <v>17760179</v>
      </c>
    </row>
    <row r="2456" spans="1:6" x14ac:dyDescent="0.35">
      <c r="A2456" s="2">
        <f ca="1">IFERROR(__xludf.DUMMYFUNCTION("""COMPUTED_VALUE"""),45568.6666666666)</f>
        <v>45568.666666666599</v>
      </c>
      <c r="B2456" s="1">
        <f ca="1">IFERROR(__xludf.DUMMYFUNCTION("""COMPUTED_VALUE"""),164.41)</f>
        <v>164.41</v>
      </c>
      <c r="C2456" s="1">
        <f ca="1">IFERROR(__xludf.DUMMYFUNCTION("""COMPUTED_VALUE"""),166.64)</f>
        <v>166.64</v>
      </c>
      <c r="D2456" s="1">
        <f ca="1">IFERROR(__xludf.DUMMYFUNCTION("""COMPUTED_VALUE"""),163.92)</f>
        <v>163.92</v>
      </c>
      <c r="E2456" s="1">
        <f ca="1">IFERROR(__xludf.DUMMYFUNCTION("""COMPUTED_VALUE"""),165.86)</f>
        <v>165.86</v>
      </c>
      <c r="F2456" s="1">
        <f ca="1">IFERROR(__xludf.DUMMYFUNCTION("""COMPUTED_VALUE"""),15073101)</f>
        <v>15073101</v>
      </c>
    </row>
    <row r="2457" spans="1:6" x14ac:dyDescent="0.35">
      <c r="A2457" s="2">
        <f ca="1">IFERROR(__xludf.DUMMYFUNCTION("""COMPUTED_VALUE"""),45569.6666666666)</f>
        <v>45569.666666666599</v>
      </c>
      <c r="B2457" s="1">
        <f ca="1">IFERROR(__xludf.DUMMYFUNCTION("""COMPUTED_VALUE"""),168.06)</f>
        <v>168.06</v>
      </c>
      <c r="C2457" s="1">
        <f ca="1">IFERROR(__xludf.DUMMYFUNCTION("""COMPUTED_VALUE"""),168.23)</f>
        <v>168.23</v>
      </c>
      <c r="D2457" s="1">
        <f ca="1">IFERROR(__xludf.DUMMYFUNCTION("""COMPUTED_VALUE"""),165.48)</f>
        <v>165.48</v>
      </c>
      <c r="E2457" s="1">
        <f ca="1">IFERROR(__xludf.DUMMYFUNCTION("""COMPUTED_VALUE"""),167.06)</f>
        <v>167.06</v>
      </c>
      <c r="F2457" s="1">
        <f ca="1">IFERROR(__xludf.DUMMYFUNCTION("""COMPUTED_VALUE"""),19093724)</f>
        <v>19093724</v>
      </c>
    </row>
    <row r="2458" spans="1:6" x14ac:dyDescent="0.35">
      <c r="A2458" s="2">
        <f ca="1">IFERROR(__xludf.DUMMYFUNCTION("""COMPUTED_VALUE"""),45572.6666666666)</f>
        <v>45572.666666666599</v>
      </c>
      <c r="B2458" s="1">
        <f ca="1">IFERROR(__xludf.DUMMYFUNCTION("""COMPUTED_VALUE"""),167.72)</f>
        <v>167.72</v>
      </c>
      <c r="C2458" s="1">
        <f ca="1">IFERROR(__xludf.DUMMYFUNCTION("""COMPUTED_VALUE"""),168.48)</f>
        <v>168.48</v>
      </c>
      <c r="D2458" s="1">
        <f ca="1">IFERROR(__xludf.DUMMYFUNCTION("""COMPUTED_VALUE"""),162.75)</f>
        <v>162.75</v>
      </c>
      <c r="E2458" s="1">
        <f ca="1">IFERROR(__xludf.DUMMYFUNCTION("""COMPUTED_VALUE"""),162.98)</f>
        <v>162.97999999999999</v>
      </c>
      <c r="F2458" s="1">
        <f ca="1">IFERROR(__xludf.DUMMYFUNCTION("""COMPUTED_VALUE"""),22463140)</f>
        <v>22463140</v>
      </c>
    </row>
    <row r="2459" spans="1:6" x14ac:dyDescent="0.35">
      <c r="A2459" s="2">
        <f ca="1">IFERROR(__xludf.DUMMYFUNCTION("""COMPUTED_VALUE"""),45573.6666666666)</f>
        <v>45573.666666666599</v>
      </c>
      <c r="B2459" s="1">
        <f ca="1">IFERROR(__xludf.DUMMYFUNCTION("""COMPUTED_VALUE"""),163.94)</f>
        <v>163.94</v>
      </c>
      <c r="C2459" s="1">
        <f ca="1">IFERROR(__xludf.DUMMYFUNCTION("""COMPUTED_VALUE"""),164.73)</f>
        <v>164.73</v>
      </c>
      <c r="D2459" s="1">
        <f ca="1">IFERROR(__xludf.DUMMYFUNCTION("""COMPUTED_VALUE"""),162.87)</f>
        <v>162.87</v>
      </c>
      <c r="E2459" s="1">
        <f ca="1">IFERROR(__xludf.DUMMYFUNCTION("""COMPUTED_VALUE"""),164.38)</f>
        <v>164.38</v>
      </c>
      <c r="F2459" s="1">
        <f ca="1">IFERROR(__xludf.DUMMYFUNCTION("""COMPUTED_VALUE"""),23072733)</f>
        <v>23072733</v>
      </c>
    </row>
    <row r="2460" spans="1:6" x14ac:dyDescent="0.35">
      <c r="A2460" s="2">
        <f ca="1">IFERROR(__xludf.DUMMYFUNCTION("""COMPUTED_VALUE"""),45574.6666666666)</f>
        <v>45574.666666666599</v>
      </c>
      <c r="B2460" s="1">
        <f ca="1">IFERROR(__xludf.DUMMYFUNCTION("""COMPUTED_VALUE"""),163.45)</f>
        <v>163.44999999999999</v>
      </c>
      <c r="C2460" s="1">
        <f ca="1">IFERROR(__xludf.DUMMYFUNCTION("""COMPUTED_VALUE"""),164.84)</f>
        <v>164.84</v>
      </c>
      <c r="D2460" s="1">
        <f ca="1">IFERROR(__xludf.DUMMYFUNCTION("""COMPUTED_VALUE"""),159.74)</f>
        <v>159.74</v>
      </c>
      <c r="E2460" s="1">
        <f ca="1">IFERROR(__xludf.DUMMYFUNCTION("""COMPUTED_VALUE"""),161.86)</f>
        <v>161.86000000000001</v>
      </c>
      <c r="F2460" s="1">
        <f ca="1">IFERROR(__xludf.DUMMYFUNCTION("""COMPUTED_VALUE"""),31181774)</f>
        <v>31181774</v>
      </c>
    </row>
    <row r="2461" spans="1:6" x14ac:dyDescent="0.35">
      <c r="A2461" s="2">
        <f ca="1">IFERROR(__xludf.DUMMYFUNCTION("""COMPUTED_VALUE"""),45575.6666666666)</f>
        <v>45575.666666666599</v>
      </c>
      <c r="B2461" s="1">
        <f ca="1">IFERROR(__xludf.DUMMYFUNCTION("""COMPUTED_VALUE"""),160.87)</f>
        <v>160.87</v>
      </c>
      <c r="C2461" s="1">
        <f ca="1">IFERROR(__xludf.DUMMYFUNCTION("""COMPUTED_VALUE"""),163.07)</f>
        <v>163.07</v>
      </c>
      <c r="D2461" s="1">
        <f ca="1">IFERROR(__xludf.DUMMYFUNCTION("""COMPUTED_VALUE"""),160.4)</f>
        <v>160.4</v>
      </c>
      <c r="E2461" s="1">
        <f ca="1">IFERROR(__xludf.DUMMYFUNCTION("""COMPUTED_VALUE"""),162.08)</f>
        <v>162.08000000000001</v>
      </c>
      <c r="F2461" s="1">
        <f ca="1">IFERROR(__xludf.DUMMYFUNCTION("""COMPUTED_VALUE"""),14144068)</f>
        <v>14144068</v>
      </c>
    </row>
    <row r="2462" spans="1:6" x14ac:dyDescent="0.35">
      <c r="A2462" s="2">
        <f ca="1">IFERROR(__xludf.DUMMYFUNCTION("""COMPUTED_VALUE"""),45576.6666666666)</f>
        <v>45576.666666666599</v>
      </c>
      <c r="B2462" s="1">
        <f ca="1">IFERROR(__xludf.DUMMYFUNCTION("""COMPUTED_VALUE"""),162.13)</f>
        <v>162.13</v>
      </c>
      <c r="C2462" s="1">
        <f ca="1">IFERROR(__xludf.DUMMYFUNCTION("""COMPUTED_VALUE"""),163.9)</f>
        <v>163.9</v>
      </c>
      <c r="D2462" s="1">
        <f ca="1">IFERROR(__xludf.DUMMYFUNCTION("""COMPUTED_VALUE"""),161.24)</f>
        <v>161.24</v>
      </c>
      <c r="E2462" s="1">
        <f ca="1">IFERROR(__xludf.DUMMYFUNCTION("""COMPUTED_VALUE"""),163.24)</f>
        <v>163.24</v>
      </c>
      <c r="F2462" s="1">
        <f ca="1">IFERROR(__xludf.DUMMYFUNCTION("""COMPUTED_VALUE"""),15344251)</f>
        <v>15344251</v>
      </c>
    </row>
    <row r="2463" spans="1:6" x14ac:dyDescent="0.35">
      <c r="A2463" s="2">
        <f ca="1">IFERROR(__xludf.DUMMYFUNCTION("""COMPUTED_VALUE"""),45579.6666666666)</f>
        <v>45579.666666666599</v>
      </c>
      <c r="B2463" s="1">
        <f ca="1">IFERROR(__xludf.DUMMYFUNCTION("""COMPUTED_VALUE"""),163.64)</f>
        <v>163.63999999999999</v>
      </c>
      <c r="C2463" s="1">
        <f ca="1">IFERROR(__xludf.DUMMYFUNCTION("""COMPUTED_VALUE"""),166.23)</f>
        <v>166.23</v>
      </c>
      <c r="D2463" s="1">
        <f ca="1">IFERROR(__xludf.DUMMYFUNCTION("""COMPUTED_VALUE"""),163.4)</f>
        <v>163.4</v>
      </c>
      <c r="E2463" s="1">
        <f ca="1">IFERROR(__xludf.DUMMYFUNCTION("""COMPUTED_VALUE"""),164.96)</f>
        <v>164.96</v>
      </c>
      <c r="F2463" s="1">
        <f ca="1">IFERROR(__xludf.DUMMYFUNCTION("""COMPUTED_VALUE"""),19016141)</f>
        <v>19016141</v>
      </c>
    </row>
    <row r="2464" spans="1:6" x14ac:dyDescent="0.35">
      <c r="A2464" s="2">
        <f ca="1">IFERROR(__xludf.DUMMYFUNCTION("""COMPUTED_VALUE"""),45580.6666666666)</f>
        <v>45580.666666666599</v>
      </c>
      <c r="B2464" s="1">
        <f ca="1">IFERROR(__xludf.DUMMYFUNCTION("""COMPUTED_VALUE"""),165.79)</f>
        <v>165.79</v>
      </c>
      <c r="C2464" s="1">
        <f ca="1">IFERROR(__xludf.DUMMYFUNCTION("""COMPUTED_VALUE"""),167.68)</f>
        <v>167.68</v>
      </c>
      <c r="D2464" s="1">
        <f ca="1">IFERROR(__xludf.DUMMYFUNCTION("""COMPUTED_VALUE"""),164.63)</f>
        <v>164.63</v>
      </c>
      <c r="E2464" s="1">
        <f ca="1">IFERROR(__xludf.DUMMYFUNCTION("""COMPUTED_VALUE"""),165.46)</f>
        <v>165.46</v>
      </c>
      <c r="F2464" s="1">
        <f ca="1">IFERROR(__xludf.DUMMYFUNCTION("""COMPUTED_VALUE"""),20247195)</f>
        <v>20247195</v>
      </c>
    </row>
    <row r="2465" spans="1:6" x14ac:dyDescent="0.35">
      <c r="A2465" s="2">
        <f ca="1">IFERROR(__xludf.DUMMYFUNCTION("""COMPUTED_VALUE"""),45581.6666666666)</f>
        <v>45581.666666666599</v>
      </c>
      <c r="B2465" s="1">
        <f ca="1">IFERROR(__xludf.DUMMYFUNCTION("""COMPUTED_VALUE"""),164.53)</f>
        <v>164.53</v>
      </c>
      <c r="C2465" s="1">
        <f ca="1">IFERROR(__xludf.DUMMYFUNCTION("""COMPUTED_VALUE"""),165.8)</f>
        <v>165.8</v>
      </c>
      <c r="D2465" s="1">
        <f ca="1">IFERROR(__xludf.DUMMYFUNCTION("""COMPUTED_VALUE"""),163.74)</f>
        <v>163.74</v>
      </c>
      <c r="E2465" s="1">
        <f ca="1">IFERROR(__xludf.DUMMYFUNCTION("""COMPUTED_VALUE"""),165.16)</f>
        <v>165.16</v>
      </c>
      <c r="F2465" s="1">
        <f ca="1">IFERROR(__xludf.DUMMYFUNCTION("""COMPUTED_VALUE"""),16406030)</f>
        <v>16406030</v>
      </c>
    </row>
    <row r="2466" spans="1:6" x14ac:dyDescent="0.35">
      <c r="A2466" s="2">
        <f ca="1">IFERROR(__xludf.DUMMYFUNCTION("""COMPUTED_VALUE"""),45582.6666666666)</f>
        <v>45582.666666666599</v>
      </c>
      <c r="B2466" s="1">
        <f ca="1">IFERROR(__xludf.DUMMYFUNCTION("""COMPUTED_VALUE"""),165.73)</f>
        <v>165.73</v>
      </c>
      <c r="C2466" s="1">
        <f ca="1">IFERROR(__xludf.DUMMYFUNCTION("""COMPUTED_VALUE"""),166.37)</f>
        <v>166.37</v>
      </c>
      <c r="D2466" s="1">
        <f ca="1">IFERROR(__xludf.DUMMYFUNCTION("""COMPUTED_VALUE"""),162.76)</f>
        <v>162.76</v>
      </c>
      <c r="E2466" s="1">
        <f ca="1">IFERROR(__xludf.DUMMYFUNCTION("""COMPUTED_VALUE"""),162.93)</f>
        <v>162.93</v>
      </c>
      <c r="F2466" s="1">
        <f ca="1">IFERROR(__xludf.DUMMYFUNCTION("""COMPUTED_VALUE"""),21453395)</f>
        <v>21453395</v>
      </c>
    </row>
    <row r="2467" spans="1:6" x14ac:dyDescent="0.35">
      <c r="A2467" s="2">
        <f ca="1">IFERROR(__xludf.DUMMYFUNCTION("""COMPUTED_VALUE"""),45583.6666666666)</f>
        <v>45583.666666666599</v>
      </c>
      <c r="B2467" s="1">
        <f ca="1">IFERROR(__xludf.DUMMYFUNCTION("""COMPUTED_VALUE"""),163.19)</f>
        <v>163.19</v>
      </c>
      <c r="C2467" s="1">
        <f ca="1">IFERROR(__xludf.DUMMYFUNCTION("""COMPUTED_VALUE"""),164.71)</f>
        <v>164.71</v>
      </c>
      <c r="D2467" s="1">
        <f ca="1">IFERROR(__xludf.DUMMYFUNCTION("""COMPUTED_VALUE"""),163.08)</f>
        <v>163.08000000000001</v>
      </c>
      <c r="E2467" s="1">
        <f ca="1">IFERROR(__xludf.DUMMYFUNCTION("""COMPUTED_VALUE"""),163.42)</f>
        <v>163.41999999999999</v>
      </c>
      <c r="F2467" s="1">
        <f ca="1">IFERROR(__xludf.DUMMYFUNCTION("""COMPUTED_VALUE"""),19757661)</f>
        <v>19757661</v>
      </c>
    </row>
    <row r="2468" spans="1:6" x14ac:dyDescent="0.35">
      <c r="A2468" s="2">
        <f ca="1">IFERROR(__xludf.DUMMYFUNCTION("""COMPUTED_VALUE"""),45586.6666666666)</f>
        <v>45586.666666666599</v>
      </c>
      <c r="B2468" s="1">
        <f ca="1">IFERROR(__xludf.DUMMYFUNCTION("""COMPUTED_VALUE"""),162.95)</f>
        <v>162.94999999999999</v>
      </c>
      <c r="C2468" s="1">
        <f ca="1">IFERROR(__xludf.DUMMYFUNCTION("""COMPUTED_VALUE"""),164.5)</f>
        <v>164.5</v>
      </c>
      <c r="D2468" s="1">
        <f ca="1">IFERROR(__xludf.DUMMYFUNCTION("""COMPUTED_VALUE"""),162.62)</f>
        <v>162.62</v>
      </c>
      <c r="E2468" s="1">
        <f ca="1">IFERROR(__xludf.DUMMYFUNCTION("""COMPUTED_VALUE"""),164.07)</f>
        <v>164.07</v>
      </c>
      <c r="F2468" s="1">
        <f ca="1">IFERROR(__xludf.DUMMYFUNCTION("""COMPUTED_VALUE"""),20946455)</f>
        <v>20946455</v>
      </c>
    </row>
    <row r="2469" spans="1:6" x14ac:dyDescent="0.35">
      <c r="A2469" s="2">
        <f ca="1">IFERROR(__xludf.DUMMYFUNCTION("""COMPUTED_VALUE"""),45587.6666666666)</f>
        <v>45587.666666666599</v>
      </c>
      <c r="B2469" s="1">
        <f ca="1">IFERROR(__xludf.DUMMYFUNCTION("""COMPUTED_VALUE"""),162.98)</f>
        <v>162.97999999999999</v>
      </c>
      <c r="C2469" s="1">
        <f ca="1">IFERROR(__xludf.DUMMYFUNCTION("""COMPUTED_VALUE"""),165.77)</f>
        <v>165.77</v>
      </c>
      <c r="D2469" s="1">
        <f ca="1">IFERROR(__xludf.DUMMYFUNCTION("""COMPUTED_VALUE"""),162.98)</f>
        <v>162.97999999999999</v>
      </c>
      <c r="E2469" s="1">
        <f ca="1">IFERROR(__xludf.DUMMYFUNCTION("""COMPUTED_VALUE"""),165.14)</f>
        <v>165.14</v>
      </c>
      <c r="F2469" s="1">
        <f ca="1">IFERROR(__xludf.DUMMYFUNCTION("""COMPUTED_VALUE"""),16568121)</f>
        <v>16568121</v>
      </c>
    </row>
    <row r="2470" spans="1:6" x14ac:dyDescent="0.35">
      <c r="A2470" s="2">
        <f ca="1">IFERROR(__xludf.DUMMYFUNCTION("""COMPUTED_VALUE"""),45588.6666666666)</f>
        <v>45588.666666666599</v>
      </c>
      <c r="B2470" s="1">
        <f ca="1">IFERROR(__xludf.DUMMYFUNCTION("""COMPUTED_VALUE"""),164.76)</f>
        <v>164.76</v>
      </c>
      <c r="C2470" s="1">
        <f ca="1">IFERROR(__xludf.DUMMYFUNCTION("""COMPUTED_VALUE"""),165.82)</f>
        <v>165.82</v>
      </c>
      <c r="D2470" s="1">
        <f ca="1">IFERROR(__xludf.DUMMYFUNCTION("""COMPUTED_VALUE"""),161.93)</f>
        <v>161.93</v>
      </c>
      <c r="E2470" s="1">
        <f ca="1">IFERROR(__xludf.DUMMYFUNCTION("""COMPUTED_VALUE"""),162.78)</f>
        <v>162.78</v>
      </c>
      <c r="F2470" s="1">
        <f ca="1">IFERROR(__xludf.DUMMYFUNCTION("""COMPUTED_VALUE"""),18280518)</f>
        <v>18280518</v>
      </c>
    </row>
    <row r="2471" spans="1:6" x14ac:dyDescent="0.35">
      <c r="A2471" s="2">
        <f ca="1">IFERROR(__xludf.DUMMYFUNCTION("""COMPUTED_VALUE"""),45589.6666666666)</f>
        <v>45589.666666666599</v>
      </c>
      <c r="B2471" s="1">
        <f ca="1">IFERROR(__xludf.DUMMYFUNCTION("""COMPUTED_VALUE"""),162.83)</f>
        <v>162.83000000000001</v>
      </c>
      <c r="C2471" s="1">
        <f ca="1">IFERROR(__xludf.DUMMYFUNCTION("""COMPUTED_VALUE"""),163.33)</f>
        <v>163.33000000000001</v>
      </c>
      <c r="D2471" s="1">
        <f ca="1">IFERROR(__xludf.DUMMYFUNCTION("""COMPUTED_VALUE"""),161.01)</f>
        <v>161.01</v>
      </c>
      <c r="E2471" s="1">
        <f ca="1">IFERROR(__xludf.DUMMYFUNCTION("""COMPUTED_VALUE"""),162.72)</f>
        <v>162.72</v>
      </c>
      <c r="F2471" s="1">
        <f ca="1">IFERROR(__xludf.DUMMYFUNCTION("""COMPUTED_VALUE"""),22412527)</f>
        <v>22412527</v>
      </c>
    </row>
    <row r="2472" spans="1:6" x14ac:dyDescent="0.35">
      <c r="A2472" s="2">
        <f ca="1">IFERROR(__xludf.DUMMYFUNCTION("""COMPUTED_VALUE"""),45590.6666666666)</f>
        <v>45590.666666666599</v>
      </c>
      <c r="B2472" s="1">
        <f ca="1">IFERROR(__xludf.DUMMYFUNCTION("""COMPUTED_VALUE"""),163.67)</f>
        <v>163.66999999999999</v>
      </c>
      <c r="C2472" s="1">
        <f ca="1">IFERROR(__xludf.DUMMYFUNCTION("""COMPUTED_VALUE"""),165.59)</f>
        <v>165.59</v>
      </c>
      <c r="D2472" s="1">
        <f ca="1">IFERROR(__xludf.DUMMYFUNCTION("""COMPUTED_VALUE"""),163.42)</f>
        <v>163.41999999999999</v>
      </c>
      <c r="E2472" s="1">
        <f ca="1">IFERROR(__xludf.DUMMYFUNCTION("""COMPUTED_VALUE"""),165.27)</f>
        <v>165.27</v>
      </c>
      <c r="F2472" s="1">
        <f ca="1">IFERROR(__xludf.DUMMYFUNCTION("""COMPUTED_VALUE"""),19828884)</f>
        <v>19828884</v>
      </c>
    </row>
    <row r="2473" spans="1:6" x14ac:dyDescent="0.35">
      <c r="A2473" s="2">
        <f ca="1">IFERROR(__xludf.DUMMYFUNCTION("""COMPUTED_VALUE"""),45593.6666666666)</f>
        <v>45593.666666666599</v>
      </c>
      <c r="B2473" s="1">
        <f ca="1">IFERROR(__xludf.DUMMYFUNCTION("""COMPUTED_VALUE"""),168.75)</f>
        <v>168.75</v>
      </c>
      <c r="C2473" s="1">
        <f ca="1">IFERROR(__xludf.DUMMYFUNCTION("""COMPUTED_VALUE"""),168.75)</f>
        <v>168.75</v>
      </c>
      <c r="D2473" s="1">
        <f ca="1">IFERROR(__xludf.DUMMYFUNCTION("""COMPUTED_VALUE"""),163.95)</f>
        <v>163.95</v>
      </c>
      <c r="E2473" s="1">
        <f ca="1">IFERROR(__xludf.DUMMYFUNCTION("""COMPUTED_VALUE"""),166.72)</f>
        <v>166.72</v>
      </c>
      <c r="F2473" s="1">
        <f ca="1">IFERROR(__xludf.DUMMYFUNCTION("""COMPUTED_VALUE"""),32138641)</f>
        <v>32138641</v>
      </c>
    </row>
    <row r="2474" spans="1:6" x14ac:dyDescent="0.35">
      <c r="A2474" s="2">
        <f ca="1">IFERROR(__xludf.DUMMYFUNCTION("""COMPUTED_VALUE"""),45594.6666666666)</f>
        <v>45594.666666666599</v>
      </c>
      <c r="B2474" s="1">
        <f ca="1">IFERROR(__xludf.DUMMYFUNCTION("""COMPUTED_VALUE"""),167.73)</f>
        <v>167.73</v>
      </c>
      <c r="C2474" s="1">
        <f ca="1">IFERROR(__xludf.DUMMYFUNCTION("""COMPUTED_VALUE"""),170.38)</f>
        <v>170.38</v>
      </c>
      <c r="D2474" s="1">
        <f ca="1">IFERROR(__xludf.DUMMYFUNCTION("""COMPUTED_VALUE"""),167.09)</f>
        <v>167.09</v>
      </c>
      <c r="E2474" s="1">
        <f ca="1">IFERROR(__xludf.DUMMYFUNCTION("""COMPUTED_VALUE"""),169.68)</f>
        <v>169.68</v>
      </c>
      <c r="F2474" s="1">
        <f ca="1">IFERROR(__xludf.DUMMYFUNCTION("""COMPUTED_VALUE"""),42169025)</f>
        <v>42169025</v>
      </c>
    </row>
    <row r="2475" spans="1:6" x14ac:dyDescent="0.35">
      <c r="A2475" s="2">
        <f ca="1">IFERROR(__xludf.DUMMYFUNCTION("""COMPUTED_VALUE"""),45595.6666666666)</f>
        <v>45595.666666666599</v>
      </c>
      <c r="B2475" s="1">
        <f ca="1">IFERROR(__xludf.DUMMYFUNCTION("""COMPUTED_VALUE"""),180.68)</f>
        <v>180.68</v>
      </c>
      <c r="C2475" s="1">
        <f ca="1">IFERROR(__xludf.DUMMYFUNCTION("""COMPUTED_VALUE"""),182.02)</f>
        <v>182.02</v>
      </c>
      <c r="D2475" s="1">
        <f ca="1">IFERROR(__xludf.DUMMYFUNCTION("""COMPUTED_VALUE"""),174.06)</f>
        <v>174.06</v>
      </c>
      <c r="E2475" s="1">
        <f ca="1">IFERROR(__xludf.DUMMYFUNCTION("""COMPUTED_VALUE"""),174.46)</f>
        <v>174.46</v>
      </c>
      <c r="F2475" s="1">
        <f ca="1">IFERROR(__xludf.DUMMYFUNCTION("""COMPUTED_VALUE"""),68890787)</f>
        <v>68890787</v>
      </c>
    </row>
    <row r="2476" spans="1:6" x14ac:dyDescent="0.35">
      <c r="A2476" s="2">
        <f ca="1">IFERROR(__xludf.DUMMYFUNCTION("""COMPUTED_VALUE"""),45596.6666666666)</f>
        <v>45596.666666666599</v>
      </c>
      <c r="B2476" s="1">
        <f ca="1">IFERROR(__xludf.DUMMYFUNCTION("""COMPUTED_VALUE"""),173.13)</f>
        <v>173.13</v>
      </c>
      <c r="C2476" s="1">
        <f ca="1">IFERROR(__xludf.DUMMYFUNCTION("""COMPUTED_VALUE"""),176.82)</f>
        <v>176.82</v>
      </c>
      <c r="D2476" s="1">
        <f ca="1">IFERROR(__xludf.DUMMYFUNCTION("""COMPUTED_VALUE"""),171)</f>
        <v>171</v>
      </c>
      <c r="E2476" s="1">
        <f ca="1">IFERROR(__xludf.DUMMYFUNCTION("""COMPUTED_VALUE"""),171.11)</f>
        <v>171.11</v>
      </c>
      <c r="F2476" s="1">
        <f ca="1">IFERROR(__xludf.DUMMYFUNCTION("""COMPUTED_VALUE"""),44768981)</f>
        <v>44768981</v>
      </c>
    </row>
    <row r="2477" spans="1:6" x14ac:dyDescent="0.35">
      <c r="A2477" s="2">
        <f ca="1">IFERROR(__xludf.DUMMYFUNCTION("""COMPUTED_VALUE"""),45597.6666666666)</f>
        <v>45597.666666666599</v>
      </c>
      <c r="B2477" s="1">
        <f ca="1">IFERROR(__xludf.DUMMYFUNCTION("""COMPUTED_VALUE"""),170.07)</f>
        <v>170.07</v>
      </c>
      <c r="C2477" s="1">
        <f ca="1">IFERROR(__xludf.DUMMYFUNCTION("""COMPUTED_VALUE"""),172.32)</f>
        <v>172.32</v>
      </c>
      <c r="D2477" s="1">
        <f ca="1">IFERROR(__xludf.DUMMYFUNCTION("""COMPUTED_VALUE"""),168.88)</f>
        <v>168.88</v>
      </c>
      <c r="E2477" s="1">
        <f ca="1">IFERROR(__xludf.DUMMYFUNCTION("""COMPUTED_VALUE"""),171.29)</f>
        <v>171.29</v>
      </c>
      <c r="F2477" s="1">
        <f ca="1">IFERROR(__xludf.DUMMYFUNCTION("""COMPUTED_VALUE"""),31796477)</f>
        <v>31796477</v>
      </c>
    </row>
    <row r="2478" spans="1:6" x14ac:dyDescent="0.35">
      <c r="A2478" s="2">
        <f ca="1">IFERROR(__xludf.DUMMYFUNCTION("""COMPUTED_VALUE"""),45600.6666666666)</f>
        <v>45600.666666666599</v>
      </c>
      <c r="B2478" s="1">
        <f ca="1">IFERROR(__xludf.DUMMYFUNCTION("""COMPUTED_VALUE"""),169.93)</f>
        <v>169.93</v>
      </c>
      <c r="C2478" s="1">
        <f ca="1">IFERROR(__xludf.DUMMYFUNCTION("""COMPUTED_VALUE"""),170.73)</f>
        <v>170.73</v>
      </c>
      <c r="D2478" s="1">
        <f ca="1">IFERROR(__xludf.DUMMYFUNCTION("""COMPUTED_VALUE"""),168.01)</f>
        <v>168.01</v>
      </c>
      <c r="E2478" s="1">
        <f ca="1">IFERROR(__xludf.DUMMYFUNCTION("""COMPUTED_VALUE"""),169.24)</f>
        <v>169.24</v>
      </c>
      <c r="F2478" s="1">
        <f ca="1">IFERROR(__xludf.DUMMYFUNCTION("""COMPUTED_VALUE"""),21492744)</f>
        <v>21492744</v>
      </c>
    </row>
    <row r="2479" spans="1:6" x14ac:dyDescent="0.35">
      <c r="A2479" s="2">
        <f ca="1">IFERROR(__xludf.DUMMYFUNCTION("""COMPUTED_VALUE"""),45601.6666666666)</f>
        <v>45601.666666666599</v>
      </c>
      <c r="B2479" s="1">
        <f ca="1">IFERROR(__xludf.DUMMYFUNCTION("""COMPUTED_VALUE"""),169.43)</f>
        <v>169.43</v>
      </c>
      <c r="C2479" s="1">
        <f ca="1">IFERROR(__xludf.DUMMYFUNCTION("""COMPUTED_VALUE"""),170.53)</f>
        <v>170.53</v>
      </c>
      <c r="D2479" s="1">
        <f ca="1">IFERROR(__xludf.DUMMYFUNCTION("""COMPUTED_VALUE"""),168.84)</f>
        <v>168.84</v>
      </c>
      <c r="E2479" s="1">
        <f ca="1">IFERROR(__xludf.DUMMYFUNCTION("""COMPUTED_VALUE"""),169.74)</f>
        <v>169.74</v>
      </c>
      <c r="F2479" s="1">
        <f ca="1">IFERROR(__xludf.DUMMYFUNCTION("""COMPUTED_VALUE"""),18242050)</f>
        <v>18242050</v>
      </c>
    </row>
    <row r="2480" spans="1:6" x14ac:dyDescent="0.35">
      <c r="A2480" s="2">
        <f ca="1">IFERROR(__xludf.DUMMYFUNCTION("""COMPUTED_VALUE"""),45602.6666666666)</f>
        <v>45602.666666666599</v>
      </c>
      <c r="B2480" s="1">
        <f ca="1">IFERROR(__xludf.DUMMYFUNCTION("""COMPUTED_VALUE"""),173.8)</f>
        <v>173.8</v>
      </c>
      <c r="C2480" s="1">
        <f ca="1">IFERROR(__xludf.DUMMYFUNCTION("""COMPUTED_VALUE"""),176.94)</f>
        <v>176.94</v>
      </c>
      <c r="D2480" s="1">
        <f ca="1">IFERROR(__xludf.DUMMYFUNCTION("""COMPUTED_VALUE"""),173.5)</f>
        <v>173.5</v>
      </c>
      <c r="E2480" s="1">
        <f ca="1">IFERROR(__xludf.DUMMYFUNCTION("""COMPUTED_VALUE"""),176.51)</f>
        <v>176.51</v>
      </c>
      <c r="F2480" s="1">
        <f ca="1">IFERROR(__xludf.DUMMYFUNCTION("""COMPUTED_VALUE"""),33695538)</f>
        <v>33695538</v>
      </c>
    </row>
    <row r="2481" spans="1:6" x14ac:dyDescent="0.35">
      <c r="A2481" s="2">
        <f ca="1">IFERROR(__xludf.DUMMYFUNCTION("""COMPUTED_VALUE"""),45603.6666666666)</f>
        <v>45603.666666666599</v>
      </c>
      <c r="B2481" s="1">
        <f ca="1">IFERROR(__xludf.DUMMYFUNCTION("""COMPUTED_VALUE"""),177.41)</f>
        <v>177.41</v>
      </c>
      <c r="C2481" s="1">
        <f ca="1">IFERROR(__xludf.DUMMYFUNCTION("""COMPUTED_VALUE"""),181.08)</f>
        <v>181.08</v>
      </c>
      <c r="D2481" s="1">
        <f ca="1">IFERROR(__xludf.DUMMYFUNCTION("""COMPUTED_VALUE"""),177.19)</f>
        <v>177.19</v>
      </c>
      <c r="E2481" s="1">
        <f ca="1">IFERROR(__xludf.DUMMYFUNCTION("""COMPUTED_VALUE"""),180.75)</f>
        <v>180.75</v>
      </c>
      <c r="F2481" s="1">
        <f ca="1">IFERROR(__xludf.DUMMYFUNCTION("""COMPUTED_VALUE"""),25352939)</f>
        <v>25352939</v>
      </c>
    </row>
    <row r="2482" spans="1:6" x14ac:dyDescent="0.35">
      <c r="A2482" s="2">
        <f ca="1">IFERROR(__xludf.DUMMYFUNCTION("""COMPUTED_VALUE"""),45604.6666666666)</f>
        <v>45604.666666666599</v>
      </c>
      <c r="B2482" s="1">
        <f ca="1">IFERROR(__xludf.DUMMYFUNCTION("""COMPUTED_VALUE"""),180.65)</f>
        <v>180.65</v>
      </c>
      <c r="C2482" s="1">
        <f ca="1">IFERROR(__xludf.DUMMYFUNCTION("""COMPUTED_VALUE"""),180.9)</f>
        <v>180.9</v>
      </c>
      <c r="D2482" s="1">
        <f ca="1">IFERROR(__xludf.DUMMYFUNCTION("""COMPUTED_VALUE"""),178.08)</f>
        <v>178.08</v>
      </c>
      <c r="E2482" s="1">
        <f ca="1">IFERROR(__xludf.DUMMYFUNCTION("""COMPUTED_VALUE"""),178.35)</f>
        <v>178.35</v>
      </c>
      <c r="F2482" s="1">
        <f ca="1">IFERROR(__xludf.DUMMYFUNCTION("""COMPUTED_VALUE"""),22006182)</f>
        <v>22006182</v>
      </c>
    </row>
    <row r="2483" spans="1:6" x14ac:dyDescent="0.35">
      <c r="A2483" s="2">
        <f ca="1">IFERROR(__xludf.DUMMYFUNCTION("""COMPUTED_VALUE"""),45607.6666666666)</f>
        <v>45607.666666666599</v>
      </c>
      <c r="B2483" s="1">
        <f ca="1">IFERROR(__xludf.DUMMYFUNCTION("""COMPUTED_VALUE"""),178.58)</f>
        <v>178.58</v>
      </c>
      <c r="C2483" s="1">
        <f ca="1">IFERROR(__xludf.DUMMYFUNCTION("""COMPUTED_VALUE"""),180.55)</f>
        <v>180.55</v>
      </c>
      <c r="D2483" s="1">
        <f ca="1">IFERROR(__xludf.DUMMYFUNCTION("""COMPUTED_VALUE"""),178.47)</f>
        <v>178.47</v>
      </c>
      <c r="E2483" s="1">
        <f ca="1">IFERROR(__xludf.DUMMYFUNCTION("""COMPUTED_VALUE"""),180.35)</f>
        <v>180.35</v>
      </c>
      <c r="F2483" s="1">
        <f ca="1">IFERROR(__xludf.DUMMYFUNCTION("""COMPUTED_VALUE"""),17450354)</f>
        <v>17450354</v>
      </c>
    </row>
    <row r="2484" spans="1:6" x14ac:dyDescent="0.35">
      <c r="A2484" s="2">
        <f ca="1">IFERROR(__xludf.DUMMYFUNCTION("""COMPUTED_VALUE"""),45608.6666666666)</f>
        <v>45608.666666666599</v>
      </c>
      <c r="B2484" s="1">
        <f ca="1">IFERROR(__xludf.DUMMYFUNCTION("""COMPUTED_VALUE"""),179.82)</f>
        <v>179.82</v>
      </c>
      <c r="C2484" s="1">
        <f ca="1">IFERROR(__xludf.DUMMYFUNCTION("""COMPUTED_VALUE"""),182.49)</f>
        <v>182.49</v>
      </c>
      <c r="D2484" s="1">
        <f ca="1">IFERROR(__xludf.DUMMYFUNCTION("""COMPUTED_VALUE"""),179.39)</f>
        <v>179.39</v>
      </c>
      <c r="E2484" s="1">
        <f ca="1">IFERROR(__xludf.DUMMYFUNCTION("""COMPUTED_VALUE"""),181.62)</f>
        <v>181.62</v>
      </c>
      <c r="F2484" s="1">
        <f ca="1">IFERROR(__xludf.DUMMYFUNCTION("""COMPUTED_VALUE"""),25134905)</f>
        <v>25134905</v>
      </c>
    </row>
    <row r="2485" spans="1:6" x14ac:dyDescent="0.35">
      <c r="A2485" s="2">
        <f ca="1">IFERROR(__xludf.DUMMYFUNCTION("""COMPUTED_VALUE"""),45609.6666666666)</f>
        <v>45609.666666666599</v>
      </c>
      <c r="B2485" s="1">
        <f ca="1">IFERROR(__xludf.DUMMYFUNCTION("""COMPUTED_VALUE"""),180.46)</f>
        <v>180.46</v>
      </c>
      <c r="C2485" s="1">
        <f ca="1">IFERROR(__xludf.DUMMYFUNCTION("""COMPUTED_VALUE"""),180.96)</f>
        <v>180.96</v>
      </c>
      <c r="D2485" s="1">
        <f ca="1">IFERROR(__xludf.DUMMYFUNCTION("""COMPUTED_VALUE"""),178.54)</f>
        <v>178.54</v>
      </c>
      <c r="E2485" s="1">
        <f ca="1">IFERROR(__xludf.DUMMYFUNCTION("""COMPUTED_VALUE"""),178.88)</f>
        <v>178.88</v>
      </c>
      <c r="F2485" s="1">
        <f ca="1">IFERROR(__xludf.DUMMYFUNCTION("""COMPUTED_VALUE"""),23184003)</f>
        <v>23184003</v>
      </c>
    </row>
    <row r="2486" spans="1:6" x14ac:dyDescent="0.35">
      <c r="A2486" s="2">
        <f ca="1">IFERROR(__xludf.DUMMYFUNCTION("""COMPUTED_VALUE"""),45610.6666666666)</f>
        <v>45610.666666666599</v>
      </c>
      <c r="B2486" s="1">
        <f ca="1">IFERROR(__xludf.DUMMYFUNCTION("""COMPUTED_VALUE"""),178.28)</f>
        <v>178.28</v>
      </c>
      <c r="C2486" s="1">
        <f ca="1">IFERROR(__xludf.DUMMYFUNCTION("""COMPUTED_VALUE"""),178.82)</f>
        <v>178.82</v>
      </c>
      <c r="D2486" s="1">
        <f ca="1">IFERROR(__xludf.DUMMYFUNCTION("""COMPUTED_VALUE"""),174.32)</f>
        <v>174.32</v>
      </c>
      <c r="E2486" s="1">
        <f ca="1">IFERROR(__xludf.DUMMYFUNCTION("""COMPUTED_VALUE"""),175.58)</f>
        <v>175.58</v>
      </c>
      <c r="F2486" s="1">
        <f ca="1">IFERROR(__xludf.DUMMYFUNCTION("""COMPUTED_VALUE"""),31007457)</f>
        <v>31007457</v>
      </c>
    </row>
    <row r="2487" spans="1:6" x14ac:dyDescent="0.35">
      <c r="A2487" s="2">
        <f ca="1">IFERROR(__xludf.DUMMYFUNCTION("""COMPUTED_VALUE"""),45611.6666666666)</f>
        <v>45611.666666666599</v>
      </c>
      <c r="B2487" s="1">
        <f ca="1">IFERROR(__xludf.DUMMYFUNCTION("""COMPUTED_VALUE"""),173.73)</f>
        <v>173.73</v>
      </c>
      <c r="C2487" s="1">
        <f ca="1">IFERROR(__xludf.DUMMYFUNCTION("""COMPUTED_VALUE"""),174.14)</f>
        <v>174.14</v>
      </c>
      <c r="D2487" s="1">
        <f ca="1">IFERROR(__xludf.DUMMYFUNCTION("""COMPUTED_VALUE"""),171.22)</f>
        <v>171.22</v>
      </c>
      <c r="E2487" s="1">
        <f ca="1">IFERROR(__xludf.DUMMYFUNCTION("""COMPUTED_VALUE"""),172.49)</f>
        <v>172.49</v>
      </c>
      <c r="F2487" s="1">
        <f ca="1">IFERROR(__xludf.DUMMYFUNCTION("""COMPUTED_VALUE"""),32504649)</f>
        <v>32504649</v>
      </c>
    </row>
    <row r="2488" spans="1:6" x14ac:dyDescent="0.35">
      <c r="A2488" s="2">
        <f ca="1">IFERROR(__xludf.DUMMYFUNCTION("""COMPUTED_VALUE"""),45614.6666666666)</f>
        <v>45614.666666666599</v>
      </c>
      <c r="B2488" s="1">
        <f ca="1">IFERROR(__xludf.DUMMYFUNCTION("""COMPUTED_VALUE"""),173.42)</f>
        <v>173.42</v>
      </c>
      <c r="C2488" s="1">
        <f ca="1">IFERROR(__xludf.DUMMYFUNCTION("""COMPUTED_VALUE"""),175.44)</f>
        <v>175.44</v>
      </c>
      <c r="D2488" s="1">
        <f ca="1">IFERROR(__xludf.DUMMYFUNCTION("""COMPUTED_VALUE"""),172.9)</f>
        <v>172.9</v>
      </c>
      <c r="E2488" s="1">
        <f ca="1">IFERROR(__xludf.DUMMYFUNCTION("""COMPUTED_VALUE"""),175.3)</f>
        <v>175.3</v>
      </c>
      <c r="F2488" s="1">
        <f ca="1">IFERROR(__xludf.DUMMYFUNCTION("""COMPUTED_VALUE"""),20206613)</f>
        <v>20206613</v>
      </c>
    </row>
    <row r="2489" spans="1:6" x14ac:dyDescent="0.35">
      <c r="A2489" s="2">
        <f ca="1">IFERROR(__xludf.DUMMYFUNCTION("""COMPUTED_VALUE"""),45615.6666666666)</f>
        <v>45615.666666666599</v>
      </c>
      <c r="B2489" s="1">
        <f ca="1">IFERROR(__xludf.DUMMYFUNCTION("""COMPUTED_VALUE"""),173.72)</f>
        <v>173.72</v>
      </c>
      <c r="C2489" s="1">
        <f ca="1">IFERROR(__xludf.DUMMYFUNCTION("""COMPUTED_VALUE"""),178.87)</f>
        <v>178.87</v>
      </c>
      <c r="D2489" s="1">
        <f ca="1">IFERROR(__xludf.DUMMYFUNCTION("""COMPUTED_VALUE"""),173.56)</f>
        <v>173.56</v>
      </c>
      <c r="E2489" s="1">
        <f ca="1">IFERROR(__xludf.DUMMYFUNCTION("""COMPUTED_VALUE"""),178.12)</f>
        <v>178.12</v>
      </c>
      <c r="F2489" s="1">
        <f ca="1">IFERROR(__xludf.DUMMYFUNCTION("""COMPUTED_VALUE"""),23434925)</f>
        <v>23434925</v>
      </c>
    </row>
    <row r="2490" spans="1:6" x14ac:dyDescent="0.35">
      <c r="A2490" s="2">
        <f ca="1">IFERROR(__xludf.DUMMYFUNCTION("""COMPUTED_VALUE"""),45616.6666666666)</f>
        <v>45616.666666666599</v>
      </c>
      <c r="B2490" s="1">
        <f ca="1">IFERROR(__xludf.DUMMYFUNCTION("""COMPUTED_VALUE"""),177.34)</f>
        <v>177.34</v>
      </c>
      <c r="C2490" s="1">
        <f ca="1">IFERROR(__xludf.DUMMYFUNCTION("""COMPUTED_VALUE"""),177.68)</f>
        <v>177.68</v>
      </c>
      <c r="D2490" s="1">
        <f ca="1">IFERROR(__xludf.DUMMYFUNCTION("""COMPUTED_VALUE"""),173.78)</f>
        <v>173.78</v>
      </c>
      <c r="E2490" s="1">
        <f ca="1">IFERROR(__xludf.DUMMYFUNCTION("""COMPUTED_VALUE"""),175.98)</f>
        <v>175.98</v>
      </c>
      <c r="F2490" s="1">
        <f ca="1">IFERROR(__xludf.DUMMYFUNCTION("""COMPUTED_VALUE"""),18997111)</f>
        <v>18997111</v>
      </c>
    </row>
    <row r="2491" spans="1:6" x14ac:dyDescent="0.35">
      <c r="A2491" s="2">
        <f ca="1">IFERROR(__xludf.DUMMYFUNCTION("""COMPUTED_VALUE"""),45617.6666666666)</f>
        <v>45617.666666666599</v>
      </c>
      <c r="B2491" s="1">
        <f ca="1">IFERROR(__xludf.DUMMYFUNCTION("""COMPUTED_VALUE"""),173.9)</f>
        <v>173.9</v>
      </c>
      <c r="C2491" s="1">
        <f ca="1">IFERROR(__xludf.DUMMYFUNCTION("""COMPUTED_VALUE"""),174.13)</f>
        <v>174.13</v>
      </c>
      <c r="D2491" s="1">
        <f ca="1">IFERROR(__xludf.DUMMYFUNCTION("""COMPUTED_VALUE"""),163.7)</f>
        <v>163.69999999999999</v>
      </c>
      <c r="E2491" s="1">
        <f ca="1">IFERROR(__xludf.DUMMYFUNCTION("""COMPUTED_VALUE"""),167.63)</f>
        <v>167.63</v>
      </c>
      <c r="F2491" s="1">
        <f ca="1">IFERROR(__xludf.DUMMYFUNCTION("""COMPUTED_VALUE"""),59734379)</f>
        <v>59734379</v>
      </c>
    </row>
    <row r="2492" spans="1:6" x14ac:dyDescent="0.35">
      <c r="A2492" s="2">
        <f ca="1">IFERROR(__xludf.DUMMYFUNCTION("""COMPUTED_VALUE"""),45618.6666666666)</f>
        <v>45618.666666666599</v>
      </c>
      <c r="B2492" s="1">
        <f ca="1">IFERROR(__xludf.DUMMYFUNCTION("""COMPUTED_VALUE"""),165.85)</f>
        <v>165.85</v>
      </c>
      <c r="C2492" s="1">
        <f ca="1">IFERROR(__xludf.DUMMYFUNCTION("""COMPUTED_VALUE"""),166.46)</f>
        <v>166.46</v>
      </c>
      <c r="D2492" s="1">
        <f ca="1">IFERROR(__xludf.DUMMYFUNCTION("""COMPUTED_VALUE"""),163.9)</f>
        <v>163.9</v>
      </c>
      <c r="E2492" s="1">
        <f ca="1">IFERROR(__xludf.DUMMYFUNCTION("""COMPUTED_VALUE"""),164.76)</f>
        <v>164.76</v>
      </c>
      <c r="F2492" s="1">
        <f ca="1">IFERROR(__xludf.DUMMYFUNCTION("""COMPUTED_VALUE"""),38604587)</f>
        <v>38604587</v>
      </c>
    </row>
    <row r="2493" spans="1:6" x14ac:dyDescent="0.35">
      <c r="A2493" s="2">
        <f ca="1">IFERROR(__xludf.DUMMYFUNCTION("""COMPUTED_VALUE"""),45621.6666666666)</f>
        <v>45621.666666666599</v>
      </c>
      <c r="B2493" s="1">
        <f ca="1">IFERROR(__xludf.DUMMYFUNCTION("""COMPUTED_VALUE"""),166.09)</f>
        <v>166.09</v>
      </c>
      <c r="C2493" s="1">
        <f ca="1">IFERROR(__xludf.DUMMYFUNCTION("""COMPUTED_VALUE"""),168.63)</f>
        <v>168.63</v>
      </c>
      <c r="D2493" s="1">
        <f ca="1">IFERROR(__xludf.DUMMYFUNCTION("""COMPUTED_VALUE"""),165.61)</f>
        <v>165.61</v>
      </c>
      <c r="E2493" s="1">
        <f ca="1">IFERROR(__xludf.DUMMYFUNCTION("""COMPUTED_VALUE"""),167.65)</f>
        <v>167.65</v>
      </c>
      <c r="F2493" s="1">
        <f ca="1">IFERROR(__xludf.DUMMYFUNCTION("""COMPUTED_VALUE"""),33135263)</f>
        <v>33135263</v>
      </c>
    </row>
    <row r="2494" spans="1:6" x14ac:dyDescent="0.35">
      <c r="A2494" s="2">
        <f ca="1">IFERROR(__xludf.DUMMYFUNCTION("""COMPUTED_VALUE"""),45622.6666666666)</f>
        <v>45622.666666666599</v>
      </c>
      <c r="B2494" s="1">
        <f ca="1">IFERROR(__xludf.DUMMYFUNCTION("""COMPUTED_VALUE"""),167.63)</f>
        <v>167.63</v>
      </c>
      <c r="C2494" s="1">
        <f ca="1">IFERROR(__xludf.DUMMYFUNCTION("""COMPUTED_VALUE"""),169.82)</f>
        <v>169.82</v>
      </c>
      <c r="D2494" s="1">
        <f ca="1">IFERROR(__xludf.DUMMYFUNCTION("""COMPUTED_VALUE"""),167.58)</f>
        <v>167.58</v>
      </c>
      <c r="E2494" s="1">
        <f ca="1">IFERROR(__xludf.DUMMYFUNCTION("""COMPUTED_VALUE"""),169.12)</f>
        <v>169.12</v>
      </c>
      <c r="F2494" s="1">
        <f ca="1">IFERROR(__xludf.DUMMYFUNCTION("""COMPUTED_VALUE"""),20486720)</f>
        <v>20486720</v>
      </c>
    </row>
    <row r="2495" spans="1:6" x14ac:dyDescent="0.35">
      <c r="A2495" s="2">
        <f ca="1">IFERROR(__xludf.DUMMYFUNCTION("""COMPUTED_VALUE"""),45623.6666666666)</f>
        <v>45623.666666666599</v>
      </c>
      <c r="B2495" s="1">
        <f ca="1">IFERROR(__xludf.DUMMYFUNCTION("""COMPUTED_VALUE"""),169)</f>
        <v>169</v>
      </c>
      <c r="C2495" s="1">
        <f ca="1">IFERROR(__xludf.DUMMYFUNCTION("""COMPUTED_VALUE"""),169.48)</f>
        <v>169.48</v>
      </c>
      <c r="D2495" s="1">
        <f ca="1">IFERROR(__xludf.DUMMYFUNCTION("""COMPUTED_VALUE"""),168.02)</f>
        <v>168.02</v>
      </c>
      <c r="E2495" s="1">
        <f ca="1">IFERROR(__xludf.DUMMYFUNCTION("""COMPUTED_VALUE"""),169.23)</f>
        <v>169.23</v>
      </c>
      <c r="F2495" s="1">
        <f ca="1">IFERROR(__xludf.DUMMYFUNCTION("""COMPUTED_VALUE"""),19266511)</f>
        <v>19266511</v>
      </c>
    </row>
    <row r="2496" spans="1:6" x14ac:dyDescent="0.35">
      <c r="A2496" s="2">
        <f ca="1">IFERROR(__xludf.DUMMYFUNCTION("""COMPUTED_VALUE"""),45625.5451388888)</f>
        <v>45625.545138888803</v>
      </c>
      <c r="B2496" s="1">
        <f ca="1">IFERROR(__xludf.DUMMYFUNCTION("""COMPUTED_VALUE"""),168.5)</f>
        <v>168.5</v>
      </c>
      <c r="C2496" s="1">
        <f ca="1">IFERROR(__xludf.DUMMYFUNCTION("""COMPUTED_VALUE"""),169.43)</f>
        <v>169.43</v>
      </c>
      <c r="D2496" s="1">
        <f ca="1">IFERROR(__xludf.DUMMYFUNCTION("""COMPUTED_VALUE"""),167.16)</f>
        <v>167.16</v>
      </c>
      <c r="E2496" s="1">
        <f ca="1">IFERROR(__xludf.DUMMYFUNCTION("""COMPUTED_VALUE"""),168.95)</f>
        <v>168.95</v>
      </c>
      <c r="F2496" s="1">
        <f ca="1">IFERROR(__xludf.DUMMYFUNCTION("""COMPUTED_VALUE"""),14257244)</f>
        <v>14257244</v>
      </c>
    </row>
    <row r="2497" spans="1:6" x14ac:dyDescent="0.35">
      <c r="A2497" s="2">
        <f ca="1">IFERROR(__xludf.DUMMYFUNCTION("""COMPUTED_VALUE"""),45628.6666666666)</f>
        <v>45628.666666666599</v>
      </c>
      <c r="B2497" s="1">
        <f ca="1">IFERROR(__xludf.DUMMYFUNCTION("""COMPUTED_VALUE"""),168.77)</f>
        <v>168.77</v>
      </c>
      <c r="C2497" s="1">
        <f ca="1">IFERROR(__xludf.DUMMYFUNCTION("""COMPUTED_VALUE"""),172.08)</f>
        <v>172.08</v>
      </c>
      <c r="D2497" s="1">
        <f ca="1">IFERROR(__xludf.DUMMYFUNCTION("""COMPUTED_VALUE"""),168.57)</f>
        <v>168.57</v>
      </c>
      <c r="E2497" s="1">
        <f ca="1">IFERROR(__xludf.DUMMYFUNCTION("""COMPUTED_VALUE"""),171.49)</f>
        <v>171.49</v>
      </c>
      <c r="F2497" s="1">
        <f ca="1">IFERROR(__xludf.DUMMYFUNCTION("""COMPUTED_VALUE"""),23789084)</f>
        <v>23789084</v>
      </c>
    </row>
    <row r="2498" spans="1:6" x14ac:dyDescent="0.35">
      <c r="A2498" s="2">
        <f ca="1">IFERROR(__xludf.DUMMYFUNCTION("""COMPUTED_VALUE"""),45629.6666666666)</f>
        <v>45629.666666666599</v>
      </c>
      <c r="B2498" s="1">
        <f ca="1">IFERROR(__xludf.DUMMYFUNCTION("""COMPUTED_VALUE"""),171.49)</f>
        <v>171.49</v>
      </c>
      <c r="C2498" s="1">
        <f ca="1">IFERROR(__xludf.DUMMYFUNCTION("""COMPUTED_VALUE"""),172.68)</f>
        <v>172.68</v>
      </c>
      <c r="D2498" s="1">
        <f ca="1">IFERROR(__xludf.DUMMYFUNCTION("""COMPUTED_VALUE"""),170.85)</f>
        <v>170.85</v>
      </c>
      <c r="E2498" s="1">
        <f ca="1">IFERROR(__xludf.DUMMYFUNCTION("""COMPUTED_VALUE"""),171.34)</f>
        <v>171.34</v>
      </c>
      <c r="F2498" s="1">
        <f ca="1">IFERROR(__xludf.DUMMYFUNCTION("""COMPUTED_VALUE"""),22248705)</f>
        <v>22248705</v>
      </c>
    </row>
    <row r="2499" spans="1:6" x14ac:dyDescent="0.35">
      <c r="A2499" s="2">
        <f ca="1">IFERROR(__xludf.DUMMYFUNCTION("""COMPUTED_VALUE"""),45630.6666666666)</f>
        <v>45630.666666666599</v>
      </c>
      <c r="B2499" s="1">
        <f ca="1">IFERROR(__xludf.DUMMYFUNCTION("""COMPUTED_VALUE"""),171.15)</f>
        <v>171.15</v>
      </c>
      <c r="C2499" s="1">
        <f ca="1">IFERROR(__xludf.DUMMYFUNCTION("""COMPUTED_VALUE"""),174.91)</f>
        <v>174.91</v>
      </c>
      <c r="D2499" s="1">
        <f ca="1">IFERROR(__xludf.DUMMYFUNCTION("""COMPUTED_VALUE"""),171.06)</f>
        <v>171.06</v>
      </c>
      <c r="E2499" s="1">
        <f ca="1">IFERROR(__xludf.DUMMYFUNCTION("""COMPUTED_VALUE"""),174.37)</f>
        <v>174.37</v>
      </c>
      <c r="F2499" s="1">
        <f ca="1">IFERROR(__xludf.DUMMYFUNCTION("""COMPUTED_VALUE"""),31615137)</f>
        <v>31615137</v>
      </c>
    </row>
    <row r="2500" spans="1:6" x14ac:dyDescent="0.35">
      <c r="A2500" s="2">
        <f ca="1">IFERROR(__xludf.DUMMYFUNCTION("""COMPUTED_VALUE"""),45631.6666666666)</f>
        <v>45631.666666666599</v>
      </c>
      <c r="B2500" s="1">
        <f ca="1">IFERROR(__xludf.DUMMYFUNCTION("""COMPUTED_VALUE"""),175.36)</f>
        <v>175.36</v>
      </c>
      <c r="C2500" s="1">
        <f ca="1">IFERROR(__xludf.DUMMYFUNCTION("""COMPUTED_VALUE"""),176.06)</f>
        <v>176.06</v>
      </c>
      <c r="D2500" s="1">
        <f ca="1">IFERROR(__xludf.DUMMYFUNCTION("""COMPUTED_VALUE"""),172.33)</f>
        <v>172.33</v>
      </c>
      <c r="E2500" s="1">
        <f ca="1">IFERROR(__xludf.DUMMYFUNCTION("""COMPUTED_VALUE"""),172.64)</f>
        <v>172.64</v>
      </c>
      <c r="F2500" s="1">
        <f ca="1">IFERROR(__xludf.DUMMYFUNCTION("""COMPUTED_VALUE"""),21356243)</f>
        <v>21356243</v>
      </c>
    </row>
    <row r="2501" spans="1:6" x14ac:dyDescent="0.35">
      <c r="A2501" s="2">
        <f ca="1">IFERROR(__xludf.DUMMYFUNCTION("""COMPUTED_VALUE"""),45632.6666666666)</f>
        <v>45632.666666666599</v>
      </c>
      <c r="B2501" s="1">
        <f ca="1">IFERROR(__xludf.DUMMYFUNCTION("""COMPUTED_VALUE"""),172.03)</f>
        <v>172.03</v>
      </c>
      <c r="C2501" s="1">
        <f ca="1">IFERROR(__xludf.DUMMYFUNCTION("""COMPUTED_VALUE"""),175.08)</f>
        <v>175.08</v>
      </c>
      <c r="D2501" s="1">
        <f ca="1">IFERROR(__xludf.DUMMYFUNCTION("""COMPUTED_VALUE"""),171.86)</f>
        <v>171.86</v>
      </c>
      <c r="E2501" s="1">
        <f ca="1">IFERROR(__xludf.DUMMYFUNCTION("""COMPUTED_VALUE"""),174.71)</f>
        <v>174.71</v>
      </c>
      <c r="F2501" s="1">
        <f ca="1">IFERROR(__xludf.DUMMYFUNCTION("""COMPUTED_VALUE"""),21462393)</f>
        <v>21462393</v>
      </c>
    </row>
    <row r="2502" spans="1:6" x14ac:dyDescent="0.35">
      <c r="A2502" s="2">
        <f ca="1">IFERROR(__xludf.DUMMYFUNCTION("""COMPUTED_VALUE"""),45635.6666666666)</f>
        <v>45635.666666666599</v>
      </c>
      <c r="B2502" s="1">
        <f ca="1">IFERROR(__xludf.DUMMYFUNCTION("""COMPUTED_VALUE"""),173.96)</f>
        <v>173.96</v>
      </c>
      <c r="C2502" s="1">
        <f ca="1">IFERROR(__xludf.DUMMYFUNCTION("""COMPUTED_VALUE"""),176.26)</f>
        <v>176.26</v>
      </c>
      <c r="D2502" s="1">
        <f ca="1">IFERROR(__xludf.DUMMYFUNCTION("""COMPUTED_VALUE"""),173.65)</f>
        <v>173.65</v>
      </c>
      <c r="E2502" s="1">
        <f ca="1">IFERROR(__xludf.DUMMYFUNCTION("""COMPUTED_VALUE"""),175.37)</f>
        <v>175.37</v>
      </c>
      <c r="F2502" s="1">
        <f ca="1">IFERROR(__xludf.DUMMYFUNCTION("""COMPUTED_VALUE"""),25389631)</f>
        <v>25389631</v>
      </c>
    </row>
    <row r="2503" spans="1:6" x14ac:dyDescent="0.35">
      <c r="A2503" s="2">
        <f ca="1">IFERROR(__xludf.DUMMYFUNCTION("""COMPUTED_VALUE"""),45636.6666666666)</f>
        <v>45636.666666666599</v>
      </c>
      <c r="B2503" s="1">
        <f ca="1">IFERROR(__xludf.DUMMYFUNCTION("""COMPUTED_VALUE"""),182.85)</f>
        <v>182.85</v>
      </c>
      <c r="C2503" s="1">
        <f ca="1">IFERROR(__xludf.DUMMYFUNCTION("""COMPUTED_VALUE"""),186.36)</f>
        <v>186.36</v>
      </c>
      <c r="D2503" s="1">
        <f ca="1">IFERROR(__xludf.DUMMYFUNCTION("""COMPUTED_VALUE"""),181.05)</f>
        <v>181.05</v>
      </c>
      <c r="E2503" s="1">
        <f ca="1">IFERROR(__xludf.DUMMYFUNCTION("""COMPUTED_VALUE"""),185.17)</f>
        <v>185.17</v>
      </c>
      <c r="F2503" s="1">
        <f ca="1">IFERROR(__xludf.DUMMYFUNCTION("""COMPUTED_VALUE"""),54813022)</f>
        <v>54813022</v>
      </c>
    </row>
    <row r="2504" spans="1:6" x14ac:dyDescent="0.35">
      <c r="A2504" s="2">
        <f ca="1">IFERROR(__xludf.DUMMYFUNCTION("""COMPUTED_VALUE"""),45637.6666666666)</f>
        <v>45637.666666666599</v>
      </c>
      <c r="B2504" s="1">
        <f ca="1">IFERROR(__xludf.DUMMYFUNCTION("""COMPUTED_VALUE"""),185.31)</f>
        <v>185.31</v>
      </c>
      <c r="C2504" s="1">
        <f ca="1">IFERROR(__xludf.DUMMYFUNCTION("""COMPUTED_VALUE"""),195.61)</f>
        <v>195.61</v>
      </c>
      <c r="D2504" s="1">
        <f ca="1">IFERROR(__xludf.DUMMYFUNCTION("""COMPUTED_VALUE"""),184.85)</f>
        <v>184.85</v>
      </c>
      <c r="E2504" s="1">
        <f ca="1">IFERROR(__xludf.DUMMYFUNCTION("""COMPUTED_VALUE"""),195.4)</f>
        <v>195.4</v>
      </c>
      <c r="F2504" s="1">
        <f ca="1">IFERROR(__xludf.DUMMYFUNCTION("""COMPUTED_VALUE"""),67894071)</f>
        <v>67894071</v>
      </c>
    </row>
    <row r="2505" spans="1:6" x14ac:dyDescent="0.35">
      <c r="A2505" s="2">
        <f ca="1">IFERROR(__xludf.DUMMYFUNCTION("""COMPUTED_VALUE"""),45638.6666666666)</f>
        <v>45638.666666666599</v>
      </c>
      <c r="B2505" s="1">
        <f ca="1">IFERROR(__xludf.DUMMYFUNCTION("""COMPUTED_VALUE"""),195)</f>
        <v>195</v>
      </c>
      <c r="C2505" s="1">
        <f ca="1">IFERROR(__xludf.DUMMYFUNCTION("""COMPUTED_VALUE"""),195.18)</f>
        <v>195.18</v>
      </c>
      <c r="D2505" s="1">
        <f ca="1">IFERROR(__xludf.DUMMYFUNCTION("""COMPUTED_VALUE"""),191.71)</f>
        <v>191.71</v>
      </c>
      <c r="E2505" s="1">
        <f ca="1">IFERROR(__xludf.DUMMYFUNCTION("""COMPUTED_VALUE"""),191.96)</f>
        <v>191.96</v>
      </c>
      <c r="F2505" s="1">
        <f ca="1">IFERROR(__xludf.DUMMYFUNCTION("""COMPUTED_VALUE"""),34817486)</f>
        <v>34817486</v>
      </c>
    </row>
    <row r="2506" spans="1:6" x14ac:dyDescent="0.35">
      <c r="A2506" s="2">
        <f ca="1">IFERROR(__xludf.DUMMYFUNCTION("""COMPUTED_VALUE"""),45639.6666666666)</f>
        <v>45639.666666666599</v>
      </c>
      <c r="B2506" s="1">
        <f ca="1">IFERROR(__xludf.DUMMYFUNCTION("""COMPUTED_VALUE"""),191.01)</f>
        <v>191.01</v>
      </c>
      <c r="C2506" s="1">
        <f ca="1">IFERROR(__xludf.DUMMYFUNCTION("""COMPUTED_VALUE"""),192.73)</f>
        <v>192.73</v>
      </c>
      <c r="D2506" s="1">
        <f ca="1">IFERROR(__xludf.DUMMYFUNCTION("""COMPUTED_VALUE"""),189.64)</f>
        <v>189.64</v>
      </c>
      <c r="E2506" s="1">
        <f ca="1">IFERROR(__xludf.DUMMYFUNCTION("""COMPUTED_VALUE"""),189.82)</f>
        <v>189.82</v>
      </c>
      <c r="F2506" s="1">
        <f ca="1">IFERROR(__xludf.DUMMYFUNCTION("""COMPUTED_VALUE"""),25143495)</f>
        <v>25143495</v>
      </c>
    </row>
    <row r="2507" spans="1:6" x14ac:dyDescent="0.35">
      <c r="A2507" s="2">
        <f ca="1">IFERROR(__xludf.DUMMYFUNCTION("""COMPUTED_VALUE"""),45642.6666666666)</f>
        <v>45642.666666666599</v>
      </c>
      <c r="B2507" s="1">
        <f ca="1">IFERROR(__xludf.DUMMYFUNCTION("""COMPUTED_VALUE"""),192.87)</f>
        <v>192.87</v>
      </c>
      <c r="C2507" s="1">
        <f ca="1">IFERROR(__xludf.DUMMYFUNCTION("""COMPUTED_VALUE"""),199)</f>
        <v>199</v>
      </c>
      <c r="D2507" s="1">
        <f ca="1">IFERROR(__xludf.DUMMYFUNCTION("""COMPUTED_VALUE"""),192.62)</f>
        <v>192.62</v>
      </c>
      <c r="E2507" s="1">
        <f ca="1">IFERROR(__xludf.DUMMYFUNCTION("""COMPUTED_VALUE"""),196.66)</f>
        <v>196.66</v>
      </c>
      <c r="F2507" s="1">
        <f ca="1">IFERROR(__xludf.DUMMYFUNCTION("""COMPUTED_VALUE"""),44934901)</f>
        <v>44934901</v>
      </c>
    </row>
    <row r="2508" spans="1:6" x14ac:dyDescent="0.35">
      <c r="A2508" s="2">
        <f ca="1">IFERROR(__xludf.DUMMYFUNCTION("""COMPUTED_VALUE"""),45643.6666666666)</f>
        <v>45643.666666666599</v>
      </c>
      <c r="B2508" s="1">
        <f ca="1">IFERROR(__xludf.DUMMYFUNCTION("""COMPUTED_VALUE"""),197.25)</f>
        <v>197.25</v>
      </c>
      <c r="C2508" s="1">
        <f ca="1">IFERROR(__xludf.DUMMYFUNCTION("""COMPUTED_VALUE"""),201.42)</f>
        <v>201.42</v>
      </c>
      <c r="D2508" s="1">
        <f ca="1">IFERROR(__xludf.DUMMYFUNCTION("""COMPUTED_VALUE"""),194.98)</f>
        <v>194.98</v>
      </c>
      <c r="E2508" s="1">
        <f ca="1">IFERROR(__xludf.DUMMYFUNCTION("""COMPUTED_VALUE"""),195.42)</f>
        <v>195.42</v>
      </c>
      <c r="F2508" s="1">
        <f ca="1">IFERROR(__xludf.DUMMYFUNCTION("""COMPUTED_VALUE"""),43504025)</f>
        <v>43504025</v>
      </c>
    </row>
    <row r="2509" spans="1:6" x14ac:dyDescent="0.35">
      <c r="A2509" s="2">
        <f ca="1">IFERROR(__xludf.DUMMYFUNCTION("""COMPUTED_VALUE"""),45644.6666666666)</f>
        <v>45644.666666666599</v>
      </c>
      <c r="B2509" s="1">
        <f ca="1">IFERROR(__xludf.DUMMYFUNCTION("""COMPUTED_VALUE"""),195.22)</f>
        <v>195.22</v>
      </c>
      <c r="C2509" s="1">
        <f ca="1">IFERROR(__xludf.DUMMYFUNCTION("""COMPUTED_VALUE"""),197)</f>
        <v>197</v>
      </c>
      <c r="D2509" s="1">
        <f ca="1">IFERROR(__xludf.DUMMYFUNCTION("""COMPUTED_VALUE"""),187.74)</f>
        <v>187.74</v>
      </c>
      <c r="E2509" s="1">
        <f ca="1">IFERROR(__xludf.DUMMYFUNCTION("""COMPUTED_VALUE"""),188.4)</f>
        <v>188.4</v>
      </c>
      <c r="F2509" s="1">
        <f ca="1">IFERROR(__xludf.DUMMYFUNCTION("""COMPUTED_VALUE"""),34166074)</f>
        <v>34166074</v>
      </c>
    </row>
    <row r="2510" spans="1:6" x14ac:dyDescent="0.35">
      <c r="A2510" s="2">
        <f ca="1">IFERROR(__xludf.DUMMYFUNCTION("""COMPUTED_VALUE"""),45645.6666666666)</f>
        <v>45645.666666666599</v>
      </c>
      <c r="B2510" s="1">
        <f ca="1">IFERROR(__xludf.DUMMYFUNCTION("""COMPUTED_VALUE"""),191.63)</f>
        <v>191.63</v>
      </c>
      <c r="C2510" s="1">
        <f ca="1">IFERROR(__xludf.DUMMYFUNCTION("""COMPUTED_VALUE"""),193.03)</f>
        <v>193.03</v>
      </c>
      <c r="D2510" s="1">
        <f ca="1">IFERROR(__xludf.DUMMYFUNCTION("""COMPUTED_VALUE"""),188.38)</f>
        <v>188.38</v>
      </c>
      <c r="E2510" s="1">
        <f ca="1">IFERROR(__xludf.DUMMYFUNCTION("""COMPUTED_VALUE"""),188.51)</f>
        <v>188.51</v>
      </c>
      <c r="F2510" s="1">
        <f ca="1">IFERROR(__xludf.DUMMYFUNCTION("""COMPUTED_VALUE"""),32265241)</f>
        <v>32265241</v>
      </c>
    </row>
    <row r="2511" spans="1:6" x14ac:dyDescent="0.35">
      <c r="A2511" s="2">
        <f ca="1">IFERROR(__xludf.DUMMYFUNCTION("""COMPUTED_VALUE"""),45646.6666666666)</f>
        <v>45646.666666666599</v>
      </c>
      <c r="B2511" s="1">
        <f ca="1">IFERROR(__xludf.DUMMYFUNCTION("""COMPUTED_VALUE"""),185.78)</f>
        <v>185.78</v>
      </c>
      <c r="C2511" s="1">
        <f ca="1">IFERROR(__xludf.DUMMYFUNCTION("""COMPUTED_VALUE"""),192.89)</f>
        <v>192.89</v>
      </c>
      <c r="D2511" s="1">
        <f ca="1">IFERROR(__xludf.DUMMYFUNCTION("""COMPUTED_VALUE"""),185.22)</f>
        <v>185.22</v>
      </c>
      <c r="E2511" s="1">
        <f ca="1">IFERROR(__xludf.DUMMYFUNCTION("""COMPUTED_VALUE"""),191.41)</f>
        <v>191.41</v>
      </c>
      <c r="F2511" s="1">
        <f ca="1">IFERROR(__xludf.DUMMYFUNCTION("""COMPUTED_VALUE"""),63462934)</f>
        <v>63462934</v>
      </c>
    </row>
    <row r="2512" spans="1:6" x14ac:dyDescent="0.35">
      <c r="A2512" s="2">
        <f ca="1">IFERROR(__xludf.DUMMYFUNCTION("""COMPUTED_VALUE"""),45649.6666666666)</f>
        <v>45649.666666666599</v>
      </c>
      <c r="B2512" s="1">
        <f ca="1">IFERROR(__xludf.DUMMYFUNCTION("""COMPUTED_VALUE"""),192.62)</f>
        <v>192.62</v>
      </c>
      <c r="C2512" s="1">
        <f ca="1">IFERROR(__xludf.DUMMYFUNCTION("""COMPUTED_VALUE"""),195.1)</f>
        <v>195.1</v>
      </c>
      <c r="D2512" s="1">
        <f ca="1">IFERROR(__xludf.DUMMYFUNCTION("""COMPUTED_VALUE"""),190.15)</f>
        <v>190.15</v>
      </c>
      <c r="E2512" s="1">
        <f ca="1">IFERROR(__xludf.DUMMYFUNCTION("""COMPUTED_VALUE"""),194.63)</f>
        <v>194.63</v>
      </c>
      <c r="F2512" s="1">
        <f ca="1">IFERROR(__xludf.DUMMYFUNCTION("""COMPUTED_VALUE"""),25675014)</f>
        <v>25675014</v>
      </c>
    </row>
    <row r="2513" spans="1:6" x14ac:dyDescent="0.35">
      <c r="A2513" s="2">
        <f ca="1">IFERROR(__xludf.DUMMYFUNCTION("""COMPUTED_VALUE"""),45650.5451388888)</f>
        <v>45650.545138888803</v>
      </c>
      <c r="B2513" s="1">
        <f ca="1">IFERROR(__xludf.DUMMYFUNCTION("""COMPUTED_VALUE"""),194.84)</f>
        <v>194.84</v>
      </c>
      <c r="C2513" s="1">
        <f ca="1">IFERROR(__xludf.DUMMYFUNCTION("""COMPUTED_VALUE"""),196.11)</f>
        <v>196.11</v>
      </c>
      <c r="D2513" s="1">
        <f ca="1">IFERROR(__xludf.DUMMYFUNCTION("""COMPUTED_VALUE"""),193.78)</f>
        <v>193.78</v>
      </c>
      <c r="E2513" s="1">
        <f ca="1">IFERROR(__xludf.DUMMYFUNCTION("""COMPUTED_VALUE"""),196.11)</f>
        <v>196.11</v>
      </c>
      <c r="F2513" s="1">
        <f ca="1">IFERROR(__xludf.DUMMYFUNCTION("""COMPUTED_VALUE"""),10403259)</f>
        <v>10403259</v>
      </c>
    </row>
    <row r="2514" spans="1:6" x14ac:dyDescent="0.35">
      <c r="A2514" s="2">
        <f ca="1">IFERROR(__xludf.DUMMYFUNCTION("""COMPUTED_VALUE"""),45652.6666666666)</f>
        <v>45652.666666666599</v>
      </c>
      <c r="B2514" s="1">
        <f ca="1">IFERROR(__xludf.DUMMYFUNCTION("""COMPUTED_VALUE"""),195.15)</f>
        <v>195.15</v>
      </c>
      <c r="C2514" s="1">
        <f ca="1">IFERROR(__xludf.DUMMYFUNCTION("""COMPUTED_VALUE"""),196.75)</f>
        <v>196.75</v>
      </c>
      <c r="D2514" s="1">
        <f ca="1">IFERROR(__xludf.DUMMYFUNCTION("""COMPUTED_VALUE"""),194.38)</f>
        <v>194.38</v>
      </c>
      <c r="E2514" s="1">
        <f ca="1">IFERROR(__xludf.DUMMYFUNCTION("""COMPUTED_VALUE"""),195.6)</f>
        <v>195.6</v>
      </c>
      <c r="F2514" s="1">
        <f ca="1">IFERROR(__xludf.DUMMYFUNCTION("""COMPUTED_VALUE"""),12057210)</f>
        <v>12057210</v>
      </c>
    </row>
    <row r="2515" spans="1:6" x14ac:dyDescent="0.35">
      <c r="A2515" s="2">
        <f ca="1">IFERROR(__xludf.DUMMYFUNCTION("""COMPUTED_VALUE"""),45653.6666666666)</f>
        <v>45653.666666666599</v>
      </c>
      <c r="B2515" s="1">
        <f ca="1">IFERROR(__xludf.DUMMYFUNCTION("""COMPUTED_VALUE"""),194.95)</f>
        <v>194.95</v>
      </c>
      <c r="C2515" s="1">
        <f ca="1">IFERROR(__xludf.DUMMYFUNCTION("""COMPUTED_VALUE"""),195.32)</f>
        <v>195.32</v>
      </c>
      <c r="D2515" s="1">
        <f ca="1">IFERROR(__xludf.DUMMYFUNCTION("""COMPUTED_VALUE"""),190.65)</f>
        <v>190.65</v>
      </c>
      <c r="E2515" s="1">
        <f ca="1">IFERROR(__xludf.DUMMYFUNCTION("""COMPUTED_VALUE"""),192.76)</f>
        <v>192.76</v>
      </c>
      <c r="F2515" s="1">
        <f ca="1">IFERROR(__xludf.DUMMYFUNCTION("""COMPUTED_VALUE"""),18891362)</f>
        <v>18891362</v>
      </c>
    </row>
    <row r="2516" spans="1:6" x14ac:dyDescent="0.35">
      <c r="A2516" s="2">
        <f ca="1">IFERROR(__xludf.DUMMYFUNCTION("""COMPUTED_VALUE"""),45656.6666666666)</f>
        <v>45656.666666666599</v>
      </c>
      <c r="B2516" s="1">
        <f ca="1">IFERROR(__xludf.DUMMYFUNCTION("""COMPUTED_VALUE"""),189.8)</f>
        <v>189.8</v>
      </c>
      <c r="C2516" s="1">
        <f ca="1">IFERROR(__xludf.DUMMYFUNCTION("""COMPUTED_VALUE"""),192.55)</f>
        <v>192.55</v>
      </c>
      <c r="D2516" s="1">
        <f ca="1">IFERROR(__xludf.DUMMYFUNCTION("""COMPUTED_VALUE"""),189.12)</f>
        <v>189.12</v>
      </c>
      <c r="E2516" s="1">
        <f ca="1">IFERROR(__xludf.DUMMYFUNCTION("""COMPUTED_VALUE"""),191.24)</f>
        <v>191.24</v>
      </c>
      <c r="F2516" s="1">
        <f ca="1">IFERROR(__xludf.DUMMYFUNCTION("""COMPUTED_VALUE"""),14264659)</f>
        <v>14264659</v>
      </c>
    </row>
    <row r="2517" spans="1:6" x14ac:dyDescent="0.35">
      <c r="A2517" s="2">
        <f ca="1">IFERROR(__xludf.DUMMYFUNCTION("""COMPUTED_VALUE"""),45657.6666666666)</f>
        <v>45657.666666666599</v>
      </c>
      <c r="B2517" s="1">
        <f ca="1">IFERROR(__xludf.DUMMYFUNCTION("""COMPUTED_VALUE"""),191.08)</f>
        <v>191.08</v>
      </c>
      <c r="C2517" s="1">
        <f ca="1">IFERROR(__xludf.DUMMYFUNCTION("""COMPUTED_VALUE"""),191.96)</f>
        <v>191.96</v>
      </c>
      <c r="D2517" s="1">
        <f ca="1">IFERROR(__xludf.DUMMYFUNCTION("""COMPUTED_VALUE"""),188.51)</f>
        <v>188.51</v>
      </c>
      <c r="E2517" s="1">
        <f ca="1">IFERROR(__xludf.DUMMYFUNCTION("""COMPUTED_VALUE"""),189.3)</f>
        <v>189.3</v>
      </c>
      <c r="F2517" s="1">
        <f ca="1">IFERROR(__xludf.DUMMYFUNCTION("""COMPUTED_VALUE"""),17466919)</f>
        <v>17466919</v>
      </c>
    </row>
    <row r="2518" spans="1:6" x14ac:dyDescent="0.35">
      <c r="A2518" s="2">
        <f ca="1">IFERROR(__xludf.DUMMYFUNCTION("""COMPUTED_VALUE"""),45659.6666666666)</f>
        <v>45659.666666666599</v>
      </c>
      <c r="B2518" s="1">
        <f ca="1">IFERROR(__xludf.DUMMYFUNCTION("""COMPUTED_VALUE"""),190.65)</f>
        <v>190.65</v>
      </c>
      <c r="C2518" s="1">
        <f ca="1">IFERROR(__xludf.DUMMYFUNCTION("""COMPUTED_VALUE"""),192)</f>
        <v>192</v>
      </c>
      <c r="D2518" s="1">
        <f ca="1">IFERROR(__xludf.DUMMYFUNCTION("""COMPUTED_VALUE"""),187.5)</f>
        <v>187.5</v>
      </c>
      <c r="E2518" s="1">
        <f ca="1">IFERROR(__xludf.DUMMYFUNCTION("""COMPUTED_VALUE"""),189.43)</f>
        <v>189.43</v>
      </c>
      <c r="F2518" s="1">
        <f ca="1">IFERROR(__xludf.DUMMYFUNCTION("""COMPUTED_VALUE"""),20370828)</f>
        <v>20370828</v>
      </c>
    </row>
    <row r="2519" spans="1:6" x14ac:dyDescent="0.35">
      <c r="A2519" s="2">
        <f ca="1">IFERROR(__xludf.DUMMYFUNCTION("""COMPUTED_VALUE"""),45660.6666666666)</f>
        <v>45660.666666666599</v>
      </c>
      <c r="B2519" s="1">
        <f ca="1">IFERROR(__xludf.DUMMYFUNCTION("""COMPUTED_VALUE"""),191.37)</f>
        <v>191.37</v>
      </c>
      <c r="C2519" s="1">
        <f ca="1">IFERROR(__xludf.DUMMYFUNCTION("""COMPUTED_VALUE"""),193.21)</f>
        <v>193.21</v>
      </c>
      <c r="D2519" s="1">
        <f ca="1">IFERROR(__xludf.DUMMYFUNCTION("""COMPUTED_VALUE"""),189.98)</f>
        <v>189.98</v>
      </c>
      <c r="E2519" s="1">
        <f ca="1">IFERROR(__xludf.DUMMYFUNCTION("""COMPUTED_VALUE"""),191.79)</f>
        <v>191.79</v>
      </c>
      <c r="F2519" s="1">
        <f ca="1">IFERROR(__xludf.DUMMYFUNCTION("""COMPUTED_VALUE"""),18596159)</f>
        <v>18596159</v>
      </c>
    </row>
    <row r="2520" spans="1:6" x14ac:dyDescent="0.35">
      <c r="A2520" s="2">
        <f ca="1">IFERROR(__xludf.DUMMYFUNCTION("""COMPUTED_VALUE"""),45663.6666666666)</f>
        <v>45663.666666666599</v>
      </c>
      <c r="B2520" s="1">
        <f ca="1">IFERROR(__xludf.DUMMYFUNCTION("""COMPUTED_VALUE"""),193.98)</f>
        <v>193.98</v>
      </c>
      <c r="C2520" s="1">
        <f ca="1">IFERROR(__xludf.DUMMYFUNCTION("""COMPUTED_VALUE"""),198.22)</f>
        <v>198.22</v>
      </c>
      <c r="D2520" s="1">
        <f ca="1">IFERROR(__xludf.DUMMYFUNCTION("""COMPUTED_VALUE"""),193.85)</f>
        <v>193.85</v>
      </c>
      <c r="E2520" s="1">
        <f ca="1">IFERROR(__xludf.DUMMYFUNCTION("""COMPUTED_VALUE"""),196.87)</f>
        <v>196.87</v>
      </c>
      <c r="F2520" s="1">
        <f ca="1">IFERROR(__xludf.DUMMYFUNCTION("""COMPUTED_VALUE"""),29563638)</f>
        <v>29563638</v>
      </c>
    </row>
    <row r="2521" spans="1:6" x14ac:dyDescent="0.35">
      <c r="A2521" s="2">
        <f ca="1">IFERROR(__xludf.DUMMYFUNCTION("""COMPUTED_VALUE"""),45664.6666666666)</f>
        <v>45664.666666666599</v>
      </c>
      <c r="B2521" s="1">
        <f ca="1">IFERROR(__xludf.DUMMYFUNCTION("""COMPUTED_VALUE"""),197.11)</f>
        <v>197.11</v>
      </c>
      <c r="C2521" s="1">
        <f ca="1">IFERROR(__xludf.DUMMYFUNCTION("""COMPUTED_VALUE"""),201)</f>
        <v>201</v>
      </c>
      <c r="D2521" s="1">
        <f ca="1">IFERROR(__xludf.DUMMYFUNCTION("""COMPUTED_VALUE"""),194.6)</f>
        <v>194.6</v>
      </c>
      <c r="E2521" s="1">
        <f ca="1">IFERROR(__xludf.DUMMYFUNCTION("""COMPUTED_VALUE"""),195.49)</f>
        <v>195.49</v>
      </c>
      <c r="F2521" s="1">
        <f ca="1">IFERROR(__xludf.DUMMYFUNCTION("""COMPUTED_VALUE"""),26487244)</f>
        <v>26487244</v>
      </c>
    </row>
    <row r="2522" spans="1:6" x14ac:dyDescent="0.35">
      <c r="A2522" s="2">
        <f ca="1">IFERROR(__xludf.DUMMYFUNCTION("""COMPUTED_VALUE"""),45665.6666666666)</f>
        <v>45665.666666666599</v>
      </c>
      <c r="B2522" s="1">
        <f ca="1">IFERROR(__xludf.DUMMYFUNCTION("""COMPUTED_VALUE"""),192.57)</f>
        <v>192.57</v>
      </c>
      <c r="C2522" s="1">
        <f ca="1">IFERROR(__xludf.DUMMYFUNCTION("""COMPUTED_VALUE"""),196.29)</f>
        <v>196.29</v>
      </c>
      <c r="D2522" s="1">
        <f ca="1">IFERROR(__xludf.DUMMYFUNCTION("""COMPUTED_VALUE"""),192.38)</f>
        <v>192.38</v>
      </c>
      <c r="E2522" s="1">
        <f ca="1">IFERROR(__xludf.DUMMYFUNCTION("""COMPUTED_VALUE"""),193.95)</f>
        <v>193.95</v>
      </c>
      <c r="F2522" s="1">
        <f ca="1">IFERROR(__xludf.DUMMYFUNCTION("""COMPUTED_VALUE"""),24864766)</f>
        <v>24864766</v>
      </c>
    </row>
    <row r="2523" spans="1:6" x14ac:dyDescent="0.35">
      <c r="A2523" s="2">
        <f ca="1">IFERROR(__xludf.DUMMYFUNCTION("""COMPUTED_VALUE"""),45667.6666666666)</f>
        <v>45667.666666666599</v>
      </c>
      <c r="B2523" s="1">
        <f ca="1">IFERROR(__xludf.DUMMYFUNCTION("""COMPUTED_VALUE"""),194.3)</f>
        <v>194.3</v>
      </c>
      <c r="C2523" s="1">
        <f ca="1">IFERROR(__xludf.DUMMYFUNCTION("""COMPUTED_VALUE"""),196.52)</f>
        <v>196.52</v>
      </c>
      <c r="D2523" s="1">
        <f ca="1">IFERROR(__xludf.DUMMYFUNCTION("""COMPUTED_VALUE"""),190.31)</f>
        <v>190.31</v>
      </c>
      <c r="E2523" s="1">
        <f ca="1">IFERROR(__xludf.DUMMYFUNCTION("""COMPUTED_VALUE"""),192.04)</f>
        <v>192.04</v>
      </c>
      <c r="F2523" s="1">
        <f ca="1">IFERROR(__xludf.DUMMYFUNCTION("""COMPUTED_VALUE"""),26665206)</f>
        <v>26665206</v>
      </c>
    </row>
    <row r="2524" spans="1:6" x14ac:dyDescent="0.35">
      <c r="A2524" s="2">
        <f ca="1">IFERROR(__xludf.DUMMYFUNCTION("""COMPUTED_VALUE"""),45670.6666666666)</f>
        <v>45670.666666666599</v>
      </c>
      <c r="B2524" s="1">
        <f ca="1">IFERROR(__xludf.DUMMYFUNCTION("""COMPUTED_VALUE"""),190.07)</f>
        <v>190.07</v>
      </c>
      <c r="C2524" s="1">
        <f ca="1">IFERROR(__xludf.DUMMYFUNCTION("""COMPUTED_VALUE"""),191.18)</f>
        <v>191.18</v>
      </c>
      <c r="D2524" s="1">
        <f ca="1">IFERROR(__xludf.DUMMYFUNCTION("""COMPUTED_VALUE"""),187.36)</f>
        <v>187.36</v>
      </c>
      <c r="E2524" s="1">
        <f ca="1">IFERROR(__xludf.DUMMYFUNCTION("""COMPUTED_VALUE"""),191.01)</f>
        <v>191.01</v>
      </c>
      <c r="F2524" s="1">
        <f ca="1">IFERROR(__xludf.DUMMYFUNCTION("""COMPUTED_VALUE"""),21823699)</f>
        <v>21823699</v>
      </c>
    </row>
    <row r="2525" spans="1:6" x14ac:dyDescent="0.35">
      <c r="A2525" s="2">
        <f ca="1">IFERROR(__xludf.DUMMYFUNCTION("""COMPUTED_VALUE"""),45671.6666666666)</f>
        <v>45671.666666666599</v>
      </c>
      <c r="B2525" s="1">
        <f ca="1">IFERROR(__xludf.DUMMYFUNCTION("""COMPUTED_VALUE"""),191.24)</f>
        <v>191.24</v>
      </c>
      <c r="C2525" s="1">
        <f ca="1">IFERROR(__xludf.DUMMYFUNCTION("""COMPUTED_VALUE"""),191.98)</f>
        <v>191.98</v>
      </c>
      <c r="D2525" s="1">
        <f ca="1">IFERROR(__xludf.DUMMYFUNCTION("""COMPUTED_VALUE"""),188.31)</f>
        <v>188.31</v>
      </c>
      <c r="E2525" s="1">
        <f ca="1">IFERROR(__xludf.DUMMYFUNCTION("""COMPUTED_VALUE"""),189.66)</f>
        <v>189.66</v>
      </c>
      <c r="F2525" s="1">
        <f ca="1">IFERROR(__xludf.DUMMYFUNCTION("""COMPUTED_VALUE"""),17174854)</f>
        <v>17174854</v>
      </c>
    </row>
    <row r="2526" spans="1:6" x14ac:dyDescent="0.35">
      <c r="A2526" s="2">
        <f ca="1">IFERROR(__xludf.DUMMYFUNCTION("""COMPUTED_VALUE"""),45672.6666666666)</f>
        <v>45672.666666666599</v>
      </c>
      <c r="B2526" s="1">
        <f ca="1">IFERROR(__xludf.DUMMYFUNCTION("""COMPUTED_VALUE"""),193.09)</f>
        <v>193.09</v>
      </c>
      <c r="C2526" s="1">
        <f ca="1">IFERROR(__xludf.DUMMYFUNCTION("""COMPUTED_VALUE"""),196.36)</f>
        <v>196.36</v>
      </c>
      <c r="D2526" s="1">
        <f ca="1">IFERROR(__xludf.DUMMYFUNCTION("""COMPUTED_VALUE"""),191.86)</f>
        <v>191.86</v>
      </c>
      <c r="E2526" s="1">
        <f ca="1">IFERROR(__xludf.DUMMYFUNCTION("""COMPUTED_VALUE"""),195.55)</f>
        <v>195.55</v>
      </c>
      <c r="F2526" s="1">
        <f ca="1">IFERROR(__xludf.DUMMYFUNCTION("""COMPUTED_VALUE"""),21775969)</f>
        <v>21775969</v>
      </c>
    </row>
    <row r="2527" spans="1:6" x14ac:dyDescent="0.35">
      <c r="A2527" s="2">
        <f ca="1">IFERROR(__xludf.DUMMYFUNCTION("""COMPUTED_VALUE"""),45673.6666666666)</f>
        <v>45673.666666666599</v>
      </c>
      <c r="B2527" s="1">
        <f ca="1">IFERROR(__xludf.DUMMYFUNCTION("""COMPUTED_VALUE"""),194.14)</f>
        <v>194.14</v>
      </c>
      <c r="C2527" s="1">
        <f ca="1">IFERROR(__xludf.DUMMYFUNCTION("""COMPUTED_VALUE"""),195.48)</f>
        <v>195.48</v>
      </c>
      <c r="D2527" s="1">
        <f ca="1">IFERROR(__xludf.DUMMYFUNCTION("""COMPUTED_VALUE"""),192.81)</f>
        <v>192.81</v>
      </c>
      <c r="E2527" s="1">
        <f ca="1">IFERROR(__xludf.DUMMYFUNCTION("""COMPUTED_VALUE"""),192.91)</f>
        <v>192.91</v>
      </c>
      <c r="F2527" s="1">
        <f ca="1">IFERROR(__xludf.DUMMYFUNCTION("""COMPUTED_VALUE"""),17815432)</f>
        <v>17815432</v>
      </c>
    </row>
    <row r="2528" spans="1:6" x14ac:dyDescent="0.35">
      <c r="A2528" s="2">
        <f ca="1">IFERROR(__xludf.DUMMYFUNCTION("""COMPUTED_VALUE"""),45674.6666666666)</f>
        <v>45674.666666666599</v>
      </c>
      <c r="B2528" s="1">
        <f ca="1">IFERROR(__xludf.DUMMYFUNCTION("""COMPUTED_VALUE"""),196.53)</f>
        <v>196.53</v>
      </c>
      <c r="C2528" s="1">
        <f ca="1">IFERROR(__xludf.DUMMYFUNCTION("""COMPUTED_VALUE"""),197.23)</f>
        <v>197.23</v>
      </c>
      <c r="D2528" s="1">
        <f ca="1">IFERROR(__xludf.DUMMYFUNCTION("""COMPUTED_VALUE"""),193.75)</f>
        <v>193.75</v>
      </c>
      <c r="E2528" s="1">
        <f ca="1">IFERROR(__xludf.DUMMYFUNCTION("""COMPUTED_VALUE"""),196)</f>
        <v>196</v>
      </c>
      <c r="F2528" s="1">
        <f ca="1">IFERROR(__xludf.DUMMYFUNCTION("""COMPUTED_VALUE"""),27735089)</f>
        <v>27735089</v>
      </c>
    </row>
    <row r="2529" spans="1:6" x14ac:dyDescent="0.35">
      <c r="A2529" s="2">
        <f ca="1">IFERROR(__xludf.DUMMYFUNCTION("""COMPUTED_VALUE"""),45678.6666666666)</f>
        <v>45678.666666666599</v>
      </c>
      <c r="B2529" s="1">
        <f ca="1">IFERROR(__xludf.DUMMYFUNCTION("""COMPUTED_VALUE"""),199.07)</f>
        <v>199.07</v>
      </c>
      <c r="C2529" s="1">
        <f ca="1">IFERROR(__xludf.DUMMYFUNCTION("""COMPUTED_VALUE"""),202.29)</f>
        <v>202.29</v>
      </c>
      <c r="D2529" s="1">
        <f ca="1">IFERROR(__xludf.DUMMYFUNCTION("""COMPUTED_VALUE"""),197.87)</f>
        <v>197.87</v>
      </c>
      <c r="E2529" s="1">
        <f ca="1">IFERROR(__xludf.DUMMYFUNCTION("""COMPUTED_VALUE"""),198.05)</f>
        <v>198.05</v>
      </c>
      <c r="F2529" s="1">
        <f ca="1">IFERROR(__xludf.DUMMYFUNCTION("""COMPUTED_VALUE"""),29971292)</f>
        <v>29971292</v>
      </c>
    </row>
    <row r="2530" spans="1:6" x14ac:dyDescent="0.35">
      <c r="A2530" s="2">
        <f ca="1">IFERROR(__xludf.DUMMYFUNCTION("""COMPUTED_VALUE"""),45679.6666666666)</f>
        <v>45679.666666666599</v>
      </c>
      <c r="B2530" s="1">
        <f ca="1">IFERROR(__xludf.DUMMYFUNCTION("""COMPUTED_VALUE"""),199.06)</f>
        <v>199.06</v>
      </c>
      <c r="C2530" s="1">
        <f ca="1">IFERROR(__xludf.DUMMYFUNCTION("""COMPUTED_VALUE"""),200.48)</f>
        <v>200.48</v>
      </c>
      <c r="D2530" s="1">
        <f ca="1">IFERROR(__xludf.DUMMYFUNCTION("""COMPUTED_VALUE"""),197.53)</f>
        <v>197.53</v>
      </c>
      <c r="E2530" s="1">
        <f ca="1">IFERROR(__xludf.DUMMYFUNCTION("""COMPUTED_VALUE"""),198.37)</f>
        <v>198.37</v>
      </c>
      <c r="F2530" s="1">
        <f ca="1">IFERROR(__xludf.DUMMYFUNCTION("""COMPUTED_VALUE"""),26200617)</f>
        <v>26200617</v>
      </c>
    </row>
    <row r="2531" spans="1:6" x14ac:dyDescent="0.35">
      <c r="A2531" s="2">
        <f ca="1">IFERROR(__xludf.DUMMYFUNCTION("""COMPUTED_VALUE"""),45680.6666666666)</f>
        <v>45680.666666666599</v>
      </c>
      <c r="B2531" s="1">
        <f ca="1">IFERROR(__xludf.DUMMYFUNCTION("""COMPUTED_VALUE"""),198.14)</f>
        <v>198.14</v>
      </c>
      <c r="C2531" s="1">
        <f ca="1">IFERROR(__xludf.DUMMYFUNCTION("""COMPUTED_VALUE"""),200.3)</f>
        <v>200.3</v>
      </c>
      <c r="D2531" s="1">
        <f ca="1">IFERROR(__xludf.DUMMYFUNCTION("""COMPUTED_VALUE"""),195.2)</f>
        <v>195.2</v>
      </c>
      <c r="E2531" s="1">
        <f ca="1">IFERROR(__xludf.DUMMYFUNCTION("""COMPUTED_VALUE"""),197.98)</f>
        <v>197.98</v>
      </c>
      <c r="F2531" s="1">
        <f ca="1">IFERROR(__xludf.DUMMYFUNCTION("""COMPUTED_VALUE"""),26951357)</f>
        <v>26951357</v>
      </c>
    </row>
    <row r="2532" spans="1:6" x14ac:dyDescent="0.35">
      <c r="A2532" s="2">
        <f ca="1">IFERROR(__xludf.DUMMYFUNCTION("""COMPUTED_VALUE"""),45681.6666666666)</f>
        <v>45681.666666666599</v>
      </c>
      <c r="B2532" s="1">
        <f ca="1">IFERROR(__xludf.DUMMYFUNCTION("""COMPUTED_VALUE"""),198.1)</f>
        <v>198.1</v>
      </c>
      <c r="C2532" s="1">
        <f ca="1">IFERROR(__xludf.DUMMYFUNCTION("""COMPUTED_VALUE"""),200.9)</f>
        <v>200.9</v>
      </c>
      <c r="D2532" s="1">
        <f ca="1">IFERROR(__xludf.DUMMYFUNCTION("""COMPUTED_VALUE"""),198)</f>
        <v>198</v>
      </c>
      <c r="E2532" s="1">
        <f ca="1">IFERROR(__xludf.DUMMYFUNCTION("""COMPUTED_VALUE"""),200.21)</f>
        <v>200.21</v>
      </c>
      <c r="F2532" s="1">
        <f ca="1">IFERROR(__xludf.DUMMYFUNCTION("""COMPUTED_VALUE"""),23877521)</f>
        <v>23877521</v>
      </c>
    </row>
    <row r="2533" spans="1:6" x14ac:dyDescent="0.35">
      <c r="A2533" s="2">
        <f ca="1">IFERROR(__xludf.DUMMYFUNCTION("""COMPUTED_VALUE"""),45684.6666666666)</f>
        <v>45684.666666666599</v>
      </c>
      <c r="B2533" s="1">
        <f ca="1">IFERROR(__xludf.DUMMYFUNCTION("""COMPUTED_VALUE"""),192.41)</f>
        <v>192.41</v>
      </c>
      <c r="C2533" s="1">
        <f ca="1">IFERROR(__xludf.DUMMYFUNCTION("""COMPUTED_VALUE"""),196.88)</f>
        <v>196.88</v>
      </c>
      <c r="D2533" s="1">
        <f ca="1">IFERROR(__xludf.DUMMYFUNCTION("""COMPUTED_VALUE"""),190.73)</f>
        <v>190.73</v>
      </c>
      <c r="E2533" s="1">
        <f ca="1">IFERROR(__xludf.DUMMYFUNCTION("""COMPUTED_VALUE"""),191.81)</f>
        <v>191.81</v>
      </c>
      <c r="F2533" s="1">
        <f ca="1">IFERROR(__xludf.DUMMYFUNCTION("""COMPUTED_VALUE"""),41728893)</f>
        <v>41728893</v>
      </c>
    </row>
    <row r="2534" spans="1:6" x14ac:dyDescent="0.35">
      <c r="A2534" s="2">
        <f ca="1">IFERROR(__xludf.DUMMYFUNCTION("""COMPUTED_VALUE"""),45685.6666666666)</f>
        <v>45685.666666666599</v>
      </c>
      <c r="B2534" s="1">
        <f ca="1">IFERROR(__xludf.DUMMYFUNCTION("""COMPUTED_VALUE"""),192.75)</f>
        <v>192.75</v>
      </c>
      <c r="C2534" s="1">
        <f ca="1">IFERROR(__xludf.DUMMYFUNCTION("""COMPUTED_VALUE"""),195.48)</f>
        <v>195.48</v>
      </c>
      <c r="D2534" s="1">
        <f ca="1">IFERROR(__xludf.DUMMYFUNCTION("""COMPUTED_VALUE"""),190.68)</f>
        <v>190.68</v>
      </c>
      <c r="E2534" s="1">
        <f ca="1">IFERROR(__xludf.DUMMYFUNCTION("""COMPUTED_VALUE"""),195.3)</f>
        <v>195.3</v>
      </c>
      <c r="F2534" s="1">
        <f ca="1">IFERROR(__xludf.DUMMYFUNCTION("""COMPUTED_VALUE"""),24157929)</f>
        <v>24157929</v>
      </c>
    </row>
    <row r="2535" spans="1:6" x14ac:dyDescent="0.35">
      <c r="A2535" s="2">
        <f ca="1">IFERROR(__xludf.DUMMYFUNCTION("""COMPUTED_VALUE"""),45686.6666666666)</f>
        <v>45686.666666666599</v>
      </c>
      <c r="B2535" s="1">
        <f ca="1">IFERROR(__xludf.DUMMYFUNCTION("""COMPUTED_VALUE"""),195.56)</f>
        <v>195.56</v>
      </c>
      <c r="C2535" s="1">
        <f ca="1">IFERROR(__xludf.DUMMYFUNCTION("""COMPUTED_VALUE"""),196.79)</f>
        <v>196.79</v>
      </c>
      <c r="D2535" s="1">
        <f ca="1">IFERROR(__xludf.DUMMYFUNCTION("""COMPUTED_VALUE"""),193.43)</f>
        <v>193.43</v>
      </c>
      <c r="E2535" s="1">
        <f ca="1">IFERROR(__xludf.DUMMYFUNCTION("""COMPUTED_VALUE"""),195.41)</f>
        <v>195.41</v>
      </c>
      <c r="F2535" s="1">
        <f ca="1">IFERROR(__xludf.DUMMYFUNCTION("""COMPUTED_VALUE"""),18218256)</f>
        <v>18218256</v>
      </c>
    </row>
    <row r="2536" spans="1:6" x14ac:dyDescent="0.35">
      <c r="A2536" s="2">
        <f ca="1">IFERROR(__xludf.DUMMYFUNCTION("""COMPUTED_VALUE"""),45687.6666666666)</f>
        <v>45687.666666666599</v>
      </c>
      <c r="B2536" s="1">
        <f ca="1">IFERROR(__xludf.DUMMYFUNCTION("""COMPUTED_VALUE"""),198)</f>
        <v>198</v>
      </c>
      <c r="C2536" s="1">
        <f ca="1">IFERROR(__xludf.DUMMYFUNCTION("""COMPUTED_VALUE"""),201.4)</f>
        <v>201.4</v>
      </c>
      <c r="D2536" s="1">
        <f ca="1">IFERROR(__xludf.DUMMYFUNCTION("""COMPUTED_VALUE"""),197.67)</f>
        <v>197.67</v>
      </c>
      <c r="E2536" s="1">
        <f ca="1">IFERROR(__xludf.DUMMYFUNCTION("""COMPUTED_VALUE"""),200.87)</f>
        <v>200.87</v>
      </c>
      <c r="F2536" s="1">
        <f ca="1">IFERROR(__xludf.DUMMYFUNCTION("""COMPUTED_VALUE"""),24354684)</f>
        <v>24354684</v>
      </c>
    </row>
    <row r="2537" spans="1:6" x14ac:dyDescent="0.35">
      <c r="A2537" s="2">
        <f ca="1">IFERROR(__xludf.DUMMYFUNCTION("""COMPUTED_VALUE"""),45688.6666666666)</f>
        <v>45688.666666666599</v>
      </c>
      <c r="B2537" s="1">
        <f ca="1">IFERROR(__xludf.DUMMYFUNCTION("""COMPUTED_VALUE"""),202)</f>
        <v>202</v>
      </c>
      <c r="C2537" s="1">
        <f ca="1">IFERROR(__xludf.DUMMYFUNCTION("""COMPUTED_VALUE"""),205.48)</f>
        <v>205.48</v>
      </c>
      <c r="D2537" s="1">
        <f ca="1">IFERROR(__xludf.DUMMYFUNCTION("""COMPUTED_VALUE"""),201.8)</f>
        <v>201.8</v>
      </c>
      <c r="E2537" s="1">
        <f ca="1">IFERROR(__xludf.DUMMYFUNCTION("""COMPUTED_VALUE"""),204.02)</f>
        <v>204.02</v>
      </c>
      <c r="F2537" s="1">
        <f ca="1">IFERROR(__xludf.DUMMYFUNCTION("""COMPUTED_VALUE"""),32041952)</f>
        <v>32041952</v>
      </c>
    </row>
    <row r="2538" spans="1:6" x14ac:dyDescent="0.35">
      <c r="A2538" s="2">
        <f ca="1">IFERROR(__xludf.DUMMYFUNCTION("""COMPUTED_VALUE"""),45691.6666666666)</f>
        <v>45691.666666666599</v>
      </c>
      <c r="B2538" s="1">
        <f ca="1">IFERROR(__xludf.DUMMYFUNCTION("""COMPUTED_VALUE"""),200.69)</f>
        <v>200.69</v>
      </c>
      <c r="C2538" s="1">
        <f ca="1">IFERROR(__xludf.DUMMYFUNCTION("""COMPUTED_VALUE"""),203.75)</f>
        <v>203.75</v>
      </c>
      <c r="D2538" s="1">
        <f ca="1">IFERROR(__xludf.DUMMYFUNCTION("""COMPUTED_VALUE"""),200.1)</f>
        <v>200.1</v>
      </c>
      <c r="E2538" s="1">
        <f ca="1">IFERROR(__xludf.DUMMYFUNCTION("""COMPUTED_VALUE"""),201.23)</f>
        <v>201.23</v>
      </c>
      <c r="F2538" s="1">
        <f ca="1">IFERROR(__xludf.DUMMYFUNCTION("""COMPUTED_VALUE"""),27838348)</f>
        <v>27838348</v>
      </c>
    </row>
    <row r="2539" spans="1:6" x14ac:dyDescent="0.35">
      <c r="A2539" s="2">
        <f ca="1">IFERROR(__xludf.DUMMYFUNCTION("""COMPUTED_VALUE"""),45692.6666666666)</f>
        <v>45692.666666666599</v>
      </c>
      <c r="B2539" s="1">
        <f ca="1">IFERROR(__xludf.DUMMYFUNCTION("""COMPUTED_VALUE"""),203.39)</f>
        <v>203.39</v>
      </c>
      <c r="C2539" s="1">
        <f ca="1">IFERROR(__xludf.DUMMYFUNCTION("""COMPUTED_VALUE"""),207.05)</f>
        <v>207.05</v>
      </c>
      <c r="D2539" s="1">
        <f ca="1">IFERROR(__xludf.DUMMYFUNCTION("""COMPUTED_VALUE"""),202.81)</f>
        <v>202.81</v>
      </c>
      <c r="E2539" s="1">
        <f ca="1">IFERROR(__xludf.DUMMYFUNCTION("""COMPUTED_VALUE"""),206.38)</f>
        <v>206.38</v>
      </c>
      <c r="F2539" s="1">
        <f ca="1">IFERROR(__xludf.DUMMYFUNCTION("""COMPUTED_VALUE"""),43856425)</f>
        <v>43856425</v>
      </c>
    </row>
    <row r="2540" spans="1:6" x14ac:dyDescent="0.35">
      <c r="A2540" s="2">
        <f ca="1">IFERROR(__xludf.DUMMYFUNCTION("""COMPUTED_VALUE"""),45693.6666666666)</f>
        <v>45693.666666666599</v>
      </c>
      <c r="B2540" s="1">
        <f ca="1">IFERROR(__xludf.DUMMYFUNCTION("""COMPUTED_VALUE"""),191.07)</f>
        <v>191.07</v>
      </c>
      <c r="C2540" s="1">
        <f ca="1">IFERROR(__xludf.DUMMYFUNCTION("""COMPUTED_VALUE"""),192.75)</f>
        <v>192.75</v>
      </c>
      <c r="D2540" s="1">
        <f ca="1">IFERROR(__xludf.DUMMYFUNCTION("""COMPUTED_VALUE"""),188.03)</f>
        <v>188.03</v>
      </c>
      <c r="E2540" s="1">
        <f ca="1">IFERROR(__xludf.DUMMYFUNCTION("""COMPUTED_VALUE"""),191.33)</f>
        <v>191.33</v>
      </c>
      <c r="F2540" s="1">
        <f ca="1">IFERROR(__xludf.DUMMYFUNCTION("""COMPUTED_VALUE"""),70461770)</f>
        <v>70461770</v>
      </c>
    </row>
    <row r="2541" spans="1:6" x14ac:dyDescent="0.35">
      <c r="A2541" s="2">
        <f ca="1">IFERROR(__xludf.DUMMYFUNCTION("""COMPUTED_VALUE"""),45694.6666666666)</f>
        <v>45694.666666666599</v>
      </c>
      <c r="B2541" s="1">
        <f ca="1">IFERROR(__xludf.DUMMYFUNCTION("""COMPUTED_VALUE"""),189.5)</f>
        <v>189.5</v>
      </c>
      <c r="C2541" s="1">
        <f ca="1">IFERROR(__xludf.DUMMYFUNCTION("""COMPUTED_VALUE"""),192.1)</f>
        <v>192.1</v>
      </c>
      <c r="D2541" s="1">
        <f ca="1">IFERROR(__xludf.DUMMYFUNCTION("""COMPUTED_VALUE"""),188.72)</f>
        <v>188.72</v>
      </c>
      <c r="E2541" s="1">
        <f ca="1">IFERROR(__xludf.DUMMYFUNCTION("""COMPUTED_VALUE"""),191.6)</f>
        <v>191.6</v>
      </c>
      <c r="F2541" s="1">
        <f ca="1">IFERROR(__xludf.DUMMYFUNCTION("""COMPUTED_VALUE"""),29297442)</f>
        <v>29297442</v>
      </c>
    </row>
    <row r="2542" spans="1:6" x14ac:dyDescent="0.35">
      <c r="A2542" s="2">
        <f ca="1">IFERROR(__xludf.DUMMYFUNCTION("""COMPUTED_VALUE"""),45695.6666666666)</f>
        <v>45695.666666666599</v>
      </c>
      <c r="B2542" s="1">
        <f ca="1">IFERROR(__xludf.DUMMYFUNCTION("""COMPUTED_VALUE"""),191.05)</f>
        <v>191.05</v>
      </c>
      <c r="C2542" s="1">
        <f ca="1">IFERROR(__xludf.DUMMYFUNCTION("""COMPUTED_VALUE"""),191.18)</f>
        <v>191.18</v>
      </c>
      <c r="D2542" s="1">
        <f ca="1">IFERROR(__xludf.DUMMYFUNCTION("""COMPUTED_VALUE"""),183.24)</f>
        <v>183.24</v>
      </c>
      <c r="E2542" s="1">
        <f ca="1">IFERROR(__xludf.DUMMYFUNCTION("""COMPUTED_VALUE"""),185.34)</f>
        <v>185.34</v>
      </c>
      <c r="F2542" s="1">
        <f ca="1">IFERROR(__xludf.DUMMYFUNCTION("""COMPUTED_VALUE"""),49314961)</f>
        <v>49314961</v>
      </c>
    </row>
    <row r="2543" spans="1:6" x14ac:dyDescent="0.35">
      <c r="A2543" s="2">
        <f ca="1">IFERROR(__xludf.DUMMYFUNCTION("""COMPUTED_VALUE"""),45698.6666666666)</f>
        <v>45698.666666666599</v>
      </c>
      <c r="B2543" s="1">
        <f ca="1">IFERROR(__xludf.DUMMYFUNCTION("""COMPUTED_VALUE"""),187.35)</f>
        <v>187.35</v>
      </c>
      <c r="C2543" s="1">
        <f ca="1">IFERROR(__xludf.DUMMYFUNCTION("""COMPUTED_VALUE"""),188.2)</f>
        <v>188.2</v>
      </c>
      <c r="D2543" s="1">
        <f ca="1">IFERROR(__xludf.DUMMYFUNCTION("""COMPUTED_VALUE"""),185.86)</f>
        <v>185.86</v>
      </c>
      <c r="E2543" s="1">
        <f ca="1">IFERROR(__xludf.DUMMYFUNCTION("""COMPUTED_VALUE"""),186.47)</f>
        <v>186.47</v>
      </c>
      <c r="F2543" s="1">
        <f ca="1">IFERROR(__xludf.DUMMYFUNCTION("""COMPUTED_VALUE"""),23105649)</f>
        <v>23105649</v>
      </c>
    </row>
    <row r="2544" spans="1:6" x14ac:dyDescent="0.35">
      <c r="A2544" s="2">
        <f ca="1">IFERROR(__xludf.DUMMYFUNCTION("""COMPUTED_VALUE"""),45699.6666666666)</f>
        <v>45699.666666666599</v>
      </c>
      <c r="B2544" s="1">
        <f ca="1">IFERROR(__xludf.DUMMYFUNCTION("""COMPUTED_VALUE"""),185.03)</f>
        <v>185.03</v>
      </c>
      <c r="C2544" s="1">
        <f ca="1">IFERROR(__xludf.DUMMYFUNCTION("""COMPUTED_VALUE"""),186.94)</f>
        <v>186.94</v>
      </c>
      <c r="D2544" s="1">
        <f ca="1">IFERROR(__xludf.DUMMYFUNCTION("""COMPUTED_VALUE"""),184.28)</f>
        <v>184.28</v>
      </c>
      <c r="E2544" s="1">
        <f ca="1">IFERROR(__xludf.DUMMYFUNCTION("""COMPUTED_VALUE"""),185.32)</f>
        <v>185.32</v>
      </c>
      <c r="F2544" s="1">
        <f ca="1">IFERROR(__xludf.DUMMYFUNCTION("""COMPUTED_VALUE"""),21239519)</f>
        <v>21239519</v>
      </c>
    </row>
    <row r="2545" spans="1:6" x14ac:dyDescent="0.35">
      <c r="A2545" s="2">
        <f ca="1">IFERROR(__xludf.DUMMYFUNCTION("""COMPUTED_VALUE"""),45700.6666666666)</f>
        <v>45700.666666666599</v>
      </c>
      <c r="B2545" s="1">
        <f ca="1">IFERROR(__xludf.DUMMYFUNCTION("""COMPUTED_VALUE"""),183.22)</f>
        <v>183.22</v>
      </c>
      <c r="C2545" s="1">
        <f ca="1">IFERROR(__xludf.DUMMYFUNCTION("""COMPUTED_VALUE"""),185.11)</f>
        <v>185.11</v>
      </c>
      <c r="D2545" s="1">
        <f ca="1">IFERROR(__xludf.DUMMYFUNCTION("""COMPUTED_VALUE"""),181.83)</f>
        <v>181.83</v>
      </c>
      <c r="E2545" s="1">
        <f ca="1">IFERROR(__xludf.DUMMYFUNCTION("""COMPUTED_VALUE"""),183.61)</f>
        <v>183.61</v>
      </c>
      <c r="F2545" s="1">
        <f ca="1">IFERROR(__xludf.DUMMYFUNCTION("""COMPUTED_VALUE"""),22072559)</f>
        <v>22072559</v>
      </c>
    </row>
    <row r="2546" spans="1:6" x14ac:dyDescent="0.35">
      <c r="A2546" s="2">
        <f ca="1">IFERROR(__xludf.DUMMYFUNCTION("""COMPUTED_VALUE"""),45701.6666666666)</f>
        <v>45701.666666666599</v>
      </c>
      <c r="B2546" s="1">
        <f ca="1">IFERROR(__xludf.DUMMYFUNCTION("""COMPUTED_VALUE"""),184.32)</f>
        <v>184.32</v>
      </c>
      <c r="C2546" s="1">
        <f ca="1">IFERROR(__xludf.DUMMYFUNCTION("""COMPUTED_VALUE"""),186.28)</f>
        <v>186.28</v>
      </c>
      <c r="D2546" s="1">
        <f ca="1">IFERROR(__xludf.DUMMYFUNCTION("""COMPUTED_VALUE"""),183.14)</f>
        <v>183.14</v>
      </c>
      <c r="E2546" s="1">
        <f ca="1">IFERROR(__xludf.DUMMYFUNCTION("""COMPUTED_VALUE"""),186.14)</f>
        <v>186.14</v>
      </c>
      <c r="F2546" s="1">
        <f ca="1">IFERROR(__xludf.DUMMYFUNCTION("""COMPUTED_VALUE"""),21402523)</f>
        <v>21402523</v>
      </c>
    </row>
    <row r="2547" spans="1:6" x14ac:dyDescent="0.35">
      <c r="A2547" s="2">
        <f ca="1">IFERROR(__xludf.DUMMYFUNCTION("""COMPUTED_VALUE"""),45702.6666666666)</f>
        <v>45702.666666666599</v>
      </c>
      <c r="B2547" s="1">
        <f ca="1">IFERROR(__xludf.DUMMYFUNCTION("""COMPUTED_VALUE"""),185.06)</f>
        <v>185.06</v>
      </c>
      <c r="C2547" s="1">
        <f ca="1">IFERROR(__xludf.DUMMYFUNCTION("""COMPUTED_VALUE"""),186.4)</f>
        <v>186.4</v>
      </c>
      <c r="D2547" s="1">
        <f ca="1">IFERROR(__xludf.DUMMYFUNCTION("""COMPUTED_VALUE"""),184.32)</f>
        <v>184.32</v>
      </c>
      <c r="E2547" s="1">
        <f ca="1">IFERROR(__xludf.DUMMYFUNCTION("""COMPUTED_VALUE"""),185.23)</f>
        <v>185.23</v>
      </c>
      <c r="F2547" s="1">
        <f ca="1">IFERROR(__xludf.DUMMYFUNCTION("""COMPUTED_VALUE"""),20448437)</f>
        <v>20448437</v>
      </c>
    </row>
    <row r="2548" spans="1:6" x14ac:dyDescent="0.35">
      <c r="A2548" s="2">
        <f ca="1">IFERROR(__xludf.DUMMYFUNCTION("""COMPUTED_VALUE"""),45706.6666666666)</f>
        <v>45706.666666666599</v>
      </c>
      <c r="B2548" s="1">
        <f ca="1">IFERROR(__xludf.DUMMYFUNCTION("""COMPUTED_VALUE"""),185.6)</f>
        <v>185.6</v>
      </c>
      <c r="C2548" s="1">
        <f ca="1">IFERROR(__xludf.DUMMYFUNCTION("""COMPUTED_VALUE"""),185.96)</f>
        <v>185.96</v>
      </c>
      <c r="D2548" s="1">
        <f ca="1">IFERROR(__xludf.DUMMYFUNCTION("""COMPUTED_VALUE"""),181.74)</f>
        <v>181.74</v>
      </c>
      <c r="E2548" s="1">
        <f ca="1">IFERROR(__xludf.DUMMYFUNCTION("""COMPUTED_VALUE"""),183.77)</f>
        <v>183.77</v>
      </c>
      <c r="F2548" s="1">
        <f ca="1">IFERROR(__xludf.DUMMYFUNCTION("""COMPUTED_VALUE"""),29916675)</f>
        <v>29916675</v>
      </c>
    </row>
    <row r="2549" spans="1:6" x14ac:dyDescent="0.35">
      <c r="A2549" s="2">
        <f ca="1">IFERROR(__xludf.DUMMYFUNCTION("""COMPUTED_VALUE"""),45707.6666666666)</f>
        <v>45707.666666666599</v>
      </c>
      <c r="B2549" s="1">
        <f ca="1">IFERROR(__xludf.DUMMYFUNCTION("""COMPUTED_VALUE"""),184.07)</f>
        <v>184.07</v>
      </c>
      <c r="C2549" s="1">
        <f ca="1">IFERROR(__xludf.DUMMYFUNCTION("""COMPUTED_VALUE"""),185.46)</f>
        <v>185.46</v>
      </c>
      <c r="D2549" s="1">
        <f ca="1">IFERROR(__xludf.DUMMYFUNCTION("""COMPUTED_VALUE"""),183.59)</f>
        <v>183.59</v>
      </c>
      <c r="E2549" s="1">
        <f ca="1">IFERROR(__xludf.DUMMYFUNCTION("""COMPUTED_VALUE"""),185.27)</f>
        <v>185.27</v>
      </c>
      <c r="F2549" s="1">
        <f ca="1">IFERROR(__xludf.DUMMYFUNCTION("""COMPUTED_VALUE"""),19549396)</f>
        <v>19549396</v>
      </c>
    </row>
    <row r="2550" spans="1:6" x14ac:dyDescent="0.35">
      <c r="A2550" s="2">
        <f ca="1">IFERROR(__xludf.DUMMYFUNCTION("""COMPUTED_VALUE"""),45708.6666666666)</f>
        <v>45708.666666666599</v>
      </c>
      <c r="B2550" s="1">
        <f ca="1">IFERROR(__xludf.DUMMYFUNCTION("""COMPUTED_VALUE"""),184.8)</f>
        <v>184.8</v>
      </c>
      <c r="C2550" s="1">
        <f ca="1">IFERROR(__xludf.DUMMYFUNCTION("""COMPUTED_VALUE"""),185.31)</f>
        <v>185.31</v>
      </c>
      <c r="D2550" s="1">
        <f ca="1">IFERROR(__xludf.DUMMYFUNCTION("""COMPUTED_VALUE"""),182.72)</f>
        <v>182.72</v>
      </c>
      <c r="E2550" s="1">
        <f ca="1">IFERROR(__xludf.DUMMYFUNCTION("""COMPUTED_VALUE"""),184.56)</f>
        <v>184.56</v>
      </c>
      <c r="F2550" s="1">
        <f ca="1">IFERROR(__xludf.DUMMYFUNCTION("""COMPUTED_VALUE"""),20441462)</f>
        <v>20441462</v>
      </c>
    </row>
    <row r="2551" spans="1:6" x14ac:dyDescent="0.35">
      <c r="A2551" s="2">
        <f ca="1">IFERROR(__xludf.DUMMYFUNCTION("""COMPUTED_VALUE"""),45709.6666666666)</f>
        <v>45709.666666666599</v>
      </c>
      <c r="B2551" s="1">
        <f ca="1">IFERROR(__xludf.DUMMYFUNCTION("""COMPUTED_VALUE"""),185.15)</f>
        <v>185.15</v>
      </c>
      <c r="C2551" s="1">
        <f ca="1">IFERROR(__xludf.DUMMYFUNCTION("""COMPUTED_VALUE"""),185.34)</f>
        <v>185.34</v>
      </c>
      <c r="D2551" s="1">
        <f ca="1">IFERROR(__xludf.DUMMYFUNCTION("""COMPUTED_VALUE"""),179.08)</f>
        <v>179.08</v>
      </c>
      <c r="E2551" s="1">
        <f ca="1">IFERROR(__xludf.DUMMYFUNCTION("""COMPUTED_VALUE"""),179.66)</f>
        <v>179.66</v>
      </c>
      <c r="F2551" s="1">
        <f ca="1">IFERROR(__xludf.DUMMYFUNCTION("""COMPUTED_VALUE"""),35199239)</f>
        <v>35199239</v>
      </c>
    </row>
    <row r="2552" spans="1:6" x14ac:dyDescent="0.35">
      <c r="A2552" s="2">
        <f ca="1">IFERROR(__xludf.DUMMYFUNCTION("""COMPUTED_VALUE"""),45712.6666666666)</f>
        <v>45712.666666666599</v>
      </c>
      <c r="B2552" s="1">
        <f ca="1">IFERROR(__xludf.DUMMYFUNCTION("""COMPUTED_VALUE"""),181.99)</f>
        <v>181.99</v>
      </c>
      <c r="C2552" s="1">
        <f ca="1">IFERROR(__xludf.DUMMYFUNCTION("""COMPUTED_VALUE"""),183.12)</f>
        <v>183.12</v>
      </c>
      <c r="D2552" s="1">
        <f ca="1">IFERROR(__xludf.DUMMYFUNCTION("""COMPUTED_VALUE"""),178.89)</f>
        <v>178.89</v>
      </c>
      <c r="E2552" s="1">
        <f ca="1">IFERROR(__xludf.DUMMYFUNCTION("""COMPUTED_VALUE"""),179.25)</f>
        <v>179.25</v>
      </c>
      <c r="F2552" s="1">
        <f ca="1">IFERROR(__xludf.DUMMYFUNCTION("""COMPUTED_VALUE"""),29854206)</f>
        <v>29854206</v>
      </c>
    </row>
    <row r="2553" spans="1:6" x14ac:dyDescent="0.35">
      <c r="A2553" s="2">
        <f ca="1">IFERROR(__xludf.DUMMYFUNCTION("""COMPUTED_VALUE"""),45713.6666666666)</f>
        <v>45713.666666666599</v>
      </c>
      <c r="B2553" s="1">
        <f ca="1">IFERROR(__xludf.DUMMYFUNCTION("""COMPUTED_VALUE"""),178.04)</f>
        <v>178.04</v>
      </c>
      <c r="C2553" s="1">
        <f ca="1">IFERROR(__xludf.DUMMYFUNCTION("""COMPUTED_VALUE"""),178.74)</f>
        <v>178.74</v>
      </c>
      <c r="D2553" s="1">
        <f ca="1">IFERROR(__xludf.DUMMYFUNCTION("""COMPUTED_VALUE"""),174.69)</f>
        <v>174.69</v>
      </c>
      <c r="E2553" s="1">
        <f ca="1">IFERROR(__xludf.DUMMYFUNCTION("""COMPUTED_VALUE"""),175.42)</f>
        <v>175.42</v>
      </c>
      <c r="F2553" s="1">
        <f ca="1">IFERROR(__xludf.DUMMYFUNCTION("""COMPUTED_VALUE"""),41913411)</f>
        <v>41913411</v>
      </c>
    </row>
    <row r="2554" spans="1:6" x14ac:dyDescent="0.35">
      <c r="A2554" s="2">
        <f ca="1">IFERROR(__xludf.DUMMYFUNCTION("""COMPUTED_VALUE"""),45714.6666666666)</f>
        <v>45714.666666666599</v>
      </c>
      <c r="B2554" s="1">
        <f ca="1">IFERROR(__xludf.DUMMYFUNCTION("""COMPUTED_VALUE"""),175.07)</f>
        <v>175.07</v>
      </c>
      <c r="C2554" s="1">
        <f ca="1">IFERROR(__xludf.DUMMYFUNCTION("""COMPUTED_VALUE"""),176.08)</f>
        <v>176.08</v>
      </c>
      <c r="D2554" s="1">
        <f ca="1">IFERROR(__xludf.DUMMYFUNCTION("""COMPUTED_VALUE"""),171.58)</f>
        <v>171.58</v>
      </c>
      <c r="E2554" s="1">
        <f ca="1">IFERROR(__xludf.DUMMYFUNCTION("""COMPUTED_VALUE"""),172.73)</f>
        <v>172.73</v>
      </c>
      <c r="F2554" s="1">
        <f ca="1">IFERROR(__xludf.DUMMYFUNCTION("""COMPUTED_VALUE"""),35431268)</f>
        <v>35431268</v>
      </c>
    </row>
    <row r="2555" spans="1:6" x14ac:dyDescent="0.35">
      <c r="A2555" s="2">
        <f ca="1">IFERROR(__xludf.DUMMYFUNCTION("""COMPUTED_VALUE"""),45715.6666666666)</f>
        <v>45715.666666666599</v>
      </c>
      <c r="B2555" s="1">
        <f ca="1">IFERROR(__xludf.DUMMYFUNCTION("""COMPUTED_VALUE"""),173.99)</f>
        <v>173.99</v>
      </c>
      <c r="C2555" s="1">
        <f ca="1">IFERROR(__xludf.DUMMYFUNCTION("""COMPUTED_VALUE"""),174.56)</f>
        <v>174.56</v>
      </c>
      <c r="D2555" s="1">
        <f ca="1">IFERROR(__xludf.DUMMYFUNCTION("""COMPUTED_VALUE"""),167.94)</f>
        <v>167.94</v>
      </c>
      <c r="E2555" s="1">
        <f ca="1">IFERROR(__xludf.DUMMYFUNCTION("""COMPUTED_VALUE"""),168.5)</f>
        <v>168.5</v>
      </c>
      <c r="F2555" s="1">
        <f ca="1">IFERROR(__xludf.DUMMYFUNCTION("""COMPUTED_VALUE"""),39991015)</f>
        <v>39991015</v>
      </c>
    </row>
    <row r="2556" spans="1:6" x14ac:dyDescent="0.35">
      <c r="A2556" s="2">
        <f ca="1">IFERROR(__xludf.DUMMYFUNCTION("""COMPUTED_VALUE"""),45716.6666666666)</f>
        <v>45716.666666666599</v>
      </c>
      <c r="B2556" s="1">
        <f ca="1">IFERROR(__xludf.DUMMYFUNCTION("""COMPUTED_VALUE"""),168.68)</f>
        <v>168.68</v>
      </c>
      <c r="C2556" s="1">
        <f ca="1">IFERROR(__xludf.DUMMYFUNCTION("""COMPUTED_VALUE"""),170.61)</f>
        <v>170.61</v>
      </c>
      <c r="D2556" s="1">
        <f ca="1">IFERROR(__xludf.DUMMYFUNCTION("""COMPUTED_VALUE"""),166.77)</f>
        <v>166.77</v>
      </c>
      <c r="E2556" s="1">
        <f ca="1">IFERROR(__xludf.DUMMYFUNCTION("""COMPUTED_VALUE"""),170.28)</f>
        <v>170.28</v>
      </c>
      <c r="F2556" s="1">
        <f ca="1">IFERROR(__xludf.DUMMYFUNCTION("""COMPUTED_VALUE"""),48130565)</f>
        <v>48130565</v>
      </c>
    </row>
    <row r="2557" spans="1:6" x14ac:dyDescent="0.35">
      <c r="A2557" s="2">
        <f ca="1">IFERROR(__xludf.DUMMYFUNCTION("""COMPUTED_VALUE"""),45719.6666666666)</f>
        <v>45719.666666666599</v>
      </c>
      <c r="B2557" s="1">
        <f ca="1">IFERROR(__xludf.DUMMYFUNCTION("""COMPUTED_VALUE"""),171.93)</f>
        <v>171.93</v>
      </c>
      <c r="C2557" s="1">
        <f ca="1">IFERROR(__xludf.DUMMYFUNCTION("""COMPUTED_VALUE"""),173.37)</f>
        <v>173.37</v>
      </c>
      <c r="D2557" s="1">
        <f ca="1">IFERROR(__xludf.DUMMYFUNCTION("""COMPUTED_VALUE"""),165.93)</f>
        <v>165.93</v>
      </c>
      <c r="E2557" s="1">
        <f ca="1">IFERROR(__xludf.DUMMYFUNCTION("""COMPUTED_VALUE"""),167.01)</f>
        <v>167.01</v>
      </c>
      <c r="F2557" s="1">
        <f ca="1">IFERROR(__xludf.DUMMYFUNCTION("""COMPUTED_VALUE"""),40770451)</f>
        <v>40770451</v>
      </c>
    </row>
    <row r="2558" spans="1:6" x14ac:dyDescent="0.35">
      <c r="A2558" s="2">
        <f ca="1">IFERROR(__xludf.DUMMYFUNCTION("""COMPUTED_VALUE"""),45720.6666666666)</f>
        <v>45720.666666666599</v>
      </c>
      <c r="B2558" s="1">
        <f ca="1">IFERROR(__xludf.DUMMYFUNCTION("""COMPUTED_VALUE"""),166.24)</f>
        <v>166.24</v>
      </c>
      <c r="C2558" s="1">
        <f ca="1">IFERROR(__xludf.DUMMYFUNCTION("""COMPUTED_VALUE"""),173.29)</f>
        <v>173.29</v>
      </c>
      <c r="D2558" s="1">
        <f ca="1">IFERROR(__xludf.DUMMYFUNCTION("""COMPUTED_VALUE"""),165.8)</f>
        <v>165.8</v>
      </c>
      <c r="E2558" s="1">
        <f ca="1">IFERROR(__xludf.DUMMYFUNCTION("""COMPUTED_VALUE"""),170.92)</f>
        <v>170.92</v>
      </c>
      <c r="F2558" s="1">
        <f ca="1">IFERROR(__xludf.DUMMYFUNCTION("""COMPUTED_VALUE"""),45387996)</f>
        <v>45387996</v>
      </c>
    </row>
    <row r="2559" spans="1:6" x14ac:dyDescent="0.35">
      <c r="A2559" s="2">
        <f ca="1">IFERROR(__xludf.DUMMYFUNCTION("""COMPUTED_VALUE"""),45721.6666666666)</f>
        <v>45721.666666666599</v>
      </c>
      <c r="B2559" s="1">
        <f ca="1">IFERROR(__xludf.DUMMYFUNCTION("""COMPUTED_VALUE"""),170.52)</f>
        <v>170.52</v>
      </c>
      <c r="C2559" s="1">
        <f ca="1">IFERROR(__xludf.DUMMYFUNCTION("""COMPUTED_VALUE"""),173.78)</f>
        <v>173.78</v>
      </c>
      <c r="D2559" s="1">
        <f ca="1">IFERROR(__xludf.DUMMYFUNCTION("""COMPUTED_VALUE"""),169.06)</f>
        <v>169.06</v>
      </c>
      <c r="E2559" s="1">
        <f ca="1">IFERROR(__xludf.DUMMYFUNCTION("""COMPUTED_VALUE"""),173.02)</f>
        <v>173.02</v>
      </c>
      <c r="F2559" s="1">
        <f ca="1">IFERROR(__xludf.DUMMYFUNCTION("""COMPUTED_VALUE"""),30954922)</f>
        <v>30954922</v>
      </c>
    </row>
    <row r="2560" spans="1:6" x14ac:dyDescent="0.35">
      <c r="A2560" s="2">
        <f ca="1">IFERROR(__xludf.DUMMYFUNCTION("""COMPUTED_VALUE"""),45722.6666666666)</f>
        <v>45722.666666666599</v>
      </c>
      <c r="B2560" s="1">
        <f ca="1">IFERROR(__xludf.DUMMYFUNCTION("""COMPUTED_VALUE"""),170.53)</f>
        <v>170.53</v>
      </c>
      <c r="C2560" s="1">
        <f ca="1">IFERROR(__xludf.DUMMYFUNCTION("""COMPUTED_VALUE"""),174.81)</f>
        <v>174.81</v>
      </c>
      <c r="D2560" s="1">
        <f ca="1">IFERROR(__xludf.DUMMYFUNCTION("""COMPUTED_VALUE"""),170.5)</f>
        <v>170.5</v>
      </c>
      <c r="E2560" s="1">
        <f ca="1">IFERROR(__xludf.DUMMYFUNCTION("""COMPUTED_VALUE"""),172.35)</f>
        <v>172.35</v>
      </c>
      <c r="F2560" s="1">
        <f ca="1">IFERROR(__xludf.DUMMYFUNCTION("""COMPUTED_VALUE"""),28301953)</f>
        <v>28301953</v>
      </c>
    </row>
    <row r="2561" spans="1:6" x14ac:dyDescent="0.35">
      <c r="A2561" s="2">
        <f ca="1">IFERROR(__xludf.DUMMYFUNCTION("""COMPUTED_VALUE"""),45723.6666666666)</f>
        <v>45723.666666666599</v>
      </c>
      <c r="B2561" s="1">
        <f ca="1">IFERROR(__xludf.DUMMYFUNCTION("""COMPUTED_VALUE"""),171.26)</f>
        <v>171.26</v>
      </c>
      <c r="C2561" s="1">
        <f ca="1">IFERROR(__xludf.DUMMYFUNCTION("""COMPUTED_VALUE"""),174.97)</f>
        <v>174.97</v>
      </c>
      <c r="D2561" s="1">
        <f ca="1">IFERROR(__xludf.DUMMYFUNCTION("""COMPUTED_VALUE"""),170.27)</f>
        <v>170.27</v>
      </c>
      <c r="E2561" s="1">
        <f ca="1">IFERROR(__xludf.DUMMYFUNCTION("""COMPUTED_VALUE"""),173.86)</f>
        <v>173.86</v>
      </c>
      <c r="F2561" s="1">
        <f ca="1">IFERROR(__xludf.DUMMYFUNCTION("""COMPUTED_VALUE"""),27385813)</f>
        <v>27385813</v>
      </c>
    </row>
    <row r="2562" spans="1:6" x14ac:dyDescent="0.35">
      <c r="A2562" s="2">
        <f ca="1">IFERROR(__xludf.DUMMYFUNCTION("""COMPUTED_VALUE"""),45726.6666666666)</f>
        <v>45726.666666666599</v>
      </c>
      <c r="B2562" s="1">
        <f ca="1">IFERROR(__xludf.DUMMYFUNCTION("""COMPUTED_VALUE"""),168.26)</f>
        <v>168.26</v>
      </c>
      <c r="C2562" s="1">
        <f ca="1">IFERROR(__xludf.DUMMYFUNCTION("""COMPUTED_VALUE"""),168.46)</f>
        <v>168.46</v>
      </c>
      <c r="D2562" s="1">
        <f ca="1">IFERROR(__xludf.DUMMYFUNCTION("""COMPUTED_VALUE"""),163.69)</f>
        <v>163.69</v>
      </c>
      <c r="E2562" s="1">
        <f ca="1">IFERROR(__xludf.DUMMYFUNCTION("""COMPUTED_VALUE"""),165.87)</f>
        <v>165.87</v>
      </c>
      <c r="F2562" s="1">
        <f ca="1">IFERROR(__xludf.DUMMYFUNCTION("""COMPUTED_VALUE"""),43604027)</f>
        <v>43604027</v>
      </c>
    </row>
    <row r="2563" spans="1:6" x14ac:dyDescent="0.35">
      <c r="A2563" s="2">
        <f ca="1">IFERROR(__xludf.DUMMYFUNCTION("""COMPUTED_VALUE"""),45727.6666666666)</f>
        <v>45727.666666666599</v>
      </c>
      <c r="B2563" s="1">
        <f ca="1">IFERROR(__xludf.DUMMYFUNCTION("""COMPUTED_VALUE"""),164.91)</f>
        <v>164.91</v>
      </c>
      <c r="C2563" s="1">
        <f ca="1">IFERROR(__xludf.DUMMYFUNCTION("""COMPUTED_VALUE"""),166.75)</f>
        <v>166.75</v>
      </c>
      <c r="D2563" s="1">
        <f ca="1">IFERROR(__xludf.DUMMYFUNCTION("""COMPUTED_VALUE"""),161.37)</f>
        <v>161.37</v>
      </c>
      <c r="E2563" s="1">
        <f ca="1">IFERROR(__xludf.DUMMYFUNCTION("""COMPUTED_VALUE"""),164.04)</f>
        <v>164.04</v>
      </c>
      <c r="F2563" s="1">
        <f ca="1">IFERROR(__xludf.DUMMYFUNCTION("""COMPUTED_VALUE"""),39587414)</f>
        <v>39587414</v>
      </c>
    </row>
    <row r="2564" spans="1:6" x14ac:dyDescent="0.35">
      <c r="A2564" s="2">
        <f ca="1">IFERROR(__xludf.DUMMYFUNCTION("""COMPUTED_VALUE"""),45728.6666666666)</f>
        <v>45728.666666666599</v>
      </c>
      <c r="B2564" s="1">
        <f ca="1">IFERROR(__xludf.DUMMYFUNCTION("""COMPUTED_VALUE"""),166.58)</f>
        <v>166.58</v>
      </c>
      <c r="C2564" s="1">
        <f ca="1">IFERROR(__xludf.DUMMYFUNCTION("""COMPUTED_VALUE"""),167.64)</f>
        <v>167.64</v>
      </c>
      <c r="D2564" s="1">
        <f ca="1">IFERROR(__xludf.DUMMYFUNCTION("""COMPUTED_VALUE"""),163.53)</f>
        <v>163.53</v>
      </c>
      <c r="E2564" s="1">
        <f ca="1">IFERROR(__xludf.DUMMYFUNCTION("""COMPUTED_VALUE"""),167.11)</f>
        <v>167.11</v>
      </c>
      <c r="F2564" s="1">
        <f ca="1">IFERROR(__xludf.DUMMYFUNCTION("""COMPUTED_VALUE"""),28372396)</f>
        <v>28372396</v>
      </c>
    </row>
    <row r="2565" spans="1:6" x14ac:dyDescent="0.35">
      <c r="A2565" s="2">
        <f ca="1">IFERROR(__xludf.DUMMYFUNCTION("""COMPUTED_VALUE"""),45729.6666666666)</f>
        <v>45729.666666666599</v>
      </c>
      <c r="B2565" s="1">
        <f ca="1">IFERROR(__xludf.DUMMYFUNCTION("""COMPUTED_VALUE"""),166.04)</f>
        <v>166.04</v>
      </c>
      <c r="C2565" s="1">
        <f ca="1">IFERROR(__xludf.DUMMYFUNCTION("""COMPUTED_VALUE"""),166.13)</f>
        <v>166.13</v>
      </c>
      <c r="D2565" s="1">
        <f ca="1">IFERROR(__xludf.DUMMYFUNCTION("""COMPUTED_VALUE"""),162.11)</f>
        <v>162.11000000000001</v>
      </c>
      <c r="E2565" s="1">
        <f ca="1">IFERROR(__xludf.DUMMYFUNCTION("""COMPUTED_VALUE"""),162.76)</f>
        <v>162.76</v>
      </c>
      <c r="F2565" s="1">
        <f ca="1">IFERROR(__xludf.DUMMYFUNCTION("""COMPUTED_VALUE"""),31756214)</f>
        <v>31756214</v>
      </c>
    </row>
    <row r="2566" spans="1:6" x14ac:dyDescent="0.35">
      <c r="A2566" s="2">
        <f ca="1">IFERROR(__xludf.DUMMYFUNCTION("""COMPUTED_VALUE"""),45730.6666666666)</f>
        <v>45730.666666666599</v>
      </c>
      <c r="B2566" s="1">
        <f ca="1">IFERROR(__xludf.DUMMYFUNCTION("""COMPUTED_VALUE"""),163.27)</f>
        <v>163.27000000000001</v>
      </c>
      <c r="C2566" s="1">
        <f ca="1">IFERROR(__xludf.DUMMYFUNCTION("""COMPUTED_VALUE"""),166.49)</f>
        <v>166.49</v>
      </c>
      <c r="D2566" s="1">
        <f ca="1">IFERROR(__xludf.DUMMYFUNCTION("""COMPUTED_VALUE"""),162.45)</f>
        <v>162.44999999999999</v>
      </c>
      <c r="E2566" s="1">
        <f ca="1">IFERROR(__xludf.DUMMYFUNCTION("""COMPUTED_VALUE"""),165.49)</f>
        <v>165.49</v>
      </c>
      <c r="F2566" s="1">
        <f ca="1">IFERROR(__xludf.DUMMYFUNCTION("""COMPUTED_VALUE"""),31995894)</f>
        <v>31995894</v>
      </c>
    </row>
    <row r="2567" spans="1:6" x14ac:dyDescent="0.35">
      <c r="A2567" s="2">
        <f ca="1">IFERROR(__xludf.DUMMYFUNCTION("""COMPUTED_VALUE"""),45733.6666666666)</f>
        <v>45733.666666666599</v>
      </c>
      <c r="B2567" s="1">
        <f ca="1">IFERROR(__xludf.DUMMYFUNCTION("""COMPUTED_VALUE"""),165.03)</f>
        <v>165.03</v>
      </c>
      <c r="C2567" s="1">
        <f ca="1">IFERROR(__xludf.DUMMYFUNCTION("""COMPUTED_VALUE"""),166.3)</f>
        <v>166.3</v>
      </c>
      <c r="D2567" s="1">
        <f ca="1">IFERROR(__xludf.DUMMYFUNCTION("""COMPUTED_VALUE"""),163.67)</f>
        <v>163.66999999999999</v>
      </c>
      <c r="E2567" s="1">
        <f ca="1">IFERROR(__xludf.DUMMYFUNCTION("""COMPUTED_VALUE"""),164.29)</f>
        <v>164.29</v>
      </c>
      <c r="F2567" s="1">
        <f ca="1">IFERROR(__xludf.DUMMYFUNCTION("""COMPUTED_VALUE"""),31184335)</f>
        <v>31184335</v>
      </c>
    </row>
    <row r="2568" spans="1:6" x14ac:dyDescent="0.35">
      <c r="A2568" s="2">
        <f ca="1">IFERROR(__xludf.DUMMYFUNCTION("""COMPUTED_VALUE"""),45734.6666666666)</f>
        <v>45734.666666666599</v>
      </c>
      <c r="B2568" s="1">
        <f ca="1">IFERROR(__xludf.DUMMYFUNCTION("""COMPUTED_VALUE"""),163.68)</f>
        <v>163.68</v>
      </c>
      <c r="C2568" s="1">
        <f ca="1">IFERROR(__xludf.DUMMYFUNCTION("""COMPUTED_VALUE"""),164.25)</f>
        <v>164.25</v>
      </c>
      <c r="D2568" s="1">
        <f ca="1">IFERROR(__xludf.DUMMYFUNCTION("""COMPUTED_VALUE"""),156.72)</f>
        <v>156.72</v>
      </c>
      <c r="E2568" s="1">
        <f ca="1">IFERROR(__xludf.DUMMYFUNCTION("""COMPUTED_VALUE"""),160.67)</f>
        <v>160.66999999999999</v>
      </c>
      <c r="F2568" s="1">
        <f ca="1">IFERROR(__xludf.DUMMYFUNCTION("""COMPUTED_VALUE"""),42074751)</f>
        <v>42074751</v>
      </c>
    </row>
    <row r="2569" spans="1:6" x14ac:dyDescent="0.35">
      <c r="A2569" s="2">
        <f ca="1">IFERROR(__xludf.DUMMYFUNCTION("""COMPUTED_VALUE"""),45735.6666666666)</f>
        <v>45735.666666666599</v>
      </c>
      <c r="B2569" s="1">
        <f ca="1">IFERROR(__xludf.DUMMYFUNCTION("""COMPUTED_VALUE"""),161.76)</f>
        <v>161.76</v>
      </c>
      <c r="C2569" s="1">
        <f ca="1">IFERROR(__xludf.DUMMYFUNCTION("""COMPUTED_VALUE"""),165.87)</f>
        <v>165.87</v>
      </c>
      <c r="D2569" s="1">
        <f ca="1">IFERROR(__xludf.DUMMYFUNCTION("""COMPUTED_VALUE"""),161)</f>
        <v>161</v>
      </c>
      <c r="E2569" s="1">
        <f ca="1">IFERROR(__xludf.DUMMYFUNCTION("""COMPUTED_VALUE"""),163.89)</f>
        <v>163.89</v>
      </c>
      <c r="F2569" s="1">
        <f ca="1">IFERROR(__xludf.DUMMYFUNCTION("""COMPUTED_VALUE"""),34275582)</f>
        <v>34275582</v>
      </c>
    </row>
    <row r="2570" spans="1:6" x14ac:dyDescent="0.35">
      <c r="A2570" s="2">
        <f ca="1">IFERROR(__xludf.DUMMYFUNCTION("""COMPUTED_VALUE"""),45736.6666666666)</f>
        <v>45736.666666666599</v>
      </c>
      <c r="B2570" s="1">
        <f ca="1">IFERROR(__xludf.DUMMYFUNCTION("""COMPUTED_VALUE"""),161.57)</f>
        <v>161.57</v>
      </c>
      <c r="C2570" s="1">
        <f ca="1">IFERROR(__xludf.DUMMYFUNCTION("""COMPUTED_VALUE"""),164.89)</f>
        <v>164.89</v>
      </c>
      <c r="D2570" s="1">
        <f ca="1">IFERROR(__xludf.DUMMYFUNCTION("""COMPUTED_VALUE"""),160.96)</f>
        <v>160.96</v>
      </c>
      <c r="E2570" s="1">
        <f ca="1">IFERROR(__xludf.DUMMYFUNCTION("""COMPUTED_VALUE"""),162.8)</f>
        <v>162.80000000000001</v>
      </c>
      <c r="F2570" s="1">
        <f ca="1">IFERROR(__xludf.DUMMYFUNCTION("""COMPUTED_VALUE"""),28138464)</f>
        <v>28138464</v>
      </c>
    </row>
    <row r="2571" spans="1:6" x14ac:dyDescent="0.35">
      <c r="A2571" s="2">
        <f ca="1">IFERROR(__xludf.DUMMYFUNCTION("""COMPUTED_VALUE"""),45737.6666666666)</f>
        <v>45737.666666666599</v>
      </c>
      <c r="B2571" s="1">
        <f ca="1">IFERROR(__xludf.DUMMYFUNCTION("""COMPUTED_VALUE"""),161.21)</f>
        <v>161.21</v>
      </c>
      <c r="C2571" s="1">
        <f ca="1">IFERROR(__xludf.DUMMYFUNCTION("""COMPUTED_VALUE"""),164.24)</f>
        <v>164.24</v>
      </c>
      <c r="D2571" s="1">
        <f ca="1">IFERROR(__xludf.DUMMYFUNCTION("""COMPUTED_VALUE"""),160.89)</f>
        <v>160.88999999999999</v>
      </c>
      <c r="E2571" s="1">
        <f ca="1">IFERROR(__xludf.DUMMYFUNCTION("""COMPUTED_VALUE"""),163.99)</f>
        <v>163.99</v>
      </c>
      <c r="F2571" s="1">
        <f ca="1">IFERROR(__xludf.DUMMYFUNCTION("""COMPUTED_VALUE"""),36625764)</f>
        <v>36625764</v>
      </c>
    </row>
    <row r="2572" spans="1:6" x14ac:dyDescent="0.35">
      <c r="A2572" s="2">
        <f ca="1">IFERROR(__xludf.DUMMYFUNCTION("""COMPUTED_VALUE"""),45740.6666666666)</f>
        <v>45740.666666666599</v>
      </c>
      <c r="B2572" s="1">
        <f ca="1">IFERROR(__xludf.DUMMYFUNCTION("""COMPUTED_VALUE"""),167.07)</f>
        <v>167.07</v>
      </c>
      <c r="C2572" s="1">
        <f ca="1">IFERROR(__xludf.DUMMYFUNCTION("""COMPUTED_VALUE"""),168.32)</f>
        <v>168.32</v>
      </c>
      <c r="D2572" s="1">
        <f ca="1">IFERROR(__xludf.DUMMYFUNCTION("""COMPUTED_VALUE"""),165.14)</f>
        <v>165.14</v>
      </c>
      <c r="E2572" s="1">
        <f ca="1">IFERROR(__xludf.DUMMYFUNCTION("""COMPUTED_VALUE"""),167.68)</f>
        <v>167.68</v>
      </c>
      <c r="F2572" s="1">
        <f ca="1">IFERROR(__xludf.DUMMYFUNCTION("""COMPUTED_VALUE"""),30879129)</f>
        <v>30879129</v>
      </c>
    </row>
    <row r="2573" spans="1:6" x14ac:dyDescent="0.35">
      <c r="A2573" s="2">
        <f ca="1">IFERROR(__xludf.DUMMYFUNCTION("""COMPUTED_VALUE"""),45741.6666666666)</f>
        <v>45741.666666666599</v>
      </c>
      <c r="B2573" s="1">
        <f ca="1">IFERROR(__xludf.DUMMYFUNCTION("""COMPUTED_VALUE"""),168.98)</f>
        <v>168.98</v>
      </c>
      <c r="C2573" s="1">
        <f ca="1">IFERROR(__xludf.DUMMYFUNCTION("""COMPUTED_VALUE"""),170.63)</f>
        <v>170.63</v>
      </c>
      <c r="D2573" s="1">
        <f ca="1">IFERROR(__xludf.DUMMYFUNCTION("""COMPUTED_VALUE"""),168.32)</f>
        <v>168.32</v>
      </c>
      <c r="E2573" s="1">
        <f ca="1">IFERROR(__xludf.DUMMYFUNCTION("""COMPUTED_VALUE"""),170.56)</f>
        <v>170.56</v>
      </c>
      <c r="F2573" s="1">
        <f ca="1">IFERROR(__xludf.DUMMYFUNCTION("""COMPUTED_VALUE"""),24174373)</f>
        <v>24174373</v>
      </c>
    </row>
    <row r="2574" spans="1:6" x14ac:dyDescent="0.35">
      <c r="A2574" s="2">
        <f ca="1">IFERROR(__xludf.DUMMYFUNCTION("""COMPUTED_VALUE"""),45742.6666666666)</f>
        <v>45742.666666666599</v>
      </c>
      <c r="B2574" s="1">
        <f ca="1">IFERROR(__xludf.DUMMYFUNCTION("""COMPUTED_VALUE"""),169)</f>
        <v>169</v>
      </c>
      <c r="C2574" s="1">
        <f ca="1">IFERROR(__xludf.DUMMYFUNCTION("""COMPUTED_VALUE"""),169.61)</f>
        <v>169.61</v>
      </c>
      <c r="D2574" s="1">
        <f ca="1">IFERROR(__xludf.DUMMYFUNCTION("""COMPUTED_VALUE"""),164.84)</f>
        <v>164.84</v>
      </c>
      <c r="E2574" s="1">
        <f ca="1">IFERROR(__xludf.DUMMYFUNCTION("""COMPUTED_VALUE"""),165.06)</f>
        <v>165.06</v>
      </c>
      <c r="F2574" s="1">
        <f ca="1">IFERROR(__xludf.DUMMYFUNCTION("""COMPUTED_VALUE"""),28939326)</f>
        <v>28939326</v>
      </c>
    </row>
    <row r="2575" spans="1:6" x14ac:dyDescent="0.35">
      <c r="A2575" s="2">
        <f ca="1">IFERROR(__xludf.DUMMYFUNCTION("""COMPUTED_VALUE"""),45743.6666666666)</f>
        <v>45743.666666666599</v>
      </c>
      <c r="B2575" s="1">
        <f ca="1">IFERROR(__xludf.DUMMYFUNCTION("""COMPUTED_VALUE"""),164.63)</f>
        <v>164.63</v>
      </c>
      <c r="C2575" s="1">
        <f ca="1">IFERROR(__xludf.DUMMYFUNCTION("""COMPUTED_VALUE"""),165.42)</f>
        <v>165.42</v>
      </c>
      <c r="D2575" s="1">
        <f ca="1">IFERROR(__xludf.DUMMYFUNCTION("""COMPUTED_VALUE"""),162)</f>
        <v>162</v>
      </c>
      <c r="E2575" s="1">
        <f ca="1">IFERROR(__xludf.DUMMYFUNCTION("""COMPUTED_VALUE"""),162.24)</f>
        <v>162.24</v>
      </c>
      <c r="F2575" s="1">
        <f ca="1">IFERROR(__xludf.DUMMYFUNCTION("""COMPUTED_VALUE"""),24508273)</f>
        <v>24508273</v>
      </c>
    </row>
    <row r="2576" spans="1:6" x14ac:dyDescent="0.35">
      <c r="A2576" s="2">
        <f ca="1">IFERROR(__xludf.DUMMYFUNCTION("""COMPUTED_VALUE"""),45744.6666666666)</f>
        <v>45744.666666666599</v>
      </c>
      <c r="B2576" s="1">
        <f ca="1">IFERROR(__xludf.DUMMYFUNCTION("""COMPUTED_VALUE"""),160.49)</f>
        <v>160.49</v>
      </c>
      <c r="C2576" s="1">
        <f ca="1">IFERROR(__xludf.DUMMYFUNCTION("""COMPUTED_VALUE"""),161.82)</f>
        <v>161.82</v>
      </c>
      <c r="D2576" s="1">
        <f ca="1">IFERROR(__xludf.DUMMYFUNCTION("""COMPUTED_VALUE"""),153.63)</f>
        <v>153.63</v>
      </c>
      <c r="E2576" s="1">
        <f ca="1">IFERROR(__xludf.DUMMYFUNCTION("""COMPUTED_VALUE"""),154.33)</f>
        <v>154.33000000000001</v>
      </c>
      <c r="F2576" s="1">
        <f ca="1">IFERROR(__xludf.DUMMYFUNCTION("""COMPUTED_VALUE"""),48669335)</f>
        <v>48669335</v>
      </c>
    </row>
    <row r="2577" spans="1:6" x14ac:dyDescent="0.35">
      <c r="A2577" s="2">
        <f ca="1">IFERROR(__xludf.DUMMYFUNCTION("""COMPUTED_VALUE"""),45747.6666666666)</f>
        <v>45747.666666666599</v>
      </c>
      <c r="B2577" s="1">
        <f ca="1">IFERROR(__xludf.DUMMYFUNCTION("""COMPUTED_VALUE"""),153.11)</f>
        <v>153.11000000000001</v>
      </c>
      <c r="C2577" s="1">
        <f ca="1">IFERROR(__xludf.DUMMYFUNCTION("""COMPUTED_VALUE"""),155.54)</f>
        <v>155.54</v>
      </c>
      <c r="D2577" s="1">
        <f ca="1">IFERROR(__xludf.DUMMYFUNCTION("""COMPUTED_VALUE"""),150.66)</f>
        <v>150.66</v>
      </c>
      <c r="E2577" s="1">
        <f ca="1">IFERROR(__xludf.DUMMYFUNCTION("""COMPUTED_VALUE"""),154.64)</f>
        <v>154.63999999999999</v>
      </c>
      <c r="F2577" s="1">
        <f ca="1">IFERROR(__xludf.DUMMYFUNCTION("""COMPUTED_VALUE"""),54603464)</f>
        <v>54603464</v>
      </c>
    </row>
    <row r="2578" spans="1:6" x14ac:dyDescent="0.35">
      <c r="A2578" s="2">
        <f ca="1">IFERROR(__xludf.DUMMYFUNCTION("""COMPUTED_VALUE"""),45748.6666666666)</f>
        <v>45748.666666666599</v>
      </c>
      <c r="B2578" s="1">
        <f ca="1">IFERROR(__xludf.DUMMYFUNCTION("""COMPUTED_VALUE"""),153.62)</f>
        <v>153.62</v>
      </c>
      <c r="C2578" s="1">
        <f ca="1">IFERROR(__xludf.DUMMYFUNCTION("""COMPUTED_VALUE"""),158.1)</f>
        <v>158.1</v>
      </c>
      <c r="D2578" s="1">
        <f ca="1">IFERROR(__xludf.DUMMYFUNCTION("""COMPUTED_VALUE"""),153.62)</f>
        <v>153.62</v>
      </c>
      <c r="E2578" s="1">
        <f ca="1">IFERROR(__xludf.DUMMYFUNCTION("""COMPUTED_VALUE"""),157.07)</f>
        <v>157.07</v>
      </c>
      <c r="F2578" s="1">
        <f ca="1">IFERROR(__xludf.DUMMYFUNCTION("""COMPUTED_VALUE"""),30672899)</f>
        <v>30672899</v>
      </c>
    </row>
    <row r="2579" spans="1:6" x14ac:dyDescent="0.35">
      <c r="A2579" s="2">
        <f ca="1">IFERROR(__xludf.DUMMYFUNCTION("""COMPUTED_VALUE"""),45749.6666666666)</f>
        <v>45749.666666666599</v>
      </c>
      <c r="B2579" s="1">
        <f ca="1">IFERROR(__xludf.DUMMYFUNCTION("""COMPUTED_VALUE"""),155.15)</f>
        <v>155.15</v>
      </c>
      <c r="C2579" s="1">
        <f ca="1">IFERROR(__xludf.DUMMYFUNCTION("""COMPUTED_VALUE"""),158.41)</f>
        <v>158.41</v>
      </c>
      <c r="D2579" s="1">
        <f ca="1">IFERROR(__xludf.DUMMYFUNCTION("""COMPUTED_VALUE"""),154.7)</f>
        <v>154.69999999999999</v>
      </c>
      <c r="E2579" s="1">
        <f ca="1">IFERROR(__xludf.DUMMYFUNCTION("""COMPUTED_VALUE"""),157.04)</f>
        <v>157.04</v>
      </c>
      <c r="F2579" s="1">
        <f ca="1">IFERROR(__xludf.DUMMYFUNCTION("""COMPUTED_VALUE"""),25041730)</f>
        <v>25041730</v>
      </c>
    </row>
    <row r="2580" spans="1:6" x14ac:dyDescent="0.35">
      <c r="A2580" s="2">
        <f ca="1">IFERROR(__xludf.DUMMYFUNCTION("""COMPUTED_VALUE"""),45750.6666666666)</f>
        <v>45750.666666666599</v>
      </c>
      <c r="B2580" s="1">
        <f ca="1">IFERROR(__xludf.DUMMYFUNCTION("""COMPUTED_VALUE"""),151.11)</f>
        <v>151.11000000000001</v>
      </c>
      <c r="C2580" s="1">
        <f ca="1">IFERROR(__xludf.DUMMYFUNCTION("""COMPUTED_VALUE"""),152.78)</f>
        <v>152.78</v>
      </c>
      <c r="D2580" s="1">
        <f ca="1">IFERROR(__xludf.DUMMYFUNCTION("""COMPUTED_VALUE"""),150.39)</f>
        <v>150.38999999999999</v>
      </c>
      <c r="E2580" s="1">
        <f ca="1">IFERROR(__xludf.DUMMYFUNCTION("""COMPUTED_VALUE"""),150.72)</f>
        <v>150.72</v>
      </c>
      <c r="F2580" s="1">
        <f ca="1">IFERROR(__xludf.DUMMYFUNCTION("""COMPUTED_VALUE"""),46883371)</f>
        <v>46883371</v>
      </c>
    </row>
    <row r="2581" spans="1:6" x14ac:dyDescent="0.35">
      <c r="A2581" s="2">
        <f ca="1">IFERROR(__xludf.DUMMYFUNCTION("""COMPUTED_VALUE"""),45751.6666666666)</f>
        <v>45751.666666666599</v>
      </c>
      <c r="B2581" s="1">
        <f ca="1">IFERROR(__xludf.DUMMYFUNCTION("""COMPUTED_VALUE"""),148.01)</f>
        <v>148.01</v>
      </c>
      <c r="C2581" s="1">
        <f ca="1">IFERROR(__xludf.DUMMYFUNCTION("""COMPUTED_VALUE"""),151.07)</f>
        <v>151.07</v>
      </c>
      <c r="D2581" s="1">
        <f ca="1">IFERROR(__xludf.DUMMYFUNCTION("""COMPUTED_VALUE"""),145.38)</f>
        <v>145.38</v>
      </c>
      <c r="E2581" s="1">
        <f ca="1">IFERROR(__xludf.DUMMYFUNCTION("""COMPUTED_VALUE"""),145.6)</f>
        <v>145.6</v>
      </c>
      <c r="F2581" s="1">
        <f ca="1">IFERROR(__xludf.DUMMYFUNCTION("""COMPUTED_VALUE"""),62259539)</f>
        <v>62259539</v>
      </c>
    </row>
    <row r="2582" spans="1:6" x14ac:dyDescent="0.35">
      <c r="A2582" s="2">
        <f ca="1">IFERROR(__xludf.DUMMYFUNCTION("""COMPUTED_VALUE"""),45754.6666666666)</f>
        <v>45754.666666666599</v>
      </c>
      <c r="B2582" s="1">
        <f ca="1">IFERROR(__xludf.DUMMYFUNCTION("""COMPUTED_VALUE"""),141.55)</f>
        <v>141.55000000000001</v>
      </c>
      <c r="C2582" s="1">
        <f ca="1">IFERROR(__xludf.DUMMYFUNCTION("""COMPUTED_VALUE"""),152.85)</f>
        <v>152.85</v>
      </c>
      <c r="D2582" s="1">
        <f ca="1">IFERROR(__xludf.DUMMYFUNCTION("""COMPUTED_VALUE"""),140.53)</f>
        <v>140.53</v>
      </c>
      <c r="E2582" s="1">
        <f ca="1">IFERROR(__xludf.DUMMYFUNCTION("""COMPUTED_VALUE"""),146.75)</f>
        <v>146.75</v>
      </c>
      <c r="F2582" s="1">
        <f ca="1">IFERROR(__xludf.DUMMYFUNCTION("""COMPUTED_VALUE"""),76794136)</f>
        <v>76794136</v>
      </c>
    </row>
    <row r="2583" spans="1:6" x14ac:dyDescent="0.35">
      <c r="A2583" s="2">
        <f ca="1">IFERROR(__xludf.DUMMYFUNCTION("""COMPUTED_VALUE"""),45755.6666666666)</f>
        <v>45755.666666666599</v>
      </c>
      <c r="B2583" s="1">
        <f ca="1">IFERROR(__xludf.DUMMYFUNCTION("""COMPUTED_VALUE"""),151.22)</f>
        <v>151.22</v>
      </c>
      <c r="C2583" s="1">
        <f ca="1">IFERROR(__xludf.DUMMYFUNCTION("""COMPUTED_VALUE"""),152.24)</f>
        <v>152.24</v>
      </c>
      <c r="D2583" s="1">
        <f ca="1">IFERROR(__xludf.DUMMYFUNCTION("""COMPUTED_VALUE"""),143.03)</f>
        <v>143.03</v>
      </c>
      <c r="E2583" s="1">
        <f ca="1">IFERROR(__xludf.DUMMYFUNCTION("""COMPUTED_VALUE"""),144.7)</f>
        <v>144.69999999999999</v>
      </c>
      <c r="F2583" s="1">
        <f ca="1">IFERROR(__xludf.DUMMYFUNCTION("""COMPUTED_VALUE"""),52200208)</f>
        <v>52200208</v>
      </c>
    </row>
    <row r="2584" spans="1:6" x14ac:dyDescent="0.35">
      <c r="A2584" s="2">
        <f ca="1">IFERROR(__xludf.DUMMYFUNCTION("""COMPUTED_VALUE"""),45756.6666666666)</f>
        <v>45756.666666666599</v>
      </c>
      <c r="B2584" s="1">
        <f ca="1">IFERROR(__xludf.DUMMYFUNCTION("""COMPUTED_VALUE"""),144.42)</f>
        <v>144.41999999999999</v>
      </c>
      <c r="C2584" s="1">
        <f ca="1">IFERROR(__xludf.DUMMYFUNCTION("""COMPUTED_VALUE"""),159.55)</f>
        <v>159.55000000000001</v>
      </c>
      <c r="D2584" s="1">
        <f ca="1">IFERROR(__xludf.DUMMYFUNCTION("""COMPUTED_VALUE"""),143.91)</f>
        <v>143.91</v>
      </c>
      <c r="E2584" s="1">
        <f ca="1">IFERROR(__xludf.DUMMYFUNCTION("""COMPUTED_VALUE"""),158.71)</f>
        <v>158.71</v>
      </c>
      <c r="F2584" s="1">
        <f ca="1">IFERROR(__xludf.DUMMYFUNCTION("""COMPUTED_VALUE"""),70406232)</f>
        <v>70406232</v>
      </c>
    </row>
    <row r="2585" spans="1:6" x14ac:dyDescent="0.35">
      <c r="A2585" s="2">
        <f ca="1">IFERROR(__xludf.DUMMYFUNCTION("""COMPUTED_VALUE"""),45757.6666666666)</f>
        <v>45757.666666666599</v>
      </c>
      <c r="B2585" s="1">
        <f ca="1">IFERROR(__xludf.DUMMYFUNCTION("""COMPUTED_VALUE"""),156.54)</f>
        <v>156.54</v>
      </c>
      <c r="C2585" s="1">
        <f ca="1">IFERROR(__xludf.DUMMYFUNCTION("""COMPUTED_VALUE"""),157.72)</f>
        <v>157.72</v>
      </c>
      <c r="D2585" s="1">
        <f ca="1">IFERROR(__xludf.DUMMYFUNCTION("""COMPUTED_VALUE"""),149.93)</f>
        <v>149.93</v>
      </c>
      <c r="E2585" s="1">
        <f ca="1">IFERROR(__xludf.DUMMYFUNCTION("""COMPUTED_VALUE"""),152.82)</f>
        <v>152.82</v>
      </c>
      <c r="F2585" s="1">
        <f ca="1">IFERROR(__xludf.DUMMYFUNCTION("""COMPUTED_VALUE"""),48021972)</f>
        <v>48021972</v>
      </c>
    </row>
    <row r="2586" spans="1:6" x14ac:dyDescent="0.35">
      <c r="A2586" s="2">
        <f ca="1">IFERROR(__xludf.DUMMYFUNCTION("""COMPUTED_VALUE"""),45758.6666666666)</f>
        <v>45758.666666666599</v>
      </c>
      <c r="B2586" s="1">
        <f ca="1">IFERROR(__xludf.DUMMYFUNCTION("""COMPUTED_VALUE"""),152.9)</f>
        <v>152.9</v>
      </c>
      <c r="C2586" s="1">
        <f ca="1">IFERROR(__xludf.DUMMYFUNCTION("""COMPUTED_VALUE"""),157.67)</f>
        <v>157.66999999999999</v>
      </c>
      <c r="D2586" s="1">
        <f ca="1">IFERROR(__xludf.DUMMYFUNCTION("""COMPUTED_VALUE"""),152.82)</f>
        <v>152.82</v>
      </c>
      <c r="E2586" s="1">
        <f ca="1">IFERROR(__xludf.DUMMYFUNCTION("""COMPUTED_VALUE"""),157.14)</f>
        <v>157.13999999999999</v>
      </c>
      <c r="F2586" s="1">
        <f ca="1">IFERROR(__xludf.DUMMYFUNCTION("""COMPUTED_VALUE"""),33636239)</f>
        <v>33636239</v>
      </c>
    </row>
    <row r="2587" spans="1:6" x14ac:dyDescent="0.35">
      <c r="A2587" s="2">
        <f ca="1">IFERROR(__xludf.DUMMYFUNCTION("""COMPUTED_VALUE"""),45761.6666666666)</f>
        <v>45761.666666666599</v>
      </c>
      <c r="B2587" s="1">
        <f ca="1">IFERROR(__xludf.DUMMYFUNCTION("""COMPUTED_VALUE"""),160)</f>
        <v>160</v>
      </c>
      <c r="C2587" s="1">
        <f ca="1">IFERROR(__xludf.DUMMYFUNCTION("""COMPUTED_VALUE"""),161.72)</f>
        <v>161.72</v>
      </c>
      <c r="D2587" s="1">
        <f ca="1">IFERROR(__xludf.DUMMYFUNCTION("""COMPUTED_VALUE"""),157.56)</f>
        <v>157.56</v>
      </c>
      <c r="E2587" s="1">
        <f ca="1">IFERROR(__xludf.DUMMYFUNCTION("""COMPUTED_VALUE"""),159.07)</f>
        <v>159.07</v>
      </c>
      <c r="F2587" s="1">
        <f ca="1">IFERROR(__xludf.DUMMYFUNCTION("""COMPUTED_VALUE"""),30332957)</f>
        <v>30332957</v>
      </c>
    </row>
    <row r="2588" spans="1:6" x14ac:dyDescent="0.35">
      <c r="A2588" s="2">
        <f ca="1">IFERROR(__xludf.DUMMYFUNCTION("""COMPUTED_VALUE"""),45762.6666666666)</f>
        <v>45762.666666666599</v>
      </c>
      <c r="B2588" s="1">
        <f ca="1">IFERROR(__xludf.DUMMYFUNCTION("""COMPUTED_VALUE"""),159.13)</f>
        <v>159.13</v>
      </c>
      <c r="C2588" s="1">
        <f ca="1">IFERROR(__xludf.DUMMYFUNCTION("""COMPUTED_VALUE"""),159.65)</f>
        <v>159.65</v>
      </c>
      <c r="D2588" s="1">
        <f ca="1">IFERROR(__xludf.DUMMYFUNCTION("""COMPUTED_VALUE"""),155.21)</f>
        <v>155.21</v>
      </c>
      <c r="E2588" s="1">
        <f ca="1">IFERROR(__xludf.DUMMYFUNCTION("""COMPUTED_VALUE"""),156.31)</f>
        <v>156.31</v>
      </c>
      <c r="F2588" s="1">
        <f ca="1">IFERROR(__xludf.DUMMYFUNCTION("""COMPUTED_VALUE"""),27551534)</f>
        <v>27551534</v>
      </c>
    </row>
    <row r="2589" spans="1:6" x14ac:dyDescent="0.35">
      <c r="A2589" s="2">
        <f ca="1">IFERROR(__xludf.DUMMYFUNCTION("""COMPUTED_VALUE"""),45763.6666666666)</f>
        <v>45763.666666666599</v>
      </c>
      <c r="B2589" s="1">
        <f ca="1">IFERROR(__xludf.DUMMYFUNCTION("""COMPUTED_VALUE"""),153.1)</f>
        <v>153.1</v>
      </c>
      <c r="C2589" s="1">
        <f ca="1">IFERROR(__xludf.DUMMYFUNCTION("""COMPUTED_VALUE"""),155.89)</f>
        <v>155.88999999999999</v>
      </c>
      <c r="D2589" s="1">
        <f ca="1">IFERROR(__xludf.DUMMYFUNCTION("""COMPUTED_VALUE"""),151.51)</f>
        <v>151.51</v>
      </c>
      <c r="E2589" s="1">
        <f ca="1">IFERROR(__xludf.DUMMYFUNCTION("""COMPUTED_VALUE"""),153.33)</f>
        <v>153.33000000000001</v>
      </c>
      <c r="F2589" s="1">
        <f ca="1">IFERROR(__xludf.DUMMYFUNCTION("""COMPUTED_VALUE"""),28187421)</f>
        <v>28187421</v>
      </c>
    </row>
    <row r="2590" spans="1:6" x14ac:dyDescent="0.35">
      <c r="A2590" s="2">
        <f ca="1">IFERROR(__xludf.DUMMYFUNCTION("""COMPUTED_VALUE"""),45764.6666666666)</f>
        <v>45764.666666666599</v>
      </c>
      <c r="B2590" s="1">
        <f ca="1">IFERROR(__xludf.DUMMYFUNCTION("""COMPUTED_VALUE"""),154.29)</f>
        <v>154.29</v>
      </c>
      <c r="C2590" s="1">
        <f ca="1">IFERROR(__xludf.DUMMYFUNCTION("""COMPUTED_VALUE"""),154.68)</f>
        <v>154.68</v>
      </c>
      <c r="D2590" s="1">
        <f ca="1">IFERROR(__xludf.DUMMYFUNCTION("""COMPUTED_VALUE"""),148.5)</f>
        <v>148.5</v>
      </c>
      <c r="E2590" s="1">
        <f ca="1">IFERROR(__xludf.DUMMYFUNCTION("""COMPUTED_VALUE"""),151.16)</f>
        <v>151.16</v>
      </c>
      <c r="F2590" s="1">
        <f ca="1">IFERROR(__xludf.DUMMYFUNCTION("""COMPUTED_VALUE"""),33046576)</f>
        <v>33046576</v>
      </c>
    </row>
    <row r="2591" spans="1:6" x14ac:dyDescent="0.35">
      <c r="A2591" s="2">
        <f ca="1">IFERROR(__xludf.DUMMYFUNCTION("""COMPUTED_VALUE"""),45768.6666666666)</f>
        <v>45768.666666666599</v>
      </c>
      <c r="B2591" s="1">
        <f ca="1">IFERROR(__xludf.DUMMYFUNCTION("""COMPUTED_VALUE"""),148.88)</f>
        <v>148.88</v>
      </c>
      <c r="C2591" s="1">
        <f ca="1">IFERROR(__xludf.DUMMYFUNCTION("""COMPUTED_VALUE"""),148.95)</f>
        <v>148.94999999999999</v>
      </c>
      <c r="D2591" s="1">
        <f ca="1">IFERROR(__xludf.DUMMYFUNCTION("""COMPUTED_VALUE"""),146.1)</f>
        <v>146.1</v>
      </c>
      <c r="E2591" s="1">
        <f ca="1">IFERROR(__xludf.DUMMYFUNCTION("""COMPUTED_VALUE"""),147.67)</f>
        <v>147.66999999999999</v>
      </c>
      <c r="F2591" s="1">
        <f ca="1">IFERROR(__xludf.DUMMYFUNCTION("""COMPUTED_VALUE"""),26049115)</f>
        <v>26049115</v>
      </c>
    </row>
    <row r="2592" spans="1:6" x14ac:dyDescent="0.35">
      <c r="A2592" s="2">
        <f ca="1">IFERROR(__xludf.DUMMYFUNCTION("""COMPUTED_VALUE"""),45769.6666666666)</f>
        <v>45769.666666666599</v>
      </c>
      <c r="B2592" s="1">
        <f ca="1">IFERROR(__xludf.DUMMYFUNCTION("""COMPUTED_VALUE"""),148.89)</f>
        <v>148.88999999999999</v>
      </c>
      <c r="C2592" s="1">
        <f ca="1">IFERROR(__xludf.DUMMYFUNCTION("""COMPUTED_VALUE"""),152.19)</f>
        <v>152.19</v>
      </c>
      <c r="D2592" s="1">
        <f ca="1">IFERROR(__xludf.DUMMYFUNCTION("""COMPUTED_VALUE"""),148.54)</f>
        <v>148.54</v>
      </c>
      <c r="E2592" s="1">
        <f ca="1">IFERROR(__xludf.DUMMYFUNCTION("""COMPUTED_VALUE"""),151.47)</f>
        <v>151.47</v>
      </c>
      <c r="F2592" s="1">
        <f ca="1">IFERROR(__xludf.DUMMYFUNCTION("""COMPUTED_VALUE"""),26971774)</f>
        <v>26971774</v>
      </c>
    </row>
    <row r="2593" spans="1:6" x14ac:dyDescent="0.35">
      <c r="A2593" s="2">
        <f ca="1">IFERROR(__xludf.DUMMYFUNCTION("""COMPUTED_VALUE"""),45770.6666666666)</f>
        <v>45770.666666666599</v>
      </c>
      <c r="B2593" s="1">
        <f ca="1">IFERROR(__xludf.DUMMYFUNCTION("""COMPUTED_VALUE"""),155.61)</f>
        <v>155.61000000000001</v>
      </c>
      <c r="C2593" s="1">
        <f ca="1">IFERROR(__xludf.DUMMYFUNCTION("""COMPUTED_VALUE"""),157.53)</f>
        <v>157.53</v>
      </c>
      <c r="D2593" s="1">
        <f ca="1">IFERROR(__xludf.DUMMYFUNCTION("""COMPUTED_VALUE"""),153.81)</f>
        <v>153.81</v>
      </c>
      <c r="E2593" s="1">
        <f ca="1">IFERROR(__xludf.DUMMYFUNCTION("""COMPUTED_VALUE"""),155.35)</f>
        <v>155.35</v>
      </c>
      <c r="F2593" s="1">
        <f ca="1">IFERROR(__xludf.DUMMYFUNCTION("""COMPUTED_VALUE"""),31128833)</f>
        <v>31128833</v>
      </c>
    </row>
    <row r="2594" spans="1:6" x14ac:dyDescent="0.35">
      <c r="A2594" s="2">
        <f ca="1">IFERROR(__xludf.DUMMYFUNCTION("""COMPUTED_VALUE"""),45771.6666666666)</f>
        <v>45771.666666666599</v>
      </c>
      <c r="B2594" s="1">
        <f ca="1">IFERROR(__xludf.DUMMYFUNCTION("""COMPUTED_VALUE"""),156.15)</f>
        <v>156.15</v>
      </c>
      <c r="C2594" s="1">
        <f ca="1">IFERROR(__xludf.DUMMYFUNCTION("""COMPUTED_VALUE"""),159.59)</f>
        <v>159.59</v>
      </c>
      <c r="D2594" s="1">
        <f ca="1">IFERROR(__xludf.DUMMYFUNCTION("""COMPUTED_VALUE"""),155.79)</f>
        <v>155.79</v>
      </c>
      <c r="E2594" s="1">
        <f ca="1">IFERROR(__xludf.DUMMYFUNCTION("""COMPUTED_VALUE"""),159.28)</f>
        <v>159.28</v>
      </c>
      <c r="F2594" s="1">
        <f ca="1">IFERROR(__xludf.DUMMYFUNCTION("""COMPUTED_VALUE"""),45893951)</f>
        <v>45893951</v>
      </c>
    </row>
    <row r="2595" spans="1:6" x14ac:dyDescent="0.35">
      <c r="A2595" s="2">
        <f ca="1">IFERROR(__xludf.DUMMYFUNCTION("""COMPUTED_VALUE"""),45772.6666666666)</f>
        <v>45772.666666666599</v>
      </c>
      <c r="B2595" s="1">
        <f ca="1">IFERROR(__xludf.DUMMYFUNCTION("""COMPUTED_VALUE"""),165.07)</f>
        <v>165.07</v>
      </c>
      <c r="C2595" s="1">
        <f ca="1">IFERROR(__xludf.DUMMYFUNCTION("""COMPUTED_VALUE"""),166.1)</f>
        <v>166.1</v>
      </c>
      <c r="D2595" s="1">
        <f ca="1">IFERROR(__xludf.DUMMYFUNCTION("""COMPUTED_VALUE"""),161.04)</f>
        <v>161.04</v>
      </c>
      <c r="E2595" s="1">
        <f ca="1">IFERROR(__xludf.DUMMYFUNCTION("""COMPUTED_VALUE"""),161.96)</f>
        <v>161.96</v>
      </c>
      <c r="F2595" s="1">
        <f ca="1">IFERROR(__xludf.DUMMYFUNCTION("""COMPUTED_VALUE"""),56033995)</f>
        <v>56033995</v>
      </c>
    </row>
    <row r="2596" spans="1:6" x14ac:dyDescent="0.35">
      <c r="A2596" s="2">
        <f ca="1">IFERROR(__xludf.DUMMYFUNCTION("""COMPUTED_VALUE"""),45775.6666666666)</f>
        <v>45775.666666666599</v>
      </c>
      <c r="B2596" s="1">
        <f ca="1">IFERROR(__xludf.DUMMYFUNCTION("""COMPUTED_VALUE"""),162.43)</f>
        <v>162.43</v>
      </c>
      <c r="C2596" s="1">
        <f ca="1">IFERROR(__xludf.DUMMYFUNCTION("""COMPUTED_VALUE"""),163.15)</f>
        <v>163.15</v>
      </c>
      <c r="D2596" s="1">
        <f ca="1">IFERROR(__xludf.DUMMYFUNCTION("""COMPUTED_VALUE"""),158.6)</f>
        <v>158.6</v>
      </c>
      <c r="E2596" s="1">
        <f ca="1">IFERROR(__xludf.DUMMYFUNCTION("""COMPUTED_VALUE"""),160.61)</f>
        <v>160.61000000000001</v>
      </c>
      <c r="F2596" s="1">
        <f ca="1">IFERROR(__xludf.DUMMYFUNCTION("""COMPUTED_VALUE"""),29745782)</f>
        <v>29745782</v>
      </c>
    </row>
    <row r="2597" spans="1:6" x14ac:dyDescent="0.35">
      <c r="A2597" s="2">
        <f ca="1">IFERROR(__xludf.DUMMYFUNCTION("""COMPUTED_VALUE"""),45776.6666666666)</f>
        <v>45776.666666666599</v>
      </c>
      <c r="B2597" s="1">
        <f ca="1">IFERROR(__xludf.DUMMYFUNCTION("""COMPUTED_VALUE"""),160.32)</f>
        <v>160.32</v>
      </c>
      <c r="C2597" s="1">
        <f ca="1">IFERROR(__xludf.DUMMYFUNCTION("""COMPUTED_VALUE"""),160.74)</f>
        <v>160.74</v>
      </c>
      <c r="D2597" s="1">
        <f ca="1">IFERROR(__xludf.DUMMYFUNCTION("""COMPUTED_VALUE"""),157.52)</f>
        <v>157.52000000000001</v>
      </c>
      <c r="E2597" s="1">
        <f ca="1">IFERROR(__xludf.DUMMYFUNCTION("""COMPUTED_VALUE"""),160.16)</f>
        <v>160.16</v>
      </c>
      <c r="F2597" s="1">
        <f ca="1">IFERROR(__xludf.DUMMYFUNCTION("""COMPUTED_VALUE"""),26808958)</f>
        <v>26808958</v>
      </c>
    </row>
    <row r="2598" spans="1:6" x14ac:dyDescent="0.35">
      <c r="A2598" s="2">
        <f ca="1">IFERROR(__xludf.DUMMYFUNCTION("""COMPUTED_VALUE"""),45777.6666666666)</f>
        <v>45777.666666666599</v>
      </c>
      <c r="B2598" s="1">
        <f ca="1">IFERROR(__xludf.DUMMYFUNCTION("""COMPUTED_VALUE"""),157.98)</f>
        <v>157.97999999999999</v>
      </c>
      <c r="C2598" s="1">
        <f ca="1">IFERROR(__xludf.DUMMYFUNCTION("""COMPUTED_VALUE"""),159.27)</f>
        <v>159.27000000000001</v>
      </c>
      <c r="D2598" s="1">
        <f ca="1">IFERROR(__xludf.DUMMYFUNCTION("""COMPUTED_VALUE"""),155.4)</f>
        <v>155.4</v>
      </c>
      <c r="E2598" s="1">
        <f ca="1">IFERROR(__xludf.DUMMYFUNCTION("""COMPUTED_VALUE"""),158.8)</f>
        <v>158.80000000000001</v>
      </c>
      <c r="F2598" s="1">
        <f ca="1">IFERROR(__xludf.DUMMYFUNCTION("""COMPUTED_VALUE"""),34981059)</f>
        <v>34981059</v>
      </c>
    </row>
    <row r="2599" spans="1:6" x14ac:dyDescent="0.35">
      <c r="A2599" s="2">
        <f ca="1">IFERROR(__xludf.DUMMYFUNCTION("""COMPUTED_VALUE"""),45778.6666666666)</f>
        <v>45778.666666666599</v>
      </c>
      <c r="B2599" s="1">
        <f ca="1">IFERROR(__xludf.DUMMYFUNCTION("""COMPUTED_VALUE"""),160.45)</f>
        <v>160.44999999999999</v>
      </c>
      <c r="C2599" s="1">
        <f ca="1">IFERROR(__xludf.DUMMYFUNCTION("""COMPUTED_VALUE"""),161.95)</f>
        <v>161.94999999999999</v>
      </c>
      <c r="D2599" s="1">
        <f ca="1">IFERROR(__xludf.DUMMYFUNCTION("""COMPUTED_VALUE"""),158.91)</f>
        <v>158.91</v>
      </c>
      <c r="E2599" s="1">
        <f ca="1">IFERROR(__xludf.DUMMYFUNCTION("""COMPUTED_VALUE"""),161.3)</f>
        <v>161.30000000000001</v>
      </c>
      <c r="F2599" s="1">
        <f ca="1">IFERROR(__xludf.DUMMYFUNCTION("""COMPUTED_VALUE"""),30203248)</f>
        <v>30203248</v>
      </c>
    </row>
    <row r="2600" spans="1:6" x14ac:dyDescent="0.35">
      <c r="A2600" s="2">
        <f ca="1">IFERROR(__xludf.DUMMYFUNCTION("""COMPUTED_VALUE"""),45779.6666666666)</f>
        <v>45779.666666666599</v>
      </c>
      <c r="B2600" s="1">
        <f ca="1">IFERROR(__xludf.DUMMYFUNCTION("""COMPUTED_VALUE"""),163.41)</f>
        <v>163.41</v>
      </c>
      <c r="C2600" s="1">
        <f ca="1">IFERROR(__xludf.DUMMYFUNCTION("""COMPUTED_VALUE"""),164.97)</f>
        <v>164.97</v>
      </c>
      <c r="D2600" s="1">
        <f ca="1">IFERROR(__xludf.DUMMYFUNCTION("""COMPUTED_VALUE"""),161.87)</f>
        <v>161.87</v>
      </c>
      <c r="E2600" s="1">
        <f ca="1">IFERROR(__xludf.DUMMYFUNCTION("""COMPUTED_VALUE"""),164.03)</f>
        <v>164.03</v>
      </c>
      <c r="F2600" s="1">
        <f ca="1">IFERROR(__xludf.DUMMYFUNCTION("""COMPUTED_VALUE"""),25715005)</f>
        <v>25715005</v>
      </c>
    </row>
    <row r="2601" spans="1:6" x14ac:dyDescent="0.35">
      <c r="A2601" s="2">
        <f ca="1">IFERROR(__xludf.DUMMYFUNCTION("""COMPUTED_VALUE"""),45782.6666666666)</f>
        <v>45782.666666666599</v>
      </c>
      <c r="B2601" s="1">
        <f ca="1">IFERROR(__xludf.DUMMYFUNCTION("""COMPUTED_VALUE"""),163)</f>
        <v>163</v>
      </c>
      <c r="C2601" s="1">
        <f ca="1">IFERROR(__xludf.DUMMYFUNCTION("""COMPUTED_VALUE"""),165.39)</f>
        <v>165.39</v>
      </c>
      <c r="D2601" s="1">
        <f ca="1">IFERROR(__xludf.DUMMYFUNCTION("""COMPUTED_VALUE"""),162.72)</f>
        <v>162.72</v>
      </c>
      <c r="E2601" s="1">
        <f ca="1">IFERROR(__xludf.DUMMYFUNCTION("""COMPUTED_VALUE"""),164.21)</f>
        <v>164.21</v>
      </c>
      <c r="F2601" s="1">
        <f ca="1">IFERROR(__xludf.DUMMYFUNCTION("""COMPUTED_VALUE"""),21341814)</f>
        <v>21341814</v>
      </c>
    </row>
    <row r="2602" spans="1:6" x14ac:dyDescent="0.35">
      <c r="A2602" s="2">
        <f ca="1">IFERROR(__xludf.DUMMYFUNCTION("""COMPUTED_VALUE"""),45783.6666666666)</f>
        <v>45783.666666666599</v>
      </c>
      <c r="B2602" s="1">
        <f ca="1">IFERROR(__xludf.DUMMYFUNCTION("""COMPUTED_VALUE"""),162.17)</f>
        <v>162.16999999999999</v>
      </c>
      <c r="C2602" s="1">
        <f ca="1">IFERROR(__xludf.DUMMYFUNCTION("""COMPUTED_VALUE"""),164.8)</f>
        <v>164.8</v>
      </c>
      <c r="D2602" s="1">
        <f ca="1">IFERROR(__xludf.DUMMYFUNCTION("""COMPUTED_VALUE"""),161.19)</f>
        <v>161.19</v>
      </c>
      <c r="E2602" s="1">
        <f ca="1">IFERROR(__xludf.DUMMYFUNCTION("""COMPUTED_VALUE"""),163.23)</f>
        <v>163.22999999999999</v>
      </c>
      <c r="F2602" s="1">
        <f ca="1">IFERROR(__xludf.DUMMYFUNCTION("""COMPUTED_VALUE"""),21277210)</f>
        <v>21277210</v>
      </c>
    </row>
    <row r="2603" spans="1:6" x14ac:dyDescent="0.35">
      <c r="A2603" s="2">
        <f ca="1">IFERROR(__xludf.DUMMYFUNCTION("""COMPUTED_VALUE"""),45784.6666666666)</f>
        <v>45784.666666666599</v>
      </c>
      <c r="B2603" s="1">
        <f ca="1">IFERROR(__xludf.DUMMYFUNCTION("""COMPUTED_VALUE"""),164.08)</f>
        <v>164.08</v>
      </c>
      <c r="C2603" s="1">
        <f ca="1">IFERROR(__xludf.DUMMYFUNCTION("""COMPUTED_VALUE"""),165)</f>
        <v>165</v>
      </c>
      <c r="D2603" s="1">
        <f ca="1">IFERROR(__xludf.DUMMYFUNCTION("""COMPUTED_VALUE"""),147.84)</f>
        <v>147.84</v>
      </c>
      <c r="E2603" s="1">
        <f ca="1">IFERROR(__xludf.DUMMYFUNCTION("""COMPUTED_VALUE"""),151.38)</f>
        <v>151.38</v>
      </c>
      <c r="F2603" s="1">
        <f ca="1">IFERROR(__xludf.DUMMYFUNCTION("""COMPUTED_VALUE"""),127747554)</f>
        <v>127747554</v>
      </c>
    </row>
    <row r="2604" spans="1:6" x14ac:dyDescent="0.35">
      <c r="A2604" s="2">
        <f ca="1">IFERROR(__xludf.DUMMYFUNCTION("""COMPUTED_VALUE"""),45785.6666666666)</f>
        <v>45785.666666666599</v>
      </c>
      <c r="B2604" s="1">
        <f ca="1">IFERROR(__xludf.DUMMYFUNCTION("""COMPUTED_VALUE"""),155)</f>
        <v>155</v>
      </c>
      <c r="C2604" s="1">
        <f ca="1">IFERROR(__xludf.DUMMYFUNCTION("""COMPUTED_VALUE"""),155.93)</f>
        <v>155.93</v>
      </c>
      <c r="D2604" s="1">
        <f ca="1">IFERROR(__xludf.DUMMYFUNCTION("""COMPUTED_VALUE"""),152.9)</f>
        <v>152.9</v>
      </c>
      <c r="E2604" s="1">
        <f ca="1">IFERROR(__xludf.DUMMYFUNCTION("""COMPUTED_VALUE"""),154.28)</f>
        <v>154.28</v>
      </c>
      <c r="F2604" s="1">
        <f ca="1">IFERROR(__xludf.DUMMYFUNCTION("""COMPUTED_VALUE"""),57498692)</f>
        <v>57498692</v>
      </c>
    </row>
    <row r="2605" spans="1:6" x14ac:dyDescent="0.35">
      <c r="A2605" s="2">
        <f ca="1">IFERROR(__xludf.DUMMYFUNCTION("""COMPUTED_VALUE"""),45786.6666666666)</f>
        <v>45786.666666666599</v>
      </c>
      <c r="B2605" s="1">
        <f ca="1">IFERROR(__xludf.DUMMYFUNCTION("""COMPUTED_VALUE"""),154.17)</f>
        <v>154.16999999999999</v>
      </c>
      <c r="C2605" s="1">
        <f ca="1">IFERROR(__xludf.DUMMYFUNCTION("""COMPUTED_VALUE"""),155.05)</f>
        <v>155.05000000000001</v>
      </c>
      <c r="D2605" s="1">
        <f ca="1">IFERROR(__xludf.DUMMYFUNCTION("""COMPUTED_VALUE"""),152.2)</f>
        <v>152.19999999999999</v>
      </c>
      <c r="E2605" s="1">
        <f ca="1">IFERROR(__xludf.DUMMYFUNCTION("""COMPUTED_VALUE"""),152.75)</f>
        <v>152.75</v>
      </c>
      <c r="F2605" s="1">
        <f ca="1">IFERROR(__xludf.DUMMYFUNCTION("""COMPUTED_VALUE"""),32435281)</f>
        <v>32435281</v>
      </c>
    </row>
    <row r="2606" spans="1:6" x14ac:dyDescent="0.35">
      <c r="A2606" s="2">
        <f ca="1">IFERROR(__xludf.DUMMYFUNCTION("""COMPUTED_VALUE"""),45789.6666666666)</f>
        <v>45789.666666666599</v>
      </c>
      <c r="B2606" s="1">
        <f ca="1">IFERROR(__xludf.DUMMYFUNCTION("""COMPUTED_VALUE"""),157.49)</f>
        <v>157.49</v>
      </c>
      <c r="C2606" s="1">
        <f ca="1">IFERROR(__xludf.DUMMYFUNCTION("""COMPUTED_VALUE"""),159.1)</f>
        <v>159.1</v>
      </c>
      <c r="D2606" s="1">
        <f ca="1">IFERROR(__xludf.DUMMYFUNCTION("""COMPUTED_VALUE"""),156.25)</f>
        <v>156.25</v>
      </c>
      <c r="E2606" s="1">
        <f ca="1">IFERROR(__xludf.DUMMYFUNCTION("""COMPUTED_VALUE"""),158.46)</f>
        <v>158.46</v>
      </c>
      <c r="F2606" s="1">
        <f ca="1">IFERROR(__xludf.DUMMYFUNCTION("""COMPUTED_VALUE"""),44138818)</f>
        <v>44138818</v>
      </c>
    </row>
    <row r="2607" spans="1:6" x14ac:dyDescent="0.35">
      <c r="A2607" s="2">
        <f ca="1">IFERROR(__xludf.DUMMYFUNCTION("""COMPUTED_VALUE"""),45790.6666666666)</f>
        <v>45790.666666666599</v>
      </c>
      <c r="B2607" s="1">
        <f ca="1">IFERROR(__xludf.DUMMYFUNCTION("""COMPUTED_VALUE"""),158.79)</f>
        <v>158.79</v>
      </c>
      <c r="C2607" s="1">
        <f ca="1">IFERROR(__xludf.DUMMYFUNCTION("""COMPUTED_VALUE"""),160.57)</f>
        <v>160.57</v>
      </c>
      <c r="D2607" s="1">
        <f ca="1">IFERROR(__xludf.DUMMYFUNCTION("""COMPUTED_VALUE"""),156.16)</f>
        <v>156.16</v>
      </c>
      <c r="E2607" s="1">
        <f ca="1">IFERROR(__xludf.DUMMYFUNCTION("""COMPUTED_VALUE"""),159.53)</f>
        <v>159.53</v>
      </c>
      <c r="F2607" s="1">
        <f ca="1">IFERROR(__xludf.DUMMYFUNCTION("""COMPUTED_VALUE"""),42382126)</f>
        <v>42382126</v>
      </c>
    </row>
    <row r="2608" spans="1:6" x14ac:dyDescent="0.35">
      <c r="A2608" s="2">
        <f ca="1">IFERROR(__xludf.DUMMYFUNCTION("""COMPUTED_VALUE"""),45791.6666666666)</f>
        <v>45791.666666666599</v>
      </c>
      <c r="B2608" s="1">
        <f ca="1">IFERROR(__xludf.DUMMYFUNCTION("""COMPUTED_VALUE"""),159.96)</f>
        <v>159.96</v>
      </c>
      <c r="C2608" s="1">
        <f ca="1">IFERROR(__xludf.DUMMYFUNCTION("""COMPUTED_VALUE"""),167)</f>
        <v>167</v>
      </c>
      <c r="D2608" s="1">
        <f ca="1">IFERROR(__xludf.DUMMYFUNCTION("""COMPUTED_VALUE"""),159.61)</f>
        <v>159.61000000000001</v>
      </c>
      <c r="E2608" s="1">
        <f ca="1">IFERROR(__xludf.DUMMYFUNCTION("""COMPUTED_VALUE"""),165.37)</f>
        <v>165.37</v>
      </c>
      <c r="F2608" s="1">
        <f ca="1">IFERROR(__xludf.DUMMYFUNCTION("""COMPUTED_VALUE"""),48755869)</f>
        <v>48755869</v>
      </c>
    </row>
    <row r="2609" spans="1:6" x14ac:dyDescent="0.35">
      <c r="A2609" s="2">
        <f ca="1">IFERROR(__xludf.DUMMYFUNCTION("""COMPUTED_VALUE"""),45792.6666666666)</f>
        <v>45792.666666666599</v>
      </c>
      <c r="B2609" s="1">
        <f ca="1">IFERROR(__xludf.DUMMYFUNCTION("""COMPUTED_VALUE"""),165.84)</f>
        <v>165.84</v>
      </c>
      <c r="C2609" s="1">
        <f ca="1">IFERROR(__xludf.DUMMYFUNCTION("""COMPUTED_VALUE"""),166.21)</f>
        <v>166.21</v>
      </c>
      <c r="D2609" s="1">
        <f ca="1">IFERROR(__xludf.DUMMYFUNCTION("""COMPUTED_VALUE"""),162.37)</f>
        <v>162.37</v>
      </c>
      <c r="E2609" s="1">
        <f ca="1">IFERROR(__xludf.DUMMYFUNCTION("""COMPUTED_VALUE"""),163.96)</f>
        <v>163.96</v>
      </c>
      <c r="F2609" s="1">
        <f ca="1">IFERROR(__xludf.DUMMYFUNCTION("""COMPUTED_VALUE"""),33146669)</f>
        <v>33146669</v>
      </c>
    </row>
    <row r="2610" spans="1:6" x14ac:dyDescent="0.35">
      <c r="A2610" s="2">
        <f ca="1">IFERROR(__xludf.DUMMYFUNCTION("""COMPUTED_VALUE"""),45793.6666666666)</f>
        <v>45793.666666666599</v>
      </c>
      <c r="B2610" s="1">
        <f ca="1">IFERROR(__xludf.DUMMYFUNCTION("""COMPUTED_VALUE"""),167.73)</f>
        <v>167.73</v>
      </c>
      <c r="C2610" s="1">
        <f ca="1">IFERROR(__xludf.DUMMYFUNCTION("""COMPUTED_VALUE"""),169.35)</f>
        <v>169.35</v>
      </c>
      <c r="D2610" s="1">
        <f ca="1">IFERROR(__xludf.DUMMYFUNCTION("""COMPUTED_VALUE"""),165.62)</f>
        <v>165.62</v>
      </c>
      <c r="E2610" s="1">
        <f ca="1">IFERROR(__xludf.DUMMYFUNCTION("""COMPUTED_VALUE"""),166.19)</f>
        <v>166.19</v>
      </c>
      <c r="F2610" s="1">
        <f ca="1">IFERROR(__xludf.DUMMYFUNCTION("""COMPUTED_VALUE"""),42846925)</f>
        <v>42846925</v>
      </c>
    </row>
    <row r="2611" spans="1:6" x14ac:dyDescent="0.35">
      <c r="A2611" s="2">
        <f ca="1">IFERROR(__xludf.DUMMYFUNCTION("""COMPUTED_VALUE"""),45796.6666666666)</f>
        <v>45796.666666666599</v>
      </c>
      <c r="B2611" s="1">
        <f ca="1">IFERROR(__xludf.DUMMYFUNCTION("""COMPUTED_VALUE"""),164.51)</f>
        <v>164.51</v>
      </c>
      <c r="C2611" s="1">
        <f ca="1">IFERROR(__xludf.DUMMYFUNCTION("""COMPUTED_VALUE"""),166.64)</f>
        <v>166.64</v>
      </c>
      <c r="D2611" s="1">
        <f ca="1">IFERROR(__xludf.DUMMYFUNCTION("""COMPUTED_VALUE"""),164.22)</f>
        <v>164.22</v>
      </c>
      <c r="E2611" s="1">
        <f ca="1">IFERROR(__xludf.DUMMYFUNCTION("""COMPUTED_VALUE"""),166.54)</f>
        <v>166.54</v>
      </c>
      <c r="F2611" s="1">
        <f ca="1">IFERROR(__xludf.DUMMYFUNCTION("""COMPUTED_VALUE"""),30426097)</f>
        <v>30426097</v>
      </c>
    </row>
    <row r="2612" spans="1:6" x14ac:dyDescent="0.35">
      <c r="A2612" s="2">
        <f ca="1">IFERROR(__xludf.DUMMYFUNCTION("""COMPUTED_VALUE"""),45797.6666666666)</f>
        <v>45797.666666666599</v>
      </c>
      <c r="B2612" s="1">
        <f ca="1">IFERROR(__xludf.DUMMYFUNCTION("""COMPUTED_VALUE"""),166.43)</f>
        <v>166.43</v>
      </c>
      <c r="C2612" s="1">
        <f ca="1">IFERROR(__xludf.DUMMYFUNCTION("""COMPUTED_VALUE"""),168.5)</f>
        <v>168.5</v>
      </c>
      <c r="D2612" s="1">
        <f ca="1">IFERROR(__xludf.DUMMYFUNCTION("""COMPUTED_VALUE"""),162.9)</f>
        <v>162.9</v>
      </c>
      <c r="E2612" s="1">
        <f ca="1">IFERROR(__xludf.DUMMYFUNCTION("""COMPUTED_VALUE"""),163.98)</f>
        <v>163.98</v>
      </c>
      <c r="F2612" s="1">
        <f ca="1">IFERROR(__xludf.DUMMYFUNCTION("""COMPUTED_VALUE"""),46607656)</f>
        <v>46607656</v>
      </c>
    </row>
    <row r="2613" spans="1:6" x14ac:dyDescent="0.35">
      <c r="A2613" s="2">
        <f ca="1">IFERROR(__xludf.DUMMYFUNCTION("""COMPUTED_VALUE"""),45798.6666666666)</f>
        <v>45798.666666666599</v>
      </c>
      <c r="B2613" s="1">
        <f ca="1">IFERROR(__xludf.DUMMYFUNCTION("""COMPUTED_VALUE"""),163.69)</f>
        <v>163.69</v>
      </c>
      <c r="C2613" s="1">
        <f ca="1">IFERROR(__xludf.DUMMYFUNCTION("""COMPUTED_VALUE"""),173.14)</f>
        <v>173.14</v>
      </c>
      <c r="D2613" s="1">
        <f ca="1">IFERROR(__xludf.DUMMYFUNCTION("""COMPUTED_VALUE"""),163.56)</f>
        <v>163.56</v>
      </c>
      <c r="E2613" s="1">
        <f ca="1">IFERROR(__xludf.DUMMYFUNCTION("""COMPUTED_VALUE"""),168.56)</f>
        <v>168.56</v>
      </c>
      <c r="F2613" s="1">
        <f ca="1">IFERROR(__xludf.DUMMYFUNCTION("""COMPUTED_VALUE"""),73415956)</f>
        <v>73415956</v>
      </c>
    </row>
    <row r="2614" spans="1:6" x14ac:dyDescent="0.35">
      <c r="A2614" s="2">
        <f ca="1">IFERROR(__xludf.DUMMYFUNCTION("""COMPUTED_VALUE"""),45799.6666666666)</f>
        <v>45799.666666666599</v>
      </c>
      <c r="B2614" s="1">
        <f ca="1">IFERROR(__xludf.DUMMYFUNCTION("""COMPUTED_VALUE"""),171.85)</f>
        <v>171.85</v>
      </c>
      <c r="C2614" s="1">
        <f ca="1">IFERROR(__xludf.DUMMYFUNCTION("""COMPUTED_VALUE"""),176.77)</f>
        <v>176.77</v>
      </c>
      <c r="D2614" s="1">
        <f ca="1">IFERROR(__xludf.DUMMYFUNCTION("""COMPUTED_VALUE"""),170.71)</f>
        <v>170.71</v>
      </c>
      <c r="E2614" s="1">
        <f ca="1">IFERROR(__xludf.DUMMYFUNCTION("""COMPUTED_VALUE"""),170.87)</f>
        <v>170.87</v>
      </c>
      <c r="F2614" s="1">
        <f ca="1">IFERROR(__xludf.DUMMYFUNCTION("""COMPUTED_VALUE"""),74864418)</f>
        <v>74864418</v>
      </c>
    </row>
    <row r="2615" spans="1:6" x14ac:dyDescent="0.35">
      <c r="A2615" s="2">
        <f ca="1">IFERROR(__xludf.DUMMYFUNCTION("""COMPUTED_VALUE"""),45800.6666666666)</f>
        <v>45800.666666666599</v>
      </c>
      <c r="B2615" s="1">
        <f ca="1">IFERROR(__xludf.DUMMYFUNCTION("""COMPUTED_VALUE"""),169.06)</f>
        <v>169.06</v>
      </c>
      <c r="C2615" s="1">
        <f ca="1">IFERROR(__xludf.DUMMYFUNCTION("""COMPUTED_VALUE"""),169.96)</f>
        <v>169.96</v>
      </c>
      <c r="D2615" s="1">
        <f ca="1">IFERROR(__xludf.DUMMYFUNCTION("""COMPUTED_VALUE"""),167.89)</f>
        <v>167.89</v>
      </c>
      <c r="E2615" s="1">
        <f ca="1">IFERROR(__xludf.DUMMYFUNCTION("""COMPUTED_VALUE"""),168.47)</f>
        <v>168.47</v>
      </c>
      <c r="F2615" s="1">
        <f ca="1">IFERROR(__xludf.DUMMYFUNCTION("""COMPUTED_VALUE"""),35211439)</f>
        <v>35211439</v>
      </c>
    </row>
    <row r="2616" spans="1:6" x14ac:dyDescent="0.35">
      <c r="A2616" s="2">
        <f ca="1">IFERROR(__xludf.DUMMYFUNCTION("""COMPUTED_VALUE"""),45804.6666666666)</f>
        <v>45804.666666666599</v>
      </c>
      <c r="B2616" s="1">
        <f ca="1">IFERROR(__xludf.DUMMYFUNCTION("""COMPUTED_VALUE"""),170.16)</f>
        <v>170.16</v>
      </c>
      <c r="C2616" s="1">
        <f ca="1">IFERROR(__xludf.DUMMYFUNCTION("""COMPUTED_VALUE"""),173.17)</f>
        <v>173.17</v>
      </c>
      <c r="D2616" s="1">
        <f ca="1">IFERROR(__xludf.DUMMYFUNCTION("""COMPUTED_VALUE"""),170)</f>
        <v>170</v>
      </c>
      <c r="E2616" s="1">
        <f ca="1">IFERROR(__xludf.DUMMYFUNCTION("""COMPUTED_VALUE"""),172.9)</f>
        <v>172.9</v>
      </c>
      <c r="F2616" s="1">
        <f ca="1">IFERROR(__xludf.DUMMYFUNCTION("""COMPUTED_VALUE"""),37995670)</f>
        <v>37995670</v>
      </c>
    </row>
    <row r="2617" spans="1:6" x14ac:dyDescent="0.35">
      <c r="A2617" s="2">
        <f ca="1">IFERROR(__xludf.DUMMYFUNCTION("""COMPUTED_VALUE"""),45805.6666666666)</f>
        <v>45805.666666666599</v>
      </c>
      <c r="B2617" s="1">
        <f ca="1">IFERROR(__xludf.DUMMYFUNCTION("""COMPUTED_VALUE"""),173.16)</f>
        <v>173.16</v>
      </c>
      <c r="C2617" s="1">
        <f ca="1">IFERROR(__xludf.DUMMYFUNCTION("""COMPUTED_VALUE"""),175.27)</f>
        <v>175.27</v>
      </c>
      <c r="D2617" s="1">
        <f ca="1">IFERROR(__xludf.DUMMYFUNCTION("""COMPUTED_VALUE"""),171.91)</f>
        <v>171.91</v>
      </c>
      <c r="E2617" s="1">
        <f ca="1">IFERROR(__xludf.DUMMYFUNCTION("""COMPUTED_VALUE"""),172.36)</f>
        <v>172.36</v>
      </c>
      <c r="F2617" s="1">
        <f ca="1">IFERROR(__xludf.DUMMYFUNCTION("""COMPUTED_VALUE"""),34783997)</f>
        <v>34783997</v>
      </c>
    </row>
    <row r="2618" spans="1:6" x14ac:dyDescent="0.35">
      <c r="A2618" s="2">
        <f ca="1">IFERROR(__xludf.DUMMYFUNCTION("""COMPUTED_VALUE"""),45806.6666666666)</f>
        <v>45806.666666666599</v>
      </c>
      <c r="B2618" s="1">
        <f ca="1">IFERROR(__xludf.DUMMYFUNCTION("""COMPUTED_VALUE"""),174)</f>
        <v>174</v>
      </c>
      <c r="C2618" s="1">
        <f ca="1">IFERROR(__xludf.DUMMYFUNCTION("""COMPUTED_VALUE"""),174.42)</f>
        <v>174.42</v>
      </c>
      <c r="D2618" s="1">
        <f ca="1">IFERROR(__xludf.DUMMYFUNCTION("""COMPUTED_VALUE"""),170.63)</f>
        <v>170.63</v>
      </c>
      <c r="E2618" s="1">
        <f ca="1">IFERROR(__xludf.DUMMYFUNCTION("""COMPUTED_VALUE"""),171.86)</f>
        <v>171.86</v>
      </c>
      <c r="F2618" s="1">
        <f ca="1">IFERROR(__xludf.DUMMYFUNCTION("""COMPUTED_VALUE"""),29373803)</f>
        <v>29373803</v>
      </c>
    </row>
    <row r="2619" spans="1:6" x14ac:dyDescent="0.35">
      <c r="A2619" s="2">
        <f ca="1">IFERROR(__xludf.DUMMYFUNCTION("""COMPUTED_VALUE"""),45807.6666666666)</f>
        <v>45807.666666666599</v>
      </c>
      <c r="B2619" s="1">
        <f ca="1">IFERROR(__xludf.DUMMYFUNCTION("""COMPUTED_VALUE"""),171.35)</f>
        <v>171.35</v>
      </c>
      <c r="C2619" s="1">
        <f ca="1">IFERROR(__xludf.DUMMYFUNCTION("""COMPUTED_VALUE"""),172.21)</f>
        <v>172.21</v>
      </c>
      <c r="D2619" s="1">
        <f ca="1">IFERROR(__xludf.DUMMYFUNCTION("""COMPUTED_VALUE"""),167.44)</f>
        <v>167.44</v>
      </c>
      <c r="E2619" s="1">
        <f ca="1">IFERROR(__xludf.DUMMYFUNCTION("""COMPUTED_VALUE"""),171.74)</f>
        <v>171.74</v>
      </c>
      <c r="F2619" s="1">
        <f ca="1">IFERROR(__xludf.DUMMYFUNCTION("""COMPUTED_VALUE"""),52639911)</f>
        <v>52639911</v>
      </c>
    </row>
    <row r="2620" spans="1:6" x14ac:dyDescent="0.35">
      <c r="A2620" s="2">
        <f ca="1">IFERROR(__xludf.DUMMYFUNCTION("""COMPUTED_VALUE"""),45810.6666666666)</f>
        <v>45810.666666666599</v>
      </c>
      <c r="B2620" s="1">
        <f ca="1">IFERROR(__xludf.DUMMYFUNCTION("""COMPUTED_VALUE"""),167.84)</f>
        <v>167.84</v>
      </c>
      <c r="C2620" s="1">
        <f ca="1">IFERROR(__xludf.DUMMYFUNCTION("""COMPUTED_VALUE"""),169.87)</f>
        <v>169.87</v>
      </c>
      <c r="D2620" s="1">
        <f ca="1">IFERROR(__xludf.DUMMYFUNCTION("""COMPUTED_VALUE"""),167.39)</f>
        <v>167.39</v>
      </c>
      <c r="E2620" s="1">
        <f ca="1">IFERROR(__xludf.DUMMYFUNCTION("""COMPUTED_VALUE"""),169.03)</f>
        <v>169.03</v>
      </c>
      <c r="F2620" s="1">
        <f ca="1">IFERROR(__xludf.DUMMYFUNCTION("""COMPUTED_VALUE"""),38612272)</f>
        <v>38612272</v>
      </c>
    </row>
    <row r="2621" spans="1:6" x14ac:dyDescent="0.35">
      <c r="A2621" s="2">
        <f ca="1">IFERROR(__xludf.DUMMYFUNCTION("""COMPUTED_VALUE"""),45811.6666666666)</f>
        <v>45811.666666666599</v>
      </c>
      <c r="B2621" s="1">
        <f ca="1">IFERROR(__xludf.DUMMYFUNCTION("""COMPUTED_VALUE"""),167.49)</f>
        <v>167.49</v>
      </c>
      <c r="C2621" s="1">
        <f ca="1">IFERROR(__xludf.DUMMYFUNCTION("""COMPUTED_VALUE"""),168.48)</f>
        <v>168.48</v>
      </c>
      <c r="D2621" s="1">
        <f ca="1">IFERROR(__xludf.DUMMYFUNCTION("""COMPUTED_VALUE"""),165.28)</f>
        <v>165.28</v>
      </c>
      <c r="E2621" s="1">
        <f ca="1">IFERROR(__xludf.DUMMYFUNCTION("""COMPUTED_VALUE"""),166.18)</f>
        <v>166.18</v>
      </c>
      <c r="F2621" s="1">
        <f ca="1">IFERROR(__xludf.DUMMYFUNCTION("""COMPUTED_VALUE"""),45084903)</f>
        <v>45084903</v>
      </c>
    </row>
    <row r="2622" spans="1:6" x14ac:dyDescent="0.35">
      <c r="A2622" s="2">
        <f ca="1">IFERROR(__xludf.DUMMYFUNCTION("""COMPUTED_VALUE"""),45812.6666666666)</f>
        <v>45812.666666666599</v>
      </c>
      <c r="B2622" s="1">
        <f ca="1">IFERROR(__xludf.DUMMYFUNCTION("""COMPUTED_VALUE"""),166.74)</f>
        <v>166.74</v>
      </c>
      <c r="C2622" s="1">
        <f ca="1">IFERROR(__xludf.DUMMYFUNCTION("""COMPUTED_VALUE"""),168.22)</f>
        <v>168.22</v>
      </c>
      <c r="D2622" s="1">
        <f ca="1">IFERROR(__xludf.DUMMYFUNCTION("""COMPUTED_VALUE"""),166.36)</f>
        <v>166.36</v>
      </c>
      <c r="E2622" s="1">
        <f ca="1">IFERROR(__xludf.DUMMYFUNCTION("""COMPUTED_VALUE"""),168.05)</f>
        <v>168.05</v>
      </c>
      <c r="F2622" s="1">
        <f ca="1">IFERROR(__xludf.DUMMYFUNCTION("""COMPUTED_VALUE"""),26900838)</f>
        <v>26900838</v>
      </c>
    </row>
    <row r="2623" spans="1:6" x14ac:dyDescent="0.35">
      <c r="A2623" s="2">
        <f ca="1">IFERROR(__xludf.DUMMYFUNCTION("""COMPUTED_VALUE"""),45813.6666666666)</f>
        <v>45813.666666666599</v>
      </c>
      <c r="B2623" s="1">
        <f ca="1">IFERROR(__xludf.DUMMYFUNCTION("""COMPUTED_VALUE"""),170.34)</f>
        <v>170.34</v>
      </c>
      <c r="C2623" s="1">
        <f ca="1">IFERROR(__xludf.DUMMYFUNCTION("""COMPUTED_VALUE"""),170.93)</f>
        <v>170.93</v>
      </c>
      <c r="D2623" s="1">
        <f ca="1">IFERROR(__xludf.DUMMYFUNCTION("""COMPUTED_VALUE"""),167.59)</f>
        <v>167.59</v>
      </c>
      <c r="E2623" s="1">
        <f ca="1">IFERROR(__xludf.DUMMYFUNCTION("""COMPUTED_VALUE"""),168.21)</f>
        <v>168.21</v>
      </c>
      <c r="F2623" s="1">
        <f ca="1">IFERROR(__xludf.DUMMYFUNCTION("""COMPUTED_VALUE"""),36444564)</f>
        <v>36444564</v>
      </c>
    </row>
    <row r="2624" spans="1:6" x14ac:dyDescent="0.35">
      <c r="A2624" s="2">
        <f ca="1">IFERROR(__xludf.DUMMYFUNCTION("""COMPUTED_VALUE"""),45814.6666666666)</f>
        <v>45814.666666666599</v>
      </c>
      <c r="B2624" s="1">
        <f ca="1">IFERROR(__xludf.DUMMYFUNCTION("""COMPUTED_VALUE"""),170.83)</f>
        <v>170.83</v>
      </c>
      <c r="C2624" s="1">
        <f ca="1">IFERROR(__xludf.DUMMYFUNCTION("""COMPUTED_VALUE"""),174.5)</f>
        <v>174.5</v>
      </c>
      <c r="D2624" s="1">
        <f ca="1">IFERROR(__xludf.DUMMYFUNCTION("""COMPUTED_VALUE"""),170.83)</f>
        <v>170.83</v>
      </c>
      <c r="E2624" s="1">
        <f ca="1">IFERROR(__xludf.DUMMYFUNCTION("""COMPUTED_VALUE"""),173.68)</f>
        <v>173.68</v>
      </c>
      <c r="F2624" s="1">
        <f ca="1">IFERROR(__xludf.DUMMYFUNCTION("""COMPUTED_VALUE"""),35731832)</f>
        <v>35731832</v>
      </c>
    </row>
    <row r="2625" spans="1:6" x14ac:dyDescent="0.35">
      <c r="A2625" s="2">
        <f ca="1">IFERROR(__xludf.DUMMYFUNCTION("""COMPUTED_VALUE"""),45817.6666666666)</f>
        <v>45817.666666666599</v>
      </c>
      <c r="B2625" s="1">
        <f ca="1">IFERROR(__xludf.DUMMYFUNCTION("""COMPUTED_VALUE"""),174.54)</f>
        <v>174.54</v>
      </c>
      <c r="C2625" s="1">
        <f ca="1">IFERROR(__xludf.DUMMYFUNCTION("""COMPUTED_VALUE"""),176.47)</f>
        <v>176.47</v>
      </c>
      <c r="D2625" s="1">
        <f ca="1">IFERROR(__xludf.DUMMYFUNCTION("""COMPUTED_VALUE"""),174.37)</f>
        <v>174.37</v>
      </c>
      <c r="E2625" s="1">
        <f ca="1">IFERROR(__xludf.DUMMYFUNCTION("""COMPUTED_VALUE"""),176.09)</f>
        <v>176.09</v>
      </c>
      <c r="F2625" s="1">
        <f ca="1">IFERROR(__xludf.DUMMYFUNCTION("""COMPUTED_VALUE"""),28935906)</f>
        <v>28935906</v>
      </c>
    </row>
    <row r="2626" spans="1:6" x14ac:dyDescent="0.35">
      <c r="A2626" s="2">
        <f ca="1">IFERROR(__xludf.DUMMYFUNCTION("""COMPUTED_VALUE"""),45818.6666666666)</f>
        <v>45818.666666666599</v>
      </c>
      <c r="B2626" s="1">
        <f ca="1">IFERROR(__xludf.DUMMYFUNCTION("""COMPUTED_VALUE"""),176.2)</f>
        <v>176.2</v>
      </c>
      <c r="C2626" s="1">
        <f ca="1">IFERROR(__xludf.DUMMYFUNCTION("""COMPUTED_VALUE"""),181.11)</f>
        <v>181.11</v>
      </c>
      <c r="D2626" s="1">
        <f ca="1">IFERROR(__xludf.DUMMYFUNCTION("""COMPUTED_VALUE"""),174.91)</f>
        <v>174.91</v>
      </c>
      <c r="E2626" s="1">
        <f ca="1">IFERROR(__xludf.DUMMYFUNCTION("""COMPUTED_VALUE"""),178.6)</f>
        <v>178.6</v>
      </c>
      <c r="F2626" s="1">
        <f ca="1">IFERROR(__xludf.DUMMYFUNCTION("""COMPUTED_VALUE"""),61766121)</f>
        <v>61766121</v>
      </c>
    </row>
    <row r="2627" spans="1:6" x14ac:dyDescent="0.35">
      <c r="A2627" s="2">
        <f ca="1">IFERROR(__xludf.DUMMYFUNCTION("""COMPUTED_VALUE"""),45819.6666666666)</f>
        <v>45819.666666666599</v>
      </c>
      <c r="B2627" s="1">
        <f ca="1">IFERROR(__xludf.DUMMYFUNCTION("""COMPUTED_VALUE"""),179.77)</f>
        <v>179.77</v>
      </c>
      <c r="C2627" s="1">
        <f ca="1">IFERROR(__xludf.DUMMYFUNCTION("""COMPUTED_VALUE"""),180.37)</f>
        <v>180.37</v>
      </c>
      <c r="D2627" s="1">
        <f ca="1">IFERROR(__xludf.DUMMYFUNCTION("""COMPUTED_VALUE"""),176.75)</f>
        <v>176.75</v>
      </c>
      <c r="E2627" s="1">
        <f ca="1">IFERROR(__xludf.DUMMYFUNCTION("""COMPUTED_VALUE"""),177.35)</f>
        <v>177.35</v>
      </c>
      <c r="F2627" s="1">
        <f ca="1">IFERROR(__xludf.DUMMYFUNCTION("""COMPUTED_VALUE"""),31646757)</f>
        <v>31646757</v>
      </c>
    </row>
    <row r="2628" spans="1:6" x14ac:dyDescent="0.35">
      <c r="A2628" s="2">
        <f ca="1">IFERROR(__xludf.DUMMYFUNCTION("""COMPUTED_VALUE"""),45820.6666666666)</f>
        <v>45820.666666666599</v>
      </c>
      <c r="B2628" s="1">
        <f ca="1">IFERROR(__xludf.DUMMYFUNCTION("""COMPUTED_VALUE"""),176.18)</f>
        <v>176.18</v>
      </c>
      <c r="C2628" s="1">
        <f ca="1">IFERROR(__xludf.DUMMYFUNCTION("""COMPUTED_VALUE"""),176.72)</f>
        <v>176.72</v>
      </c>
      <c r="D2628" s="1">
        <f ca="1">IFERROR(__xludf.DUMMYFUNCTION("""COMPUTED_VALUE"""),174.75)</f>
        <v>174.75</v>
      </c>
      <c r="E2628" s="1">
        <f ca="1">IFERROR(__xludf.DUMMYFUNCTION("""COMPUTED_VALUE"""),175.7)</f>
        <v>175.7</v>
      </c>
      <c r="F2628" s="1">
        <f ca="1">IFERROR(__xludf.DUMMYFUNCTION("""COMPUTED_VALUE"""),20941873)</f>
        <v>20941873</v>
      </c>
    </row>
    <row r="2629" spans="1:6" x14ac:dyDescent="0.35">
      <c r="A2629" s="2">
        <f ca="1">IFERROR(__xludf.DUMMYFUNCTION("""COMPUTED_VALUE"""),45821.6666666666)</f>
        <v>45821.666666666599</v>
      </c>
      <c r="B2629" s="1">
        <f ca="1">IFERROR(__xludf.DUMMYFUNCTION("""COMPUTED_VALUE"""),172.44)</f>
        <v>172.44</v>
      </c>
      <c r="C2629" s="1">
        <f ca="1">IFERROR(__xludf.DUMMYFUNCTION("""COMPUTED_VALUE"""),177.13)</f>
        <v>177.13</v>
      </c>
      <c r="D2629" s="1">
        <f ca="1">IFERROR(__xludf.DUMMYFUNCTION("""COMPUTED_VALUE"""),172.39)</f>
        <v>172.39</v>
      </c>
      <c r="E2629" s="1">
        <f ca="1">IFERROR(__xludf.DUMMYFUNCTION("""COMPUTED_VALUE"""),174.67)</f>
        <v>174.67</v>
      </c>
      <c r="F2629" s="1">
        <f ca="1">IFERROR(__xludf.DUMMYFUNCTION("""COMPUTED_VALUE"""),27663107)</f>
        <v>27663107</v>
      </c>
    </row>
    <row r="2630" spans="1:6" x14ac:dyDescent="0.35">
      <c r="A2630" s="2">
        <f ca="1">IFERROR(__xludf.DUMMYFUNCTION("""COMPUTED_VALUE"""),45824.6666666666)</f>
        <v>45824.666666666599</v>
      </c>
      <c r="B2630" s="1">
        <f ca="1">IFERROR(__xludf.DUMMYFUNCTION("""COMPUTED_VALUE"""),174.73)</f>
        <v>174.73</v>
      </c>
      <c r="C2630" s="1">
        <f ca="1">IFERROR(__xludf.DUMMYFUNCTION("""COMPUTED_VALUE"""),176.94)</f>
        <v>176.94</v>
      </c>
      <c r="D2630" s="1">
        <f ca="1">IFERROR(__xludf.DUMMYFUNCTION("""COMPUTED_VALUE"""),174.65)</f>
        <v>174.65</v>
      </c>
      <c r="E2630" s="1">
        <f ca="1">IFERROR(__xludf.DUMMYFUNCTION("""COMPUTED_VALUE"""),176.77)</f>
        <v>176.77</v>
      </c>
      <c r="F2630" s="1">
        <f ca="1">IFERROR(__xludf.DUMMYFUNCTION("""COMPUTED_VALUE"""),27389208)</f>
        <v>27389208</v>
      </c>
    </row>
    <row r="2631" spans="1:6" x14ac:dyDescent="0.35">
      <c r="A2631" s="2">
        <f ca="1">IFERROR(__xludf.DUMMYFUNCTION("""COMPUTED_VALUE"""),45825.6666666666)</f>
        <v>45825.666666666599</v>
      </c>
      <c r="B2631" s="1">
        <f ca="1">IFERROR(__xludf.DUMMYFUNCTION("""COMPUTED_VALUE"""),175.7)</f>
        <v>175.7</v>
      </c>
      <c r="C2631" s="1">
        <f ca="1">IFERROR(__xludf.DUMMYFUNCTION("""COMPUTED_VALUE"""),177.36)</f>
        <v>177.36</v>
      </c>
      <c r="D2631" s="1">
        <f ca="1">IFERROR(__xludf.DUMMYFUNCTION("""COMPUTED_VALUE"""),174.58)</f>
        <v>174.58</v>
      </c>
      <c r="E2631" s="1">
        <f ca="1">IFERROR(__xludf.DUMMYFUNCTION("""COMPUTED_VALUE"""),175.95)</f>
        <v>175.95</v>
      </c>
      <c r="F2631" s="1">
        <f ca="1">IFERROR(__xludf.DUMMYFUNCTION("""COMPUTED_VALUE"""),24973043)</f>
        <v>24973043</v>
      </c>
    </row>
    <row r="2632" spans="1:6" x14ac:dyDescent="0.35">
      <c r="A2632" s="2">
        <f ca="1">IFERROR(__xludf.DUMMYFUNCTION("""COMPUTED_VALUE"""),45826.6666666666)</f>
        <v>45826.666666666599</v>
      </c>
      <c r="B2632" s="1">
        <f ca="1">IFERROR(__xludf.DUMMYFUNCTION("""COMPUTED_VALUE"""),176.01)</f>
        <v>176.01</v>
      </c>
      <c r="C2632" s="1">
        <f ca="1">IFERROR(__xludf.DUMMYFUNCTION("""COMPUTED_VALUE"""),176.56)</f>
        <v>176.56</v>
      </c>
      <c r="D2632" s="1">
        <f ca="1">IFERROR(__xludf.DUMMYFUNCTION("""COMPUTED_VALUE"""),173.2)</f>
        <v>173.2</v>
      </c>
      <c r="E2632" s="1">
        <f ca="1">IFERROR(__xludf.DUMMYFUNCTION("""COMPUTED_VALUE"""),173.32)</f>
        <v>173.32</v>
      </c>
      <c r="F2632" s="1">
        <f ca="1">IFERROR(__xludf.DUMMYFUNCTION("""COMPUTED_VALUE"""),28707524)</f>
        <v>28707524</v>
      </c>
    </row>
    <row r="2633" spans="1:6" x14ac:dyDescent="0.35">
      <c r="A2633" s="2">
        <f ca="1">IFERROR(__xludf.DUMMYFUNCTION("""COMPUTED_VALUE"""),45828.6666666666)</f>
        <v>45828.666666666599</v>
      </c>
      <c r="B2633" s="1">
        <f ca="1">IFERROR(__xludf.DUMMYFUNCTION("""COMPUTED_VALUE"""),173.95)</f>
        <v>173.95</v>
      </c>
      <c r="C2633" s="1">
        <f ca="1">IFERROR(__xludf.DUMMYFUNCTION("""COMPUTED_VALUE"""),174.34)</f>
        <v>174.34</v>
      </c>
      <c r="D2633" s="1">
        <f ca="1">IFERROR(__xludf.DUMMYFUNCTION("""COMPUTED_VALUE"""),165.46)</f>
        <v>165.46</v>
      </c>
      <c r="E2633" s="1">
        <f ca="1">IFERROR(__xludf.DUMMYFUNCTION("""COMPUTED_VALUE"""),166.64)</f>
        <v>166.64</v>
      </c>
      <c r="F2633" s="1">
        <f ca="1">IFERROR(__xludf.DUMMYFUNCTION("""COMPUTED_VALUE"""),75659917)</f>
        <v>75659917</v>
      </c>
    </row>
    <row r="2634" spans="1:6" x14ac:dyDescent="0.35">
      <c r="A2634" s="2">
        <f ca="1">IFERROR(__xludf.DUMMYFUNCTION("""COMPUTED_VALUE"""),45831.6666666666)</f>
        <v>45831.666666666599</v>
      </c>
      <c r="B2634" s="1">
        <f ca="1">IFERROR(__xludf.DUMMYFUNCTION("""COMPUTED_VALUE"""),166.27)</f>
        <v>166.27</v>
      </c>
      <c r="C2634" s="1">
        <f ca="1">IFERROR(__xludf.DUMMYFUNCTION("""COMPUTED_VALUE"""),167.34)</f>
        <v>167.34</v>
      </c>
      <c r="D2634" s="1">
        <f ca="1">IFERROR(__xludf.DUMMYFUNCTION("""COMPUTED_VALUE"""),162)</f>
        <v>162</v>
      </c>
      <c r="E2634" s="1">
        <f ca="1">IFERROR(__xludf.DUMMYFUNCTION("""COMPUTED_VALUE"""),165.19)</f>
        <v>165.19</v>
      </c>
      <c r="F2634" s="1">
        <f ca="1">IFERROR(__xludf.DUMMYFUNCTION("""COMPUTED_VALUE"""),57670985)</f>
        <v>57670985</v>
      </c>
    </row>
    <row r="2635" spans="1:6" x14ac:dyDescent="0.35">
      <c r="A2635" s="2">
        <f ca="1">IFERROR(__xludf.DUMMYFUNCTION("""COMPUTED_VALUE"""),45832.6666666666)</f>
        <v>45832.666666666599</v>
      </c>
      <c r="B2635" s="1">
        <f ca="1">IFERROR(__xludf.DUMMYFUNCTION("""COMPUTED_VALUE"""),166.92)</f>
        <v>166.92</v>
      </c>
      <c r="C2635" s="1">
        <f ca="1">IFERROR(__xludf.DUMMYFUNCTION("""COMPUTED_VALUE"""),168.22)</f>
        <v>168.22</v>
      </c>
      <c r="D2635" s="1">
        <f ca="1">IFERROR(__xludf.DUMMYFUNCTION("""COMPUTED_VALUE"""),166.13)</f>
        <v>166.13</v>
      </c>
      <c r="E2635" s="1">
        <f ca="1">IFERROR(__xludf.DUMMYFUNCTION("""COMPUTED_VALUE"""),166.77)</f>
        <v>166.77</v>
      </c>
      <c r="F2635" s="1">
        <f ca="1">IFERROR(__xludf.DUMMYFUNCTION("""COMPUTED_VALUE"""),40524312)</f>
        <v>40524312</v>
      </c>
    </row>
    <row r="2636" spans="1:6" x14ac:dyDescent="0.35">
      <c r="A2636" s="2">
        <f ca="1">IFERROR(__xludf.DUMMYFUNCTION("""COMPUTED_VALUE"""),45833.6666666666)</f>
        <v>45833.666666666599</v>
      </c>
      <c r="B2636" s="1">
        <f ca="1">IFERROR(__xludf.DUMMYFUNCTION("""COMPUTED_VALUE"""),167.63)</f>
        <v>167.63</v>
      </c>
      <c r="C2636" s="1">
        <f ca="1">IFERROR(__xludf.DUMMYFUNCTION("""COMPUTED_VALUE"""),172.36)</f>
        <v>172.36</v>
      </c>
      <c r="D2636" s="1">
        <f ca="1">IFERROR(__xludf.DUMMYFUNCTION("""COMPUTED_VALUE"""),167.55)</f>
        <v>167.55</v>
      </c>
      <c r="E2636" s="1">
        <f ca="1">IFERROR(__xludf.DUMMYFUNCTION("""COMPUTED_VALUE"""),170.68)</f>
        <v>170.68</v>
      </c>
      <c r="F2636" s="1">
        <f ca="1">IFERROR(__xludf.DUMMYFUNCTION("""COMPUTED_VALUE"""),35478989)</f>
        <v>35478989</v>
      </c>
    </row>
    <row r="2637" spans="1:6" x14ac:dyDescent="0.35">
      <c r="A2637" s="2">
        <f ca="1">IFERROR(__xludf.DUMMYFUNCTION("""COMPUTED_VALUE"""),45834.6666666666)</f>
        <v>45834.666666666599</v>
      </c>
      <c r="B2637" s="1">
        <f ca="1">IFERROR(__xludf.DUMMYFUNCTION("""COMPUTED_VALUE"""),172.43)</f>
        <v>172.43</v>
      </c>
      <c r="C2637" s="1">
        <f ca="1">IFERROR(__xludf.DUMMYFUNCTION("""COMPUTED_VALUE"""),173.69)</f>
        <v>173.69</v>
      </c>
      <c r="D2637" s="1">
        <f ca="1">IFERROR(__xludf.DUMMYFUNCTION("""COMPUTED_VALUE"""),169.94)</f>
        <v>169.94</v>
      </c>
      <c r="E2637" s="1">
        <f ca="1">IFERROR(__xludf.DUMMYFUNCTION("""COMPUTED_VALUE"""),173.54)</f>
        <v>173.54</v>
      </c>
      <c r="F2637" s="1">
        <f ca="1">IFERROR(__xludf.DUMMYFUNCTION("""COMPUTED_VALUE"""),31796690)</f>
        <v>31796690</v>
      </c>
    </row>
    <row r="2638" spans="1:6" x14ac:dyDescent="0.35">
      <c r="A2638" s="2">
        <f ca="1">IFERROR(__xludf.DUMMYFUNCTION("""COMPUTED_VALUE"""),45835.6666666666)</f>
        <v>45835.666666666599</v>
      </c>
      <c r="B2638" s="1">
        <f ca="1">IFERROR(__xludf.DUMMYFUNCTION("""COMPUTED_VALUE"""),173.54)</f>
        <v>173.54</v>
      </c>
      <c r="C2638" s="1">
        <f ca="1">IFERROR(__xludf.DUMMYFUNCTION("""COMPUTED_VALUE"""),178.68)</f>
        <v>178.68</v>
      </c>
      <c r="D2638" s="1">
        <f ca="1">IFERROR(__xludf.DUMMYFUNCTION("""COMPUTED_VALUE"""),171.73)</f>
        <v>171.73</v>
      </c>
      <c r="E2638" s="1">
        <f ca="1">IFERROR(__xludf.DUMMYFUNCTION("""COMPUTED_VALUE"""),178.53)</f>
        <v>178.53</v>
      </c>
      <c r="F2638" s="1">
        <f ca="1">IFERROR(__xludf.DUMMYFUNCTION("""COMPUTED_VALUE"""),108140200)</f>
        <v>108140200</v>
      </c>
    </row>
    <row r="2639" spans="1:6" x14ac:dyDescent="0.35">
      <c r="A2639" s="2">
        <f ca="1">IFERROR(__xludf.DUMMYFUNCTION("""COMPUTED_VALUE"""),45838.6666666666)</f>
        <v>45838.666666666599</v>
      </c>
      <c r="B2639" s="1">
        <f ca="1">IFERROR(__xludf.DUMMYFUNCTION("""COMPUTED_VALUE"""),180.78)</f>
        <v>180.78</v>
      </c>
      <c r="C2639" s="1">
        <f ca="1">IFERROR(__xludf.DUMMYFUNCTION("""COMPUTED_VALUE"""),181.23)</f>
        <v>181.23</v>
      </c>
      <c r="D2639" s="1">
        <f ca="1">IFERROR(__xludf.DUMMYFUNCTION("""COMPUTED_VALUE"""),174.58)</f>
        <v>174.58</v>
      </c>
      <c r="E2639" s="1">
        <f ca="1">IFERROR(__xludf.DUMMYFUNCTION("""COMPUTED_VALUE"""),176.23)</f>
        <v>176.23</v>
      </c>
      <c r="F2639" s="1">
        <f ca="1">IFERROR(__xludf.DUMMYFUNCTION("""COMPUTED_VALUE"""),63378856)</f>
        <v>63378856</v>
      </c>
    </row>
    <row r="2640" spans="1:6" x14ac:dyDescent="0.35">
      <c r="A2640" s="2">
        <f ca="1">IFERROR(__xludf.DUMMYFUNCTION("""COMPUTED_VALUE"""),45839.6666666666)</f>
        <v>45839.666666666599</v>
      </c>
      <c r="B2640" s="1">
        <f ca="1">IFERROR(__xludf.DUMMYFUNCTION("""COMPUTED_VALUE"""),175.74)</f>
        <v>175.74</v>
      </c>
      <c r="C2640" s="1">
        <f ca="1">IFERROR(__xludf.DUMMYFUNCTION("""COMPUTED_VALUE"""),176.09)</f>
        <v>176.09</v>
      </c>
      <c r="D2640" s="1">
        <f ca="1">IFERROR(__xludf.DUMMYFUNCTION("""COMPUTED_VALUE"""),173.53)</f>
        <v>173.53</v>
      </c>
      <c r="E2640" s="1">
        <f ca="1">IFERROR(__xludf.DUMMYFUNCTION("""COMPUTED_VALUE"""),175.84)</f>
        <v>175.84</v>
      </c>
      <c r="F2640" s="1">
        <f ca="1">IFERROR(__xludf.DUMMYFUNCTION("""COMPUTED_VALUE"""),35904526)</f>
        <v>35904526</v>
      </c>
    </row>
    <row r="2641" spans="1:6" x14ac:dyDescent="0.35">
      <c r="A2641" s="2">
        <f ca="1">IFERROR(__xludf.DUMMYFUNCTION("""COMPUTED_VALUE"""),45840.6666666666)</f>
        <v>45840.666666666599</v>
      </c>
      <c r="B2641" s="1">
        <f ca="1">IFERROR(__xludf.DUMMYFUNCTION("""COMPUTED_VALUE"""),175.54)</f>
        <v>175.54</v>
      </c>
      <c r="C2641" s="1">
        <f ca="1">IFERROR(__xludf.DUMMYFUNCTION("""COMPUTED_VALUE"""),178.86)</f>
        <v>178.86</v>
      </c>
      <c r="D2641" s="1">
        <f ca="1">IFERROR(__xludf.DUMMYFUNCTION("""COMPUTED_VALUE"""),175.07)</f>
        <v>175.07</v>
      </c>
      <c r="E2641" s="1">
        <f ca="1">IFERROR(__xludf.DUMMYFUNCTION("""COMPUTED_VALUE"""),178.64)</f>
        <v>178.64</v>
      </c>
      <c r="F2641" s="1">
        <f ca="1">IFERROR(__xludf.DUMMYFUNCTION("""COMPUTED_VALUE"""),29128947)</f>
        <v>29128947</v>
      </c>
    </row>
    <row r="2642" spans="1:6" x14ac:dyDescent="0.35">
      <c r="A2642" s="2">
        <f ca="1">IFERROR(__xludf.DUMMYFUNCTION("""COMPUTED_VALUE"""),45841.5451388888)</f>
        <v>45841.545138888803</v>
      </c>
      <c r="B2642" s="1">
        <f ca="1">IFERROR(__xludf.DUMMYFUNCTION("""COMPUTED_VALUE"""),178.5)</f>
        <v>178.5</v>
      </c>
      <c r="C2642" s="1">
        <f ca="1">IFERROR(__xludf.DUMMYFUNCTION("""COMPUTED_VALUE"""),179.67)</f>
        <v>179.67</v>
      </c>
      <c r="D2642" s="1">
        <f ca="1">IFERROR(__xludf.DUMMYFUNCTION("""COMPUTED_VALUE"""),177.05)</f>
        <v>177.05</v>
      </c>
      <c r="E2642" s="1">
        <f ca="1">IFERROR(__xludf.DUMMYFUNCTION("""COMPUTED_VALUE"""),179.53)</f>
        <v>179.53</v>
      </c>
      <c r="F2642" s="1">
        <f ca="1">IFERROR(__xludf.DUMMYFUNCTION("""COMPUTED_VALUE"""),21689729)</f>
        <v>21689729</v>
      </c>
    </row>
    <row r="2643" spans="1:6" x14ac:dyDescent="0.35">
      <c r="A2643" s="2">
        <f ca="1">IFERROR(__xludf.DUMMYFUNCTION("""COMPUTED_VALUE"""),45845.6666666666)</f>
        <v>45845.666666666599</v>
      </c>
      <c r="B2643" s="1">
        <f ca="1">IFERROR(__xludf.DUMMYFUNCTION("""COMPUTED_VALUE"""),179.06)</f>
        <v>179.06</v>
      </c>
      <c r="C2643" s="1">
        <f ca="1">IFERROR(__xludf.DUMMYFUNCTION("""COMPUTED_VALUE"""),179.3)</f>
        <v>179.3</v>
      </c>
      <c r="D2643" s="1">
        <f ca="1">IFERROR(__xludf.DUMMYFUNCTION("""COMPUTED_VALUE"""),175.68)</f>
        <v>175.68</v>
      </c>
      <c r="E2643" s="1">
        <f ca="1">IFERROR(__xludf.DUMMYFUNCTION("""COMPUTED_VALUE"""),176.79)</f>
        <v>176.79</v>
      </c>
      <c r="F2643" s="1">
        <f ca="1">IFERROR(__xludf.DUMMYFUNCTION("""COMPUTED_VALUE"""),34175648)</f>
        <v>34175648</v>
      </c>
    </row>
    <row r="2644" spans="1:6" x14ac:dyDescent="0.35">
      <c r="A2644" s="2">
        <f ca="1">IFERROR(__xludf.DUMMYFUNCTION("""COMPUTED_VALUE"""),45846.6666666666)</f>
        <v>45846.666666666599</v>
      </c>
      <c r="B2644" s="1">
        <f ca="1">IFERROR(__xludf.DUMMYFUNCTION("""COMPUTED_VALUE"""),177.85)</f>
        <v>177.85</v>
      </c>
      <c r="C2644" s="1">
        <f ca="1">IFERROR(__xludf.DUMMYFUNCTION("""COMPUTED_VALUE"""),177.95)</f>
        <v>177.95</v>
      </c>
      <c r="D2644" s="1">
        <f ca="1">IFERROR(__xludf.DUMMYFUNCTION("""COMPUTED_VALUE"""),172.81)</f>
        <v>172.81</v>
      </c>
      <c r="E2644" s="1">
        <f ca="1">IFERROR(__xludf.DUMMYFUNCTION("""COMPUTED_VALUE"""),174.36)</f>
        <v>174.36</v>
      </c>
      <c r="F2644" s="1">
        <f ca="1">IFERROR(__xludf.DUMMYFUNCTION("""COMPUTED_VALUE"""),40442535)</f>
        <v>40442535</v>
      </c>
    </row>
    <row r="2645" spans="1:6" x14ac:dyDescent="0.35">
      <c r="A2645" s="2">
        <f ca="1">IFERROR(__xludf.DUMMYFUNCTION("""COMPUTED_VALUE"""),45847.6666666666)</f>
        <v>45847.666666666599</v>
      </c>
      <c r="B2645" s="1">
        <f ca="1">IFERROR(__xludf.DUMMYFUNCTION("""COMPUTED_VALUE"""),175.25)</f>
        <v>175.25</v>
      </c>
      <c r="C2645" s="1">
        <f ca="1">IFERROR(__xludf.DUMMYFUNCTION("""COMPUTED_VALUE"""),179.44)</f>
        <v>179.44</v>
      </c>
      <c r="D2645" s="1">
        <f ca="1">IFERROR(__xludf.DUMMYFUNCTION("""COMPUTED_VALUE"""),172.77)</f>
        <v>172.77</v>
      </c>
      <c r="E2645" s="1">
        <f ca="1">IFERROR(__xludf.DUMMYFUNCTION("""COMPUTED_VALUE"""),176.62)</f>
        <v>176.62</v>
      </c>
      <c r="F2645" s="1">
        <f ca="1">IFERROR(__xludf.DUMMYFUNCTION("""COMPUTED_VALUE"""),43025594)</f>
        <v>43025594</v>
      </c>
    </row>
    <row r="2646" spans="1:6" x14ac:dyDescent="0.35">
      <c r="A2646" s="2">
        <f ca="1">IFERROR(__xludf.DUMMYFUNCTION("""COMPUTED_VALUE"""),45848.6666666666)</f>
        <v>45848.666666666599</v>
      </c>
      <c r="B2646" s="1">
        <f ca="1">IFERROR(__xludf.DUMMYFUNCTION("""COMPUTED_VALUE"""),175.63)</f>
        <v>175.63</v>
      </c>
      <c r="C2646" s="1">
        <f ca="1">IFERROR(__xludf.DUMMYFUNCTION("""COMPUTED_VALUE"""),178.43)</f>
        <v>178.43</v>
      </c>
      <c r="D2646" s="1">
        <f ca="1">IFERROR(__xludf.DUMMYFUNCTION("""COMPUTED_VALUE"""),174.38)</f>
        <v>174.38</v>
      </c>
      <c r="E2646" s="1">
        <f ca="1">IFERROR(__xludf.DUMMYFUNCTION("""COMPUTED_VALUE"""),177.62)</f>
        <v>177.62</v>
      </c>
      <c r="F2646" s="1">
        <f ca="1">IFERROR(__xludf.DUMMYFUNCTION("""COMPUTED_VALUE"""),29252386)</f>
        <v>29252386</v>
      </c>
    </row>
    <row r="2647" spans="1:6" x14ac:dyDescent="0.35">
      <c r="A2647" s="2">
        <f ca="1">IFERROR(__xludf.DUMMYFUNCTION("""COMPUTED_VALUE"""),45849.6666666666)</f>
        <v>45849.666666666599</v>
      </c>
      <c r="B2647" s="1">
        <f ca="1">IFERROR(__xludf.DUMMYFUNCTION("""COMPUTED_VALUE"""),176.79)</f>
        <v>176.79</v>
      </c>
      <c r="C2647" s="1">
        <f ca="1">IFERROR(__xludf.DUMMYFUNCTION("""COMPUTED_VALUE"""),181.43)</f>
        <v>181.43</v>
      </c>
      <c r="D2647" s="1">
        <f ca="1">IFERROR(__xludf.DUMMYFUNCTION("""COMPUTED_VALUE"""),176.48)</f>
        <v>176.48</v>
      </c>
      <c r="E2647" s="1">
        <f ca="1">IFERROR(__xludf.DUMMYFUNCTION("""COMPUTED_VALUE"""),180.19)</f>
        <v>180.19</v>
      </c>
      <c r="F2647" s="1">
        <f ca="1">IFERROR(__xludf.DUMMYFUNCTION("""COMPUTED_VALUE"""),34282922)</f>
        <v>34282922</v>
      </c>
    </row>
    <row r="2648" spans="1:6" x14ac:dyDescent="0.35">
      <c r="A2648" s="2">
        <f ca="1">IFERROR(__xludf.DUMMYFUNCTION("""COMPUTED_VALUE"""),45852.6666666666)</f>
        <v>45852.666666666599</v>
      </c>
      <c r="B2648" s="1">
        <f ca="1">IFERROR(__xludf.DUMMYFUNCTION("""COMPUTED_VALUE"""),181.01)</f>
        <v>181.01</v>
      </c>
      <c r="C2648" s="1">
        <f ca="1">IFERROR(__xludf.DUMMYFUNCTION("""COMPUTED_VALUE"""),183.67)</f>
        <v>183.67</v>
      </c>
      <c r="D2648" s="1">
        <f ca="1">IFERROR(__xludf.DUMMYFUNCTION("""COMPUTED_VALUE"""),179.68)</f>
        <v>179.68</v>
      </c>
      <c r="E2648" s="1">
        <f ca="1">IFERROR(__xludf.DUMMYFUNCTION("""COMPUTED_VALUE"""),181.56)</f>
        <v>181.56</v>
      </c>
      <c r="F2648" s="1">
        <f ca="1">IFERROR(__xludf.DUMMYFUNCTION("""COMPUTED_VALUE"""),32536632)</f>
        <v>32536632</v>
      </c>
    </row>
    <row r="2649" spans="1:6" x14ac:dyDescent="0.35">
      <c r="A2649" s="2">
        <f ca="1">IFERROR(__xludf.DUMMYFUNCTION("""COMPUTED_VALUE"""),45853.6666666666)</f>
        <v>45853.666666666599</v>
      </c>
      <c r="B2649" s="1">
        <f ca="1">IFERROR(__xludf.DUMMYFUNCTION("""COMPUTED_VALUE"""),182.81)</f>
        <v>182.81</v>
      </c>
      <c r="C2649" s="1">
        <f ca="1">IFERROR(__xludf.DUMMYFUNCTION("""COMPUTED_VALUE"""),184.22)</f>
        <v>184.22</v>
      </c>
      <c r="D2649" s="1">
        <f ca="1">IFERROR(__xludf.DUMMYFUNCTION("""COMPUTED_VALUE"""),181.6)</f>
        <v>181.6</v>
      </c>
      <c r="E2649" s="1">
        <f ca="1">IFERROR(__xludf.DUMMYFUNCTION("""COMPUTED_VALUE"""),182)</f>
        <v>182</v>
      </c>
      <c r="F2649" s="1">
        <f ca="1">IFERROR(__xludf.DUMMYFUNCTION("""COMPUTED_VALUE"""),33448251)</f>
        <v>33448251</v>
      </c>
    </row>
    <row r="2650" spans="1:6" x14ac:dyDescent="0.35">
      <c r="A2650" s="2">
        <f ca="1">IFERROR(__xludf.DUMMYFUNCTION("""COMPUTED_VALUE"""),45854.6666666666)</f>
        <v>45854.666666666599</v>
      </c>
      <c r="B2650" s="1">
        <f ca="1">IFERROR(__xludf.DUMMYFUNCTION("""COMPUTED_VALUE"""),183.24)</f>
        <v>183.24</v>
      </c>
      <c r="C2650" s="1">
        <f ca="1">IFERROR(__xludf.DUMMYFUNCTION("""COMPUTED_VALUE"""),184.33)</f>
        <v>184.33</v>
      </c>
      <c r="D2650" s="1">
        <f ca="1">IFERROR(__xludf.DUMMYFUNCTION("""COMPUTED_VALUE"""),182.03)</f>
        <v>182.03</v>
      </c>
      <c r="E2650" s="1">
        <f ca="1">IFERROR(__xludf.DUMMYFUNCTION("""COMPUTED_VALUE"""),182.97)</f>
        <v>182.97</v>
      </c>
      <c r="F2650" s="1">
        <f ca="1">IFERROR(__xludf.DUMMYFUNCTION("""COMPUTED_VALUE"""),33104193)</f>
        <v>33104193</v>
      </c>
    </row>
    <row r="2651" spans="1:6" x14ac:dyDescent="0.35">
      <c r="A2651" s="2">
        <f ca="1">IFERROR(__xludf.DUMMYFUNCTION("""COMPUTED_VALUE"""),45855.6666666666)</f>
        <v>45855.666666666599</v>
      </c>
      <c r="B2651" s="1">
        <f ca="1">IFERROR(__xludf.DUMMYFUNCTION("""COMPUTED_VALUE"""),182.14)</f>
        <v>182.14</v>
      </c>
      <c r="C2651" s="1">
        <f ca="1">IFERROR(__xludf.DUMMYFUNCTION("""COMPUTED_VALUE"""),184.06)</f>
        <v>184.06</v>
      </c>
      <c r="D2651" s="1">
        <f ca="1">IFERROR(__xludf.DUMMYFUNCTION("""COMPUTED_VALUE"""),180.48)</f>
        <v>180.48</v>
      </c>
      <c r="E2651" s="1">
        <f ca="1">IFERROR(__xludf.DUMMYFUNCTION("""COMPUTED_VALUE"""),183.58)</f>
        <v>183.58</v>
      </c>
      <c r="F2651" s="1">
        <f ca="1">IFERROR(__xludf.DUMMYFUNCTION("""COMPUTED_VALUE"""),31992565)</f>
        <v>31992565</v>
      </c>
    </row>
    <row r="2652" spans="1:6" x14ac:dyDescent="0.35">
      <c r="A2652" s="2">
        <f ca="1">IFERROR(__xludf.DUMMYFUNCTION("""COMPUTED_VALUE"""),45856.6666666666)</f>
        <v>45856.666666666599</v>
      </c>
      <c r="B2652" s="1">
        <f ca="1">IFERROR(__xludf.DUMMYFUNCTION("""COMPUTED_VALUE"""),185.4)</f>
        <v>185.4</v>
      </c>
      <c r="C2652" s="1">
        <f ca="1">IFERROR(__xludf.DUMMYFUNCTION("""COMPUTED_VALUE"""),186.42)</f>
        <v>186.42</v>
      </c>
      <c r="D2652" s="1">
        <f ca="1">IFERROR(__xludf.DUMMYFUNCTION("""COMPUTED_VALUE"""),183.71)</f>
        <v>183.71</v>
      </c>
      <c r="E2652" s="1">
        <f ca="1">IFERROR(__xludf.DUMMYFUNCTION("""COMPUTED_VALUE"""),185.06)</f>
        <v>185.06</v>
      </c>
      <c r="F2652" s="1">
        <f ca="1">IFERROR(__xludf.DUMMYFUNCTION("""COMPUTED_VALUE"""),34014509)</f>
        <v>34014509</v>
      </c>
    </row>
    <row r="2653" spans="1:6" x14ac:dyDescent="0.35">
      <c r="A2653" s="2">
        <f ca="1">IFERROR(__xludf.DUMMYFUNCTION("""COMPUTED_VALUE"""),45859.6666666666)</f>
        <v>45859.666666666599</v>
      </c>
      <c r="B2653" s="1">
        <f ca="1">IFERROR(__xludf.DUMMYFUNCTION("""COMPUTED_VALUE"""),186.25)</f>
        <v>186.25</v>
      </c>
      <c r="C2653" s="1">
        <f ca="1">IFERROR(__xludf.DUMMYFUNCTION("""COMPUTED_VALUE"""),190.29)</f>
        <v>190.29</v>
      </c>
      <c r="D2653" s="1">
        <f ca="1">IFERROR(__xludf.DUMMYFUNCTION("""COMPUTED_VALUE"""),186.15)</f>
        <v>186.15</v>
      </c>
      <c r="E2653" s="1">
        <f ca="1">IFERROR(__xludf.DUMMYFUNCTION("""COMPUTED_VALUE"""),190.1)</f>
        <v>190.1</v>
      </c>
      <c r="F2653" s="1">
        <f ca="1">IFERROR(__xludf.DUMMYFUNCTION("""COMPUTED_VALUE"""),45803129)</f>
        <v>45803129</v>
      </c>
    </row>
    <row r="2654" spans="1:6" x14ac:dyDescent="0.35">
      <c r="A2654" s="2">
        <f ca="1">IFERROR(__xludf.DUMMYFUNCTION("""COMPUTED_VALUE"""),45860.6666666666)</f>
        <v>45860.666666666599</v>
      </c>
      <c r="B2654" s="1">
        <f ca="1">IFERROR(__xludf.DUMMYFUNCTION("""COMPUTED_VALUE"""),191.5)</f>
        <v>191.5</v>
      </c>
      <c r="C2654" s="1">
        <f ca="1">IFERROR(__xludf.DUMMYFUNCTION("""COMPUTED_VALUE"""),191.65)</f>
        <v>191.65</v>
      </c>
      <c r="D2654" s="1">
        <f ca="1">IFERROR(__xludf.DUMMYFUNCTION("""COMPUTED_VALUE"""),187.46)</f>
        <v>187.46</v>
      </c>
      <c r="E2654" s="1">
        <f ca="1">IFERROR(__xludf.DUMMYFUNCTION("""COMPUTED_VALUE"""),191.34)</f>
        <v>191.34</v>
      </c>
      <c r="F2654" s="1">
        <f ca="1">IFERROR(__xludf.DUMMYFUNCTION("""COMPUTED_VALUE"""),44660215)</f>
        <v>44660215</v>
      </c>
    </row>
    <row r="2655" spans="1:6" x14ac:dyDescent="0.35">
      <c r="A2655" s="2">
        <f ca="1">IFERROR(__xludf.DUMMYFUNCTION("""COMPUTED_VALUE"""),45861.6666666666)</f>
        <v>45861.666666666599</v>
      </c>
      <c r="B2655" s="1">
        <f ca="1">IFERROR(__xludf.DUMMYFUNCTION("""COMPUTED_VALUE"""),191.5)</f>
        <v>191.5</v>
      </c>
      <c r="C2655" s="1">
        <f ca="1">IFERROR(__xludf.DUMMYFUNCTION("""COMPUTED_VALUE"""),192.53)</f>
        <v>192.53</v>
      </c>
      <c r="D2655" s="1">
        <f ca="1">IFERROR(__xludf.DUMMYFUNCTION("""COMPUTED_VALUE"""),189.18)</f>
        <v>189.18</v>
      </c>
      <c r="E2655" s="1">
        <f ca="1">IFERROR(__xludf.DUMMYFUNCTION("""COMPUTED_VALUE"""),190.23)</f>
        <v>190.23</v>
      </c>
      <c r="F2655" s="1">
        <f ca="1">IFERROR(__xludf.DUMMYFUNCTION("""COMPUTED_VALUE"""),58681948)</f>
        <v>58681948</v>
      </c>
    </row>
    <row r="2656" spans="1:6" x14ac:dyDescent="0.35">
      <c r="A2656" s="2">
        <f ca="1">IFERROR(__xludf.DUMMYFUNCTION("""COMPUTED_VALUE"""),45862.6666666666)</f>
        <v>45862.666666666599</v>
      </c>
      <c r="B2656" s="1">
        <f ca="1">IFERROR(__xludf.DUMMYFUNCTION("""COMPUTED_VALUE"""),197.03)</f>
        <v>197.03</v>
      </c>
      <c r="C2656" s="1">
        <f ca="1">IFERROR(__xludf.DUMMYFUNCTION("""COMPUTED_VALUE"""),197.95)</f>
        <v>197.95</v>
      </c>
      <c r="D2656" s="1">
        <f ca="1">IFERROR(__xludf.DUMMYFUNCTION("""COMPUTED_VALUE"""),191)</f>
        <v>191</v>
      </c>
      <c r="E2656" s="1">
        <f ca="1">IFERROR(__xludf.DUMMYFUNCTION("""COMPUTED_VALUE"""),192.17)</f>
        <v>192.17</v>
      </c>
      <c r="F2656" s="1">
        <f ca="1">IFERROR(__xludf.DUMMYFUNCTION("""COMPUTED_VALUE"""),74881687)</f>
        <v>74881687</v>
      </c>
    </row>
    <row r="2657" spans="1:6" x14ac:dyDescent="0.35">
      <c r="A2657" s="2">
        <f ca="1">IFERROR(__xludf.DUMMYFUNCTION("""COMPUTED_VALUE"""),45863.6666666666)</f>
        <v>45863.666666666599</v>
      </c>
      <c r="B2657" s="1">
        <f ca="1">IFERROR(__xludf.DUMMYFUNCTION("""COMPUTED_VALUE"""),191.98)</f>
        <v>191.98</v>
      </c>
      <c r="C2657" s="1">
        <f ca="1">IFERROR(__xludf.DUMMYFUNCTION("""COMPUTED_VALUE"""),194.33)</f>
        <v>194.33</v>
      </c>
      <c r="D2657" s="1">
        <f ca="1">IFERROR(__xludf.DUMMYFUNCTION("""COMPUTED_VALUE"""),191.26)</f>
        <v>191.26</v>
      </c>
      <c r="E2657" s="1">
        <f ca="1">IFERROR(__xludf.DUMMYFUNCTION("""COMPUTED_VALUE"""),193.18)</f>
        <v>193.18</v>
      </c>
      <c r="F2657" s="1">
        <f ca="1">IFERROR(__xludf.DUMMYFUNCTION("""COMPUTED_VALUE"""),39785863)</f>
        <v>39785863</v>
      </c>
    </row>
    <row r="2658" spans="1:6" x14ac:dyDescent="0.35">
      <c r="A2658" s="2">
        <f ca="1">IFERROR(__xludf.DUMMYFUNCTION("""COMPUTED_VALUE"""),45866.6666666666)</f>
        <v>45866.666666666599</v>
      </c>
      <c r="B2658" s="1">
        <f ca="1">IFERROR(__xludf.DUMMYFUNCTION("""COMPUTED_VALUE"""),193.65)</f>
        <v>193.65</v>
      </c>
      <c r="C2658" s="1">
        <f ca="1">IFERROR(__xludf.DUMMYFUNCTION("""COMPUTED_VALUE"""),194.05)</f>
        <v>194.05</v>
      </c>
      <c r="D2658" s="1">
        <f ca="1">IFERROR(__xludf.DUMMYFUNCTION("""COMPUTED_VALUE"""),190.84)</f>
        <v>190.84</v>
      </c>
      <c r="E2658" s="1">
        <f ca="1">IFERROR(__xludf.DUMMYFUNCTION("""COMPUTED_VALUE"""),192.58)</f>
        <v>192.58</v>
      </c>
      <c r="F2658" s="1">
        <f ca="1">IFERROR(__xludf.DUMMYFUNCTION("""COMPUTED_VALUE"""),38139504)</f>
        <v>38139504</v>
      </c>
    </row>
    <row r="2659" spans="1:6" x14ac:dyDescent="0.35">
      <c r="A2659" s="2">
        <f ca="1">IFERROR(__xludf.DUMMYFUNCTION("""COMPUTED_VALUE"""),45867.6666666666)</f>
        <v>45867.666666666599</v>
      </c>
      <c r="B2659" s="1">
        <f ca="1">IFERROR(__xludf.DUMMYFUNCTION("""COMPUTED_VALUE"""),192.43)</f>
        <v>192.43</v>
      </c>
      <c r="C2659" s="1">
        <f ca="1">IFERROR(__xludf.DUMMYFUNCTION("""COMPUTED_VALUE"""),195.92)</f>
        <v>195.92</v>
      </c>
      <c r="D2659" s="1">
        <f ca="1">IFERROR(__xludf.DUMMYFUNCTION("""COMPUTED_VALUE"""),192.08)</f>
        <v>192.08</v>
      </c>
      <c r="E2659" s="1">
        <f ca="1">IFERROR(__xludf.DUMMYFUNCTION("""COMPUTED_VALUE"""),195.75)</f>
        <v>195.75</v>
      </c>
      <c r="F2659" s="1">
        <f ca="1">IFERROR(__xludf.DUMMYFUNCTION("""COMPUTED_VALUE"""),41389153)</f>
        <v>41389153</v>
      </c>
    </row>
    <row r="2660" spans="1:6" x14ac:dyDescent="0.35">
      <c r="A2660" s="2">
        <f ca="1">IFERROR(__xludf.DUMMYFUNCTION("""COMPUTED_VALUE"""),45868.6666666666)</f>
        <v>45868.666666666599</v>
      </c>
      <c r="B2660" s="1">
        <f ca="1">IFERROR(__xludf.DUMMYFUNCTION("""COMPUTED_VALUE"""),195.6)</f>
        <v>195.6</v>
      </c>
      <c r="C2660" s="1">
        <f ca="1">IFERROR(__xludf.DUMMYFUNCTION("""COMPUTED_VALUE"""),197.6)</f>
        <v>197.6</v>
      </c>
      <c r="D2660" s="1">
        <f ca="1">IFERROR(__xludf.DUMMYFUNCTION("""COMPUTED_VALUE"""),194.69)</f>
        <v>194.69</v>
      </c>
      <c r="E2660" s="1">
        <f ca="1">IFERROR(__xludf.DUMMYFUNCTION("""COMPUTED_VALUE"""),196.53)</f>
        <v>196.53</v>
      </c>
      <c r="F2660" s="1">
        <f ca="1">IFERROR(__xludf.DUMMYFUNCTION("""COMPUTED_VALUE"""),32445405)</f>
        <v>32445405</v>
      </c>
    </row>
    <row r="2661" spans="1:6" x14ac:dyDescent="0.35">
      <c r="A2661" s="2">
        <f ca="1">IFERROR(__xludf.DUMMYFUNCTION("""COMPUTED_VALUE"""),45869.6666666666)</f>
        <v>45869.666666666599</v>
      </c>
      <c r="B2661" s="1">
        <f ca="1">IFERROR(__xludf.DUMMYFUNCTION("""COMPUTED_VALUE"""),195.71)</f>
        <v>195.71</v>
      </c>
      <c r="C2661" s="1">
        <f ca="1">IFERROR(__xludf.DUMMYFUNCTION("""COMPUTED_VALUE"""),195.99)</f>
        <v>195.99</v>
      </c>
      <c r="D2661" s="1">
        <f ca="1">IFERROR(__xludf.DUMMYFUNCTION("""COMPUTED_VALUE"""),191.09)</f>
        <v>191.09</v>
      </c>
      <c r="E2661" s="1">
        <f ca="1">IFERROR(__xludf.DUMMYFUNCTION("""COMPUTED_VALUE"""),191.9)</f>
        <v>191.9</v>
      </c>
      <c r="F2661" s="1">
        <f ca="1">IFERROR(__xludf.DUMMYFUNCTION("""COMPUTED_VALUE"""),51329163)</f>
        <v>51329163</v>
      </c>
    </row>
    <row r="2662" spans="1:6" x14ac:dyDescent="0.35">
      <c r="A2662" s="2">
        <f ca="1">IFERROR(__xludf.DUMMYFUNCTION("""COMPUTED_VALUE"""),45870.6666666666)</f>
        <v>45870.666666666599</v>
      </c>
      <c r="B2662" s="1">
        <f ca="1">IFERROR(__xludf.DUMMYFUNCTION("""COMPUTED_VALUE"""),189.03)</f>
        <v>189.03</v>
      </c>
      <c r="C2662" s="1">
        <f ca="1">IFERROR(__xludf.DUMMYFUNCTION("""COMPUTED_VALUE"""),190.83)</f>
        <v>190.83</v>
      </c>
      <c r="D2662" s="1">
        <f ca="1">IFERROR(__xludf.DUMMYFUNCTION("""COMPUTED_VALUE"""),187.82)</f>
        <v>187.82</v>
      </c>
      <c r="E2662" s="1">
        <f ca="1">IFERROR(__xludf.DUMMYFUNCTION("""COMPUTED_VALUE"""),189.13)</f>
        <v>189.13</v>
      </c>
      <c r="F2662" s="1">
        <f ca="1">IFERROR(__xludf.DUMMYFUNCTION("""COMPUTED_VALUE"""),34832181)</f>
        <v>34832181</v>
      </c>
    </row>
    <row r="2663" spans="1:6" x14ac:dyDescent="0.35">
      <c r="A2663" s="2">
        <f ca="1">IFERROR(__xludf.DUMMYFUNCTION("""COMPUTED_VALUE"""),45873.6666666666)</f>
        <v>45873.666666666599</v>
      </c>
      <c r="B2663" s="1">
        <f ca="1">IFERROR(__xludf.DUMMYFUNCTION("""COMPUTED_VALUE"""),190.29)</f>
        <v>190.29</v>
      </c>
      <c r="C2663" s="1">
        <f ca="1">IFERROR(__xludf.DUMMYFUNCTION("""COMPUTED_VALUE"""),195.27)</f>
        <v>195.27</v>
      </c>
      <c r="D2663" s="1">
        <f ca="1">IFERROR(__xludf.DUMMYFUNCTION("""COMPUTED_VALUE"""),190.12)</f>
        <v>190.12</v>
      </c>
      <c r="E2663" s="1">
        <f ca="1">IFERROR(__xludf.DUMMYFUNCTION("""COMPUTED_VALUE"""),195.04)</f>
        <v>195.04</v>
      </c>
      <c r="F2663" s="1">
        <f ca="1">IFERROR(__xludf.DUMMYFUNCTION("""COMPUTED_VALUE"""),31547350)</f>
        <v>31547350</v>
      </c>
    </row>
    <row r="2664" spans="1:6" x14ac:dyDescent="0.35">
      <c r="A2664" s="2">
        <f ca="1">IFERROR(__xludf.DUMMYFUNCTION("""COMPUTED_VALUE"""),45874.6666666666)</f>
        <v>45874.666666666599</v>
      </c>
      <c r="B2664" s="1">
        <f ca="1">IFERROR(__xludf.DUMMYFUNCTION("""COMPUTED_VALUE"""),194.71)</f>
        <v>194.71</v>
      </c>
      <c r="C2664" s="1">
        <f ca="1">IFERROR(__xludf.DUMMYFUNCTION("""COMPUTED_VALUE"""),197.86)</f>
        <v>197.86</v>
      </c>
      <c r="D2664" s="1">
        <f ca="1">IFERROR(__xludf.DUMMYFUNCTION("""COMPUTED_VALUE"""),193.89)</f>
        <v>193.89</v>
      </c>
      <c r="E2664" s="1">
        <f ca="1">IFERROR(__xludf.DUMMYFUNCTION("""COMPUTED_VALUE"""),194.67)</f>
        <v>194.67</v>
      </c>
      <c r="F2664" s="1">
        <f ca="1">IFERROR(__xludf.DUMMYFUNCTION("""COMPUTED_VALUE"""),31602340)</f>
        <v>31602340</v>
      </c>
    </row>
    <row r="2665" spans="1:6" x14ac:dyDescent="0.35">
      <c r="A2665" s="2">
        <f ca="1">IFERROR(__xludf.DUMMYFUNCTION("""COMPUTED_VALUE"""),45875.6666666666)</f>
        <v>45875.666666666599</v>
      </c>
      <c r="B2665" s="1">
        <f ca="1">IFERROR(__xludf.DUMMYFUNCTION("""COMPUTED_VALUE"""),194.5)</f>
        <v>194.5</v>
      </c>
      <c r="C2665" s="1">
        <f ca="1">IFERROR(__xludf.DUMMYFUNCTION("""COMPUTED_VALUE"""),196.63)</f>
        <v>196.63</v>
      </c>
      <c r="D2665" s="1">
        <f ca="1">IFERROR(__xludf.DUMMYFUNCTION("""COMPUTED_VALUE"""),193.67)</f>
        <v>193.67</v>
      </c>
      <c r="E2665" s="1">
        <f ca="1">IFERROR(__xludf.DUMMYFUNCTION("""COMPUTED_VALUE"""),196.09)</f>
        <v>196.09</v>
      </c>
      <c r="F2665" s="1">
        <f ca="1">IFERROR(__xludf.DUMMYFUNCTION("""COMPUTED_VALUE"""),21562908)</f>
        <v>21562908</v>
      </c>
    </row>
    <row r="2666" spans="1:6" x14ac:dyDescent="0.35">
      <c r="A2666" s="2">
        <f ca="1">IFERROR(__xludf.DUMMYFUNCTION("""COMPUTED_VALUE"""),45876.6666666666)</f>
        <v>45876.666666666599</v>
      </c>
      <c r="B2666" s="1">
        <f ca="1">IFERROR(__xludf.DUMMYFUNCTION("""COMPUTED_VALUE"""),197.06)</f>
        <v>197.06</v>
      </c>
      <c r="C2666" s="1">
        <f ca="1">IFERROR(__xludf.DUMMYFUNCTION("""COMPUTED_VALUE"""),197.54)</f>
        <v>197.54</v>
      </c>
      <c r="D2666" s="1">
        <f ca="1">IFERROR(__xludf.DUMMYFUNCTION("""COMPUTED_VALUE"""),194.33)</f>
        <v>194.33</v>
      </c>
      <c r="E2666" s="1">
        <f ca="1">IFERROR(__xludf.DUMMYFUNCTION("""COMPUTED_VALUE"""),196.52)</f>
        <v>196.52</v>
      </c>
      <c r="F2666" s="1">
        <f ca="1">IFERROR(__xludf.DUMMYFUNCTION("""COMPUTED_VALUE"""),26321811)</f>
        <v>26321811</v>
      </c>
    </row>
    <row r="2667" spans="1:6" x14ac:dyDescent="0.35">
      <c r="A2667" s="2">
        <f ca="1">IFERROR(__xludf.DUMMYFUNCTION("""COMPUTED_VALUE"""),45877.6666666666)</f>
        <v>45877.666666666599</v>
      </c>
      <c r="B2667" s="1">
        <f ca="1">IFERROR(__xludf.DUMMYFUNCTION("""COMPUTED_VALUE"""),197.22)</f>
        <v>197.22</v>
      </c>
      <c r="C2667" s="1">
        <f ca="1">IFERROR(__xludf.DUMMYFUNCTION("""COMPUTED_VALUE"""),202.61)</f>
        <v>202.61</v>
      </c>
      <c r="D2667" s="1">
        <f ca="1">IFERROR(__xludf.DUMMYFUNCTION("""COMPUTED_VALUE"""),197.17)</f>
        <v>197.17</v>
      </c>
      <c r="E2667" s="1">
        <f ca="1">IFERROR(__xludf.DUMMYFUNCTION("""COMPUTED_VALUE"""),201.42)</f>
        <v>201.42</v>
      </c>
      <c r="F2667" s="1">
        <f ca="1">IFERROR(__xludf.DUMMYFUNCTION("""COMPUTED_VALUE"""),39161826)</f>
        <v>39161826</v>
      </c>
    </row>
    <row r="2668" spans="1:6" x14ac:dyDescent="0.35">
      <c r="A2668" s="2">
        <f ca="1">IFERROR(__xludf.DUMMYFUNCTION("""COMPUTED_VALUE"""),45880.6666666666)</f>
        <v>45880.666666666599</v>
      </c>
      <c r="B2668" s="1">
        <f ca="1">IFERROR(__xludf.DUMMYFUNCTION("""COMPUTED_VALUE"""),200.94)</f>
        <v>200.94</v>
      </c>
      <c r="C2668" s="1">
        <f ca="1">IFERROR(__xludf.DUMMYFUNCTION("""COMPUTED_VALUE"""),201.48)</f>
        <v>201.48</v>
      </c>
      <c r="D2668" s="1">
        <f ca="1">IFERROR(__xludf.DUMMYFUNCTION("""COMPUTED_VALUE"""),199.07)</f>
        <v>199.07</v>
      </c>
      <c r="E2668" s="1">
        <f ca="1">IFERROR(__xludf.DUMMYFUNCTION("""COMPUTED_VALUE"""),201)</f>
        <v>201</v>
      </c>
      <c r="F2668" s="1">
        <f ca="1">IFERROR(__xludf.DUMMYFUNCTION("""COMPUTED_VALUE"""),25832435)</f>
        <v>25832435</v>
      </c>
    </row>
    <row r="2669" spans="1:6" x14ac:dyDescent="0.35">
      <c r="A2669" s="2">
        <f ca="1">IFERROR(__xludf.DUMMYFUNCTION("""COMPUTED_VALUE"""),45881.6666666666)</f>
        <v>45881.666666666599</v>
      </c>
      <c r="B2669" s="1">
        <f ca="1">IFERROR(__xludf.DUMMYFUNCTION("""COMPUTED_VALUE"""),201.37)</f>
        <v>201.37</v>
      </c>
      <c r="C2669" s="1">
        <f ca="1">IFERROR(__xludf.DUMMYFUNCTION("""COMPUTED_VALUE"""),204.5)</f>
        <v>204.5</v>
      </c>
      <c r="D2669" s="1">
        <f ca="1">IFERROR(__xludf.DUMMYFUNCTION("""COMPUTED_VALUE"""),200.59)</f>
        <v>200.59</v>
      </c>
      <c r="E2669" s="1">
        <f ca="1">IFERROR(__xludf.DUMMYFUNCTION("""COMPUTED_VALUE"""),203.34)</f>
        <v>203.34</v>
      </c>
      <c r="F2669" s="1">
        <f ca="1">IFERROR(__xludf.DUMMYFUNCTION("""COMPUTED_VALUE"""),30424452)</f>
        <v>30424452</v>
      </c>
    </row>
    <row r="2670" spans="1:6" x14ac:dyDescent="0.35">
      <c r="A2670" s="2">
        <f ca="1">IFERROR(__xludf.DUMMYFUNCTION("""COMPUTED_VALUE"""),45882.6666666666)</f>
        <v>45882.666666666599</v>
      </c>
      <c r="B2670" s="1">
        <f ca="1">IFERROR(__xludf.DUMMYFUNCTION("""COMPUTED_VALUE"""),204.13)</f>
        <v>204.13</v>
      </c>
      <c r="C2670" s="1">
        <f ca="1">IFERROR(__xludf.DUMMYFUNCTION("""COMPUTED_VALUE"""),204.53)</f>
        <v>204.53</v>
      </c>
      <c r="D2670" s="1">
        <f ca="1">IFERROR(__xludf.DUMMYFUNCTION("""COMPUTED_VALUE"""),197.51)</f>
        <v>197.51</v>
      </c>
      <c r="E2670" s="1">
        <f ca="1">IFERROR(__xludf.DUMMYFUNCTION("""COMPUTED_VALUE"""),201.96)</f>
        <v>201.96</v>
      </c>
      <c r="F2670" s="1">
        <f ca="1">IFERROR(__xludf.DUMMYFUNCTION("""COMPUTED_VALUE"""),28342922)</f>
        <v>28342922</v>
      </c>
    </row>
    <row r="2671" spans="1:6" x14ac:dyDescent="0.35">
      <c r="A2671" s="2">
        <f ca="1">IFERROR(__xludf.DUMMYFUNCTION("""COMPUTED_VALUE"""),45883.6666666666)</f>
        <v>45883.666666666599</v>
      </c>
      <c r="B2671" s="1">
        <f ca="1">IFERROR(__xludf.DUMMYFUNCTION("""COMPUTED_VALUE"""),201.5)</f>
        <v>201.5</v>
      </c>
      <c r="C2671" s="1">
        <f ca="1">IFERROR(__xludf.DUMMYFUNCTION("""COMPUTED_VALUE"""),204.44)</f>
        <v>204.44</v>
      </c>
      <c r="D2671" s="1">
        <f ca="1">IFERROR(__xludf.DUMMYFUNCTION("""COMPUTED_VALUE"""),201.23)</f>
        <v>201.23</v>
      </c>
      <c r="E2671" s="1">
        <f ca="1">IFERROR(__xludf.DUMMYFUNCTION("""COMPUTED_VALUE"""),202.94)</f>
        <v>202.94</v>
      </c>
      <c r="F2671" s="1">
        <f ca="1">IFERROR(__xludf.DUMMYFUNCTION("""COMPUTED_VALUE"""),25230427)</f>
        <v>25230427</v>
      </c>
    </row>
    <row r="2672" spans="1:6" x14ac:dyDescent="0.35">
      <c r="A2672" s="2">
        <f ca="1">IFERROR(__xludf.DUMMYFUNCTION("""COMPUTED_VALUE"""),45884.6666666666)</f>
        <v>45884.666666666599</v>
      </c>
      <c r="B2672" s="1">
        <f ca="1">IFERROR(__xludf.DUMMYFUNCTION("""COMPUTED_VALUE"""),203.85)</f>
        <v>203.85</v>
      </c>
      <c r="C2672" s="1">
        <f ca="1">IFERROR(__xludf.DUMMYFUNCTION("""COMPUTED_VALUE"""),206.44)</f>
        <v>206.44</v>
      </c>
      <c r="D2672" s="1">
        <f ca="1">IFERROR(__xludf.DUMMYFUNCTION("""COMPUTED_VALUE"""),201.28)</f>
        <v>201.28</v>
      </c>
      <c r="E2672" s="1">
        <f ca="1">IFERROR(__xludf.DUMMYFUNCTION("""COMPUTED_VALUE"""),203.9)</f>
        <v>203.9</v>
      </c>
      <c r="F2672" s="1">
        <f ca="1">IFERROR(__xludf.DUMMYFUNCTION("""COMPUTED_VALUE"""),34931422)</f>
        <v>34931422</v>
      </c>
    </row>
    <row r="2673" spans="1:6" x14ac:dyDescent="0.35">
      <c r="A2673" s="2">
        <f ca="1">IFERROR(__xludf.DUMMYFUNCTION("""COMPUTED_VALUE"""),45887.6666666666)</f>
        <v>45887.666666666599</v>
      </c>
      <c r="B2673" s="1">
        <f ca="1">IFERROR(__xludf.DUMMYFUNCTION("""COMPUTED_VALUE"""),204.2)</f>
        <v>204.2</v>
      </c>
      <c r="C2673" s="1">
        <f ca="1">IFERROR(__xludf.DUMMYFUNCTION("""COMPUTED_VALUE"""),205.27)</f>
        <v>205.27</v>
      </c>
      <c r="D2673" s="1">
        <f ca="1">IFERROR(__xludf.DUMMYFUNCTION("""COMPUTED_VALUE"""),202.49)</f>
        <v>202.49</v>
      </c>
      <c r="E2673" s="1">
        <f ca="1">IFERROR(__xludf.DUMMYFUNCTION("""COMPUTED_VALUE"""),203.5)</f>
        <v>203.5</v>
      </c>
      <c r="F2673" s="1">
        <f ca="1">IFERROR(__xludf.DUMMYFUNCTION("""COMPUTED_VALUE"""),18526594)</f>
        <v>18526594</v>
      </c>
    </row>
    <row r="2674" spans="1:6" x14ac:dyDescent="0.35">
      <c r="A2674" s="2">
        <f ca="1">IFERROR(__xludf.DUMMYFUNCTION("""COMPUTED_VALUE"""),45888.6666666666)</f>
        <v>45888.666666666599</v>
      </c>
      <c r="B2674" s="1">
        <f ca="1">IFERROR(__xludf.DUMMYFUNCTION("""COMPUTED_VALUE"""),203.03)</f>
        <v>203.03</v>
      </c>
      <c r="C2674" s="1">
        <f ca="1">IFERROR(__xludf.DUMMYFUNCTION("""COMPUTED_VALUE"""),203.44)</f>
        <v>203.44</v>
      </c>
      <c r="D2674" s="1">
        <f ca="1">IFERROR(__xludf.DUMMYFUNCTION("""COMPUTED_VALUE"""),199.96)</f>
        <v>199.96</v>
      </c>
      <c r="E2674" s="1">
        <f ca="1">IFERROR(__xludf.DUMMYFUNCTION("""COMPUTED_VALUE"""),201.57)</f>
        <v>201.57</v>
      </c>
      <c r="F2674" s="1">
        <f ca="1">IFERROR(__xludf.DUMMYFUNCTION("""COMPUTED_VALUE"""),24240233)</f>
        <v>24240233</v>
      </c>
    </row>
    <row r="2675" spans="1:6" x14ac:dyDescent="0.35">
      <c r="A2675" s="2">
        <f ca="1">IFERROR(__xludf.DUMMYFUNCTION("""COMPUTED_VALUE"""),45889.6666666666)</f>
        <v>45889.666666666599</v>
      </c>
      <c r="B2675" s="1">
        <f ca="1">IFERROR(__xludf.DUMMYFUNCTION("""COMPUTED_VALUE"""),200.73)</f>
        <v>200.73</v>
      </c>
      <c r="C2675" s="1">
        <f ca="1">IFERROR(__xludf.DUMMYFUNCTION("""COMPUTED_VALUE"""),201.28)</f>
        <v>201.28</v>
      </c>
      <c r="D2675" s="1">
        <f ca="1">IFERROR(__xludf.DUMMYFUNCTION("""COMPUTED_VALUE"""),196.6)</f>
        <v>196.6</v>
      </c>
      <c r="E2675" s="1">
        <f ca="1">IFERROR(__xludf.DUMMYFUNCTION("""COMPUTED_VALUE"""),199.32)</f>
        <v>199.32</v>
      </c>
      <c r="F2675" s="1">
        <f ca="1">IFERROR(__xludf.DUMMYFUNCTION("""COMPUTED_VALUE"""),28955498)</f>
        <v>28955498</v>
      </c>
    </row>
    <row r="2676" spans="1:6" x14ac:dyDescent="0.35">
      <c r="A2676" s="2">
        <f ca="1">IFERROR(__xludf.DUMMYFUNCTION("""COMPUTED_VALUE"""),45890.6666666666)</f>
        <v>45890.666666666599</v>
      </c>
      <c r="B2676" s="1">
        <f ca="1">IFERROR(__xludf.DUMMYFUNCTION("""COMPUTED_VALUE"""),199.75)</f>
        <v>199.75</v>
      </c>
      <c r="C2676" s="1">
        <f ca="1">IFERROR(__xludf.DUMMYFUNCTION("""COMPUTED_VALUE"""),202.48)</f>
        <v>202.48</v>
      </c>
      <c r="D2676" s="1">
        <f ca="1">IFERROR(__xludf.DUMMYFUNCTION("""COMPUTED_VALUE"""),199.43)</f>
        <v>199.43</v>
      </c>
      <c r="E2676" s="1">
        <f ca="1">IFERROR(__xludf.DUMMYFUNCTION("""COMPUTED_VALUE"""),199.75)</f>
        <v>199.75</v>
      </c>
      <c r="F2676" s="1">
        <f ca="1">IFERROR(__xludf.DUMMYFUNCTION("""COMPUTED_VALUE"""),19774633)</f>
        <v>19774633</v>
      </c>
    </row>
    <row r="2677" spans="1:6" x14ac:dyDescent="0.35">
      <c r="A2677" s="2">
        <f ca="1">IFERROR(__xludf.DUMMYFUNCTION("""COMPUTED_VALUE"""),45891.6666666666)</f>
        <v>45891.666666666599</v>
      </c>
      <c r="B2677" s="1">
        <f ca="1">IFERROR(__xludf.DUMMYFUNCTION("""COMPUTED_VALUE"""),202.73)</f>
        <v>202.73</v>
      </c>
      <c r="C2677" s="1">
        <f ca="1">IFERROR(__xludf.DUMMYFUNCTION("""COMPUTED_VALUE"""),208.54)</f>
        <v>208.54</v>
      </c>
      <c r="D2677" s="1">
        <f ca="1">IFERROR(__xludf.DUMMYFUNCTION("""COMPUTED_VALUE"""),201.3)</f>
        <v>201.3</v>
      </c>
      <c r="E2677" s="1">
        <f ca="1">IFERROR(__xludf.DUMMYFUNCTION("""COMPUTED_VALUE"""),206.09)</f>
        <v>206.09</v>
      </c>
      <c r="F2677" s="1">
        <f ca="1">IFERROR(__xludf.DUMMYFUNCTION("""COMPUTED_VALUE"""),42827040)</f>
        <v>42827040</v>
      </c>
    </row>
    <row r="2678" spans="1:6" x14ac:dyDescent="0.35">
      <c r="A2678" s="2">
        <f ca="1">IFERROR(__xludf.DUMMYFUNCTION("""COMPUTED_VALUE"""),45897.6666666666)</f>
        <v>45897.666666666599</v>
      </c>
      <c r="B2678" s="1">
        <f ca="1">IFERROR(__xludf.DUMMYFUNCTION("""COMPUTED_VALUE"""),207.25)</f>
        <v>207.25</v>
      </c>
      <c r="C2678" s="1">
        <f ca="1">IFERROR(__xludf.DUMMYFUNCTION("""COMPUTED_VALUE"""),212.22)</f>
        <v>212.22</v>
      </c>
      <c r="D2678" s="1">
        <f ca="1">IFERROR(__xludf.DUMMYFUNCTION("""COMPUTED_VALUE"""),206.9)</f>
        <v>206.9</v>
      </c>
      <c r="E2678" s="1">
        <f ca="1">IFERROR(__xludf.DUMMYFUNCTION("""COMPUTED_VALUE"""),211.64)</f>
        <v>211.64</v>
      </c>
      <c r="F2678" s="1">
        <f ca="1">IFERROR(__xludf.DUMMYFUNCTION("""COMPUTED_VALUE"""),32339307)</f>
        <v>32339307</v>
      </c>
    </row>
    <row r="2679" spans="1:6" x14ac:dyDescent="0.35">
      <c r="A2679" s="2">
        <f ca="1">IFERROR(__xludf.DUMMYFUNCTION("""COMPUTED_VALUE"""),45898.6666666666)</f>
        <v>45898.666666666599</v>
      </c>
      <c r="B2679" s="1">
        <f ca="1">IFERROR(__xludf.DUMMYFUNCTION("""COMPUTED_VALUE"""),210.51)</f>
        <v>210.51</v>
      </c>
      <c r="C2679" s="1">
        <f ca="1">IFERROR(__xludf.DUMMYFUNCTION("""COMPUTED_VALUE"""),214.65)</f>
        <v>214.65</v>
      </c>
      <c r="D2679" s="1">
        <f ca="1">IFERROR(__xludf.DUMMYFUNCTION("""COMPUTED_VALUE"""),210.2)</f>
        <v>210.2</v>
      </c>
      <c r="E2679" s="1">
        <f ca="1">IFERROR(__xludf.DUMMYFUNCTION("""COMPUTED_VALUE"""),212.91)</f>
        <v>212.91</v>
      </c>
      <c r="F2679" s="1">
        <f ca="1">IFERROR(__xludf.DUMMYFUNCTION("""COMPUTED_VALUE"""),39728364)</f>
        <v>39728364</v>
      </c>
    </row>
    <row r="2680" spans="1:6" x14ac:dyDescent="0.35">
      <c r="A2680" s="2">
        <f ca="1">IFERROR(__xludf.DUMMYFUNCTION("""COMPUTED_VALUE"""),45902.6666666666)</f>
        <v>45902.666666666599</v>
      </c>
      <c r="B2680" s="1">
        <f ca="1">IFERROR(__xludf.DUMMYFUNCTION("""COMPUTED_VALUE"""),208.44)</f>
        <v>208.44</v>
      </c>
      <c r="C2680" s="1">
        <f ca="1">IFERROR(__xludf.DUMMYFUNCTION("""COMPUTED_VALUE"""),211.68)</f>
        <v>211.68</v>
      </c>
      <c r="D2680" s="1">
        <f ca="1">IFERROR(__xludf.DUMMYFUNCTION("""COMPUTED_VALUE"""),206.2)</f>
        <v>206.2</v>
      </c>
      <c r="E2680" s="1">
        <f ca="1">IFERROR(__xludf.DUMMYFUNCTION("""COMPUTED_VALUE"""),211.35)</f>
        <v>211.35</v>
      </c>
      <c r="F2680" s="1">
        <f ca="1">IFERROR(__xludf.DUMMYFUNCTION("""COMPUTED_VALUE"""),47523037)</f>
        <v>47523037</v>
      </c>
    </row>
    <row r="2681" spans="1:6" x14ac:dyDescent="0.35">
      <c r="A2681" s="2">
        <f ca="1">IFERROR(__xludf.DUMMYFUNCTION("""COMPUTED_VALUE"""),45903.6666666666)</f>
        <v>45903.666666666599</v>
      </c>
      <c r="B2681" s="1">
        <f ca="1">IFERROR(__xludf.DUMMYFUNCTION("""COMPUTED_VALUE"""),226.21)</f>
        <v>226.21</v>
      </c>
      <c r="C2681" s="1">
        <f ca="1">IFERROR(__xludf.DUMMYFUNCTION("""COMPUTED_VALUE"""),231.31)</f>
        <v>231.31</v>
      </c>
      <c r="D2681" s="1">
        <f ca="1">IFERROR(__xludf.DUMMYFUNCTION("""COMPUTED_VALUE"""),224.79)</f>
        <v>224.79</v>
      </c>
      <c r="E2681" s="1">
        <f ca="1">IFERROR(__xludf.DUMMYFUNCTION("""COMPUTED_VALUE"""),230.66)</f>
        <v>230.66</v>
      </c>
      <c r="F2681" s="1">
        <f ca="1">IFERROR(__xludf.DUMMYFUNCTION("""COMPUTED_VALUE"""),103336125)</f>
        <v>103336125</v>
      </c>
    </row>
    <row r="2682" spans="1:6" x14ac:dyDescent="0.35">
      <c r="A2682" s="2">
        <f ca="1">IFERROR(__xludf.DUMMYFUNCTION("""COMPUTED_VALUE"""),45904.6666666666)</f>
        <v>45904.666666666599</v>
      </c>
      <c r="B2682" s="1">
        <f ca="1">IFERROR(__xludf.DUMMYFUNCTION("""COMPUTED_VALUE"""),229.65)</f>
        <v>229.65</v>
      </c>
      <c r="C2682" s="1">
        <f ca="1">IFERROR(__xludf.DUMMYFUNCTION("""COMPUTED_VALUE"""),232.37)</f>
        <v>232.37</v>
      </c>
      <c r="D2682" s="1">
        <f ca="1">IFERROR(__xludf.DUMMYFUNCTION("""COMPUTED_VALUE"""),226.11)</f>
        <v>226.11</v>
      </c>
      <c r="E2682" s="1">
        <f ca="1">IFERROR(__xludf.DUMMYFUNCTION("""COMPUTED_VALUE"""),232.3)</f>
        <v>232.3</v>
      </c>
      <c r="F2682" s="1">
        <f ca="1">IFERROR(__xludf.DUMMYFUNCTION("""COMPUTED_VALUE"""),51684167)</f>
        <v>51684167</v>
      </c>
    </row>
    <row r="2683" spans="1:6" x14ac:dyDescent="0.35">
      <c r="A2683" s="2">
        <f ca="1">IFERROR(__xludf.DUMMYFUNCTION("""COMPUTED_VALUE"""),45905.6666666666)</f>
        <v>45905.666666666599</v>
      </c>
      <c r="B2683" s="1">
        <f ca="1">IFERROR(__xludf.DUMMYFUNCTION("""COMPUTED_VALUE"""),232.2)</f>
        <v>232.2</v>
      </c>
      <c r="C2683" s="1">
        <f ca="1">IFERROR(__xludf.DUMMYFUNCTION("""COMPUTED_VALUE"""),235.76)</f>
        <v>235.76</v>
      </c>
      <c r="D2683" s="1">
        <f ca="1">IFERROR(__xludf.DUMMYFUNCTION("""COMPUTED_VALUE"""),231.9)</f>
        <v>231.9</v>
      </c>
      <c r="E2683" s="1">
        <f ca="1">IFERROR(__xludf.DUMMYFUNCTION("""COMPUTED_VALUE"""),235)</f>
        <v>235</v>
      </c>
      <c r="F2683" s="1">
        <f ca="1">IFERROR(__xludf.DUMMYFUNCTION("""COMPUTED_VALUE"""),46588925)</f>
        <v>46588925</v>
      </c>
    </row>
    <row r="2684" spans="1:6" x14ac:dyDescent="0.35">
      <c r="A2684" s="2">
        <f ca="1">IFERROR(__xludf.DUMMYFUNCTION("""COMPUTED_VALUE"""),45908.6666666666)</f>
        <v>45908.666666666599</v>
      </c>
      <c r="B2684" s="1">
        <f ca="1">IFERROR(__xludf.DUMMYFUNCTION("""COMPUTED_VALUE"""),235.47)</f>
        <v>235.47</v>
      </c>
      <c r="C2684" s="1">
        <f ca="1">IFERROR(__xludf.DUMMYFUNCTION("""COMPUTED_VALUE"""),238.13)</f>
        <v>238.13</v>
      </c>
      <c r="D2684" s="1">
        <f ca="1">IFERROR(__xludf.DUMMYFUNCTION("""COMPUTED_VALUE"""),233.67)</f>
        <v>233.67</v>
      </c>
      <c r="E2684" s="1">
        <f ca="1">IFERROR(__xludf.DUMMYFUNCTION("""COMPUTED_VALUE"""),234.04)</f>
        <v>234.04</v>
      </c>
      <c r="F2684" s="1">
        <f ca="1">IFERROR(__xludf.DUMMYFUNCTION("""COMPUTED_VALUE"""),32474743)</f>
        <v>32474743</v>
      </c>
    </row>
    <row r="2685" spans="1:6" x14ac:dyDescent="0.35">
      <c r="A2685" s="2">
        <f ca="1">IFERROR(__xludf.DUMMYFUNCTION("""COMPUTED_VALUE"""),45909.6666666666)</f>
        <v>45909.666666666599</v>
      </c>
      <c r="B2685" s="1">
        <f ca="1">IFERROR(__xludf.DUMMYFUNCTION("""COMPUTED_VALUE"""),234.17)</f>
        <v>234.17</v>
      </c>
      <c r="C2685" s="1">
        <f ca="1">IFERROR(__xludf.DUMMYFUNCTION("""COMPUTED_VALUE"""),240.47)</f>
        <v>240.47</v>
      </c>
      <c r="D2685" s="1">
        <f ca="1">IFERROR(__xludf.DUMMYFUNCTION("""COMPUTED_VALUE"""),233.23)</f>
        <v>233.23</v>
      </c>
      <c r="E2685" s="1">
        <f ca="1">IFERROR(__xludf.DUMMYFUNCTION("""COMPUTED_VALUE"""),239.63)</f>
        <v>239.63</v>
      </c>
      <c r="F2685" s="1">
        <f ca="1">IFERROR(__xludf.DUMMYFUNCTION("""COMPUTED_VALUE"""),38060959)</f>
        <v>38060959</v>
      </c>
    </row>
    <row r="2686" spans="1:6" x14ac:dyDescent="0.35">
      <c r="A2686" s="2">
        <f ca="1">IFERROR(__xludf.DUMMYFUNCTION("""COMPUTED_VALUE"""),45910.6666666666)</f>
        <v>45910.666666666599</v>
      </c>
      <c r="B2686" s="1">
        <f ca="1">IFERROR(__xludf.DUMMYFUNCTION("""COMPUTED_VALUE"""),238.9)</f>
        <v>238.9</v>
      </c>
      <c r="C2686" s="1">
        <f ca="1">IFERROR(__xludf.DUMMYFUNCTION("""COMPUTED_VALUE"""),241.66)</f>
        <v>241.66</v>
      </c>
      <c r="D2686" s="1">
        <f ca="1">IFERROR(__xludf.DUMMYFUNCTION("""COMPUTED_VALUE"""),237.85)</f>
        <v>237.85</v>
      </c>
      <c r="E2686" s="1">
        <f ca="1">IFERROR(__xludf.DUMMYFUNCTION("""COMPUTED_VALUE"""),239.17)</f>
        <v>239.17</v>
      </c>
      <c r="F2686" s="1">
        <f ca="1">IFERROR(__xludf.DUMMYFUNCTION("""COMPUTED_VALUE"""),35141074)</f>
        <v>35141074</v>
      </c>
    </row>
    <row r="2687" spans="1:6" x14ac:dyDescent="0.35">
      <c r="A2687" s="2">
        <f ca="1">IFERROR(__xludf.DUMMYFUNCTION("""COMPUTED_VALUE"""),45911.6666666666)</f>
        <v>45911.666666666599</v>
      </c>
      <c r="B2687" s="1">
        <f ca="1">IFERROR(__xludf.DUMMYFUNCTION("""COMPUTED_VALUE"""),239.88)</f>
        <v>239.88</v>
      </c>
      <c r="C2687" s="1">
        <f ca="1">IFERROR(__xludf.DUMMYFUNCTION("""COMPUTED_VALUE"""),242.25)</f>
        <v>242.25</v>
      </c>
      <c r="D2687" s="1">
        <f ca="1">IFERROR(__xludf.DUMMYFUNCTION("""COMPUTED_VALUE"""),236.25)</f>
        <v>236.25</v>
      </c>
      <c r="E2687" s="1">
        <f ca="1">IFERROR(__xludf.DUMMYFUNCTION("""COMPUTED_VALUE"""),240.37)</f>
        <v>240.37</v>
      </c>
      <c r="F2687" s="1">
        <f ca="1">IFERROR(__xludf.DUMMYFUNCTION("""COMPUTED_VALUE"""),30599328)</f>
        <v>30599328</v>
      </c>
    </row>
    <row r="2688" spans="1:6" x14ac:dyDescent="0.35">
      <c r="A2688" s="2">
        <f ca="1">IFERROR(__xludf.DUMMYFUNCTION("""COMPUTED_VALUE"""),45912.6666666666)</f>
        <v>45912.666666666599</v>
      </c>
      <c r="B2688" s="1">
        <f ca="1">IFERROR(__xludf.DUMMYFUNCTION("""COMPUTED_VALUE"""),240.37)</f>
        <v>240.37</v>
      </c>
      <c r="C2688" s="1">
        <f ca="1">IFERROR(__xludf.DUMMYFUNCTION("""COMPUTED_VALUE"""),242.08)</f>
        <v>242.08</v>
      </c>
      <c r="D2688" s="1">
        <f ca="1">IFERROR(__xludf.DUMMYFUNCTION("""COMPUTED_VALUE"""),238)</f>
        <v>238</v>
      </c>
      <c r="E2688" s="1">
        <f ca="1">IFERROR(__xludf.DUMMYFUNCTION("""COMPUTED_VALUE"""),240.8)</f>
        <v>240.8</v>
      </c>
      <c r="F2688" s="1">
        <f ca="1">IFERROR(__xludf.DUMMYFUNCTION("""COMPUTED_VALUE"""),26771610)</f>
        <v>26771610</v>
      </c>
    </row>
    <row r="2689" spans="1:6" x14ac:dyDescent="0.35">
      <c r="A2689" s="2">
        <f ca="1">IFERROR(__xludf.DUMMYFUNCTION("""COMPUTED_VALUE"""),45915.6666666666)</f>
        <v>45915.666666666599</v>
      </c>
      <c r="B2689" s="1">
        <f ca="1">IFERROR(__xludf.DUMMYFUNCTION("""COMPUTED_VALUE"""),244.66)</f>
        <v>244.66</v>
      </c>
      <c r="C2689" s="1">
        <f ca="1">IFERROR(__xludf.DUMMYFUNCTION("""COMPUTED_VALUE"""),252.41)</f>
        <v>252.41</v>
      </c>
      <c r="D2689" s="1">
        <f ca="1">IFERROR(__xludf.DUMMYFUNCTION("""COMPUTED_VALUE"""),244.66)</f>
        <v>244.66</v>
      </c>
      <c r="E2689" s="1">
        <f ca="1">IFERROR(__xludf.DUMMYFUNCTION("""COMPUTED_VALUE"""),251.61)</f>
        <v>251.61</v>
      </c>
      <c r="F2689" s="1">
        <f ca="1">IFERROR(__xludf.DUMMYFUNCTION("""COMPUTED_VALUE"""),58383796)</f>
        <v>58383796</v>
      </c>
    </row>
    <row r="2690" spans="1:6" x14ac:dyDescent="0.35">
      <c r="A2690" s="2">
        <f ca="1">IFERROR(__xludf.DUMMYFUNCTION("""COMPUTED_VALUE"""),45916.6666666666)</f>
        <v>45916.666666666599</v>
      </c>
      <c r="B2690" s="1">
        <f ca="1">IFERROR(__xludf.DUMMYFUNCTION("""COMPUTED_VALUE"""),252.08)</f>
        <v>252.08</v>
      </c>
      <c r="C2690" s="1">
        <f ca="1">IFERROR(__xludf.DUMMYFUNCTION("""COMPUTED_VALUE"""),253.04)</f>
        <v>253.04</v>
      </c>
      <c r="D2690" s="1">
        <f ca="1">IFERROR(__xludf.DUMMYFUNCTION("""COMPUTED_VALUE"""),249.47)</f>
        <v>249.47</v>
      </c>
      <c r="E2690" s="1">
        <f ca="1">IFERROR(__xludf.DUMMYFUNCTION("""COMPUTED_VALUE"""),251.16)</f>
        <v>251.16</v>
      </c>
      <c r="F2690" s="1">
        <f ca="1">IFERROR(__xludf.DUMMYFUNCTION("""COMPUTED_VALUE"""),34109720)</f>
        <v>34109720</v>
      </c>
    </row>
    <row r="2691" spans="1:6" x14ac:dyDescent="0.35">
      <c r="A2691" s="2">
        <f ca="1">IFERROR(__xludf.DUMMYFUNCTION("""COMPUTED_VALUE"""),45917.6666666666)</f>
        <v>45917.666666666599</v>
      </c>
      <c r="B2691" s="1">
        <f ca="1">IFERROR(__xludf.DUMMYFUNCTION("""COMPUTED_VALUE"""),251.22)</f>
        <v>251.22</v>
      </c>
      <c r="C2691" s="1">
        <f ca="1">IFERROR(__xludf.DUMMYFUNCTION("""COMPUTED_VALUE"""),251.6)</f>
        <v>251.6</v>
      </c>
      <c r="D2691" s="1">
        <f ca="1">IFERROR(__xludf.DUMMYFUNCTION("""COMPUTED_VALUE"""),246.28)</f>
        <v>246.28</v>
      </c>
      <c r="E2691" s="1">
        <f ca="1">IFERROR(__xludf.DUMMYFUNCTION("""COMPUTED_VALUE"""),249.53)</f>
        <v>249.53</v>
      </c>
      <c r="F2691" s="1">
        <f ca="1">IFERROR(__xludf.DUMMYFUNCTION("""COMPUTED_VALUE"""),34107992)</f>
        <v>34107992</v>
      </c>
    </row>
    <row r="2692" spans="1:6" x14ac:dyDescent="0.35">
      <c r="A2692" s="2">
        <f ca="1">IFERROR(__xludf.DUMMYFUNCTION("""COMPUTED_VALUE"""),45918.6666666666)</f>
        <v>45918.666666666599</v>
      </c>
      <c r="B2692" s="1">
        <f ca="1">IFERROR(__xludf.DUMMYFUNCTION("""COMPUTED_VALUE"""),251.68)</f>
        <v>251.68</v>
      </c>
      <c r="C2692" s="1">
        <f ca="1">IFERROR(__xludf.DUMMYFUNCTION("""COMPUTED_VALUE"""),253.99)</f>
        <v>253.99</v>
      </c>
      <c r="D2692" s="1">
        <f ca="1">IFERROR(__xludf.DUMMYFUNCTION("""COMPUTED_VALUE"""),249.8)</f>
        <v>249.8</v>
      </c>
      <c r="E2692" s="1">
        <f ca="1">IFERROR(__xludf.DUMMYFUNCTION("""COMPUTED_VALUE"""),252.03)</f>
        <v>252.03</v>
      </c>
      <c r="F2692" s="1">
        <f ca="1">IFERROR(__xludf.DUMMYFUNCTION("""COMPUTED_VALUE"""),31239474)</f>
        <v>31239474</v>
      </c>
    </row>
    <row r="2693" spans="1:6" x14ac:dyDescent="0.35">
      <c r="A2693" s="2">
        <f ca="1">IFERROR(__xludf.DUMMYFUNCTION("""COMPUTED_VALUE"""),45919.6666666666)</f>
        <v>45919.666666666599</v>
      </c>
      <c r="B2693" s="1">
        <f ca="1">IFERROR(__xludf.DUMMYFUNCTION("""COMPUTED_VALUE"""),253.25)</f>
        <v>253.25</v>
      </c>
      <c r="C2693" s="1">
        <f ca="1">IFERROR(__xludf.DUMMYFUNCTION("""COMPUTED_VALUE"""),256)</f>
        <v>256</v>
      </c>
      <c r="D2693" s="1">
        <f ca="1">IFERROR(__xludf.DUMMYFUNCTION("""COMPUTED_VALUE"""),251.81)</f>
        <v>251.81</v>
      </c>
      <c r="E2693" s="1">
        <f ca="1">IFERROR(__xludf.DUMMYFUNCTION("""COMPUTED_VALUE"""),254.72)</f>
        <v>254.72</v>
      </c>
      <c r="F2693" s="1">
        <f ca="1">IFERROR(__xludf.DUMMYFUNCTION("""COMPUTED_VALUE"""),55571424)</f>
        <v>55571424</v>
      </c>
    </row>
    <row r="2694" spans="1:6" x14ac:dyDescent="0.35">
      <c r="A2694" s="2">
        <f ca="1">IFERROR(__xludf.DUMMYFUNCTION("""COMPUTED_VALUE"""),45922.6666666666)</f>
        <v>45922.666666666599</v>
      </c>
      <c r="B2694" s="1">
        <f ca="1">IFERROR(__xludf.DUMMYFUNCTION("""COMPUTED_VALUE"""),254.43)</f>
        <v>254.43</v>
      </c>
      <c r="C2694" s="1">
        <f ca="1">IFERROR(__xludf.DUMMYFUNCTION("""COMPUTED_VALUE"""),255.78)</f>
        <v>255.78</v>
      </c>
      <c r="D2694" s="1">
        <f ca="1">IFERROR(__xludf.DUMMYFUNCTION("""COMPUTED_VALUE"""),250.3)</f>
        <v>250.3</v>
      </c>
      <c r="E2694" s="1">
        <f ca="1">IFERROR(__xludf.DUMMYFUNCTION("""COMPUTED_VALUE"""),252.53)</f>
        <v>252.53</v>
      </c>
      <c r="F2694" s="1">
        <f ca="1">IFERROR(__xludf.DUMMYFUNCTION("""COMPUTED_VALUE"""),32290538)</f>
        <v>32290538</v>
      </c>
    </row>
    <row r="2695" spans="1:6" x14ac:dyDescent="0.35">
      <c r="A2695" s="2">
        <f ca="1">IFERROR(__xludf.DUMMYFUNCTION("""COMPUTED_VALUE"""),45923.6666666666)</f>
        <v>45923.666666666599</v>
      </c>
      <c r="B2695" s="1">
        <f ca="1">IFERROR(__xludf.DUMMYFUNCTION("""COMPUTED_VALUE"""),253.04)</f>
        <v>253.04</v>
      </c>
      <c r="C2695" s="1">
        <f ca="1">IFERROR(__xludf.DUMMYFUNCTION("""COMPUTED_VALUE"""),254.36)</f>
        <v>254.36</v>
      </c>
      <c r="D2695" s="1">
        <f ca="1">IFERROR(__xludf.DUMMYFUNCTION("""COMPUTED_VALUE"""),250.48)</f>
        <v>250.48</v>
      </c>
      <c r="E2695" s="1">
        <f ca="1">IFERROR(__xludf.DUMMYFUNCTION("""COMPUTED_VALUE"""),251.66)</f>
        <v>251.66</v>
      </c>
      <c r="F2695" s="1">
        <f ca="1">IFERROR(__xludf.DUMMYFUNCTION("""COMPUTED_VALUE"""),26628016)</f>
        <v>26628016</v>
      </c>
    </row>
    <row r="2696" spans="1:6" x14ac:dyDescent="0.35">
      <c r="A2696" s="2">
        <f ca="1">IFERROR(__xludf.DUMMYFUNCTION("""COMPUTED_VALUE"""),45924.6666666666)</f>
        <v>45924.666666666599</v>
      </c>
      <c r="B2696" s="1">
        <f ca="1">IFERROR(__xludf.DUMMYFUNCTION("""COMPUTED_VALUE"""),251.66)</f>
        <v>251.66</v>
      </c>
      <c r="C2696" s="1">
        <f ca="1">IFERROR(__xludf.DUMMYFUNCTION("""COMPUTED_VALUE"""),252.35)</f>
        <v>252.35</v>
      </c>
      <c r="D2696" s="1">
        <f ca="1">IFERROR(__xludf.DUMMYFUNCTION("""COMPUTED_VALUE"""),246.44)</f>
        <v>246.44</v>
      </c>
      <c r="E2696" s="1">
        <f ca="1">IFERROR(__xludf.DUMMYFUNCTION("""COMPUTED_VALUE"""),247.14)</f>
        <v>247.14</v>
      </c>
      <c r="F2696" s="1">
        <f ca="1">IFERROR(__xludf.DUMMYFUNCTION("""COMPUTED_VALUE"""),28201003)</f>
        <v>28201003</v>
      </c>
    </row>
    <row r="2697" spans="1:6" x14ac:dyDescent="0.35">
      <c r="A2697" s="2">
        <f ca="1">IFERROR(__xludf.DUMMYFUNCTION("""COMPUTED_VALUE"""),45925.6666666666)</f>
        <v>45925.666666666599</v>
      </c>
      <c r="B2697" s="1">
        <f ca="1">IFERROR(__xludf.DUMMYFUNCTION("""COMPUTED_VALUE"""),244.4)</f>
        <v>244.4</v>
      </c>
      <c r="C2697" s="1">
        <f ca="1">IFERROR(__xludf.DUMMYFUNCTION("""COMPUTED_VALUE"""),246.49)</f>
        <v>246.49</v>
      </c>
      <c r="D2697" s="1">
        <f ca="1">IFERROR(__xludf.DUMMYFUNCTION("""COMPUTED_VALUE"""),240.74)</f>
        <v>240.74</v>
      </c>
      <c r="E2697" s="1">
        <f ca="1">IFERROR(__xludf.DUMMYFUNCTION("""COMPUTED_VALUE"""),245.79)</f>
        <v>245.79</v>
      </c>
      <c r="F2697" s="1">
        <f ca="1">IFERROR(__xludf.DUMMYFUNCTION("""COMPUTED_VALUE"""),31020383)</f>
        <v>31020383</v>
      </c>
    </row>
    <row r="2698" spans="1:6" x14ac:dyDescent="0.35">
      <c r="A2698" s="2">
        <f ca="1">IFERROR(__xludf.DUMMYFUNCTION("""COMPUTED_VALUE"""),45926.6666666666)</f>
        <v>45926.666666666599</v>
      </c>
      <c r="B2698" s="1">
        <f ca="1">IFERROR(__xludf.DUMMYFUNCTION("""COMPUTED_VALUE"""),247.07)</f>
        <v>247.07</v>
      </c>
      <c r="C2698" s="1">
        <f ca="1">IFERROR(__xludf.DUMMYFUNCTION("""COMPUTED_VALUE"""),249.42)</f>
        <v>249.42</v>
      </c>
      <c r="D2698" s="1">
        <f ca="1">IFERROR(__xludf.DUMMYFUNCTION("""COMPUTED_VALUE"""),245.97)</f>
        <v>245.97</v>
      </c>
      <c r="E2698" s="1">
        <f ca="1">IFERROR(__xludf.DUMMYFUNCTION("""COMPUTED_VALUE"""),246.54)</f>
        <v>246.54</v>
      </c>
      <c r="F2698" s="1">
        <f ca="1">IFERROR(__xludf.DUMMYFUNCTION("""COMPUTED_VALUE"""),18503194)</f>
        <v>18503194</v>
      </c>
    </row>
    <row r="2699" spans="1:6" x14ac:dyDescent="0.35">
      <c r="A2699" s="2">
        <f ca="1">IFERROR(__xludf.DUMMYFUNCTION("""COMPUTED_VALUE"""),45929.6666666666)</f>
        <v>45929.666666666599</v>
      </c>
      <c r="B2699" s="1">
        <f ca="1">IFERROR(__xludf.DUMMYFUNCTION("""COMPUTED_VALUE"""),247.85)</f>
        <v>247.85</v>
      </c>
      <c r="C2699" s="1">
        <f ca="1">IFERROR(__xludf.DUMMYFUNCTION("""COMPUTED_VALUE"""),251.15)</f>
        <v>251.15</v>
      </c>
      <c r="D2699" s="1">
        <f ca="1">IFERROR(__xludf.DUMMYFUNCTION("""COMPUTED_VALUE"""),242.77)</f>
        <v>242.77</v>
      </c>
      <c r="E2699" s="1">
        <f ca="1">IFERROR(__xludf.DUMMYFUNCTION("""COMPUTED_VALUE"""),244.05)</f>
        <v>244.05</v>
      </c>
      <c r="F2699" s="1">
        <f ca="1">IFERROR(__xludf.DUMMYFUNCTION("""COMPUTED_VALUE"""),32505777)</f>
        <v>32505777</v>
      </c>
    </row>
    <row r="2700" spans="1:6" x14ac:dyDescent="0.35">
      <c r="A2700" s="2">
        <f ca="1">IFERROR(__xludf.DUMMYFUNCTION("""COMPUTED_VALUE"""),45930.6666666666)</f>
        <v>45930.666666666599</v>
      </c>
      <c r="B2700" s="1">
        <f ca="1">IFERROR(__xludf.DUMMYFUNCTION("""COMPUTED_VALUE"""),242.81)</f>
        <v>242.81</v>
      </c>
      <c r="C2700" s="1">
        <f ca="1">IFERROR(__xludf.DUMMYFUNCTION("""COMPUTED_VALUE"""),243.29)</f>
        <v>243.29</v>
      </c>
      <c r="D2700" s="1">
        <f ca="1">IFERROR(__xludf.DUMMYFUNCTION("""COMPUTED_VALUE"""),239.25)</f>
        <v>239.25</v>
      </c>
      <c r="E2700" s="1">
        <f ca="1">IFERROR(__xludf.DUMMYFUNCTION("""COMPUTED_VALUE"""),243.1)</f>
        <v>243.1</v>
      </c>
      <c r="F2700" s="1">
        <f ca="1">IFERROR(__xludf.DUMMYFUNCTION("""COMPUTED_VALUE"""),34724346)</f>
        <v>34724346</v>
      </c>
    </row>
    <row r="2701" spans="1:6" x14ac:dyDescent="0.35">
      <c r="A2701" s="2">
        <f ca="1">IFERROR(__xludf.DUMMYFUNCTION("""COMPUTED_VALUE"""),45931.6666666666)</f>
        <v>45931.666666666599</v>
      </c>
      <c r="B2701" s="1">
        <f ca="1">IFERROR(__xludf.DUMMYFUNCTION("""COMPUTED_VALUE"""),240.75)</f>
        <v>240.75</v>
      </c>
      <c r="C2701" s="1">
        <f ca="1">IFERROR(__xludf.DUMMYFUNCTION("""COMPUTED_VALUE"""),246.3)</f>
        <v>246.3</v>
      </c>
      <c r="D2701" s="1">
        <f ca="1">IFERROR(__xludf.DUMMYFUNCTION("""COMPUTED_VALUE"""),238.61)</f>
        <v>238.61</v>
      </c>
      <c r="E2701" s="1">
        <f ca="1">IFERROR(__xludf.DUMMYFUNCTION("""COMPUTED_VALUE"""),244.9)</f>
        <v>244.9</v>
      </c>
      <c r="F2701" s="1">
        <f ca="1">IFERROR(__xludf.DUMMYFUNCTION("""COMPUTED_VALUE"""),31658234)</f>
        <v>31658234</v>
      </c>
    </row>
    <row r="2702" spans="1:6" x14ac:dyDescent="0.35">
      <c r="A2702" s="2">
        <f ca="1">IFERROR(__xludf.DUMMYFUNCTION("""COMPUTED_VALUE"""),45932.6666666666)</f>
        <v>45932.666666666599</v>
      </c>
      <c r="B2702" s="1">
        <f ca="1">IFERROR(__xludf.DUMMYFUNCTION("""COMPUTED_VALUE"""),245.15)</f>
        <v>245.15</v>
      </c>
      <c r="C2702" s="1">
        <f ca="1">IFERROR(__xludf.DUMMYFUNCTION("""COMPUTED_VALUE"""),246.81)</f>
        <v>246.81</v>
      </c>
      <c r="D2702" s="1">
        <f ca="1">IFERROR(__xludf.DUMMYFUNCTION("""COMPUTED_VALUE"""),242.3)</f>
        <v>242.3</v>
      </c>
      <c r="E2702" s="1">
        <f ca="1">IFERROR(__xludf.DUMMYFUNCTION("""COMPUTED_VALUE"""),245.69)</f>
        <v>245.69</v>
      </c>
      <c r="F2702" s="1">
        <f ca="1">IFERROR(__xludf.DUMMYFUNCTION("""COMPUTED_VALUE"""),25483298)</f>
        <v>25483298</v>
      </c>
    </row>
    <row r="2703" spans="1:6" x14ac:dyDescent="0.35">
      <c r="A2703" s="2">
        <f ca="1">IFERROR(__xludf.DUMMYFUNCTION("""COMPUTED_VALUE"""),45933.6666666666)</f>
        <v>45933.666666666599</v>
      </c>
      <c r="B2703" s="1">
        <f ca="1">IFERROR(__xludf.DUMMYFUNCTION("""COMPUTED_VALUE"""),244.49)</f>
        <v>244.49</v>
      </c>
      <c r="C2703" s="1">
        <f ca="1">IFERROR(__xludf.DUMMYFUNCTION("""COMPUTED_VALUE"""),246.3)</f>
        <v>246.3</v>
      </c>
      <c r="D2703" s="1">
        <f ca="1">IFERROR(__xludf.DUMMYFUNCTION("""COMPUTED_VALUE"""),241.66)</f>
        <v>241.66</v>
      </c>
      <c r="E2703" s="1">
        <f ca="1">IFERROR(__xludf.DUMMYFUNCTION("""COMPUTED_VALUE"""),245.35)</f>
        <v>245.35</v>
      </c>
      <c r="F2703" s="1">
        <f ca="1">IFERROR(__xludf.DUMMYFUNCTION("""COMPUTED_VALUE"""),30249559)</f>
        <v>30249559</v>
      </c>
    </row>
    <row r="2704" spans="1:6" x14ac:dyDescent="0.35">
      <c r="A2704" s="2">
        <f ca="1">IFERROR(__xludf.DUMMYFUNCTION("""COMPUTED_VALUE"""),45936.6666666666)</f>
        <v>45936.666666666599</v>
      </c>
      <c r="B2704" s="1">
        <f ca="1">IFERROR(__xludf.DUMMYFUNCTION("""COMPUTED_VALUE"""),244.78)</f>
        <v>244.78</v>
      </c>
      <c r="C2704" s="1">
        <f ca="1">IFERROR(__xludf.DUMMYFUNCTION("""COMPUTED_VALUE"""),251.32)</f>
        <v>251.32</v>
      </c>
      <c r="D2704" s="1">
        <f ca="1">IFERROR(__xludf.DUMMYFUNCTION("""COMPUTED_VALUE"""),244.58)</f>
        <v>244.58</v>
      </c>
      <c r="E2704" s="1">
        <f ca="1">IFERROR(__xludf.DUMMYFUNCTION("""COMPUTED_VALUE"""),250.43)</f>
        <v>250.43</v>
      </c>
      <c r="F2704" s="1">
        <f ca="1">IFERROR(__xludf.DUMMYFUNCTION("""COMPUTED_VALUE"""),28894653)</f>
        <v>28894653</v>
      </c>
    </row>
    <row r="2705" spans="1:6" x14ac:dyDescent="0.35">
      <c r="A2705" s="2">
        <f ca="1">IFERROR(__xludf.DUMMYFUNCTION("""COMPUTED_VALUE"""),45937.6666666666)</f>
        <v>45937.666666666599</v>
      </c>
      <c r="B2705" s="1">
        <f ca="1">IFERROR(__xludf.DUMMYFUNCTION("""COMPUTED_VALUE"""),248.27)</f>
        <v>248.27</v>
      </c>
      <c r="C2705" s="1">
        <f ca="1">IFERROR(__xludf.DUMMYFUNCTION("""COMPUTED_VALUE"""),250.44)</f>
        <v>250.44</v>
      </c>
      <c r="D2705" s="1">
        <f ca="1">IFERROR(__xludf.DUMMYFUNCTION("""COMPUTED_VALUE"""),245.52)</f>
        <v>245.52</v>
      </c>
      <c r="E2705" s="1">
        <f ca="1">IFERROR(__xludf.DUMMYFUNCTION("""COMPUTED_VALUE"""),245.76)</f>
        <v>245.76</v>
      </c>
      <c r="F2705" s="1">
        <f ca="1">IFERROR(__xludf.DUMMYFUNCTION("""COMPUTED_VALUE"""),23181285)</f>
        <v>23181285</v>
      </c>
    </row>
    <row r="2706" spans="1:6" x14ac:dyDescent="0.35">
      <c r="A2706" s="2">
        <f ca="1">IFERROR(__xludf.DUMMYFUNCTION("""COMPUTED_VALUE"""),45938.6666666666)</f>
        <v>45938.666666666599</v>
      </c>
      <c r="B2706" s="1">
        <f ca="1">IFERROR(__xludf.DUMMYFUNCTION("""COMPUTED_VALUE"""),244.96)</f>
        <v>244.96</v>
      </c>
      <c r="C2706" s="1">
        <f ca="1">IFERROR(__xludf.DUMMYFUNCTION("""COMPUTED_VALUE"""),246.01)</f>
        <v>246.01</v>
      </c>
      <c r="D2706" s="1">
        <f ca="1">IFERROR(__xludf.DUMMYFUNCTION("""COMPUTED_VALUE"""),243.82)</f>
        <v>243.82</v>
      </c>
      <c r="E2706" s="1">
        <f ca="1">IFERROR(__xludf.DUMMYFUNCTION("""COMPUTED_VALUE"""),244.62)</f>
        <v>244.62</v>
      </c>
      <c r="F2706" s="1">
        <f ca="1">IFERROR(__xludf.DUMMYFUNCTION("""COMPUTED_VALUE"""),21307104)</f>
        <v>21307104</v>
      </c>
    </row>
    <row r="2707" spans="1:6" x14ac:dyDescent="0.35">
      <c r="A2707" s="2">
        <f ca="1">IFERROR(__xludf.DUMMYFUNCTION("""COMPUTED_VALUE"""),45939.6666666666)</f>
        <v>45939.666666666599</v>
      </c>
      <c r="B2707" s="1">
        <f ca="1">IFERROR(__xludf.DUMMYFUNCTION("""COMPUTED_VALUE"""),244.47)</f>
        <v>244.47</v>
      </c>
      <c r="C2707" s="1">
        <f ca="1">IFERROR(__xludf.DUMMYFUNCTION("""COMPUTED_VALUE"""),244.76)</f>
        <v>244.76</v>
      </c>
      <c r="D2707" s="1">
        <f ca="1">IFERROR(__xludf.DUMMYFUNCTION("""COMPUTED_VALUE"""),239.15)</f>
        <v>239.15</v>
      </c>
      <c r="E2707" s="1">
        <f ca="1">IFERROR(__xludf.DUMMYFUNCTION("""COMPUTED_VALUE"""),241.53)</f>
        <v>241.53</v>
      </c>
      <c r="F2707" s="1">
        <f ca="1">IFERROR(__xludf.DUMMYFUNCTION("""COMPUTED_VALUE"""),27892086)</f>
        <v>27892086</v>
      </c>
    </row>
    <row r="2708" spans="1:6" x14ac:dyDescent="0.35">
      <c r="A2708" s="2">
        <f ca="1">IFERROR(__xludf.DUMMYFUNCTION("""COMPUTED_VALUE"""),45940.6666666666)</f>
        <v>45940.666666666599</v>
      </c>
      <c r="B2708" s="1">
        <f ca="1">IFERROR(__xludf.DUMMYFUNCTION("""COMPUTED_VALUE"""),241.43)</f>
        <v>241.43</v>
      </c>
      <c r="C2708" s="1">
        <f ca="1">IFERROR(__xludf.DUMMYFUNCTION("""COMPUTED_VALUE"""),244.09)</f>
        <v>244.09</v>
      </c>
      <c r="D2708" s="1">
        <f ca="1">IFERROR(__xludf.DUMMYFUNCTION("""COMPUTED_VALUE"""),235.84)</f>
        <v>235.84</v>
      </c>
      <c r="E2708" s="1">
        <f ca="1">IFERROR(__xludf.DUMMYFUNCTION("""COMPUTED_VALUE"""),236.57)</f>
        <v>236.57</v>
      </c>
      <c r="F2708" s="1">
        <f ca="1">IFERROR(__xludf.DUMMYFUNCTION("""COMPUTED_VALUE"""),33180323)</f>
        <v>33180323</v>
      </c>
    </row>
    <row r="2709" spans="1:6" x14ac:dyDescent="0.35">
      <c r="A2709" s="2">
        <f ca="1">IFERROR(__xludf.DUMMYFUNCTION("""COMPUTED_VALUE"""),45943.6666666666)</f>
        <v>45943.666666666599</v>
      </c>
      <c r="B2709" s="1">
        <f ca="1">IFERROR(__xludf.DUMMYFUNCTION("""COMPUTED_VALUE"""),240.21)</f>
        <v>240.21</v>
      </c>
      <c r="C2709" s="1">
        <f ca="1">IFERROR(__xludf.DUMMYFUNCTION("""COMPUTED_VALUE"""),244.5)</f>
        <v>244.5</v>
      </c>
      <c r="D2709" s="1">
        <f ca="1">IFERROR(__xludf.DUMMYFUNCTION("""COMPUTED_VALUE"""),239.71)</f>
        <v>239.71</v>
      </c>
      <c r="E2709" s="1">
        <f ca="1">IFERROR(__xludf.DUMMYFUNCTION("""COMPUTED_VALUE"""),244.15)</f>
        <v>244.15</v>
      </c>
      <c r="F2709" s="1">
        <f ca="1">IFERROR(__xludf.DUMMYFUNCTION("""COMPUTED_VALUE"""),24995028)</f>
        <v>24995028</v>
      </c>
    </row>
    <row r="2710" spans="1:6" x14ac:dyDescent="0.35">
      <c r="A2710" s="2">
        <f ca="1">IFERROR(__xludf.DUMMYFUNCTION("""COMPUTED_VALUE"""),45944.6666666666)</f>
        <v>45944.666666666599</v>
      </c>
      <c r="B2710" s="1">
        <f ca="1">IFERROR(__xludf.DUMMYFUNCTION("""COMPUTED_VALUE"""),241.23)</f>
        <v>241.23</v>
      </c>
      <c r="C2710" s="1">
        <f ca="1">IFERROR(__xludf.DUMMYFUNCTION("""COMPUTED_VALUE"""),247.12)</f>
        <v>247.12</v>
      </c>
      <c r="D2710" s="1">
        <f ca="1">IFERROR(__xludf.DUMMYFUNCTION("""COMPUTED_VALUE"""),240.51)</f>
        <v>240.51</v>
      </c>
      <c r="E2710" s="1">
        <f ca="1">IFERROR(__xludf.DUMMYFUNCTION("""COMPUTED_VALUE"""),245.45)</f>
        <v>245.45</v>
      </c>
      <c r="F2710" s="1">
        <f ca="1">IFERROR(__xludf.DUMMYFUNCTION("""COMPUTED_VALUE"""),22111572)</f>
        <v>22111572</v>
      </c>
    </row>
    <row r="2711" spans="1:6" x14ac:dyDescent="0.35">
      <c r="A2711" s="2">
        <f ca="1">IFERROR(__xludf.DUMMYFUNCTION("""COMPUTED_VALUE"""),45945.6666666666)</f>
        <v>45945.666666666599</v>
      </c>
      <c r="B2711" s="1">
        <f ca="1">IFERROR(__xludf.DUMMYFUNCTION("""COMPUTED_VALUE"""),247.25)</f>
        <v>247.25</v>
      </c>
      <c r="C2711" s="1">
        <f ca="1">IFERROR(__xludf.DUMMYFUNCTION("""COMPUTED_VALUE"""),252.11)</f>
        <v>252.11</v>
      </c>
      <c r="D2711" s="1">
        <f ca="1">IFERROR(__xludf.DUMMYFUNCTION("""COMPUTED_VALUE"""),245.99)</f>
        <v>245.99</v>
      </c>
      <c r="E2711" s="1">
        <f ca="1">IFERROR(__xludf.DUMMYFUNCTION("""COMPUTED_VALUE"""),251.03)</f>
        <v>251.03</v>
      </c>
      <c r="F2711" s="1">
        <f ca="1">IFERROR(__xludf.DUMMYFUNCTION("""COMPUTED_VALUE"""),27007690)</f>
        <v>27007690</v>
      </c>
    </row>
    <row r="2712" spans="1:6" x14ac:dyDescent="0.35">
      <c r="A2712" s="2">
        <f ca="1">IFERROR(__xludf.DUMMYFUNCTION("""COMPUTED_VALUE"""),45946.6666666666)</f>
        <v>45946.666666666599</v>
      </c>
      <c r="B2712" s="1">
        <f ca="1">IFERROR(__xludf.DUMMYFUNCTION("""COMPUTED_VALUE"""),251.77)</f>
        <v>251.77</v>
      </c>
      <c r="C2712" s="1">
        <f ca="1">IFERROR(__xludf.DUMMYFUNCTION("""COMPUTED_VALUE"""),256.96)</f>
        <v>256.95999999999998</v>
      </c>
      <c r="D2712" s="1">
        <f ca="1">IFERROR(__xludf.DUMMYFUNCTION("""COMPUTED_VALUE"""),250.1)</f>
        <v>250.1</v>
      </c>
      <c r="E2712" s="1">
        <f ca="1">IFERROR(__xludf.DUMMYFUNCTION("""COMPUTED_VALUE"""),251.46)</f>
        <v>251.46</v>
      </c>
      <c r="F2712" s="1">
        <f ca="1">IFERROR(__xludf.DUMMYFUNCTION("""COMPUTED_VALUE"""),27997159)</f>
        <v>27997159</v>
      </c>
    </row>
    <row r="2713" spans="1:6" x14ac:dyDescent="0.35">
      <c r="A2713" s="2">
        <f ca="1">IFERROR(__xludf.DUMMYFUNCTION("""COMPUTED_VALUE"""),45947.6666666666)</f>
        <v>45947.666666666599</v>
      </c>
      <c r="B2713" s="1">
        <f ca="1">IFERROR(__xludf.DUMMYFUNCTION("""COMPUTED_VALUE"""),250.76)</f>
        <v>250.76</v>
      </c>
      <c r="C2713" s="1">
        <f ca="1">IFERROR(__xludf.DUMMYFUNCTION("""COMPUTED_VALUE"""),254.22)</f>
        <v>254.22</v>
      </c>
      <c r="D2713" s="1">
        <f ca="1">IFERROR(__xludf.DUMMYFUNCTION("""COMPUTED_VALUE"""),247.81)</f>
        <v>247.81</v>
      </c>
      <c r="E2713" s="1">
        <f ca="1">IFERROR(__xludf.DUMMYFUNCTION("""COMPUTED_VALUE"""),253.3)</f>
        <v>253.3</v>
      </c>
      <c r="F2713" s="1">
        <f ca="1">IFERROR(__xludf.DUMMYFUNCTION("""COMPUTED_VALUE"""),29671629)</f>
        <v>29671629</v>
      </c>
    </row>
    <row r="2714" spans="1:6" x14ac:dyDescent="0.35">
      <c r="A2714" s="2">
        <f ca="1">IFERROR(__xludf.DUMMYFUNCTION("""COMPUTED_VALUE"""),45950.6666666666)</f>
        <v>45950.666666666599</v>
      </c>
      <c r="B2714" s="1">
        <f ca="1">IFERROR(__xludf.DUMMYFUNCTION("""COMPUTED_VALUE"""),254.69)</f>
        <v>254.69</v>
      </c>
      <c r="C2714" s="1">
        <f ca="1">IFERROR(__xludf.DUMMYFUNCTION("""COMPUTED_VALUE"""),257.33)</f>
        <v>257.33</v>
      </c>
      <c r="D2714" s="1">
        <f ca="1">IFERROR(__xludf.DUMMYFUNCTION("""COMPUTED_VALUE"""),254.23)</f>
        <v>254.23</v>
      </c>
      <c r="E2714" s="1">
        <f ca="1">IFERROR(__xludf.DUMMYFUNCTION("""COMPUTED_VALUE"""),256.55)</f>
        <v>256.55</v>
      </c>
      <c r="F2714" s="1">
        <f ca="1">IFERROR(__xludf.DUMMYFUNCTION("""COMPUTED_VALUE"""),22350155)</f>
        <v>22350155</v>
      </c>
    </row>
    <row r="2715" spans="1:6" x14ac:dyDescent="0.35">
      <c r="A2715" s="2">
        <f ca="1">IFERROR(__xludf.DUMMYFUNCTION("""COMPUTED_VALUE"""),45951.6666666666)</f>
        <v>45951.666666666599</v>
      </c>
      <c r="B2715" s="1">
        <f ca="1">IFERROR(__xludf.DUMMYFUNCTION("""COMPUTED_VALUE"""),254.74)</f>
        <v>254.74</v>
      </c>
      <c r="C2715" s="1">
        <f ca="1">IFERROR(__xludf.DUMMYFUNCTION("""COMPUTED_VALUE"""),254.88)</f>
        <v>254.88</v>
      </c>
      <c r="D2715" s="1">
        <f ca="1">IFERROR(__xludf.DUMMYFUNCTION("""COMPUTED_VALUE"""),244.15)</f>
        <v>244.15</v>
      </c>
      <c r="E2715" s="1">
        <f ca="1">IFERROR(__xludf.DUMMYFUNCTION("""COMPUTED_VALUE"""),250.46)</f>
        <v>250.46</v>
      </c>
      <c r="F2715" s="1">
        <f ca="1">IFERROR(__xludf.DUMMYFUNCTION("""COMPUTED_VALUE"""),47312098)</f>
        <v>47312098</v>
      </c>
    </row>
    <row r="2716" spans="1:6" x14ac:dyDescent="0.35">
      <c r="A2716" s="2">
        <f ca="1">IFERROR(__xludf.DUMMYFUNCTION("""COMPUTED_VALUE"""),45952.6666666666)</f>
        <v>45952.666666666599</v>
      </c>
      <c r="B2716" s="1">
        <f ca="1">IFERROR(__xludf.DUMMYFUNCTION("""COMPUTED_VALUE"""),254.37)</f>
        <v>254.37</v>
      </c>
      <c r="C2716" s="1">
        <f ca="1">IFERROR(__xludf.DUMMYFUNCTION("""COMPUTED_VALUE"""),256.36)</f>
        <v>256.36</v>
      </c>
      <c r="D2716" s="1">
        <f ca="1">IFERROR(__xludf.DUMMYFUNCTION("""COMPUTED_VALUE"""),249.29)</f>
        <v>249.29</v>
      </c>
      <c r="E2716" s="1">
        <f ca="1">IFERROR(__xludf.DUMMYFUNCTION("""COMPUTED_VALUE"""),251.69)</f>
        <v>251.69</v>
      </c>
      <c r="F2716" s="1">
        <f ca="1">IFERROR(__xludf.DUMMYFUNCTION("""COMPUTED_VALUE"""),35029370)</f>
        <v>35029370</v>
      </c>
    </row>
    <row r="2717" spans="1:6" x14ac:dyDescent="0.35">
      <c r="A2717" s="2">
        <f ca="1">IFERROR(__xludf.DUMMYFUNCTION("""COMPUTED_VALUE"""),45953.6666666666)</f>
        <v>45953.666666666599</v>
      </c>
      <c r="B2717" s="1">
        <f ca="1">IFERROR(__xludf.DUMMYFUNCTION("""COMPUTED_VALUE"""),252.98)</f>
        <v>252.98</v>
      </c>
      <c r="C2717" s="1">
        <f ca="1">IFERROR(__xludf.DUMMYFUNCTION("""COMPUTED_VALUE"""),255.04)</f>
        <v>255.04</v>
      </c>
      <c r="D2717" s="1">
        <f ca="1">IFERROR(__xludf.DUMMYFUNCTION("""COMPUTED_VALUE"""),251.85)</f>
        <v>251.85</v>
      </c>
      <c r="E2717" s="1">
        <f ca="1">IFERROR(__xludf.DUMMYFUNCTION("""COMPUTED_VALUE"""),253.08)</f>
        <v>253.08</v>
      </c>
      <c r="F2717" s="1">
        <f ca="1">IFERROR(__xludf.DUMMYFUNCTION("""COMPUTED_VALUE"""),19901425)</f>
        <v>19901425</v>
      </c>
    </row>
    <row r="2718" spans="1:6" x14ac:dyDescent="0.35">
      <c r="A2718" s="2">
        <f ca="1">IFERROR(__xludf.DUMMYFUNCTION("""COMPUTED_VALUE"""),45954.6666666666)</f>
        <v>45954.666666666599</v>
      </c>
      <c r="B2718" s="1">
        <f ca="1">IFERROR(__xludf.DUMMYFUNCTION("""COMPUTED_VALUE"""),256.58)</f>
        <v>256.58</v>
      </c>
      <c r="C2718" s="1">
        <f ca="1">IFERROR(__xludf.DUMMYFUNCTION("""COMPUTED_VALUE"""),261.68)</f>
        <v>261.68</v>
      </c>
      <c r="D2718" s="1">
        <f ca="1">IFERROR(__xludf.DUMMYFUNCTION("""COMPUTED_VALUE"""),255.32)</f>
        <v>255.32</v>
      </c>
      <c r="E2718" s="1">
        <f ca="1">IFERROR(__xludf.DUMMYFUNCTION("""COMPUTED_VALUE"""),259.92)</f>
        <v>259.92</v>
      </c>
      <c r="F2718" s="1">
        <f ca="1">IFERROR(__xludf.DUMMYFUNCTION("""COMPUTED_VALUE"""),28655126)</f>
        <v>28655126</v>
      </c>
    </row>
    <row r="2719" spans="1:6" x14ac:dyDescent="0.35">
      <c r="A2719" s="2">
        <f ca="1">IFERROR(__xludf.DUMMYFUNCTION("""COMPUTED_VALUE"""),45957.6666666666)</f>
        <v>45957.666666666599</v>
      </c>
      <c r="B2719" s="1">
        <f ca="1">IFERROR(__xludf.DUMMYFUNCTION("""COMPUTED_VALUE"""),264.82)</f>
        <v>264.82</v>
      </c>
      <c r="C2719" s="1">
        <f ca="1">IFERROR(__xludf.DUMMYFUNCTION("""COMPUTED_VALUE"""),270.14)</f>
        <v>270.14</v>
      </c>
      <c r="D2719" s="1">
        <f ca="1">IFERROR(__xludf.DUMMYFUNCTION("""COMPUTED_VALUE"""),264.28)</f>
        <v>264.27999999999997</v>
      </c>
      <c r="E2719" s="1">
        <f ca="1">IFERROR(__xludf.DUMMYFUNCTION("""COMPUTED_VALUE"""),269.27)</f>
        <v>269.27</v>
      </c>
      <c r="F2719" s="1">
        <f ca="1">IFERROR(__xludf.DUMMYFUNCTION("""COMPUTED_VALUE"""),35235231)</f>
        <v>35235231</v>
      </c>
    </row>
    <row r="2720" spans="1:6" x14ac:dyDescent="0.35">
      <c r="A2720" s="2">
        <f ca="1">IFERROR(__xludf.DUMMYFUNCTION("""COMPUTED_VALUE"""),45958.6666666666)</f>
        <v>45958.666666666599</v>
      </c>
      <c r="B2720" s="1">
        <f ca="1">IFERROR(__xludf.DUMMYFUNCTION("""COMPUTED_VALUE"""),269.69)</f>
        <v>269.69</v>
      </c>
      <c r="C2720" s="1">
        <f ca="1">IFERROR(__xludf.DUMMYFUNCTION("""COMPUTED_VALUE"""),270.73)</f>
        <v>270.73</v>
      </c>
      <c r="D2720" s="1">
        <f ca="1">IFERROR(__xludf.DUMMYFUNCTION("""COMPUTED_VALUE"""),266.5)</f>
        <v>266.5</v>
      </c>
      <c r="E2720" s="1">
        <f ca="1">IFERROR(__xludf.DUMMYFUNCTION("""COMPUTED_VALUE"""),267.47)</f>
        <v>267.47000000000003</v>
      </c>
      <c r="F2720" s="1">
        <f ca="1">IFERROR(__xludf.DUMMYFUNCTION("""COMPUTED_VALUE"""),29738564)</f>
        <v>29738564</v>
      </c>
    </row>
    <row r="2721" spans="1:6" x14ac:dyDescent="0.35">
      <c r="A2721" s="2">
        <f ca="1">IFERROR(__xludf.DUMMYFUNCTION("""COMPUTED_VALUE"""),45959.6666666666)</f>
        <v>45959.666666666599</v>
      </c>
      <c r="B2721" s="1">
        <f ca="1">IFERROR(__xludf.DUMMYFUNCTION("""COMPUTED_VALUE"""),267.75)</f>
        <v>267.75</v>
      </c>
      <c r="C2721" s="1">
        <f ca="1">IFERROR(__xludf.DUMMYFUNCTION("""COMPUTED_VALUE"""),275.34)</f>
        <v>275.33999999999997</v>
      </c>
      <c r="D2721" s="1">
        <f ca="1">IFERROR(__xludf.DUMMYFUNCTION("""COMPUTED_VALUE"""),267.67)</f>
        <v>267.67</v>
      </c>
      <c r="E2721" s="1">
        <f ca="1">IFERROR(__xludf.DUMMYFUNCTION("""COMPUTED_VALUE"""),274.57)</f>
        <v>274.57</v>
      </c>
      <c r="F2721" s="1">
        <f ca="1">IFERROR(__xludf.DUMMYFUNCTION("""COMPUTED_VALUE"""),43580277)</f>
        <v>43580277</v>
      </c>
    </row>
    <row r="2722" spans="1:6" x14ac:dyDescent="0.35">
      <c r="A2722" s="2">
        <f ca="1">IFERROR(__xludf.DUMMYFUNCTION("""COMPUTED_VALUE"""),45960.6666666666)</f>
        <v>45960.666666666599</v>
      </c>
      <c r="B2722" s="1">
        <f ca="1">IFERROR(__xludf.DUMMYFUNCTION("""COMPUTED_VALUE"""),291.59)</f>
        <v>291.58999999999997</v>
      </c>
      <c r="C2722" s="1">
        <f ca="1">IFERROR(__xludf.DUMMYFUNCTION("""COMPUTED_VALUE"""),291.59)</f>
        <v>291.58999999999997</v>
      </c>
      <c r="D2722" s="1">
        <f ca="1">IFERROR(__xludf.DUMMYFUNCTION("""COMPUTED_VALUE"""),280.06)</f>
        <v>280.06</v>
      </c>
      <c r="E2722" s="1">
        <f ca="1">IFERROR(__xludf.DUMMYFUNCTION("""COMPUTED_VALUE"""),281.48)</f>
        <v>281.48</v>
      </c>
      <c r="F2722" s="1">
        <f ca="1">IFERROR(__xludf.DUMMYFUNCTION("""COMPUTED_VALUE"""),74875990)</f>
        <v>74875990</v>
      </c>
    </row>
    <row r="2723" spans="1:6" x14ac:dyDescent="0.35">
      <c r="A2723" s="2">
        <f ca="1">IFERROR(__xludf.DUMMYFUNCTION("""COMPUTED_VALUE"""),45961.6666666666)</f>
        <v>45961.666666666599</v>
      </c>
      <c r="B2723" s="1">
        <f ca="1">IFERROR(__xludf.DUMMYFUNCTION("""COMPUTED_VALUE"""),283.21)</f>
        <v>283.20999999999998</v>
      </c>
      <c r="C2723" s="1">
        <f ca="1">IFERROR(__xludf.DUMMYFUNCTION("""COMPUTED_VALUE"""),286)</f>
        <v>286</v>
      </c>
      <c r="D2723" s="1">
        <f ca="1">IFERROR(__xludf.DUMMYFUNCTION("""COMPUTED_VALUE"""),277.03)</f>
        <v>277.02999999999997</v>
      </c>
      <c r="E2723" s="1">
        <f ca="1">IFERROR(__xludf.DUMMYFUNCTION("""COMPUTED_VALUE"""),281.19)</f>
        <v>281.19</v>
      </c>
      <c r="F2723" s="1">
        <f ca="1">IFERROR(__xludf.DUMMYFUNCTION("""COMPUTED_VALUE"""),39267945)</f>
        <v>39267945</v>
      </c>
    </row>
    <row r="2724" spans="1:6" x14ac:dyDescent="0.35">
      <c r="A2724" s="2">
        <f ca="1">IFERROR(__xludf.DUMMYFUNCTION("""COMPUTED_VALUE"""),45964.6666666666)</f>
        <v>45964.666666666599</v>
      </c>
      <c r="B2724" s="1">
        <f ca="1">IFERROR(__xludf.DUMMYFUNCTION("""COMPUTED_VALUE"""),282.18)</f>
        <v>282.18</v>
      </c>
      <c r="C2724" s="1">
        <f ca="1">IFERROR(__xludf.DUMMYFUNCTION("""COMPUTED_VALUE"""),285.53)</f>
        <v>285.52999999999997</v>
      </c>
      <c r="D2724" s="1">
        <f ca="1">IFERROR(__xludf.DUMMYFUNCTION("""COMPUTED_VALUE"""),279.8)</f>
        <v>279.8</v>
      </c>
      <c r="E2724" s="1">
        <f ca="1">IFERROR(__xludf.DUMMYFUNCTION("""COMPUTED_VALUE"""),283.72)</f>
        <v>283.72000000000003</v>
      </c>
      <c r="F2724" s="1">
        <f ca="1">IFERROR(__xludf.DUMMYFUNCTION("""COMPUTED_VALUE"""),29785996)</f>
        <v>29785996</v>
      </c>
    </row>
    <row r="2725" spans="1:6" x14ac:dyDescent="0.35">
      <c r="A2725" s="2">
        <f ca="1">IFERROR(__xludf.DUMMYFUNCTION("""COMPUTED_VALUE"""),45965.6666666666)</f>
        <v>45965.666666666599</v>
      </c>
      <c r="B2725" s="1">
        <f ca="1">IFERROR(__xludf.DUMMYFUNCTION("""COMPUTED_VALUE"""),276.75)</f>
        <v>276.75</v>
      </c>
      <c r="C2725" s="1">
        <f ca="1">IFERROR(__xludf.DUMMYFUNCTION("""COMPUTED_VALUE"""),281.27)</f>
        <v>281.27</v>
      </c>
      <c r="D2725" s="1">
        <f ca="1">IFERROR(__xludf.DUMMYFUNCTION("""COMPUTED_VALUE"""),276.26)</f>
        <v>276.26</v>
      </c>
      <c r="E2725" s="1">
        <f ca="1">IFERROR(__xludf.DUMMYFUNCTION("""COMPUTED_VALUE"""),277.54)</f>
        <v>277.54000000000002</v>
      </c>
      <c r="F2725" s="1">
        <f ca="1">IFERROR(__xludf.DUMMYFUNCTION("""COMPUTED_VALUE"""),30078369)</f>
        <v>30078369</v>
      </c>
    </row>
    <row r="2726" spans="1:6" x14ac:dyDescent="0.35">
      <c r="A2726" s="2">
        <f ca="1">IFERROR(__xludf.DUMMYFUNCTION("""COMPUTED_VALUE"""),45966.6666666666)</f>
        <v>45966.666666666599</v>
      </c>
      <c r="B2726" s="1">
        <f ca="1">IFERROR(__xludf.DUMMYFUNCTION("""COMPUTED_VALUE"""),278.87)</f>
        <v>278.87</v>
      </c>
      <c r="C2726" s="1">
        <f ca="1">IFERROR(__xludf.DUMMYFUNCTION("""COMPUTED_VALUE"""),286.42)</f>
        <v>286.42</v>
      </c>
      <c r="D2726" s="1">
        <f ca="1">IFERROR(__xludf.DUMMYFUNCTION("""COMPUTED_VALUE"""),277.34)</f>
        <v>277.33999999999997</v>
      </c>
      <c r="E2726" s="1">
        <f ca="1">IFERROR(__xludf.DUMMYFUNCTION("""COMPUTED_VALUE"""),284.31)</f>
        <v>284.31</v>
      </c>
      <c r="F2726" s="1">
        <f ca="1">IFERROR(__xludf.DUMMYFUNCTION("""COMPUTED_VALUE"""),31010302)</f>
        <v>31010302</v>
      </c>
    </row>
    <row r="2727" spans="1:6" x14ac:dyDescent="0.35">
      <c r="A2727" s="2">
        <f ca="1">IFERROR(__xludf.DUMMYFUNCTION("""COMPUTED_VALUE"""),45967.6666666666)</f>
        <v>45967.666666666599</v>
      </c>
      <c r="B2727" s="1">
        <f ca="1">IFERROR(__xludf.DUMMYFUNCTION("""COMPUTED_VALUE"""),285.33)</f>
        <v>285.33</v>
      </c>
      <c r="C2727" s="1">
        <f ca="1">IFERROR(__xludf.DUMMYFUNCTION("""COMPUTED_VALUE"""),288.35)</f>
        <v>288.35000000000002</v>
      </c>
      <c r="D2727" s="1">
        <f ca="1">IFERROR(__xludf.DUMMYFUNCTION("""COMPUTED_VALUE"""),281.14)</f>
        <v>281.14</v>
      </c>
      <c r="E2727" s="1">
        <f ca="1">IFERROR(__xludf.DUMMYFUNCTION("""COMPUTED_VALUE"""),284.75)</f>
        <v>284.75</v>
      </c>
      <c r="F2727" s="1">
        <f ca="1">IFERROR(__xludf.DUMMYFUNCTION("""COMPUTED_VALUE"""),37173648)</f>
        <v>37173648</v>
      </c>
    </row>
    <row r="2728" spans="1:6" x14ac:dyDescent="0.35">
      <c r="A2728" s="2">
        <f ca="1">IFERROR(__xludf.DUMMYFUNCTION("""COMPUTED_VALUE"""),45968.6666666666)</f>
        <v>45968.666666666599</v>
      </c>
      <c r="B2728" s="1">
        <f ca="1">IFERROR(__xludf.DUMMYFUNCTION("""COMPUTED_VALUE"""),283.21)</f>
        <v>283.20999999999998</v>
      </c>
      <c r="C2728" s="1">
        <f ca="1">IFERROR(__xludf.DUMMYFUNCTION("""COMPUTED_VALUE"""),283.78)</f>
        <v>283.77999999999997</v>
      </c>
      <c r="D2728" s="1">
        <f ca="1">IFERROR(__xludf.DUMMYFUNCTION("""COMPUTED_VALUE"""),275.19)</f>
        <v>275.19</v>
      </c>
      <c r="E2728" s="1">
        <f ca="1">IFERROR(__xludf.DUMMYFUNCTION("""COMPUTED_VALUE"""),278.83)</f>
        <v>278.83</v>
      </c>
      <c r="F2728" s="1">
        <f ca="1">IFERROR(__xludf.DUMMYFUNCTION("""COMPUTED_VALUE"""),34479588)</f>
        <v>34479588</v>
      </c>
    </row>
    <row r="2729" spans="1:6" x14ac:dyDescent="0.35">
      <c r="A2729" s="2">
        <f ca="1">IFERROR(__xludf.DUMMYFUNCTION("""COMPUTED_VALUE"""),45971.6666666666)</f>
        <v>45971.666666666599</v>
      </c>
      <c r="B2729" s="1">
        <f ca="1">IFERROR(__xludf.DUMMYFUNCTION("""COMPUTED_VALUE"""),284.42)</f>
        <v>284.42</v>
      </c>
      <c r="C2729" s="1">
        <f ca="1">IFERROR(__xludf.DUMMYFUNCTION("""COMPUTED_VALUE"""),290.8)</f>
        <v>290.8</v>
      </c>
      <c r="D2729" s="1">
        <f ca="1">IFERROR(__xludf.DUMMYFUNCTION("""COMPUTED_VALUE"""),282.86)</f>
        <v>282.86</v>
      </c>
      <c r="E2729" s="1">
        <f ca="1">IFERROR(__xludf.DUMMYFUNCTION("""COMPUTED_VALUE"""),290.1)</f>
        <v>290.10000000000002</v>
      </c>
      <c r="F2729" s="1">
        <f ca="1">IFERROR(__xludf.DUMMYFUNCTION("""COMPUTED_VALUE"""),29557309)</f>
        <v>29557309</v>
      </c>
    </row>
    <row r="2730" spans="1:6" x14ac:dyDescent="0.35">
      <c r="A2730" s="2">
        <f ca="1">IFERROR(__xludf.DUMMYFUNCTION("""COMPUTED_VALUE"""),45972.6666666666)</f>
        <v>45972.666666666599</v>
      </c>
      <c r="B2730" s="1">
        <f ca="1">IFERROR(__xludf.DUMMYFUNCTION("""COMPUTED_VALUE"""),287.75)</f>
        <v>287.75</v>
      </c>
      <c r="C2730" s="1">
        <f ca="1">IFERROR(__xludf.DUMMYFUNCTION("""COMPUTED_VALUE"""),291.92)</f>
        <v>291.92</v>
      </c>
      <c r="D2730" s="1">
        <f ca="1">IFERROR(__xludf.DUMMYFUNCTION("""COMPUTED_VALUE"""),287.32)</f>
        <v>287.32</v>
      </c>
      <c r="E2730" s="1">
        <f ca="1">IFERROR(__xludf.DUMMYFUNCTION("""COMPUTED_VALUE"""),291.31)</f>
        <v>291.31</v>
      </c>
      <c r="F2730" s="1">
        <f ca="1">IFERROR(__xludf.DUMMYFUNCTION("""COMPUTED_VALUE"""),19842136)</f>
        <v>19842136</v>
      </c>
    </row>
    <row r="2731" spans="1:6" x14ac:dyDescent="0.35">
      <c r="A2731" s="2">
        <f ca="1">IFERROR(__xludf.DUMMYFUNCTION("""COMPUTED_VALUE"""),45973.6666666666)</f>
        <v>45973.666666666599</v>
      </c>
      <c r="B2731" s="1">
        <f ca="1">IFERROR(__xludf.DUMMYFUNCTION("""COMPUTED_VALUE"""),291.68)</f>
        <v>291.68</v>
      </c>
      <c r="C2731" s="1">
        <f ca="1">IFERROR(__xludf.DUMMYFUNCTION("""COMPUTED_VALUE"""),292.01)</f>
        <v>292.01</v>
      </c>
      <c r="D2731" s="1">
        <f ca="1">IFERROR(__xludf.DUMMYFUNCTION("""COMPUTED_VALUE"""),283.69)</f>
        <v>283.69</v>
      </c>
      <c r="E2731" s="1">
        <f ca="1">IFERROR(__xludf.DUMMYFUNCTION("""COMPUTED_VALUE"""),286.71)</f>
        <v>286.70999999999998</v>
      </c>
      <c r="F2731" s="1">
        <f ca="1">IFERROR(__xludf.DUMMYFUNCTION("""COMPUTED_VALUE"""),24829923)</f>
        <v>24829923</v>
      </c>
    </row>
    <row r="2732" spans="1:6" x14ac:dyDescent="0.35">
      <c r="A2732" s="2">
        <f ca="1">IFERROR(__xludf.DUMMYFUNCTION("""COMPUTED_VALUE"""),45974.6666666666)</f>
        <v>45974.666666666599</v>
      </c>
      <c r="B2732" s="1">
        <f ca="1">IFERROR(__xludf.DUMMYFUNCTION("""COMPUTED_VALUE"""),282.34)</f>
        <v>282.33999999999997</v>
      </c>
      <c r="C2732" s="1">
        <f ca="1">IFERROR(__xludf.DUMMYFUNCTION("""COMPUTED_VALUE"""),282.84)</f>
        <v>282.83999999999997</v>
      </c>
      <c r="D2732" s="1">
        <f ca="1">IFERROR(__xludf.DUMMYFUNCTION("""COMPUTED_VALUE"""),277.24)</f>
        <v>277.24</v>
      </c>
      <c r="E2732" s="1">
        <f ca="1">IFERROR(__xludf.DUMMYFUNCTION("""COMPUTED_VALUE"""),278.57)</f>
        <v>278.57</v>
      </c>
      <c r="F2732" s="1">
        <f ca="1">IFERROR(__xludf.DUMMYFUNCTION("""COMPUTED_VALUE"""),29494040)</f>
        <v>29494040</v>
      </c>
    </row>
    <row r="2733" spans="1:6" x14ac:dyDescent="0.35">
      <c r="A2733" s="2">
        <f ca="1">IFERROR(__xludf.DUMMYFUNCTION("""COMPUTED_VALUE"""),45975.6666666666)</f>
        <v>45975.666666666599</v>
      </c>
      <c r="B2733" s="1">
        <f ca="1">IFERROR(__xludf.DUMMYFUNCTION("""COMPUTED_VALUE"""),271.4)</f>
        <v>271.39999999999998</v>
      </c>
      <c r="C2733" s="1">
        <f ca="1">IFERROR(__xludf.DUMMYFUNCTION("""COMPUTED_VALUE"""),278.56)</f>
        <v>278.56</v>
      </c>
      <c r="D2733" s="1">
        <f ca="1">IFERROR(__xludf.DUMMYFUNCTION("""COMPUTED_VALUE"""),270.7)</f>
        <v>270.7</v>
      </c>
      <c r="E2733" s="1">
        <f ca="1">IFERROR(__xludf.DUMMYFUNCTION("""COMPUTED_VALUE"""),276.41)</f>
        <v>276.41000000000003</v>
      </c>
      <c r="F2733" s="1">
        <f ca="1">IFERROR(__xludf.DUMMYFUNCTION("""COMPUTED_VALUE"""),31647227)</f>
        <v>31647227</v>
      </c>
    </row>
    <row r="2734" spans="1:6" x14ac:dyDescent="0.35">
      <c r="A2734" s="2">
        <f ca="1">IFERROR(__xludf.DUMMYFUNCTION("""COMPUTED_VALUE"""),45978.6666666666)</f>
        <v>45978.666666666599</v>
      </c>
      <c r="B2734" s="1">
        <f ca="1">IFERROR(__xludf.DUMMYFUNCTION("""COMPUTED_VALUE"""),285.77)</f>
        <v>285.77</v>
      </c>
      <c r="C2734" s="1">
        <f ca="1">IFERROR(__xludf.DUMMYFUNCTION("""COMPUTED_VALUE"""),293.95)</f>
        <v>293.95</v>
      </c>
      <c r="D2734" s="1">
        <f ca="1">IFERROR(__xludf.DUMMYFUNCTION("""COMPUTED_VALUE"""),283.57)</f>
        <v>283.57</v>
      </c>
      <c r="E2734" s="1">
        <f ca="1">IFERROR(__xludf.DUMMYFUNCTION("""COMPUTED_VALUE"""),285.02)</f>
        <v>285.02</v>
      </c>
      <c r="F2734" s="1">
        <f ca="1">IFERROR(__xludf.DUMMYFUNCTION("""COMPUTED_VALUE"""),52670192)</f>
        <v>52670192</v>
      </c>
    </row>
    <row r="2735" spans="1:6" x14ac:dyDescent="0.35">
      <c r="A2735" s="2">
        <f ca="1">IFERROR(__xludf.DUMMYFUNCTION("""COMPUTED_VALUE"""),45979.6666666666)</f>
        <v>45979.666666666599</v>
      </c>
      <c r="B2735" s="1">
        <f ca="1">IFERROR(__xludf.DUMMYFUNCTION("""COMPUTED_VALUE"""),287.92)</f>
        <v>287.92</v>
      </c>
      <c r="C2735" s="1">
        <f ca="1">IFERROR(__xludf.DUMMYFUNCTION("""COMPUTED_VALUE"""),288.8)</f>
        <v>288.8</v>
      </c>
      <c r="D2735" s="1">
        <f ca="1">IFERROR(__xludf.DUMMYFUNCTION("""COMPUTED_VALUE"""),278.2)</f>
        <v>278.2</v>
      </c>
      <c r="E2735" s="1">
        <f ca="1">IFERROR(__xludf.DUMMYFUNCTION("""COMPUTED_VALUE"""),284.28)</f>
        <v>284.27999999999997</v>
      </c>
      <c r="F2735" s="1">
        <f ca="1">IFERROR(__xludf.DUMMYFUNCTION("""COMPUTED_VALUE"""),49158743)</f>
        <v>49158743</v>
      </c>
    </row>
    <row r="2736" spans="1:6" x14ac:dyDescent="0.35">
      <c r="A2736" s="2">
        <f ca="1">IFERROR(__xludf.DUMMYFUNCTION("""COMPUTED_VALUE"""),45980.6666666666)</f>
        <v>45980.666666666599</v>
      </c>
      <c r="B2736" s="1">
        <f ca="1">IFERROR(__xludf.DUMMYFUNCTION("""COMPUTED_VALUE"""),287.16)</f>
        <v>287.16000000000003</v>
      </c>
      <c r="C2736" s="1">
        <f ca="1">IFERROR(__xludf.DUMMYFUNCTION("""COMPUTED_VALUE"""),303.81)</f>
        <v>303.81</v>
      </c>
      <c r="D2736" s="1">
        <f ca="1">IFERROR(__xludf.DUMMYFUNCTION("""COMPUTED_VALUE"""),286.63)</f>
        <v>286.63</v>
      </c>
      <c r="E2736" s="1">
        <f ca="1">IFERROR(__xludf.DUMMYFUNCTION("""COMPUTED_VALUE"""),292.81)</f>
        <v>292.81</v>
      </c>
      <c r="F2736" s="1">
        <f ca="1">IFERROR(__xludf.DUMMYFUNCTION("""COMPUTED_VALUE"""),68198944)</f>
        <v>68198944</v>
      </c>
    </row>
    <row r="2737" spans="1:6" x14ac:dyDescent="0.35">
      <c r="A2737" s="2">
        <f ca="1">IFERROR(__xludf.DUMMYFUNCTION("""COMPUTED_VALUE"""),45981.6666666666)</f>
        <v>45981.666666666599</v>
      </c>
      <c r="B2737" s="1">
        <f ca="1">IFERROR(__xludf.DUMMYFUNCTION("""COMPUTED_VALUE"""),304.54)</f>
        <v>304.54000000000002</v>
      </c>
      <c r="C2737" s="1">
        <f ca="1">IFERROR(__xludf.DUMMYFUNCTION("""COMPUTED_VALUE"""),306.42)</f>
        <v>306.42</v>
      </c>
      <c r="D2737" s="1">
        <f ca="1">IFERROR(__xludf.DUMMYFUNCTION("""COMPUTED_VALUE"""),288.67)</f>
        <v>288.67</v>
      </c>
      <c r="E2737" s="1">
        <f ca="1">IFERROR(__xludf.DUMMYFUNCTION("""COMPUTED_VALUE"""),289.45)</f>
        <v>289.45</v>
      </c>
      <c r="F2737" s="1">
        <f ca="1">IFERROR(__xludf.DUMMYFUNCTION("""COMPUTED_VALUE"""),62025218)</f>
        <v>62025218</v>
      </c>
    </row>
    <row r="2738" spans="1:6" x14ac:dyDescent="0.35">
      <c r="A2738" s="2">
        <f ca="1">IFERROR(__xludf.DUMMYFUNCTION("""COMPUTED_VALUE"""),45982.6666666666)</f>
        <v>45982.666666666599</v>
      </c>
      <c r="B2738" s="1">
        <f ca="1">IFERROR(__xludf.DUMMYFUNCTION("""COMPUTED_VALUE"""),296.42)</f>
        <v>296.42</v>
      </c>
      <c r="C2738" s="1">
        <f ca="1">IFERROR(__xludf.DUMMYFUNCTION("""COMPUTED_VALUE"""),303.92)</f>
        <v>303.92</v>
      </c>
      <c r="D2738" s="1">
        <f ca="1">IFERROR(__xludf.DUMMYFUNCTION("""COMPUTED_VALUE"""),293.85)</f>
        <v>293.85000000000002</v>
      </c>
      <c r="E2738" s="1">
        <f ca="1">IFERROR(__xludf.DUMMYFUNCTION("""COMPUTED_VALUE"""),299.66)</f>
        <v>299.66000000000003</v>
      </c>
      <c r="F2738" s="1">
        <f ca="1">IFERROR(__xludf.DUMMYFUNCTION("""COMPUTED_VALUE"""),74137697)</f>
        <v>74137697</v>
      </c>
    </row>
    <row r="2739" spans="1:6" x14ac:dyDescent="0.35">
      <c r="A2739" s="2">
        <f ca="1">IFERROR(__xludf.DUMMYFUNCTION("""COMPUTED_VALUE"""),45985.6666666666)</f>
        <v>45985.666666666599</v>
      </c>
      <c r="B2739" s="1">
        <f ca="1">IFERROR(__xludf.DUMMYFUNCTION("""COMPUTED_VALUE"""),311.13)</f>
        <v>311.13</v>
      </c>
      <c r="C2739" s="1">
        <f ca="1">IFERROR(__xludf.DUMMYFUNCTION("""COMPUTED_VALUE"""),319.48)</f>
        <v>319.48</v>
      </c>
      <c r="D2739" s="1">
        <f ca="1">IFERROR(__xludf.DUMMYFUNCTION("""COMPUTED_VALUE"""),309.6)</f>
        <v>309.60000000000002</v>
      </c>
      <c r="E2739" s="1">
        <f ca="1">IFERROR(__xludf.DUMMYFUNCTION("""COMPUTED_VALUE"""),318.58)</f>
        <v>318.58</v>
      </c>
      <c r="F2739" s="1">
        <f ca="1">IFERROR(__xludf.DUMMYFUNCTION("""COMPUTED_VALUE"""),81459372)</f>
        <v>81459372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742"/>
  <sheetViews>
    <sheetView workbookViewId="0"/>
  </sheetViews>
  <sheetFormatPr defaultColWidth="12.59765625" defaultRowHeight="15.75" customHeight="1" x14ac:dyDescent="0.35"/>
  <cols>
    <col min="1" max="1" width="18.33203125" bestFit="1" customWidth="1"/>
  </cols>
  <sheetData>
    <row r="1" spans="1:6" x14ac:dyDescent="0.35">
      <c r="A1" s="1" t="str">
        <f ca="1">IFERROR(__xludf.DUMMYFUNCTION("GOOGLEFINANCE(""META"",""all"",DATE(2015,1,1),TODAY())"),"Date")</f>
        <v>Date</v>
      </c>
      <c r="B1" s="1" t="str">
        <f ca="1">IFERROR(__xludf.DUMMYFUNCTION("""COMPUTED_VALUE"""),"Open")</f>
        <v>Open</v>
      </c>
      <c r="C1" s="1" t="str">
        <f ca="1">IFERROR(__xludf.DUMMYFUNCTION("""COMPUTED_VALUE"""),"High")</f>
        <v>High</v>
      </c>
      <c r="D1" s="1" t="str">
        <f ca="1">IFERROR(__xludf.DUMMYFUNCTION("""COMPUTED_VALUE"""),"Low")</f>
        <v>Low</v>
      </c>
      <c r="E1" s="1" t="str">
        <f ca="1">IFERROR(__xludf.DUMMYFUNCTION("""COMPUTED_VALUE"""),"Close")</f>
        <v>Close</v>
      </c>
      <c r="F1" s="1" t="str">
        <f ca="1">IFERROR(__xludf.DUMMYFUNCTION("""COMPUTED_VALUE"""),"Volume")</f>
        <v>Volume</v>
      </c>
    </row>
    <row r="2" spans="1:6" x14ac:dyDescent="0.35">
      <c r="A2" s="2">
        <f ca="1">IFERROR(__xludf.DUMMYFUNCTION("""COMPUTED_VALUE"""),42006.6666666666)</f>
        <v>42006.666666666599</v>
      </c>
      <c r="B2" s="1">
        <f ca="1">IFERROR(__xludf.DUMMYFUNCTION("""COMPUTED_VALUE"""),78.58)</f>
        <v>78.58</v>
      </c>
      <c r="C2" s="1">
        <f ca="1">IFERROR(__xludf.DUMMYFUNCTION("""COMPUTED_VALUE"""),78.93)</f>
        <v>78.930000000000007</v>
      </c>
      <c r="D2" s="1">
        <f ca="1">IFERROR(__xludf.DUMMYFUNCTION("""COMPUTED_VALUE"""),77.7)</f>
        <v>77.7</v>
      </c>
      <c r="E2" s="1">
        <f ca="1">IFERROR(__xludf.DUMMYFUNCTION("""COMPUTED_VALUE"""),78.45)</f>
        <v>78.45</v>
      </c>
      <c r="F2" s="1">
        <f ca="1">IFERROR(__xludf.DUMMYFUNCTION("""COMPUTED_VALUE"""),18177475)</f>
        <v>18177475</v>
      </c>
    </row>
    <row r="3" spans="1:6" x14ac:dyDescent="0.35">
      <c r="A3" s="2">
        <f ca="1">IFERROR(__xludf.DUMMYFUNCTION("""COMPUTED_VALUE"""),42009.6666666666)</f>
        <v>42009.666666666599</v>
      </c>
      <c r="B3" s="1">
        <f ca="1">IFERROR(__xludf.DUMMYFUNCTION("""COMPUTED_VALUE"""),77.98)</f>
        <v>77.98</v>
      </c>
      <c r="C3" s="1">
        <f ca="1">IFERROR(__xludf.DUMMYFUNCTION("""COMPUTED_VALUE"""),79.25)</f>
        <v>79.25</v>
      </c>
      <c r="D3" s="1">
        <f ca="1">IFERROR(__xludf.DUMMYFUNCTION("""COMPUTED_VALUE"""),76.86)</f>
        <v>76.86</v>
      </c>
      <c r="E3" s="1">
        <f ca="1">IFERROR(__xludf.DUMMYFUNCTION("""COMPUTED_VALUE"""),77.19)</f>
        <v>77.19</v>
      </c>
      <c r="F3" s="1">
        <f ca="1">IFERROR(__xludf.DUMMYFUNCTION("""COMPUTED_VALUE"""),26452191)</f>
        <v>26452191</v>
      </c>
    </row>
    <row r="4" spans="1:6" x14ac:dyDescent="0.35">
      <c r="A4" s="2">
        <f ca="1">IFERROR(__xludf.DUMMYFUNCTION("""COMPUTED_VALUE"""),42010.6666666666)</f>
        <v>42010.666666666599</v>
      </c>
      <c r="B4" s="1">
        <f ca="1">IFERROR(__xludf.DUMMYFUNCTION("""COMPUTED_VALUE"""),77.23)</f>
        <v>77.23</v>
      </c>
      <c r="C4" s="1">
        <f ca="1">IFERROR(__xludf.DUMMYFUNCTION("""COMPUTED_VALUE"""),77.59)</f>
        <v>77.59</v>
      </c>
      <c r="D4" s="1">
        <f ca="1">IFERROR(__xludf.DUMMYFUNCTION("""COMPUTED_VALUE"""),75.36)</f>
        <v>75.36</v>
      </c>
      <c r="E4" s="1">
        <f ca="1">IFERROR(__xludf.DUMMYFUNCTION("""COMPUTED_VALUE"""),76.15)</f>
        <v>76.150000000000006</v>
      </c>
      <c r="F4" s="1">
        <f ca="1">IFERROR(__xludf.DUMMYFUNCTION("""COMPUTED_VALUE"""),27399288)</f>
        <v>27399288</v>
      </c>
    </row>
    <row r="5" spans="1:6" x14ac:dyDescent="0.35">
      <c r="A5" s="2">
        <f ca="1">IFERROR(__xludf.DUMMYFUNCTION("""COMPUTED_VALUE"""),42011.6666666666)</f>
        <v>42011.666666666599</v>
      </c>
      <c r="B5" s="1">
        <f ca="1">IFERROR(__xludf.DUMMYFUNCTION("""COMPUTED_VALUE"""),76.76)</f>
        <v>76.760000000000005</v>
      </c>
      <c r="C5" s="1">
        <f ca="1">IFERROR(__xludf.DUMMYFUNCTION("""COMPUTED_VALUE"""),77.36)</f>
        <v>77.36</v>
      </c>
      <c r="D5" s="1">
        <f ca="1">IFERROR(__xludf.DUMMYFUNCTION("""COMPUTED_VALUE"""),75.82)</f>
        <v>75.819999999999993</v>
      </c>
      <c r="E5" s="1">
        <f ca="1">IFERROR(__xludf.DUMMYFUNCTION("""COMPUTED_VALUE"""),76.15)</f>
        <v>76.150000000000006</v>
      </c>
      <c r="F5" s="1">
        <f ca="1">IFERROR(__xludf.DUMMYFUNCTION("""COMPUTED_VALUE"""),22045333)</f>
        <v>22045333</v>
      </c>
    </row>
    <row r="6" spans="1:6" x14ac:dyDescent="0.35">
      <c r="A6" s="2">
        <f ca="1">IFERROR(__xludf.DUMMYFUNCTION("""COMPUTED_VALUE"""),42012.6666666666)</f>
        <v>42012.666666666599</v>
      </c>
      <c r="B6" s="1">
        <f ca="1">IFERROR(__xludf.DUMMYFUNCTION("""COMPUTED_VALUE"""),76.74)</f>
        <v>76.739999999999995</v>
      </c>
      <c r="C6" s="1">
        <f ca="1">IFERROR(__xludf.DUMMYFUNCTION("""COMPUTED_VALUE"""),78.23)</f>
        <v>78.23</v>
      </c>
      <c r="D6" s="1">
        <f ca="1">IFERROR(__xludf.DUMMYFUNCTION("""COMPUTED_VALUE"""),76.08)</f>
        <v>76.08</v>
      </c>
      <c r="E6" s="1">
        <f ca="1">IFERROR(__xludf.DUMMYFUNCTION("""COMPUTED_VALUE"""),78.18)</f>
        <v>78.180000000000007</v>
      </c>
      <c r="F6" s="1">
        <f ca="1">IFERROR(__xludf.DUMMYFUNCTION("""COMPUTED_VALUE"""),23960953)</f>
        <v>23960953</v>
      </c>
    </row>
    <row r="7" spans="1:6" x14ac:dyDescent="0.35">
      <c r="A7" s="2">
        <f ca="1">IFERROR(__xludf.DUMMYFUNCTION("""COMPUTED_VALUE"""),42013.6666666666)</f>
        <v>42013.666666666599</v>
      </c>
      <c r="B7" s="1">
        <f ca="1">IFERROR(__xludf.DUMMYFUNCTION("""COMPUTED_VALUE"""),78.2)</f>
        <v>78.2</v>
      </c>
      <c r="C7" s="1">
        <f ca="1">IFERROR(__xludf.DUMMYFUNCTION("""COMPUTED_VALUE"""),78.62)</f>
        <v>78.62</v>
      </c>
      <c r="D7" s="1">
        <f ca="1">IFERROR(__xludf.DUMMYFUNCTION("""COMPUTED_VALUE"""),77.2)</f>
        <v>77.2</v>
      </c>
      <c r="E7" s="1">
        <f ca="1">IFERROR(__xludf.DUMMYFUNCTION("""COMPUTED_VALUE"""),77.74)</f>
        <v>77.739999999999995</v>
      </c>
      <c r="F7" s="1">
        <f ca="1">IFERROR(__xludf.DUMMYFUNCTION("""COMPUTED_VALUE"""),21157007)</f>
        <v>21157007</v>
      </c>
    </row>
    <row r="8" spans="1:6" x14ac:dyDescent="0.35">
      <c r="A8" s="2">
        <f ca="1">IFERROR(__xludf.DUMMYFUNCTION("""COMPUTED_VALUE"""),42016.6666666666)</f>
        <v>42016.666666666599</v>
      </c>
      <c r="B8" s="1">
        <f ca="1">IFERROR(__xludf.DUMMYFUNCTION("""COMPUTED_VALUE"""),77.84)</f>
        <v>77.84</v>
      </c>
      <c r="C8" s="1">
        <f ca="1">IFERROR(__xludf.DUMMYFUNCTION("""COMPUTED_VALUE"""),78)</f>
        <v>78</v>
      </c>
      <c r="D8" s="1">
        <f ca="1">IFERROR(__xludf.DUMMYFUNCTION("""COMPUTED_VALUE"""),76.21)</f>
        <v>76.209999999999994</v>
      </c>
      <c r="E8" s="1">
        <f ca="1">IFERROR(__xludf.DUMMYFUNCTION("""COMPUTED_VALUE"""),76.72)</f>
        <v>76.72</v>
      </c>
      <c r="F8" s="1">
        <f ca="1">IFERROR(__xludf.DUMMYFUNCTION("""COMPUTED_VALUE"""),19190194)</f>
        <v>19190194</v>
      </c>
    </row>
    <row r="9" spans="1:6" x14ac:dyDescent="0.35">
      <c r="A9" s="2">
        <f ca="1">IFERROR(__xludf.DUMMYFUNCTION("""COMPUTED_VALUE"""),42017.6666666666)</f>
        <v>42017.666666666599</v>
      </c>
      <c r="B9" s="1">
        <f ca="1">IFERROR(__xludf.DUMMYFUNCTION("""COMPUTED_VALUE"""),77.23)</f>
        <v>77.23</v>
      </c>
      <c r="C9" s="1">
        <f ca="1">IFERROR(__xludf.DUMMYFUNCTION("""COMPUTED_VALUE"""),78.08)</f>
        <v>78.08</v>
      </c>
      <c r="D9" s="1">
        <f ca="1">IFERROR(__xludf.DUMMYFUNCTION("""COMPUTED_VALUE"""),75.85)</f>
        <v>75.849999999999994</v>
      </c>
      <c r="E9" s="1">
        <f ca="1">IFERROR(__xludf.DUMMYFUNCTION("""COMPUTED_VALUE"""),76.45)</f>
        <v>76.45</v>
      </c>
      <c r="F9" s="1">
        <f ca="1">IFERROR(__xludf.DUMMYFUNCTION("""COMPUTED_VALUE"""),25179561)</f>
        <v>25179561</v>
      </c>
    </row>
    <row r="10" spans="1:6" x14ac:dyDescent="0.35">
      <c r="A10" s="2">
        <f ca="1">IFERROR(__xludf.DUMMYFUNCTION("""COMPUTED_VALUE"""),42018.6666666666)</f>
        <v>42018.666666666599</v>
      </c>
      <c r="B10" s="1">
        <f ca="1">IFERROR(__xludf.DUMMYFUNCTION("""COMPUTED_VALUE"""),76.42)</f>
        <v>76.42</v>
      </c>
      <c r="C10" s="1">
        <f ca="1">IFERROR(__xludf.DUMMYFUNCTION("""COMPUTED_VALUE"""),77.2)</f>
        <v>77.2</v>
      </c>
      <c r="D10" s="1">
        <f ca="1">IFERROR(__xludf.DUMMYFUNCTION("""COMPUTED_VALUE"""),76.03)</f>
        <v>76.03</v>
      </c>
      <c r="E10" s="1">
        <f ca="1">IFERROR(__xludf.DUMMYFUNCTION("""COMPUTED_VALUE"""),76.28)</f>
        <v>76.28</v>
      </c>
      <c r="F10" s="1">
        <f ca="1">IFERROR(__xludf.DUMMYFUNCTION("""COMPUTED_VALUE"""),25918564)</f>
        <v>25918564</v>
      </c>
    </row>
    <row r="11" spans="1:6" x14ac:dyDescent="0.35">
      <c r="A11" s="2">
        <f ca="1">IFERROR(__xludf.DUMMYFUNCTION("""COMPUTED_VALUE"""),42019.6666666666)</f>
        <v>42019.666666666599</v>
      </c>
      <c r="B11" s="1">
        <f ca="1">IFERROR(__xludf.DUMMYFUNCTION("""COMPUTED_VALUE"""),76.4)</f>
        <v>76.400000000000006</v>
      </c>
      <c r="C11" s="1">
        <f ca="1">IFERROR(__xludf.DUMMYFUNCTION("""COMPUTED_VALUE"""),76.57)</f>
        <v>76.569999999999993</v>
      </c>
      <c r="D11" s="1">
        <f ca="1">IFERROR(__xludf.DUMMYFUNCTION("""COMPUTED_VALUE"""),73.54)</f>
        <v>73.540000000000006</v>
      </c>
      <c r="E11" s="1">
        <f ca="1">IFERROR(__xludf.DUMMYFUNCTION("""COMPUTED_VALUE"""),74.05)</f>
        <v>74.05</v>
      </c>
      <c r="F11" s="1">
        <f ca="1">IFERROR(__xludf.DUMMYFUNCTION("""COMPUTED_VALUE"""),34133974)</f>
        <v>34133974</v>
      </c>
    </row>
    <row r="12" spans="1:6" x14ac:dyDescent="0.35">
      <c r="A12" s="2">
        <f ca="1">IFERROR(__xludf.DUMMYFUNCTION("""COMPUTED_VALUE"""),42020.6666666666)</f>
        <v>42020.666666666599</v>
      </c>
      <c r="B12" s="1">
        <f ca="1">IFERROR(__xludf.DUMMYFUNCTION("""COMPUTED_VALUE"""),74.04)</f>
        <v>74.040000000000006</v>
      </c>
      <c r="C12" s="1">
        <f ca="1">IFERROR(__xludf.DUMMYFUNCTION("""COMPUTED_VALUE"""),75.32)</f>
        <v>75.319999999999993</v>
      </c>
      <c r="D12" s="1">
        <f ca="1">IFERROR(__xludf.DUMMYFUNCTION("""COMPUTED_VALUE"""),73.84)</f>
        <v>73.84</v>
      </c>
      <c r="E12" s="1">
        <f ca="1">IFERROR(__xludf.DUMMYFUNCTION("""COMPUTED_VALUE"""),75.18)</f>
        <v>75.180000000000007</v>
      </c>
      <c r="F12" s="1">
        <f ca="1">IFERROR(__xludf.DUMMYFUNCTION("""COMPUTED_VALUE"""),21791529)</f>
        <v>21791529</v>
      </c>
    </row>
    <row r="13" spans="1:6" x14ac:dyDescent="0.35">
      <c r="A13" s="2">
        <f ca="1">IFERROR(__xludf.DUMMYFUNCTION("""COMPUTED_VALUE"""),42024.6666666666)</f>
        <v>42024.666666666599</v>
      </c>
      <c r="B13" s="1">
        <f ca="1">IFERROR(__xludf.DUMMYFUNCTION("""COMPUTED_VALUE"""),75.72)</f>
        <v>75.72</v>
      </c>
      <c r="C13" s="1">
        <f ca="1">IFERROR(__xludf.DUMMYFUNCTION("""COMPUTED_VALUE"""),76.31)</f>
        <v>76.31</v>
      </c>
      <c r="D13" s="1">
        <f ca="1">IFERROR(__xludf.DUMMYFUNCTION("""COMPUTED_VALUE"""),74.82)</f>
        <v>74.819999999999993</v>
      </c>
      <c r="E13" s="1">
        <f ca="1">IFERROR(__xludf.DUMMYFUNCTION("""COMPUTED_VALUE"""),76.24)</f>
        <v>76.239999999999995</v>
      </c>
      <c r="F13" s="1">
        <f ca="1">IFERROR(__xludf.DUMMYFUNCTION("""COMPUTED_VALUE"""),22821614)</f>
        <v>22821614</v>
      </c>
    </row>
    <row r="14" spans="1:6" x14ac:dyDescent="0.35">
      <c r="A14" s="2">
        <f ca="1">IFERROR(__xludf.DUMMYFUNCTION("""COMPUTED_VALUE"""),42025.6666666666)</f>
        <v>42025.666666666599</v>
      </c>
      <c r="B14" s="1">
        <f ca="1">IFERROR(__xludf.DUMMYFUNCTION("""COMPUTED_VALUE"""),76.16)</f>
        <v>76.16</v>
      </c>
      <c r="C14" s="1">
        <f ca="1">IFERROR(__xludf.DUMMYFUNCTION("""COMPUTED_VALUE"""),77.3)</f>
        <v>77.3</v>
      </c>
      <c r="D14" s="1">
        <f ca="1">IFERROR(__xludf.DUMMYFUNCTION("""COMPUTED_VALUE"""),75.85)</f>
        <v>75.849999999999994</v>
      </c>
      <c r="E14" s="1">
        <f ca="1">IFERROR(__xludf.DUMMYFUNCTION("""COMPUTED_VALUE"""),76.74)</f>
        <v>76.739999999999995</v>
      </c>
      <c r="F14" s="1">
        <f ca="1">IFERROR(__xludf.DUMMYFUNCTION("""COMPUTED_VALUE"""),25096737)</f>
        <v>25096737</v>
      </c>
    </row>
    <row r="15" spans="1:6" x14ac:dyDescent="0.35">
      <c r="A15" s="2">
        <f ca="1">IFERROR(__xludf.DUMMYFUNCTION("""COMPUTED_VALUE"""),42026.6666666666)</f>
        <v>42026.666666666599</v>
      </c>
      <c r="B15" s="1">
        <f ca="1">IFERROR(__xludf.DUMMYFUNCTION("""COMPUTED_VALUE"""),77.17)</f>
        <v>77.17</v>
      </c>
      <c r="C15" s="1">
        <f ca="1">IFERROR(__xludf.DUMMYFUNCTION("""COMPUTED_VALUE"""),77.75)</f>
        <v>77.75</v>
      </c>
      <c r="D15" s="1">
        <f ca="1">IFERROR(__xludf.DUMMYFUNCTION("""COMPUTED_VALUE"""),76.68)</f>
        <v>76.680000000000007</v>
      </c>
      <c r="E15" s="1">
        <f ca="1">IFERROR(__xludf.DUMMYFUNCTION("""COMPUTED_VALUE"""),77.65)</f>
        <v>77.650000000000006</v>
      </c>
      <c r="F15" s="1">
        <f ca="1">IFERROR(__xludf.DUMMYFUNCTION("""COMPUTED_VALUE"""),19519458)</f>
        <v>19519458</v>
      </c>
    </row>
    <row r="16" spans="1:6" x14ac:dyDescent="0.35">
      <c r="A16" s="2">
        <f ca="1">IFERROR(__xludf.DUMMYFUNCTION("""COMPUTED_VALUE"""),42027.6666666666)</f>
        <v>42027.666666666599</v>
      </c>
      <c r="B16" s="1">
        <f ca="1">IFERROR(__xludf.DUMMYFUNCTION("""COMPUTED_VALUE"""),77.65)</f>
        <v>77.650000000000006</v>
      </c>
      <c r="C16" s="1">
        <f ca="1">IFERROR(__xludf.DUMMYFUNCTION("""COMPUTED_VALUE"""),78.19)</f>
        <v>78.19</v>
      </c>
      <c r="D16" s="1">
        <f ca="1">IFERROR(__xludf.DUMMYFUNCTION("""COMPUTED_VALUE"""),77.04)</f>
        <v>77.040000000000006</v>
      </c>
      <c r="E16" s="1">
        <f ca="1">IFERROR(__xludf.DUMMYFUNCTION("""COMPUTED_VALUE"""),77.83)</f>
        <v>77.83</v>
      </c>
      <c r="F16" s="1">
        <f ca="1">IFERROR(__xludf.DUMMYFUNCTION("""COMPUTED_VALUE"""),16746503)</f>
        <v>16746503</v>
      </c>
    </row>
    <row r="17" spans="1:6" x14ac:dyDescent="0.35">
      <c r="A17" s="2">
        <f ca="1">IFERROR(__xludf.DUMMYFUNCTION("""COMPUTED_VALUE"""),42030.6666666666)</f>
        <v>42030.666666666599</v>
      </c>
      <c r="B17" s="1">
        <f ca="1">IFERROR(__xludf.DUMMYFUNCTION("""COMPUTED_VALUE"""),77.98)</f>
        <v>77.98</v>
      </c>
      <c r="C17" s="1">
        <f ca="1">IFERROR(__xludf.DUMMYFUNCTION("""COMPUTED_VALUE"""),78.47)</f>
        <v>78.47</v>
      </c>
      <c r="D17" s="1">
        <f ca="1">IFERROR(__xludf.DUMMYFUNCTION("""COMPUTED_VALUE"""),77.29)</f>
        <v>77.290000000000006</v>
      </c>
      <c r="E17" s="1">
        <f ca="1">IFERROR(__xludf.DUMMYFUNCTION("""COMPUTED_VALUE"""),77.5)</f>
        <v>77.5</v>
      </c>
      <c r="F17" s="1">
        <f ca="1">IFERROR(__xludf.DUMMYFUNCTION("""COMPUTED_VALUE"""),19260820)</f>
        <v>19260820</v>
      </c>
    </row>
    <row r="18" spans="1:6" x14ac:dyDescent="0.35">
      <c r="A18" s="2">
        <f ca="1">IFERROR(__xludf.DUMMYFUNCTION("""COMPUTED_VALUE"""),42031.6666666666)</f>
        <v>42031.666666666599</v>
      </c>
      <c r="B18" s="1">
        <f ca="1">IFERROR(__xludf.DUMMYFUNCTION("""COMPUTED_VALUE"""),76.71)</f>
        <v>76.709999999999994</v>
      </c>
      <c r="C18" s="1">
        <f ca="1">IFERROR(__xludf.DUMMYFUNCTION("""COMPUTED_VALUE"""),76.88)</f>
        <v>76.88</v>
      </c>
      <c r="D18" s="1">
        <f ca="1">IFERROR(__xludf.DUMMYFUNCTION("""COMPUTED_VALUE"""),75.63)</f>
        <v>75.63</v>
      </c>
      <c r="E18" s="1">
        <f ca="1">IFERROR(__xludf.DUMMYFUNCTION("""COMPUTED_VALUE"""),75.78)</f>
        <v>75.78</v>
      </c>
      <c r="F18" s="1">
        <f ca="1">IFERROR(__xludf.DUMMYFUNCTION("""COMPUTED_VALUE"""),20109977)</f>
        <v>20109977</v>
      </c>
    </row>
    <row r="19" spans="1:6" x14ac:dyDescent="0.35">
      <c r="A19" s="2">
        <f ca="1">IFERROR(__xludf.DUMMYFUNCTION("""COMPUTED_VALUE"""),42032.6666666666)</f>
        <v>42032.666666666599</v>
      </c>
      <c r="B19" s="1">
        <f ca="1">IFERROR(__xludf.DUMMYFUNCTION("""COMPUTED_VALUE"""),76.91)</f>
        <v>76.91</v>
      </c>
      <c r="C19" s="1">
        <f ca="1">IFERROR(__xludf.DUMMYFUNCTION("""COMPUTED_VALUE"""),77.64)</f>
        <v>77.64</v>
      </c>
      <c r="D19" s="1">
        <f ca="1">IFERROR(__xludf.DUMMYFUNCTION("""COMPUTED_VALUE"""),76)</f>
        <v>76</v>
      </c>
      <c r="E19" s="1">
        <f ca="1">IFERROR(__xludf.DUMMYFUNCTION("""COMPUTED_VALUE"""),76.24)</f>
        <v>76.239999999999995</v>
      </c>
      <c r="F19" s="1">
        <f ca="1">IFERROR(__xludf.DUMMYFUNCTION("""COMPUTED_VALUE"""),53306422)</f>
        <v>53306422</v>
      </c>
    </row>
    <row r="20" spans="1:6" x14ac:dyDescent="0.35">
      <c r="A20" s="2">
        <f ca="1">IFERROR(__xludf.DUMMYFUNCTION("""COMPUTED_VALUE"""),42033.6666666666)</f>
        <v>42033.666666666599</v>
      </c>
      <c r="B20" s="1">
        <f ca="1">IFERROR(__xludf.DUMMYFUNCTION("""COMPUTED_VALUE"""),76.85)</f>
        <v>76.849999999999994</v>
      </c>
      <c r="C20" s="1">
        <f ca="1">IFERROR(__xludf.DUMMYFUNCTION("""COMPUTED_VALUE"""),78.02)</f>
        <v>78.02</v>
      </c>
      <c r="D20" s="1">
        <f ca="1">IFERROR(__xludf.DUMMYFUNCTION("""COMPUTED_VALUE"""),74.21)</f>
        <v>74.209999999999994</v>
      </c>
      <c r="E20" s="1">
        <f ca="1">IFERROR(__xludf.DUMMYFUNCTION("""COMPUTED_VALUE"""),78)</f>
        <v>78</v>
      </c>
      <c r="F20" s="1">
        <f ca="1">IFERROR(__xludf.DUMMYFUNCTION("""COMPUTED_VALUE"""),61293468)</f>
        <v>61293468</v>
      </c>
    </row>
    <row r="21" spans="1:6" x14ac:dyDescent="0.35">
      <c r="A21" s="2">
        <f ca="1">IFERROR(__xludf.DUMMYFUNCTION("""COMPUTED_VALUE"""),42034.6666666666)</f>
        <v>42034.666666666599</v>
      </c>
      <c r="B21" s="1">
        <f ca="1">IFERROR(__xludf.DUMMYFUNCTION("""COMPUTED_VALUE"""),78)</f>
        <v>78</v>
      </c>
      <c r="C21" s="1">
        <f ca="1">IFERROR(__xludf.DUMMYFUNCTION("""COMPUTED_VALUE"""),78.16)</f>
        <v>78.16</v>
      </c>
      <c r="D21" s="1">
        <f ca="1">IFERROR(__xludf.DUMMYFUNCTION("""COMPUTED_VALUE"""),75.75)</f>
        <v>75.75</v>
      </c>
      <c r="E21" s="1">
        <f ca="1">IFERROR(__xludf.DUMMYFUNCTION("""COMPUTED_VALUE"""),75.91)</f>
        <v>75.91</v>
      </c>
      <c r="F21" s="1">
        <f ca="1">IFERROR(__xludf.DUMMYFUNCTION("""COMPUTED_VALUE"""),42649491)</f>
        <v>42649491</v>
      </c>
    </row>
    <row r="22" spans="1:6" x14ac:dyDescent="0.35">
      <c r="A22" s="2">
        <f ca="1">IFERROR(__xludf.DUMMYFUNCTION("""COMPUTED_VALUE"""),42037.6666666666)</f>
        <v>42037.666666666599</v>
      </c>
      <c r="B22" s="1">
        <f ca="1">IFERROR(__xludf.DUMMYFUNCTION("""COMPUTED_VALUE"""),76.11)</f>
        <v>76.11</v>
      </c>
      <c r="C22" s="1">
        <f ca="1">IFERROR(__xludf.DUMMYFUNCTION("""COMPUTED_VALUE"""),76.14)</f>
        <v>76.14</v>
      </c>
      <c r="D22" s="1">
        <f ca="1">IFERROR(__xludf.DUMMYFUNCTION("""COMPUTED_VALUE"""),73.75)</f>
        <v>73.75</v>
      </c>
      <c r="E22" s="1">
        <f ca="1">IFERROR(__xludf.DUMMYFUNCTION("""COMPUTED_VALUE"""),74.99)</f>
        <v>74.989999999999995</v>
      </c>
      <c r="F22" s="1">
        <f ca="1">IFERROR(__xludf.DUMMYFUNCTION("""COMPUTED_VALUE"""),41955258)</f>
        <v>41955258</v>
      </c>
    </row>
    <row r="23" spans="1:6" x14ac:dyDescent="0.35">
      <c r="A23" s="2">
        <f ca="1">IFERROR(__xludf.DUMMYFUNCTION("""COMPUTED_VALUE"""),42038.6666666666)</f>
        <v>42038.666666666599</v>
      </c>
      <c r="B23" s="1">
        <f ca="1">IFERROR(__xludf.DUMMYFUNCTION("""COMPUTED_VALUE"""),75.19)</f>
        <v>75.19</v>
      </c>
      <c r="C23" s="1">
        <f ca="1">IFERROR(__xludf.DUMMYFUNCTION("""COMPUTED_VALUE"""),75.58)</f>
        <v>75.58</v>
      </c>
      <c r="D23" s="1">
        <f ca="1">IFERROR(__xludf.DUMMYFUNCTION("""COMPUTED_VALUE"""),73.86)</f>
        <v>73.86</v>
      </c>
      <c r="E23" s="1">
        <f ca="1">IFERROR(__xludf.DUMMYFUNCTION("""COMPUTED_VALUE"""),75.4)</f>
        <v>75.400000000000006</v>
      </c>
      <c r="F23" s="1">
        <f ca="1">IFERROR(__xludf.DUMMYFUNCTION("""COMPUTED_VALUE"""),26957714)</f>
        <v>26957714</v>
      </c>
    </row>
    <row r="24" spans="1:6" x14ac:dyDescent="0.35">
      <c r="A24" s="2">
        <f ca="1">IFERROR(__xludf.DUMMYFUNCTION("""COMPUTED_VALUE"""),42039.6666666666)</f>
        <v>42039.666666666599</v>
      </c>
      <c r="B24" s="1">
        <f ca="1">IFERROR(__xludf.DUMMYFUNCTION("""COMPUTED_VALUE"""),75.09)</f>
        <v>75.09</v>
      </c>
      <c r="C24" s="1">
        <f ca="1">IFERROR(__xludf.DUMMYFUNCTION("""COMPUTED_VALUE"""),76.35)</f>
        <v>76.349999999999994</v>
      </c>
      <c r="D24" s="1">
        <f ca="1">IFERROR(__xludf.DUMMYFUNCTION("""COMPUTED_VALUE"""),75.01)</f>
        <v>75.010000000000005</v>
      </c>
      <c r="E24" s="1">
        <f ca="1">IFERROR(__xludf.DUMMYFUNCTION("""COMPUTED_VALUE"""),75.63)</f>
        <v>75.63</v>
      </c>
      <c r="F24" s="1">
        <f ca="1">IFERROR(__xludf.DUMMYFUNCTION("""COMPUTED_VALUE"""),20277368)</f>
        <v>20277368</v>
      </c>
    </row>
    <row r="25" spans="1:6" x14ac:dyDescent="0.35">
      <c r="A25" s="2">
        <f ca="1">IFERROR(__xludf.DUMMYFUNCTION("""COMPUTED_VALUE"""),42040.6666666666)</f>
        <v>42040.666666666599</v>
      </c>
      <c r="B25" s="1">
        <f ca="1">IFERROR(__xludf.DUMMYFUNCTION("""COMPUTED_VALUE"""),75.75)</f>
        <v>75.75</v>
      </c>
      <c r="C25" s="1">
        <f ca="1">IFERROR(__xludf.DUMMYFUNCTION("""COMPUTED_VALUE"""),75.98)</f>
        <v>75.98</v>
      </c>
      <c r="D25" s="1">
        <f ca="1">IFERROR(__xludf.DUMMYFUNCTION("""COMPUTED_VALUE"""),75.21)</f>
        <v>75.209999999999994</v>
      </c>
      <c r="E25" s="1">
        <f ca="1">IFERROR(__xludf.DUMMYFUNCTION("""COMPUTED_VALUE"""),75.61)</f>
        <v>75.61</v>
      </c>
      <c r="F25" s="1">
        <f ca="1">IFERROR(__xludf.DUMMYFUNCTION("""COMPUTED_VALUE"""),15062573)</f>
        <v>15062573</v>
      </c>
    </row>
    <row r="26" spans="1:6" x14ac:dyDescent="0.35">
      <c r="A26" s="2">
        <f ca="1">IFERROR(__xludf.DUMMYFUNCTION("""COMPUTED_VALUE"""),42041.6666666666)</f>
        <v>42041.666666666599</v>
      </c>
      <c r="B26" s="1">
        <f ca="1">IFERROR(__xludf.DUMMYFUNCTION("""COMPUTED_VALUE"""),75.68)</f>
        <v>75.680000000000007</v>
      </c>
      <c r="C26" s="1">
        <f ca="1">IFERROR(__xludf.DUMMYFUNCTION("""COMPUTED_VALUE"""),75.7)</f>
        <v>75.7</v>
      </c>
      <c r="D26" s="1">
        <f ca="1">IFERROR(__xludf.DUMMYFUNCTION("""COMPUTED_VALUE"""),74.25)</f>
        <v>74.25</v>
      </c>
      <c r="E26" s="1">
        <f ca="1">IFERROR(__xludf.DUMMYFUNCTION("""COMPUTED_VALUE"""),74.47)</f>
        <v>74.47</v>
      </c>
      <c r="F26" s="1">
        <f ca="1">IFERROR(__xludf.DUMMYFUNCTION("""COMPUTED_VALUE"""),21210994)</f>
        <v>21210994</v>
      </c>
    </row>
    <row r="27" spans="1:6" x14ac:dyDescent="0.35">
      <c r="A27" s="2">
        <f ca="1">IFERROR(__xludf.DUMMYFUNCTION("""COMPUTED_VALUE"""),42044.6666666666)</f>
        <v>42044.666666666599</v>
      </c>
      <c r="B27" s="1">
        <f ca="1">IFERROR(__xludf.DUMMYFUNCTION("""COMPUTED_VALUE"""),74.05)</f>
        <v>74.05</v>
      </c>
      <c r="C27" s="1">
        <f ca="1">IFERROR(__xludf.DUMMYFUNCTION("""COMPUTED_VALUE"""),74.83)</f>
        <v>74.83</v>
      </c>
      <c r="D27" s="1">
        <f ca="1">IFERROR(__xludf.DUMMYFUNCTION("""COMPUTED_VALUE"""),73.45)</f>
        <v>73.45</v>
      </c>
      <c r="E27" s="1">
        <f ca="1">IFERROR(__xludf.DUMMYFUNCTION("""COMPUTED_VALUE"""),74.44)</f>
        <v>74.44</v>
      </c>
      <c r="F27" s="1">
        <f ca="1">IFERROR(__xludf.DUMMYFUNCTION("""COMPUTED_VALUE"""),16194322)</f>
        <v>16194322</v>
      </c>
    </row>
    <row r="28" spans="1:6" x14ac:dyDescent="0.35">
      <c r="A28" s="2">
        <f ca="1">IFERROR(__xludf.DUMMYFUNCTION("""COMPUTED_VALUE"""),42045.6666666666)</f>
        <v>42045.666666666599</v>
      </c>
      <c r="B28" s="1">
        <f ca="1">IFERROR(__xludf.DUMMYFUNCTION("""COMPUTED_VALUE"""),74.85)</f>
        <v>74.849999999999994</v>
      </c>
      <c r="C28" s="1">
        <f ca="1">IFERROR(__xludf.DUMMYFUNCTION("""COMPUTED_VALUE"""),75.34)</f>
        <v>75.34</v>
      </c>
      <c r="D28" s="1">
        <f ca="1">IFERROR(__xludf.DUMMYFUNCTION("""COMPUTED_VALUE"""),74.5)</f>
        <v>74.5</v>
      </c>
      <c r="E28" s="1">
        <f ca="1">IFERROR(__xludf.DUMMYFUNCTION("""COMPUTED_VALUE"""),75.19)</f>
        <v>75.19</v>
      </c>
      <c r="F28" s="1">
        <f ca="1">IFERROR(__xludf.DUMMYFUNCTION("""COMPUTED_VALUE"""),15811344)</f>
        <v>15811344</v>
      </c>
    </row>
    <row r="29" spans="1:6" x14ac:dyDescent="0.35">
      <c r="A29" s="2">
        <f ca="1">IFERROR(__xludf.DUMMYFUNCTION("""COMPUTED_VALUE"""),42046.6666666666)</f>
        <v>42046.666666666599</v>
      </c>
      <c r="B29" s="1">
        <f ca="1">IFERROR(__xludf.DUMMYFUNCTION("""COMPUTED_VALUE"""),75.09)</f>
        <v>75.09</v>
      </c>
      <c r="C29" s="1">
        <f ca="1">IFERROR(__xludf.DUMMYFUNCTION("""COMPUTED_VALUE"""),76.75)</f>
        <v>76.75</v>
      </c>
      <c r="D29" s="1">
        <f ca="1">IFERROR(__xludf.DUMMYFUNCTION("""COMPUTED_VALUE"""),75.03)</f>
        <v>75.03</v>
      </c>
      <c r="E29" s="1">
        <f ca="1">IFERROR(__xludf.DUMMYFUNCTION("""COMPUTED_VALUE"""),76.51)</f>
        <v>76.510000000000005</v>
      </c>
      <c r="F29" s="1">
        <f ca="1">IFERROR(__xludf.DUMMYFUNCTION("""COMPUTED_VALUE"""),20877427)</f>
        <v>20877427</v>
      </c>
    </row>
    <row r="30" spans="1:6" x14ac:dyDescent="0.35">
      <c r="A30" s="2">
        <f ca="1">IFERROR(__xludf.DUMMYFUNCTION("""COMPUTED_VALUE"""),42047.6666666666)</f>
        <v>42047.666666666599</v>
      </c>
      <c r="B30" s="1">
        <f ca="1">IFERROR(__xludf.DUMMYFUNCTION("""COMPUTED_VALUE"""),76.86)</f>
        <v>76.86</v>
      </c>
      <c r="C30" s="1">
        <f ca="1">IFERROR(__xludf.DUMMYFUNCTION("""COMPUTED_VALUE"""),76.87)</f>
        <v>76.87</v>
      </c>
      <c r="D30" s="1">
        <f ca="1">IFERROR(__xludf.DUMMYFUNCTION("""COMPUTED_VALUE"""),75.89)</f>
        <v>75.89</v>
      </c>
      <c r="E30" s="1">
        <f ca="1">IFERROR(__xludf.DUMMYFUNCTION("""COMPUTED_VALUE"""),76.23)</f>
        <v>76.23</v>
      </c>
      <c r="F30" s="1">
        <f ca="1">IFERROR(__xludf.DUMMYFUNCTION("""COMPUTED_VALUE"""),17234976)</f>
        <v>17234976</v>
      </c>
    </row>
    <row r="31" spans="1:6" x14ac:dyDescent="0.35">
      <c r="A31" s="2">
        <f ca="1">IFERROR(__xludf.DUMMYFUNCTION("""COMPUTED_VALUE"""),42048.6666666666)</f>
        <v>42048.666666666599</v>
      </c>
      <c r="B31" s="1">
        <f ca="1">IFERROR(__xludf.DUMMYFUNCTION("""COMPUTED_VALUE"""),76.46)</f>
        <v>76.459999999999994</v>
      </c>
      <c r="C31" s="1">
        <f ca="1">IFERROR(__xludf.DUMMYFUNCTION("""COMPUTED_VALUE"""),76.48)</f>
        <v>76.48</v>
      </c>
      <c r="D31" s="1">
        <f ca="1">IFERROR(__xludf.DUMMYFUNCTION("""COMPUTED_VALUE"""),75.5)</f>
        <v>75.5</v>
      </c>
      <c r="E31" s="1">
        <f ca="1">IFERROR(__xludf.DUMMYFUNCTION("""COMPUTED_VALUE"""),75.74)</f>
        <v>75.739999999999995</v>
      </c>
      <c r="F31" s="1">
        <f ca="1">IFERROR(__xludf.DUMMYFUNCTION("""COMPUTED_VALUE"""),18621860)</f>
        <v>18621860</v>
      </c>
    </row>
    <row r="32" spans="1:6" x14ac:dyDescent="0.35">
      <c r="A32" s="2">
        <f ca="1">IFERROR(__xludf.DUMMYFUNCTION("""COMPUTED_VALUE"""),42052.6666666666)</f>
        <v>42052.666666666599</v>
      </c>
      <c r="B32" s="1">
        <f ca="1">IFERROR(__xludf.DUMMYFUNCTION("""COMPUTED_VALUE"""),76.03)</f>
        <v>76.03</v>
      </c>
      <c r="C32" s="1">
        <f ca="1">IFERROR(__xludf.DUMMYFUNCTION("""COMPUTED_VALUE"""),76.91)</f>
        <v>76.91</v>
      </c>
      <c r="D32" s="1">
        <f ca="1">IFERROR(__xludf.DUMMYFUNCTION("""COMPUTED_VALUE"""),75.08)</f>
        <v>75.08</v>
      </c>
      <c r="E32" s="1">
        <f ca="1">IFERROR(__xludf.DUMMYFUNCTION("""COMPUTED_VALUE"""),75.6)</f>
        <v>75.599999999999994</v>
      </c>
      <c r="F32" s="1">
        <f ca="1">IFERROR(__xludf.DUMMYFUNCTION("""COMPUTED_VALUE"""),25254400)</f>
        <v>25254400</v>
      </c>
    </row>
    <row r="33" spans="1:6" x14ac:dyDescent="0.35">
      <c r="A33" s="2">
        <f ca="1">IFERROR(__xludf.DUMMYFUNCTION("""COMPUTED_VALUE"""),42053.6666666666)</f>
        <v>42053.666666666599</v>
      </c>
      <c r="B33" s="1">
        <f ca="1">IFERROR(__xludf.DUMMYFUNCTION("""COMPUTED_VALUE"""),75.94)</f>
        <v>75.94</v>
      </c>
      <c r="C33" s="1">
        <f ca="1">IFERROR(__xludf.DUMMYFUNCTION("""COMPUTED_VALUE"""),76.9)</f>
        <v>76.900000000000006</v>
      </c>
      <c r="D33" s="1">
        <f ca="1">IFERROR(__xludf.DUMMYFUNCTION("""COMPUTED_VALUE"""),75.45)</f>
        <v>75.45</v>
      </c>
      <c r="E33" s="1">
        <f ca="1">IFERROR(__xludf.DUMMYFUNCTION("""COMPUTED_VALUE"""),76.71)</f>
        <v>76.709999999999994</v>
      </c>
      <c r="F33" s="1">
        <f ca="1">IFERROR(__xludf.DUMMYFUNCTION("""COMPUTED_VALUE"""),22426421)</f>
        <v>22426421</v>
      </c>
    </row>
    <row r="34" spans="1:6" x14ac:dyDescent="0.35">
      <c r="A34" s="2">
        <f ca="1">IFERROR(__xludf.DUMMYFUNCTION("""COMPUTED_VALUE"""),42054.6666666666)</f>
        <v>42054.666666666599</v>
      </c>
      <c r="B34" s="1">
        <f ca="1">IFERROR(__xludf.DUMMYFUNCTION("""COMPUTED_VALUE"""),76.99)</f>
        <v>76.989999999999995</v>
      </c>
      <c r="C34" s="1">
        <f ca="1">IFERROR(__xludf.DUMMYFUNCTION("""COMPUTED_VALUE"""),79.84)</f>
        <v>79.84</v>
      </c>
      <c r="D34" s="1">
        <f ca="1">IFERROR(__xludf.DUMMYFUNCTION("""COMPUTED_VALUE"""),76.95)</f>
        <v>76.95</v>
      </c>
      <c r="E34" s="1">
        <f ca="1">IFERROR(__xludf.DUMMYFUNCTION("""COMPUTED_VALUE"""),79.42)</f>
        <v>79.42</v>
      </c>
      <c r="F34" s="1">
        <f ca="1">IFERROR(__xludf.DUMMYFUNCTION("""COMPUTED_VALUE"""),45851177)</f>
        <v>45851177</v>
      </c>
    </row>
    <row r="35" spans="1:6" x14ac:dyDescent="0.35">
      <c r="A35" s="2">
        <f ca="1">IFERROR(__xludf.DUMMYFUNCTION("""COMPUTED_VALUE"""),42055.6666666666)</f>
        <v>42055.666666666599</v>
      </c>
      <c r="B35" s="1">
        <f ca="1">IFERROR(__xludf.DUMMYFUNCTION("""COMPUTED_VALUE"""),79.55)</f>
        <v>79.55</v>
      </c>
      <c r="C35" s="1">
        <f ca="1">IFERROR(__xludf.DUMMYFUNCTION("""COMPUTED_VALUE"""),80.34)</f>
        <v>80.34</v>
      </c>
      <c r="D35" s="1">
        <f ca="1">IFERROR(__xludf.DUMMYFUNCTION("""COMPUTED_VALUE"""),79.2)</f>
        <v>79.2</v>
      </c>
      <c r="E35" s="1">
        <f ca="1">IFERROR(__xludf.DUMMYFUNCTION("""COMPUTED_VALUE"""),79.9)</f>
        <v>79.900000000000006</v>
      </c>
      <c r="F35" s="1">
        <f ca="1">IFERROR(__xludf.DUMMYFUNCTION("""COMPUTED_VALUE"""),36931698)</f>
        <v>36931698</v>
      </c>
    </row>
    <row r="36" spans="1:6" x14ac:dyDescent="0.35">
      <c r="A36" s="2">
        <f ca="1">IFERROR(__xludf.DUMMYFUNCTION("""COMPUTED_VALUE"""),42058.6666666666)</f>
        <v>42058.666666666599</v>
      </c>
      <c r="B36" s="1">
        <f ca="1">IFERROR(__xludf.DUMMYFUNCTION("""COMPUTED_VALUE"""),79.96)</f>
        <v>79.959999999999994</v>
      </c>
      <c r="C36" s="1">
        <f ca="1">IFERROR(__xludf.DUMMYFUNCTION("""COMPUTED_VALUE"""),80.19)</f>
        <v>80.19</v>
      </c>
      <c r="D36" s="1">
        <f ca="1">IFERROR(__xludf.DUMMYFUNCTION("""COMPUTED_VALUE"""),78.38)</f>
        <v>78.38</v>
      </c>
      <c r="E36" s="1">
        <f ca="1">IFERROR(__xludf.DUMMYFUNCTION("""COMPUTED_VALUE"""),78.84)</f>
        <v>78.84</v>
      </c>
      <c r="F36" s="1">
        <f ca="1">IFERROR(__xludf.DUMMYFUNCTION("""COMPUTED_VALUE"""),24139056)</f>
        <v>24139056</v>
      </c>
    </row>
    <row r="37" spans="1:6" x14ac:dyDescent="0.35">
      <c r="A37" s="2">
        <f ca="1">IFERROR(__xludf.DUMMYFUNCTION("""COMPUTED_VALUE"""),42059.6666666666)</f>
        <v>42059.666666666599</v>
      </c>
      <c r="B37" s="1">
        <f ca="1">IFERROR(__xludf.DUMMYFUNCTION("""COMPUTED_VALUE"""),78.5)</f>
        <v>78.5</v>
      </c>
      <c r="C37" s="1">
        <f ca="1">IFERROR(__xludf.DUMMYFUNCTION("""COMPUTED_VALUE"""),79.48)</f>
        <v>79.48</v>
      </c>
      <c r="D37" s="1">
        <f ca="1">IFERROR(__xludf.DUMMYFUNCTION("""COMPUTED_VALUE"""),78.1)</f>
        <v>78.099999999999994</v>
      </c>
      <c r="E37" s="1">
        <f ca="1">IFERROR(__xludf.DUMMYFUNCTION("""COMPUTED_VALUE"""),78.45)</f>
        <v>78.45</v>
      </c>
      <c r="F37" s="1">
        <f ca="1">IFERROR(__xludf.DUMMYFUNCTION("""COMPUTED_VALUE"""),18897133)</f>
        <v>18897133</v>
      </c>
    </row>
    <row r="38" spans="1:6" x14ac:dyDescent="0.35">
      <c r="A38" s="2">
        <f ca="1">IFERROR(__xludf.DUMMYFUNCTION("""COMPUTED_VALUE"""),42060.6666666666)</f>
        <v>42060.666666666599</v>
      </c>
      <c r="B38" s="1">
        <f ca="1">IFERROR(__xludf.DUMMYFUNCTION("""COMPUTED_VALUE"""),78.5)</f>
        <v>78.5</v>
      </c>
      <c r="C38" s="1">
        <f ca="1">IFERROR(__xludf.DUMMYFUNCTION("""COMPUTED_VALUE"""),80.2)</f>
        <v>80.2</v>
      </c>
      <c r="D38" s="1">
        <f ca="1">IFERROR(__xludf.DUMMYFUNCTION("""COMPUTED_VALUE"""),78.5)</f>
        <v>78.5</v>
      </c>
      <c r="E38" s="1">
        <f ca="1">IFERROR(__xludf.DUMMYFUNCTION("""COMPUTED_VALUE"""),79.56)</f>
        <v>79.56</v>
      </c>
      <c r="F38" s="1">
        <f ca="1">IFERROR(__xludf.DUMMYFUNCTION("""COMPUTED_VALUE"""),25593800)</f>
        <v>25593800</v>
      </c>
    </row>
    <row r="39" spans="1:6" x14ac:dyDescent="0.35">
      <c r="A39" s="2">
        <f ca="1">IFERROR(__xludf.DUMMYFUNCTION("""COMPUTED_VALUE"""),42061.6666666666)</f>
        <v>42061.666666666599</v>
      </c>
      <c r="B39" s="1">
        <f ca="1">IFERROR(__xludf.DUMMYFUNCTION("""COMPUTED_VALUE"""),79.88)</f>
        <v>79.88</v>
      </c>
      <c r="C39" s="1">
        <f ca="1">IFERROR(__xludf.DUMMYFUNCTION("""COMPUTED_VALUE"""),81.37)</f>
        <v>81.37</v>
      </c>
      <c r="D39" s="1">
        <f ca="1">IFERROR(__xludf.DUMMYFUNCTION("""COMPUTED_VALUE"""),79.72)</f>
        <v>79.72</v>
      </c>
      <c r="E39" s="1">
        <f ca="1">IFERROR(__xludf.DUMMYFUNCTION("""COMPUTED_VALUE"""),80.41)</f>
        <v>80.41</v>
      </c>
      <c r="F39" s="1">
        <f ca="1">IFERROR(__xludf.DUMMYFUNCTION("""COMPUTED_VALUE"""),31111891)</f>
        <v>31111891</v>
      </c>
    </row>
    <row r="40" spans="1:6" x14ac:dyDescent="0.35">
      <c r="A40" s="2">
        <f ca="1">IFERROR(__xludf.DUMMYFUNCTION("""COMPUTED_VALUE"""),42062.6666666666)</f>
        <v>42062.666666666599</v>
      </c>
      <c r="B40" s="1">
        <f ca="1">IFERROR(__xludf.DUMMYFUNCTION("""COMPUTED_VALUE"""),80.68)</f>
        <v>80.680000000000007</v>
      </c>
      <c r="C40" s="1">
        <f ca="1">IFERROR(__xludf.DUMMYFUNCTION("""COMPUTED_VALUE"""),81.23)</f>
        <v>81.23</v>
      </c>
      <c r="D40" s="1">
        <f ca="1">IFERROR(__xludf.DUMMYFUNCTION("""COMPUTED_VALUE"""),78.62)</f>
        <v>78.62</v>
      </c>
      <c r="E40" s="1">
        <f ca="1">IFERROR(__xludf.DUMMYFUNCTION("""COMPUTED_VALUE"""),78.97)</f>
        <v>78.97</v>
      </c>
      <c r="F40" s="1">
        <f ca="1">IFERROR(__xludf.DUMMYFUNCTION("""COMPUTED_VALUE"""),30739197)</f>
        <v>30739197</v>
      </c>
    </row>
    <row r="41" spans="1:6" x14ac:dyDescent="0.35">
      <c r="A41" s="2">
        <f ca="1">IFERROR(__xludf.DUMMYFUNCTION("""COMPUTED_VALUE"""),42065.6666666666)</f>
        <v>42065.666666666599</v>
      </c>
      <c r="B41" s="1">
        <f ca="1">IFERROR(__xludf.DUMMYFUNCTION("""COMPUTED_VALUE"""),79.07)</f>
        <v>79.069999999999993</v>
      </c>
      <c r="C41" s="1">
        <f ca="1">IFERROR(__xludf.DUMMYFUNCTION("""COMPUTED_VALUE"""),79.86)</f>
        <v>79.86</v>
      </c>
      <c r="D41" s="1">
        <f ca="1">IFERROR(__xludf.DUMMYFUNCTION("""COMPUTED_VALUE"""),78.52)</f>
        <v>78.52</v>
      </c>
      <c r="E41" s="1">
        <f ca="1">IFERROR(__xludf.DUMMYFUNCTION("""COMPUTED_VALUE"""),79.75)</f>
        <v>79.75</v>
      </c>
      <c r="F41" s="1">
        <f ca="1">IFERROR(__xludf.DUMMYFUNCTION("""COMPUTED_VALUE"""),21662537)</f>
        <v>21662537</v>
      </c>
    </row>
    <row r="42" spans="1:6" x14ac:dyDescent="0.35">
      <c r="A42" s="2">
        <f ca="1">IFERROR(__xludf.DUMMYFUNCTION("""COMPUTED_VALUE"""),42066.6666666666)</f>
        <v>42066.666666666599</v>
      </c>
      <c r="B42" s="1">
        <f ca="1">IFERROR(__xludf.DUMMYFUNCTION("""COMPUTED_VALUE"""),79.61)</f>
        <v>79.61</v>
      </c>
      <c r="C42" s="1">
        <f ca="1">IFERROR(__xludf.DUMMYFUNCTION("""COMPUTED_VALUE"""),79.7)</f>
        <v>79.7</v>
      </c>
      <c r="D42" s="1">
        <f ca="1">IFERROR(__xludf.DUMMYFUNCTION("""COMPUTED_VALUE"""),78.52)</f>
        <v>78.52</v>
      </c>
      <c r="E42" s="1">
        <f ca="1">IFERROR(__xludf.DUMMYFUNCTION("""COMPUTED_VALUE"""),79.6)</f>
        <v>79.599999999999994</v>
      </c>
      <c r="F42" s="1">
        <f ca="1">IFERROR(__xludf.DUMMYFUNCTION("""COMPUTED_VALUE"""),18634973)</f>
        <v>18634973</v>
      </c>
    </row>
    <row r="43" spans="1:6" x14ac:dyDescent="0.35">
      <c r="A43" s="2">
        <f ca="1">IFERROR(__xludf.DUMMYFUNCTION("""COMPUTED_VALUE"""),42067.6666666666)</f>
        <v>42067.666666666599</v>
      </c>
      <c r="B43" s="1">
        <f ca="1">IFERROR(__xludf.DUMMYFUNCTION("""COMPUTED_VALUE"""),79.3)</f>
        <v>79.3</v>
      </c>
      <c r="C43" s="1">
        <f ca="1">IFERROR(__xludf.DUMMYFUNCTION("""COMPUTED_VALUE"""),81.15)</f>
        <v>81.150000000000006</v>
      </c>
      <c r="D43" s="1">
        <f ca="1">IFERROR(__xludf.DUMMYFUNCTION("""COMPUTED_VALUE"""),78.85)</f>
        <v>78.849999999999994</v>
      </c>
      <c r="E43" s="1">
        <f ca="1">IFERROR(__xludf.DUMMYFUNCTION("""COMPUTED_VALUE"""),80.9)</f>
        <v>80.900000000000006</v>
      </c>
      <c r="F43" s="1">
        <f ca="1">IFERROR(__xludf.DUMMYFUNCTION("""COMPUTED_VALUE"""),28126686)</f>
        <v>28126686</v>
      </c>
    </row>
    <row r="44" spans="1:6" x14ac:dyDescent="0.35">
      <c r="A44" s="2">
        <f ca="1">IFERROR(__xludf.DUMMYFUNCTION("""COMPUTED_VALUE"""),42068.6666666666)</f>
        <v>42068.666666666599</v>
      </c>
      <c r="B44" s="1">
        <f ca="1">IFERROR(__xludf.DUMMYFUNCTION("""COMPUTED_VALUE"""),81.23)</f>
        <v>81.23</v>
      </c>
      <c r="C44" s="1">
        <f ca="1">IFERROR(__xludf.DUMMYFUNCTION("""COMPUTED_VALUE"""),81.99)</f>
        <v>81.99</v>
      </c>
      <c r="D44" s="1">
        <f ca="1">IFERROR(__xludf.DUMMYFUNCTION("""COMPUTED_VALUE"""),81.05)</f>
        <v>81.05</v>
      </c>
      <c r="E44" s="1">
        <f ca="1">IFERROR(__xludf.DUMMYFUNCTION("""COMPUTED_VALUE"""),81.21)</f>
        <v>81.209999999999994</v>
      </c>
      <c r="F44" s="1">
        <f ca="1">IFERROR(__xludf.DUMMYFUNCTION("""COMPUTED_VALUE"""),27825733)</f>
        <v>27825733</v>
      </c>
    </row>
    <row r="45" spans="1:6" x14ac:dyDescent="0.35">
      <c r="A45" s="2">
        <f ca="1">IFERROR(__xludf.DUMMYFUNCTION("""COMPUTED_VALUE"""),42069.6666666666)</f>
        <v>42069.666666666599</v>
      </c>
      <c r="B45" s="1">
        <f ca="1">IFERROR(__xludf.DUMMYFUNCTION("""COMPUTED_VALUE"""),80.9)</f>
        <v>80.900000000000006</v>
      </c>
      <c r="C45" s="1">
        <f ca="1">IFERROR(__xludf.DUMMYFUNCTION("""COMPUTED_VALUE"""),81.33)</f>
        <v>81.33</v>
      </c>
      <c r="D45" s="1">
        <f ca="1">IFERROR(__xludf.DUMMYFUNCTION("""COMPUTED_VALUE"""),79.83)</f>
        <v>79.83</v>
      </c>
      <c r="E45" s="1">
        <f ca="1">IFERROR(__xludf.DUMMYFUNCTION("""COMPUTED_VALUE"""),80.01)</f>
        <v>80.010000000000005</v>
      </c>
      <c r="F45" s="1">
        <f ca="1">IFERROR(__xludf.DUMMYFUNCTION("""COMPUTED_VALUE"""),24488581)</f>
        <v>24488581</v>
      </c>
    </row>
    <row r="46" spans="1:6" x14ac:dyDescent="0.35">
      <c r="A46" s="2">
        <f ca="1">IFERROR(__xludf.DUMMYFUNCTION("""COMPUTED_VALUE"""),42072.6666666666)</f>
        <v>42072.666666666599</v>
      </c>
      <c r="B46" s="1">
        <f ca="1">IFERROR(__xludf.DUMMYFUNCTION("""COMPUTED_VALUE"""),79.68)</f>
        <v>79.680000000000007</v>
      </c>
      <c r="C46" s="1">
        <f ca="1">IFERROR(__xludf.DUMMYFUNCTION("""COMPUTED_VALUE"""),79.91)</f>
        <v>79.91</v>
      </c>
      <c r="D46" s="1">
        <f ca="1">IFERROR(__xludf.DUMMYFUNCTION("""COMPUTED_VALUE"""),78.63)</f>
        <v>78.63</v>
      </c>
      <c r="E46" s="1">
        <f ca="1">IFERROR(__xludf.DUMMYFUNCTION("""COMPUTED_VALUE"""),79.44)</f>
        <v>79.44</v>
      </c>
      <c r="F46" s="1">
        <f ca="1">IFERROR(__xludf.DUMMYFUNCTION("""COMPUTED_VALUE"""),18925097)</f>
        <v>18925097</v>
      </c>
    </row>
    <row r="47" spans="1:6" x14ac:dyDescent="0.35">
      <c r="A47" s="2">
        <f ca="1">IFERROR(__xludf.DUMMYFUNCTION("""COMPUTED_VALUE"""),42073.6666666666)</f>
        <v>42073.666666666599</v>
      </c>
      <c r="B47" s="1">
        <f ca="1">IFERROR(__xludf.DUMMYFUNCTION("""COMPUTED_VALUE"""),78.5)</f>
        <v>78.5</v>
      </c>
      <c r="C47" s="1">
        <f ca="1">IFERROR(__xludf.DUMMYFUNCTION("""COMPUTED_VALUE"""),79.26)</f>
        <v>79.260000000000005</v>
      </c>
      <c r="D47" s="1">
        <f ca="1">IFERROR(__xludf.DUMMYFUNCTION("""COMPUTED_VALUE"""),77.55)</f>
        <v>77.55</v>
      </c>
      <c r="E47" s="1">
        <f ca="1">IFERROR(__xludf.DUMMYFUNCTION("""COMPUTED_VALUE"""),77.55)</f>
        <v>77.55</v>
      </c>
      <c r="F47" s="1">
        <f ca="1">IFERROR(__xludf.DUMMYFUNCTION("""COMPUTED_VALUE"""),23067057)</f>
        <v>23067057</v>
      </c>
    </row>
    <row r="48" spans="1:6" x14ac:dyDescent="0.35">
      <c r="A48" s="2">
        <f ca="1">IFERROR(__xludf.DUMMYFUNCTION("""COMPUTED_VALUE"""),42074.6666666666)</f>
        <v>42074.666666666599</v>
      </c>
      <c r="B48" s="1">
        <f ca="1">IFERROR(__xludf.DUMMYFUNCTION("""COMPUTED_VALUE"""),77.8)</f>
        <v>77.8</v>
      </c>
      <c r="C48" s="1">
        <f ca="1">IFERROR(__xludf.DUMMYFUNCTION("""COMPUTED_VALUE"""),78.43)</f>
        <v>78.430000000000007</v>
      </c>
      <c r="D48" s="1">
        <f ca="1">IFERROR(__xludf.DUMMYFUNCTION("""COMPUTED_VALUE"""),77.26)</f>
        <v>77.260000000000005</v>
      </c>
      <c r="E48" s="1">
        <f ca="1">IFERROR(__xludf.DUMMYFUNCTION("""COMPUTED_VALUE"""),77.57)</f>
        <v>77.569999999999993</v>
      </c>
      <c r="F48" s="1">
        <f ca="1">IFERROR(__xludf.DUMMYFUNCTION("""COMPUTED_VALUE"""),20215704)</f>
        <v>20215704</v>
      </c>
    </row>
    <row r="49" spans="1:6" x14ac:dyDescent="0.35">
      <c r="A49" s="2">
        <f ca="1">IFERROR(__xludf.DUMMYFUNCTION("""COMPUTED_VALUE"""),42075.6666666666)</f>
        <v>42075.666666666599</v>
      </c>
      <c r="B49" s="1">
        <f ca="1">IFERROR(__xludf.DUMMYFUNCTION("""COMPUTED_VALUE"""),78.1)</f>
        <v>78.099999999999994</v>
      </c>
      <c r="C49" s="1">
        <f ca="1">IFERROR(__xludf.DUMMYFUNCTION("""COMPUTED_VALUE"""),79.05)</f>
        <v>79.05</v>
      </c>
      <c r="D49" s="1">
        <f ca="1">IFERROR(__xludf.DUMMYFUNCTION("""COMPUTED_VALUE"""),77.91)</f>
        <v>77.91</v>
      </c>
      <c r="E49" s="1">
        <f ca="1">IFERROR(__xludf.DUMMYFUNCTION("""COMPUTED_VALUE"""),78.93)</f>
        <v>78.930000000000007</v>
      </c>
      <c r="F49" s="1">
        <f ca="1">IFERROR(__xludf.DUMMYFUNCTION("""COMPUTED_VALUE"""),16093319)</f>
        <v>16093319</v>
      </c>
    </row>
    <row r="50" spans="1:6" x14ac:dyDescent="0.35">
      <c r="A50" s="2">
        <f ca="1">IFERROR(__xludf.DUMMYFUNCTION("""COMPUTED_VALUE"""),42076.6666666666)</f>
        <v>42076.666666666599</v>
      </c>
      <c r="B50" s="1">
        <f ca="1">IFERROR(__xludf.DUMMYFUNCTION("""COMPUTED_VALUE"""),78.6)</f>
        <v>78.599999999999994</v>
      </c>
      <c r="C50" s="1">
        <f ca="1">IFERROR(__xludf.DUMMYFUNCTION("""COMPUTED_VALUE"""),79.38)</f>
        <v>79.38</v>
      </c>
      <c r="D50" s="1">
        <f ca="1">IFERROR(__xludf.DUMMYFUNCTION("""COMPUTED_VALUE"""),77.68)</f>
        <v>77.680000000000007</v>
      </c>
      <c r="E50" s="1">
        <f ca="1">IFERROR(__xludf.DUMMYFUNCTION("""COMPUTED_VALUE"""),78.05)</f>
        <v>78.05</v>
      </c>
      <c r="F50" s="1">
        <f ca="1">IFERROR(__xludf.DUMMYFUNCTION("""COMPUTED_VALUE"""),18557296)</f>
        <v>18557296</v>
      </c>
    </row>
    <row r="51" spans="1:6" x14ac:dyDescent="0.35">
      <c r="A51" s="2">
        <f ca="1">IFERROR(__xludf.DUMMYFUNCTION("""COMPUTED_VALUE"""),42079.6666666666)</f>
        <v>42079.666666666599</v>
      </c>
      <c r="B51" s="1">
        <f ca="1">IFERROR(__xludf.DUMMYFUNCTION("""COMPUTED_VALUE"""),77.96)</f>
        <v>77.959999999999994</v>
      </c>
      <c r="C51" s="1">
        <f ca="1">IFERROR(__xludf.DUMMYFUNCTION("""COMPUTED_VALUE"""),78.12)</f>
        <v>78.12</v>
      </c>
      <c r="D51" s="1">
        <f ca="1">IFERROR(__xludf.DUMMYFUNCTION("""COMPUTED_VALUE"""),77.36)</f>
        <v>77.36</v>
      </c>
      <c r="E51" s="1">
        <f ca="1">IFERROR(__xludf.DUMMYFUNCTION("""COMPUTED_VALUE"""),78.07)</f>
        <v>78.069999999999993</v>
      </c>
      <c r="F51" s="1">
        <f ca="1">IFERROR(__xludf.DUMMYFUNCTION("""COMPUTED_VALUE"""),19305406)</f>
        <v>19305406</v>
      </c>
    </row>
    <row r="52" spans="1:6" x14ac:dyDescent="0.35">
      <c r="A52" s="2">
        <f ca="1">IFERROR(__xludf.DUMMYFUNCTION("""COMPUTED_VALUE"""),42080.6666666666)</f>
        <v>42080.666666666599</v>
      </c>
      <c r="B52" s="1">
        <f ca="1">IFERROR(__xludf.DUMMYFUNCTION("""COMPUTED_VALUE"""),78.36)</f>
        <v>78.36</v>
      </c>
      <c r="C52" s="1">
        <f ca="1">IFERROR(__xludf.DUMMYFUNCTION("""COMPUTED_VALUE"""),79.78)</f>
        <v>79.78</v>
      </c>
      <c r="D52" s="1">
        <f ca="1">IFERROR(__xludf.DUMMYFUNCTION("""COMPUTED_VALUE"""),78.34)</f>
        <v>78.34</v>
      </c>
      <c r="E52" s="1">
        <f ca="1">IFERROR(__xludf.DUMMYFUNCTION("""COMPUTED_VALUE"""),79.36)</f>
        <v>79.36</v>
      </c>
      <c r="F52" s="1">
        <f ca="1">IFERROR(__xludf.DUMMYFUNCTION("""COMPUTED_VALUE"""),22169969)</f>
        <v>22169969</v>
      </c>
    </row>
    <row r="53" spans="1:6" x14ac:dyDescent="0.35">
      <c r="A53" s="2">
        <f ca="1">IFERROR(__xludf.DUMMYFUNCTION("""COMPUTED_VALUE"""),42081.6666666666)</f>
        <v>42081.666666666599</v>
      </c>
      <c r="B53" s="1">
        <f ca="1">IFERROR(__xludf.DUMMYFUNCTION("""COMPUTED_VALUE"""),79.25)</f>
        <v>79.25</v>
      </c>
      <c r="C53" s="1">
        <f ca="1">IFERROR(__xludf.DUMMYFUNCTION("""COMPUTED_VALUE"""),81.24)</f>
        <v>81.239999999999995</v>
      </c>
      <c r="D53" s="1">
        <f ca="1">IFERROR(__xludf.DUMMYFUNCTION("""COMPUTED_VALUE"""),79.17)</f>
        <v>79.17</v>
      </c>
      <c r="E53" s="1">
        <f ca="1">IFERROR(__xludf.DUMMYFUNCTION("""COMPUTED_VALUE"""),80.91)</f>
        <v>80.91</v>
      </c>
      <c r="F53" s="1">
        <f ca="1">IFERROR(__xludf.DUMMYFUNCTION("""COMPUTED_VALUE"""),36912446)</f>
        <v>36912446</v>
      </c>
    </row>
    <row r="54" spans="1:6" x14ac:dyDescent="0.35">
      <c r="A54" s="2">
        <f ca="1">IFERROR(__xludf.DUMMYFUNCTION("""COMPUTED_VALUE"""),42082.6666666666)</f>
        <v>42082.666666666599</v>
      </c>
      <c r="B54" s="1">
        <f ca="1">IFERROR(__xludf.DUMMYFUNCTION("""COMPUTED_VALUE"""),81.12)</f>
        <v>81.12</v>
      </c>
      <c r="C54" s="1">
        <f ca="1">IFERROR(__xludf.DUMMYFUNCTION("""COMPUTED_VALUE"""),83)</f>
        <v>83</v>
      </c>
      <c r="D54" s="1">
        <f ca="1">IFERROR(__xludf.DUMMYFUNCTION("""COMPUTED_VALUE"""),81)</f>
        <v>81</v>
      </c>
      <c r="E54" s="1">
        <f ca="1">IFERROR(__xludf.DUMMYFUNCTION("""COMPUTED_VALUE"""),82.75)</f>
        <v>82.75</v>
      </c>
      <c r="F54" s="1">
        <f ca="1">IFERROR(__xludf.DUMMYFUNCTION("""COMPUTED_VALUE"""),42099523)</f>
        <v>42099523</v>
      </c>
    </row>
    <row r="55" spans="1:6" x14ac:dyDescent="0.35">
      <c r="A55" s="2">
        <f ca="1">IFERROR(__xludf.DUMMYFUNCTION("""COMPUTED_VALUE"""),42083.6666666666)</f>
        <v>42083.666666666599</v>
      </c>
      <c r="B55" s="1">
        <f ca="1">IFERROR(__xludf.DUMMYFUNCTION("""COMPUTED_VALUE"""),83.39)</f>
        <v>83.39</v>
      </c>
      <c r="C55" s="1">
        <f ca="1">IFERROR(__xludf.DUMMYFUNCTION("""COMPUTED_VALUE"""),84.6)</f>
        <v>84.6</v>
      </c>
      <c r="D55" s="1">
        <f ca="1">IFERROR(__xludf.DUMMYFUNCTION("""COMPUTED_VALUE"""),83.07)</f>
        <v>83.07</v>
      </c>
      <c r="E55" s="1">
        <f ca="1">IFERROR(__xludf.DUMMYFUNCTION("""COMPUTED_VALUE"""),83.8)</f>
        <v>83.8</v>
      </c>
      <c r="F55" s="1">
        <f ca="1">IFERROR(__xludf.DUMMYFUNCTION("""COMPUTED_VALUE"""),44466323)</f>
        <v>44466323</v>
      </c>
    </row>
    <row r="56" spans="1:6" x14ac:dyDescent="0.35">
      <c r="A56" s="2">
        <f ca="1">IFERROR(__xludf.DUMMYFUNCTION("""COMPUTED_VALUE"""),42086.6666666666)</f>
        <v>42086.666666666599</v>
      </c>
      <c r="B56" s="1">
        <f ca="1">IFERROR(__xludf.DUMMYFUNCTION("""COMPUTED_VALUE"""),83.92)</f>
        <v>83.92</v>
      </c>
      <c r="C56" s="1">
        <f ca="1">IFERROR(__xludf.DUMMYFUNCTION("""COMPUTED_VALUE"""),84.96)</f>
        <v>84.96</v>
      </c>
      <c r="D56" s="1">
        <f ca="1">IFERROR(__xludf.DUMMYFUNCTION("""COMPUTED_VALUE"""),83.3)</f>
        <v>83.3</v>
      </c>
      <c r="E56" s="1">
        <f ca="1">IFERROR(__xludf.DUMMYFUNCTION("""COMPUTED_VALUE"""),84.43)</f>
        <v>84.43</v>
      </c>
      <c r="F56" s="1">
        <f ca="1">IFERROR(__xludf.DUMMYFUNCTION("""COMPUTED_VALUE"""),27357333)</f>
        <v>27357333</v>
      </c>
    </row>
    <row r="57" spans="1:6" x14ac:dyDescent="0.35">
      <c r="A57" s="2">
        <f ca="1">IFERROR(__xludf.DUMMYFUNCTION("""COMPUTED_VALUE"""),42087.6666666666)</f>
        <v>42087.666666666599</v>
      </c>
      <c r="B57" s="1">
        <f ca="1">IFERROR(__xludf.DUMMYFUNCTION("""COMPUTED_VALUE"""),84.71)</f>
        <v>84.71</v>
      </c>
      <c r="C57" s="1">
        <f ca="1">IFERROR(__xludf.DUMMYFUNCTION("""COMPUTED_VALUE"""),86.07)</f>
        <v>86.07</v>
      </c>
      <c r="D57" s="1">
        <f ca="1">IFERROR(__xludf.DUMMYFUNCTION("""COMPUTED_VALUE"""),84.52)</f>
        <v>84.52</v>
      </c>
      <c r="E57" s="1">
        <f ca="1">IFERROR(__xludf.DUMMYFUNCTION("""COMPUTED_VALUE"""),85.31)</f>
        <v>85.31</v>
      </c>
      <c r="F57" s="1">
        <f ca="1">IFERROR(__xludf.DUMMYFUNCTION("""COMPUTED_VALUE"""),32576522)</f>
        <v>32576522</v>
      </c>
    </row>
    <row r="58" spans="1:6" x14ac:dyDescent="0.35">
      <c r="A58" s="2">
        <f ca="1">IFERROR(__xludf.DUMMYFUNCTION("""COMPUTED_VALUE"""),42088.6666666666)</f>
        <v>42088.666666666599</v>
      </c>
      <c r="B58" s="1">
        <f ca="1">IFERROR(__xludf.DUMMYFUNCTION("""COMPUTED_VALUE"""),85.5)</f>
        <v>85.5</v>
      </c>
      <c r="C58" s="1">
        <f ca="1">IFERROR(__xludf.DUMMYFUNCTION("""COMPUTED_VALUE"""),85.52)</f>
        <v>85.52</v>
      </c>
      <c r="D58" s="1">
        <f ca="1">IFERROR(__xludf.DUMMYFUNCTION("""COMPUTED_VALUE"""),82.92)</f>
        <v>82.92</v>
      </c>
      <c r="E58" s="1">
        <f ca="1">IFERROR(__xludf.DUMMYFUNCTION("""COMPUTED_VALUE"""),82.92)</f>
        <v>82.92</v>
      </c>
      <c r="F58" s="1">
        <f ca="1">IFERROR(__xludf.DUMMYFUNCTION("""COMPUTED_VALUE"""),37436147)</f>
        <v>37436147</v>
      </c>
    </row>
    <row r="59" spans="1:6" x14ac:dyDescent="0.35">
      <c r="A59" s="2">
        <f ca="1">IFERROR(__xludf.DUMMYFUNCTION("""COMPUTED_VALUE"""),42089.6666666666)</f>
        <v>42089.666666666599</v>
      </c>
      <c r="B59" s="1">
        <f ca="1">IFERROR(__xludf.DUMMYFUNCTION("""COMPUTED_VALUE"""),82.72)</f>
        <v>82.72</v>
      </c>
      <c r="C59" s="1">
        <f ca="1">IFERROR(__xludf.DUMMYFUNCTION("""COMPUTED_VALUE"""),83.77)</f>
        <v>83.77</v>
      </c>
      <c r="D59" s="1">
        <f ca="1">IFERROR(__xludf.DUMMYFUNCTION("""COMPUTED_VALUE"""),82.14)</f>
        <v>82.14</v>
      </c>
      <c r="E59" s="1">
        <f ca="1">IFERROR(__xludf.DUMMYFUNCTION("""COMPUTED_VALUE"""),83.01)</f>
        <v>83.01</v>
      </c>
      <c r="F59" s="1">
        <f ca="1">IFERROR(__xludf.DUMMYFUNCTION("""COMPUTED_VALUE"""),32794800)</f>
        <v>32794800</v>
      </c>
    </row>
    <row r="60" spans="1:6" x14ac:dyDescent="0.35">
      <c r="A60" s="2">
        <f ca="1">IFERROR(__xludf.DUMMYFUNCTION("""COMPUTED_VALUE"""),42090.6666666666)</f>
        <v>42090.666666666599</v>
      </c>
      <c r="B60" s="1">
        <f ca="1">IFERROR(__xludf.DUMMYFUNCTION("""COMPUTED_VALUE"""),83.38)</f>
        <v>83.38</v>
      </c>
      <c r="C60" s="1">
        <f ca="1">IFERROR(__xludf.DUMMYFUNCTION("""COMPUTED_VALUE"""),83.95)</f>
        <v>83.95</v>
      </c>
      <c r="D60" s="1">
        <f ca="1">IFERROR(__xludf.DUMMYFUNCTION("""COMPUTED_VALUE"""),82.88)</f>
        <v>82.88</v>
      </c>
      <c r="E60" s="1">
        <f ca="1">IFERROR(__xludf.DUMMYFUNCTION("""COMPUTED_VALUE"""),83.3)</f>
        <v>83.3</v>
      </c>
      <c r="F60" s="1">
        <f ca="1">IFERROR(__xludf.DUMMYFUNCTION("""COMPUTED_VALUE"""),18372582)</f>
        <v>18372582</v>
      </c>
    </row>
    <row r="61" spans="1:6" x14ac:dyDescent="0.35">
      <c r="A61" s="2">
        <f ca="1">IFERROR(__xludf.DUMMYFUNCTION("""COMPUTED_VALUE"""),42093.6666666666)</f>
        <v>42093.666666666599</v>
      </c>
      <c r="B61" s="1">
        <f ca="1">IFERROR(__xludf.DUMMYFUNCTION("""COMPUTED_VALUE"""),83.95)</f>
        <v>83.95</v>
      </c>
      <c r="C61" s="1">
        <f ca="1">IFERROR(__xludf.DUMMYFUNCTION("""COMPUTED_VALUE"""),84.34)</f>
        <v>84.34</v>
      </c>
      <c r="D61" s="1">
        <f ca="1">IFERROR(__xludf.DUMMYFUNCTION("""COMPUTED_VALUE"""),82.41)</f>
        <v>82.41</v>
      </c>
      <c r="E61" s="1">
        <f ca="1">IFERROR(__xludf.DUMMYFUNCTION("""COMPUTED_VALUE"""),83.2)</f>
        <v>83.2</v>
      </c>
      <c r="F61" s="1">
        <f ca="1">IFERROR(__xludf.DUMMYFUNCTION("""COMPUTED_VALUE"""),24527686)</f>
        <v>24527686</v>
      </c>
    </row>
    <row r="62" spans="1:6" x14ac:dyDescent="0.35">
      <c r="A62" s="2">
        <f ca="1">IFERROR(__xludf.DUMMYFUNCTION("""COMPUTED_VALUE"""),42094.6666666666)</f>
        <v>42094.666666666599</v>
      </c>
      <c r="B62" s="1">
        <f ca="1">IFERROR(__xludf.DUMMYFUNCTION("""COMPUTED_VALUE"""),82.9)</f>
        <v>82.9</v>
      </c>
      <c r="C62" s="1">
        <f ca="1">IFERROR(__xludf.DUMMYFUNCTION("""COMPUTED_VALUE"""),83.5)</f>
        <v>83.5</v>
      </c>
      <c r="D62" s="1">
        <f ca="1">IFERROR(__xludf.DUMMYFUNCTION("""COMPUTED_VALUE"""),82.21)</f>
        <v>82.21</v>
      </c>
      <c r="E62" s="1">
        <f ca="1">IFERROR(__xludf.DUMMYFUNCTION("""COMPUTED_VALUE"""),82.22)</f>
        <v>82.22</v>
      </c>
      <c r="F62" s="1">
        <f ca="1">IFERROR(__xludf.DUMMYFUNCTION("""COMPUTED_VALUE"""),19734277)</f>
        <v>19734277</v>
      </c>
    </row>
    <row r="63" spans="1:6" x14ac:dyDescent="0.35">
      <c r="A63" s="2">
        <f ca="1">IFERROR(__xludf.DUMMYFUNCTION("""COMPUTED_VALUE"""),42095.6666666666)</f>
        <v>42095.666666666599</v>
      </c>
      <c r="B63" s="1">
        <f ca="1">IFERROR(__xludf.DUMMYFUNCTION("""COMPUTED_VALUE"""),82.5)</f>
        <v>82.5</v>
      </c>
      <c r="C63" s="1">
        <f ca="1">IFERROR(__xludf.DUMMYFUNCTION("""COMPUTED_VALUE"""),82.72)</f>
        <v>82.72</v>
      </c>
      <c r="D63" s="1">
        <f ca="1">IFERROR(__xludf.DUMMYFUNCTION("""COMPUTED_VALUE"""),80.87)</f>
        <v>80.87</v>
      </c>
      <c r="E63" s="1">
        <f ca="1">IFERROR(__xludf.DUMMYFUNCTION("""COMPUTED_VALUE"""),81.67)</f>
        <v>81.67</v>
      </c>
      <c r="F63" s="1">
        <f ca="1">IFERROR(__xludf.DUMMYFUNCTION("""COMPUTED_VALUE"""),22058167)</f>
        <v>22058167</v>
      </c>
    </row>
    <row r="64" spans="1:6" x14ac:dyDescent="0.35">
      <c r="A64" s="2">
        <f ca="1">IFERROR(__xludf.DUMMYFUNCTION("""COMPUTED_VALUE"""),42096.6666666666)</f>
        <v>42096.666666666599</v>
      </c>
      <c r="B64" s="1">
        <f ca="1">IFERROR(__xludf.DUMMYFUNCTION("""COMPUTED_VALUE"""),82.25)</f>
        <v>82.25</v>
      </c>
      <c r="C64" s="1">
        <f ca="1">IFERROR(__xludf.DUMMYFUNCTION("""COMPUTED_VALUE"""),82.56)</f>
        <v>82.56</v>
      </c>
      <c r="D64" s="1">
        <f ca="1">IFERROR(__xludf.DUMMYFUNCTION("""COMPUTED_VALUE"""),81.44)</f>
        <v>81.44</v>
      </c>
      <c r="E64" s="1">
        <f ca="1">IFERROR(__xludf.DUMMYFUNCTION("""COMPUTED_VALUE"""),81.56)</f>
        <v>81.56</v>
      </c>
      <c r="F64" s="1">
        <f ca="1">IFERROR(__xludf.DUMMYFUNCTION("""COMPUTED_VALUE"""),19664053)</f>
        <v>19664053</v>
      </c>
    </row>
    <row r="65" spans="1:6" x14ac:dyDescent="0.35">
      <c r="A65" s="2">
        <f ca="1">IFERROR(__xludf.DUMMYFUNCTION("""COMPUTED_VALUE"""),42100.6666666666)</f>
        <v>42100.666666666599</v>
      </c>
      <c r="B65" s="1">
        <f ca="1">IFERROR(__xludf.DUMMYFUNCTION("""COMPUTED_VALUE"""),80.8)</f>
        <v>80.8</v>
      </c>
      <c r="C65" s="1">
        <f ca="1">IFERROR(__xludf.DUMMYFUNCTION("""COMPUTED_VALUE"""),82.81)</f>
        <v>82.81</v>
      </c>
      <c r="D65" s="1">
        <f ca="1">IFERROR(__xludf.DUMMYFUNCTION("""COMPUTED_VALUE"""),80.8)</f>
        <v>80.8</v>
      </c>
      <c r="E65" s="1">
        <f ca="1">IFERROR(__xludf.DUMMYFUNCTION("""COMPUTED_VALUE"""),82.44)</f>
        <v>82.44</v>
      </c>
      <c r="F65" s="1">
        <f ca="1">IFERROR(__xludf.DUMMYFUNCTION("""COMPUTED_VALUE"""),19062934)</f>
        <v>19062934</v>
      </c>
    </row>
    <row r="66" spans="1:6" x14ac:dyDescent="0.35">
      <c r="A66" s="2">
        <f ca="1">IFERROR(__xludf.DUMMYFUNCTION("""COMPUTED_VALUE"""),42101.6666666666)</f>
        <v>42101.666666666599</v>
      </c>
      <c r="B66" s="1">
        <f ca="1">IFERROR(__xludf.DUMMYFUNCTION("""COMPUTED_VALUE"""),82.65)</f>
        <v>82.65</v>
      </c>
      <c r="C66" s="1">
        <f ca="1">IFERROR(__xludf.DUMMYFUNCTION("""COMPUTED_VALUE"""),83.42)</f>
        <v>83.42</v>
      </c>
      <c r="D66" s="1">
        <f ca="1">IFERROR(__xludf.DUMMYFUNCTION("""COMPUTED_VALUE"""),82.22)</f>
        <v>82.22</v>
      </c>
      <c r="E66" s="1">
        <f ca="1">IFERROR(__xludf.DUMMYFUNCTION("""COMPUTED_VALUE"""),82.32)</f>
        <v>82.32</v>
      </c>
      <c r="F66" s="1">
        <f ca="1">IFERROR(__xludf.DUMMYFUNCTION("""COMPUTED_VALUE"""),17467042)</f>
        <v>17467042</v>
      </c>
    </row>
    <row r="67" spans="1:6" x14ac:dyDescent="0.35">
      <c r="A67" s="2">
        <f ca="1">IFERROR(__xludf.DUMMYFUNCTION("""COMPUTED_VALUE"""),42102.6666666666)</f>
        <v>42102.666666666599</v>
      </c>
      <c r="B67" s="1">
        <f ca="1">IFERROR(__xludf.DUMMYFUNCTION("""COMPUTED_VALUE"""),82.63)</f>
        <v>82.63</v>
      </c>
      <c r="C67" s="1">
        <f ca="1">IFERROR(__xludf.DUMMYFUNCTION("""COMPUTED_VALUE"""),83.1)</f>
        <v>83.1</v>
      </c>
      <c r="D67" s="1">
        <f ca="1">IFERROR(__xludf.DUMMYFUNCTION("""COMPUTED_VALUE"""),81.84)</f>
        <v>81.84</v>
      </c>
      <c r="E67" s="1">
        <f ca="1">IFERROR(__xludf.DUMMYFUNCTION("""COMPUTED_VALUE"""),82.28)</f>
        <v>82.28</v>
      </c>
      <c r="F67" s="1">
        <f ca="1">IFERROR(__xludf.DUMMYFUNCTION("""COMPUTED_VALUE"""),18966732)</f>
        <v>18966732</v>
      </c>
    </row>
    <row r="68" spans="1:6" x14ac:dyDescent="0.35">
      <c r="A68" s="2">
        <f ca="1">IFERROR(__xludf.DUMMYFUNCTION("""COMPUTED_VALUE"""),42103.6666666666)</f>
        <v>42103.666666666599</v>
      </c>
      <c r="B68" s="1">
        <f ca="1">IFERROR(__xludf.DUMMYFUNCTION("""COMPUTED_VALUE"""),82.5)</f>
        <v>82.5</v>
      </c>
      <c r="C68" s="1">
        <f ca="1">IFERROR(__xludf.DUMMYFUNCTION("""COMPUTED_VALUE"""),82.8)</f>
        <v>82.8</v>
      </c>
      <c r="D68" s="1">
        <f ca="1">IFERROR(__xludf.DUMMYFUNCTION("""COMPUTED_VALUE"""),81.71)</f>
        <v>81.709999999999994</v>
      </c>
      <c r="E68" s="1">
        <f ca="1">IFERROR(__xludf.DUMMYFUNCTION("""COMPUTED_VALUE"""),82.17)</f>
        <v>82.17</v>
      </c>
      <c r="F68" s="1">
        <f ca="1">IFERROR(__xludf.DUMMYFUNCTION("""COMPUTED_VALUE"""),15927281)</f>
        <v>15927281</v>
      </c>
    </row>
    <row r="69" spans="1:6" x14ac:dyDescent="0.35">
      <c r="A69" s="2">
        <f ca="1">IFERROR(__xludf.DUMMYFUNCTION("""COMPUTED_VALUE"""),42104.6666666666)</f>
        <v>42104.666666666599</v>
      </c>
      <c r="B69" s="1">
        <f ca="1">IFERROR(__xludf.DUMMYFUNCTION("""COMPUTED_VALUE"""),82.21)</f>
        <v>82.21</v>
      </c>
      <c r="C69" s="1">
        <f ca="1">IFERROR(__xludf.DUMMYFUNCTION("""COMPUTED_VALUE"""),82.61)</f>
        <v>82.61</v>
      </c>
      <c r="D69" s="1">
        <f ca="1">IFERROR(__xludf.DUMMYFUNCTION("""COMPUTED_VALUE"""),81.91)</f>
        <v>81.91</v>
      </c>
      <c r="E69" s="1">
        <f ca="1">IFERROR(__xludf.DUMMYFUNCTION("""COMPUTED_VALUE"""),82.04)</f>
        <v>82.04</v>
      </c>
      <c r="F69" s="1">
        <f ca="1">IFERROR(__xludf.DUMMYFUNCTION("""COMPUTED_VALUE"""),12529738)</f>
        <v>12529738</v>
      </c>
    </row>
    <row r="70" spans="1:6" x14ac:dyDescent="0.35">
      <c r="A70" s="2">
        <f ca="1">IFERROR(__xludf.DUMMYFUNCTION("""COMPUTED_VALUE"""),42107.6666666666)</f>
        <v>42107.666666666599</v>
      </c>
      <c r="B70" s="1">
        <f ca="1">IFERROR(__xludf.DUMMYFUNCTION("""COMPUTED_VALUE"""),81.93)</f>
        <v>81.93</v>
      </c>
      <c r="C70" s="1">
        <f ca="1">IFERROR(__xludf.DUMMYFUNCTION("""COMPUTED_VALUE"""),83.94)</f>
        <v>83.94</v>
      </c>
      <c r="D70" s="1">
        <f ca="1">IFERROR(__xludf.DUMMYFUNCTION("""COMPUTED_VALUE"""),81.92)</f>
        <v>81.92</v>
      </c>
      <c r="E70" s="1">
        <f ca="1">IFERROR(__xludf.DUMMYFUNCTION("""COMPUTED_VALUE"""),83.01)</f>
        <v>83.01</v>
      </c>
      <c r="F70" s="1">
        <f ca="1">IFERROR(__xludf.DUMMYFUNCTION("""COMPUTED_VALUE"""),26883094)</f>
        <v>26883094</v>
      </c>
    </row>
    <row r="71" spans="1:6" x14ac:dyDescent="0.35">
      <c r="A71" s="2">
        <f ca="1">IFERROR(__xludf.DUMMYFUNCTION("""COMPUTED_VALUE"""),42108.6666666666)</f>
        <v>42108.666666666599</v>
      </c>
      <c r="B71" s="1">
        <f ca="1">IFERROR(__xludf.DUMMYFUNCTION("""COMPUTED_VALUE"""),83.17)</f>
        <v>83.17</v>
      </c>
      <c r="C71" s="1">
        <f ca="1">IFERROR(__xludf.DUMMYFUNCTION("""COMPUTED_VALUE"""),83.69)</f>
        <v>83.69</v>
      </c>
      <c r="D71" s="1">
        <f ca="1">IFERROR(__xludf.DUMMYFUNCTION("""COMPUTED_VALUE"""),82.44)</f>
        <v>82.44</v>
      </c>
      <c r="E71" s="1">
        <f ca="1">IFERROR(__xludf.DUMMYFUNCTION("""COMPUTED_VALUE"""),83.52)</f>
        <v>83.52</v>
      </c>
      <c r="F71" s="1">
        <f ca="1">IFERROR(__xludf.DUMMYFUNCTION("""COMPUTED_VALUE"""),19634173)</f>
        <v>19634173</v>
      </c>
    </row>
    <row r="72" spans="1:6" x14ac:dyDescent="0.35">
      <c r="A72" s="2">
        <f ca="1">IFERROR(__xludf.DUMMYFUNCTION("""COMPUTED_VALUE"""),42109.6666666666)</f>
        <v>42109.666666666599</v>
      </c>
      <c r="B72" s="1">
        <f ca="1">IFERROR(__xludf.DUMMYFUNCTION("""COMPUTED_VALUE"""),83.55)</f>
        <v>83.55</v>
      </c>
      <c r="C72" s="1">
        <f ca="1">IFERROR(__xludf.DUMMYFUNCTION("""COMPUTED_VALUE"""),83.66)</f>
        <v>83.66</v>
      </c>
      <c r="D72" s="1">
        <f ca="1">IFERROR(__xludf.DUMMYFUNCTION("""COMPUTED_VALUE"""),82.27)</f>
        <v>82.27</v>
      </c>
      <c r="E72" s="1">
        <f ca="1">IFERROR(__xludf.DUMMYFUNCTION("""COMPUTED_VALUE"""),82.71)</f>
        <v>82.71</v>
      </c>
      <c r="F72" s="1">
        <f ca="1">IFERROR(__xludf.DUMMYFUNCTION("""COMPUTED_VALUE"""),22390943)</f>
        <v>22390943</v>
      </c>
    </row>
    <row r="73" spans="1:6" x14ac:dyDescent="0.35">
      <c r="A73" s="2">
        <f ca="1">IFERROR(__xludf.DUMMYFUNCTION("""COMPUTED_VALUE"""),42110.6666666666)</f>
        <v>42110.666666666599</v>
      </c>
      <c r="B73" s="1">
        <f ca="1">IFERROR(__xludf.DUMMYFUNCTION("""COMPUTED_VALUE"""),82.47)</f>
        <v>82.47</v>
      </c>
      <c r="C73" s="1">
        <f ca="1">IFERROR(__xludf.DUMMYFUNCTION("""COMPUTED_VALUE"""),83.07)</f>
        <v>83.07</v>
      </c>
      <c r="D73" s="1">
        <f ca="1">IFERROR(__xludf.DUMMYFUNCTION("""COMPUTED_VALUE"""),82.15)</f>
        <v>82.15</v>
      </c>
      <c r="E73" s="1">
        <f ca="1">IFERROR(__xludf.DUMMYFUNCTION("""COMPUTED_VALUE"""),82.31)</f>
        <v>82.31</v>
      </c>
      <c r="F73" s="1">
        <f ca="1">IFERROR(__xludf.DUMMYFUNCTION("""COMPUTED_VALUE"""),13769687)</f>
        <v>13769687</v>
      </c>
    </row>
    <row r="74" spans="1:6" x14ac:dyDescent="0.35">
      <c r="A74" s="2">
        <f ca="1">IFERROR(__xludf.DUMMYFUNCTION("""COMPUTED_VALUE"""),42111.6666666666)</f>
        <v>42111.666666666599</v>
      </c>
      <c r="B74" s="1">
        <f ca="1">IFERROR(__xludf.DUMMYFUNCTION("""COMPUTED_VALUE"""),81.48)</f>
        <v>81.48</v>
      </c>
      <c r="C74" s="1">
        <f ca="1">IFERROR(__xludf.DUMMYFUNCTION("""COMPUTED_VALUE"""),82.11)</f>
        <v>82.11</v>
      </c>
      <c r="D74" s="1">
        <f ca="1">IFERROR(__xludf.DUMMYFUNCTION("""COMPUTED_VALUE"""),80.37)</f>
        <v>80.37</v>
      </c>
      <c r="E74" s="1">
        <f ca="1">IFERROR(__xludf.DUMMYFUNCTION("""COMPUTED_VALUE"""),80.78)</f>
        <v>80.78</v>
      </c>
      <c r="F74" s="1">
        <f ca="1">IFERROR(__xludf.DUMMYFUNCTION("""COMPUTED_VALUE"""),24214983)</f>
        <v>24214983</v>
      </c>
    </row>
    <row r="75" spans="1:6" x14ac:dyDescent="0.35">
      <c r="A75" s="2">
        <f ca="1">IFERROR(__xludf.DUMMYFUNCTION("""COMPUTED_VALUE"""),42114.6666666666)</f>
        <v>42114.666666666599</v>
      </c>
      <c r="B75" s="1">
        <f ca="1">IFERROR(__xludf.DUMMYFUNCTION("""COMPUTED_VALUE"""),81.54)</f>
        <v>81.540000000000006</v>
      </c>
      <c r="C75" s="1">
        <f ca="1">IFERROR(__xludf.DUMMYFUNCTION("""COMPUTED_VALUE"""),83.15)</f>
        <v>83.15</v>
      </c>
      <c r="D75" s="1">
        <f ca="1">IFERROR(__xludf.DUMMYFUNCTION("""COMPUTED_VALUE"""),81.24)</f>
        <v>81.239999999999995</v>
      </c>
      <c r="E75" s="1">
        <f ca="1">IFERROR(__xludf.DUMMYFUNCTION("""COMPUTED_VALUE"""),83.09)</f>
        <v>83.09</v>
      </c>
      <c r="F75" s="1">
        <f ca="1">IFERROR(__xludf.DUMMYFUNCTION("""COMPUTED_VALUE"""),28796761)</f>
        <v>28796761</v>
      </c>
    </row>
    <row r="76" spans="1:6" x14ac:dyDescent="0.35">
      <c r="A76" s="2">
        <f ca="1">IFERROR(__xludf.DUMMYFUNCTION("""COMPUTED_VALUE"""),42115.6666666666)</f>
        <v>42115.666666666599</v>
      </c>
      <c r="B76" s="1">
        <f ca="1">IFERROR(__xludf.DUMMYFUNCTION("""COMPUTED_VALUE"""),84)</f>
        <v>84</v>
      </c>
      <c r="C76" s="1">
        <f ca="1">IFERROR(__xludf.DUMMYFUNCTION("""COMPUTED_VALUE"""),84.49)</f>
        <v>84.49</v>
      </c>
      <c r="D76" s="1">
        <f ca="1">IFERROR(__xludf.DUMMYFUNCTION("""COMPUTED_VALUE"""),83.54)</f>
        <v>83.54</v>
      </c>
      <c r="E76" s="1">
        <f ca="1">IFERROR(__xludf.DUMMYFUNCTION("""COMPUTED_VALUE"""),83.62)</f>
        <v>83.62</v>
      </c>
      <c r="F76" s="1">
        <f ca="1">IFERROR(__xludf.DUMMYFUNCTION("""COMPUTED_VALUE"""),27171852)</f>
        <v>27171852</v>
      </c>
    </row>
    <row r="77" spans="1:6" x14ac:dyDescent="0.35">
      <c r="A77" s="2">
        <f ca="1">IFERROR(__xludf.DUMMYFUNCTION("""COMPUTED_VALUE"""),42116.6666666666)</f>
        <v>42116.666666666599</v>
      </c>
      <c r="B77" s="1">
        <f ca="1">IFERROR(__xludf.DUMMYFUNCTION("""COMPUTED_VALUE"""),84.32)</f>
        <v>84.32</v>
      </c>
      <c r="C77" s="1">
        <f ca="1">IFERROR(__xludf.DUMMYFUNCTION("""COMPUTED_VALUE"""),84.74)</f>
        <v>84.74</v>
      </c>
      <c r="D77" s="1">
        <f ca="1">IFERROR(__xludf.DUMMYFUNCTION("""COMPUTED_VALUE"""),83.65)</f>
        <v>83.65</v>
      </c>
      <c r="E77" s="1">
        <f ca="1">IFERROR(__xludf.DUMMYFUNCTION("""COMPUTED_VALUE"""),84.63)</f>
        <v>84.63</v>
      </c>
      <c r="F77" s="1">
        <f ca="1">IFERROR(__xludf.DUMMYFUNCTION("""COMPUTED_VALUE"""),45547963)</f>
        <v>45547963</v>
      </c>
    </row>
    <row r="78" spans="1:6" x14ac:dyDescent="0.35">
      <c r="A78" s="2">
        <f ca="1">IFERROR(__xludf.DUMMYFUNCTION("""COMPUTED_VALUE"""),42117.6666666666)</f>
        <v>42117.666666666599</v>
      </c>
      <c r="B78" s="1">
        <f ca="1">IFERROR(__xludf.DUMMYFUNCTION("""COMPUTED_VALUE"""),84.1)</f>
        <v>84.1</v>
      </c>
      <c r="C78" s="1">
        <f ca="1">IFERROR(__xludf.DUMMYFUNCTION("""COMPUTED_VALUE"""),85.59)</f>
        <v>85.59</v>
      </c>
      <c r="D78" s="1">
        <f ca="1">IFERROR(__xludf.DUMMYFUNCTION("""COMPUTED_VALUE"""),82.41)</f>
        <v>82.41</v>
      </c>
      <c r="E78" s="1">
        <f ca="1">IFERROR(__xludf.DUMMYFUNCTION("""COMPUTED_VALUE"""),82.41)</f>
        <v>82.41</v>
      </c>
      <c r="F78" s="1">
        <f ca="1">IFERROR(__xludf.DUMMYFUNCTION("""COMPUTED_VALUE"""),73728080)</f>
        <v>73728080</v>
      </c>
    </row>
    <row r="79" spans="1:6" x14ac:dyDescent="0.35">
      <c r="A79" s="2">
        <f ca="1">IFERROR(__xludf.DUMMYFUNCTION("""COMPUTED_VALUE"""),42118.6666666666)</f>
        <v>42118.666666666599</v>
      </c>
      <c r="B79" s="1">
        <f ca="1">IFERROR(__xludf.DUMMYFUNCTION("""COMPUTED_VALUE"""),82.77)</f>
        <v>82.77</v>
      </c>
      <c r="C79" s="1">
        <f ca="1">IFERROR(__xludf.DUMMYFUNCTION("""COMPUTED_VALUE"""),82.94)</f>
        <v>82.94</v>
      </c>
      <c r="D79" s="1">
        <f ca="1">IFERROR(__xludf.DUMMYFUNCTION("""COMPUTED_VALUE"""),81.48)</f>
        <v>81.48</v>
      </c>
      <c r="E79" s="1">
        <f ca="1">IFERROR(__xludf.DUMMYFUNCTION("""COMPUTED_VALUE"""),81.53)</f>
        <v>81.53</v>
      </c>
      <c r="F79" s="1">
        <f ca="1">IFERROR(__xludf.DUMMYFUNCTION("""COMPUTED_VALUE"""),29660356)</f>
        <v>29660356</v>
      </c>
    </row>
    <row r="80" spans="1:6" x14ac:dyDescent="0.35">
      <c r="A80" s="2">
        <f ca="1">IFERROR(__xludf.DUMMYFUNCTION("""COMPUTED_VALUE"""),42121.6666666666)</f>
        <v>42121.666666666599</v>
      </c>
      <c r="B80" s="1">
        <f ca="1">IFERROR(__xludf.DUMMYFUNCTION("""COMPUTED_VALUE"""),81.87)</f>
        <v>81.87</v>
      </c>
      <c r="C80" s="1">
        <f ca="1">IFERROR(__xludf.DUMMYFUNCTION("""COMPUTED_VALUE"""),82.93)</f>
        <v>82.93</v>
      </c>
      <c r="D80" s="1">
        <f ca="1">IFERROR(__xludf.DUMMYFUNCTION("""COMPUTED_VALUE"""),81.63)</f>
        <v>81.63</v>
      </c>
      <c r="E80" s="1">
        <f ca="1">IFERROR(__xludf.DUMMYFUNCTION("""COMPUTED_VALUE"""),81.91)</f>
        <v>81.91</v>
      </c>
      <c r="F80" s="1">
        <f ca="1">IFERROR(__xludf.DUMMYFUNCTION("""COMPUTED_VALUE"""),25446032)</f>
        <v>25446032</v>
      </c>
    </row>
    <row r="81" spans="1:6" x14ac:dyDescent="0.35">
      <c r="A81" s="2">
        <f ca="1">IFERROR(__xludf.DUMMYFUNCTION("""COMPUTED_VALUE"""),42122.6666666666)</f>
        <v>42122.666666666599</v>
      </c>
      <c r="B81" s="1">
        <f ca="1">IFERROR(__xludf.DUMMYFUNCTION("""COMPUTED_VALUE"""),81.83)</f>
        <v>81.83</v>
      </c>
      <c r="C81" s="1">
        <f ca="1">IFERROR(__xludf.DUMMYFUNCTION("""COMPUTED_VALUE"""),81.9)</f>
        <v>81.900000000000006</v>
      </c>
      <c r="D81" s="1">
        <f ca="1">IFERROR(__xludf.DUMMYFUNCTION("""COMPUTED_VALUE"""),80.23)</f>
        <v>80.23</v>
      </c>
      <c r="E81" s="1">
        <f ca="1">IFERROR(__xludf.DUMMYFUNCTION("""COMPUTED_VALUE"""),80.68)</f>
        <v>80.680000000000007</v>
      </c>
      <c r="F81" s="1">
        <f ca="1">IFERROR(__xludf.DUMMYFUNCTION("""COMPUTED_VALUE"""),23775344)</f>
        <v>23775344</v>
      </c>
    </row>
    <row r="82" spans="1:6" x14ac:dyDescent="0.35">
      <c r="A82" s="2">
        <f ca="1">IFERROR(__xludf.DUMMYFUNCTION("""COMPUTED_VALUE"""),42123.6666666666)</f>
        <v>42123.666666666599</v>
      </c>
      <c r="B82" s="1">
        <f ca="1">IFERROR(__xludf.DUMMYFUNCTION("""COMPUTED_VALUE"""),80.01)</f>
        <v>80.010000000000005</v>
      </c>
      <c r="C82" s="1">
        <f ca="1">IFERROR(__xludf.DUMMYFUNCTION("""COMPUTED_VALUE"""),81.39)</f>
        <v>81.39</v>
      </c>
      <c r="D82" s="1">
        <f ca="1">IFERROR(__xludf.DUMMYFUNCTION("""COMPUTED_VALUE"""),79.52)</f>
        <v>79.52</v>
      </c>
      <c r="E82" s="1">
        <f ca="1">IFERROR(__xludf.DUMMYFUNCTION("""COMPUTED_VALUE"""),80.47)</f>
        <v>80.47</v>
      </c>
      <c r="F82" s="1">
        <f ca="1">IFERROR(__xludf.DUMMYFUNCTION("""COMPUTED_VALUE"""),26430258)</f>
        <v>26430258</v>
      </c>
    </row>
    <row r="83" spans="1:6" x14ac:dyDescent="0.35">
      <c r="A83" s="2">
        <f ca="1">IFERROR(__xludf.DUMMYFUNCTION("""COMPUTED_VALUE"""),42124.6666666666)</f>
        <v>42124.666666666599</v>
      </c>
      <c r="B83" s="1">
        <f ca="1">IFERROR(__xludf.DUMMYFUNCTION("""COMPUTED_VALUE"""),80.01)</f>
        <v>80.010000000000005</v>
      </c>
      <c r="C83" s="1">
        <f ca="1">IFERROR(__xludf.DUMMYFUNCTION("""COMPUTED_VALUE"""),80.96)</f>
        <v>80.959999999999994</v>
      </c>
      <c r="D83" s="1">
        <f ca="1">IFERROR(__xludf.DUMMYFUNCTION("""COMPUTED_VALUE"""),78.32)</f>
        <v>78.319999999999993</v>
      </c>
      <c r="E83" s="1">
        <f ca="1">IFERROR(__xludf.DUMMYFUNCTION("""COMPUTED_VALUE"""),78.77)</f>
        <v>78.77</v>
      </c>
      <c r="F83" s="1">
        <f ca="1">IFERROR(__xludf.DUMMYFUNCTION("""COMPUTED_VALUE"""),28999005)</f>
        <v>28999005</v>
      </c>
    </row>
    <row r="84" spans="1:6" x14ac:dyDescent="0.35">
      <c r="A84" s="2">
        <f ca="1">IFERROR(__xludf.DUMMYFUNCTION("""COMPUTED_VALUE"""),42125.6666666666)</f>
        <v>42125.666666666599</v>
      </c>
      <c r="B84" s="1">
        <f ca="1">IFERROR(__xludf.DUMMYFUNCTION("""COMPUTED_VALUE"""),79.24)</f>
        <v>79.239999999999995</v>
      </c>
      <c r="C84" s="1">
        <f ca="1">IFERROR(__xludf.DUMMYFUNCTION("""COMPUTED_VALUE"""),79.76)</f>
        <v>79.760000000000005</v>
      </c>
      <c r="D84" s="1">
        <f ca="1">IFERROR(__xludf.DUMMYFUNCTION("""COMPUTED_VALUE"""),78.11)</f>
        <v>78.11</v>
      </c>
      <c r="E84" s="1">
        <f ca="1">IFERROR(__xludf.DUMMYFUNCTION("""COMPUTED_VALUE"""),78.99)</f>
        <v>78.989999999999995</v>
      </c>
      <c r="F84" s="1">
        <f ca="1">IFERROR(__xludf.DUMMYFUNCTION("""COMPUTED_VALUE"""),24136358)</f>
        <v>24136358</v>
      </c>
    </row>
    <row r="85" spans="1:6" x14ac:dyDescent="0.35">
      <c r="A85" s="2">
        <f ca="1">IFERROR(__xludf.DUMMYFUNCTION("""COMPUTED_VALUE"""),42128.6666666666)</f>
        <v>42128.666666666599</v>
      </c>
      <c r="B85" s="1">
        <f ca="1">IFERROR(__xludf.DUMMYFUNCTION("""COMPUTED_VALUE"""),79.33)</f>
        <v>79.33</v>
      </c>
      <c r="C85" s="1">
        <f ca="1">IFERROR(__xludf.DUMMYFUNCTION("""COMPUTED_VALUE"""),79.69)</f>
        <v>79.69</v>
      </c>
      <c r="D85" s="1">
        <f ca="1">IFERROR(__xludf.DUMMYFUNCTION("""COMPUTED_VALUE"""),78.63)</f>
        <v>78.63</v>
      </c>
      <c r="E85" s="1">
        <f ca="1">IFERROR(__xludf.DUMMYFUNCTION("""COMPUTED_VALUE"""),78.81)</f>
        <v>78.81</v>
      </c>
      <c r="F85" s="1">
        <f ca="1">IFERROR(__xludf.DUMMYFUNCTION("""COMPUTED_VALUE"""),14691991)</f>
        <v>14691991</v>
      </c>
    </row>
    <row r="86" spans="1:6" x14ac:dyDescent="0.35">
      <c r="A86" s="2">
        <f ca="1">IFERROR(__xludf.DUMMYFUNCTION("""COMPUTED_VALUE"""),42129.6666666666)</f>
        <v>42129.666666666599</v>
      </c>
      <c r="B86" s="1">
        <f ca="1">IFERROR(__xludf.DUMMYFUNCTION("""COMPUTED_VALUE"""),78.55)</f>
        <v>78.55</v>
      </c>
      <c r="C86" s="1">
        <f ca="1">IFERROR(__xludf.DUMMYFUNCTION("""COMPUTED_VALUE"""),78.8)</f>
        <v>78.8</v>
      </c>
      <c r="D86" s="1">
        <f ca="1">IFERROR(__xludf.DUMMYFUNCTION("""COMPUTED_VALUE"""),77.22)</f>
        <v>77.22</v>
      </c>
      <c r="E86" s="1">
        <f ca="1">IFERROR(__xludf.DUMMYFUNCTION("""COMPUTED_VALUE"""),77.56)</f>
        <v>77.56</v>
      </c>
      <c r="F86" s="1">
        <f ca="1">IFERROR(__xludf.DUMMYFUNCTION("""COMPUTED_VALUE"""),22311318)</f>
        <v>22311318</v>
      </c>
    </row>
    <row r="87" spans="1:6" x14ac:dyDescent="0.35">
      <c r="A87" s="2">
        <f ca="1">IFERROR(__xludf.DUMMYFUNCTION("""COMPUTED_VALUE"""),42130.6666666666)</f>
        <v>42130.666666666599</v>
      </c>
      <c r="B87" s="1">
        <f ca="1">IFERROR(__xludf.DUMMYFUNCTION("""COMPUTED_VALUE"""),77.97)</f>
        <v>77.97</v>
      </c>
      <c r="C87" s="1">
        <f ca="1">IFERROR(__xludf.DUMMYFUNCTION("""COMPUTED_VALUE"""),78.81)</f>
        <v>78.81</v>
      </c>
      <c r="D87" s="1">
        <f ca="1">IFERROR(__xludf.DUMMYFUNCTION("""COMPUTED_VALUE"""),77.05)</f>
        <v>77.05</v>
      </c>
      <c r="E87" s="1">
        <f ca="1">IFERROR(__xludf.DUMMYFUNCTION("""COMPUTED_VALUE"""),78.1)</f>
        <v>78.099999999999994</v>
      </c>
      <c r="F87" s="1">
        <f ca="1">IFERROR(__xludf.DUMMYFUNCTION("""COMPUTED_VALUE"""),28663026)</f>
        <v>28663026</v>
      </c>
    </row>
    <row r="88" spans="1:6" x14ac:dyDescent="0.35">
      <c r="A88" s="2">
        <f ca="1">IFERROR(__xludf.DUMMYFUNCTION("""COMPUTED_VALUE"""),42131.6666666666)</f>
        <v>42131.666666666599</v>
      </c>
      <c r="B88" s="1">
        <f ca="1">IFERROR(__xludf.DUMMYFUNCTION("""COMPUTED_VALUE"""),78)</f>
        <v>78</v>
      </c>
      <c r="C88" s="1">
        <f ca="1">IFERROR(__xludf.DUMMYFUNCTION("""COMPUTED_VALUE"""),78.94)</f>
        <v>78.94</v>
      </c>
      <c r="D88" s="1">
        <f ca="1">IFERROR(__xludf.DUMMYFUNCTION("""COMPUTED_VALUE"""),77.56)</f>
        <v>77.56</v>
      </c>
      <c r="E88" s="1">
        <f ca="1">IFERROR(__xludf.DUMMYFUNCTION("""COMPUTED_VALUE"""),78.43)</f>
        <v>78.430000000000007</v>
      </c>
      <c r="F88" s="1">
        <f ca="1">IFERROR(__xludf.DUMMYFUNCTION("""COMPUTED_VALUE"""),19749428)</f>
        <v>19749428</v>
      </c>
    </row>
    <row r="89" spans="1:6" x14ac:dyDescent="0.35">
      <c r="A89" s="2">
        <f ca="1">IFERROR(__xludf.DUMMYFUNCTION("""COMPUTED_VALUE"""),42132.6666666666)</f>
        <v>42132.666666666599</v>
      </c>
      <c r="B89" s="1">
        <f ca="1">IFERROR(__xludf.DUMMYFUNCTION("""COMPUTED_VALUE"""),79.1)</f>
        <v>79.099999999999994</v>
      </c>
      <c r="C89" s="1">
        <f ca="1">IFERROR(__xludf.DUMMYFUNCTION("""COMPUTED_VALUE"""),79.23)</f>
        <v>79.23</v>
      </c>
      <c r="D89" s="1">
        <f ca="1">IFERROR(__xludf.DUMMYFUNCTION("""COMPUTED_VALUE"""),78.03)</f>
        <v>78.03</v>
      </c>
      <c r="E89" s="1">
        <f ca="1">IFERROR(__xludf.DUMMYFUNCTION("""COMPUTED_VALUE"""),78.51)</f>
        <v>78.510000000000005</v>
      </c>
      <c r="F89" s="1">
        <f ca="1">IFERROR(__xludf.DUMMYFUNCTION("""COMPUTED_VALUE"""),19943595)</f>
        <v>19943595</v>
      </c>
    </row>
    <row r="90" spans="1:6" x14ac:dyDescent="0.35">
      <c r="A90" s="2">
        <f ca="1">IFERROR(__xludf.DUMMYFUNCTION("""COMPUTED_VALUE"""),42135.6666666666)</f>
        <v>42135.666666666599</v>
      </c>
      <c r="B90" s="1">
        <f ca="1">IFERROR(__xludf.DUMMYFUNCTION("""COMPUTED_VALUE"""),78.48)</f>
        <v>78.48</v>
      </c>
      <c r="C90" s="1">
        <f ca="1">IFERROR(__xludf.DUMMYFUNCTION("""COMPUTED_VALUE"""),79.03)</f>
        <v>79.03</v>
      </c>
      <c r="D90" s="1">
        <f ca="1">IFERROR(__xludf.DUMMYFUNCTION("""COMPUTED_VALUE"""),77.93)</f>
        <v>77.930000000000007</v>
      </c>
      <c r="E90" s="1">
        <f ca="1">IFERROR(__xludf.DUMMYFUNCTION("""COMPUTED_VALUE"""),78.01)</f>
        <v>78.010000000000005</v>
      </c>
      <c r="F90" s="1">
        <f ca="1">IFERROR(__xludf.DUMMYFUNCTION("""COMPUTED_VALUE"""),18874054)</f>
        <v>18874054</v>
      </c>
    </row>
    <row r="91" spans="1:6" x14ac:dyDescent="0.35">
      <c r="A91" s="2">
        <f ca="1">IFERROR(__xludf.DUMMYFUNCTION("""COMPUTED_VALUE"""),42136.6666666666)</f>
        <v>42136.666666666599</v>
      </c>
      <c r="B91" s="1">
        <f ca="1">IFERROR(__xludf.DUMMYFUNCTION("""COMPUTED_VALUE"""),77.87)</f>
        <v>77.87</v>
      </c>
      <c r="C91" s="1">
        <f ca="1">IFERROR(__xludf.DUMMYFUNCTION("""COMPUTED_VALUE"""),77.89)</f>
        <v>77.89</v>
      </c>
      <c r="D91" s="1">
        <f ca="1">IFERROR(__xludf.DUMMYFUNCTION("""COMPUTED_VALUE"""),76.79)</f>
        <v>76.790000000000006</v>
      </c>
      <c r="E91" s="1">
        <f ca="1">IFERROR(__xludf.DUMMYFUNCTION("""COMPUTED_VALUE"""),77.46)</f>
        <v>77.459999999999994</v>
      </c>
      <c r="F91" s="1">
        <f ca="1">IFERROR(__xludf.DUMMYFUNCTION("""COMPUTED_VALUE"""),21285310)</f>
        <v>21285310</v>
      </c>
    </row>
    <row r="92" spans="1:6" x14ac:dyDescent="0.35">
      <c r="A92" s="2">
        <f ca="1">IFERROR(__xludf.DUMMYFUNCTION("""COMPUTED_VALUE"""),42137.6666666666)</f>
        <v>42137.666666666599</v>
      </c>
      <c r="B92" s="1">
        <f ca="1">IFERROR(__xludf.DUMMYFUNCTION("""COMPUTED_VALUE"""),77.72)</f>
        <v>77.72</v>
      </c>
      <c r="C92" s="1">
        <f ca="1">IFERROR(__xludf.DUMMYFUNCTION("""COMPUTED_VALUE"""),78.53)</f>
        <v>78.53</v>
      </c>
      <c r="D92" s="1">
        <f ca="1">IFERROR(__xludf.DUMMYFUNCTION("""COMPUTED_VALUE"""),77.65)</f>
        <v>77.650000000000006</v>
      </c>
      <c r="E92" s="1">
        <f ca="1">IFERROR(__xludf.DUMMYFUNCTION("""COMPUTED_VALUE"""),78.44)</f>
        <v>78.44</v>
      </c>
      <c r="F92" s="1">
        <f ca="1">IFERROR(__xludf.DUMMYFUNCTION("""COMPUTED_VALUE"""),21512309)</f>
        <v>21512309</v>
      </c>
    </row>
    <row r="93" spans="1:6" x14ac:dyDescent="0.35">
      <c r="A93" s="2">
        <f ca="1">IFERROR(__xludf.DUMMYFUNCTION("""COMPUTED_VALUE"""),42138.6666666666)</f>
        <v>42138.666666666599</v>
      </c>
      <c r="B93" s="1">
        <f ca="1">IFERROR(__xludf.DUMMYFUNCTION("""COMPUTED_VALUE"""),78.94)</f>
        <v>78.94</v>
      </c>
      <c r="C93" s="1">
        <f ca="1">IFERROR(__xludf.DUMMYFUNCTION("""COMPUTED_VALUE"""),81.85)</f>
        <v>81.849999999999994</v>
      </c>
      <c r="D93" s="1">
        <f ca="1">IFERROR(__xludf.DUMMYFUNCTION("""COMPUTED_VALUE"""),78.67)</f>
        <v>78.67</v>
      </c>
      <c r="E93" s="1">
        <f ca="1">IFERROR(__xludf.DUMMYFUNCTION("""COMPUTED_VALUE"""),81.37)</f>
        <v>81.37</v>
      </c>
      <c r="F93" s="1">
        <f ca="1">IFERROR(__xludf.DUMMYFUNCTION("""COMPUTED_VALUE"""),49437996)</f>
        <v>49437996</v>
      </c>
    </row>
    <row r="94" spans="1:6" x14ac:dyDescent="0.35">
      <c r="A94" s="2">
        <f ca="1">IFERROR(__xludf.DUMMYFUNCTION("""COMPUTED_VALUE"""),42139.6666666666)</f>
        <v>42139.666666666599</v>
      </c>
      <c r="B94" s="1">
        <f ca="1">IFERROR(__xludf.DUMMYFUNCTION("""COMPUTED_VALUE"""),81.42)</f>
        <v>81.42</v>
      </c>
      <c r="C94" s="1">
        <f ca="1">IFERROR(__xludf.DUMMYFUNCTION("""COMPUTED_VALUE"""),81.52)</f>
        <v>81.52</v>
      </c>
      <c r="D94" s="1">
        <f ca="1">IFERROR(__xludf.DUMMYFUNCTION("""COMPUTED_VALUE"""),80.18)</f>
        <v>80.180000000000007</v>
      </c>
      <c r="E94" s="1">
        <f ca="1">IFERROR(__xludf.DUMMYFUNCTION("""COMPUTED_VALUE"""),80.42)</f>
        <v>80.42</v>
      </c>
      <c r="F94" s="1">
        <f ca="1">IFERROR(__xludf.DUMMYFUNCTION("""COMPUTED_VALUE"""),27069884)</f>
        <v>27069884</v>
      </c>
    </row>
    <row r="95" spans="1:6" x14ac:dyDescent="0.35">
      <c r="A95" s="2">
        <f ca="1">IFERROR(__xludf.DUMMYFUNCTION("""COMPUTED_VALUE"""),42142.6666666666)</f>
        <v>42142.666666666599</v>
      </c>
      <c r="B95" s="1">
        <f ca="1">IFERROR(__xludf.DUMMYFUNCTION("""COMPUTED_VALUE"""),80.33)</f>
        <v>80.33</v>
      </c>
      <c r="C95" s="1">
        <f ca="1">IFERROR(__xludf.DUMMYFUNCTION("""COMPUTED_VALUE"""),81.38)</f>
        <v>81.38</v>
      </c>
      <c r="D95" s="1">
        <f ca="1">IFERROR(__xludf.DUMMYFUNCTION("""COMPUTED_VALUE"""),80.23)</f>
        <v>80.23</v>
      </c>
      <c r="E95" s="1">
        <f ca="1">IFERROR(__xludf.DUMMYFUNCTION("""COMPUTED_VALUE"""),80.88)</f>
        <v>80.88</v>
      </c>
      <c r="F95" s="1">
        <f ca="1">IFERROR(__xludf.DUMMYFUNCTION("""COMPUTED_VALUE"""),21613674)</f>
        <v>21613674</v>
      </c>
    </row>
    <row r="96" spans="1:6" x14ac:dyDescent="0.35">
      <c r="A96" s="2">
        <f ca="1">IFERROR(__xludf.DUMMYFUNCTION("""COMPUTED_VALUE"""),42143.6666666666)</f>
        <v>42143.666666666599</v>
      </c>
      <c r="B96" s="1">
        <f ca="1">IFERROR(__xludf.DUMMYFUNCTION("""COMPUTED_VALUE"""),81.25)</f>
        <v>81.25</v>
      </c>
      <c r="C96" s="1">
        <f ca="1">IFERROR(__xludf.DUMMYFUNCTION("""COMPUTED_VALUE"""),81.69)</f>
        <v>81.69</v>
      </c>
      <c r="D96" s="1">
        <f ca="1">IFERROR(__xludf.DUMMYFUNCTION("""COMPUTED_VALUE"""),80.55)</f>
        <v>80.55</v>
      </c>
      <c r="E96" s="1">
        <f ca="1">IFERROR(__xludf.DUMMYFUNCTION("""COMPUTED_VALUE"""),80.63)</f>
        <v>80.63</v>
      </c>
      <c r="F96" s="1">
        <f ca="1">IFERROR(__xludf.DUMMYFUNCTION("""COMPUTED_VALUE"""),17955389)</f>
        <v>17955389</v>
      </c>
    </row>
    <row r="97" spans="1:6" x14ac:dyDescent="0.35">
      <c r="A97" s="2">
        <f ca="1">IFERROR(__xludf.DUMMYFUNCTION("""COMPUTED_VALUE"""),42144.6666666666)</f>
        <v>42144.666666666599</v>
      </c>
      <c r="B97" s="1">
        <f ca="1">IFERROR(__xludf.DUMMYFUNCTION("""COMPUTED_VALUE"""),80.49)</f>
        <v>80.489999999999995</v>
      </c>
      <c r="C97" s="1">
        <f ca="1">IFERROR(__xludf.DUMMYFUNCTION("""COMPUTED_VALUE"""),81.1)</f>
        <v>81.099999999999994</v>
      </c>
      <c r="D97" s="1">
        <f ca="1">IFERROR(__xludf.DUMMYFUNCTION("""COMPUTED_VALUE"""),79.46)</f>
        <v>79.459999999999994</v>
      </c>
      <c r="E97" s="1">
        <f ca="1">IFERROR(__xludf.DUMMYFUNCTION("""COMPUTED_VALUE"""),80.55)</f>
        <v>80.55</v>
      </c>
      <c r="F97" s="1">
        <f ca="1">IFERROR(__xludf.DUMMYFUNCTION("""COMPUTED_VALUE"""),23056899)</f>
        <v>23056899</v>
      </c>
    </row>
    <row r="98" spans="1:6" x14ac:dyDescent="0.35">
      <c r="A98" s="2">
        <f ca="1">IFERROR(__xludf.DUMMYFUNCTION("""COMPUTED_VALUE"""),42145.6666666666)</f>
        <v>42145.666666666599</v>
      </c>
      <c r="B98" s="1">
        <f ca="1">IFERROR(__xludf.DUMMYFUNCTION("""COMPUTED_VALUE"""),80.19)</f>
        <v>80.19</v>
      </c>
      <c r="C98" s="1">
        <f ca="1">IFERROR(__xludf.DUMMYFUNCTION("""COMPUTED_VALUE"""),80.92)</f>
        <v>80.92</v>
      </c>
      <c r="D98" s="1">
        <f ca="1">IFERROR(__xludf.DUMMYFUNCTION("""COMPUTED_VALUE"""),80.08)</f>
        <v>80.08</v>
      </c>
      <c r="E98" s="1">
        <f ca="1">IFERROR(__xludf.DUMMYFUNCTION("""COMPUTED_VALUE"""),80.48)</f>
        <v>80.48</v>
      </c>
      <c r="F98" s="1">
        <f ca="1">IFERROR(__xludf.DUMMYFUNCTION("""COMPUTED_VALUE"""),13402749)</f>
        <v>13402749</v>
      </c>
    </row>
    <row r="99" spans="1:6" x14ac:dyDescent="0.35">
      <c r="A99" s="2">
        <f ca="1">IFERROR(__xludf.DUMMYFUNCTION("""COMPUTED_VALUE"""),42146.6666666666)</f>
        <v>42146.666666666599</v>
      </c>
      <c r="B99" s="1">
        <f ca="1">IFERROR(__xludf.DUMMYFUNCTION("""COMPUTED_VALUE"""),80.35)</f>
        <v>80.349999999999994</v>
      </c>
      <c r="C99" s="1">
        <f ca="1">IFERROR(__xludf.DUMMYFUNCTION("""COMPUTED_VALUE"""),81.31)</f>
        <v>81.31</v>
      </c>
      <c r="D99" s="1">
        <f ca="1">IFERROR(__xludf.DUMMYFUNCTION("""COMPUTED_VALUE"""),80.25)</f>
        <v>80.25</v>
      </c>
      <c r="E99" s="1">
        <f ca="1">IFERROR(__xludf.DUMMYFUNCTION("""COMPUTED_VALUE"""),80.54)</f>
        <v>80.540000000000006</v>
      </c>
      <c r="F99" s="1">
        <f ca="1">IFERROR(__xludf.DUMMYFUNCTION("""COMPUTED_VALUE"""),19567937)</f>
        <v>19567937</v>
      </c>
    </row>
    <row r="100" spans="1:6" x14ac:dyDescent="0.35">
      <c r="A100" s="2">
        <f ca="1">IFERROR(__xludf.DUMMYFUNCTION("""COMPUTED_VALUE"""),42150.6666666666)</f>
        <v>42150.666666666599</v>
      </c>
      <c r="B100" s="1">
        <f ca="1">IFERROR(__xludf.DUMMYFUNCTION("""COMPUTED_VALUE"""),80.43)</f>
        <v>80.430000000000007</v>
      </c>
      <c r="C100" s="1">
        <f ca="1">IFERROR(__xludf.DUMMYFUNCTION("""COMPUTED_VALUE"""),80.6)</f>
        <v>80.599999999999994</v>
      </c>
      <c r="D100" s="1">
        <f ca="1">IFERROR(__xludf.DUMMYFUNCTION("""COMPUTED_VALUE"""),79.08)</f>
        <v>79.08</v>
      </c>
      <c r="E100" s="1">
        <f ca="1">IFERROR(__xludf.DUMMYFUNCTION("""COMPUTED_VALUE"""),79.33)</f>
        <v>79.33</v>
      </c>
      <c r="F100" s="1">
        <f ca="1">IFERROR(__xludf.DUMMYFUNCTION("""COMPUTED_VALUE"""),16321339)</f>
        <v>16321339</v>
      </c>
    </row>
    <row r="101" spans="1:6" x14ac:dyDescent="0.35">
      <c r="A101" s="2">
        <f ca="1">IFERROR(__xludf.DUMMYFUNCTION("""COMPUTED_VALUE"""),42151.6666666666)</f>
        <v>42151.666666666599</v>
      </c>
      <c r="B101" s="1">
        <f ca="1">IFERROR(__xludf.DUMMYFUNCTION("""COMPUTED_VALUE"""),79.6)</f>
        <v>79.599999999999994</v>
      </c>
      <c r="C101" s="1">
        <f ca="1">IFERROR(__xludf.DUMMYFUNCTION("""COMPUTED_VALUE"""),80.66)</f>
        <v>80.66</v>
      </c>
      <c r="D101" s="1">
        <f ca="1">IFERROR(__xludf.DUMMYFUNCTION("""COMPUTED_VALUE"""),79.43)</f>
        <v>79.430000000000007</v>
      </c>
      <c r="E101" s="1">
        <f ca="1">IFERROR(__xludf.DUMMYFUNCTION("""COMPUTED_VALUE"""),80.55)</f>
        <v>80.55</v>
      </c>
      <c r="F101" s="1">
        <f ca="1">IFERROR(__xludf.DUMMYFUNCTION("""COMPUTED_VALUE"""),14160865)</f>
        <v>14160865</v>
      </c>
    </row>
    <row r="102" spans="1:6" x14ac:dyDescent="0.35">
      <c r="A102" s="2">
        <f ca="1">IFERROR(__xludf.DUMMYFUNCTION("""COMPUTED_VALUE"""),42152.6666666666)</f>
        <v>42152.666666666599</v>
      </c>
      <c r="B102" s="1">
        <f ca="1">IFERROR(__xludf.DUMMYFUNCTION("""COMPUTED_VALUE"""),80.25)</f>
        <v>80.25</v>
      </c>
      <c r="C102" s="1">
        <f ca="1">IFERROR(__xludf.DUMMYFUNCTION("""COMPUTED_VALUE"""),81.07)</f>
        <v>81.069999999999993</v>
      </c>
      <c r="D102" s="1">
        <f ca="1">IFERROR(__xludf.DUMMYFUNCTION("""COMPUTED_VALUE"""),80)</f>
        <v>80</v>
      </c>
      <c r="E102" s="1">
        <f ca="1">IFERROR(__xludf.DUMMYFUNCTION("""COMPUTED_VALUE"""),80.15)</f>
        <v>80.150000000000006</v>
      </c>
      <c r="F102" s="1">
        <f ca="1">IFERROR(__xludf.DUMMYFUNCTION("""COMPUTED_VALUE"""),11982008)</f>
        <v>11982008</v>
      </c>
    </row>
    <row r="103" spans="1:6" x14ac:dyDescent="0.35">
      <c r="A103" s="2">
        <f ca="1">IFERROR(__xludf.DUMMYFUNCTION("""COMPUTED_VALUE"""),42153.6666666666)</f>
        <v>42153.666666666599</v>
      </c>
      <c r="B103" s="1">
        <f ca="1">IFERROR(__xludf.DUMMYFUNCTION("""COMPUTED_VALUE"""),79.95)</f>
        <v>79.95</v>
      </c>
      <c r="C103" s="1">
        <f ca="1">IFERROR(__xludf.DUMMYFUNCTION("""COMPUTED_VALUE"""),80.07)</f>
        <v>80.069999999999993</v>
      </c>
      <c r="D103" s="1">
        <f ca="1">IFERROR(__xludf.DUMMYFUNCTION("""COMPUTED_VALUE"""),78.88)</f>
        <v>78.88</v>
      </c>
      <c r="E103" s="1">
        <f ca="1">IFERROR(__xludf.DUMMYFUNCTION("""COMPUTED_VALUE"""),79.19)</f>
        <v>79.19</v>
      </c>
      <c r="F103" s="1">
        <f ca="1">IFERROR(__xludf.DUMMYFUNCTION("""COMPUTED_VALUE"""),16134580)</f>
        <v>16134580</v>
      </c>
    </row>
    <row r="104" spans="1:6" x14ac:dyDescent="0.35">
      <c r="A104" s="2">
        <f ca="1">IFERROR(__xludf.DUMMYFUNCTION("""COMPUTED_VALUE"""),42156.6666666666)</f>
        <v>42156.666666666599</v>
      </c>
      <c r="B104" s="1">
        <f ca="1">IFERROR(__xludf.DUMMYFUNCTION("""COMPUTED_VALUE"""),79.3)</f>
        <v>79.3</v>
      </c>
      <c r="C104" s="1">
        <f ca="1">IFERROR(__xludf.DUMMYFUNCTION("""COMPUTED_VALUE"""),80.38)</f>
        <v>80.38</v>
      </c>
      <c r="D104" s="1">
        <f ca="1">IFERROR(__xludf.DUMMYFUNCTION("""COMPUTED_VALUE"""),78.66)</f>
        <v>78.66</v>
      </c>
      <c r="E104" s="1">
        <f ca="1">IFERROR(__xludf.DUMMYFUNCTION("""COMPUTED_VALUE"""),80.29)</f>
        <v>80.290000000000006</v>
      </c>
      <c r="F104" s="1">
        <f ca="1">IFERROR(__xludf.DUMMYFUNCTION("""COMPUTED_VALUE"""),18119012)</f>
        <v>18119012</v>
      </c>
    </row>
    <row r="105" spans="1:6" x14ac:dyDescent="0.35">
      <c r="A105" s="2">
        <f ca="1">IFERROR(__xludf.DUMMYFUNCTION("""COMPUTED_VALUE"""),42157.6666666666)</f>
        <v>42157.666666666599</v>
      </c>
      <c r="B105" s="1">
        <f ca="1">IFERROR(__xludf.DUMMYFUNCTION("""COMPUTED_VALUE"""),79.76)</f>
        <v>79.760000000000005</v>
      </c>
      <c r="C105" s="1">
        <f ca="1">IFERROR(__xludf.DUMMYFUNCTION("""COMPUTED_VALUE"""),81.35)</f>
        <v>81.349999999999994</v>
      </c>
      <c r="D105" s="1">
        <f ca="1">IFERROR(__xludf.DUMMYFUNCTION("""COMPUTED_VALUE"""),79.56)</f>
        <v>79.56</v>
      </c>
      <c r="E105" s="1">
        <f ca="1">IFERROR(__xludf.DUMMYFUNCTION("""COMPUTED_VALUE"""),80.44)</f>
        <v>80.44</v>
      </c>
      <c r="F105" s="1">
        <f ca="1">IFERROR(__xludf.DUMMYFUNCTION("""COMPUTED_VALUE"""),18923300)</f>
        <v>18923300</v>
      </c>
    </row>
    <row r="106" spans="1:6" x14ac:dyDescent="0.35">
      <c r="A106" s="2">
        <f ca="1">IFERROR(__xludf.DUMMYFUNCTION("""COMPUTED_VALUE"""),42158.6666666666)</f>
        <v>42158.666666666599</v>
      </c>
      <c r="B106" s="1">
        <f ca="1">IFERROR(__xludf.DUMMYFUNCTION("""COMPUTED_VALUE"""),81.35)</f>
        <v>81.349999999999994</v>
      </c>
      <c r="C106" s="1">
        <f ca="1">IFERROR(__xludf.DUMMYFUNCTION("""COMPUTED_VALUE"""),82.53)</f>
        <v>82.53</v>
      </c>
      <c r="D106" s="1">
        <f ca="1">IFERROR(__xludf.DUMMYFUNCTION("""COMPUTED_VALUE"""),81.25)</f>
        <v>81.25</v>
      </c>
      <c r="E106" s="1">
        <f ca="1">IFERROR(__xludf.DUMMYFUNCTION("""COMPUTED_VALUE"""),82.44)</f>
        <v>82.44</v>
      </c>
      <c r="F106" s="1">
        <f ca="1">IFERROR(__xludf.DUMMYFUNCTION("""COMPUTED_VALUE"""),31774993)</f>
        <v>31774993</v>
      </c>
    </row>
    <row r="107" spans="1:6" x14ac:dyDescent="0.35">
      <c r="A107" s="2">
        <f ca="1">IFERROR(__xludf.DUMMYFUNCTION("""COMPUTED_VALUE"""),42159.6666666666)</f>
        <v>42159.666666666599</v>
      </c>
      <c r="B107" s="1">
        <f ca="1">IFERROR(__xludf.DUMMYFUNCTION("""COMPUTED_VALUE"""),82.14)</f>
        <v>82.14</v>
      </c>
      <c r="C107" s="1">
        <f ca="1">IFERROR(__xludf.DUMMYFUNCTION("""COMPUTED_VALUE"""),82.95)</f>
        <v>82.95</v>
      </c>
      <c r="D107" s="1">
        <f ca="1">IFERROR(__xludf.DUMMYFUNCTION("""COMPUTED_VALUE"""),81.51)</f>
        <v>81.510000000000005</v>
      </c>
      <c r="E107" s="1">
        <f ca="1">IFERROR(__xludf.DUMMYFUNCTION("""COMPUTED_VALUE"""),82.05)</f>
        <v>82.05</v>
      </c>
      <c r="F107" s="1">
        <f ca="1">IFERROR(__xludf.DUMMYFUNCTION("""COMPUTED_VALUE"""),20863877)</f>
        <v>20863877</v>
      </c>
    </row>
    <row r="108" spans="1:6" x14ac:dyDescent="0.35">
      <c r="A108" s="2">
        <f ca="1">IFERROR(__xludf.DUMMYFUNCTION("""COMPUTED_VALUE"""),42160.6666666666)</f>
        <v>42160.666666666599</v>
      </c>
      <c r="B108" s="1">
        <f ca="1">IFERROR(__xludf.DUMMYFUNCTION("""COMPUTED_VALUE"""),81.87)</f>
        <v>81.87</v>
      </c>
      <c r="C108" s="1">
        <f ca="1">IFERROR(__xludf.DUMMYFUNCTION("""COMPUTED_VALUE"""),82.46)</f>
        <v>82.46</v>
      </c>
      <c r="D108" s="1">
        <f ca="1">IFERROR(__xludf.DUMMYFUNCTION("""COMPUTED_VALUE"""),81.51)</f>
        <v>81.510000000000005</v>
      </c>
      <c r="E108" s="1">
        <f ca="1">IFERROR(__xludf.DUMMYFUNCTION("""COMPUTED_VALUE"""),82.14)</f>
        <v>82.14</v>
      </c>
      <c r="F108" s="1">
        <f ca="1">IFERROR(__xludf.DUMMYFUNCTION("""COMPUTED_VALUE"""),16143093)</f>
        <v>16143093</v>
      </c>
    </row>
    <row r="109" spans="1:6" x14ac:dyDescent="0.35">
      <c r="A109" s="2">
        <f ca="1">IFERROR(__xludf.DUMMYFUNCTION("""COMPUTED_VALUE"""),42163.6666666666)</f>
        <v>42163.666666666599</v>
      </c>
      <c r="B109" s="1">
        <f ca="1">IFERROR(__xludf.DUMMYFUNCTION("""COMPUTED_VALUE"""),81.85)</f>
        <v>81.849999999999994</v>
      </c>
      <c r="C109" s="1">
        <f ca="1">IFERROR(__xludf.DUMMYFUNCTION("""COMPUTED_VALUE"""),82)</f>
        <v>82</v>
      </c>
      <c r="D109" s="1">
        <f ca="1">IFERROR(__xludf.DUMMYFUNCTION("""COMPUTED_VALUE"""),80.13)</f>
        <v>80.13</v>
      </c>
      <c r="E109" s="1">
        <f ca="1">IFERROR(__xludf.DUMMYFUNCTION("""COMPUTED_VALUE"""),80.67)</f>
        <v>80.67</v>
      </c>
      <c r="F109" s="1">
        <f ca="1">IFERROR(__xludf.DUMMYFUNCTION("""COMPUTED_VALUE"""),16915471)</f>
        <v>16915471</v>
      </c>
    </row>
    <row r="110" spans="1:6" x14ac:dyDescent="0.35">
      <c r="A110" s="2">
        <f ca="1">IFERROR(__xludf.DUMMYFUNCTION("""COMPUTED_VALUE"""),42164.6666666666)</f>
        <v>42164.666666666599</v>
      </c>
      <c r="B110" s="1">
        <f ca="1">IFERROR(__xludf.DUMMYFUNCTION("""COMPUTED_VALUE"""),80.6)</f>
        <v>80.599999999999994</v>
      </c>
      <c r="C110" s="1">
        <f ca="1">IFERROR(__xludf.DUMMYFUNCTION("""COMPUTED_VALUE"""),81.19)</f>
        <v>81.19</v>
      </c>
      <c r="D110" s="1">
        <f ca="1">IFERROR(__xludf.DUMMYFUNCTION("""COMPUTED_VALUE"""),79.32)</f>
        <v>79.319999999999993</v>
      </c>
      <c r="E110" s="1">
        <f ca="1">IFERROR(__xludf.DUMMYFUNCTION("""COMPUTED_VALUE"""),80.67)</f>
        <v>80.67</v>
      </c>
      <c r="F110" s="1">
        <f ca="1">IFERROR(__xludf.DUMMYFUNCTION("""COMPUTED_VALUE"""),16497538)</f>
        <v>16497538</v>
      </c>
    </row>
    <row r="111" spans="1:6" x14ac:dyDescent="0.35">
      <c r="A111" s="2">
        <f ca="1">IFERROR(__xludf.DUMMYFUNCTION("""COMPUTED_VALUE"""),42165.6666666666)</f>
        <v>42165.666666666599</v>
      </c>
      <c r="B111" s="1">
        <f ca="1">IFERROR(__xludf.DUMMYFUNCTION("""COMPUTED_VALUE"""),80.83)</f>
        <v>80.83</v>
      </c>
      <c r="C111" s="1">
        <f ca="1">IFERROR(__xludf.DUMMYFUNCTION("""COMPUTED_VALUE"""),82.6)</f>
        <v>82.6</v>
      </c>
      <c r="D111" s="1">
        <f ca="1">IFERROR(__xludf.DUMMYFUNCTION("""COMPUTED_VALUE"""),80.81)</f>
        <v>80.81</v>
      </c>
      <c r="E111" s="1">
        <f ca="1">IFERROR(__xludf.DUMMYFUNCTION("""COMPUTED_VALUE"""),82.16)</f>
        <v>82.16</v>
      </c>
      <c r="F111" s="1">
        <f ca="1">IFERROR(__xludf.DUMMYFUNCTION("""COMPUTED_VALUE"""),21531208)</f>
        <v>21531208</v>
      </c>
    </row>
    <row r="112" spans="1:6" x14ac:dyDescent="0.35">
      <c r="A112" s="2">
        <f ca="1">IFERROR(__xludf.DUMMYFUNCTION("""COMPUTED_VALUE"""),42166.6666666666)</f>
        <v>42166.666666666599</v>
      </c>
      <c r="B112" s="1">
        <f ca="1">IFERROR(__xludf.DUMMYFUNCTION("""COMPUTED_VALUE"""),82.31)</f>
        <v>82.31</v>
      </c>
      <c r="C112" s="1">
        <f ca="1">IFERROR(__xludf.DUMMYFUNCTION("""COMPUTED_VALUE"""),82.9)</f>
        <v>82.9</v>
      </c>
      <c r="D112" s="1">
        <f ca="1">IFERROR(__xludf.DUMMYFUNCTION("""COMPUTED_VALUE"""),81.36)</f>
        <v>81.36</v>
      </c>
      <c r="E112" s="1">
        <f ca="1">IFERROR(__xludf.DUMMYFUNCTION("""COMPUTED_VALUE"""),81.83)</f>
        <v>81.83</v>
      </c>
      <c r="F112" s="1">
        <f ca="1">IFERROR(__xludf.DUMMYFUNCTION("""COMPUTED_VALUE"""),18656811)</f>
        <v>18656811</v>
      </c>
    </row>
    <row r="113" spans="1:6" x14ac:dyDescent="0.35">
      <c r="A113" s="2">
        <f ca="1">IFERROR(__xludf.DUMMYFUNCTION("""COMPUTED_VALUE"""),42167.6666666666)</f>
        <v>42167.666666666599</v>
      </c>
      <c r="B113" s="1">
        <f ca="1">IFERROR(__xludf.DUMMYFUNCTION("""COMPUTED_VALUE"""),81.36)</f>
        <v>81.36</v>
      </c>
      <c r="C113" s="1">
        <f ca="1">IFERROR(__xludf.DUMMYFUNCTION("""COMPUTED_VALUE"""),82.09)</f>
        <v>82.09</v>
      </c>
      <c r="D113" s="1">
        <f ca="1">IFERROR(__xludf.DUMMYFUNCTION("""COMPUTED_VALUE"""),81.2)</f>
        <v>81.2</v>
      </c>
      <c r="E113" s="1">
        <f ca="1">IFERROR(__xludf.DUMMYFUNCTION("""COMPUTED_VALUE"""),81.53)</f>
        <v>81.53</v>
      </c>
      <c r="F113" s="1">
        <f ca="1">IFERROR(__xludf.DUMMYFUNCTION("""COMPUTED_VALUE"""),11417882)</f>
        <v>11417882</v>
      </c>
    </row>
    <row r="114" spans="1:6" x14ac:dyDescent="0.35">
      <c r="A114" s="2">
        <f ca="1">IFERROR(__xludf.DUMMYFUNCTION("""COMPUTED_VALUE"""),42170.6666666666)</f>
        <v>42170.666666666599</v>
      </c>
      <c r="B114" s="1">
        <f ca="1">IFERROR(__xludf.DUMMYFUNCTION("""COMPUTED_VALUE"""),80.55)</f>
        <v>80.55</v>
      </c>
      <c r="C114" s="1">
        <f ca="1">IFERROR(__xludf.DUMMYFUNCTION("""COMPUTED_VALUE"""),80.93)</f>
        <v>80.930000000000007</v>
      </c>
      <c r="D114" s="1">
        <f ca="1">IFERROR(__xludf.DUMMYFUNCTION("""COMPUTED_VALUE"""),80.07)</f>
        <v>80.069999999999993</v>
      </c>
      <c r="E114" s="1">
        <f ca="1">IFERROR(__xludf.DUMMYFUNCTION("""COMPUTED_VALUE"""),80.71)</f>
        <v>80.709999999999994</v>
      </c>
      <c r="F114" s="1">
        <f ca="1">IFERROR(__xludf.DUMMYFUNCTION("""COMPUTED_VALUE"""),18805087)</f>
        <v>18805087</v>
      </c>
    </row>
    <row r="115" spans="1:6" x14ac:dyDescent="0.35">
      <c r="A115" s="2">
        <f ca="1">IFERROR(__xludf.DUMMYFUNCTION("""COMPUTED_VALUE"""),42171.6666666666)</f>
        <v>42171.666666666599</v>
      </c>
      <c r="B115" s="1">
        <f ca="1">IFERROR(__xludf.DUMMYFUNCTION("""COMPUTED_VALUE"""),80.82)</f>
        <v>80.819999999999993</v>
      </c>
      <c r="C115" s="1">
        <f ca="1">IFERROR(__xludf.DUMMYFUNCTION("""COMPUTED_VALUE"""),81.51)</f>
        <v>81.510000000000005</v>
      </c>
      <c r="D115" s="1">
        <f ca="1">IFERROR(__xludf.DUMMYFUNCTION("""COMPUTED_VALUE"""),80.45)</f>
        <v>80.45</v>
      </c>
      <c r="E115" s="1">
        <f ca="1">IFERROR(__xludf.DUMMYFUNCTION("""COMPUTED_VALUE"""),81.06)</f>
        <v>81.06</v>
      </c>
      <c r="F115" s="1">
        <f ca="1">IFERROR(__xludf.DUMMYFUNCTION("""COMPUTED_VALUE"""),13693666)</f>
        <v>13693666</v>
      </c>
    </row>
    <row r="116" spans="1:6" x14ac:dyDescent="0.35">
      <c r="A116" s="2">
        <f ca="1">IFERROR(__xludf.DUMMYFUNCTION("""COMPUTED_VALUE"""),42172.6666666666)</f>
        <v>42172.666666666599</v>
      </c>
      <c r="B116" s="1">
        <f ca="1">IFERROR(__xludf.DUMMYFUNCTION("""COMPUTED_VALUE"""),81.76)</f>
        <v>81.760000000000005</v>
      </c>
      <c r="C116" s="1">
        <f ca="1">IFERROR(__xludf.DUMMYFUNCTION("""COMPUTED_VALUE"""),82.22)</f>
        <v>82.22</v>
      </c>
      <c r="D116" s="1">
        <f ca="1">IFERROR(__xludf.DUMMYFUNCTION("""COMPUTED_VALUE"""),81.34)</f>
        <v>81.34</v>
      </c>
      <c r="E116" s="1">
        <f ca="1">IFERROR(__xludf.DUMMYFUNCTION("""COMPUTED_VALUE"""),81.79)</f>
        <v>81.790000000000006</v>
      </c>
      <c r="F116" s="1">
        <f ca="1">IFERROR(__xludf.DUMMYFUNCTION("""COMPUTED_VALUE"""),18350287)</f>
        <v>18350287</v>
      </c>
    </row>
    <row r="117" spans="1:6" x14ac:dyDescent="0.35">
      <c r="A117" s="2">
        <f ca="1">IFERROR(__xludf.DUMMYFUNCTION("""COMPUTED_VALUE"""),42173.6666666666)</f>
        <v>42173.666666666599</v>
      </c>
      <c r="B117" s="1">
        <f ca="1">IFERROR(__xludf.DUMMYFUNCTION("""COMPUTED_VALUE"""),81.64)</f>
        <v>81.64</v>
      </c>
      <c r="C117" s="1">
        <f ca="1">IFERROR(__xludf.DUMMYFUNCTION("""COMPUTED_VALUE"""),83.19)</f>
        <v>83.19</v>
      </c>
      <c r="D117" s="1">
        <f ca="1">IFERROR(__xludf.DUMMYFUNCTION("""COMPUTED_VALUE"""),81.57)</f>
        <v>81.569999999999993</v>
      </c>
      <c r="E117" s="1">
        <f ca="1">IFERROR(__xludf.DUMMYFUNCTION("""COMPUTED_VALUE"""),82.91)</f>
        <v>82.91</v>
      </c>
      <c r="F117" s="1">
        <f ca="1">IFERROR(__xludf.DUMMYFUNCTION("""COMPUTED_VALUE"""),26782573)</f>
        <v>26782573</v>
      </c>
    </row>
    <row r="118" spans="1:6" x14ac:dyDescent="0.35">
      <c r="A118" s="2">
        <f ca="1">IFERROR(__xludf.DUMMYFUNCTION("""COMPUTED_VALUE"""),42174.6666666666)</f>
        <v>42174.666666666599</v>
      </c>
      <c r="B118" s="1">
        <f ca="1">IFERROR(__xludf.DUMMYFUNCTION("""COMPUTED_VALUE"""),82.88)</f>
        <v>82.88</v>
      </c>
      <c r="C118" s="1">
        <f ca="1">IFERROR(__xludf.DUMMYFUNCTION("""COMPUTED_VALUE"""),82.98)</f>
        <v>82.98</v>
      </c>
      <c r="D118" s="1">
        <f ca="1">IFERROR(__xludf.DUMMYFUNCTION("""COMPUTED_VALUE"""),82.12)</f>
        <v>82.12</v>
      </c>
      <c r="E118" s="1">
        <f ca="1">IFERROR(__xludf.DUMMYFUNCTION("""COMPUTED_VALUE"""),82.51)</f>
        <v>82.51</v>
      </c>
      <c r="F118" s="1">
        <f ca="1">IFERROR(__xludf.DUMMYFUNCTION("""COMPUTED_VALUE"""),23353194)</f>
        <v>23353194</v>
      </c>
    </row>
    <row r="119" spans="1:6" x14ac:dyDescent="0.35">
      <c r="A119" s="2">
        <f ca="1">IFERROR(__xludf.DUMMYFUNCTION("""COMPUTED_VALUE"""),42177.6666666666)</f>
        <v>42177.666666666599</v>
      </c>
      <c r="B119" s="1">
        <f ca="1">IFERROR(__xludf.DUMMYFUNCTION("""COMPUTED_VALUE"""),83.41)</f>
        <v>83.41</v>
      </c>
      <c r="C119" s="1">
        <f ca="1">IFERROR(__xludf.DUMMYFUNCTION("""COMPUTED_VALUE"""),84.97)</f>
        <v>84.97</v>
      </c>
      <c r="D119" s="1">
        <f ca="1">IFERROR(__xludf.DUMMYFUNCTION("""COMPUTED_VALUE"""),83.31)</f>
        <v>83.31</v>
      </c>
      <c r="E119" s="1">
        <f ca="1">IFERROR(__xludf.DUMMYFUNCTION("""COMPUTED_VALUE"""),84.74)</f>
        <v>84.74</v>
      </c>
      <c r="F119" s="1">
        <f ca="1">IFERROR(__xludf.DUMMYFUNCTION("""COMPUTED_VALUE"""),29383079)</f>
        <v>29383079</v>
      </c>
    </row>
    <row r="120" spans="1:6" x14ac:dyDescent="0.35">
      <c r="A120" s="2">
        <f ca="1">IFERROR(__xludf.DUMMYFUNCTION("""COMPUTED_VALUE"""),42178.6666666666)</f>
        <v>42178.666666666599</v>
      </c>
      <c r="B120" s="1">
        <f ca="1">IFERROR(__xludf.DUMMYFUNCTION("""COMPUTED_VALUE"""),84.96)</f>
        <v>84.96</v>
      </c>
      <c r="C120" s="1">
        <f ca="1">IFERROR(__xludf.DUMMYFUNCTION("""COMPUTED_VALUE"""),87.97)</f>
        <v>87.97</v>
      </c>
      <c r="D120" s="1">
        <f ca="1">IFERROR(__xludf.DUMMYFUNCTION("""COMPUTED_VALUE"""),84.76)</f>
        <v>84.76</v>
      </c>
      <c r="E120" s="1">
        <f ca="1">IFERROR(__xludf.DUMMYFUNCTION("""COMPUTED_VALUE"""),87.88)</f>
        <v>87.88</v>
      </c>
      <c r="F120" s="1">
        <f ca="1">IFERROR(__xludf.DUMMYFUNCTION("""COMPUTED_VALUE"""),50667853)</f>
        <v>50667853</v>
      </c>
    </row>
    <row r="121" spans="1:6" x14ac:dyDescent="0.35">
      <c r="A121" s="2">
        <f ca="1">IFERROR(__xludf.DUMMYFUNCTION("""COMPUTED_VALUE"""),42179.6666666666)</f>
        <v>42179.666666666599</v>
      </c>
      <c r="B121" s="1">
        <f ca="1">IFERROR(__xludf.DUMMYFUNCTION("""COMPUTED_VALUE"""),87.66)</f>
        <v>87.66</v>
      </c>
      <c r="C121" s="1">
        <f ca="1">IFERROR(__xludf.DUMMYFUNCTION("""COMPUTED_VALUE"""),89.25)</f>
        <v>89.25</v>
      </c>
      <c r="D121" s="1">
        <f ca="1">IFERROR(__xludf.DUMMYFUNCTION("""COMPUTED_VALUE"""),87.45)</f>
        <v>87.45</v>
      </c>
      <c r="E121" s="1">
        <f ca="1">IFERROR(__xludf.DUMMYFUNCTION("""COMPUTED_VALUE"""),88.86)</f>
        <v>88.86</v>
      </c>
      <c r="F121" s="1">
        <f ca="1">IFERROR(__xludf.DUMMYFUNCTION("""COMPUTED_VALUE"""),41370227)</f>
        <v>41370227</v>
      </c>
    </row>
    <row r="122" spans="1:6" x14ac:dyDescent="0.35">
      <c r="A122" s="2">
        <f ca="1">IFERROR(__xludf.DUMMYFUNCTION("""COMPUTED_VALUE"""),42180.6666666666)</f>
        <v>42180.666666666599</v>
      </c>
      <c r="B122" s="1">
        <f ca="1">IFERROR(__xludf.DUMMYFUNCTION("""COMPUTED_VALUE"""),89.26)</f>
        <v>89.26</v>
      </c>
      <c r="C122" s="1">
        <f ca="1">IFERROR(__xludf.DUMMYFUNCTION("""COMPUTED_VALUE"""),89.4)</f>
        <v>89.4</v>
      </c>
      <c r="D122" s="1">
        <f ca="1">IFERROR(__xludf.DUMMYFUNCTION("""COMPUTED_VALUE"""),87.84)</f>
        <v>87.84</v>
      </c>
      <c r="E122" s="1">
        <f ca="1">IFERROR(__xludf.DUMMYFUNCTION("""COMPUTED_VALUE"""),87.98)</f>
        <v>87.98</v>
      </c>
      <c r="F122" s="1">
        <f ca="1">IFERROR(__xludf.DUMMYFUNCTION("""COMPUTED_VALUE"""),27301967)</f>
        <v>27301967</v>
      </c>
    </row>
    <row r="123" spans="1:6" x14ac:dyDescent="0.35">
      <c r="A123" s="2">
        <f ca="1">IFERROR(__xludf.DUMMYFUNCTION("""COMPUTED_VALUE"""),42181.6666666666)</f>
        <v>42181.666666666599</v>
      </c>
      <c r="B123" s="1">
        <f ca="1">IFERROR(__xludf.DUMMYFUNCTION("""COMPUTED_VALUE"""),88.12)</f>
        <v>88.12</v>
      </c>
      <c r="C123" s="1">
        <f ca="1">IFERROR(__xludf.DUMMYFUNCTION("""COMPUTED_VALUE"""),88.34)</f>
        <v>88.34</v>
      </c>
      <c r="D123" s="1">
        <f ca="1">IFERROR(__xludf.DUMMYFUNCTION("""COMPUTED_VALUE"""),86.83)</f>
        <v>86.83</v>
      </c>
      <c r="E123" s="1">
        <f ca="1">IFERROR(__xludf.DUMMYFUNCTION("""COMPUTED_VALUE"""),88.01)</f>
        <v>88.01</v>
      </c>
      <c r="F123" s="1">
        <f ca="1">IFERROR(__xludf.DUMMYFUNCTION("""COMPUTED_VALUE"""),38214647)</f>
        <v>38214647</v>
      </c>
    </row>
    <row r="124" spans="1:6" x14ac:dyDescent="0.35">
      <c r="A124" s="2">
        <f ca="1">IFERROR(__xludf.DUMMYFUNCTION("""COMPUTED_VALUE"""),42184.6666666666)</f>
        <v>42184.666666666599</v>
      </c>
      <c r="B124" s="1">
        <f ca="1">IFERROR(__xludf.DUMMYFUNCTION("""COMPUTED_VALUE"""),86.61)</f>
        <v>86.61</v>
      </c>
      <c r="C124" s="1">
        <f ca="1">IFERROR(__xludf.DUMMYFUNCTION("""COMPUTED_VALUE"""),87.5)</f>
        <v>87.5</v>
      </c>
      <c r="D124" s="1">
        <f ca="1">IFERROR(__xludf.DUMMYFUNCTION("""COMPUTED_VALUE"""),85.73)</f>
        <v>85.73</v>
      </c>
      <c r="E124" s="1">
        <f ca="1">IFERROR(__xludf.DUMMYFUNCTION("""COMPUTED_VALUE"""),85.8)</f>
        <v>85.8</v>
      </c>
      <c r="F124" s="1">
        <f ca="1">IFERROR(__xludf.DUMMYFUNCTION("""COMPUTED_VALUE"""),35957872)</f>
        <v>35957872</v>
      </c>
    </row>
    <row r="125" spans="1:6" x14ac:dyDescent="0.35">
      <c r="A125" s="2">
        <f ca="1">IFERROR(__xludf.DUMMYFUNCTION("""COMPUTED_VALUE"""),42185.6666666666)</f>
        <v>42185.666666666599</v>
      </c>
      <c r="B125" s="1">
        <f ca="1">IFERROR(__xludf.DUMMYFUNCTION("""COMPUTED_VALUE"""),86.6)</f>
        <v>86.6</v>
      </c>
      <c r="C125" s="1">
        <f ca="1">IFERROR(__xludf.DUMMYFUNCTION("""COMPUTED_VALUE"""),86.7)</f>
        <v>86.7</v>
      </c>
      <c r="D125" s="1">
        <f ca="1">IFERROR(__xludf.DUMMYFUNCTION("""COMPUTED_VALUE"""),85.57)</f>
        <v>85.57</v>
      </c>
      <c r="E125" s="1">
        <f ca="1">IFERROR(__xludf.DUMMYFUNCTION("""COMPUTED_VALUE"""),85.77)</f>
        <v>85.77</v>
      </c>
      <c r="F125" s="1">
        <f ca="1">IFERROR(__xludf.DUMMYFUNCTION("""COMPUTED_VALUE"""),23233183)</f>
        <v>23233183</v>
      </c>
    </row>
    <row r="126" spans="1:6" x14ac:dyDescent="0.35">
      <c r="A126" s="2">
        <f ca="1">IFERROR(__xludf.DUMMYFUNCTION("""COMPUTED_VALUE"""),42186.6666666666)</f>
        <v>42186.666666666599</v>
      </c>
      <c r="B126" s="1">
        <f ca="1">IFERROR(__xludf.DUMMYFUNCTION("""COMPUTED_VALUE"""),86.79)</f>
        <v>86.79</v>
      </c>
      <c r="C126" s="1">
        <f ca="1">IFERROR(__xludf.DUMMYFUNCTION("""COMPUTED_VALUE"""),87.95)</f>
        <v>87.95</v>
      </c>
      <c r="D126" s="1">
        <f ca="1">IFERROR(__xludf.DUMMYFUNCTION("""COMPUTED_VALUE"""),86.49)</f>
        <v>86.49</v>
      </c>
      <c r="E126" s="1">
        <f ca="1">IFERROR(__xludf.DUMMYFUNCTION("""COMPUTED_VALUE"""),86.91)</f>
        <v>86.91</v>
      </c>
      <c r="F126" s="1">
        <f ca="1">IFERROR(__xludf.DUMMYFUNCTION("""COMPUTED_VALUE"""),25260045)</f>
        <v>25260045</v>
      </c>
    </row>
    <row r="127" spans="1:6" x14ac:dyDescent="0.35">
      <c r="A127" s="2">
        <f ca="1">IFERROR(__xludf.DUMMYFUNCTION("""COMPUTED_VALUE"""),42187.6666666666)</f>
        <v>42187.666666666599</v>
      </c>
      <c r="B127" s="1">
        <f ca="1">IFERROR(__xludf.DUMMYFUNCTION("""COMPUTED_VALUE"""),87.4)</f>
        <v>87.4</v>
      </c>
      <c r="C127" s="1">
        <f ca="1">IFERROR(__xludf.DUMMYFUNCTION("""COMPUTED_VALUE"""),87.44)</f>
        <v>87.44</v>
      </c>
      <c r="D127" s="1">
        <f ca="1">IFERROR(__xludf.DUMMYFUNCTION("""COMPUTED_VALUE"""),86.34)</f>
        <v>86.34</v>
      </c>
      <c r="E127" s="1">
        <f ca="1">IFERROR(__xludf.DUMMYFUNCTION("""COMPUTED_VALUE"""),87.29)</f>
        <v>87.29</v>
      </c>
      <c r="F127" s="1">
        <f ca="1">IFERROR(__xludf.DUMMYFUNCTION("""COMPUTED_VALUE"""),16908781)</f>
        <v>16908781</v>
      </c>
    </row>
    <row r="128" spans="1:6" x14ac:dyDescent="0.35">
      <c r="A128" s="2">
        <f ca="1">IFERROR(__xludf.DUMMYFUNCTION("""COMPUTED_VALUE"""),42191.6666666666)</f>
        <v>42191.666666666599</v>
      </c>
      <c r="B128" s="1">
        <f ca="1">IFERROR(__xludf.DUMMYFUNCTION("""COMPUTED_VALUE"""),86.49)</f>
        <v>86.49</v>
      </c>
      <c r="C128" s="1">
        <f ca="1">IFERROR(__xludf.DUMMYFUNCTION("""COMPUTED_VALUE"""),88.18)</f>
        <v>88.18</v>
      </c>
      <c r="D128" s="1">
        <f ca="1">IFERROR(__xludf.DUMMYFUNCTION("""COMPUTED_VALUE"""),86.39)</f>
        <v>86.39</v>
      </c>
      <c r="E128" s="1">
        <f ca="1">IFERROR(__xludf.DUMMYFUNCTION("""COMPUTED_VALUE"""),87.55)</f>
        <v>87.55</v>
      </c>
      <c r="F128" s="1">
        <f ca="1">IFERROR(__xludf.DUMMYFUNCTION("""COMPUTED_VALUE"""),24635915)</f>
        <v>24635915</v>
      </c>
    </row>
    <row r="129" spans="1:6" x14ac:dyDescent="0.35">
      <c r="A129" s="2">
        <f ca="1">IFERROR(__xludf.DUMMYFUNCTION("""COMPUTED_VALUE"""),42192.6666666666)</f>
        <v>42192.666666666599</v>
      </c>
      <c r="B129" s="1">
        <f ca="1">IFERROR(__xludf.DUMMYFUNCTION("""COMPUTED_VALUE"""),87.8)</f>
        <v>87.8</v>
      </c>
      <c r="C129" s="1">
        <f ca="1">IFERROR(__xludf.DUMMYFUNCTION("""COMPUTED_VALUE"""),87.85)</f>
        <v>87.85</v>
      </c>
      <c r="D129" s="1">
        <f ca="1">IFERROR(__xludf.DUMMYFUNCTION("""COMPUTED_VALUE"""),85.23)</f>
        <v>85.23</v>
      </c>
      <c r="E129" s="1">
        <f ca="1">IFERROR(__xludf.DUMMYFUNCTION("""COMPUTED_VALUE"""),87.22)</f>
        <v>87.22</v>
      </c>
      <c r="F129" s="1">
        <f ca="1">IFERROR(__xludf.DUMMYFUNCTION("""COMPUTED_VALUE"""),33059921)</f>
        <v>33059921</v>
      </c>
    </row>
    <row r="130" spans="1:6" x14ac:dyDescent="0.35">
      <c r="A130" s="2">
        <f ca="1">IFERROR(__xludf.DUMMYFUNCTION("""COMPUTED_VALUE"""),42193.6666666666)</f>
        <v>42193.666666666599</v>
      </c>
      <c r="B130" s="1">
        <f ca="1">IFERROR(__xludf.DUMMYFUNCTION("""COMPUTED_VALUE"""),86.29)</f>
        <v>86.29</v>
      </c>
      <c r="C130" s="1">
        <f ca="1">IFERROR(__xludf.DUMMYFUNCTION("""COMPUTED_VALUE"""),86.75)</f>
        <v>86.75</v>
      </c>
      <c r="D130" s="1">
        <f ca="1">IFERROR(__xludf.DUMMYFUNCTION("""COMPUTED_VALUE"""),85.45)</f>
        <v>85.45</v>
      </c>
      <c r="E130" s="1">
        <f ca="1">IFERROR(__xludf.DUMMYFUNCTION("""COMPUTED_VALUE"""),85.65)</f>
        <v>85.65</v>
      </c>
      <c r="F130" s="1">
        <f ca="1">IFERROR(__xludf.DUMMYFUNCTION("""COMPUTED_VALUE"""),24399340)</f>
        <v>24399340</v>
      </c>
    </row>
    <row r="131" spans="1:6" x14ac:dyDescent="0.35">
      <c r="A131" s="2">
        <f ca="1">IFERROR(__xludf.DUMMYFUNCTION("""COMPUTED_VALUE"""),42194.6666666666)</f>
        <v>42194.666666666599</v>
      </c>
      <c r="B131" s="1">
        <f ca="1">IFERROR(__xludf.DUMMYFUNCTION("""COMPUTED_VALUE"""),86.73)</f>
        <v>86.73</v>
      </c>
      <c r="C131" s="1">
        <f ca="1">IFERROR(__xludf.DUMMYFUNCTION("""COMPUTED_VALUE"""),87.6)</f>
        <v>87.6</v>
      </c>
      <c r="D131" s="1">
        <f ca="1">IFERROR(__xludf.DUMMYFUNCTION("""COMPUTED_VALUE"""),85.65)</f>
        <v>85.65</v>
      </c>
      <c r="E131" s="1">
        <f ca="1">IFERROR(__xludf.DUMMYFUNCTION("""COMPUTED_VALUE"""),85.88)</f>
        <v>85.88</v>
      </c>
      <c r="F131" s="1">
        <f ca="1">IFERROR(__xludf.DUMMYFUNCTION("""COMPUTED_VALUE"""),23307402)</f>
        <v>23307402</v>
      </c>
    </row>
    <row r="132" spans="1:6" x14ac:dyDescent="0.35">
      <c r="A132" s="2">
        <f ca="1">IFERROR(__xludf.DUMMYFUNCTION("""COMPUTED_VALUE"""),42195.6666666666)</f>
        <v>42195.666666666599</v>
      </c>
      <c r="B132" s="1">
        <f ca="1">IFERROR(__xludf.DUMMYFUNCTION("""COMPUTED_VALUE"""),87.35)</f>
        <v>87.35</v>
      </c>
      <c r="C132" s="1">
        <f ca="1">IFERROR(__xludf.DUMMYFUNCTION("""COMPUTED_VALUE"""),88.22)</f>
        <v>88.22</v>
      </c>
      <c r="D132" s="1">
        <f ca="1">IFERROR(__xludf.DUMMYFUNCTION("""COMPUTED_VALUE"""),86.77)</f>
        <v>86.77</v>
      </c>
      <c r="E132" s="1">
        <f ca="1">IFERROR(__xludf.DUMMYFUNCTION("""COMPUTED_VALUE"""),87.95)</f>
        <v>87.95</v>
      </c>
      <c r="F132" s="1">
        <f ca="1">IFERROR(__xludf.DUMMYFUNCTION("""COMPUTED_VALUE"""),23245873)</f>
        <v>23245873</v>
      </c>
    </row>
    <row r="133" spans="1:6" x14ac:dyDescent="0.35">
      <c r="A133" s="2">
        <f ca="1">IFERROR(__xludf.DUMMYFUNCTION("""COMPUTED_VALUE"""),42198.6666666666)</f>
        <v>42198.666666666599</v>
      </c>
      <c r="B133" s="1">
        <f ca="1">IFERROR(__xludf.DUMMYFUNCTION("""COMPUTED_VALUE"""),88.66)</f>
        <v>88.66</v>
      </c>
      <c r="C133" s="1">
        <f ca="1">IFERROR(__xludf.DUMMYFUNCTION("""COMPUTED_VALUE"""),90.22)</f>
        <v>90.22</v>
      </c>
      <c r="D133" s="1">
        <f ca="1">IFERROR(__xludf.DUMMYFUNCTION("""COMPUTED_VALUE"""),88.42)</f>
        <v>88.42</v>
      </c>
      <c r="E133" s="1">
        <f ca="1">IFERROR(__xludf.DUMMYFUNCTION("""COMPUTED_VALUE"""),90.1)</f>
        <v>90.1</v>
      </c>
      <c r="F133" s="1">
        <f ca="1">IFERROR(__xludf.DUMMYFUNCTION("""COMPUTED_VALUE"""),29976670)</f>
        <v>29976670</v>
      </c>
    </row>
    <row r="134" spans="1:6" x14ac:dyDescent="0.35">
      <c r="A134" s="2">
        <f ca="1">IFERROR(__xludf.DUMMYFUNCTION("""COMPUTED_VALUE"""),42199.6666666666)</f>
        <v>42199.666666666599</v>
      </c>
      <c r="B134" s="1">
        <f ca="1">IFERROR(__xludf.DUMMYFUNCTION("""COMPUTED_VALUE"""),90.46)</f>
        <v>90.46</v>
      </c>
      <c r="C134" s="1">
        <f ca="1">IFERROR(__xludf.DUMMYFUNCTION("""COMPUTED_VALUE"""),90.8)</f>
        <v>90.8</v>
      </c>
      <c r="D134" s="1">
        <f ca="1">IFERROR(__xludf.DUMMYFUNCTION("""COMPUTED_VALUE"""),89.65)</f>
        <v>89.65</v>
      </c>
      <c r="E134" s="1">
        <f ca="1">IFERROR(__xludf.DUMMYFUNCTION("""COMPUTED_VALUE"""),89.68)</f>
        <v>89.68</v>
      </c>
      <c r="F134" s="1">
        <f ca="1">IFERROR(__xludf.DUMMYFUNCTION("""COMPUTED_VALUE"""),26627849)</f>
        <v>26627849</v>
      </c>
    </row>
    <row r="135" spans="1:6" x14ac:dyDescent="0.35">
      <c r="A135" s="2">
        <f ca="1">IFERROR(__xludf.DUMMYFUNCTION("""COMPUTED_VALUE"""),42200.6666666666)</f>
        <v>42200.666666666599</v>
      </c>
      <c r="B135" s="1">
        <f ca="1">IFERROR(__xludf.DUMMYFUNCTION("""COMPUTED_VALUE"""),90)</f>
        <v>90</v>
      </c>
      <c r="C135" s="1">
        <f ca="1">IFERROR(__xludf.DUMMYFUNCTION("""COMPUTED_VALUE"""),90.99)</f>
        <v>90.99</v>
      </c>
      <c r="D135" s="1">
        <f ca="1">IFERROR(__xludf.DUMMYFUNCTION("""COMPUTED_VALUE"""),89.42)</f>
        <v>89.42</v>
      </c>
      <c r="E135" s="1">
        <f ca="1">IFERROR(__xludf.DUMMYFUNCTION("""COMPUTED_VALUE"""),89.76)</f>
        <v>89.76</v>
      </c>
      <c r="F135" s="1">
        <f ca="1">IFERROR(__xludf.DUMMYFUNCTION("""COMPUTED_VALUE"""),30886601)</f>
        <v>30886601</v>
      </c>
    </row>
    <row r="136" spans="1:6" x14ac:dyDescent="0.35">
      <c r="A136" s="2">
        <f ca="1">IFERROR(__xludf.DUMMYFUNCTION("""COMPUTED_VALUE"""),42201.6666666666)</f>
        <v>42201.666666666599</v>
      </c>
      <c r="B136" s="1">
        <f ca="1">IFERROR(__xludf.DUMMYFUNCTION("""COMPUTED_VALUE"""),90.28)</f>
        <v>90.28</v>
      </c>
      <c r="C136" s="1">
        <f ca="1">IFERROR(__xludf.DUMMYFUNCTION("""COMPUTED_VALUE"""),90.86)</f>
        <v>90.86</v>
      </c>
      <c r="D136" s="1">
        <f ca="1">IFERROR(__xludf.DUMMYFUNCTION("""COMPUTED_VALUE"""),89.77)</f>
        <v>89.77</v>
      </c>
      <c r="E136" s="1">
        <f ca="1">IFERROR(__xludf.DUMMYFUNCTION("""COMPUTED_VALUE"""),90.85)</f>
        <v>90.85</v>
      </c>
      <c r="F136" s="1">
        <f ca="1">IFERROR(__xludf.DUMMYFUNCTION("""COMPUTED_VALUE"""),21804086)</f>
        <v>21804086</v>
      </c>
    </row>
    <row r="137" spans="1:6" x14ac:dyDescent="0.35">
      <c r="A137" s="2">
        <f ca="1">IFERROR(__xludf.DUMMYFUNCTION("""COMPUTED_VALUE"""),42202.6666666666)</f>
        <v>42202.666666666599</v>
      </c>
      <c r="B137" s="1">
        <f ca="1">IFERROR(__xludf.DUMMYFUNCTION("""COMPUTED_VALUE"""),92.55)</f>
        <v>92.55</v>
      </c>
      <c r="C137" s="1">
        <f ca="1">IFERROR(__xludf.DUMMYFUNCTION("""COMPUTED_VALUE"""),95.39)</f>
        <v>95.39</v>
      </c>
      <c r="D137" s="1">
        <f ca="1">IFERROR(__xludf.DUMMYFUNCTION("""COMPUTED_VALUE"""),92.54)</f>
        <v>92.54</v>
      </c>
      <c r="E137" s="1">
        <f ca="1">IFERROR(__xludf.DUMMYFUNCTION("""COMPUTED_VALUE"""),94.97)</f>
        <v>94.97</v>
      </c>
      <c r="F137" s="1">
        <f ca="1">IFERROR(__xludf.DUMMYFUNCTION("""COMPUTED_VALUE"""),54001635)</f>
        <v>54001635</v>
      </c>
    </row>
    <row r="138" spans="1:6" x14ac:dyDescent="0.35">
      <c r="A138" s="2">
        <f ca="1">IFERROR(__xludf.DUMMYFUNCTION("""COMPUTED_VALUE"""),42205.6666666666)</f>
        <v>42205.666666666599</v>
      </c>
      <c r="B138" s="1">
        <f ca="1">IFERROR(__xludf.DUMMYFUNCTION("""COMPUTED_VALUE"""),95.85)</f>
        <v>95.85</v>
      </c>
      <c r="C138" s="1">
        <f ca="1">IFERROR(__xludf.DUMMYFUNCTION("""COMPUTED_VALUE"""),98.6)</f>
        <v>98.6</v>
      </c>
      <c r="D138" s="1">
        <f ca="1">IFERROR(__xludf.DUMMYFUNCTION("""COMPUTED_VALUE"""),95.36)</f>
        <v>95.36</v>
      </c>
      <c r="E138" s="1">
        <f ca="1">IFERROR(__xludf.DUMMYFUNCTION("""COMPUTED_VALUE"""),97.91)</f>
        <v>97.91</v>
      </c>
      <c r="F138" s="1">
        <f ca="1">IFERROR(__xludf.DUMMYFUNCTION("""COMPUTED_VALUE"""),54860541)</f>
        <v>54860541</v>
      </c>
    </row>
    <row r="139" spans="1:6" x14ac:dyDescent="0.35">
      <c r="A139" s="2">
        <f ca="1">IFERROR(__xludf.DUMMYFUNCTION("""COMPUTED_VALUE"""),42206.6666666666)</f>
        <v>42206.666666666599</v>
      </c>
      <c r="B139" s="1">
        <f ca="1">IFERROR(__xludf.DUMMYFUNCTION("""COMPUTED_VALUE"""),98.95)</f>
        <v>98.95</v>
      </c>
      <c r="C139" s="1">
        <f ca="1">IFERROR(__xludf.DUMMYFUNCTION("""COMPUTED_VALUE"""),99.24)</f>
        <v>99.24</v>
      </c>
      <c r="D139" s="1">
        <f ca="1">IFERROR(__xludf.DUMMYFUNCTION("""COMPUTED_VALUE"""),97.14)</f>
        <v>97.14</v>
      </c>
      <c r="E139" s="1">
        <f ca="1">IFERROR(__xludf.DUMMYFUNCTION("""COMPUTED_VALUE"""),98.39)</f>
        <v>98.39</v>
      </c>
      <c r="F139" s="1">
        <f ca="1">IFERROR(__xludf.DUMMYFUNCTION("""COMPUTED_VALUE"""),39453332)</f>
        <v>39453332</v>
      </c>
    </row>
    <row r="140" spans="1:6" x14ac:dyDescent="0.35">
      <c r="A140" s="2">
        <f ca="1">IFERROR(__xludf.DUMMYFUNCTION("""COMPUTED_VALUE"""),42207.6666666666)</f>
        <v>42207.666666666599</v>
      </c>
      <c r="B140" s="1">
        <f ca="1">IFERROR(__xludf.DUMMYFUNCTION("""COMPUTED_VALUE"""),96.74)</f>
        <v>96.74</v>
      </c>
      <c r="C140" s="1">
        <f ca="1">IFERROR(__xludf.DUMMYFUNCTION("""COMPUTED_VALUE"""),97.58)</f>
        <v>97.58</v>
      </c>
      <c r="D140" s="1">
        <f ca="1">IFERROR(__xludf.DUMMYFUNCTION("""COMPUTED_VALUE"""),95.92)</f>
        <v>95.92</v>
      </c>
      <c r="E140" s="1">
        <f ca="1">IFERROR(__xludf.DUMMYFUNCTION("""COMPUTED_VALUE"""),97.04)</f>
        <v>97.04</v>
      </c>
      <c r="F140" s="1">
        <f ca="1">IFERROR(__xludf.DUMMYFUNCTION("""COMPUTED_VALUE"""),28299518)</f>
        <v>28299518</v>
      </c>
    </row>
    <row r="141" spans="1:6" x14ac:dyDescent="0.35">
      <c r="A141" s="2">
        <f ca="1">IFERROR(__xludf.DUMMYFUNCTION("""COMPUTED_VALUE"""),42208.6666666666)</f>
        <v>42208.666666666599</v>
      </c>
      <c r="B141" s="1">
        <f ca="1">IFERROR(__xludf.DUMMYFUNCTION("""COMPUTED_VALUE"""),96.96)</f>
        <v>96.96</v>
      </c>
      <c r="C141" s="1">
        <f ca="1">IFERROR(__xludf.DUMMYFUNCTION("""COMPUTED_VALUE"""),97.45)</f>
        <v>97.45</v>
      </c>
      <c r="D141" s="1">
        <f ca="1">IFERROR(__xludf.DUMMYFUNCTION("""COMPUTED_VALUE"""),94.81)</f>
        <v>94.81</v>
      </c>
      <c r="E141" s="1">
        <f ca="1">IFERROR(__xludf.DUMMYFUNCTION("""COMPUTED_VALUE"""),95.44)</f>
        <v>95.44</v>
      </c>
      <c r="F141" s="1">
        <f ca="1">IFERROR(__xludf.DUMMYFUNCTION("""COMPUTED_VALUE"""),29418833)</f>
        <v>29418833</v>
      </c>
    </row>
    <row r="142" spans="1:6" x14ac:dyDescent="0.35">
      <c r="A142" s="2">
        <f ca="1">IFERROR(__xludf.DUMMYFUNCTION("""COMPUTED_VALUE"""),42209.6666666666)</f>
        <v>42209.666666666599</v>
      </c>
      <c r="B142" s="1">
        <f ca="1">IFERROR(__xludf.DUMMYFUNCTION("""COMPUTED_VALUE"""),97.35)</f>
        <v>97.35</v>
      </c>
      <c r="C142" s="1">
        <f ca="1">IFERROR(__xludf.DUMMYFUNCTION("""COMPUTED_VALUE"""),97.76)</f>
        <v>97.76</v>
      </c>
      <c r="D142" s="1">
        <f ca="1">IFERROR(__xludf.DUMMYFUNCTION("""COMPUTED_VALUE"""),95.88)</f>
        <v>95.88</v>
      </c>
      <c r="E142" s="1">
        <f ca="1">IFERROR(__xludf.DUMMYFUNCTION("""COMPUTED_VALUE"""),96.95)</f>
        <v>96.95</v>
      </c>
      <c r="F142" s="1">
        <f ca="1">IFERROR(__xludf.DUMMYFUNCTION("""COMPUTED_VALUE"""),33444930)</f>
        <v>33444930</v>
      </c>
    </row>
    <row r="143" spans="1:6" x14ac:dyDescent="0.35">
      <c r="A143" s="2">
        <f ca="1">IFERROR(__xludf.DUMMYFUNCTION("""COMPUTED_VALUE"""),42212.6666666666)</f>
        <v>42212.666666666599</v>
      </c>
      <c r="B143" s="1">
        <f ca="1">IFERROR(__xludf.DUMMYFUNCTION("""COMPUTED_VALUE"""),96.58)</f>
        <v>96.58</v>
      </c>
      <c r="C143" s="1">
        <f ca="1">IFERROR(__xludf.DUMMYFUNCTION("""COMPUTED_VALUE"""),96.61)</f>
        <v>96.61</v>
      </c>
      <c r="D143" s="1">
        <f ca="1">IFERROR(__xludf.DUMMYFUNCTION("""COMPUTED_VALUE"""),93.83)</f>
        <v>93.83</v>
      </c>
      <c r="E143" s="1">
        <f ca="1">IFERROR(__xludf.DUMMYFUNCTION("""COMPUTED_VALUE"""),94.17)</f>
        <v>94.17</v>
      </c>
      <c r="F143" s="1">
        <f ca="1">IFERROR(__xludf.DUMMYFUNCTION("""COMPUTED_VALUE"""),38585381)</f>
        <v>38585381</v>
      </c>
    </row>
    <row r="144" spans="1:6" x14ac:dyDescent="0.35">
      <c r="A144" s="2">
        <f ca="1">IFERROR(__xludf.DUMMYFUNCTION("""COMPUTED_VALUE"""),42213.6666666666)</f>
        <v>42213.666666666599</v>
      </c>
      <c r="B144" s="1">
        <f ca="1">IFERROR(__xludf.DUMMYFUNCTION("""COMPUTED_VALUE"""),94.84)</f>
        <v>94.84</v>
      </c>
      <c r="C144" s="1">
        <f ca="1">IFERROR(__xludf.DUMMYFUNCTION("""COMPUTED_VALUE"""),95.56)</f>
        <v>95.56</v>
      </c>
      <c r="D144" s="1">
        <f ca="1">IFERROR(__xludf.DUMMYFUNCTION("""COMPUTED_VALUE"""),93.31)</f>
        <v>93.31</v>
      </c>
      <c r="E144" s="1">
        <f ca="1">IFERROR(__xludf.DUMMYFUNCTION("""COMPUTED_VALUE"""),95.29)</f>
        <v>95.29</v>
      </c>
      <c r="F144" s="1">
        <f ca="1">IFERROR(__xludf.DUMMYFUNCTION("""COMPUTED_VALUE"""),35235993)</f>
        <v>35235993</v>
      </c>
    </row>
    <row r="145" spans="1:6" x14ac:dyDescent="0.35">
      <c r="A145" s="2">
        <f ca="1">IFERROR(__xludf.DUMMYFUNCTION("""COMPUTED_VALUE"""),42214.6666666666)</f>
        <v>42214.666666666599</v>
      </c>
      <c r="B145" s="1">
        <f ca="1">IFERROR(__xludf.DUMMYFUNCTION("""COMPUTED_VALUE"""),96.32)</f>
        <v>96.32</v>
      </c>
      <c r="C145" s="1">
        <f ca="1">IFERROR(__xludf.DUMMYFUNCTION("""COMPUTED_VALUE"""),97.28)</f>
        <v>97.28</v>
      </c>
      <c r="D145" s="1">
        <f ca="1">IFERROR(__xludf.DUMMYFUNCTION("""COMPUTED_VALUE"""),94.74)</f>
        <v>94.74</v>
      </c>
      <c r="E145" s="1">
        <f ca="1">IFERROR(__xludf.DUMMYFUNCTION("""COMPUTED_VALUE"""),96.99)</f>
        <v>96.99</v>
      </c>
      <c r="F145" s="1">
        <f ca="1">IFERROR(__xludf.DUMMYFUNCTION("""COMPUTED_VALUE"""),64648320)</f>
        <v>64648320</v>
      </c>
    </row>
    <row r="146" spans="1:6" x14ac:dyDescent="0.35">
      <c r="A146" s="2">
        <f ca="1">IFERROR(__xludf.DUMMYFUNCTION("""COMPUTED_VALUE"""),42215.6666666666)</f>
        <v>42215.666666666599</v>
      </c>
      <c r="B146" s="1">
        <f ca="1">IFERROR(__xludf.DUMMYFUNCTION("""COMPUTED_VALUE"""),94.91)</f>
        <v>94.91</v>
      </c>
      <c r="C146" s="1">
        <f ca="1">IFERROR(__xludf.DUMMYFUNCTION("""COMPUTED_VALUE"""),95.81)</f>
        <v>95.81</v>
      </c>
      <c r="D146" s="1">
        <f ca="1">IFERROR(__xludf.DUMMYFUNCTION("""COMPUTED_VALUE"""),91.8)</f>
        <v>91.8</v>
      </c>
      <c r="E146" s="1">
        <f ca="1">IFERROR(__xludf.DUMMYFUNCTION("""COMPUTED_VALUE"""),95.21)</f>
        <v>95.21</v>
      </c>
      <c r="F146" s="1">
        <f ca="1">IFERROR(__xludf.DUMMYFUNCTION("""COMPUTED_VALUE"""),86211323)</f>
        <v>86211323</v>
      </c>
    </row>
    <row r="147" spans="1:6" x14ac:dyDescent="0.35">
      <c r="A147" s="2">
        <f ca="1">IFERROR(__xludf.DUMMYFUNCTION("""COMPUTED_VALUE"""),42216.6666666666)</f>
        <v>42216.666666666599</v>
      </c>
      <c r="B147" s="1">
        <f ca="1">IFERROR(__xludf.DUMMYFUNCTION("""COMPUTED_VALUE"""),94.95)</f>
        <v>94.95</v>
      </c>
      <c r="C147" s="1">
        <f ca="1">IFERROR(__xludf.DUMMYFUNCTION("""COMPUTED_VALUE"""),96.33)</f>
        <v>96.33</v>
      </c>
      <c r="D147" s="1">
        <f ca="1">IFERROR(__xludf.DUMMYFUNCTION("""COMPUTED_VALUE"""),93.95)</f>
        <v>93.95</v>
      </c>
      <c r="E147" s="1">
        <f ca="1">IFERROR(__xludf.DUMMYFUNCTION("""COMPUTED_VALUE"""),94.01)</f>
        <v>94.01</v>
      </c>
      <c r="F147" s="1">
        <f ca="1">IFERROR(__xludf.DUMMYFUNCTION("""COMPUTED_VALUE"""),46509045)</f>
        <v>46509045</v>
      </c>
    </row>
    <row r="148" spans="1:6" x14ac:dyDescent="0.35">
      <c r="A148" s="2">
        <f ca="1">IFERROR(__xludf.DUMMYFUNCTION("""COMPUTED_VALUE"""),42219.6666666666)</f>
        <v>42219.666666666599</v>
      </c>
      <c r="B148" s="1">
        <f ca="1">IFERROR(__xludf.DUMMYFUNCTION("""COMPUTED_VALUE"""),93.53)</f>
        <v>93.53</v>
      </c>
      <c r="C148" s="1">
        <f ca="1">IFERROR(__xludf.DUMMYFUNCTION("""COMPUTED_VALUE"""),95.08)</f>
        <v>95.08</v>
      </c>
      <c r="D148" s="1">
        <f ca="1">IFERROR(__xludf.DUMMYFUNCTION("""COMPUTED_VALUE"""),92.8)</f>
        <v>92.8</v>
      </c>
      <c r="E148" s="1">
        <f ca="1">IFERROR(__xludf.DUMMYFUNCTION("""COMPUTED_VALUE"""),94.14)</f>
        <v>94.14</v>
      </c>
      <c r="F148" s="1">
        <f ca="1">IFERROR(__xludf.DUMMYFUNCTION("""COMPUTED_VALUE"""),29343117)</f>
        <v>29343117</v>
      </c>
    </row>
    <row r="149" spans="1:6" x14ac:dyDescent="0.35">
      <c r="A149" s="2">
        <f ca="1">IFERROR(__xludf.DUMMYFUNCTION("""COMPUTED_VALUE"""),42220.6666666666)</f>
        <v>42220.666666666599</v>
      </c>
      <c r="B149" s="1">
        <f ca="1">IFERROR(__xludf.DUMMYFUNCTION("""COMPUTED_VALUE"""),93.79)</f>
        <v>93.79</v>
      </c>
      <c r="C149" s="1">
        <f ca="1">IFERROR(__xludf.DUMMYFUNCTION("""COMPUTED_VALUE"""),94.73)</f>
        <v>94.73</v>
      </c>
      <c r="D149" s="1">
        <f ca="1">IFERROR(__xludf.DUMMYFUNCTION("""COMPUTED_VALUE"""),93.33)</f>
        <v>93.33</v>
      </c>
      <c r="E149" s="1">
        <f ca="1">IFERROR(__xludf.DUMMYFUNCTION("""COMPUTED_VALUE"""),94.06)</f>
        <v>94.06</v>
      </c>
      <c r="F149" s="1">
        <f ca="1">IFERROR(__xludf.DUMMYFUNCTION("""COMPUTED_VALUE"""),20136036)</f>
        <v>20136036</v>
      </c>
    </row>
    <row r="150" spans="1:6" x14ac:dyDescent="0.35">
      <c r="A150" s="2">
        <f ca="1">IFERROR(__xludf.DUMMYFUNCTION("""COMPUTED_VALUE"""),42221.6666666666)</f>
        <v>42221.666666666599</v>
      </c>
      <c r="B150" s="1">
        <f ca="1">IFERROR(__xludf.DUMMYFUNCTION("""COMPUTED_VALUE"""),95.25)</f>
        <v>95.25</v>
      </c>
      <c r="C150" s="1">
        <f ca="1">IFERROR(__xludf.DUMMYFUNCTION("""COMPUTED_VALUE"""),97.09)</f>
        <v>97.09</v>
      </c>
      <c r="D150" s="1">
        <f ca="1">IFERROR(__xludf.DUMMYFUNCTION("""COMPUTED_VALUE"""),95.18)</f>
        <v>95.18</v>
      </c>
      <c r="E150" s="1">
        <f ca="1">IFERROR(__xludf.DUMMYFUNCTION("""COMPUTED_VALUE"""),96.44)</f>
        <v>96.44</v>
      </c>
      <c r="F150" s="1">
        <f ca="1">IFERROR(__xludf.DUMMYFUNCTION("""COMPUTED_VALUE"""),29813174)</f>
        <v>29813174</v>
      </c>
    </row>
    <row r="151" spans="1:6" x14ac:dyDescent="0.35">
      <c r="A151" s="2">
        <f ca="1">IFERROR(__xludf.DUMMYFUNCTION("""COMPUTED_VALUE"""),42222.6666666666)</f>
        <v>42222.666666666599</v>
      </c>
      <c r="B151" s="1">
        <f ca="1">IFERROR(__xludf.DUMMYFUNCTION("""COMPUTED_VALUE"""),97.18)</f>
        <v>97.18</v>
      </c>
      <c r="C151" s="1">
        <f ca="1">IFERROR(__xludf.DUMMYFUNCTION("""COMPUTED_VALUE"""),98.74)</f>
        <v>98.74</v>
      </c>
      <c r="D151" s="1">
        <f ca="1">IFERROR(__xludf.DUMMYFUNCTION("""COMPUTED_VALUE"""),94.42)</f>
        <v>94.42</v>
      </c>
      <c r="E151" s="1">
        <f ca="1">IFERROR(__xludf.DUMMYFUNCTION("""COMPUTED_VALUE"""),95.12)</f>
        <v>95.12</v>
      </c>
      <c r="F151" s="1">
        <f ca="1">IFERROR(__xludf.DUMMYFUNCTION("""COMPUTED_VALUE"""),42271318)</f>
        <v>42271318</v>
      </c>
    </row>
    <row r="152" spans="1:6" x14ac:dyDescent="0.35">
      <c r="A152" s="2">
        <f ca="1">IFERROR(__xludf.DUMMYFUNCTION("""COMPUTED_VALUE"""),42223.6666666666)</f>
        <v>42223.666666666599</v>
      </c>
      <c r="B152" s="1">
        <f ca="1">IFERROR(__xludf.DUMMYFUNCTION("""COMPUTED_VALUE"""),95.38)</f>
        <v>95.38</v>
      </c>
      <c r="C152" s="1">
        <f ca="1">IFERROR(__xludf.DUMMYFUNCTION("""COMPUTED_VALUE"""),95.4)</f>
        <v>95.4</v>
      </c>
      <c r="D152" s="1">
        <f ca="1">IFERROR(__xludf.DUMMYFUNCTION("""COMPUTED_VALUE"""),93.61)</f>
        <v>93.61</v>
      </c>
      <c r="E152" s="1">
        <f ca="1">IFERROR(__xludf.DUMMYFUNCTION("""COMPUTED_VALUE"""),94.3)</f>
        <v>94.3</v>
      </c>
      <c r="F152" s="1">
        <f ca="1">IFERROR(__xludf.DUMMYFUNCTION("""COMPUTED_VALUE"""),23199145)</f>
        <v>23199145</v>
      </c>
    </row>
    <row r="153" spans="1:6" x14ac:dyDescent="0.35">
      <c r="A153" s="2">
        <f ca="1">IFERROR(__xludf.DUMMYFUNCTION("""COMPUTED_VALUE"""),42226.6666666666)</f>
        <v>42226.666666666599</v>
      </c>
      <c r="B153" s="1">
        <f ca="1">IFERROR(__xludf.DUMMYFUNCTION("""COMPUTED_VALUE"""),95.68)</f>
        <v>95.68</v>
      </c>
      <c r="C153" s="1">
        <f ca="1">IFERROR(__xludf.DUMMYFUNCTION("""COMPUTED_VALUE"""),95.9)</f>
        <v>95.9</v>
      </c>
      <c r="D153" s="1">
        <f ca="1">IFERROR(__xludf.DUMMYFUNCTION("""COMPUTED_VALUE"""),93.63)</f>
        <v>93.63</v>
      </c>
      <c r="E153" s="1">
        <f ca="1">IFERROR(__xludf.DUMMYFUNCTION("""COMPUTED_VALUE"""),94.15)</f>
        <v>94.15</v>
      </c>
      <c r="F153" s="1">
        <f ca="1">IFERROR(__xludf.DUMMYFUNCTION("""COMPUTED_VALUE"""),21624153)</f>
        <v>21624153</v>
      </c>
    </row>
    <row r="154" spans="1:6" x14ac:dyDescent="0.35">
      <c r="A154" s="2">
        <f ca="1">IFERROR(__xludf.DUMMYFUNCTION("""COMPUTED_VALUE"""),42227.6666666666)</f>
        <v>42227.666666666599</v>
      </c>
      <c r="B154" s="1">
        <f ca="1">IFERROR(__xludf.DUMMYFUNCTION("""COMPUTED_VALUE"""),93.73)</f>
        <v>93.73</v>
      </c>
      <c r="C154" s="1">
        <f ca="1">IFERROR(__xludf.DUMMYFUNCTION("""COMPUTED_VALUE"""),94.76)</f>
        <v>94.76</v>
      </c>
      <c r="D154" s="1">
        <f ca="1">IFERROR(__xludf.DUMMYFUNCTION("""COMPUTED_VALUE"""),92.9)</f>
        <v>92.9</v>
      </c>
      <c r="E154" s="1">
        <f ca="1">IFERROR(__xludf.DUMMYFUNCTION("""COMPUTED_VALUE"""),93.62)</f>
        <v>93.62</v>
      </c>
      <c r="F154" s="1">
        <f ca="1">IFERROR(__xludf.DUMMYFUNCTION("""COMPUTED_VALUE"""),22491031)</f>
        <v>22491031</v>
      </c>
    </row>
    <row r="155" spans="1:6" x14ac:dyDescent="0.35">
      <c r="A155" s="2">
        <f ca="1">IFERROR(__xludf.DUMMYFUNCTION("""COMPUTED_VALUE"""),42228.6666666666)</f>
        <v>42228.666666666599</v>
      </c>
      <c r="B155" s="1">
        <f ca="1">IFERROR(__xludf.DUMMYFUNCTION("""COMPUTED_VALUE"""),92.7)</f>
        <v>92.7</v>
      </c>
      <c r="C155" s="1">
        <f ca="1">IFERROR(__xludf.DUMMYFUNCTION("""COMPUTED_VALUE"""),94.44)</f>
        <v>94.44</v>
      </c>
      <c r="D155" s="1">
        <f ca="1">IFERROR(__xludf.DUMMYFUNCTION("""COMPUTED_VALUE"""),91.19)</f>
        <v>91.19</v>
      </c>
      <c r="E155" s="1">
        <f ca="1">IFERROR(__xludf.DUMMYFUNCTION("""COMPUTED_VALUE"""),94.19)</f>
        <v>94.19</v>
      </c>
      <c r="F155" s="1">
        <f ca="1">IFERROR(__xludf.DUMMYFUNCTION("""COMPUTED_VALUE"""),27120375)</f>
        <v>27120375</v>
      </c>
    </row>
    <row r="156" spans="1:6" x14ac:dyDescent="0.35">
      <c r="A156" s="2">
        <f ca="1">IFERROR(__xludf.DUMMYFUNCTION("""COMPUTED_VALUE"""),42229.6666666666)</f>
        <v>42229.666666666599</v>
      </c>
      <c r="B156" s="1">
        <f ca="1">IFERROR(__xludf.DUMMYFUNCTION("""COMPUTED_VALUE"""),94.05)</f>
        <v>94.05</v>
      </c>
      <c r="C156" s="1">
        <f ca="1">IFERROR(__xludf.DUMMYFUNCTION("""COMPUTED_VALUE"""),94.73)</f>
        <v>94.73</v>
      </c>
      <c r="D156" s="1">
        <f ca="1">IFERROR(__xludf.DUMMYFUNCTION("""COMPUTED_VALUE"""),93.35)</f>
        <v>93.35</v>
      </c>
      <c r="E156" s="1">
        <f ca="1">IFERROR(__xludf.DUMMYFUNCTION("""COMPUTED_VALUE"""),93.43)</f>
        <v>93.43</v>
      </c>
      <c r="F156" s="1">
        <f ca="1">IFERROR(__xludf.DUMMYFUNCTION("""COMPUTED_VALUE"""),17451768)</f>
        <v>17451768</v>
      </c>
    </row>
    <row r="157" spans="1:6" x14ac:dyDescent="0.35">
      <c r="A157" s="2">
        <f ca="1">IFERROR(__xludf.DUMMYFUNCTION("""COMPUTED_VALUE"""),42230.6666666666)</f>
        <v>42230.666666666599</v>
      </c>
      <c r="B157" s="1">
        <f ca="1">IFERROR(__xludf.DUMMYFUNCTION("""COMPUTED_VALUE"""),93.54)</f>
        <v>93.54</v>
      </c>
      <c r="C157" s="1">
        <f ca="1">IFERROR(__xludf.DUMMYFUNCTION("""COMPUTED_VALUE"""),94.72)</f>
        <v>94.72</v>
      </c>
      <c r="D157" s="1">
        <f ca="1">IFERROR(__xludf.DUMMYFUNCTION("""COMPUTED_VALUE"""),93.21)</f>
        <v>93.21</v>
      </c>
      <c r="E157" s="1">
        <f ca="1">IFERROR(__xludf.DUMMYFUNCTION("""COMPUTED_VALUE"""),94.42)</f>
        <v>94.42</v>
      </c>
      <c r="F157" s="1">
        <f ca="1">IFERROR(__xludf.DUMMYFUNCTION("""COMPUTED_VALUE"""),15929656)</f>
        <v>15929656</v>
      </c>
    </row>
    <row r="158" spans="1:6" x14ac:dyDescent="0.35">
      <c r="A158" s="2">
        <f ca="1">IFERROR(__xludf.DUMMYFUNCTION("""COMPUTED_VALUE"""),42233.6666666666)</f>
        <v>42233.666666666599</v>
      </c>
      <c r="B158" s="1">
        <f ca="1">IFERROR(__xludf.DUMMYFUNCTION("""COMPUTED_VALUE"""),94.42)</f>
        <v>94.42</v>
      </c>
      <c r="C158" s="1">
        <f ca="1">IFERROR(__xludf.DUMMYFUNCTION("""COMPUTED_VALUE"""),94.46)</f>
        <v>94.46</v>
      </c>
      <c r="D158" s="1">
        <f ca="1">IFERROR(__xludf.DUMMYFUNCTION("""COMPUTED_VALUE"""),93.39)</f>
        <v>93.39</v>
      </c>
      <c r="E158" s="1">
        <f ca="1">IFERROR(__xludf.DUMMYFUNCTION("""COMPUTED_VALUE"""),93.93)</f>
        <v>93.93</v>
      </c>
      <c r="F158" s="1">
        <f ca="1">IFERROR(__xludf.DUMMYFUNCTION("""COMPUTED_VALUE"""),18313531)</f>
        <v>18313531</v>
      </c>
    </row>
    <row r="159" spans="1:6" x14ac:dyDescent="0.35">
      <c r="A159" s="2">
        <f ca="1">IFERROR(__xludf.DUMMYFUNCTION("""COMPUTED_VALUE"""),42234.6666666666)</f>
        <v>42234.666666666599</v>
      </c>
      <c r="B159" s="1">
        <f ca="1">IFERROR(__xludf.DUMMYFUNCTION("""COMPUTED_VALUE"""),94.08)</f>
        <v>94.08</v>
      </c>
      <c r="C159" s="1">
        <f ca="1">IFERROR(__xludf.DUMMYFUNCTION("""COMPUTED_VALUE"""),95.85)</f>
        <v>95.85</v>
      </c>
      <c r="D159" s="1">
        <f ca="1">IFERROR(__xludf.DUMMYFUNCTION("""COMPUTED_VALUE"""),94.04)</f>
        <v>94.04</v>
      </c>
      <c r="E159" s="1">
        <f ca="1">IFERROR(__xludf.DUMMYFUNCTION("""COMPUTED_VALUE"""),95.17)</f>
        <v>95.17</v>
      </c>
      <c r="F159" s="1">
        <f ca="1">IFERROR(__xludf.DUMMYFUNCTION("""COMPUTED_VALUE"""),22278848)</f>
        <v>22278848</v>
      </c>
    </row>
    <row r="160" spans="1:6" x14ac:dyDescent="0.35">
      <c r="A160" s="2">
        <f ca="1">IFERROR(__xludf.DUMMYFUNCTION("""COMPUTED_VALUE"""),42235.6666666666)</f>
        <v>42235.666666666599</v>
      </c>
      <c r="B160" s="1">
        <f ca="1">IFERROR(__xludf.DUMMYFUNCTION("""COMPUTED_VALUE"""),94.63)</f>
        <v>94.63</v>
      </c>
      <c r="C160" s="1">
        <f ca="1">IFERROR(__xludf.DUMMYFUNCTION("""COMPUTED_VALUE"""),96.1)</f>
        <v>96.1</v>
      </c>
      <c r="D160" s="1">
        <f ca="1">IFERROR(__xludf.DUMMYFUNCTION("""COMPUTED_VALUE"""),94.16)</f>
        <v>94.16</v>
      </c>
      <c r="E160" s="1">
        <f ca="1">IFERROR(__xludf.DUMMYFUNCTION("""COMPUTED_VALUE"""),95.31)</f>
        <v>95.31</v>
      </c>
      <c r="F160" s="1">
        <f ca="1">IFERROR(__xludf.DUMMYFUNCTION("""COMPUTED_VALUE"""),23251271)</f>
        <v>23251271</v>
      </c>
    </row>
    <row r="161" spans="1:6" x14ac:dyDescent="0.35">
      <c r="A161" s="2">
        <f ca="1">IFERROR(__xludf.DUMMYFUNCTION("""COMPUTED_VALUE"""),42236.6666666666)</f>
        <v>42236.666666666599</v>
      </c>
      <c r="B161" s="1">
        <f ca="1">IFERROR(__xludf.DUMMYFUNCTION("""COMPUTED_VALUE"""),93.54)</f>
        <v>93.54</v>
      </c>
      <c r="C161" s="1">
        <f ca="1">IFERROR(__xludf.DUMMYFUNCTION("""COMPUTED_VALUE"""),94.77)</f>
        <v>94.77</v>
      </c>
      <c r="D161" s="1">
        <f ca="1">IFERROR(__xludf.DUMMYFUNCTION("""COMPUTED_VALUE"""),90.46)</f>
        <v>90.46</v>
      </c>
      <c r="E161" s="1">
        <f ca="1">IFERROR(__xludf.DUMMYFUNCTION("""COMPUTED_VALUE"""),90.56)</f>
        <v>90.56</v>
      </c>
      <c r="F161" s="1">
        <f ca="1">IFERROR(__xludf.DUMMYFUNCTION("""COMPUTED_VALUE"""),44598224)</f>
        <v>44598224</v>
      </c>
    </row>
    <row r="162" spans="1:6" x14ac:dyDescent="0.35">
      <c r="A162" s="2">
        <f ca="1">IFERROR(__xludf.DUMMYFUNCTION("""COMPUTED_VALUE"""),42237.6666666666)</f>
        <v>42237.666666666599</v>
      </c>
      <c r="B162" s="1">
        <f ca="1">IFERROR(__xludf.DUMMYFUNCTION("""COMPUTED_VALUE"""),87.52)</f>
        <v>87.52</v>
      </c>
      <c r="C162" s="1">
        <f ca="1">IFERROR(__xludf.DUMMYFUNCTION("""COMPUTED_VALUE"""),89.18)</f>
        <v>89.18</v>
      </c>
      <c r="D162" s="1">
        <f ca="1">IFERROR(__xludf.DUMMYFUNCTION("""COMPUTED_VALUE"""),85.61)</f>
        <v>85.61</v>
      </c>
      <c r="E162" s="1">
        <f ca="1">IFERROR(__xludf.DUMMYFUNCTION("""COMPUTED_VALUE"""),86.06)</f>
        <v>86.06</v>
      </c>
      <c r="F162" s="1">
        <f ca="1">IFERROR(__xludf.DUMMYFUNCTION("""COMPUTED_VALUE"""),62778680)</f>
        <v>62778680</v>
      </c>
    </row>
    <row r="163" spans="1:6" x14ac:dyDescent="0.35">
      <c r="A163" s="2">
        <f ca="1">IFERROR(__xludf.DUMMYFUNCTION("""COMPUTED_VALUE"""),42240.6666666666)</f>
        <v>42240.666666666599</v>
      </c>
      <c r="B163" s="1">
        <f ca="1">IFERROR(__xludf.DUMMYFUNCTION("""COMPUTED_VALUE"""),77.03)</f>
        <v>77.03</v>
      </c>
      <c r="C163" s="1">
        <f ca="1">IFERROR(__xludf.DUMMYFUNCTION("""COMPUTED_VALUE"""),87.14)</f>
        <v>87.14</v>
      </c>
      <c r="D163" s="1">
        <f ca="1">IFERROR(__xludf.DUMMYFUNCTION("""COMPUTED_VALUE"""),72)</f>
        <v>72</v>
      </c>
      <c r="E163" s="1">
        <f ca="1">IFERROR(__xludf.DUMMYFUNCTION("""COMPUTED_VALUE"""),82.09)</f>
        <v>82.09</v>
      </c>
      <c r="F163" s="1">
        <f ca="1">IFERROR(__xludf.DUMMYFUNCTION("""COMPUTED_VALUE"""),83710727)</f>
        <v>83710727</v>
      </c>
    </row>
    <row r="164" spans="1:6" x14ac:dyDescent="0.35">
      <c r="A164" s="2">
        <f ca="1">IFERROR(__xludf.DUMMYFUNCTION("""COMPUTED_VALUE"""),42241.6666666666)</f>
        <v>42241.666666666599</v>
      </c>
      <c r="B164" s="1">
        <f ca="1">IFERROR(__xludf.DUMMYFUNCTION("""COMPUTED_VALUE"""),86.95)</f>
        <v>86.95</v>
      </c>
      <c r="C164" s="1">
        <f ca="1">IFERROR(__xludf.DUMMYFUNCTION("""COMPUTED_VALUE"""),87.67)</f>
        <v>87.67</v>
      </c>
      <c r="D164" s="1">
        <f ca="1">IFERROR(__xludf.DUMMYFUNCTION("""COMPUTED_VALUE"""),83)</f>
        <v>83</v>
      </c>
      <c r="E164" s="1">
        <f ca="1">IFERROR(__xludf.DUMMYFUNCTION("""COMPUTED_VALUE"""),83)</f>
        <v>83</v>
      </c>
      <c r="F164" s="1">
        <f ca="1">IFERROR(__xludf.DUMMYFUNCTION("""COMPUTED_VALUE"""),52021230)</f>
        <v>52021230</v>
      </c>
    </row>
    <row r="165" spans="1:6" x14ac:dyDescent="0.35">
      <c r="A165" s="2">
        <f ca="1">IFERROR(__xludf.DUMMYFUNCTION("""COMPUTED_VALUE"""),42242.6666666666)</f>
        <v>42242.666666666599</v>
      </c>
      <c r="B165" s="1">
        <f ca="1">IFERROR(__xludf.DUMMYFUNCTION("""COMPUTED_VALUE"""),85.95)</f>
        <v>85.95</v>
      </c>
      <c r="C165" s="1">
        <f ca="1">IFERROR(__xludf.DUMMYFUNCTION("""COMPUTED_VALUE"""),87.46)</f>
        <v>87.46</v>
      </c>
      <c r="D165" s="1">
        <f ca="1">IFERROR(__xludf.DUMMYFUNCTION("""COMPUTED_VALUE"""),83.26)</f>
        <v>83.26</v>
      </c>
      <c r="E165" s="1">
        <f ca="1">IFERROR(__xludf.DUMMYFUNCTION("""COMPUTED_VALUE"""),87.19)</f>
        <v>87.19</v>
      </c>
      <c r="F165" s="1">
        <f ca="1">IFERROR(__xludf.DUMMYFUNCTION("""COMPUTED_VALUE"""),45124302)</f>
        <v>45124302</v>
      </c>
    </row>
    <row r="166" spans="1:6" x14ac:dyDescent="0.35">
      <c r="A166" s="2">
        <f ca="1">IFERROR(__xludf.DUMMYFUNCTION("""COMPUTED_VALUE"""),42243.6666666666)</f>
        <v>42243.666666666599</v>
      </c>
      <c r="B166" s="1">
        <f ca="1">IFERROR(__xludf.DUMMYFUNCTION("""COMPUTED_VALUE"""),89.1)</f>
        <v>89.1</v>
      </c>
      <c r="C166" s="1">
        <f ca="1">IFERROR(__xludf.DUMMYFUNCTION("""COMPUTED_VALUE"""),90.06)</f>
        <v>90.06</v>
      </c>
      <c r="D166" s="1">
        <f ca="1">IFERROR(__xludf.DUMMYFUNCTION("""COMPUTED_VALUE"""),87.19)</f>
        <v>87.19</v>
      </c>
      <c r="E166" s="1">
        <f ca="1">IFERROR(__xludf.DUMMYFUNCTION("""COMPUTED_VALUE"""),89.73)</f>
        <v>89.73</v>
      </c>
      <c r="F166" s="1">
        <f ca="1">IFERROR(__xludf.DUMMYFUNCTION("""COMPUTED_VALUE"""),42431375)</f>
        <v>42431375</v>
      </c>
    </row>
    <row r="167" spans="1:6" x14ac:dyDescent="0.35">
      <c r="A167" s="2">
        <f ca="1">IFERROR(__xludf.DUMMYFUNCTION("""COMPUTED_VALUE"""),42244.6666666666)</f>
        <v>42244.666666666599</v>
      </c>
      <c r="B167" s="1">
        <f ca="1">IFERROR(__xludf.DUMMYFUNCTION("""COMPUTED_VALUE"""),89.88)</f>
        <v>89.88</v>
      </c>
      <c r="C167" s="1">
        <f ca="1">IFERROR(__xludf.DUMMYFUNCTION("""COMPUTED_VALUE"""),91.48)</f>
        <v>91.48</v>
      </c>
      <c r="D167" s="1">
        <f ca="1">IFERROR(__xludf.DUMMYFUNCTION("""COMPUTED_VALUE"""),89.79)</f>
        <v>89.79</v>
      </c>
      <c r="E167" s="1">
        <f ca="1">IFERROR(__xludf.DUMMYFUNCTION("""COMPUTED_VALUE"""),91.01)</f>
        <v>91.01</v>
      </c>
      <c r="F167" s="1">
        <f ca="1">IFERROR(__xludf.DUMMYFUNCTION("""COMPUTED_VALUE"""),33215885)</f>
        <v>33215885</v>
      </c>
    </row>
    <row r="168" spans="1:6" x14ac:dyDescent="0.35">
      <c r="A168" s="2">
        <f ca="1">IFERROR(__xludf.DUMMYFUNCTION("""COMPUTED_VALUE"""),42247.6666666666)</f>
        <v>42247.666666666599</v>
      </c>
      <c r="B168" s="1">
        <f ca="1">IFERROR(__xludf.DUMMYFUNCTION("""COMPUTED_VALUE"""),90.6)</f>
        <v>90.6</v>
      </c>
      <c r="C168" s="1">
        <f ca="1">IFERROR(__xludf.DUMMYFUNCTION("""COMPUTED_VALUE"""),91.05)</f>
        <v>91.05</v>
      </c>
      <c r="D168" s="1">
        <f ca="1">IFERROR(__xludf.DUMMYFUNCTION("""COMPUTED_VALUE"""),88.89)</f>
        <v>88.89</v>
      </c>
      <c r="E168" s="1">
        <f ca="1">IFERROR(__xludf.DUMMYFUNCTION("""COMPUTED_VALUE"""),89.43)</f>
        <v>89.43</v>
      </c>
      <c r="F168" s="1">
        <f ca="1">IFERROR(__xludf.DUMMYFUNCTION("""COMPUTED_VALUE"""),32850666)</f>
        <v>32850666</v>
      </c>
    </row>
    <row r="169" spans="1:6" x14ac:dyDescent="0.35">
      <c r="A169" s="2">
        <f ca="1">IFERROR(__xludf.DUMMYFUNCTION("""COMPUTED_VALUE"""),42248.6666666666)</f>
        <v>42248.666666666599</v>
      </c>
      <c r="B169" s="1">
        <f ca="1">IFERROR(__xludf.DUMMYFUNCTION("""COMPUTED_VALUE"""),86.85)</f>
        <v>86.85</v>
      </c>
      <c r="C169" s="1">
        <f ca="1">IFERROR(__xludf.DUMMYFUNCTION("""COMPUTED_VALUE"""),89.39)</f>
        <v>89.39</v>
      </c>
      <c r="D169" s="1">
        <f ca="1">IFERROR(__xludf.DUMMYFUNCTION("""COMPUTED_VALUE"""),86.5)</f>
        <v>86.5</v>
      </c>
      <c r="E169" s="1">
        <f ca="1">IFERROR(__xludf.DUMMYFUNCTION("""COMPUTED_VALUE"""),87.23)</f>
        <v>87.23</v>
      </c>
      <c r="F169" s="1">
        <f ca="1">IFERROR(__xludf.DUMMYFUNCTION("""COMPUTED_VALUE"""),36097370)</f>
        <v>36097370</v>
      </c>
    </row>
    <row r="170" spans="1:6" x14ac:dyDescent="0.35">
      <c r="A170" s="2">
        <f ca="1">IFERROR(__xludf.DUMMYFUNCTION("""COMPUTED_VALUE"""),42249.6666666666)</f>
        <v>42249.666666666599</v>
      </c>
      <c r="B170" s="1">
        <f ca="1">IFERROR(__xludf.DUMMYFUNCTION("""COMPUTED_VALUE"""),88.81)</f>
        <v>88.81</v>
      </c>
      <c r="C170" s="1">
        <f ca="1">IFERROR(__xludf.DUMMYFUNCTION("""COMPUTED_VALUE"""),89.89)</f>
        <v>89.89</v>
      </c>
      <c r="D170" s="1">
        <f ca="1">IFERROR(__xludf.DUMMYFUNCTION("""COMPUTED_VALUE"""),87.63)</f>
        <v>87.63</v>
      </c>
      <c r="E170" s="1">
        <f ca="1">IFERROR(__xludf.DUMMYFUNCTION("""COMPUTED_VALUE"""),89.89)</f>
        <v>89.89</v>
      </c>
      <c r="F170" s="1">
        <f ca="1">IFERROR(__xludf.DUMMYFUNCTION("""COMPUTED_VALUE"""),27190527)</f>
        <v>27190527</v>
      </c>
    </row>
    <row r="171" spans="1:6" x14ac:dyDescent="0.35">
      <c r="A171" s="2">
        <f ca="1">IFERROR(__xludf.DUMMYFUNCTION("""COMPUTED_VALUE"""),42250.6666666666)</f>
        <v>42250.666666666599</v>
      </c>
      <c r="B171" s="1">
        <f ca="1">IFERROR(__xludf.DUMMYFUNCTION("""COMPUTED_VALUE"""),89.76)</f>
        <v>89.76</v>
      </c>
      <c r="C171" s="1">
        <f ca="1">IFERROR(__xludf.DUMMYFUNCTION("""COMPUTED_VALUE"""),89.82)</f>
        <v>89.82</v>
      </c>
      <c r="D171" s="1">
        <f ca="1">IFERROR(__xludf.DUMMYFUNCTION("""COMPUTED_VALUE"""),87.73)</f>
        <v>87.73</v>
      </c>
      <c r="E171" s="1">
        <f ca="1">IFERROR(__xludf.DUMMYFUNCTION("""COMPUTED_VALUE"""),88.15)</f>
        <v>88.15</v>
      </c>
      <c r="F171" s="1">
        <f ca="1">IFERROR(__xludf.DUMMYFUNCTION("""COMPUTED_VALUE"""),27048198)</f>
        <v>27048198</v>
      </c>
    </row>
    <row r="172" spans="1:6" x14ac:dyDescent="0.35">
      <c r="A172" s="2">
        <f ca="1">IFERROR(__xludf.DUMMYFUNCTION("""COMPUTED_VALUE"""),42251.6666666666)</f>
        <v>42251.666666666599</v>
      </c>
      <c r="B172" s="1">
        <f ca="1">IFERROR(__xludf.DUMMYFUNCTION("""COMPUTED_VALUE"""),87.2)</f>
        <v>87.2</v>
      </c>
      <c r="C172" s="1">
        <f ca="1">IFERROR(__xludf.DUMMYFUNCTION("""COMPUTED_VALUE"""),88.39)</f>
        <v>88.39</v>
      </c>
      <c r="D172" s="1">
        <f ca="1">IFERROR(__xludf.DUMMYFUNCTION("""COMPUTED_VALUE"""),86.7)</f>
        <v>86.7</v>
      </c>
      <c r="E172" s="1">
        <f ca="1">IFERROR(__xludf.DUMMYFUNCTION("""COMPUTED_VALUE"""),88.26)</f>
        <v>88.26</v>
      </c>
      <c r="F172" s="1">
        <f ca="1">IFERROR(__xludf.DUMMYFUNCTION("""COMPUTED_VALUE"""),27328667)</f>
        <v>27328667</v>
      </c>
    </row>
    <row r="173" spans="1:6" x14ac:dyDescent="0.35">
      <c r="A173" s="2">
        <f ca="1">IFERROR(__xludf.DUMMYFUNCTION("""COMPUTED_VALUE"""),42255.6666666666)</f>
        <v>42255.666666666599</v>
      </c>
      <c r="B173" s="1">
        <f ca="1">IFERROR(__xludf.DUMMYFUNCTION("""COMPUTED_VALUE"""),89.69)</f>
        <v>89.69</v>
      </c>
      <c r="C173" s="1">
        <f ca="1">IFERROR(__xludf.DUMMYFUNCTION("""COMPUTED_VALUE"""),90.24)</f>
        <v>90.24</v>
      </c>
      <c r="D173" s="1">
        <f ca="1">IFERROR(__xludf.DUMMYFUNCTION("""COMPUTED_VALUE"""),88.83)</f>
        <v>88.83</v>
      </c>
      <c r="E173" s="1">
        <f ca="1">IFERROR(__xludf.DUMMYFUNCTION("""COMPUTED_VALUE"""),89.53)</f>
        <v>89.53</v>
      </c>
      <c r="F173" s="1">
        <f ca="1">IFERROR(__xludf.DUMMYFUNCTION("""COMPUTED_VALUE"""),27012543)</f>
        <v>27012543</v>
      </c>
    </row>
    <row r="174" spans="1:6" x14ac:dyDescent="0.35">
      <c r="A174" s="2">
        <f ca="1">IFERROR(__xludf.DUMMYFUNCTION("""COMPUTED_VALUE"""),42256.6666666666)</f>
        <v>42256.666666666599</v>
      </c>
      <c r="B174" s="1">
        <f ca="1">IFERROR(__xludf.DUMMYFUNCTION("""COMPUTED_VALUE"""),90.78)</f>
        <v>90.78</v>
      </c>
      <c r="C174" s="1">
        <f ca="1">IFERROR(__xludf.DUMMYFUNCTION("""COMPUTED_VALUE"""),91.98)</f>
        <v>91.98</v>
      </c>
      <c r="D174" s="1">
        <f ca="1">IFERROR(__xludf.DUMMYFUNCTION("""COMPUTED_VALUE"""),90.17)</f>
        <v>90.17</v>
      </c>
      <c r="E174" s="1">
        <f ca="1">IFERROR(__xludf.DUMMYFUNCTION("""COMPUTED_VALUE"""),90.44)</f>
        <v>90.44</v>
      </c>
      <c r="F174" s="1">
        <f ca="1">IFERROR(__xludf.DUMMYFUNCTION("""COMPUTED_VALUE"""),32551123)</f>
        <v>32551123</v>
      </c>
    </row>
    <row r="175" spans="1:6" x14ac:dyDescent="0.35">
      <c r="A175" s="2">
        <f ca="1">IFERROR(__xludf.DUMMYFUNCTION("""COMPUTED_VALUE"""),42257.6666666666)</f>
        <v>42257.666666666599</v>
      </c>
      <c r="B175" s="1">
        <f ca="1">IFERROR(__xludf.DUMMYFUNCTION("""COMPUTED_VALUE"""),90.07)</f>
        <v>90.07</v>
      </c>
      <c r="C175" s="1">
        <f ca="1">IFERROR(__xludf.DUMMYFUNCTION("""COMPUTED_VALUE"""),92.06)</f>
        <v>92.06</v>
      </c>
      <c r="D175" s="1">
        <f ca="1">IFERROR(__xludf.DUMMYFUNCTION("""COMPUTED_VALUE"""),89.63)</f>
        <v>89.63</v>
      </c>
      <c r="E175" s="1">
        <f ca="1">IFERROR(__xludf.DUMMYFUNCTION("""COMPUTED_VALUE"""),91.98)</f>
        <v>91.98</v>
      </c>
      <c r="F175" s="1">
        <f ca="1">IFERROR(__xludf.DUMMYFUNCTION("""COMPUTED_VALUE"""),26437398)</f>
        <v>26437398</v>
      </c>
    </row>
    <row r="176" spans="1:6" x14ac:dyDescent="0.35">
      <c r="A176" s="2">
        <f ca="1">IFERROR(__xludf.DUMMYFUNCTION("""COMPUTED_VALUE"""),42258.6666666666)</f>
        <v>42258.666666666599</v>
      </c>
      <c r="B176" s="1">
        <f ca="1">IFERROR(__xludf.DUMMYFUNCTION("""COMPUTED_VALUE"""),91.68)</f>
        <v>91.68</v>
      </c>
      <c r="C176" s="1">
        <f ca="1">IFERROR(__xludf.DUMMYFUNCTION("""COMPUTED_VALUE"""),92.08)</f>
        <v>92.08</v>
      </c>
      <c r="D176" s="1">
        <f ca="1">IFERROR(__xludf.DUMMYFUNCTION("""COMPUTED_VALUE"""),91.13)</f>
        <v>91.13</v>
      </c>
      <c r="E176" s="1">
        <f ca="1">IFERROR(__xludf.DUMMYFUNCTION("""COMPUTED_VALUE"""),92.05)</f>
        <v>92.05</v>
      </c>
      <c r="F176" s="1">
        <f ca="1">IFERROR(__xludf.DUMMYFUNCTION("""COMPUTED_VALUE"""),21185049)</f>
        <v>21185049</v>
      </c>
    </row>
    <row r="177" spans="1:6" x14ac:dyDescent="0.35">
      <c r="A177" s="2">
        <f ca="1">IFERROR(__xludf.DUMMYFUNCTION("""COMPUTED_VALUE"""),42261.6666666666)</f>
        <v>42261.666666666599</v>
      </c>
      <c r="B177" s="1">
        <f ca="1">IFERROR(__xludf.DUMMYFUNCTION("""COMPUTED_VALUE"""),92.31)</f>
        <v>92.31</v>
      </c>
      <c r="C177" s="1">
        <f ca="1">IFERROR(__xludf.DUMMYFUNCTION("""COMPUTED_VALUE"""),92.62)</f>
        <v>92.62</v>
      </c>
      <c r="D177" s="1">
        <f ca="1">IFERROR(__xludf.DUMMYFUNCTION("""COMPUTED_VALUE"""),91.6)</f>
        <v>91.6</v>
      </c>
      <c r="E177" s="1">
        <f ca="1">IFERROR(__xludf.DUMMYFUNCTION("""COMPUTED_VALUE"""),92.31)</f>
        <v>92.31</v>
      </c>
      <c r="F177" s="1">
        <f ca="1">IFERROR(__xludf.DUMMYFUNCTION("""COMPUTED_VALUE"""),20127871)</f>
        <v>20127871</v>
      </c>
    </row>
    <row r="178" spans="1:6" x14ac:dyDescent="0.35">
      <c r="A178" s="2">
        <f ca="1">IFERROR(__xludf.DUMMYFUNCTION("""COMPUTED_VALUE"""),42262.6666666666)</f>
        <v>42262.666666666599</v>
      </c>
      <c r="B178" s="1">
        <f ca="1">IFERROR(__xludf.DUMMYFUNCTION("""COMPUTED_VALUE"""),92.37)</f>
        <v>92.37</v>
      </c>
      <c r="C178" s="1">
        <f ca="1">IFERROR(__xludf.DUMMYFUNCTION("""COMPUTED_VALUE"""),93.25)</f>
        <v>93.25</v>
      </c>
      <c r="D178" s="1">
        <f ca="1">IFERROR(__xludf.DUMMYFUNCTION("""COMPUTED_VALUE"""),91.79)</f>
        <v>91.79</v>
      </c>
      <c r="E178" s="1">
        <f ca="1">IFERROR(__xludf.DUMMYFUNCTION("""COMPUTED_VALUE"""),92.9)</f>
        <v>92.9</v>
      </c>
      <c r="F178" s="1">
        <f ca="1">IFERROR(__xludf.DUMMYFUNCTION("""COMPUTED_VALUE"""),18859351)</f>
        <v>18859351</v>
      </c>
    </row>
    <row r="179" spans="1:6" x14ac:dyDescent="0.35">
      <c r="A179" s="2">
        <f ca="1">IFERROR(__xludf.DUMMYFUNCTION("""COMPUTED_VALUE"""),42263.6666666666)</f>
        <v>42263.666666666599</v>
      </c>
      <c r="B179" s="1">
        <f ca="1">IFERROR(__xludf.DUMMYFUNCTION("""COMPUTED_VALUE"""),92.9)</f>
        <v>92.9</v>
      </c>
      <c r="C179" s="1">
        <f ca="1">IFERROR(__xludf.DUMMYFUNCTION("""COMPUTED_VALUE"""),93.6)</f>
        <v>93.6</v>
      </c>
      <c r="D179" s="1">
        <f ca="1">IFERROR(__xludf.DUMMYFUNCTION("""COMPUTED_VALUE"""),92.63)</f>
        <v>92.63</v>
      </c>
      <c r="E179" s="1">
        <f ca="1">IFERROR(__xludf.DUMMYFUNCTION("""COMPUTED_VALUE"""),93.45)</f>
        <v>93.45</v>
      </c>
      <c r="F179" s="1">
        <f ca="1">IFERROR(__xludf.DUMMYFUNCTION("""COMPUTED_VALUE"""),16321193)</f>
        <v>16321193</v>
      </c>
    </row>
    <row r="180" spans="1:6" x14ac:dyDescent="0.35">
      <c r="A180" s="2">
        <f ca="1">IFERROR(__xludf.DUMMYFUNCTION("""COMPUTED_VALUE"""),42264.6666666666)</f>
        <v>42264.666666666599</v>
      </c>
      <c r="B180" s="1">
        <f ca="1">IFERROR(__xludf.DUMMYFUNCTION("""COMPUTED_VALUE"""),93.37)</f>
        <v>93.37</v>
      </c>
      <c r="C180" s="1">
        <f ca="1">IFERROR(__xludf.DUMMYFUNCTION("""COMPUTED_VALUE"""),95.51)</f>
        <v>95.51</v>
      </c>
      <c r="D180" s="1">
        <f ca="1">IFERROR(__xludf.DUMMYFUNCTION("""COMPUTED_VALUE"""),92.9)</f>
        <v>92.9</v>
      </c>
      <c r="E180" s="1">
        <f ca="1">IFERROR(__xludf.DUMMYFUNCTION("""COMPUTED_VALUE"""),94.34)</f>
        <v>94.34</v>
      </c>
      <c r="F180" s="1">
        <f ca="1">IFERROR(__xludf.DUMMYFUNCTION("""COMPUTED_VALUE"""),27841803)</f>
        <v>27841803</v>
      </c>
    </row>
    <row r="181" spans="1:6" x14ac:dyDescent="0.35">
      <c r="A181" s="2">
        <f ca="1">IFERROR(__xludf.DUMMYFUNCTION("""COMPUTED_VALUE"""),42265.6666666666)</f>
        <v>42265.666666666599</v>
      </c>
      <c r="B181" s="1">
        <f ca="1">IFERROR(__xludf.DUMMYFUNCTION("""COMPUTED_VALUE"""),93.2)</f>
        <v>93.2</v>
      </c>
      <c r="C181" s="1">
        <f ca="1">IFERROR(__xludf.DUMMYFUNCTION("""COMPUTED_VALUE"""),95.19)</f>
        <v>95.19</v>
      </c>
      <c r="D181" s="1">
        <f ca="1">IFERROR(__xludf.DUMMYFUNCTION("""COMPUTED_VALUE"""),93.05)</f>
        <v>93.05</v>
      </c>
      <c r="E181" s="1">
        <f ca="1">IFERROR(__xludf.DUMMYFUNCTION("""COMPUTED_VALUE"""),94.4)</f>
        <v>94.4</v>
      </c>
      <c r="F181" s="1">
        <f ca="1">IFERROR(__xludf.DUMMYFUNCTION("""COMPUTED_VALUE"""),62299984)</f>
        <v>62299984</v>
      </c>
    </row>
    <row r="182" spans="1:6" x14ac:dyDescent="0.35">
      <c r="A182" s="2">
        <f ca="1">IFERROR(__xludf.DUMMYFUNCTION("""COMPUTED_VALUE"""),42268.6666666666)</f>
        <v>42268.666666666599</v>
      </c>
      <c r="B182" s="1">
        <f ca="1">IFERROR(__xludf.DUMMYFUNCTION("""COMPUTED_VALUE"""),94.62)</f>
        <v>94.62</v>
      </c>
      <c r="C182" s="1">
        <f ca="1">IFERROR(__xludf.DUMMYFUNCTION("""COMPUTED_VALUE"""),96.49)</f>
        <v>96.49</v>
      </c>
      <c r="D182" s="1">
        <f ca="1">IFERROR(__xludf.DUMMYFUNCTION("""COMPUTED_VALUE"""),94.52)</f>
        <v>94.52</v>
      </c>
      <c r="E182" s="1">
        <f ca="1">IFERROR(__xludf.DUMMYFUNCTION("""COMPUTED_VALUE"""),95.55)</f>
        <v>95.55</v>
      </c>
      <c r="F182" s="1">
        <f ca="1">IFERROR(__xludf.DUMMYFUNCTION("""COMPUTED_VALUE"""),28789973)</f>
        <v>28789973</v>
      </c>
    </row>
    <row r="183" spans="1:6" x14ac:dyDescent="0.35">
      <c r="A183" s="2">
        <f ca="1">IFERROR(__xludf.DUMMYFUNCTION("""COMPUTED_VALUE"""),42269.6666666666)</f>
        <v>42269.666666666599</v>
      </c>
      <c r="B183" s="1">
        <f ca="1">IFERROR(__xludf.DUMMYFUNCTION("""COMPUTED_VALUE"""),93.77)</f>
        <v>93.77</v>
      </c>
      <c r="C183" s="1">
        <f ca="1">IFERROR(__xludf.DUMMYFUNCTION("""COMPUTED_VALUE"""),94.68)</f>
        <v>94.68</v>
      </c>
      <c r="D183" s="1">
        <f ca="1">IFERROR(__xludf.DUMMYFUNCTION("""COMPUTED_VALUE"""),91.92)</f>
        <v>91.92</v>
      </c>
      <c r="E183" s="1">
        <f ca="1">IFERROR(__xludf.DUMMYFUNCTION("""COMPUTED_VALUE"""),92.96)</f>
        <v>92.96</v>
      </c>
      <c r="F183" s="1">
        <f ca="1">IFERROR(__xludf.DUMMYFUNCTION("""COMPUTED_VALUE"""),36888893)</f>
        <v>36888893</v>
      </c>
    </row>
    <row r="184" spans="1:6" x14ac:dyDescent="0.35">
      <c r="A184" s="2">
        <f ca="1">IFERROR(__xludf.DUMMYFUNCTION("""COMPUTED_VALUE"""),42270.6666666666)</f>
        <v>42270.666666666599</v>
      </c>
      <c r="B184" s="1">
        <f ca="1">IFERROR(__xludf.DUMMYFUNCTION("""COMPUTED_VALUE"""),93.4)</f>
        <v>93.4</v>
      </c>
      <c r="C184" s="1">
        <f ca="1">IFERROR(__xludf.DUMMYFUNCTION("""COMPUTED_VALUE"""),94.32)</f>
        <v>94.32</v>
      </c>
      <c r="D184" s="1">
        <f ca="1">IFERROR(__xludf.DUMMYFUNCTION("""COMPUTED_VALUE"""),92.8)</f>
        <v>92.8</v>
      </c>
      <c r="E184" s="1">
        <f ca="1">IFERROR(__xludf.DUMMYFUNCTION("""COMPUTED_VALUE"""),93.97)</f>
        <v>93.97</v>
      </c>
      <c r="F184" s="1">
        <f ca="1">IFERROR(__xludf.DUMMYFUNCTION("""COMPUTED_VALUE"""),21701427)</f>
        <v>21701427</v>
      </c>
    </row>
    <row r="185" spans="1:6" x14ac:dyDescent="0.35">
      <c r="A185" s="2">
        <f ca="1">IFERROR(__xludf.DUMMYFUNCTION("""COMPUTED_VALUE"""),42271.6666666666)</f>
        <v>42271.666666666599</v>
      </c>
      <c r="B185" s="1">
        <f ca="1">IFERROR(__xludf.DUMMYFUNCTION("""COMPUTED_VALUE"""),93.06)</f>
        <v>93.06</v>
      </c>
      <c r="C185" s="1">
        <f ca="1">IFERROR(__xludf.DUMMYFUNCTION("""COMPUTED_VALUE"""),94.77)</f>
        <v>94.77</v>
      </c>
      <c r="D185" s="1">
        <f ca="1">IFERROR(__xludf.DUMMYFUNCTION("""COMPUTED_VALUE"""),92.24)</f>
        <v>92.24</v>
      </c>
      <c r="E185" s="1">
        <f ca="1">IFERROR(__xludf.DUMMYFUNCTION("""COMPUTED_VALUE"""),94.41)</f>
        <v>94.41</v>
      </c>
      <c r="F185" s="1">
        <f ca="1">IFERROR(__xludf.DUMMYFUNCTION("""COMPUTED_VALUE"""),29105964)</f>
        <v>29105964</v>
      </c>
    </row>
    <row r="186" spans="1:6" x14ac:dyDescent="0.35">
      <c r="A186" s="2">
        <f ca="1">IFERROR(__xludf.DUMMYFUNCTION("""COMPUTED_VALUE"""),42272.6666666666)</f>
        <v>42272.666666666599</v>
      </c>
      <c r="B186" s="1">
        <f ca="1">IFERROR(__xludf.DUMMYFUNCTION("""COMPUTED_VALUE"""),95.79)</f>
        <v>95.79</v>
      </c>
      <c r="C186" s="1">
        <f ca="1">IFERROR(__xludf.DUMMYFUNCTION("""COMPUTED_VALUE"""),95.85)</f>
        <v>95.85</v>
      </c>
      <c r="D186" s="1">
        <f ca="1">IFERROR(__xludf.DUMMYFUNCTION("""COMPUTED_VALUE"""),92.06)</f>
        <v>92.06</v>
      </c>
      <c r="E186" s="1">
        <f ca="1">IFERROR(__xludf.DUMMYFUNCTION("""COMPUTED_VALUE"""),92.77)</f>
        <v>92.77</v>
      </c>
      <c r="F186" s="1">
        <f ca="1">IFERROR(__xludf.DUMMYFUNCTION("""COMPUTED_VALUE"""),28961622)</f>
        <v>28961622</v>
      </c>
    </row>
    <row r="187" spans="1:6" x14ac:dyDescent="0.35">
      <c r="A187" s="2">
        <f ca="1">IFERROR(__xludf.DUMMYFUNCTION("""COMPUTED_VALUE"""),42275.6666666666)</f>
        <v>42275.666666666599</v>
      </c>
      <c r="B187" s="1">
        <f ca="1">IFERROR(__xludf.DUMMYFUNCTION("""COMPUTED_VALUE"""),92.08)</f>
        <v>92.08</v>
      </c>
      <c r="C187" s="1">
        <f ca="1">IFERROR(__xludf.DUMMYFUNCTION("""COMPUTED_VALUE"""),92.29)</f>
        <v>92.29</v>
      </c>
      <c r="D187" s="1">
        <f ca="1">IFERROR(__xludf.DUMMYFUNCTION("""COMPUTED_VALUE"""),88.18)</f>
        <v>88.18</v>
      </c>
      <c r="E187" s="1">
        <f ca="1">IFERROR(__xludf.DUMMYFUNCTION("""COMPUTED_VALUE"""),89.21)</f>
        <v>89.21</v>
      </c>
      <c r="F187" s="1">
        <f ca="1">IFERROR(__xludf.DUMMYFUNCTION("""COMPUTED_VALUE"""),41199870)</f>
        <v>41199870</v>
      </c>
    </row>
    <row r="188" spans="1:6" x14ac:dyDescent="0.35">
      <c r="A188" s="2">
        <f ca="1">IFERROR(__xludf.DUMMYFUNCTION("""COMPUTED_VALUE"""),42276.6666666666)</f>
        <v>42276.666666666599</v>
      </c>
      <c r="B188" s="1">
        <f ca="1">IFERROR(__xludf.DUMMYFUNCTION("""COMPUTED_VALUE"""),89.1)</f>
        <v>89.1</v>
      </c>
      <c r="C188" s="1">
        <f ca="1">IFERROR(__xludf.DUMMYFUNCTION("""COMPUTED_VALUE"""),90.06)</f>
        <v>90.06</v>
      </c>
      <c r="D188" s="1">
        <f ca="1">IFERROR(__xludf.DUMMYFUNCTION("""COMPUTED_VALUE"""),85.72)</f>
        <v>85.72</v>
      </c>
      <c r="E188" s="1">
        <f ca="1">IFERROR(__xludf.DUMMYFUNCTION("""COMPUTED_VALUE"""),86.67)</f>
        <v>86.67</v>
      </c>
      <c r="F188" s="1">
        <f ca="1">IFERROR(__xludf.DUMMYFUNCTION("""COMPUTED_VALUE"""),42281838)</f>
        <v>42281838</v>
      </c>
    </row>
    <row r="189" spans="1:6" x14ac:dyDescent="0.35">
      <c r="A189" s="2">
        <f ca="1">IFERROR(__xludf.DUMMYFUNCTION("""COMPUTED_VALUE"""),42277.6666666666)</f>
        <v>42277.666666666599</v>
      </c>
      <c r="B189" s="1">
        <f ca="1">IFERROR(__xludf.DUMMYFUNCTION("""COMPUTED_VALUE"""),88.44)</f>
        <v>88.44</v>
      </c>
      <c r="C189" s="1">
        <f ca="1">IFERROR(__xludf.DUMMYFUNCTION("""COMPUTED_VALUE"""),90.02)</f>
        <v>90.02</v>
      </c>
      <c r="D189" s="1">
        <f ca="1">IFERROR(__xludf.DUMMYFUNCTION("""COMPUTED_VALUE"""),88.01)</f>
        <v>88.01</v>
      </c>
      <c r="E189" s="1">
        <f ca="1">IFERROR(__xludf.DUMMYFUNCTION("""COMPUTED_VALUE"""),89.9)</f>
        <v>89.9</v>
      </c>
      <c r="F189" s="1">
        <f ca="1">IFERROR(__xludf.DUMMYFUNCTION("""COMPUTED_VALUE"""),36169146)</f>
        <v>36169146</v>
      </c>
    </row>
    <row r="190" spans="1:6" x14ac:dyDescent="0.35">
      <c r="A190" s="2">
        <f ca="1">IFERROR(__xludf.DUMMYFUNCTION("""COMPUTED_VALUE"""),42278.6666666666)</f>
        <v>42278.666666666599</v>
      </c>
      <c r="B190" s="1">
        <f ca="1">IFERROR(__xludf.DUMMYFUNCTION("""COMPUTED_VALUE"""),90.05)</f>
        <v>90.05</v>
      </c>
      <c r="C190" s="1">
        <f ca="1">IFERROR(__xludf.DUMMYFUNCTION("""COMPUTED_VALUE"""),90.95)</f>
        <v>90.95</v>
      </c>
      <c r="D190" s="1">
        <f ca="1">IFERROR(__xludf.DUMMYFUNCTION("""COMPUTED_VALUE"""),88.36)</f>
        <v>88.36</v>
      </c>
      <c r="E190" s="1">
        <f ca="1">IFERROR(__xludf.DUMMYFUNCTION("""COMPUTED_VALUE"""),90.95)</f>
        <v>90.95</v>
      </c>
      <c r="F190" s="1">
        <f ca="1">IFERROR(__xludf.DUMMYFUNCTION("""COMPUTED_VALUE"""),29283652)</f>
        <v>29283652</v>
      </c>
    </row>
    <row r="191" spans="1:6" x14ac:dyDescent="0.35">
      <c r="A191" s="2">
        <f ca="1">IFERROR(__xludf.DUMMYFUNCTION("""COMPUTED_VALUE"""),42279.6666666666)</f>
        <v>42279.666666666599</v>
      </c>
      <c r="B191" s="1">
        <f ca="1">IFERROR(__xludf.DUMMYFUNCTION("""COMPUTED_VALUE"""),88.9)</f>
        <v>88.9</v>
      </c>
      <c r="C191" s="1">
        <f ca="1">IFERROR(__xludf.DUMMYFUNCTION("""COMPUTED_VALUE"""),92.2)</f>
        <v>92.2</v>
      </c>
      <c r="D191" s="1">
        <f ca="1">IFERROR(__xludf.DUMMYFUNCTION("""COMPUTED_VALUE"""),88.37)</f>
        <v>88.37</v>
      </c>
      <c r="E191" s="1">
        <f ca="1">IFERROR(__xludf.DUMMYFUNCTION("""COMPUTED_VALUE"""),92.07)</f>
        <v>92.07</v>
      </c>
      <c r="F191" s="1">
        <f ca="1">IFERROR(__xludf.DUMMYFUNCTION("""COMPUTED_VALUE"""),37881652)</f>
        <v>37881652</v>
      </c>
    </row>
    <row r="192" spans="1:6" x14ac:dyDescent="0.35">
      <c r="A192" s="2">
        <f ca="1">IFERROR(__xludf.DUMMYFUNCTION("""COMPUTED_VALUE"""),42282.6666666666)</f>
        <v>42282.666666666599</v>
      </c>
      <c r="B192" s="1">
        <f ca="1">IFERROR(__xludf.DUMMYFUNCTION("""COMPUTED_VALUE"""),92.94)</f>
        <v>92.94</v>
      </c>
      <c r="C192" s="1">
        <f ca="1">IFERROR(__xludf.DUMMYFUNCTION("""COMPUTED_VALUE"""),94.27)</f>
        <v>94.27</v>
      </c>
      <c r="D192" s="1">
        <f ca="1">IFERROR(__xludf.DUMMYFUNCTION("""COMPUTED_VALUE"""),92.66)</f>
        <v>92.66</v>
      </c>
      <c r="E192" s="1">
        <f ca="1">IFERROR(__xludf.DUMMYFUNCTION("""COMPUTED_VALUE"""),94.01)</f>
        <v>94.01</v>
      </c>
      <c r="F192" s="1">
        <f ca="1">IFERROR(__xludf.DUMMYFUNCTION("""COMPUTED_VALUE"""),27292517)</f>
        <v>27292517</v>
      </c>
    </row>
    <row r="193" spans="1:6" x14ac:dyDescent="0.35">
      <c r="A193" s="2">
        <f ca="1">IFERROR(__xludf.DUMMYFUNCTION("""COMPUTED_VALUE"""),42283.6666666666)</f>
        <v>42283.666666666599</v>
      </c>
      <c r="B193" s="1">
        <f ca="1">IFERROR(__xludf.DUMMYFUNCTION("""COMPUTED_VALUE"""),94.08)</f>
        <v>94.08</v>
      </c>
      <c r="C193" s="1">
        <f ca="1">IFERROR(__xludf.DUMMYFUNCTION("""COMPUTED_VALUE"""),94.17)</f>
        <v>94.17</v>
      </c>
      <c r="D193" s="1">
        <f ca="1">IFERROR(__xludf.DUMMYFUNCTION("""COMPUTED_VALUE"""),92.34)</f>
        <v>92.34</v>
      </c>
      <c r="E193" s="1">
        <f ca="1">IFERROR(__xludf.DUMMYFUNCTION("""COMPUTED_VALUE"""),92.8)</f>
        <v>92.8</v>
      </c>
      <c r="F193" s="1">
        <f ca="1">IFERROR(__xludf.DUMMYFUNCTION("""COMPUTED_VALUE"""),22488275)</f>
        <v>22488275</v>
      </c>
    </row>
    <row r="194" spans="1:6" x14ac:dyDescent="0.35">
      <c r="A194" s="2">
        <f ca="1">IFERROR(__xludf.DUMMYFUNCTION("""COMPUTED_VALUE"""),42284.6666666666)</f>
        <v>42284.666666666599</v>
      </c>
      <c r="B194" s="1">
        <f ca="1">IFERROR(__xludf.DUMMYFUNCTION("""COMPUTED_VALUE"""),93.11)</f>
        <v>93.11</v>
      </c>
      <c r="C194" s="1">
        <f ca="1">IFERROR(__xludf.DUMMYFUNCTION("""COMPUTED_VALUE"""),93.66)</f>
        <v>93.66</v>
      </c>
      <c r="D194" s="1">
        <f ca="1">IFERROR(__xludf.DUMMYFUNCTION("""COMPUTED_VALUE"""),91.37)</f>
        <v>91.37</v>
      </c>
      <c r="E194" s="1">
        <f ca="1">IFERROR(__xludf.DUMMYFUNCTION("""COMPUTED_VALUE"""),92.4)</f>
        <v>92.4</v>
      </c>
      <c r="F194" s="1">
        <f ca="1">IFERROR(__xludf.DUMMYFUNCTION("""COMPUTED_VALUE"""),24129277)</f>
        <v>24129277</v>
      </c>
    </row>
    <row r="195" spans="1:6" x14ac:dyDescent="0.35">
      <c r="A195" s="2">
        <f ca="1">IFERROR(__xludf.DUMMYFUNCTION("""COMPUTED_VALUE"""),42285.6666666666)</f>
        <v>42285.666666666599</v>
      </c>
      <c r="B195" s="1">
        <f ca="1">IFERROR(__xludf.DUMMYFUNCTION("""COMPUTED_VALUE"""),91.89)</f>
        <v>91.89</v>
      </c>
      <c r="C195" s="1">
        <f ca="1">IFERROR(__xludf.DUMMYFUNCTION("""COMPUTED_VALUE"""),93.22)</f>
        <v>93.22</v>
      </c>
      <c r="D195" s="1">
        <f ca="1">IFERROR(__xludf.DUMMYFUNCTION("""COMPUTED_VALUE"""),90.47)</f>
        <v>90.47</v>
      </c>
      <c r="E195" s="1">
        <f ca="1">IFERROR(__xludf.DUMMYFUNCTION("""COMPUTED_VALUE"""),92.47)</f>
        <v>92.47</v>
      </c>
      <c r="F195" s="1">
        <f ca="1">IFERROR(__xludf.DUMMYFUNCTION("""COMPUTED_VALUE"""),27290523)</f>
        <v>27290523</v>
      </c>
    </row>
    <row r="196" spans="1:6" x14ac:dyDescent="0.35">
      <c r="A196" s="2">
        <f ca="1">IFERROR(__xludf.DUMMYFUNCTION("""COMPUTED_VALUE"""),42286.6666666666)</f>
        <v>42286.666666666599</v>
      </c>
      <c r="B196" s="1">
        <f ca="1">IFERROR(__xludf.DUMMYFUNCTION("""COMPUTED_VALUE"""),92.9)</f>
        <v>92.9</v>
      </c>
      <c r="C196" s="1">
        <f ca="1">IFERROR(__xludf.DUMMYFUNCTION("""COMPUTED_VALUE"""),93.74)</f>
        <v>93.74</v>
      </c>
      <c r="D196" s="1">
        <f ca="1">IFERROR(__xludf.DUMMYFUNCTION("""COMPUTED_VALUE"""),92.24)</f>
        <v>92.24</v>
      </c>
      <c r="E196" s="1">
        <f ca="1">IFERROR(__xludf.DUMMYFUNCTION("""COMPUTED_VALUE"""),93.24)</f>
        <v>93.24</v>
      </c>
      <c r="F196" s="1">
        <f ca="1">IFERROR(__xludf.DUMMYFUNCTION("""COMPUTED_VALUE"""),20012911)</f>
        <v>20012911</v>
      </c>
    </row>
    <row r="197" spans="1:6" x14ac:dyDescent="0.35">
      <c r="A197" s="2">
        <f ca="1">IFERROR(__xludf.DUMMYFUNCTION("""COMPUTED_VALUE"""),42289.6666666666)</f>
        <v>42289.666666666599</v>
      </c>
      <c r="B197" s="1">
        <f ca="1">IFERROR(__xludf.DUMMYFUNCTION("""COMPUTED_VALUE"""),93.32)</f>
        <v>93.32</v>
      </c>
      <c r="C197" s="1">
        <f ca="1">IFERROR(__xludf.DUMMYFUNCTION("""COMPUTED_VALUE"""),94.6)</f>
        <v>94.6</v>
      </c>
      <c r="D197" s="1">
        <f ca="1">IFERROR(__xludf.DUMMYFUNCTION("""COMPUTED_VALUE"""),92.67)</f>
        <v>92.67</v>
      </c>
      <c r="E197" s="1">
        <f ca="1">IFERROR(__xludf.DUMMYFUNCTION("""COMPUTED_VALUE"""),94.26)</f>
        <v>94.26</v>
      </c>
      <c r="F197" s="1">
        <f ca="1">IFERROR(__xludf.DUMMYFUNCTION("""COMPUTED_VALUE"""),18449562)</f>
        <v>18449562</v>
      </c>
    </row>
    <row r="198" spans="1:6" x14ac:dyDescent="0.35">
      <c r="A198" s="2">
        <f ca="1">IFERROR(__xludf.DUMMYFUNCTION("""COMPUTED_VALUE"""),42290.6666666666)</f>
        <v>42290.666666666599</v>
      </c>
      <c r="B198" s="1">
        <f ca="1">IFERROR(__xludf.DUMMYFUNCTION("""COMPUTED_VALUE"""),93.66)</f>
        <v>93.66</v>
      </c>
      <c r="C198" s="1">
        <f ca="1">IFERROR(__xludf.DUMMYFUNCTION("""COMPUTED_VALUE"""),95.37)</f>
        <v>95.37</v>
      </c>
      <c r="D198" s="1">
        <f ca="1">IFERROR(__xludf.DUMMYFUNCTION("""COMPUTED_VALUE"""),93.55)</f>
        <v>93.55</v>
      </c>
      <c r="E198" s="1">
        <f ca="1">IFERROR(__xludf.DUMMYFUNCTION("""COMPUTED_VALUE"""),94.12)</f>
        <v>94.12</v>
      </c>
      <c r="F198" s="1">
        <f ca="1">IFERROR(__xludf.DUMMYFUNCTION("""COMPUTED_VALUE"""),19480347)</f>
        <v>19480347</v>
      </c>
    </row>
    <row r="199" spans="1:6" x14ac:dyDescent="0.35">
      <c r="A199" s="2">
        <f ca="1">IFERROR(__xludf.DUMMYFUNCTION("""COMPUTED_VALUE"""),42291.6666666666)</f>
        <v>42291.666666666599</v>
      </c>
      <c r="B199" s="1">
        <f ca="1">IFERROR(__xludf.DUMMYFUNCTION("""COMPUTED_VALUE"""),94.08)</f>
        <v>94.08</v>
      </c>
      <c r="C199" s="1">
        <f ca="1">IFERROR(__xludf.DUMMYFUNCTION("""COMPUTED_VALUE"""),95.2)</f>
        <v>95.2</v>
      </c>
      <c r="D199" s="1">
        <f ca="1">IFERROR(__xludf.DUMMYFUNCTION("""COMPUTED_VALUE"""),93.61)</f>
        <v>93.61</v>
      </c>
      <c r="E199" s="1">
        <f ca="1">IFERROR(__xludf.DUMMYFUNCTION("""COMPUTED_VALUE"""),94.07)</f>
        <v>94.07</v>
      </c>
      <c r="F199" s="1">
        <f ca="1">IFERROR(__xludf.DUMMYFUNCTION("""COMPUTED_VALUE"""),19253351)</f>
        <v>19253351</v>
      </c>
    </row>
    <row r="200" spans="1:6" x14ac:dyDescent="0.35">
      <c r="A200" s="2">
        <f ca="1">IFERROR(__xludf.DUMMYFUNCTION("""COMPUTED_VALUE"""),42292.6666666666)</f>
        <v>42292.666666666599</v>
      </c>
      <c r="B200" s="1">
        <f ca="1">IFERROR(__xludf.DUMMYFUNCTION("""COMPUTED_VALUE"""),94.99)</f>
        <v>94.99</v>
      </c>
      <c r="C200" s="1">
        <f ca="1">IFERROR(__xludf.DUMMYFUNCTION("""COMPUTED_VALUE"""),96.3)</f>
        <v>96.3</v>
      </c>
      <c r="D200" s="1">
        <f ca="1">IFERROR(__xludf.DUMMYFUNCTION("""COMPUTED_VALUE"""),94.9)</f>
        <v>94.9</v>
      </c>
      <c r="E200" s="1">
        <f ca="1">IFERROR(__xludf.DUMMYFUNCTION("""COMPUTED_VALUE"""),95.96)</f>
        <v>95.96</v>
      </c>
      <c r="F200" s="1">
        <f ca="1">IFERROR(__xludf.DUMMYFUNCTION("""COMPUTED_VALUE"""),27557516)</f>
        <v>27557516</v>
      </c>
    </row>
    <row r="201" spans="1:6" x14ac:dyDescent="0.35">
      <c r="A201" s="2">
        <f ca="1">IFERROR(__xludf.DUMMYFUNCTION("""COMPUTED_VALUE"""),42293.6666666666)</f>
        <v>42293.666666666599</v>
      </c>
      <c r="B201" s="1">
        <f ca="1">IFERROR(__xludf.DUMMYFUNCTION("""COMPUTED_VALUE"""),96.18)</f>
        <v>96.18</v>
      </c>
      <c r="C201" s="1">
        <f ca="1">IFERROR(__xludf.DUMMYFUNCTION("""COMPUTED_VALUE"""),97.59)</f>
        <v>97.59</v>
      </c>
      <c r="D201" s="1">
        <f ca="1">IFERROR(__xludf.DUMMYFUNCTION("""COMPUTED_VALUE"""),95.35)</f>
        <v>95.35</v>
      </c>
      <c r="E201" s="1">
        <f ca="1">IFERROR(__xludf.DUMMYFUNCTION("""COMPUTED_VALUE"""),97.54)</f>
        <v>97.54</v>
      </c>
      <c r="F201" s="1">
        <f ca="1">IFERROR(__xludf.DUMMYFUNCTION("""COMPUTED_VALUE"""),25412856)</f>
        <v>25412856</v>
      </c>
    </row>
    <row r="202" spans="1:6" x14ac:dyDescent="0.35">
      <c r="A202" s="2">
        <f ca="1">IFERROR(__xludf.DUMMYFUNCTION("""COMPUTED_VALUE"""),42296.6666666666)</f>
        <v>42296.666666666599</v>
      </c>
      <c r="B202" s="1">
        <f ca="1">IFERROR(__xludf.DUMMYFUNCTION("""COMPUTED_VALUE"""),97.18)</f>
        <v>97.18</v>
      </c>
      <c r="C202" s="1">
        <f ca="1">IFERROR(__xludf.DUMMYFUNCTION("""COMPUTED_VALUE"""),98.57)</f>
        <v>98.57</v>
      </c>
      <c r="D202" s="1">
        <f ca="1">IFERROR(__xludf.DUMMYFUNCTION("""COMPUTED_VALUE"""),96.92)</f>
        <v>96.92</v>
      </c>
      <c r="E202" s="1">
        <f ca="1">IFERROR(__xludf.DUMMYFUNCTION("""COMPUTED_VALUE"""),98.47)</f>
        <v>98.47</v>
      </c>
      <c r="F202" s="1">
        <f ca="1">IFERROR(__xludf.DUMMYFUNCTION("""COMPUTED_VALUE"""),23729924)</f>
        <v>23729924</v>
      </c>
    </row>
    <row r="203" spans="1:6" x14ac:dyDescent="0.35">
      <c r="A203" s="2">
        <f ca="1">IFERROR(__xludf.DUMMYFUNCTION("""COMPUTED_VALUE"""),42297.6666666666)</f>
        <v>42297.666666666599</v>
      </c>
      <c r="B203" s="1">
        <f ca="1">IFERROR(__xludf.DUMMYFUNCTION("""COMPUTED_VALUE"""),98.73)</f>
        <v>98.73</v>
      </c>
      <c r="C203" s="1">
        <f ca="1">IFERROR(__xludf.DUMMYFUNCTION("""COMPUTED_VALUE"""),99.59)</f>
        <v>99.59</v>
      </c>
      <c r="D203" s="1">
        <f ca="1">IFERROR(__xludf.DUMMYFUNCTION("""COMPUTED_VALUE"""),96.56)</f>
        <v>96.56</v>
      </c>
      <c r="E203" s="1">
        <f ca="1">IFERROR(__xludf.DUMMYFUNCTION("""COMPUTED_VALUE"""),97)</f>
        <v>97</v>
      </c>
      <c r="F203" s="1">
        <f ca="1">IFERROR(__xludf.DUMMYFUNCTION("""COMPUTED_VALUE"""),30881777)</f>
        <v>30881777</v>
      </c>
    </row>
    <row r="204" spans="1:6" x14ac:dyDescent="0.35">
      <c r="A204" s="2">
        <f ca="1">IFERROR(__xludf.DUMMYFUNCTION("""COMPUTED_VALUE"""),42298.6666666666)</f>
        <v>42298.666666666599</v>
      </c>
      <c r="B204" s="1">
        <f ca="1">IFERROR(__xludf.DUMMYFUNCTION("""COMPUTED_VALUE"""),97.37)</f>
        <v>97.37</v>
      </c>
      <c r="C204" s="1">
        <f ca="1">IFERROR(__xludf.DUMMYFUNCTION("""COMPUTED_VALUE"""),98.18)</f>
        <v>98.18</v>
      </c>
      <c r="D204" s="1">
        <f ca="1">IFERROR(__xludf.DUMMYFUNCTION("""COMPUTED_VALUE"""),96.47)</f>
        <v>96.47</v>
      </c>
      <c r="E204" s="1">
        <f ca="1">IFERROR(__xludf.DUMMYFUNCTION("""COMPUTED_VALUE"""),97.11)</f>
        <v>97.11</v>
      </c>
      <c r="F204" s="1">
        <f ca="1">IFERROR(__xludf.DUMMYFUNCTION("""COMPUTED_VALUE"""),22003730)</f>
        <v>22003730</v>
      </c>
    </row>
    <row r="205" spans="1:6" x14ac:dyDescent="0.35">
      <c r="A205" s="2">
        <f ca="1">IFERROR(__xludf.DUMMYFUNCTION("""COMPUTED_VALUE"""),42299.6666666666)</f>
        <v>42299.666666666599</v>
      </c>
      <c r="B205" s="1">
        <f ca="1">IFERROR(__xludf.DUMMYFUNCTION("""COMPUTED_VALUE"""),97.79)</f>
        <v>97.79</v>
      </c>
      <c r="C205" s="1">
        <f ca="1">IFERROR(__xludf.DUMMYFUNCTION("""COMPUTED_VALUE"""),99.73)</f>
        <v>99.73</v>
      </c>
      <c r="D205" s="1">
        <f ca="1">IFERROR(__xludf.DUMMYFUNCTION("""COMPUTED_VALUE"""),97.55)</f>
        <v>97.55</v>
      </c>
      <c r="E205" s="1">
        <f ca="1">IFERROR(__xludf.DUMMYFUNCTION("""COMPUTED_VALUE"""),99.67)</f>
        <v>99.67</v>
      </c>
      <c r="F205" s="1">
        <f ca="1">IFERROR(__xludf.DUMMYFUNCTION("""COMPUTED_VALUE"""),26392075)</f>
        <v>26392075</v>
      </c>
    </row>
    <row r="206" spans="1:6" x14ac:dyDescent="0.35">
      <c r="A206" s="2">
        <f ca="1">IFERROR(__xludf.DUMMYFUNCTION("""COMPUTED_VALUE"""),42300.6666666666)</f>
        <v>42300.666666666599</v>
      </c>
      <c r="B206" s="1">
        <f ca="1">IFERROR(__xludf.DUMMYFUNCTION("""COMPUTED_VALUE"""),101.91)</f>
        <v>101.91</v>
      </c>
      <c r="C206" s="1">
        <f ca="1">IFERROR(__xludf.DUMMYFUNCTION("""COMPUTED_VALUE"""),102.85)</f>
        <v>102.85</v>
      </c>
      <c r="D206" s="1">
        <f ca="1">IFERROR(__xludf.DUMMYFUNCTION("""COMPUTED_VALUE"""),100.16)</f>
        <v>100.16</v>
      </c>
      <c r="E206" s="1">
        <f ca="1">IFERROR(__xludf.DUMMYFUNCTION("""COMPUTED_VALUE"""),102.19)</f>
        <v>102.19</v>
      </c>
      <c r="F206" s="1">
        <f ca="1">IFERROR(__xludf.DUMMYFUNCTION("""COMPUTED_VALUE"""),42809661)</f>
        <v>42809661</v>
      </c>
    </row>
    <row r="207" spans="1:6" x14ac:dyDescent="0.35">
      <c r="A207" s="2">
        <f ca="1">IFERROR(__xludf.DUMMYFUNCTION("""COMPUTED_VALUE"""),42303.6666666666)</f>
        <v>42303.666666666599</v>
      </c>
      <c r="B207" s="1">
        <f ca="1">IFERROR(__xludf.DUMMYFUNCTION("""COMPUTED_VALUE"""),102.2)</f>
        <v>102.2</v>
      </c>
      <c r="C207" s="1">
        <f ca="1">IFERROR(__xludf.DUMMYFUNCTION("""COMPUTED_VALUE"""),103.81)</f>
        <v>103.81</v>
      </c>
      <c r="D207" s="1">
        <f ca="1">IFERROR(__xludf.DUMMYFUNCTION("""COMPUTED_VALUE"""),101.55)</f>
        <v>101.55</v>
      </c>
      <c r="E207" s="1">
        <f ca="1">IFERROR(__xludf.DUMMYFUNCTION("""COMPUTED_VALUE"""),103.77)</f>
        <v>103.77</v>
      </c>
      <c r="F207" s="1">
        <f ca="1">IFERROR(__xludf.DUMMYFUNCTION("""COMPUTED_VALUE"""),25961212)</f>
        <v>25961212</v>
      </c>
    </row>
    <row r="208" spans="1:6" x14ac:dyDescent="0.35">
      <c r="A208" s="2">
        <f ca="1">IFERROR(__xludf.DUMMYFUNCTION("""COMPUTED_VALUE"""),42304.6666666666)</f>
        <v>42304.666666666599</v>
      </c>
      <c r="B208" s="1">
        <f ca="1">IFERROR(__xludf.DUMMYFUNCTION("""COMPUTED_VALUE"""),102.94)</f>
        <v>102.94</v>
      </c>
      <c r="C208" s="1">
        <f ca="1">IFERROR(__xludf.DUMMYFUNCTION("""COMPUTED_VALUE"""),104.1)</f>
        <v>104.1</v>
      </c>
      <c r="D208" s="1">
        <f ca="1">IFERROR(__xludf.DUMMYFUNCTION("""COMPUTED_VALUE"""),102.4)</f>
        <v>102.4</v>
      </c>
      <c r="E208" s="1">
        <f ca="1">IFERROR(__xludf.DUMMYFUNCTION("""COMPUTED_VALUE"""),103.7)</f>
        <v>103.7</v>
      </c>
      <c r="F208" s="1">
        <f ca="1">IFERROR(__xludf.DUMMYFUNCTION("""COMPUTED_VALUE"""),23795472)</f>
        <v>23795472</v>
      </c>
    </row>
    <row r="209" spans="1:6" x14ac:dyDescent="0.35">
      <c r="A209" s="2">
        <f ca="1">IFERROR(__xludf.DUMMYFUNCTION("""COMPUTED_VALUE"""),42305.6666666666)</f>
        <v>42305.666666666599</v>
      </c>
      <c r="B209" s="1">
        <f ca="1">IFERROR(__xludf.DUMMYFUNCTION("""COMPUTED_VALUE"""),103.9)</f>
        <v>103.9</v>
      </c>
      <c r="C209" s="1">
        <f ca="1">IFERROR(__xludf.DUMMYFUNCTION("""COMPUTED_VALUE"""),104.48)</f>
        <v>104.48</v>
      </c>
      <c r="D209" s="1">
        <f ca="1">IFERROR(__xludf.DUMMYFUNCTION("""COMPUTED_VALUE"""),102.92)</f>
        <v>102.92</v>
      </c>
      <c r="E209" s="1">
        <f ca="1">IFERROR(__xludf.DUMMYFUNCTION("""COMPUTED_VALUE"""),104.2)</f>
        <v>104.2</v>
      </c>
      <c r="F209" s="1">
        <f ca="1">IFERROR(__xludf.DUMMYFUNCTION("""COMPUTED_VALUE"""),24081515)</f>
        <v>24081515</v>
      </c>
    </row>
    <row r="210" spans="1:6" x14ac:dyDescent="0.35">
      <c r="A210" s="2">
        <f ca="1">IFERROR(__xludf.DUMMYFUNCTION("""COMPUTED_VALUE"""),42306.6666666666)</f>
        <v>42306.666666666599</v>
      </c>
      <c r="B210" s="1">
        <f ca="1">IFERROR(__xludf.DUMMYFUNCTION("""COMPUTED_VALUE"""),103.96)</f>
        <v>103.96</v>
      </c>
      <c r="C210" s="1">
        <f ca="1">IFERROR(__xludf.DUMMYFUNCTION("""COMPUTED_VALUE"""),105.12)</f>
        <v>105.12</v>
      </c>
      <c r="D210" s="1">
        <f ca="1">IFERROR(__xludf.DUMMYFUNCTION("""COMPUTED_VALUE"""),103.52)</f>
        <v>103.52</v>
      </c>
      <c r="E210" s="1">
        <f ca="1">IFERROR(__xludf.DUMMYFUNCTION("""COMPUTED_VALUE"""),104.88)</f>
        <v>104.88</v>
      </c>
      <c r="F210" s="1">
        <f ca="1">IFERROR(__xludf.DUMMYFUNCTION("""COMPUTED_VALUE"""),20316691)</f>
        <v>20316691</v>
      </c>
    </row>
    <row r="211" spans="1:6" x14ac:dyDescent="0.35">
      <c r="A211" s="2">
        <f ca="1">IFERROR(__xludf.DUMMYFUNCTION("""COMPUTED_VALUE"""),42307.6666666666)</f>
        <v>42307.666666666599</v>
      </c>
      <c r="B211" s="1">
        <f ca="1">IFERROR(__xludf.DUMMYFUNCTION("""COMPUTED_VALUE"""),104.51)</f>
        <v>104.51</v>
      </c>
      <c r="C211" s="1">
        <f ca="1">IFERROR(__xludf.DUMMYFUNCTION("""COMPUTED_VALUE"""),104.72)</f>
        <v>104.72</v>
      </c>
      <c r="D211" s="1">
        <f ca="1">IFERROR(__xludf.DUMMYFUNCTION("""COMPUTED_VALUE"""),101.65)</f>
        <v>101.65</v>
      </c>
      <c r="E211" s="1">
        <f ca="1">IFERROR(__xludf.DUMMYFUNCTION("""COMPUTED_VALUE"""),101.97)</f>
        <v>101.97</v>
      </c>
      <c r="F211" s="1">
        <f ca="1">IFERROR(__xludf.DUMMYFUNCTION("""COMPUTED_VALUE"""),33487104)</f>
        <v>33487104</v>
      </c>
    </row>
    <row r="212" spans="1:6" x14ac:dyDescent="0.35">
      <c r="A212" s="2">
        <f ca="1">IFERROR(__xludf.DUMMYFUNCTION("""COMPUTED_VALUE"""),42310.6666666666)</f>
        <v>42310.666666666599</v>
      </c>
      <c r="B212" s="1">
        <f ca="1">IFERROR(__xludf.DUMMYFUNCTION("""COMPUTED_VALUE"""),102.46)</f>
        <v>102.46</v>
      </c>
      <c r="C212" s="1">
        <f ca="1">IFERROR(__xludf.DUMMYFUNCTION("""COMPUTED_VALUE"""),103.47)</f>
        <v>103.47</v>
      </c>
      <c r="D212" s="1">
        <f ca="1">IFERROR(__xludf.DUMMYFUNCTION("""COMPUTED_VALUE"""),101.18)</f>
        <v>101.18</v>
      </c>
      <c r="E212" s="1">
        <f ca="1">IFERROR(__xludf.DUMMYFUNCTION("""COMPUTED_VALUE"""),103.31)</f>
        <v>103.31</v>
      </c>
      <c r="F212" s="1">
        <f ca="1">IFERROR(__xludf.DUMMYFUNCTION("""COMPUTED_VALUE"""),24003944)</f>
        <v>24003944</v>
      </c>
    </row>
    <row r="213" spans="1:6" x14ac:dyDescent="0.35">
      <c r="A213" s="2">
        <f ca="1">IFERROR(__xludf.DUMMYFUNCTION("""COMPUTED_VALUE"""),42311.6666666666)</f>
        <v>42311.666666666599</v>
      </c>
      <c r="B213" s="1">
        <f ca="1">IFERROR(__xludf.DUMMYFUNCTION("""COMPUTED_VALUE"""),103.22)</f>
        <v>103.22</v>
      </c>
      <c r="C213" s="1">
        <f ca="1">IFERROR(__xludf.DUMMYFUNCTION("""COMPUTED_VALUE"""),103.65)</f>
        <v>103.65</v>
      </c>
      <c r="D213" s="1">
        <f ca="1">IFERROR(__xludf.DUMMYFUNCTION("""COMPUTED_VALUE"""),102.4)</f>
        <v>102.4</v>
      </c>
      <c r="E213" s="1">
        <f ca="1">IFERROR(__xludf.DUMMYFUNCTION("""COMPUTED_VALUE"""),102.58)</f>
        <v>102.58</v>
      </c>
      <c r="F213" s="1">
        <f ca="1">IFERROR(__xludf.DUMMYFUNCTION("""COMPUTED_VALUE"""),21242341)</f>
        <v>21242341</v>
      </c>
    </row>
    <row r="214" spans="1:6" x14ac:dyDescent="0.35">
      <c r="A214" s="2">
        <f ca="1">IFERROR(__xludf.DUMMYFUNCTION("""COMPUTED_VALUE"""),42312.6666666666)</f>
        <v>42312.666666666599</v>
      </c>
      <c r="B214" s="1">
        <f ca="1">IFERROR(__xludf.DUMMYFUNCTION("""COMPUTED_VALUE"""),103.19)</f>
        <v>103.19</v>
      </c>
      <c r="C214" s="1">
        <f ca="1">IFERROR(__xludf.DUMMYFUNCTION("""COMPUTED_VALUE"""),104.14)</f>
        <v>104.14</v>
      </c>
      <c r="D214" s="1">
        <f ca="1">IFERROR(__xludf.DUMMYFUNCTION("""COMPUTED_VALUE"""),102.48)</f>
        <v>102.48</v>
      </c>
      <c r="E214" s="1">
        <f ca="1">IFERROR(__xludf.DUMMYFUNCTION("""COMPUTED_VALUE"""),103.94)</f>
        <v>103.94</v>
      </c>
      <c r="F214" s="1">
        <f ca="1">IFERROR(__xludf.DUMMYFUNCTION("""COMPUTED_VALUE"""),43469308)</f>
        <v>43469308</v>
      </c>
    </row>
    <row r="215" spans="1:6" x14ac:dyDescent="0.35">
      <c r="A215" s="2">
        <f ca="1">IFERROR(__xludf.DUMMYFUNCTION("""COMPUTED_VALUE"""),42313.6666666666)</f>
        <v>42313.666666666599</v>
      </c>
      <c r="B215" s="1">
        <f ca="1">IFERROR(__xludf.DUMMYFUNCTION("""COMPUTED_VALUE"""),108.8)</f>
        <v>108.8</v>
      </c>
      <c r="C215" s="1">
        <f ca="1">IFERROR(__xludf.DUMMYFUNCTION("""COMPUTED_VALUE"""),110.65)</f>
        <v>110.65</v>
      </c>
      <c r="D215" s="1">
        <f ca="1">IFERROR(__xludf.DUMMYFUNCTION("""COMPUTED_VALUE"""),107.95)</f>
        <v>107.95</v>
      </c>
      <c r="E215" s="1">
        <f ca="1">IFERROR(__xludf.DUMMYFUNCTION("""COMPUTED_VALUE"""),108.76)</f>
        <v>108.76</v>
      </c>
      <c r="F215" s="1">
        <f ca="1">IFERROR(__xludf.DUMMYFUNCTION("""COMPUTED_VALUE"""),63232861)</f>
        <v>63232861</v>
      </c>
    </row>
    <row r="216" spans="1:6" x14ac:dyDescent="0.35">
      <c r="A216" s="2">
        <f ca="1">IFERROR(__xludf.DUMMYFUNCTION("""COMPUTED_VALUE"""),42314.6666666666)</f>
        <v>42314.666666666599</v>
      </c>
      <c r="B216" s="1">
        <f ca="1">IFERROR(__xludf.DUMMYFUNCTION("""COMPUTED_VALUE"""),108.04)</f>
        <v>108.04</v>
      </c>
      <c r="C216" s="1">
        <f ca="1">IFERROR(__xludf.DUMMYFUNCTION("""COMPUTED_VALUE"""),108.74)</f>
        <v>108.74</v>
      </c>
      <c r="D216" s="1">
        <f ca="1">IFERROR(__xludf.DUMMYFUNCTION("""COMPUTED_VALUE"""),105.91)</f>
        <v>105.91</v>
      </c>
      <c r="E216" s="1">
        <f ca="1">IFERROR(__xludf.DUMMYFUNCTION("""COMPUTED_VALUE"""),107.1)</f>
        <v>107.1</v>
      </c>
      <c r="F216" s="1">
        <f ca="1">IFERROR(__xludf.DUMMYFUNCTION("""COMPUTED_VALUE"""),35084342)</f>
        <v>35084342</v>
      </c>
    </row>
    <row r="217" spans="1:6" x14ac:dyDescent="0.35">
      <c r="A217" s="2">
        <f ca="1">IFERROR(__xludf.DUMMYFUNCTION("""COMPUTED_VALUE"""),42317.6666666666)</f>
        <v>42317.666666666599</v>
      </c>
      <c r="B217" s="1">
        <f ca="1">IFERROR(__xludf.DUMMYFUNCTION("""COMPUTED_VALUE"""),107)</f>
        <v>107</v>
      </c>
      <c r="C217" s="1">
        <f ca="1">IFERROR(__xludf.DUMMYFUNCTION("""COMPUTED_VALUE"""),108.25)</f>
        <v>108.25</v>
      </c>
      <c r="D217" s="1">
        <f ca="1">IFERROR(__xludf.DUMMYFUNCTION("""COMPUTED_VALUE"""),105.86)</f>
        <v>105.86</v>
      </c>
      <c r="E217" s="1">
        <f ca="1">IFERROR(__xludf.DUMMYFUNCTION("""COMPUTED_VALUE"""),106.49)</f>
        <v>106.49</v>
      </c>
      <c r="F217" s="1">
        <f ca="1">IFERROR(__xludf.DUMMYFUNCTION("""COMPUTED_VALUE"""),26383540)</f>
        <v>26383540</v>
      </c>
    </row>
    <row r="218" spans="1:6" x14ac:dyDescent="0.35">
      <c r="A218" s="2">
        <f ca="1">IFERROR(__xludf.DUMMYFUNCTION("""COMPUTED_VALUE"""),42318.6666666666)</f>
        <v>42318.666666666599</v>
      </c>
      <c r="B218" s="1">
        <f ca="1">IFERROR(__xludf.DUMMYFUNCTION("""COMPUTED_VALUE"""),105.96)</f>
        <v>105.96</v>
      </c>
      <c r="C218" s="1">
        <f ca="1">IFERROR(__xludf.DUMMYFUNCTION("""COMPUTED_VALUE"""),108.15)</f>
        <v>108.15</v>
      </c>
      <c r="D218" s="1">
        <f ca="1">IFERROR(__xludf.DUMMYFUNCTION("""COMPUTED_VALUE"""),105.24)</f>
        <v>105.24</v>
      </c>
      <c r="E218" s="1">
        <f ca="1">IFERROR(__xludf.DUMMYFUNCTION("""COMPUTED_VALUE"""),107.91)</f>
        <v>107.91</v>
      </c>
      <c r="F218" s="1">
        <f ca="1">IFERROR(__xludf.DUMMYFUNCTION("""COMPUTED_VALUE"""),25031681)</f>
        <v>25031681</v>
      </c>
    </row>
    <row r="219" spans="1:6" x14ac:dyDescent="0.35">
      <c r="A219" s="2">
        <f ca="1">IFERROR(__xludf.DUMMYFUNCTION("""COMPUTED_VALUE"""),42319.6666666666)</f>
        <v>42319.666666666599</v>
      </c>
      <c r="B219" s="1">
        <f ca="1">IFERROR(__xludf.DUMMYFUNCTION("""COMPUTED_VALUE"""),108.27)</f>
        <v>108.27</v>
      </c>
      <c r="C219" s="1">
        <f ca="1">IFERROR(__xludf.DUMMYFUNCTION("""COMPUTED_VALUE"""),109.87)</f>
        <v>109.87</v>
      </c>
      <c r="D219" s="1">
        <f ca="1">IFERROR(__xludf.DUMMYFUNCTION("""COMPUTED_VALUE"""),107.11)</f>
        <v>107.11</v>
      </c>
      <c r="E219" s="1">
        <f ca="1">IFERROR(__xludf.DUMMYFUNCTION("""COMPUTED_VALUE"""),109.01)</f>
        <v>109.01</v>
      </c>
      <c r="F219" s="1">
        <f ca="1">IFERROR(__xludf.DUMMYFUNCTION("""COMPUTED_VALUE"""),25057099)</f>
        <v>25057099</v>
      </c>
    </row>
    <row r="220" spans="1:6" x14ac:dyDescent="0.35">
      <c r="A220" s="2">
        <f ca="1">IFERROR(__xludf.DUMMYFUNCTION("""COMPUTED_VALUE"""),42320.6666666666)</f>
        <v>42320.666666666599</v>
      </c>
      <c r="B220" s="1">
        <f ca="1">IFERROR(__xludf.DUMMYFUNCTION("""COMPUTED_VALUE"""),108.48)</f>
        <v>108.48</v>
      </c>
      <c r="C220" s="1">
        <f ca="1">IFERROR(__xludf.DUMMYFUNCTION("""COMPUTED_VALUE"""),109.39)</f>
        <v>109.39</v>
      </c>
      <c r="D220" s="1">
        <f ca="1">IFERROR(__xludf.DUMMYFUNCTION("""COMPUTED_VALUE"""),108)</f>
        <v>108</v>
      </c>
      <c r="E220" s="1">
        <f ca="1">IFERROR(__xludf.DUMMYFUNCTION("""COMPUTED_VALUE"""),108.02)</f>
        <v>108.02</v>
      </c>
      <c r="F220" s="1">
        <f ca="1">IFERROR(__xludf.DUMMYFUNCTION("""COMPUTED_VALUE"""),20924674)</f>
        <v>20924674</v>
      </c>
    </row>
    <row r="221" spans="1:6" x14ac:dyDescent="0.35">
      <c r="A221" s="2">
        <f ca="1">IFERROR(__xludf.DUMMYFUNCTION("""COMPUTED_VALUE"""),42321.6666666666)</f>
        <v>42321.666666666599</v>
      </c>
      <c r="B221" s="1">
        <f ca="1">IFERROR(__xludf.DUMMYFUNCTION("""COMPUTED_VALUE"""),107.71)</f>
        <v>107.71</v>
      </c>
      <c r="C221" s="1">
        <f ca="1">IFERROR(__xludf.DUMMYFUNCTION("""COMPUTED_VALUE"""),108.25)</f>
        <v>108.25</v>
      </c>
      <c r="D221" s="1">
        <f ca="1">IFERROR(__xludf.DUMMYFUNCTION("""COMPUTED_VALUE"""),103.83)</f>
        <v>103.83</v>
      </c>
      <c r="E221" s="1">
        <f ca="1">IFERROR(__xludf.DUMMYFUNCTION("""COMPUTED_VALUE"""),103.95)</f>
        <v>103.95</v>
      </c>
      <c r="F221" s="1">
        <f ca="1">IFERROR(__xludf.DUMMYFUNCTION("""COMPUTED_VALUE"""),30278403)</f>
        <v>30278403</v>
      </c>
    </row>
    <row r="222" spans="1:6" x14ac:dyDescent="0.35">
      <c r="A222" s="2">
        <f ca="1">IFERROR(__xludf.DUMMYFUNCTION("""COMPUTED_VALUE"""),42324.6666666666)</f>
        <v>42324.666666666599</v>
      </c>
      <c r="B222" s="1">
        <f ca="1">IFERROR(__xludf.DUMMYFUNCTION("""COMPUTED_VALUE"""),103.32)</f>
        <v>103.32</v>
      </c>
      <c r="C222" s="1">
        <f ca="1">IFERROR(__xludf.DUMMYFUNCTION("""COMPUTED_VALUE"""),104.17)</f>
        <v>104.17</v>
      </c>
      <c r="D222" s="1">
        <f ca="1">IFERROR(__xludf.DUMMYFUNCTION("""COMPUTED_VALUE"""),100.47)</f>
        <v>100.47</v>
      </c>
      <c r="E222" s="1">
        <f ca="1">IFERROR(__xludf.DUMMYFUNCTION("""COMPUTED_VALUE"""),104.04)</f>
        <v>104.04</v>
      </c>
      <c r="F222" s="1">
        <f ca="1">IFERROR(__xludf.DUMMYFUNCTION("""COMPUTED_VALUE"""),49309167)</f>
        <v>49309167</v>
      </c>
    </row>
    <row r="223" spans="1:6" x14ac:dyDescent="0.35">
      <c r="A223" s="2">
        <f ca="1">IFERROR(__xludf.DUMMYFUNCTION("""COMPUTED_VALUE"""),42325.6666666666)</f>
        <v>42325.666666666599</v>
      </c>
      <c r="B223" s="1">
        <f ca="1">IFERROR(__xludf.DUMMYFUNCTION("""COMPUTED_VALUE"""),104.62)</f>
        <v>104.62</v>
      </c>
      <c r="C223" s="1">
        <f ca="1">IFERROR(__xludf.DUMMYFUNCTION("""COMPUTED_VALUE"""),106.2)</f>
        <v>106.2</v>
      </c>
      <c r="D223" s="1">
        <f ca="1">IFERROR(__xludf.DUMMYFUNCTION("""COMPUTED_VALUE"""),104.14)</f>
        <v>104.14</v>
      </c>
      <c r="E223" s="1">
        <f ca="1">IFERROR(__xludf.DUMMYFUNCTION("""COMPUTED_VALUE"""),105.13)</f>
        <v>105.13</v>
      </c>
      <c r="F223" s="1">
        <f ca="1">IFERROR(__xludf.DUMMYFUNCTION("""COMPUTED_VALUE"""),26807230)</f>
        <v>26807230</v>
      </c>
    </row>
    <row r="224" spans="1:6" x14ac:dyDescent="0.35">
      <c r="A224" s="2">
        <f ca="1">IFERROR(__xludf.DUMMYFUNCTION("""COMPUTED_VALUE"""),42326.6666666666)</f>
        <v>42326.666666666599</v>
      </c>
      <c r="B224" s="1">
        <f ca="1">IFERROR(__xludf.DUMMYFUNCTION("""COMPUTED_VALUE"""),105.8)</f>
        <v>105.8</v>
      </c>
      <c r="C224" s="1">
        <f ca="1">IFERROR(__xludf.DUMMYFUNCTION("""COMPUTED_VALUE"""),107.88)</f>
        <v>107.88</v>
      </c>
      <c r="D224" s="1">
        <f ca="1">IFERROR(__xludf.DUMMYFUNCTION("""COMPUTED_VALUE"""),105.39)</f>
        <v>105.39</v>
      </c>
      <c r="E224" s="1">
        <f ca="1">IFERROR(__xludf.DUMMYFUNCTION("""COMPUTED_VALUE"""),107.77)</f>
        <v>107.77</v>
      </c>
      <c r="F224" s="1">
        <f ca="1">IFERROR(__xludf.DUMMYFUNCTION("""COMPUTED_VALUE"""),23836526)</f>
        <v>23836526</v>
      </c>
    </row>
    <row r="225" spans="1:6" x14ac:dyDescent="0.35">
      <c r="A225" s="2">
        <f ca="1">IFERROR(__xludf.DUMMYFUNCTION("""COMPUTED_VALUE"""),42327.6666666666)</f>
        <v>42327.666666666599</v>
      </c>
      <c r="B225" s="1">
        <f ca="1">IFERROR(__xludf.DUMMYFUNCTION("""COMPUTED_VALUE"""),107.36)</f>
        <v>107.36</v>
      </c>
      <c r="C225" s="1">
        <f ca="1">IFERROR(__xludf.DUMMYFUNCTION("""COMPUTED_VALUE"""),107.73)</f>
        <v>107.73</v>
      </c>
      <c r="D225" s="1">
        <f ca="1">IFERROR(__xludf.DUMMYFUNCTION("""COMPUTED_VALUE"""),105.95)</f>
        <v>105.95</v>
      </c>
      <c r="E225" s="1">
        <f ca="1">IFERROR(__xludf.DUMMYFUNCTION("""COMPUTED_VALUE"""),106.26)</f>
        <v>106.26</v>
      </c>
      <c r="F225" s="1">
        <f ca="1">IFERROR(__xludf.DUMMYFUNCTION("""COMPUTED_VALUE"""),25520599)</f>
        <v>25520599</v>
      </c>
    </row>
    <row r="226" spans="1:6" x14ac:dyDescent="0.35">
      <c r="A226" s="2">
        <f ca="1">IFERROR(__xludf.DUMMYFUNCTION("""COMPUTED_VALUE"""),42328.6666666666)</f>
        <v>42328.666666666599</v>
      </c>
      <c r="B226" s="1">
        <f ca="1">IFERROR(__xludf.DUMMYFUNCTION("""COMPUTED_VALUE"""),106.84)</f>
        <v>106.84</v>
      </c>
      <c r="C226" s="1">
        <f ca="1">IFERROR(__xludf.DUMMYFUNCTION("""COMPUTED_VALUE"""),107.87)</f>
        <v>107.87</v>
      </c>
      <c r="D226" s="1">
        <f ca="1">IFERROR(__xludf.DUMMYFUNCTION("""COMPUTED_VALUE"""),106.62)</f>
        <v>106.62</v>
      </c>
      <c r="E226" s="1">
        <f ca="1">IFERROR(__xludf.DUMMYFUNCTION("""COMPUTED_VALUE"""),107.32)</f>
        <v>107.32</v>
      </c>
      <c r="F226" s="1">
        <f ca="1">IFERROR(__xludf.DUMMYFUNCTION("""COMPUTED_VALUE"""),22129648)</f>
        <v>22129648</v>
      </c>
    </row>
    <row r="227" spans="1:6" x14ac:dyDescent="0.35">
      <c r="A227" s="2">
        <f ca="1">IFERROR(__xludf.DUMMYFUNCTION("""COMPUTED_VALUE"""),42331.6666666666)</f>
        <v>42331.666666666599</v>
      </c>
      <c r="B227" s="1">
        <f ca="1">IFERROR(__xludf.DUMMYFUNCTION("""COMPUTED_VALUE"""),107.19)</f>
        <v>107.19</v>
      </c>
      <c r="C227" s="1">
        <f ca="1">IFERROR(__xludf.DUMMYFUNCTION("""COMPUTED_VALUE"""),107.47)</f>
        <v>107.47</v>
      </c>
      <c r="D227" s="1">
        <f ca="1">IFERROR(__xludf.DUMMYFUNCTION("""COMPUTED_VALUE"""),106.08)</f>
        <v>106.08</v>
      </c>
      <c r="E227" s="1">
        <f ca="1">IFERROR(__xludf.DUMMYFUNCTION("""COMPUTED_VALUE"""),106.95)</f>
        <v>106.95</v>
      </c>
      <c r="F227" s="1">
        <f ca="1">IFERROR(__xludf.DUMMYFUNCTION("""COMPUTED_VALUE"""),19897220)</f>
        <v>19897220</v>
      </c>
    </row>
    <row r="228" spans="1:6" x14ac:dyDescent="0.35">
      <c r="A228" s="2">
        <f ca="1">IFERROR(__xludf.DUMMYFUNCTION("""COMPUTED_VALUE"""),42332.6666666666)</f>
        <v>42332.666666666599</v>
      </c>
      <c r="B228" s="1">
        <f ca="1">IFERROR(__xludf.DUMMYFUNCTION("""COMPUTED_VALUE"""),106)</f>
        <v>106</v>
      </c>
      <c r="C228" s="1">
        <f ca="1">IFERROR(__xludf.DUMMYFUNCTION("""COMPUTED_VALUE"""),106.49)</f>
        <v>106.49</v>
      </c>
      <c r="D228" s="1">
        <f ca="1">IFERROR(__xludf.DUMMYFUNCTION("""COMPUTED_VALUE"""),104.39)</f>
        <v>104.39</v>
      </c>
      <c r="E228" s="1">
        <f ca="1">IFERROR(__xludf.DUMMYFUNCTION("""COMPUTED_VALUE"""),105.74)</f>
        <v>105.74</v>
      </c>
      <c r="F228" s="1">
        <f ca="1">IFERROR(__xludf.DUMMYFUNCTION("""COMPUTED_VALUE"""),23577293)</f>
        <v>23577293</v>
      </c>
    </row>
    <row r="229" spans="1:6" x14ac:dyDescent="0.35">
      <c r="A229" s="2">
        <f ca="1">IFERROR(__xludf.DUMMYFUNCTION("""COMPUTED_VALUE"""),42333.6666666666)</f>
        <v>42333.666666666599</v>
      </c>
      <c r="B229" s="1">
        <f ca="1">IFERROR(__xludf.DUMMYFUNCTION("""COMPUTED_VALUE"""),106.33)</f>
        <v>106.33</v>
      </c>
      <c r="C229" s="1">
        <f ca="1">IFERROR(__xludf.DUMMYFUNCTION("""COMPUTED_VALUE"""),106.6)</f>
        <v>106.6</v>
      </c>
      <c r="D229" s="1">
        <f ca="1">IFERROR(__xludf.DUMMYFUNCTION("""COMPUTED_VALUE"""),105.1)</f>
        <v>105.1</v>
      </c>
      <c r="E229" s="1">
        <f ca="1">IFERROR(__xludf.DUMMYFUNCTION("""COMPUTED_VALUE"""),105.41)</f>
        <v>105.41</v>
      </c>
      <c r="F229" s="1">
        <f ca="1">IFERROR(__xludf.DUMMYFUNCTION("""COMPUTED_VALUE"""),15150785)</f>
        <v>15150785</v>
      </c>
    </row>
    <row r="230" spans="1:6" x14ac:dyDescent="0.35">
      <c r="A230" s="2">
        <f ca="1">IFERROR(__xludf.DUMMYFUNCTION("""COMPUTED_VALUE"""),42335.6666666666)</f>
        <v>42335.666666666599</v>
      </c>
      <c r="B230" s="1">
        <f ca="1">IFERROR(__xludf.DUMMYFUNCTION("""COMPUTED_VALUE"""),105.78)</f>
        <v>105.78</v>
      </c>
      <c r="C230" s="1">
        <f ca="1">IFERROR(__xludf.DUMMYFUNCTION("""COMPUTED_VALUE"""),105.96)</f>
        <v>105.96</v>
      </c>
      <c r="D230" s="1">
        <f ca="1">IFERROR(__xludf.DUMMYFUNCTION("""COMPUTED_VALUE"""),104.86)</f>
        <v>104.86</v>
      </c>
      <c r="E230" s="1">
        <f ca="1">IFERROR(__xludf.DUMMYFUNCTION("""COMPUTED_VALUE"""),105.45)</f>
        <v>105.45</v>
      </c>
      <c r="F230" s="1">
        <f ca="1">IFERROR(__xludf.DUMMYFUNCTION("""COMPUTED_VALUE"""),5913066)</f>
        <v>5913066</v>
      </c>
    </row>
    <row r="231" spans="1:6" x14ac:dyDescent="0.35">
      <c r="A231" s="2">
        <f ca="1">IFERROR(__xludf.DUMMYFUNCTION("""COMPUTED_VALUE"""),42338.6666666666)</f>
        <v>42338.666666666599</v>
      </c>
      <c r="B231" s="1">
        <f ca="1">IFERROR(__xludf.DUMMYFUNCTION("""COMPUTED_VALUE"""),105.84)</f>
        <v>105.84</v>
      </c>
      <c r="C231" s="1">
        <f ca="1">IFERROR(__xludf.DUMMYFUNCTION("""COMPUTED_VALUE"""),106.1)</f>
        <v>106.1</v>
      </c>
      <c r="D231" s="1">
        <f ca="1">IFERROR(__xludf.DUMMYFUNCTION("""COMPUTED_VALUE"""),103.75)</f>
        <v>103.75</v>
      </c>
      <c r="E231" s="1">
        <f ca="1">IFERROR(__xludf.DUMMYFUNCTION("""COMPUTED_VALUE"""),104.24)</f>
        <v>104.24</v>
      </c>
      <c r="F231" s="1">
        <f ca="1">IFERROR(__xludf.DUMMYFUNCTION("""COMPUTED_VALUE"""),20383179)</f>
        <v>20383179</v>
      </c>
    </row>
    <row r="232" spans="1:6" x14ac:dyDescent="0.35">
      <c r="A232" s="2">
        <f ca="1">IFERROR(__xludf.DUMMYFUNCTION("""COMPUTED_VALUE"""),42339.6666666666)</f>
        <v>42339.666666666599</v>
      </c>
      <c r="B232" s="1">
        <f ca="1">IFERROR(__xludf.DUMMYFUNCTION("""COMPUTED_VALUE"""),104.83)</f>
        <v>104.83</v>
      </c>
      <c r="C232" s="1">
        <f ca="1">IFERROR(__xludf.DUMMYFUNCTION("""COMPUTED_VALUE"""),107.15)</f>
        <v>107.15</v>
      </c>
      <c r="D232" s="1">
        <f ca="1">IFERROR(__xludf.DUMMYFUNCTION("""COMPUTED_VALUE"""),104.5)</f>
        <v>104.5</v>
      </c>
      <c r="E232" s="1">
        <f ca="1">IFERROR(__xludf.DUMMYFUNCTION("""COMPUTED_VALUE"""),107.12)</f>
        <v>107.12</v>
      </c>
      <c r="F232" s="1">
        <f ca="1">IFERROR(__xludf.DUMMYFUNCTION("""COMPUTED_VALUE"""),22781868)</f>
        <v>22781868</v>
      </c>
    </row>
    <row r="233" spans="1:6" x14ac:dyDescent="0.35">
      <c r="A233" s="2">
        <f ca="1">IFERROR(__xludf.DUMMYFUNCTION("""COMPUTED_VALUE"""),42340.6666666666)</f>
        <v>42340.666666666599</v>
      </c>
      <c r="B233" s="1">
        <f ca="1">IFERROR(__xludf.DUMMYFUNCTION("""COMPUTED_VALUE"""),107)</f>
        <v>107</v>
      </c>
      <c r="C233" s="1">
        <f ca="1">IFERROR(__xludf.DUMMYFUNCTION("""COMPUTED_VALUE"""),107.92)</f>
        <v>107.92</v>
      </c>
      <c r="D233" s="1">
        <f ca="1">IFERROR(__xludf.DUMMYFUNCTION("""COMPUTED_VALUE"""),105.79)</f>
        <v>105.79</v>
      </c>
      <c r="E233" s="1">
        <f ca="1">IFERROR(__xludf.DUMMYFUNCTION("""COMPUTED_VALUE"""),106.07)</f>
        <v>106.07</v>
      </c>
      <c r="F233" s="1">
        <f ca="1">IFERROR(__xludf.DUMMYFUNCTION("""COMPUTED_VALUE"""),24429063)</f>
        <v>24429063</v>
      </c>
    </row>
    <row r="234" spans="1:6" x14ac:dyDescent="0.35">
      <c r="A234" s="2">
        <f ca="1">IFERROR(__xludf.DUMMYFUNCTION("""COMPUTED_VALUE"""),42341.6666666666)</f>
        <v>42341.666666666599</v>
      </c>
      <c r="B234" s="1">
        <f ca="1">IFERROR(__xludf.DUMMYFUNCTION("""COMPUTED_VALUE"""),106.27)</f>
        <v>106.27</v>
      </c>
      <c r="C234" s="1">
        <f ca="1">IFERROR(__xludf.DUMMYFUNCTION("""COMPUTED_VALUE"""),106.85)</f>
        <v>106.85</v>
      </c>
      <c r="D234" s="1">
        <f ca="1">IFERROR(__xludf.DUMMYFUNCTION("""COMPUTED_VALUE"""),103.35)</f>
        <v>103.35</v>
      </c>
      <c r="E234" s="1">
        <f ca="1">IFERROR(__xludf.DUMMYFUNCTION("""COMPUTED_VALUE"""),104.38)</f>
        <v>104.38</v>
      </c>
      <c r="F234" s="1">
        <f ca="1">IFERROR(__xludf.DUMMYFUNCTION("""COMPUTED_VALUE"""),23236485)</f>
        <v>23236485</v>
      </c>
    </row>
    <row r="235" spans="1:6" x14ac:dyDescent="0.35">
      <c r="A235" s="2">
        <f ca="1">IFERROR(__xludf.DUMMYFUNCTION("""COMPUTED_VALUE"""),42342.6666666666)</f>
        <v>42342.666666666599</v>
      </c>
      <c r="B235" s="1">
        <f ca="1">IFERROR(__xludf.DUMMYFUNCTION("""COMPUTED_VALUE"""),104.81)</f>
        <v>104.81</v>
      </c>
      <c r="C235" s="1">
        <f ca="1">IFERROR(__xludf.DUMMYFUNCTION("""COMPUTED_VALUE"""),107.73)</f>
        <v>107.73</v>
      </c>
      <c r="D235" s="1">
        <f ca="1">IFERROR(__xludf.DUMMYFUNCTION("""COMPUTED_VALUE"""),104.11)</f>
        <v>104.11</v>
      </c>
      <c r="E235" s="1">
        <f ca="1">IFERROR(__xludf.DUMMYFUNCTION("""COMPUTED_VALUE"""),106.18)</f>
        <v>106.18</v>
      </c>
      <c r="F235" s="1">
        <f ca="1">IFERROR(__xludf.DUMMYFUNCTION("""COMPUTED_VALUE"""),21224721)</f>
        <v>21224721</v>
      </c>
    </row>
    <row r="236" spans="1:6" x14ac:dyDescent="0.35">
      <c r="A236" s="2">
        <f ca="1">IFERROR(__xludf.DUMMYFUNCTION("""COMPUTED_VALUE"""),42345.6666666666)</f>
        <v>42345.666666666599</v>
      </c>
      <c r="B236" s="1">
        <f ca="1">IFERROR(__xludf.DUMMYFUNCTION("""COMPUTED_VALUE"""),106.48)</f>
        <v>106.48</v>
      </c>
      <c r="C236" s="1">
        <f ca="1">IFERROR(__xludf.DUMMYFUNCTION("""COMPUTED_VALUE"""),106.83)</f>
        <v>106.83</v>
      </c>
      <c r="D236" s="1">
        <f ca="1">IFERROR(__xludf.DUMMYFUNCTION("""COMPUTED_VALUE"""),104.66)</f>
        <v>104.66</v>
      </c>
      <c r="E236" s="1">
        <f ca="1">IFERROR(__xludf.DUMMYFUNCTION("""COMPUTED_VALUE"""),105.61)</f>
        <v>105.61</v>
      </c>
      <c r="F236" s="1">
        <f ca="1">IFERROR(__xludf.DUMMYFUNCTION("""COMPUTED_VALUE"""),15474890)</f>
        <v>15474890</v>
      </c>
    </row>
    <row r="237" spans="1:6" x14ac:dyDescent="0.35">
      <c r="A237" s="2">
        <f ca="1">IFERROR(__xludf.DUMMYFUNCTION("""COMPUTED_VALUE"""),42346.6666666666)</f>
        <v>42346.666666666599</v>
      </c>
      <c r="B237" s="1">
        <f ca="1">IFERROR(__xludf.DUMMYFUNCTION("""COMPUTED_VALUE"""),104)</f>
        <v>104</v>
      </c>
      <c r="C237" s="1">
        <f ca="1">IFERROR(__xludf.DUMMYFUNCTION("""COMPUTED_VALUE"""),106.91)</f>
        <v>106.91</v>
      </c>
      <c r="D237" s="1">
        <f ca="1">IFERROR(__xludf.DUMMYFUNCTION("""COMPUTED_VALUE"""),103.95)</f>
        <v>103.95</v>
      </c>
      <c r="E237" s="1">
        <f ca="1">IFERROR(__xludf.DUMMYFUNCTION("""COMPUTED_VALUE"""),106.49)</f>
        <v>106.49</v>
      </c>
      <c r="F237" s="1">
        <f ca="1">IFERROR(__xludf.DUMMYFUNCTION("""COMPUTED_VALUE"""),20401791)</f>
        <v>20401791</v>
      </c>
    </row>
    <row r="238" spans="1:6" x14ac:dyDescent="0.35">
      <c r="A238" s="2">
        <f ca="1">IFERROR(__xludf.DUMMYFUNCTION("""COMPUTED_VALUE"""),42347.6666666666)</f>
        <v>42347.666666666599</v>
      </c>
      <c r="B238" s="1">
        <f ca="1">IFERROR(__xludf.DUMMYFUNCTION("""COMPUTED_VALUE"""),106.18)</f>
        <v>106.18</v>
      </c>
      <c r="C238" s="1">
        <f ca="1">IFERROR(__xludf.DUMMYFUNCTION("""COMPUTED_VALUE"""),106.44)</f>
        <v>106.44</v>
      </c>
      <c r="D238" s="1">
        <f ca="1">IFERROR(__xludf.DUMMYFUNCTION("""COMPUTED_VALUE"""),103.55)</f>
        <v>103.55</v>
      </c>
      <c r="E238" s="1">
        <f ca="1">IFERROR(__xludf.DUMMYFUNCTION("""COMPUTED_VALUE"""),104.6)</f>
        <v>104.6</v>
      </c>
      <c r="F238" s="1">
        <f ca="1">IFERROR(__xludf.DUMMYFUNCTION("""COMPUTED_VALUE"""),23517268)</f>
        <v>23517268</v>
      </c>
    </row>
    <row r="239" spans="1:6" x14ac:dyDescent="0.35">
      <c r="A239" s="2">
        <f ca="1">IFERROR(__xludf.DUMMYFUNCTION("""COMPUTED_VALUE"""),42348.6666666666)</f>
        <v>42348.666666666599</v>
      </c>
      <c r="B239" s="1">
        <f ca="1">IFERROR(__xludf.DUMMYFUNCTION("""COMPUTED_VALUE"""),105.05)</f>
        <v>105.05</v>
      </c>
      <c r="C239" s="1">
        <f ca="1">IFERROR(__xludf.DUMMYFUNCTION("""COMPUTED_VALUE"""),106.4)</f>
        <v>106.4</v>
      </c>
      <c r="D239" s="1">
        <f ca="1">IFERROR(__xludf.DUMMYFUNCTION("""COMPUTED_VALUE"""),104.41)</f>
        <v>104.41</v>
      </c>
      <c r="E239" s="1">
        <f ca="1">IFERROR(__xludf.DUMMYFUNCTION("""COMPUTED_VALUE"""),105.42)</f>
        <v>105.42</v>
      </c>
      <c r="F239" s="1">
        <f ca="1">IFERROR(__xludf.DUMMYFUNCTION("""COMPUTED_VALUE"""),17454312)</f>
        <v>17454312</v>
      </c>
    </row>
    <row r="240" spans="1:6" x14ac:dyDescent="0.35">
      <c r="A240" s="2">
        <f ca="1">IFERROR(__xludf.DUMMYFUNCTION("""COMPUTED_VALUE"""),42349.6666666666)</f>
        <v>42349.666666666599</v>
      </c>
      <c r="B240" s="1">
        <f ca="1">IFERROR(__xludf.DUMMYFUNCTION("""COMPUTED_VALUE"""),104.15)</f>
        <v>104.15</v>
      </c>
      <c r="C240" s="1">
        <f ca="1">IFERROR(__xludf.DUMMYFUNCTION("""COMPUTED_VALUE"""),104.34)</f>
        <v>104.34</v>
      </c>
      <c r="D240" s="1">
        <f ca="1">IFERROR(__xludf.DUMMYFUNCTION("""COMPUTED_VALUE"""),101.91)</f>
        <v>101.91</v>
      </c>
      <c r="E240" s="1">
        <f ca="1">IFERROR(__xludf.DUMMYFUNCTION("""COMPUTED_VALUE"""),102.12)</f>
        <v>102.12</v>
      </c>
      <c r="F240" s="1">
        <f ca="1">IFERROR(__xludf.DUMMYFUNCTION("""COMPUTED_VALUE"""),26427727)</f>
        <v>26427727</v>
      </c>
    </row>
    <row r="241" spans="1:6" x14ac:dyDescent="0.35">
      <c r="A241" s="2">
        <f ca="1">IFERROR(__xludf.DUMMYFUNCTION("""COMPUTED_VALUE"""),42352.6666666666)</f>
        <v>42352.666666666599</v>
      </c>
      <c r="B241" s="1">
        <f ca="1">IFERROR(__xludf.DUMMYFUNCTION("""COMPUTED_VALUE"""),102.29)</f>
        <v>102.29</v>
      </c>
      <c r="C241" s="1">
        <f ca="1">IFERROR(__xludf.DUMMYFUNCTION("""COMPUTED_VALUE"""),104.74)</f>
        <v>104.74</v>
      </c>
      <c r="D241" s="1">
        <f ca="1">IFERROR(__xludf.DUMMYFUNCTION("""COMPUTED_VALUE"""),101.46)</f>
        <v>101.46</v>
      </c>
      <c r="E241" s="1">
        <f ca="1">IFERROR(__xludf.DUMMYFUNCTION("""COMPUTED_VALUE"""),104.66)</f>
        <v>104.66</v>
      </c>
      <c r="F241" s="1">
        <f ca="1">IFERROR(__xludf.DUMMYFUNCTION("""COMPUTED_VALUE"""),24813496)</f>
        <v>24813496</v>
      </c>
    </row>
    <row r="242" spans="1:6" x14ac:dyDescent="0.35">
      <c r="A242" s="2">
        <f ca="1">IFERROR(__xludf.DUMMYFUNCTION("""COMPUTED_VALUE"""),42353.6666666666)</f>
        <v>42353.666666666599</v>
      </c>
      <c r="B242" s="1">
        <f ca="1">IFERROR(__xludf.DUMMYFUNCTION("""COMPUTED_VALUE"""),105.3)</f>
        <v>105.3</v>
      </c>
      <c r="C242" s="1">
        <f ca="1">IFERROR(__xludf.DUMMYFUNCTION("""COMPUTED_VALUE"""),105.8)</f>
        <v>105.8</v>
      </c>
      <c r="D242" s="1">
        <f ca="1">IFERROR(__xludf.DUMMYFUNCTION("""COMPUTED_VALUE"""),104.28)</f>
        <v>104.28</v>
      </c>
      <c r="E242" s="1">
        <f ca="1">IFERROR(__xludf.DUMMYFUNCTION("""COMPUTED_VALUE"""),104.55)</f>
        <v>104.55</v>
      </c>
      <c r="F242" s="1">
        <f ca="1">IFERROR(__xludf.DUMMYFUNCTION("""COMPUTED_VALUE"""),21764331)</f>
        <v>21764331</v>
      </c>
    </row>
    <row r="243" spans="1:6" x14ac:dyDescent="0.35">
      <c r="A243" s="2">
        <f ca="1">IFERROR(__xludf.DUMMYFUNCTION("""COMPUTED_VALUE"""),42354.6666666666)</f>
        <v>42354.666666666599</v>
      </c>
      <c r="B243" s="1">
        <f ca="1">IFERROR(__xludf.DUMMYFUNCTION("""COMPUTED_VALUE"""),105.37)</f>
        <v>105.37</v>
      </c>
      <c r="C243" s="1">
        <f ca="1">IFERROR(__xludf.DUMMYFUNCTION("""COMPUTED_VALUE"""),107.09)</f>
        <v>107.09</v>
      </c>
      <c r="D243" s="1">
        <f ca="1">IFERROR(__xludf.DUMMYFUNCTION("""COMPUTED_VALUE"""),104.19)</f>
        <v>104.19</v>
      </c>
      <c r="E243" s="1">
        <f ca="1">IFERROR(__xludf.DUMMYFUNCTION("""COMPUTED_VALUE"""),106.79)</f>
        <v>106.79</v>
      </c>
      <c r="F243" s="1">
        <f ca="1">IFERROR(__xludf.DUMMYFUNCTION("""COMPUTED_VALUE"""),22680547)</f>
        <v>22680547</v>
      </c>
    </row>
    <row r="244" spans="1:6" x14ac:dyDescent="0.35">
      <c r="A244" s="2">
        <f ca="1">IFERROR(__xludf.DUMMYFUNCTION("""COMPUTED_VALUE"""),42355.6666666666)</f>
        <v>42355.666666666599</v>
      </c>
      <c r="B244" s="1">
        <f ca="1">IFERROR(__xludf.DUMMYFUNCTION("""COMPUTED_VALUE"""),107.49)</f>
        <v>107.49</v>
      </c>
      <c r="C244" s="1">
        <f ca="1">IFERROR(__xludf.DUMMYFUNCTION("""COMPUTED_VALUE"""),107.75)</f>
        <v>107.75</v>
      </c>
      <c r="D244" s="1">
        <f ca="1">IFERROR(__xludf.DUMMYFUNCTION("""COMPUTED_VALUE"""),106.13)</f>
        <v>106.13</v>
      </c>
      <c r="E244" s="1">
        <f ca="1">IFERROR(__xludf.DUMMYFUNCTION("""COMPUTED_VALUE"""),106.22)</f>
        <v>106.22</v>
      </c>
      <c r="F244" s="1">
        <f ca="1">IFERROR(__xludf.DUMMYFUNCTION("""COMPUTED_VALUE"""),21675686)</f>
        <v>21675686</v>
      </c>
    </row>
    <row r="245" spans="1:6" x14ac:dyDescent="0.35">
      <c r="A245" s="2">
        <f ca="1">IFERROR(__xludf.DUMMYFUNCTION("""COMPUTED_VALUE"""),42356.6666666666)</f>
        <v>42356.666666666599</v>
      </c>
      <c r="B245" s="1">
        <f ca="1">IFERROR(__xludf.DUMMYFUNCTION("""COMPUTED_VALUE"""),106.08)</f>
        <v>106.08</v>
      </c>
      <c r="C245" s="1">
        <f ca="1">IFERROR(__xludf.DUMMYFUNCTION("""COMPUTED_VALUE"""),106.59)</f>
        <v>106.59</v>
      </c>
      <c r="D245" s="1">
        <f ca="1">IFERROR(__xludf.DUMMYFUNCTION("""COMPUTED_VALUE"""),103.97)</f>
        <v>103.97</v>
      </c>
      <c r="E245" s="1">
        <f ca="1">IFERROR(__xludf.DUMMYFUNCTION("""COMPUTED_VALUE"""),104.04)</f>
        <v>104.04</v>
      </c>
      <c r="F245" s="1">
        <f ca="1">IFERROR(__xludf.DUMMYFUNCTION("""COMPUTED_VALUE"""),35994199)</f>
        <v>35994199</v>
      </c>
    </row>
    <row r="246" spans="1:6" x14ac:dyDescent="0.35">
      <c r="A246" s="2">
        <f ca="1">IFERROR(__xludf.DUMMYFUNCTION("""COMPUTED_VALUE"""),42359.6666666666)</f>
        <v>42359.666666666599</v>
      </c>
      <c r="B246" s="1">
        <f ca="1">IFERROR(__xludf.DUMMYFUNCTION("""COMPUTED_VALUE"""),104.91)</f>
        <v>104.91</v>
      </c>
      <c r="C246" s="1">
        <f ca="1">IFERROR(__xludf.DUMMYFUNCTION("""COMPUTED_VALUE"""),105.15)</f>
        <v>105.15</v>
      </c>
      <c r="D246" s="1">
        <f ca="1">IFERROR(__xludf.DUMMYFUNCTION("""COMPUTED_VALUE"""),103.6)</f>
        <v>103.6</v>
      </c>
      <c r="E246" s="1">
        <f ca="1">IFERROR(__xludf.DUMMYFUNCTION("""COMPUTED_VALUE"""),104.77)</f>
        <v>104.77</v>
      </c>
      <c r="F246" s="1">
        <f ca="1">IFERROR(__xludf.DUMMYFUNCTION("""COMPUTED_VALUE"""),16138786)</f>
        <v>16138786</v>
      </c>
    </row>
    <row r="247" spans="1:6" x14ac:dyDescent="0.35">
      <c r="A247" s="2">
        <f ca="1">IFERROR(__xludf.DUMMYFUNCTION("""COMPUTED_VALUE"""),42360.6666666666)</f>
        <v>42360.666666666599</v>
      </c>
      <c r="B247" s="1">
        <f ca="1">IFERROR(__xludf.DUMMYFUNCTION("""COMPUTED_VALUE"""),105.22)</f>
        <v>105.22</v>
      </c>
      <c r="C247" s="1">
        <f ca="1">IFERROR(__xludf.DUMMYFUNCTION("""COMPUTED_VALUE"""),105.66)</f>
        <v>105.66</v>
      </c>
      <c r="D247" s="1">
        <f ca="1">IFERROR(__xludf.DUMMYFUNCTION("""COMPUTED_VALUE"""),104.81)</f>
        <v>104.81</v>
      </c>
      <c r="E247" s="1">
        <f ca="1">IFERROR(__xludf.DUMMYFUNCTION("""COMPUTED_VALUE"""),105.51)</f>
        <v>105.51</v>
      </c>
      <c r="F247" s="1">
        <f ca="1">IFERROR(__xludf.DUMMYFUNCTION("""COMPUTED_VALUE"""),14597122)</f>
        <v>14597122</v>
      </c>
    </row>
    <row r="248" spans="1:6" x14ac:dyDescent="0.35">
      <c r="A248" s="2">
        <f ca="1">IFERROR(__xludf.DUMMYFUNCTION("""COMPUTED_VALUE"""),42361.6666666666)</f>
        <v>42361.666666666599</v>
      </c>
      <c r="B248" s="1">
        <f ca="1">IFERROR(__xludf.DUMMYFUNCTION("""COMPUTED_VALUE"""),105.89)</f>
        <v>105.89</v>
      </c>
      <c r="C248" s="1">
        <f ca="1">IFERROR(__xludf.DUMMYFUNCTION("""COMPUTED_VALUE"""),106.11)</f>
        <v>106.11</v>
      </c>
      <c r="D248" s="1">
        <f ca="1">IFERROR(__xludf.DUMMYFUNCTION("""COMPUTED_VALUE"""),103.86)</f>
        <v>103.86</v>
      </c>
      <c r="E248" s="1">
        <f ca="1">IFERROR(__xludf.DUMMYFUNCTION("""COMPUTED_VALUE"""),104.63)</f>
        <v>104.63</v>
      </c>
      <c r="F248" s="1">
        <f ca="1">IFERROR(__xludf.DUMMYFUNCTION("""COMPUTED_VALUE"""),19599673)</f>
        <v>19599673</v>
      </c>
    </row>
    <row r="249" spans="1:6" x14ac:dyDescent="0.35">
      <c r="A249" s="2">
        <f ca="1">IFERROR(__xludf.DUMMYFUNCTION("""COMPUTED_VALUE"""),42362.6666666666)</f>
        <v>42362.666666666599</v>
      </c>
      <c r="B249" s="1">
        <f ca="1">IFERROR(__xludf.DUMMYFUNCTION("""COMPUTED_VALUE"""),104.74)</f>
        <v>104.74</v>
      </c>
      <c r="C249" s="1">
        <f ca="1">IFERROR(__xludf.DUMMYFUNCTION("""COMPUTED_VALUE"""),105.32)</f>
        <v>105.32</v>
      </c>
      <c r="D249" s="1">
        <f ca="1">IFERROR(__xludf.DUMMYFUNCTION("""COMPUTED_VALUE"""),104.5)</f>
        <v>104.5</v>
      </c>
      <c r="E249" s="1">
        <f ca="1">IFERROR(__xludf.DUMMYFUNCTION("""COMPUTED_VALUE"""),105.02)</f>
        <v>105.02</v>
      </c>
      <c r="F249" s="1">
        <f ca="1">IFERROR(__xludf.DUMMYFUNCTION("""COMPUTED_VALUE"""),6512134)</f>
        <v>6512134</v>
      </c>
    </row>
    <row r="250" spans="1:6" x14ac:dyDescent="0.35">
      <c r="A250" s="2">
        <f ca="1">IFERROR(__xludf.DUMMYFUNCTION("""COMPUTED_VALUE"""),42366.6666666666)</f>
        <v>42366.666666666599</v>
      </c>
      <c r="B250" s="1">
        <f ca="1">IFERROR(__xludf.DUMMYFUNCTION("""COMPUTED_VALUE"""),105.02)</f>
        <v>105.02</v>
      </c>
      <c r="C250" s="1">
        <f ca="1">IFERROR(__xludf.DUMMYFUNCTION("""COMPUTED_VALUE"""),105.98)</f>
        <v>105.98</v>
      </c>
      <c r="D250" s="1">
        <f ca="1">IFERROR(__xludf.DUMMYFUNCTION("""COMPUTED_VALUE"""),104.53)</f>
        <v>104.53</v>
      </c>
      <c r="E250" s="1">
        <f ca="1">IFERROR(__xludf.DUMMYFUNCTION("""COMPUTED_VALUE"""),105.93)</f>
        <v>105.93</v>
      </c>
      <c r="F250" s="1">
        <f ca="1">IFERROR(__xludf.DUMMYFUNCTION("""COMPUTED_VALUE"""),13069733)</f>
        <v>13069733</v>
      </c>
    </row>
    <row r="251" spans="1:6" x14ac:dyDescent="0.35">
      <c r="A251" s="2">
        <f ca="1">IFERROR(__xludf.DUMMYFUNCTION("""COMPUTED_VALUE"""),42367.6666666666)</f>
        <v>42367.666666666599</v>
      </c>
      <c r="B251" s="1">
        <f ca="1">IFERROR(__xludf.DUMMYFUNCTION("""COMPUTED_VALUE"""),106.42)</f>
        <v>106.42</v>
      </c>
      <c r="C251" s="1">
        <f ca="1">IFERROR(__xludf.DUMMYFUNCTION("""COMPUTED_VALUE"""),107.74)</f>
        <v>107.74</v>
      </c>
      <c r="D251" s="1">
        <f ca="1">IFERROR(__xludf.DUMMYFUNCTION("""COMPUTED_VALUE"""),106.25)</f>
        <v>106.25</v>
      </c>
      <c r="E251" s="1">
        <f ca="1">IFERROR(__xludf.DUMMYFUNCTION("""COMPUTED_VALUE"""),107.26)</f>
        <v>107.26</v>
      </c>
      <c r="F251" s="1">
        <f ca="1">IFERROR(__xludf.DUMMYFUNCTION("""COMPUTED_VALUE"""),17179901)</f>
        <v>17179901</v>
      </c>
    </row>
    <row r="252" spans="1:6" x14ac:dyDescent="0.35">
      <c r="A252" s="2">
        <f ca="1">IFERROR(__xludf.DUMMYFUNCTION("""COMPUTED_VALUE"""),42368.6666666666)</f>
        <v>42368.666666666599</v>
      </c>
      <c r="B252" s="1">
        <f ca="1">IFERROR(__xludf.DUMMYFUNCTION("""COMPUTED_VALUE"""),107)</f>
        <v>107</v>
      </c>
      <c r="C252" s="1">
        <f ca="1">IFERROR(__xludf.DUMMYFUNCTION("""COMPUTED_VALUE"""),107.25)</f>
        <v>107.25</v>
      </c>
      <c r="D252" s="1">
        <f ca="1">IFERROR(__xludf.DUMMYFUNCTION("""COMPUTED_VALUE"""),106.06)</f>
        <v>106.06</v>
      </c>
      <c r="E252" s="1">
        <f ca="1">IFERROR(__xludf.DUMMYFUNCTION("""COMPUTED_VALUE"""),106.22)</f>
        <v>106.22</v>
      </c>
      <c r="F252" s="1">
        <f ca="1">IFERROR(__xludf.DUMMYFUNCTION("""COMPUTED_VALUE"""),13115007)</f>
        <v>13115007</v>
      </c>
    </row>
    <row r="253" spans="1:6" x14ac:dyDescent="0.35">
      <c r="A253" s="2">
        <f ca="1">IFERROR(__xludf.DUMMYFUNCTION("""COMPUTED_VALUE"""),42369.6666666666)</f>
        <v>42369.666666666599</v>
      </c>
      <c r="B253" s="1">
        <f ca="1">IFERROR(__xludf.DUMMYFUNCTION("""COMPUTED_VALUE"""),106)</f>
        <v>106</v>
      </c>
      <c r="C253" s="1">
        <f ca="1">IFERROR(__xludf.DUMMYFUNCTION("""COMPUTED_VALUE"""),106.17)</f>
        <v>106.17</v>
      </c>
      <c r="D253" s="1">
        <f ca="1">IFERROR(__xludf.DUMMYFUNCTION("""COMPUTED_VALUE"""),104.62)</f>
        <v>104.62</v>
      </c>
      <c r="E253" s="1">
        <f ca="1">IFERROR(__xludf.DUMMYFUNCTION("""COMPUTED_VALUE"""),104.66)</f>
        <v>104.66</v>
      </c>
      <c r="F253" s="1">
        <f ca="1">IFERROR(__xludf.DUMMYFUNCTION("""COMPUTED_VALUE"""),18391064)</f>
        <v>18391064</v>
      </c>
    </row>
    <row r="254" spans="1:6" x14ac:dyDescent="0.35">
      <c r="A254" s="2">
        <f ca="1">IFERROR(__xludf.DUMMYFUNCTION("""COMPUTED_VALUE"""),42373.6666666666)</f>
        <v>42373.666666666599</v>
      </c>
      <c r="B254" s="1">
        <f ca="1">IFERROR(__xludf.DUMMYFUNCTION("""COMPUTED_VALUE"""),101.95)</f>
        <v>101.95</v>
      </c>
      <c r="C254" s="1">
        <f ca="1">IFERROR(__xludf.DUMMYFUNCTION("""COMPUTED_VALUE"""),102.24)</f>
        <v>102.24</v>
      </c>
      <c r="D254" s="1">
        <f ca="1">IFERROR(__xludf.DUMMYFUNCTION("""COMPUTED_VALUE"""),99.75)</f>
        <v>99.75</v>
      </c>
      <c r="E254" s="1">
        <f ca="1">IFERROR(__xludf.DUMMYFUNCTION("""COMPUTED_VALUE"""),102.22)</f>
        <v>102.22</v>
      </c>
      <c r="F254" s="1">
        <f ca="1">IFERROR(__xludf.DUMMYFUNCTION("""COMPUTED_VALUE"""),37912403)</f>
        <v>37912403</v>
      </c>
    </row>
    <row r="255" spans="1:6" x14ac:dyDescent="0.35">
      <c r="A255" s="2">
        <f ca="1">IFERROR(__xludf.DUMMYFUNCTION("""COMPUTED_VALUE"""),42374.6666666666)</f>
        <v>42374.666666666599</v>
      </c>
      <c r="B255" s="1">
        <f ca="1">IFERROR(__xludf.DUMMYFUNCTION("""COMPUTED_VALUE"""),102.89)</f>
        <v>102.89</v>
      </c>
      <c r="C255" s="1">
        <f ca="1">IFERROR(__xludf.DUMMYFUNCTION("""COMPUTED_VALUE"""),103.71)</f>
        <v>103.71</v>
      </c>
      <c r="D255" s="1">
        <f ca="1">IFERROR(__xludf.DUMMYFUNCTION("""COMPUTED_VALUE"""),101.67)</f>
        <v>101.67</v>
      </c>
      <c r="E255" s="1">
        <f ca="1">IFERROR(__xludf.DUMMYFUNCTION("""COMPUTED_VALUE"""),102.73)</f>
        <v>102.73</v>
      </c>
      <c r="F255" s="1">
        <f ca="1">IFERROR(__xludf.DUMMYFUNCTION("""COMPUTED_VALUE"""),23258238)</f>
        <v>23258238</v>
      </c>
    </row>
    <row r="256" spans="1:6" x14ac:dyDescent="0.35">
      <c r="A256" s="2">
        <f ca="1">IFERROR(__xludf.DUMMYFUNCTION("""COMPUTED_VALUE"""),42375.6666666666)</f>
        <v>42375.666666666599</v>
      </c>
      <c r="B256" s="1">
        <f ca="1">IFERROR(__xludf.DUMMYFUNCTION("""COMPUTED_VALUE"""),101.13)</f>
        <v>101.13</v>
      </c>
      <c r="C256" s="1">
        <f ca="1">IFERROR(__xludf.DUMMYFUNCTION("""COMPUTED_VALUE"""),103.77)</f>
        <v>103.77</v>
      </c>
      <c r="D256" s="1">
        <f ca="1">IFERROR(__xludf.DUMMYFUNCTION("""COMPUTED_VALUE"""),100.9)</f>
        <v>100.9</v>
      </c>
      <c r="E256" s="1">
        <f ca="1">IFERROR(__xludf.DUMMYFUNCTION("""COMPUTED_VALUE"""),102.97)</f>
        <v>102.97</v>
      </c>
      <c r="F256" s="1">
        <f ca="1">IFERROR(__xludf.DUMMYFUNCTION("""COMPUTED_VALUE"""),25096183)</f>
        <v>25096183</v>
      </c>
    </row>
    <row r="257" spans="1:6" x14ac:dyDescent="0.35">
      <c r="A257" s="2">
        <f ca="1">IFERROR(__xludf.DUMMYFUNCTION("""COMPUTED_VALUE"""),42376.6666666666)</f>
        <v>42376.666666666599</v>
      </c>
      <c r="B257" s="1">
        <f ca="1">IFERROR(__xludf.DUMMYFUNCTION("""COMPUTED_VALUE"""),100.5)</f>
        <v>100.5</v>
      </c>
      <c r="C257" s="1">
        <f ca="1">IFERROR(__xludf.DUMMYFUNCTION("""COMPUTED_VALUE"""),101.43)</f>
        <v>101.43</v>
      </c>
      <c r="D257" s="1">
        <f ca="1">IFERROR(__xludf.DUMMYFUNCTION("""COMPUTED_VALUE"""),97.3)</f>
        <v>97.3</v>
      </c>
      <c r="E257" s="1">
        <f ca="1">IFERROR(__xludf.DUMMYFUNCTION("""COMPUTED_VALUE"""),97.92)</f>
        <v>97.92</v>
      </c>
      <c r="F257" s="1">
        <f ca="1">IFERROR(__xludf.DUMMYFUNCTION("""COMPUTED_VALUE"""),45172906)</f>
        <v>45172906</v>
      </c>
    </row>
    <row r="258" spans="1:6" x14ac:dyDescent="0.35">
      <c r="A258" s="2">
        <f ca="1">IFERROR(__xludf.DUMMYFUNCTION("""COMPUTED_VALUE"""),42377.6666666666)</f>
        <v>42377.666666666599</v>
      </c>
      <c r="B258" s="1">
        <f ca="1">IFERROR(__xludf.DUMMYFUNCTION("""COMPUTED_VALUE"""),99.88)</f>
        <v>99.88</v>
      </c>
      <c r="C258" s="1">
        <f ca="1">IFERROR(__xludf.DUMMYFUNCTION("""COMPUTED_VALUE"""),100.5)</f>
        <v>100.5</v>
      </c>
      <c r="D258" s="1">
        <f ca="1">IFERROR(__xludf.DUMMYFUNCTION("""COMPUTED_VALUE"""),97.03)</f>
        <v>97.03</v>
      </c>
      <c r="E258" s="1">
        <f ca="1">IFERROR(__xludf.DUMMYFUNCTION("""COMPUTED_VALUE"""),97.33)</f>
        <v>97.33</v>
      </c>
      <c r="F258" s="1">
        <f ca="1">IFERROR(__xludf.DUMMYFUNCTION("""COMPUTED_VALUE"""),35402298)</f>
        <v>35402298</v>
      </c>
    </row>
    <row r="259" spans="1:6" x14ac:dyDescent="0.35">
      <c r="A259" s="2">
        <f ca="1">IFERROR(__xludf.DUMMYFUNCTION("""COMPUTED_VALUE"""),42380.6666666666)</f>
        <v>42380.666666666599</v>
      </c>
      <c r="B259" s="1">
        <f ca="1">IFERROR(__xludf.DUMMYFUNCTION("""COMPUTED_VALUE"""),97.91)</f>
        <v>97.91</v>
      </c>
      <c r="C259" s="1">
        <f ca="1">IFERROR(__xludf.DUMMYFUNCTION("""COMPUTED_VALUE"""),98.6)</f>
        <v>98.6</v>
      </c>
      <c r="D259" s="1">
        <f ca="1">IFERROR(__xludf.DUMMYFUNCTION("""COMPUTED_VALUE"""),95.39)</f>
        <v>95.39</v>
      </c>
      <c r="E259" s="1">
        <f ca="1">IFERROR(__xludf.DUMMYFUNCTION("""COMPUTED_VALUE"""),97.51)</f>
        <v>97.51</v>
      </c>
      <c r="F259" s="1">
        <f ca="1">IFERROR(__xludf.DUMMYFUNCTION("""COMPUTED_VALUE"""),29932385)</f>
        <v>29932385</v>
      </c>
    </row>
    <row r="260" spans="1:6" x14ac:dyDescent="0.35">
      <c r="A260" s="2">
        <f ca="1">IFERROR(__xludf.DUMMYFUNCTION("""COMPUTED_VALUE"""),42381.6666666666)</f>
        <v>42381.666666666599</v>
      </c>
      <c r="B260" s="1">
        <f ca="1">IFERROR(__xludf.DUMMYFUNCTION("""COMPUTED_VALUE"""),99)</f>
        <v>99</v>
      </c>
      <c r="C260" s="1">
        <f ca="1">IFERROR(__xludf.DUMMYFUNCTION("""COMPUTED_VALUE"""),99.96)</f>
        <v>99.96</v>
      </c>
      <c r="D260" s="1">
        <f ca="1">IFERROR(__xludf.DUMMYFUNCTION("""COMPUTED_VALUE"""),97.55)</f>
        <v>97.55</v>
      </c>
      <c r="E260" s="1">
        <f ca="1">IFERROR(__xludf.DUMMYFUNCTION("""COMPUTED_VALUE"""),99.37)</f>
        <v>99.37</v>
      </c>
      <c r="F260" s="1">
        <f ca="1">IFERROR(__xludf.DUMMYFUNCTION("""COMPUTED_VALUE"""),28395390)</f>
        <v>28395390</v>
      </c>
    </row>
    <row r="261" spans="1:6" x14ac:dyDescent="0.35">
      <c r="A261" s="2">
        <f ca="1">IFERROR(__xludf.DUMMYFUNCTION("""COMPUTED_VALUE"""),42382.6666666666)</f>
        <v>42382.666666666599</v>
      </c>
      <c r="B261" s="1">
        <f ca="1">IFERROR(__xludf.DUMMYFUNCTION("""COMPUTED_VALUE"""),100.58)</f>
        <v>100.58</v>
      </c>
      <c r="C261" s="1">
        <f ca="1">IFERROR(__xludf.DUMMYFUNCTION("""COMPUTED_VALUE"""),100.58)</f>
        <v>100.58</v>
      </c>
      <c r="D261" s="1">
        <f ca="1">IFERROR(__xludf.DUMMYFUNCTION("""COMPUTED_VALUE"""),95.21)</f>
        <v>95.21</v>
      </c>
      <c r="E261" s="1">
        <f ca="1">IFERROR(__xludf.DUMMYFUNCTION("""COMPUTED_VALUE"""),95.44)</f>
        <v>95.44</v>
      </c>
      <c r="F261" s="1">
        <f ca="1">IFERROR(__xludf.DUMMYFUNCTION("""COMPUTED_VALUE"""),33410553)</f>
        <v>33410553</v>
      </c>
    </row>
    <row r="262" spans="1:6" x14ac:dyDescent="0.35">
      <c r="A262" s="2">
        <f ca="1">IFERROR(__xludf.DUMMYFUNCTION("""COMPUTED_VALUE"""),42383.6666666666)</f>
        <v>42383.666666666599</v>
      </c>
      <c r="B262" s="1">
        <f ca="1">IFERROR(__xludf.DUMMYFUNCTION("""COMPUTED_VALUE"""),95.85)</f>
        <v>95.85</v>
      </c>
      <c r="C262" s="1">
        <f ca="1">IFERROR(__xludf.DUMMYFUNCTION("""COMPUTED_VALUE"""),98.87)</f>
        <v>98.87</v>
      </c>
      <c r="D262" s="1">
        <f ca="1">IFERROR(__xludf.DUMMYFUNCTION("""COMPUTED_VALUE"""),92.45)</f>
        <v>92.45</v>
      </c>
      <c r="E262" s="1">
        <f ca="1">IFERROR(__xludf.DUMMYFUNCTION("""COMPUTED_VALUE"""),98.37)</f>
        <v>98.37</v>
      </c>
      <c r="F262" s="1">
        <f ca="1">IFERROR(__xludf.DUMMYFUNCTION("""COMPUTED_VALUE"""),48658623)</f>
        <v>48658623</v>
      </c>
    </row>
    <row r="263" spans="1:6" x14ac:dyDescent="0.35">
      <c r="A263" s="2">
        <f ca="1">IFERROR(__xludf.DUMMYFUNCTION("""COMPUTED_VALUE"""),42384.6666666666)</f>
        <v>42384.666666666599</v>
      </c>
      <c r="B263" s="1">
        <f ca="1">IFERROR(__xludf.DUMMYFUNCTION("""COMPUTED_VALUE"""),93.98)</f>
        <v>93.98</v>
      </c>
      <c r="C263" s="1">
        <f ca="1">IFERROR(__xludf.DUMMYFUNCTION("""COMPUTED_VALUE"""),96.38)</f>
        <v>96.38</v>
      </c>
      <c r="D263" s="1">
        <f ca="1">IFERROR(__xludf.DUMMYFUNCTION("""COMPUTED_VALUE"""),93.54)</f>
        <v>93.54</v>
      </c>
      <c r="E263" s="1">
        <f ca="1">IFERROR(__xludf.DUMMYFUNCTION("""COMPUTED_VALUE"""),94.97)</f>
        <v>94.97</v>
      </c>
      <c r="F263" s="1">
        <f ca="1">IFERROR(__xludf.DUMMYFUNCTION("""COMPUTED_VALUE"""),46132781)</f>
        <v>46132781</v>
      </c>
    </row>
    <row r="264" spans="1:6" x14ac:dyDescent="0.35">
      <c r="A264" s="2">
        <f ca="1">IFERROR(__xludf.DUMMYFUNCTION("""COMPUTED_VALUE"""),42388.6666666666)</f>
        <v>42388.666666666599</v>
      </c>
      <c r="B264" s="1">
        <f ca="1">IFERROR(__xludf.DUMMYFUNCTION("""COMPUTED_VALUE"""),96.53)</f>
        <v>96.53</v>
      </c>
      <c r="C264" s="1">
        <f ca="1">IFERROR(__xludf.DUMMYFUNCTION("""COMPUTED_VALUE"""),97.42)</f>
        <v>97.42</v>
      </c>
      <c r="D264" s="1">
        <f ca="1">IFERROR(__xludf.DUMMYFUNCTION("""COMPUTED_VALUE"""),93.92)</f>
        <v>93.92</v>
      </c>
      <c r="E264" s="1">
        <f ca="1">IFERROR(__xludf.DUMMYFUNCTION("""COMPUTED_VALUE"""),95.26)</f>
        <v>95.26</v>
      </c>
      <c r="F264" s="1">
        <f ca="1">IFERROR(__xludf.DUMMYFUNCTION("""COMPUTED_VALUE"""),30998256)</f>
        <v>30998256</v>
      </c>
    </row>
    <row r="265" spans="1:6" x14ac:dyDescent="0.35">
      <c r="A265" s="2">
        <f ca="1">IFERROR(__xludf.DUMMYFUNCTION("""COMPUTED_VALUE"""),42389.6666666666)</f>
        <v>42389.666666666599</v>
      </c>
      <c r="B265" s="1">
        <f ca="1">IFERROR(__xludf.DUMMYFUNCTION("""COMPUTED_VALUE"""),92.83)</f>
        <v>92.83</v>
      </c>
      <c r="C265" s="1">
        <f ca="1">IFERROR(__xludf.DUMMYFUNCTION("""COMPUTED_VALUE"""),95)</f>
        <v>95</v>
      </c>
      <c r="D265" s="1">
        <f ca="1">IFERROR(__xludf.DUMMYFUNCTION("""COMPUTED_VALUE"""),89.37)</f>
        <v>89.37</v>
      </c>
      <c r="E265" s="1">
        <f ca="1">IFERROR(__xludf.DUMMYFUNCTION("""COMPUTED_VALUE"""),94.35)</f>
        <v>94.35</v>
      </c>
      <c r="F265" s="1">
        <f ca="1">IFERROR(__xludf.DUMMYFUNCTION("""COMPUTED_VALUE"""),59051429)</f>
        <v>59051429</v>
      </c>
    </row>
    <row r="266" spans="1:6" x14ac:dyDescent="0.35">
      <c r="A266" s="2">
        <f ca="1">IFERROR(__xludf.DUMMYFUNCTION("""COMPUTED_VALUE"""),42390.6666666666)</f>
        <v>42390.666666666599</v>
      </c>
      <c r="B266" s="1">
        <f ca="1">IFERROR(__xludf.DUMMYFUNCTION("""COMPUTED_VALUE"""),94.91)</f>
        <v>94.91</v>
      </c>
      <c r="C266" s="1">
        <f ca="1">IFERROR(__xludf.DUMMYFUNCTION("""COMPUTED_VALUE"""),95.99)</f>
        <v>95.99</v>
      </c>
      <c r="D266" s="1">
        <f ca="1">IFERROR(__xludf.DUMMYFUNCTION("""COMPUTED_VALUE"""),92.62)</f>
        <v>92.62</v>
      </c>
      <c r="E266" s="1">
        <f ca="1">IFERROR(__xludf.DUMMYFUNCTION("""COMPUTED_VALUE"""),94.16)</f>
        <v>94.16</v>
      </c>
      <c r="F266" s="1">
        <f ca="1">IFERROR(__xludf.DUMMYFUNCTION("""COMPUTED_VALUE"""),30518939)</f>
        <v>30518939</v>
      </c>
    </row>
    <row r="267" spans="1:6" x14ac:dyDescent="0.35">
      <c r="A267" s="2">
        <f ca="1">IFERROR(__xludf.DUMMYFUNCTION("""COMPUTED_VALUE"""),42391.6666666666)</f>
        <v>42391.666666666599</v>
      </c>
      <c r="B267" s="1">
        <f ca="1">IFERROR(__xludf.DUMMYFUNCTION("""COMPUTED_VALUE"""),96.41)</f>
        <v>96.41</v>
      </c>
      <c r="C267" s="1">
        <f ca="1">IFERROR(__xludf.DUMMYFUNCTION("""COMPUTED_VALUE"""),98.07)</f>
        <v>98.07</v>
      </c>
      <c r="D267" s="1">
        <f ca="1">IFERROR(__xludf.DUMMYFUNCTION("""COMPUTED_VALUE"""),95.49)</f>
        <v>95.49</v>
      </c>
      <c r="E267" s="1">
        <f ca="1">IFERROR(__xludf.DUMMYFUNCTION("""COMPUTED_VALUE"""),97.94)</f>
        <v>97.94</v>
      </c>
      <c r="F267" s="1">
        <f ca="1">IFERROR(__xludf.DUMMYFUNCTION("""COMPUTED_VALUE"""),30495387)</f>
        <v>30495387</v>
      </c>
    </row>
    <row r="268" spans="1:6" x14ac:dyDescent="0.35">
      <c r="A268" s="2">
        <f ca="1">IFERROR(__xludf.DUMMYFUNCTION("""COMPUTED_VALUE"""),42394.6666666666)</f>
        <v>42394.666666666599</v>
      </c>
      <c r="B268" s="1">
        <f ca="1">IFERROR(__xludf.DUMMYFUNCTION("""COMPUTED_VALUE"""),98.72)</f>
        <v>98.72</v>
      </c>
      <c r="C268" s="1">
        <f ca="1">IFERROR(__xludf.DUMMYFUNCTION("""COMPUTED_VALUE"""),99.48)</f>
        <v>99.48</v>
      </c>
      <c r="D268" s="1">
        <f ca="1">IFERROR(__xludf.DUMMYFUNCTION("""COMPUTED_VALUE"""),96.93)</f>
        <v>96.93</v>
      </c>
      <c r="E268" s="1">
        <f ca="1">IFERROR(__xludf.DUMMYFUNCTION("""COMPUTED_VALUE"""),97.01)</f>
        <v>97.01</v>
      </c>
      <c r="F268" s="1">
        <f ca="1">IFERROR(__xludf.DUMMYFUNCTION("""COMPUTED_VALUE"""),32482015)</f>
        <v>32482015</v>
      </c>
    </row>
    <row r="269" spans="1:6" x14ac:dyDescent="0.35">
      <c r="A269" s="2">
        <f ca="1">IFERROR(__xludf.DUMMYFUNCTION("""COMPUTED_VALUE"""),42395.6666666666)</f>
        <v>42395.666666666599</v>
      </c>
      <c r="B269" s="1">
        <f ca="1">IFERROR(__xludf.DUMMYFUNCTION("""COMPUTED_VALUE"""),97.76)</f>
        <v>97.76</v>
      </c>
      <c r="C269" s="1">
        <f ca="1">IFERROR(__xludf.DUMMYFUNCTION("""COMPUTED_VALUE"""),97.88)</f>
        <v>97.88</v>
      </c>
      <c r="D269" s="1">
        <f ca="1">IFERROR(__xludf.DUMMYFUNCTION("""COMPUTED_VALUE"""),95.66)</f>
        <v>95.66</v>
      </c>
      <c r="E269" s="1">
        <f ca="1">IFERROR(__xludf.DUMMYFUNCTION("""COMPUTED_VALUE"""),97.34)</f>
        <v>97.34</v>
      </c>
      <c r="F269" s="1">
        <f ca="1">IFERROR(__xludf.DUMMYFUNCTION("""COMPUTED_VALUE"""),26877080)</f>
        <v>26877080</v>
      </c>
    </row>
    <row r="270" spans="1:6" x14ac:dyDescent="0.35">
      <c r="A270" s="2">
        <f ca="1">IFERROR(__xludf.DUMMYFUNCTION("""COMPUTED_VALUE"""),42396.6666666666)</f>
        <v>42396.666666666599</v>
      </c>
      <c r="B270" s="1">
        <f ca="1">IFERROR(__xludf.DUMMYFUNCTION("""COMPUTED_VALUE"""),97.79)</f>
        <v>97.79</v>
      </c>
      <c r="C270" s="1">
        <f ca="1">IFERROR(__xludf.DUMMYFUNCTION("""COMPUTED_VALUE"""),97.85)</f>
        <v>97.85</v>
      </c>
      <c r="D270" s="1">
        <f ca="1">IFERROR(__xludf.DUMMYFUNCTION("""COMPUTED_VALUE"""),94.23)</f>
        <v>94.23</v>
      </c>
      <c r="E270" s="1">
        <f ca="1">IFERROR(__xludf.DUMMYFUNCTION("""COMPUTED_VALUE"""),94.45)</f>
        <v>94.45</v>
      </c>
      <c r="F270" s="1">
        <f ca="1">IFERROR(__xludf.DUMMYFUNCTION("""COMPUTED_VALUE"""),58699359)</f>
        <v>58699359</v>
      </c>
    </row>
    <row r="271" spans="1:6" x14ac:dyDescent="0.35">
      <c r="A271" s="2">
        <f ca="1">IFERROR(__xludf.DUMMYFUNCTION("""COMPUTED_VALUE"""),42397.6666666666)</f>
        <v>42397.666666666599</v>
      </c>
      <c r="B271" s="1">
        <f ca="1">IFERROR(__xludf.DUMMYFUNCTION("""COMPUTED_VALUE"""),107.2)</f>
        <v>107.2</v>
      </c>
      <c r="C271" s="1">
        <f ca="1">IFERROR(__xludf.DUMMYFUNCTION("""COMPUTED_VALUE"""),110.34)</f>
        <v>110.34</v>
      </c>
      <c r="D271" s="1">
        <f ca="1">IFERROR(__xludf.DUMMYFUNCTION("""COMPUTED_VALUE"""),104.81)</f>
        <v>104.81</v>
      </c>
      <c r="E271" s="1">
        <f ca="1">IFERROR(__xludf.DUMMYFUNCTION("""COMPUTED_VALUE"""),109.11)</f>
        <v>109.11</v>
      </c>
      <c r="F271" s="1">
        <f ca="1">IFERROR(__xludf.DUMMYFUNCTION("""COMPUTED_VALUE"""),107475327)</f>
        <v>107475327</v>
      </c>
    </row>
    <row r="272" spans="1:6" x14ac:dyDescent="0.35">
      <c r="A272" s="2">
        <f ca="1">IFERROR(__xludf.DUMMYFUNCTION("""COMPUTED_VALUE"""),42398.6666666666)</f>
        <v>42398.666666666599</v>
      </c>
      <c r="B272" s="1">
        <f ca="1">IFERROR(__xludf.DUMMYFUNCTION("""COMPUTED_VALUE"""),108.99)</f>
        <v>108.99</v>
      </c>
      <c r="C272" s="1">
        <f ca="1">IFERROR(__xludf.DUMMYFUNCTION("""COMPUTED_VALUE"""),112.84)</f>
        <v>112.84</v>
      </c>
      <c r="D272" s="1">
        <f ca="1">IFERROR(__xludf.DUMMYFUNCTION("""COMPUTED_VALUE"""),108.84)</f>
        <v>108.84</v>
      </c>
      <c r="E272" s="1">
        <f ca="1">IFERROR(__xludf.DUMMYFUNCTION("""COMPUTED_VALUE"""),112.21)</f>
        <v>112.21</v>
      </c>
      <c r="F272" s="1">
        <f ca="1">IFERROR(__xludf.DUMMYFUNCTION("""COMPUTED_VALUE"""),62739548)</f>
        <v>62739548</v>
      </c>
    </row>
    <row r="273" spans="1:6" x14ac:dyDescent="0.35">
      <c r="A273" s="2">
        <f ca="1">IFERROR(__xludf.DUMMYFUNCTION("""COMPUTED_VALUE"""),42401.6666666666)</f>
        <v>42401.666666666599</v>
      </c>
      <c r="B273" s="1">
        <f ca="1">IFERROR(__xludf.DUMMYFUNCTION("""COMPUTED_VALUE"""),112.27)</f>
        <v>112.27</v>
      </c>
      <c r="C273" s="1">
        <f ca="1">IFERROR(__xludf.DUMMYFUNCTION("""COMPUTED_VALUE"""),115.72)</f>
        <v>115.72</v>
      </c>
      <c r="D273" s="1">
        <f ca="1">IFERROR(__xludf.DUMMYFUNCTION("""COMPUTED_VALUE"""),112.01)</f>
        <v>112.01</v>
      </c>
      <c r="E273" s="1">
        <f ca="1">IFERROR(__xludf.DUMMYFUNCTION("""COMPUTED_VALUE"""),115.09)</f>
        <v>115.09</v>
      </c>
      <c r="F273" s="1">
        <f ca="1">IFERROR(__xludf.DUMMYFUNCTION("""COMPUTED_VALUE"""),46132726)</f>
        <v>46132726</v>
      </c>
    </row>
    <row r="274" spans="1:6" x14ac:dyDescent="0.35">
      <c r="A274" s="2">
        <f ca="1">IFERROR(__xludf.DUMMYFUNCTION("""COMPUTED_VALUE"""),42402.6666666666)</f>
        <v>42402.666666666599</v>
      </c>
      <c r="B274" s="1">
        <f ca="1">IFERROR(__xludf.DUMMYFUNCTION("""COMPUTED_VALUE"""),114.8)</f>
        <v>114.8</v>
      </c>
      <c r="C274" s="1">
        <f ca="1">IFERROR(__xludf.DUMMYFUNCTION("""COMPUTED_VALUE"""),117.59)</f>
        <v>117.59</v>
      </c>
      <c r="D274" s="1">
        <f ca="1">IFERROR(__xludf.DUMMYFUNCTION("""COMPUTED_VALUE"""),113.2)</f>
        <v>113.2</v>
      </c>
      <c r="E274" s="1">
        <f ca="1">IFERROR(__xludf.DUMMYFUNCTION("""COMPUTED_VALUE"""),114.61)</f>
        <v>114.61</v>
      </c>
      <c r="F274" s="1">
        <f ca="1">IFERROR(__xludf.DUMMYFUNCTION("""COMPUTED_VALUE"""),59778571)</f>
        <v>59778571</v>
      </c>
    </row>
    <row r="275" spans="1:6" x14ac:dyDescent="0.35">
      <c r="A275" s="2">
        <f ca="1">IFERROR(__xludf.DUMMYFUNCTION("""COMPUTED_VALUE"""),42403.6666666666)</f>
        <v>42403.666666666599</v>
      </c>
      <c r="B275" s="1">
        <f ca="1">IFERROR(__xludf.DUMMYFUNCTION("""COMPUTED_VALUE"""),115.27)</f>
        <v>115.27</v>
      </c>
      <c r="C275" s="1">
        <f ca="1">IFERROR(__xludf.DUMMYFUNCTION("""COMPUTED_VALUE"""),115.34)</f>
        <v>115.34</v>
      </c>
      <c r="D275" s="1">
        <f ca="1">IFERROR(__xludf.DUMMYFUNCTION("""COMPUTED_VALUE"""),109.75)</f>
        <v>109.75</v>
      </c>
      <c r="E275" s="1">
        <f ca="1">IFERROR(__xludf.DUMMYFUNCTION("""COMPUTED_VALUE"""),112.69)</f>
        <v>112.69</v>
      </c>
      <c r="F275" s="1">
        <f ca="1">IFERROR(__xludf.DUMMYFUNCTION("""COMPUTED_VALUE"""),56919324)</f>
        <v>56919324</v>
      </c>
    </row>
    <row r="276" spans="1:6" x14ac:dyDescent="0.35">
      <c r="A276" s="2">
        <f ca="1">IFERROR(__xludf.DUMMYFUNCTION("""COMPUTED_VALUE"""),42404.6666666666)</f>
        <v>42404.666666666599</v>
      </c>
      <c r="B276" s="1">
        <f ca="1">IFERROR(__xludf.DUMMYFUNCTION("""COMPUTED_VALUE"""),111.8)</f>
        <v>111.8</v>
      </c>
      <c r="C276" s="1">
        <f ca="1">IFERROR(__xludf.DUMMYFUNCTION("""COMPUTED_VALUE"""),111.94)</f>
        <v>111.94</v>
      </c>
      <c r="D276" s="1">
        <f ca="1">IFERROR(__xludf.DUMMYFUNCTION("""COMPUTED_VALUE"""),109.25)</f>
        <v>109.25</v>
      </c>
      <c r="E276" s="1">
        <f ca="1">IFERROR(__xludf.DUMMYFUNCTION("""COMPUTED_VALUE"""),110.49)</f>
        <v>110.49</v>
      </c>
      <c r="F276" s="1">
        <f ca="1">IFERROR(__xludf.DUMMYFUNCTION("""COMPUTED_VALUE"""),38890199)</f>
        <v>38890199</v>
      </c>
    </row>
    <row r="277" spans="1:6" x14ac:dyDescent="0.35">
      <c r="A277" s="2">
        <f ca="1">IFERROR(__xludf.DUMMYFUNCTION("""COMPUTED_VALUE"""),42405.6666666666)</f>
        <v>42405.666666666599</v>
      </c>
      <c r="B277" s="1">
        <f ca="1">IFERROR(__xludf.DUMMYFUNCTION("""COMPUTED_VALUE"""),109.51)</f>
        <v>109.51</v>
      </c>
      <c r="C277" s="1">
        <f ca="1">IFERROR(__xludf.DUMMYFUNCTION("""COMPUTED_VALUE"""),109.58)</f>
        <v>109.58</v>
      </c>
      <c r="D277" s="1">
        <f ca="1">IFERROR(__xludf.DUMMYFUNCTION("""COMPUTED_VALUE"""),103.18)</f>
        <v>103.18</v>
      </c>
      <c r="E277" s="1">
        <f ca="1">IFERROR(__xludf.DUMMYFUNCTION("""COMPUTED_VALUE"""),104.07)</f>
        <v>104.07</v>
      </c>
      <c r="F277" s="1">
        <f ca="1">IFERROR(__xludf.DUMMYFUNCTION("""COMPUTED_VALUE"""),76894741)</f>
        <v>76894741</v>
      </c>
    </row>
    <row r="278" spans="1:6" x14ac:dyDescent="0.35">
      <c r="A278" s="2">
        <f ca="1">IFERROR(__xludf.DUMMYFUNCTION("""COMPUTED_VALUE"""),42408.6666666666)</f>
        <v>42408.666666666599</v>
      </c>
      <c r="B278" s="1">
        <f ca="1">IFERROR(__xludf.DUMMYFUNCTION("""COMPUTED_VALUE"""),100.41)</f>
        <v>100.41</v>
      </c>
      <c r="C278" s="1">
        <f ca="1">IFERROR(__xludf.DUMMYFUNCTION("""COMPUTED_VALUE"""),102.68)</f>
        <v>102.68</v>
      </c>
      <c r="D278" s="1">
        <f ca="1">IFERROR(__xludf.DUMMYFUNCTION("""COMPUTED_VALUE"""),97.46)</f>
        <v>97.46</v>
      </c>
      <c r="E278" s="1">
        <f ca="1">IFERROR(__xludf.DUMMYFUNCTION("""COMPUTED_VALUE"""),99.75)</f>
        <v>99.75</v>
      </c>
      <c r="F278" s="1">
        <f ca="1">IFERROR(__xludf.DUMMYFUNCTION("""COMPUTED_VALUE"""),71229746)</f>
        <v>71229746</v>
      </c>
    </row>
    <row r="279" spans="1:6" x14ac:dyDescent="0.35">
      <c r="A279" s="2">
        <f ca="1">IFERROR(__xludf.DUMMYFUNCTION("""COMPUTED_VALUE"""),42409.6666666666)</f>
        <v>42409.666666666599</v>
      </c>
      <c r="B279" s="1">
        <f ca="1">IFERROR(__xludf.DUMMYFUNCTION("""COMPUTED_VALUE"""),97.14)</f>
        <v>97.14</v>
      </c>
      <c r="C279" s="1">
        <f ca="1">IFERROR(__xludf.DUMMYFUNCTION("""COMPUTED_VALUE"""),102.4)</f>
        <v>102.4</v>
      </c>
      <c r="D279" s="1">
        <f ca="1">IFERROR(__xludf.DUMMYFUNCTION("""COMPUTED_VALUE"""),96.82)</f>
        <v>96.82</v>
      </c>
      <c r="E279" s="1">
        <f ca="1">IFERROR(__xludf.DUMMYFUNCTION("""COMPUTED_VALUE"""),99.54)</f>
        <v>99.54</v>
      </c>
      <c r="F279" s="1">
        <f ca="1">IFERROR(__xludf.DUMMYFUNCTION("""COMPUTED_VALUE"""),62709018)</f>
        <v>62709018</v>
      </c>
    </row>
    <row r="280" spans="1:6" x14ac:dyDescent="0.35">
      <c r="A280" s="2">
        <f ca="1">IFERROR(__xludf.DUMMYFUNCTION("""COMPUTED_VALUE"""),42410.6666666666)</f>
        <v>42410.666666666599</v>
      </c>
      <c r="B280" s="1">
        <f ca="1">IFERROR(__xludf.DUMMYFUNCTION("""COMPUTED_VALUE"""),101.55)</f>
        <v>101.55</v>
      </c>
      <c r="C280" s="1">
        <f ca="1">IFERROR(__xludf.DUMMYFUNCTION("""COMPUTED_VALUE"""),103.25)</f>
        <v>103.25</v>
      </c>
      <c r="D280" s="1">
        <f ca="1">IFERROR(__xludf.DUMMYFUNCTION("""COMPUTED_VALUE"""),100.24)</f>
        <v>100.24</v>
      </c>
      <c r="E280" s="1">
        <f ca="1">IFERROR(__xludf.DUMMYFUNCTION("""COMPUTED_VALUE"""),101)</f>
        <v>101</v>
      </c>
      <c r="F280" s="1">
        <f ca="1">IFERROR(__xludf.DUMMYFUNCTION("""COMPUTED_VALUE"""),45179370)</f>
        <v>45179370</v>
      </c>
    </row>
    <row r="281" spans="1:6" x14ac:dyDescent="0.35">
      <c r="A281" s="2">
        <f ca="1">IFERROR(__xludf.DUMMYFUNCTION("""COMPUTED_VALUE"""),42411.6666666666)</f>
        <v>42411.666666666599</v>
      </c>
      <c r="B281" s="1">
        <f ca="1">IFERROR(__xludf.DUMMYFUNCTION("""COMPUTED_VALUE"""),99.6)</f>
        <v>99.6</v>
      </c>
      <c r="C281" s="1">
        <f ca="1">IFERROR(__xludf.DUMMYFUNCTION("""COMPUTED_VALUE"""),105.11)</f>
        <v>105.11</v>
      </c>
      <c r="D281" s="1">
        <f ca="1">IFERROR(__xludf.DUMMYFUNCTION("""COMPUTED_VALUE"""),98.88)</f>
        <v>98.88</v>
      </c>
      <c r="E281" s="1">
        <f ca="1">IFERROR(__xludf.DUMMYFUNCTION("""COMPUTED_VALUE"""),101.91)</f>
        <v>101.91</v>
      </c>
      <c r="F281" s="1">
        <f ca="1">IFERROR(__xludf.DUMMYFUNCTION("""COMPUTED_VALUE"""),43670634)</f>
        <v>43670634</v>
      </c>
    </row>
    <row r="282" spans="1:6" x14ac:dyDescent="0.35">
      <c r="A282" s="2">
        <f ca="1">IFERROR(__xludf.DUMMYFUNCTION("""COMPUTED_VALUE"""),42412.6666666666)</f>
        <v>42412.666666666599</v>
      </c>
      <c r="B282" s="1">
        <f ca="1">IFERROR(__xludf.DUMMYFUNCTION("""COMPUTED_VALUE"""),103.74)</f>
        <v>103.74</v>
      </c>
      <c r="C282" s="1">
        <f ca="1">IFERROR(__xludf.DUMMYFUNCTION("""COMPUTED_VALUE"""),104.24)</f>
        <v>104.24</v>
      </c>
      <c r="D282" s="1">
        <f ca="1">IFERROR(__xludf.DUMMYFUNCTION("""COMPUTED_VALUE"""),101.09)</f>
        <v>101.09</v>
      </c>
      <c r="E282" s="1">
        <f ca="1">IFERROR(__xludf.DUMMYFUNCTION("""COMPUTED_VALUE"""),102.01)</f>
        <v>102.01</v>
      </c>
      <c r="F282" s="1">
        <f ca="1">IFERROR(__xludf.DUMMYFUNCTION("""COMPUTED_VALUE"""),36176760)</f>
        <v>36176760</v>
      </c>
    </row>
    <row r="283" spans="1:6" x14ac:dyDescent="0.35">
      <c r="A283" s="2">
        <f ca="1">IFERROR(__xludf.DUMMYFUNCTION("""COMPUTED_VALUE"""),42416.6666666666)</f>
        <v>42416.666666666599</v>
      </c>
      <c r="B283" s="1">
        <f ca="1">IFERROR(__xludf.DUMMYFUNCTION("""COMPUTED_VALUE"""),103.8)</f>
        <v>103.8</v>
      </c>
      <c r="C283" s="1">
        <f ca="1">IFERROR(__xludf.DUMMYFUNCTION("""COMPUTED_VALUE"""),103.93)</f>
        <v>103.93</v>
      </c>
      <c r="D283" s="1">
        <f ca="1">IFERROR(__xludf.DUMMYFUNCTION("""COMPUTED_VALUE"""),100.24)</f>
        <v>100.24</v>
      </c>
      <c r="E283" s="1">
        <f ca="1">IFERROR(__xludf.DUMMYFUNCTION("""COMPUTED_VALUE"""),101.61)</f>
        <v>101.61</v>
      </c>
      <c r="F283" s="1">
        <f ca="1">IFERROR(__xludf.DUMMYFUNCTION("""COMPUTED_VALUE"""),45687224)</f>
        <v>45687224</v>
      </c>
    </row>
    <row r="284" spans="1:6" x14ac:dyDescent="0.35">
      <c r="A284" s="2">
        <f ca="1">IFERROR(__xludf.DUMMYFUNCTION("""COMPUTED_VALUE"""),42417.6666666666)</f>
        <v>42417.666666666599</v>
      </c>
      <c r="B284" s="1">
        <f ca="1">IFERROR(__xludf.DUMMYFUNCTION("""COMPUTED_VALUE"""),101.94)</f>
        <v>101.94</v>
      </c>
      <c r="C284" s="1">
        <f ca="1">IFERROR(__xludf.DUMMYFUNCTION("""COMPUTED_VALUE"""),105.72)</f>
        <v>105.72</v>
      </c>
      <c r="D284" s="1">
        <f ca="1">IFERROR(__xludf.DUMMYFUNCTION("""COMPUTED_VALUE"""),100.4)</f>
        <v>100.4</v>
      </c>
      <c r="E284" s="1">
        <f ca="1">IFERROR(__xludf.DUMMYFUNCTION("""COMPUTED_VALUE"""),105.2)</f>
        <v>105.2</v>
      </c>
      <c r="F284" s="1">
        <f ca="1">IFERROR(__xludf.DUMMYFUNCTION("""COMPUTED_VALUE"""),44073369)</f>
        <v>44073369</v>
      </c>
    </row>
    <row r="285" spans="1:6" x14ac:dyDescent="0.35">
      <c r="A285" s="2">
        <f ca="1">IFERROR(__xludf.DUMMYFUNCTION("""COMPUTED_VALUE"""),42418.6666666666)</f>
        <v>42418.666666666599</v>
      </c>
      <c r="B285" s="1">
        <f ca="1">IFERROR(__xludf.DUMMYFUNCTION("""COMPUTED_VALUE"""),105.8)</f>
        <v>105.8</v>
      </c>
      <c r="C285" s="1">
        <f ca="1">IFERROR(__xludf.DUMMYFUNCTION("""COMPUTED_VALUE"""),106)</f>
        <v>106</v>
      </c>
      <c r="D285" s="1">
        <f ca="1">IFERROR(__xludf.DUMMYFUNCTION("""COMPUTED_VALUE"""),103.03)</f>
        <v>103.03</v>
      </c>
      <c r="E285" s="1">
        <f ca="1">IFERROR(__xludf.DUMMYFUNCTION("""COMPUTED_VALUE"""),103.47)</f>
        <v>103.47</v>
      </c>
      <c r="F285" s="1">
        <f ca="1">IFERROR(__xludf.DUMMYFUNCTION("""COMPUTED_VALUE"""),29593508)</f>
        <v>29593508</v>
      </c>
    </row>
    <row r="286" spans="1:6" x14ac:dyDescent="0.35">
      <c r="A286" s="2">
        <f ca="1">IFERROR(__xludf.DUMMYFUNCTION("""COMPUTED_VALUE"""),42419.6666666666)</f>
        <v>42419.666666666599</v>
      </c>
      <c r="B286" s="1">
        <f ca="1">IFERROR(__xludf.DUMMYFUNCTION("""COMPUTED_VALUE"""),102.55)</f>
        <v>102.55</v>
      </c>
      <c r="C286" s="1">
        <f ca="1">IFERROR(__xludf.DUMMYFUNCTION("""COMPUTED_VALUE"""),105.02)</f>
        <v>105.02</v>
      </c>
      <c r="D286" s="1">
        <f ca="1">IFERROR(__xludf.DUMMYFUNCTION("""COMPUTED_VALUE"""),102.06)</f>
        <v>102.06</v>
      </c>
      <c r="E286" s="1">
        <f ca="1">IFERROR(__xludf.DUMMYFUNCTION("""COMPUTED_VALUE"""),104.57)</f>
        <v>104.57</v>
      </c>
      <c r="F286" s="1">
        <f ca="1">IFERROR(__xludf.DUMMYFUNCTION("""COMPUTED_VALUE"""),32404516)</f>
        <v>32404516</v>
      </c>
    </row>
    <row r="287" spans="1:6" x14ac:dyDescent="0.35">
      <c r="A287" s="2">
        <f ca="1">IFERROR(__xludf.DUMMYFUNCTION("""COMPUTED_VALUE"""),42422.6666666666)</f>
        <v>42422.666666666599</v>
      </c>
      <c r="B287" s="1">
        <f ca="1">IFERROR(__xludf.DUMMYFUNCTION("""COMPUTED_VALUE"""),105.49)</f>
        <v>105.49</v>
      </c>
      <c r="C287" s="1">
        <f ca="1">IFERROR(__xludf.DUMMYFUNCTION("""COMPUTED_VALUE"""),108.25)</f>
        <v>108.25</v>
      </c>
      <c r="D287" s="1">
        <f ca="1">IFERROR(__xludf.DUMMYFUNCTION("""COMPUTED_VALUE"""),105.34)</f>
        <v>105.34</v>
      </c>
      <c r="E287" s="1">
        <f ca="1">IFERROR(__xludf.DUMMYFUNCTION("""COMPUTED_VALUE"""),107.16)</f>
        <v>107.16</v>
      </c>
      <c r="F287" s="1">
        <f ca="1">IFERROR(__xludf.DUMMYFUNCTION("""COMPUTED_VALUE"""),35709714)</f>
        <v>35709714</v>
      </c>
    </row>
    <row r="288" spans="1:6" x14ac:dyDescent="0.35">
      <c r="A288" s="2">
        <f ca="1">IFERROR(__xludf.DUMMYFUNCTION("""COMPUTED_VALUE"""),42423.6666666666)</f>
        <v>42423.666666666599</v>
      </c>
      <c r="B288" s="1">
        <f ca="1">IFERROR(__xludf.DUMMYFUNCTION("""COMPUTED_VALUE"""),106.85)</f>
        <v>106.85</v>
      </c>
      <c r="C288" s="1">
        <f ca="1">IFERROR(__xludf.DUMMYFUNCTION("""COMPUTED_VALUE"""),107.47)</f>
        <v>107.47</v>
      </c>
      <c r="D288" s="1">
        <f ca="1">IFERROR(__xludf.DUMMYFUNCTION("""COMPUTED_VALUE"""),105.12)</f>
        <v>105.12</v>
      </c>
      <c r="E288" s="1">
        <f ca="1">IFERROR(__xludf.DUMMYFUNCTION("""COMPUTED_VALUE"""),105.46)</f>
        <v>105.46</v>
      </c>
      <c r="F288" s="1">
        <f ca="1">IFERROR(__xludf.DUMMYFUNCTION("""COMPUTED_VALUE"""),25319315)</f>
        <v>25319315</v>
      </c>
    </row>
    <row r="289" spans="1:6" x14ac:dyDescent="0.35">
      <c r="A289" s="2">
        <f ca="1">IFERROR(__xludf.DUMMYFUNCTION("""COMPUTED_VALUE"""),42424.6666666666)</f>
        <v>42424.666666666599</v>
      </c>
      <c r="B289" s="1">
        <f ca="1">IFERROR(__xludf.DUMMYFUNCTION("""COMPUTED_VALUE"""),104.21)</f>
        <v>104.21</v>
      </c>
      <c r="C289" s="1">
        <f ca="1">IFERROR(__xludf.DUMMYFUNCTION("""COMPUTED_VALUE"""),106.95)</f>
        <v>106.95</v>
      </c>
      <c r="D289" s="1">
        <f ca="1">IFERROR(__xludf.DUMMYFUNCTION("""COMPUTED_VALUE"""),102.74)</f>
        <v>102.74</v>
      </c>
      <c r="E289" s="1">
        <f ca="1">IFERROR(__xludf.DUMMYFUNCTION("""COMPUTED_VALUE"""),106.88)</f>
        <v>106.88</v>
      </c>
      <c r="F289" s="1">
        <f ca="1">IFERROR(__xludf.DUMMYFUNCTION("""COMPUTED_VALUE"""),34412437)</f>
        <v>34412437</v>
      </c>
    </row>
    <row r="290" spans="1:6" x14ac:dyDescent="0.35">
      <c r="A290" s="2">
        <f ca="1">IFERROR(__xludf.DUMMYFUNCTION("""COMPUTED_VALUE"""),42425.6666666666)</f>
        <v>42425.666666666599</v>
      </c>
      <c r="B290" s="1">
        <f ca="1">IFERROR(__xludf.DUMMYFUNCTION("""COMPUTED_VALUE"""),107.11)</f>
        <v>107.11</v>
      </c>
      <c r="C290" s="1">
        <f ca="1">IFERROR(__xludf.DUMMYFUNCTION("""COMPUTED_VALUE"""),108.07)</f>
        <v>108.07</v>
      </c>
      <c r="D290" s="1">
        <f ca="1">IFERROR(__xludf.DUMMYFUNCTION("""COMPUTED_VALUE"""),105.61)</f>
        <v>105.61</v>
      </c>
      <c r="E290" s="1">
        <f ca="1">IFERROR(__xludf.DUMMYFUNCTION("""COMPUTED_VALUE"""),108.07)</f>
        <v>108.07</v>
      </c>
      <c r="F290" s="1">
        <f ca="1">IFERROR(__xludf.DUMMYFUNCTION("""COMPUTED_VALUE"""),29906278)</f>
        <v>29906278</v>
      </c>
    </row>
    <row r="291" spans="1:6" x14ac:dyDescent="0.35">
      <c r="A291" s="2">
        <f ca="1">IFERROR(__xludf.DUMMYFUNCTION("""COMPUTED_VALUE"""),42426.6666666666)</f>
        <v>42426.666666666599</v>
      </c>
      <c r="B291" s="1">
        <f ca="1">IFERROR(__xludf.DUMMYFUNCTION("""COMPUTED_VALUE"""),108.7)</f>
        <v>108.7</v>
      </c>
      <c r="C291" s="1">
        <f ca="1">IFERROR(__xludf.DUMMYFUNCTION("""COMPUTED_VALUE"""),109.45)</f>
        <v>109.45</v>
      </c>
      <c r="D291" s="1">
        <f ca="1">IFERROR(__xludf.DUMMYFUNCTION("""COMPUTED_VALUE"""),107.16)</f>
        <v>107.16</v>
      </c>
      <c r="E291" s="1">
        <f ca="1">IFERROR(__xludf.DUMMYFUNCTION("""COMPUTED_VALUE"""),107.92)</f>
        <v>107.92</v>
      </c>
      <c r="F291" s="1">
        <f ca="1">IFERROR(__xludf.DUMMYFUNCTION("""COMPUTED_VALUE"""),26686193)</f>
        <v>26686193</v>
      </c>
    </row>
    <row r="292" spans="1:6" x14ac:dyDescent="0.35">
      <c r="A292" s="2">
        <f ca="1">IFERROR(__xludf.DUMMYFUNCTION("""COMPUTED_VALUE"""),42429.6666666666)</f>
        <v>42429.666666666599</v>
      </c>
      <c r="B292" s="1">
        <f ca="1">IFERROR(__xludf.DUMMYFUNCTION("""COMPUTED_VALUE"""),107.6)</f>
        <v>107.6</v>
      </c>
      <c r="C292" s="1">
        <f ca="1">IFERROR(__xludf.DUMMYFUNCTION("""COMPUTED_VALUE"""),108.91)</f>
        <v>108.91</v>
      </c>
      <c r="D292" s="1">
        <f ca="1">IFERROR(__xludf.DUMMYFUNCTION("""COMPUTED_VALUE"""),106.75)</f>
        <v>106.75</v>
      </c>
      <c r="E292" s="1">
        <f ca="1">IFERROR(__xludf.DUMMYFUNCTION("""COMPUTED_VALUE"""),106.92)</f>
        <v>106.92</v>
      </c>
      <c r="F292" s="1">
        <f ca="1">IFERROR(__xludf.DUMMYFUNCTION("""COMPUTED_VALUE"""),32778992)</f>
        <v>32778992</v>
      </c>
    </row>
    <row r="293" spans="1:6" x14ac:dyDescent="0.35">
      <c r="A293" s="2">
        <f ca="1">IFERROR(__xludf.DUMMYFUNCTION("""COMPUTED_VALUE"""),42430.6666666666)</f>
        <v>42430.666666666599</v>
      </c>
      <c r="B293" s="1">
        <f ca="1">IFERROR(__xludf.DUMMYFUNCTION("""COMPUTED_VALUE"""),107.83)</f>
        <v>107.83</v>
      </c>
      <c r="C293" s="1">
        <f ca="1">IFERROR(__xludf.DUMMYFUNCTION("""COMPUTED_VALUE"""),109.82)</f>
        <v>109.82</v>
      </c>
      <c r="D293" s="1">
        <f ca="1">IFERROR(__xludf.DUMMYFUNCTION("""COMPUTED_VALUE"""),107.6)</f>
        <v>107.6</v>
      </c>
      <c r="E293" s="1">
        <f ca="1">IFERROR(__xludf.DUMMYFUNCTION("""COMPUTED_VALUE"""),109.82)</f>
        <v>109.82</v>
      </c>
      <c r="F293" s="1">
        <f ca="1">IFERROR(__xludf.DUMMYFUNCTION("""COMPUTED_VALUE"""),26817309)</f>
        <v>26817309</v>
      </c>
    </row>
    <row r="294" spans="1:6" x14ac:dyDescent="0.35">
      <c r="A294" s="2">
        <f ca="1">IFERROR(__xludf.DUMMYFUNCTION("""COMPUTED_VALUE"""),42431.6666666666)</f>
        <v>42431.666666666599</v>
      </c>
      <c r="B294" s="1">
        <f ca="1">IFERROR(__xludf.DUMMYFUNCTION("""COMPUTED_VALUE"""),109.68)</f>
        <v>109.68</v>
      </c>
      <c r="C294" s="1">
        <f ca="1">IFERROR(__xludf.DUMMYFUNCTION("""COMPUTED_VALUE"""),110.55)</f>
        <v>110.55</v>
      </c>
      <c r="D294" s="1">
        <f ca="1">IFERROR(__xludf.DUMMYFUNCTION("""COMPUTED_VALUE"""),108.77)</f>
        <v>108.77</v>
      </c>
      <c r="E294" s="1">
        <f ca="1">IFERROR(__xludf.DUMMYFUNCTION("""COMPUTED_VALUE"""),109.95)</f>
        <v>109.95</v>
      </c>
      <c r="F294" s="1">
        <f ca="1">IFERROR(__xludf.DUMMYFUNCTION("""COMPUTED_VALUE"""),25670170)</f>
        <v>25670170</v>
      </c>
    </row>
    <row r="295" spans="1:6" x14ac:dyDescent="0.35">
      <c r="A295" s="2">
        <f ca="1">IFERROR(__xludf.DUMMYFUNCTION("""COMPUTED_VALUE"""),42432.6666666666)</f>
        <v>42432.666666666599</v>
      </c>
      <c r="B295" s="1">
        <f ca="1">IFERROR(__xludf.DUMMYFUNCTION("""COMPUTED_VALUE"""),110.25)</f>
        <v>110.25</v>
      </c>
      <c r="C295" s="1">
        <f ca="1">IFERROR(__xludf.DUMMYFUNCTION("""COMPUTED_VALUE"""),110.3)</f>
        <v>110.3</v>
      </c>
      <c r="D295" s="1">
        <f ca="1">IFERROR(__xludf.DUMMYFUNCTION("""COMPUTED_VALUE"""),108.54)</f>
        <v>108.54</v>
      </c>
      <c r="E295" s="1">
        <f ca="1">IFERROR(__xludf.DUMMYFUNCTION("""COMPUTED_VALUE"""),109.58)</f>
        <v>109.58</v>
      </c>
      <c r="F295" s="1">
        <f ca="1">IFERROR(__xludf.DUMMYFUNCTION("""COMPUTED_VALUE"""),21353092)</f>
        <v>21353092</v>
      </c>
    </row>
    <row r="296" spans="1:6" x14ac:dyDescent="0.35">
      <c r="A296" s="2">
        <f ca="1">IFERROR(__xludf.DUMMYFUNCTION("""COMPUTED_VALUE"""),42433.6666666666)</f>
        <v>42433.666666666599</v>
      </c>
      <c r="B296" s="1">
        <f ca="1">IFERROR(__xludf.DUMMYFUNCTION("""COMPUTED_VALUE"""),110.05)</f>
        <v>110.05</v>
      </c>
      <c r="C296" s="1">
        <f ca="1">IFERROR(__xludf.DUMMYFUNCTION("""COMPUTED_VALUE"""),110.05)</f>
        <v>110.05</v>
      </c>
      <c r="D296" s="1">
        <f ca="1">IFERROR(__xludf.DUMMYFUNCTION("""COMPUTED_VALUE"""),107.93)</f>
        <v>107.93</v>
      </c>
      <c r="E296" s="1">
        <f ca="1">IFERROR(__xludf.DUMMYFUNCTION("""COMPUTED_VALUE"""),108.39)</f>
        <v>108.39</v>
      </c>
      <c r="F296" s="1">
        <f ca="1">IFERROR(__xludf.DUMMYFUNCTION("""COMPUTED_VALUE"""),24938858)</f>
        <v>24938858</v>
      </c>
    </row>
    <row r="297" spans="1:6" x14ac:dyDescent="0.35">
      <c r="A297" s="2">
        <f ca="1">IFERROR(__xludf.DUMMYFUNCTION("""COMPUTED_VALUE"""),42436.6666666666)</f>
        <v>42436.666666666599</v>
      </c>
      <c r="B297" s="1">
        <f ca="1">IFERROR(__xludf.DUMMYFUNCTION("""COMPUTED_VALUE"""),108.07)</f>
        <v>108.07</v>
      </c>
      <c r="C297" s="1">
        <f ca="1">IFERROR(__xludf.DUMMYFUNCTION("""COMPUTED_VALUE"""),108.07)</f>
        <v>108.07</v>
      </c>
      <c r="D297" s="1">
        <f ca="1">IFERROR(__xludf.DUMMYFUNCTION("""COMPUTED_VALUE"""),104.72)</f>
        <v>104.72</v>
      </c>
      <c r="E297" s="1">
        <f ca="1">IFERROR(__xludf.DUMMYFUNCTION("""COMPUTED_VALUE"""),105.73)</f>
        <v>105.73</v>
      </c>
      <c r="F297" s="1">
        <f ca="1">IFERROR(__xludf.DUMMYFUNCTION("""COMPUTED_VALUE"""),31534055)</f>
        <v>31534055</v>
      </c>
    </row>
    <row r="298" spans="1:6" x14ac:dyDescent="0.35">
      <c r="A298" s="2">
        <f ca="1">IFERROR(__xludf.DUMMYFUNCTION("""COMPUTED_VALUE"""),42437.6666666666)</f>
        <v>42437.666666666599</v>
      </c>
      <c r="B298" s="1">
        <f ca="1">IFERROR(__xludf.DUMMYFUNCTION("""COMPUTED_VALUE"""),104.78)</f>
        <v>104.78</v>
      </c>
      <c r="C298" s="1">
        <f ca="1">IFERROR(__xludf.DUMMYFUNCTION("""COMPUTED_VALUE"""),107.37)</f>
        <v>107.37</v>
      </c>
      <c r="D298" s="1">
        <f ca="1">IFERROR(__xludf.DUMMYFUNCTION("""COMPUTED_VALUE"""),104.4)</f>
        <v>104.4</v>
      </c>
      <c r="E298" s="1">
        <f ca="1">IFERROR(__xludf.DUMMYFUNCTION("""COMPUTED_VALUE"""),105.93)</f>
        <v>105.93</v>
      </c>
      <c r="F298" s="1">
        <f ca="1">IFERROR(__xludf.DUMMYFUNCTION("""COMPUTED_VALUE"""),25616963)</f>
        <v>25616963</v>
      </c>
    </row>
    <row r="299" spans="1:6" x14ac:dyDescent="0.35">
      <c r="A299" s="2">
        <f ca="1">IFERROR(__xludf.DUMMYFUNCTION("""COMPUTED_VALUE"""),42438.6666666666)</f>
        <v>42438.666666666599</v>
      </c>
      <c r="B299" s="1">
        <f ca="1">IFERROR(__xludf.DUMMYFUNCTION("""COMPUTED_VALUE"""),106.7)</f>
        <v>106.7</v>
      </c>
      <c r="C299" s="1">
        <f ca="1">IFERROR(__xludf.DUMMYFUNCTION("""COMPUTED_VALUE"""),107.51)</f>
        <v>107.51</v>
      </c>
      <c r="D299" s="1">
        <f ca="1">IFERROR(__xludf.DUMMYFUNCTION("""COMPUTED_VALUE"""),105.49)</f>
        <v>105.49</v>
      </c>
      <c r="E299" s="1">
        <f ca="1">IFERROR(__xludf.DUMMYFUNCTION("""COMPUTED_VALUE"""),107.51)</f>
        <v>107.51</v>
      </c>
      <c r="F299" s="1">
        <f ca="1">IFERROR(__xludf.DUMMYFUNCTION("""COMPUTED_VALUE"""),20493305)</f>
        <v>20493305</v>
      </c>
    </row>
    <row r="300" spans="1:6" x14ac:dyDescent="0.35">
      <c r="A300" s="2">
        <f ca="1">IFERROR(__xludf.DUMMYFUNCTION("""COMPUTED_VALUE"""),42439.6666666666)</f>
        <v>42439.666666666599</v>
      </c>
      <c r="B300" s="1">
        <f ca="1">IFERROR(__xludf.DUMMYFUNCTION("""COMPUTED_VALUE"""),107.91)</f>
        <v>107.91</v>
      </c>
      <c r="C300" s="1">
        <f ca="1">IFERROR(__xludf.DUMMYFUNCTION("""COMPUTED_VALUE"""),108.66)</f>
        <v>108.66</v>
      </c>
      <c r="D300" s="1">
        <f ca="1">IFERROR(__xludf.DUMMYFUNCTION("""COMPUTED_VALUE"""),105.77)</f>
        <v>105.77</v>
      </c>
      <c r="E300" s="1">
        <f ca="1">IFERROR(__xludf.DUMMYFUNCTION("""COMPUTED_VALUE"""),107.32)</f>
        <v>107.32</v>
      </c>
      <c r="F300" s="1">
        <f ca="1">IFERROR(__xludf.DUMMYFUNCTION("""COMPUTED_VALUE"""),24854284)</f>
        <v>24854284</v>
      </c>
    </row>
    <row r="301" spans="1:6" x14ac:dyDescent="0.35">
      <c r="A301" s="2">
        <f ca="1">IFERROR(__xludf.DUMMYFUNCTION("""COMPUTED_VALUE"""),42440.6666666666)</f>
        <v>42440.666666666599</v>
      </c>
      <c r="B301" s="1">
        <f ca="1">IFERROR(__xludf.DUMMYFUNCTION("""COMPUTED_VALUE"""),108.48)</f>
        <v>108.48</v>
      </c>
      <c r="C301" s="1">
        <f ca="1">IFERROR(__xludf.DUMMYFUNCTION("""COMPUTED_VALUE"""),109.42)</f>
        <v>109.42</v>
      </c>
      <c r="D301" s="1">
        <f ca="1">IFERROR(__xludf.DUMMYFUNCTION("""COMPUTED_VALUE"""),107.92)</f>
        <v>107.92</v>
      </c>
      <c r="E301" s="1">
        <f ca="1">IFERROR(__xludf.DUMMYFUNCTION("""COMPUTED_VALUE"""),109.41)</f>
        <v>109.41</v>
      </c>
      <c r="F301" s="1">
        <f ca="1">IFERROR(__xludf.DUMMYFUNCTION("""COMPUTED_VALUE"""),20697553)</f>
        <v>20697553</v>
      </c>
    </row>
    <row r="302" spans="1:6" x14ac:dyDescent="0.35">
      <c r="A302" s="2">
        <f ca="1">IFERROR(__xludf.DUMMYFUNCTION("""COMPUTED_VALUE"""),42443.6666666666)</f>
        <v>42443.666666666599</v>
      </c>
      <c r="B302" s="1">
        <f ca="1">IFERROR(__xludf.DUMMYFUNCTION("""COMPUTED_VALUE"""),109.28)</f>
        <v>109.28</v>
      </c>
      <c r="C302" s="1">
        <f ca="1">IFERROR(__xludf.DUMMYFUNCTION("""COMPUTED_VALUE"""),110.33)</f>
        <v>110.33</v>
      </c>
      <c r="D302" s="1">
        <f ca="1">IFERROR(__xludf.DUMMYFUNCTION("""COMPUTED_VALUE"""),108.77)</f>
        <v>108.77</v>
      </c>
      <c r="E302" s="1">
        <f ca="1">IFERROR(__xludf.DUMMYFUNCTION("""COMPUTED_VALUE"""),109.89)</f>
        <v>109.89</v>
      </c>
      <c r="F302" s="1">
        <f ca="1">IFERROR(__xludf.DUMMYFUNCTION("""COMPUTED_VALUE"""),17249365)</f>
        <v>17249365</v>
      </c>
    </row>
    <row r="303" spans="1:6" x14ac:dyDescent="0.35">
      <c r="A303" s="2">
        <f ca="1">IFERROR(__xludf.DUMMYFUNCTION("""COMPUTED_VALUE"""),42444.6666666666)</f>
        <v>42444.666666666599</v>
      </c>
      <c r="B303" s="1">
        <f ca="1">IFERROR(__xludf.DUMMYFUNCTION("""COMPUTED_VALUE"""),109.11)</f>
        <v>109.11</v>
      </c>
      <c r="C303" s="1">
        <f ca="1">IFERROR(__xludf.DUMMYFUNCTION("""COMPUTED_VALUE"""),110.83)</f>
        <v>110.83</v>
      </c>
      <c r="D303" s="1">
        <f ca="1">IFERROR(__xludf.DUMMYFUNCTION("""COMPUTED_VALUE"""),108.84)</f>
        <v>108.84</v>
      </c>
      <c r="E303" s="1">
        <f ca="1">IFERROR(__xludf.DUMMYFUNCTION("""COMPUTED_VALUE"""),110.67)</f>
        <v>110.67</v>
      </c>
      <c r="F303" s="1">
        <f ca="1">IFERROR(__xludf.DUMMYFUNCTION("""COMPUTED_VALUE"""),17618460)</f>
        <v>17618460</v>
      </c>
    </row>
    <row r="304" spans="1:6" x14ac:dyDescent="0.35">
      <c r="A304" s="2">
        <f ca="1">IFERROR(__xludf.DUMMYFUNCTION("""COMPUTED_VALUE"""),42445.6666666666)</f>
        <v>42445.666666666599</v>
      </c>
      <c r="B304" s="1">
        <f ca="1">IFERROR(__xludf.DUMMYFUNCTION("""COMPUTED_VALUE"""),110.49)</f>
        <v>110.49</v>
      </c>
      <c r="C304" s="1">
        <f ca="1">IFERROR(__xludf.DUMMYFUNCTION("""COMPUTED_VALUE"""),112.5)</f>
        <v>112.5</v>
      </c>
      <c r="D304" s="1">
        <f ca="1">IFERROR(__xludf.DUMMYFUNCTION("""COMPUTED_VALUE"""),110.1)</f>
        <v>110.1</v>
      </c>
      <c r="E304" s="1">
        <f ca="1">IFERROR(__xludf.DUMMYFUNCTION("""COMPUTED_VALUE"""),112.18)</f>
        <v>112.18</v>
      </c>
      <c r="F304" s="1">
        <f ca="1">IFERROR(__xludf.DUMMYFUNCTION("""COMPUTED_VALUE"""),24744778)</f>
        <v>24744778</v>
      </c>
    </row>
    <row r="305" spans="1:6" x14ac:dyDescent="0.35">
      <c r="A305" s="2">
        <f ca="1">IFERROR(__xludf.DUMMYFUNCTION("""COMPUTED_VALUE"""),42446.6666666666)</f>
        <v>42446.666666666599</v>
      </c>
      <c r="B305" s="1">
        <f ca="1">IFERROR(__xludf.DUMMYFUNCTION("""COMPUTED_VALUE"""),112.15)</f>
        <v>112.15</v>
      </c>
      <c r="C305" s="1">
        <f ca="1">IFERROR(__xludf.DUMMYFUNCTION("""COMPUTED_VALUE"""),112.69)</f>
        <v>112.69</v>
      </c>
      <c r="D305" s="1">
        <f ca="1">IFERROR(__xludf.DUMMYFUNCTION("""COMPUTED_VALUE"""),110.73)</f>
        <v>110.73</v>
      </c>
      <c r="E305" s="1">
        <f ca="1">IFERROR(__xludf.DUMMYFUNCTION("""COMPUTED_VALUE"""),111.02)</f>
        <v>111.02</v>
      </c>
      <c r="F305" s="1">
        <f ca="1">IFERROR(__xludf.DUMMYFUNCTION("""COMPUTED_VALUE"""),8014151)</f>
        <v>8014151</v>
      </c>
    </row>
    <row r="306" spans="1:6" x14ac:dyDescent="0.35">
      <c r="A306" s="2">
        <f ca="1">IFERROR(__xludf.DUMMYFUNCTION("""COMPUTED_VALUE"""),42447.6666666666)</f>
        <v>42447.666666666599</v>
      </c>
      <c r="B306" s="1">
        <f ca="1">IFERROR(__xludf.DUMMYFUNCTION("""COMPUTED_VALUE"""),111.56)</f>
        <v>111.56</v>
      </c>
      <c r="C306" s="1">
        <f ca="1">IFERROR(__xludf.DUMMYFUNCTION("""COMPUTED_VALUE"""),112.42)</f>
        <v>112.42</v>
      </c>
      <c r="D306" s="1">
        <f ca="1">IFERROR(__xludf.DUMMYFUNCTION("""COMPUTED_VALUE"""),110.27)</f>
        <v>110.27</v>
      </c>
      <c r="E306" s="1">
        <f ca="1">IFERROR(__xludf.DUMMYFUNCTION("""COMPUTED_VALUE"""),111.45)</f>
        <v>111.45</v>
      </c>
      <c r="F306" s="1">
        <f ca="1">IFERROR(__xludf.DUMMYFUNCTION("""COMPUTED_VALUE"""),36256877)</f>
        <v>36256877</v>
      </c>
    </row>
    <row r="307" spans="1:6" x14ac:dyDescent="0.35">
      <c r="A307" s="2">
        <f ca="1">IFERROR(__xludf.DUMMYFUNCTION("""COMPUTED_VALUE"""),42450.6666666666)</f>
        <v>42450.666666666599</v>
      </c>
      <c r="B307" s="1">
        <f ca="1">IFERROR(__xludf.DUMMYFUNCTION("""COMPUTED_VALUE"""),111.66)</f>
        <v>111.66</v>
      </c>
      <c r="C307" s="1">
        <f ca="1">IFERROR(__xludf.DUMMYFUNCTION("""COMPUTED_VALUE"""),112.37)</f>
        <v>112.37</v>
      </c>
      <c r="D307" s="1">
        <f ca="1">IFERROR(__xludf.DUMMYFUNCTION("""COMPUTED_VALUE"""),111.03)</f>
        <v>111.03</v>
      </c>
      <c r="E307" s="1">
        <f ca="1">IFERROR(__xludf.DUMMYFUNCTION("""COMPUTED_VALUE"""),111.85)</f>
        <v>111.85</v>
      </c>
      <c r="F307" s="1">
        <f ca="1">IFERROR(__xludf.DUMMYFUNCTION("""COMPUTED_VALUE"""),18447974)</f>
        <v>18447974</v>
      </c>
    </row>
    <row r="308" spans="1:6" x14ac:dyDescent="0.35">
      <c r="A308" s="2">
        <f ca="1">IFERROR(__xludf.DUMMYFUNCTION("""COMPUTED_VALUE"""),42451.6666666666)</f>
        <v>42451.666666666599</v>
      </c>
      <c r="B308" s="1">
        <f ca="1">IFERROR(__xludf.DUMMYFUNCTION("""COMPUTED_VALUE"""),111.36)</f>
        <v>111.36</v>
      </c>
      <c r="C308" s="1">
        <f ca="1">IFERROR(__xludf.DUMMYFUNCTION("""COMPUTED_VALUE"""),112.88)</f>
        <v>112.88</v>
      </c>
      <c r="D308" s="1">
        <f ca="1">IFERROR(__xludf.DUMMYFUNCTION("""COMPUTED_VALUE"""),111.17)</f>
        <v>111.17</v>
      </c>
      <c r="E308" s="1">
        <f ca="1">IFERROR(__xludf.DUMMYFUNCTION("""COMPUTED_VALUE"""),112.25)</f>
        <v>112.25</v>
      </c>
      <c r="F308" s="1">
        <f ca="1">IFERROR(__xludf.DUMMYFUNCTION("""COMPUTED_VALUE"""),19001076)</f>
        <v>19001076</v>
      </c>
    </row>
    <row r="309" spans="1:6" x14ac:dyDescent="0.35">
      <c r="A309" s="2">
        <f ca="1">IFERROR(__xludf.DUMMYFUNCTION("""COMPUTED_VALUE"""),42452.6666666666)</f>
        <v>42452.666666666599</v>
      </c>
      <c r="B309" s="1">
        <f ca="1">IFERROR(__xludf.DUMMYFUNCTION("""COMPUTED_VALUE"""),112.01)</f>
        <v>112.01</v>
      </c>
      <c r="C309" s="1">
        <f ca="1">IFERROR(__xludf.DUMMYFUNCTION("""COMPUTED_VALUE"""),113.19)</f>
        <v>113.19</v>
      </c>
      <c r="D309" s="1">
        <f ca="1">IFERROR(__xludf.DUMMYFUNCTION("""COMPUTED_VALUE"""),112)</f>
        <v>112</v>
      </c>
      <c r="E309" s="1">
        <f ca="1">IFERROR(__xludf.DUMMYFUNCTION("""COMPUTED_VALUE"""),112.54)</f>
        <v>112.54</v>
      </c>
      <c r="F309" s="1">
        <f ca="1">IFERROR(__xludf.DUMMYFUNCTION("""COMPUTED_VALUE"""),18561974)</f>
        <v>18561974</v>
      </c>
    </row>
    <row r="310" spans="1:6" x14ac:dyDescent="0.35">
      <c r="A310" s="2">
        <f ca="1">IFERROR(__xludf.DUMMYFUNCTION("""COMPUTED_VALUE"""),42453.6666666666)</f>
        <v>42453.666666666599</v>
      </c>
      <c r="B310" s="1">
        <f ca="1">IFERROR(__xludf.DUMMYFUNCTION("""COMPUTED_VALUE"""),112.13)</f>
        <v>112.13</v>
      </c>
      <c r="C310" s="1">
        <f ca="1">IFERROR(__xludf.DUMMYFUNCTION("""COMPUTED_VALUE"""),113.09)</f>
        <v>113.09</v>
      </c>
      <c r="D310" s="1">
        <f ca="1">IFERROR(__xludf.DUMMYFUNCTION("""COMPUTED_VALUE"""),111.68)</f>
        <v>111.68</v>
      </c>
      <c r="E310" s="1">
        <f ca="1">IFERROR(__xludf.DUMMYFUNCTION("""COMPUTED_VALUE"""),113.05)</f>
        <v>113.05</v>
      </c>
      <c r="F310" s="1">
        <f ca="1">IFERROR(__xludf.DUMMYFUNCTION("""COMPUTED_VALUE"""),17839119)</f>
        <v>17839119</v>
      </c>
    </row>
    <row r="311" spans="1:6" x14ac:dyDescent="0.35">
      <c r="A311" s="2">
        <f ca="1">IFERROR(__xludf.DUMMYFUNCTION("""COMPUTED_VALUE"""),42457.6666666666)</f>
        <v>42457.666666666599</v>
      </c>
      <c r="B311" s="1">
        <f ca="1">IFERROR(__xludf.DUMMYFUNCTION("""COMPUTED_VALUE"""),113.32)</f>
        <v>113.32</v>
      </c>
      <c r="C311" s="1">
        <f ca="1">IFERROR(__xludf.DUMMYFUNCTION("""COMPUTED_VALUE"""),114.59)</f>
        <v>114.59</v>
      </c>
      <c r="D311" s="1">
        <f ca="1">IFERROR(__xludf.DUMMYFUNCTION("""COMPUTED_VALUE"""),112.95)</f>
        <v>112.95</v>
      </c>
      <c r="E311" s="1">
        <f ca="1">IFERROR(__xludf.DUMMYFUNCTION("""COMPUTED_VALUE"""),113.69)</f>
        <v>113.69</v>
      </c>
      <c r="F311" s="1">
        <f ca="1">IFERROR(__xludf.DUMMYFUNCTION("""COMPUTED_VALUE"""),21351751)</f>
        <v>21351751</v>
      </c>
    </row>
    <row r="312" spans="1:6" x14ac:dyDescent="0.35">
      <c r="A312" s="2">
        <f ca="1">IFERROR(__xludf.DUMMYFUNCTION("""COMPUTED_VALUE"""),42458.6666666666)</f>
        <v>42458.666666666599</v>
      </c>
      <c r="B312" s="1">
        <f ca="1">IFERROR(__xludf.DUMMYFUNCTION("""COMPUTED_VALUE"""),113.83)</f>
        <v>113.83</v>
      </c>
      <c r="C312" s="1">
        <f ca="1">IFERROR(__xludf.DUMMYFUNCTION("""COMPUTED_VALUE"""),116.32)</f>
        <v>116.32</v>
      </c>
      <c r="D312" s="1">
        <f ca="1">IFERROR(__xludf.DUMMYFUNCTION("""COMPUTED_VALUE"""),113.64)</f>
        <v>113.64</v>
      </c>
      <c r="E312" s="1">
        <f ca="1">IFERROR(__xludf.DUMMYFUNCTION("""COMPUTED_VALUE"""),116.14)</f>
        <v>116.14</v>
      </c>
      <c r="F312" s="1">
        <f ca="1">IFERROR(__xludf.DUMMYFUNCTION("""COMPUTED_VALUE"""),29825340)</f>
        <v>29825340</v>
      </c>
    </row>
    <row r="313" spans="1:6" x14ac:dyDescent="0.35">
      <c r="A313" s="2">
        <f ca="1">IFERROR(__xludf.DUMMYFUNCTION("""COMPUTED_VALUE"""),42459.6666666666)</f>
        <v>42459.666666666599</v>
      </c>
      <c r="B313" s="1">
        <f ca="1">IFERROR(__xludf.DUMMYFUNCTION("""COMPUTED_VALUE"""),116.73)</f>
        <v>116.73</v>
      </c>
      <c r="C313" s="1">
        <f ca="1">IFERROR(__xludf.DUMMYFUNCTION("""COMPUTED_VALUE"""),116.99)</f>
        <v>116.99</v>
      </c>
      <c r="D313" s="1">
        <f ca="1">IFERROR(__xludf.DUMMYFUNCTION("""COMPUTED_VALUE"""),114.36)</f>
        <v>114.36</v>
      </c>
      <c r="E313" s="1">
        <f ca="1">IFERROR(__xludf.DUMMYFUNCTION("""COMPUTED_VALUE"""),114.7)</f>
        <v>114.7</v>
      </c>
      <c r="F313" s="1">
        <f ca="1">IFERROR(__xludf.DUMMYFUNCTION("""COMPUTED_VALUE"""),33235184)</f>
        <v>33235184</v>
      </c>
    </row>
    <row r="314" spans="1:6" x14ac:dyDescent="0.35">
      <c r="A314" s="2">
        <f ca="1">IFERROR(__xludf.DUMMYFUNCTION("""COMPUTED_VALUE"""),42460.6666666666)</f>
        <v>42460.666666666599</v>
      </c>
      <c r="B314" s="1">
        <f ca="1">IFERROR(__xludf.DUMMYFUNCTION("""COMPUTED_VALUE"""),114.7)</f>
        <v>114.7</v>
      </c>
      <c r="C314" s="1">
        <f ca="1">IFERROR(__xludf.DUMMYFUNCTION("""COMPUTED_VALUE"""),115.01)</f>
        <v>115.01</v>
      </c>
      <c r="D314" s="1">
        <f ca="1">IFERROR(__xludf.DUMMYFUNCTION("""COMPUTED_VALUE"""),113.77)</f>
        <v>113.77</v>
      </c>
      <c r="E314" s="1">
        <f ca="1">IFERROR(__xludf.DUMMYFUNCTION("""COMPUTED_VALUE"""),114.1)</f>
        <v>114.1</v>
      </c>
      <c r="F314" s="1">
        <f ca="1">IFERROR(__xludf.DUMMYFUNCTION("""COMPUTED_VALUE"""),21207526)</f>
        <v>21207526</v>
      </c>
    </row>
    <row r="315" spans="1:6" x14ac:dyDescent="0.35">
      <c r="A315" s="2">
        <f ca="1">IFERROR(__xludf.DUMMYFUNCTION("""COMPUTED_VALUE"""),42461.6666666666)</f>
        <v>42461.666666666599</v>
      </c>
      <c r="B315" s="1">
        <f ca="1">IFERROR(__xludf.DUMMYFUNCTION("""COMPUTED_VALUE"""),113.75)</f>
        <v>113.75</v>
      </c>
      <c r="C315" s="1">
        <f ca="1">IFERROR(__xludf.DUMMYFUNCTION("""COMPUTED_VALUE"""),116.17)</f>
        <v>116.17</v>
      </c>
      <c r="D315" s="1">
        <f ca="1">IFERROR(__xludf.DUMMYFUNCTION("""COMPUTED_VALUE"""),113.35)</f>
        <v>113.35</v>
      </c>
      <c r="E315" s="1">
        <f ca="1">IFERROR(__xludf.DUMMYFUNCTION("""COMPUTED_VALUE"""),116.06)</f>
        <v>116.06</v>
      </c>
      <c r="F315" s="1">
        <f ca="1">IFERROR(__xludf.DUMMYFUNCTION("""COMPUTED_VALUE"""),24760504)</f>
        <v>24760504</v>
      </c>
    </row>
    <row r="316" spans="1:6" x14ac:dyDescent="0.35">
      <c r="A316" s="2">
        <f ca="1">IFERROR(__xludf.DUMMYFUNCTION("""COMPUTED_VALUE"""),42464.6666666666)</f>
        <v>42464.666666666599</v>
      </c>
      <c r="B316" s="1">
        <f ca="1">IFERROR(__xludf.DUMMYFUNCTION("""COMPUTED_VALUE"""),114.07)</f>
        <v>114.07</v>
      </c>
      <c r="C316" s="1">
        <f ca="1">IFERROR(__xludf.DUMMYFUNCTION("""COMPUTED_VALUE"""),114.55)</f>
        <v>114.55</v>
      </c>
      <c r="D316" s="1">
        <f ca="1">IFERROR(__xludf.DUMMYFUNCTION("""COMPUTED_VALUE"""),111.61)</f>
        <v>111.61</v>
      </c>
      <c r="E316" s="1">
        <f ca="1">IFERROR(__xludf.DUMMYFUNCTION("""COMPUTED_VALUE"""),112.55)</f>
        <v>112.55</v>
      </c>
      <c r="F316" s="1">
        <f ca="1">IFERROR(__xludf.DUMMYFUNCTION("""COMPUTED_VALUE"""),48487913)</f>
        <v>48487913</v>
      </c>
    </row>
    <row r="317" spans="1:6" x14ac:dyDescent="0.35">
      <c r="A317" s="2">
        <f ca="1">IFERROR(__xludf.DUMMYFUNCTION("""COMPUTED_VALUE"""),42465.6666666666)</f>
        <v>42465.666666666599</v>
      </c>
      <c r="B317" s="1">
        <f ca="1">IFERROR(__xludf.DUMMYFUNCTION("""COMPUTED_VALUE"""),112.11)</f>
        <v>112.11</v>
      </c>
      <c r="C317" s="1">
        <f ca="1">IFERROR(__xludf.DUMMYFUNCTION("""COMPUTED_VALUE"""),113.32)</f>
        <v>113.32</v>
      </c>
      <c r="D317" s="1">
        <f ca="1">IFERROR(__xludf.DUMMYFUNCTION("""COMPUTED_VALUE"""),111.9)</f>
        <v>111.9</v>
      </c>
      <c r="E317" s="1">
        <f ca="1">IFERROR(__xludf.DUMMYFUNCTION("""COMPUTED_VALUE"""),112.22)</f>
        <v>112.22</v>
      </c>
      <c r="F317" s="1">
        <f ca="1">IFERROR(__xludf.DUMMYFUNCTION("""COMPUTED_VALUE"""),22962365)</f>
        <v>22962365</v>
      </c>
    </row>
    <row r="318" spans="1:6" x14ac:dyDescent="0.35">
      <c r="A318" s="2">
        <f ca="1">IFERROR(__xludf.DUMMYFUNCTION("""COMPUTED_VALUE"""),42466.6666666666)</f>
        <v>42466.666666666599</v>
      </c>
      <c r="B318" s="1">
        <f ca="1">IFERROR(__xludf.DUMMYFUNCTION("""COMPUTED_VALUE"""),112.47)</f>
        <v>112.47</v>
      </c>
      <c r="C318" s="1">
        <f ca="1">IFERROR(__xludf.DUMMYFUNCTION("""COMPUTED_VALUE"""),113.81)</f>
        <v>113.81</v>
      </c>
      <c r="D318" s="1">
        <f ca="1">IFERROR(__xludf.DUMMYFUNCTION("""COMPUTED_VALUE"""),112.42)</f>
        <v>112.42</v>
      </c>
      <c r="E318" s="1">
        <f ca="1">IFERROR(__xludf.DUMMYFUNCTION("""COMPUTED_VALUE"""),113.71)</f>
        <v>113.71</v>
      </c>
      <c r="F318" s="1">
        <f ca="1">IFERROR(__xludf.DUMMYFUNCTION("""COMPUTED_VALUE"""),20814640)</f>
        <v>20814640</v>
      </c>
    </row>
    <row r="319" spans="1:6" x14ac:dyDescent="0.35">
      <c r="A319" s="2">
        <f ca="1">IFERROR(__xludf.DUMMYFUNCTION("""COMPUTED_VALUE"""),42467.6666666666)</f>
        <v>42467.666666666599</v>
      </c>
      <c r="B319" s="1">
        <f ca="1">IFERROR(__xludf.DUMMYFUNCTION("""COMPUTED_VALUE"""),113.79)</f>
        <v>113.79</v>
      </c>
      <c r="C319" s="1">
        <f ca="1">IFERROR(__xludf.DUMMYFUNCTION("""COMPUTED_VALUE"""),114.89)</f>
        <v>114.89</v>
      </c>
      <c r="D319" s="1">
        <f ca="1">IFERROR(__xludf.DUMMYFUNCTION("""COMPUTED_VALUE"""),113.07)</f>
        <v>113.07</v>
      </c>
      <c r="E319" s="1">
        <f ca="1">IFERROR(__xludf.DUMMYFUNCTION("""COMPUTED_VALUE"""),113.64)</f>
        <v>113.64</v>
      </c>
      <c r="F319" s="1">
        <f ca="1">IFERROR(__xludf.DUMMYFUNCTION("""COMPUTED_VALUE"""),20714537)</f>
        <v>20714537</v>
      </c>
    </row>
    <row r="320" spans="1:6" x14ac:dyDescent="0.35">
      <c r="A320" s="2">
        <f ca="1">IFERROR(__xludf.DUMMYFUNCTION("""COMPUTED_VALUE"""),42468.6666666666)</f>
        <v>42468.666666666599</v>
      </c>
      <c r="B320" s="1">
        <f ca="1">IFERROR(__xludf.DUMMYFUNCTION("""COMPUTED_VALUE"""),114.25)</f>
        <v>114.25</v>
      </c>
      <c r="C320" s="1">
        <f ca="1">IFERROR(__xludf.DUMMYFUNCTION("""COMPUTED_VALUE"""),114.33)</f>
        <v>114.33</v>
      </c>
      <c r="D320" s="1">
        <f ca="1">IFERROR(__xludf.DUMMYFUNCTION("""COMPUTED_VALUE"""),109.9)</f>
        <v>109.9</v>
      </c>
      <c r="E320" s="1">
        <f ca="1">IFERROR(__xludf.DUMMYFUNCTION("""COMPUTED_VALUE"""),110.63)</f>
        <v>110.63</v>
      </c>
      <c r="F320" s="1">
        <f ca="1">IFERROR(__xludf.DUMMYFUNCTION("""COMPUTED_VALUE"""),48497808)</f>
        <v>48497808</v>
      </c>
    </row>
    <row r="321" spans="1:6" x14ac:dyDescent="0.35">
      <c r="A321" s="2">
        <f ca="1">IFERROR(__xludf.DUMMYFUNCTION("""COMPUTED_VALUE"""),42471.6666666666)</f>
        <v>42471.666666666599</v>
      </c>
      <c r="B321" s="1">
        <f ca="1">IFERROR(__xludf.DUMMYFUNCTION("""COMPUTED_VALUE"""),110.7)</f>
        <v>110.7</v>
      </c>
      <c r="C321" s="1">
        <f ca="1">IFERROR(__xludf.DUMMYFUNCTION("""COMPUTED_VALUE"""),110.91)</f>
        <v>110.91</v>
      </c>
      <c r="D321" s="1">
        <f ca="1">IFERROR(__xludf.DUMMYFUNCTION("""COMPUTED_VALUE"""),108.77)</f>
        <v>108.77</v>
      </c>
      <c r="E321" s="1">
        <f ca="1">IFERROR(__xludf.DUMMYFUNCTION("""COMPUTED_VALUE"""),108.99)</f>
        <v>108.99</v>
      </c>
      <c r="F321" s="1">
        <f ca="1">IFERROR(__xludf.DUMMYFUNCTION("""COMPUTED_VALUE"""),39762304)</f>
        <v>39762304</v>
      </c>
    </row>
    <row r="322" spans="1:6" x14ac:dyDescent="0.35">
      <c r="A322" s="2">
        <f ca="1">IFERROR(__xludf.DUMMYFUNCTION("""COMPUTED_VALUE"""),42472.6666666666)</f>
        <v>42472.666666666599</v>
      </c>
      <c r="B322" s="1">
        <f ca="1">IFERROR(__xludf.DUMMYFUNCTION("""COMPUTED_VALUE"""),109.34)</f>
        <v>109.34</v>
      </c>
      <c r="C322" s="1">
        <f ca="1">IFERROR(__xludf.DUMMYFUNCTION("""COMPUTED_VALUE"""),111.16)</f>
        <v>111.16</v>
      </c>
      <c r="D322" s="1">
        <f ca="1">IFERROR(__xludf.DUMMYFUNCTION("""COMPUTED_VALUE"""),108.99)</f>
        <v>108.99</v>
      </c>
      <c r="E322" s="1">
        <f ca="1">IFERROR(__xludf.DUMMYFUNCTION("""COMPUTED_VALUE"""),110.61)</f>
        <v>110.61</v>
      </c>
      <c r="F322" s="1">
        <f ca="1">IFERROR(__xludf.DUMMYFUNCTION("""COMPUTED_VALUE"""),26248081)</f>
        <v>26248081</v>
      </c>
    </row>
    <row r="323" spans="1:6" x14ac:dyDescent="0.35">
      <c r="A323" s="2">
        <f ca="1">IFERROR(__xludf.DUMMYFUNCTION("""COMPUTED_VALUE"""),42473.6666666666)</f>
        <v>42473.666666666599</v>
      </c>
      <c r="B323" s="1">
        <f ca="1">IFERROR(__xludf.DUMMYFUNCTION("""COMPUTED_VALUE"""),112.23)</f>
        <v>112.23</v>
      </c>
      <c r="C323" s="1">
        <f ca="1">IFERROR(__xludf.DUMMYFUNCTION("""COMPUTED_VALUE"""),112.65)</f>
        <v>112.65</v>
      </c>
      <c r="D323" s="1">
        <f ca="1">IFERROR(__xludf.DUMMYFUNCTION("""COMPUTED_VALUE"""),106.52)</f>
        <v>106.52</v>
      </c>
      <c r="E323" s="1">
        <f ca="1">IFERROR(__xludf.DUMMYFUNCTION("""COMPUTED_VALUE"""),110.51)</f>
        <v>110.51</v>
      </c>
      <c r="F323" s="1">
        <f ca="1">IFERROR(__xludf.DUMMYFUNCTION("""COMPUTED_VALUE"""),88227393)</f>
        <v>88227393</v>
      </c>
    </row>
    <row r="324" spans="1:6" x14ac:dyDescent="0.35">
      <c r="A324" s="2">
        <f ca="1">IFERROR(__xludf.DUMMYFUNCTION("""COMPUTED_VALUE"""),42474.6666666666)</f>
        <v>42474.666666666599</v>
      </c>
      <c r="B324" s="1">
        <f ca="1">IFERROR(__xludf.DUMMYFUNCTION("""COMPUTED_VALUE"""),110.62)</f>
        <v>110.62</v>
      </c>
      <c r="C324" s="1">
        <f ca="1">IFERROR(__xludf.DUMMYFUNCTION("""COMPUTED_VALUE"""),112.04)</f>
        <v>112.04</v>
      </c>
      <c r="D324" s="1">
        <f ca="1">IFERROR(__xludf.DUMMYFUNCTION("""COMPUTED_VALUE"""),110.26)</f>
        <v>110.26</v>
      </c>
      <c r="E324" s="1">
        <f ca="1">IFERROR(__xludf.DUMMYFUNCTION("""COMPUTED_VALUE"""),110.84)</f>
        <v>110.84</v>
      </c>
      <c r="F324" s="1">
        <f ca="1">IFERROR(__xludf.DUMMYFUNCTION("""COMPUTED_VALUE"""),28473322)</f>
        <v>28473322</v>
      </c>
    </row>
    <row r="325" spans="1:6" x14ac:dyDescent="0.35">
      <c r="A325" s="2">
        <f ca="1">IFERROR(__xludf.DUMMYFUNCTION("""COMPUTED_VALUE"""),42475.6666666666)</f>
        <v>42475.666666666599</v>
      </c>
      <c r="B325" s="1">
        <f ca="1">IFERROR(__xludf.DUMMYFUNCTION("""COMPUTED_VALUE"""),110.79)</f>
        <v>110.79</v>
      </c>
      <c r="C325" s="1">
        <f ca="1">IFERROR(__xludf.DUMMYFUNCTION("""COMPUTED_VALUE"""),110.97)</f>
        <v>110.97</v>
      </c>
      <c r="D325" s="1">
        <f ca="1">IFERROR(__xludf.DUMMYFUNCTION("""COMPUTED_VALUE"""),109.2)</f>
        <v>109.2</v>
      </c>
      <c r="E325" s="1">
        <f ca="1">IFERROR(__xludf.DUMMYFUNCTION("""COMPUTED_VALUE"""),109.64)</f>
        <v>109.64</v>
      </c>
      <c r="F325" s="1">
        <f ca="1">IFERROR(__xludf.DUMMYFUNCTION("""COMPUTED_VALUE"""),20922803)</f>
        <v>20922803</v>
      </c>
    </row>
    <row r="326" spans="1:6" x14ac:dyDescent="0.35">
      <c r="A326" s="2">
        <f ca="1">IFERROR(__xludf.DUMMYFUNCTION("""COMPUTED_VALUE"""),42478.6666666666)</f>
        <v>42478.666666666599</v>
      </c>
      <c r="B326" s="1">
        <f ca="1">IFERROR(__xludf.DUMMYFUNCTION("""COMPUTED_VALUE"""),109.74)</f>
        <v>109.74</v>
      </c>
      <c r="C326" s="1">
        <f ca="1">IFERROR(__xludf.DUMMYFUNCTION("""COMPUTED_VALUE"""),110.81)</f>
        <v>110.81</v>
      </c>
      <c r="D326" s="1">
        <f ca="1">IFERROR(__xludf.DUMMYFUNCTION("""COMPUTED_VALUE"""),109.2)</f>
        <v>109.2</v>
      </c>
      <c r="E326" s="1">
        <f ca="1">IFERROR(__xludf.DUMMYFUNCTION("""COMPUTED_VALUE"""),110.45)</f>
        <v>110.45</v>
      </c>
      <c r="F326" s="1">
        <f ca="1">IFERROR(__xludf.DUMMYFUNCTION("""COMPUTED_VALUE"""),21167199)</f>
        <v>21167199</v>
      </c>
    </row>
    <row r="327" spans="1:6" x14ac:dyDescent="0.35">
      <c r="A327" s="2">
        <f ca="1">IFERROR(__xludf.DUMMYFUNCTION("""COMPUTED_VALUE"""),42479.6666666666)</f>
        <v>42479.666666666599</v>
      </c>
      <c r="B327" s="1">
        <f ca="1">IFERROR(__xludf.DUMMYFUNCTION("""COMPUTED_VALUE"""),111.1)</f>
        <v>111.1</v>
      </c>
      <c r="C327" s="1">
        <f ca="1">IFERROR(__xludf.DUMMYFUNCTION("""COMPUTED_VALUE"""),112.45)</f>
        <v>112.45</v>
      </c>
      <c r="D327" s="1">
        <f ca="1">IFERROR(__xludf.DUMMYFUNCTION("""COMPUTED_VALUE"""),109.16)</f>
        <v>109.16</v>
      </c>
      <c r="E327" s="1">
        <f ca="1">IFERROR(__xludf.DUMMYFUNCTION("""COMPUTED_VALUE"""),112.29)</f>
        <v>112.29</v>
      </c>
      <c r="F327" s="1">
        <f ca="1">IFERROR(__xludf.DUMMYFUNCTION("""COMPUTED_VALUE"""),30210455)</f>
        <v>30210455</v>
      </c>
    </row>
    <row r="328" spans="1:6" x14ac:dyDescent="0.35">
      <c r="A328" s="2">
        <f ca="1">IFERROR(__xludf.DUMMYFUNCTION("""COMPUTED_VALUE"""),42480.6666666666)</f>
        <v>42480.666666666599</v>
      </c>
      <c r="B328" s="1">
        <f ca="1">IFERROR(__xludf.DUMMYFUNCTION("""COMPUTED_VALUE"""),112.43)</f>
        <v>112.43</v>
      </c>
      <c r="C328" s="1">
        <f ca="1">IFERROR(__xludf.DUMMYFUNCTION("""COMPUTED_VALUE"""),113.27)</f>
        <v>113.27</v>
      </c>
      <c r="D328" s="1">
        <f ca="1">IFERROR(__xludf.DUMMYFUNCTION("""COMPUTED_VALUE"""),111.56)</f>
        <v>111.56</v>
      </c>
      <c r="E328" s="1">
        <f ca="1">IFERROR(__xludf.DUMMYFUNCTION("""COMPUTED_VALUE"""),112.42)</f>
        <v>112.42</v>
      </c>
      <c r="F328" s="1">
        <f ca="1">IFERROR(__xludf.DUMMYFUNCTION("""COMPUTED_VALUE"""),21027901)</f>
        <v>21027901</v>
      </c>
    </row>
    <row r="329" spans="1:6" x14ac:dyDescent="0.35">
      <c r="A329" s="2">
        <f ca="1">IFERROR(__xludf.DUMMYFUNCTION("""COMPUTED_VALUE"""),42481.6666666666)</f>
        <v>42481.666666666599</v>
      </c>
      <c r="B329" s="1">
        <f ca="1">IFERROR(__xludf.DUMMYFUNCTION("""COMPUTED_VALUE"""),112.55)</f>
        <v>112.55</v>
      </c>
      <c r="C329" s="1">
        <f ca="1">IFERROR(__xludf.DUMMYFUNCTION("""COMPUTED_VALUE"""),114.04)</f>
        <v>114.04</v>
      </c>
      <c r="D329" s="1">
        <f ca="1">IFERROR(__xludf.DUMMYFUNCTION("""COMPUTED_VALUE"""),112.31)</f>
        <v>112.31</v>
      </c>
      <c r="E329" s="1">
        <f ca="1">IFERROR(__xludf.DUMMYFUNCTION("""COMPUTED_VALUE"""),113.44)</f>
        <v>113.44</v>
      </c>
      <c r="F329" s="1">
        <f ca="1">IFERROR(__xludf.DUMMYFUNCTION("""COMPUTED_VALUE"""),20875230)</f>
        <v>20875230</v>
      </c>
    </row>
    <row r="330" spans="1:6" x14ac:dyDescent="0.35">
      <c r="A330" s="2">
        <f ca="1">IFERROR(__xludf.DUMMYFUNCTION("""COMPUTED_VALUE"""),42482.6666666666)</f>
        <v>42482.666666666599</v>
      </c>
      <c r="B330" s="1">
        <f ca="1">IFERROR(__xludf.DUMMYFUNCTION("""COMPUTED_VALUE"""),111.21)</f>
        <v>111.21</v>
      </c>
      <c r="C330" s="1">
        <f ca="1">IFERROR(__xludf.DUMMYFUNCTION("""COMPUTED_VALUE"""),111.75)</f>
        <v>111.75</v>
      </c>
      <c r="D330" s="1">
        <f ca="1">IFERROR(__xludf.DUMMYFUNCTION("""COMPUTED_VALUE"""),109.01)</f>
        <v>109.01</v>
      </c>
      <c r="E330" s="1">
        <f ca="1">IFERROR(__xludf.DUMMYFUNCTION("""COMPUTED_VALUE"""),110.56)</f>
        <v>110.56</v>
      </c>
      <c r="F330" s="1">
        <f ca="1">IFERROR(__xludf.DUMMYFUNCTION("""COMPUTED_VALUE"""),38458201)</f>
        <v>38458201</v>
      </c>
    </row>
    <row r="331" spans="1:6" x14ac:dyDescent="0.35">
      <c r="A331" s="2">
        <f ca="1">IFERROR(__xludf.DUMMYFUNCTION("""COMPUTED_VALUE"""),42485.6666666666)</f>
        <v>42485.666666666599</v>
      </c>
      <c r="B331" s="1">
        <f ca="1">IFERROR(__xludf.DUMMYFUNCTION("""COMPUTED_VALUE"""),109.87)</f>
        <v>109.87</v>
      </c>
      <c r="C331" s="1">
        <f ca="1">IFERROR(__xludf.DUMMYFUNCTION("""COMPUTED_VALUE"""),110.67)</f>
        <v>110.67</v>
      </c>
      <c r="D331" s="1">
        <f ca="1">IFERROR(__xludf.DUMMYFUNCTION("""COMPUTED_VALUE"""),109.07)</f>
        <v>109.07</v>
      </c>
      <c r="E331" s="1">
        <f ca="1">IFERROR(__xludf.DUMMYFUNCTION("""COMPUTED_VALUE"""),110.1)</f>
        <v>110.1</v>
      </c>
      <c r="F331" s="1">
        <f ca="1">IFERROR(__xludf.DUMMYFUNCTION("""COMPUTED_VALUE"""),21017895)</f>
        <v>21017895</v>
      </c>
    </row>
    <row r="332" spans="1:6" x14ac:dyDescent="0.35">
      <c r="A332" s="2">
        <f ca="1">IFERROR(__xludf.DUMMYFUNCTION("""COMPUTED_VALUE"""),42486.6666666666)</f>
        <v>42486.666666666599</v>
      </c>
      <c r="B332" s="1">
        <f ca="1">IFERROR(__xludf.DUMMYFUNCTION("""COMPUTED_VALUE"""),110.49)</f>
        <v>110.49</v>
      </c>
      <c r="C332" s="1">
        <f ca="1">IFERROR(__xludf.DUMMYFUNCTION("""COMPUTED_VALUE"""),110.5)</f>
        <v>110.5</v>
      </c>
      <c r="D332" s="1">
        <f ca="1">IFERROR(__xludf.DUMMYFUNCTION("""COMPUTED_VALUE"""),108.15)</f>
        <v>108.15</v>
      </c>
      <c r="E332" s="1">
        <f ca="1">IFERROR(__xludf.DUMMYFUNCTION("""COMPUTED_VALUE"""),108.76)</f>
        <v>108.76</v>
      </c>
      <c r="F332" s="1">
        <f ca="1">IFERROR(__xludf.DUMMYFUNCTION("""COMPUTED_VALUE"""),22521534)</f>
        <v>22521534</v>
      </c>
    </row>
    <row r="333" spans="1:6" x14ac:dyDescent="0.35">
      <c r="A333" s="2">
        <f ca="1">IFERROR(__xludf.DUMMYFUNCTION("""COMPUTED_VALUE"""),42487.6666666666)</f>
        <v>42487.666666666599</v>
      </c>
      <c r="B333" s="1">
        <f ca="1">IFERROR(__xludf.DUMMYFUNCTION("""COMPUTED_VALUE"""),107.94)</f>
        <v>107.94</v>
      </c>
      <c r="C333" s="1">
        <f ca="1">IFERROR(__xludf.DUMMYFUNCTION("""COMPUTED_VALUE"""),108.94)</f>
        <v>108.94</v>
      </c>
      <c r="D333" s="1">
        <f ca="1">IFERROR(__xludf.DUMMYFUNCTION("""COMPUTED_VALUE"""),106.31)</f>
        <v>106.31</v>
      </c>
      <c r="E333" s="1">
        <f ca="1">IFERROR(__xludf.DUMMYFUNCTION("""COMPUTED_VALUE"""),108.89)</f>
        <v>108.89</v>
      </c>
      <c r="F333" s="1">
        <f ca="1">IFERROR(__xludf.DUMMYFUNCTION("""COMPUTED_VALUE"""),52213107)</f>
        <v>52213107</v>
      </c>
    </row>
    <row r="334" spans="1:6" x14ac:dyDescent="0.35">
      <c r="A334" s="2">
        <f ca="1">IFERROR(__xludf.DUMMYFUNCTION("""COMPUTED_VALUE"""),42488.6666666666)</f>
        <v>42488.666666666599</v>
      </c>
      <c r="B334" s="1">
        <f ca="1">IFERROR(__xludf.DUMMYFUNCTION("""COMPUTED_VALUE"""),119.58)</f>
        <v>119.58</v>
      </c>
      <c r="C334" s="1">
        <f ca="1">IFERROR(__xludf.DUMMYFUNCTION("""COMPUTED_VALUE"""),120.79)</f>
        <v>120.79</v>
      </c>
      <c r="D334" s="1">
        <f ca="1">IFERROR(__xludf.DUMMYFUNCTION("""COMPUTED_VALUE"""),116.23)</f>
        <v>116.23</v>
      </c>
      <c r="E334" s="1">
        <f ca="1">IFERROR(__xludf.DUMMYFUNCTION("""COMPUTED_VALUE"""),116.73)</f>
        <v>116.73</v>
      </c>
      <c r="F334" s="1">
        <f ca="1">IFERROR(__xludf.DUMMYFUNCTION("""COMPUTED_VALUE"""),87110080)</f>
        <v>87110080</v>
      </c>
    </row>
    <row r="335" spans="1:6" x14ac:dyDescent="0.35">
      <c r="A335" s="2">
        <f ca="1">IFERROR(__xludf.DUMMYFUNCTION("""COMPUTED_VALUE"""),42489.6666666666)</f>
        <v>42489.666666666599</v>
      </c>
      <c r="B335" s="1">
        <f ca="1">IFERROR(__xludf.DUMMYFUNCTION("""COMPUTED_VALUE"""),116.82)</f>
        <v>116.82</v>
      </c>
      <c r="C335" s="1">
        <f ca="1">IFERROR(__xludf.DUMMYFUNCTION("""COMPUTED_VALUE"""),117.84)</f>
        <v>117.84</v>
      </c>
      <c r="D335" s="1">
        <f ca="1">IFERROR(__xludf.DUMMYFUNCTION("""COMPUTED_VALUE"""),115.84)</f>
        <v>115.84</v>
      </c>
      <c r="E335" s="1">
        <f ca="1">IFERROR(__xludf.DUMMYFUNCTION("""COMPUTED_VALUE"""),117.58)</f>
        <v>117.58</v>
      </c>
      <c r="F335" s="1">
        <f ca="1">IFERROR(__xludf.DUMMYFUNCTION("""COMPUTED_VALUE"""),37140594)</f>
        <v>37140594</v>
      </c>
    </row>
    <row r="336" spans="1:6" x14ac:dyDescent="0.35">
      <c r="A336" s="2">
        <f ca="1">IFERROR(__xludf.DUMMYFUNCTION("""COMPUTED_VALUE"""),42492.6666666666)</f>
        <v>42492.666666666599</v>
      </c>
      <c r="B336" s="1">
        <f ca="1">IFERROR(__xludf.DUMMYFUNCTION("""COMPUTED_VALUE"""),117.83)</f>
        <v>117.83</v>
      </c>
      <c r="C336" s="1">
        <f ca="1">IFERROR(__xludf.DUMMYFUNCTION("""COMPUTED_VALUE"""),118.73)</f>
        <v>118.73</v>
      </c>
      <c r="D336" s="1">
        <f ca="1">IFERROR(__xludf.DUMMYFUNCTION("""COMPUTED_VALUE"""),116.57)</f>
        <v>116.57</v>
      </c>
      <c r="E336" s="1">
        <f ca="1">IFERROR(__xludf.DUMMYFUNCTION("""COMPUTED_VALUE"""),118.57)</f>
        <v>118.57</v>
      </c>
      <c r="F336" s="1">
        <f ca="1">IFERROR(__xludf.DUMMYFUNCTION("""COMPUTED_VALUE"""),28095168)</f>
        <v>28095168</v>
      </c>
    </row>
    <row r="337" spans="1:6" x14ac:dyDescent="0.35">
      <c r="A337" s="2">
        <f ca="1">IFERROR(__xludf.DUMMYFUNCTION("""COMPUTED_VALUE"""),42493.6666666666)</f>
        <v>42493.666666666599</v>
      </c>
      <c r="B337" s="1">
        <f ca="1">IFERROR(__xludf.DUMMYFUNCTION("""COMPUTED_VALUE"""),117.52)</f>
        <v>117.52</v>
      </c>
      <c r="C337" s="1">
        <f ca="1">IFERROR(__xludf.DUMMYFUNCTION("""COMPUTED_VALUE"""),118.16)</f>
        <v>118.16</v>
      </c>
      <c r="D337" s="1">
        <f ca="1">IFERROR(__xludf.DUMMYFUNCTION("""COMPUTED_VALUE"""),117.02)</f>
        <v>117.02</v>
      </c>
      <c r="E337" s="1">
        <f ca="1">IFERROR(__xludf.DUMMYFUNCTION("""COMPUTED_VALUE"""),117.43)</f>
        <v>117.43</v>
      </c>
      <c r="F337" s="1">
        <f ca="1">IFERROR(__xludf.DUMMYFUNCTION("""COMPUTED_VALUE"""),24117463)</f>
        <v>24117463</v>
      </c>
    </row>
    <row r="338" spans="1:6" x14ac:dyDescent="0.35">
      <c r="A338" s="2">
        <f ca="1">IFERROR(__xludf.DUMMYFUNCTION("""COMPUTED_VALUE"""),42494.6666666666)</f>
        <v>42494.666666666599</v>
      </c>
      <c r="B338" s="1">
        <f ca="1">IFERROR(__xludf.DUMMYFUNCTION("""COMPUTED_VALUE"""),116.61)</f>
        <v>116.61</v>
      </c>
      <c r="C338" s="1">
        <f ca="1">IFERROR(__xludf.DUMMYFUNCTION("""COMPUTED_VALUE"""),118.3)</f>
        <v>118.3</v>
      </c>
      <c r="D338" s="1">
        <f ca="1">IFERROR(__xludf.DUMMYFUNCTION("""COMPUTED_VALUE"""),116.57)</f>
        <v>116.57</v>
      </c>
      <c r="E338" s="1">
        <f ca="1">IFERROR(__xludf.DUMMYFUNCTION("""COMPUTED_VALUE"""),118.06)</f>
        <v>118.06</v>
      </c>
      <c r="F338" s="1">
        <f ca="1">IFERROR(__xludf.DUMMYFUNCTION("""COMPUTED_VALUE"""),23448440)</f>
        <v>23448440</v>
      </c>
    </row>
    <row r="339" spans="1:6" x14ac:dyDescent="0.35">
      <c r="A339" s="2">
        <f ca="1">IFERROR(__xludf.DUMMYFUNCTION("""COMPUTED_VALUE"""),42495.6666666666)</f>
        <v>42495.666666666599</v>
      </c>
      <c r="B339" s="1">
        <f ca="1">IFERROR(__xludf.DUMMYFUNCTION("""COMPUTED_VALUE"""),118.04)</f>
        <v>118.04</v>
      </c>
      <c r="C339" s="1">
        <f ca="1">IFERROR(__xludf.DUMMYFUNCTION("""COMPUTED_VALUE"""),118.98)</f>
        <v>118.98</v>
      </c>
      <c r="D339" s="1">
        <f ca="1">IFERROR(__xludf.DUMMYFUNCTION("""COMPUTED_VALUE"""),117.25)</f>
        <v>117.25</v>
      </c>
      <c r="E339" s="1">
        <f ca="1">IFERROR(__xludf.DUMMYFUNCTION("""COMPUTED_VALUE"""),117.81)</f>
        <v>117.81</v>
      </c>
      <c r="F339" s="1">
        <f ca="1">IFERROR(__xludf.DUMMYFUNCTION("""COMPUTED_VALUE"""),22056749)</f>
        <v>22056749</v>
      </c>
    </row>
    <row r="340" spans="1:6" x14ac:dyDescent="0.35">
      <c r="A340" s="2">
        <f ca="1">IFERROR(__xludf.DUMMYFUNCTION("""COMPUTED_VALUE"""),42496.6666666666)</f>
        <v>42496.666666666599</v>
      </c>
      <c r="B340" s="1">
        <f ca="1">IFERROR(__xludf.DUMMYFUNCTION("""COMPUTED_VALUE"""),117.16)</f>
        <v>117.16</v>
      </c>
      <c r="C340" s="1">
        <f ca="1">IFERROR(__xludf.DUMMYFUNCTION("""COMPUTED_VALUE"""),119.64)</f>
        <v>119.64</v>
      </c>
      <c r="D340" s="1">
        <f ca="1">IFERROR(__xludf.DUMMYFUNCTION("""COMPUTED_VALUE"""),117.11)</f>
        <v>117.11</v>
      </c>
      <c r="E340" s="1">
        <f ca="1">IFERROR(__xludf.DUMMYFUNCTION("""COMPUTED_VALUE"""),119.49)</f>
        <v>119.49</v>
      </c>
      <c r="F340" s="1">
        <f ca="1">IFERROR(__xludf.DUMMYFUNCTION("""COMPUTED_VALUE"""),26395568)</f>
        <v>26395568</v>
      </c>
    </row>
    <row r="341" spans="1:6" x14ac:dyDescent="0.35">
      <c r="A341" s="2">
        <f ca="1">IFERROR(__xludf.DUMMYFUNCTION("""COMPUTED_VALUE"""),42499.6666666666)</f>
        <v>42499.666666666599</v>
      </c>
      <c r="B341" s="1">
        <f ca="1">IFERROR(__xludf.DUMMYFUNCTION("""COMPUTED_VALUE"""),119.54)</f>
        <v>119.54</v>
      </c>
      <c r="C341" s="1">
        <f ca="1">IFERROR(__xludf.DUMMYFUNCTION("""COMPUTED_VALUE"""),120.28)</f>
        <v>120.28</v>
      </c>
      <c r="D341" s="1">
        <f ca="1">IFERROR(__xludf.DUMMYFUNCTION("""COMPUTED_VALUE"""),118.9)</f>
        <v>118.9</v>
      </c>
      <c r="E341" s="1">
        <f ca="1">IFERROR(__xludf.DUMMYFUNCTION("""COMPUTED_VALUE"""),119.24)</f>
        <v>119.24</v>
      </c>
      <c r="F341" s="1">
        <f ca="1">IFERROR(__xludf.DUMMYFUNCTION("""COMPUTED_VALUE"""),21138059)</f>
        <v>21138059</v>
      </c>
    </row>
    <row r="342" spans="1:6" x14ac:dyDescent="0.35">
      <c r="A342" s="2">
        <f ca="1">IFERROR(__xludf.DUMMYFUNCTION("""COMPUTED_VALUE"""),42500.6666666666)</f>
        <v>42500.666666666599</v>
      </c>
      <c r="B342" s="1">
        <f ca="1">IFERROR(__xludf.DUMMYFUNCTION("""COMPUTED_VALUE"""),119.62)</f>
        <v>119.62</v>
      </c>
      <c r="C342" s="1">
        <f ca="1">IFERROR(__xludf.DUMMYFUNCTION("""COMPUTED_VALUE"""),120.5)</f>
        <v>120.5</v>
      </c>
      <c r="D342" s="1">
        <f ca="1">IFERROR(__xludf.DUMMYFUNCTION("""COMPUTED_VALUE"""),114.8)</f>
        <v>114.8</v>
      </c>
      <c r="E342" s="1">
        <f ca="1">IFERROR(__xludf.DUMMYFUNCTION("""COMPUTED_VALUE"""),120.5)</f>
        <v>120.5</v>
      </c>
      <c r="F342" s="1">
        <f ca="1">IFERROR(__xludf.DUMMYFUNCTION("""COMPUTED_VALUE"""),23220046)</f>
        <v>23220046</v>
      </c>
    </row>
    <row r="343" spans="1:6" x14ac:dyDescent="0.35">
      <c r="A343" s="2">
        <f ca="1">IFERROR(__xludf.DUMMYFUNCTION("""COMPUTED_VALUE"""),42501.6666666666)</f>
        <v>42501.666666666599</v>
      </c>
      <c r="B343" s="1">
        <f ca="1">IFERROR(__xludf.DUMMYFUNCTION("""COMPUTED_VALUE"""),120.41)</f>
        <v>120.41</v>
      </c>
      <c r="C343" s="1">
        <f ca="1">IFERROR(__xludf.DUMMYFUNCTION("""COMPUTED_VALUE"""),121.08)</f>
        <v>121.08</v>
      </c>
      <c r="D343" s="1">
        <f ca="1">IFERROR(__xludf.DUMMYFUNCTION("""COMPUTED_VALUE"""),119.42)</f>
        <v>119.42</v>
      </c>
      <c r="E343" s="1">
        <f ca="1">IFERROR(__xludf.DUMMYFUNCTION("""COMPUTED_VALUE"""),119.52)</f>
        <v>119.52</v>
      </c>
      <c r="F343" s="1">
        <f ca="1">IFERROR(__xludf.DUMMYFUNCTION("""COMPUTED_VALUE"""),22038396)</f>
        <v>22038396</v>
      </c>
    </row>
    <row r="344" spans="1:6" x14ac:dyDescent="0.35">
      <c r="A344" s="2">
        <f ca="1">IFERROR(__xludf.DUMMYFUNCTION("""COMPUTED_VALUE"""),42502.6666666666)</f>
        <v>42502.666666666599</v>
      </c>
      <c r="B344" s="1">
        <f ca="1">IFERROR(__xludf.DUMMYFUNCTION("""COMPUTED_VALUE"""),119.98)</f>
        <v>119.98</v>
      </c>
      <c r="C344" s="1">
        <f ca="1">IFERROR(__xludf.DUMMYFUNCTION("""COMPUTED_VALUE"""),120.84)</f>
        <v>120.84</v>
      </c>
      <c r="D344" s="1">
        <f ca="1">IFERROR(__xludf.DUMMYFUNCTION("""COMPUTED_VALUE"""),118.9)</f>
        <v>118.9</v>
      </c>
      <c r="E344" s="1">
        <f ca="1">IFERROR(__xludf.DUMMYFUNCTION("""COMPUTED_VALUE"""),120.28)</f>
        <v>120.28</v>
      </c>
      <c r="F344" s="1">
        <f ca="1">IFERROR(__xludf.DUMMYFUNCTION("""COMPUTED_VALUE"""),22035465)</f>
        <v>22035465</v>
      </c>
    </row>
    <row r="345" spans="1:6" x14ac:dyDescent="0.35">
      <c r="A345" s="2">
        <f ca="1">IFERROR(__xludf.DUMMYFUNCTION("""COMPUTED_VALUE"""),42503.6666666666)</f>
        <v>42503.666666666599</v>
      </c>
      <c r="B345" s="1">
        <f ca="1">IFERROR(__xludf.DUMMYFUNCTION("""COMPUTED_VALUE"""),120.38)</f>
        <v>120.38</v>
      </c>
      <c r="C345" s="1">
        <f ca="1">IFERROR(__xludf.DUMMYFUNCTION("""COMPUTED_VALUE"""),120.64)</f>
        <v>120.64</v>
      </c>
      <c r="D345" s="1">
        <f ca="1">IFERROR(__xludf.DUMMYFUNCTION("""COMPUTED_VALUE"""),119.68)</f>
        <v>119.68</v>
      </c>
      <c r="E345" s="1">
        <f ca="1">IFERROR(__xludf.DUMMYFUNCTION("""COMPUTED_VALUE"""),119.81)</f>
        <v>119.81</v>
      </c>
      <c r="F345" s="1">
        <f ca="1">IFERROR(__xludf.DUMMYFUNCTION("""COMPUTED_VALUE"""),18124286)</f>
        <v>18124286</v>
      </c>
    </row>
    <row r="346" spans="1:6" x14ac:dyDescent="0.35">
      <c r="A346" s="2">
        <f ca="1">IFERROR(__xludf.DUMMYFUNCTION("""COMPUTED_VALUE"""),42506.6666666666)</f>
        <v>42506.666666666599</v>
      </c>
      <c r="B346" s="1">
        <f ca="1">IFERROR(__xludf.DUMMYFUNCTION("""COMPUTED_VALUE"""),119.38)</f>
        <v>119.38</v>
      </c>
      <c r="C346" s="1">
        <f ca="1">IFERROR(__xludf.DUMMYFUNCTION("""COMPUTED_VALUE"""),119.61)</f>
        <v>119.61</v>
      </c>
      <c r="D346" s="1">
        <f ca="1">IFERROR(__xludf.DUMMYFUNCTION("""COMPUTED_VALUE"""),117.35)</f>
        <v>117.35</v>
      </c>
      <c r="E346" s="1">
        <f ca="1">IFERROR(__xludf.DUMMYFUNCTION("""COMPUTED_VALUE"""),118.67)</f>
        <v>118.67</v>
      </c>
      <c r="F346" s="1">
        <f ca="1">IFERROR(__xludf.DUMMYFUNCTION("""COMPUTED_VALUE"""),31247834)</f>
        <v>31247834</v>
      </c>
    </row>
    <row r="347" spans="1:6" x14ac:dyDescent="0.35">
      <c r="A347" s="2">
        <f ca="1">IFERROR(__xludf.DUMMYFUNCTION("""COMPUTED_VALUE"""),42507.6666666666)</f>
        <v>42507.666666666599</v>
      </c>
      <c r="B347" s="1">
        <f ca="1">IFERROR(__xludf.DUMMYFUNCTION("""COMPUTED_VALUE"""),118.82)</f>
        <v>118.82</v>
      </c>
      <c r="C347" s="1">
        <f ca="1">IFERROR(__xludf.DUMMYFUNCTION("""COMPUTED_VALUE"""),119.01)</f>
        <v>119.01</v>
      </c>
      <c r="D347" s="1">
        <f ca="1">IFERROR(__xludf.DUMMYFUNCTION("""COMPUTED_VALUE"""),117.2)</f>
        <v>117.2</v>
      </c>
      <c r="E347" s="1">
        <f ca="1">IFERROR(__xludf.DUMMYFUNCTION("""COMPUTED_VALUE"""),117.35)</f>
        <v>117.35</v>
      </c>
      <c r="F347" s="1">
        <f ca="1">IFERROR(__xludf.DUMMYFUNCTION("""COMPUTED_VALUE"""),21328648)</f>
        <v>21328648</v>
      </c>
    </row>
    <row r="348" spans="1:6" x14ac:dyDescent="0.35">
      <c r="A348" s="2">
        <f ca="1">IFERROR(__xludf.DUMMYFUNCTION("""COMPUTED_VALUE"""),42508.6666666666)</f>
        <v>42508.666666666599</v>
      </c>
      <c r="B348" s="1">
        <f ca="1">IFERROR(__xludf.DUMMYFUNCTION("""COMPUTED_VALUE"""),116.8)</f>
        <v>116.8</v>
      </c>
      <c r="C348" s="1">
        <f ca="1">IFERROR(__xludf.DUMMYFUNCTION("""COMPUTED_VALUE"""),118.27)</f>
        <v>118.27</v>
      </c>
      <c r="D348" s="1">
        <f ca="1">IFERROR(__xludf.DUMMYFUNCTION("""COMPUTED_VALUE"""),116.73)</f>
        <v>116.73</v>
      </c>
      <c r="E348" s="1">
        <f ca="1">IFERROR(__xludf.DUMMYFUNCTION("""COMPUTED_VALUE"""),117.65)</f>
        <v>117.65</v>
      </c>
      <c r="F348" s="1">
        <f ca="1">IFERROR(__xludf.DUMMYFUNCTION("""COMPUTED_VALUE"""),21642299)</f>
        <v>21642299</v>
      </c>
    </row>
    <row r="349" spans="1:6" x14ac:dyDescent="0.35">
      <c r="A349" s="2">
        <f ca="1">IFERROR(__xludf.DUMMYFUNCTION("""COMPUTED_VALUE"""),42509.6666666666)</f>
        <v>42509.666666666599</v>
      </c>
      <c r="B349" s="1">
        <f ca="1">IFERROR(__xludf.DUMMYFUNCTION("""COMPUTED_VALUE"""),117.05)</f>
        <v>117.05</v>
      </c>
      <c r="C349" s="1">
        <f ca="1">IFERROR(__xludf.DUMMYFUNCTION("""COMPUTED_VALUE"""),117.49)</f>
        <v>117.49</v>
      </c>
      <c r="D349" s="1">
        <f ca="1">IFERROR(__xludf.DUMMYFUNCTION("""COMPUTED_VALUE"""),115.88)</f>
        <v>115.88</v>
      </c>
      <c r="E349" s="1">
        <f ca="1">IFERROR(__xludf.DUMMYFUNCTION("""COMPUTED_VALUE"""),116.81)</f>
        <v>116.81</v>
      </c>
      <c r="F349" s="1">
        <f ca="1">IFERROR(__xludf.DUMMYFUNCTION("""COMPUTED_VALUE"""),20544109)</f>
        <v>20544109</v>
      </c>
    </row>
    <row r="350" spans="1:6" x14ac:dyDescent="0.35">
      <c r="A350" s="2">
        <f ca="1">IFERROR(__xludf.DUMMYFUNCTION("""COMPUTED_VALUE"""),42510.6666666666)</f>
        <v>42510.666666666599</v>
      </c>
      <c r="B350" s="1">
        <f ca="1">IFERROR(__xludf.DUMMYFUNCTION("""COMPUTED_VALUE"""),116.96)</f>
        <v>116.96</v>
      </c>
      <c r="C350" s="1">
        <f ca="1">IFERROR(__xludf.DUMMYFUNCTION("""COMPUTED_VALUE"""),117.99)</f>
        <v>117.99</v>
      </c>
      <c r="D350" s="1">
        <f ca="1">IFERROR(__xludf.DUMMYFUNCTION("""COMPUTED_VALUE"""),116.95)</f>
        <v>116.95</v>
      </c>
      <c r="E350" s="1">
        <f ca="1">IFERROR(__xludf.DUMMYFUNCTION("""COMPUTED_VALUE"""),117.35)</f>
        <v>117.35</v>
      </c>
      <c r="F350" s="1">
        <f ca="1">IFERROR(__xludf.DUMMYFUNCTION("""COMPUTED_VALUE"""),18944831)</f>
        <v>18944831</v>
      </c>
    </row>
    <row r="351" spans="1:6" x14ac:dyDescent="0.35">
      <c r="A351" s="2">
        <f ca="1">IFERROR(__xludf.DUMMYFUNCTION("""COMPUTED_VALUE"""),42513.6666666666)</f>
        <v>42513.666666666599</v>
      </c>
      <c r="B351" s="1">
        <f ca="1">IFERROR(__xludf.DUMMYFUNCTION("""COMPUTED_VALUE"""),117.42)</f>
        <v>117.42</v>
      </c>
      <c r="C351" s="1">
        <f ca="1">IFERROR(__xludf.DUMMYFUNCTION("""COMPUTED_VALUE"""),117.6)</f>
        <v>117.6</v>
      </c>
      <c r="D351" s="1">
        <f ca="1">IFERROR(__xludf.DUMMYFUNCTION("""COMPUTED_VALUE"""),115.94)</f>
        <v>115.94</v>
      </c>
      <c r="E351" s="1">
        <f ca="1">IFERROR(__xludf.DUMMYFUNCTION("""COMPUTED_VALUE"""),115.97)</f>
        <v>115.97</v>
      </c>
      <c r="F351" s="1">
        <f ca="1">IFERROR(__xludf.DUMMYFUNCTION("""COMPUTED_VALUE"""),20441004)</f>
        <v>20441004</v>
      </c>
    </row>
    <row r="352" spans="1:6" x14ac:dyDescent="0.35">
      <c r="A352" s="2">
        <f ca="1">IFERROR(__xludf.DUMMYFUNCTION("""COMPUTED_VALUE"""),42514.6666666666)</f>
        <v>42514.666666666599</v>
      </c>
      <c r="B352" s="1">
        <f ca="1">IFERROR(__xludf.DUMMYFUNCTION("""COMPUTED_VALUE"""),116.24)</f>
        <v>116.24</v>
      </c>
      <c r="C352" s="1">
        <f ca="1">IFERROR(__xludf.DUMMYFUNCTION("""COMPUTED_VALUE"""),117.73)</f>
        <v>117.73</v>
      </c>
      <c r="D352" s="1">
        <f ca="1">IFERROR(__xludf.DUMMYFUNCTION("""COMPUTED_VALUE"""),116.12)</f>
        <v>116.12</v>
      </c>
      <c r="E352" s="1">
        <f ca="1">IFERROR(__xludf.DUMMYFUNCTION("""COMPUTED_VALUE"""),117.7)</f>
        <v>117.7</v>
      </c>
      <c r="F352" s="1">
        <f ca="1">IFERROR(__xludf.DUMMYFUNCTION("""COMPUTED_VALUE"""),20183627)</f>
        <v>20183627</v>
      </c>
    </row>
    <row r="353" spans="1:6" x14ac:dyDescent="0.35">
      <c r="A353" s="2">
        <f ca="1">IFERROR(__xludf.DUMMYFUNCTION("""COMPUTED_VALUE"""),42515.6666666666)</f>
        <v>42515.666666666599</v>
      </c>
      <c r="B353" s="1">
        <f ca="1">IFERROR(__xludf.DUMMYFUNCTION("""COMPUTED_VALUE"""),118.13)</f>
        <v>118.13</v>
      </c>
      <c r="C353" s="1">
        <f ca="1">IFERROR(__xludf.DUMMYFUNCTION("""COMPUTED_VALUE"""),118.67)</f>
        <v>118.67</v>
      </c>
      <c r="D353" s="1">
        <f ca="1">IFERROR(__xludf.DUMMYFUNCTION("""COMPUTED_VALUE"""),117.38)</f>
        <v>117.38</v>
      </c>
      <c r="E353" s="1">
        <f ca="1">IFERROR(__xludf.DUMMYFUNCTION("""COMPUTED_VALUE"""),117.89)</f>
        <v>117.89</v>
      </c>
      <c r="F353" s="1">
        <f ca="1">IFERROR(__xludf.DUMMYFUNCTION("""COMPUTED_VALUE"""),20035494)</f>
        <v>20035494</v>
      </c>
    </row>
    <row r="354" spans="1:6" x14ac:dyDescent="0.35">
      <c r="A354" s="2">
        <f ca="1">IFERROR(__xludf.DUMMYFUNCTION("""COMPUTED_VALUE"""),42516.6666666666)</f>
        <v>42516.666666666599</v>
      </c>
      <c r="B354" s="1">
        <f ca="1">IFERROR(__xludf.DUMMYFUNCTION("""COMPUTED_VALUE"""),118.24)</f>
        <v>118.24</v>
      </c>
      <c r="C354" s="1">
        <f ca="1">IFERROR(__xludf.DUMMYFUNCTION("""COMPUTED_VALUE"""),119.76)</f>
        <v>119.76</v>
      </c>
      <c r="D354" s="1">
        <f ca="1">IFERROR(__xludf.DUMMYFUNCTION("""COMPUTED_VALUE"""),117.92)</f>
        <v>117.92</v>
      </c>
      <c r="E354" s="1">
        <f ca="1">IFERROR(__xludf.DUMMYFUNCTION("""COMPUTED_VALUE"""),119.47)</f>
        <v>119.47</v>
      </c>
      <c r="F354" s="1">
        <f ca="1">IFERROR(__xludf.DUMMYFUNCTION("""COMPUTED_VALUE"""),18481340)</f>
        <v>18481340</v>
      </c>
    </row>
    <row r="355" spans="1:6" x14ac:dyDescent="0.35">
      <c r="A355" s="2">
        <f ca="1">IFERROR(__xludf.DUMMYFUNCTION("""COMPUTED_VALUE"""),42517.6666666666)</f>
        <v>42517.666666666599</v>
      </c>
      <c r="B355" s="1">
        <f ca="1">IFERROR(__xludf.DUMMYFUNCTION("""COMPUTED_VALUE"""),119.56)</f>
        <v>119.56</v>
      </c>
      <c r="C355" s="1">
        <f ca="1">IFERROR(__xludf.DUMMYFUNCTION("""COMPUTED_VALUE"""),119.85)</f>
        <v>119.85</v>
      </c>
      <c r="D355" s="1">
        <f ca="1">IFERROR(__xludf.DUMMYFUNCTION("""COMPUTED_VALUE"""),119.01)</f>
        <v>119.01</v>
      </c>
      <c r="E355" s="1">
        <f ca="1">IFERROR(__xludf.DUMMYFUNCTION("""COMPUTED_VALUE"""),119.38)</f>
        <v>119.38</v>
      </c>
      <c r="F355" s="1">
        <f ca="1">IFERROR(__xludf.DUMMYFUNCTION("""COMPUTED_VALUE"""),13493563)</f>
        <v>13493563</v>
      </c>
    </row>
    <row r="356" spans="1:6" x14ac:dyDescent="0.35">
      <c r="A356" s="2">
        <f ca="1">IFERROR(__xludf.DUMMYFUNCTION("""COMPUTED_VALUE"""),42521.6666666666)</f>
        <v>42521.666666666599</v>
      </c>
      <c r="B356" s="1">
        <f ca="1">IFERROR(__xludf.DUMMYFUNCTION("""COMPUTED_VALUE"""),119.46)</f>
        <v>119.46</v>
      </c>
      <c r="C356" s="1">
        <f ca="1">IFERROR(__xludf.DUMMYFUNCTION("""COMPUTED_VALUE"""),120.1)</f>
        <v>120.1</v>
      </c>
      <c r="D356" s="1">
        <f ca="1">IFERROR(__xludf.DUMMYFUNCTION("""COMPUTED_VALUE"""),118.12)</f>
        <v>118.12</v>
      </c>
      <c r="E356" s="1">
        <f ca="1">IFERROR(__xludf.DUMMYFUNCTION("""COMPUTED_VALUE"""),118.81)</f>
        <v>118.81</v>
      </c>
      <c r="F356" s="1">
        <f ca="1">IFERROR(__xludf.DUMMYFUNCTION("""COMPUTED_VALUE"""),23547597)</f>
        <v>23547597</v>
      </c>
    </row>
    <row r="357" spans="1:6" x14ac:dyDescent="0.35">
      <c r="A357" s="2">
        <f ca="1">IFERROR(__xludf.DUMMYFUNCTION("""COMPUTED_VALUE"""),42522.6666666666)</f>
        <v>42522.666666666599</v>
      </c>
      <c r="B357" s="1">
        <f ca="1">IFERROR(__xludf.DUMMYFUNCTION("""COMPUTED_VALUE"""),118.5)</f>
        <v>118.5</v>
      </c>
      <c r="C357" s="1">
        <f ca="1">IFERROR(__xludf.DUMMYFUNCTION("""COMPUTED_VALUE"""),119.08)</f>
        <v>119.08</v>
      </c>
      <c r="D357" s="1">
        <f ca="1">IFERROR(__xludf.DUMMYFUNCTION("""COMPUTED_VALUE"""),117.82)</f>
        <v>117.82</v>
      </c>
      <c r="E357" s="1">
        <f ca="1">IFERROR(__xludf.DUMMYFUNCTION("""COMPUTED_VALUE"""),118.78)</f>
        <v>118.78</v>
      </c>
      <c r="F357" s="1">
        <f ca="1">IFERROR(__xludf.DUMMYFUNCTION("""COMPUTED_VALUE"""),15029494)</f>
        <v>15029494</v>
      </c>
    </row>
    <row r="358" spans="1:6" x14ac:dyDescent="0.35">
      <c r="A358" s="2">
        <f ca="1">IFERROR(__xludf.DUMMYFUNCTION("""COMPUTED_VALUE"""),42523.6666666666)</f>
        <v>42523.666666666599</v>
      </c>
      <c r="B358" s="1">
        <f ca="1">IFERROR(__xludf.DUMMYFUNCTION("""COMPUTED_VALUE"""),118.69)</f>
        <v>118.69</v>
      </c>
      <c r="C358" s="1">
        <f ca="1">IFERROR(__xludf.DUMMYFUNCTION("""COMPUTED_VALUE"""),119.44)</f>
        <v>119.44</v>
      </c>
      <c r="D358" s="1">
        <f ca="1">IFERROR(__xludf.DUMMYFUNCTION("""COMPUTED_VALUE"""),118.22)</f>
        <v>118.22</v>
      </c>
      <c r="E358" s="1">
        <f ca="1">IFERROR(__xludf.DUMMYFUNCTION("""COMPUTED_VALUE"""),118.93)</f>
        <v>118.93</v>
      </c>
      <c r="F358" s="1">
        <f ca="1">IFERROR(__xludf.DUMMYFUNCTION("""COMPUTED_VALUE"""),13228310)</f>
        <v>13228310</v>
      </c>
    </row>
    <row r="359" spans="1:6" x14ac:dyDescent="0.35">
      <c r="A359" s="2">
        <f ca="1">IFERROR(__xludf.DUMMYFUNCTION("""COMPUTED_VALUE"""),42524.6666666666)</f>
        <v>42524.666666666599</v>
      </c>
      <c r="B359" s="1">
        <f ca="1">IFERROR(__xludf.DUMMYFUNCTION("""COMPUTED_VALUE"""),118.98)</f>
        <v>118.98</v>
      </c>
      <c r="C359" s="1">
        <f ca="1">IFERROR(__xludf.DUMMYFUNCTION("""COMPUTED_VALUE"""),118.98)</f>
        <v>118.98</v>
      </c>
      <c r="D359" s="1">
        <f ca="1">IFERROR(__xludf.DUMMYFUNCTION("""COMPUTED_VALUE"""),117.86)</f>
        <v>117.86</v>
      </c>
      <c r="E359" s="1">
        <f ca="1">IFERROR(__xludf.DUMMYFUNCTION("""COMPUTED_VALUE"""),118.47)</f>
        <v>118.47</v>
      </c>
      <c r="F359" s="1">
        <f ca="1">IFERROR(__xludf.DUMMYFUNCTION("""COMPUTED_VALUE"""),14135114)</f>
        <v>14135114</v>
      </c>
    </row>
    <row r="360" spans="1:6" x14ac:dyDescent="0.35">
      <c r="A360" s="2">
        <f ca="1">IFERROR(__xludf.DUMMYFUNCTION("""COMPUTED_VALUE"""),42527.6666666666)</f>
        <v>42527.666666666599</v>
      </c>
      <c r="B360" s="1">
        <f ca="1">IFERROR(__xludf.DUMMYFUNCTION("""COMPUTED_VALUE"""),118.62)</f>
        <v>118.62</v>
      </c>
      <c r="C360" s="1">
        <f ca="1">IFERROR(__xludf.DUMMYFUNCTION("""COMPUTED_VALUE"""),119.43)</f>
        <v>119.43</v>
      </c>
      <c r="D360" s="1">
        <f ca="1">IFERROR(__xludf.DUMMYFUNCTION("""COMPUTED_VALUE"""),118.36)</f>
        <v>118.36</v>
      </c>
      <c r="E360" s="1">
        <f ca="1">IFERROR(__xludf.DUMMYFUNCTION("""COMPUTED_VALUE"""),118.79)</f>
        <v>118.79</v>
      </c>
      <c r="F360" s="1">
        <f ca="1">IFERROR(__xludf.DUMMYFUNCTION("""COMPUTED_VALUE"""),12744676)</f>
        <v>12744676</v>
      </c>
    </row>
    <row r="361" spans="1:6" x14ac:dyDescent="0.35">
      <c r="A361" s="2">
        <f ca="1">IFERROR(__xludf.DUMMYFUNCTION("""COMPUTED_VALUE"""),42528.6666666666)</f>
        <v>42528.666666666599</v>
      </c>
      <c r="B361" s="1">
        <f ca="1">IFERROR(__xludf.DUMMYFUNCTION("""COMPUTED_VALUE"""),119.24)</f>
        <v>119.24</v>
      </c>
      <c r="C361" s="1">
        <f ca="1">IFERROR(__xludf.DUMMYFUNCTION("""COMPUTED_VALUE"""),119.3)</f>
        <v>119.3</v>
      </c>
      <c r="D361" s="1">
        <f ca="1">IFERROR(__xludf.DUMMYFUNCTION("""COMPUTED_VALUE"""),117.67)</f>
        <v>117.67</v>
      </c>
      <c r="E361" s="1">
        <f ca="1">IFERROR(__xludf.DUMMYFUNCTION("""COMPUTED_VALUE"""),117.76)</f>
        <v>117.76</v>
      </c>
      <c r="F361" s="1">
        <f ca="1">IFERROR(__xludf.DUMMYFUNCTION("""COMPUTED_VALUE"""),17103023)</f>
        <v>17103023</v>
      </c>
    </row>
    <row r="362" spans="1:6" x14ac:dyDescent="0.35">
      <c r="A362" s="2">
        <f ca="1">IFERROR(__xludf.DUMMYFUNCTION("""COMPUTED_VALUE"""),42529.6666666666)</f>
        <v>42529.666666666599</v>
      </c>
      <c r="B362" s="1">
        <f ca="1">IFERROR(__xludf.DUMMYFUNCTION("""COMPUTED_VALUE"""),117.76)</f>
        <v>117.76</v>
      </c>
      <c r="C362" s="1">
        <f ca="1">IFERROR(__xludf.DUMMYFUNCTION("""COMPUTED_VALUE"""),118.6)</f>
        <v>118.6</v>
      </c>
      <c r="D362" s="1">
        <f ca="1">IFERROR(__xludf.DUMMYFUNCTION("""COMPUTED_VALUE"""),117.27)</f>
        <v>117.27</v>
      </c>
      <c r="E362" s="1">
        <f ca="1">IFERROR(__xludf.DUMMYFUNCTION("""COMPUTED_VALUE"""),118.39)</f>
        <v>118.39</v>
      </c>
      <c r="F362" s="1">
        <f ca="1">IFERROR(__xludf.DUMMYFUNCTION("""COMPUTED_VALUE"""),14505596)</f>
        <v>14505596</v>
      </c>
    </row>
    <row r="363" spans="1:6" x14ac:dyDescent="0.35">
      <c r="A363" s="2">
        <f ca="1">IFERROR(__xludf.DUMMYFUNCTION("""COMPUTED_VALUE"""),42530.6666666666)</f>
        <v>42530.666666666599</v>
      </c>
      <c r="B363" s="1">
        <f ca="1">IFERROR(__xludf.DUMMYFUNCTION("""COMPUTED_VALUE"""),118.13)</f>
        <v>118.13</v>
      </c>
      <c r="C363" s="1">
        <f ca="1">IFERROR(__xludf.DUMMYFUNCTION("""COMPUTED_VALUE"""),118.68)</f>
        <v>118.68</v>
      </c>
      <c r="D363" s="1">
        <f ca="1">IFERROR(__xludf.DUMMYFUNCTION("""COMPUTED_VALUE"""),117.71)</f>
        <v>117.71</v>
      </c>
      <c r="E363" s="1">
        <f ca="1">IFERROR(__xludf.DUMMYFUNCTION("""COMPUTED_VALUE"""),118.56)</f>
        <v>118.56</v>
      </c>
      <c r="F363" s="1">
        <f ca="1">IFERROR(__xludf.DUMMYFUNCTION("""COMPUTED_VALUE"""),13859240)</f>
        <v>13859240</v>
      </c>
    </row>
    <row r="364" spans="1:6" x14ac:dyDescent="0.35">
      <c r="A364" s="2">
        <f ca="1">IFERROR(__xludf.DUMMYFUNCTION("""COMPUTED_VALUE"""),42531.6666666666)</f>
        <v>42531.666666666599</v>
      </c>
      <c r="B364" s="1">
        <f ca="1">IFERROR(__xludf.DUMMYFUNCTION("""COMPUTED_VALUE"""),117.54)</f>
        <v>117.54</v>
      </c>
      <c r="C364" s="1">
        <f ca="1">IFERROR(__xludf.DUMMYFUNCTION("""COMPUTED_VALUE"""),118.11)</f>
        <v>118.11</v>
      </c>
      <c r="D364" s="1">
        <f ca="1">IFERROR(__xludf.DUMMYFUNCTION("""COMPUTED_VALUE"""),116.26)</f>
        <v>116.26</v>
      </c>
      <c r="E364" s="1">
        <f ca="1">IFERROR(__xludf.DUMMYFUNCTION("""COMPUTED_VALUE"""),116.62)</f>
        <v>116.62</v>
      </c>
      <c r="F364" s="1">
        <f ca="1">IFERROR(__xludf.DUMMYFUNCTION("""COMPUTED_VALUE"""),18510826)</f>
        <v>18510826</v>
      </c>
    </row>
    <row r="365" spans="1:6" x14ac:dyDescent="0.35">
      <c r="A365" s="2">
        <f ca="1">IFERROR(__xludf.DUMMYFUNCTION("""COMPUTED_VALUE"""),42534.6666666666)</f>
        <v>42534.666666666599</v>
      </c>
      <c r="B365" s="1">
        <f ca="1">IFERROR(__xludf.DUMMYFUNCTION("""COMPUTED_VALUE"""),115)</f>
        <v>115</v>
      </c>
      <c r="C365" s="1">
        <f ca="1">IFERROR(__xludf.DUMMYFUNCTION("""COMPUTED_VALUE"""),115.48)</f>
        <v>115.48</v>
      </c>
      <c r="D365" s="1">
        <f ca="1">IFERROR(__xludf.DUMMYFUNCTION("""COMPUTED_VALUE"""),113.31)</f>
        <v>113.31</v>
      </c>
      <c r="E365" s="1">
        <f ca="1">IFERROR(__xludf.DUMMYFUNCTION("""COMPUTED_VALUE"""),113.95)</f>
        <v>113.95</v>
      </c>
      <c r="F365" s="1">
        <f ca="1">IFERROR(__xludf.DUMMYFUNCTION("""COMPUTED_VALUE"""),31718239)</f>
        <v>31718239</v>
      </c>
    </row>
    <row r="366" spans="1:6" x14ac:dyDescent="0.35">
      <c r="A366" s="2">
        <f ca="1">IFERROR(__xludf.DUMMYFUNCTION("""COMPUTED_VALUE"""),42535.6666666666)</f>
        <v>42535.666666666599</v>
      </c>
      <c r="B366" s="1">
        <f ca="1">IFERROR(__xludf.DUMMYFUNCTION("""COMPUTED_VALUE"""),114.07)</f>
        <v>114.07</v>
      </c>
      <c r="C366" s="1">
        <f ca="1">IFERROR(__xludf.DUMMYFUNCTION("""COMPUTED_VALUE"""),114.95)</f>
        <v>114.95</v>
      </c>
      <c r="D366" s="1">
        <f ca="1">IFERROR(__xludf.DUMMYFUNCTION("""COMPUTED_VALUE"""),113.58)</f>
        <v>113.58</v>
      </c>
      <c r="E366" s="1">
        <f ca="1">IFERROR(__xludf.DUMMYFUNCTION("""COMPUTED_VALUE"""),114.94)</f>
        <v>114.94</v>
      </c>
      <c r="F366" s="1">
        <f ca="1">IFERROR(__xludf.DUMMYFUNCTION("""COMPUTED_VALUE"""),17618479)</f>
        <v>17618479</v>
      </c>
    </row>
    <row r="367" spans="1:6" x14ac:dyDescent="0.35">
      <c r="A367" s="2">
        <f ca="1">IFERROR(__xludf.DUMMYFUNCTION("""COMPUTED_VALUE"""),42536.6666666666)</f>
        <v>42536.666666666599</v>
      </c>
      <c r="B367" s="1">
        <f ca="1">IFERROR(__xludf.DUMMYFUNCTION("""COMPUTED_VALUE"""),115.3)</f>
        <v>115.3</v>
      </c>
      <c r="C367" s="1">
        <f ca="1">IFERROR(__xludf.DUMMYFUNCTION("""COMPUTED_VALUE"""),115.44)</f>
        <v>115.44</v>
      </c>
      <c r="D367" s="1">
        <f ca="1">IFERROR(__xludf.DUMMYFUNCTION("""COMPUTED_VALUE"""),114.07)</f>
        <v>114.07</v>
      </c>
      <c r="E367" s="1">
        <f ca="1">IFERROR(__xludf.DUMMYFUNCTION("""COMPUTED_VALUE"""),114.6)</f>
        <v>114.6</v>
      </c>
      <c r="F367" s="1">
        <f ca="1">IFERROR(__xludf.DUMMYFUNCTION("""COMPUTED_VALUE"""),19819432)</f>
        <v>19819432</v>
      </c>
    </row>
    <row r="368" spans="1:6" x14ac:dyDescent="0.35">
      <c r="A368" s="2">
        <f ca="1">IFERROR(__xludf.DUMMYFUNCTION("""COMPUTED_VALUE"""),42537.6666666666)</f>
        <v>42537.666666666599</v>
      </c>
      <c r="B368" s="1">
        <f ca="1">IFERROR(__xludf.DUMMYFUNCTION("""COMPUTED_VALUE"""),113.87)</f>
        <v>113.87</v>
      </c>
      <c r="C368" s="1">
        <f ca="1">IFERROR(__xludf.DUMMYFUNCTION("""COMPUTED_VALUE"""),114.5)</f>
        <v>114.5</v>
      </c>
      <c r="D368" s="1">
        <f ca="1">IFERROR(__xludf.DUMMYFUNCTION("""COMPUTED_VALUE"""),112.94)</f>
        <v>112.94</v>
      </c>
      <c r="E368" s="1">
        <f ca="1">IFERROR(__xludf.DUMMYFUNCTION("""COMPUTED_VALUE"""),114.39)</f>
        <v>114.39</v>
      </c>
      <c r="F368" s="1">
        <f ca="1">IFERROR(__xludf.DUMMYFUNCTION("""COMPUTED_VALUE"""),19236255)</f>
        <v>19236255</v>
      </c>
    </row>
    <row r="369" spans="1:6" x14ac:dyDescent="0.35">
      <c r="A369" s="2">
        <f ca="1">IFERROR(__xludf.DUMMYFUNCTION("""COMPUTED_VALUE"""),42538.6666666666)</f>
        <v>42538.666666666599</v>
      </c>
      <c r="B369" s="1">
        <f ca="1">IFERROR(__xludf.DUMMYFUNCTION("""COMPUTED_VALUE"""),114.42)</f>
        <v>114.42</v>
      </c>
      <c r="C369" s="1">
        <f ca="1">IFERROR(__xludf.DUMMYFUNCTION("""COMPUTED_VALUE"""),114.43)</f>
        <v>114.43</v>
      </c>
      <c r="D369" s="1">
        <f ca="1">IFERROR(__xludf.DUMMYFUNCTION("""COMPUTED_VALUE"""),112.56)</f>
        <v>112.56</v>
      </c>
      <c r="E369" s="1">
        <f ca="1">IFERROR(__xludf.DUMMYFUNCTION("""COMPUTED_VALUE"""),113.02)</f>
        <v>113.02</v>
      </c>
      <c r="F369" s="1">
        <f ca="1">IFERROR(__xludf.DUMMYFUNCTION("""COMPUTED_VALUE"""),24644308)</f>
        <v>24644308</v>
      </c>
    </row>
    <row r="370" spans="1:6" x14ac:dyDescent="0.35">
      <c r="A370" s="2">
        <f ca="1">IFERROR(__xludf.DUMMYFUNCTION("""COMPUTED_VALUE"""),42541.6666666666)</f>
        <v>42541.666666666599</v>
      </c>
      <c r="B370" s="1">
        <f ca="1">IFERROR(__xludf.DUMMYFUNCTION("""COMPUTED_VALUE"""),113.77)</f>
        <v>113.77</v>
      </c>
      <c r="C370" s="1">
        <f ca="1">IFERROR(__xludf.DUMMYFUNCTION("""COMPUTED_VALUE"""),114.72)</f>
        <v>114.72</v>
      </c>
      <c r="D370" s="1">
        <f ca="1">IFERROR(__xludf.DUMMYFUNCTION("""COMPUTED_VALUE"""),112.75)</f>
        <v>112.75</v>
      </c>
      <c r="E370" s="1">
        <f ca="1">IFERROR(__xludf.DUMMYFUNCTION("""COMPUTED_VALUE"""),113.37)</f>
        <v>113.37</v>
      </c>
      <c r="F370" s="1">
        <f ca="1">IFERROR(__xludf.DUMMYFUNCTION("""COMPUTED_VALUE"""),20785390)</f>
        <v>20785390</v>
      </c>
    </row>
    <row r="371" spans="1:6" x14ac:dyDescent="0.35">
      <c r="A371" s="2">
        <f ca="1">IFERROR(__xludf.DUMMYFUNCTION("""COMPUTED_VALUE"""),42542.6666666666)</f>
        <v>42542.666666666599</v>
      </c>
      <c r="B371" s="1">
        <f ca="1">IFERROR(__xludf.DUMMYFUNCTION("""COMPUTED_VALUE"""),114.12)</f>
        <v>114.12</v>
      </c>
      <c r="C371" s="1">
        <f ca="1">IFERROR(__xludf.DUMMYFUNCTION("""COMPUTED_VALUE"""),115.21)</f>
        <v>115.21</v>
      </c>
      <c r="D371" s="1">
        <f ca="1">IFERROR(__xludf.DUMMYFUNCTION("""COMPUTED_VALUE"""),113.97)</f>
        <v>113.97</v>
      </c>
      <c r="E371" s="1">
        <f ca="1">IFERROR(__xludf.DUMMYFUNCTION("""COMPUTED_VALUE"""),114.38)</f>
        <v>114.38</v>
      </c>
      <c r="F371" s="1">
        <f ca="1">IFERROR(__xludf.DUMMYFUNCTION("""COMPUTED_VALUE"""),19166269)</f>
        <v>19166269</v>
      </c>
    </row>
    <row r="372" spans="1:6" x14ac:dyDescent="0.35">
      <c r="A372" s="2">
        <f ca="1">IFERROR(__xludf.DUMMYFUNCTION("""COMPUTED_VALUE"""),42543.6666666666)</f>
        <v>42543.666666666599</v>
      </c>
      <c r="B372" s="1">
        <f ca="1">IFERROR(__xludf.DUMMYFUNCTION("""COMPUTED_VALUE"""),114.65)</f>
        <v>114.65</v>
      </c>
      <c r="C372" s="1">
        <f ca="1">IFERROR(__xludf.DUMMYFUNCTION("""COMPUTED_VALUE"""),114.74)</f>
        <v>114.74</v>
      </c>
      <c r="D372" s="1">
        <f ca="1">IFERROR(__xludf.DUMMYFUNCTION("""COMPUTED_VALUE"""),113.61)</f>
        <v>113.61</v>
      </c>
      <c r="E372" s="1">
        <f ca="1">IFERROR(__xludf.DUMMYFUNCTION("""COMPUTED_VALUE"""),113.91)</f>
        <v>113.91</v>
      </c>
      <c r="F372" s="1">
        <f ca="1">IFERROR(__xludf.DUMMYFUNCTION("""COMPUTED_VALUE"""),14846329)</f>
        <v>14846329</v>
      </c>
    </row>
    <row r="373" spans="1:6" x14ac:dyDescent="0.35">
      <c r="A373" s="2">
        <f ca="1">IFERROR(__xludf.DUMMYFUNCTION("""COMPUTED_VALUE"""),42544.6666666666)</f>
        <v>42544.666666666599</v>
      </c>
      <c r="B373" s="1">
        <f ca="1">IFERROR(__xludf.DUMMYFUNCTION("""COMPUTED_VALUE"""),114.37)</f>
        <v>114.37</v>
      </c>
      <c r="C373" s="1">
        <f ca="1">IFERROR(__xludf.DUMMYFUNCTION("""COMPUTED_VALUE"""),115.09)</f>
        <v>115.09</v>
      </c>
      <c r="D373" s="1">
        <f ca="1">IFERROR(__xludf.DUMMYFUNCTION("""COMPUTED_VALUE"""),113.54)</f>
        <v>113.54</v>
      </c>
      <c r="E373" s="1">
        <f ca="1">IFERROR(__xludf.DUMMYFUNCTION("""COMPUTED_VALUE"""),115.08)</f>
        <v>115.08</v>
      </c>
      <c r="F373" s="1">
        <f ca="1">IFERROR(__xludf.DUMMYFUNCTION("""COMPUTED_VALUE"""),16176895)</f>
        <v>16176895</v>
      </c>
    </row>
    <row r="374" spans="1:6" x14ac:dyDescent="0.35">
      <c r="A374" s="2">
        <f ca="1">IFERROR(__xludf.DUMMYFUNCTION("""COMPUTED_VALUE"""),42545.6666666666)</f>
        <v>42545.666666666599</v>
      </c>
      <c r="B374" s="1">
        <f ca="1">IFERROR(__xludf.DUMMYFUNCTION("""COMPUTED_VALUE"""),111.01)</f>
        <v>111.01</v>
      </c>
      <c r="C374" s="1">
        <f ca="1">IFERROR(__xludf.DUMMYFUNCTION("""COMPUTED_VALUE"""),113.68)</f>
        <v>113.68</v>
      </c>
      <c r="D374" s="1">
        <f ca="1">IFERROR(__xludf.DUMMYFUNCTION("""COMPUTED_VALUE"""),111)</f>
        <v>111</v>
      </c>
      <c r="E374" s="1">
        <f ca="1">IFERROR(__xludf.DUMMYFUNCTION("""COMPUTED_VALUE"""),112.08)</f>
        <v>112.08</v>
      </c>
      <c r="F374" s="1">
        <f ca="1">IFERROR(__xludf.DUMMYFUNCTION("""COMPUTED_VALUE"""),40643130)</f>
        <v>40643130</v>
      </c>
    </row>
    <row r="375" spans="1:6" x14ac:dyDescent="0.35">
      <c r="A375" s="2">
        <f ca="1">IFERROR(__xludf.DUMMYFUNCTION("""COMPUTED_VALUE"""),42548.6666666666)</f>
        <v>42548.666666666599</v>
      </c>
      <c r="B375" s="1">
        <f ca="1">IFERROR(__xludf.DUMMYFUNCTION("""COMPUTED_VALUE"""),111.57)</f>
        <v>111.57</v>
      </c>
      <c r="C375" s="1">
        <f ca="1">IFERROR(__xludf.DUMMYFUNCTION("""COMPUTED_VALUE"""),111.57)</f>
        <v>111.57</v>
      </c>
      <c r="D375" s="1">
        <f ca="1">IFERROR(__xludf.DUMMYFUNCTION("""COMPUTED_VALUE"""),108.23)</f>
        <v>108.23</v>
      </c>
      <c r="E375" s="1">
        <f ca="1">IFERROR(__xludf.DUMMYFUNCTION("""COMPUTED_VALUE"""),108.97)</f>
        <v>108.97</v>
      </c>
      <c r="F375" s="1">
        <f ca="1">IFERROR(__xludf.DUMMYFUNCTION("""COMPUTED_VALUE"""),36409606)</f>
        <v>36409606</v>
      </c>
    </row>
    <row r="376" spans="1:6" x14ac:dyDescent="0.35">
      <c r="A376" s="2">
        <f ca="1">IFERROR(__xludf.DUMMYFUNCTION("""COMPUTED_VALUE"""),42549.6666666666)</f>
        <v>42549.666666666599</v>
      </c>
      <c r="B376" s="1">
        <f ca="1">IFERROR(__xludf.DUMMYFUNCTION("""COMPUTED_VALUE"""),110.63)</f>
        <v>110.63</v>
      </c>
      <c r="C376" s="1">
        <f ca="1">IFERROR(__xludf.DUMMYFUNCTION("""COMPUTED_VALUE"""),112.75)</f>
        <v>112.75</v>
      </c>
      <c r="D376" s="1">
        <f ca="1">IFERROR(__xludf.DUMMYFUNCTION("""COMPUTED_VALUE"""),110.55)</f>
        <v>110.55</v>
      </c>
      <c r="E376" s="1">
        <f ca="1">IFERROR(__xludf.DUMMYFUNCTION("""COMPUTED_VALUE"""),112.7)</f>
        <v>112.7</v>
      </c>
      <c r="F376" s="1">
        <f ca="1">IFERROR(__xludf.DUMMYFUNCTION("""COMPUTED_VALUE"""),26813842)</f>
        <v>26813842</v>
      </c>
    </row>
    <row r="377" spans="1:6" x14ac:dyDescent="0.35">
      <c r="A377" s="2">
        <f ca="1">IFERROR(__xludf.DUMMYFUNCTION("""COMPUTED_VALUE"""),42550.6666666666)</f>
        <v>42550.666666666599</v>
      </c>
      <c r="B377" s="1">
        <f ca="1">IFERROR(__xludf.DUMMYFUNCTION("""COMPUTED_VALUE"""),113.37)</f>
        <v>113.37</v>
      </c>
      <c r="C377" s="1">
        <f ca="1">IFERROR(__xludf.DUMMYFUNCTION("""COMPUTED_VALUE"""),114.25)</f>
        <v>114.25</v>
      </c>
      <c r="D377" s="1">
        <f ca="1">IFERROR(__xludf.DUMMYFUNCTION("""COMPUTED_VALUE"""),113.04)</f>
        <v>113.04</v>
      </c>
      <c r="E377" s="1">
        <f ca="1">IFERROR(__xludf.DUMMYFUNCTION("""COMPUTED_VALUE"""),114.16)</f>
        <v>114.16</v>
      </c>
      <c r="F377" s="1">
        <f ca="1">IFERROR(__xludf.DUMMYFUNCTION("""COMPUTED_VALUE"""),20968273)</f>
        <v>20968273</v>
      </c>
    </row>
    <row r="378" spans="1:6" x14ac:dyDescent="0.35">
      <c r="A378" s="2">
        <f ca="1">IFERROR(__xludf.DUMMYFUNCTION("""COMPUTED_VALUE"""),42551.6666666666)</f>
        <v>42551.666666666599</v>
      </c>
      <c r="B378" s="1">
        <f ca="1">IFERROR(__xludf.DUMMYFUNCTION("""COMPUTED_VALUE"""),114.67)</f>
        <v>114.67</v>
      </c>
      <c r="C378" s="1">
        <f ca="1">IFERROR(__xludf.DUMMYFUNCTION("""COMPUTED_VALUE"""),115.18)</f>
        <v>115.18</v>
      </c>
      <c r="D378" s="1">
        <f ca="1">IFERROR(__xludf.DUMMYFUNCTION("""COMPUTED_VALUE"""),113.67)</f>
        <v>113.67</v>
      </c>
      <c r="E378" s="1">
        <f ca="1">IFERROR(__xludf.DUMMYFUNCTION("""COMPUTED_VALUE"""),114.28)</f>
        <v>114.28</v>
      </c>
      <c r="F378" s="1">
        <f ca="1">IFERROR(__xludf.DUMMYFUNCTION("""COMPUTED_VALUE"""),23192716)</f>
        <v>23192716</v>
      </c>
    </row>
    <row r="379" spans="1:6" x14ac:dyDescent="0.35">
      <c r="A379" s="2">
        <f ca="1">IFERROR(__xludf.DUMMYFUNCTION("""COMPUTED_VALUE"""),42552.6666666666)</f>
        <v>42552.666666666599</v>
      </c>
      <c r="B379" s="1">
        <f ca="1">IFERROR(__xludf.DUMMYFUNCTION("""COMPUTED_VALUE"""),114.2)</f>
        <v>114.2</v>
      </c>
      <c r="C379" s="1">
        <f ca="1">IFERROR(__xludf.DUMMYFUNCTION("""COMPUTED_VALUE"""),115.13)</f>
        <v>115.13</v>
      </c>
      <c r="D379" s="1">
        <f ca="1">IFERROR(__xludf.DUMMYFUNCTION("""COMPUTED_VALUE"""),113.81)</f>
        <v>113.81</v>
      </c>
      <c r="E379" s="1">
        <f ca="1">IFERROR(__xludf.DUMMYFUNCTION("""COMPUTED_VALUE"""),114.19)</f>
        <v>114.19</v>
      </c>
      <c r="F379" s="1">
        <f ca="1">IFERROR(__xludf.DUMMYFUNCTION("""COMPUTED_VALUE"""),14980023)</f>
        <v>14980023</v>
      </c>
    </row>
    <row r="380" spans="1:6" x14ac:dyDescent="0.35">
      <c r="A380" s="2">
        <f ca="1">IFERROR(__xludf.DUMMYFUNCTION("""COMPUTED_VALUE"""),42556.6666666666)</f>
        <v>42556.666666666599</v>
      </c>
      <c r="B380" s="1">
        <f ca="1">IFERROR(__xludf.DUMMYFUNCTION("""COMPUTED_VALUE"""),113.94)</f>
        <v>113.94</v>
      </c>
      <c r="C380" s="1">
        <f ca="1">IFERROR(__xludf.DUMMYFUNCTION("""COMPUTED_VALUE"""),114.11)</f>
        <v>114.11</v>
      </c>
      <c r="D380" s="1">
        <f ca="1">IFERROR(__xludf.DUMMYFUNCTION("""COMPUTED_VALUE"""),112.97)</f>
        <v>112.97</v>
      </c>
      <c r="E380" s="1">
        <f ca="1">IFERROR(__xludf.DUMMYFUNCTION("""COMPUTED_VALUE"""),114)</f>
        <v>114</v>
      </c>
      <c r="F380" s="1">
        <f ca="1">IFERROR(__xludf.DUMMYFUNCTION("""COMPUTED_VALUE"""),14207037)</f>
        <v>14207037</v>
      </c>
    </row>
    <row r="381" spans="1:6" x14ac:dyDescent="0.35">
      <c r="A381" s="2">
        <f ca="1">IFERROR(__xludf.DUMMYFUNCTION("""COMPUTED_VALUE"""),42557.6666666666)</f>
        <v>42557.666666666599</v>
      </c>
      <c r="B381" s="1">
        <f ca="1">IFERROR(__xludf.DUMMYFUNCTION("""COMPUTED_VALUE"""),113.36)</f>
        <v>113.36</v>
      </c>
      <c r="C381" s="1">
        <f ca="1">IFERROR(__xludf.DUMMYFUNCTION("""COMPUTED_VALUE"""),116.79)</f>
        <v>116.79</v>
      </c>
      <c r="D381" s="1">
        <f ca="1">IFERROR(__xludf.DUMMYFUNCTION("""COMPUTED_VALUE"""),112.97)</f>
        <v>112.97</v>
      </c>
      <c r="E381" s="1">
        <f ca="1">IFERROR(__xludf.DUMMYFUNCTION("""COMPUTED_VALUE"""),116.7)</f>
        <v>116.7</v>
      </c>
      <c r="F381" s="1">
        <f ca="1">IFERROR(__xludf.DUMMYFUNCTION("""COMPUTED_VALUE"""),24337586)</f>
        <v>24337586</v>
      </c>
    </row>
    <row r="382" spans="1:6" x14ac:dyDescent="0.35">
      <c r="A382" s="2">
        <f ca="1">IFERROR(__xludf.DUMMYFUNCTION("""COMPUTED_VALUE"""),42558.6666666666)</f>
        <v>42558.666666666599</v>
      </c>
      <c r="B382" s="1">
        <f ca="1">IFERROR(__xludf.DUMMYFUNCTION("""COMPUTED_VALUE"""),116.63)</f>
        <v>116.63</v>
      </c>
      <c r="C382" s="1">
        <f ca="1">IFERROR(__xludf.DUMMYFUNCTION("""COMPUTED_VALUE"""),116.97)</f>
        <v>116.97</v>
      </c>
      <c r="D382" s="1">
        <f ca="1">IFERROR(__xludf.DUMMYFUNCTION("""COMPUTED_VALUE"""),115.36)</f>
        <v>115.36</v>
      </c>
      <c r="E382" s="1">
        <f ca="1">IFERROR(__xludf.DUMMYFUNCTION("""COMPUTED_VALUE"""),115.85)</f>
        <v>115.85</v>
      </c>
      <c r="F382" s="1">
        <f ca="1">IFERROR(__xludf.DUMMYFUNCTION("""COMPUTED_VALUE"""),16630201)</f>
        <v>16630201</v>
      </c>
    </row>
    <row r="383" spans="1:6" x14ac:dyDescent="0.35">
      <c r="A383" s="2">
        <f ca="1">IFERROR(__xludf.DUMMYFUNCTION("""COMPUTED_VALUE"""),42559.6666666666)</f>
        <v>42559.666666666599</v>
      </c>
      <c r="B383" s="1">
        <f ca="1">IFERROR(__xludf.DUMMYFUNCTION("""COMPUTED_VALUE"""),116.43)</f>
        <v>116.43</v>
      </c>
      <c r="C383" s="1">
        <f ca="1">IFERROR(__xludf.DUMMYFUNCTION("""COMPUTED_VALUE"""),117.5)</f>
        <v>117.5</v>
      </c>
      <c r="D383" s="1">
        <f ca="1">IFERROR(__xludf.DUMMYFUNCTION("""COMPUTED_VALUE"""),115.85)</f>
        <v>115.85</v>
      </c>
      <c r="E383" s="1">
        <f ca="1">IFERROR(__xludf.DUMMYFUNCTION("""COMPUTED_VALUE"""),117.24)</f>
        <v>117.24</v>
      </c>
      <c r="F383" s="1">
        <f ca="1">IFERROR(__xludf.DUMMYFUNCTION("""COMPUTED_VALUE"""),18142597)</f>
        <v>18142597</v>
      </c>
    </row>
    <row r="384" spans="1:6" x14ac:dyDescent="0.35">
      <c r="A384" s="2">
        <f ca="1">IFERROR(__xludf.DUMMYFUNCTION("""COMPUTED_VALUE"""),42562.6666666666)</f>
        <v>42562.666666666599</v>
      </c>
      <c r="B384" s="1">
        <f ca="1">IFERROR(__xludf.DUMMYFUNCTION("""COMPUTED_VALUE"""),117.71)</f>
        <v>117.71</v>
      </c>
      <c r="C384" s="1">
        <f ca="1">IFERROR(__xludf.DUMMYFUNCTION("""COMPUTED_VALUE"""),118.7)</f>
        <v>118.7</v>
      </c>
      <c r="D384" s="1">
        <f ca="1">IFERROR(__xludf.DUMMYFUNCTION("""COMPUTED_VALUE"""),117.5)</f>
        <v>117.5</v>
      </c>
      <c r="E384" s="1">
        <f ca="1">IFERROR(__xludf.DUMMYFUNCTION("""COMPUTED_VALUE"""),117.87)</f>
        <v>117.87</v>
      </c>
      <c r="F384" s="1">
        <f ca="1">IFERROR(__xludf.DUMMYFUNCTION("""COMPUTED_VALUE"""),17711570)</f>
        <v>17711570</v>
      </c>
    </row>
    <row r="385" spans="1:6" x14ac:dyDescent="0.35">
      <c r="A385" s="2">
        <f ca="1">IFERROR(__xludf.DUMMYFUNCTION("""COMPUTED_VALUE"""),42563.6666666666)</f>
        <v>42563.666666666599</v>
      </c>
      <c r="B385" s="1">
        <f ca="1">IFERROR(__xludf.DUMMYFUNCTION("""COMPUTED_VALUE"""),118.63)</f>
        <v>118.63</v>
      </c>
      <c r="C385" s="1">
        <f ca="1">IFERROR(__xludf.DUMMYFUNCTION("""COMPUTED_VALUE"""),118.72)</f>
        <v>118.72</v>
      </c>
      <c r="D385" s="1">
        <f ca="1">IFERROR(__xludf.DUMMYFUNCTION("""COMPUTED_VALUE"""),117.57)</f>
        <v>117.57</v>
      </c>
      <c r="E385" s="1">
        <f ca="1">IFERROR(__xludf.DUMMYFUNCTION("""COMPUTED_VALUE"""),117.93)</f>
        <v>117.93</v>
      </c>
      <c r="F385" s="1">
        <f ca="1">IFERROR(__xludf.DUMMYFUNCTION("""COMPUTED_VALUE"""),15217700)</f>
        <v>15217700</v>
      </c>
    </row>
    <row r="386" spans="1:6" x14ac:dyDescent="0.35">
      <c r="A386" s="2">
        <f ca="1">IFERROR(__xludf.DUMMYFUNCTION("""COMPUTED_VALUE"""),42564.6666666666)</f>
        <v>42564.666666666599</v>
      </c>
      <c r="B386" s="1">
        <f ca="1">IFERROR(__xludf.DUMMYFUNCTION("""COMPUTED_VALUE"""),118.39)</f>
        <v>118.39</v>
      </c>
      <c r="C386" s="1">
        <f ca="1">IFERROR(__xludf.DUMMYFUNCTION("""COMPUTED_VALUE"""),118.4)</f>
        <v>118.4</v>
      </c>
      <c r="D386" s="1">
        <f ca="1">IFERROR(__xludf.DUMMYFUNCTION("""COMPUTED_VALUE"""),116.68)</f>
        <v>116.68</v>
      </c>
      <c r="E386" s="1">
        <f ca="1">IFERROR(__xludf.DUMMYFUNCTION("""COMPUTED_VALUE"""),116.78)</f>
        <v>116.78</v>
      </c>
      <c r="F386" s="1">
        <f ca="1">IFERROR(__xludf.DUMMYFUNCTION("""COMPUTED_VALUE"""),16207662)</f>
        <v>16207662</v>
      </c>
    </row>
    <row r="387" spans="1:6" x14ac:dyDescent="0.35">
      <c r="A387" s="2">
        <f ca="1">IFERROR(__xludf.DUMMYFUNCTION("""COMPUTED_VALUE"""),42565.6666666666)</f>
        <v>42565.666666666599</v>
      </c>
      <c r="B387" s="1">
        <f ca="1">IFERROR(__xludf.DUMMYFUNCTION("""COMPUTED_VALUE"""),117.5)</f>
        <v>117.5</v>
      </c>
      <c r="C387" s="1">
        <f ca="1">IFERROR(__xludf.DUMMYFUNCTION("""COMPUTED_VALUE"""),117.64)</f>
        <v>117.64</v>
      </c>
      <c r="D387" s="1">
        <f ca="1">IFERROR(__xludf.DUMMYFUNCTION("""COMPUTED_VALUE"""),116.7)</f>
        <v>116.7</v>
      </c>
      <c r="E387" s="1">
        <f ca="1">IFERROR(__xludf.DUMMYFUNCTION("""COMPUTED_VALUE"""),117.29)</f>
        <v>117.29</v>
      </c>
      <c r="F387" s="1">
        <f ca="1">IFERROR(__xludf.DUMMYFUNCTION("""COMPUTED_VALUE"""),14579736)</f>
        <v>14579736</v>
      </c>
    </row>
    <row r="388" spans="1:6" x14ac:dyDescent="0.35">
      <c r="A388" s="2">
        <f ca="1">IFERROR(__xludf.DUMMYFUNCTION("""COMPUTED_VALUE"""),42566.6666666666)</f>
        <v>42566.666666666599</v>
      </c>
      <c r="B388" s="1">
        <f ca="1">IFERROR(__xludf.DUMMYFUNCTION("""COMPUTED_VALUE"""),117.74)</f>
        <v>117.74</v>
      </c>
      <c r="C388" s="1">
        <f ca="1">IFERROR(__xludf.DUMMYFUNCTION("""COMPUTED_VALUE"""),118.28)</f>
        <v>118.28</v>
      </c>
      <c r="D388" s="1">
        <f ca="1">IFERROR(__xludf.DUMMYFUNCTION("""COMPUTED_VALUE"""),116.58)</f>
        <v>116.58</v>
      </c>
      <c r="E388" s="1">
        <f ca="1">IFERROR(__xludf.DUMMYFUNCTION("""COMPUTED_VALUE"""),116.86)</f>
        <v>116.86</v>
      </c>
      <c r="F388" s="1">
        <f ca="1">IFERROR(__xludf.DUMMYFUNCTION("""COMPUTED_VALUE"""),16645964)</f>
        <v>16645964</v>
      </c>
    </row>
    <row r="389" spans="1:6" x14ac:dyDescent="0.35">
      <c r="A389" s="2">
        <f ca="1">IFERROR(__xludf.DUMMYFUNCTION("""COMPUTED_VALUE"""),42569.6666666666)</f>
        <v>42569.666666666599</v>
      </c>
      <c r="B389" s="1">
        <f ca="1">IFERROR(__xludf.DUMMYFUNCTION("""COMPUTED_VALUE"""),117.32)</f>
        <v>117.32</v>
      </c>
      <c r="C389" s="1">
        <f ca="1">IFERROR(__xludf.DUMMYFUNCTION("""COMPUTED_VALUE"""),119.61)</f>
        <v>119.61</v>
      </c>
      <c r="D389" s="1">
        <f ca="1">IFERROR(__xludf.DUMMYFUNCTION("""COMPUTED_VALUE"""),116.89)</f>
        <v>116.89</v>
      </c>
      <c r="E389" s="1">
        <f ca="1">IFERROR(__xludf.DUMMYFUNCTION("""COMPUTED_VALUE"""),119.37)</f>
        <v>119.37</v>
      </c>
      <c r="F389" s="1">
        <f ca="1">IFERROR(__xludf.DUMMYFUNCTION("""COMPUTED_VALUE"""),20868367)</f>
        <v>20868367</v>
      </c>
    </row>
    <row r="390" spans="1:6" x14ac:dyDescent="0.35">
      <c r="A390" s="2">
        <f ca="1">IFERROR(__xludf.DUMMYFUNCTION("""COMPUTED_VALUE"""),42570.6666666666)</f>
        <v>42570.666666666599</v>
      </c>
      <c r="B390" s="1">
        <f ca="1">IFERROR(__xludf.DUMMYFUNCTION("""COMPUTED_VALUE"""),118.99)</f>
        <v>118.99</v>
      </c>
      <c r="C390" s="1">
        <f ca="1">IFERROR(__xludf.DUMMYFUNCTION("""COMPUTED_VALUE"""),120.85)</f>
        <v>120.85</v>
      </c>
      <c r="D390" s="1">
        <f ca="1">IFERROR(__xludf.DUMMYFUNCTION("""COMPUTED_VALUE"""),118.66)</f>
        <v>118.66</v>
      </c>
      <c r="E390" s="1">
        <f ca="1">IFERROR(__xludf.DUMMYFUNCTION("""COMPUTED_VALUE"""),120.61)</f>
        <v>120.61</v>
      </c>
      <c r="F390" s="1">
        <f ca="1">IFERROR(__xludf.DUMMYFUNCTION("""COMPUTED_VALUE"""),21541292)</f>
        <v>21541292</v>
      </c>
    </row>
    <row r="391" spans="1:6" x14ac:dyDescent="0.35">
      <c r="A391" s="2">
        <f ca="1">IFERROR(__xludf.DUMMYFUNCTION("""COMPUTED_VALUE"""),42571.6666666666)</f>
        <v>42571.666666666599</v>
      </c>
      <c r="B391" s="1">
        <f ca="1">IFERROR(__xludf.DUMMYFUNCTION("""COMPUTED_VALUE"""),121.25)</f>
        <v>121.25</v>
      </c>
      <c r="C391" s="1">
        <f ca="1">IFERROR(__xludf.DUMMYFUNCTION("""COMPUTED_VALUE"""),122.2)</f>
        <v>122.2</v>
      </c>
      <c r="D391" s="1">
        <f ca="1">IFERROR(__xludf.DUMMYFUNCTION("""COMPUTED_VALUE"""),120.56)</f>
        <v>120.56</v>
      </c>
      <c r="E391" s="1">
        <f ca="1">IFERROR(__xludf.DUMMYFUNCTION("""COMPUTED_VALUE"""),121.92)</f>
        <v>121.92</v>
      </c>
      <c r="F391" s="1">
        <f ca="1">IFERROR(__xludf.DUMMYFUNCTION("""COMPUTED_VALUE"""),20046452)</f>
        <v>20046452</v>
      </c>
    </row>
    <row r="392" spans="1:6" x14ac:dyDescent="0.35">
      <c r="A392" s="2">
        <f ca="1">IFERROR(__xludf.DUMMYFUNCTION("""COMPUTED_VALUE"""),42572.6666666666)</f>
        <v>42572.666666666599</v>
      </c>
      <c r="B392" s="1">
        <f ca="1">IFERROR(__xludf.DUMMYFUNCTION("""COMPUTED_VALUE"""),121.92)</f>
        <v>121.92</v>
      </c>
      <c r="C392" s="1">
        <f ca="1">IFERROR(__xludf.DUMMYFUNCTION("""COMPUTED_VALUE"""),122.1)</f>
        <v>122.1</v>
      </c>
      <c r="D392" s="1">
        <f ca="1">IFERROR(__xludf.DUMMYFUNCTION("""COMPUTED_VALUE"""),120.25)</f>
        <v>120.25</v>
      </c>
      <c r="E392" s="1">
        <f ca="1">IFERROR(__xludf.DUMMYFUNCTION("""COMPUTED_VALUE"""),120.61)</f>
        <v>120.61</v>
      </c>
      <c r="F392" s="1">
        <f ca="1">IFERROR(__xludf.DUMMYFUNCTION("""COMPUTED_VALUE"""),17801663)</f>
        <v>17801663</v>
      </c>
    </row>
    <row r="393" spans="1:6" x14ac:dyDescent="0.35">
      <c r="A393" s="2">
        <f ca="1">IFERROR(__xludf.DUMMYFUNCTION("""COMPUTED_VALUE"""),42573.6666666666)</f>
        <v>42573.666666666599</v>
      </c>
      <c r="B393" s="1">
        <f ca="1">IFERROR(__xludf.DUMMYFUNCTION("""COMPUTED_VALUE"""),119.9)</f>
        <v>119.9</v>
      </c>
      <c r="C393" s="1">
        <f ca="1">IFERROR(__xludf.DUMMYFUNCTION("""COMPUTED_VALUE"""),121.01)</f>
        <v>121.01</v>
      </c>
      <c r="D393" s="1">
        <f ca="1">IFERROR(__xludf.DUMMYFUNCTION("""COMPUTED_VALUE"""),119.31)</f>
        <v>119.31</v>
      </c>
      <c r="E393" s="1">
        <f ca="1">IFERROR(__xludf.DUMMYFUNCTION("""COMPUTED_VALUE"""),121)</f>
        <v>121</v>
      </c>
      <c r="F393" s="1">
        <f ca="1">IFERROR(__xludf.DUMMYFUNCTION("""COMPUTED_VALUE"""),18422410)</f>
        <v>18422410</v>
      </c>
    </row>
    <row r="394" spans="1:6" x14ac:dyDescent="0.35">
      <c r="A394" s="2">
        <f ca="1">IFERROR(__xludf.DUMMYFUNCTION("""COMPUTED_VALUE"""),42576.6666666666)</f>
        <v>42576.666666666599</v>
      </c>
      <c r="B394" s="1">
        <f ca="1">IFERROR(__xludf.DUMMYFUNCTION("""COMPUTED_VALUE"""),121.39)</f>
        <v>121.39</v>
      </c>
      <c r="C394" s="1">
        <f ca="1">IFERROR(__xludf.DUMMYFUNCTION("""COMPUTED_VALUE"""),121.85)</f>
        <v>121.85</v>
      </c>
      <c r="D394" s="1">
        <f ca="1">IFERROR(__xludf.DUMMYFUNCTION("""COMPUTED_VALUE"""),117.78)</f>
        <v>117.78</v>
      </c>
      <c r="E394" s="1">
        <f ca="1">IFERROR(__xludf.DUMMYFUNCTION("""COMPUTED_VALUE"""),121.63)</f>
        <v>121.63</v>
      </c>
      <c r="F394" s="1">
        <f ca="1">IFERROR(__xludf.DUMMYFUNCTION("""COMPUTED_VALUE"""),18487449)</f>
        <v>18487449</v>
      </c>
    </row>
    <row r="395" spans="1:6" x14ac:dyDescent="0.35">
      <c r="A395" s="2">
        <f ca="1">IFERROR(__xludf.DUMMYFUNCTION("""COMPUTED_VALUE"""),42577.6666666666)</f>
        <v>42577.666666666599</v>
      </c>
      <c r="B395" s="1">
        <f ca="1">IFERROR(__xludf.DUMMYFUNCTION("""COMPUTED_VALUE"""),122)</f>
        <v>122</v>
      </c>
      <c r="C395" s="1">
        <f ca="1">IFERROR(__xludf.DUMMYFUNCTION("""COMPUTED_VALUE"""),122.07)</f>
        <v>122.07</v>
      </c>
      <c r="D395" s="1">
        <f ca="1">IFERROR(__xludf.DUMMYFUNCTION("""COMPUTED_VALUE"""),120.75)</f>
        <v>120.75</v>
      </c>
      <c r="E395" s="1">
        <f ca="1">IFERROR(__xludf.DUMMYFUNCTION("""COMPUTED_VALUE"""),121.22)</f>
        <v>121.22</v>
      </c>
      <c r="F395" s="1">
        <f ca="1">IFERROR(__xludf.DUMMYFUNCTION("""COMPUTED_VALUE"""),17611964)</f>
        <v>17611964</v>
      </c>
    </row>
    <row r="396" spans="1:6" x14ac:dyDescent="0.35">
      <c r="A396" s="2">
        <f ca="1">IFERROR(__xludf.DUMMYFUNCTION("""COMPUTED_VALUE"""),42578.6666666666)</f>
        <v>42578.666666666599</v>
      </c>
      <c r="B396" s="1">
        <f ca="1">IFERROR(__xludf.DUMMYFUNCTION("""COMPUTED_VALUE"""),122.42)</f>
        <v>122.42</v>
      </c>
      <c r="C396" s="1">
        <f ca="1">IFERROR(__xludf.DUMMYFUNCTION("""COMPUTED_VALUE"""),125)</f>
        <v>125</v>
      </c>
      <c r="D396" s="1">
        <f ca="1">IFERROR(__xludf.DUMMYFUNCTION("""COMPUTED_VALUE"""),121.51)</f>
        <v>121.51</v>
      </c>
      <c r="E396" s="1">
        <f ca="1">IFERROR(__xludf.DUMMYFUNCTION("""COMPUTED_VALUE"""),123.34)</f>
        <v>123.34</v>
      </c>
      <c r="F396" s="1">
        <f ca="1">IFERROR(__xludf.DUMMYFUNCTION("""COMPUTED_VALUE"""),52654239)</f>
        <v>52654239</v>
      </c>
    </row>
    <row r="397" spans="1:6" x14ac:dyDescent="0.35">
      <c r="A397" s="2">
        <f ca="1">IFERROR(__xludf.DUMMYFUNCTION("""COMPUTED_VALUE"""),42579.6666666666)</f>
        <v>42579.666666666599</v>
      </c>
      <c r="B397" s="1">
        <f ca="1">IFERROR(__xludf.DUMMYFUNCTION("""COMPUTED_VALUE"""),127.52)</f>
        <v>127.52</v>
      </c>
      <c r="C397" s="1">
        <f ca="1">IFERROR(__xludf.DUMMYFUNCTION("""COMPUTED_VALUE"""),128.33)</f>
        <v>128.33000000000001</v>
      </c>
      <c r="D397" s="1">
        <f ca="1">IFERROR(__xludf.DUMMYFUNCTION("""COMPUTED_VALUE"""),123.63)</f>
        <v>123.63</v>
      </c>
      <c r="E397" s="1">
        <f ca="1">IFERROR(__xludf.DUMMYFUNCTION("""COMPUTED_VALUE"""),125)</f>
        <v>125</v>
      </c>
      <c r="F397" s="1">
        <f ca="1">IFERROR(__xludf.DUMMYFUNCTION("""COMPUTED_VALUE"""),78955758)</f>
        <v>78955758</v>
      </c>
    </row>
    <row r="398" spans="1:6" x14ac:dyDescent="0.35">
      <c r="A398" s="2">
        <f ca="1">IFERROR(__xludf.DUMMYFUNCTION("""COMPUTED_VALUE"""),42580.6666666666)</f>
        <v>42580.666666666599</v>
      </c>
      <c r="B398" s="1">
        <f ca="1">IFERROR(__xludf.DUMMYFUNCTION("""COMPUTED_VALUE"""),124.65)</f>
        <v>124.65</v>
      </c>
      <c r="C398" s="1">
        <f ca="1">IFERROR(__xludf.DUMMYFUNCTION("""COMPUTED_VALUE"""),125.84)</f>
        <v>125.84</v>
      </c>
      <c r="D398" s="1">
        <f ca="1">IFERROR(__xludf.DUMMYFUNCTION("""COMPUTED_VALUE"""),123.71)</f>
        <v>123.71</v>
      </c>
      <c r="E398" s="1">
        <f ca="1">IFERROR(__xludf.DUMMYFUNCTION("""COMPUTED_VALUE"""),123.94)</f>
        <v>123.94</v>
      </c>
      <c r="F398" s="1">
        <f ca="1">IFERROR(__xludf.DUMMYFUNCTION("""COMPUTED_VALUE"""),35058803)</f>
        <v>35058803</v>
      </c>
    </row>
    <row r="399" spans="1:6" x14ac:dyDescent="0.35">
      <c r="A399" s="2">
        <f ca="1">IFERROR(__xludf.DUMMYFUNCTION("""COMPUTED_VALUE"""),42583.6666666666)</f>
        <v>42583.666666666599</v>
      </c>
      <c r="B399" s="1">
        <f ca="1">IFERROR(__xludf.DUMMYFUNCTION("""COMPUTED_VALUE"""),123.85)</f>
        <v>123.85</v>
      </c>
      <c r="C399" s="1">
        <f ca="1">IFERROR(__xludf.DUMMYFUNCTION("""COMPUTED_VALUE"""),124.58)</f>
        <v>124.58</v>
      </c>
      <c r="D399" s="1">
        <f ca="1">IFERROR(__xludf.DUMMYFUNCTION("""COMPUTED_VALUE"""),122.86)</f>
        <v>122.86</v>
      </c>
      <c r="E399" s="1">
        <f ca="1">IFERROR(__xludf.DUMMYFUNCTION("""COMPUTED_VALUE"""),124.31)</f>
        <v>124.31</v>
      </c>
      <c r="F399" s="1">
        <f ca="1">IFERROR(__xludf.DUMMYFUNCTION("""COMPUTED_VALUE"""),25006850)</f>
        <v>25006850</v>
      </c>
    </row>
    <row r="400" spans="1:6" x14ac:dyDescent="0.35">
      <c r="A400" s="2">
        <f ca="1">IFERROR(__xludf.DUMMYFUNCTION("""COMPUTED_VALUE"""),42584.6666666666)</f>
        <v>42584.666666666599</v>
      </c>
      <c r="B400" s="1">
        <f ca="1">IFERROR(__xludf.DUMMYFUNCTION("""COMPUTED_VALUE"""),124.06)</f>
        <v>124.06</v>
      </c>
      <c r="C400" s="1">
        <f ca="1">IFERROR(__xludf.DUMMYFUNCTION("""COMPUTED_VALUE"""),124.8)</f>
        <v>124.8</v>
      </c>
      <c r="D400" s="1">
        <f ca="1">IFERROR(__xludf.DUMMYFUNCTION("""COMPUTED_VALUE"""),122.07)</f>
        <v>122.07</v>
      </c>
      <c r="E400" s="1">
        <f ca="1">IFERROR(__xludf.DUMMYFUNCTION("""COMPUTED_VALUE"""),123.09)</f>
        <v>123.09</v>
      </c>
      <c r="F400" s="1">
        <f ca="1">IFERROR(__xludf.DUMMYFUNCTION("""COMPUTED_VALUE"""),23968414)</f>
        <v>23968414</v>
      </c>
    </row>
    <row r="401" spans="1:6" x14ac:dyDescent="0.35">
      <c r="A401" s="2">
        <f ca="1">IFERROR(__xludf.DUMMYFUNCTION("""COMPUTED_VALUE"""),42585.6666666666)</f>
        <v>42585.666666666599</v>
      </c>
      <c r="B401" s="1">
        <f ca="1">IFERROR(__xludf.DUMMYFUNCTION("""COMPUTED_VALUE"""),123.09)</f>
        <v>123.09</v>
      </c>
      <c r="C401" s="1">
        <f ca="1">IFERROR(__xludf.DUMMYFUNCTION("""COMPUTED_VALUE"""),123.92)</f>
        <v>123.92</v>
      </c>
      <c r="D401" s="1">
        <f ca="1">IFERROR(__xludf.DUMMYFUNCTION("""COMPUTED_VALUE"""),122.31)</f>
        <v>122.31</v>
      </c>
      <c r="E401" s="1">
        <f ca="1">IFERROR(__xludf.DUMMYFUNCTION("""COMPUTED_VALUE"""),122.51)</f>
        <v>122.51</v>
      </c>
      <c r="F401" s="1">
        <f ca="1">IFERROR(__xludf.DUMMYFUNCTION("""COMPUTED_VALUE"""),18525332)</f>
        <v>18525332</v>
      </c>
    </row>
    <row r="402" spans="1:6" x14ac:dyDescent="0.35">
      <c r="A402" s="2">
        <f ca="1">IFERROR(__xludf.DUMMYFUNCTION("""COMPUTED_VALUE"""),42586.6666666666)</f>
        <v>42586.666666666599</v>
      </c>
      <c r="B402" s="1">
        <f ca="1">IFERROR(__xludf.DUMMYFUNCTION("""COMPUTED_VALUE"""),122.94)</f>
        <v>122.94</v>
      </c>
      <c r="C402" s="1">
        <f ca="1">IFERROR(__xludf.DUMMYFUNCTION("""COMPUTED_VALUE"""),124.79)</f>
        <v>124.79</v>
      </c>
      <c r="D402" s="1">
        <f ca="1">IFERROR(__xludf.DUMMYFUNCTION("""COMPUTED_VALUE"""),122.51)</f>
        <v>122.51</v>
      </c>
      <c r="E402" s="1">
        <f ca="1">IFERROR(__xludf.DUMMYFUNCTION("""COMPUTED_VALUE"""),124.36)</f>
        <v>124.36</v>
      </c>
      <c r="F402" s="1">
        <f ca="1">IFERROR(__xludf.DUMMYFUNCTION("""COMPUTED_VALUE"""),21065974)</f>
        <v>21065974</v>
      </c>
    </row>
    <row r="403" spans="1:6" x14ac:dyDescent="0.35">
      <c r="A403" s="2">
        <f ca="1">IFERROR(__xludf.DUMMYFUNCTION("""COMPUTED_VALUE"""),42587.6666666666)</f>
        <v>42587.666666666599</v>
      </c>
      <c r="B403" s="1">
        <f ca="1">IFERROR(__xludf.DUMMYFUNCTION("""COMPUTED_VALUE"""),124.98)</f>
        <v>124.98</v>
      </c>
      <c r="C403" s="1">
        <f ca="1">IFERROR(__xludf.DUMMYFUNCTION("""COMPUTED_VALUE"""),125.84)</f>
        <v>125.84</v>
      </c>
      <c r="D403" s="1">
        <f ca="1">IFERROR(__xludf.DUMMYFUNCTION("""COMPUTED_VALUE"""),124.62)</f>
        <v>124.62</v>
      </c>
      <c r="E403" s="1">
        <f ca="1">IFERROR(__xludf.DUMMYFUNCTION("""COMPUTED_VALUE"""),125.15)</f>
        <v>125.15</v>
      </c>
      <c r="F403" s="1">
        <f ca="1">IFERROR(__xludf.DUMMYFUNCTION("""COMPUTED_VALUE"""),20184035)</f>
        <v>20184035</v>
      </c>
    </row>
    <row r="404" spans="1:6" x14ac:dyDescent="0.35">
      <c r="A404" s="2">
        <f ca="1">IFERROR(__xludf.DUMMYFUNCTION("""COMPUTED_VALUE"""),42590.6666666666)</f>
        <v>42590.666666666599</v>
      </c>
      <c r="B404" s="1">
        <f ca="1">IFERROR(__xludf.DUMMYFUNCTION("""COMPUTED_VALUE"""),125.25)</f>
        <v>125.25</v>
      </c>
      <c r="C404" s="1">
        <f ca="1">IFERROR(__xludf.DUMMYFUNCTION("""COMPUTED_VALUE"""),125.45)</f>
        <v>125.45</v>
      </c>
      <c r="D404" s="1">
        <f ca="1">IFERROR(__xludf.DUMMYFUNCTION("""COMPUTED_VALUE"""),124.55)</f>
        <v>124.55</v>
      </c>
      <c r="E404" s="1">
        <f ca="1">IFERROR(__xludf.DUMMYFUNCTION("""COMPUTED_VALUE"""),125.26)</f>
        <v>125.26</v>
      </c>
      <c r="F404" s="1">
        <f ca="1">IFERROR(__xludf.DUMMYFUNCTION("""COMPUTED_VALUE"""),15233929)</f>
        <v>15233929</v>
      </c>
    </row>
    <row r="405" spans="1:6" x14ac:dyDescent="0.35">
      <c r="A405" s="2">
        <f ca="1">IFERROR(__xludf.DUMMYFUNCTION("""COMPUTED_VALUE"""),42591.6666666666)</f>
        <v>42591.666666666599</v>
      </c>
      <c r="B405" s="1">
        <f ca="1">IFERROR(__xludf.DUMMYFUNCTION("""COMPUTED_VALUE"""),125.34)</f>
        <v>125.34</v>
      </c>
      <c r="C405" s="1">
        <f ca="1">IFERROR(__xludf.DUMMYFUNCTION("""COMPUTED_VALUE"""),126.09)</f>
        <v>126.09</v>
      </c>
      <c r="D405" s="1">
        <f ca="1">IFERROR(__xludf.DUMMYFUNCTION("""COMPUTED_VALUE"""),124.53)</f>
        <v>124.53</v>
      </c>
      <c r="E405" s="1">
        <f ca="1">IFERROR(__xludf.DUMMYFUNCTION("""COMPUTED_VALUE"""),125.06)</f>
        <v>125.06</v>
      </c>
      <c r="F405" s="1">
        <f ca="1">IFERROR(__xludf.DUMMYFUNCTION("""COMPUTED_VALUE"""),19620967)</f>
        <v>19620967</v>
      </c>
    </row>
    <row r="406" spans="1:6" x14ac:dyDescent="0.35">
      <c r="A406" s="2">
        <f ca="1">IFERROR(__xludf.DUMMYFUNCTION("""COMPUTED_VALUE"""),42592.6666666666)</f>
        <v>42592.666666666599</v>
      </c>
      <c r="B406" s="1">
        <f ca="1">IFERROR(__xludf.DUMMYFUNCTION("""COMPUTED_VALUE"""),125.07)</f>
        <v>125.07</v>
      </c>
      <c r="C406" s="1">
        <f ca="1">IFERROR(__xludf.DUMMYFUNCTION("""COMPUTED_VALUE"""),125.48)</f>
        <v>125.48</v>
      </c>
      <c r="D406" s="1">
        <f ca="1">IFERROR(__xludf.DUMMYFUNCTION("""COMPUTED_VALUE"""),124.54)</f>
        <v>124.54</v>
      </c>
      <c r="E406" s="1">
        <f ca="1">IFERROR(__xludf.DUMMYFUNCTION("""COMPUTED_VALUE"""),124.88)</f>
        <v>124.88</v>
      </c>
      <c r="F406" s="1">
        <f ca="1">IFERROR(__xludf.DUMMYFUNCTION("""COMPUTED_VALUE"""),10670148)</f>
        <v>10670148</v>
      </c>
    </row>
    <row r="407" spans="1:6" x14ac:dyDescent="0.35">
      <c r="A407" s="2">
        <f ca="1">IFERROR(__xludf.DUMMYFUNCTION("""COMPUTED_VALUE"""),42593.6666666666)</f>
        <v>42593.666666666599</v>
      </c>
      <c r="B407" s="1">
        <f ca="1">IFERROR(__xludf.DUMMYFUNCTION("""COMPUTED_VALUE"""),125.2)</f>
        <v>125.2</v>
      </c>
      <c r="C407" s="1">
        <f ca="1">IFERROR(__xludf.DUMMYFUNCTION("""COMPUTED_VALUE"""),125.38)</f>
        <v>125.38</v>
      </c>
      <c r="D407" s="1">
        <f ca="1">IFERROR(__xludf.DUMMYFUNCTION("""COMPUTED_VALUE"""),124.75)</f>
        <v>124.75</v>
      </c>
      <c r="E407" s="1">
        <f ca="1">IFERROR(__xludf.DUMMYFUNCTION("""COMPUTED_VALUE"""),124.9)</f>
        <v>124.9</v>
      </c>
      <c r="F407" s="1">
        <f ca="1">IFERROR(__xludf.DUMMYFUNCTION("""COMPUTED_VALUE"""),11729519)</f>
        <v>11729519</v>
      </c>
    </row>
    <row r="408" spans="1:6" x14ac:dyDescent="0.35">
      <c r="A408" s="2">
        <f ca="1">IFERROR(__xludf.DUMMYFUNCTION("""COMPUTED_VALUE"""),42594.6666666666)</f>
        <v>42594.666666666599</v>
      </c>
      <c r="B408" s="1">
        <f ca="1">IFERROR(__xludf.DUMMYFUNCTION("""COMPUTED_VALUE"""),124.7)</f>
        <v>124.7</v>
      </c>
      <c r="C408" s="1">
        <f ca="1">IFERROR(__xludf.DUMMYFUNCTION("""COMPUTED_VALUE"""),125)</f>
        <v>125</v>
      </c>
      <c r="D408" s="1">
        <f ca="1">IFERROR(__xludf.DUMMYFUNCTION("""COMPUTED_VALUE"""),124.18)</f>
        <v>124.18</v>
      </c>
      <c r="E408" s="1">
        <f ca="1">IFERROR(__xludf.DUMMYFUNCTION("""COMPUTED_VALUE"""),124.88)</f>
        <v>124.88</v>
      </c>
      <c r="F408" s="1">
        <f ca="1">IFERROR(__xludf.DUMMYFUNCTION("""COMPUTED_VALUE"""),12158955)</f>
        <v>12158955</v>
      </c>
    </row>
    <row r="409" spans="1:6" x14ac:dyDescent="0.35">
      <c r="A409" s="2">
        <f ca="1">IFERROR(__xludf.DUMMYFUNCTION("""COMPUTED_VALUE"""),42597.6666666666)</f>
        <v>42597.666666666599</v>
      </c>
      <c r="B409" s="1">
        <f ca="1">IFERROR(__xludf.DUMMYFUNCTION("""COMPUTED_VALUE"""),124.91)</f>
        <v>124.91</v>
      </c>
      <c r="C409" s="1">
        <f ca="1">IFERROR(__xludf.DUMMYFUNCTION("""COMPUTED_VALUE"""),124.92)</f>
        <v>124.92</v>
      </c>
      <c r="D409" s="1">
        <f ca="1">IFERROR(__xludf.DUMMYFUNCTION("""COMPUTED_VALUE"""),123.7)</f>
        <v>123.7</v>
      </c>
      <c r="E409" s="1">
        <f ca="1">IFERROR(__xludf.DUMMYFUNCTION("""COMPUTED_VALUE"""),123.9)</f>
        <v>123.9</v>
      </c>
      <c r="F409" s="1">
        <f ca="1">IFERROR(__xludf.DUMMYFUNCTION("""COMPUTED_VALUE"""),19295130)</f>
        <v>19295130</v>
      </c>
    </row>
    <row r="410" spans="1:6" x14ac:dyDescent="0.35">
      <c r="A410" s="2">
        <f ca="1">IFERROR(__xludf.DUMMYFUNCTION("""COMPUTED_VALUE"""),42598.6666666666)</f>
        <v>42598.666666666599</v>
      </c>
      <c r="B410" s="1">
        <f ca="1">IFERROR(__xludf.DUMMYFUNCTION("""COMPUTED_VALUE"""),123.5)</f>
        <v>123.5</v>
      </c>
      <c r="C410" s="1">
        <f ca="1">IFERROR(__xludf.DUMMYFUNCTION("""COMPUTED_VALUE"""),123.92)</f>
        <v>123.92</v>
      </c>
      <c r="D410" s="1">
        <f ca="1">IFERROR(__xludf.DUMMYFUNCTION("""COMPUTED_VALUE"""),122.78)</f>
        <v>122.78</v>
      </c>
      <c r="E410" s="1">
        <f ca="1">IFERROR(__xludf.DUMMYFUNCTION("""COMPUTED_VALUE"""),123.3)</f>
        <v>123.3</v>
      </c>
      <c r="F410" s="1">
        <f ca="1">IFERROR(__xludf.DUMMYFUNCTION("""COMPUTED_VALUE"""),14222410)</f>
        <v>14222410</v>
      </c>
    </row>
    <row r="411" spans="1:6" x14ac:dyDescent="0.35">
      <c r="A411" s="2">
        <f ca="1">IFERROR(__xludf.DUMMYFUNCTION("""COMPUTED_VALUE"""),42599.6666666666)</f>
        <v>42599.666666666599</v>
      </c>
      <c r="B411" s="1">
        <f ca="1">IFERROR(__xludf.DUMMYFUNCTION("""COMPUTED_VALUE"""),123.66)</f>
        <v>123.66</v>
      </c>
      <c r="C411" s="1">
        <f ca="1">IFERROR(__xludf.DUMMYFUNCTION("""COMPUTED_VALUE"""),124.38)</f>
        <v>124.38</v>
      </c>
      <c r="D411" s="1">
        <f ca="1">IFERROR(__xludf.DUMMYFUNCTION("""COMPUTED_VALUE"""),122.85)</f>
        <v>122.85</v>
      </c>
      <c r="E411" s="1">
        <f ca="1">IFERROR(__xludf.DUMMYFUNCTION("""COMPUTED_VALUE"""),124.37)</f>
        <v>124.37</v>
      </c>
      <c r="F411" s="1">
        <f ca="1">IFERROR(__xludf.DUMMYFUNCTION("""COMPUTED_VALUE"""),13794179)</f>
        <v>13794179</v>
      </c>
    </row>
    <row r="412" spans="1:6" x14ac:dyDescent="0.35">
      <c r="A412" s="2">
        <f ca="1">IFERROR(__xludf.DUMMYFUNCTION("""COMPUTED_VALUE"""),42600.6666666666)</f>
        <v>42600.666666666599</v>
      </c>
      <c r="B412" s="1">
        <f ca="1">IFERROR(__xludf.DUMMYFUNCTION("""COMPUTED_VALUE"""),124.01)</f>
        <v>124.01</v>
      </c>
      <c r="C412" s="1">
        <f ca="1">IFERROR(__xludf.DUMMYFUNCTION("""COMPUTED_VALUE"""),124.26)</f>
        <v>124.26</v>
      </c>
      <c r="D412" s="1">
        <f ca="1">IFERROR(__xludf.DUMMYFUNCTION("""COMPUTED_VALUE"""),123.64)</f>
        <v>123.64</v>
      </c>
      <c r="E412" s="1">
        <f ca="1">IFERROR(__xludf.DUMMYFUNCTION("""COMPUTED_VALUE"""),123.91)</f>
        <v>123.91</v>
      </c>
      <c r="F412" s="1">
        <f ca="1">IFERROR(__xludf.DUMMYFUNCTION("""COMPUTED_VALUE"""),12400816)</f>
        <v>12400816</v>
      </c>
    </row>
    <row r="413" spans="1:6" x14ac:dyDescent="0.35">
      <c r="A413" s="2">
        <f ca="1">IFERROR(__xludf.DUMMYFUNCTION("""COMPUTED_VALUE"""),42601.6666666666)</f>
        <v>42601.666666666599</v>
      </c>
      <c r="B413" s="1">
        <f ca="1">IFERROR(__xludf.DUMMYFUNCTION("""COMPUTED_VALUE"""),123.6)</f>
        <v>123.6</v>
      </c>
      <c r="C413" s="1">
        <f ca="1">IFERROR(__xludf.DUMMYFUNCTION("""COMPUTED_VALUE"""),124.16)</f>
        <v>124.16</v>
      </c>
      <c r="D413" s="1">
        <f ca="1">IFERROR(__xludf.DUMMYFUNCTION("""COMPUTED_VALUE"""),123.28)</f>
        <v>123.28</v>
      </c>
      <c r="E413" s="1">
        <f ca="1">IFERROR(__xludf.DUMMYFUNCTION("""COMPUTED_VALUE"""),123.56)</f>
        <v>123.56</v>
      </c>
      <c r="F413" s="1">
        <f ca="1">IFERROR(__xludf.DUMMYFUNCTION("""COMPUTED_VALUE"""),11688265)</f>
        <v>11688265</v>
      </c>
    </row>
    <row r="414" spans="1:6" x14ac:dyDescent="0.35">
      <c r="A414" s="2">
        <f ca="1">IFERROR(__xludf.DUMMYFUNCTION("""COMPUTED_VALUE"""),42604.6666666666)</f>
        <v>42604.666666666599</v>
      </c>
      <c r="B414" s="1">
        <f ca="1">IFERROR(__xludf.DUMMYFUNCTION("""COMPUTED_VALUE"""),123.33)</f>
        <v>123.33</v>
      </c>
      <c r="C414" s="1">
        <f ca="1">IFERROR(__xludf.DUMMYFUNCTION("""COMPUTED_VALUE"""),124.83)</f>
        <v>124.83</v>
      </c>
      <c r="D414" s="1">
        <f ca="1">IFERROR(__xludf.DUMMYFUNCTION("""COMPUTED_VALUE"""),123.11)</f>
        <v>123.11</v>
      </c>
      <c r="E414" s="1">
        <f ca="1">IFERROR(__xludf.DUMMYFUNCTION("""COMPUTED_VALUE"""),124.15)</f>
        <v>124.15</v>
      </c>
      <c r="F414" s="1">
        <f ca="1">IFERROR(__xludf.DUMMYFUNCTION("""COMPUTED_VALUE"""),14386361)</f>
        <v>14386361</v>
      </c>
    </row>
    <row r="415" spans="1:6" x14ac:dyDescent="0.35">
      <c r="A415" s="2">
        <f ca="1">IFERROR(__xludf.DUMMYFUNCTION("""COMPUTED_VALUE"""),42605.6666666666)</f>
        <v>42605.666666666599</v>
      </c>
      <c r="B415" s="1">
        <f ca="1">IFERROR(__xludf.DUMMYFUNCTION("""COMPUTED_VALUE"""),124.51)</f>
        <v>124.51</v>
      </c>
      <c r="C415" s="1">
        <f ca="1">IFERROR(__xludf.DUMMYFUNCTION("""COMPUTED_VALUE"""),125.09)</f>
        <v>125.09</v>
      </c>
      <c r="D415" s="1">
        <f ca="1">IFERROR(__xludf.DUMMYFUNCTION("""COMPUTED_VALUE"""),124.25)</f>
        <v>124.25</v>
      </c>
      <c r="E415" s="1">
        <f ca="1">IFERROR(__xludf.DUMMYFUNCTION("""COMPUTED_VALUE"""),124.37)</f>
        <v>124.37</v>
      </c>
      <c r="F415" s="1">
        <f ca="1">IFERROR(__xludf.DUMMYFUNCTION("""COMPUTED_VALUE"""),13309452)</f>
        <v>13309452</v>
      </c>
    </row>
    <row r="416" spans="1:6" x14ac:dyDescent="0.35">
      <c r="A416" s="2">
        <f ca="1">IFERROR(__xludf.DUMMYFUNCTION("""COMPUTED_VALUE"""),42606.6666666666)</f>
        <v>42606.666666666599</v>
      </c>
      <c r="B416" s="1">
        <f ca="1">IFERROR(__xludf.DUMMYFUNCTION("""COMPUTED_VALUE"""),124.47)</f>
        <v>124.47</v>
      </c>
      <c r="C416" s="1">
        <f ca="1">IFERROR(__xludf.DUMMYFUNCTION("""COMPUTED_VALUE"""),124.69)</f>
        <v>124.69</v>
      </c>
      <c r="D416" s="1">
        <f ca="1">IFERROR(__xludf.DUMMYFUNCTION("""COMPUTED_VALUE"""),123.09)</f>
        <v>123.09</v>
      </c>
      <c r="E416" s="1">
        <f ca="1">IFERROR(__xludf.DUMMYFUNCTION("""COMPUTED_VALUE"""),123.48)</f>
        <v>123.48</v>
      </c>
      <c r="F416" s="1">
        <f ca="1">IFERROR(__xludf.DUMMYFUNCTION("""COMPUTED_VALUE"""),12243719)</f>
        <v>12243719</v>
      </c>
    </row>
    <row r="417" spans="1:6" x14ac:dyDescent="0.35">
      <c r="A417" s="2">
        <f ca="1">IFERROR(__xludf.DUMMYFUNCTION("""COMPUTED_VALUE"""),42607.6666666666)</f>
        <v>42607.666666666599</v>
      </c>
      <c r="B417" s="1">
        <f ca="1">IFERROR(__xludf.DUMMYFUNCTION("""COMPUTED_VALUE"""),123.12)</f>
        <v>123.12</v>
      </c>
      <c r="C417" s="1">
        <f ca="1">IFERROR(__xludf.DUMMYFUNCTION("""COMPUTED_VALUE"""),124.37)</f>
        <v>124.37</v>
      </c>
      <c r="D417" s="1">
        <f ca="1">IFERROR(__xludf.DUMMYFUNCTION("""COMPUTED_VALUE"""),123.1)</f>
        <v>123.1</v>
      </c>
      <c r="E417" s="1">
        <f ca="1">IFERROR(__xludf.DUMMYFUNCTION("""COMPUTED_VALUE"""),123.89)</f>
        <v>123.89</v>
      </c>
      <c r="F417" s="1">
        <f ca="1">IFERROR(__xludf.DUMMYFUNCTION("""COMPUTED_VALUE"""),10730811)</f>
        <v>10730811</v>
      </c>
    </row>
    <row r="418" spans="1:6" x14ac:dyDescent="0.35">
      <c r="A418" s="2">
        <f ca="1">IFERROR(__xludf.DUMMYFUNCTION("""COMPUTED_VALUE"""),42608.6666666666)</f>
        <v>42608.666666666599</v>
      </c>
      <c r="B418" s="1">
        <f ca="1">IFERROR(__xludf.DUMMYFUNCTION("""COMPUTED_VALUE"""),124.05)</f>
        <v>124.05</v>
      </c>
      <c r="C418" s="1">
        <f ca="1">IFERROR(__xludf.DUMMYFUNCTION("""COMPUTED_VALUE"""),125.19)</f>
        <v>125.19</v>
      </c>
      <c r="D418" s="1">
        <f ca="1">IFERROR(__xludf.DUMMYFUNCTION("""COMPUTED_VALUE"""),123.91)</f>
        <v>123.91</v>
      </c>
      <c r="E418" s="1">
        <f ca="1">IFERROR(__xludf.DUMMYFUNCTION("""COMPUTED_VALUE"""),124.96)</f>
        <v>124.96</v>
      </c>
      <c r="F418" s="1">
        <f ca="1">IFERROR(__xludf.DUMMYFUNCTION("""COMPUTED_VALUE"""),17504825)</f>
        <v>17504825</v>
      </c>
    </row>
    <row r="419" spans="1:6" x14ac:dyDescent="0.35">
      <c r="A419" s="2">
        <f ca="1">IFERROR(__xludf.DUMMYFUNCTION("""COMPUTED_VALUE"""),42611.6666666666)</f>
        <v>42611.666666666599</v>
      </c>
      <c r="B419" s="1">
        <f ca="1">IFERROR(__xludf.DUMMYFUNCTION("""COMPUTED_VALUE"""),124.35)</f>
        <v>124.35</v>
      </c>
      <c r="C419" s="1">
        <f ca="1">IFERROR(__xludf.DUMMYFUNCTION("""COMPUTED_VALUE"""),126.73)</f>
        <v>126.73</v>
      </c>
      <c r="D419" s="1">
        <f ca="1">IFERROR(__xludf.DUMMYFUNCTION("""COMPUTED_VALUE"""),124.35)</f>
        <v>124.35</v>
      </c>
      <c r="E419" s="1">
        <f ca="1">IFERROR(__xludf.DUMMYFUNCTION("""COMPUTED_VALUE"""),126.54)</f>
        <v>126.54</v>
      </c>
      <c r="F419" s="1">
        <f ca="1">IFERROR(__xludf.DUMMYFUNCTION("""COMPUTED_VALUE"""),15925900)</f>
        <v>15925900</v>
      </c>
    </row>
    <row r="420" spans="1:6" x14ac:dyDescent="0.35">
      <c r="A420" s="2">
        <f ca="1">IFERROR(__xludf.DUMMYFUNCTION("""COMPUTED_VALUE"""),42612.6666666666)</f>
        <v>42612.666666666599</v>
      </c>
      <c r="B420" s="1">
        <f ca="1">IFERROR(__xludf.DUMMYFUNCTION("""COMPUTED_VALUE"""),126.6)</f>
        <v>126.6</v>
      </c>
      <c r="C420" s="1">
        <f ca="1">IFERROR(__xludf.DUMMYFUNCTION("""COMPUTED_VALUE"""),126.6)</f>
        <v>126.6</v>
      </c>
      <c r="D420" s="1">
        <f ca="1">IFERROR(__xludf.DUMMYFUNCTION("""COMPUTED_VALUE"""),125.15)</f>
        <v>125.15</v>
      </c>
      <c r="E420" s="1">
        <f ca="1">IFERROR(__xludf.DUMMYFUNCTION("""COMPUTED_VALUE"""),125.84)</f>
        <v>125.84</v>
      </c>
      <c r="F420" s="1">
        <f ca="1">IFERROR(__xludf.DUMMYFUNCTION("""COMPUTED_VALUE"""),17804286)</f>
        <v>17804286</v>
      </c>
    </row>
    <row r="421" spans="1:6" x14ac:dyDescent="0.35">
      <c r="A421" s="2">
        <f ca="1">IFERROR(__xludf.DUMMYFUNCTION("""COMPUTED_VALUE"""),42613.6666666666)</f>
        <v>42613.666666666599</v>
      </c>
      <c r="B421" s="1">
        <f ca="1">IFERROR(__xludf.DUMMYFUNCTION("""COMPUTED_VALUE"""),125.6)</f>
        <v>125.6</v>
      </c>
      <c r="C421" s="1">
        <f ca="1">IFERROR(__xludf.DUMMYFUNCTION("""COMPUTED_VALUE"""),126.22)</f>
        <v>126.22</v>
      </c>
      <c r="D421" s="1">
        <f ca="1">IFERROR(__xludf.DUMMYFUNCTION("""COMPUTED_VALUE"""),125.1)</f>
        <v>125.1</v>
      </c>
      <c r="E421" s="1">
        <f ca="1">IFERROR(__xludf.DUMMYFUNCTION("""COMPUTED_VALUE"""),126.12)</f>
        <v>126.12</v>
      </c>
      <c r="F421" s="1">
        <f ca="1">IFERROR(__xludf.DUMMYFUNCTION("""COMPUTED_VALUE"""),14200636)</f>
        <v>14200636</v>
      </c>
    </row>
    <row r="422" spans="1:6" x14ac:dyDescent="0.35">
      <c r="A422" s="2">
        <f ca="1">IFERROR(__xludf.DUMMYFUNCTION("""COMPUTED_VALUE"""),42614.6666666666)</f>
        <v>42614.666666666599</v>
      </c>
      <c r="B422" s="1">
        <f ca="1">IFERROR(__xludf.DUMMYFUNCTION("""COMPUTED_VALUE"""),126.38)</f>
        <v>126.38</v>
      </c>
      <c r="C422" s="1">
        <f ca="1">IFERROR(__xludf.DUMMYFUNCTION("""COMPUTED_VALUE"""),126.63)</f>
        <v>126.63</v>
      </c>
      <c r="D422" s="1">
        <f ca="1">IFERROR(__xludf.DUMMYFUNCTION("""COMPUTED_VALUE"""),125.6)</f>
        <v>125.6</v>
      </c>
      <c r="E422" s="1">
        <f ca="1">IFERROR(__xludf.DUMMYFUNCTION("""COMPUTED_VALUE"""),126.17)</f>
        <v>126.17</v>
      </c>
      <c r="F422" s="1">
        <f ca="1">IFERROR(__xludf.DUMMYFUNCTION("""COMPUTED_VALUE"""),13536125)</f>
        <v>13536125</v>
      </c>
    </row>
    <row r="423" spans="1:6" x14ac:dyDescent="0.35">
      <c r="A423" s="2">
        <f ca="1">IFERROR(__xludf.DUMMYFUNCTION("""COMPUTED_VALUE"""),42615.6666666666)</f>
        <v>42615.666666666599</v>
      </c>
      <c r="B423" s="1">
        <f ca="1">IFERROR(__xludf.DUMMYFUNCTION("""COMPUTED_VALUE"""),126.85)</f>
        <v>126.85</v>
      </c>
      <c r="C423" s="1">
        <f ca="1">IFERROR(__xludf.DUMMYFUNCTION("""COMPUTED_VALUE"""),126.86)</f>
        <v>126.86</v>
      </c>
      <c r="D423" s="1">
        <f ca="1">IFERROR(__xludf.DUMMYFUNCTION("""COMPUTED_VALUE"""),126)</f>
        <v>126</v>
      </c>
      <c r="E423" s="1">
        <f ca="1">IFERROR(__xludf.DUMMYFUNCTION("""COMPUTED_VALUE"""),126.51)</f>
        <v>126.51</v>
      </c>
      <c r="F423" s="1">
        <f ca="1">IFERROR(__xludf.DUMMYFUNCTION("""COMPUTED_VALUE"""),12118773)</f>
        <v>12118773</v>
      </c>
    </row>
    <row r="424" spans="1:6" x14ac:dyDescent="0.35">
      <c r="A424" s="2">
        <f ca="1">IFERROR(__xludf.DUMMYFUNCTION("""COMPUTED_VALUE"""),42619.6666666666)</f>
        <v>42619.666666666599</v>
      </c>
      <c r="B424" s="1">
        <f ca="1">IFERROR(__xludf.DUMMYFUNCTION("""COMPUTED_VALUE"""),126.67)</f>
        <v>126.67</v>
      </c>
      <c r="C424" s="1">
        <f ca="1">IFERROR(__xludf.DUMMYFUNCTION("""COMPUTED_VALUE"""),129.94)</f>
        <v>129.94</v>
      </c>
      <c r="D424" s="1">
        <f ca="1">IFERROR(__xludf.DUMMYFUNCTION("""COMPUTED_VALUE"""),126.47)</f>
        <v>126.47</v>
      </c>
      <c r="E424" s="1">
        <f ca="1">IFERROR(__xludf.DUMMYFUNCTION("""COMPUTED_VALUE"""),129.73)</f>
        <v>129.72999999999999</v>
      </c>
      <c r="F424" s="1">
        <f ca="1">IFERROR(__xludf.DUMMYFUNCTION("""COMPUTED_VALUE"""),26278407)</f>
        <v>26278407</v>
      </c>
    </row>
    <row r="425" spans="1:6" x14ac:dyDescent="0.35">
      <c r="A425" s="2">
        <f ca="1">IFERROR(__xludf.DUMMYFUNCTION("""COMPUTED_VALUE"""),42620.6666666666)</f>
        <v>42620.666666666599</v>
      </c>
      <c r="B425" s="1">
        <f ca="1">IFERROR(__xludf.DUMMYFUNCTION("""COMPUTED_VALUE"""),130.04)</f>
        <v>130.04</v>
      </c>
      <c r="C425" s="1">
        <f ca="1">IFERROR(__xludf.DUMMYFUNCTION("""COMPUTED_VALUE"""),131.98)</f>
        <v>131.97999999999999</v>
      </c>
      <c r="D425" s="1">
        <f ca="1">IFERROR(__xludf.DUMMYFUNCTION("""COMPUTED_VALUE"""),129.95)</f>
        <v>129.94999999999999</v>
      </c>
      <c r="E425" s="1">
        <f ca="1">IFERROR(__xludf.DUMMYFUNCTION("""COMPUTED_VALUE"""),131.05)</f>
        <v>131.05000000000001</v>
      </c>
      <c r="F425" s="1">
        <f ca="1">IFERROR(__xludf.DUMMYFUNCTION("""COMPUTED_VALUE"""),27990796)</f>
        <v>27990796</v>
      </c>
    </row>
    <row r="426" spans="1:6" x14ac:dyDescent="0.35">
      <c r="A426" s="2">
        <f ca="1">IFERROR(__xludf.DUMMYFUNCTION("""COMPUTED_VALUE"""),42621.6666666666)</f>
        <v>42621.666666666599</v>
      </c>
      <c r="B426" s="1">
        <f ca="1">IFERROR(__xludf.DUMMYFUNCTION("""COMPUTED_VALUE"""),130.92)</f>
        <v>130.91999999999999</v>
      </c>
      <c r="C426" s="1">
        <f ca="1">IFERROR(__xludf.DUMMYFUNCTION("""COMPUTED_VALUE"""),131.08)</f>
        <v>131.08000000000001</v>
      </c>
      <c r="D426" s="1">
        <f ca="1">IFERROR(__xludf.DUMMYFUNCTION("""COMPUTED_VALUE"""),129.81)</f>
        <v>129.81</v>
      </c>
      <c r="E426" s="1">
        <f ca="1">IFERROR(__xludf.DUMMYFUNCTION("""COMPUTED_VALUE"""),130.27)</f>
        <v>130.27000000000001</v>
      </c>
      <c r="F426" s="1">
        <f ca="1">IFERROR(__xludf.DUMMYFUNCTION("""COMPUTED_VALUE"""),15676595)</f>
        <v>15676595</v>
      </c>
    </row>
    <row r="427" spans="1:6" x14ac:dyDescent="0.35">
      <c r="A427" s="2">
        <f ca="1">IFERROR(__xludf.DUMMYFUNCTION("""COMPUTED_VALUE"""),42622.6666666666)</f>
        <v>42622.666666666599</v>
      </c>
      <c r="B427" s="1">
        <f ca="1">IFERROR(__xludf.DUMMYFUNCTION("""COMPUTED_VALUE"""),129.71)</f>
        <v>129.71</v>
      </c>
      <c r="C427" s="1">
        <f ca="1">IFERROR(__xludf.DUMMYFUNCTION("""COMPUTED_VALUE"""),129.95)</f>
        <v>129.94999999999999</v>
      </c>
      <c r="D427" s="1">
        <f ca="1">IFERROR(__xludf.DUMMYFUNCTION("""COMPUTED_VALUE"""),127.1)</f>
        <v>127.1</v>
      </c>
      <c r="E427" s="1">
        <f ca="1">IFERROR(__xludf.DUMMYFUNCTION("""COMPUTED_VALUE"""),127.1)</f>
        <v>127.1</v>
      </c>
      <c r="F427" s="1">
        <f ca="1">IFERROR(__xludf.DUMMYFUNCTION("""COMPUTED_VALUE"""),27100679)</f>
        <v>27100679</v>
      </c>
    </row>
    <row r="428" spans="1:6" x14ac:dyDescent="0.35">
      <c r="A428" s="2">
        <f ca="1">IFERROR(__xludf.DUMMYFUNCTION("""COMPUTED_VALUE"""),42625.6666666666)</f>
        <v>42625.666666666599</v>
      </c>
      <c r="B428" s="1">
        <f ca="1">IFERROR(__xludf.DUMMYFUNCTION("""COMPUTED_VALUE"""),125.96)</f>
        <v>125.96</v>
      </c>
      <c r="C428" s="1">
        <f ca="1">IFERROR(__xludf.DUMMYFUNCTION("""COMPUTED_VALUE"""),128.76)</f>
        <v>128.76</v>
      </c>
      <c r="D428" s="1">
        <f ca="1">IFERROR(__xludf.DUMMYFUNCTION("""COMPUTED_VALUE"""),125.75)</f>
        <v>125.75</v>
      </c>
      <c r="E428" s="1">
        <f ca="1">IFERROR(__xludf.DUMMYFUNCTION("""COMPUTED_VALUE"""),128.69)</f>
        <v>128.69</v>
      </c>
      <c r="F428" s="1">
        <f ca="1">IFERROR(__xludf.DUMMYFUNCTION("""COMPUTED_VALUE"""),21252752)</f>
        <v>21252752</v>
      </c>
    </row>
    <row r="429" spans="1:6" x14ac:dyDescent="0.35">
      <c r="A429" s="2">
        <f ca="1">IFERROR(__xludf.DUMMYFUNCTION("""COMPUTED_VALUE"""),42626.6666666666)</f>
        <v>42626.666666666599</v>
      </c>
      <c r="B429" s="1">
        <f ca="1">IFERROR(__xludf.DUMMYFUNCTION("""COMPUTED_VALUE"""),128.03)</f>
        <v>128.03</v>
      </c>
      <c r="C429" s="1">
        <f ca="1">IFERROR(__xludf.DUMMYFUNCTION("""COMPUTED_VALUE"""),128.35)</f>
        <v>128.35</v>
      </c>
      <c r="D429" s="1">
        <f ca="1">IFERROR(__xludf.DUMMYFUNCTION("""COMPUTED_VALUE"""),126.66)</f>
        <v>126.66</v>
      </c>
      <c r="E429" s="1">
        <f ca="1">IFERROR(__xludf.DUMMYFUNCTION("""COMPUTED_VALUE"""),127.21)</f>
        <v>127.21</v>
      </c>
      <c r="F429" s="1">
        <f ca="1">IFERROR(__xludf.DUMMYFUNCTION("""COMPUTED_VALUE"""),18016152)</f>
        <v>18016152</v>
      </c>
    </row>
    <row r="430" spans="1:6" x14ac:dyDescent="0.35">
      <c r="A430" s="2">
        <f ca="1">IFERROR(__xludf.DUMMYFUNCTION("""COMPUTED_VALUE"""),42627.6666666666)</f>
        <v>42627.666666666599</v>
      </c>
      <c r="B430" s="1">
        <f ca="1">IFERROR(__xludf.DUMMYFUNCTION("""COMPUTED_VALUE"""),126.89)</f>
        <v>126.89</v>
      </c>
      <c r="C430" s="1">
        <f ca="1">IFERROR(__xludf.DUMMYFUNCTION("""COMPUTED_VALUE"""),128.8)</f>
        <v>128.80000000000001</v>
      </c>
      <c r="D430" s="1">
        <f ca="1">IFERROR(__xludf.DUMMYFUNCTION("""COMPUTED_VALUE"""),126.89)</f>
        <v>126.89</v>
      </c>
      <c r="E430" s="1">
        <f ca="1">IFERROR(__xludf.DUMMYFUNCTION("""COMPUTED_VALUE"""),127.77)</f>
        <v>127.77</v>
      </c>
      <c r="F430" s="1">
        <f ca="1">IFERROR(__xludf.DUMMYFUNCTION("""COMPUTED_VALUE"""),15720388)</f>
        <v>15720388</v>
      </c>
    </row>
    <row r="431" spans="1:6" x14ac:dyDescent="0.35">
      <c r="A431" s="2">
        <f ca="1">IFERROR(__xludf.DUMMYFUNCTION("""COMPUTED_VALUE"""),42628.6666666666)</f>
        <v>42628.666666666599</v>
      </c>
      <c r="B431" s="1">
        <f ca="1">IFERROR(__xludf.DUMMYFUNCTION("""COMPUTED_VALUE"""),127.98)</f>
        <v>127.98</v>
      </c>
      <c r="C431" s="1">
        <f ca="1">IFERROR(__xludf.DUMMYFUNCTION("""COMPUTED_VALUE"""),129.1)</f>
        <v>129.1</v>
      </c>
      <c r="D431" s="1">
        <f ca="1">IFERROR(__xludf.DUMMYFUNCTION("""COMPUTED_VALUE"""),127.67)</f>
        <v>127.67</v>
      </c>
      <c r="E431" s="1">
        <f ca="1">IFERROR(__xludf.DUMMYFUNCTION("""COMPUTED_VALUE"""),128.35)</f>
        <v>128.35</v>
      </c>
      <c r="F431" s="1">
        <f ca="1">IFERROR(__xludf.DUMMYFUNCTION("""COMPUTED_VALUE"""),15111838)</f>
        <v>15111838</v>
      </c>
    </row>
    <row r="432" spans="1:6" x14ac:dyDescent="0.35">
      <c r="A432" s="2">
        <f ca="1">IFERROR(__xludf.DUMMYFUNCTION("""COMPUTED_VALUE"""),42629.6666666666)</f>
        <v>42629.666666666599</v>
      </c>
      <c r="B432" s="1">
        <f ca="1">IFERROR(__xludf.DUMMYFUNCTION("""COMPUTED_VALUE"""),128.2)</f>
        <v>128.19999999999999</v>
      </c>
      <c r="C432" s="1">
        <f ca="1">IFERROR(__xludf.DUMMYFUNCTION("""COMPUTED_VALUE"""),129.18)</f>
        <v>129.18</v>
      </c>
      <c r="D432" s="1">
        <f ca="1">IFERROR(__xludf.DUMMYFUNCTION("""COMPUTED_VALUE"""),128.2)</f>
        <v>128.19999999999999</v>
      </c>
      <c r="E432" s="1">
        <f ca="1">IFERROR(__xludf.DUMMYFUNCTION("""COMPUTED_VALUE"""),129.07)</f>
        <v>129.07</v>
      </c>
      <c r="F432" s="1">
        <f ca="1">IFERROR(__xludf.DUMMYFUNCTION("""COMPUTED_VALUE"""),24119174)</f>
        <v>24119174</v>
      </c>
    </row>
    <row r="433" spans="1:6" x14ac:dyDescent="0.35">
      <c r="A433" s="2">
        <f ca="1">IFERROR(__xludf.DUMMYFUNCTION("""COMPUTED_VALUE"""),42632.6666666666)</f>
        <v>42632.666666666599</v>
      </c>
      <c r="B433" s="1">
        <f ca="1">IFERROR(__xludf.DUMMYFUNCTION("""COMPUTED_VALUE"""),129.91)</f>
        <v>129.91</v>
      </c>
      <c r="C433" s="1">
        <f ca="1">IFERROR(__xludf.DUMMYFUNCTION("""COMPUTED_VALUE"""),129.94)</f>
        <v>129.94</v>
      </c>
      <c r="D433" s="1">
        <f ca="1">IFERROR(__xludf.DUMMYFUNCTION("""COMPUTED_VALUE"""),128.26)</f>
        <v>128.26</v>
      </c>
      <c r="E433" s="1">
        <f ca="1">IFERROR(__xludf.DUMMYFUNCTION("""COMPUTED_VALUE"""),128.65)</f>
        <v>128.65</v>
      </c>
      <c r="F433" s="1">
        <f ca="1">IFERROR(__xludf.DUMMYFUNCTION("""COMPUTED_VALUE"""),14958794)</f>
        <v>14958794</v>
      </c>
    </row>
    <row r="434" spans="1:6" x14ac:dyDescent="0.35">
      <c r="A434" s="2">
        <f ca="1">IFERROR(__xludf.DUMMYFUNCTION("""COMPUTED_VALUE"""),42633.6666666666)</f>
        <v>42633.666666666599</v>
      </c>
      <c r="B434" s="1">
        <f ca="1">IFERROR(__xludf.DUMMYFUNCTION("""COMPUTED_VALUE"""),128.65)</f>
        <v>128.65</v>
      </c>
      <c r="C434" s="1">
        <f ca="1">IFERROR(__xludf.DUMMYFUNCTION("""COMPUTED_VALUE"""),129.17)</f>
        <v>129.16999999999999</v>
      </c>
      <c r="D434" s="1">
        <f ca="1">IFERROR(__xludf.DUMMYFUNCTION("""COMPUTED_VALUE"""),128.03)</f>
        <v>128.03</v>
      </c>
      <c r="E434" s="1">
        <f ca="1">IFERROR(__xludf.DUMMYFUNCTION("""COMPUTED_VALUE"""),128.64)</f>
        <v>128.63999999999999</v>
      </c>
      <c r="F434" s="1">
        <f ca="1">IFERROR(__xludf.DUMMYFUNCTION("""COMPUTED_VALUE"""),11083808)</f>
        <v>11083808</v>
      </c>
    </row>
    <row r="435" spans="1:6" x14ac:dyDescent="0.35">
      <c r="A435" s="2">
        <f ca="1">IFERROR(__xludf.DUMMYFUNCTION("""COMPUTED_VALUE"""),42634.6666666666)</f>
        <v>42634.666666666599</v>
      </c>
      <c r="B435" s="1">
        <f ca="1">IFERROR(__xludf.DUMMYFUNCTION("""COMPUTED_VALUE"""),129.13)</f>
        <v>129.13</v>
      </c>
      <c r="C435" s="1">
        <f ca="1">IFERROR(__xludf.DUMMYFUNCTION("""COMPUTED_VALUE"""),130.01)</f>
        <v>130.01</v>
      </c>
      <c r="D435" s="1">
        <f ca="1">IFERROR(__xludf.DUMMYFUNCTION("""COMPUTED_VALUE"""),128.39)</f>
        <v>128.38999999999999</v>
      </c>
      <c r="E435" s="1">
        <f ca="1">IFERROR(__xludf.DUMMYFUNCTION("""COMPUTED_VALUE"""),129.94)</f>
        <v>129.94</v>
      </c>
      <c r="F435" s="1">
        <f ca="1">IFERROR(__xludf.DUMMYFUNCTION("""COMPUTED_VALUE"""),14068336)</f>
        <v>14068336</v>
      </c>
    </row>
    <row r="436" spans="1:6" x14ac:dyDescent="0.35">
      <c r="A436" s="2">
        <f ca="1">IFERROR(__xludf.DUMMYFUNCTION("""COMPUTED_VALUE"""),42635.6666666666)</f>
        <v>42635.666666666599</v>
      </c>
      <c r="B436" s="1">
        <f ca="1">IFERROR(__xludf.DUMMYFUNCTION("""COMPUTED_VALUE"""),130.5)</f>
        <v>130.5</v>
      </c>
      <c r="C436" s="1">
        <f ca="1">IFERROR(__xludf.DUMMYFUNCTION("""COMPUTED_VALUE"""),130.73)</f>
        <v>130.72999999999999</v>
      </c>
      <c r="D436" s="1">
        <f ca="1">IFERROR(__xludf.DUMMYFUNCTION("""COMPUTED_VALUE"""),129.56)</f>
        <v>129.56</v>
      </c>
      <c r="E436" s="1">
        <f ca="1">IFERROR(__xludf.DUMMYFUNCTION("""COMPUTED_VALUE"""),130.08)</f>
        <v>130.08000000000001</v>
      </c>
      <c r="F436" s="1">
        <f ca="1">IFERROR(__xludf.DUMMYFUNCTION("""COMPUTED_VALUE"""),15538307)</f>
        <v>15538307</v>
      </c>
    </row>
    <row r="437" spans="1:6" x14ac:dyDescent="0.35">
      <c r="A437" s="2">
        <f ca="1">IFERROR(__xludf.DUMMYFUNCTION("""COMPUTED_VALUE"""),42636.6666666666)</f>
        <v>42636.666666666599</v>
      </c>
      <c r="B437" s="1">
        <f ca="1">IFERROR(__xludf.DUMMYFUNCTION("""COMPUTED_VALUE"""),127.56)</f>
        <v>127.56</v>
      </c>
      <c r="C437" s="1">
        <f ca="1">IFERROR(__xludf.DUMMYFUNCTION("""COMPUTED_VALUE"""),128.6)</f>
        <v>128.6</v>
      </c>
      <c r="D437" s="1">
        <f ca="1">IFERROR(__xludf.DUMMYFUNCTION("""COMPUTED_VALUE"""),127.3)</f>
        <v>127.3</v>
      </c>
      <c r="E437" s="1">
        <f ca="1">IFERROR(__xludf.DUMMYFUNCTION("""COMPUTED_VALUE"""),127.96)</f>
        <v>127.96</v>
      </c>
      <c r="F437" s="1">
        <f ca="1">IFERROR(__xludf.DUMMYFUNCTION("""COMPUTED_VALUE"""),28326266)</f>
        <v>28326266</v>
      </c>
    </row>
    <row r="438" spans="1:6" x14ac:dyDescent="0.35">
      <c r="A438" s="2">
        <f ca="1">IFERROR(__xludf.DUMMYFUNCTION("""COMPUTED_VALUE"""),42639.6666666666)</f>
        <v>42639.666666666599</v>
      </c>
      <c r="B438" s="1">
        <f ca="1">IFERROR(__xludf.DUMMYFUNCTION("""COMPUTED_VALUE"""),127.37)</f>
        <v>127.37</v>
      </c>
      <c r="C438" s="1">
        <f ca="1">IFERROR(__xludf.DUMMYFUNCTION("""COMPUTED_VALUE"""),128.16)</f>
        <v>128.16</v>
      </c>
      <c r="D438" s="1">
        <f ca="1">IFERROR(__xludf.DUMMYFUNCTION("""COMPUTED_VALUE"""),126.8)</f>
        <v>126.8</v>
      </c>
      <c r="E438" s="1">
        <f ca="1">IFERROR(__xludf.DUMMYFUNCTION("""COMPUTED_VALUE"""),127.31)</f>
        <v>127.31</v>
      </c>
      <c r="F438" s="1">
        <f ca="1">IFERROR(__xludf.DUMMYFUNCTION("""COMPUTED_VALUE"""),15064940)</f>
        <v>15064940</v>
      </c>
    </row>
    <row r="439" spans="1:6" x14ac:dyDescent="0.35">
      <c r="A439" s="2">
        <f ca="1">IFERROR(__xludf.DUMMYFUNCTION("""COMPUTED_VALUE"""),42640.6666666666)</f>
        <v>42640.666666666599</v>
      </c>
      <c r="B439" s="1">
        <f ca="1">IFERROR(__xludf.DUMMYFUNCTION("""COMPUTED_VALUE"""),127.61)</f>
        <v>127.61</v>
      </c>
      <c r="C439" s="1">
        <f ca="1">IFERROR(__xludf.DUMMYFUNCTION("""COMPUTED_VALUE"""),129.01)</f>
        <v>129.01</v>
      </c>
      <c r="D439" s="1">
        <f ca="1">IFERROR(__xludf.DUMMYFUNCTION("""COMPUTED_VALUE"""),127.43)</f>
        <v>127.43</v>
      </c>
      <c r="E439" s="1">
        <f ca="1">IFERROR(__xludf.DUMMYFUNCTION("""COMPUTED_VALUE"""),128.69)</f>
        <v>128.69</v>
      </c>
      <c r="F439" s="1">
        <f ca="1">IFERROR(__xludf.DUMMYFUNCTION("""COMPUTED_VALUE"""),15637111)</f>
        <v>15637111</v>
      </c>
    </row>
    <row r="440" spans="1:6" x14ac:dyDescent="0.35">
      <c r="A440" s="2">
        <f ca="1">IFERROR(__xludf.DUMMYFUNCTION("""COMPUTED_VALUE"""),42641.6666666666)</f>
        <v>42641.666666666599</v>
      </c>
      <c r="B440" s="1">
        <f ca="1">IFERROR(__xludf.DUMMYFUNCTION("""COMPUTED_VALUE"""),129.21)</f>
        <v>129.21</v>
      </c>
      <c r="C440" s="1">
        <f ca="1">IFERROR(__xludf.DUMMYFUNCTION("""COMPUTED_VALUE"""),129.47)</f>
        <v>129.47</v>
      </c>
      <c r="D440" s="1">
        <f ca="1">IFERROR(__xludf.DUMMYFUNCTION("""COMPUTED_VALUE"""),128.4)</f>
        <v>128.4</v>
      </c>
      <c r="E440" s="1">
        <f ca="1">IFERROR(__xludf.DUMMYFUNCTION("""COMPUTED_VALUE"""),129.23)</f>
        <v>129.22999999999999</v>
      </c>
      <c r="F440" s="1">
        <f ca="1">IFERROR(__xludf.DUMMYFUNCTION("""COMPUTED_VALUE"""),12047636)</f>
        <v>12047636</v>
      </c>
    </row>
    <row r="441" spans="1:6" x14ac:dyDescent="0.35">
      <c r="A441" s="2">
        <f ca="1">IFERROR(__xludf.DUMMYFUNCTION("""COMPUTED_VALUE"""),42642.6666666666)</f>
        <v>42642.666666666599</v>
      </c>
      <c r="B441" s="1">
        <f ca="1">IFERROR(__xludf.DUMMYFUNCTION("""COMPUTED_VALUE"""),129.18)</f>
        <v>129.18</v>
      </c>
      <c r="C441" s="1">
        <f ca="1">IFERROR(__xludf.DUMMYFUNCTION("""COMPUTED_VALUE"""),129.29)</f>
        <v>129.29</v>
      </c>
      <c r="D441" s="1">
        <f ca="1">IFERROR(__xludf.DUMMYFUNCTION("""COMPUTED_VALUE"""),127.55)</f>
        <v>127.55</v>
      </c>
      <c r="E441" s="1">
        <f ca="1">IFERROR(__xludf.DUMMYFUNCTION("""COMPUTED_VALUE"""),128.09)</f>
        <v>128.09</v>
      </c>
      <c r="F441" s="1">
        <f ca="1">IFERROR(__xludf.DUMMYFUNCTION("""COMPUTED_VALUE"""),14532241)</f>
        <v>14532241</v>
      </c>
    </row>
    <row r="442" spans="1:6" x14ac:dyDescent="0.35">
      <c r="A442" s="2">
        <f ca="1">IFERROR(__xludf.DUMMYFUNCTION("""COMPUTED_VALUE"""),42643.6666666666)</f>
        <v>42643.666666666599</v>
      </c>
      <c r="B442" s="1">
        <f ca="1">IFERROR(__xludf.DUMMYFUNCTION("""COMPUTED_VALUE"""),128.03)</f>
        <v>128.03</v>
      </c>
      <c r="C442" s="1">
        <f ca="1">IFERROR(__xludf.DUMMYFUNCTION("""COMPUTED_VALUE"""),128.59)</f>
        <v>128.59</v>
      </c>
      <c r="D442" s="1">
        <f ca="1">IFERROR(__xludf.DUMMYFUNCTION("""COMPUTED_VALUE"""),127.45)</f>
        <v>127.45</v>
      </c>
      <c r="E442" s="1">
        <f ca="1">IFERROR(__xludf.DUMMYFUNCTION("""COMPUTED_VALUE"""),128.27)</f>
        <v>128.27000000000001</v>
      </c>
      <c r="F442" s="1">
        <f ca="1">IFERROR(__xludf.DUMMYFUNCTION("""COMPUTED_VALUE"""),18402945)</f>
        <v>18402945</v>
      </c>
    </row>
    <row r="443" spans="1:6" x14ac:dyDescent="0.35">
      <c r="A443" s="2">
        <f ca="1">IFERROR(__xludf.DUMMYFUNCTION("""COMPUTED_VALUE"""),42646.6666666666)</f>
        <v>42646.666666666599</v>
      </c>
      <c r="B443" s="1">
        <f ca="1">IFERROR(__xludf.DUMMYFUNCTION("""COMPUTED_VALUE"""),128.38)</f>
        <v>128.38</v>
      </c>
      <c r="C443" s="1">
        <f ca="1">IFERROR(__xludf.DUMMYFUNCTION("""COMPUTED_VALUE"""),129.09)</f>
        <v>129.09</v>
      </c>
      <c r="D443" s="1">
        <f ca="1">IFERROR(__xludf.DUMMYFUNCTION("""COMPUTED_VALUE"""),127.8)</f>
        <v>127.8</v>
      </c>
      <c r="E443" s="1">
        <f ca="1">IFERROR(__xludf.DUMMYFUNCTION("""COMPUTED_VALUE"""),128.77)</f>
        <v>128.77000000000001</v>
      </c>
      <c r="F443" s="1">
        <f ca="1">IFERROR(__xludf.DUMMYFUNCTION("""COMPUTED_VALUE"""),13156943)</f>
        <v>13156943</v>
      </c>
    </row>
    <row r="444" spans="1:6" x14ac:dyDescent="0.35">
      <c r="A444" s="2">
        <f ca="1">IFERROR(__xludf.DUMMYFUNCTION("""COMPUTED_VALUE"""),42647.6666666666)</f>
        <v>42647.666666666599</v>
      </c>
      <c r="B444" s="1">
        <f ca="1">IFERROR(__xludf.DUMMYFUNCTION("""COMPUTED_VALUE"""),129.17)</f>
        <v>129.16999999999999</v>
      </c>
      <c r="C444" s="1">
        <f ca="1">IFERROR(__xludf.DUMMYFUNCTION("""COMPUTED_VALUE"""),129.28)</f>
        <v>129.28</v>
      </c>
      <c r="D444" s="1">
        <f ca="1">IFERROR(__xludf.DUMMYFUNCTION("""COMPUTED_VALUE"""),127.55)</f>
        <v>127.55</v>
      </c>
      <c r="E444" s="1">
        <f ca="1">IFERROR(__xludf.DUMMYFUNCTION("""COMPUTED_VALUE"""),128.19)</f>
        <v>128.19</v>
      </c>
      <c r="F444" s="1">
        <f ca="1">IFERROR(__xludf.DUMMYFUNCTION("""COMPUTED_VALUE"""),14307548)</f>
        <v>14307548</v>
      </c>
    </row>
    <row r="445" spans="1:6" x14ac:dyDescent="0.35">
      <c r="A445" s="2">
        <f ca="1">IFERROR(__xludf.DUMMYFUNCTION("""COMPUTED_VALUE"""),42648.6666666666)</f>
        <v>42648.666666666599</v>
      </c>
      <c r="B445" s="1">
        <f ca="1">IFERROR(__xludf.DUMMYFUNCTION("""COMPUTED_VALUE"""),128.25)</f>
        <v>128.25</v>
      </c>
      <c r="C445" s="1">
        <f ca="1">IFERROR(__xludf.DUMMYFUNCTION("""COMPUTED_VALUE"""),128.8)</f>
        <v>128.80000000000001</v>
      </c>
      <c r="D445" s="1">
        <f ca="1">IFERROR(__xludf.DUMMYFUNCTION("""COMPUTED_VALUE"""),127.83)</f>
        <v>127.83</v>
      </c>
      <c r="E445" s="1">
        <f ca="1">IFERROR(__xludf.DUMMYFUNCTION("""COMPUTED_VALUE"""),128.47)</f>
        <v>128.47</v>
      </c>
      <c r="F445" s="1">
        <f ca="1">IFERROR(__xludf.DUMMYFUNCTION("""COMPUTED_VALUE"""),12386753)</f>
        <v>12386753</v>
      </c>
    </row>
    <row r="446" spans="1:6" x14ac:dyDescent="0.35">
      <c r="A446" s="2">
        <f ca="1">IFERROR(__xludf.DUMMYFUNCTION("""COMPUTED_VALUE"""),42649.6666666666)</f>
        <v>42649.666666666599</v>
      </c>
      <c r="B446" s="1">
        <f ca="1">IFERROR(__xludf.DUMMYFUNCTION("""COMPUTED_VALUE"""),128.43)</f>
        <v>128.43</v>
      </c>
      <c r="C446" s="1">
        <f ca="1">IFERROR(__xludf.DUMMYFUNCTION("""COMPUTED_VALUE"""),129.06)</f>
        <v>129.06</v>
      </c>
      <c r="D446" s="1">
        <f ca="1">IFERROR(__xludf.DUMMYFUNCTION("""COMPUTED_VALUE"""),128.08)</f>
        <v>128.08000000000001</v>
      </c>
      <c r="E446" s="1">
        <f ca="1">IFERROR(__xludf.DUMMYFUNCTION("""COMPUTED_VALUE"""),128.74)</f>
        <v>128.74</v>
      </c>
      <c r="F446" s="1">
        <f ca="1">IFERROR(__xludf.DUMMYFUNCTION("""COMPUTED_VALUE"""),11682729)</f>
        <v>11682729</v>
      </c>
    </row>
    <row r="447" spans="1:6" x14ac:dyDescent="0.35">
      <c r="A447" s="2">
        <f ca="1">IFERROR(__xludf.DUMMYFUNCTION("""COMPUTED_VALUE"""),42650.6666666666)</f>
        <v>42650.666666666599</v>
      </c>
      <c r="B447" s="1">
        <f ca="1">IFERROR(__xludf.DUMMYFUNCTION("""COMPUTED_VALUE"""),129.04)</f>
        <v>129.04</v>
      </c>
      <c r="C447" s="1">
        <f ca="1">IFERROR(__xludf.DUMMYFUNCTION("""COMPUTED_VALUE"""),129.25)</f>
        <v>129.25</v>
      </c>
      <c r="D447" s="1">
        <f ca="1">IFERROR(__xludf.DUMMYFUNCTION("""COMPUTED_VALUE"""),128.33)</f>
        <v>128.33000000000001</v>
      </c>
      <c r="E447" s="1">
        <f ca="1">IFERROR(__xludf.DUMMYFUNCTION("""COMPUTED_VALUE"""),128.99)</f>
        <v>128.99</v>
      </c>
      <c r="F447" s="1">
        <f ca="1">IFERROR(__xludf.DUMMYFUNCTION("""COMPUTED_VALUE"""),12804420)</f>
        <v>12804420</v>
      </c>
    </row>
    <row r="448" spans="1:6" x14ac:dyDescent="0.35">
      <c r="A448" s="2">
        <f ca="1">IFERROR(__xludf.DUMMYFUNCTION("""COMPUTED_VALUE"""),42653.6666666666)</f>
        <v>42653.666666666599</v>
      </c>
      <c r="B448" s="1">
        <f ca="1">IFERROR(__xludf.DUMMYFUNCTION("""COMPUTED_VALUE"""),129.68)</f>
        <v>129.68</v>
      </c>
      <c r="C448" s="1">
        <f ca="1">IFERROR(__xludf.DUMMYFUNCTION("""COMPUTED_VALUE"""),130.7)</f>
        <v>130.69999999999999</v>
      </c>
      <c r="D448" s="1">
        <f ca="1">IFERROR(__xludf.DUMMYFUNCTION("""COMPUTED_VALUE"""),129.2)</f>
        <v>129.19999999999999</v>
      </c>
      <c r="E448" s="1">
        <f ca="1">IFERROR(__xludf.DUMMYFUNCTION("""COMPUTED_VALUE"""),130.24)</f>
        <v>130.24</v>
      </c>
      <c r="F448" s="1">
        <f ca="1">IFERROR(__xludf.DUMMYFUNCTION("""COMPUTED_VALUE"""),15138720)</f>
        <v>15138720</v>
      </c>
    </row>
    <row r="449" spans="1:6" x14ac:dyDescent="0.35">
      <c r="A449" s="2">
        <f ca="1">IFERROR(__xludf.DUMMYFUNCTION("""COMPUTED_VALUE"""),42654.6666666666)</f>
        <v>42654.666666666599</v>
      </c>
      <c r="B449" s="1">
        <f ca="1">IFERROR(__xludf.DUMMYFUNCTION("""COMPUTED_VALUE"""),130.23)</f>
        <v>130.22999999999999</v>
      </c>
      <c r="C449" s="1">
        <f ca="1">IFERROR(__xludf.DUMMYFUNCTION("""COMPUTED_VALUE"""),130.64)</f>
        <v>130.63999999999999</v>
      </c>
      <c r="D449" s="1">
        <f ca="1">IFERROR(__xludf.DUMMYFUNCTION("""COMPUTED_VALUE"""),128.23)</f>
        <v>128.22999999999999</v>
      </c>
      <c r="E449" s="1">
        <f ca="1">IFERROR(__xludf.DUMMYFUNCTION("""COMPUTED_VALUE"""),128.88)</f>
        <v>128.88</v>
      </c>
      <c r="F449" s="1">
        <f ca="1">IFERROR(__xludf.DUMMYFUNCTION("""COMPUTED_VALUE"""),17537928)</f>
        <v>17537928</v>
      </c>
    </row>
    <row r="450" spans="1:6" x14ac:dyDescent="0.35">
      <c r="A450" s="2">
        <f ca="1">IFERROR(__xludf.DUMMYFUNCTION("""COMPUTED_VALUE"""),42655.6666666666)</f>
        <v>42655.666666666599</v>
      </c>
      <c r="B450" s="1">
        <f ca="1">IFERROR(__xludf.DUMMYFUNCTION("""COMPUTED_VALUE"""),129.01)</f>
        <v>129.01</v>
      </c>
      <c r="C450" s="1">
        <f ca="1">IFERROR(__xludf.DUMMYFUNCTION("""COMPUTED_VALUE"""),129.66)</f>
        <v>129.66</v>
      </c>
      <c r="D450" s="1">
        <f ca="1">IFERROR(__xludf.DUMMYFUNCTION("""COMPUTED_VALUE"""),128.46)</f>
        <v>128.46</v>
      </c>
      <c r="E450" s="1">
        <f ca="1">IFERROR(__xludf.DUMMYFUNCTION("""COMPUTED_VALUE"""),129.05)</f>
        <v>129.05000000000001</v>
      </c>
      <c r="F450" s="1">
        <f ca="1">IFERROR(__xludf.DUMMYFUNCTION("""COMPUTED_VALUE"""),11072991)</f>
        <v>11072991</v>
      </c>
    </row>
    <row r="451" spans="1:6" x14ac:dyDescent="0.35">
      <c r="A451" s="2">
        <f ca="1">IFERROR(__xludf.DUMMYFUNCTION("""COMPUTED_VALUE"""),42656.6666666666)</f>
        <v>42656.666666666599</v>
      </c>
      <c r="B451" s="1">
        <f ca="1">IFERROR(__xludf.DUMMYFUNCTION("""COMPUTED_VALUE"""),128.21)</f>
        <v>128.21</v>
      </c>
      <c r="C451" s="1">
        <f ca="1">IFERROR(__xludf.DUMMYFUNCTION("""COMPUTED_VALUE"""),128.25)</f>
        <v>128.25</v>
      </c>
      <c r="D451" s="1">
        <f ca="1">IFERROR(__xludf.DUMMYFUNCTION("""COMPUTED_VALUE"""),126.75)</f>
        <v>126.75</v>
      </c>
      <c r="E451" s="1">
        <f ca="1">IFERROR(__xludf.DUMMYFUNCTION("""COMPUTED_VALUE"""),127.82)</f>
        <v>127.82</v>
      </c>
      <c r="F451" s="1">
        <f ca="1">IFERROR(__xludf.DUMMYFUNCTION("""COMPUTED_VALUE"""),17139306)</f>
        <v>17139306</v>
      </c>
    </row>
    <row r="452" spans="1:6" x14ac:dyDescent="0.35">
      <c r="A452" s="2">
        <f ca="1">IFERROR(__xludf.DUMMYFUNCTION("""COMPUTED_VALUE"""),42657.6666666666)</f>
        <v>42657.666666666599</v>
      </c>
      <c r="B452" s="1">
        <f ca="1">IFERROR(__xludf.DUMMYFUNCTION("""COMPUTED_VALUE"""),128.49)</f>
        <v>128.49</v>
      </c>
      <c r="C452" s="1">
        <f ca="1">IFERROR(__xludf.DUMMYFUNCTION("""COMPUTED_VALUE"""),128.95)</f>
        <v>128.94999999999999</v>
      </c>
      <c r="D452" s="1">
        <f ca="1">IFERROR(__xludf.DUMMYFUNCTION("""COMPUTED_VALUE"""),127.58)</f>
        <v>127.58</v>
      </c>
      <c r="E452" s="1">
        <f ca="1">IFERROR(__xludf.DUMMYFUNCTION("""COMPUTED_VALUE"""),127.88)</f>
        <v>127.88</v>
      </c>
      <c r="F452" s="1">
        <f ca="1">IFERROR(__xludf.DUMMYFUNCTION("""COMPUTED_VALUE"""),13345292)</f>
        <v>13345292</v>
      </c>
    </row>
    <row r="453" spans="1:6" x14ac:dyDescent="0.35">
      <c r="A453" s="2">
        <f ca="1">IFERROR(__xludf.DUMMYFUNCTION("""COMPUTED_VALUE"""),42660.6666666666)</f>
        <v>42660.666666666599</v>
      </c>
      <c r="B453" s="1">
        <f ca="1">IFERROR(__xludf.DUMMYFUNCTION("""COMPUTED_VALUE"""),128.2)</f>
        <v>128.19999999999999</v>
      </c>
      <c r="C453" s="1">
        <f ca="1">IFERROR(__xludf.DUMMYFUNCTION("""COMPUTED_VALUE"""),128.47)</f>
        <v>128.47</v>
      </c>
      <c r="D453" s="1">
        <f ca="1">IFERROR(__xludf.DUMMYFUNCTION("""COMPUTED_VALUE"""),127.32)</f>
        <v>127.32</v>
      </c>
      <c r="E453" s="1">
        <f ca="1">IFERROR(__xludf.DUMMYFUNCTION("""COMPUTED_VALUE"""),127.54)</f>
        <v>127.54</v>
      </c>
      <c r="F453" s="1">
        <f ca="1">IFERROR(__xludf.DUMMYFUNCTION("""COMPUTED_VALUE"""),11351681)</f>
        <v>11351681</v>
      </c>
    </row>
    <row r="454" spans="1:6" x14ac:dyDescent="0.35">
      <c r="A454" s="2">
        <f ca="1">IFERROR(__xludf.DUMMYFUNCTION("""COMPUTED_VALUE"""),42661.6666666666)</f>
        <v>42661.666666666599</v>
      </c>
      <c r="B454" s="1">
        <f ca="1">IFERROR(__xludf.DUMMYFUNCTION("""COMPUTED_VALUE"""),128.68)</f>
        <v>128.68</v>
      </c>
      <c r="C454" s="1">
        <f ca="1">IFERROR(__xludf.DUMMYFUNCTION("""COMPUTED_VALUE"""),129.39)</f>
        <v>129.38999999999999</v>
      </c>
      <c r="D454" s="1">
        <f ca="1">IFERROR(__xludf.DUMMYFUNCTION("""COMPUTED_VALUE"""),128.01)</f>
        <v>128.01</v>
      </c>
      <c r="E454" s="1">
        <f ca="1">IFERROR(__xludf.DUMMYFUNCTION("""COMPUTED_VALUE"""),128.57)</f>
        <v>128.57</v>
      </c>
      <c r="F454" s="1">
        <f ca="1">IFERROR(__xludf.DUMMYFUNCTION("""COMPUTED_VALUE"""),13503967)</f>
        <v>13503967</v>
      </c>
    </row>
    <row r="455" spans="1:6" x14ac:dyDescent="0.35">
      <c r="A455" s="2">
        <f ca="1">IFERROR(__xludf.DUMMYFUNCTION("""COMPUTED_VALUE"""),42662.6666666666)</f>
        <v>42662.666666666599</v>
      </c>
      <c r="B455" s="1">
        <f ca="1">IFERROR(__xludf.DUMMYFUNCTION("""COMPUTED_VALUE"""),128.74)</f>
        <v>128.74</v>
      </c>
      <c r="C455" s="1">
        <f ca="1">IFERROR(__xludf.DUMMYFUNCTION("""COMPUTED_VALUE"""),130.47)</f>
        <v>130.47</v>
      </c>
      <c r="D455" s="1">
        <f ca="1">IFERROR(__xludf.DUMMYFUNCTION("""COMPUTED_VALUE"""),128.6)</f>
        <v>128.6</v>
      </c>
      <c r="E455" s="1">
        <f ca="1">IFERROR(__xludf.DUMMYFUNCTION("""COMPUTED_VALUE"""),130.11)</f>
        <v>130.11000000000001</v>
      </c>
      <c r="F455" s="1">
        <f ca="1">IFERROR(__xludf.DUMMYFUNCTION("""COMPUTED_VALUE"""),16752321)</f>
        <v>16752321</v>
      </c>
    </row>
    <row r="456" spans="1:6" x14ac:dyDescent="0.35">
      <c r="A456" s="2">
        <f ca="1">IFERROR(__xludf.DUMMYFUNCTION("""COMPUTED_VALUE"""),42663.6666666666)</f>
        <v>42663.666666666599</v>
      </c>
      <c r="B456" s="1">
        <f ca="1">IFERROR(__xludf.DUMMYFUNCTION("""COMPUTED_VALUE"""),130.07)</f>
        <v>130.07</v>
      </c>
      <c r="C456" s="1">
        <f ca="1">IFERROR(__xludf.DUMMYFUNCTION("""COMPUTED_VALUE"""),130.66)</f>
        <v>130.66</v>
      </c>
      <c r="D456" s="1">
        <f ca="1">IFERROR(__xludf.DUMMYFUNCTION("""COMPUTED_VALUE"""),129.5)</f>
        <v>129.5</v>
      </c>
      <c r="E456" s="1">
        <f ca="1">IFERROR(__xludf.DUMMYFUNCTION("""COMPUTED_VALUE"""),130)</f>
        <v>130</v>
      </c>
      <c r="F456" s="1">
        <f ca="1">IFERROR(__xludf.DUMMYFUNCTION("""COMPUTED_VALUE"""),13167503)</f>
        <v>13167503</v>
      </c>
    </row>
    <row r="457" spans="1:6" x14ac:dyDescent="0.35">
      <c r="A457" s="2">
        <f ca="1">IFERROR(__xludf.DUMMYFUNCTION("""COMPUTED_VALUE"""),42664.6666666666)</f>
        <v>42664.666666666599</v>
      </c>
      <c r="B457" s="1">
        <f ca="1">IFERROR(__xludf.DUMMYFUNCTION("""COMPUTED_VALUE"""),129.78)</f>
        <v>129.78</v>
      </c>
      <c r="C457" s="1">
        <f ca="1">IFERROR(__xludf.DUMMYFUNCTION("""COMPUTED_VALUE"""),132.13)</f>
        <v>132.13</v>
      </c>
      <c r="D457" s="1">
        <f ca="1">IFERROR(__xludf.DUMMYFUNCTION("""COMPUTED_VALUE"""),129.7)</f>
        <v>129.69999999999999</v>
      </c>
      <c r="E457" s="1">
        <f ca="1">IFERROR(__xludf.DUMMYFUNCTION("""COMPUTED_VALUE"""),132.07)</f>
        <v>132.07</v>
      </c>
      <c r="F457" s="1">
        <f ca="1">IFERROR(__xludf.DUMMYFUNCTION("""COMPUTED_VALUE"""),19088794)</f>
        <v>19088794</v>
      </c>
    </row>
    <row r="458" spans="1:6" x14ac:dyDescent="0.35">
      <c r="A458" s="2">
        <f ca="1">IFERROR(__xludf.DUMMYFUNCTION("""COMPUTED_VALUE"""),42667.6666666666)</f>
        <v>42667.666666666599</v>
      </c>
      <c r="B458" s="1">
        <f ca="1">IFERROR(__xludf.DUMMYFUNCTION("""COMPUTED_VALUE"""),132.72)</f>
        <v>132.72</v>
      </c>
      <c r="C458" s="1">
        <f ca="1">IFERROR(__xludf.DUMMYFUNCTION("""COMPUTED_VALUE"""),133.41)</f>
        <v>133.41</v>
      </c>
      <c r="D458" s="1">
        <f ca="1">IFERROR(__xludf.DUMMYFUNCTION("""COMPUTED_VALUE"""),132.15)</f>
        <v>132.15</v>
      </c>
      <c r="E458" s="1">
        <f ca="1">IFERROR(__xludf.DUMMYFUNCTION("""COMPUTED_VALUE"""),133.28)</f>
        <v>133.28</v>
      </c>
      <c r="F458" s="1">
        <f ca="1">IFERROR(__xludf.DUMMYFUNCTION("""COMPUTED_VALUE"""),17470227)</f>
        <v>17470227</v>
      </c>
    </row>
    <row r="459" spans="1:6" x14ac:dyDescent="0.35">
      <c r="A459" s="2">
        <f ca="1">IFERROR(__xludf.DUMMYFUNCTION("""COMPUTED_VALUE"""),42668.6666666666)</f>
        <v>42668.666666666599</v>
      </c>
      <c r="B459" s="1">
        <f ca="1">IFERROR(__xludf.DUMMYFUNCTION("""COMPUTED_VALUE"""),133.5)</f>
        <v>133.5</v>
      </c>
      <c r="C459" s="1">
        <f ca="1">IFERROR(__xludf.DUMMYFUNCTION("""COMPUTED_VALUE"""),133.5)</f>
        <v>133.5</v>
      </c>
      <c r="D459" s="1">
        <f ca="1">IFERROR(__xludf.DUMMYFUNCTION("""COMPUTED_VALUE"""),132.22)</f>
        <v>132.22</v>
      </c>
      <c r="E459" s="1">
        <f ca="1">IFERROR(__xludf.DUMMYFUNCTION("""COMPUTED_VALUE"""),132.29)</f>
        <v>132.29</v>
      </c>
      <c r="F459" s="1">
        <f ca="1">IFERROR(__xludf.DUMMYFUNCTION("""COMPUTED_VALUE"""),13336787)</f>
        <v>13336787</v>
      </c>
    </row>
    <row r="460" spans="1:6" x14ac:dyDescent="0.35">
      <c r="A460" s="2">
        <f ca="1">IFERROR(__xludf.DUMMYFUNCTION("""COMPUTED_VALUE"""),42669.6666666666)</f>
        <v>42669.666666666599</v>
      </c>
      <c r="B460" s="1">
        <f ca="1">IFERROR(__xludf.DUMMYFUNCTION("""COMPUTED_VALUE"""),131.64)</f>
        <v>131.63999999999999</v>
      </c>
      <c r="C460" s="1">
        <f ca="1">IFERROR(__xludf.DUMMYFUNCTION("""COMPUTED_VALUE"""),132.26)</f>
        <v>132.26</v>
      </c>
      <c r="D460" s="1">
        <f ca="1">IFERROR(__xludf.DUMMYFUNCTION("""COMPUTED_VALUE"""),130.94)</f>
        <v>130.94</v>
      </c>
      <c r="E460" s="1">
        <f ca="1">IFERROR(__xludf.DUMMYFUNCTION("""COMPUTED_VALUE"""),131.04)</f>
        <v>131.04</v>
      </c>
      <c r="F460" s="1">
        <f ca="1">IFERROR(__xludf.DUMMYFUNCTION("""COMPUTED_VALUE"""),13084731)</f>
        <v>13084731</v>
      </c>
    </row>
    <row r="461" spans="1:6" x14ac:dyDescent="0.35">
      <c r="A461" s="2">
        <f ca="1">IFERROR(__xludf.DUMMYFUNCTION("""COMPUTED_VALUE"""),42670.6666666666)</f>
        <v>42670.666666666599</v>
      </c>
      <c r="B461" s="1">
        <f ca="1">IFERROR(__xludf.DUMMYFUNCTION("""COMPUTED_VALUE"""),131.74)</f>
        <v>131.74</v>
      </c>
      <c r="C461" s="1">
        <f ca="1">IFERROR(__xludf.DUMMYFUNCTION("""COMPUTED_VALUE"""),131.8)</f>
        <v>131.80000000000001</v>
      </c>
      <c r="D461" s="1">
        <f ca="1">IFERROR(__xludf.DUMMYFUNCTION("""COMPUTED_VALUE"""),129.27)</f>
        <v>129.27000000000001</v>
      </c>
      <c r="E461" s="1">
        <f ca="1">IFERROR(__xludf.DUMMYFUNCTION("""COMPUTED_VALUE"""),129.69)</f>
        <v>129.69</v>
      </c>
      <c r="F461" s="1">
        <f ca="1">IFERROR(__xludf.DUMMYFUNCTION("""COMPUTED_VALUE"""),16741393)</f>
        <v>16741393</v>
      </c>
    </row>
    <row r="462" spans="1:6" x14ac:dyDescent="0.35">
      <c r="A462" s="2">
        <f ca="1">IFERROR(__xludf.DUMMYFUNCTION("""COMPUTED_VALUE"""),42671.6666666666)</f>
        <v>42671.666666666599</v>
      </c>
      <c r="B462" s="1">
        <f ca="1">IFERROR(__xludf.DUMMYFUNCTION("""COMPUTED_VALUE"""),130.5)</f>
        <v>130.5</v>
      </c>
      <c r="C462" s="1">
        <f ca="1">IFERROR(__xludf.DUMMYFUNCTION("""COMPUTED_VALUE"""),132.97)</f>
        <v>132.97</v>
      </c>
      <c r="D462" s="1">
        <f ca="1">IFERROR(__xludf.DUMMYFUNCTION("""COMPUTED_VALUE"""),129.93)</f>
        <v>129.93</v>
      </c>
      <c r="E462" s="1">
        <f ca="1">IFERROR(__xludf.DUMMYFUNCTION("""COMPUTED_VALUE"""),131.29)</f>
        <v>131.29</v>
      </c>
      <c r="F462" s="1">
        <f ca="1">IFERROR(__xludf.DUMMYFUNCTION("""COMPUTED_VALUE"""),24545547)</f>
        <v>24545547</v>
      </c>
    </row>
    <row r="463" spans="1:6" x14ac:dyDescent="0.35">
      <c r="A463" s="2">
        <f ca="1">IFERROR(__xludf.DUMMYFUNCTION("""COMPUTED_VALUE"""),42674.6666666666)</f>
        <v>42674.666666666599</v>
      </c>
      <c r="B463" s="1">
        <f ca="1">IFERROR(__xludf.DUMMYFUNCTION("""COMPUTED_VALUE"""),132.01)</f>
        <v>132.01</v>
      </c>
      <c r="C463" s="1">
        <f ca="1">IFERROR(__xludf.DUMMYFUNCTION("""COMPUTED_VALUE"""),132.12)</f>
        <v>132.12</v>
      </c>
      <c r="D463" s="1">
        <f ca="1">IFERROR(__xludf.DUMMYFUNCTION("""COMPUTED_VALUE"""),130.88)</f>
        <v>130.88</v>
      </c>
      <c r="E463" s="1">
        <f ca="1">IFERROR(__xludf.DUMMYFUNCTION("""COMPUTED_VALUE"""),130.99)</f>
        <v>130.99</v>
      </c>
      <c r="F463" s="1">
        <f ca="1">IFERROR(__xludf.DUMMYFUNCTION("""COMPUTED_VALUE"""),15668982)</f>
        <v>15668982</v>
      </c>
    </row>
    <row r="464" spans="1:6" x14ac:dyDescent="0.35">
      <c r="A464" s="2">
        <f ca="1">IFERROR(__xludf.DUMMYFUNCTION("""COMPUTED_VALUE"""),42675.6666666666)</f>
        <v>42675.666666666599</v>
      </c>
      <c r="B464" s="1">
        <f ca="1">IFERROR(__xludf.DUMMYFUNCTION("""COMPUTED_VALUE"""),131.41)</f>
        <v>131.41</v>
      </c>
      <c r="C464" s="1">
        <f ca="1">IFERROR(__xludf.DUMMYFUNCTION("""COMPUTED_VALUE"""),131.94)</f>
        <v>131.94</v>
      </c>
      <c r="D464" s="1">
        <f ca="1">IFERROR(__xludf.DUMMYFUNCTION("""COMPUTED_VALUE"""),128.65)</f>
        <v>128.65</v>
      </c>
      <c r="E464" s="1">
        <f ca="1">IFERROR(__xludf.DUMMYFUNCTION("""COMPUTED_VALUE"""),129.5)</f>
        <v>129.5</v>
      </c>
      <c r="F464" s="1">
        <f ca="1">IFERROR(__xludf.DUMMYFUNCTION("""COMPUTED_VALUE"""),22077779)</f>
        <v>22077779</v>
      </c>
    </row>
    <row r="465" spans="1:6" x14ac:dyDescent="0.35">
      <c r="A465" s="2">
        <f ca="1">IFERROR(__xludf.DUMMYFUNCTION("""COMPUTED_VALUE"""),42676.6666666666)</f>
        <v>42676.666666666599</v>
      </c>
      <c r="B465" s="1">
        <f ca="1">IFERROR(__xludf.DUMMYFUNCTION("""COMPUTED_VALUE"""),130.23)</f>
        <v>130.22999999999999</v>
      </c>
      <c r="C465" s="1">
        <f ca="1">IFERROR(__xludf.DUMMYFUNCTION("""COMPUTED_VALUE"""),130.23)</f>
        <v>130.22999999999999</v>
      </c>
      <c r="D465" s="1">
        <f ca="1">IFERROR(__xludf.DUMMYFUNCTION("""COMPUTED_VALUE"""),126.28)</f>
        <v>126.28</v>
      </c>
      <c r="E465" s="1">
        <f ca="1">IFERROR(__xludf.DUMMYFUNCTION("""COMPUTED_VALUE"""),127.17)</f>
        <v>127.17</v>
      </c>
      <c r="F465" s="1">
        <f ca="1">IFERROR(__xludf.DUMMYFUNCTION("""COMPUTED_VALUE"""),50190225)</f>
        <v>50190225</v>
      </c>
    </row>
    <row r="466" spans="1:6" x14ac:dyDescent="0.35">
      <c r="A466" s="2">
        <f ca="1">IFERROR(__xludf.DUMMYFUNCTION("""COMPUTED_VALUE"""),42677.6666666666)</f>
        <v>42677.666666666599</v>
      </c>
      <c r="B466" s="1">
        <f ca="1">IFERROR(__xludf.DUMMYFUNCTION("""COMPUTED_VALUE"""),122)</f>
        <v>122</v>
      </c>
      <c r="C466" s="1">
        <f ca="1">IFERROR(__xludf.DUMMYFUNCTION("""COMPUTED_VALUE"""),123.28)</f>
        <v>123.28</v>
      </c>
      <c r="D466" s="1">
        <f ca="1">IFERROR(__xludf.DUMMYFUNCTION("""COMPUTED_VALUE"""),119.5)</f>
        <v>119.5</v>
      </c>
      <c r="E466" s="1">
        <f ca="1">IFERROR(__xludf.DUMMYFUNCTION("""COMPUTED_VALUE"""),120)</f>
        <v>120</v>
      </c>
      <c r="F466" s="1">
        <f ca="1">IFERROR(__xludf.DUMMYFUNCTION("""COMPUTED_VALUE"""),63766259)</f>
        <v>63766259</v>
      </c>
    </row>
    <row r="467" spans="1:6" x14ac:dyDescent="0.35">
      <c r="A467" s="2">
        <f ca="1">IFERROR(__xludf.DUMMYFUNCTION("""COMPUTED_VALUE"""),42678.6666666666)</f>
        <v>42678.666666666599</v>
      </c>
      <c r="B467" s="1">
        <f ca="1">IFERROR(__xludf.DUMMYFUNCTION("""COMPUTED_VALUE"""),119.59)</f>
        <v>119.59</v>
      </c>
      <c r="C467" s="1">
        <f ca="1">IFERROR(__xludf.DUMMYFUNCTION("""COMPUTED_VALUE"""),121.93)</f>
        <v>121.93</v>
      </c>
      <c r="D467" s="1">
        <f ca="1">IFERROR(__xludf.DUMMYFUNCTION("""COMPUTED_VALUE"""),119.25)</f>
        <v>119.25</v>
      </c>
      <c r="E467" s="1">
        <f ca="1">IFERROR(__xludf.DUMMYFUNCTION("""COMPUTED_VALUE"""),120.75)</f>
        <v>120.75</v>
      </c>
      <c r="F467" s="1">
        <f ca="1">IFERROR(__xludf.DUMMYFUNCTION("""COMPUTED_VALUE"""),30545466)</f>
        <v>30545466</v>
      </c>
    </row>
    <row r="468" spans="1:6" x14ac:dyDescent="0.35">
      <c r="A468" s="2">
        <f ca="1">IFERROR(__xludf.DUMMYFUNCTION("""COMPUTED_VALUE"""),42681.6666666666)</f>
        <v>42681.666666666599</v>
      </c>
      <c r="B468" s="1">
        <f ca="1">IFERROR(__xludf.DUMMYFUNCTION("""COMPUTED_VALUE"""),122.83)</f>
        <v>122.83</v>
      </c>
      <c r="C468" s="1">
        <f ca="1">IFERROR(__xludf.DUMMYFUNCTION("""COMPUTED_VALUE"""),123.21)</f>
        <v>123.21</v>
      </c>
      <c r="D468" s="1">
        <f ca="1">IFERROR(__xludf.DUMMYFUNCTION("""COMPUTED_VALUE"""),121.35)</f>
        <v>121.35</v>
      </c>
      <c r="E468" s="1">
        <f ca="1">IFERROR(__xludf.DUMMYFUNCTION("""COMPUTED_VALUE"""),122.15)</f>
        <v>122.15</v>
      </c>
      <c r="F468" s="1">
        <f ca="1">IFERROR(__xludf.DUMMYFUNCTION("""COMPUTED_VALUE"""),23008880)</f>
        <v>23008880</v>
      </c>
    </row>
    <row r="469" spans="1:6" x14ac:dyDescent="0.35">
      <c r="A469" s="2">
        <f ca="1">IFERROR(__xludf.DUMMYFUNCTION("""COMPUTED_VALUE"""),42682.6666666666)</f>
        <v>42682.666666666599</v>
      </c>
      <c r="B469" s="1">
        <f ca="1">IFERROR(__xludf.DUMMYFUNCTION("""COMPUTED_VALUE"""),122.03)</f>
        <v>122.03</v>
      </c>
      <c r="C469" s="1">
        <f ca="1">IFERROR(__xludf.DUMMYFUNCTION("""COMPUTED_VALUE"""),124.61)</f>
        <v>124.61</v>
      </c>
      <c r="D469" s="1">
        <f ca="1">IFERROR(__xludf.DUMMYFUNCTION("""COMPUTED_VALUE"""),121.54)</f>
        <v>121.54</v>
      </c>
      <c r="E469" s="1">
        <f ca="1">IFERROR(__xludf.DUMMYFUNCTION("""COMPUTED_VALUE"""),124.22)</f>
        <v>124.22</v>
      </c>
      <c r="F469" s="1">
        <f ca="1">IFERROR(__xludf.DUMMYFUNCTION("""COMPUTED_VALUE"""),19460768)</f>
        <v>19460768</v>
      </c>
    </row>
    <row r="470" spans="1:6" x14ac:dyDescent="0.35">
      <c r="A470" s="2">
        <f ca="1">IFERROR(__xludf.DUMMYFUNCTION("""COMPUTED_VALUE"""),42683.6666666666)</f>
        <v>42683.666666666599</v>
      </c>
      <c r="B470" s="1">
        <f ca="1">IFERROR(__xludf.DUMMYFUNCTION("""COMPUTED_VALUE"""),121.5)</f>
        <v>121.5</v>
      </c>
      <c r="C470" s="1">
        <f ca="1">IFERROR(__xludf.DUMMYFUNCTION("""COMPUTED_VALUE"""),123.81)</f>
        <v>123.81</v>
      </c>
      <c r="D470" s="1">
        <f ca="1">IFERROR(__xludf.DUMMYFUNCTION("""COMPUTED_VALUE"""),120.51)</f>
        <v>120.51</v>
      </c>
      <c r="E470" s="1">
        <f ca="1">IFERROR(__xludf.DUMMYFUNCTION("""COMPUTED_VALUE"""),123.18)</f>
        <v>123.18</v>
      </c>
      <c r="F470" s="1">
        <f ca="1">IFERROR(__xludf.DUMMYFUNCTION("""COMPUTED_VALUE"""),31916020)</f>
        <v>31916020</v>
      </c>
    </row>
    <row r="471" spans="1:6" x14ac:dyDescent="0.35">
      <c r="A471" s="2">
        <f ca="1">IFERROR(__xludf.DUMMYFUNCTION("""COMPUTED_VALUE"""),42684.6666666666)</f>
        <v>42684.666666666599</v>
      </c>
      <c r="B471" s="1">
        <f ca="1">IFERROR(__xludf.DUMMYFUNCTION("""COMPUTED_VALUE"""),123.93)</f>
        <v>123.93</v>
      </c>
      <c r="C471" s="1">
        <f ca="1">IFERROR(__xludf.DUMMYFUNCTION("""COMPUTED_VALUE"""),124.18)</f>
        <v>124.18</v>
      </c>
      <c r="D471" s="1">
        <f ca="1">IFERROR(__xludf.DUMMYFUNCTION("""COMPUTED_VALUE"""),115.27)</f>
        <v>115.27</v>
      </c>
      <c r="E471" s="1">
        <f ca="1">IFERROR(__xludf.DUMMYFUNCTION("""COMPUTED_VALUE"""),120.8)</f>
        <v>120.8</v>
      </c>
      <c r="F471" s="1">
        <f ca="1">IFERROR(__xludf.DUMMYFUNCTION("""COMPUTED_VALUE"""),67846704)</f>
        <v>67846704</v>
      </c>
    </row>
    <row r="472" spans="1:6" x14ac:dyDescent="0.35">
      <c r="A472" s="2">
        <f ca="1">IFERROR(__xludf.DUMMYFUNCTION("""COMPUTED_VALUE"""),42685.6666666666)</f>
        <v>42685.666666666599</v>
      </c>
      <c r="B472" s="1">
        <f ca="1">IFERROR(__xludf.DUMMYFUNCTION("""COMPUTED_VALUE"""),119.53)</f>
        <v>119.53</v>
      </c>
      <c r="C472" s="1">
        <f ca="1">IFERROR(__xludf.DUMMYFUNCTION("""COMPUTED_VALUE"""),120.7)</f>
        <v>120.7</v>
      </c>
      <c r="D472" s="1">
        <f ca="1">IFERROR(__xludf.DUMMYFUNCTION("""COMPUTED_VALUE"""),118.15)</f>
        <v>118.15</v>
      </c>
      <c r="E472" s="1">
        <f ca="1">IFERROR(__xludf.DUMMYFUNCTION("""COMPUTED_VALUE"""),119.02)</f>
        <v>119.02</v>
      </c>
      <c r="F472" s="1">
        <f ca="1">IFERROR(__xludf.DUMMYFUNCTION("""COMPUTED_VALUE"""),32840137)</f>
        <v>32840137</v>
      </c>
    </row>
    <row r="473" spans="1:6" x14ac:dyDescent="0.35">
      <c r="A473" s="2">
        <f ca="1">IFERROR(__xludf.DUMMYFUNCTION("""COMPUTED_VALUE"""),42688.6666666666)</f>
        <v>42688.666666666599</v>
      </c>
      <c r="B473" s="1">
        <f ca="1">IFERROR(__xludf.DUMMYFUNCTION("""COMPUTED_VALUE"""),119.13)</f>
        <v>119.13</v>
      </c>
      <c r="C473" s="1">
        <f ca="1">IFERROR(__xludf.DUMMYFUNCTION("""COMPUTED_VALUE"""),119.13)</f>
        <v>119.13</v>
      </c>
      <c r="D473" s="1">
        <f ca="1">IFERROR(__xludf.DUMMYFUNCTION("""COMPUTED_VALUE"""),113.55)</f>
        <v>113.55</v>
      </c>
      <c r="E473" s="1">
        <f ca="1">IFERROR(__xludf.DUMMYFUNCTION("""COMPUTED_VALUE"""),115.08)</f>
        <v>115.08</v>
      </c>
      <c r="F473" s="1">
        <f ca="1">IFERROR(__xludf.DUMMYFUNCTION("""COMPUTED_VALUE"""),51377040)</f>
        <v>51377040</v>
      </c>
    </row>
    <row r="474" spans="1:6" x14ac:dyDescent="0.35">
      <c r="A474" s="2">
        <f ca="1">IFERROR(__xludf.DUMMYFUNCTION("""COMPUTED_VALUE"""),42689.6666666666)</f>
        <v>42689.666666666599</v>
      </c>
      <c r="B474" s="1">
        <f ca="1">IFERROR(__xludf.DUMMYFUNCTION("""COMPUTED_VALUE"""),116.73)</f>
        <v>116.73</v>
      </c>
      <c r="C474" s="1">
        <f ca="1">IFERROR(__xludf.DUMMYFUNCTION("""COMPUTED_VALUE"""),118.49)</f>
        <v>118.49</v>
      </c>
      <c r="D474" s="1">
        <f ca="1">IFERROR(__xludf.DUMMYFUNCTION("""COMPUTED_VALUE"""),115.83)</f>
        <v>115.83</v>
      </c>
      <c r="E474" s="1">
        <f ca="1">IFERROR(__xludf.DUMMYFUNCTION("""COMPUTED_VALUE"""),117.2)</f>
        <v>117.2</v>
      </c>
      <c r="F474" s="1">
        <f ca="1">IFERROR(__xludf.DUMMYFUNCTION("""COMPUTED_VALUE"""),34681369)</f>
        <v>34681369</v>
      </c>
    </row>
    <row r="475" spans="1:6" x14ac:dyDescent="0.35">
      <c r="A475" s="2">
        <f ca="1">IFERROR(__xludf.DUMMYFUNCTION("""COMPUTED_VALUE"""),42690.6666666666)</f>
        <v>42690.666666666599</v>
      </c>
      <c r="B475" s="1">
        <f ca="1">IFERROR(__xludf.DUMMYFUNCTION("""COMPUTED_VALUE"""),114.48)</f>
        <v>114.48</v>
      </c>
      <c r="C475" s="1">
        <f ca="1">IFERROR(__xludf.DUMMYFUNCTION("""COMPUTED_VALUE"""),117.88)</f>
        <v>117.88</v>
      </c>
      <c r="D475" s="1">
        <f ca="1">IFERROR(__xludf.DUMMYFUNCTION("""COMPUTED_VALUE"""),114.21)</f>
        <v>114.21</v>
      </c>
      <c r="E475" s="1">
        <f ca="1">IFERROR(__xludf.DUMMYFUNCTION("""COMPUTED_VALUE"""),116.34)</f>
        <v>116.34</v>
      </c>
      <c r="F475" s="1">
        <f ca="1">IFERROR(__xludf.DUMMYFUNCTION("""COMPUTED_VALUE"""),32397947)</f>
        <v>32397947</v>
      </c>
    </row>
    <row r="476" spans="1:6" x14ac:dyDescent="0.35">
      <c r="A476" s="2">
        <f ca="1">IFERROR(__xludf.DUMMYFUNCTION("""COMPUTED_VALUE"""),42691.6666666666)</f>
        <v>42691.666666666599</v>
      </c>
      <c r="B476" s="1">
        <f ca="1">IFERROR(__xludf.DUMMYFUNCTION("""COMPUTED_VALUE"""),116.81)</f>
        <v>116.81</v>
      </c>
      <c r="C476" s="1">
        <f ca="1">IFERROR(__xludf.DUMMYFUNCTION("""COMPUTED_VALUE"""),117.79)</f>
        <v>117.79</v>
      </c>
      <c r="D476" s="1">
        <f ca="1">IFERROR(__xludf.DUMMYFUNCTION("""COMPUTED_VALUE"""),116.01)</f>
        <v>116.01</v>
      </c>
      <c r="E476" s="1">
        <f ca="1">IFERROR(__xludf.DUMMYFUNCTION("""COMPUTED_VALUE"""),117.79)</f>
        <v>117.79</v>
      </c>
      <c r="F476" s="1">
        <f ca="1">IFERROR(__xludf.DUMMYFUNCTION("""COMPUTED_VALUE"""),18597766)</f>
        <v>18597766</v>
      </c>
    </row>
    <row r="477" spans="1:6" x14ac:dyDescent="0.35">
      <c r="A477" s="2">
        <f ca="1">IFERROR(__xludf.DUMMYFUNCTION("""COMPUTED_VALUE"""),42692.6666666666)</f>
        <v>42692.666666666599</v>
      </c>
      <c r="B477" s="1">
        <f ca="1">IFERROR(__xludf.DUMMYFUNCTION("""COMPUTED_VALUE"""),118.39)</f>
        <v>118.39</v>
      </c>
      <c r="C477" s="1">
        <f ca="1">IFERROR(__xludf.DUMMYFUNCTION("""COMPUTED_VALUE"""),119.13)</f>
        <v>119.13</v>
      </c>
      <c r="D477" s="1">
        <f ca="1">IFERROR(__xludf.DUMMYFUNCTION("""COMPUTED_VALUE"""),116.84)</f>
        <v>116.84</v>
      </c>
      <c r="E477" s="1">
        <f ca="1">IFERROR(__xludf.DUMMYFUNCTION("""COMPUTED_VALUE"""),117.02)</f>
        <v>117.02</v>
      </c>
      <c r="F477" s="1">
        <f ca="1">IFERROR(__xludf.DUMMYFUNCTION("""COMPUTED_VALUE"""),22879303)</f>
        <v>22879303</v>
      </c>
    </row>
    <row r="478" spans="1:6" x14ac:dyDescent="0.35">
      <c r="A478" s="2">
        <f ca="1">IFERROR(__xludf.DUMMYFUNCTION("""COMPUTED_VALUE"""),42695.6666666666)</f>
        <v>42695.666666666599</v>
      </c>
      <c r="B478" s="1">
        <f ca="1">IFERROR(__xludf.DUMMYFUNCTION("""COMPUTED_VALUE"""),118.2)</f>
        <v>118.2</v>
      </c>
      <c r="C478" s="1">
        <f ca="1">IFERROR(__xludf.DUMMYFUNCTION("""COMPUTED_VALUE"""),121.95)</f>
        <v>121.95</v>
      </c>
      <c r="D478" s="1">
        <f ca="1">IFERROR(__xludf.DUMMYFUNCTION("""COMPUTED_VALUE"""),117.8)</f>
        <v>117.8</v>
      </c>
      <c r="E478" s="1">
        <f ca="1">IFERROR(__xludf.DUMMYFUNCTION("""COMPUTED_VALUE"""),121.77)</f>
        <v>121.77</v>
      </c>
      <c r="F478" s="1">
        <f ca="1">IFERROR(__xludf.DUMMYFUNCTION("""COMPUTED_VALUE"""),35415366)</f>
        <v>35415366</v>
      </c>
    </row>
    <row r="479" spans="1:6" x14ac:dyDescent="0.35">
      <c r="A479" s="2">
        <f ca="1">IFERROR(__xludf.DUMMYFUNCTION("""COMPUTED_VALUE"""),42696.6666666666)</f>
        <v>42696.666666666599</v>
      </c>
      <c r="B479" s="1">
        <f ca="1">IFERROR(__xludf.DUMMYFUNCTION("""COMPUTED_VALUE"""),122.4)</f>
        <v>122.4</v>
      </c>
      <c r="C479" s="1">
        <f ca="1">IFERROR(__xludf.DUMMYFUNCTION("""COMPUTED_VALUE"""),122.98)</f>
        <v>122.98</v>
      </c>
      <c r="D479" s="1">
        <f ca="1">IFERROR(__xludf.DUMMYFUNCTION("""COMPUTED_VALUE"""),120.9)</f>
        <v>120.9</v>
      </c>
      <c r="E479" s="1">
        <f ca="1">IFERROR(__xludf.DUMMYFUNCTION("""COMPUTED_VALUE"""),121.47)</f>
        <v>121.47</v>
      </c>
      <c r="F479" s="1">
        <f ca="1">IFERROR(__xludf.DUMMYFUNCTION("""COMPUTED_VALUE"""),26089163)</f>
        <v>26089163</v>
      </c>
    </row>
    <row r="480" spans="1:6" x14ac:dyDescent="0.35">
      <c r="A480" s="2">
        <f ca="1">IFERROR(__xludf.DUMMYFUNCTION("""COMPUTED_VALUE"""),42697.6666666666)</f>
        <v>42697.666666666599</v>
      </c>
      <c r="B480" s="1">
        <f ca="1">IFERROR(__xludf.DUMMYFUNCTION("""COMPUTED_VALUE"""),121.23)</f>
        <v>121.23</v>
      </c>
      <c r="C480" s="1">
        <f ca="1">IFERROR(__xludf.DUMMYFUNCTION("""COMPUTED_VALUE"""),121.31)</f>
        <v>121.31</v>
      </c>
      <c r="D480" s="1">
        <f ca="1">IFERROR(__xludf.DUMMYFUNCTION("""COMPUTED_VALUE"""),119.94)</f>
        <v>119.94</v>
      </c>
      <c r="E480" s="1">
        <f ca="1">IFERROR(__xludf.DUMMYFUNCTION("""COMPUTED_VALUE"""),120.84)</f>
        <v>120.84</v>
      </c>
      <c r="F480" s="1">
        <f ca="1">IFERROR(__xludf.DUMMYFUNCTION("""COMPUTED_VALUE"""),15672136)</f>
        <v>15672136</v>
      </c>
    </row>
    <row r="481" spans="1:6" x14ac:dyDescent="0.35">
      <c r="A481" s="2">
        <f ca="1">IFERROR(__xludf.DUMMYFUNCTION("""COMPUTED_VALUE"""),42699.6666666666)</f>
        <v>42699.666666666599</v>
      </c>
      <c r="B481" s="1">
        <f ca="1">IFERROR(__xludf.DUMMYFUNCTION("""COMPUTED_VALUE"""),121.01)</f>
        <v>121.01</v>
      </c>
      <c r="C481" s="1">
        <f ca="1">IFERROR(__xludf.DUMMYFUNCTION("""COMPUTED_VALUE"""),121.14)</f>
        <v>121.14</v>
      </c>
      <c r="D481" s="1">
        <f ca="1">IFERROR(__xludf.DUMMYFUNCTION("""COMPUTED_VALUE"""),120.07)</f>
        <v>120.07</v>
      </c>
      <c r="E481" s="1">
        <f ca="1">IFERROR(__xludf.DUMMYFUNCTION("""COMPUTED_VALUE"""),120.38)</f>
        <v>120.38</v>
      </c>
      <c r="F481" s="1">
        <f ca="1">IFERROR(__xludf.DUMMYFUNCTION("""COMPUTED_VALUE"""),8658605)</f>
        <v>8658605</v>
      </c>
    </row>
    <row r="482" spans="1:6" x14ac:dyDescent="0.35">
      <c r="A482" s="2">
        <f ca="1">IFERROR(__xludf.DUMMYFUNCTION("""COMPUTED_VALUE"""),42702.6666666666)</f>
        <v>42702.666666666599</v>
      </c>
      <c r="B482" s="1">
        <f ca="1">IFERROR(__xludf.DUMMYFUNCTION("""COMPUTED_VALUE"""),120.12)</f>
        <v>120.12</v>
      </c>
      <c r="C482" s="1">
        <f ca="1">IFERROR(__xludf.DUMMYFUNCTION("""COMPUTED_VALUE"""),121.69)</f>
        <v>121.69</v>
      </c>
      <c r="D482" s="1">
        <f ca="1">IFERROR(__xludf.DUMMYFUNCTION("""COMPUTED_VALUE"""),119.82)</f>
        <v>119.82</v>
      </c>
      <c r="E482" s="1">
        <f ca="1">IFERROR(__xludf.DUMMYFUNCTION("""COMPUTED_VALUE"""),120.41)</f>
        <v>120.41</v>
      </c>
      <c r="F482" s="1">
        <f ca="1">IFERROR(__xludf.DUMMYFUNCTION("""COMPUTED_VALUE"""),18101314)</f>
        <v>18101314</v>
      </c>
    </row>
    <row r="483" spans="1:6" x14ac:dyDescent="0.35">
      <c r="A483" s="2">
        <f ca="1">IFERROR(__xludf.DUMMYFUNCTION("""COMPUTED_VALUE"""),42703.6666666666)</f>
        <v>42703.666666666599</v>
      </c>
      <c r="B483" s="1">
        <f ca="1">IFERROR(__xludf.DUMMYFUNCTION("""COMPUTED_VALUE"""),120.57)</f>
        <v>120.57</v>
      </c>
      <c r="C483" s="1">
        <f ca="1">IFERROR(__xludf.DUMMYFUNCTION("""COMPUTED_VALUE"""),122.1)</f>
        <v>122.1</v>
      </c>
      <c r="D483" s="1">
        <f ca="1">IFERROR(__xludf.DUMMYFUNCTION("""COMPUTED_VALUE"""),120.4)</f>
        <v>120.4</v>
      </c>
      <c r="E483" s="1">
        <f ca="1">IFERROR(__xludf.DUMMYFUNCTION("""COMPUTED_VALUE"""),120.87)</f>
        <v>120.87</v>
      </c>
      <c r="F483" s="1">
        <f ca="1">IFERROR(__xludf.DUMMYFUNCTION("""COMPUTED_VALUE"""),18890956)</f>
        <v>18890956</v>
      </c>
    </row>
    <row r="484" spans="1:6" x14ac:dyDescent="0.35">
      <c r="A484" s="2">
        <f ca="1">IFERROR(__xludf.DUMMYFUNCTION("""COMPUTED_VALUE"""),42704.6666666666)</f>
        <v>42704.666666666599</v>
      </c>
      <c r="B484" s="1">
        <f ca="1">IFERROR(__xludf.DUMMYFUNCTION("""COMPUTED_VALUE"""),120.32)</f>
        <v>120.32</v>
      </c>
      <c r="C484" s="1">
        <f ca="1">IFERROR(__xludf.DUMMYFUNCTION("""COMPUTED_VALUE"""),121.79)</f>
        <v>121.79</v>
      </c>
      <c r="D484" s="1">
        <f ca="1">IFERROR(__xludf.DUMMYFUNCTION("""COMPUTED_VALUE"""),117.95)</f>
        <v>117.95</v>
      </c>
      <c r="E484" s="1">
        <f ca="1">IFERROR(__xludf.DUMMYFUNCTION("""COMPUTED_VALUE"""),118.42)</f>
        <v>118.42</v>
      </c>
      <c r="F484" s="1">
        <f ca="1">IFERROR(__xludf.DUMMYFUNCTION("""COMPUTED_VALUE"""),30188922)</f>
        <v>30188922</v>
      </c>
    </row>
    <row r="485" spans="1:6" x14ac:dyDescent="0.35">
      <c r="A485" s="2">
        <f ca="1">IFERROR(__xludf.DUMMYFUNCTION("""COMPUTED_VALUE"""),42705.6666666666)</f>
        <v>42705.666666666599</v>
      </c>
      <c r="B485" s="1">
        <f ca="1">IFERROR(__xludf.DUMMYFUNCTION("""COMPUTED_VALUE"""),118.38)</f>
        <v>118.38</v>
      </c>
      <c r="C485" s="1">
        <f ca="1">IFERROR(__xludf.DUMMYFUNCTION("""COMPUTED_VALUE"""),118.45)</f>
        <v>118.45</v>
      </c>
      <c r="D485" s="1">
        <f ca="1">IFERROR(__xludf.DUMMYFUNCTION("""COMPUTED_VALUE"""),114)</f>
        <v>114</v>
      </c>
      <c r="E485" s="1">
        <f ca="1">IFERROR(__xludf.DUMMYFUNCTION("""COMPUTED_VALUE"""),115.1)</f>
        <v>115.1</v>
      </c>
      <c r="F485" s="1">
        <f ca="1">IFERROR(__xludf.DUMMYFUNCTION("""COMPUTED_VALUE"""),43276994)</f>
        <v>43276994</v>
      </c>
    </row>
    <row r="486" spans="1:6" x14ac:dyDescent="0.35">
      <c r="A486" s="2">
        <f ca="1">IFERROR(__xludf.DUMMYFUNCTION("""COMPUTED_VALUE"""),42706.6666666666)</f>
        <v>42706.666666666599</v>
      </c>
      <c r="B486" s="1">
        <f ca="1">IFERROR(__xludf.DUMMYFUNCTION("""COMPUTED_VALUE"""),115.11)</f>
        <v>115.11</v>
      </c>
      <c r="C486" s="1">
        <f ca="1">IFERROR(__xludf.DUMMYFUNCTION("""COMPUTED_VALUE"""),116.48)</f>
        <v>116.48</v>
      </c>
      <c r="D486" s="1">
        <f ca="1">IFERROR(__xludf.DUMMYFUNCTION("""COMPUTED_VALUE"""),114.3)</f>
        <v>114.3</v>
      </c>
      <c r="E486" s="1">
        <f ca="1">IFERROR(__xludf.DUMMYFUNCTION("""COMPUTED_VALUE"""),115.4)</f>
        <v>115.4</v>
      </c>
      <c r="F486" s="1">
        <f ca="1">IFERROR(__xludf.DUMMYFUNCTION("""COMPUTED_VALUE"""),25070364)</f>
        <v>25070364</v>
      </c>
    </row>
    <row r="487" spans="1:6" x14ac:dyDescent="0.35">
      <c r="A487" s="2">
        <f ca="1">IFERROR(__xludf.DUMMYFUNCTION("""COMPUTED_VALUE"""),42709.6666666666)</f>
        <v>42709.666666666599</v>
      </c>
      <c r="B487" s="1">
        <f ca="1">IFERROR(__xludf.DUMMYFUNCTION("""COMPUTED_VALUE"""),115.95)</f>
        <v>115.95</v>
      </c>
      <c r="C487" s="1">
        <f ca="1">IFERROR(__xludf.DUMMYFUNCTION("""COMPUTED_VALUE"""),117.57)</f>
        <v>117.57</v>
      </c>
      <c r="D487" s="1">
        <f ca="1">IFERROR(__xludf.DUMMYFUNCTION("""COMPUTED_VALUE"""),115.07)</f>
        <v>115.07</v>
      </c>
      <c r="E487" s="1">
        <f ca="1">IFERROR(__xludf.DUMMYFUNCTION("""COMPUTED_VALUE"""),117.43)</f>
        <v>117.43</v>
      </c>
      <c r="F487" s="1">
        <f ca="1">IFERROR(__xludf.DUMMYFUNCTION("""COMPUTED_VALUE"""),20201528)</f>
        <v>20201528</v>
      </c>
    </row>
    <row r="488" spans="1:6" x14ac:dyDescent="0.35">
      <c r="A488" s="2">
        <f ca="1">IFERROR(__xludf.DUMMYFUNCTION("""COMPUTED_VALUE"""),42710.6666666666)</f>
        <v>42710.666666666599</v>
      </c>
      <c r="B488" s="1">
        <f ca="1">IFERROR(__xludf.DUMMYFUNCTION("""COMPUTED_VALUE"""),117.69)</f>
        <v>117.69</v>
      </c>
      <c r="C488" s="1">
        <f ca="1">IFERROR(__xludf.DUMMYFUNCTION("""COMPUTED_VALUE"""),117.8)</f>
        <v>117.8</v>
      </c>
      <c r="D488" s="1">
        <f ca="1">IFERROR(__xludf.DUMMYFUNCTION("""COMPUTED_VALUE"""),116.33)</f>
        <v>116.33</v>
      </c>
      <c r="E488" s="1">
        <f ca="1">IFERROR(__xludf.DUMMYFUNCTION("""COMPUTED_VALUE"""),117.31)</f>
        <v>117.31</v>
      </c>
      <c r="F488" s="1">
        <f ca="1">IFERROR(__xludf.DUMMYFUNCTION("""COMPUTED_VALUE"""),19131202)</f>
        <v>19131202</v>
      </c>
    </row>
    <row r="489" spans="1:6" x14ac:dyDescent="0.35">
      <c r="A489" s="2">
        <f ca="1">IFERROR(__xludf.DUMMYFUNCTION("""COMPUTED_VALUE"""),42711.6666666666)</f>
        <v>42711.666666666599</v>
      </c>
      <c r="B489" s="1">
        <f ca="1">IFERROR(__xludf.DUMMYFUNCTION("""COMPUTED_VALUE"""),117)</f>
        <v>117</v>
      </c>
      <c r="C489" s="1">
        <f ca="1">IFERROR(__xludf.DUMMYFUNCTION("""COMPUTED_VALUE"""),117.95)</f>
        <v>117.95</v>
      </c>
      <c r="D489" s="1">
        <f ca="1">IFERROR(__xludf.DUMMYFUNCTION("""COMPUTED_VALUE"""),116.57)</f>
        <v>116.57</v>
      </c>
      <c r="E489" s="1">
        <f ca="1">IFERROR(__xludf.DUMMYFUNCTION("""COMPUTED_VALUE"""),117.95)</f>
        <v>117.95</v>
      </c>
      <c r="F489" s="1">
        <f ca="1">IFERROR(__xludf.DUMMYFUNCTION("""COMPUTED_VALUE"""),21913658)</f>
        <v>21913658</v>
      </c>
    </row>
    <row r="490" spans="1:6" x14ac:dyDescent="0.35">
      <c r="A490" s="2">
        <f ca="1">IFERROR(__xludf.DUMMYFUNCTION("""COMPUTED_VALUE"""),42712.6666666666)</f>
        <v>42712.666666666599</v>
      </c>
      <c r="B490" s="1">
        <f ca="1">IFERROR(__xludf.DUMMYFUNCTION("""COMPUTED_VALUE"""),117.98)</f>
        <v>117.98</v>
      </c>
      <c r="C490" s="1">
        <f ca="1">IFERROR(__xludf.DUMMYFUNCTION("""COMPUTED_VALUE"""),119.5)</f>
        <v>119.5</v>
      </c>
      <c r="D490" s="1">
        <f ca="1">IFERROR(__xludf.DUMMYFUNCTION("""COMPUTED_VALUE"""),117.64)</f>
        <v>117.64</v>
      </c>
      <c r="E490" s="1">
        <f ca="1">IFERROR(__xludf.DUMMYFUNCTION("""COMPUTED_VALUE"""),118.91)</f>
        <v>118.91</v>
      </c>
      <c r="F490" s="1">
        <f ca="1">IFERROR(__xludf.DUMMYFUNCTION("""COMPUTED_VALUE"""),22442756)</f>
        <v>22442756</v>
      </c>
    </row>
    <row r="491" spans="1:6" x14ac:dyDescent="0.35">
      <c r="A491" s="2">
        <f ca="1">IFERROR(__xludf.DUMMYFUNCTION("""COMPUTED_VALUE"""),42713.6666666666)</f>
        <v>42713.666666666599</v>
      </c>
      <c r="B491" s="1">
        <f ca="1">IFERROR(__xludf.DUMMYFUNCTION("""COMPUTED_VALUE"""),119.22)</f>
        <v>119.22</v>
      </c>
      <c r="C491" s="1">
        <f ca="1">IFERROR(__xludf.DUMMYFUNCTION("""COMPUTED_VALUE"""),119.94)</f>
        <v>119.94</v>
      </c>
      <c r="D491" s="1">
        <f ca="1">IFERROR(__xludf.DUMMYFUNCTION("""COMPUTED_VALUE"""),118.95)</f>
        <v>118.95</v>
      </c>
      <c r="E491" s="1">
        <f ca="1">IFERROR(__xludf.DUMMYFUNCTION("""COMPUTED_VALUE"""),119.68)</f>
        <v>119.68</v>
      </c>
      <c r="F491" s="1">
        <f ca="1">IFERROR(__xludf.DUMMYFUNCTION("""COMPUTED_VALUE"""),17464736)</f>
        <v>17464736</v>
      </c>
    </row>
    <row r="492" spans="1:6" x14ac:dyDescent="0.35">
      <c r="A492" s="2">
        <f ca="1">IFERROR(__xludf.DUMMYFUNCTION("""COMPUTED_VALUE"""),42716.6666666666)</f>
        <v>42716.666666666599</v>
      </c>
      <c r="B492" s="1">
        <f ca="1">IFERROR(__xludf.DUMMYFUNCTION("""COMPUTED_VALUE"""),119.22)</f>
        <v>119.22</v>
      </c>
      <c r="C492" s="1">
        <f ca="1">IFERROR(__xludf.DUMMYFUNCTION("""COMPUTED_VALUE"""),119.24)</f>
        <v>119.24</v>
      </c>
      <c r="D492" s="1">
        <f ca="1">IFERROR(__xludf.DUMMYFUNCTION("""COMPUTED_VALUE"""),117.65)</f>
        <v>117.65</v>
      </c>
      <c r="E492" s="1">
        <f ca="1">IFERROR(__xludf.DUMMYFUNCTION("""COMPUTED_VALUE"""),117.77)</f>
        <v>117.77</v>
      </c>
      <c r="F492" s="1">
        <f ca="1">IFERROR(__xludf.DUMMYFUNCTION("""COMPUTED_VALUE"""),17805527)</f>
        <v>17805527</v>
      </c>
    </row>
    <row r="493" spans="1:6" x14ac:dyDescent="0.35">
      <c r="A493" s="2">
        <f ca="1">IFERROR(__xludf.DUMMYFUNCTION("""COMPUTED_VALUE"""),42717.6666666666)</f>
        <v>42717.666666666599</v>
      </c>
      <c r="B493" s="1">
        <f ca="1">IFERROR(__xludf.DUMMYFUNCTION("""COMPUTED_VALUE"""),117.86)</f>
        <v>117.86</v>
      </c>
      <c r="C493" s="1">
        <f ca="1">IFERROR(__xludf.DUMMYFUNCTION("""COMPUTED_VALUE"""),121.52)</f>
        <v>121.52</v>
      </c>
      <c r="D493" s="1">
        <f ca="1">IFERROR(__xludf.DUMMYFUNCTION("""COMPUTED_VALUE"""),117.61)</f>
        <v>117.61</v>
      </c>
      <c r="E493" s="1">
        <f ca="1">IFERROR(__xludf.DUMMYFUNCTION("""COMPUTED_VALUE"""),120.31)</f>
        <v>120.31</v>
      </c>
      <c r="F493" s="1">
        <f ca="1">IFERROR(__xludf.DUMMYFUNCTION("""COMPUTED_VALUE"""),29768028)</f>
        <v>29768028</v>
      </c>
    </row>
    <row r="494" spans="1:6" x14ac:dyDescent="0.35">
      <c r="A494" s="2">
        <f ca="1">IFERROR(__xludf.DUMMYFUNCTION("""COMPUTED_VALUE"""),42718.6666666666)</f>
        <v>42718.666666666599</v>
      </c>
      <c r="B494" s="1">
        <f ca="1">IFERROR(__xludf.DUMMYFUNCTION("""COMPUTED_VALUE"""),120)</f>
        <v>120</v>
      </c>
      <c r="C494" s="1">
        <f ca="1">IFERROR(__xludf.DUMMYFUNCTION("""COMPUTED_VALUE"""),121.69)</f>
        <v>121.69</v>
      </c>
      <c r="D494" s="1">
        <f ca="1">IFERROR(__xludf.DUMMYFUNCTION("""COMPUTED_VALUE"""),118.85)</f>
        <v>118.85</v>
      </c>
      <c r="E494" s="1">
        <f ca="1">IFERROR(__xludf.DUMMYFUNCTION("""COMPUTED_VALUE"""),120.21)</f>
        <v>120.21</v>
      </c>
      <c r="F494" s="1">
        <f ca="1">IFERROR(__xludf.DUMMYFUNCTION("""COMPUTED_VALUE"""),25913095)</f>
        <v>25913095</v>
      </c>
    </row>
    <row r="495" spans="1:6" x14ac:dyDescent="0.35">
      <c r="A495" s="2">
        <f ca="1">IFERROR(__xludf.DUMMYFUNCTION("""COMPUTED_VALUE"""),42719.6666666666)</f>
        <v>42719.666666666599</v>
      </c>
      <c r="B495" s="1">
        <f ca="1">IFERROR(__xludf.DUMMYFUNCTION("""COMPUTED_VALUE"""),120.08)</f>
        <v>120.08</v>
      </c>
      <c r="C495" s="1">
        <f ca="1">IFERROR(__xludf.DUMMYFUNCTION("""COMPUTED_VALUE"""),122.5)</f>
        <v>122.5</v>
      </c>
      <c r="D495" s="1">
        <f ca="1">IFERROR(__xludf.DUMMYFUNCTION("""COMPUTED_VALUE"""),119.63)</f>
        <v>119.63</v>
      </c>
      <c r="E495" s="1">
        <f ca="1">IFERROR(__xludf.DUMMYFUNCTION("""COMPUTED_VALUE"""),120.57)</f>
        <v>120.57</v>
      </c>
      <c r="F495" s="1">
        <f ca="1">IFERROR(__xludf.DUMMYFUNCTION("""COMPUTED_VALUE"""),20139568)</f>
        <v>20139568</v>
      </c>
    </row>
    <row r="496" spans="1:6" x14ac:dyDescent="0.35">
      <c r="A496" s="2">
        <f ca="1">IFERROR(__xludf.DUMMYFUNCTION("""COMPUTED_VALUE"""),42720.6666666666)</f>
        <v>42720.666666666599</v>
      </c>
      <c r="B496" s="1">
        <f ca="1">IFERROR(__xludf.DUMMYFUNCTION("""COMPUTED_VALUE"""),120.9)</f>
        <v>120.9</v>
      </c>
      <c r="C496" s="1">
        <f ca="1">IFERROR(__xludf.DUMMYFUNCTION("""COMPUTED_VALUE"""),121.5)</f>
        <v>121.5</v>
      </c>
      <c r="D496" s="1">
        <f ca="1">IFERROR(__xludf.DUMMYFUNCTION("""COMPUTED_VALUE"""),119.27)</f>
        <v>119.27</v>
      </c>
      <c r="E496" s="1">
        <f ca="1">IFERROR(__xludf.DUMMYFUNCTION("""COMPUTED_VALUE"""),119.87)</f>
        <v>119.87</v>
      </c>
      <c r="F496" s="1">
        <f ca="1">IFERROR(__xludf.DUMMYFUNCTION("""COMPUTED_VALUE"""),25324299)</f>
        <v>25324299</v>
      </c>
    </row>
    <row r="497" spans="1:6" x14ac:dyDescent="0.35">
      <c r="A497" s="2">
        <f ca="1">IFERROR(__xludf.DUMMYFUNCTION("""COMPUTED_VALUE"""),42723.6666666666)</f>
        <v>42723.666666666599</v>
      </c>
      <c r="B497" s="1">
        <f ca="1">IFERROR(__xludf.DUMMYFUNCTION("""COMPUTED_VALUE"""),119.85)</f>
        <v>119.85</v>
      </c>
      <c r="C497" s="1">
        <f ca="1">IFERROR(__xludf.DUMMYFUNCTION("""COMPUTED_VALUE"""),120.36)</f>
        <v>120.36</v>
      </c>
      <c r="D497" s="1">
        <f ca="1">IFERROR(__xludf.DUMMYFUNCTION("""COMPUTED_VALUE"""),118.51)</f>
        <v>118.51</v>
      </c>
      <c r="E497" s="1">
        <f ca="1">IFERROR(__xludf.DUMMYFUNCTION("""COMPUTED_VALUE"""),119.24)</f>
        <v>119.24</v>
      </c>
      <c r="F497" s="1">
        <f ca="1">IFERROR(__xludf.DUMMYFUNCTION("""COMPUTED_VALUE"""),15918146)</f>
        <v>15918146</v>
      </c>
    </row>
    <row r="498" spans="1:6" x14ac:dyDescent="0.35">
      <c r="A498" s="2">
        <f ca="1">IFERROR(__xludf.DUMMYFUNCTION("""COMPUTED_VALUE"""),42724.6666666666)</f>
        <v>42724.666666666599</v>
      </c>
      <c r="B498" s="1">
        <f ca="1">IFERROR(__xludf.DUMMYFUNCTION("""COMPUTED_VALUE"""),119.5)</f>
        <v>119.5</v>
      </c>
      <c r="C498" s="1">
        <f ca="1">IFERROR(__xludf.DUMMYFUNCTION("""COMPUTED_VALUE"""),119.77)</f>
        <v>119.77</v>
      </c>
      <c r="D498" s="1">
        <f ca="1">IFERROR(__xludf.DUMMYFUNCTION("""COMPUTED_VALUE"""),118.8)</f>
        <v>118.8</v>
      </c>
      <c r="E498" s="1">
        <f ca="1">IFERROR(__xludf.DUMMYFUNCTION("""COMPUTED_VALUE"""),119.09)</f>
        <v>119.09</v>
      </c>
      <c r="F498" s="1">
        <f ca="1">IFERROR(__xludf.DUMMYFUNCTION("""COMPUTED_VALUE"""),13684402)</f>
        <v>13684402</v>
      </c>
    </row>
    <row r="499" spans="1:6" x14ac:dyDescent="0.35">
      <c r="A499" s="2">
        <f ca="1">IFERROR(__xludf.DUMMYFUNCTION("""COMPUTED_VALUE"""),42725.6666666666)</f>
        <v>42725.666666666599</v>
      </c>
      <c r="B499" s="1">
        <f ca="1">IFERROR(__xludf.DUMMYFUNCTION("""COMPUTED_VALUE"""),118.92)</f>
        <v>118.92</v>
      </c>
      <c r="C499" s="1">
        <f ca="1">IFERROR(__xludf.DUMMYFUNCTION("""COMPUTED_VALUE"""),119.2)</f>
        <v>119.2</v>
      </c>
      <c r="D499" s="1">
        <f ca="1">IFERROR(__xludf.DUMMYFUNCTION("""COMPUTED_VALUE"""),118.48)</f>
        <v>118.48</v>
      </c>
      <c r="E499" s="1">
        <f ca="1">IFERROR(__xludf.DUMMYFUNCTION("""COMPUTED_VALUE"""),119.04)</f>
        <v>119.04</v>
      </c>
      <c r="F499" s="1">
        <f ca="1">IFERROR(__xludf.DUMMYFUNCTION("""COMPUTED_VALUE"""),10767646)</f>
        <v>10767646</v>
      </c>
    </row>
    <row r="500" spans="1:6" x14ac:dyDescent="0.35">
      <c r="A500" s="2">
        <f ca="1">IFERROR(__xludf.DUMMYFUNCTION("""COMPUTED_VALUE"""),42726.6666666666)</f>
        <v>42726.666666666599</v>
      </c>
      <c r="B500" s="1">
        <f ca="1">IFERROR(__xludf.DUMMYFUNCTION("""COMPUTED_VALUE"""),118.86)</f>
        <v>118.86</v>
      </c>
      <c r="C500" s="1">
        <f ca="1">IFERROR(__xludf.DUMMYFUNCTION("""COMPUTED_VALUE"""),118.99)</f>
        <v>118.99</v>
      </c>
      <c r="D500" s="1">
        <f ca="1">IFERROR(__xludf.DUMMYFUNCTION("""COMPUTED_VALUE"""),116.93)</f>
        <v>116.93</v>
      </c>
      <c r="E500" s="1">
        <f ca="1">IFERROR(__xludf.DUMMYFUNCTION("""COMPUTED_VALUE"""),117.4)</f>
        <v>117.4</v>
      </c>
      <c r="F500" s="1">
        <f ca="1">IFERROR(__xludf.DUMMYFUNCTION("""COMPUTED_VALUE"""),16258587)</f>
        <v>16258587</v>
      </c>
    </row>
    <row r="501" spans="1:6" x14ac:dyDescent="0.35">
      <c r="A501" s="2">
        <f ca="1">IFERROR(__xludf.DUMMYFUNCTION("""COMPUTED_VALUE"""),42727.6666666666)</f>
        <v>42727.666666666599</v>
      </c>
      <c r="B501" s="1">
        <f ca="1">IFERROR(__xludf.DUMMYFUNCTION("""COMPUTED_VALUE"""),117)</f>
        <v>117</v>
      </c>
      <c r="C501" s="1">
        <f ca="1">IFERROR(__xludf.DUMMYFUNCTION("""COMPUTED_VALUE"""),117.56)</f>
        <v>117.56</v>
      </c>
      <c r="D501" s="1">
        <f ca="1">IFERROR(__xludf.DUMMYFUNCTION("""COMPUTED_VALUE"""),116.3)</f>
        <v>116.3</v>
      </c>
      <c r="E501" s="1">
        <f ca="1">IFERROR(__xludf.DUMMYFUNCTION("""COMPUTED_VALUE"""),117.27)</f>
        <v>117.27</v>
      </c>
      <c r="F501" s="1">
        <f ca="1">IFERROR(__xludf.DUMMYFUNCTION("""COMPUTED_VALUE"""),10889985)</f>
        <v>10889985</v>
      </c>
    </row>
    <row r="502" spans="1:6" x14ac:dyDescent="0.35">
      <c r="A502" s="2">
        <f ca="1">IFERROR(__xludf.DUMMYFUNCTION("""COMPUTED_VALUE"""),42731.6666666666)</f>
        <v>42731.666666666599</v>
      </c>
      <c r="B502" s="1">
        <f ca="1">IFERROR(__xludf.DUMMYFUNCTION("""COMPUTED_VALUE"""),116.96)</f>
        <v>116.96</v>
      </c>
      <c r="C502" s="1">
        <f ca="1">IFERROR(__xludf.DUMMYFUNCTION("""COMPUTED_VALUE"""),118.68)</f>
        <v>118.68</v>
      </c>
      <c r="D502" s="1">
        <f ca="1">IFERROR(__xludf.DUMMYFUNCTION("""COMPUTED_VALUE"""),116.86)</f>
        <v>116.86</v>
      </c>
      <c r="E502" s="1">
        <f ca="1">IFERROR(__xludf.DUMMYFUNCTION("""COMPUTED_VALUE"""),118.01)</f>
        <v>118.01</v>
      </c>
      <c r="F502" s="1">
        <f ca="1">IFERROR(__xludf.DUMMYFUNCTION("""COMPUTED_VALUE"""),12051481)</f>
        <v>12051481</v>
      </c>
    </row>
    <row r="503" spans="1:6" x14ac:dyDescent="0.35">
      <c r="A503" s="2">
        <f ca="1">IFERROR(__xludf.DUMMYFUNCTION("""COMPUTED_VALUE"""),42732.6666666666)</f>
        <v>42732.666666666599</v>
      </c>
      <c r="B503" s="1">
        <f ca="1">IFERROR(__xludf.DUMMYFUNCTION("""COMPUTED_VALUE"""),118.19)</f>
        <v>118.19</v>
      </c>
      <c r="C503" s="1">
        <f ca="1">IFERROR(__xludf.DUMMYFUNCTION("""COMPUTED_VALUE"""),118.25)</f>
        <v>118.25</v>
      </c>
      <c r="D503" s="1">
        <f ca="1">IFERROR(__xludf.DUMMYFUNCTION("""COMPUTED_VALUE"""),116.65)</f>
        <v>116.65</v>
      </c>
      <c r="E503" s="1">
        <f ca="1">IFERROR(__xludf.DUMMYFUNCTION("""COMPUTED_VALUE"""),116.92)</f>
        <v>116.92</v>
      </c>
      <c r="F503" s="1">
        <f ca="1">IFERROR(__xludf.DUMMYFUNCTION("""COMPUTED_VALUE"""),12087377)</f>
        <v>12087377</v>
      </c>
    </row>
    <row r="504" spans="1:6" x14ac:dyDescent="0.35">
      <c r="A504" s="2">
        <f ca="1">IFERROR(__xludf.DUMMYFUNCTION("""COMPUTED_VALUE"""),42733.6666666666)</f>
        <v>42733.666666666599</v>
      </c>
      <c r="B504" s="1">
        <f ca="1">IFERROR(__xludf.DUMMYFUNCTION("""COMPUTED_VALUE"""),117)</f>
        <v>117</v>
      </c>
      <c r="C504" s="1">
        <f ca="1">IFERROR(__xludf.DUMMYFUNCTION("""COMPUTED_VALUE"""),117.53)</f>
        <v>117.53</v>
      </c>
      <c r="D504" s="1">
        <f ca="1">IFERROR(__xludf.DUMMYFUNCTION("""COMPUTED_VALUE"""),116.06)</f>
        <v>116.06</v>
      </c>
      <c r="E504" s="1">
        <f ca="1">IFERROR(__xludf.DUMMYFUNCTION("""COMPUTED_VALUE"""),116.35)</f>
        <v>116.35</v>
      </c>
      <c r="F504" s="1">
        <f ca="1">IFERROR(__xludf.DUMMYFUNCTION("""COMPUTED_VALUE"""),9934873)</f>
        <v>9934873</v>
      </c>
    </row>
    <row r="505" spans="1:6" x14ac:dyDescent="0.35">
      <c r="A505" s="2">
        <f ca="1">IFERROR(__xludf.DUMMYFUNCTION("""COMPUTED_VALUE"""),42734.6666666666)</f>
        <v>42734.666666666599</v>
      </c>
      <c r="B505" s="1">
        <f ca="1">IFERROR(__xludf.DUMMYFUNCTION("""COMPUTED_VALUE"""),116.6)</f>
        <v>116.6</v>
      </c>
      <c r="C505" s="1">
        <f ca="1">IFERROR(__xludf.DUMMYFUNCTION("""COMPUTED_VALUE"""),116.83)</f>
        <v>116.83</v>
      </c>
      <c r="D505" s="1">
        <f ca="1">IFERROR(__xludf.DUMMYFUNCTION("""COMPUTED_VALUE"""),114.77)</f>
        <v>114.77</v>
      </c>
      <c r="E505" s="1">
        <f ca="1">IFERROR(__xludf.DUMMYFUNCTION("""COMPUTED_VALUE"""),115.05)</f>
        <v>115.05</v>
      </c>
      <c r="F505" s="1">
        <f ca="1">IFERROR(__xludf.DUMMYFUNCTION("""COMPUTED_VALUE"""),18684106)</f>
        <v>18684106</v>
      </c>
    </row>
    <row r="506" spans="1:6" x14ac:dyDescent="0.35">
      <c r="A506" s="2">
        <f ca="1">IFERROR(__xludf.DUMMYFUNCTION("""COMPUTED_VALUE"""),42738.6666666666)</f>
        <v>42738.666666666599</v>
      </c>
      <c r="B506" s="1">
        <f ca="1">IFERROR(__xludf.DUMMYFUNCTION("""COMPUTED_VALUE"""),116.03)</f>
        <v>116.03</v>
      </c>
      <c r="C506" s="1">
        <f ca="1">IFERROR(__xludf.DUMMYFUNCTION("""COMPUTED_VALUE"""),117.84)</f>
        <v>117.84</v>
      </c>
      <c r="D506" s="1">
        <f ca="1">IFERROR(__xludf.DUMMYFUNCTION("""COMPUTED_VALUE"""),115.51)</f>
        <v>115.51</v>
      </c>
      <c r="E506" s="1">
        <f ca="1">IFERROR(__xludf.DUMMYFUNCTION("""COMPUTED_VALUE"""),116.86)</f>
        <v>116.86</v>
      </c>
      <c r="F506" s="1">
        <f ca="1">IFERROR(__xludf.DUMMYFUNCTION("""COMPUTED_VALUE"""),20663912)</f>
        <v>20663912</v>
      </c>
    </row>
    <row r="507" spans="1:6" x14ac:dyDescent="0.35">
      <c r="A507" s="2">
        <f ca="1">IFERROR(__xludf.DUMMYFUNCTION("""COMPUTED_VALUE"""),42739.6666666666)</f>
        <v>42739.666666666599</v>
      </c>
      <c r="B507" s="1">
        <f ca="1">IFERROR(__xludf.DUMMYFUNCTION("""COMPUTED_VALUE"""),117.55)</f>
        <v>117.55</v>
      </c>
      <c r="C507" s="1">
        <f ca="1">IFERROR(__xludf.DUMMYFUNCTION("""COMPUTED_VALUE"""),119.66)</f>
        <v>119.66</v>
      </c>
      <c r="D507" s="1">
        <f ca="1">IFERROR(__xludf.DUMMYFUNCTION("""COMPUTED_VALUE"""),117.29)</f>
        <v>117.29</v>
      </c>
      <c r="E507" s="1">
        <f ca="1">IFERROR(__xludf.DUMMYFUNCTION("""COMPUTED_VALUE"""),118.69)</f>
        <v>118.69</v>
      </c>
      <c r="F507" s="1">
        <f ca="1">IFERROR(__xludf.DUMMYFUNCTION("""COMPUTED_VALUE"""),19630932)</f>
        <v>19630932</v>
      </c>
    </row>
    <row r="508" spans="1:6" x14ac:dyDescent="0.35">
      <c r="A508" s="2">
        <f ca="1">IFERROR(__xludf.DUMMYFUNCTION("""COMPUTED_VALUE"""),42740.6666666666)</f>
        <v>42740.666666666599</v>
      </c>
      <c r="B508" s="1">
        <f ca="1">IFERROR(__xludf.DUMMYFUNCTION("""COMPUTED_VALUE"""),118.86)</f>
        <v>118.86</v>
      </c>
      <c r="C508" s="1">
        <f ca="1">IFERROR(__xludf.DUMMYFUNCTION("""COMPUTED_VALUE"""),120.95)</f>
        <v>120.95</v>
      </c>
      <c r="D508" s="1">
        <f ca="1">IFERROR(__xludf.DUMMYFUNCTION("""COMPUTED_VALUE"""),118.32)</f>
        <v>118.32</v>
      </c>
      <c r="E508" s="1">
        <f ca="1">IFERROR(__xludf.DUMMYFUNCTION("""COMPUTED_VALUE"""),120.67)</f>
        <v>120.67</v>
      </c>
      <c r="F508" s="1">
        <f ca="1">IFERROR(__xludf.DUMMYFUNCTION("""COMPUTED_VALUE"""),19492150)</f>
        <v>19492150</v>
      </c>
    </row>
    <row r="509" spans="1:6" x14ac:dyDescent="0.35">
      <c r="A509" s="2">
        <f ca="1">IFERROR(__xludf.DUMMYFUNCTION("""COMPUTED_VALUE"""),42741.6666666666)</f>
        <v>42741.666666666599</v>
      </c>
      <c r="B509" s="1">
        <f ca="1">IFERROR(__xludf.DUMMYFUNCTION("""COMPUTED_VALUE"""),120.98)</f>
        <v>120.98</v>
      </c>
      <c r="C509" s="1">
        <f ca="1">IFERROR(__xludf.DUMMYFUNCTION("""COMPUTED_VALUE"""),123.88)</f>
        <v>123.88</v>
      </c>
      <c r="D509" s="1">
        <f ca="1">IFERROR(__xludf.DUMMYFUNCTION("""COMPUTED_VALUE"""),120.03)</f>
        <v>120.03</v>
      </c>
      <c r="E509" s="1">
        <f ca="1">IFERROR(__xludf.DUMMYFUNCTION("""COMPUTED_VALUE"""),123.41)</f>
        <v>123.41</v>
      </c>
      <c r="F509" s="1">
        <f ca="1">IFERROR(__xludf.DUMMYFUNCTION("""COMPUTED_VALUE"""),28545263)</f>
        <v>28545263</v>
      </c>
    </row>
    <row r="510" spans="1:6" x14ac:dyDescent="0.35">
      <c r="A510" s="2">
        <f ca="1">IFERROR(__xludf.DUMMYFUNCTION("""COMPUTED_VALUE"""),42744.6666666666)</f>
        <v>42744.666666666599</v>
      </c>
      <c r="B510" s="1">
        <f ca="1">IFERROR(__xludf.DUMMYFUNCTION("""COMPUTED_VALUE"""),123.55)</f>
        <v>123.55</v>
      </c>
      <c r="C510" s="1">
        <f ca="1">IFERROR(__xludf.DUMMYFUNCTION("""COMPUTED_VALUE"""),125.43)</f>
        <v>125.43</v>
      </c>
      <c r="D510" s="1">
        <f ca="1">IFERROR(__xludf.DUMMYFUNCTION("""COMPUTED_VALUE"""),123.04)</f>
        <v>123.04</v>
      </c>
      <c r="E510" s="1">
        <f ca="1">IFERROR(__xludf.DUMMYFUNCTION("""COMPUTED_VALUE"""),124.9)</f>
        <v>124.9</v>
      </c>
      <c r="F510" s="1">
        <f ca="1">IFERROR(__xludf.DUMMYFUNCTION("""COMPUTED_VALUE"""),22880360)</f>
        <v>22880360</v>
      </c>
    </row>
    <row r="511" spans="1:6" x14ac:dyDescent="0.35">
      <c r="A511" s="2">
        <f ca="1">IFERROR(__xludf.DUMMYFUNCTION("""COMPUTED_VALUE"""),42745.6666666666)</f>
        <v>42745.666666666599</v>
      </c>
      <c r="B511" s="1">
        <f ca="1">IFERROR(__xludf.DUMMYFUNCTION("""COMPUTED_VALUE"""),124.82)</f>
        <v>124.82</v>
      </c>
      <c r="C511" s="1">
        <f ca="1">IFERROR(__xludf.DUMMYFUNCTION("""COMPUTED_VALUE"""),125.5)</f>
        <v>125.5</v>
      </c>
      <c r="D511" s="1">
        <f ca="1">IFERROR(__xludf.DUMMYFUNCTION("""COMPUTED_VALUE"""),124.28)</f>
        <v>124.28</v>
      </c>
      <c r="E511" s="1">
        <f ca="1">IFERROR(__xludf.DUMMYFUNCTION("""COMPUTED_VALUE"""),124.35)</f>
        <v>124.35</v>
      </c>
      <c r="F511" s="1">
        <f ca="1">IFERROR(__xludf.DUMMYFUNCTION("""COMPUTED_VALUE"""),17324590)</f>
        <v>17324590</v>
      </c>
    </row>
    <row r="512" spans="1:6" x14ac:dyDescent="0.35">
      <c r="A512" s="2">
        <f ca="1">IFERROR(__xludf.DUMMYFUNCTION("""COMPUTED_VALUE"""),42746.6666666666)</f>
        <v>42746.666666666599</v>
      </c>
      <c r="B512" s="1">
        <f ca="1">IFERROR(__xludf.DUMMYFUNCTION("""COMPUTED_VALUE"""),124.35)</f>
        <v>124.35</v>
      </c>
      <c r="C512" s="1">
        <f ca="1">IFERROR(__xludf.DUMMYFUNCTION("""COMPUTED_VALUE"""),126.12)</f>
        <v>126.12</v>
      </c>
      <c r="D512" s="1">
        <f ca="1">IFERROR(__xludf.DUMMYFUNCTION("""COMPUTED_VALUE"""),124.06)</f>
        <v>124.06</v>
      </c>
      <c r="E512" s="1">
        <f ca="1">IFERROR(__xludf.DUMMYFUNCTION("""COMPUTED_VALUE"""),126.09)</f>
        <v>126.09</v>
      </c>
      <c r="F512" s="1">
        <f ca="1">IFERROR(__xludf.DUMMYFUNCTION("""COMPUTED_VALUE"""),18356523)</f>
        <v>18356523</v>
      </c>
    </row>
    <row r="513" spans="1:6" x14ac:dyDescent="0.35">
      <c r="A513" s="2">
        <f ca="1">IFERROR(__xludf.DUMMYFUNCTION("""COMPUTED_VALUE"""),42747.6666666666)</f>
        <v>42747.666666666599</v>
      </c>
      <c r="B513" s="1">
        <f ca="1">IFERROR(__xludf.DUMMYFUNCTION("""COMPUTED_VALUE"""),125.61)</f>
        <v>125.61</v>
      </c>
      <c r="C513" s="1">
        <f ca="1">IFERROR(__xludf.DUMMYFUNCTION("""COMPUTED_VALUE"""),126.73)</f>
        <v>126.73</v>
      </c>
      <c r="D513" s="1">
        <f ca="1">IFERROR(__xludf.DUMMYFUNCTION("""COMPUTED_VALUE"""),124.8)</f>
        <v>124.8</v>
      </c>
      <c r="E513" s="1">
        <f ca="1">IFERROR(__xludf.DUMMYFUNCTION("""COMPUTED_VALUE"""),126.62)</f>
        <v>126.62</v>
      </c>
      <c r="F513" s="1">
        <f ca="1">IFERROR(__xludf.DUMMYFUNCTION("""COMPUTED_VALUE"""),18653914)</f>
        <v>18653914</v>
      </c>
    </row>
    <row r="514" spans="1:6" x14ac:dyDescent="0.35">
      <c r="A514" s="2">
        <f ca="1">IFERROR(__xludf.DUMMYFUNCTION("""COMPUTED_VALUE"""),42748.6666666666)</f>
        <v>42748.666666666599</v>
      </c>
      <c r="B514" s="1">
        <f ca="1">IFERROR(__xludf.DUMMYFUNCTION("""COMPUTED_VALUE"""),127.49)</f>
        <v>127.49</v>
      </c>
      <c r="C514" s="1">
        <f ca="1">IFERROR(__xludf.DUMMYFUNCTION("""COMPUTED_VALUE"""),129.27)</f>
        <v>129.27000000000001</v>
      </c>
      <c r="D514" s="1">
        <f ca="1">IFERROR(__xludf.DUMMYFUNCTION("""COMPUTED_VALUE"""),127.37)</f>
        <v>127.37</v>
      </c>
      <c r="E514" s="1">
        <f ca="1">IFERROR(__xludf.DUMMYFUNCTION("""COMPUTED_VALUE"""),128.34)</f>
        <v>128.34</v>
      </c>
      <c r="F514" s="1">
        <f ca="1">IFERROR(__xludf.DUMMYFUNCTION("""COMPUTED_VALUE"""),24884325)</f>
        <v>24884325</v>
      </c>
    </row>
    <row r="515" spans="1:6" x14ac:dyDescent="0.35">
      <c r="A515" s="2">
        <f ca="1">IFERROR(__xludf.DUMMYFUNCTION("""COMPUTED_VALUE"""),42752.6666666666)</f>
        <v>42752.666666666599</v>
      </c>
      <c r="B515" s="1">
        <f ca="1">IFERROR(__xludf.DUMMYFUNCTION("""COMPUTED_VALUE"""),128.04)</f>
        <v>128.04</v>
      </c>
      <c r="C515" s="1">
        <f ca="1">IFERROR(__xludf.DUMMYFUNCTION("""COMPUTED_VALUE"""),128.34)</f>
        <v>128.34</v>
      </c>
      <c r="D515" s="1">
        <f ca="1">IFERROR(__xludf.DUMMYFUNCTION("""COMPUTED_VALUE"""),127.4)</f>
        <v>127.4</v>
      </c>
      <c r="E515" s="1">
        <f ca="1">IFERROR(__xludf.DUMMYFUNCTION("""COMPUTED_VALUE"""),127.87)</f>
        <v>127.87</v>
      </c>
      <c r="F515" s="1">
        <f ca="1">IFERROR(__xludf.DUMMYFUNCTION("""COMPUTED_VALUE"""),15294460)</f>
        <v>15294460</v>
      </c>
    </row>
    <row r="516" spans="1:6" x14ac:dyDescent="0.35">
      <c r="A516" s="2">
        <f ca="1">IFERROR(__xludf.DUMMYFUNCTION("""COMPUTED_VALUE"""),42753.6666666666)</f>
        <v>42753.666666666599</v>
      </c>
      <c r="B516" s="1">
        <f ca="1">IFERROR(__xludf.DUMMYFUNCTION("""COMPUTED_VALUE"""),128.41)</f>
        <v>128.41</v>
      </c>
      <c r="C516" s="1">
        <f ca="1">IFERROR(__xludf.DUMMYFUNCTION("""COMPUTED_VALUE"""),128.43)</f>
        <v>128.43</v>
      </c>
      <c r="D516" s="1">
        <f ca="1">IFERROR(__xludf.DUMMYFUNCTION("""COMPUTED_VALUE"""),126.84)</f>
        <v>126.84</v>
      </c>
      <c r="E516" s="1">
        <f ca="1">IFERROR(__xludf.DUMMYFUNCTION("""COMPUTED_VALUE"""),127.92)</f>
        <v>127.92</v>
      </c>
      <c r="F516" s="1">
        <f ca="1">IFERROR(__xludf.DUMMYFUNCTION("""COMPUTED_VALUE"""),13145852)</f>
        <v>13145852</v>
      </c>
    </row>
    <row r="517" spans="1:6" x14ac:dyDescent="0.35">
      <c r="A517" s="2">
        <f ca="1">IFERROR(__xludf.DUMMYFUNCTION("""COMPUTED_VALUE"""),42754.6666666666)</f>
        <v>42754.666666666599</v>
      </c>
      <c r="B517" s="1">
        <f ca="1">IFERROR(__xludf.DUMMYFUNCTION("""COMPUTED_VALUE"""),128.23)</f>
        <v>128.22999999999999</v>
      </c>
      <c r="C517" s="1">
        <f ca="1">IFERROR(__xludf.DUMMYFUNCTION("""COMPUTED_VALUE"""),128.35)</f>
        <v>128.35</v>
      </c>
      <c r="D517" s="1">
        <f ca="1">IFERROR(__xludf.DUMMYFUNCTION("""COMPUTED_VALUE"""),127.45)</f>
        <v>127.45</v>
      </c>
      <c r="E517" s="1">
        <f ca="1">IFERROR(__xludf.DUMMYFUNCTION("""COMPUTED_VALUE"""),127.55)</f>
        <v>127.55</v>
      </c>
      <c r="F517" s="1">
        <f ca="1">IFERROR(__xludf.DUMMYFUNCTION("""COMPUTED_VALUE"""),12195465)</f>
        <v>12195465</v>
      </c>
    </row>
    <row r="518" spans="1:6" x14ac:dyDescent="0.35">
      <c r="A518" s="2">
        <f ca="1">IFERROR(__xludf.DUMMYFUNCTION("""COMPUTED_VALUE"""),42755.6666666666)</f>
        <v>42755.666666666599</v>
      </c>
      <c r="B518" s="1">
        <f ca="1">IFERROR(__xludf.DUMMYFUNCTION("""COMPUTED_VALUE"""),128.1)</f>
        <v>128.1</v>
      </c>
      <c r="C518" s="1">
        <f ca="1">IFERROR(__xludf.DUMMYFUNCTION("""COMPUTED_VALUE"""),128.48)</f>
        <v>128.47999999999999</v>
      </c>
      <c r="D518" s="1">
        <f ca="1">IFERROR(__xludf.DUMMYFUNCTION("""COMPUTED_VALUE"""),126.78)</f>
        <v>126.78</v>
      </c>
      <c r="E518" s="1">
        <f ca="1">IFERROR(__xludf.DUMMYFUNCTION("""COMPUTED_VALUE"""),127.04)</f>
        <v>127.04</v>
      </c>
      <c r="F518" s="1">
        <f ca="1">IFERROR(__xludf.DUMMYFUNCTION("""COMPUTED_VALUE"""),19097223)</f>
        <v>19097223</v>
      </c>
    </row>
    <row r="519" spans="1:6" x14ac:dyDescent="0.35">
      <c r="A519" s="2">
        <f ca="1">IFERROR(__xludf.DUMMYFUNCTION("""COMPUTED_VALUE"""),42758.6666666666)</f>
        <v>42758.666666666599</v>
      </c>
      <c r="B519" s="1">
        <f ca="1">IFERROR(__xludf.DUMMYFUNCTION("""COMPUTED_VALUE"""),127.31)</f>
        <v>127.31</v>
      </c>
      <c r="C519" s="1">
        <f ca="1">IFERROR(__xludf.DUMMYFUNCTION("""COMPUTED_VALUE"""),129.25)</f>
        <v>129.25</v>
      </c>
      <c r="D519" s="1">
        <f ca="1">IFERROR(__xludf.DUMMYFUNCTION("""COMPUTED_VALUE"""),126.95)</f>
        <v>126.95</v>
      </c>
      <c r="E519" s="1">
        <f ca="1">IFERROR(__xludf.DUMMYFUNCTION("""COMPUTED_VALUE"""),128.93)</f>
        <v>128.93</v>
      </c>
      <c r="F519" s="1">
        <f ca="1">IFERROR(__xludf.DUMMYFUNCTION("""COMPUTED_VALUE"""),16593563)</f>
        <v>16593563</v>
      </c>
    </row>
    <row r="520" spans="1:6" x14ac:dyDescent="0.35">
      <c r="A520" s="2">
        <f ca="1">IFERROR(__xludf.DUMMYFUNCTION("""COMPUTED_VALUE"""),42759.6666666666)</f>
        <v>42759.666666666599</v>
      </c>
      <c r="B520" s="1">
        <f ca="1">IFERROR(__xludf.DUMMYFUNCTION("""COMPUTED_VALUE"""),129.38)</f>
        <v>129.38</v>
      </c>
      <c r="C520" s="1">
        <f ca="1">IFERROR(__xludf.DUMMYFUNCTION("""COMPUTED_VALUE"""),129.9)</f>
        <v>129.9</v>
      </c>
      <c r="D520" s="1">
        <f ca="1">IFERROR(__xludf.DUMMYFUNCTION("""COMPUTED_VALUE"""),128.38)</f>
        <v>128.38</v>
      </c>
      <c r="E520" s="1">
        <f ca="1">IFERROR(__xludf.DUMMYFUNCTION("""COMPUTED_VALUE"""),129.37)</f>
        <v>129.37</v>
      </c>
      <c r="F520" s="1">
        <f ca="1">IFERROR(__xludf.DUMMYFUNCTION("""COMPUTED_VALUE"""),15162724)</f>
        <v>15162724</v>
      </c>
    </row>
    <row r="521" spans="1:6" x14ac:dyDescent="0.35">
      <c r="A521" s="2">
        <f ca="1">IFERROR(__xludf.DUMMYFUNCTION("""COMPUTED_VALUE"""),42760.6666666666)</f>
        <v>42760.666666666599</v>
      </c>
      <c r="B521" s="1">
        <f ca="1">IFERROR(__xludf.DUMMYFUNCTION("""COMPUTED_VALUE"""),130)</f>
        <v>130</v>
      </c>
      <c r="C521" s="1">
        <f ca="1">IFERROR(__xludf.DUMMYFUNCTION("""COMPUTED_VALUE"""),131.74)</f>
        <v>131.74</v>
      </c>
      <c r="D521" s="1">
        <f ca="1">IFERROR(__xludf.DUMMYFUNCTION("""COMPUTED_VALUE"""),129.77)</f>
        <v>129.77000000000001</v>
      </c>
      <c r="E521" s="1">
        <f ca="1">IFERROR(__xludf.DUMMYFUNCTION("""COMPUTED_VALUE"""),131.48)</f>
        <v>131.47999999999999</v>
      </c>
      <c r="F521" s="1">
        <f ca="1">IFERROR(__xludf.DUMMYFUNCTION("""COMPUTED_VALUE"""),18777314)</f>
        <v>18777314</v>
      </c>
    </row>
    <row r="522" spans="1:6" x14ac:dyDescent="0.35">
      <c r="A522" s="2">
        <f ca="1">IFERROR(__xludf.DUMMYFUNCTION("""COMPUTED_VALUE"""),42761.6666666666)</f>
        <v>42761.666666666599</v>
      </c>
      <c r="B522" s="1">
        <f ca="1">IFERROR(__xludf.DUMMYFUNCTION("""COMPUTED_VALUE"""),131.63)</f>
        <v>131.63</v>
      </c>
      <c r="C522" s="1">
        <f ca="1">IFERROR(__xludf.DUMMYFUNCTION("""COMPUTED_VALUE"""),133.14)</f>
        <v>133.13999999999999</v>
      </c>
      <c r="D522" s="1">
        <f ca="1">IFERROR(__xludf.DUMMYFUNCTION("""COMPUTED_VALUE"""),131.44)</f>
        <v>131.44</v>
      </c>
      <c r="E522" s="1">
        <f ca="1">IFERROR(__xludf.DUMMYFUNCTION("""COMPUTED_VALUE"""),132.78)</f>
        <v>132.78</v>
      </c>
      <c r="F522" s="1">
        <f ca="1">IFERROR(__xludf.DUMMYFUNCTION("""COMPUTED_VALUE"""),20020141)</f>
        <v>20020141</v>
      </c>
    </row>
    <row r="523" spans="1:6" x14ac:dyDescent="0.35">
      <c r="A523" s="2">
        <f ca="1">IFERROR(__xludf.DUMMYFUNCTION("""COMPUTED_VALUE"""),42762.6666666666)</f>
        <v>42762.666666666599</v>
      </c>
      <c r="B523" s="1">
        <f ca="1">IFERROR(__xludf.DUMMYFUNCTION("""COMPUTED_VALUE"""),132.68)</f>
        <v>132.68</v>
      </c>
      <c r="C523" s="1">
        <f ca="1">IFERROR(__xludf.DUMMYFUNCTION("""COMPUTED_VALUE"""),132.95)</f>
        <v>132.94999999999999</v>
      </c>
      <c r="D523" s="1">
        <f ca="1">IFERROR(__xludf.DUMMYFUNCTION("""COMPUTED_VALUE"""),131.08)</f>
        <v>131.08000000000001</v>
      </c>
      <c r="E523" s="1">
        <f ca="1">IFERROR(__xludf.DUMMYFUNCTION("""COMPUTED_VALUE"""),132.18)</f>
        <v>132.18</v>
      </c>
      <c r="F523" s="1">
        <f ca="1">IFERROR(__xludf.DUMMYFUNCTION("""COMPUTED_VALUE"""),19539514)</f>
        <v>19539514</v>
      </c>
    </row>
    <row r="524" spans="1:6" x14ac:dyDescent="0.35">
      <c r="A524" s="2">
        <f ca="1">IFERROR(__xludf.DUMMYFUNCTION("""COMPUTED_VALUE"""),42765.6666666666)</f>
        <v>42765.666666666599</v>
      </c>
      <c r="B524" s="1">
        <f ca="1">IFERROR(__xludf.DUMMYFUNCTION("""COMPUTED_VALUE"""),131.58)</f>
        <v>131.58000000000001</v>
      </c>
      <c r="C524" s="1">
        <f ca="1">IFERROR(__xludf.DUMMYFUNCTION("""COMPUTED_VALUE"""),131.58)</f>
        <v>131.58000000000001</v>
      </c>
      <c r="D524" s="1">
        <f ca="1">IFERROR(__xludf.DUMMYFUNCTION("""COMPUTED_VALUE"""),129.6)</f>
        <v>129.6</v>
      </c>
      <c r="E524" s="1">
        <f ca="1">IFERROR(__xludf.DUMMYFUNCTION("""COMPUTED_VALUE"""),130.98)</f>
        <v>130.97999999999999</v>
      </c>
      <c r="F524" s="1">
        <f ca="1">IFERROR(__xludf.DUMMYFUNCTION("""COMPUTED_VALUE"""),18956095)</f>
        <v>18956095</v>
      </c>
    </row>
    <row r="525" spans="1:6" x14ac:dyDescent="0.35">
      <c r="A525" s="2">
        <f ca="1">IFERROR(__xludf.DUMMYFUNCTION("""COMPUTED_VALUE"""),42766.6666666666)</f>
        <v>42766.666666666599</v>
      </c>
      <c r="B525" s="1">
        <f ca="1">IFERROR(__xludf.DUMMYFUNCTION("""COMPUTED_VALUE"""),130.17)</f>
        <v>130.16999999999999</v>
      </c>
      <c r="C525" s="1">
        <f ca="1">IFERROR(__xludf.DUMMYFUNCTION("""COMPUTED_VALUE"""),130.66)</f>
        <v>130.66</v>
      </c>
      <c r="D525" s="1">
        <f ca="1">IFERROR(__xludf.DUMMYFUNCTION("""COMPUTED_VALUE"""),129.52)</f>
        <v>129.52000000000001</v>
      </c>
      <c r="E525" s="1">
        <f ca="1">IFERROR(__xludf.DUMMYFUNCTION("""COMPUTED_VALUE"""),130.32)</f>
        <v>130.32</v>
      </c>
      <c r="F525" s="1">
        <f ca="1">IFERROR(__xludf.DUMMYFUNCTION("""COMPUTED_VALUE"""),19790484)</f>
        <v>19790484</v>
      </c>
    </row>
    <row r="526" spans="1:6" x14ac:dyDescent="0.35">
      <c r="A526" s="2">
        <f ca="1">IFERROR(__xludf.DUMMYFUNCTION("""COMPUTED_VALUE"""),42767.6666666666)</f>
        <v>42767.666666666599</v>
      </c>
      <c r="B526" s="1">
        <f ca="1">IFERROR(__xludf.DUMMYFUNCTION("""COMPUTED_VALUE"""),132.25)</f>
        <v>132.25</v>
      </c>
      <c r="C526" s="1">
        <f ca="1">IFERROR(__xludf.DUMMYFUNCTION("""COMPUTED_VALUE"""),133.49)</f>
        <v>133.49</v>
      </c>
      <c r="D526" s="1">
        <f ca="1">IFERROR(__xludf.DUMMYFUNCTION("""COMPUTED_VALUE"""),130.68)</f>
        <v>130.68</v>
      </c>
      <c r="E526" s="1">
        <f ca="1">IFERROR(__xludf.DUMMYFUNCTION("""COMPUTED_VALUE"""),133.23)</f>
        <v>133.22999999999999</v>
      </c>
      <c r="F526" s="1">
        <f ca="1">IFERROR(__xludf.DUMMYFUNCTION("""COMPUTED_VALUE"""),50139775)</f>
        <v>50139775</v>
      </c>
    </row>
    <row r="527" spans="1:6" x14ac:dyDescent="0.35">
      <c r="A527" s="2">
        <f ca="1">IFERROR(__xludf.DUMMYFUNCTION("""COMPUTED_VALUE"""),42768.6666666666)</f>
        <v>42768.666666666599</v>
      </c>
      <c r="B527" s="1">
        <f ca="1">IFERROR(__xludf.DUMMYFUNCTION("""COMPUTED_VALUE"""),133.22)</f>
        <v>133.22</v>
      </c>
      <c r="C527" s="1">
        <f ca="1">IFERROR(__xludf.DUMMYFUNCTION("""COMPUTED_VALUE"""),135.49)</f>
        <v>135.49</v>
      </c>
      <c r="D527" s="1">
        <f ca="1">IFERROR(__xludf.DUMMYFUNCTION("""COMPUTED_VALUE"""),130.4)</f>
        <v>130.4</v>
      </c>
      <c r="E527" s="1">
        <f ca="1">IFERROR(__xludf.DUMMYFUNCTION("""COMPUTED_VALUE"""),130.84)</f>
        <v>130.84</v>
      </c>
      <c r="F527" s="1">
        <f ca="1">IFERROR(__xludf.DUMMYFUNCTION("""COMPUTED_VALUE"""),54366447)</f>
        <v>54366447</v>
      </c>
    </row>
    <row r="528" spans="1:6" x14ac:dyDescent="0.35">
      <c r="A528" s="2">
        <f ca="1">IFERROR(__xludf.DUMMYFUNCTION("""COMPUTED_VALUE"""),42769.6666666666)</f>
        <v>42769.666666666599</v>
      </c>
      <c r="B528" s="1">
        <f ca="1">IFERROR(__xludf.DUMMYFUNCTION("""COMPUTED_VALUE"""),131.24)</f>
        <v>131.24</v>
      </c>
      <c r="C528" s="1">
        <f ca="1">IFERROR(__xludf.DUMMYFUNCTION("""COMPUTED_VALUE"""),132.85)</f>
        <v>132.85</v>
      </c>
      <c r="D528" s="1">
        <f ca="1">IFERROR(__xludf.DUMMYFUNCTION("""COMPUTED_VALUE"""),130.76)</f>
        <v>130.76</v>
      </c>
      <c r="E528" s="1">
        <f ca="1">IFERROR(__xludf.DUMMYFUNCTION("""COMPUTED_VALUE"""),130.98)</f>
        <v>130.97999999999999</v>
      </c>
      <c r="F528" s="1">
        <f ca="1">IFERROR(__xludf.DUMMYFUNCTION("""COMPUTED_VALUE"""),24804890)</f>
        <v>24804890</v>
      </c>
    </row>
    <row r="529" spans="1:6" x14ac:dyDescent="0.35">
      <c r="A529" s="2">
        <f ca="1">IFERROR(__xludf.DUMMYFUNCTION("""COMPUTED_VALUE"""),42772.6666666666)</f>
        <v>42772.666666666599</v>
      </c>
      <c r="B529" s="1">
        <f ca="1">IFERROR(__xludf.DUMMYFUNCTION("""COMPUTED_VALUE"""),130.98)</f>
        <v>130.97999999999999</v>
      </c>
      <c r="C529" s="1">
        <f ca="1">IFERROR(__xludf.DUMMYFUNCTION("""COMPUTED_VALUE"""),132.06)</f>
        <v>132.06</v>
      </c>
      <c r="D529" s="1">
        <f ca="1">IFERROR(__xludf.DUMMYFUNCTION("""COMPUTED_VALUE"""),130.3)</f>
        <v>130.30000000000001</v>
      </c>
      <c r="E529" s="1">
        <f ca="1">IFERROR(__xludf.DUMMYFUNCTION("""COMPUTED_VALUE"""),132.06)</f>
        <v>132.06</v>
      </c>
      <c r="F529" s="1">
        <f ca="1">IFERROR(__xludf.DUMMYFUNCTION("""COMPUTED_VALUE"""),17058494)</f>
        <v>17058494</v>
      </c>
    </row>
    <row r="530" spans="1:6" x14ac:dyDescent="0.35">
      <c r="A530" s="2">
        <f ca="1">IFERROR(__xludf.DUMMYFUNCTION("""COMPUTED_VALUE"""),42773.6666666666)</f>
        <v>42773.666666666599</v>
      </c>
      <c r="B530" s="1">
        <f ca="1">IFERROR(__xludf.DUMMYFUNCTION("""COMPUTED_VALUE"""),132.24)</f>
        <v>132.24</v>
      </c>
      <c r="C530" s="1">
        <f ca="1">IFERROR(__xludf.DUMMYFUNCTION("""COMPUTED_VALUE"""),133)</f>
        <v>133</v>
      </c>
      <c r="D530" s="1">
        <f ca="1">IFERROR(__xludf.DUMMYFUNCTION("""COMPUTED_VALUE"""),131.66)</f>
        <v>131.66</v>
      </c>
      <c r="E530" s="1">
        <f ca="1">IFERROR(__xludf.DUMMYFUNCTION("""COMPUTED_VALUE"""),131.84)</f>
        <v>131.84</v>
      </c>
      <c r="F530" s="1">
        <f ca="1">IFERROR(__xludf.DUMMYFUNCTION("""COMPUTED_VALUE"""),14596449)</f>
        <v>14596449</v>
      </c>
    </row>
    <row r="531" spans="1:6" x14ac:dyDescent="0.35">
      <c r="A531" s="2">
        <f ca="1">IFERROR(__xludf.DUMMYFUNCTION("""COMPUTED_VALUE"""),42774.6666666666)</f>
        <v>42774.666666666599</v>
      </c>
      <c r="B531" s="1">
        <f ca="1">IFERROR(__xludf.DUMMYFUNCTION("""COMPUTED_VALUE"""),132.6)</f>
        <v>132.6</v>
      </c>
      <c r="C531" s="1">
        <f ca="1">IFERROR(__xludf.DUMMYFUNCTION("""COMPUTED_VALUE"""),134.44)</f>
        <v>134.44</v>
      </c>
      <c r="D531" s="1">
        <f ca="1">IFERROR(__xludf.DUMMYFUNCTION("""COMPUTED_VALUE"""),132.44)</f>
        <v>132.44</v>
      </c>
      <c r="E531" s="1">
        <f ca="1">IFERROR(__xludf.DUMMYFUNCTION("""COMPUTED_VALUE"""),134.2)</f>
        <v>134.19999999999999</v>
      </c>
      <c r="F531" s="1">
        <f ca="1">IFERROR(__xludf.DUMMYFUNCTION("""COMPUTED_VALUE"""),22390556)</f>
        <v>22390556</v>
      </c>
    </row>
    <row r="532" spans="1:6" x14ac:dyDescent="0.35">
      <c r="A532" s="2">
        <f ca="1">IFERROR(__xludf.DUMMYFUNCTION("""COMPUTED_VALUE"""),42775.6666666666)</f>
        <v>42775.666666666599</v>
      </c>
      <c r="B532" s="1">
        <f ca="1">IFERROR(__xludf.DUMMYFUNCTION("""COMPUTED_VALUE"""),134.49)</f>
        <v>134.49</v>
      </c>
      <c r="C532" s="1">
        <f ca="1">IFERROR(__xludf.DUMMYFUNCTION("""COMPUTED_VALUE"""),134.5)</f>
        <v>134.5</v>
      </c>
      <c r="D532" s="1">
        <f ca="1">IFERROR(__xludf.DUMMYFUNCTION("""COMPUTED_VALUE"""),133.31)</f>
        <v>133.31</v>
      </c>
      <c r="E532" s="1">
        <f ca="1">IFERROR(__xludf.DUMMYFUNCTION("""COMPUTED_VALUE"""),134.14)</f>
        <v>134.13999999999999</v>
      </c>
      <c r="F532" s="1">
        <f ca="1">IFERROR(__xludf.DUMMYFUNCTION("""COMPUTED_VALUE"""),16470609)</f>
        <v>16470609</v>
      </c>
    </row>
    <row r="533" spans="1:6" x14ac:dyDescent="0.35">
      <c r="A533" s="2">
        <f ca="1">IFERROR(__xludf.DUMMYFUNCTION("""COMPUTED_VALUE"""),42776.6666666666)</f>
        <v>42776.666666666599</v>
      </c>
      <c r="B533" s="1">
        <f ca="1">IFERROR(__xludf.DUMMYFUNCTION("""COMPUTED_VALUE"""),134.1)</f>
        <v>134.1</v>
      </c>
      <c r="C533" s="1">
        <f ca="1">IFERROR(__xludf.DUMMYFUNCTION("""COMPUTED_VALUE"""),134.94)</f>
        <v>134.94</v>
      </c>
      <c r="D533" s="1">
        <f ca="1">IFERROR(__xludf.DUMMYFUNCTION("""COMPUTED_VALUE"""),133.68)</f>
        <v>133.68</v>
      </c>
      <c r="E533" s="1">
        <f ca="1">IFERROR(__xludf.DUMMYFUNCTION("""COMPUTED_VALUE"""),134.19)</f>
        <v>134.19</v>
      </c>
      <c r="F533" s="1">
        <f ca="1">IFERROR(__xludf.DUMMYFUNCTION("""COMPUTED_VALUE"""),15061939)</f>
        <v>15061939</v>
      </c>
    </row>
    <row r="534" spans="1:6" x14ac:dyDescent="0.35">
      <c r="A534" s="2">
        <f ca="1">IFERROR(__xludf.DUMMYFUNCTION("""COMPUTED_VALUE"""),42779.6666666666)</f>
        <v>42779.666666666599</v>
      </c>
      <c r="B534" s="1">
        <f ca="1">IFERROR(__xludf.DUMMYFUNCTION("""COMPUTED_VALUE"""),134.7)</f>
        <v>134.69999999999999</v>
      </c>
      <c r="C534" s="1">
        <f ca="1">IFERROR(__xludf.DUMMYFUNCTION("""COMPUTED_VALUE"""),134.7)</f>
        <v>134.69999999999999</v>
      </c>
      <c r="D534" s="1">
        <f ca="1">IFERROR(__xludf.DUMMYFUNCTION("""COMPUTED_VALUE"""),133.7)</f>
        <v>133.69999999999999</v>
      </c>
      <c r="E534" s="1">
        <f ca="1">IFERROR(__xludf.DUMMYFUNCTION("""COMPUTED_VALUE"""),134.05)</f>
        <v>134.05000000000001</v>
      </c>
      <c r="F534" s="1">
        <f ca="1">IFERROR(__xludf.DUMMYFUNCTION("""COMPUTED_VALUE"""),13526221)</f>
        <v>13526221</v>
      </c>
    </row>
    <row r="535" spans="1:6" x14ac:dyDescent="0.35">
      <c r="A535" s="2">
        <f ca="1">IFERROR(__xludf.DUMMYFUNCTION("""COMPUTED_VALUE"""),42780.6666666666)</f>
        <v>42780.666666666599</v>
      </c>
      <c r="B535" s="1">
        <f ca="1">IFERROR(__xludf.DUMMYFUNCTION("""COMPUTED_VALUE"""),134.1)</f>
        <v>134.1</v>
      </c>
      <c r="C535" s="1">
        <f ca="1">IFERROR(__xludf.DUMMYFUNCTION("""COMPUTED_VALUE"""),134.23)</f>
        <v>134.22999999999999</v>
      </c>
      <c r="D535" s="1">
        <f ca="1">IFERROR(__xludf.DUMMYFUNCTION("""COMPUTED_VALUE"""),132.55)</f>
        <v>132.55000000000001</v>
      </c>
      <c r="E535" s="1">
        <f ca="1">IFERROR(__xludf.DUMMYFUNCTION("""COMPUTED_VALUE"""),133.85)</f>
        <v>133.85</v>
      </c>
      <c r="F535" s="1">
        <f ca="1">IFERROR(__xludf.DUMMYFUNCTION("""COMPUTED_VALUE"""),14364877)</f>
        <v>14364877</v>
      </c>
    </row>
    <row r="536" spans="1:6" x14ac:dyDescent="0.35">
      <c r="A536" s="2">
        <f ca="1">IFERROR(__xludf.DUMMYFUNCTION("""COMPUTED_VALUE"""),42781.6666666666)</f>
        <v>42781.666666666599</v>
      </c>
      <c r="B536" s="1">
        <f ca="1">IFERROR(__xludf.DUMMYFUNCTION("""COMPUTED_VALUE"""),133.45)</f>
        <v>133.44999999999999</v>
      </c>
      <c r="C536" s="1">
        <f ca="1">IFERROR(__xludf.DUMMYFUNCTION("""COMPUTED_VALUE"""),133.7)</f>
        <v>133.69999999999999</v>
      </c>
      <c r="D536" s="1">
        <f ca="1">IFERROR(__xludf.DUMMYFUNCTION("""COMPUTED_VALUE"""),132.66)</f>
        <v>132.66</v>
      </c>
      <c r="E536" s="1">
        <f ca="1">IFERROR(__xludf.DUMMYFUNCTION("""COMPUTED_VALUE"""),133.44)</f>
        <v>133.44</v>
      </c>
      <c r="F536" s="1">
        <f ca="1">IFERROR(__xludf.DUMMYFUNCTION("""COMPUTED_VALUE"""),13226534)</f>
        <v>13226534</v>
      </c>
    </row>
    <row r="537" spans="1:6" x14ac:dyDescent="0.35">
      <c r="A537" s="2">
        <f ca="1">IFERROR(__xludf.DUMMYFUNCTION("""COMPUTED_VALUE"""),42782.6666666666)</f>
        <v>42782.666666666599</v>
      </c>
      <c r="B537" s="1">
        <f ca="1">IFERROR(__xludf.DUMMYFUNCTION("""COMPUTED_VALUE"""),133.07)</f>
        <v>133.07</v>
      </c>
      <c r="C537" s="1">
        <f ca="1">IFERROR(__xludf.DUMMYFUNCTION("""COMPUTED_VALUE"""),133.87)</f>
        <v>133.87</v>
      </c>
      <c r="D537" s="1">
        <f ca="1">IFERROR(__xludf.DUMMYFUNCTION("""COMPUTED_VALUE"""),133.02)</f>
        <v>133.02000000000001</v>
      </c>
      <c r="E537" s="1">
        <f ca="1">IFERROR(__xludf.DUMMYFUNCTION("""COMPUTED_VALUE"""),133.84)</f>
        <v>133.84</v>
      </c>
      <c r="F537" s="1">
        <f ca="1">IFERROR(__xludf.DUMMYFUNCTION("""COMPUTED_VALUE"""),12831092)</f>
        <v>12831092</v>
      </c>
    </row>
    <row r="538" spans="1:6" x14ac:dyDescent="0.35">
      <c r="A538" s="2">
        <f ca="1">IFERROR(__xludf.DUMMYFUNCTION("""COMPUTED_VALUE"""),42783.6666666666)</f>
        <v>42783.666666666599</v>
      </c>
      <c r="B538" s="1">
        <f ca="1">IFERROR(__xludf.DUMMYFUNCTION("""COMPUTED_VALUE"""),133.5)</f>
        <v>133.5</v>
      </c>
      <c r="C538" s="1">
        <f ca="1">IFERROR(__xludf.DUMMYFUNCTION("""COMPUTED_VALUE"""),134.09)</f>
        <v>134.09</v>
      </c>
      <c r="D538" s="1">
        <f ca="1">IFERROR(__xludf.DUMMYFUNCTION("""COMPUTED_VALUE"""),133.17)</f>
        <v>133.16999999999999</v>
      </c>
      <c r="E538" s="1">
        <f ca="1">IFERROR(__xludf.DUMMYFUNCTION("""COMPUTED_VALUE"""),133.53)</f>
        <v>133.53</v>
      </c>
      <c r="F538" s="1">
        <f ca="1">IFERROR(__xludf.DUMMYFUNCTION("""COMPUTED_VALUE"""),12276490)</f>
        <v>12276490</v>
      </c>
    </row>
    <row r="539" spans="1:6" x14ac:dyDescent="0.35">
      <c r="A539" s="2">
        <f ca="1">IFERROR(__xludf.DUMMYFUNCTION("""COMPUTED_VALUE"""),42787.6666666666)</f>
        <v>42787.666666666599</v>
      </c>
      <c r="B539" s="1">
        <f ca="1">IFERROR(__xludf.DUMMYFUNCTION("""COMPUTED_VALUE"""),133.5)</f>
        <v>133.5</v>
      </c>
      <c r="C539" s="1">
        <f ca="1">IFERROR(__xludf.DUMMYFUNCTION("""COMPUTED_VALUE"""),133.91)</f>
        <v>133.91</v>
      </c>
      <c r="D539" s="1">
        <f ca="1">IFERROR(__xludf.DUMMYFUNCTION("""COMPUTED_VALUE"""),132.9)</f>
        <v>132.9</v>
      </c>
      <c r="E539" s="1">
        <f ca="1">IFERROR(__xludf.DUMMYFUNCTION("""COMPUTED_VALUE"""),133.72)</f>
        <v>133.72</v>
      </c>
      <c r="F539" s="1">
        <f ca="1">IFERROR(__xludf.DUMMYFUNCTION("""COMPUTED_VALUE"""),14759109)</f>
        <v>14759109</v>
      </c>
    </row>
    <row r="540" spans="1:6" x14ac:dyDescent="0.35">
      <c r="A540" s="2">
        <f ca="1">IFERROR(__xludf.DUMMYFUNCTION("""COMPUTED_VALUE"""),42788.6666666666)</f>
        <v>42788.666666666599</v>
      </c>
      <c r="B540" s="1">
        <f ca="1">IFERROR(__xludf.DUMMYFUNCTION("""COMPUTED_VALUE"""),133.6)</f>
        <v>133.6</v>
      </c>
      <c r="C540" s="1">
        <f ca="1">IFERROR(__xludf.DUMMYFUNCTION("""COMPUTED_VALUE"""),136.79)</f>
        <v>136.79</v>
      </c>
      <c r="D540" s="1">
        <f ca="1">IFERROR(__xludf.DUMMYFUNCTION("""COMPUTED_VALUE"""),133.46)</f>
        <v>133.46</v>
      </c>
      <c r="E540" s="1">
        <f ca="1">IFERROR(__xludf.DUMMYFUNCTION("""COMPUTED_VALUE"""),136.12)</f>
        <v>136.12</v>
      </c>
      <c r="F540" s="1">
        <f ca="1">IFERROR(__xludf.DUMMYFUNCTION("""COMPUTED_VALUE"""),27360092)</f>
        <v>27360092</v>
      </c>
    </row>
    <row r="541" spans="1:6" x14ac:dyDescent="0.35">
      <c r="A541" s="2">
        <f ca="1">IFERROR(__xludf.DUMMYFUNCTION("""COMPUTED_VALUE"""),42789.6666666666)</f>
        <v>42789.666666666599</v>
      </c>
      <c r="B541" s="1">
        <f ca="1">IFERROR(__xludf.DUMMYFUNCTION("""COMPUTED_VALUE"""),135.89)</f>
        <v>135.88999999999999</v>
      </c>
      <c r="C541" s="1">
        <f ca="1">IFERROR(__xludf.DUMMYFUNCTION("""COMPUTED_VALUE"""),136.12)</f>
        <v>136.12</v>
      </c>
      <c r="D541" s="1">
        <f ca="1">IFERROR(__xludf.DUMMYFUNCTION("""COMPUTED_VALUE"""),134.33)</f>
        <v>134.33000000000001</v>
      </c>
      <c r="E541" s="1">
        <f ca="1">IFERROR(__xludf.DUMMYFUNCTION("""COMPUTED_VALUE"""),135.36)</f>
        <v>135.36000000000001</v>
      </c>
      <c r="F541" s="1">
        <f ca="1">IFERROR(__xludf.DUMMYFUNCTION("""COMPUTED_VALUE"""),18422549)</f>
        <v>18422549</v>
      </c>
    </row>
    <row r="542" spans="1:6" x14ac:dyDescent="0.35">
      <c r="A542" s="2">
        <f ca="1">IFERROR(__xludf.DUMMYFUNCTION("""COMPUTED_VALUE"""),42790.6666666666)</f>
        <v>42790.666666666599</v>
      </c>
      <c r="B542" s="1">
        <f ca="1">IFERROR(__xludf.DUMMYFUNCTION("""COMPUTED_VALUE"""),134.16)</f>
        <v>134.16</v>
      </c>
      <c r="C542" s="1">
        <f ca="1">IFERROR(__xludf.DUMMYFUNCTION("""COMPUTED_VALUE"""),135.62)</f>
        <v>135.62</v>
      </c>
      <c r="D542" s="1">
        <f ca="1">IFERROR(__xludf.DUMMYFUNCTION("""COMPUTED_VALUE"""),134.16)</f>
        <v>134.16</v>
      </c>
      <c r="E542" s="1">
        <f ca="1">IFERROR(__xludf.DUMMYFUNCTION("""COMPUTED_VALUE"""),135.44)</f>
        <v>135.44</v>
      </c>
      <c r="F542" s="1">
        <f ca="1">IFERROR(__xludf.DUMMYFUNCTION("""COMPUTED_VALUE"""),12625742)</f>
        <v>12625742</v>
      </c>
    </row>
    <row r="543" spans="1:6" x14ac:dyDescent="0.35">
      <c r="A543" s="2">
        <f ca="1">IFERROR(__xludf.DUMMYFUNCTION("""COMPUTED_VALUE"""),42793.6666666666)</f>
        <v>42793.666666666599</v>
      </c>
      <c r="B543" s="1">
        <f ca="1">IFERROR(__xludf.DUMMYFUNCTION("""COMPUTED_VALUE"""),135.26)</f>
        <v>135.26</v>
      </c>
      <c r="C543" s="1">
        <f ca="1">IFERROR(__xludf.DUMMYFUNCTION("""COMPUTED_VALUE"""),137.18)</f>
        <v>137.18</v>
      </c>
      <c r="D543" s="1">
        <f ca="1">IFERROR(__xludf.DUMMYFUNCTION("""COMPUTED_VALUE"""),135.02)</f>
        <v>135.02000000000001</v>
      </c>
      <c r="E543" s="1">
        <f ca="1">IFERROR(__xludf.DUMMYFUNCTION("""COMPUTED_VALUE"""),136.41)</f>
        <v>136.41</v>
      </c>
      <c r="F543" s="1">
        <f ca="1">IFERROR(__xludf.DUMMYFUNCTION("""COMPUTED_VALUE"""),14306668)</f>
        <v>14306668</v>
      </c>
    </row>
    <row r="544" spans="1:6" x14ac:dyDescent="0.35">
      <c r="A544" s="2">
        <f ca="1">IFERROR(__xludf.DUMMYFUNCTION("""COMPUTED_VALUE"""),42794.6666666666)</f>
        <v>42794.666666666599</v>
      </c>
      <c r="B544" s="1">
        <f ca="1">IFERROR(__xludf.DUMMYFUNCTION("""COMPUTED_VALUE"""),136.79)</f>
        <v>136.79</v>
      </c>
      <c r="C544" s="1">
        <f ca="1">IFERROR(__xludf.DUMMYFUNCTION("""COMPUTED_VALUE"""),136.81)</f>
        <v>136.81</v>
      </c>
      <c r="D544" s="1">
        <f ca="1">IFERROR(__xludf.DUMMYFUNCTION("""COMPUTED_VALUE"""),134.75)</f>
        <v>134.75</v>
      </c>
      <c r="E544" s="1">
        <f ca="1">IFERROR(__xludf.DUMMYFUNCTION("""COMPUTED_VALUE"""),135.54)</f>
        <v>135.54</v>
      </c>
      <c r="F544" s="1">
        <f ca="1">IFERROR(__xludf.DUMMYFUNCTION("""COMPUTED_VALUE"""),16112092)</f>
        <v>16112092</v>
      </c>
    </row>
    <row r="545" spans="1:6" x14ac:dyDescent="0.35">
      <c r="A545" s="2">
        <f ca="1">IFERROR(__xludf.DUMMYFUNCTION("""COMPUTED_VALUE"""),42795.6666666666)</f>
        <v>42795.666666666599</v>
      </c>
      <c r="B545" s="1">
        <f ca="1">IFERROR(__xludf.DUMMYFUNCTION("""COMPUTED_VALUE"""),136.47)</f>
        <v>136.47</v>
      </c>
      <c r="C545" s="1">
        <f ca="1">IFERROR(__xludf.DUMMYFUNCTION("""COMPUTED_VALUE"""),137.48)</f>
        <v>137.47999999999999</v>
      </c>
      <c r="D545" s="1">
        <f ca="1">IFERROR(__xludf.DUMMYFUNCTION("""COMPUTED_VALUE"""),136.3)</f>
        <v>136.30000000000001</v>
      </c>
      <c r="E545" s="1">
        <f ca="1">IFERROR(__xludf.DUMMYFUNCTION("""COMPUTED_VALUE"""),137.42)</f>
        <v>137.41999999999999</v>
      </c>
      <c r="F545" s="1">
        <f ca="1">IFERROR(__xludf.DUMMYFUNCTION("""COMPUTED_VALUE"""),16257010)</f>
        <v>16257010</v>
      </c>
    </row>
    <row r="546" spans="1:6" x14ac:dyDescent="0.35">
      <c r="A546" s="2">
        <f ca="1">IFERROR(__xludf.DUMMYFUNCTION("""COMPUTED_VALUE"""),42796.6666666666)</f>
        <v>42796.666666666599</v>
      </c>
      <c r="B546" s="1">
        <f ca="1">IFERROR(__xludf.DUMMYFUNCTION("""COMPUTED_VALUE"""),137.09)</f>
        <v>137.09</v>
      </c>
      <c r="C546" s="1">
        <f ca="1">IFERROR(__xludf.DUMMYFUNCTION("""COMPUTED_VALUE"""),137.82)</f>
        <v>137.82</v>
      </c>
      <c r="D546" s="1">
        <f ca="1">IFERROR(__xludf.DUMMYFUNCTION("""COMPUTED_VALUE"""),136.31)</f>
        <v>136.31</v>
      </c>
      <c r="E546" s="1">
        <f ca="1">IFERROR(__xludf.DUMMYFUNCTION("""COMPUTED_VALUE"""),136.76)</f>
        <v>136.76</v>
      </c>
      <c r="F546" s="1">
        <f ca="1">IFERROR(__xludf.DUMMYFUNCTION("""COMPUTED_VALUE"""),12294804)</f>
        <v>12294804</v>
      </c>
    </row>
    <row r="547" spans="1:6" x14ac:dyDescent="0.35">
      <c r="A547" s="2">
        <f ca="1">IFERROR(__xludf.DUMMYFUNCTION("""COMPUTED_VALUE"""),42797.6666666666)</f>
        <v>42797.666666666599</v>
      </c>
      <c r="B547" s="1">
        <f ca="1">IFERROR(__xludf.DUMMYFUNCTION("""COMPUTED_VALUE"""),136.63)</f>
        <v>136.63</v>
      </c>
      <c r="C547" s="1">
        <f ca="1">IFERROR(__xludf.DUMMYFUNCTION("""COMPUTED_VALUE"""),137.33)</f>
        <v>137.33000000000001</v>
      </c>
      <c r="D547" s="1">
        <f ca="1">IFERROR(__xludf.DUMMYFUNCTION("""COMPUTED_VALUE"""),136.08)</f>
        <v>136.08000000000001</v>
      </c>
      <c r="E547" s="1">
        <f ca="1">IFERROR(__xludf.DUMMYFUNCTION("""COMPUTED_VALUE"""),137.17)</f>
        <v>137.16999999999999</v>
      </c>
      <c r="F547" s="1">
        <f ca="1">IFERROR(__xludf.DUMMYFUNCTION("""COMPUTED_VALUE"""),11160563)</f>
        <v>11160563</v>
      </c>
    </row>
    <row r="548" spans="1:6" x14ac:dyDescent="0.35">
      <c r="A548" s="2">
        <f ca="1">IFERROR(__xludf.DUMMYFUNCTION("""COMPUTED_VALUE"""),42800.6666666666)</f>
        <v>42800.666666666599</v>
      </c>
      <c r="B548" s="1">
        <f ca="1">IFERROR(__xludf.DUMMYFUNCTION("""COMPUTED_VALUE"""),136.88)</f>
        <v>136.88</v>
      </c>
      <c r="C548" s="1">
        <f ca="1">IFERROR(__xludf.DUMMYFUNCTION("""COMPUTED_VALUE"""),137.83)</f>
        <v>137.83000000000001</v>
      </c>
      <c r="D548" s="1">
        <f ca="1">IFERROR(__xludf.DUMMYFUNCTION("""COMPUTED_VALUE"""),136.51)</f>
        <v>136.51</v>
      </c>
      <c r="E548" s="1">
        <f ca="1">IFERROR(__xludf.DUMMYFUNCTION("""COMPUTED_VALUE"""),137.42)</f>
        <v>137.41999999999999</v>
      </c>
      <c r="F548" s="1">
        <f ca="1">IFERROR(__xludf.DUMMYFUNCTION("""COMPUTED_VALUE"""),12748179)</f>
        <v>12748179</v>
      </c>
    </row>
    <row r="549" spans="1:6" x14ac:dyDescent="0.35">
      <c r="A549" s="2">
        <f ca="1">IFERROR(__xludf.DUMMYFUNCTION("""COMPUTED_VALUE"""),42801.6666666666)</f>
        <v>42801.666666666599</v>
      </c>
      <c r="B549" s="1">
        <f ca="1">IFERROR(__xludf.DUMMYFUNCTION("""COMPUTED_VALUE"""),137.03)</f>
        <v>137.03</v>
      </c>
      <c r="C549" s="1">
        <f ca="1">IFERROR(__xludf.DUMMYFUNCTION("""COMPUTED_VALUE"""),138.37)</f>
        <v>138.37</v>
      </c>
      <c r="D549" s="1">
        <f ca="1">IFERROR(__xludf.DUMMYFUNCTION("""COMPUTED_VALUE"""),136.99)</f>
        <v>136.99</v>
      </c>
      <c r="E549" s="1">
        <f ca="1">IFERROR(__xludf.DUMMYFUNCTION("""COMPUTED_VALUE"""),137.3)</f>
        <v>137.30000000000001</v>
      </c>
      <c r="F549" s="1">
        <f ca="1">IFERROR(__xludf.DUMMYFUNCTION("""COMPUTED_VALUE"""),13527132)</f>
        <v>13527132</v>
      </c>
    </row>
    <row r="550" spans="1:6" x14ac:dyDescent="0.35">
      <c r="A550" s="2">
        <f ca="1">IFERROR(__xludf.DUMMYFUNCTION("""COMPUTED_VALUE"""),42802.6666666666)</f>
        <v>42802.666666666599</v>
      </c>
      <c r="B550" s="1">
        <f ca="1">IFERROR(__xludf.DUMMYFUNCTION("""COMPUTED_VALUE"""),137.15)</f>
        <v>137.15</v>
      </c>
      <c r="C550" s="1">
        <f ca="1">IFERROR(__xludf.DUMMYFUNCTION("""COMPUTED_VALUE"""),137.99)</f>
        <v>137.99</v>
      </c>
      <c r="D550" s="1">
        <f ca="1">IFERROR(__xludf.DUMMYFUNCTION("""COMPUTED_VALUE"""),137.05)</f>
        <v>137.05000000000001</v>
      </c>
      <c r="E550" s="1">
        <f ca="1">IFERROR(__xludf.DUMMYFUNCTION("""COMPUTED_VALUE"""),137.72)</f>
        <v>137.72</v>
      </c>
      <c r="F550" s="1">
        <f ca="1">IFERROR(__xludf.DUMMYFUNCTION("""COMPUTED_VALUE"""),10184514)</f>
        <v>10184514</v>
      </c>
    </row>
    <row r="551" spans="1:6" x14ac:dyDescent="0.35">
      <c r="A551" s="2">
        <f ca="1">IFERROR(__xludf.DUMMYFUNCTION("""COMPUTED_VALUE"""),42803.6666666666)</f>
        <v>42803.666666666599</v>
      </c>
      <c r="B551" s="1">
        <f ca="1">IFERROR(__xludf.DUMMYFUNCTION("""COMPUTED_VALUE"""),137.72)</f>
        <v>137.72</v>
      </c>
      <c r="C551" s="1">
        <f ca="1">IFERROR(__xludf.DUMMYFUNCTION("""COMPUTED_VALUE"""),138.57)</f>
        <v>138.57</v>
      </c>
      <c r="D551" s="1">
        <f ca="1">IFERROR(__xludf.DUMMYFUNCTION("""COMPUTED_VALUE"""),137.4)</f>
        <v>137.4</v>
      </c>
      <c r="E551" s="1">
        <f ca="1">IFERROR(__xludf.DUMMYFUNCTION("""COMPUTED_VALUE"""),138.24)</f>
        <v>138.24</v>
      </c>
      <c r="F551" s="1">
        <f ca="1">IFERROR(__xludf.DUMMYFUNCTION("""COMPUTED_VALUE"""),15535259)</f>
        <v>15535259</v>
      </c>
    </row>
    <row r="552" spans="1:6" x14ac:dyDescent="0.35">
      <c r="A552" s="2">
        <f ca="1">IFERROR(__xludf.DUMMYFUNCTION("""COMPUTED_VALUE"""),42804.6666666666)</f>
        <v>42804.666666666599</v>
      </c>
      <c r="B552" s="1">
        <f ca="1">IFERROR(__xludf.DUMMYFUNCTION("""COMPUTED_VALUE"""),138.91)</f>
        <v>138.91</v>
      </c>
      <c r="C552" s="1">
        <f ca="1">IFERROR(__xludf.DUMMYFUNCTION("""COMPUTED_VALUE"""),139.49)</f>
        <v>139.49</v>
      </c>
      <c r="D552" s="1">
        <f ca="1">IFERROR(__xludf.DUMMYFUNCTION("""COMPUTED_VALUE"""),138.22)</f>
        <v>138.22</v>
      </c>
      <c r="E552" s="1">
        <f ca="1">IFERROR(__xludf.DUMMYFUNCTION("""COMPUTED_VALUE"""),138.79)</f>
        <v>138.79</v>
      </c>
      <c r="F552" s="1">
        <f ca="1">IFERROR(__xludf.DUMMYFUNCTION("""COMPUTED_VALUE"""),16314113)</f>
        <v>16314113</v>
      </c>
    </row>
    <row r="553" spans="1:6" x14ac:dyDescent="0.35">
      <c r="A553" s="2">
        <f ca="1">IFERROR(__xludf.DUMMYFUNCTION("""COMPUTED_VALUE"""),42807.6666666666)</f>
        <v>42807.666666666599</v>
      </c>
      <c r="B553" s="1">
        <f ca="1">IFERROR(__xludf.DUMMYFUNCTION("""COMPUTED_VALUE"""),139.14)</f>
        <v>139.13999999999999</v>
      </c>
      <c r="C553" s="1">
        <f ca="1">IFERROR(__xludf.DUMMYFUNCTION("""COMPUTED_VALUE"""),139.68)</f>
        <v>139.68</v>
      </c>
      <c r="D553" s="1">
        <f ca="1">IFERROR(__xludf.DUMMYFUNCTION("""COMPUTED_VALUE"""),138.67)</f>
        <v>138.66999999999999</v>
      </c>
      <c r="E553" s="1">
        <f ca="1">IFERROR(__xludf.DUMMYFUNCTION("""COMPUTED_VALUE"""),139.6)</f>
        <v>139.6</v>
      </c>
      <c r="F553" s="1">
        <f ca="1">IFERROR(__xludf.DUMMYFUNCTION("""COMPUTED_VALUE"""),10955450)</f>
        <v>10955450</v>
      </c>
    </row>
    <row r="554" spans="1:6" x14ac:dyDescent="0.35">
      <c r="A554" s="2">
        <f ca="1">IFERROR(__xludf.DUMMYFUNCTION("""COMPUTED_VALUE"""),42808.6666666666)</f>
        <v>42808.666666666599</v>
      </c>
      <c r="B554" s="1">
        <f ca="1">IFERROR(__xludf.DUMMYFUNCTION("""COMPUTED_VALUE"""),139.46)</f>
        <v>139.46</v>
      </c>
      <c r="C554" s="1">
        <f ca="1">IFERROR(__xludf.DUMMYFUNCTION("""COMPUTED_VALUE"""),139.46)</f>
        <v>139.46</v>
      </c>
      <c r="D554" s="1">
        <f ca="1">IFERROR(__xludf.DUMMYFUNCTION("""COMPUTED_VALUE"""),138.52)</f>
        <v>138.52000000000001</v>
      </c>
      <c r="E554" s="1">
        <f ca="1">IFERROR(__xludf.DUMMYFUNCTION("""COMPUTED_VALUE"""),139.32)</f>
        <v>139.32</v>
      </c>
      <c r="F554" s="1">
        <f ca="1">IFERROR(__xludf.DUMMYFUNCTION("""COMPUTED_VALUE"""),12944018)</f>
        <v>12944018</v>
      </c>
    </row>
    <row r="555" spans="1:6" x14ac:dyDescent="0.35">
      <c r="A555" s="2">
        <f ca="1">IFERROR(__xludf.DUMMYFUNCTION("""COMPUTED_VALUE"""),42809.6666666666)</f>
        <v>42809.666666666599</v>
      </c>
      <c r="B555" s="1">
        <f ca="1">IFERROR(__xludf.DUMMYFUNCTION("""COMPUTED_VALUE"""),139.29)</f>
        <v>139.29</v>
      </c>
      <c r="C555" s="1">
        <f ca="1">IFERROR(__xludf.DUMMYFUNCTION("""COMPUTED_VALUE"""),140.1)</f>
        <v>140.1</v>
      </c>
      <c r="D555" s="1">
        <f ca="1">IFERROR(__xludf.DUMMYFUNCTION("""COMPUTED_VALUE"""),138.49)</f>
        <v>138.49</v>
      </c>
      <c r="E555" s="1">
        <f ca="1">IFERROR(__xludf.DUMMYFUNCTION("""COMPUTED_VALUE"""),139.72)</f>
        <v>139.72</v>
      </c>
      <c r="F555" s="1">
        <f ca="1">IFERROR(__xludf.DUMMYFUNCTION("""COMPUTED_VALUE"""),19344826)</f>
        <v>19344826</v>
      </c>
    </row>
    <row r="556" spans="1:6" x14ac:dyDescent="0.35">
      <c r="A556" s="2">
        <f ca="1">IFERROR(__xludf.DUMMYFUNCTION("""COMPUTED_VALUE"""),42810.6666666666)</f>
        <v>42810.666666666599</v>
      </c>
      <c r="B556" s="1">
        <f ca="1">IFERROR(__xludf.DUMMYFUNCTION("""COMPUTED_VALUE"""),140.2)</f>
        <v>140.19999999999999</v>
      </c>
      <c r="C556" s="1">
        <f ca="1">IFERROR(__xludf.DUMMYFUNCTION("""COMPUTED_VALUE"""),140.25)</f>
        <v>140.25</v>
      </c>
      <c r="D556" s="1">
        <f ca="1">IFERROR(__xludf.DUMMYFUNCTION("""COMPUTED_VALUE"""),139.73)</f>
        <v>139.72999999999999</v>
      </c>
      <c r="E556" s="1">
        <f ca="1">IFERROR(__xludf.DUMMYFUNCTION("""COMPUTED_VALUE"""),139.99)</f>
        <v>139.99</v>
      </c>
      <c r="F556" s="1">
        <f ca="1">IFERROR(__xludf.DUMMYFUNCTION("""COMPUTED_VALUE"""),13612942)</f>
        <v>13612942</v>
      </c>
    </row>
    <row r="557" spans="1:6" x14ac:dyDescent="0.35">
      <c r="A557" s="2">
        <f ca="1">IFERROR(__xludf.DUMMYFUNCTION("""COMPUTED_VALUE"""),42811.6666666666)</f>
        <v>42811.666666666599</v>
      </c>
      <c r="B557" s="1">
        <f ca="1">IFERROR(__xludf.DUMMYFUNCTION("""COMPUTED_VALUE"""),140.34)</f>
        <v>140.34</v>
      </c>
      <c r="C557" s="1">
        <f ca="1">IFERROR(__xludf.DUMMYFUNCTION("""COMPUTED_VALUE"""),140.34)</f>
        <v>140.34</v>
      </c>
      <c r="D557" s="1">
        <f ca="1">IFERROR(__xludf.DUMMYFUNCTION("""COMPUTED_VALUE"""),139.7)</f>
        <v>139.69999999999999</v>
      </c>
      <c r="E557" s="1">
        <f ca="1">IFERROR(__xludf.DUMMYFUNCTION("""COMPUTED_VALUE"""),139.84)</f>
        <v>139.84</v>
      </c>
      <c r="F557" s="1">
        <f ca="1">IFERROR(__xludf.DUMMYFUNCTION("""COMPUTED_VALUE"""),20592818)</f>
        <v>20592818</v>
      </c>
    </row>
    <row r="558" spans="1:6" x14ac:dyDescent="0.35">
      <c r="A558" s="2">
        <f ca="1">IFERROR(__xludf.DUMMYFUNCTION("""COMPUTED_VALUE"""),42814.6666666666)</f>
        <v>42814.666666666599</v>
      </c>
      <c r="B558" s="1">
        <f ca="1">IFERROR(__xludf.DUMMYFUNCTION("""COMPUTED_VALUE"""),139.71)</f>
        <v>139.71</v>
      </c>
      <c r="C558" s="1">
        <f ca="1">IFERROR(__xludf.DUMMYFUNCTION("""COMPUTED_VALUE"""),140.19)</f>
        <v>140.19</v>
      </c>
      <c r="D558" s="1">
        <f ca="1">IFERROR(__xludf.DUMMYFUNCTION("""COMPUTED_VALUE"""),139.25)</f>
        <v>139.25</v>
      </c>
      <c r="E558" s="1">
        <f ca="1">IFERROR(__xludf.DUMMYFUNCTION("""COMPUTED_VALUE"""),139.94)</f>
        <v>139.94</v>
      </c>
      <c r="F558" s="1">
        <f ca="1">IFERROR(__xludf.DUMMYFUNCTION("""COMPUTED_VALUE"""),12099471)</f>
        <v>12099471</v>
      </c>
    </row>
    <row r="559" spans="1:6" x14ac:dyDescent="0.35">
      <c r="A559" s="2">
        <f ca="1">IFERROR(__xludf.DUMMYFUNCTION("""COMPUTED_VALUE"""),42815.6666666666)</f>
        <v>42815.666666666599</v>
      </c>
      <c r="B559" s="1">
        <f ca="1">IFERROR(__xludf.DUMMYFUNCTION("""COMPUTED_VALUE"""),141.15)</f>
        <v>141.15</v>
      </c>
      <c r="C559" s="1">
        <f ca="1">IFERROR(__xludf.DUMMYFUNCTION("""COMPUTED_VALUE"""),142.31)</f>
        <v>142.31</v>
      </c>
      <c r="D559" s="1">
        <f ca="1">IFERROR(__xludf.DUMMYFUNCTION("""COMPUTED_VALUE"""),138.4)</f>
        <v>138.4</v>
      </c>
      <c r="E559" s="1">
        <f ca="1">IFERROR(__xludf.DUMMYFUNCTION("""COMPUTED_VALUE"""),138.51)</f>
        <v>138.51</v>
      </c>
      <c r="F559" s="1">
        <f ca="1">IFERROR(__xludf.DUMMYFUNCTION("""COMPUTED_VALUE"""),29894784)</f>
        <v>29894784</v>
      </c>
    </row>
    <row r="560" spans="1:6" x14ac:dyDescent="0.35">
      <c r="A560" s="2">
        <f ca="1">IFERROR(__xludf.DUMMYFUNCTION("""COMPUTED_VALUE"""),42816.6666666666)</f>
        <v>42816.666666666599</v>
      </c>
      <c r="B560" s="1">
        <f ca="1">IFERROR(__xludf.DUMMYFUNCTION("""COMPUTED_VALUE"""),137.93)</f>
        <v>137.93</v>
      </c>
      <c r="C560" s="1">
        <f ca="1">IFERROR(__xludf.DUMMYFUNCTION("""COMPUTED_VALUE"""),139.79)</f>
        <v>139.79</v>
      </c>
      <c r="D560" s="1">
        <f ca="1">IFERROR(__xludf.DUMMYFUNCTION("""COMPUTED_VALUE"""),137.6)</f>
        <v>137.6</v>
      </c>
      <c r="E560" s="1">
        <f ca="1">IFERROR(__xludf.DUMMYFUNCTION("""COMPUTED_VALUE"""),139.59)</f>
        <v>139.59</v>
      </c>
      <c r="F560" s="1">
        <f ca="1">IFERROR(__xludf.DUMMYFUNCTION("""COMPUTED_VALUE"""),17055449)</f>
        <v>17055449</v>
      </c>
    </row>
    <row r="561" spans="1:6" x14ac:dyDescent="0.35">
      <c r="A561" s="2">
        <f ca="1">IFERROR(__xludf.DUMMYFUNCTION("""COMPUTED_VALUE"""),42817.6666666666)</f>
        <v>42817.666666666599</v>
      </c>
      <c r="B561" s="1">
        <f ca="1">IFERROR(__xludf.DUMMYFUNCTION("""COMPUTED_VALUE"""),139.48)</f>
        <v>139.47999999999999</v>
      </c>
      <c r="C561" s="1">
        <f ca="1">IFERROR(__xludf.DUMMYFUNCTION("""COMPUTED_VALUE"""),140.39)</f>
        <v>140.38999999999999</v>
      </c>
      <c r="D561" s="1">
        <f ca="1">IFERROR(__xludf.DUMMYFUNCTION("""COMPUTED_VALUE"""),139.09)</f>
        <v>139.09</v>
      </c>
      <c r="E561" s="1">
        <f ca="1">IFERROR(__xludf.DUMMYFUNCTION("""COMPUTED_VALUE"""),139.53)</f>
        <v>139.53</v>
      </c>
      <c r="F561" s="1">
        <f ca="1">IFERROR(__xludf.DUMMYFUNCTION("""COMPUTED_VALUE"""),13022801)</f>
        <v>13022801</v>
      </c>
    </row>
    <row r="562" spans="1:6" x14ac:dyDescent="0.35">
      <c r="A562" s="2">
        <f ca="1">IFERROR(__xludf.DUMMYFUNCTION("""COMPUTED_VALUE"""),42818.6666666666)</f>
        <v>42818.666666666599</v>
      </c>
      <c r="B562" s="1">
        <f ca="1">IFERROR(__xludf.DUMMYFUNCTION("""COMPUTED_VALUE"""),140.08)</f>
        <v>140.08000000000001</v>
      </c>
      <c r="C562" s="1">
        <f ca="1">IFERROR(__xludf.DUMMYFUNCTION("""COMPUTED_VALUE"""),141.02)</f>
        <v>141.02000000000001</v>
      </c>
      <c r="D562" s="1">
        <f ca="1">IFERROR(__xludf.DUMMYFUNCTION("""COMPUTED_VALUE"""),139.76)</f>
        <v>139.76</v>
      </c>
      <c r="E562" s="1">
        <f ca="1">IFERROR(__xludf.DUMMYFUNCTION("""COMPUTED_VALUE"""),140.34)</f>
        <v>140.34</v>
      </c>
      <c r="F562" s="1">
        <f ca="1">IFERROR(__xludf.DUMMYFUNCTION("""COMPUTED_VALUE"""),16664683)</f>
        <v>16664683</v>
      </c>
    </row>
    <row r="563" spans="1:6" x14ac:dyDescent="0.35">
      <c r="A563" s="2">
        <f ca="1">IFERROR(__xludf.DUMMYFUNCTION("""COMPUTED_VALUE"""),42821.6666666666)</f>
        <v>42821.666666666599</v>
      </c>
      <c r="B563" s="1">
        <f ca="1">IFERROR(__xludf.DUMMYFUNCTION("""COMPUTED_VALUE"""),139.05)</f>
        <v>139.05000000000001</v>
      </c>
      <c r="C563" s="1">
        <f ca="1">IFERROR(__xludf.DUMMYFUNCTION("""COMPUTED_VALUE"""),140.65)</f>
        <v>140.65</v>
      </c>
      <c r="D563" s="1">
        <f ca="1">IFERROR(__xludf.DUMMYFUNCTION("""COMPUTED_VALUE"""),138.77)</f>
        <v>138.77000000000001</v>
      </c>
      <c r="E563" s="1">
        <f ca="1">IFERROR(__xludf.DUMMYFUNCTION("""COMPUTED_VALUE"""),140.32)</f>
        <v>140.32</v>
      </c>
      <c r="F563" s="1">
        <f ca="1">IFERROR(__xludf.DUMMYFUNCTION("""COMPUTED_VALUE"""),12800544)</f>
        <v>12800544</v>
      </c>
    </row>
    <row r="564" spans="1:6" x14ac:dyDescent="0.35">
      <c r="A564" s="2">
        <f ca="1">IFERROR(__xludf.DUMMYFUNCTION("""COMPUTED_VALUE"""),42822.6666666666)</f>
        <v>42822.666666666599</v>
      </c>
      <c r="B564" s="1">
        <f ca="1">IFERROR(__xludf.DUMMYFUNCTION("""COMPUTED_VALUE"""),140.36)</f>
        <v>140.36000000000001</v>
      </c>
      <c r="C564" s="1">
        <f ca="1">IFERROR(__xludf.DUMMYFUNCTION("""COMPUTED_VALUE"""),141.95)</f>
        <v>141.94999999999999</v>
      </c>
      <c r="D564" s="1">
        <f ca="1">IFERROR(__xludf.DUMMYFUNCTION("""COMPUTED_VALUE"""),140.01)</f>
        <v>140.01</v>
      </c>
      <c r="E564" s="1">
        <f ca="1">IFERROR(__xludf.DUMMYFUNCTION("""COMPUTED_VALUE"""),141.76)</f>
        <v>141.76</v>
      </c>
      <c r="F564" s="1">
        <f ca="1">IFERROR(__xludf.DUMMYFUNCTION("""COMPUTED_VALUE"""),14679436)</f>
        <v>14679436</v>
      </c>
    </row>
    <row r="565" spans="1:6" x14ac:dyDescent="0.35">
      <c r="A565" s="2">
        <f ca="1">IFERROR(__xludf.DUMMYFUNCTION("""COMPUTED_VALUE"""),42823.6666666666)</f>
        <v>42823.666666666599</v>
      </c>
      <c r="B565" s="1">
        <f ca="1">IFERROR(__xludf.DUMMYFUNCTION("""COMPUTED_VALUE"""),141.99)</f>
        <v>141.99</v>
      </c>
      <c r="C565" s="1">
        <f ca="1">IFERROR(__xludf.DUMMYFUNCTION("""COMPUTED_VALUE"""),142.86)</f>
        <v>142.86000000000001</v>
      </c>
      <c r="D565" s="1">
        <f ca="1">IFERROR(__xludf.DUMMYFUNCTION("""COMPUTED_VALUE"""),141.43)</f>
        <v>141.43</v>
      </c>
      <c r="E565" s="1">
        <f ca="1">IFERROR(__xludf.DUMMYFUNCTION("""COMPUTED_VALUE"""),142.65)</f>
        <v>142.65</v>
      </c>
      <c r="F565" s="1">
        <f ca="1">IFERROR(__xludf.DUMMYFUNCTION("""COMPUTED_VALUE"""),16527574)</f>
        <v>16527574</v>
      </c>
    </row>
    <row r="566" spans="1:6" x14ac:dyDescent="0.35">
      <c r="A566" s="2">
        <f ca="1">IFERROR(__xludf.DUMMYFUNCTION("""COMPUTED_VALUE"""),42824.6666666666)</f>
        <v>42824.666666666599</v>
      </c>
      <c r="B566" s="1">
        <f ca="1">IFERROR(__xludf.DUMMYFUNCTION("""COMPUTED_VALUE"""),142.4)</f>
        <v>142.4</v>
      </c>
      <c r="C566" s="1">
        <f ca="1">IFERROR(__xludf.DUMMYFUNCTION("""COMPUTED_VALUE"""),142.95)</f>
        <v>142.94999999999999</v>
      </c>
      <c r="D566" s="1">
        <f ca="1">IFERROR(__xludf.DUMMYFUNCTION("""COMPUTED_VALUE"""),141.85)</f>
        <v>141.85</v>
      </c>
      <c r="E566" s="1">
        <f ca="1">IFERROR(__xludf.DUMMYFUNCTION("""COMPUTED_VALUE"""),142.41)</f>
        <v>142.41</v>
      </c>
      <c r="F566" s="1">
        <f ca="1">IFERROR(__xludf.DUMMYFUNCTION("""COMPUTED_VALUE"""),12403997)</f>
        <v>12403997</v>
      </c>
    </row>
    <row r="567" spans="1:6" x14ac:dyDescent="0.35">
      <c r="A567" s="2">
        <f ca="1">IFERROR(__xludf.DUMMYFUNCTION("""COMPUTED_VALUE"""),42825.6666666666)</f>
        <v>42825.666666666599</v>
      </c>
      <c r="B567" s="1">
        <f ca="1">IFERROR(__xludf.DUMMYFUNCTION("""COMPUTED_VALUE"""),142.31)</f>
        <v>142.31</v>
      </c>
      <c r="C567" s="1">
        <f ca="1">IFERROR(__xludf.DUMMYFUNCTION("""COMPUTED_VALUE"""),142.63)</f>
        <v>142.63</v>
      </c>
      <c r="D567" s="1">
        <f ca="1">IFERROR(__xludf.DUMMYFUNCTION("""COMPUTED_VALUE"""),141.89)</f>
        <v>141.88999999999999</v>
      </c>
      <c r="E567" s="1">
        <f ca="1">IFERROR(__xludf.DUMMYFUNCTION("""COMPUTED_VALUE"""),142.05)</f>
        <v>142.05000000000001</v>
      </c>
      <c r="F567" s="1">
        <f ca="1">IFERROR(__xludf.DUMMYFUNCTION("""COMPUTED_VALUE"""),11478265)</f>
        <v>11478265</v>
      </c>
    </row>
    <row r="568" spans="1:6" x14ac:dyDescent="0.35">
      <c r="A568" s="2">
        <f ca="1">IFERROR(__xludf.DUMMYFUNCTION("""COMPUTED_VALUE"""),42828.6666666666)</f>
        <v>42828.666666666599</v>
      </c>
      <c r="B568" s="1">
        <f ca="1">IFERROR(__xludf.DUMMYFUNCTION("""COMPUTED_VALUE"""),141.93)</f>
        <v>141.93</v>
      </c>
      <c r="C568" s="1">
        <f ca="1">IFERROR(__xludf.DUMMYFUNCTION("""COMPUTED_VALUE"""),142.47)</f>
        <v>142.47</v>
      </c>
      <c r="D568" s="1">
        <f ca="1">IFERROR(__xludf.DUMMYFUNCTION("""COMPUTED_VALUE"""),140.82)</f>
        <v>140.82</v>
      </c>
      <c r="E568" s="1">
        <f ca="1">IFERROR(__xludf.DUMMYFUNCTION("""COMPUTED_VALUE"""),142.28)</f>
        <v>142.28</v>
      </c>
      <c r="F568" s="1">
        <f ca="1">IFERROR(__xludf.DUMMYFUNCTION("""COMPUTED_VALUE"""),13563960)</f>
        <v>13563960</v>
      </c>
    </row>
    <row r="569" spans="1:6" x14ac:dyDescent="0.35">
      <c r="A569" s="2">
        <f ca="1">IFERROR(__xludf.DUMMYFUNCTION("""COMPUTED_VALUE"""),42829.6666666666)</f>
        <v>42829.666666666599</v>
      </c>
      <c r="B569" s="1">
        <f ca="1">IFERROR(__xludf.DUMMYFUNCTION("""COMPUTED_VALUE"""),141.86)</f>
        <v>141.86000000000001</v>
      </c>
      <c r="C569" s="1">
        <f ca="1">IFERROR(__xludf.DUMMYFUNCTION("""COMPUTED_VALUE"""),142.09)</f>
        <v>142.09</v>
      </c>
      <c r="D569" s="1">
        <f ca="1">IFERROR(__xludf.DUMMYFUNCTION("""COMPUTED_VALUE"""),141.27)</f>
        <v>141.27000000000001</v>
      </c>
      <c r="E569" s="1">
        <f ca="1">IFERROR(__xludf.DUMMYFUNCTION("""COMPUTED_VALUE"""),141.73)</f>
        <v>141.72999999999999</v>
      </c>
      <c r="F569" s="1">
        <f ca="1">IFERROR(__xludf.DUMMYFUNCTION("""COMPUTED_VALUE"""),12948599)</f>
        <v>12948599</v>
      </c>
    </row>
    <row r="570" spans="1:6" x14ac:dyDescent="0.35">
      <c r="A570" s="2">
        <f ca="1">IFERROR(__xludf.DUMMYFUNCTION("""COMPUTED_VALUE"""),42830.6666666666)</f>
        <v>42830.666666666599</v>
      </c>
      <c r="B570" s="1">
        <f ca="1">IFERROR(__xludf.DUMMYFUNCTION("""COMPUTED_VALUE"""),142.26)</f>
        <v>142.26</v>
      </c>
      <c r="C570" s="1">
        <f ca="1">IFERROR(__xludf.DUMMYFUNCTION("""COMPUTED_VALUE"""),143.44)</f>
        <v>143.44</v>
      </c>
      <c r="D570" s="1">
        <f ca="1">IFERROR(__xludf.DUMMYFUNCTION("""COMPUTED_VALUE"""),141.29)</f>
        <v>141.29</v>
      </c>
      <c r="E570" s="1">
        <f ca="1">IFERROR(__xludf.DUMMYFUNCTION("""COMPUTED_VALUE"""),141.85)</f>
        <v>141.85</v>
      </c>
      <c r="F570" s="1">
        <f ca="1">IFERROR(__xludf.DUMMYFUNCTION("""COMPUTED_VALUE"""),17158059)</f>
        <v>17158059</v>
      </c>
    </row>
    <row r="571" spans="1:6" x14ac:dyDescent="0.35">
      <c r="A571" s="2">
        <f ca="1">IFERROR(__xludf.DUMMYFUNCTION("""COMPUTED_VALUE"""),42831.6666666666)</f>
        <v>42831.666666666599</v>
      </c>
      <c r="B571" s="1">
        <f ca="1">IFERROR(__xludf.DUMMYFUNCTION("""COMPUTED_VALUE"""),142.11)</f>
        <v>142.11000000000001</v>
      </c>
      <c r="C571" s="1">
        <f ca="1">IFERROR(__xludf.DUMMYFUNCTION("""COMPUTED_VALUE"""),142.22)</f>
        <v>142.22</v>
      </c>
      <c r="D571" s="1">
        <f ca="1">IFERROR(__xludf.DUMMYFUNCTION("""COMPUTED_VALUE"""),140.91)</f>
        <v>140.91</v>
      </c>
      <c r="E571" s="1">
        <f ca="1">IFERROR(__xludf.DUMMYFUNCTION("""COMPUTED_VALUE"""),141.17)</f>
        <v>141.16999999999999</v>
      </c>
      <c r="F571" s="1">
        <f ca="1">IFERROR(__xludf.DUMMYFUNCTION("""COMPUTED_VALUE"""),15103426)</f>
        <v>15103426</v>
      </c>
    </row>
    <row r="572" spans="1:6" x14ac:dyDescent="0.35">
      <c r="A572" s="2">
        <f ca="1">IFERROR(__xludf.DUMMYFUNCTION("""COMPUTED_VALUE"""),42832.6666666666)</f>
        <v>42832.666666666599</v>
      </c>
      <c r="B572" s="1">
        <f ca="1">IFERROR(__xludf.DUMMYFUNCTION("""COMPUTED_VALUE"""),141.2)</f>
        <v>141.19999999999999</v>
      </c>
      <c r="C572" s="1">
        <f ca="1">IFERROR(__xludf.DUMMYFUNCTION("""COMPUTED_VALUE"""),141.55)</f>
        <v>141.55000000000001</v>
      </c>
      <c r="D572" s="1">
        <f ca="1">IFERROR(__xludf.DUMMYFUNCTION("""COMPUTED_VALUE"""),140.24)</f>
        <v>140.24</v>
      </c>
      <c r="E572" s="1">
        <f ca="1">IFERROR(__xludf.DUMMYFUNCTION("""COMPUTED_VALUE"""),140.78)</f>
        <v>140.78</v>
      </c>
      <c r="F572" s="1">
        <f ca="1">IFERROR(__xludf.DUMMYFUNCTION("""COMPUTED_VALUE"""),11818341)</f>
        <v>11818341</v>
      </c>
    </row>
    <row r="573" spans="1:6" x14ac:dyDescent="0.35">
      <c r="A573" s="2">
        <f ca="1">IFERROR(__xludf.DUMMYFUNCTION("""COMPUTED_VALUE"""),42835.6666666666)</f>
        <v>42835.666666666599</v>
      </c>
      <c r="B573" s="1">
        <f ca="1">IFERROR(__xludf.DUMMYFUNCTION("""COMPUTED_VALUE"""),141)</f>
        <v>141</v>
      </c>
      <c r="C573" s="1">
        <f ca="1">IFERROR(__xludf.DUMMYFUNCTION("""COMPUTED_VALUE"""),141.43)</f>
        <v>141.43</v>
      </c>
      <c r="D573" s="1">
        <f ca="1">IFERROR(__xludf.DUMMYFUNCTION("""COMPUTED_VALUE"""),140.63)</f>
        <v>140.63</v>
      </c>
      <c r="E573" s="1">
        <f ca="1">IFERROR(__xludf.DUMMYFUNCTION("""COMPUTED_VALUE"""),141.04)</f>
        <v>141.04</v>
      </c>
      <c r="F573" s="1">
        <f ca="1">IFERROR(__xludf.DUMMYFUNCTION("""COMPUTED_VALUE"""),9039366)</f>
        <v>9039366</v>
      </c>
    </row>
    <row r="574" spans="1:6" x14ac:dyDescent="0.35">
      <c r="A574" s="2">
        <f ca="1">IFERROR(__xludf.DUMMYFUNCTION("""COMPUTED_VALUE"""),42836.6666666666)</f>
        <v>42836.666666666599</v>
      </c>
      <c r="B574" s="1">
        <f ca="1">IFERROR(__xludf.DUMMYFUNCTION("""COMPUTED_VALUE"""),140.8)</f>
        <v>140.80000000000001</v>
      </c>
      <c r="C574" s="1">
        <f ca="1">IFERROR(__xludf.DUMMYFUNCTION("""COMPUTED_VALUE"""),141.03)</f>
        <v>141.03</v>
      </c>
      <c r="D574" s="1">
        <f ca="1">IFERROR(__xludf.DUMMYFUNCTION("""COMPUTED_VALUE"""),138.81)</f>
        <v>138.81</v>
      </c>
      <c r="E574" s="1">
        <f ca="1">IFERROR(__xludf.DUMMYFUNCTION("""COMPUTED_VALUE"""),139.92)</f>
        <v>139.91999999999999</v>
      </c>
      <c r="F574" s="1">
        <f ca="1">IFERROR(__xludf.DUMMYFUNCTION("""COMPUTED_VALUE"""),16638087)</f>
        <v>16638087</v>
      </c>
    </row>
    <row r="575" spans="1:6" x14ac:dyDescent="0.35">
      <c r="A575" s="2">
        <f ca="1">IFERROR(__xludf.DUMMYFUNCTION("""COMPUTED_VALUE"""),42837.6666666666)</f>
        <v>42837.666666666599</v>
      </c>
      <c r="B575" s="1">
        <f ca="1">IFERROR(__xludf.DUMMYFUNCTION("""COMPUTED_VALUE"""),139.72)</f>
        <v>139.72</v>
      </c>
      <c r="C575" s="1">
        <f ca="1">IFERROR(__xludf.DUMMYFUNCTION("""COMPUTED_VALUE"""),140.4)</f>
        <v>140.4</v>
      </c>
      <c r="D575" s="1">
        <f ca="1">IFERROR(__xludf.DUMMYFUNCTION("""COMPUTED_VALUE"""),139.44)</f>
        <v>139.44</v>
      </c>
      <c r="E575" s="1">
        <f ca="1">IFERROR(__xludf.DUMMYFUNCTION("""COMPUTED_VALUE"""),139.58)</f>
        <v>139.58000000000001</v>
      </c>
      <c r="F575" s="1">
        <f ca="1">IFERROR(__xludf.DUMMYFUNCTION("""COMPUTED_VALUE"""),11612456)</f>
        <v>11612456</v>
      </c>
    </row>
    <row r="576" spans="1:6" x14ac:dyDescent="0.35">
      <c r="A576" s="2">
        <f ca="1">IFERROR(__xludf.DUMMYFUNCTION("""COMPUTED_VALUE"""),42838.6666666666)</f>
        <v>42838.666666666599</v>
      </c>
      <c r="B576" s="1">
        <f ca="1">IFERROR(__xludf.DUMMYFUNCTION("""COMPUTED_VALUE"""),139.62)</f>
        <v>139.62</v>
      </c>
      <c r="C576" s="1">
        <f ca="1">IFERROR(__xludf.DUMMYFUNCTION("""COMPUTED_VALUE"""),140.58)</f>
        <v>140.58000000000001</v>
      </c>
      <c r="D576" s="1">
        <f ca="1">IFERROR(__xludf.DUMMYFUNCTION("""COMPUTED_VALUE"""),139.33)</f>
        <v>139.33000000000001</v>
      </c>
      <c r="E576" s="1">
        <f ca="1">IFERROR(__xludf.DUMMYFUNCTION("""COMPUTED_VALUE"""),139.39)</f>
        <v>139.38999999999999</v>
      </c>
      <c r="F576" s="1">
        <f ca="1">IFERROR(__xludf.DUMMYFUNCTION("""COMPUTED_VALUE"""),10965614)</f>
        <v>10965614</v>
      </c>
    </row>
    <row r="577" spans="1:6" x14ac:dyDescent="0.35">
      <c r="A577" s="2">
        <f ca="1">IFERROR(__xludf.DUMMYFUNCTION("""COMPUTED_VALUE"""),42842.6666666666)</f>
        <v>42842.666666666599</v>
      </c>
      <c r="B577" s="1">
        <f ca="1">IFERROR(__xludf.DUMMYFUNCTION("""COMPUTED_VALUE"""),139.76)</f>
        <v>139.76</v>
      </c>
      <c r="C577" s="1">
        <f ca="1">IFERROR(__xludf.DUMMYFUNCTION("""COMPUTED_VALUE"""),141.55)</f>
        <v>141.55000000000001</v>
      </c>
      <c r="D577" s="1">
        <f ca="1">IFERROR(__xludf.DUMMYFUNCTION("""COMPUTED_VALUE"""),139.75)</f>
        <v>139.75</v>
      </c>
      <c r="E577" s="1">
        <f ca="1">IFERROR(__xludf.DUMMYFUNCTION("""COMPUTED_VALUE"""),141.42)</f>
        <v>141.41999999999999</v>
      </c>
      <c r="F577" s="1">
        <f ca="1">IFERROR(__xludf.DUMMYFUNCTION("""COMPUTED_VALUE"""),11519663)</f>
        <v>11519663</v>
      </c>
    </row>
    <row r="578" spans="1:6" x14ac:dyDescent="0.35">
      <c r="A578" s="2">
        <f ca="1">IFERROR(__xludf.DUMMYFUNCTION("""COMPUTED_VALUE"""),42843.6666666666)</f>
        <v>42843.666666666599</v>
      </c>
      <c r="B578" s="1">
        <f ca="1">IFERROR(__xludf.DUMMYFUNCTION("""COMPUTED_VALUE"""),141.27)</f>
        <v>141.27000000000001</v>
      </c>
      <c r="C578" s="1">
        <f ca="1">IFERROR(__xludf.DUMMYFUNCTION("""COMPUTED_VALUE"""),141.91)</f>
        <v>141.91</v>
      </c>
      <c r="D578" s="1">
        <f ca="1">IFERROR(__xludf.DUMMYFUNCTION("""COMPUTED_VALUE"""),140.61)</f>
        <v>140.61000000000001</v>
      </c>
      <c r="E578" s="1">
        <f ca="1">IFERROR(__xludf.DUMMYFUNCTION("""COMPUTED_VALUE"""),140.96)</f>
        <v>140.96</v>
      </c>
      <c r="F578" s="1">
        <f ca="1">IFERROR(__xludf.DUMMYFUNCTION("""COMPUTED_VALUE"""),14807472)</f>
        <v>14807472</v>
      </c>
    </row>
    <row r="579" spans="1:6" x14ac:dyDescent="0.35">
      <c r="A579" s="2">
        <f ca="1">IFERROR(__xludf.DUMMYFUNCTION("""COMPUTED_VALUE"""),42844.6666666666)</f>
        <v>42844.666666666599</v>
      </c>
      <c r="B579" s="1">
        <f ca="1">IFERROR(__xludf.DUMMYFUNCTION("""COMPUTED_VALUE"""),141.35)</f>
        <v>141.35</v>
      </c>
      <c r="C579" s="1">
        <f ca="1">IFERROR(__xludf.DUMMYFUNCTION("""COMPUTED_VALUE"""),143.04)</f>
        <v>143.04</v>
      </c>
      <c r="D579" s="1">
        <f ca="1">IFERROR(__xludf.DUMMYFUNCTION("""COMPUTED_VALUE"""),141.27)</f>
        <v>141.27000000000001</v>
      </c>
      <c r="E579" s="1">
        <f ca="1">IFERROR(__xludf.DUMMYFUNCTION("""COMPUTED_VALUE"""),142.27)</f>
        <v>142.27000000000001</v>
      </c>
      <c r="F579" s="1">
        <f ca="1">IFERROR(__xludf.DUMMYFUNCTION("""COMPUTED_VALUE"""),15563945)</f>
        <v>15563945</v>
      </c>
    </row>
    <row r="580" spans="1:6" x14ac:dyDescent="0.35">
      <c r="A580" s="2">
        <f ca="1">IFERROR(__xludf.DUMMYFUNCTION("""COMPUTED_VALUE"""),42845.6666666666)</f>
        <v>42845.666666666599</v>
      </c>
      <c r="B580" s="1">
        <f ca="1">IFERROR(__xludf.DUMMYFUNCTION("""COMPUTED_VALUE"""),142.95)</f>
        <v>142.94999999999999</v>
      </c>
      <c r="C580" s="1">
        <f ca="1">IFERROR(__xludf.DUMMYFUNCTION("""COMPUTED_VALUE"""),144.25)</f>
        <v>144.25</v>
      </c>
      <c r="D580" s="1">
        <f ca="1">IFERROR(__xludf.DUMMYFUNCTION("""COMPUTED_VALUE"""),142.69)</f>
        <v>142.69</v>
      </c>
      <c r="E580" s="1">
        <f ca="1">IFERROR(__xludf.DUMMYFUNCTION("""COMPUTED_VALUE"""),143.8)</f>
        <v>143.80000000000001</v>
      </c>
      <c r="F580" s="1">
        <f ca="1">IFERROR(__xludf.DUMMYFUNCTION("""COMPUTED_VALUE"""),15968164)</f>
        <v>15968164</v>
      </c>
    </row>
    <row r="581" spans="1:6" x14ac:dyDescent="0.35">
      <c r="A581" s="2">
        <f ca="1">IFERROR(__xludf.DUMMYFUNCTION("""COMPUTED_VALUE"""),42846.6666666666)</f>
        <v>42846.666666666599</v>
      </c>
      <c r="B581" s="1">
        <f ca="1">IFERROR(__xludf.DUMMYFUNCTION("""COMPUTED_VALUE"""),143.9)</f>
        <v>143.9</v>
      </c>
      <c r="C581" s="1">
        <f ca="1">IFERROR(__xludf.DUMMYFUNCTION("""COMPUTED_VALUE"""),144.17)</f>
        <v>144.16999999999999</v>
      </c>
      <c r="D581" s="1">
        <f ca="1">IFERROR(__xludf.DUMMYFUNCTION("""COMPUTED_VALUE"""),142.27)</f>
        <v>142.27000000000001</v>
      </c>
      <c r="E581" s="1">
        <f ca="1">IFERROR(__xludf.DUMMYFUNCTION("""COMPUTED_VALUE"""),143.68)</f>
        <v>143.68</v>
      </c>
      <c r="F581" s="1">
        <f ca="1">IFERROR(__xludf.DUMMYFUNCTION("""COMPUTED_VALUE"""),12382002)</f>
        <v>12382002</v>
      </c>
    </row>
    <row r="582" spans="1:6" x14ac:dyDescent="0.35">
      <c r="A582" s="2">
        <f ca="1">IFERROR(__xludf.DUMMYFUNCTION("""COMPUTED_VALUE"""),42849.6666666666)</f>
        <v>42849.666666666599</v>
      </c>
      <c r="B582" s="1">
        <f ca="1">IFERROR(__xludf.DUMMYFUNCTION("""COMPUTED_VALUE"""),144.96)</f>
        <v>144.96</v>
      </c>
      <c r="C582" s="1">
        <f ca="1">IFERROR(__xludf.DUMMYFUNCTION("""COMPUTED_VALUE"""),145.67)</f>
        <v>145.66999999999999</v>
      </c>
      <c r="D582" s="1">
        <f ca="1">IFERROR(__xludf.DUMMYFUNCTION("""COMPUTED_VALUE"""),144.34)</f>
        <v>144.34</v>
      </c>
      <c r="E582" s="1">
        <f ca="1">IFERROR(__xludf.DUMMYFUNCTION("""COMPUTED_VALUE"""),145.47)</f>
        <v>145.47</v>
      </c>
      <c r="F582" s="1">
        <f ca="1">IFERROR(__xludf.DUMMYFUNCTION("""COMPUTED_VALUE"""),14407175)</f>
        <v>14407175</v>
      </c>
    </row>
    <row r="583" spans="1:6" x14ac:dyDescent="0.35">
      <c r="A583" s="2">
        <f ca="1">IFERROR(__xludf.DUMMYFUNCTION("""COMPUTED_VALUE"""),42850.6666666666)</f>
        <v>42850.666666666599</v>
      </c>
      <c r="B583" s="1">
        <f ca="1">IFERROR(__xludf.DUMMYFUNCTION("""COMPUTED_VALUE"""),145.79)</f>
        <v>145.79</v>
      </c>
      <c r="C583" s="1">
        <f ca="1">IFERROR(__xludf.DUMMYFUNCTION("""COMPUTED_VALUE"""),147.15)</f>
        <v>147.15</v>
      </c>
      <c r="D583" s="1">
        <f ca="1">IFERROR(__xludf.DUMMYFUNCTION("""COMPUTED_VALUE"""),145.79)</f>
        <v>145.79</v>
      </c>
      <c r="E583" s="1">
        <f ca="1">IFERROR(__xludf.DUMMYFUNCTION("""COMPUTED_VALUE"""),146.49)</f>
        <v>146.49</v>
      </c>
      <c r="F583" s="1">
        <f ca="1">IFERROR(__xludf.DUMMYFUNCTION("""COMPUTED_VALUE"""),17767523)</f>
        <v>17767523</v>
      </c>
    </row>
    <row r="584" spans="1:6" x14ac:dyDescent="0.35">
      <c r="A584" s="2">
        <f ca="1">IFERROR(__xludf.DUMMYFUNCTION("""COMPUTED_VALUE"""),42851.6666666666)</f>
        <v>42851.666666666599</v>
      </c>
      <c r="B584" s="1">
        <f ca="1">IFERROR(__xludf.DUMMYFUNCTION("""COMPUTED_VALUE"""),147.09)</f>
        <v>147.09</v>
      </c>
      <c r="C584" s="1">
        <f ca="1">IFERROR(__xludf.DUMMYFUNCTION("""COMPUTED_VALUE"""),147.59)</f>
        <v>147.59</v>
      </c>
      <c r="D584" s="1">
        <f ca="1">IFERROR(__xludf.DUMMYFUNCTION("""COMPUTED_VALUE"""),146.09)</f>
        <v>146.09</v>
      </c>
      <c r="E584" s="1">
        <f ca="1">IFERROR(__xludf.DUMMYFUNCTION("""COMPUTED_VALUE"""),146.56)</f>
        <v>146.56</v>
      </c>
      <c r="F584" s="1">
        <f ca="1">IFERROR(__xludf.DUMMYFUNCTION("""COMPUTED_VALUE"""),12394959)</f>
        <v>12394959</v>
      </c>
    </row>
    <row r="585" spans="1:6" x14ac:dyDescent="0.35">
      <c r="A585" s="2">
        <f ca="1">IFERROR(__xludf.DUMMYFUNCTION("""COMPUTED_VALUE"""),42852.6666666666)</f>
        <v>42852.666666666599</v>
      </c>
      <c r="B585" s="1">
        <f ca="1">IFERROR(__xludf.DUMMYFUNCTION("""COMPUTED_VALUE"""),146.67)</f>
        <v>146.66999999999999</v>
      </c>
      <c r="C585" s="1">
        <f ca="1">IFERROR(__xludf.DUMMYFUNCTION("""COMPUTED_VALUE"""),147.75)</f>
        <v>147.75</v>
      </c>
      <c r="D585" s="1">
        <f ca="1">IFERROR(__xludf.DUMMYFUNCTION("""COMPUTED_VALUE"""),146.14)</f>
        <v>146.13999999999999</v>
      </c>
      <c r="E585" s="1">
        <f ca="1">IFERROR(__xludf.DUMMYFUNCTION("""COMPUTED_VALUE"""),147.7)</f>
        <v>147.69999999999999</v>
      </c>
      <c r="F585" s="1">
        <f ca="1">IFERROR(__xludf.DUMMYFUNCTION("""COMPUTED_VALUE"""),11275112)</f>
        <v>11275112</v>
      </c>
    </row>
    <row r="586" spans="1:6" x14ac:dyDescent="0.35">
      <c r="A586" s="2">
        <f ca="1">IFERROR(__xludf.DUMMYFUNCTION("""COMPUTED_VALUE"""),42853.6666666666)</f>
        <v>42853.666666666599</v>
      </c>
      <c r="B586" s="1">
        <f ca="1">IFERROR(__xludf.DUMMYFUNCTION("""COMPUTED_VALUE"""),149.5)</f>
        <v>149.5</v>
      </c>
      <c r="C586" s="1">
        <f ca="1">IFERROR(__xludf.DUMMYFUNCTION("""COMPUTED_VALUE"""),151.53)</f>
        <v>151.53</v>
      </c>
      <c r="D586" s="1">
        <f ca="1">IFERROR(__xludf.DUMMYFUNCTION("""COMPUTED_VALUE"""),149.07)</f>
        <v>149.07</v>
      </c>
      <c r="E586" s="1">
        <f ca="1">IFERROR(__xludf.DUMMYFUNCTION("""COMPUTED_VALUE"""),150.25)</f>
        <v>150.25</v>
      </c>
      <c r="F586" s="1">
        <f ca="1">IFERROR(__xludf.DUMMYFUNCTION("""COMPUTED_VALUE"""),30652248)</f>
        <v>30652248</v>
      </c>
    </row>
    <row r="587" spans="1:6" x14ac:dyDescent="0.35">
      <c r="A587" s="2">
        <f ca="1">IFERROR(__xludf.DUMMYFUNCTION("""COMPUTED_VALUE"""),42856.6666666666)</f>
        <v>42856.666666666599</v>
      </c>
      <c r="B587" s="1">
        <f ca="1">IFERROR(__xludf.DUMMYFUNCTION("""COMPUTED_VALUE"""),151.74)</f>
        <v>151.74</v>
      </c>
      <c r="C587" s="1">
        <f ca="1">IFERROR(__xludf.DUMMYFUNCTION("""COMPUTED_VALUE"""),152.57)</f>
        <v>152.57</v>
      </c>
      <c r="D587" s="1">
        <f ca="1">IFERROR(__xludf.DUMMYFUNCTION("""COMPUTED_VALUE"""),151.42)</f>
        <v>151.41999999999999</v>
      </c>
      <c r="E587" s="1">
        <f ca="1">IFERROR(__xludf.DUMMYFUNCTION("""COMPUTED_VALUE"""),152.46)</f>
        <v>152.46</v>
      </c>
      <c r="F587" s="1">
        <f ca="1">IFERROR(__xludf.DUMMYFUNCTION("""COMPUTED_VALUE"""),25218300)</f>
        <v>25218300</v>
      </c>
    </row>
    <row r="588" spans="1:6" x14ac:dyDescent="0.35">
      <c r="A588" s="2">
        <f ca="1">IFERROR(__xludf.DUMMYFUNCTION("""COMPUTED_VALUE"""),42857.6666666666)</f>
        <v>42857.666666666599</v>
      </c>
      <c r="B588" s="1">
        <f ca="1">IFERROR(__xludf.DUMMYFUNCTION("""COMPUTED_VALUE"""),153.34)</f>
        <v>153.34</v>
      </c>
      <c r="C588" s="1">
        <f ca="1">IFERROR(__xludf.DUMMYFUNCTION("""COMPUTED_VALUE"""),153.44)</f>
        <v>153.44</v>
      </c>
      <c r="D588" s="1">
        <f ca="1">IFERROR(__xludf.DUMMYFUNCTION("""COMPUTED_VALUE"""),151.66)</f>
        <v>151.66</v>
      </c>
      <c r="E588" s="1">
        <f ca="1">IFERROR(__xludf.DUMMYFUNCTION("""COMPUTED_VALUE"""),152.78)</f>
        <v>152.78</v>
      </c>
      <c r="F588" s="1">
        <f ca="1">IFERROR(__xludf.DUMMYFUNCTION("""COMPUTED_VALUE"""),21870380)</f>
        <v>21870380</v>
      </c>
    </row>
    <row r="589" spans="1:6" x14ac:dyDescent="0.35">
      <c r="A589" s="2">
        <f ca="1">IFERROR(__xludf.DUMMYFUNCTION("""COMPUTED_VALUE"""),42858.6666666666)</f>
        <v>42858.666666666599</v>
      </c>
      <c r="B589" s="1">
        <f ca="1">IFERROR(__xludf.DUMMYFUNCTION("""COMPUTED_VALUE"""),153.6)</f>
        <v>153.6</v>
      </c>
      <c r="C589" s="1">
        <f ca="1">IFERROR(__xludf.DUMMYFUNCTION("""COMPUTED_VALUE"""),153.6)</f>
        <v>153.6</v>
      </c>
      <c r="D589" s="1">
        <f ca="1">IFERROR(__xludf.DUMMYFUNCTION("""COMPUTED_VALUE"""),151.34)</f>
        <v>151.34</v>
      </c>
      <c r="E589" s="1">
        <f ca="1">IFERROR(__xludf.DUMMYFUNCTION("""COMPUTED_VALUE"""),151.8)</f>
        <v>151.80000000000001</v>
      </c>
      <c r="F589" s="1">
        <f ca="1">IFERROR(__xludf.DUMMYFUNCTION("""COMPUTED_VALUE"""),29782492)</f>
        <v>29782492</v>
      </c>
    </row>
    <row r="590" spans="1:6" x14ac:dyDescent="0.35">
      <c r="A590" s="2">
        <f ca="1">IFERROR(__xludf.DUMMYFUNCTION("""COMPUTED_VALUE"""),42859.6666666666)</f>
        <v>42859.666666666599</v>
      </c>
      <c r="B590" s="1">
        <f ca="1">IFERROR(__xludf.DUMMYFUNCTION("""COMPUTED_VALUE"""),150.17)</f>
        <v>150.16999999999999</v>
      </c>
      <c r="C590" s="1">
        <f ca="1">IFERROR(__xludf.DUMMYFUNCTION("""COMPUTED_VALUE"""),151.52)</f>
        <v>151.52000000000001</v>
      </c>
      <c r="D590" s="1">
        <f ca="1">IFERROR(__xludf.DUMMYFUNCTION("""COMPUTED_VALUE"""),148.72)</f>
        <v>148.72</v>
      </c>
      <c r="E590" s="1">
        <f ca="1">IFERROR(__xludf.DUMMYFUNCTION("""COMPUTED_VALUE"""),150.85)</f>
        <v>150.85</v>
      </c>
      <c r="F590" s="1">
        <f ca="1">IFERROR(__xludf.DUMMYFUNCTION("""COMPUTED_VALUE"""),36225452)</f>
        <v>36225452</v>
      </c>
    </row>
    <row r="591" spans="1:6" x14ac:dyDescent="0.35">
      <c r="A591" s="2">
        <f ca="1">IFERROR(__xludf.DUMMYFUNCTION("""COMPUTED_VALUE"""),42860.6666666666)</f>
        <v>42860.666666666599</v>
      </c>
      <c r="B591" s="1">
        <f ca="1">IFERROR(__xludf.DUMMYFUNCTION("""COMPUTED_VALUE"""),151.45)</f>
        <v>151.44999999999999</v>
      </c>
      <c r="C591" s="1">
        <f ca="1">IFERROR(__xludf.DUMMYFUNCTION("""COMPUTED_VALUE"""),151.63)</f>
        <v>151.63</v>
      </c>
      <c r="D591" s="1">
        <f ca="1">IFERROR(__xludf.DUMMYFUNCTION("""COMPUTED_VALUE"""),149.79)</f>
        <v>149.79</v>
      </c>
      <c r="E591" s="1">
        <f ca="1">IFERROR(__xludf.DUMMYFUNCTION("""COMPUTED_VALUE"""),150.24)</f>
        <v>150.24</v>
      </c>
      <c r="F591" s="1">
        <f ca="1">IFERROR(__xludf.DUMMYFUNCTION("""COMPUTED_VALUE"""),17148543)</f>
        <v>17148543</v>
      </c>
    </row>
    <row r="592" spans="1:6" x14ac:dyDescent="0.35">
      <c r="A592" s="2">
        <f ca="1">IFERROR(__xludf.DUMMYFUNCTION("""COMPUTED_VALUE"""),42863.6666666666)</f>
        <v>42863.666666666599</v>
      </c>
      <c r="B592" s="1">
        <f ca="1">IFERROR(__xludf.DUMMYFUNCTION("""COMPUTED_VALUE"""),150.71)</f>
        <v>150.71</v>
      </c>
      <c r="C592" s="1">
        <f ca="1">IFERROR(__xludf.DUMMYFUNCTION("""COMPUTED_VALUE"""),151.08)</f>
        <v>151.08000000000001</v>
      </c>
      <c r="D592" s="1">
        <f ca="1">IFERROR(__xludf.DUMMYFUNCTION("""COMPUTED_VALUE"""),149.74)</f>
        <v>149.74</v>
      </c>
      <c r="E592" s="1">
        <f ca="1">IFERROR(__xludf.DUMMYFUNCTION("""COMPUTED_VALUE"""),151.06)</f>
        <v>151.06</v>
      </c>
      <c r="F592" s="1">
        <f ca="1">IFERROR(__xludf.DUMMYFUNCTION("""COMPUTED_VALUE"""),15827488)</f>
        <v>15827488</v>
      </c>
    </row>
    <row r="593" spans="1:6" x14ac:dyDescent="0.35">
      <c r="A593" s="2">
        <f ca="1">IFERROR(__xludf.DUMMYFUNCTION("""COMPUTED_VALUE"""),42864.6666666666)</f>
        <v>42864.666666666599</v>
      </c>
      <c r="B593" s="1">
        <f ca="1">IFERROR(__xludf.DUMMYFUNCTION("""COMPUTED_VALUE"""),151.49)</f>
        <v>151.49</v>
      </c>
      <c r="C593" s="1">
        <f ca="1">IFERROR(__xludf.DUMMYFUNCTION("""COMPUTED_VALUE"""),152.59)</f>
        <v>152.59</v>
      </c>
      <c r="D593" s="1">
        <f ca="1">IFERROR(__xludf.DUMMYFUNCTION("""COMPUTED_VALUE"""),150.21)</f>
        <v>150.21</v>
      </c>
      <c r="E593" s="1">
        <f ca="1">IFERROR(__xludf.DUMMYFUNCTION("""COMPUTED_VALUE"""),150.48)</f>
        <v>150.47999999999999</v>
      </c>
      <c r="F593" s="1">
        <f ca="1">IFERROR(__xludf.DUMMYFUNCTION("""COMPUTED_VALUE"""),17453859)</f>
        <v>17453859</v>
      </c>
    </row>
    <row r="594" spans="1:6" x14ac:dyDescent="0.35">
      <c r="A594" s="2">
        <f ca="1">IFERROR(__xludf.DUMMYFUNCTION("""COMPUTED_VALUE"""),42865.6666666666)</f>
        <v>42865.666666666599</v>
      </c>
      <c r="B594" s="1">
        <f ca="1">IFERROR(__xludf.DUMMYFUNCTION("""COMPUTED_VALUE"""),150.23)</f>
        <v>150.22999999999999</v>
      </c>
      <c r="C594" s="1">
        <f ca="1">IFERROR(__xludf.DUMMYFUNCTION("""COMPUTED_VALUE"""),150.52)</f>
        <v>150.52000000000001</v>
      </c>
      <c r="D594" s="1">
        <f ca="1">IFERROR(__xludf.DUMMYFUNCTION("""COMPUTED_VALUE"""),148.86)</f>
        <v>148.86000000000001</v>
      </c>
      <c r="E594" s="1">
        <f ca="1">IFERROR(__xludf.DUMMYFUNCTION("""COMPUTED_VALUE"""),150.29)</f>
        <v>150.29</v>
      </c>
      <c r="F594" s="1">
        <f ca="1">IFERROR(__xludf.DUMMYFUNCTION("""COMPUTED_VALUE"""),12080650)</f>
        <v>12080650</v>
      </c>
    </row>
    <row r="595" spans="1:6" x14ac:dyDescent="0.35">
      <c r="A595" s="2">
        <f ca="1">IFERROR(__xludf.DUMMYFUNCTION("""COMPUTED_VALUE"""),42866.6666666666)</f>
        <v>42866.666666666599</v>
      </c>
      <c r="B595" s="1">
        <f ca="1">IFERROR(__xludf.DUMMYFUNCTION("""COMPUTED_VALUE"""),150.31)</f>
        <v>150.31</v>
      </c>
      <c r="C595" s="1">
        <f ca="1">IFERROR(__xludf.DUMMYFUNCTION("""COMPUTED_VALUE"""),150.65)</f>
        <v>150.65</v>
      </c>
      <c r="D595" s="1">
        <f ca="1">IFERROR(__xludf.DUMMYFUNCTION("""COMPUTED_VALUE"""),149.41)</f>
        <v>149.41</v>
      </c>
      <c r="E595" s="1">
        <f ca="1">IFERROR(__xludf.DUMMYFUNCTION("""COMPUTED_VALUE"""),150.04)</f>
        <v>150.04</v>
      </c>
      <c r="F595" s="1">
        <f ca="1">IFERROR(__xludf.DUMMYFUNCTION("""COMPUTED_VALUE"""),11841864)</f>
        <v>11841864</v>
      </c>
    </row>
    <row r="596" spans="1:6" x14ac:dyDescent="0.35">
      <c r="A596" s="2">
        <f ca="1">IFERROR(__xludf.DUMMYFUNCTION("""COMPUTED_VALUE"""),42867.6666666666)</f>
        <v>42867.666666666599</v>
      </c>
      <c r="B596" s="1">
        <f ca="1">IFERROR(__xludf.DUMMYFUNCTION("""COMPUTED_VALUE"""),150.4)</f>
        <v>150.4</v>
      </c>
      <c r="C596" s="1">
        <f ca="1">IFERROR(__xludf.DUMMYFUNCTION("""COMPUTED_VALUE"""),150.46)</f>
        <v>150.46</v>
      </c>
      <c r="D596" s="1">
        <f ca="1">IFERROR(__xludf.DUMMYFUNCTION("""COMPUTED_VALUE"""),149.63)</f>
        <v>149.63</v>
      </c>
      <c r="E596" s="1">
        <f ca="1">IFERROR(__xludf.DUMMYFUNCTION("""COMPUTED_VALUE"""),150.33)</f>
        <v>150.33000000000001</v>
      </c>
      <c r="F596" s="1">
        <f ca="1">IFERROR(__xludf.DUMMYFUNCTION("""COMPUTED_VALUE"""),9598229)</f>
        <v>9598229</v>
      </c>
    </row>
    <row r="597" spans="1:6" x14ac:dyDescent="0.35">
      <c r="A597" s="2">
        <f ca="1">IFERROR(__xludf.DUMMYFUNCTION("""COMPUTED_VALUE"""),42870.6666666666)</f>
        <v>42870.666666666599</v>
      </c>
      <c r="B597" s="1">
        <f ca="1">IFERROR(__xludf.DUMMYFUNCTION("""COMPUTED_VALUE"""),150.17)</f>
        <v>150.16999999999999</v>
      </c>
      <c r="C597" s="1">
        <f ca="1">IFERROR(__xludf.DUMMYFUNCTION("""COMPUTED_VALUE"""),151.48)</f>
        <v>151.47999999999999</v>
      </c>
      <c r="D597" s="1">
        <f ca="1">IFERROR(__xludf.DUMMYFUNCTION("""COMPUTED_VALUE"""),149.77)</f>
        <v>149.77000000000001</v>
      </c>
      <c r="E597" s="1">
        <f ca="1">IFERROR(__xludf.DUMMYFUNCTION("""COMPUTED_VALUE"""),150.19)</f>
        <v>150.19</v>
      </c>
      <c r="F597" s="1">
        <f ca="1">IFERROR(__xludf.DUMMYFUNCTION("""COMPUTED_VALUE"""),15064664)</f>
        <v>15064664</v>
      </c>
    </row>
    <row r="598" spans="1:6" x14ac:dyDescent="0.35">
      <c r="A598" s="2">
        <f ca="1">IFERROR(__xludf.DUMMYFUNCTION("""COMPUTED_VALUE"""),42871.6666666666)</f>
        <v>42871.666666666599</v>
      </c>
      <c r="B598" s="1">
        <f ca="1">IFERROR(__xludf.DUMMYFUNCTION("""COMPUTED_VALUE"""),150.11)</f>
        <v>150.11000000000001</v>
      </c>
      <c r="C598" s="1">
        <f ca="1">IFERROR(__xludf.DUMMYFUNCTION("""COMPUTED_VALUE"""),150.21)</f>
        <v>150.21</v>
      </c>
      <c r="D598" s="1">
        <f ca="1">IFERROR(__xludf.DUMMYFUNCTION("""COMPUTED_VALUE"""),149.03)</f>
        <v>149.03</v>
      </c>
      <c r="E598" s="1">
        <f ca="1">IFERROR(__xludf.DUMMYFUNCTION("""COMPUTED_VALUE"""),149.78)</f>
        <v>149.78</v>
      </c>
      <c r="F598" s="1">
        <f ca="1">IFERROR(__xludf.DUMMYFUNCTION("""COMPUTED_VALUE"""),14550830)</f>
        <v>14550830</v>
      </c>
    </row>
    <row r="599" spans="1:6" x14ac:dyDescent="0.35">
      <c r="A599" s="2">
        <f ca="1">IFERROR(__xludf.DUMMYFUNCTION("""COMPUTED_VALUE"""),42872.6666666666)</f>
        <v>42872.666666666599</v>
      </c>
      <c r="B599" s="1">
        <f ca="1">IFERROR(__xludf.DUMMYFUNCTION("""COMPUTED_VALUE"""),148)</f>
        <v>148</v>
      </c>
      <c r="C599" s="1">
        <f ca="1">IFERROR(__xludf.DUMMYFUNCTION("""COMPUTED_VALUE"""),148.67)</f>
        <v>148.66999999999999</v>
      </c>
      <c r="D599" s="1">
        <f ca="1">IFERROR(__xludf.DUMMYFUNCTION("""COMPUTED_VALUE"""),144.42)</f>
        <v>144.41999999999999</v>
      </c>
      <c r="E599" s="1">
        <f ca="1">IFERROR(__xludf.DUMMYFUNCTION("""COMPUTED_VALUE"""),144.85)</f>
        <v>144.85</v>
      </c>
      <c r="F599" s="1">
        <f ca="1">IFERROR(__xludf.DUMMYFUNCTION("""COMPUTED_VALUE"""),28300050)</f>
        <v>28300050</v>
      </c>
    </row>
    <row r="600" spans="1:6" x14ac:dyDescent="0.35">
      <c r="A600" s="2">
        <f ca="1">IFERROR(__xludf.DUMMYFUNCTION("""COMPUTED_VALUE"""),42873.6666666666)</f>
        <v>42873.666666666599</v>
      </c>
      <c r="B600" s="1">
        <f ca="1">IFERROR(__xludf.DUMMYFUNCTION("""COMPUTED_VALUE"""),144.72)</f>
        <v>144.72</v>
      </c>
      <c r="C600" s="1">
        <f ca="1">IFERROR(__xludf.DUMMYFUNCTION("""COMPUTED_VALUE"""),148.15)</f>
        <v>148.15</v>
      </c>
      <c r="D600" s="1">
        <f ca="1">IFERROR(__xludf.DUMMYFUNCTION("""COMPUTED_VALUE"""),144.51)</f>
        <v>144.51</v>
      </c>
      <c r="E600" s="1">
        <f ca="1">IFERROR(__xludf.DUMMYFUNCTION("""COMPUTED_VALUE"""),147.66)</f>
        <v>147.66</v>
      </c>
      <c r="F600" s="1">
        <f ca="1">IFERROR(__xludf.DUMMYFUNCTION("""COMPUTED_VALUE"""),23031566)</f>
        <v>23031566</v>
      </c>
    </row>
    <row r="601" spans="1:6" x14ac:dyDescent="0.35">
      <c r="A601" s="2">
        <f ca="1">IFERROR(__xludf.DUMMYFUNCTION("""COMPUTED_VALUE"""),42874.6666666666)</f>
        <v>42874.666666666599</v>
      </c>
      <c r="B601" s="1">
        <f ca="1">IFERROR(__xludf.DUMMYFUNCTION("""COMPUTED_VALUE"""),148.45)</f>
        <v>148.44999999999999</v>
      </c>
      <c r="C601" s="1">
        <f ca="1">IFERROR(__xludf.DUMMYFUNCTION("""COMPUTED_VALUE"""),149.39)</f>
        <v>149.38999999999999</v>
      </c>
      <c r="D601" s="1">
        <f ca="1">IFERROR(__xludf.DUMMYFUNCTION("""COMPUTED_VALUE"""),147.96)</f>
        <v>147.96</v>
      </c>
      <c r="E601" s="1">
        <f ca="1">IFERROR(__xludf.DUMMYFUNCTION("""COMPUTED_VALUE"""),148.06)</f>
        <v>148.06</v>
      </c>
      <c r="F601" s="1">
        <f ca="1">IFERROR(__xludf.DUMMYFUNCTION("""COMPUTED_VALUE"""),16187892)</f>
        <v>16187892</v>
      </c>
    </row>
    <row r="602" spans="1:6" x14ac:dyDescent="0.35">
      <c r="A602" s="2">
        <f ca="1">IFERROR(__xludf.DUMMYFUNCTION("""COMPUTED_VALUE"""),42877.6666666666)</f>
        <v>42877.666666666599</v>
      </c>
      <c r="B602" s="1">
        <f ca="1">IFERROR(__xludf.DUMMYFUNCTION("""COMPUTED_VALUE"""),148.08)</f>
        <v>148.08000000000001</v>
      </c>
      <c r="C602" s="1">
        <f ca="1">IFERROR(__xludf.DUMMYFUNCTION("""COMPUTED_VALUE"""),148.59)</f>
        <v>148.59</v>
      </c>
      <c r="D602" s="1">
        <f ca="1">IFERROR(__xludf.DUMMYFUNCTION("""COMPUTED_VALUE"""),147.69)</f>
        <v>147.69</v>
      </c>
      <c r="E602" s="1">
        <f ca="1">IFERROR(__xludf.DUMMYFUNCTION("""COMPUTED_VALUE"""),148.24)</f>
        <v>148.24</v>
      </c>
      <c r="F602" s="1">
        <f ca="1">IFERROR(__xludf.DUMMYFUNCTION("""COMPUTED_VALUE"""),12586712)</f>
        <v>12586712</v>
      </c>
    </row>
    <row r="603" spans="1:6" x14ac:dyDescent="0.35">
      <c r="A603" s="2">
        <f ca="1">IFERROR(__xludf.DUMMYFUNCTION("""COMPUTED_VALUE"""),42878.6666666666)</f>
        <v>42878.666666666599</v>
      </c>
      <c r="B603" s="1">
        <f ca="1">IFERROR(__xludf.DUMMYFUNCTION("""COMPUTED_VALUE"""),148.52)</f>
        <v>148.52000000000001</v>
      </c>
      <c r="C603" s="1">
        <f ca="1">IFERROR(__xludf.DUMMYFUNCTION("""COMPUTED_VALUE"""),148.81)</f>
        <v>148.81</v>
      </c>
      <c r="D603" s="1">
        <f ca="1">IFERROR(__xludf.DUMMYFUNCTION("""COMPUTED_VALUE"""),147.25)</f>
        <v>147.25</v>
      </c>
      <c r="E603" s="1">
        <f ca="1">IFERROR(__xludf.DUMMYFUNCTION("""COMPUTED_VALUE"""),148.07)</f>
        <v>148.07</v>
      </c>
      <c r="F603" s="1">
        <f ca="1">IFERROR(__xludf.DUMMYFUNCTION("""COMPUTED_VALUE"""),12817837)</f>
        <v>12817837</v>
      </c>
    </row>
    <row r="604" spans="1:6" x14ac:dyDescent="0.35">
      <c r="A604" s="2">
        <f ca="1">IFERROR(__xludf.DUMMYFUNCTION("""COMPUTED_VALUE"""),42879.6666666666)</f>
        <v>42879.666666666599</v>
      </c>
      <c r="B604" s="1">
        <f ca="1">IFERROR(__xludf.DUMMYFUNCTION("""COMPUTED_VALUE"""),148.51)</f>
        <v>148.51</v>
      </c>
      <c r="C604" s="1">
        <f ca="1">IFERROR(__xludf.DUMMYFUNCTION("""COMPUTED_VALUE"""),150.23)</f>
        <v>150.22999999999999</v>
      </c>
      <c r="D604" s="1">
        <f ca="1">IFERROR(__xludf.DUMMYFUNCTION("""COMPUTED_VALUE"""),148.42)</f>
        <v>148.41999999999999</v>
      </c>
      <c r="E604" s="1">
        <f ca="1">IFERROR(__xludf.DUMMYFUNCTION("""COMPUTED_VALUE"""),150.04)</f>
        <v>150.04</v>
      </c>
      <c r="F604" s="1">
        <f ca="1">IFERROR(__xludf.DUMMYFUNCTION("""COMPUTED_VALUE"""),17940668)</f>
        <v>17940668</v>
      </c>
    </row>
    <row r="605" spans="1:6" x14ac:dyDescent="0.35">
      <c r="A605" s="2">
        <f ca="1">IFERROR(__xludf.DUMMYFUNCTION("""COMPUTED_VALUE"""),42880.6666666666)</f>
        <v>42880.666666666599</v>
      </c>
      <c r="B605" s="1">
        <f ca="1">IFERROR(__xludf.DUMMYFUNCTION("""COMPUTED_VALUE"""),150.3)</f>
        <v>150.30000000000001</v>
      </c>
      <c r="C605" s="1">
        <f ca="1">IFERROR(__xludf.DUMMYFUNCTION("""COMPUTED_VALUE"""),152.59)</f>
        <v>152.59</v>
      </c>
      <c r="D605" s="1">
        <f ca="1">IFERROR(__xludf.DUMMYFUNCTION("""COMPUTED_VALUE"""),149.95)</f>
        <v>149.94999999999999</v>
      </c>
      <c r="E605" s="1">
        <f ca="1">IFERROR(__xludf.DUMMYFUNCTION("""COMPUTED_VALUE"""),151.96)</f>
        <v>151.96</v>
      </c>
      <c r="F605" s="1">
        <f ca="1">IFERROR(__xludf.DUMMYFUNCTION("""COMPUTED_VALUE"""),19891352)</f>
        <v>19891352</v>
      </c>
    </row>
    <row r="606" spans="1:6" x14ac:dyDescent="0.35">
      <c r="A606" s="2">
        <f ca="1">IFERROR(__xludf.DUMMYFUNCTION("""COMPUTED_VALUE"""),42881.6666666666)</f>
        <v>42881.666666666599</v>
      </c>
      <c r="B606" s="1">
        <f ca="1">IFERROR(__xludf.DUMMYFUNCTION("""COMPUTED_VALUE"""),152.23)</f>
        <v>152.22999999999999</v>
      </c>
      <c r="C606" s="1">
        <f ca="1">IFERROR(__xludf.DUMMYFUNCTION("""COMPUTED_VALUE"""),152.25)</f>
        <v>152.25</v>
      </c>
      <c r="D606" s="1">
        <f ca="1">IFERROR(__xludf.DUMMYFUNCTION("""COMPUTED_VALUE"""),151.15)</f>
        <v>151.15</v>
      </c>
      <c r="E606" s="1">
        <f ca="1">IFERROR(__xludf.DUMMYFUNCTION("""COMPUTED_VALUE"""),152.13)</f>
        <v>152.13</v>
      </c>
      <c r="F606" s="1">
        <f ca="1">IFERROR(__xludf.DUMMYFUNCTION("""COMPUTED_VALUE"""),14996185)</f>
        <v>14996185</v>
      </c>
    </row>
    <row r="607" spans="1:6" x14ac:dyDescent="0.35">
      <c r="A607" s="2">
        <f ca="1">IFERROR(__xludf.DUMMYFUNCTION("""COMPUTED_VALUE"""),42885.6666666666)</f>
        <v>42885.666666666599</v>
      </c>
      <c r="B607" s="1">
        <f ca="1">IFERROR(__xludf.DUMMYFUNCTION("""COMPUTED_VALUE"""),151.97)</f>
        <v>151.97</v>
      </c>
      <c r="C607" s="1">
        <f ca="1">IFERROR(__xludf.DUMMYFUNCTION("""COMPUTED_VALUE"""),152.9)</f>
        <v>152.9</v>
      </c>
      <c r="D607" s="1">
        <f ca="1">IFERROR(__xludf.DUMMYFUNCTION("""COMPUTED_VALUE"""),151.64)</f>
        <v>151.63999999999999</v>
      </c>
      <c r="E607" s="1">
        <f ca="1">IFERROR(__xludf.DUMMYFUNCTION("""COMPUTED_VALUE"""),152.38)</f>
        <v>152.38</v>
      </c>
      <c r="F607" s="1">
        <f ca="1">IFERROR(__xludf.DUMMYFUNCTION("""COMPUTED_VALUE"""),13226007)</f>
        <v>13226007</v>
      </c>
    </row>
    <row r="608" spans="1:6" x14ac:dyDescent="0.35">
      <c r="A608" s="2">
        <f ca="1">IFERROR(__xludf.DUMMYFUNCTION("""COMPUTED_VALUE"""),42886.6666666666)</f>
        <v>42886.666666666599</v>
      </c>
      <c r="B608" s="1">
        <f ca="1">IFERROR(__xludf.DUMMYFUNCTION("""COMPUTED_VALUE"""),152.7)</f>
        <v>152.69999999999999</v>
      </c>
      <c r="C608" s="1">
        <f ca="1">IFERROR(__xludf.DUMMYFUNCTION("""COMPUTED_VALUE"""),153.35)</f>
        <v>153.35</v>
      </c>
      <c r="D608" s="1">
        <f ca="1">IFERROR(__xludf.DUMMYFUNCTION("""COMPUTED_VALUE"""),151.09)</f>
        <v>151.09</v>
      </c>
      <c r="E608" s="1">
        <f ca="1">IFERROR(__xludf.DUMMYFUNCTION("""COMPUTED_VALUE"""),151.46)</f>
        <v>151.46</v>
      </c>
      <c r="F608" s="1">
        <f ca="1">IFERROR(__xludf.DUMMYFUNCTION("""COMPUTED_VALUE"""),18023917)</f>
        <v>18023917</v>
      </c>
    </row>
    <row r="609" spans="1:6" x14ac:dyDescent="0.35">
      <c r="A609" s="2">
        <f ca="1">IFERROR(__xludf.DUMMYFUNCTION("""COMPUTED_VALUE"""),42887.6666666666)</f>
        <v>42887.666666666599</v>
      </c>
      <c r="B609" s="1">
        <f ca="1">IFERROR(__xludf.DUMMYFUNCTION("""COMPUTED_VALUE"""),151.75)</f>
        <v>151.75</v>
      </c>
      <c r="C609" s="1">
        <f ca="1">IFERROR(__xludf.DUMMYFUNCTION("""COMPUTED_VALUE"""),152.29)</f>
        <v>152.29</v>
      </c>
      <c r="D609" s="1">
        <f ca="1">IFERROR(__xludf.DUMMYFUNCTION("""COMPUTED_VALUE"""),150.3)</f>
        <v>150.30000000000001</v>
      </c>
      <c r="E609" s="1">
        <f ca="1">IFERROR(__xludf.DUMMYFUNCTION("""COMPUTED_VALUE"""),151.53)</f>
        <v>151.53</v>
      </c>
      <c r="F609" s="1">
        <f ca="1">IFERROR(__xludf.DUMMYFUNCTION("""COMPUTED_VALUE"""),14530600)</f>
        <v>14530600</v>
      </c>
    </row>
    <row r="610" spans="1:6" x14ac:dyDescent="0.35">
      <c r="A610" s="2">
        <f ca="1">IFERROR(__xludf.DUMMYFUNCTION("""COMPUTED_VALUE"""),42888.6666666666)</f>
        <v>42888.666666666599</v>
      </c>
      <c r="B610" s="1">
        <f ca="1">IFERROR(__xludf.DUMMYFUNCTION("""COMPUTED_VALUE"""),151.85)</f>
        <v>151.85</v>
      </c>
      <c r="C610" s="1">
        <f ca="1">IFERROR(__xludf.DUMMYFUNCTION("""COMPUTED_VALUE"""),153.63)</f>
        <v>153.63</v>
      </c>
      <c r="D610" s="1">
        <f ca="1">IFERROR(__xludf.DUMMYFUNCTION("""COMPUTED_VALUE"""),151.3)</f>
        <v>151.30000000000001</v>
      </c>
      <c r="E610" s="1">
        <f ca="1">IFERROR(__xludf.DUMMYFUNCTION("""COMPUTED_VALUE"""),153.61)</f>
        <v>153.61000000000001</v>
      </c>
      <c r="F610" s="1">
        <f ca="1">IFERROR(__xludf.DUMMYFUNCTION("""COMPUTED_VALUE"""),16854365)</f>
        <v>16854365</v>
      </c>
    </row>
    <row r="611" spans="1:6" x14ac:dyDescent="0.35">
      <c r="A611" s="2">
        <f ca="1">IFERROR(__xludf.DUMMYFUNCTION("""COMPUTED_VALUE"""),42891.6666666666)</f>
        <v>42891.666666666599</v>
      </c>
      <c r="B611" s="1">
        <f ca="1">IFERROR(__xludf.DUMMYFUNCTION("""COMPUTED_VALUE"""),153.64)</f>
        <v>153.63999999999999</v>
      </c>
      <c r="C611" s="1">
        <f ca="1">IFERROR(__xludf.DUMMYFUNCTION("""COMPUTED_VALUE"""),154.71)</f>
        <v>154.71</v>
      </c>
      <c r="D611" s="1">
        <f ca="1">IFERROR(__xludf.DUMMYFUNCTION("""COMPUTED_VALUE"""),153.41)</f>
        <v>153.41</v>
      </c>
      <c r="E611" s="1">
        <f ca="1">IFERROR(__xludf.DUMMYFUNCTION("""COMPUTED_VALUE"""),153.63)</f>
        <v>153.63</v>
      </c>
      <c r="F611" s="1">
        <f ca="1">IFERROR(__xludf.DUMMYFUNCTION("""COMPUTED_VALUE"""),12520387)</f>
        <v>12520387</v>
      </c>
    </row>
    <row r="612" spans="1:6" x14ac:dyDescent="0.35">
      <c r="A612" s="2">
        <f ca="1">IFERROR(__xludf.DUMMYFUNCTION("""COMPUTED_VALUE"""),42892.6666666666)</f>
        <v>42892.666666666599</v>
      </c>
      <c r="B612" s="1">
        <f ca="1">IFERROR(__xludf.DUMMYFUNCTION("""COMPUTED_VALUE"""),153.41)</f>
        <v>153.41</v>
      </c>
      <c r="C612" s="1">
        <f ca="1">IFERROR(__xludf.DUMMYFUNCTION("""COMPUTED_VALUE"""),154.52)</f>
        <v>154.52000000000001</v>
      </c>
      <c r="D612" s="1">
        <f ca="1">IFERROR(__xludf.DUMMYFUNCTION("""COMPUTED_VALUE"""),152.48)</f>
        <v>152.47999999999999</v>
      </c>
      <c r="E612" s="1">
        <f ca="1">IFERROR(__xludf.DUMMYFUNCTION("""COMPUTED_VALUE"""),152.81)</f>
        <v>152.81</v>
      </c>
      <c r="F612" s="1">
        <f ca="1">IFERROR(__xludf.DUMMYFUNCTION("""COMPUTED_VALUE"""),13457119)</f>
        <v>13457119</v>
      </c>
    </row>
    <row r="613" spans="1:6" x14ac:dyDescent="0.35">
      <c r="A613" s="2">
        <f ca="1">IFERROR(__xludf.DUMMYFUNCTION("""COMPUTED_VALUE"""),42893.6666666666)</f>
        <v>42893.666666666599</v>
      </c>
      <c r="B613" s="1">
        <f ca="1">IFERROR(__xludf.DUMMYFUNCTION("""COMPUTED_VALUE"""),153.27)</f>
        <v>153.27000000000001</v>
      </c>
      <c r="C613" s="1">
        <f ca="1">IFERROR(__xludf.DUMMYFUNCTION("""COMPUTED_VALUE"""),153.75)</f>
        <v>153.75</v>
      </c>
      <c r="D613" s="1">
        <f ca="1">IFERROR(__xludf.DUMMYFUNCTION("""COMPUTED_VALUE"""),152.34)</f>
        <v>152.34</v>
      </c>
      <c r="E613" s="1">
        <f ca="1">IFERROR(__xludf.DUMMYFUNCTION("""COMPUTED_VALUE"""),153.12)</f>
        <v>153.12</v>
      </c>
      <c r="F613" s="1">
        <f ca="1">IFERROR(__xludf.DUMMYFUNCTION("""COMPUTED_VALUE"""),12066657)</f>
        <v>12066657</v>
      </c>
    </row>
    <row r="614" spans="1:6" x14ac:dyDescent="0.35">
      <c r="A614" s="2">
        <f ca="1">IFERROR(__xludf.DUMMYFUNCTION("""COMPUTED_VALUE"""),42894.6666666666)</f>
        <v>42894.666666666599</v>
      </c>
      <c r="B614" s="1">
        <f ca="1">IFERROR(__xludf.DUMMYFUNCTION("""COMPUTED_VALUE"""),154.08)</f>
        <v>154.08000000000001</v>
      </c>
      <c r="C614" s="1">
        <f ca="1">IFERROR(__xludf.DUMMYFUNCTION("""COMPUTED_VALUE"""),154.73)</f>
        <v>154.72999999999999</v>
      </c>
      <c r="D614" s="1">
        <f ca="1">IFERROR(__xludf.DUMMYFUNCTION("""COMPUTED_VALUE"""),153.1)</f>
        <v>153.1</v>
      </c>
      <c r="E614" s="1">
        <f ca="1">IFERROR(__xludf.DUMMYFUNCTION("""COMPUTED_VALUE"""),154.71)</f>
        <v>154.71</v>
      </c>
      <c r="F614" s="1">
        <f ca="1">IFERROR(__xludf.DUMMYFUNCTION("""COMPUTED_VALUE"""),17799449)</f>
        <v>17799449</v>
      </c>
    </row>
    <row r="615" spans="1:6" x14ac:dyDescent="0.35">
      <c r="A615" s="2">
        <f ca="1">IFERROR(__xludf.DUMMYFUNCTION("""COMPUTED_VALUE"""),42895.6666666666)</f>
        <v>42895.666666666599</v>
      </c>
      <c r="B615" s="1">
        <f ca="1">IFERROR(__xludf.DUMMYFUNCTION("""COMPUTED_VALUE"""),154.77)</f>
        <v>154.77000000000001</v>
      </c>
      <c r="C615" s="1">
        <f ca="1">IFERROR(__xludf.DUMMYFUNCTION("""COMPUTED_VALUE"""),155.59)</f>
        <v>155.59</v>
      </c>
      <c r="D615" s="1">
        <f ca="1">IFERROR(__xludf.DUMMYFUNCTION("""COMPUTED_VALUE"""),146.61)</f>
        <v>146.61000000000001</v>
      </c>
      <c r="E615" s="1">
        <f ca="1">IFERROR(__xludf.DUMMYFUNCTION("""COMPUTED_VALUE"""),149.6)</f>
        <v>149.6</v>
      </c>
      <c r="F615" s="1">
        <f ca="1">IFERROR(__xludf.DUMMYFUNCTION("""COMPUTED_VALUE"""),35577676)</f>
        <v>35577676</v>
      </c>
    </row>
    <row r="616" spans="1:6" x14ac:dyDescent="0.35">
      <c r="A616" s="2">
        <f ca="1">IFERROR(__xludf.DUMMYFUNCTION("""COMPUTED_VALUE"""),42898.6666666666)</f>
        <v>42898.666666666599</v>
      </c>
      <c r="B616" s="1">
        <f ca="1">IFERROR(__xludf.DUMMYFUNCTION("""COMPUTED_VALUE"""),148.17)</f>
        <v>148.16999999999999</v>
      </c>
      <c r="C616" s="1">
        <f ca="1">IFERROR(__xludf.DUMMYFUNCTION("""COMPUTED_VALUE"""),149.2)</f>
        <v>149.19999999999999</v>
      </c>
      <c r="D616" s="1">
        <f ca="1">IFERROR(__xludf.DUMMYFUNCTION("""COMPUTED_VALUE"""),144.56)</f>
        <v>144.56</v>
      </c>
      <c r="E616" s="1">
        <f ca="1">IFERROR(__xludf.DUMMYFUNCTION("""COMPUTED_VALUE"""),148.44)</f>
        <v>148.44</v>
      </c>
      <c r="F616" s="1">
        <f ca="1">IFERROR(__xludf.DUMMYFUNCTION("""COMPUTED_VALUE"""),33170180)</f>
        <v>33170180</v>
      </c>
    </row>
    <row r="617" spans="1:6" x14ac:dyDescent="0.35">
      <c r="A617" s="2">
        <f ca="1">IFERROR(__xludf.DUMMYFUNCTION("""COMPUTED_VALUE"""),42899.6666666666)</f>
        <v>42899.666666666599</v>
      </c>
      <c r="B617" s="1">
        <f ca="1">IFERROR(__xludf.DUMMYFUNCTION("""COMPUTED_VALUE"""),150.15)</f>
        <v>150.15</v>
      </c>
      <c r="C617" s="1">
        <f ca="1">IFERROR(__xludf.DUMMYFUNCTION("""COMPUTED_VALUE"""),151.18)</f>
        <v>151.18</v>
      </c>
      <c r="D617" s="1">
        <f ca="1">IFERROR(__xludf.DUMMYFUNCTION("""COMPUTED_VALUE"""),148.9)</f>
        <v>148.9</v>
      </c>
      <c r="E617" s="1">
        <f ca="1">IFERROR(__xludf.DUMMYFUNCTION("""COMPUTED_VALUE"""),150.68)</f>
        <v>150.68</v>
      </c>
      <c r="F617" s="1">
        <f ca="1">IFERROR(__xludf.DUMMYFUNCTION("""COMPUTED_VALUE"""),20483350)</f>
        <v>20483350</v>
      </c>
    </row>
    <row r="618" spans="1:6" x14ac:dyDescent="0.35">
      <c r="A618" s="2">
        <f ca="1">IFERROR(__xludf.DUMMYFUNCTION("""COMPUTED_VALUE"""),42900.6666666666)</f>
        <v>42900.666666666599</v>
      </c>
      <c r="B618" s="1">
        <f ca="1">IFERROR(__xludf.DUMMYFUNCTION("""COMPUTED_VALUE"""),151.26)</f>
        <v>151.26</v>
      </c>
      <c r="C618" s="1">
        <f ca="1">IFERROR(__xludf.DUMMYFUNCTION("""COMPUTED_VALUE"""),152.4)</f>
        <v>152.4</v>
      </c>
      <c r="D618" s="1">
        <f ca="1">IFERROR(__xludf.DUMMYFUNCTION("""COMPUTED_VALUE"""),149.05)</f>
        <v>149.05000000000001</v>
      </c>
      <c r="E618" s="1">
        <f ca="1">IFERROR(__xludf.DUMMYFUNCTION("""COMPUTED_VALUE"""),150.25)</f>
        <v>150.25</v>
      </c>
      <c r="F618" s="1">
        <f ca="1">IFERROR(__xludf.DUMMYFUNCTION("""COMPUTED_VALUE"""),20808759)</f>
        <v>20808759</v>
      </c>
    </row>
    <row r="619" spans="1:6" x14ac:dyDescent="0.35">
      <c r="A619" s="2">
        <f ca="1">IFERROR(__xludf.DUMMYFUNCTION("""COMPUTED_VALUE"""),42901.6666666666)</f>
        <v>42901.666666666599</v>
      </c>
      <c r="B619" s="1">
        <f ca="1">IFERROR(__xludf.DUMMYFUNCTION("""COMPUTED_VALUE"""),147.67)</f>
        <v>147.66999999999999</v>
      </c>
      <c r="C619" s="1">
        <f ca="1">IFERROR(__xludf.DUMMYFUNCTION("""COMPUTED_VALUE"""),150.04)</f>
        <v>150.04</v>
      </c>
      <c r="D619" s="1">
        <f ca="1">IFERROR(__xludf.DUMMYFUNCTION("""COMPUTED_VALUE"""),146.37)</f>
        <v>146.37</v>
      </c>
      <c r="E619" s="1">
        <f ca="1">IFERROR(__xludf.DUMMYFUNCTION("""COMPUTED_VALUE"""),149.8)</f>
        <v>149.80000000000001</v>
      </c>
      <c r="F619" s="1">
        <f ca="1">IFERROR(__xludf.DUMMYFUNCTION("""COMPUTED_VALUE"""),18994152)</f>
        <v>18994152</v>
      </c>
    </row>
    <row r="620" spans="1:6" x14ac:dyDescent="0.35">
      <c r="A620" s="2">
        <f ca="1">IFERROR(__xludf.DUMMYFUNCTION("""COMPUTED_VALUE"""),42902.6666666666)</f>
        <v>42902.666666666599</v>
      </c>
      <c r="B620" s="1">
        <f ca="1">IFERROR(__xludf.DUMMYFUNCTION("""COMPUTED_VALUE"""),149.59)</f>
        <v>149.59</v>
      </c>
      <c r="C620" s="1">
        <f ca="1">IFERROR(__xludf.DUMMYFUNCTION("""COMPUTED_VALUE"""),150.83)</f>
        <v>150.83000000000001</v>
      </c>
      <c r="D620" s="1">
        <f ca="1">IFERROR(__xludf.DUMMYFUNCTION("""COMPUTED_VALUE"""),148.6)</f>
        <v>148.6</v>
      </c>
      <c r="E620" s="1">
        <f ca="1">IFERROR(__xludf.DUMMYFUNCTION("""COMPUTED_VALUE"""),150.64)</f>
        <v>150.63999999999999</v>
      </c>
      <c r="F620" s="1">
        <f ca="1">IFERROR(__xludf.DUMMYFUNCTION("""COMPUTED_VALUE"""),22882417)</f>
        <v>22882417</v>
      </c>
    </row>
    <row r="621" spans="1:6" x14ac:dyDescent="0.35">
      <c r="A621" s="2">
        <f ca="1">IFERROR(__xludf.DUMMYFUNCTION("""COMPUTED_VALUE"""),42905.6666666666)</f>
        <v>42905.666666666599</v>
      </c>
      <c r="B621" s="1">
        <f ca="1">IFERROR(__xludf.DUMMYFUNCTION("""COMPUTED_VALUE"""),151.71)</f>
        <v>151.71</v>
      </c>
      <c r="C621" s="1">
        <f ca="1">IFERROR(__xludf.DUMMYFUNCTION("""COMPUTED_VALUE"""),153.57)</f>
        <v>153.57</v>
      </c>
      <c r="D621" s="1">
        <f ca="1">IFERROR(__xludf.DUMMYFUNCTION("""COMPUTED_VALUE"""),151.71)</f>
        <v>151.71</v>
      </c>
      <c r="E621" s="1">
        <f ca="1">IFERROR(__xludf.DUMMYFUNCTION("""COMPUTED_VALUE"""),152.87)</f>
        <v>152.87</v>
      </c>
      <c r="F621" s="1">
        <f ca="1">IFERROR(__xludf.DUMMYFUNCTION("""COMPUTED_VALUE"""),19026462)</f>
        <v>19026462</v>
      </c>
    </row>
    <row r="622" spans="1:6" x14ac:dyDescent="0.35">
      <c r="A622" s="2">
        <f ca="1">IFERROR(__xludf.DUMMYFUNCTION("""COMPUTED_VALUE"""),42906.6666666666)</f>
        <v>42906.666666666599</v>
      </c>
      <c r="B622" s="1">
        <f ca="1">IFERROR(__xludf.DUMMYFUNCTION("""COMPUTED_VALUE"""),152.88)</f>
        <v>152.88</v>
      </c>
      <c r="C622" s="1">
        <f ca="1">IFERROR(__xludf.DUMMYFUNCTION("""COMPUTED_VALUE"""),153.84)</f>
        <v>153.84</v>
      </c>
      <c r="D622" s="1">
        <f ca="1">IFERROR(__xludf.DUMMYFUNCTION("""COMPUTED_VALUE"""),152.21)</f>
        <v>152.21</v>
      </c>
      <c r="E622" s="1">
        <f ca="1">IFERROR(__xludf.DUMMYFUNCTION("""COMPUTED_VALUE"""),152.25)</f>
        <v>152.25</v>
      </c>
      <c r="F622" s="1">
        <f ca="1">IFERROR(__xludf.DUMMYFUNCTION("""COMPUTED_VALUE"""),14743853)</f>
        <v>14743853</v>
      </c>
    </row>
    <row r="623" spans="1:6" x14ac:dyDescent="0.35">
      <c r="A623" s="2">
        <f ca="1">IFERROR(__xludf.DUMMYFUNCTION("""COMPUTED_VALUE"""),42907.6666666666)</f>
        <v>42907.666666666599</v>
      </c>
      <c r="B623" s="1">
        <f ca="1">IFERROR(__xludf.DUMMYFUNCTION("""COMPUTED_VALUE"""),152.36)</f>
        <v>152.36000000000001</v>
      </c>
      <c r="C623" s="1">
        <f ca="1">IFERROR(__xludf.DUMMYFUNCTION("""COMPUTED_VALUE"""),154.08)</f>
        <v>154.08000000000001</v>
      </c>
      <c r="D623" s="1">
        <f ca="1">IFERROR(__xludf.DUMMYFUNCTION("""COMPUTED_VALUE"""),151.88)</f>
        <v>151.88</v>
      </c>
      <c r="E623" s="1">
        <f ca="1">IFERROR(__xludf.DUMMYFUNCTION("""COMPUTED_VALUE"""),153.91)</f>
        <v>153.91</v>
      </c>
      <c r="F623" s="1">
        <f ca="1">IFERROR(__xludf.DUMMYFUNCTION("""COMPUTED_VALUE"""),15039834)</f>
        <v>15039834</v>
      </c>
    </row>
    <row r="624" spans="1:6" x14ac:dyDescent="0.35">
      <c r="A624" s="2">
        <f ca="1">IFERROR(__xludf.DUMMYFUNCTION("""COMPUTED_VALUE"""),42908.6666666666)</f>
        <v>42908.666666666599</v>
      </c>
      <c r="B624" s="1">
        <f ca="1">IFERROR(__xludf.DUMMYFUNCTION("""COMPUTED_VALUE"""),153.01)</f>
        <v>153.01</v>
      </c>
      <c r="C624" s="1">
        <f ca="1">IFERROR(__xludf.DUMMYFUNCTION("""COMPUTED_VALUE"""),154.55)</f>
        <v>154.55000000000001</v>
      </c>
      <c r="D624" s="1">
        <f ca="1">IFERROR(__xludf.DUMMYFUNCTION("""COMPUTED_VALUE"""),152.91)</f>
        <v>152.91</v>
      </c>
      <c r="E624" s="1">
        <f ca="1">IFERROR(__xludf.DUMMYFUNCTION("""COMPUTED_VALUE"""),153.4)</f>
        <v>153.4</v>
      </c>
      <c r="F624" s="1">
        <f ca="1">IFERROR(__xludf.DUMMYFUNCTION("""COMPUTED_VALUE"""),13005535)</f>
        <v>13005535</v>
      </c>
    </row>
    <row r="625" spans="1:6" x14ac:dyDescent="0.35">
      <c r="A625" s="2">
        <f ca="1">IFERROR(__xludf.DUMMYFUNCTION("""COMPUTED_VALUE"""),42909.6666666666)</f>
        <v>42909.666666666599</v>
      </c>
      <c r="B625" s="1">
        <f ca="1">IFERROR(__xludf.DUMMYFUNCTION("""COMPUTED_VALUE"""),152.72)</f>
        <v>152.72</v>
      </c>
      <c r="C625" s="1">
        <f ca="1">IFERROR(__xludf.DUMMYFUNCTION("""COMPUTED_VALUE"""),155.2)</f>
        <v>155.19999999999999</v>
      </c>
      <c r="D625" s="1">
        <f ca="1">IFERROR(__xludf.DUMMYFUNCTION("""COMPUTED_VALUE"""),152.65)</f>
        <v>152.65</v>
      </c>
      <c r="E625" s="1">
        <f ca="1">IFERROR(__xludf.DUMMYFUNCTION("""COMPUTED_VALUE"""),155.07)</f>
        <v>155.07</v>
      </c>
      <c r="F625" s="1">
        <f ca="1">IFERROR(__xludf.DUMMYFUNCTION("""COMPUTED_VALUE"""),18026977)</f>
        <v>18026977</v>
      </c>
    </row>
    <row r="626" spans="1:6" x14ac:dyDescent="0.35">
      <c r="A626" s="2">
        <f ca="1">IFERROR(__xludf.DUMMYFUNCTION("""COMPUTED_VALUE"""),42912.6666666666)</f>
        <v>42912.666666666599</v>
      </c>
      <c r="B626" s="1">
        <f ca="1">IFERROR(__xludf.DUMMYFUNCTION("""COMPUTED_VALUE"""),156.25)</f>
        <v>156.25</v>
      </c>
      <c r="C626" s="1">
        <f ca="1">IFERROR(__xludf.DUMMYFUNCTION("""COMPUTED_VALUE"""),156.5)</f>
        <v>156.5</v>
      </c>
      <c r="D626" s="1">
        <f ca="1">IFERROR(__xludf.DUMMYFUNCTION("""COMPUTED_VALUE"""),153.2)</f>
        <v>153.19999999999999</v>
      </c>
      <c r="E626" s="1">
        <f ca="1">IFERROR(__xludf.DUMMYFUNCTION("""COMPUTED_VALUE"""),153.59)</f>
        <v>153.59</v>
      </c>
      <c r="F626" s="1">
        <f ca="1">IFERROR(__xludf.DUMMYFUNCTION("""COMPUTED_VALUE"""),18049651)</f>
        <v>18049651</v>
      </c>
    </row>
    <row r="627" spans="1:6" x14ac:dyDescent="0.35">
      <c r="A627" s="2">
        <f ca="1">IFERROR(__xludf.DUMMYFUNCTION("""COMPUTED_VALUE"""),42913.6666666666)</f>
        <v>42913.666666666599</v>
      </c>
      <c r="B627" s="1">
        <f ca="1">IFERROR(__xludf.DUMMYFUNCTION("""COMPUTED_VALUE"""),152.84)</f>
        <v>152.84</v>
      </c>
      <c r="C627" s="1">
        <f ca="1">IFERROR(__xludf.DUMMYFUNCTION("""COMPUTED_VALUE"""),153.31)</f>
        <v>153.31</v>
      </c>
      <c r="D627" s="1">
        <f ca="1">IFERROR(__xludf.DUMMYFUNCTION("""COMPUTED_VALUE"""),150.39)</f>
        <v>150.38999999999999</v>
      </c>
      <c r="E627" s="1">
        <f ca="1">IFERROR(__xludf.DUMMYFUNCTION("""COMPUTED_VALUE"""),150.58)</f>
        <v>150.58000000000001</v>
      </c>
      <c r="F627" s="1">
        <f ca="1">IFERROR(__xludf.DUMMYFUNCTION("""COMPUTED_VALUE"""),19360766)</f>
        <v>19360766</v>
      </c>
    </row>
    <row r="628" spans="1:6" x14ac:dyDescent="0.35">
      <c r="A628" s="2">
        <f ca="1">IFERROR(__xludf.DUMMYFUNCTION("""COMPUTED_VALUE"""),42914.6666666666)</f>
        <v>42914.666666666599</v>
      </c>
      <c r="B628" s="1">
        <f ca="1">IFERROR(__xludf.DUMMYFUNCTION("""COMPUTED_VALUE"""),150.92)</f>
        <v>150.91999999999999</v>
      </c>
      <c r="C628" s="1">
        <f ca="1">IFERROR(__xludf.DUMMYFUNCTION("""COMPUTED_VALUE"""),153.47)</f>
        <v>153.47</v>
      </c>
      <c r="D628" s="1">
        <f ca="1">IFERROR(__xludf.DUMMYFUNCTION("""COMPUTED_VALUE"""),149.86)</f>
        <v>149.86000000000001</v>
      </c>
      <c r="E628" s="1">
        <f ca="1">IFERROR(__xludf.DUMMYFUNCTION("""COMPUTED_VALUE"""),153.24)</f>
        <v>153.24</v>
      </c>
      <c r="F628" s="1">
        <f ca="1">IFERROR(__xludf.DUMMYFUNCTION("""COMPUTED_VALUE"""),16719104)</f>
        <v>16719104</v>
      </c>
    </row>
    <row r="629" spans="1:6" x14ac:dyDescent="0.35">
      <c r="A629" s="2">
        <f ca="1">IFERROR(__xludf.DUMMYFUNCTION("""COMPUTED_VALUE"""),42915.6666666666)</f>
        <v>42915.666666666599</v>
      </c>
      <c r="B629" s="1">
        <f ca="1">IFERROR(__xludf.DUMMYFUNCTION("""COMPUTED_VALUE"""),152.28)</f>
        <v>152.28</v>
      </c>
      <c r="C629" s="1">
        <f ca="1">IFERROR(__xludf.DUMMYFUNCTION("""COMPUTED_VALUE"""),152.5)</f>
        <v>152.5</v>
      </c>
      <c r="D629" s="1">
        <f ca="1">IFERROR(__xludf.DUMMYFUNCTION("""COMPUTED_VALUE"""),148.92)</f>
        <v>148.91999999999999</v>
      </c>
      <c r="E629" s="1">
        <f ca="1">IFERROR(__xludf.DUMMYFUNCTION("""COMPUTED_VALUE"""),151.04)</f>
        <v>151.04</v>
      </c>
      <c r="F629" s="1">
        <f ca="1">IFERROR(__xludf.DUMMYFUNCTION("""COMPUTED_VALUE"""),23973482)</f>
        <v>23973482</v>
      </c>
    </row>
    <row r="630" spans="1:6" x14ac:dyDescent="0.35">
      <c r="A630" s="2">
        <f ca="1">IFERROR(__xludf.DUMMYFUNCTION("""COMPUTED_VALUE"""),42916.6666666666)</f>
        <v>42916.666666666599</v>
      </c>
      <c r="B630" s="1">
        <f ca="1">IFERROR(__xludf.DUMMYFUNCTION("""COMPUTED_VALUE"""),151.9)</f>
        <v>151.9</v>
      </c>
      <c r="C630" s="1">
        <f ca="1">IFERROR(__xludf.DUMMYFUNCTION("""COMPUTED_VALUE"""),151.92)</f>
        <v>151.91999999999999</v>
      </c>
      <c r="D630" s="1">
        <f ca="1">IFERROR(__xludf.DUMMYFUNCTION("""COMPUTED_VALUE"""),150.06)</f>
        <v>150.06</v>
      </c>
      <c r="E630" s="1">
        <f ca="1">IFERROR(__xludf.DUMMYFUNCTION("""COMPUTED_VALUE"""),150.98)</f>
        <v>150.97999999999999</v>
      </c>
      <c r="F630" s="1">
        <f ca="1">IFERROR(__xludf.DUMMYFUNCTION("""COMPUTED_VALUE"""),17666022)</f>
        <v>17666022</v>
      </c>
    </row>
    <row r="631" spans="1:6" x14ac:dyDescent="0.35">
      <c r="A631" s="2">
        <f ca="1">IFERROR(__xludf.DUMMYFUNCTION("""COMPUTED_VALUE"""),42919.6666666666)</f>
        <v>42919.666666666599</v>
      </c>
      <c r="B631" s="1">
        <f ca="1">IFERROR(__xludf.DUMMYFUNCTION("""COMPUTED_VALUE"""),151.72)</f>
        <v>151.72</v>
      </c>
      <c r="C631" s="1">
        <f ca="1">IFERROR(__xludf.DUMMYFUNCTION("""COMPUTED_VALUE"""),152.15)</f>
        <v>152.15</v>
      </c>
      <c r="D631" s="1">
        <f ca="1">IFERROR(__xludf.DUMMYFUNCTION("""COMPUTED_VALUE"""),147.8)</f>
        <v>147.80000000000001</v>
      </c>
      <c r="E631" s="1">
        <f ca="1">IFERROR(__xludf.DUMMYFUNCTION("""COMPUTED_VALUE"""),148.43)</f>
        <v>148.43</v>
      </c>
      <c r="F631" s="1">
        <f ca="1">IFERROR(__xludf.DUMMYFUNCTION("""COMPUTED_VALUE"""),13862735)</f>
        <v>13862735</v>
      </c>
    </row>
    <row r="632" spans="1:6" x14ac:dyDescent="0.35">
      <c r="A632" s="2">
        <f ca="1">IFERROR(__xludf.DUMMYFUNCTION("""COMPUTED_VALUE"""),42921.6666666666)</f>
        <v>42921.666666666599</v>
      </c>
      <c r="B632" s="1">
        <f ca="1">IFERROR(__xludf.DUMMYFUNCTION("""COMPUTED_VALUE"""),149)</f>
        <v>149</v>
      </c>
      <c r="C632" s="1">
        <f ca="1">IFERROR(__xludf.DUMMYFUNCTION("""COMPUTED_VALUE"""),150.85)</f>
        <v>150.85</v>
      </c>
      <c r="D632" s="1">
        <f ca="1">IFERROR(__xludf.DUMMYFUNCTION("""COMPUTED_VALUE"""),148.13)</f>
        <v>148.13</v>
      </c>
      <c r="E632" s="1">
        <f ca="1">IFERROR(__xludf.DUMMYFUNCTION("""COMPUTED_VALUE"""),150.34)</f>
        <v>150.34</v>
      </c>
      <c r="F632" s="1">
        <f ca="1">IFERROR(__xludf.DUMMYFUNCTION("""COMPUTED_VALUE"""),14334290)</f>
        <v>14334290</v>
      </c>
    </row>
    <row r="633" spans="1:6" x14ac:dyDescent="0.35">
      <c r="A633" s="2">
        <f ca="1">IFERROR(__xludf.DUMMYFUNCTION("""COMPUTED_VALUE"""),42922.6666666666)</f>
        <v>42922.666666666599</v>
      </c>
      <c r="B633" s="1">
        <f ca="1">IFERROR(__xludf.DUMMYFUNCTION("""COMPUTED_VALUE"""),149.03)</f>
        <v>149.03</v>
      </c>
      <c r="C633" s="1">
        <f ca="1">IFERROR(__xludf.DUMMYFUNCTION("""COMPUTED_VALUE"""),150.04)</f>
        <v>150.04</v>
      </c>
      <c r="D633" s="1">
        <f ca="1">IFERROR(__xludf.DUMMYFUNCTION("""COMPUTED_VALUE"""),148)</f>
        <v>148</v>
      </c>
      <c r="E633" s="1">
        <f ca="1">IFERROR(__xludf.DUMMYFUNCTION("""COMPUTED_VALUE"""),148.82)</f>
        <v>148.82</v>
      </c>
      <c r="F633" s="1">
        <f ca="1">IFERROR(__xludf.DUMMYFUNCTION("""COMPUTED_VALUE"""),14951802)</f>
        <v>14951802</v>
      </c>
    </row>
    <row r="634" spans="1:6" x14ac:dyDescent="0.35">
      <c r="A634" s="2">
        <f ca="1">IFERROR(__xludf.DUMMYFUNCTION("""COMPUTED_VALUE"""),42923.6666666666)</f>
        <v>42923.666666666599</v>
      </c>
      <c r="B634" s="1">
        <f ca="1">IFERROR(__xludf.DUMMYFUNCTION("""COMPUTED_VALUE"""),149.25)</f>
        <v>149.25</v>
      </c>
      <c r="C634" s="1">
        <f ca="1">IFERROR(__xludf.DUMMYFUNCTION("""COMPUTED_VALUE"""),151.99)</f>
        <v>151.99</v>
      </c>
      <c r="D634" s="1">
        <f ca="1">IFERROR(__xludf.DUMMYFUNCTION("""COMPUTED_VALUE"""),149.19)</f>
        <v>149.19</v>
      </c>
      <c r="E634" s="1">
        <f ca="1">IFERROR(__xludf.DUMMYFUNCTION("""COMPUTED_VALUE"""),151.44)</f>
        <v>151.44</v>
      </c>
      <c r="F634" s="1">
        <f ca="1">IFERROR(__xludf.DUMMYFUNCTION("""COMPUTED_VALUE"""),13615931)</f>
        <v>13615931</v>
      </c>
    </row>
    <row r="635" spans="1:6" x14ac:dyDescent="0.35">
      <c r="A635" s="2">
        <f ca="1">IFERROR(__xludf.DUMMYFUNCTION("""COMPUTED_VALUE"""),42926.6666666666)</f>
        <v>42926.666666666599</v>
      </c>
      <c r="B635" s="1">
        <f ca="1">IFERROR(__xludf.DUMMYFUNCTION("""COMPUTED_VALUE"""),151.69)</f>
        <v>151.69</v>
      </c>
      <c r="C635" s="1">
        <f ca="1">IFERROR(__xludf.DUMMYFUNCTION("""COMPUTED_VALUE"""),153.98)</f>
        <v>153.97999999999999</v>
      </c>
      <c r="D635" s="1">
        <f ca="1">IFERROR(__xludf.DUMMYFUNCTION("""COMPUTED_VALUE"""),151.51)</f>
        <v>151.51</v>
      </c>
      <c r="E635" s="1">
        <f ca="1">IFERROR(__xludf.DUMMYFUNCTION("""COMPUTED_VALUE"""),153.5)</f>
        <v>153.5</v>
      </c>
      <c r="F635" s="1">
        <f ca="1">IFERROR(__xludf.DUMMYFUNCTION("""COMPUTED_VALUE"""),13378672)</f>
        <v>13378672</v>
      </c>
    </row>
    <row r="636" spans="1:6" x14ac:dyDescent="0.35">
      <c r="A636" s="2">
        <f ca="1">IFERROR(__xludf.DUMMYFUNCTION("""COMPUTED_VALUE"""),42927.6666666666)</f>
        <v>42927.666666666599</v>
      </c>
      <c r="B636" s="1">
        <f ca="1">IFERROR(__xludf.DUMMYFUNCTION("""COMPUTED_VALUE"""),153.37)</f>
        <v>153.37</v>
      </c>
      <c r="C636" s="1">
        <f ca="1">IFERROR(__xludf.DUMMYFUNCTION("""COMPUTED_VALUE"""),155.42)</f>
        <v>155.41999999999999</v>
      </c>
      <c r="D636" s="1">
        <f ca="1">IFERROR(__xludf.DUMMYFUNCTION("""COMPUTED_VALUE"""),152.91)</f>
        <v>152.91</v>
      </c>
      <c r="E636" s="1">
        <f ca="1">IFERROR(__xludf.DUMMYFUNCTION("""COMPUTED_VALUE"""),155.27)</f>
        <v>155.27000000000001</v>
      </c>
      <c r="F636" s="1">
        <f ca="1">IFERROR(__xludf.DUMMYFUNCTION("""COMPUTED_VALUE"""),13667744)</f>
        <v>13667744</v>
      </c>
    </row>
    <row r="637" spans="1:6" x14ac:dyDescent="0.35">
      <c r="A637" s="2">
        <f ca="1">IFERROR(__xludf.DUMMYFUNCTION("""COMPUTED_VALUE"""),42928.6666666666)</f>
        <v>42928.666666666599</v>
      </c>
      <c r="B637" s="1">
        <f ca="1">IFERROR(__xludf.DUMMYFUNCTION("""COMPUTED_VALUE"""),156.49)</f>
        <v>156.49</v>
      </c>
      <c r="C637" s="1">
        <f ca="1">IFERROR(__xludf.DUMMYFUNCTION("""COMPUTED_VALUE"""),159.16)</f>
        <v>159.16</v>
      </c>
      <c r="D637" s="1">
        <f ca="1">IFERROR(__xludf.DUMMYFUNCTION("""COMPUTED_VALUE"""),156.2)</f>
        <v>156.19999999999999</v>
      </c>
      <c r="E637" s="1">
        <f ca="1">IFERROR(__xludf.DUMMYFUNCTION("""COMPUTED_VALUE"""),158.9)</f>
        <v>158.9</v>
      </c>
      <c r="F637" s="1">
        <f ca="1">IFERROR(__xludf.DUMMYFUNCTION("""COMPUTED_VALUE"""),22739388)</f>
        <v>22739388</v>
      </c>
    </row>
    <row r="638" spans="1:6" x14ac:dyDescent="0.35">
      <c r="A638" s="2">
        <f ca="1">IFERROR(__xludf.DUMMYFUNCTION("""COMPUTED_VALUE"""),42929.6666666666)</f>
        <v>42929.666666666599</v>
      </c>
      <c r="B638" s="1">
        <f ca="1">IFERROR(__xludf.DUMMYFUNCTION("""COMPUTED_VALUE"""),158.74)</f>
        <v>158.74</v>
      </c>
      <c r="C638" s="1">
        <f ca="1">IFERROR(__xludf.DUMMYFUNCTION("""COMPUTED_VALUE"""),159.78)</f>
        <v>159.78</v>
      </c>
      <c r="D638" s="1">
        <f ca="1">IFERROR(__xludf.DUMMYFUNCTION("""COMPUTED_VALUE"""),158.42)</f>
        <v>158.41999999999999</v>
      </c>
      <c r="E638" s="1">
        <f ca="1">IFERROR(__xludf.DUMMYFUNCTION("""COMPUTED_VALUE"""),159.26)</f>
        <v>159.26</v>
      </c>
      <c r="F638" s="1">
        <f ca="1">IFERROR(__xludf.DUMMYFUNCTION("""COMPUTED_VALUE"""),13929236)</f>
        <v>13929236</v>
      </c>
    </row>
    <row r="639" spans="1:6" x14ac:dyDescent="0.35">
      <c r="A639" s="2">
        <f ca="1">IFERROR(__xludf.DUMMYFUNCTION("""COMPUTED_VALUE"""),42930.6666666666)</f>
        <v>42930.666666666599</v>
      </c>
      <c r="B639" s="1">
        <f ca="1">IFERROR(__xludf.DUMMYFUNCTION("""COMPUTED_VALUE"""),160.13)</f>
        <v>160.13</v>
      </c>
      <c r="C639" s="1">
        <f ca="1">IFERROR(__xludf.DUMMYFUNCTION("""COMPUTED_VALUE"""),160.32)</f>
        <v>160.32</v>
      </c>
      <c r="D639" s="1">
        <f ca="1">IFERROR(__xludf.DUMMYFUNCTION("""COMPUTED_VALUE"""),159.33)</f>
        <v>159.33000000000001</v>
      </c>
      <c r="E639" s="1">
        <f ca="1">IFERROR(__xludf.DUMMYFUNCTION("""COMPUTED_VALUE"""),159.97)</f>
        <v>159.97</v>
      </c>
      <c r="F639" s="1">
        <f ca="1">IFERROR(__xludf.DUMMYFUNCTION("""COMPUTED_VALUE"""),16371207)</f>
        <v>16371207</v>
      </c>
    </row>
    <row r="640" spans="1:6" x14ac:dyDescent="0.35">
      <c r="A640" s="2">
        <f ca="1">IFERROR(__xludf.DUMMYFUNCTION("""COMPUTED_VALUE"""),42933.6666666666)</f>
        <v>42933.666666666599</v>
      </c>
      <c r="B640" s="1">
        <f ca="1">IFERROR(__xludf.DUMMYFUNCTION("""COMPUTED_VALUE"""),160.25)</f>
        <v>160.25</v>
      </c>
      <c r="C640" s="1">
        <f ca="1">IFERROR(__xludf.DUMMYFUNCTION("""COMPUTED_VALUE"""),160.78)</f>
        <v>160.78</v>
      </c>
      <c r="D640" s="1">
        <f ca="1">IFERROR(__xludf.DUMMYFUNCTION("""COMPUTED_VALUE"""),158.81)</f>
        <v>158.81</v>
      </c>
      <c r="E640" s="1">
        <f ca="1">IFERROR(__xludf.DUMMYFUNCTION("""COMPUTED_VALUE"""),159.73)</f>
        <v>159.72999999999999</v>
      </c>
      <c r="F640" s="1">
        <f ca="1">IFERROR(__xludf.DUMMYFUNCTION("""COMPUTED_VALUE"""),12858836)</f>
        <v>12858836</v>
      </c>
    </row>
    <row r="641" spans="1:6" x14ac:dyDescent="0.35">
      <c r="A641" s="2">
        <f ca="1">IFERROR(__xludf.DUMMYFUNCTION("""COMPUTED_VALUE"""),42934.6666666666)</f>
        <v>42934.666666666599</v>
      </c>
      <c r="B641" s="1">
        <f ca="1">IFERROR(__xludf.DUMMYFUNCTION("""COMPUTED_VALUE"""),159.66)</f>
        <v>159.66</v>
      </c>
      <c r="C641" s="1">
        <f ca="1">IFERROR(__xludf.DUMMYFUNCTION("""COMPUTED_VALUE"""),163.73)</f>
        <v>163.72999999999999</v>
      </c>
      <c r="D641" s="1">
        <f ca="1">IFERROR(__xludf.DUMMYFUNCTION("""COMPUTED_VALUE"""),159.42)</f>
        <v>159.41999999999999</v>
      </c>
      <c r="E641" s="1">
        <f ca="1">IFERROR(__xludf.DUMMYFUNCTION("""COMPUTED_VALUE"""),162.86)</f>
        <v>162.86000000000001</v>
      </c>
      <c r="F641" s="1">
        <f ca="1">IFERROR(__xludf.DUMMYFUNCTION("""COMPUTED_VALUE"""),23722910)</f>
        <v>23722910</v>
      </c>
    </row>
    <row r="642" spans="1:6" x14ac:dyDescent="0.35">
      <c r="A642" s="2">
        <f ca="1">IFERROR(__xludf.DUMMYFUNCTION("""COMPUTED_VALUE"""),42935.6666666666)</f>
        <v>42935.666666666599</v>
      </c>
      <c r="B642" s="1">
        <f ca="1">IFERROR(__xludf.DUMMYFUNCTION("""COMPUTED_VALUE"""),163.59)</f>
        <v>163.59</v>
      </c>
      <c r="C642" s="1">
        <f ca="1">IFERROR(__xludf.DUMMYFUNCTION("""COMPUTED_VALUE"""),165.7)</f>
        <v>165.7</v>
      </c>
      <c r="D642" s="1">
        <f ca="1">IFERROR(__xludf.DUMMYFUNCTION("""COMPUTED_VALUE"""),163.17)</f>
        <v>163.16999999999999</v>
      </c>
      <c r="E642" s="1">
        <f ca="1">IFERROR(__xludf.DUMMYFUNCTION("""COMPUTED_VALUE"""),164.14)</f>
        <v>164.14</v>
      </c>
      <c r="F642" s="1">
        <f ca="1">IFERROR(__xludf.DUMMYFUNCTION("""COMPUTED_VALUE"""),26273642)</f>
        <v>26273642</v>
      </c>
    </row>
    <row r="643" spans="1:6" x14ac:dyDescent="0.35">
      <c r="A643" s="2">
        <f ca="1">IFERROR(__xludf.DUMMYFUNCTION("""COMPUTED_VALUE"""),42936.6666666666)</f>
        <v>42936.666666666599</v>
      </c>
      <c r="B643" s="1">
        <f ca="1">IFERROR(__xludf.DUMMYFUNCTION("""COMPUTED_VALUE"""),164.8)</f>
        <v>164.8</v>
      </c>
      <c r="C643" s="1">
        <f ca="1">IFERROR(__xludf.DUMMYFUNCTION("""COMPUTED_VALUE"""),165)</f>
        <v>165</v>
      </c>
      <c r="D643" s="1">
        <f ca="1">IFERROR(__xludf.DUMMYFUNCTION("""COMPUTED_VALUE"""),162.81)</f>
        <v>162.81</v>
      </c>
      <c r="E643" s="1">
        <f ca="1">IFERROR(__xludf.DUMMYFUNCTION("""COMPUTED_VALUE"""),164.53)</f>
        <v>164.53</v>
      </c>
      <c r="F643" s="1">
        <f ca="1">IFERROR(__xludf.DUMMYFUNCTION("""COMPUTED_VALUE"""),18523107)</f>
        <v>18523107</v>
      </c>
    </row>
    <row r="644" spans="1:6" x14ac:dyDescent="0.35">
      <c r="A644" s="2">
        <f ca="1">IFERROR(__xludf.DUMMYFUNCTION("""COMPUTED_VALUE"""),42937.6666666666)</f>
        <v>42937.666666666599</v>
      </c>
      <c r="B644" s="1">
        <f ca="1">IFERROR(__xludf.DUMMYFUNCTION("""COMPUTED_VALUE"""),164.16)</f>
        <v>164.16</v>
      </c>
      <c r="C644" s="1">
        <f ca="1">IFERROR(__xludf.DUMMYFUNCTION("""COMPUTED_VALUE"""),165.05)</f>
        <v>165.05</v>
      </c>
      <c r="D644" s="1">
        <f ca="1">IFERROR(__xludf.DUMMYFUNCTION("""COMPUTED_VALUE"""),163.75)</f>
        <v>163.75</v>
      </c>
      <c r="E644" s="1">
        <f ca="1">IFERROR(__xludf.DUMMYFUNCTION("""COMPUTED_VALUE"""),164.43)</f>
        <v>164.43</v>
      </c>
      <c r="F644" s="1">
        <f ca="1">IFERROR(__xludf.DUMMYFUNCTION("""COMPUTED_VALUE"""),14744002)</f>
        <v>14744002</v>
      </c>
    </row>
    <row r="645" spans="1:6" x14ac:dyDescent="0.35">
      <c r="A645" s="2">
        <f ca="1">IFERROR(__xludf.DUMMYFUNCTION("""COMPUTED_VALUE"""),42940.6666666666)</f>
        <v>42940.666666666599</v>
      </c>
      <c r="B645" s="1">
        <f ca="1">IFERROR(__xludf.DUMMYFUNCTION("""COMPUTED_VALUE"""),164.64)</f>
        <v>164.64</v>
      </c>
      <c r="C645" s="1">
        <f ca="1">IFERROR(__xludf.DUMMYFUNCTION("""COMPUTED_VALUE"""),166.17)</f>
        <v>166.17</v>
      </c>
      <c r="D645" s="1">
        <f ca="1">IFERROR(__xludf.DUMMYFUNCTION("""COMPUTED_VALUE"""),164.31)</f>
        <v>164.31</v>
      </c>
      <c r="E645" s="1">
        <f ca="1">IFERROR(__xludf.DUMMYFUNCTION("""COMPUTED_VALUE"""),166)</f>
        <v>166</v>
      </c>
      <c r="F645" s="1">
        <f ca="1">IFERROR(__xludf.DUMMYFUNCTION("""COMPUTED_VALUE"""),17366971)</f>
        <v>17366971</v>
      </c>
    </row>
    <row r="646" spans="1:6" x14ac:dyDescent="0.35">
      <c r="A646" s="2">
        <f ca="1">IFERROR(__xludf.DUMMYFUNCTION("""COMPUTED_VALUE"""),42941.6666666666)</f>
        <v>42941.666666666599</v>
      </c>
      <c r="B646" s="1">
        <f ca="1">IFERROR(__xludf.DUMMYFUNCTION("""COMPUTED_VALUE"""),165.01)</f>
        <v>165.01</v>
      </c>
      <c r="C646" s="1">
        <f ca="1">IFERROR(__xludf.DUMMYFUNCTION("""COMPUTED_VALUE"""),165.54)</f>
        <v>165.54</v>
      </c>
      <c r="D646" s="1">
        <f ca="1">IFERROR(__xludf.DUMMYFUNCTION("""COMPUTED_VALUE"""),163.86)</f>
        <v>163.86</v>
      </c>
      <c r="E646" s="1">
        <f ca="1">IFERROR(__xludf.DUMMYFUNCTION("""COMPUTED_VALUE"""),165.28)</f>
        <v>165.28</v>
      </c>
      <c r="F646" s="1">
        <f ca="1">IFERROR(__xludf.DUMMYFUNCTION("""COMPUTED_VALUE"""),15383241)</f>
        <v>15383241</v>
      </c>
    </row>
    <row r="647" spans="1:6" x14ac:dyDescent="0.35">
      <c r="A647" s="2">
        <f ca="1">IFERROR(__xludf.DUMMYFUNCTION("""COMPUTED_VALUE"""),42942.6666666666)</f>
        <v>42942.666666666599</v>
      </c>
      <c r="B647" s="1">
        <f ca="1">IFERROR(__xludf.DUMMYFUNCTION("""COMPUTED_VALUE"""),166.01)</f>
        <v>166.01</v>
      </c>
      <c r="C647" s="1">
        <f ca="1">IFERROR(__xludf.DUMMYFUNCTION("""COMPUTED_VALUE"""),166.01)</f>
        <v>166.01</v>
      </c>
      <c r="D647" s="1">
        <f ca="1">IFERROR(__xludf.DUMMYFUNCTION("""COMPUTED_VALUE"""),164.1)</f>
        <v>164.1</v>
      </c>
      <c r="E647" s="1">
        <f ca="1">IFERROR(__xludf.DUMMYFUNCTION("""COMPUTED_VALUE"""),165.61)</f>
        <v>165.61</v>
      </c>
      <c r="F647" s="1">
        <f ca="1">IFERROR(__xludf.DUMMYFUNCTION("""COMPUTED_VALUE"""),35236867)</f>
        <v>35236867</v>
      </c>
    </row>
    <row r="648" spans="1:6" x14ac:dyDescent="0.35">
      <c r="A648" s="2">
        <f ca="1">IFERROR(__xludf.DUMMYFUNCTION("""COMPUTED_VALUE"""),42943.6666666666)</f>
        <v>42943.666666666599</v>
      </c>
      <c r="B648" s="1">
        <f ca="1">IFERROR(__xludf.DUMMYFUNCTION("""COMPUTED_VALUE"""),174.7)</f>
        <v>174.7</v>
      </c>
      <c r="C648" s="1">
        <f ca="1">IFERROR(__xludf.DUMMYFUNCTION("""COMPUTED_VALUE"""),175.49)</f>
        <v>175.49</v>
      </c>
      <c r="D648" s="1">
        <f ca="1">IFERROR(__xludf.DUMMYFUNCTION("""COMPUTED_VALUE"""),167.5)</f>
        <v>167.5</v>
      </c>
      <c r="E648" s="1">
        <f ca="1">IFERROR(__xludf.DUMMYFUNCTION("""COMPUTED_VALUE"""),170.44)</f>
        <v>170.44</v>
      </c>
      <c r="F648" s="1">
        <f ca="1">IFERROR(__xludf.DUMMYFUNCTION("""COMPUTED_VALUE"""),68910708)</f>
        <v>68910708</v>
      </c>
    </row>
    <row r="649" spans="1:6" x14ac:dyDescent="0.35">
      <c r="A649" s="2">
        <f ca="1">IFERROR(__xludf.DUMMYFUNCTION("""COMPUTED_VALUE"""),42944.6666666666)</f>
        <v>42944.666666666599</v>
      </c>
      <c r="B649" s="1">
        <f ca="1">IFERROR(__xludf.DUMMYFUNCTION("""COMPUTED_VALUE"""),169.07)</f>
        <v>169.07</v>
      </c>
      <c r="C649" s="1">
        <f ca="1">IFERROR(__xludf.DUMMYFUNCTION("""COMPUTED_VALUE"""),173.43)</f>
        <v>173.43</v>
      </c>
      <c r="D649" s="1">
        <f ca="1">IFERROR(__xludf.DUMMYFUNCTION("""COMPUTED_VALUE"""),169.05)</f>
        <v>169.05</v>
      </c>
      <c r="E649" s="1">
        <f ca="1">IFERROR(__xludf.DUMMYFUNCTION("""COMPUTED_VALUE"""),172.45)</f>
        <v>172.45</v>
      </c>
      <c r="F649" s="1">
        <f ca="1">IFERROR(__xludf.DUMMYFUNCTION("""COMPUTED_VALUE"""),24557553)</f>
        <v>24557553</v>
      </c>
    </row>
    <row r="650" spans="1:6" x14ac:dyDescent="0.35">
      <c r="A650" s="2">
        <f ca="1">IFERROR(__xludf.DUMMYFUNCTION("""COMPUTED_VALUE"""),42947.6666666666)</f>
        <v>42947.666666666599</v>
      </c>
      <c r="B650" s="1">
        <f ca="1">IFERROR(__xludf.DUMMYFUNCTION("""COMPUTED_VALUE"""),172)</f>
        <v>172</v>
      </c>
      <c r="C650" s="1">
        <f ca="1">IFERROR(__xludf.DUMMYFUNCTION("""COMPUTED_VALUE"""),172.72)</f>
        <v>172.72</v>
      </c>
      <c r="D650" s="1">
        <f ca="1">IFERROR(__xludf.DUMMYFUNCTION("""COMPUTED_VALUE"""),168.55)</f>
        <v>168.55</v>
      </c>
      <c r="E650" s="1">
        <f ca="1">IFERROR(__xludf.DUMMYFUNCTION("""COMPUTED_VALUE"""),169.25)</f>
        <v>169.25</v>
      </c>
      <c r="F650" s="1">
        <f ca="1">IFERROR(__xludf.DUMMYFUNCTION("""COMPUTED_VALUE"""),25478945)</f>
        <v>25478945</v>
      </c>
    </row>
    <row r="651" spans="1:6" x14ac:dyDescent="0.35">
      <c r="A651" s="2">
        <f ca="1">IFERROR(__xludf.DUMMYFUNCTION("""COMPUTED_VALUE"""),42948.6666666666)</f>
        <v>42948.666666666599</v>
      </c>
      <c r="B651" s="1">
        <f ca="1">IFERROR(__xludf.DUMMYFUNCTION("""COMPUTED_VALUE"""),169.82)</f>
        <v>169.82</v>
      </c>
      <c r="C651" s="1">
        <f ca="1">IFERROR(__xludf.DUMMYFUNCTION("""COMPUTED_VALUE"""),170.47)</f>
        <v>170.47</v>
      </c>
      <c r="D651" s="1">
        <f ca="1">IFERROR(__xludf.DUMMYFUNCTION("""COMPUTED_VALUE"""),169.05)</f>
        <v>169.05</v>
      </c>
      <c r="E651" s="1">
        <f ca="1">IFERROR(__xludf.DUMMYFUNCTION("""COMPUTED_VALUE"""),169.86)</f>
        <v>169.86</v>
      </c>
      <c r="F651" s="1">
        <f ca="1">IFERROR(__xludf.DUMMYFUNCTION("""COMPUTED_VALUE"""),14384957)</f>
        <v>14384957</v>
      </c>
    </row>
    <row r="652" spans="1:6" x14ac:dyDescent="0.35">
      <c r="A652" s="2">
        <f ca="1">IFERROR(__xludf.DUMMYFUNCTION("""COMPUTED_VALUE"""),42949.6666666666)</f>
        <v>42949.666666666599</v>
      </c>
      <c r="B652" s="1">
        <f ca="1">IFERROR(__xludf.DUMMYFUNCTION("""COMPUTED_VALUE"""),170.3)</f>
        <v>170.3</v>
      </c>
      <c r="C652" s="1">
        <f ca="1">IFERROR(__xludf.DUMMYFUNCTION("""COMPUTED_VALUE"""),170.55)</f>
        <v>170.55</v>
      </c>
      <c r="D652" s="1">
        <f ca="1">IFERROR(__xludf.DUMMYFUNCTION("""COMPUTED_VALUE"""),166.91)</f>
        <v>166.91</v>
      </c>
      <c r="E652" s="1">
        <f ca="1">IFERROR(__xludf.DUMMYFUNCTION("""COMPUTED_VALUE"""),169.3)</f>
        <v>169.3</v>
      </c>
      <c r="F652" s="1">
        <f ca="1">IFERROR(__xludf.DUMMYFUNCTION("""COMPUTED_VALUE"""),17433774)</f>
        <v>17433774</v>
      </c>
    </row>
    <row r="653" spans="1:6" x14ac:dyDescent="0.35">
      <c r="A653" s="2">
        <f ca="1">IFERROR(__xludf.DUMMYFUNCTION("""COMPUTED_VALUE"""),42950.6666666666)</f>
        <v>42950.666666666599</v>
      </c>
      <c r="B653" s="1">
        <f ca="1">IFERROR(__xludf.DUMMYFUNCTION("""COMPUTED_VALUE"""),169.3)</f>
        <v>169.3</v>
      </c>
      <c r="C653" s="1">
        <f ca="1">IFERROR(__xludf.DUMMYFUNCTION("""COMPUTED_VALUE"""),169.7)</f>
        <v>169.7</v>
      </c>
      <c r="D653" s="1">
        <f ca="1">IFERROR(__xludf.DUMMYFUNCTION("""COMPUTED_VALUE"""),168.25)</f>
        <v>168.25</v>
      </c>
      <c r="E653" s="1">
        <f ca="1">IFERROR(__xludf.DUMMYFUNCTION("""COMPUTED_VALUE"""),168.59)</f>
        <v>168.59</v>
      </c>
      <c r="F653" s="1">
        <f ca="1">IFERROR(__xludf.DUMMYFUNCTION("""COMPUTED_VALUE"""),10793841)</f>
        <v>10793841</v>
      </c>
    </row>
    <row r="654" spans="1:6" x14ac:dyDescent="0.35">
      <c r="A654" s="2">
        <f ca="1">IFERROR(__xludf.DUMMYFUNCTION("""COMPUTED_VALUE"""),42951.6666666666)</f>
        <v>42951.666666666599</v>
      </c>
      <c r="B654" s="1">
        <f ca="1">IFERROR(__xludf.DUMMYFUNCTION("""COMPUTED_VALUE"""),168.97)</f>
        <v>168.97</v>
      </c>
      <c r="C654" s="1">
        <f ca="1">IFERROR(__xludf.DUMMYFUNCTION("""COMPUTED_VALUE"""),170.06)</f>
        <v>170.06</v>
      </c>
      <c r="D654" s="1">
        <f ca="1">IFERROR(__xludf.DUMMYFUNCTION("""COMPUTED_VALUE"""),168.69)</f>
        <v>168.69</v>
      </c>
      <c r="E654" s="1">
        <f ca="1">IFERROR(__xludf.DUMMYFUNCTION("""COMPUTED_VALUE"""),169.62)</f>
        <v>169.62</v>
      </c>
      <c r="F654" s="1">
        <f ca="1">IFERROR(__xludf.DUMMYFUNCTION("""COMPUTED_VALUE"""),10777727)</f>
        <v>10777727</v>
      </c>
    </row>
    <row r="655" spans="1:6" x14ac:dyDescent="0.35">
      <c r="A655" s="2">
        <f ca="1">IFERROR(__xludf.DUMMYFUNCTION("""COMPUTED_VALUE"""),42954.6666666666)</f>
        <v>42954.666666666599</v>
      </c>
      <c r="B655" s="1">
        <f ca="1">IFERROR(__xludf.DUMMYFUNCTION("""COMPUTED_VALUE"""),169.95)</f>
        <v>169.95</v>
      </c>
      <c r="C655" s="1">
        <f ca="1">IFERROR(__xludf.DUMMYFUNCTION("""COMPUTED_VALUE"""),172.06)</f>
        <v>172.06</v>
      </c>
      <c r="D655" s="1">
        <f ca="1">IFERROR(__xludf.DUMMYFUNCTION("""COMPUTED_VALUE"""),169.66)</f>
        <v>169.66</v>
      </c>
      <c r="E655" s="1">
        <f ca="1">IFERROR(__xludf.DUMMYFUNCTION("""COMPUTED_VALUE"""),171.98)</f>
        <v>171.98</v>
      </c>
      <c r="F655" s="1">
        <f ca="1">IFERROR(__xludf.DUMMYFUNCTION("""COMPUTED_VALUE"""),12787844)</f>
        <v>12787844</v>
      </c>
    </row>
    <row r="656" spans="1:6" x14ac:dyDescent="0.35">
      <c r="A656" s="2">
        <f ca="1">IFERROR(__xludf.DUMMYFUNCTION("""COMPUTED_VALUE"""),42955.6666666666)</f>
        <v>42955.666666666599</v>
      </c>
      <c r="B656" s="1">
        <f ca="1">IFERROR(__xludf.DUMMYFUNCTION("""COMPUTED_VALUE"""),171.88)</f>
        <v>171.88</v>
      </c>
      <c r="C656" s="1">
        <f ca="1">IFERROR(__xludf.DUMMYFUNCTION("""COMPUTED_VALUE"""),173.05)</f>
        <v>173.05</v>
      </c>
      <c r="D656" s="1">
        <f ca="1">IFERROR(__xludf.DUMMYFUNCTION("""COMPUTED_VALUE"""),170.62)</f>
        <v>170.62</v>
      </c>
      <c r="E656" s="1">
        <f ca="1">IFERROR(__xludf.DUMMYFUNCTION("""COMPUTED_VALUE"""),171.23)</f>
        <v>171.23</v>
      </c>
      <c r="F656" s="1">
        <f ca="1">IFERROR(__xludf.DUMMYFUNCTION("""COMPUTED_VALUE"""),14393524)</f>
        <v>14393524</v>
      </c>
    </row>
    <row r="657" spans="1:6" x14ac:dyDescent="0.35">
      <c r="A657" s="2">
        <f ca="1">IFERROR(__xludf.DUMMYFUNCTION("""COMPUTED_VALUE"""),42956.6666666666)</f>
        <v>42956.666666666599</v>
      </c>
      <c r="B657" s="1">
        <f ca="1">IFERROR(__xludf.DUMMYFUNCTION("""COMPUTED_VALUE"""),169.98)</f>
        <v>169.98</v>
      </c>
      <c r="C657" s="1">
        <f ca="1">IFERROR(__xludf.DUMMYFUNCTION("""COMPUTED_VALUE"""),171.45)</f>
        <v>171.45</v>
      </c>
      <c r="D657" s="1">
        <f ca="1">IFERROR(__xludf.DUMMYFUNCTION("""COMPUTED_VALUE"""),169.56)</f>
        <v>169.56</v>
      </c>
      <c r="E657" s="1">
        <f ca="1">IFERROR(__xludf.DUMMYFUNCTION("""COMPUTED_VALUE"""),171.18)</f>
        <v>171.18</v>
      </c>
      <c r="F657" s="1">
        <f ca="1">IFERROR(__xludf.DUMMYFUNCTION("""COMPUTED_VALUE"""),10814984)</f>
        <v>10814984</v>
      </c>
    </row>
    <row r="658" spans="1:6" x14ac:dyDescent="0.35">
      <c r="A658" s="2">
        <f ca="1">IFERROR(__xludf.DUMMYFUNCTION("""COMPUTED_VALUE"""),42957.6666666666)</f>
        <v>42957.666666666599</v>
      </c>
      <c r="B658" s="1">
        <f ca="1">IFERROR(__xludf.DUMMYFUNCTION("""COMPUTED_VALUE"""),170.06)</f>
        <v>170.06</v>
      </c>
      <c r="C658" s="1">
        <f ca="1">IFERROR(__xludf.DUMMYFUNCTION("""COMPUTED_VALUE"""),170.59)</f>
        <v>170.59</v>
      </c>
      <c r="D658" s="1">
        <f ca="1">IFERROR(__xludf.DUMMYFUNCTION("""COMPUTED_VALUE"""),166.85)</f>
        <v>166.85</v>
      </c>
      <c r="E658" s="1">
        <f ca="1">IFERROR(__xludf.DUMMYFUNCTION("""COMPUTED_VALUE"""),167.4)</f>
        <v>167.4</v>
      </c>
      <c r="F658" s="1">
        <f ca="1">IFERROR(__xludf.DUMMYFUNCTION("""COMPUTED_VALUE"""),20832746)</f>
        <v>20832746</v>
      </c>
    </row>
    <row r="659" spans="1:6" x14ac:dyDescent="0.35">
      <c r="A659" s="2">
        <f ca="1">IFERROR(__xludf.DUMMYFUNCTION("""COMPUTED_VALUE"""),42958.6666666666)</f>
        <v>42958.666666666599</v>
      </c>
      <c r="B659" s="1">
        <f ca="1">IFERROR(__xludf.DUMMYFUNCTION("""COMPUTED_VALUE"""),167.95)</f>
        <v>167.95</v>
      </c>
      <c r="C659" s="1">
        <f ca="1">IFERROR(__xludf.DUMMYFUNCTION("""COMPUTED_VALUE"""),168.82)</f>
        <v>168.82</v>
      </c>
      <c r="D659" s="1">
        <f ca="1">IFERROR(__xludf.DUMMYFUNCTION("""COMPUTED_VALUE"""),166.85)</f>
        <v>166.85</v>
      </c>
      <c r="E659" s="1">
        <f ca="1">IFERROR(__xludf.DUMMYFUNCTION("""COMPUTED_VALUE"""),168.08)</f>
        <v>168.08</v>
      </c>
      <c r="F659" s="1">
        <f ca="1">IFERROR(__xludf.DUMMYFUNCTION("""COMPUTED_VALUE"""),13791153)</f>
        <v>13791153</v>
      </c>
    </row>
    <row r="660" spans="1:6" x14ac:dyDescent="0.35">
      <c r="A660" s="2">
        <f ca="1">IFERROR(__xludf.DUMMYFUNCTION("""COMPUTED_VALUE"""),42961.6666666666)</f>
        <v>42961.666666666599</v>
      </c>
      <c r="B660" s="1">
        <f ca="1">IFERROR(__xludf.DUMMYFUNCTION("""COMPUTED_VALUE"""),170.09)</f>
        <v>170.09</v>
      </c>
      <c r="C660" s="1">
        <f ca="1">IFERROR(__xludf.DUMMYFUNCTION("""COMPUTED_VALUE"""),171.08)</f>
        <v>171.08</v>
      </c>
      <c r="D660" s="1">
        <f ca="1">IFERROR(__xludf.DUMMYFUNCTION("""COMPUTED_VALUE"""),169.29)</f>
        <v>169.29</v>
      </c>
      <c r="E660" s="1">
        <f ca="1">IFERROR(__xludf.DUMMYFUNCTION("""COMPUTED_VALUE"""),170.75)</f>
        <v>170.75</v>
      </c>
      <c r="F660" s="1">
        <f ca="1">IFERROR(__xludf.DUMMYFUNCTION("""COMPUTED_VALUE"""),12954231)</f>
        <v>12954231</v>
      </c>
    </row>
    <row r="661" spans="1:6" x14ac:dyDescent="0.35">
      <c r="A661" s="2">
        <f ca="1">IFERROR(__xludf.DUMMYFUNCTION("""COMPUTED_VALUE"""),42962.6666666666)</f>
        <v>42962.666666666599</v>
      </c>
      <c r="B661" s="1">
        <f ca="1">IFERROR(__xludf.DUMMYFUNCTION("""COMPUTED_VALUE"""),171.49)</f>
        <v>171.49</v>
      </c>
      <c r="C661" s="1">
        <f ca="1">IFERROR(__xludf.DUMMYFUNCTION("""COMPUTED_VALUE"""),171.5)</f>
        <v>171.5</v>
      </c>
      <c r="D661" s="1">
        <f ca="1">IFERROR(__xludf.DUMMYFUNCTION("""COMPUTED_VALUE"""),170.01)</f>
        <v>170.01</v>
      </c>
      <c r="E661" s="1">
        <f ca="1">IFERROR(__xludf.DUMMYFUNCTION("""COMPUTED_VALUE"""),171)</f>
        <v>171</v>
      </c>
      <c r="F661" s="1">
        <f ca="1">IFERROR(__xludf.DUMMYFUNCTION("""COMPUTED_VALUE"""),8729172)</f>
        <v>8729172</v>
      </c>
    </row>
    <row r="662" spans="1:6" x14ac:dyDescent="0.35">
      <c r="A662" s="2">
        <f ca="1">IFERROR(__xludf.DUMMYFUNCTION("""COMPUTED_VALUE"""),42963.6666666666)</f>
        <v>42963.666666666599</v>
      </c>
      <c r="B662" s="1">
        <f ca="1">IFERROR(__xludf.DUMMYFUNCTION("""COMPUTED_VALUE"""),171.25)</f>
        <v>171.25</v>
      </c>
      <c r="C662" s="1">
        <f ca="1">IFERROR(__xludf.DUMMYFUNCTION("""COMPUTED_VALUE"""),171.38)</f>
        <v>171.38</v>
      </c>
      <c r="D662" s="1">
        <f ca="1">IFERROR(__xludf.DUMMYFUNCTION("""COMPUTED_VALUE"""),169.24)</f>
        <v>169.24</v>
      </c>
      <c r="E662" s="1">
        <f ca="1">IFERROR(__xludf.DUMMYFUNCTION("""COMPUTED_VALUE"""),170)</f>
        <v>170</v>
      </c>
      <c r="F662" s="1">
        <f ca="1">IFERROR(__xludf.DUMMYFUNCTION("""COMPUTED_VALUE"""),15779924)</f>
        <v>15779924</v>
      </c>
    </row>
    <row r="663" spans="1:6" x14ac:dyDescent="0.35">
      <c r="A663" s="2">
        <f ca="1">IFERROR(__xludf.DUMMYFUNCTION("""COMPUTED_VALUE"""),42964.6666666666)</f>
        <v>42964.666666666599</v>
      </c>
      <c r="B663" s="1">
        <f ca="1">IFERROR(__xludf.DUMMYFUNCTION("""COMPUTED_VALUE"""),169.34)</f>
        <v>169.34</v>
      </c>
      <c r="C663" s="1">
        <f ca="1">IFERROR(__xludf.DUMMYFUNCTION("""COMPUTED_VALUE"""),169.86)</f>
        <v>169.86</v>
      </c>
      <c r="D663" s="1">
        <f ca="1">IFERROR(__xludf.DUMMYFUNCTION("""COMPUTED_VALUE"""),166.85)</f>
        <v>166.85</v>
      </c>
      <c r="E663" s="1">
        <f ca="1">IFERROR(__xludf.DUMMYFUNCTION("""COMPUTED_VALUE"""),166.91)</f>
        <v>166.91</v>
      </c>
      <c r="F663" s="1">
        <f ca="1">IFERROR(__xludf.DUMMYFUNCTION("""COMPUTED_VALUE"""),17216030)</f>
        <v>17216030</v>
      </c>
    </row>
    <row r="664" spans="1:6" x14ac:dyDescent="0.35">
      <c r="A664" s="2">
        <f ca="1">IFERROR(__xludf.DUMMYFUNCTION("""COMPUTED_VALUE"""),42965.6666666666)</f>
        <v>42965.666666666599</v>
      </c>
      <c r="B664" s="1">
        <f ca="1">IFERROR(__xludf.DUMMYFUNCTION("""COMPUTED_VALUE"""),166.84)</f>
        <v>166.84</v>
      </c>
      <c r="C664" s="1">
        <f ca="1">IFERROR(__xludf.DUMMYFUNCTION("""COMPUTED_VALUE"""),168.67)</f>
        <v>168.67</v>
      </c>
      <c r="D664" s="1">
        <f ca="1">IFERROR(__xludf.DUMMYFUNCTION("""COMPUTED_VALUE"""),166.21)</f>
        <v>166.21</v>
      </c>
      <c r="E664" s="1">
        <f ca="1">IFERROR(__xludf.DUMMYFUNCTION("""COMPUTED_VALUE"""),167.41)</f>
        <v>167.41</v>
      </c>
      <c r="F664" s="1">
        <f ca="1">IFERROR(__xludf.DUMMYFUNCTION("""COMPUTED_VALUE"""),15093638)</f>
        <v>15093638</v>
      </c>
    </row>
    <row r="665" spans="1:6" x14ac:dyDescent="0.35">
      <c r="A665" s="2">
        <f ca="1">IFERROR(__xludf.DUMMYFUNCTION("""COMPUTED_VALUE"""),42968.6666666666)</f>
        <v>42968.666666666599</v>
      </c>
      <c r="B665" s="1">
        <f ca="1">IFERROR(__xludf.DUMMYFUNCTION("""COMPUTED_VALUE"""),167.16)</f>
        <v>167.16</v>
      </c>
      <c r="C665" s="1">
        <f ca="1">IFERROR(__xludf.DUMMYFUNCTION("""COMPUTED_VALUE"""),168)</f>
        <v>168</v>
      </c>
      <c r="D665" s="1">
        <f ca="1">IFERROR(__xludf.DUMMYFUNCTION("""COMPUTED_VALUE"""),165.82)</f>
        <v>165.82</v>
      </c>
      <c r="E665" s="1">
        <f ca="1">IFERROR(__xludf.DUMMYFUNCTION("""COMPUTED_VALUE"""),167.78)</f>
        <v>167.78</v>
      </c>
      <c r="F665" s="1">
        <f ca="1">IFERROR(__xludf.DUMMYFUNCTION("""COMPUTED_VALUE"""),11907488)</f>
        <v>11907488</v>
      </c>
    </row>
    <row r="666" spans="1:6" x14ac:dyDescent="0.35">
      <c r="A666" s="2">
        <f ca="1">IFERROR(__xludf.DUMMYFUNCTION("""COMPUTED_VALUE"""),42969.6666666666)</f>
        <v>42969.666666666599</v>
      </c>
      <c r="B666" s="1">
        <f ca="1">IFERROR(__xludf.DUMMYFUNCTION("""COMPUTED_VALUE"""),168.28)</f>
        <v>168.28</v>
      </c>
      <c r="C666" s="1">
        <f ca="1">IFERROR(__xludf.DUMMYFUNCTION("""COMPUTED_VALUE"""),169.87)</f>
        <v>169.87</v>
      </c>
      <c r="D666" s="1">
        <f ca="1">IFERROR(__xludf.DUMMYFUNCTION("""COMPUTED_VALUE"""),167.15)</f>
        <v>167.15</v>
      </c>
      <c r="E666" s="1">
        <f ca="1">IFERROR(__xludf.DUMMYFUNCTION("""COMPUTED_VALUE"""),169.64)</f>
        <v>169.64</v>
      </c>
      <c r="F666" s="1">
        <f ca="1">IFERROR(__xludf.DUMMYFUNCTION("""COMPUTED_VALUE"""),11390975)</f>
        <v>11390975</v>
      </c>
    </row>
    <row r="667" spans="1:6" x14ac:dyDescent="0.35">
      <c r="A667" s="2">
        <f ca="1">IFERROR(__xludf.DUMMYFUNCTION("""COMPUTED_VALUE"""),42970.6666666666)</f>
        <v>42970.666666666599</v>
      </c>
      <c r="B667" s="1">
        <f ca="1">IFERROR(__xludf.DUMMYFUNCTION("""COMPUTED_VALUE"""),168.84)</f>
        <v>168.84</v>
      </c>
      <c r="C667" s="1">
        <f ca="1">IFERROR(__xludf.DUMMYFUNCTION("""COMPUTED_VALUE"""),169.36)</f>
        <v>169.36</v>
      </c>
      <c r="D667" s="1">
        <f ca="1">IFERROR(__xludf.DUMMYFUNCTION("""COMPUTED_VALUE"""),168.2)</f>
        <v>168.2</v>
      </c>
      <c r="E667" s="1">
        <f ca="1">IFERROR(__xludf.DUMMYFUNCTION("""COMPUTED_VALUE"""),168.71)</f>
        <v>168.71</v>
      </c>
      <c r="F667" s="1">
        <f ca="1">IFERROR(__xludf.DUMMYFUNCTION("""COMPUTED_VALUE"""),9856473)</f>
        <v>9856473</v>
      </c>
    </row>
    <row r="668" spans="1:6" x14ac:dyDescent="0.35">
      <c r="A668" s="2">
        <f ca="1">IFERROR(__xludf.DUMMYFUNCTION("""COMPUTED_VALUE"""),42971.6666666666)</f>
        <v>42971.666666666599</v>
      </c>
      <c r="B668" s="1">
        <f ca="1">IFERROR(__xludf.DUMMYFUNCTION("""COMPUTED_VALUE"""),168.88)</f>
        <v>168.88</v>
      </c>
      <c r="C668" s="1">
        <f ca="1">IFERROR(__xludf.DUMMYFUNCTION("""COMPUTED_VALUE"""),169.29)</f>
        <v>169.29</v>
      </c>
      <c r="D668" s="1">
        <f ca="1">IFERROR(__xludf.DUMMYFUNCTION("""COMPUTED_VALUE"""),166.41)</f>
        <v>166.41</v>
      </c>
      <c r="E668" s="1">
        <f ca="1">IFERROR(__xludf.DUMMYFUNCTION("""COMPUTED_VALUE"""),167.74)</f>
        <v>167.74</v>
      </c>
      <c r="F668" s="1">
        <f ca="1">IFERROR(__xludf.DUMMYFUNCTION("""COMPUTED_VALUE"""),14030420)</f>
        <v>14030420</v>
      </c>
    </row>
    <row r="669" spans="1:6" x14ac:dyDescent="0.35">
      <c r="A669" s="2">
        <f ca="1">IFERROR(__xludf.DUMMYFUNCTION("""COMPUTED_VALUE"""),42972.6666666666)</f>
        <v>42972.666666666599</v>
      </c>
      <c r="B669" s="1">
        <f ca="1">IFERROR(__xludf.DUMMYFUNCTION("""COMPUTED_VALUE"""),167.86)</f>
        <v>167.86</v>
      </c>
      <c r="C669" s="1">
        <f ca="1">IFERROR(__xludf.DUMMYFUNCTION("""COMPUTED_VALUE"""),168.38)</f>
        <v>168.38</v>
      </c>
      <c r="D669" s="1">
        <f ca="1">IFERROR(__xludf.DUMMYFUNCTION("""COMPUTED_VALUE"""),166.18)</f>
        <v>166.18</v>
      </c>
      <c r="E669" s="1">
        <f ca="1">IFERROR(__xludf.DUMMYFUNCTION("""COMPUTED_VALUE"""),166.32)</f>
        <v>166.32</v>
      </c>
      <c r="F669" s="1">
        <f ca="1">IFERROR(__xludf.DUMMYFUNCTION("""COMPUTED_VALUE"""),12614477)</f>
        <v>12614477</v>
      </c>
    </row>
    <row r="670" spans="1:6" x14ac:dyDescent="0.35">
      <c r="A670" s="2">
        <f ca="1">IFERROR(__xludf.DUMMYFUNCTION("""COMPUTED_VALUE"""),42975.6666666666)</f>
        <v>42975.666666666599</v>
      </c>
      <c r="B670" s="1">
        <f ca="1">IFERROR(__xludf.DUMMYFUNCTION("""COMPUTED_VALUE"""),166.91)</f>
        <v>166.91</v>
      </c>
      <c r="C670" s="1">
        <f ca="1">IFERROR(__xludf.DUMMYFUNCTION("""COMPUTED_VALUE"""),167.7)</f>
        <v>167.7</v>
      </c>
      <c r="D670" s="1">
        <f ca="1">IFERROR(__xludf.DUMMYFUNCTION("""COMPUTED_VALUE"""),166.33)</f>
        <v>166.33</v>
      </c>
      <c r="E670" s="1">
        <f ca="1">IFERROR(__xludf.DUMMYFUNCTION("""COMPUTED_VALUE"""),167.24)</f>
        <v>167.24</v>
      </c>
      <c r="F670" s="1">
        <f ca="1">IFERROR(__xludf.DUMMYFUNCTION("""COMPUTED_VALUE"""),8553741)</f>
        <v>8553741</v>
      </c>
    </row>
    <row r="671" spans="1:6" x14ac:dyDescent="0.35">
      <c r="A671" s="2">
        <f ca="1">IFERROR(__xludf.DUMMYFUNCTION("""COMPUTED_VALUE"""),42976.6666666666)</f>
        <v>42976.666666666599</v>
      </c>
      <c r="B671" s="1">
        <f ca="1">IFERROR(__xludf.DUMMYFUNCTION("""COMPUTED_VALUE"""),165.25)</f>
        <v>165.25</v>
      </c>
      <c r="C671" s="1">
        <f ca="1">IFERROR(__xludf.DUMMYFUNCTION("""COMPUTED_VALUE"""),168.43)</f>
        <v>168.43</v>
      </c>
      <c r="D671" s="1">
        <f ca="1">IFERROR(__xludf.DUMMYFUNCTION("""COMPUTED_VALUE"""),165)</f>
        <v>165</v>
      </c>
      <c r="E671" s="1">
        <f ca="1">IFERROR(__xludf.DUMMYFUNCTION("""COMPUTED_VALUE"""),168.05)</f>
        <v>168.05</v>
      </c>
      <c r="F671" s="1">
        <f ca="1">IFERROR(__xludf.DUMMYFUNCTION("""COMPUTED_VALUE"""),11120986)</f>
        <v>11120986</v>
      </c>
    </row>
    <row r="672" spans="1:6" x14ac:dyDescent="0.35">
      <c r="A672" s="2">
        <f ca="1">IFERROR(__xludf.DUMMYFUNCTION("""COMPUTED_VALUE"""),42977.6666666666)</f>
        <v>42977.666666666599</v>
      </c>
      <c r="B672" s="1">
        <f ca="1">IFERROR(__xludf.DUMMYFUNCTION("""COMPUTED_VALUE"""),168.17)</f>
        <v>168.17</v>
      </c>
      <c r="C672" s="1">
        <f ca="1">IFERROR(__xludf.DUMMYFUNCTION("""COMPUTED_VALUE"""),170.18)</f>
        <v>170.18</v>
      </c>
      <c r="D672" s="1">
        <f ca="1">IFERROR(__xludf.DUMMYFUNCTION("""COMPUTED_VALUE"""),167.63)</f>
        <v>167.63</v>
      </c>
      <c r="E672" s="1">
        <f ca="1">IFERROR(__xludf.DUMMYFUNCTION("""COMPUTED_VALUE"""),169.92)</f>
        <v>169.92</v>
      </c>
      <c r="F672" s="1">
        <f ca="1">IFERROR(__xludf.DUMMYFUNCTION("""COMPUTED_VALUE"""),11138293)</f>
        <v>11138293</v>
      </c>
    </row>
    <row r="673" spans="1:6" x14ac:dyDescent="0.35">
      <c r="A673" s="2">
        <f ca="1">IFERROR(__xludf.DUMMYFUNCTION("""COMPUTED_VALUE"""),42978.6666666666)</f>
        <v>42978.666666666599</v>
      </c>
      <c r="B673" s="1">
        <f ca="1">IFERROR(__xludf.DUMMYFUNCTION("""COMPUTED_VALUE"""),170.4)</f>
        <v>170.4</v>
      </c>
      <c r="C673" s="1">
        <f ca="1">IFERROR(__xludf.DUMMYFUNCTION("""COMPUTED_VALUE"""),172.15)</f>
        <v>172.15</v>
      </c>
      <c r="D673" s="1">
        <f ca="1">IFERROR(__xludf.DUMMYFUNCTION("""COMPUTED_VALUE"""),170.06)</f>
        <v>170.06</v>
      </c>
      <c r="E673" s="1">
        <f ca="1">IFERROR(__xludf.DUMMYFUNCTION("""COMPUTED_VALUE"""),171.97)</f>
        <v>171.97</v>
      </c>
      <c r="F673" s="1">
        <f ca="1">IFERROR(__xludf.DUMMYFUNCTION("""COMPUTED_VALUE"""),17226465)</f>
        <v>17226465</v>
      </c>
    </row>
    <row r="674" spans="1:6" x14ac:dyDescent="0.35">
      <c r="A674" s="2">
        <f ca="1">IFERROR(__xludf.DUMMYFUNCTION("""COMPUTED_VALUE"""),42979.6666666666)</f>
        <v>42979.666666666599</v>
      </c>
      <c r="B674" s="1">
        <f ca="1">IFERROR(__xludf.DUMMYFUNCTION("""COMPUTED_VALUE"""),172.4)</f>
        <v>172.4</v>
      </c>
      <c r="C674" s="1">
        <f ca="1">IFERROR(__xludf.DUMMYFUNCTION("""COMPUTED_VALUE"""),172.92)</f>
        <v>172.92</v>
      </c>
      <c r="D674" s="1">
        <f ca="1">IFERROR(__xludf.DUMMYFUNCTION("""COMPUTED_VALUE"""),171.31)</f>
        <v>171.31</v>
      </c>
      <c r="E674" s="1">
        <f ca="1">IFERROR(__xludf.DUMMYFUNCTION("""COMPUTED_VALUE"""),172.02)</f>
        <v>172.02</v>
      </c>
      <c r="F674" s="1">
        <f ca="1">IFERROR(__xludf.DUMMYFUNCTION("""COMPUTED_VALUE"""),11677589)</f>
        <v>11677589</v>
      </c>
    </row>
    <row r="675" spans="1:6" x14ac:dyDescent="0.35">
      <c r="A675" s="2">
        <f ca="1">IFERROR(__xludf.DUMMYFUNCTION("""COMPUTED_VALUE"""),42983.6666666666)</f>
        <v>42983.666666666599</v>
      </c>
      <c r="B675" s="1">
        <f ca="1">IFERROR(__xludf.DUMMYFUNCTION("""COMPUTED_VALUE"""),171.27)</f>
        <v>171.27</v>
      </c>
      <c r="C675" s="1">
        <f ca="1">IFERROR(__xludf.DUMMYFUNCTION("""COMPUTED_VALUE"""),172.39)</f>
        <v>172.39</v>
      </c>
      <c r="D675" s="1">
        <f ca="1">IFERROR(__xludf.DUMMYFUNCTION("""COMPUTED_VALUE"""),169.55)</f>
        <v>169.55</v>
      </c>
      <c r="E675" s="1">
        <f ca="1">IFERROR(__xludf.DUMMYFUNCTION("""COMPUTED_VALUE"""),170.72)</f>
        <v>170.72</v>
      </c>
      <c r="F675" s="1">
        <f ca="1">IFERROR(__xludf.DUMMYFUNCTION("""COMPUTED_VALUE"""),13221127)</f>
        <v>13221127</v>
      </c>
    </row>
    <row r="676" spans="1:6" x14ac:dyDescent="0.35">
      <c r="A676" s="2">
        <f ca="1">IFERROR(__xludf.DUMMYFUNCTION("""COMPUTED_VALUE"""),42984.6666666666)</f>
        <v>42984.666666666599</v>
      </c>
      <c r="B676" s="1">
        <f ca="1">IFERROR(__xludf.DUMMYFUNCTION("""COMPUTED_VALUE"""),170.91)</f>
        <v>170.91</v>
      </c>
      <c r="C676" s="1">
        <f ca="1">IFERROR(__xludf.DUMMYFUNCTION("""COMPUTED_VALUE"""),172.48)</f>
        <v>172.48</v>
      </c>
      <c r="D676" s="1">
        <f ca="1">IFERROR(__xludf.DUMMYFUNCTION("""COMPUTED_VALUE"""),169.57)</f>
        <v>169.57</v>
      </c>
      <c r="E676" s="1">
        <f ca="1">IFERROR(__xludf.DUMMYFUNCTION("""COMPUTED_VALUE"""),172.09)</f>
        <v>172.09</v>
      </c>
      <c r="F676" s="1">
        <f ca="1">IFERROR(__xludf.DUMMYFUNCTION("""COMPUTED_VALUE"""),13906342)</f>
        <v>13906342</v>
      </c>
    </row>
    <row r="677" spans="1:6" x14ac:dyDescent="0.35">
      <c r="A677" s="2">
        <f ca="1">IFERROR(__xludf.DUMMYFUNCTION("""COMPUTED_VALUE"""),42985.6666666666)</f>
        <v>42985.666666666599</v>
      </c>
      <c r="B677" s="1">
        <f ca="1">IFERROR(__xludf.DUMMYFUNCTION("""COMPUTED_VALUE"""),171.94)</f>
        <v>171.94</v>
      </c>
      <c r="C677" s="1">
        <f ca="1">IFERROR(__xludf.DUMMYFUNCTION("""COMPUTED_VALUE"""),173.31)</f>
        <v>173.31</v>
      </c>
      <c r="D677" s="1">
        <f ca="1">IFERROR(__xludf.DUMMYFUNCTION("""COMPUTED_VALUE"""),170.27)</f>
        <v>170.27</v>
      </c>
      <c r="E677" s="1">
        <f ca="1">IFERROR(__xludf.DUMMYFUNCTION("""COMPUTED_VALUE"""),173.21)</f>
        <v>173.21</v>
      </c>
      <c r="F677" s="1">
        <f ca="1">IFERROR(__xludf.DUMMYFUNCTION("""COMPUTED_VALUE"""),18049527)</f>
        <v>18049527</v>
      </c>
    </row>
    <row r="678" spans="1:6" x14ac:dyDescent="0.35">
      <c r="A678" s="2">
        <f ca="1">IFERROR(__xludf.DUMMYFUNCTION("""COMPUTED_VALUE"""),42986.6666666666)</f>
        <v>42986.666666666599</v>
      </c>
      <c r="B678" s="1">
        <f ca="1">IFERROR(__xludf.DUMMYFUNCTION("""COMPUTED_VALUE"""),173.09)</f>
        <v>173.09</v>
      </c>
      <c r="C678" s="1">
        <f ca="1">IFERROR(__xludf.DUMMYFUNCTION("""COMPUTED_VALUE"""),173.49)</f>
        <v>173.49</v>
      </c>
      <c r="D678" s="1">
        <f ca="1">IFERROR(__xludf.DUMMYFUNCTION("""COMPUTED_VALUE"""),170.8)</f>
        <v>170.8</v>
      </c>
      <c r="E678" s="1">
        <f ca="1">IFERROR(__xludf.DUMMYFUNCTION("""COMPUTED_VALUE"""),170.95)</f>
        <v>170.95</v>
      </c>
      <c r="F678" s="1">
        <f ca="1">IFERROR(__xludf.DUMMYFUNCTION("""COMPUTED_VALUE"""),10998459)</f>
        <v>10998459</v>
      </c>
    </row>
    <row r="679" spans="1:6" x14ac:dyDescent="0.35">
      <c r="A679" s="2">
        <f ca="1">IFERROR(__xludf.DUMMYFUNCTION("""COMPUTED_VALUE"""),42989.6666666666)</f>
        <v>42989.666666666599</v>
      </c>
      <c r="B679" s="1">
        <f ca="1">IFERROR(__xludf.DUMMYFUNCTION("""COMPUTED_VALUE"""),172.4)</f>
        <v>172.4</v>
      </c>
      <c r="C679" s="1">
        <f ca="1">IFERROR(__xludf.DUMMYFUNCTION("""COMPUTED_VALUE"""),173.89)</f>
        <v>173.89</v>
      </c>
      <c r="D679" s="1">
        <f ca="1">IFERROR(__xludf.DUMMYFUNCTION("""COMPUTED_VALUE"""),172.2)</f>
        <v>172.2</v>
      </c>
      <c r="E679" s="1">
        <f ca="1">IFERROR(__xludf.DUMMYFUNCTION("""COMPUTED_VALUE"""),173.51)</f>
        <v>173.51</v>
      </c>
      <c r="F679" s="1">
        <f ca="1">IFERROR(__xludf.DUMMYFUNCTION("""COMPUTED_VALUE"""),12372040)</f>
        <v>12372040</v>
      </c>
    </row>
    <row r="680" spans="1:6" x14ac:dyDescent="0.35">
      <c r="A680" s="2">
        <f ca="1">IFERROR(__xludf.DUMMYFUNCTION("""COMPUTED_VALUE"""),42990.6666666666)</f>
        <v>42990.666666666599</v>
      </c>
      <c r="B680" s="1">
        <f ca="1">IFERROR(__xludf.DUMMYFUNCTION("""COMPUTED_VALUE"""),173.76)</f>
        <v>173.76</v>
      </c>
      <c r="C680" s="1">
        <f ca="1">IFERROR(__xludf.DUMMYFUNCTION("""COMPUTED_VALUE"""),174)</f>
        <v>174</v>
      </c>
      <c r="D680" s="1">
        <f ca="1">IFERROR(__xludf.DUMMYFUNCTION("""COMPUTED_VALUE"""),171.75)</f>
        <v>171.75</v>
      </c>
      <c r="E680" s="1">
        <f ca="1">IFERROR(__xludf.DUMMYFUNCTION("""COMPUTED_VALUE"""),172.96)</f>
        <v>172.96</v>
      </c>
      <c r="F680" s="1">
        <f ca="1">IFERROR(__xludf.DUMMYFUNCTION("""COMPUTED_VALUE"""),11186328)</f>
        <v>11186328</v>
      </c>
    </row>
    <row r="681" spans="1:6" x14ac:dyDescent="0.35">
      <c r="A681" s="2">
        <f ca="1">IFERROR(__xludf.DUMMYFUNCTION("""COMPUTED_VALUE"""),42991.6666666666)</f>
        <v>42991.666666666599</v>
      </c>
      <c r="B681" s="1">
        <f ca="1">IFERROR(__xludf.DUMMYFUNCTION("""COMPUTED_VALUE"""),173.01)</f>
        <v>173.01</v>
      </c>
      <c r="C681" s="1">
        <f ca="1">IFERROR(__xludf.DUMMYFUNCTION("""COMPUTED_VALUE"""),173.17)</f>
        <v>173.17</v>
      </c>
      <c r="D681" s="1">
        <f ca="1">IFERROR(__xludf.DUMMYFUNCTION("""COMPUTED_VALUE"""),172.06)</f>
        <v>172.06</v>
      </c>
      <c r="E681" s="1">
        <f ca="1">IFERROR(__xludf.DUMMYFUNCTION("""COMPUTED_VALUE"""),173.05)</f>
        <v>173.05</v>
      </c>
      <c r="F681" s="1">
        <f ca="1">IFERROR(__xludf.DUMMYFUNCTION("""COMPUTED_VALUE"""),9119295)</f>
        <v>9119295</v>
      </c>
    </row>
    <row r="682" spans="1:6" x14ac:dyDescent="0.35">
      <c r="A682" s="2">
        <f ca="1">IFERROR(__xludf.DUMMYFUNCTION("""COMPUTED_VALUE"""),42992.6666666666)</f>
        <v>42992.666666666599</v>
      </c>
      <c r="B682" s="1">
        <f ca="1">IFERROR(__xludf.DUMMYFUNCTION("""COMPUTED_VALUE"""),172.26)</f>
        <v>172.26</v>
      </c>
      <c r="C682" s="1">
        <f ca="1">IFERROR(__xludf.DUMMYFUNCTION("""COMPUTED_VALUE"""),172.28)</f>
        <v>172.28</v>
      </c>
      <c r="D682" s="1">
        <f ca="1">IFERROR(__xludf.DUMMYFUNCTION("""COMPUTED_VALUE"""),170.5)</f>
        <v>170.5</v>
      </c>
      <c r="E682" s="1">
        <f ca="1">IFERROR(__xludf.DUMMYFUNCTION("""COMPUTED_VALUE"""),170.96)</f>
        <v>170.96</v>
      </c>
      <c r="F682" s="1">
        <f ca="1">IFERROR(__xludf.DUMMYFUNCTION("""COMPUTED_VALUE"""),15615654)</f>
        <v>15615654</v>
      </c>
    </row>
    <row r="683" spans="1:6" x14ac:dyDescent="0.35">
      <c r="A683" s="2">
        <f ca="1">IFERROR(__xludf.DUMMYFUNCTION("""COMPUTED_VALUE"""),42993.6666666666)</f>
        <v>42993.666666666599</v>
      </c>
      <c r="B683" s="1">
        <f ca="1">IFERROR(__xludf.DUMMYFUNCTION("""COMPUTED_VALUE"""),170.88)</f>
        <v>170.88</v>
      </c>
      <c r="C683" s="1">
        <f ca="1">IFERROR(__xludf.DUMMYFUNCTION("""COMPUTED_VALUE"""),172.34)</f>
        <v>172.34</v>
      </c>
      <c r="D683" s="1">
        <f ca="1">IFERROR(__xludf.DUMMYFUNCTION("""COMPUTED_VALUE"""),170.26)</f>
        <v>170.26</v>
      </c>
      <c r="E683" s="1">
        <f ca="1">IFERROR(__xludf.DUMMYFUNCTION("""COMPUTED_VALUE"""),171.64)</f>
        <v>171.64</v>
      </c>
      <c r="F683" s="1">
        <f ca="1">IFERROR(__xludf.DUMMYFUNCTION("""COMPUTED_VALUE"""),15660539)</f>
        <v>15660539</v>
      </c>
    </row>
    <row r="684" spans="1:6" x14ac:dyDescent="0.35">
      <c r="A684" s="2">
        <f ca="1">IFERROR(__xludf.DUMMYFUNCTION("""COMPUTED_VALUE"""),42996.6666666666)</f>
        <v>42996.666666666599</v>
      </c>
      <c r="B684" s="1">
        <f ca="1">IFERROR(__xludf.DUMMYFUNCTION("""COMPUTED_VALUE"""),171.99)</f>
        <v>171.99</v>
      </c>
      <c r="C684" s="1">
        <f ca="1">IFERROR(__xludf.DUMMYFUNCTION("""COMPUTED_VALUE"""),172.07)</f>
        <v>172.07</v>
      </c>
      <c r="D684" s="1">
        <f ca="1">IFERROR(__xludf.DUMMYFUNCTION("""COMPUTED_VALUE"""),169.34)</f>
        <v>169.34</v>
      </c>
      <c r="E684" s="1">
        <f ca="1">IFERROR(__xludf.DUMMYFUNCTION("""COMPUTED_VALUE"""),170.01)</f>
        <v>170.01</v>
      </c>
      <c r="F684" s="1">
        <f ca="1">IFERROR(__xludf.DUMMYFUNCTION("""COMPUTED_VALUE"""),12954013)</f>
        <v>12954013</v>
      </c>
    </row>
    <row r="685" spans="1:6" x14ac:dyDescent="0.35">
      <c r="A685" s="2">
        <f ca="1">IFERROR(__xludf.DUMMYFUNCTION("""COMPUTED_VALUE"""),42997.6666666666)</f>
        <v>42997.666666666599</v>
      </c>
      <c r="B685" s="1">
        <f ca="1">IFERROR(__xludf.DUMMYFUNCTION("""COMPUTED_VALUE"""),170.62)</f>
        <v>170.62</v>
      </c>
      <c r="C685" s="1">
        <f ca="1">IFERROR(__xludf.DUMMYFUNCTION("""COMPUTED_VALUE"""),172.56)</f>
        <v>172.56</v>
      </c>
      <c r="D685" s="1">
        <f ca="1">IFERROR(__xludf.DUMMYFUNCTION("""COMPUTED_VALUE"""),170.36)</f>
        <v>170.36</v>
      </c>
      <c r="E685" s="1">
        <f ca="1">IFERROR(__xludf.DUMMYFUNCTION("""COMPUTED_VALUE"""),172.52)</f>
        <v>172.52</v>
      </c>
      <c r="F685" s="1">
        <f ca="1">IFERROR(__xludf.DUMMYFUNCTION("""COMPUTED_VALUE"""),13168595)</f>
        <v>13168595</v>
      </c>
    </row>
    <row r="686" spans="1:6" x14ac:dyDescent="0.35">
      <c r="A686" s="2">
        <f ca="1">IFERROR(__xludf.DUMMYFUNCTION("""COMPUTED_VALUE"""),42998.6666666666)</f>
        <v>42998.666666666599</v>
      </c>
      <c r="B686" s="1">
        <f ca="1">IFERROR(__xludf.DUMMYFUNCTION("""COMPUTED_VALUE"""),172.5)</f>
        <v>172.5</v>
      </c>
      <c r="C686" s="1">
        <f ca="1">IFERROR(__xludf.DUMMYFUNCTION("""COMPUTED_VALUE"""),173.05)</f>
        <v>173.05</v>
      </c>
      <c r="D686" s="1">
        <f ca="1">IFERROR(__xludf.DUMMYFUNCTION("""COMPUTED_VALUE"""),170.7)</f>
        <v>170.7</v>
      </c>
      <c r="E686" s="1">
        <f ca="1">IFERROR(__xludf.DUMMYFUNCTION("""COMPUTED_VALUE"""),172.17)</f>
        <v>172.17</v>
      </c>
      <c r="F686" s="1">
        <f ca="1">IFERROR(__xludf.DUMMYFUNCTION("""COMPUTED_VALUE"""),12264125)</f>
        <v>12264125</v>
      </c>
    </row>
    <row r="687" spans="1:6" x14ac:dyDescent="0.35">
      <c r="A687" s="2">
        <f ca="1">IFERROR(__xludf.DUMMYFUNCTION("""COMPUTED_VALUE"""),42999.6666666666)</f>
        <v>42999.666666666599</v>
      </c>
      <c r="B687" s="1">
        <f ca="1">IFERROR(__xludf.DUMMYFUNCTION("""COMPUTED_VALUE"""),171.69)</f>
        <v>171.69</v>
      </c>
      <c r="C687" s="1">
        <f ca="1">IFERROR(__xludf.DUMMYFUNCTION("""COMPUTED_VALUE"""),172.27)</f>
        <v>172.27</v>
      </c>
      <c r="D687" s="1">
        <f ca="1">IFERROR(__xludf.DUMMYFUNCTION("""COMPUTED_VALUE"""),170.01)</f>
        <v>170.01</v>
      </c>
      <c r="E687" s="1">
        <f ca="1">IFERROR(__xludf.DUMMYFUNCTION("""COMPUTED_VALUE"""),171.11)</f>
        <v>171.11</v>
      </c>
      <c r="F687" s="1">
        <f ca="1">IFERROR(__xludf.DUMMYFUNCTION("""COMPUTED_VALUE"""),11161412)</f>
        <v>11161412</v>
      </c>
    </row>
    <row r="688" spans="1:6" x14ac:dyDescent="0.35">
      <c r="A688" s="2">
        <f ca="1">IFERROR(__xludf.DUMMYFUNCTION("""COMPUTED_VALUE"""),43000.6666666666)</f>
        <v>43000.666666666599</v>
      </c>
      <c r="B688" s="1">
        <f ca="1">IFERROR(__xludf.DUMMYFUNCTION("""COMPUTED_VALUE"""),170.21)</f>
        <v>170.21</v>
      </c>
      <c r="C688" s="1">
        <f ca="1">IFERROR(__xludf.DUMMYFUNCTION("""COMPUTED_VALUE"""),171.73)</f>
        <v>171.73</v>
      </c>
      <c r="D688" s="1">
        <f ca="1">IFERROR(__xludf.DUMMYFUNCTION("""COMPUTED_VALUE"""),169.22)</f>
        <v>169.22</v>
      </c>
      <c r="E688" s="1">
        <f ca="1">IFERROR(__xludf.DUMMYFUNCTION("""COMPUTED_VALUE"""),170.54)</f>
        <v>170.54</v>
      </c>
      <c r="F688" s="1">
        <f ca="1">IFERROR(__xludf.DUMMYFUNCTION("""COMPUTED_VALUE"""),12097138)</f>
        <v>12097138</v>
      </c>
    </row>
    <row r="689" spans="1:6" x14ac:dyDescent="0.35">
      <c r="A689" s="2">
        <f ca="1">IFERROR(__xludf.DUMMYFUNCTION("""COMPUTED_VALUE"""),43003.6666666666)</f>
        <v>43003.666666666599</v>
      </c>
      <c r="B689" s="1">
        <f ca="1">IFERROR(__xludf.DUMMYFUNCTION("""COMPUTED_VALUE"""),169.24)</f>
        <v>169.24</v>
      </c>
      <c r="C689" s="1">
        <f ca="1">IFERROR(__xludf.DUMMYFUNCTION("""COMPUTED_VALUE"""),169.3)</f>
        <v>169.3</v>
      </c>
      <c r="D689" s="1">
        <f ca="1">IFERROR(__xludf.DUMMYFUNCTION("""COMPUTED_VALUE"""),161.56)</f>
        <v>161.56</v>
      </c>
      <c r="E689" s="1">
        <f ca="1">IFERROR(__xludf.DUMMYFUNCTION("""COMPUTED_VALUE"""),162.87)</f>
        <v>162.87</v>
      </c>
      <c r="F689" s="1">
        <f ca="1">IFERROR(__xludf.DUMMYFUNCTION("""COMPUTED_VALUE"""),41251583)</f>
        <v>41251583</v>
      </c>
    </row>
    <row r="690" spans="1:6" x14ac:dyDescent="0.35">
      <c r="A690" s="2">
        <f ca="1">IFERROR(__xludf.DUMMYFUNCTION("""COMPUTED_VALUE"""),43004.6666666666)</f>
        <v>43004.666666666599</v>
      </c>
      <c r="B690" s="1">
        <f ca="1">IFERROR(__xludf.DUMMYFUNCTION("""COMPUTED_VALUE"""),164.5)</f>
        <v>164.5</v>
      </c>
      <c r="C690" s="1">
        <f ca="1">IFERROR(__xludf.DUMMYFUNCTION("""COMPUTED_VALUE"""),165.5)</f>
        <v>165.5</v>
      </c>
      <c r="D690" s="1">
        <f ca="1">IFERROR(__xludf.DUMMYFUNCTION("""COMPUTED_VALUE"""),162.78)</f>
        <v>162.78</v>
      </c>
      <c r="E690" s="1">
        <f ca="1">IFERROR(__xludf.DUMMYFUNCTION("""COMPUTED_VALUE"""),164.21)</f>
        <v>164.21</v>
      </c>
      <c r="F690" s="1">
        <f ca="1">IFERROR(__xludf.DUMMYFUNCTION("""COMPUTED_VALUE"""),23363335)</f>
        <v>23363335</v>
      </c>
    </row>
    <row r="691" spans="1:6" x14ac:dyDescent="0.35">
      <c r="A691" s="2">
        <f ca="1">IFERROR(__xludf.DUMMYFUNCTION("""COMPUTED_VALUE"""),43005.6666666666)</f>
        <v>43005.666666666599</v>
      </c>
      <c r="B691" s="1">
        <f ca="1">IFERROR(__xludf.DUMMYFUNCTION("""COMPUTED_VALUE"""),165.9)</f>
        <v>165.9</v>
      </c>
      <c r="C691" s="1">
        <f ca="1">IFERROR(__xludf.DUMMYFUNCTION("""COMPUTED_VALUE"""),168.34)</f>
        <v>168.34</v>
      </c>
      <c r="D691" s="1">
        <f ca="1">IFERROR(__xludf.DUMMYFUNCTION("""COMPUTED_VALUE"""),165.57)</f>
        <v>165.57</v>
      </c>
      <c r="E691" s="1">
        <f ca="1">IFERROR(__xludf.DUMMYFUNCTION("""COMPUTED_VALUE"""),167.68)</f>
        <v>167.68</v>
      </c>
      <c r="F691" s="1">
        <f ca="1">IFERROR(__xludf.DUMMYFUNCTION("""COMPUTED_VALUE"""),19242548)</f>
        <v>19242548</v>
      </c>
    </row>
    <row r="692" spans="1:6" x14ac:dyDescent="0.35">
      <c r="A692" s="2">
        <f ca="1">IFERROR(__xludf.DUMMYFUNCTION("""COMPUTED_VALUE"""),43006.6666666666)</f>
        <v>43006.666666666599</v>
      </c>
      <c r="B692" s="1">
        <f ca="1">IFERROR(__xludf.DUMMYFUNCTION("""COMPUTED_VALUE"""),167.94)</f>
        <v>167.94</v>
      </c>
      <c r="C692" s="1">
        <f ca="1">IFERROR(__xludf.DUMMYFUNCTION("""COMPUTED_VALUE"""),169.07)</f>
        <v>169.07</v>
      </c>
      <c r="D692" s="1">
        <f ca="1">IFERROR(__xludf.DUMMYFUNCTION("""COMPUTED_VALUE"""),167.16)</f>
        <v>167.16</v>
      </c>
      <c r="E692" s="1">
        <f ca="1">IFERROR(__xludf.DUMMYFUNCTION("""COMPUTED_VALUE"""),168.73)</f>
        <v>168.73</v>
      </c>
      <c r="F692" s="1">
        <f ca="1">IFERROR(__xludf.DUMMYFUNCTION("""COMPUTED_VALUE"""),12178747)</f>
        <v>12178747</v>
      </c>
    </row>
    <row r="693" spans="1:6" x14ac:dyDescent="0.35">
      <c r="A693" s="2">
        <f ca="1">IFERROR(__xludf.DUMMYFUNCTION("""COMPUTED_VALUE"""),43007.6666666666)</f>
        <v>43007.666666666599</v>
      </c>
      <c r="B693" s="1">
        <f ca="1">IFERROR(__xludf.DUMMYFUNCTION("""COMPUTED_VALUE"""),168.83)</f>
        <v>168.83</v>
      </c>
      <c r="C693" s="1">
        <f ca="1">IFERROR(__xludf.DUMMYFUNCTION("""COMPUTED_VALUE"""),171.66)</f>
        <v>171.66</v>
      </c>
      <c r="D693" s="1">
        <f ca="1">IFERROR(__xludf.DUMMYFUNCTION("""COMPUTED_VALUE"""),168.81)</f>
        <v>168.81</v>
      </c>
      <c r="E693" s="1">
        <f ca="1">IFERROR(__xludf.DUMMYFUNCTION("""COMPUTED_VALUE"""),170.87)</f>
        <v>170.87</v>
      </c>
      <c r="F693" s="1">
        <f ca="1">IFERROR(__xludf.DUMMYFUNCTION("""COMPUTED_VALUE"""),15340366)</f>
        <v>15340366</v>
      </c>
    </row>
    <row r="694" spans="1:6" x14ac:dyDescent="0.35">
      <c r="A694" s="2">
        <f ca="1">IFERROR(__xludf.DUMMYFUNCTION("""COMPUTED_VALUE"""),43010.6666666666)</f>
        <v>43010.666666666599</v>
      </c>
      <c r="B694" s="1">
        <f ca="1">IFERROR(__xludf.DUMMYFUNCTION("""COMPUTED_VALUE"""),171.39)</f>
        <v>171.39</v>
      </c>
      <c r="C694" s="1">
        <f ca="1">IFERROR(__xludf.DUMMYFUNCTION("""COMPUTED_VALUE"""),171.87)</f>
        <v>171.87</v>
      </c>
      <c r="D694" s="1">
        <f ca="1">IFERROR(__xludf.DUMMYFUNCTION("""COMPUTED_VALUE"""),168.75)</f>
        <v>168.75</v>
      </c>
      <c r="E694" s="1">
        <f ca="1">IFERROR(__xludf.DUMMYFUNCTION("""COMPUTED_VALUE"""),169.47)</f>
        <v>169.47</v>
      </c>
      <c r="F694" s="1">
        <f ca="1">IFERROR(__xludf.DUMMYFUNCTION("""COMPUTED_VALUE"""),13392280)</f>
        <v>13392280</v>
      </c>
    </row>
    <row r="695" spans="1:6" x14ac:dyDescent="0.35">
      <c r="A695" s="2">
        <f ca="1">IFERROR(__xludf.DUMMYFUNCTION("""COMPUTED_VALUE"""),43011.6666666666)</f>
        <v>43011.666666666599</v>
      </c>
      <c r="B695" s="1">
        <f ca="1">IFERROR(__xludf.DUMMYFUNCTION("""COMPUTED_VALUE"""),169.3)</f>
        <v>169.3</v>
      </c>
      <c r="C695" s="1">
        <f ca="1">IFERROR(__xludf.DUMMYFUNCTION("""COMPUTED_VALUE"""),170.73)</f>
        <v>170.73</v>
      </c>
      <c r="D695" s="1">
        <f ca="1">IFERROR(__xludf.DUMMYFUNCTION("""COMPUTED_VALUE"""),169.2)</f>
        <v>169.2</v>
      </c>
      <c r="E695" s="1">
        <f ca="1">IFERROR(__xludf.DUMMYFUNCTION("""COMPUTED_VALUE"""),169.96)</f>
        <v>169.96</v>
      </c>
      <c r="F695" s="1">
        <f ca="1">IFERROR(__xludf.DUMMYFUNCTION("""COMPUTED_VALUE"""),8190273)</f>
        <v>8190273</v>
      </c>
    </row>
    <row r="696" spans="1:6" x14ac:dyDescent="0.35">
      <c r="A696" s="2">
        <f ca="1">IFERROR(__xludf.DUMMYFUNCTION("""COMPUTED_VALUE"""),43012.6666666666)</f>
        <v>43012.666666666599</v>
      </c>
      <c r="B696" s="1">
        <f ca="1">IFERROR(__xludf.DUMMYFUNCTION("""COMPUTED_VALUE"""),169.83)</f>
        <v>169.83</v>
      </c>
      <c r="C696" s="1">
        <f ca="1">IFERROR(__xludf.DUMMYFUNCTION("""COMPUTED_VALUE"""),170.67)</f>
        <v>170.67</v>
      </c>
      <c r="D696" s="1">
        <f ca="1">IFERROR(__xludf.DUMMYFUNCTION("""COMPUTED_VALUE"""),168.29)</f>
        <v>168.29</v>
      </c>
      <c r="E696" s="1">
        <f ca="1">IFERROR(__xludf.DUMMYFUNCTION("""COMPUTED_VALUE"""),168.42)</f>
        <v>168.42</v>
      </c>
      <c r="F696" s="1">
        <f ca="1">IFERROR(__xludf.DUMMYFUNCTION("""COMPUTED_VALUE"""),12127887)</f>
        <v>12127887</v>
      </c>
    </row>
    <row r="697" spans="1:6" x14ac:dyDescent="0.35">
      <c r="A697" s="2">
        <f ca="1">IFERROR(__xludf.DUMMYFUNCTION("""COMPUTED_VALUE"""),43013.6666666666)</f>
        <v>43013.666666666599</v>
      </c>
      <c r="B697" s="1">
        <f ca="1">IFERROR(__xludf.DUMMYFUNCTION("""COMPUTED_VALUE"""),169.18)</f>
        <v>169.18</v>
      </c>
      <c r="C697" s="1">
        <f ca="1">IFERROR(__xludf.DUMMYFUNCTION("""COMPUTED_VALUE"""),171.31)</f>
        <v>171.31</v>
      </c>
      <c r="D697" s="1">
        <f ca="1">IFERROR(__xludf.DUMMYFUNCTION("""COMPUTED_VALUE"""),168.6)</f>
        <v>168.6</v>
      </c>
      <c r="E697" s="1">
        <f ca="1">IFERROR(__xludf.DUMMYFUNCTION("""COMPUTED_VALUE"""),171.24)</f>
        <v>171.24</v>
      </c>
      <c r="F697" s="1">
        <f ca="1">IFERROR(__xludf.DUMMYFUNCTION("""COMPUTED_VALUE"""),14580628)</f>
        <v>14580628</v>
      </c>
    </row>
    <row r="698" spans="1:6" x14ac:dyDescent="0.35">
      <c r="A698" s="2">
        <f ca="1">IFERROR(__xludf.DUMMYFUNCTION("""COMPUTED_VALUE"""),43014.6666666666)</f>
        <v>43014.666666666599</v>
      </c>
      <c r="B698" s="1">
        <f ca="1">IFERROR(__xludf.DUMMYFUNCTION("""COMPUTED_VALUE"""),170.25)</f>
        <v>170.25</v>
      </c>
      <c r="C698" s="1">
        <f ca="1">IFERROR(__xludf.DUMMYFUNCTION("""COMPUTED_VALUE"""),172.37)</f>
        <v>172.37</v>
      </c>
      <c r="D698" s="1">
        <f ca="1">IFERROR(__xludf.DUMMYFUNCTION("""COMPUTED_VALUE"""),169.75)</f>
        <v>169.75</v>
      </c>
      <c r="E698" s="1">
        <f ca="1">IFERROR(__xludf.DUMMYFUNCTION("""COMPUTED_VALUE"""),172.23)</f>
        <v>172.23</v>
      </c>
      <c r="F698" s="1">
        <f ca="1">IFERROR(__xludf.DUMMYFUNCTION("""COMPUTED_VALUE"""),13124473)</f>
        <v>13124473</v>
      </c>
    </row>
    <row r="699" spans="1:6" x14ac:dyDescent="0.35">
      <c r="A699" s="2">
        <f ca="1">IFERROR(__xludf.DUMMYFUNCTION("""COMPUTED_VALUE"""),43017.6666666666)</f>
        <v>43017.666666666599</v>
      </c>
      <c r="B699" s="1">
        <f ca="1">IFERROR(__xludf.DUMMYFUNCTION("""COMPUTED_VALUE"""),172.7)</f>
        <v>172.7</v>
      </c>
      <c r="C699" s="1">
        <f ca="1">IFERROR(__xludf.DUMMYFUNCTION("""COMPUTED_VALUE"""),174.88)</f>
        <v>174.88</v>
      </c>
      <c r="D699" s="1">
        <f ca="1">IFERROR(__xludf.DUMMYFUNCTION("""COMPUTED_VALUE"""),172)</f>
        <v>172</v>
      </c>
      <c r="E699" s="1">
        <f ca="1">IFERROR(__xludf.DUMMYFUNCTION("""COMPUTED_VALUE"""),172.5)</f>
        <v>172.5</v>
      </c>
      <c r="F699" s="1">
        <f ca="1">IFERROR(__xludf.DUMMYFUNCTION("""COMPUTED_VALUE"""),14570413)</f>
        <v>14570413</v>
      </c>
    </row>
    <row r="700" spans="1:6" x14ac:dyDescent="0.35">
      <c r="A700" s="2">
        <f ca="1">IFERROR(__xludf.DUMMYFUNCTION("""COMPUTED_VALUE"""),43018.6666666666)</f>
        <v>43018.666666666599</v>
      </c>
      <c r="B700" s="1">
        <f ca="1">IFERROR(__xludf.DUMMYFUNCTION("""COMPUTED_VALUE"""),173)</f>
        <v>173</v>
      </c>
      <c r="C700" s="1">
        <f ca="1">IFERROR(__xludf.DUMMYFUNCTION("""COMPUTED_VALUE"""),173.2)</f>
        <v>173.2</v>
      </c>
      <c r="D700" s="1">
        <f ca="1">IFERROR(__xludf.DUMMYFUNCTION("""COMPUTED_VALUE"""),170.8)</f>
        <v>170.8</v>
      </c>
      <c r="E700" s="1">
        <f ca="1">IFERROR(__xludf.DUMMYFUNCTION("""COMPUTED_VALUE"""),171.59)</f>
        <v>171.59</v>
      </c>
      <c r="F700" s="1">
        <f ca="1">IFERROR(__xludf.DUMMYFUNCTION("""COMPUTED_VALUE"""),11341081)</f>
        <v>11341081</v>
      </c>
    </row>
    <row r="701" spans="1:6" x14ac:dyDescent="0.35">
      <c r="A701" s="2">
        <f ca="1">IFERROR(__xludf.DUMMYFUNCTION("""COMPUTED_VALUE"""),43019.6666666666)</f>
        <v>43019.666666666599</v>
      </c>
      <c r="B701" s="1">
        <f ca="1">IFERROR(__xludf.DUMMYFUNCTION("""COMPUTED_VALUE"""),171.95)</f>
        <v>171.95</v>
      </c>
      <c r="C701" s="1">
        <f ca="1">IFERROR(__xludf.DUMMYFUNCTION("""COMPUTED_VALUE"""),172.78)</f>
        <v>172.78</v>
      </c>
      <c r="D701" s="1">
        <f ca="1">IFERROR(__xludf.DUMMYFUNCTION("""COMPUTED_VALUE"""),171.4)</f>
        <v>171.4</v>
      </c>
      <c r="E701" s="1">
        <f ca="1">IFERROR(__xludf.DUMMYFUNCTION("""COMPUTED_VALUE"""),172.74)</f>
        <v>172.74</v>
      </c>
      <c r="F701" s="1">
        <f ca="1">IFERROR(__xludf.DUMMYFUNCTION("""COMPUTED_VALUE"""),11283663)</f>
        <v>11283663</v>
      </c>
    </row>
    <row r="702" spans="1:6" x14ac:dyDescent="0.35">
      <c r="A702" s="2">
        <f ca="1">IFERROR(__xludf.DUMMYFUNCTION("""COMPUTED_VALUE"""),43020.6666666666)</f>
        <v>43020.666666666599</v>
      </c>
      <c r="B702" s="1">
        <f ca="1">IFERROR(__xludf.DUMMYFUNCTION("""COMPUTED_VALUE"""),172.61)</f>
        <v>172.61</v>
      </c>
      <c r="C702" s="1">
        <f ca="1">IFERROR(__xludf.DUMMYFUNCTION("""COMPUTED_VALUE"""),173.85)</f>
        <v>173.85</v>
      </c>
      <c r="D702" s="1">
        <f ca="1">IFERROR(__xludf.DUMMYFUNCTION("""COMPUTED_VALUE"""),172.29)</f>
        <v>172.29</v>
      </c>
      <c r="E702" s="1">
        <f ca="1">IFERROR(__xludf.DUMMYFUNCTION("""COMPUTED_VALUE"""),172.55)</f>
        <v>172.55</v>
      </c>
      <c r="F702" s="1">
        <f ca="1">IFERROR(__xludf.DUMMYFUNCTION("""COMPUTED_VALUE"""),10351044)</f>
        <v>10351044</v>
      </c>
    </row>
    <row r="703" spans="1:6" x14ac:dyDescent="0.35">
      <c r="A703" s="2">
        <f ca="1">IFERROR(__xludf.DUMMYFUNCTION("""COMPUTED_VALUE"""),43021.6666666666)</f>
        <v>43021.666666666599</v>
      </c>
      <c r="B703" s="1">
        <f ca="1">IFERROR(__xludf.DUMMYFUNCTION("""COMPUTED_VALUE"""),173.45)</f>
        <v>173.45</v>
      </c>
      <c r="C703" s="1">
        <f ca="1">IFERROR(__xludf.DUMMYFUNCTION("""COMPUTED_VALUE"""),174.65)</f>
        <v>174.65</v>
      </c>
      <c r="D703" s="1">
        <f ca="1">IFERROR(__xludf.DUMMYFUNCTION("""COMPUTED_VALUE"""),173.2)</f>
        <v>173.2</v>
      </c>
      <c r="E703" s="1">
        <f ca="1">IFERROR(__xludf.DUMMYFUNCTION("""COMPUTED_VALUE"""),173.74)</f>
        <v>173.74</v>
      </c>
      <c r="F703" s="1">
        <f ca="1">IFERROR(__xludf.DUMMYFUNCTION("""COMPUTED_VALUE"""),13658307)</f>
        <v>13658307</v>
      </c>
    </row>
    <row r="704" spans="1:6" x14ac:dyDescent="0.35">
      <c r="A704" s="2">
        <f ca="1">IFERROR(__xludf.DUMMYFUNCTION("""COMPUTED_VALUE"""),43024.6666666666)</f>
        <v>43024.666666666599</v>
      </c>
      <c r="B704" s="1">
        <f ca="1">IFERROR(__xludf.DUMMYFUNCTION("""COMPUTED_VALUE"""),174.49)</f>
        <v>174.49</v>
      </c>
      <c r="C704" s="1">
        <f ca="1">IFERROR(__xludf.DUMMYFUNCTION("""COMPUTED_VALUE"""),175)</f>
        <v>175</v>
      </c>
      <c r="D704" s="1">
        <f ca="1">IFERROR(__xludf.DUMMYFUNCTION("""COMPUTED_VALUE"""),174.06)</f>
        <v>174.06</v>
      </c>
      <c r="E704" s="1">
        <f ca="1">IFERROR(__xludf.DUMMYFUNCTION("""COMPUTED_VALUE"""),174.52)</f>
        <v>174.52</v>
      </c>
      <c r="F704" s="1">
        <f ca="1">IFERROR(__xludf.DUMMYFUNCTION("""COMPUTED_VALUE"""),11498752)</f>
        <v>11498752</v>
      </c>
    </row>
    <row r="705" spans="1:6" x14ac:dyDescent="0.35">
      <c r="A705" s="2">
        <f ca="1">IFERROR(__xludf.DUMMYFUNCTION("""COMPUTED_VALUE"""),43025.6666666666)</f>
        <v>43025.666666666599</v>
      </c>
      <c r="B705" s="1">
        <f ca="1">IFERROR(__xludf.DUMMYFUNCTION("""COMPUTED_VALUE"""),174.71)</f>
        <v>174.71</v>
      </c>
      <c r="C705" s="1">
        <f ca="1">IFERROR(__xludf.DUMMYFUNCTION("""COMPUTED_VALUE"""),176.13)</f>
        <v>176.13</v>
      </c>
      <c r="D705" s="1">
        <f ca="1">IFERROR(__xludf.DUMMYFUNCTION("""COMPUTED_VALUE"""),174.36)</f>
        <v>174.36</v>
      </c>
      <c r="E705" s="1">
        <f ca="1">IFERROR(__xludf.DUMMYFUNCTION("""COMPUTED_VALUE"""),176.11)</f>
        <v>176.11</v>
      </c>
      <c r="F705" s="1">
        <f ca="1">IFERROR(__xludf.DUMMYFUNCTION("""COMPUTED_VALUE"""),15990079)</f>
        <v>15990079</v>
      </c>
    </row>
    <row r="706" spans="1:6" x14ac:dyDescent="0.35">
      <c r="A706" s="2">
        <f ca="1">IFERROR(__xludf.DUMMYFUNCTION("""COMPUTED_VALUE"""),43026.6666666666)</f>
        <v>43026.666666666599</v>
      </c>
      <c r="B706" s="1">
        <f ca="1">IFERROR(__xludf.DUMMYFUNCTION("""COMPUTED_VALUE"""),176.65)</f>
        <v>176.65</v>
      </c>
      <c r="C706" s="1">
        <f ca="1">IFERROR(__xludf.DUMMYFUNCTION("""COMPUTED_VALUE"""),176.74)</f>
        <v>176.74</v>
      </c>
      <c r="D706" s="1">
        <f ca="1">IFERROR(__xludf.DUMMYFUNCTION("""COMPUTED_VALUE"""),175.75)</f>
        <v>175.75</v>
      </c>
      <c r="E706" s="1">
        <f ca="1">IFERROR(__xludf.DUMMYFUNCTION("""COMPUTED_VALUE"""),176.03)</f>
        <v>176.03</v>
      </c>
      <c r="F706" s="1">
        <f ca="1">IFERROR(__xludf.DUMMYFUNCTION("""COMPUTED_VALUE"""),12752351)</f>
        <v>12752351</v>
      </c>
    </row>
    <row r="707" spans="1:6" x14ac:dyDescent="0.35">
      <c r="A707" s="2">
        <f ca="1">IFERROR(__xludf.DUMMYFUNCTION("""COMPUTED_VALUE"""),43027.6666666666)</f>
        <v>43027.666666666599</v>
      </c>
      <c r="B707" s="1">
        <f ca="1">IFERROR(__xludf.DUMMYFUNCTION("""COMPUTED_VALUE"""),174.93)</f>
        <v>174.93</v>
      </c>
      <c r="C707" s="1">
        <f ca="1">IFERROR(__xludf.DUMMYFUNCTION("""COMPUTED_VALUE"""),176.03)</f>
        <v>176.03</v>
      </c>
      <c r="D707" s="1">
        <f ca="1">IFERROR(__xludf.DUMMYFUNCTION("""COMPUTED_VALUE"""),172.63)</f>
        <v>172.63</v>
      </c>
      <c r="E707" s="1">
        <f ca="1">IFERROR(__xludf.DUMMYFUNCTION("""COMPUTED_VALUE"""),174.56)</f>
        <v>174.56</v>
      </c>
      <c r="F707" s="1">
        <f ca="1">IFERROR(__xludf.DUMMYFUNCTION("""COMPUTED_VALUE"""),14048350)</f>
        <v>14048350</v>
      </c>
    </row>
    <row r="708" spans="1:6" x14ac:dyDescent="0.35">
      <c r="A708" s="2">
        <f ca="1">IFERROR(__xludf.DUMMYFUNCTION("""COMPUTED_VALUE"""),43028.6666666666)</f>
        <v>43028.666666666599</v>
      </c>
      <c r="B708" s="1">
        <f ca="1">IFERROR(__xludf.DUMMYFUNCTION("""COMPUTED_VALUE"""),175.5)</f>
        <v>175.5</v>
      </c>
      <c r="C708" s="1">
        <f ca="1">IFERROR(__xludf.DUMMYFUNCTION("""COMPUTED_VALUE"""),175.88)</f>
        <v>175.88</v>
      </c>
      <c r="D708" s="1">
        <f ca="1">IFERROR(__xludf.DUMMYFUNCTION("""COMPUTED_VALUE"""),174.63)</f>
        <v>174.63</v>
      </c>
      <c r="E708" s="1">
        <f ca="1">IFERROR(__xludf.DUMMYFUNCTION("""COMPUTED_VALUE"""),174.98)</f>
        <v>174.98</v>
      </c>
      <c r="F708" s="1">
        <f ca="1">IFERROR(__xludf.DUMMYFUNCTION("""COMPUTED_VALUE"""),12602238)</f>
        <v>12602238</v>
      </c>
    </row>
    <row r="709" spans="1:6" x14ac:dyDescent="0.35">
      <c r="A709" s="2">
        <f ca="1">IFERROR(__xludf.DUMMYFUNCTION("""COMPUTED_VALUE"""),43031.6666666666)</f>
        <v>43031.666666666599</v>
      </c>
      <c r="B709" s="1">
        <f ca="1">IFERROR(__xludf.DUMMYFUNCTION("""COMPUTED_VALUE"""),175.2)</f>
        <v>175.2</v>
      </c>
      <c r="C709" s="1">
        <f ca="1">IFERROR(__xludf.DUMMYFUNCTION("""COMPUTED_VALUE"""),175.34)</f>
        <v>175.34</v>
      </c>
      <c r="D709" s="1">
        <f ca="1">IFERROR(__xludf.DUMMYFUNCTION("""COMPUTED_VALUE"""),171.25)</f>
        <v>171.25</v>
      </c>
      <c r="E709" s="1">
        <f ca="1">IFERROR(__xludf.DUMMYFUNCTION("""COMPUTED_VALUE"""),171.27)</f>
        <v>171.27</v>
      </c>
      <c r="F709" s="1">
        <f ca="1">IFERROR(__xludf.DUMMYFUNCTION("""COMPUTED_VALUE"""),13852658)</f>
        <v>13852658</v>
      </c>
    </row>
    <row r="710" spans="1:6" x14ac:dyDescent="0.35">
      <c r="A710" s="2">
        <f ca="1">IFERROR(__xludf.DUMMYFUNCTION("""COMPUTED_VALUE"""),43032.6666666666)</f>
        <v>43032.666666666599</v>
      </c>
      <c r="B710" s="1">
        <f ca="1">IFERROR(__xludf.DUMMYFUNCTION("""COMPUTED_VALUE"""),172.3)</f>
        <v>172.3</v>
      </c>
      <c r="C710" s="1">
        <f ca="1">IFERROR(__xludf.DUMMYFUNCTION("""COMPUTED_VALUE"""),173.24)</f>
        <v>173.24</v>
      </c>
      <c r="D710" s="1">
        <f ca="1">IFERROR(__xludf.DUMMYFUNCTION("""COMPUTED_VALUE"""),171.5)</f>
        <v>171.5</v>
      </c>
      <c r="E710" s="1">
        <f ca="1">IFERROR(__xludf.DUMMYFUNCTION("""COMPUTED_VALUE"""),171.8)</f>
        <v>171.8</v>
      </c>
      <c r="F710" s="1">
        <f ca="1">IFERROR(__xludf.DUMMYFUNCTION("""COMPUTED_VALUE"""),12267913)</f>
        <v>12267913</v>
      </c>
    </row>
    <row r="711" spans="1:6" x14ac:dyDescent="0.35">
      <c r="A711" s="2">
        <f ca="1">IFERROR(__xludf.DUMMYFUNCTION("""COMPUTED_VALUE"""),43033.6666666666)</f>
        <v>43033.666666666599</v>
      </c>
      <c r="B711" s="1">
        <f ca="1">IFERROR(__xludf.DUMMYFUNCTION("""COMPUTED_VALUE"""),171.9)</f>
        <v>171.9</v>
      </c>
      <c r="C711" s="1">
        <f ca="1">IFERROR(__xludf.DUMMYFUNCTION("""COMPUTED_VALUE"""),172.25)</f>
        <v>172.25</v>
      </c>
      <c r="D711" s="1">
        <f ca="1">IFERROR(__xludf.DUMMYFUNCTION("""COMPUTED_VALUE"""),168.89)</f>
        <v>168.89</v>
      </c>
      <c r="E711" s="1">
        <f ca="1">IFERROR(__xludf.DUMMYFUNCTION("""COMPUTED_VALUE"""),170.6)</f>
        <v>170.6</v>
      </c>
      <c r="F711" s="1">
        <f ca="1">IFERROR(__xludf.DUMMYFUNCTION("""COMPUTED_VALUE"""),15868197)</f>
        <v>15868197</v>
      </c>
    </row>
    <row r="712" spans="1:6" x14ac:dyDescent="0.35">
      <c r="A712" s="2">
        <f ca="1">IFERROR(__xludf.DUMMYFUNCTION("""COMPUTED_VALUE"""),43034.6666666666)</f>
        <v>43034.666666666599</v>
      </c>
      <c r="B712" s="1">
        <f ca="1">IFERROR(__xludf.DUMMYFUNCTION("""COMPUTED_VALUE"""),171.38)</f>
        <v>171.38</v>
      </c>
      <c r="C712" s="1">
        <f ca="1">IFERROR(__xludf.DUMMYFUNCTION("""COMPUTED_VALUE"""),172.29)</f>
        <v>172.29</v>
      </c>
      <c r="D712" s="1">
        <f ca="1">IFERROR(__xludf.DUMMYFUNCTION("""COMPUTED_VALUE"""),170.39)</f>
        <v>170.39</v>
      </c>
      <c r="E712" s="1">
        <f ca="1">IFERROR(__xludf.DUMMYFUNCTION("""COMPUTED_VALUE"""),170.63)</f>
        <v>170.63</v>
      </c>
      <c r="F712" s="1">
        <f ca="1">IFERROR(__xludf.DUMMYFUNCTION("""COMPUTED_VALUE"""),11833141)</f>
        <v>11833141</v>
      </c>
    </row>
    <row r="713" spans="1:6" x14ac:dyDescent="0.35">
      <c r="A713" s="2">
        <f ca="1">IFERROR(__xludf.DUMMYFUNCTION("""COMPUTED_VALUE"""),43035.6666666666)</f>
        <v>43035.666666666599</v>
      </c>
      <c r="B713" s="1">
        <f ca="1">IFERROR(__xludf.DUMMYFUNCTION("""COMPUTED_VALUE"""),174.15)</f>
        <v>174.15</v>
      </c>
      <c r="C713" s="1">
        <f ca="1">IFERROR(__xludf.DUMMYFUNCTION("""COMPUTED_VALUE"""),178.21)</f>
        <v>178.21</v>
      </c>
      <c r="D713" s="1">
        <f ca="1">IFERROR(__xludf.DUMMYFUNCTION("""COMPUTED_VALUE"""),173.9)</f>
        <v>173.9</v>
      </c>
      <c r="E713" s="1">
        <f ca="1">IFERROR(__xludf.DUMMYFUNCTION("""COMPUTED_VALUE"""),177.88)</f>
        <v>177.88</v>
      </c>
      <c r="F713" s="1">
        <f ca="1">IFERROR(__xludf.DUMMYFUNCTION("""COMPUTED_VALUE"""),30285281)</f>
        <v>30285281</v>
      </c>
    </row>
    <row r="714" spans="1:6" x14ac:dyDescent="0.35">
      <c r="A714" s="2">
        <f ca="1">IFERROR(__xludf.DUMMYFUNCTION("""COMPUTED_VALUE"""),43038.6666666666)</f>
        <v>43038.666666666599</v>
      </c>
      <c r="B714" s="1">
        <f ca="1">IFERROR(__xludf.DUMMYFUNCTION("""COMPUTED_VALUE"""),179.26)</f>
        <v>179.26</v>
      </c>
      <c r="C714" s="1">
        <f ca="1">IFERROR(__xludf.DUMMYFUNCTION("""COMPUTED_VALUE"""),180.69)</f>
        <v>180.69</v>
      </c>
      <c r="D714" s="1">
        <f ca="1">IFERROR(__xludf.DUMMYFUNCTION("""COMPUTED_VALUE"""),177.61)</f>
        <v>177.61</v>
      </c>
      <c r="E714" s="1">
        <f ca="1">IFERROR(__xludf.DUMMYFUNCTION("""COMPUTED_VALUE"""),179.87)</f>
        <v>179.87</v>
      </c>
      <c r="F714" s="1">
        <f ca="1">IFERROR(__xludf.DUMMYFUNCTION("""COMPUTED_VALUE"""),24353160)</f>
        <v>24353160</v>
      </c>
    </row>
    <row r="715" spans="1:6" x14ac:dyDescent="0.35">
      <c r="A715" s="2">
        <f ca="1">IFERROR(__xludf.DUMMYFUNCTION("""COMPUTED_VALUE"""),43039.6666666666)</f>
        <v>43039.666666666599</v>
      </c>
      <c r="B715" s="1">
        <f ca="1">IFERROR(__xludf.DUMMYFUNCTION("""COMPUTED_VALUE"""),180.57)</f>
        <v>180.57</v>
      </c>
      <c r="C715" s="1">
        <f ca="1">IFERROR(__xludf.DUMMYFUNCTION("""COMPUTED_VALUE"""),180.8)</f>
        <v>180.8</v>
      </c>
      <c r="D715" s="1">
        <f ca="1">IFERROR(__xludf.DUMMYFUNCTION("""COMPUTED_VALUE"""),178.94)</f>
        <v>178.94</v>
      </c>
      <c r="E715" s="1">
        <f ca="1">IFERROR(__xludf.DUMMYFUNCTION("""COMPUTED_VALUE"""),180.06)</f>
        <v>180.06</v>
      </c>
      <c r="F715" s="1">
        <f ca="1">IFERROR(__xludf.DUMMYFUNCTION("""COMPUTED_VALUE"""),20174231)</f>
        <v>20174231</v>
      </c>
    </row>
    <row r="716" spans="1:6" x14ac:dyDescent="0.35">
      <c r="A716" s="2">
        <f ca="1">IFERROR(__xludf.DUMMYFUNCTION("""COMPUTED_VALUE"""),43040.6666666666)</f>
        <v>43040.666666666599</v>
      </c>
      <c r="B716" s="1">
        <f ca="1">IFERROR(__xludf.DUMMYFUNCTION("""COMPUTED_VALUE"""),182.36)</f>
        <v>182.36</v>
      </c>
      <c r="C716" s="1">
        <f ca="1">IFERROR(__xludf.DUMMYFUNCTION("""COMPUTED_VALUE"""),182.9)</f>
        <v>182.9</v>
      </c>
      <c r="D716" s="1">
        <f ca="1">IFERROR(__xludf.DUMMYFUNCTION("""COMPUTED_VALUE"""),180.57)</f>
        <v>180.57</v>
      </c>
      <c r="E716" s="1">
        <f ca="1">IFERROR(__xludf.DUMMYFUNCTION("""COMPUTED_VALUE"""),182.66)</f>
        <v>182.66</v>
      </c>
      <c r="F716" s="1">
        <f ca="1">IFERROR(__xludf.DUMMYFUNCTION("""COMPUTED_VALUE"""),40918341)</f>
        <v>40918341</v>
      </c>
    </row>
    <row r="717" spans="1:6" x14ac:dyDescent="0.35">
      <c r="A717" s="2">
        <f ca="1">IFERROR(__xludf.DUMMYFUNCTION("""COMPUTED_VALUE"""),43041.6666666666)</f>
        <v>43041.666666666599</v>
      </c>
      <c r="B717" s="1">
        <f ca="1">IFERROR(__xludf.DUMMYFUNCTION("""COMPUTED_VALUE"""),180.63)</f>
        <v>180.63</v>
      </c>
      <c r="C717" s="1">
        <f ca="1">IFERROR(__xludf.DUMMYFUNCTION("""COMPUTED_VALUE"""),181.94)</f>
        <v>181.94</v>
      </c>
      <c r="D717" s="1">
        <f ca="1">IFERROR(__xludf.DUMMYFUNCTION("""COMPUTED_VALUE"""),177.34)</f>
        <v>177.34</v>
      </c>
      <c r="E717" s="1">
        <f ca="1">IFERROR(__xludf.DUMMYFUNCTION("""COMPUTED_VALUE"""),178.92)</f>
        <v>178.92</v>
      </c>
      <c r="F717" s="1">
        <f ca="1">IFERROR(__xludf.DUMMYFUNCTION("""COMPUTED_VALUE"""),35529893)</f>
        <v>35529893</v>
      </c>
    </row>
    <row r="718" spans="1:6" x14ac:dyDescent="0.35">
      <c r="A718" s="2">
        <f ca="1">IFERROR(__xludf.DUMMYFUNCTION("""COMPUTED_VALUE"""),43042.6666666666)</f>
        <v>43042.666666666599</v>
      </c>
      <c r="B718" s="1">
        <f ca="1">IFERROR(__xludf.DUMMYFUNCTION("""COMPUTED_VALUE"""),179.29)</f>
        <v>179.29</v>
      </c>
      <c r="C718" s="1">
        <f ca="1">IFERROR(__xludf.DUMMYFUNCTION("""COMPUTED_VALUE"""),179.86)</f>
        <v>179.86</v>
      </c>
      <c r="D718" s="1">
        <f ca="1">IFERROR(__xludf.DUMMYFUNCTION("""COMPUTED_VALUE"""),176.71)</f>
        <v>176.71</v>
      </c>
      <c r="E718" s="1">
        <f ca="1">IFERROR(__xludf.DUMMYFUNCTION("""COMPUTED_VALUE"""),178.92)</f>
        <v>178.92</v>
      </c>
      <c r="F718" s="1">
        <f ca="1">IFERROR(__xludf.DUMMYFUNCTION("""COMPUTED_VALUE"""),17822131)</f>
        <v>17822131</v>
      </c>
    </row>
    <row r="719" spans="1:6" x14ac:dyDescent="0.35">
      <c r="A719" s="2">
        <f ca="1">IFERROR(__xludf.DUMMYFUNCTION("""COMPUTED_VALUE"""),43045.6666666666)</f>
        <v>43045.666666666599</v>
      </c>
      <c r="B719" s="1">
        <f ca="1">IFERROR(__xludf.DUMMYFUNCTION("""COMPUTED_VALUE"""),178.56)</f>
        <v>178.56</v>
      </c>
      <c r="C719" s="1">
        <f ca="1">IFERROR(__xludf.DUMMYFUNCTION("""COMPUTED_VALUE"""),180.45)</f>
        <v>180.45</v>
      </c>
      <c r="D719" s="1">
        <f ca="1">IFERROR(__xludf.DUMMYFUNCTION("""COMPUTED_VALUE"""),178.31)</f>
        <v>178.31</v>
      </c>
      <c r="E719" s="1">
        <f ca="1">IFERROR(__xludf.DUMMYFUNCTION("""COMPUTED_VALUE"""),180.17)</f>
        <v>180.17</v>
      </c>
      <c r="F719" s="1">
        <f ca="1">IFERROR(__xludf.DUMMYFUNCTION("""COMPUTED_VALUE"""),13312741)</f>
        <v>13312741</v>
      </c>
    </row>
    <row r="720" spans="1:6" x14ac:dyDescent="0.35">
      <c r="A720" s="2">
        <f ca="1">IFERROR(__xludf.DUMMYFUNCTION("""COMPUTED_VALUE"""),43046.6666666666)</f>
        <v>43046.666666666599</v>
      </c>
      <c r="B720" s="1">
        <f ca="1">IFERROR(__xludf.DUMMYFUNCTION("""COMPUTED_VALUE"""),180.5)</f>
        <v>180.5</v>
      </c>
      <c r="C720" s="1">
        <f ca="1">IFERROR(__xludf.DUMMYFUNCTION("""COMPUTED_VALUE"""),180.75)</f>
        <v>180.75</v>
      </c>
      <c r="D720" s="1">
        <f ca="1">IFERROR(__xludf.DUMMYFUNCTION("""COMPUTED_VALUE"""),178.96)</f>
        <v>178.96</v>
      </c>
      <c r="E720" s="1">
        <f ca="1">IFERROR(__xludf.DUMMYFUNCTION("""COMPUTED_VALUE"""),180.25)</f>
        <v>180.25</v>
      </c>
      <c r="F720" s="1">
        <f ca="1">IFERROR(__xludf.DUMMYFUNCTION("""COMPUTED_VALUE"""),12928182)</f>
        <v>12928182</v>
      </c>
    </row>
    <row r="721" spans="1:6" x14ac:dyDescent="0.35">
      <c r="A721" s="2">
        <f ca="1">IFERROR(__xludf.DUMMYFUNCTION("""COMPUTED_VALUE"""),43047.6666666666)</f>
        <v>43047.666666666599</v>
      </c>
      <c r="B721" s="1">
        <f ca="1">IFERROR(__xludf.DUMMYFUNCTION("""COMPUTED_VALUE"""),179.79)</f>
        <v>179.79</v>
      </c>
      <c r="C721" s="1">
        <f ca="1">IFERROR(__xludf.DUMMYFUNCTION("""COMPUTED_VALUE"""),180.35)</f>
        <v>180.35</v>
      </c>
      <c r="D721" s="1">
        <f ca="1">IFERROR(__xludf.DUMMYFUNCTION("""COMPUTED_VALUE"""),179.11)</f>
        <v>179.11</v>
      </c>
      <c r="E721" s="1">
        <f ca="1">IFERROR(__xludf.DUMMYFUNCTION("""COMPUTED_VALUE"""),179.56)</f>
        <v>179.56</v>
      </c>
      <c r="F721" s="1">
        <f ca="1">IFERROR(__xludf.DUMMYFUNCTION("""COMPUTED_VALUE"""),10494149)</f>
        <v>10494149</v>
      </c>
    </row>
    <row r="722" spans="1:6" x14ac:dyDescent="0.35">
      <c r="A722" s="2">
        <f ca="1">IFERROR(__xludf.DUMMYFUNCTION("""COMPUTED_VALUE"""),43048.6666666666)</f>
        <v>43048.666666666599</v>
      </c>
      <c r="B722" s="1">
        <f ca="1">IFERROR(__xludf.DUMMYFUNCTION("""COMPUTED_VALUE"""),178.31)</f>
        <v>178.31</v>
      </c>
      <c r="C722" s="1">
        <f ca="1">IFERROR(__xludf.DUMMYFUNCTION("""COMPUTED_VALUE"""),179.4)</f>
        <v>179.4</v>
      </c>
      <c r="D722" s="1">
        <f ca="1">IFERROR(__xludf.DUMMYFUNCTION("""COMPUTED_VALUE"""),177.09)</f>
        <v>177.09</v>
      </c>
      <c r="E722" s="1">
        <f ca="1">IFERROR(__xludf.DUMMYFUNCTION("""COMPUTED_VALUE"""),179.3)</f>
        <v>179.3</v>
      </c>
      <c r="F722" s="1">
        <f ca="1">IFERROR(__xludf.DUMMYFUNCTION("""COMPUTED_VALUE"""),12610335)</f>
        <v>12610335</v>
      </c>
    </row>
    <row r="723" spans="1:6" x14ac:dyDescent="0.35">
      <c r="A723" s="2">
        <f ca="1">IFERROR(__xludf.DUMMYFUNCTION("""COMPUTED_VALUE"""),43049.6666666666)</f>
        <v>43049.666666666599</v>
      </c>
      <c r="B723" s="1">
        <f ca="1">IFERROR(__xludf.DUMMYFUNCTION("""COMPUTED_VALUE"""),178.35)</f>
        <v>178.35</v>
      </c>
      <c r="C723" s="1">
        <f ca="1">IFERROR(__xludf.DUMMYFUNCTION("""COMPUTED_VALUE"""),179.1)</f>
        <v>179.1</v>
      </c>
      <c r="D723" s="1">
        <f ca="1">IFERROR(__xludf.DUMMYFUNCTION("""COMPUTED_VALUE"""),177.96)</f>
        <v>177.96</v>
      </c>
      <c r="E723" s="1">
        <f ca="1">IFERROR(__xludf.DUMMYFUNCTION("""COMPUTED_VALUE"""),178.46)</f>
        <v>178.46</v>
      </c>
      <c r="F723" s="1">
        <f ca="1">IFERROR(__xludf.DUMMYFUNCTION("""COMPUTED_VALUE"""),11070189)</f>
        <v>11070189</v>
      </c>
    </row>
    <row r="724" spans="1:6" x14ac:dyDescent="0.35">
      <c r="A724" s="2">
        <f ca="1">IFERROR(__xludf.DUMMYFUNCTION("""COMPUTED_VALUE"""),43052.6666666666)</f>
        <v>43052.666666666599</v>
      </c>
      <c r="B724" s="1">
        <f ca="1">IFERROR(__xludf.DUMMYFUNCTION("""COMPUTED_VALUE"""),177.5)</f>
        <v>177.5</v>
      </c>
      <c r="C724" s="1">
        <f ca="1">IFERROR(__xludf.DUMMYFUNCTION("""COMPUTED_VALUE"""),179.04)</f>
        <v>179.04</v>
      </c>
      <c r="D724" s="1">
        <f ca="1">IFERROR(__xludf.DUMMYFUNCTION("""COMPUTED_VALUE"""),177.3)</f>
        <v>177.3</v>
      </c>
      <c r="E724" s="1">
        <f ca="1">IFERROR(__xludf.DUMMYFUNCTION("""COMPUTED_VALUE"""),178.77)</f>
        <v>178.77</v>
      </c>
      <c r="F724" s="1">
        <f ca="1">IFERROR(__xludf.DUMMYFUNCTION("""COMPUTED_VALUE"""),9523447)</f>
        <v>9523447</v>
      </c>
    </row>
    <row r="725" spans="1:6" x14ac:dyDescent="0.35">
      <c r="A725" s="2">
        <f ca="1">IFERROR(__xludf.DUMMYFUNCTION("""COMPUTED_VALUE"""),43053.6666666666)</f>
        <v>43053.666666666599</v>
      </c>
      <c r="B725" s="1">
        <f ca="1">IFERROR(__xludf.DUMMYFUNCTION("""COMPUTED_VALUE"""),178.13)</f>
        <v>178.13</v>
      </c>
      <c r="C725" s="1">
        <f ca="1">IFERROR(__xludf.DUMMYFUNCTION("""COMPUTED_VALUE"""),178.97)</f>
        <v>178.97</v>
      </c>
      <c r="D725" s="1">
        <f ca="1">IFERROR(__xludf.DUMMYFUNCTION("""COMPUTED_VALUE"""),177.18)</f>
        <v>177.18</v>
      </c>
      <c r="E725" s="1">
        <f ca="1">IFERROR(__xludf.DUMMYFUNCTION("""COMPUTED_VALUE"""),178.07)</f>
        <v>178.07</v>
      </c>
      <c r="F725" s="1">
        <f ca="1">IFERROR(__xludf.DUMMYFUNCTION("""COMPUTED_VALUE"""),9585868)</f>
        <v>9585868</v>
      </c>
    </row>
    <row r="726" spans="1:6" x14ac:dyDescent="0.35">
      <c r="A726" s="2">
        <f ca="1">IFERROR(__xludf.DUMMYFUNCTION("""COMPUTED_VALUE"""),43054.6666666666)</f>
        <v>43054.666666666599</v>
      </c>
      <c r="B726" s="1">
        <f ca="1">IFERROR(__xludf.DUMMYFUNCTION("""COMPUTED_VALUE"""),176.66)</f>
        <v>176.66</v>
      </c>
      <c r="C726" s="1">
        <f ca="1">IFERROR(__xludf.DUMMYFUNCTION("""COMPUTED_VALUE"""),178.57)</f>
        <v>178.57</v>
      </c>
      <c r="D726" s="1">
        <f ca="1">IFERROR(__xludf.DUMMYFUNCTION("""COMPUTED_VALUE"""),176.4)</f>
        <v>176.4</v>
      </c>
      <c r="E726" s="1">
        <f ca="1">IFERROR(__xludf.DUMMYFUNCTION("""COMPUTED_VALUE"""),177.95)</f>
        <v>177.95</v>
      </c>
      <c r="F726" s="1">
        <f ca="1">IFERROR(__xludf.DUMMYFUNCTION("""COMPUTED_VALUE"""),10253667)</f>
        <v>10253667</v>
      </c>
    </row>
    <row r="727" spans="1:6" x14ac:dyDescent="0.35">
      <c r="A727" s="2">
        <f ca="1">IFERROR(__xludf.DUMMYFUNCTION("""COMPUTED_VALUE"""),43055.6666666666)</f>
        <v>43055.666666666599</v>
      </c>
      <c r="B727" s="1">
        <f ca="1">IFERROR(__xludf.DUMMYFUNCTION("""COMPUTED_VALUE"""),178.76)</f>
        <v>178.76</v>
      </c>
      <c r="C727" s="1">
        <f ca="1">IFERROR(__xludf.DUMMYFUNCTION("""COMPUTED_VALUE"""),179.83)</f>
        <v>179.83</v>
      </c>
      <c r="D727" s="1">
        <f ca="1">IFERROR(__xludf.DUMMYFUNCTION("""COMPUTED_VALUE"""),178.5)</f>
        <v>178.5</v>
      </c>
      <c r="E727" s="1">
        <f ca="1">IFERROR(__xludf.DUMMYFUNCTION("""COMPUTED_VALUE"""),179.59)</f>
        <v>179.59</v>
      </c>
      <c r="F727" s="1">
        <f ca="1">IFERROR(__xludf.DUMMYFUNCTION("""COMPUTED_VALUE"""),15607582)</f>
        <v>15607582</v>
      </c>
    </row>
    <row r="728" spans="1:6" x14ac:dyDescent="0.35">
      <c r="A728" s="2">
        <f ca="1">IFERROR(__xludf.DUMMYFUNCTION("""COMPUTED_VALUE"""),43056.6666666666)</f>
        <v>43056.666666666599</v>
      </c>
      <c r="B728" s="1">
        <f ca="1">IFERROR(__xludf.DUMMYFUNCTION("""COMPUTED_VALUE"""),179.3)</f>
        <v>179.3</v>
      </c>
      <c r="C728" s="1">
        <f ca="1">IFERROR(__xludf.DUMMYFUNCTION("""COMPUTED_VALUE"""),179.98)</f>
        <v>179.98</v>
      </c>
      <c r="D728" s="1">
        <f ca="1">IFERROR(__xludf.DUMMYFUNCTION("""COMPUTED_VALUE"""),178.9)</f>
        <v>178.9</v>
      </c>
      <c r="E728" s="1">
        <f ca="1">IFERROR(__xludf.DUMMYFUNCTION("""COMPUTED_VALUE"""),179)</f>
        <v>179</v>
      </c>
      <c r="F728" s="1">
        <f ca="1">IFERROR(__xludf.DUMMYFUNCTION("""COMPUTED_VALUE"""),13017980)</f>
        <v>13017980</v>
      </c>
    </row>
    <row r="729" spans="1:6" x14ac:dyDescent="0.35">
      <c r="A729" s="2">
        <f ca="1">IFERROR(__xludf.DUMMYFUNCTION("""COMPUTED_VALUE"""),43059.6666666666)</f>
        <v>43059.666666666599</v>
      </c>
      <c r="B729" s="1">
        <f ca="1">IFERROR(__xludf.DUMMYFUNCTION("""COMPUTED_VALUE"""),178.87)</f>
        <v>178.87</v>
      </c>
      <c r="C729" s="1">
        <f ca="1">IFERROR(__xludf.DUMMYFUNCTION("""COMPUTED_VALUE"""),179.5)</f>
        <v>179.5</v>
      </c>
      <c r="D729" s="1">
        <f ca="1">IFERROR(__xludf.DUMMYFUNCTION("""COMPUTED_VALUE"""),178.1)</f>
        <v>178.1</v>
      </c>
      <c r="E729" s="1">
        <f ca="1">IFERROR(__xludf.DUMMYFUNCTION("""COMPUTED_VALUE"""),178.74)</f>
        <v>178.74</v>
      </c>
      <c r="F729" s="1">
        <f ca="1">IFERROR(__xludf.DUMMYFUNCTION("""COMPUTED_VALUE"""),10052391)</f>
        <v>10052391</v>
      </c>
    </row>
    <row r="730" spans="1:6" x14ac:dyDescent="0.35">
      <c r="A730" s="2">
        <f ca="1">IFERROR(__xludf.DUMMYFUNCTION("""COMPUTED_VALUE"""),43060.6666666666)</f>
        <v>43060.666666666599</v>
      </c>
      <c r="B730" s="1">
        <f ca="1">IFERROR(__xludf.DUMMYFUNCTION("""COMPUTED_VALUE"""),179.15)</f>
        <v>179.15</v>
      </c>
      <c r="C730" s="1">
        <f ca="1">IFERROR(__xludf.DUMMYFUNCTION("""COMPUTED_VALUE"""),181.89)</f>
        <v>181.89</v>
      </c>
      <c r="D730" s="1">
        <f ca="1">IFERROR(__xludf.DUMMYFUNCTION("""COMPUTED_VALUE"""),178.99)</f>
        <v>178.99</v>
      </c>
      <c r="E730" s="1">
        <f ca="1">IFERROR(__xludf.DUMMYFUNCTION("""COMPUTED_VALUE"""),181.86)</f>
        <v>181.86</v>
      </c>
      <c r="F730" s="1">
        <f ca="1">IFERROR(__xludf.DUMMYFUNCTION("""COMPUTED_VALUE"""),14503990)</f>
        <v>14503990</v>
      </c>
    </row>
    <row r="731" spans="1:6" x14ac:dyDescent="0.35">
      <c r="A731" s="2">
        <f ca="1">IFERROR(__xludf.DUMMYFUNCTION("""COMPUTED_VALUE"""),43061.6666666666)</f>
        <v>43061.666666666599</v>
      </c>
      <c r="B731" s="1">
        <f ca="1">IFERROR(__xludf.DUMMYFUNCTION("""COMPUTED_VALUE"""),181.3)</f>
        <v>181.3</v>
      </c>
      <c r="C731" s="1">
        <f ca="1">IFERROR(__xludf.DUMMYFUNCTION("""COMPUTED_VALUE"""),181.73)</f>
        <v>181.73</v>
      </c>
      <c r="D731" s="1">
        <f ca="1">IFERROR(__xludf.DUMMYFUNCTION("""COMPUTED_VALUE"""),180.44)</f>
        <v>180.44</v>
      </c>
      <c r="E731" s="1">
        <f ca="1">IFERROR(__xludf.DUMMYFUNCTION("""COMPUTED_VALUE"""),180.87)</f>
        <v>180.87</v>
      </c>
      <c r="F731" s="1">
        <f ca="1">IFERROR(__xludf.DUMMYFUNCTION("""COMPUTED_VALUE"""),10376329)</f>
        <v>10376329</v>
      </c>
    </row>
    <row r="732" spans="1:6" x14ac:dyDescent="0.35">
      <c r="A732" s="2">
        <f ca="1">IFERROR(__xludf.DUMMYFUNCTION("""COMPUTED_VALUE"""),43063.5416666666)</f>
        <v>43063.541666666599</v>
      </c>
      <c r="B732" s="1">
        <f ca="1">IFERROR(__xludf.DUMMYFUNCTION("""COMPUTED_VALUE"""),180.4)</f>
        <v>180.4</v>
      </c>
      <c r="C732" s="1">
        <f ca="1">IFERROR(__xludf.DUMMYFUNCTION("""COMPUTED_VALUE"""),183.15)</f>
        <v>183.15</v>
      </c>
      <c r="D732" s="1">
        <f ca="1">IFERROR(__xludf.DUMMYFUNCTION("""COMPUTED_VALUE"""),180.29)</f>
        <v>180.29</v>
      </c>
      <c r="E732" s="1">
        <f ca="1">IFERROR(__xludf.DUMMYFUNCTION("""COMPUTED_VALUE"""),182.78)</f>
        <v>182.78</v>
      </c>
      <c r="F732" s="1">
        <f ca="1">IFERROR(__xludf.DUMMYFUNCTION("""COMPUTED_VALUE"""),9426283)</f>
        <v>9426283</v>
      </c>
    </row>
    <row r="733" spans="1:6" x14ac:dyDescent="0.35">
      <c r="A733" s="2">
        <f ca="1">IFERROR(__xludf.DUMMYFUNCTION("""COMPUTED_VALUE"""),43066.6666666666)</f>
        <v>43066.666666666599</v>
      </c>
      <c r="B733" s="1">
        <f ca="1">IFERROR(__xludf.DUMMYFUNCTION("""COMPUTED_VALUE"""),182.56)</f>
        <v>182.56</v>
      </c>
      <c r="C733" s="1">
        <f ca="1">IFERROR(__xludf.DUMMYFUNCTION("""COMPUTED_VALUE"""),183.73)</f>
        <v>183.73</v>
      </c>
      <c r="D733" s="1">
        <f ca="1">IFERROR(__xludf.DUMMYFUNCTION("""COMPUTED_VALUE"""),181.99)</f>
        <v>181.99</v>
      </c>
      <c r="E733" s="1">
        <f ca="1">IFERROR(__xludf.DUMMYFUNCTION("""COMPUTED_VALUE"""),183.03)</f>
        <v>183.03</v>
      </c>
      <c r="F733" s="1">
        <f ca="1">IFERROR(__xludf.DUMMYFUNCTION("""COMPUTED_VALUE"""),12344516)</f>
        <v>12344516</v>
      </c>
    </row>
    <row r="734" spans="1:6" x14ac:dyDescent="0.35">
      <c r="A734" s="2">
        <f ca="1">IFERROR(__xludf.DUMMYFUNCTION("""COMPUTED_VALUE"""),43067.6666666666)</f>
        <v>43067.666666666599</v>
      </c>
      <c r="B734" s="1">
        <f ca="1">IFERROR(__xludf.DUMMYFUNCTION("""COMPUTED_VALUE"""),183.51)</f>
        <v>183.51</v>
      </c>
      <c r="C734" s="1">
        <f ca="1">IFERROR(__xludf.DUMMYFUNCTION("""COMPUTED_VALUE"""),184.25)</f>
        <v>184.25</v>
      </c>
      <c r="D734" s="1">
        <f ca="1">IFERROR(__xludf.DUMMYFUNCTION("""COMPUTED_VALUE"""),182.09)</f>
        <v>182.09</v>
      </c>
      <c r="E734" s="1">
        <f ca="1">IFERROR(__xludf.DUMMYFUNCTION("""COMPUTED_VALUE"""),182.42)</f>
        <v>182.42</v>
      </c>
      <c r="F734" s="1">
        <f ca="1">IFERROR(__xludf.DUMMYFUNCTION("""COMPUTED_VALUE"""),14379674)</f>
        <v>14379674</v>
      </c>
    </row>
    <row r="735" spans="1:6" x14ac:dyDescent="0.35">
      <c r="A735" s="2">
        <f ca="1">IFERROR(__xludf.DUMMYFUNCTION("""COMPUTED_VALUE"""),43068.6666666666)</f>
        <v>43068.666666666599</v>
      </c>
      <c r="B735" s="1">
        <f ca="1">IFERROR(__xludf.DUMMYFUNCTION("""COMPUTED_VALUE"""),181.89)</f>
        <v>181.89</v>
      </c>
      <c r="C735" s="1">
        <f ca="1">IFERROR(__xludf.DUMMYFUNCTION("""COMPUTED_VALUE"""),181.97)</f>
        <v>181.97</v>
      </c>
      <c r="D735" s="1">
        <f ca="1">IFERROR(__xludf.DUMMYFUNCTION("""COMPUTED_VALUE"""),174)</f>
        <v>174</v>
      </c>
      <c r="E735" s="1">
        <f ca="1">IFERROR(__xludf.DUMMYFUNCTION("""COMPUTED_VALUE"""),175.13)</f>
        <v>175.13</v>
      </c>
      <c r="F735" s="1">
        <f ca="1">IFERROR(__xludf.DUMMYFUNCTION("""COMPUTED_VALUE"""),41933484)</f>
        <v>41933484</v>
      </c>
    </row>
    <row r="736" spans="1:6" x14ac:dyDescent="0.35">
      <c r="A736" s="2">
        <f ca="1">IFERROR(__xludf.DUMMYFUNCTION("""COMPUTED_VALUE"""),43069.6666666666)</f>
        <v>43069.666666666599</v>
      </c>
      <c r="B736" s="1">
        <f ca="1">IFERROR(__xludf.DUMMYFUNCTION("""COMPUTED_VALUE"""),176.85)</f>
        <v>176.85</v>
      </c>
      <c r="C736" s="1">
        <f ca="1">IFERROR(__xludf.DUMMYFUNCTION("""COMPUTED_VALUE"""),178.28)</f>
        <v>178.28</v>
      </c>
      <c r="D736" s="1">
        <f ca="1">IFERROR(__xludf.DUMMYFUNCTION("""COMPUTED_VALUE"""),175.2)</f>
        <v>175.2</v>
      </c>
      <c r="E736" s="1">
        <f ca="1">IFERROR(__xludf.DUMMYFUNCTION("""COMPUTED_VALUE"""),177.18)</f>
        <v>177.18</v>
      </c>
      <c r="F736" s="1">
        <f ca="1">IFERROR(__xludf.DUMMYFUNCTION("""COMPUTED_VALUE"""),25307601)</f>
        <v>25307601</v>
      </c>
    </row>
    <row r="737" spans="1:6" x14ac:dyDescent="0.35">
      <c r="A737" s="2">
        <f ca="1">IFERROR(__xludf.DUMMYFUNCTION("""COMPUTED_VALUE"""),43070.6666666666)</f>
        <v>43070.666666666599</v>
      </c>
      <c r="B737" s="1">
        <f ca="1">IFERROR(__xludf.DUMMYFUNCTION("""COMPUTED_VALUE"""),176.03)</f>
        <v>176.03</v>
      </c>
      <c r="C737" s="1">
        <f ca="1">IFERROR(__xludf.DUMMYFUNCTION("""COMPUTED_VALUE"""),177.48)</f>
        <v>177.48</v>
      </c>
      <c r="D737" s="1">
        <f ca="1">IFERROR(__xludf.DUMMYFUNCTION("""COMPUTED_VALUE"""),172.34)</f>
        <v>172.34</v>
      </c>
      <c r="E737" s="1">
        <f ca="1">IFERROR(__xludf.DUMMYFUNCTION("""COMPUTED_VALUE"""),175.1)</f>
        <v>175.1</v>
      </c>
      <c r="F737" s="1">
        <f ca="1">IFERROR(__xludf.DUMMYFUNCTION("""COMPUTED_VALUE"""),20182523)</f>
        <v>20182523</v>
      </c>
    </row>
    <row r="738" spans="1:6" x14ac:dyDescent="0.35">
      <c r="A738" s="2">
        <f ca="1">IFERROR(__xludf.DUMMYFUNCTION("""COMPUTED_VALUE"""),43073.6666666666)</f>
        <v>43073.666666666599</v>
      </c>
      <c r="B738" s="1">
        <f ca="1">IFERROR(__xludf.DUMMYFUNCTION("""COMPUTED_VALUE"""),176.29)</f>
        <v>176.29</v>
      </c>
      <c r="C738" s="1">
        <f ca="1">IFERROR(__xludf.DUMMYFUNCTION("""COMPUTED_VALUE"""),176.57)</f>
        <v>176.57</v>
      </c>
      <c r="D738" s="1">
        <f ca="1">IFERROR(__xludf.DUMMYFUNCTION("""COMPUTED_VALUE"""),170.79)</f>
        <v>170.79</v>
      </c>
      <c r="E738" s="1">
        <f ca="1">IFERROR(__xludf.DUMMYFUNCTION("""COMPUTED_VALUE"""),171.47)</f>
        <v>171.47</v>
      </c>
      <c r="F738" s="1">
        <f ca="1">IFERROR(__xludf.DUMMYFUNCTION("""COMPUTED_VALUE"""),24459422)</f>
        <v>24459422</v>
      </c>
    </row>
    <row r="739" spans="1:6" x14ac:dyDescent="0.35">
      <c r="A739" s="2">
        <f ca="1">IFERROR(__xludf.DUMMYFUNCTION("""COMPUTED_VALUE"""),43074.6666666666)</f>
        <v>43074.666666666599</v>
      </c>
      <c r="B739" s="1">
        <f ca="1">IFERROR(__xludf.DUMMYFUNCTION("""COMPUTED_VALUE"""),170.45)</f>
        <v>170.45</v>
      </c>
      <c r="C739" s="1">
        <f ca="1">IFERROR(__xludf.DUMMYFUNCTION("""COMPUTED_VALUE"""),175.38)</f>
        <v>175.38</v>
      </c>
      <c r="D739" s="1">
        <f ca="1">IFERROR(__xludf.DUMMYFUNCTION("""COMPUTED_VALUE"""),169.01)</f>
        <v>169.01</v>
      </c>
      <c r="E739" s="1">
        <f ca="1">IFERROR(__xludf.DUMMYFUNCTION("""COMPUTED_VALUE"""),172.83)</f>
        <v>172.83</v>
      </c>
      <c r="F739" s="1">
        <f ca="1">IFERROR(__xludf.DUMMYFUNCTION("""COMPUTED_VALUE"""),20184908)</f>
        <v>20184908</v>
      </c>
    </row>
    <row r="740" spans="1:6" x14ac:dyDescent="0.35">
      <c r="A740" s="2">
        <f ca="1">IFERROR(__xludf.DUMMYFUNCTION("""COMPUTED_VALUE"""),43075.6666666666)</f>
        <v>43075.666666666599</v>
      </c>
      <c r="B740" s="1">
        <f ca="1">IFERROR(__xludf.DUMMYFUNCTION("""COMPUTED_VALUE"""),172.5)</f>
        <v>172.5</v>
      </c>
      <c r="C740" s="1">
        <f ca="1">IFERROR(__xludf.DUMMYFUNCTION("""COMPUTED_VALUE"""),176.77)</f>
        <v>176.77</v>
      </c>
      <c r="D740" s="1">
        <f ca="1">IFERROR(__xludf.DUMMYFUNCTION("""COMPUTED_VALUE"""),171.9)</f>
        <v>171.9</v>
      </c>
      <c r="E740" s="1">
        <f ca="1">IFERROR(__xludf.DUMMYFUNCTION("""COMPUTED_VALUE"""),176.06)</f>
        <v>176.06</v>
      </c>
      <c r="F740" s="1">
        <f ca="1">IFERROR(__xludf.DUMMYFUNCTION("""COMPUTED_VALUE"""),20255846)</f>
        <v>20255846</v>
      </c>
    </row>
    <row r="741" spans="1:6" x14ac:dyDescent="0.35">
      <c r="A741" s="2">
        <f ca="1">IFERROR(__xludf.DUMMYFUNCTION("""COMPUTED_VALUE"""),43076.6666666666)</f>
        <v>43076.666666666599</v>
      </c>
      <c r="B741" s="1">
        <f ca="1">IFERROR(__xludf.DUMMYFUNCTION("""COMPUTED_VALUE"""),175.8)</f>
        <v>175.8</v>
      </c>
      <c r="C741" s="1">
        <f ca="1">IFERROR(__xludf.DUMMYFUNCTION("""COMPUTED_VALUE"""),180.39)</f>
        <v>180.39</v>
      </c>
      <c r="D741" s="1">
        <f ca="1">IFERROR(__xludf.DUMMYFUNCTION("""COMPUTED_VALUE"""),175.8)</f>
        <v>175.8</v>
      </c>
      <c r="E741" s="1">
        <f ca="1">IFERROR(__xludf.DUMMYFUNCTION("""COMPUTED_VALUE"""),180.14)</f>
        <v>180.14</v>
      </c>
      <c r="F741" s="1">
        <f ca="1">IFERROR(__xludf.DUMMYFUNCTION("""COMPUTED_VALUE"""),20404533)</f>
        <v>20404533</v>
      </c>
    </row>
    <row r="742" spans="1:6" x14ac:dyDescent="0.35">
      <c r="A742" s="2">
        <f ca="1">IFERROR(__xludf.DUMMYFUNCTION("""COMPUTED_VALUE"""),43077.6666666666)</f>
        <v>43077.666666666599</v>
      </c>
      <c r="B742" s="1">
        <f ca="1">IFERROR(__xludf.DUMMYFUNCTION("""COMPUTED_VALUE"""),181.53)</f>
        <v>181.53</v>
      </c>
      <c r="C742" s="1">
        <f ca="1">IFERROR(__xludf.DUMMYFUNCTION("""COMPUTED_VALUE"""),182.28)</f>
        <v>182.28</v>
      </c>
      <c r="D742" s="1">
        <f ca="1">IFERROR(__xludf.DUMMYFUNCTION("""COMPUTED_VALUE"""),178.74)</f>
        <v>178.74</v>
      </c>
      <c r="E742" s="1">
        <f ca="1">IFERROR(__xludf.DUMMYFUNCTION("""COMPUTED_VALUE"""),179)</f>
        <v>179</v>
      </c>
      <c r="F742" s="1">
        <f ca="1">IFERROR(__xludf.DUMMYFUNCTION("""COMPUTED_VALUE"""),19883764)</f>
        <v>19883764</v>
      </c>
    </row>
    <row r="743" spans="1:6" x14ac:dyDescent="0.35">
      <c r="A743" s="2">
        <f ca="1">IFERROR(__xludf.DUMMYFUNCTION("""COMPUTED_VALUE"""),43080.6666666666)</f>
        <v>43080.666666666599</v>
      </c>
      <c r="B743" s="1">
        <f ca="1">IFERROR(__xludf.DUMMYFUNCTION("""COMPUTED_VALUE"""),179.3)</f>
        <v>179.3</v>
      </c>
      <c r="C743" s="1">
        <f ca="1">IFERROR(__xludf.DUMMYFUNCTION("""COMPUTED_VALUE"""),180.22)</f>
        <v>180.22</v>
      </c>
      <c r="D743" s="1">
        <f ca="1">IFERROR(__xludf.DUMMYFUNCTION("""COMPUTED_VALUE"""),178.8)</f>
        <v>178.8</v>
      </c>
      <c r="E743" s="1">
        <f ca="1">IFERROR(__xludf.DUMMYFUNCTION("""COMPUTED_VALUE"""),179.04)</f>
        <v>179.04</v>
      </c>
      <c r="F743" s="1">
        <f ca="1">IFERROR(__xludf.DUMMYFUNCTION("""COMPUTED_VALUE"""),13168575)</f>
        <v>13168575</v>
      </c>
    </row>
    <row r="744" spans="1:6" x14ac:dyDescent="0.35">
      <c r="A744" s="2">
        <f ca="1">IFERROR(__xludf.DUMMYFUNCTION("""COMPUTED_VALUE"""),43081.6666666666)</f>
        <v>43081.666666666599</v>
      </c>
      <c r="B744" s="1">
        <f ca="1">IFERROR(__xludf.DUMMYFUNCTION("""COMPUTED_VALUE"""),178.6)</f>
        <v>178.6</v>
      </c>
      <c r="C744" s="1">
        <f ca="1">IFERROR(__xludf.DUMMYFUNCTION("""COMPUTED_VALUE"""),179.18)</f>
        <v>179.18</v>
      </c>
      <c r="D744" s="1">
        <f ca="1">IFERROR(__xludf.DUMMYFUNCTION("""COMPUTED_VALUE"""),176.6)</f>
        <v>176.6</v>
      </c>
      <c r="E744" s="1">
        <f ca="1">IFERROR(__xludf.DUMMYFUNCTION("""COMPUTED_VALUE"""),176.96)</f>
        <v>176.96</v>
      </c>
      <c r="F744" s="1">
        <f ca="1">IFERROR(__xludf.DUMMYFUNCTION("""COMPUTED_VALUE"""),16854098)</f>
        <v>16854098</v>
      </c>
    </row>
    <row r="745" spans="1:6" x14ac:dyDescent="0.35">
      <c r="A745" s="2">
        <f ca="1">IFERROR(__xludf.DUMMYFUNCTION("""COMPUTED_VALUE"""),43082.6666666666)</f>
        <v>43082.666666666599</v>
      </c>
      <c r="B745" s="1">
        <f ca="1">IFERROR(__xludf.DUMMYFUNCTION("""COMPUTED_VALUE"""),177.3)</f>
        <v>177.3</v>
      </c>
      <c r="C745" s="1">
        <f ca="1">IFERROR(__xludf.DUMMYFUNCTION("""COMPUTED_VALUE"""),179.16)</f>
        <v>179.16</v>
      </c>
      <c r="D745" s="1">
        <f ca="1">IFERROR(__xludf.DUMMYFUNCTION("""COMPUTED_VALUE"""),177.25)</f>
        <v>177.25</v>
      </c>
      <c r="E745" s="1">
        <f ca="1">IFERROR(__xludf.DUMMYFUNCTION("""COMPUTED_VALUE"""),178.3)</f>
        <v>178.3</v>
      </c>
      <c r="F745" s="1">
        <f ca="1">IFERROR(__xludf.DUMMYFUNCTION("""COMPUTED_VALUE"""),14615718)</f>
        <v>14615718</v>
      </c>
    </row>
    <row r="746" spans="1:6" x14ac:dyDescent="0.35">
      <c r="A746" s="2">
        <f ca="1">IFERROR(__xludf.DUMMYFUNCTION("""COMPUTED_VALUE"""),43083.6666666666)</f>
        <v>43083.666666666599</v>
      </c>
      <c r="B746" s="1">
        <f ca="1">IFERROR(__xludf.DUMMYFUNCTION("""COMPUTED_VALUE"""),178.29)</f>
        <v>178.29</v>
      </c>
      <c r="C746" s="1">
        <f ca="1">IFERROR(__xludf.DUMMYFUNCTION("""COMPUTED_VALUE"""),180.36)</f>
        <v>180.36</v>
      </c>
      <c r="D746" s="1">
        <f ca="1">IFERROR(__xludf.DUMMYFUNCTION("""COMPUTED_VALUE"""),177.68)</f>
        <v>177.68</v>
      </c>
      <c r="E746" s="1">
        <f ca="1">IFERROR(__xludf.DUMMYFUNCTION("""COMPUTED_VALUE"""),178.39)</f>
        <v>178.39</v>
      </c>
      <c r="F746" s="1">
        <f ca="1">IFERROR(__xludf.DUMMYFUNCTION("""COMPUTED_VALUE"""),13590999)</f>
        <v>13590999</v>
      </c>
    </row>
    <row r="747" spans="1:6" x14ac:dyDescent="0.35">
      <c r="A747" s="2">
        <f ca="1">IFERROR(__xludf.DUMMYFUNCTION("""COMPUTED_VALUE"""),43084.6666666666)</f>
        <v>43084.666666666599</v>
      </c>
      <c r="B747" s="1">
        <f ca="1">IFERROR(__xludf.DUMMYFUNCTION("""COMPUTED_VALUE"""),179.02)</f>
        <v>179.02</v>
      </c>
      <c r="C747" s="1">
        <f ca="1">IFERROR(__xludf.DUMMYFUNCTION("""COMPUTED_VALUE"""),180.49)</f>
        <v>180.49</v>
      </c>
      <c r="D747" s="1">
        <f ca="1">IFERROR(__xludf.DUMMYFUNCTION("""COMPUTED_VALUE"""),178.36)</f>
        <v>178.36</v>
      </c>
      <c r="E747" s="1">
        <f ca="1">IFERROR(__xludf.DUMMYFUNCTION("""COMPUTED_VALUE"""),180.18)</f>
        <v>180.18</v>
      </c>
      <c r="F747" s="1">
        <f ca="1">IFERROR(__xludf.DUMMYFUNCTION("""COMPUTED_VALUE"""),28463101)</f>
        <v>28463101</v>
      </c>
    </row>
    <row r="748" spans="1:6" x14ac:dyDescent="0.35">
      <c r="A748" s="2">
        <f ca="1">IFERROR(__xludf.DUMMYFUNCTION("""COMPUTED_VALUE"""),43087.6666666666)</f>
        <v>43087.666666666599</v>
      </c>
      <c r="B748" s="1">
        <f ca="1">IFERROR(__xludf.DUMMYFUNCTION("""COMPUTED_VALUE"""),181.01)</f>
        <v>181.01</v>
      </c>
      <c r="C748" s="1">
        <f ca="1">IFERROR(__xludf.DUMMYFUNCTION("""COMPUTED_VALUE"""),181.3)</f>
        <v>181.3</v>
      </c>
      <c r="D748" s="1">
        <f ca="1">IFERROR(__xludf.DUMMYFUNCTION("""COMPUTED_VALUE"""),179.75)</f>
        <v>179.75</v>
      </c>
      <c r="E748" s="1">
        <f ca="1">IFERROR(__xludf.DUMMYFUNCTION("""COMPUTED_VALUE"""),180.82)</f>
        <v>180.82</v>
      </c>
      <c r="F748" s="1">
        <f ca="1">IFERROR(__xludf.DUMMYFUNCTION("""COMPUTED_VALUE"""),17265376)</f>
        <v>17265376</v>
      </c>
    </row>
    <row r="749" spans="1:6" x14ac:dyDescent="0.35">
      <c r="A749" s="2">
        <f ca="1">IFERROR(__xludf.DUMMYFUNCTION("""COMPUTED_VALUE"""),43088.6666666666)</f>
        <v>43088.666666666599</v>
      </c>
      <c r="B749" s="1">
        <f ca="1">IFERROR(__xludf.DUMMYFUNCTION("""COMPUTED_VALUE"""),179.95)</f>
        <v>179.95</v>
      </c>
      <c r="C749" s="1">
        <f ca="1">IFERROR(__xludf.DUMMYFUNCTION("""COMPUTED_VALUE"""),180.08)</f>
        <v>180.08</v>
      </c>
      <c r="D749" s="1">
        <f ca="1">IFERROR(__xludf.DUMMYFUNCTION("""COMPUTED_VALUE"""),178.22)</f>
        <v>178.22</v>
      </c>
      <c r="E749" s="1">
        <f ca="1">IFERROR(__xludf.DUMMYFUNCTION("""COMPUTED_VALUE"""),179.51)</f>
        <v>179.51</v>
      </c>
      <c r="F749" s="1">
        <f ca="1">IFERROR(__xludf.DUMMYFUNCTION("""COMPUTED_VALUE"""),14920582)</f>
        <v>14920582</v>
      </c>
    </row>
    <row r="750" spans="1:6" x14ac:dyDescent="0.35">
      <c r="A750" s="2">
        <f ca="1">IFERROR(__xludf.DUMMYFUNCTION("""COMPUTED_VALUE"""),43089.6666666666)</f>
        <v>43089.666666666599</v>
      </c>
      <c r="B750" s="1">
        <f ca="1">IFERROR(__xludf.DUMMYFUNCTION("""COMPUTED_VALUE"""),179.81)</f>
        <v>179.81</v>
      </c>
      <c r="C750" s="1">
        <f ca="1">IFERROR(__xludf.DUMMYFUNCTION("""COMPUTED_VALUE"""),179.81)</f>
        <v>179.81</v>
      </c>
      <c r="D750" s="1">
        <f ca="1">IFERROR(__xludf.DUMMYFUNCTION("""COMPUTED_VALUE"""),177.36)</f>
        <v>177.36</v>
      </c>
      <c r="E750" s="1">
        <f ca="1">IFERROR(__xludf.DUMMYFUNCTION("""COMPUTED_VALUE"""),177.89)</f>
        <v>177.89</v>
      </c>
      <c r="F750" s="1">
        <f ca="1">IFERROR(__xludf.DUMMYFUNCTION("""COMPUTED_VALUE"""),11860497)</f>
        <v>11860497</v>
      </c>
    </row>
    <row r="751" spans="1:6" x14ac:dyDescent="0.35">
      <c r="A751" s="2">
        <f ca="1">IFERROR(__xludf.DUMMYFUNCTION("""COMPUTED_VALUE"""),43090.6666666666)</f>
        <v>43090.666666666599</v>
      </c>
      <c r="B751" s="1">
        <f ca="1">IFERROR(__xludf.DUMMYFUNCTION("""COMPUTED_VALUE"""),177.94)</f>
        <v>177.94</v>
      </c>
      <c r="C751" s="1">
        <f ca="1">IFERROR(__xludf.DUMMYFUNCTION("""COMPUTED_VALUE"""),178.68)</f>
        <v>178.68</v>
      </c>
      <c r="D751" s="1">
        <f ca="1">IFERROR(__xludf.DUMMYFUNCTION("""COMPUTED_VALUE"""),177.05)</f>
        <v>177.05</v>
      </c>
      <c r="E751" s="1">
        <f ca="1">IFERROR(__xludf.DUMMYFUNCTION("""COMPUTED_VALUE"""),177.45)</f>
        <v>177.45</v>
      </c>
      <c r="F751" s="1">
        <f ca="1">IFERROR(__xludf.DUMMYFUNCTION("""COMPUTED_VALUE"""),11600700)</f>
        <v>11600700</v>
      </c>
    </row>
    <row r="752" spans="1:6" x14ac:dyDescent="0.35">
      <c r="A752" s="2">
        <f ca="1">IFERROR(__xludf.DUMMYFUNCTION("""COMPUTED_VALUE"""),43091.6666666666)</f>
        <v>43091.666666666599</v>
      </c>
      <c r="B752" s="1">
        <f ca="1">IFERROR(__xludf.DUMMYFUNCTION("""COMPUTED_VALUE"""),177.14)</f>
        <v>177.14</v>
      </c>
      <c r="C752" s="1">
        <f ca="1">IFERROR(__xludf.DUMMYFUNCTION("""COMPUTED_VALUE"""),177.53)</f>
        <v>177.53</v>
      </c>
      <c r="D752" s="1">
        <f ca="1">IFERROR(__xludf.DUMMYFUNCTION("""COMPUTED_VALUE"""),176.23)</f>
        <v>176.23</v>
      </c>
      <c r="E752" s="1">
        <f ca="1">IFERROR(__xludf.DUMMYFUNCTION("""COMPUTED_VALUE"""),177.2)</f>
        <v>177.2</v>
      </c>
      <c r="F752" s="1">
        <f ca="1">IFERROR(__xludf.DUMMYFUNCTION("""COMPUTED_VALUE"""),8509451)</f>
        <v>8509451</v>
      </c>
    </row>
    <row r="753" spans="1:6" x14ac:dyDescent="0.35">
      <c r="A753" s="2">
        <f ca="1">IFERROR(__xludf.DUMMYFUNCTION("""COMPUTED_VALUE"""),43095.6666666666)</f>
        <v>43095.666666666599</v>
      </c>
      <c r="B753" s="1">
        <f ca="1">IFERROR(__xludf.DUMMYFUNCTION("""COMPUTED_VALUE"""),176.63)</f>
        <v>176.63</v>
      </c>
      <c r="C753" s="1">
        <f ca="1">IFERROR(__xludf.DUMMYFUNCTION("""COMPUTED_VALUE"""),177)</f>
        <v>177</v>
      </c>
      <c r="D753" s="1">
        <f ca="1">IFERROR(__xludf.DUMMYFUNCTION("""COMPUTED_VALUE"""),174.67)</f>
        <v>174.67</v>
      </c>
      <c r="E753" s="1">
        <f ca="1">IFERROR(__xludf.DUMMYFUNCTION("""COMPUTED_VALUE"""),175.99)</f>
        <v>175.99</v>
      </c>
      <c r="F753" s="1">
        <f ca="1">IFERROR(__xludf.DUMMYFUNCTION("""COMPUTED_VALUE"""),8897286)</f>
        <v>8897286</v>
      </c>
    </row>
    <row r="754" spans="1:6" x14ac:dyDescent="0.35">
      <c r="A754" s="2">
        <f ca="1">IFERROR(__xludf.DUMMYFUNCTION("""COMPUTED_VALUE"""),43096.6666666666)</f>
        <v>43096.666666666599</v>
      </c>
      <c r="B754" s="1">
        <f ca="1">IFERROR(__xludf.DUMMYFUNCTION("""COMPUTED_VALUE"""),176.55)</f>
        <v>176.55</v>
      </c>
      <c r="C754" s="1">
        <f ca="1">IFERROR(__xludf.DUMMYFUNCTION("""COMPUTED_VALUE"""),178.44)</f>
        <v>178.44</v>
      </c>
      <c r="D754" s="1">
        <f ca="1">IFERROR(__xludf.DUMMYFUNCTION("""COMPUTED_VALUE"""),176.26)</f>
        <v>176.26</v>
      </c>
      <c r="E754" s="1">
        <f ca="1">IFERROR(__xludf.DUMMYFUNCTION("""COMPUTED_VALUE"""),177.62)</f>
        <v>177.62</v>
      </c>
      <c r="F754" s="1">
        <f ca="1">IFERROR(__xludf.DUMMYFUNCTION("""COMPUTED_VALUE"""),9496071)</f>
        <v>9496071</v>
      </c>
    </row>
    <row r="755" spans="1:6" x14ac:dyDescent="0.35">
      <c r="A755" s="2">
        <f ca="1">IFERROR(__xludf.DUMMYFUNCTION("""COMPUTED_VALUE"""),43097.6666666666)</f>
        <v>43097.666666666599</v>
      </c>
      <c r="B755" s="1">
        <f ca="1">IFERROR(__xludf.DUMMYFUNCTION("""COMPUTED_VALUE"""),177.95)</f>
        <v>177.95</v>
      </c>
      <c r="C755" s="1">
        <f ca="1">IFERROR(__xludf.DUMMYFUNCTION("""COMPUTED_VALUE"""),178.94)</f>
        <v>178.94</v>
      </c>
      <c r="D755" s="1">
        <f ca="1">IFERROR(__xludf.DUMMYFUNCTION("""COMPUTED_VALUE"""),177.68)</f>
        <v>177.68</v>
      </c>
      <c r="E755" s="1">
        <f ca="1">IFERROR(__xludf.DUMMYFUNCTION("""COMPUTED_VALUE"""),177.92)</f>
        <v>177.92</v>
      </c>
      <c r="F755" s="1">
        <f ca="1">IFERROR(__xludf.DUMMYFUNCTION("""COMPUTED_VALUE"""),12220760)</f>
        <v>12220760</v>
      </c>
    </row>
    <row r="756" spans="1:6" x14ac:dyDescent="0.35">
      <c r="A756" s="2">
        <f ca="1">IFERROR(__xludf.DUMMYFUNCTION("""COMPUTED_VALUE"""),43098.6666666666)</f>
        <v>43098.666666666599</v>
      </c>
      <c r="B756" s="1">
        <f ca="1">IFERROR(__xludf.DUMMYFUNCTION("""COMPUTED_VALUE"""),178)</f>
        <v>178</v>
      </c>
      <c r="C756" s="1">
        <f ca="1">IFERROR(__xludf.DUMMYFUNCTION("""COMPUTED_VALUE"""),178.85)</f>
        <v>178.85</v>
      </c>
      <c r="D756" s="1">
        <f ca="1">IFERROR(__xludf.DUMMYFUNCTION("""COMPUTED_VALUE"""),176.46)</f>
        <v>176.46</v>
      </c>
      <c r="E756" s="1">
        <f ca="1">IFERROR(__xludf.DUMMYFUNCTION("""COMPUTED_VALUE"""),176.46)</f>
        <v>176.46</v>
      </c>
      <c r="F756" s="1">
        <f ca="1">IFERROR(__xludf.DUMMYFUNCTION("""COMPUTED_VALUE"""),10261456)</f>
        <v>10261456</v>
      </c>
    </row>
    <row r="757" spans="1:6" x14ac:dyDescent="0.35">
      <c r="A757" s="2">
        <f ca="1">IFERROR(__xludf.DUMMYFUNCTION("""COMPUTED_VALUE"""),43102.6666666666)</f>
        <v>43102.666666666599</v>
      </c>
      <c r="B757" s="1">
        <f ca="1">IFERROR(__xludf.DUMMYFUNCTION("""COMPUTED_VALUE"""),177.68)</f>
        <v>177.68</v>
      </c>
      <c r="C757" s="1">
        <f ca="1">IFERROR(__xludf.DUMMYFUNCTION("""COMPUTED_VALUE"""),181.58)</f>
        <v>181.58</v>
      </c>
      <c r="D757" s="1">
        <f ca="1">IFERROR(__xludf.DUMMYFUNCTION("""COMPUTED_VALUE"""),177.55)</f>
        <v>177.55</v>
      </c>
      <c r="E757" s="1">
        <f ca="1">IFERROR(__xludf.DUMMYFUNCTION("""COMPUTED_VALUE"""),181.42)</f>
        <v>181.42</v>
      </c>
      <c r="F757" s="1">
        <f ca="1">IFERROR(__xludf.DUMMYFUNCTION("""COMPUTED_VALUE"""),18151903)</f>
        <v>18151903</v>
      </c>
    </row>
    <row r="758" spans="1:6" x14ac:dyDescent="0.35">
      <c r="A758" s="2">
        <f ca="1">IFERROR(__xludf.DUMMYFUNCTION("""COMPUTED_VALUE"""),43103.6666666666)</f>
        <v>43103.666666666599</v>
      </c>
      <c r="B758" s="1">
        <f ca="1">IFERROR(__xludf.DUMMYFUNCTION("""COMPUTED_VALUE"""),181.88)</f>
        <v>181.88</v>
      </c>
      <c r="C758" s="1">
        <f ca="1">IFERROR(__xludf.DUMMYFUNCTION("""COMPUTED_VALUE"""),184.78)</f>
        <v>184.78</v>
      </c>
      <c r="D758" s="1">
        <f ca="1">IFERROR(__xludf.DUMMYFUNCTION("""COMPUTED_VALUE"""),181.33)</f>
        <v>181.33</v>
      </c>
      <c r="E758" s="1">
        <f ca="1">IFERROR(__xludf.DUMMYFUNCTION("""COMPUTED_VALUE"""),184.67)</f>
        <v>184.67</v>
      </c>
      <c r="F758" s="1">
        <f ca="1">IFERROR(__xludf.DUMMYFUNCTION("""COMPUTED_VALUE"""),16886563)</f>
        <v>16886563</v>
      </c>
    </row>
    <row r="759" spans="1:6" x14ac:dyDescent="0.35">
      <c r="A759" s="2">
        <f ca="1">IFERROR(__xludf.DUMMYFUNCTION("""COMPUTED_VALUE"""),43104.6666666666)</f>
        <v>43104.666666666599</v>
      </c>
      <c r="B759" s="1">
        <f ca="1">IFERROR(__xludf.DUMMYFUNCTION("""COMPUTED_VALUE"""),184.9)</f>
        <v>184.9</v>
      </c>
      <c r="C759" s="1">
        <f ca="1">IFERROR(__xludf.DUMMYFUNCTION("""COMPUTED_VALUE"""),186.21)</f>
        <v>186.21</v>
      </c>
      <c r="D759" s="1">
        <f ca="1">IFERROR(__xludf.DUMMYFUNCTION("""COMPUTED_VALUE"""),184.1)</f>
        <v>184.1</v>
      </c>
      <c r="E759" s="1">
        <f ca="1">IFERROR(__xludf.DUMMYFUNCTION("""COMPUTED_VALUE"""),184.33)</f>
        <v>184.33</v>
      </c>
      <c r="F759" s="1">
        <f ca="1">IFERROR(__xludf.DUMMYFUNCTION("""COMPUTED_VALUE"""),13880896)</f>
        <v>13880896</v>
      </c>
    </row>
    <row r="760" spans="1:6" x14ac:dyDescent="0.35">
      <c r="A760" s="2">
        <f ca="1">IFERROR(__xludf.DUMMYFUNCTION("""COMPUTED_VALUE"""),43105.6666666666)</f>
        <v>43105.666666666599</v>
      </c>
      <c r="B760" s="1">
        <f ca="1">IFERROR(__xludf.DUMMYFUNCTION("""COMPUTED_VALUE"""),185.59)</f>
        <v>185.59</v>
      </c>
      <c r="C760" s="1">
        <f ca="1">IFERROR(__xludf.DUMMYFUNCTION("""COMPUTED_VALUE"""),186.9)</f>
        <v>186.9</v>
      </c>
      <c r="D760" s="1">
        <f ca="1">IFERROR(__xludf.DUMMYFUNCTION("""COMPUTED_VALUE"""),184.93)</f>
        <v>184.93</v>
      </c>
      <c r="E760" s="1">
        <f ca="1">IFERROR(__xludf.DUMMYFUNCTION("""COMPUTED_VALUE"""),186.85)</f>
        <v>186.85</v>
      </c>
      <c r="F760" s="1">
        <f ca="1">IFERROR(__xludf.DUMMYFUNCTION("""COMPUTED_VALUE"""),13574535)</f>
        <v>13574535</v>
      </c>
    </row>
    <row r="761" spans="1:6" x14ac:dyDescent="0.35">
      <c r="A761" s="2">
        <f ca="1">IFERROR(__xludf.DUMMYFUNCTION("""COMPUTED_VALUE"""),43108.6666666666)</f>
        <v>43108.666666666599</v>
      </c>
      <c r="B761" s="1">
        <f ca="1">IFERROR(__xludf.DUMMYFUNCTION("""COMPUTED_VALUE"""),187.2)</f>
        <v>187.2</v>
      </c>
      <c r="C761" s="1">
        <f ca="1">IFERROR(__xludf.DUMMYFUNCTION("""COMPUTED_VALUE"""),188.9)</f>
        <v>188.9</v>
      </c>
      <c r="D761" s="1">
        <f ca="1">IFERROR(__xludf.DUMMYFUNCTION("""COMPUTED_VALUE"""),186.33)</f>
        <v>186.33</v>
      </c>
      <c r="E761" s="1">
        <f ca="1">IFERROR(__xludf.DUMMYFUNCTION("""COMPUTED_VALUE"""),188.28)</f>
        <v>188.28</v>
      </c>
      <c r="F761" s="1">
        <f ca="1">IFERROR(__xludf.DUMMYFUNCTION("""COMPUTED_VALUE"""),17994726)</f>
        <v>17994726</v>
      </c>
    </row>
    <row r="762" spans="1:6" x14ac:dyDescent="0.35">
      <c r="A762" s="2">
        <f ca="1">IFERROR(__xludf.DUMMYFUNCTION("""COMPUTED_VALUE"""),43109.6666666666)</f>
        <v>43109.666666666599</v>
      </c>
      <c r="B762" s="1">
        <f ca="1">IFERROR(__xludf.DUMMYFUNCTION("""COMPUTED_VALUE"""),188.7)</f>
        <v>188.7</v>
      </c>
      <c r="C762" s="1">
        <f ca="1">IFERROR(__xludf.DUMMYFUNCTION("""COMPUTED_VALUE"""),188.8)</f>
        <v>188.8</v>
      </c>
      <c r="D762" s="1">
        <f ca="1">IFERROR(__xludf.DUMMYFUNCTION("""COMPUTED_VALUE"""),187.1)</f>
        <v>187.1</v>
      </c>
      <c r="E762" s="1">
        <f ca="1">IFERROR(__xludf.DUMMYFUNCTION("""COMPUTED_VALUE"""),187.87)</f>
        <v>187.87</v>
      </c>
      <c r="F762" s="1">
        <f ca="1">IFERROR(__xludf.DUMMYFUNCTION("""COMPUTED_VALUE"""),12393057)</f>
        <v>12393057</v>
      </c>
    </row>
    <row r="763" spans="1:6" x14ac:dyDescent="0.35">
      <c r="A763" s="2">
        <f ca="1">IFERROR(__xludf.DUMMYFUNCTION("""COMPUTED_VALUE"""),43110.6666666666)</f>
        <v>43110.666666666599</v>
      </c>
      <c r="B763" s="1">
        <f ca="1">IFERROR(__xludf.DUMMYFUNCTION("""COMPUTED_VALUE"""),186.94)</f>
        <v>186.94</v>
      </c>
      <c r="C763" s="1">
        <f ca="1">IFERROR(__xludf.DUMMYFUNCTION("""COMPUTED_VALUE"""),187.89)</f>
        <v>187.89</v>
      </c>
      <c r="D763" s="1">
        <f ca="1">IFERROR(__xludf.DUMMYFUNCTION("""COMPUTED_VALUE"""),185.63)</f>
        <v>185.63</v>
      </c>
      <c r="E763" s="1">
        <f ca="1">IFERROR(__xludf.DUMMYFUNCTION("""COMPUTED_VALUE"""),187.84)</f>
        <v>187.84</v>
      </c>
      <c r="F763" s="1">
        <f ca="1">IFERROR(__xludf.DUMMYFUNCTION("""COMPUTED_VALUE"""),10529894)</f>
        <v>10529894</v>
      </c>
    </row>
    <row r="764" spans="1:6" x14ac:dyDescent="0.35">
      <c r="A764" s="2">
        <f ca="1">IFERROR(__xludf.DUMMYFUNCTION("""COMPUTED_VALUE"""),43111.6666666666)</f>
        <v>43111.666666666599</v>
      </c>
      <c r="B764" s="1">
        <f ca="1">IFERROR(__xludf.DUMMYFUNCTION("""COMPUTED_VALUE"""),188.4)</f>
        <v>188.4</v>
      </c>
      <c r="C764" s="1">
        <f ca="1">IFERROR(__xludf.DUMMYFUNCTION("""COMPUTED_VALUE"""),188.4)</f>
        <v>188.4</v>
      </c>
      <c r="D764" s="1">
        <f ca="1">IFERROR(__xludf.DUMMYFUNCTION("""COMPUTED_VALUE"""),187.38)</f>
        <v>187.38</v>
      </c>
      <c r="E764" s="1">
        <f ca="1">IFERROR(__xludf.DUMMYFUNCTION("""COMPUTED_VALUE"""),187.77)</f>
        <v>187.77</v>
      </c>
      <c r="F764" s="1">
        <f ca="1">IFERROR(__xludf.DUMMYFUNCTION("""COMPUTED_VALUE"""),9588587)</f>
        <v>9588587</v>
      </c>
    </row>
    <row r="765" spans="1:6" x14ac:dyDescent="0.35">
      <c r="A765" s="2">
        <f ca="1">IFERROR(__xludf.DUMMYFUNCTION("""COMPUTED_VALUE"""),43112.6666666666)</f>
        <v>43112.666666666599</v>
      </c>
      <c r="B765" s="1">
        <f ca="1">IFERROR(__xludf.DUMMYFUNCTION("""COMPUTED_VALUE"""),178.06)</f>
        <v>178.06</v>
      </c>
      <c r="C765" s="1">
        <f ca="1">IFERROR(__xludf.DUMMYFUNCTION("""COMPUTED_VALUE"""),181.48)</f>
        <v>181.48</v>
      </c>
      <c r="D765" s="1">
        <f ca="1">IFERROR(__xludf.DUMMYFUNCTION("""COMPUTED_VALUE"""),177.4)</f>
        <v>177.4</v>
      </c>
      <c r="E765" s="1">
        <f ca="1">IFERROR(__xludf.DUMMYFUNCTION("""COMPUTED_VALUE"""),179.37)</f>
        <v>179.37</v>
      </c>
      <c r="F765" s="1">
        <f ca="1">IFERROR(__xludf.DUMMYFUNCTION("""COMPUTED_VALUE"""),77551299)</f>
        <v>77551299</v>
      </c>
    </row>
    <row r="766" spans="1:6" x14ac:dyDescent="0.35">
      <c r="A766" s="2">
        <f ca="1">IFERROR(__xludf.DUMMYFUNCTION("""COMPUTED_VALUE"""),43116.6666666666)</f>
        <v>43116.666666666599</v>
      </c>
      <c r="B766" s="1">
        <f ca="1">IFERROR(__xludf.DUMMYFUNCTION("""COMPUTED_VALUE"""),181.5)</f>
        <v>181.5</v>
      </c>
      <c r="C766" s="1">
        <f ca="1">IFERROR(__xludf.DUMMYFUNCTION("""COMPUTED_VALUE"""),181.75)</f>
        <v>181.75</v>
      </c>
      <c r="D766" s="1">
        <f ca="1">IFERROR(__xludf.DUMMYFUNCTION("""COMPUTED_VALUE"""),178.04)</f>
        <v>178.04</v>
      </c>
      <c r="E766" s="1">
        <f ca="1">IFERROR(__xludf.DUMMYFUNCTION("""COMPUTED_VALUE"""),178.39)</f>
        <v>178.39</v>
      </c>
      <c r="F766" s="1">
        <f ca="1">IFERROR(__xludf.DUMMYFUNCTION("""COMPUTED_VALUE"""),36183842)</f>
        <v>36183842</v>
      </c>
    </row>
    <row r="767" spans="1:6" x14ac:dyDescent="0.35">
      <c r="A767" s="2">
        <f ca="1">IFERROR(__xludf.DUMMYFUNCTION("""COMPUTED_VALUE"""),43117.6666666666)</f>
        <v>43117.666666666599</v>
      </c>
      <c r="B767" s="1">
        <f ca="1">IFERROR(__xludf.DUMMYFUNCTION("""COMPUTED_VALUE"""),179.26)</f>
        <v>179.26</v>
      </c>
      <c r="C767" s="1">
        <f ca="1">IFERROR(__xludf.DUMMYFUNCTION("""COMPUTED_VALUE"""),179.32)</f>
        <v>179.32</v>
      </c>
      <c r="D767" s="1">
        <f ca="1">IFERROR(__xludf.DUMMYFUNCTION("""COMPUTED_VALUE"""),175.8)</f>
        <v>175.8</v>
      </c>
      <c r="E767" s="1">
        <f ca="1">IFERROR(__xludf.DUMMYFUNCTION("""COMPUTED_VALUE"""),177.6)</f>
        <v>177.6</v>
      </c>
      <c r="F767" s="1">
        <f ca="1">IFERROR(__xludf.DUMMYFUNCTION("""COMPUTED_VALUE"""),27992376)</f>
        <v>27992376</v>
      </c>
    </row>
    <row r="768" spans="1:6" x14ac:dyDescent="0.35">
      <c r="A768" s="2">
        <f ca="1">IFERROR(__xludf.DUMMYFUNCTION("""COMPUTED_VALUE"""),43118.6666666666)</f>
        <v>43118.666666666599</v>
      </c>
      <c r="B768" s="1">
        <f ca="1">IFERROR(__xludf.DUMMYFUNCTION("""COMPUTED_VALUE"""),178.13)</f>
        <v>178.13</v>
      </c>
      <c r="C768" s="1">
        <f ca="1">IFERROR(__xludf.DUMMYFUNCTION("""COMPUTED_VALUE"""),180.98)</f>
        <v>180.98</v>
      </c>
      <c r="D768" s="1">
        <f ca="1">IFERROR(__xludf.DUMMYFUNCTION("""COMPUTED_VALUE"""),177.08)</f>
        <v>177.08</v>
      </c>
      <c r="E768" s="1">
        <f ca="1">IFERROR(__xludf.DUMMYFUNCTION("""COMPUTED_VALUE"""),179.8)</f>
        <v>179.8</v>
      </c>
      <c r="F768" s="1">
        <f ca="1">IFERROR(__xludf.DUMMYFUNCTION("""COMPUTED_VALUE"""),23304901)</f>
        <v>23304901</v>
      </c>
    </row>
    <row r="769" spans="1:6" x14ac:dyDescent="0.35">
      <c r="A769" s="2">
        <f ca="1">IFERROR(__xludf.DUMMYFUNCTION("""COMPUTED_VALUE"""),43119.6666666666)</f>
        <v>43119.666666666599</v>
      </c>
      <c r="B769" s="1">
        <f ca="1">IFERROR(__xludf.DUMMYFUNCTION("""COMPUTED_VALUE"""),180.85)</f>
        <v>180.85</v>
      </c>
      <c r="C769" s="1">
        <f ca="1">IFERROR(__xludf.DUMMYFUNCTION("""COMPUTED_VALUE"""),182.37)</f>
        <v>182.37</v>
      </c>
      <c r="D769" s="1">
        <f ca="1">IFERROR(__xludf.DUMMYFUNCTION("""COMPUTED_VALUE"""),180.17)</f>
        <v>180.17</v>
      </c>
      <c r="E769" s="1">
        <f ca="1">IFERROR(__xludf.DUMMYFUNCTION("""COMPUTED_VALUE"""),181.29)</f>
        <v>181.29</v>
      </c>
      <c r="F769" s="1">
        <f ca="1">IFERROR(__xludf.DUMMYFUNCTION("""COMPUTED_VALUE"""),26826540)</f>
        <v>26826540</v>
      </c>
    </row>
    <row r="770" spans="1:6" x14ac:dyDescent="0.35">
      <c r="A770" s="2">
        <f ca="1">IFERROR(__xludf.DUMMYFUNCTION("""COMPUTED_VALUE"""),43122.6666666666)</f>
        <v>43122.666666666599</v>
      </c>
      <c r="B770" s="1">
        <f ca="1">IFERROR(__xludf.DUMMYFUNCTION("""COMPUTED_VALUE"""),180.8)</f>
        <v>180.8</v>
      </c>
      <c r="C770" s="1">
        <f ca="1">IFERROR(__xludf.DUMMYFUNCTION("""COMPUTED_VALUE"""),185.39)</f>
        <v>185.39</v>
      </c>
      <c r="D770" s="1">
        <f ca="1">IFERROR(__xludf.DUMMYFUNCTION("""COMPUTED_VALUE"""),180.41)</f>
        <v>180.41</v>
      </c>
      <c r="E770" s="1">
        <f ca="1">IFERROR(__xludf.DUMMYFUNCTION("""COMPUTED_VALUE"""),185.37)</f>
        <v>185.37</v>
      </c>
      <c r="F770" s="1">
        <f ca="1">IFERROR(__xludf.DUMMYFUNCTION("""COMPUTED_VALUE"""),21059464)</f>
        <v>21059464</v>
      </c>
    </row>
    <row r="771" spans="1:6" x14ac:dyDescent="0.35">
      <c r="A771" s="2">
        <f ca="1">IFERROR(__xludf.DUMMYFUNCTION("""COMPUTED_VALUE"""),43123.6666666666)</f>
        <v>43123.666666666599</v>
      </c>
      <c r="B771" s="1">
        <f ca="1">IFERROR(__xludf.DUMMYFUNCTION("""COMPUTED_VALUE"""),186.05)</f>
        <v>186.05</v>
      </c>
      <c r="C771" s="1">
        <f ca="1">IFERROR(__xludf.DUMMYFUNCTION("""COMPUTED_VALUE"""),189.55)</f>
        <v>189.55</v>
      </c>
      <c r="D771" s="1">
        <f ca="1">IFERROR(__xludf.DUMMYFUNCTION("""COMPUTED_VALUE"""),185.55)</f>
        <v>185.55</v>
      </c>
      <c r="E771" s="1">
        <f ca="1">IFERROR(__xludf.DUMMYFUNCTION("""COMPUTED_VALUE"""),189.35)</f>
        <v>189.35</v>
      </c>
      <c r="F771" s="1">
        <f ca="1">IFERROR(__xludf.DUMMYFUNCTION("""COMPUTED_VALUE"""),25678781)</f>
        <v>25678781</v>
      </c>
    </row>
    <row r="772" spans="1:6" x14ac:dyDescent="0.35">
      <c r="A772" s="2">
        <f ca="1">IFERROR(__xludf.DUMMYFUNCTION("""COMPUTED_VALUE"""),43124.6666666666)</f>
        <v>43124.666666666599</v>
      </c>
      <c r="B772" s="1">
        <f ca="1">IFERROR(__xludf.DUMMYFUNCTION("""COMPUTED_VALUE"""),189.89)</f>
        <v>189.89</v>
      </c>
      <c r="C772" s="1">
        <f ca="1">IFERROR(__xludf.DUMMYFUNCTION("""COMPUTED_VALUE"""),190.66)</f>
        <v>190.66</v>
      </c>
      <c r="D772" s="1">
        <f ca="1">IFERROR(__xludf.DUMMYFUNCTION("""COMPUTED_VALUE"""),186.52)</f>
        <v>186.52</v>
      </c>
      <c r="E772" s="1">
        <f ca="1">IFERROR(__xludf.DUMMYFUNCTION("""COMPUTED_VALUE"""),186.55)</f>
        <v>186.55</v>
      </c>
      <c r="F772" s="1">
        <f ca="1">IFERROR(__xludf.DUMMYFUNCTION("""COMPUTED_VALUE"""),24334548)</f>
        <v>24334548</v>
      </c>
    </row>
    <row r="773" spans="1:6" x14ac:dyDescent="0.35">
      <c r="A773" s="2">
        <f ca="1">IFERROR(__xludf.DUMMYFUNCTION("""COMPUTED_VALUE"""),43125.6666666666)</f>
        <v>43125.666666666599</v>
      </c>
      <c r="B773" s="1">
        <f ca="1">IFERROR(__xludf.DUMMYFUNCTION("""COMPUTED_VALUE"""),187.95)</f>
        <v>187.95</v>
      </c>
      <c r="C773" s="1">
        <f ca="1">IFERROR(__xludf.DUMMYFUNCTION("""COMPUTED_VALUE"""),188.62)</f>
        <v>188.62</v>
      </c>
      <c r="D773" s="1">
        <f ca="1">IFERROR(__xludf.DUMMYFUNCTION("""COMPUTED_VALUE"""),186.6)</f>
        <v>186.6</v>
      </c>
      <c r="E773" s="1">
        <f ca="1">IFERROR(__xludf.DUMMYFUNCTION("""COMPUTED_VALUE"""),187.48)</f>
        <v>187.48</v>
      </c>
      <c r="F773" s="1">
        <f ca="1">IFERROR(__xludf.DUMMYFUNCTION("""COMPUTED_VALUE"""),17377740)</f>
        <v>17377740</v>
      </c>
    </row>
    <row r="774" spans="1:6" x14ac:dyDescent="0.35">
      <c r="A774" s="2">
        <f ca="1">IFERROR(__xludf.DUMMYFUNCTION("""COMPUTED_VALUE"""),43126.6666666666)</f>
        <v>43126.666666666599</v>
      </c>
      <c r="B774" s="1">
        <f ca="1">IFERROR(__xludf.DUMMYFUNCTION("""COMPUTED_VALUE"""),187.75)</f>
        <v>187.75</v>
      </c>
      <c r="C774" s="1">
        <f ca="1">IFERROR(__xludf.DUMMYFUNCTION("""COMPUTED_VALUE"""),190)</f>
        <v>190</v>
      </c>
      <c r="D774" s="1">
        <f ca="1">IFERROR(__xludf.DUMMYFUNCTION("""COMPUTED_VALUE"""),186.81)</f>
        <v>186.81</v>
      </c>
      <c r="E774" s="1">
        <f ca="1">IFERROR(__xludf.DUMMYFUNCTION("""COMPUTED_VALUE"""),190)</f>
        <v>190</v>
      </c>
      <c r="F774" s="1">
        <f ca="1">IFERROR(__xludf.DUMMYFUNCTION("""COMPUTED_VALUE"""),17759212)</f>
        <v>17759212</v>
      </c>
    </row>
    <row r="775" spans="1:6" x14ac:dyDescent="0.35">
      <c r="A775" s="2">
        <f ca="1">IFERROR(__xludf.DUMMYFUNCTION("""COMPUTED_VALUE"""),43129.6666666666)</f>
        <v>43129.666666666599</v>
      </c>
      <c r="B775" s="1">
        <f ca="1">IFERROR(__xludf.DUMMYFUNCTION("""COMPUTED_VALUE"""),188.75)</f>
        <v>188.75</v>
      </c>
      <c r="C775" s="1">
        <f ca="1">IFERROR(__xludf.DUMMYFUNCTION("""COMPUTED_VALUE"""),188.84)</f>
        <v>188.84</v>
      </c>
      <c r="D775" s="1">
        <f ca="1">IFERROR(__xludf.DUMMYFUNCTION("""COMPUTED_VALUE"""),185.63)</f>
        <v>185.63</v>
      </c>
      <c r="E775" s="1">
        <f ca="1">IFERROR(__xludf.DUMMYFUNCTION("""COMPUTED_VALUE"""),185.98)</f>
        <v>185.98</v>
      </c>
      <c r="F775" s="1">
        <f ca="1">IFERROR(__xludf.DUMMYFUNCTION("""COMPUTED_VALUE"""),20453172)</f>
        <v>20453172</v>
      </c>
    </row>
    <row r="776" spans="1:6" x14ac:dyDescent="0.35">
      <c r="A776" s="2">
        <f ca="1">IFERROR(__xludf.DUMMYFUNCTION("""COMPUTED_VALUE"""),43130.6666666666)</f>
        <v>43130.666666666599</v>
      </c>
      <c r="B776" s="1">
        <f ca="1">IFERROR(__xludf.DUMMYFUNCTION("""COMPUTED_VALUE"""),183.01)</f>
        <v>183.01</v>
      </c>
      <c r="C776" s="1">
        <f ca="1">IFERROR(__xludf.DUMMYFUNCTION("""COMPUTED_VALUE"""),188.18)</f>
        <v>188.18</v>
      </c>
      <c r="D776" s="1">
        <f ca="1">IFERROR(__xludf.DUMMYFUNCTION("""COMPUTED_VALUE"""),181.84)</f>
        <v>181.84</v>
      </c>
      <c r="E776" s="1">
        <f ca="1">IFERROR(__xludf.DUMMYFUNCTION("""COMPUTED_VALUE"""),187.12)</f>
        <v>187.12</v>
      </c>
      <c r="F776" s="1">
        <f ca="1">IFERROR(__xludf.DUMMYFUNCTION("""COMPUTED_VALUE"""),20858556)</f>
        <v>20858556</v>
      </c>
    </row>
    <row r="777" spans="1:6" x14ac:dyDescent="0.35">
      <c r="A777" s="2">
        <f ca="1">IFERROR(__xludf.DUMMYFUNCTION("""COMPUTED_VALUE"""),43131.6666666666)</f>
        <v>43131.666666666599</v>
      </c>
      <c r="B777" s="1">
        <f ca="1">IFERROR(__xludf.DUMMYFUNCTION("""COMPUTED_VALUE"""),188.37)</f>
        <v>188.37</v>
      </c>
      <c r="C777" s="1">
        <f ca="1">IFERROR(__xludf.DUMMYFUNCTION("""COMPUTED_VALUE"""),189.83)</f>
        <v>189.83</v>
      </c>
      <c r="D777" s="1">
        <f ca="1">IFERROR(__xludf.DUMMYFUNCTION("""COMPUTED_VALUE"""),185.22)</f>
        <v>185.22</v>
      </c>
      <c r="E777" s="1">
        <f ca="1">IFERROR(__xludf.DUMMYFUNCTION("""COMPUTED_VALUE"""),186.89)</f>
        <v>186.89</v>
      </c>
      <c r="F777" s="1">
        <f ca="1">IFERROR(__xludf.DUMMYFUNCTION("""COMPUTED_VALUE"""),43275144)</f>
        <v>43275144</v>
      </c>
    </row>
    <row r="778" spans="1:6" x14ac:dyDescent="0.35">
      <c r="A778" s="2">
        <f ca="1">IFERROR(__xludf.DUMMYFUNCTION("""COMPUTED_VALUE"""),43132.6666666666)</f>
        <v>43132.666666666599</v>
      </c>
      <c r="B778" s="1">
        <f ca="1">IFERROR(__xludf.DUMMYFUNCTION("""COMPUTED_VALUE"""),188.22)</f>
        <v>188.22</v>
      </c>
      <c r="C778" s="1">
        <f ca="1">IFERROR(__xludf.DUMMYFUNCTION("""COMPUTED_VALUE"""),195.32)</f>
        <v>195.32</v>
      </c>
      <c r="D778" s="1">
        <f ca="1">IFERROR(__xludf.DUMMYFUNCTION("""COMPUTED_VALUE"""),187.89)</f>
        <v>187.89</v>
      </c>
      <c r="E778" s="1">
        <f ca="1">IFERROR(__xludf.DUMMYFUNCTION("""COMPUTED_VALUE"""),193.09)</f>
        <v>193.09</v>
      </c>
      <c r="F778" s="1">
        <f ca="1">IFERROR(__xludf.DUMMYFUNCTION("""COMPUTED_VALUE"""),54211293)</f>
        <v>54211293</v>
      </c>
    </row>
    <row r="779" spans="1:6" x14ac:dyDescent="0.35">
      <c r="A779" s="2">
        <f ca="1">IFERROR(__xludf.DUMMYFUNCTION("""COMPUTED_VALUE"""),43133.6666666666)</f>
        <v>43133.666666666599</v>
      </c>
      <c r="B779" s="1">
        <f ca="1">IFERROR(__xludf.DUMMYFUNCTION("""COMPUTED_VALUE"""),192.04)</f>
        <v>192.04</v>
      </c>
      <c r="C779" s="1">
        <f ca="1">IFERROR(__xludf.DUMMYFUNCTION("""COMPUTED_VALUE"""),194.21)</f>
        <v>194.21</v>
      </c>
      <c r="D779" s="1">
        <f ca="1">IFERROR(__xludf.DUMMYFUNCTION("""COMPUTED_VALUE"""),189.98)</f>
        <v>189.98</v>
      </c>
      <c r="E779" s="1">
        <f ca="1">IFERROR(__xludf.DUMMYFUNCTION("""COMPUTED_VALUE"""),190.28)</f>
        <v>190.28</v>
      </c>
      <c r="F779" s="1">
        <f ca="1">IFERROR(__xludf.DUMMYFUNCTION("""COMPUTED_VALUE"""),26677484)</f>
        <v>26677484</v>
      </c>
    </row>
    <row r="780" spans="1:6" x14ac:dyDescent="0.35">
      <c r="A780" s="2">
        <f ca="1">IFERROR(__xludf.DUMMYFUNCTION("""COMPUTED_VALUE"""),43136.6666666666)</f>
        <v>43136.666666666599</v>
      </c>
      <c r="B780" s="1">
        <f ca="1">IFERROR(__xludf.DUMMYFUNCTION("""COMPUTED_VALUE"""),186.93)</f>
        <v>186.93</v>
      </c>
      <c r="C780" s="1">
        <f ca="1">IFERROR(__xludf.DUMMYFUNCTION("""COMPUTED_VALUE"""),190.61)</f>
        <v>190.61</v>
      </c>
      <c r="D780" s="1">
        <f ca="1">IFERROR(__xludf.DUMMYFUNCTION("""COMPUTED_VALUE"""),180.61)</f>
        <v>180.61</v>
      </c>
      <c r="E780" s="1">
        <f ca="1">IFERROR(__xludf.DUMMYFUNCTION("""COMPUTED_VALUE"""),181.26)</f>
        <v>181.26</v>
      </c>
      <c r="F780" s="1">
        <f ca="1">IFERROR(__xludf.DUMMYFUNCTION("""COMPUTED_VALUE"""),33128206)</f>
        <v>33128206</v>
      </c>
    </row>
    <row r="781" spans="1:6" x14ac:dyDescent="0.35">
      <c r="A781" s="2">
        <f ca="1">IFERROR(__xludf.DUMMYFUNCTION("""COMPUTED_VALUE"""),43137.6666666666)</f>
        <v>43137.666666666599</v>
      </c>
      <c r="B781" s="1">
        <f ca="1">IFERROR(__xludf.DUMMYFUNCTION("""COMPUTED_VALUE"""),178.57)</f>
        <v>178.57</v>
      </c>
      <c r="C781" s="1">
        <f ca="1">IFERROR(__xludf.DUMMYFUNCTION("""COMPUTED_VALUE"""),185.77)</f>
        <v>185.77</v>
      </c>
      <c r="D781" s="1">
        <f ca="1">IFERROR(__xludf.DUMMYFUNCTION("""COMPUTED_VALUE"""),177.74)</f>
        <v>177.74</v>
      </c>
      <c r="E781" s="1">
        <f ca="1">IFERROR(__xludf.DUMMYFUNCTION("""COMPUTED_VALUE"""),185.31)</f>
        <v>185.31</v>
      </c>
      <c r="F781" s="1">
        <f ca="1">IFERROR(__xludf.DUMMYFUNCTION("""COMPUTED_VALUE"""),37758505)</f>
        <v>37758505</v>
      </c>
    </row>
    <row r="782" spans="1:6" x14ac:dyDescent="0.35">
      <c r="A782" s="2">
        <f ca="1">IFERROR(__xludf.DUMMYFUNCTION("""COMPUTED_VALUE"""),43138.6666666666)</f>
        <v>43138.666666666599</v>
      </c>
      <c r="B782" s="1">
        <f ca="1">IFERROR(__xludf.DUMMYFUNCTION("""COMPUTED_VALUE"""),184.15)</f>
        <v>184.15</v>
      </c>
      <c r="C782" s="1">
        <f ca="1">IFERROR(__xludf.DUMMYFUNCTION("""COMPUTED_VALUE"""),185.08)</f>
        <v>185.08</v>
      </c>
      <c r="D782" s="1">
        <f ca="1">IFERROR(__xludf.DUMMYFUNCTION("""COMPUTED_VALUE"""),179.95)</f>
        <v>179.95</v>
      </c>
      <c r="E782" s="1">
        <f ca="1">IFERROR(__xludf.DUMMYFUNCTION("""COMPUTED_VALUE"""),180.18)</f>
        <v>180.18</v>
      </c>
      <c r="F782" s="1">
        <f ca="1">IFERROR(__xludf.DUMMYFUNCTION("""COMPUTED_VALUE"""),27601886)</f>
        <v>27601886</v>
      </c>
    </row>
    <row r="783" spans="1:6" x14ac:dyDescent="0.35">
      <c r="A783" s="2">
        <f ca="1">IFERROR(__xludf.DUMMYFUNCTION("""COMPUTED_VALUE"""),43139.6666666666)</f>
        <v>43139.666666666599</v>
      </c>
      <c r="B783" s="1">
        <f ca="1">IFERROR(__xludf.DUMMYFUNCTION("""COMPUTED_VALUE"""),181.01)</f>
        <v>181.01</v>
      </c>
      <c r="C783" s="1">
        <f ca="1">IFERROR(__xludf.DUMMYFUNCTION("""COMPUTED_VALUE"""),181.84)</f>
        <v>181.84</v>
      </c>
      <c r="D783" s="1">
        <f ca="1">IFERROR(__xludf.DUMMYFUNCTION("""COMPUTED_VALUE"""),171.48)</f>
        <v>171.48</v>
      </c>
      <c r="E783" s="1">
        <f ca="1">IFERROR(__xludf.DUMMYFUNCTION("""COMPUTED_VALUE"""),171.58)</f>
        <v>171.58</v>
      </c>
      <c r="F783" s="1">
        <f ca="1">IFERROR(__xludf.DUMMYFUNCTION("""COMPUTED_VALUE"""),38478321)</f>
        <v>38478321</v>
      </c>
    </row>
    <row r="784" spans="1:6" x14ac:dyDescent="0.35">
      <c r="A784" s="2">
        <f ca="1">IFERROR(__xludf.DUMMYFUNCTION("""COMPUTED_VALUE"""),43140.6666666666)</f>
        <v>43140.666666666599</v>
      </c>
      <c r="B784" s="1">
        <f ca="1">IFERROR(__xludf.DUMMYFUNCTION("""COMPUTED_VALUE"""),174.76)</f>
        <v>174.76</v>
      </c>
      <c r="C784" s="1">
        <f ca="1">IFERROR(__xludf.DUMMYFUNCTION("""COMPUTED_VALUE"""),176.9)</f>
        <v>176.9</v>
      </c>
      <c r="D784" s="1">
        <f ca="1">IFERROR(__xludf.DUMMYFUNCTION("""COMPUTED_VALUE"""),167.18)</f>
        <v>167.18</v>
      </c>
      <c r="E784" s="1">
        <f ca="1">IFERROR(__xludf.DUMMYFUNCTION("""COMPUTED_VALUE"""),176.11)</f>
        <v>176.11</v>
      </c>
      <c r="F784" s="1">
        <f ca="1">IFERROR(__xludf.DUMMYFUNCTION("""COMPUTED_VALUE"""),39887626)</f>
        <v>39887626</v>
      </c>
    </row>
    <row r="785" spans="1:6" x14ac:dyDescent="0.35">
      <c r="A785" s="2">
        <f ca="1">IFERROR(__xludf.DUMMYFUNCTION("""COMPUTED_VALUE"""),43143.6666666666)</f>
        <v>43143.666666666599</v>
      </c>
      <c r="B785" s="1">
        <f ca="1">IFERROR(__xludf.DUMMYFUNCTION("""COMPUTED_VALUE"""),177.06)</f>
        <v>177.06</v>
      </c>
      <c r="C785" s="1">
        <f ca="1">IFERROR(__xludf.DUMMYFUNCTION("""COMPUTED_VALUE"""),177.55)</f>
        <v>177.55</v>
      </c>
      <c r="D785" s="1">
        <f ca="1">IFERROR(__xludf.DUMMYFUNCTION("""COMPUTED_VALUE"""),171.84)</f>
        <v>171.84</v>
      </c>
      <c r="E785" s="1">
        <f ca="1">IFERROR(__xludf.DUMMYFUNCTION("""COMPUTED_VALUE"""),176.41)</f>
        <v>176.41</v>
      </c>
      <c r="F785" s="1">
        <f ca="1">IFERROR(__xludf.DUMMYFUNCTION("""COMPUTED_VALUE"""),32092133)</f>
        <v>32092133</v>
      </c>
    </row>
    <row r="786" spans="1:6" x14ac:dyDescent="0.35">
      <c r="A786" s="2">
        <f ca="1">IFERROR(__xludf.DUMMYFUNCTION("""COMPUTED_VALUE"""),43144.6666666666)</f>
        <v>43144.666666666599</v>
      </c>
      <c r="B786" s="1">
        <f ca="1">IFERROR(__xludf.DUMMYFUNCTION("""COMPUTED_VALUE"""),175.62)</f>
        <v>175.62</v>
      </c>
      <c r="C786" s="1">
        <f ca="1">IFERROR(__xludf.DUMMYFUNCTION("""COMPUTED_VALUE"""),175.97)</f>
        <v>175.97</v>
      </c>
      <c r="D786" s="1">
        <f ca="1">IFERROR(__xludf.DUMMYFUNCTION("""COMPUTED_VALUE"""),173.1)</f>
        <v>173.1</v>
      </c>
      <c r="E786" s="1">
        <f ca="1">IFERROR(__xludf.DUMMYFUNCTION("""COMPUTED_VALUE"""),173.15)</f>
        <v>173.15</v>
      </c>
      <c r="F786" s="1">
        <f ca="1">IFERROR(__xludf.DUMMYFUNCTION("""COMPUTED_VALUE"""),21809350)</f>
        <v>21809350</v>
      </c>
    </row>
    <row r="787" spans="1:6" x14ac:dyDescent="0.35">
      <c r="A787" s="2">
        <f ca="1">IFERROR(__xludf.DUMMYFUNCTION("""COMPUTED_VALUE"""),43145.6666666666)</f>
        <v>43145.666666666599</v>
      </c>
      <c r="B787" s="1">
        <f ca="1">IFERROR(__xludf.DUMMYFUNCTION("""COMPUTED_VALUE"""),173.45)</f>
        <v>173.45</v>
      </c>
      <c r="C787" s="1">
        <f ca="1">IFERROR(__xludf.DUMMYFUNCTION("""COMPUTED_VALUE"""),179.81)</f>
        <v>179.81</v>
      </c>
      <c r="D787" s="1">
        <f ca="1">IFERROR(__xludf.DUMMYFUNCTION("""COMPUTED_VALUE"""),173.21)</f>
        <v>173.21</v>
      </c>
      <c r="E787" s="1">
        <f ca="1">IFERROR(__xludf.DUMMYFUNCTION("""COMPUTED_VALUE"""),179.52)</f>
        <v>179.52</v>
      </c>
      <c r="F787" s="1">
        <f ca="1">IFERROR(__xludf.DUMMYFUNCTION("""COMPUTED_VALUE"""),28929704)</f>
        <v>28929704</v>
      </c>
    </row>
    <row r="788" spans="1:6" x14ac:dyDescent="0.35">
      <c r="A788" s="2">
        <f ca="1">IFERROR(__xludf.DUMMYFUNCTION("""COMPUTED_VALUE"""),43146.6666666666)</f>
        <v>43146.666666666599</v>
      </c>
      <c r="B788" s="1">
        <f ca="1">IFERROR(__xludf.DUMMYFUNCTION("""COMPUTED_VALUE"""),180.5)</f>
        <v>180.5</v>
      </c>
      <c r="C788" s="1">
        <f ca="1">IFERROR(__xludf.DUMMYFUNCTION("""COMPUTED_VALUE"""),180.5)</f>
        <v>180.5</v>
      </c>
      <c r="D788" s="1">
        <f ca="1">IFERROR(__xludf.DUMMYFUNCTION("""COMPUTED_VALUE"""),176.84)</f>
        <v>176.84</v>
      </c>
      <c r="E788" s="1">
        <f ca="1">IFERROR(__xludf.DUMMYFUNCTION("""COMPUTED_VALUE"""),179.96)</f>
        <v>179.96</v>
      </c>
      <c r="F788" s="1">
        <f ca="1">IFERROR(__xludf.DUMMYFUNCTION("""COMPUTED_VALUE"""),20922120)</f>
        <v>20922120</v>
      </c>
    </row>
    <row r="789" spans="1:6" x14ac:dyDescent="0.35">
      <c r="A789" s="2">
        <f ca="1">IFERROR(__xludf.DUMMYFUNCTION("""COMPUTED_VALUE"""),43147.6666666666)</f>
        <v>43147.666666666599</v>
      </c>
      <c r="B789" s="1">
        <f ca="1">IFERROR(__xludf.DUMMYFUNCTION("""COMPUTED_VALUE"""),178.99)</f>
        <v>178.99</v>
      </c>
      <c r="C789" s="1">
        <f ca="1">IFERROR(__xludf.DUMMYFUNCTION("""COMPUTED_VALUE"""),179.88)</f>
        <v>179.88</v>
      </c>
      <c r="D789" s="1">
        <f ca="1">IFERROR(__xludf.DUMMYFUNCTION("""COMPUTED_VALUE"""),176.3)</f>
        <v>176.3</v>
      </c>
      <c r="E789" s="1">
        <f ca="1">IFERROR(__xludf.DUMMYFUNCTION("""COMPUTED_VALUE"""),177.36)</f>
        <v>177.36</v>
      </c>
      <c r="F789" s="1">
        <f ca="1">IFERROR(__xludf.DUMMYFUNCTION("""COMPUTED_VALUE"""),21015610)</f>
        <v>21015610</v>
      </c>
    </row>
    <row r="790" spans="1:6" x14ac:dyDescent="0.35">
      <c r="A790" s="2">
        <f ca="1">IFERROR(__xludf.DUMMYFUNCTION("""COMPUTED_VALUE"""),43151.6666666666)</f>
        <v>43151.666666666599</v>
      </c>
      <c r="B790" s="1">
        <f ca="1">IFERROR(__xludf.DUMMYFUNCTION("""COMPUTED_VALUE"""),175.77)</f>
        <v>175.77</v>
      </c>
      <c r="C790" s="1">
        <f ca="1">IFERROR(__xludf.DUMMYFUNCTION("""COMPUTED_VALUE"""),177.95)</f>
        <v>177.95</v>
      </c>
      <c r="D790" s="1">
        <f ca="1">IFERROR(__xludf.DUMMYFUNCTION("""COMPUTED_VALUE"""),175.11)</f>
        <v>175.11</v>
      </c>
      <c r="E790" s="1">
        <f ca="1">IFERROR(__xludf.DUMMYFUNCTION("""COMPUTED_VALUE"""),176.01)</f>
        <v>176.01</v>
      </c>
      <c r="F790" s="1">
        <f ca="1">IFERROR(__xludf.DUMMYFUNCTION("""COMPUTED_VALUE"""),21204921)</f>
        <v>21204921</v>
      </c>
    </row>
    <row r="791" spans="1:6" x14ac:dyDescent="0.35">
      <c r="A791" s="2">
        <f ca="1">IFERROR(__xludf.DUMMYFUNCTION("""COMPUTED_VALUE"""),43152.6666666666)</f>
        <v>43152.666666666599</v>
      </c>
      <c r="B791" s="1">
        <f ca="1">IFERROR(__xludf.DUMMYFUNCTION("""COMPUTED_VALUE"""),176.71)</f>
        <v>176.71</v>
      </c>
      <c r="C791" s="1">
        <f ca="1">IFERROR(__xludf.DUMMYFUNCTION("""COMPUTED_VALUE"""),181.27)</f>
        <v>181.27</v>
      </c>
      <c r="D791" s="1">
        <f ca="1">IFERROR(__xludf.DUMMYFUNCTION("""COMPUTED_VALUE"""),176.4)</f>
        <v>176.4</v>
      </c>
      <c r="E791" s="1">
        <f ca="1">IFERROR(__xludf.DUMMYFUNCTION("""COMPUTED_VALUE"""),177.91)</f>
        <v>177.91</v>
      </c>
      <c r="F791" s="1">
        <f ca="1">IFERROR(__xludf.DUMMYFUNCTION("""COMPUTED_VALUE"""),23200804)</f>
        <v>23200804</v>
      </c>
    </row>
    <row r="792" spans="1:6" x14ac:dyDescent="0.35">
      <c r="A792" s="2">
        <f ca="1">IFERROR(__xludf.DUMMYFUNCTION("""COMPUTED_VALUE"""),43153.6666666666)</f>
        <v>43153.666666666599</v>
      </c>
      <c r="B792" s="1">
        <f ca="1">IFERROR(__xludf.DUMMYFUNCTION("""COMPUTED_VALUE"""),178.7)</f>
        <v>178.7</v>
      </c>
      <c r="C792" s="1">
        <f ca="1">IFERROR(__xludf.DUMMYFUNCTION("""COMPUTED_VALUE"""),180.21)</f>
        <v>180.21</v>
      </c>
      <c r="D792" s="1">
        <f ca="1">IFERROR(__xludf.DUMMYFUNCTION("""COMPUTED_VALUE"""),177.41)</f>
        <v>177.41</v>
      </c>
      <c r="E792" s="1">
        <f ca="1">IFERROR(__xludf.DUMMYFUNCTION("""COMPUTED_VALUE"""),178.99)</f>
        <v>178.99</v>
      </c>
      <c r="F792" s="1">
        <f ca="1">IFERROR(__xludf.DUMMYFUNCTION("""COMPUTED_VALUE"""),18464192)</f>
        <v>18464192</v>
      </c>
    </row>
    <row r="793" spans="1:6" x14ac:dyDescent="0.35">
      <c r="A793" s="2">
        <f ca="1">IFERROR(__xludf.DUMMYFUNCTION("""COMPUTED_VALUE"""),43154.6666666666)</f>
        <v>43154.666666666599</v>
      </c>
      <c r="B793" s="1">
        <f ca="1">IFERROR(__xludf.DUMMYFUNCTION("""COMPUTED_VALUE"""),179.9)</f>
        <v>179.9</v>
      </c>
      <c r="C793" s="1">
        <f ca="1">IFERROR(__xludf.DUMMYFUNCTION("""COMPUTED_VALUE"""),183.39)</f>
        <v>183.39</v>
      </c>
      <c r="D793" s="1">
        <f ca="1">IFERROR(__xludf.DUMMYFUNCTION("""COMPUTED_VALUE"""),179.51)</f>
        <v>179.51</v>
      </c>
      <c r="E793" s="1">
        <f ca="1">IFERROR(__xludf.DUMMYFUNCTION("""COMPUTED_VALUE"""),183.29)</f>
        <v>183.29</v>
      </c>
      <c r="F793" s="1">
        <f ca="1">IFERROR(__xludf.DUMMYFUNCTION("""COMPUTED_VALUE"""),19007288)</f>
        <v>19007288</v>
      </c>
    </row>
    <row r="794" spans="1:6" x14ac:dyDescent="0.35">
      <c r="A794" s="2">
        <f ca="1">IFERROR(__xludf.DUMMYFUNCTION("""COMPUTED_VALUE"""),43157.6666666666)</f>
        <v>43157.666666666599</v>
      </c>
      <c r="B794" s="1">
        <f ca="1">IFERROR(__xludf.DUMMYFUNCTION("""COMPUTED_VALUE"""),184.58)</f>
        <v>184.58</v>
      </c>
      <c r="C794" s="1">
        <f ca="1">IFERROR(__xludf.DUMMYFUNCTION("""COMPUTED_VALUE"""),185.66)</f>
        <v>185.66</v>
      </c>
      <c r="D794" s="1">
        <f ca="1">IFERROR(__xludf.DUMMYFUNCTION("""COMPUTED_VALUE"""),183.22)</f>
        <v>183.22</v>
      </c>
      <c r="E794" s="1">
        <f ca="1">IFERROR(__xludf.DUMMYFUNCTION("""COMPUTED_VALUE"""),184.93)</f>
        <v>184.93</v>
      </c>
      <c r="F794" s="1">
        <f ca="1">IFERROR(__xludf.DUMMYFUNCTION("""COMPUTED_VALUE"""),17599703)</f>
        <v>17599703</v>
      </c>
    </row>
    <row r="795" spans="1:6" x14ac:dyDescent="0.35">
      <c r="A795" s="2">
        <f ca="1">IFERROR(__xludf.DUMMYFUNCTION("""COMPUTED_VALUE"""),43158.6666666666)</f>
        <v>43158.666666666599</v>
      </c>
      <c r="B795" s="1">
        <f ca="1">IFERROR(__xludf.DUMMYFUNCTION("""COMPUTED_VALUE"""),184.45)</f>
        <v>184.45</v>
      </c>
      <c r="C795" s="1">
        <f ca="1">IFERROR(__xludf.DUMMYFUNCTION("""COMPUTED_VALUE"""),184.7)</f>
        <v>184.7</v>
      </c>
      <c r="D795" s="1">
        <f ca="1">IFERROR(__xludf.DUMMYFUNCTION("""COMPUTED_VALUE"""),181.46)</f>
        <v>181.46</v>
      </c>
      <c r="E795" s="1">
        <f ca="1">IFERROR(__xludf.DUMMYFUNCTION("""COMPUTED_VALUE"""),181.46)</f>
        <v>181.46</v>
      </c>
      <c r="F795" s="1">
        <f ca="1">IFERROR(__xludf.DUMMYFUNCTION("""COMPUTED_VALUE"""),15849806)</f>
        <v>15849806</v>
      </c>
    </row>
    <row r="796" spans="1:6" x14ac:dyDescent="0.35">
      <c r="A796" s="2">
        <f ca="1">IFERROR(__xludf.DUMMYFUNCTION("""COMPUTED_VALUE"""),43159.6666666666)</f>
        <v>43159.666666666599</v>
      </c>
      <c r="B796" s="1">
        <f ca="1">IFERROR(__xludf.DUMMYFUNCTION("""COMPUTED_VALUE"""),182.3)</f>
        <v>182.3</v>
      </c>
      <c r="C796" s="1">
        <f ca="1">IFERROR(__xludf.DUMMYFUNCTION("""COMPUTED_VALUE"""),182.88)</f>
        <v>182.88</v>
      </c>
      <c r="D796" s="1">
        <f ca="1">IFERROR(__xludf.DUMMYFUNCTION("""COMPUTED_VALUE"""),178.14)</f>
        <v>178.14</v>
      </c>
      <c r="E796" s="1">
        <f ca="1">IFERROR(__xludf.DUMMYFUNCTION("""COMPUTED_VALUE"""),178.32)</f>
        <v>178.32</v>
      </c>
      <c r="F796" s="1">
        <f ca="1">IFERROR(__xludf.DUMMYFUNCTION("""COMPUTED_VALUE"""),18783039)</f>
        <v>18783039</v>
      </c>
    </row>
    <row r="797" spans="1:6" x14ac:dyDescent="0.35">
      <c r="A797" s="2">
        <f ca="1">IFERROR(__xludf.DUMMYFUNCTION("""COMPUTED_VALUE"""),43160.6666666666)</f>
        <v>43160.666666666599</v>
      </c>
      <c r="B797" s="1">
        <f ca="1">IFERROR(__xludf.DUMMYFUNCTION("""COMPUTED_VALUE"""),179.01)</f>
        <v>179.01</v>
      </c>
      <c r="C797" s="1">
        <f ca="1">IFERROR(__xludf.DUMMYFUNCTION("""COMPUTED_VALUE"""),180.12)</f>
        <v>180.12</v>
      </c>
      <c r="D797" s="1">
        <f ca="1">IFERROR(__xludf.DUMMYFUNCTION("""COMPUTED_VALUE"""),174.41)</f>
        <v>174.41</v>
      </c>
      <c r="E797" s="1">
        <f ca="1">IFERROR(__xludf.DUMMYFUNCTION("""COMPUTED_VALUE"""),175.94)</f>
        <v>175.94</v>
      </c>
      <c r="F797" s="1">
        <f ca="1">IFERROR(__xludf.DUMMYFUNCTION("""COMPUTED_VALUE"""),23201626)</f>
        <v>23201626</v>
      </c>
    </row>
    <row r="798" spans="1:6" x14ac:dyDescent="0.35">
      <c r="A798" s="2">
        <f ca="1">IFERROR(__xludf.DUMMYFUNCTION("""COMPUTED_VALUE"""),43161.6666666666)</f>
        <v>43161.666666666599</v>
      </c>
      <c r="B798" s="1">
        <f ca="1">IFERROR(__xludf.DUMMYFUNCTION("""COMPUTED_VALUE"""),173.29)</f>
        <v>173.29</v>
      </c>
      <c r="C798" s="1">
        <f ca="1">IFERROR(__xludf.DUMMYFUNCTION("""COMPUTED_VALUE"""),177.11)</f>
        <v>177.11</v>
      </c>
      <c r="D798" s="1">
        <f ca="1">IFERROR(__xludf.DUMMYFUNCTION("""COMPUTED_VALUE"""),172.99)</f>
        <v>172.99</v>
      </c>
      <c r="E798" s="1">
        <f ca="1">IFERROR(__xludf.DUMMYFUNCTION("""COMPUTED_VALUE"""),176.62)</f>
        <v>176.62</v>
      </c>
      <c r="F798" s="1">
        <f ca="1">IFERROR(__xludf.DUMMYFUNCTION("""COMPUTED_VALUE"""),20025905)</f>
        <v>20025905</v>
      </c>
    </row>
    <row r="799" spans="1:6" x14ac:dyDescent="0.35">
      <c r="A799" s="2">
        <f ca="1">IFERROR(__xludf.DUMMYFUNCTION("""COMPUTED_VALUE"""),43164.6666666666)</f>
        <v>43164.666666666599</v>
      </c>
      <c r="B799" s="1">
        <f ca="1">IFERROR(__xludf.DUMMYFUNCTION("""COMPUTED_VALUE"""),176.2)</f>
        <v>176.2</v>
      </c>
      <c r="C799" s="1">
        <f ca="1">IFERROR(__xludf.DUMMYFUNCTION("""COMPUTED_VALUE"""),181.15)</f>
        <v>181.15</v>
      </c>
      <c r="D799" s="1">
        <f ca="1">IFERROR(__xludf.DUMMYFUNCTION("""COMPUTED_VALUE"""),175.89)</f>
        <v>175.89</v>
      </c>
      <c r="E799" s="1">
        <f ca="1">IFERROR(__xludf.DUMMYFUNCTION("""COMPUTED_VALUE"""),180.4)</f>
        <v>180.4</v>
      </c>
      <c r="F799" s="1">
        <f ca="1">IFERROR(__xludf.DUMMYFUNCTION("""COMPUTED_VALUE"""),16189280)</f>
        <v>16189280</v>
      </c>
    </row>
    <row r="800" spans="1:6" x14ac:dyDescent="0.35">
      <c r="A800" s="2">
        <f ca="1">IFERROR(__xludf.DUMMYFUNCTION("""COMPUTED_VALUE"""),43165.6666666666)</f>
        <v>43165.666666666599</v>
      </c>
      <c r="B800" s="1">
        <f ca="1">IFERROR(__xludf.DUMMYFUNCTION("""COMPUTED_VALUE"""),181.78)</f>
        <v>181.78</v>
      </c>
      <c r="C800" s="1">
        <f ca="1">IFERROR(__xludf.DUMMYFUNCTION("""COMPUTED_VALUE"""),182.38)</f>
        <v>182.38</v>
      </c>
      <c r="D800" s="1">
        <f ca="1">IFERROR(__xludf.DUMMYFUNCTION("""COMPUTED_VALUE"""),179.11)</f>
        <v>179.11</v>
      </c>
      <c r="E800" s="1">
        <f ca="1">IFERROR(__xludf.DUMMYFUNCTION("""COMPUTED_VALUE"""),179.78)</f>
        <v>179.78</v>
      </c>
      <c r="F800" s="1">
        <f ca="1">IFERROR(__xludf.DUMMYFUNCTION("""COMPUTED_VALUE"""),15086784)</f>
        <v>15086784</v>
      </c>
    </row>
    <row r="801" spans="1:6" x14ac:dyDescent="0.35">
      <c r="A801" s="2">
        <f ca="1">IFERROR(__xludf.DUMMYFUNCTION("""COMPUTED_VALUE"""),43166.6666666666)</f>
        <v>43166.666666666599</v>
      </c>
      <c r="B801" s="1">
        <f ca="1">IFERROR(__xludf.DUMMYFUNCTION("""COMPUTED_VALUE"""),178.74)</f>
        <v>178.74</v>
      </c>
      <c r="C801" s="1">
        <f ca="1">IFERROR(__xludf.DUMMYFUNCTION("""COMPUTED_VALUE"""),183.82)</f>
        <v>183.82</v>
      </c>
      <c r="D801" s="1">
        <f ca="1">IFERROR(__xludf.DUMMYFUNCTION("""COMPUTED_VALUE"""),178.07)</f>
        <v>178.07</v>
      </c>
      <c r="E801" s="1">
        <f ca="1">IFERROR(__xludf.DUMMYFUNCTION("""COMPUTED_VALUE"""),183.71)</f>
        <v>183.71</v>
      </c>
      <c r="F801" s="1">
        <f ca="1">IFERROR(__xludf.DUMMYFUNCTION("""COMPUTED_VALUE"""),19097293)</f>
        <v>19097293</v>
      </c>
    </row>
    <row r="802" spans="1:6" x14ac:dyDescent="0.35">
      <c r="A802" s="2">
        <f ca="1">IFERROR(__xludf.DUMMYFUNCTION("""COMPUTED_VALUE"""),43167.6666666666)</f>
        <v>43167.666666666599</v>
      </c>
      <c r="B802" s="1">
        <f ca="1">IFERROR(__xludf.DUMMYFUNCTION("""COMPUTED_VALUE"""),183.56)</f>
        <v>183.56</v>
      </c>
      <c r="C802" s="1">
        <f ca="1">IFERROR(__xludf.DUMMYFUNCTION("""COMPUTED_VALUE"""),184.4)</f>
        <v>184.4</v>
      </c>
      <c r="D802" s="1">
        <f ca="1">IFERROR(__xludf.DUMMYFUNCTION("""COMPUTED_VALUE"""),181.45)</f>
        <v>181.45</v>
      </c>
      <c r="E802" s="1">
        <f ca="1">IFERROR(__xludf.DUMMYFUNCTION("""COMPUTED_VALUE"""),182.34)</f>
        <v>182.34</v>
      </c>
      <c r="F802" s="1">
        <f ca="1">IFERROR(__xludf.DUMMYFUNCTION("""COMPUTED_VALUE"""),17225946)</f>
        <v>17225946</v>
      </c>
    </row>
    <row r="803" spans="1:6" x14ac:dyDescent="0.35">
      <c r="A803" s="2">
        <f ca="1">IFERROR(__xludf.DUMMYFUNCTION("""COMPUTED_VALUE"""),43168.6666666666)</f>
        <v>43168.666666666599</v>
      </c>
      <c r="B803" s="1">
        <f ca="1">IFERROR(__xludf.DUMMYFUNCTION("""COMPUTED_VALUE"""),183.91)</f>
        <v>183.91</v>
      </c>
      <c r="C803" s="1">
        <f ca="1">IFERROR(__xludf.DUMMYFUNCTION("""COMPUTED_VALUE"""),185.51)</f>
        <v>185.51</v>
      </c>
      <c r="D803" s="1">
        <f ca="1">IFERROR(__xludf.DUMMYFUNCTION("""COMPUTED_VALUE"""),183.21)</f>
        <v>183.21</v>
      </c>
      <c r="E803" s="1">
        <f ca="1">IFERROR(__xludf.DUMMYFUNCTION("""COMPUTED_VALUE"""),185.23)</f>
        <v>185.23</v>
      </c>
      <c r="F803" s="1">
        <f ca="1">IFERROR(__xludf.DUMMYFUNCTION("""COMPUTED_VALUE"""),18526292)</f>
        <v>18526292</v>
      </c>
    </row>
    <row r="804" spans="1:6" x14ac:dyDescent="0.35">
      <c r="A804" s="2">
        <f ca="1">IFERROR(__xludf.DUMMYFUNCTION("""COMPUTED_VALUE"""),43171.6666666666)</f>
        <v>43171.666666666599</v>
      </c>
      <c r="B804" s="1">
        <f ca="1">IFERROR(__xludf.DUMMYFUNCTION("""COMPUTED_VALUE"""),185.23)</f>
        <v>185.23</v>
      </c>
      <c r="C804" s="1">
        <f ca="1">IFERROR(__xludf.DUMMYFUNCTION("""COMPUTED_VALUE"""),186.1)</f>
        <v>186.1</v>
      </c>
      <c r="D804" s="1">
        <f ca="1">IFERROR(__xludf.DUMMYFUNCTION("""COMPUTED_VALUE"""),184.22)</f>
        <v>184.22</v>
      </c>
      <c r="E804" s="1">
        <f ca="1">IFERROR(__xludf.DUMMYFUNCTION("""COMPUTED_VALUE"""),184.76)</f>
        <v>184.76</v>
      </c>
      <c r="F804" s="1">
        <f ca="1">IFERROR(__xludf.DUMMYFUNCTION("""COMPUTED_VALUE"""),15301229)</f>
        <v>15301229</v>
      </c>
    </row>
    <row r="805" spans="1:6" x14ac:dyDescent="0.35">
      <c r="A805" s="2">
        <f ca="1">IFERROR(__xludf.DUMMYFUNCTION("""COMPUTED_VALUE"""),43172.6666666666)</f>
        <v>43172.666666666599</v>
      </c>
      <c r="B805" s="1">
        <f ca="1">IFERROR(__xludf.DUMMYFUNCTION("""COMPUTED_VALUE"""),185.61)</f>
        <v>185.61</v>
      </c>
      <c r="C805" s="1">
        <f ca="1">IFERROR(__xludf.DUMMYFUNCTION("""COMPUTED_VALUE"""),185.99)</f>
        <v>185.99</v>
      </c>
      <c r="D805" s="1">
        <f ca="1">IFERROR(__xludf.DUMMYFUNCTION("""COMPUTED_VALUE"""),181.11)</f>
        <v>181.11</v>
      </c>
      <c r="E805" s="1">
        <f ca="1">IFERROR(__xludf.DUMMYFUNCTION("""COMPUTED_VALUE"""),181.88)</f>
        <v>181.88</v>
      </c>
      <c r="F805" s="1">
        <f ca="1">IFERROR(__xludf.DUMMYFUNCTION("""COMPUTED_VALUE"""),18067477)</f>
        <v>18067477</v>
      </c>
    </row>
    <row r="806" spans="1:6" x14ac:dyDescent="0.35">
      <c r="A806" s="2">
        <f ca="1">IFERROR(__xludf.DUMMYFUNCTION("""COMPUTED_VALUE"""),43173.6666666666)</f>
        <v>43173.666666666599</v>
      </c>
      <c r="B806" s="1">
        <f ca="1">IFERROR(__xludf.DUMMYFUNCTION("""COMPUTED_VALUE"""),182.6)</f>
        <v>182.6</v>
      </c>
      <c r="C806" s="1">
        <f ca="1">IFERROR(__xludf.DUMMYFUNCTION("""COMPUTED_VALUE"""),184.25)</f>
        <v>184.25</v>
      </c>
      <c r="D806" s="1">
        <f ca="1">IFERROR(__xludf.DUMMYFUNCTION("""COMPUTED_VALUE"""),181.85)</f>
        <v>181.85</v>
      </c>
      <c r="E806" s="1">
        <f ca="1">IFERROR(__xludf.DUMMYFUNCTION("""COMPUTED_VALUE"""),184.19)</f>
        <v>184.19</v>
      </c>
      <c r="F806" s="1">
        <f ca="1">IFERROR(__xludf.DUMMYFUNCTION("""COMPUTED_VALUE"""),16821728)</f>
        <v>16821728</v>
      </c>
    </row>
    <row r="807" spans="1:6" x14ac:dyDescent="0.35">
      <c r="A807" s="2">
        <f ca="1">IFERROR(__xludf.DUMMYFUNCTION("""COMPUTED_VALUE"""),43174.6666666666)</f>
        <v>43174.666666666599</v>
      </c>
      <c r="B807" s="1">
        <f ca="1">IFERROR(__xludf.DUMMYFUNCTION("""COMPUTED_VALUE"""),183.24)</f>
        <v>183.24</v>
      </c>
      <c r="C807" s="1">
        <f ca="1">IFERROR(__xludf.DUMMYFUNCTION("""COMPUTED_VALUE"""),184)</f>
        <v>184</v>
      </c>
      <c r="D807" s="1">
        <f ca="1">IFERROR(__xludf.DUMMYFUNCTION("""COMPUTED_VALUE"""),182.19)</f>
        <v>182.19</v>
      </c>
      <c r="E807" s="1">
        <f ca="1">IFERROR(__xludf.DUMMYFUNCTION("""COMPUTED_VALUE"""),183.86)</f>
        <v>183.86</v>
      </c>
      <c r="F807" s="1">
        <f ca="1">IFERROR(__xludf.DUMMYFUNCTION("""COMPUTED_VALUE"""),15645035)</f>
        <v>15645035</v>
      </c>
    </row>
    <row r="808" spans="1:6" x14ac:dyDescent="0.35">
      <c r="A808" s="2">
        <f ca="1">IFERROR(__xludf.DUMMYFUNCTION("""COMPUTED_VALUE"""),43175.6666666666)</f>
        <v>43175.666666666599</v>
      </c>
      <c r="B808" s="1">
        <f ca="1">IFERROR(__xludf.DUMMYFUNCTION("""COMPUTED_VALUE"""),184.49)</f>
        <v>184.49</v>
      </c>
      <c r="C808" s="1">
        <f ca="1">IFERROR(__xludf.DUMMYFUNCTION("""COMPUTED_VALUE"""),185.33)</f>
        <v>185.33</v>
      </c>
      <c r="D808" s="1">
        <f ca="1">IFERROR(__xludf.DUMMYFUNCTION("""COMPUTED_VALUE"""),183.41)</f>
        <v>183.41</v>
      </c>
      <c r="E808" s="1">
        <f ca="1">IFERROR(__xludf.DUMMYFUNCTION("""COMPUTED_VALUE"""),185.09)</f>
        <v>185.09</v>
      </c>
      <c r="F808" s="1">
        <f ca="1">IFERROR(__xludf.DUMMYFUNCTION("""COMPUTED_VALUE"""),24403438)</f>
        <v>24403438</v>
      </c>
    </row>
    <row r="809" spans="1:6" x14ac:dyDescent="0.35">
      <c r="A809" s="2">
        <f ca="1">IFERROR(__xludf.DUMMYFUNCTION("""COMPUTED_VALUE"""),43178.6666666666)</f>
        <v>43178.666666666599</v>
      </c>
      <c r="B809" s="1">
        <f ca="1">IFERROR(__xludf.DUMMYFUNCTION("""COMPUTED_VALUE"""),177.01)</f>
        <v>177.01</v>
      </c>
      <c r="C809" s="1">
        <f ca="1">IFERROR(__xludf.DUMMYFUNCTION("""COMPUTED_VALUE"""),177.17)</f>
        <v>177.17</v>
      </c>
      <c r="D809" s="1">
        <f ca="1">IFERROR(__xludf.DUMMYFUNCTION("""COMPUTED_VALUE"""),170.06)</f>
        <v>170.06</v>
      </c>
      <c r="E809" s="1">
        <f ca="1">IFERROR(__xludf.DUMMYFUNCTION("""COMPUTED_VALUE"""),172.56)</f>
        <v>172.56</v>
      </c>
      <c r="F809" s="1">
        <f ca="1">IFERROR(__xludf.DUMMYFUNCTION("""COMPUTED_VALUE"""),88140060)</f>
        <v>88140060</v>
      </c>
    </row>
    <row r="810" spans="1:6" x14ac:dyDescent="0.35">
      <c r="A810" s="2">
        <f ca="1">IFERROR(__xludf.DUMMYFUNCTION("""COMPUTED_VALUE"""),43179.6666666666)</f>
        <v>43179.666666666599</v>
      </c>
      <c r="B810" s="1">
        <f ca="1">IFERROR(__xludf.DUMMYFUNCTION("""COMPUTED_VALUE"""),167.47)</f>
        <v>167.47</v>
      </c>
      <c r="C810" s="1">
        <f ca="1">IFERROR(__xludf.DUMMYFUNCTION("""COMPUTED_VALUE"""),170.2)</f>
        <v>170.2</v>
      </c>
      <c r="D810" s="1">
        <f ca="1">IFERROR(__xludf.DUMMYFUNCTION("""COMPUTED_VALUE"""),161.95)</f>
        <v>161.94999999999999</v>
      </c>
      <c r="E810" s="1">
        <f ca="1">IFERROR(__xludf.DUMMYFUNCTION("""COMPUTED_VALUE"""),168.15)</f>
        <v>168.15</v>
      </c>
      <c r="F810" s="1">
        <f ca="1">IFERROR(__xludf.DUMMYFUNCTION("""COMPUTED_VALUE"""),129851768)</f>
        <v>129851768</v>
      </c>
    </row>
    <row r="811" spans="1:6" x14ac:dyDescent="0.35">
      <c r="A811" s="2">
        <f ca="1">IFERROR(__xludf.DUMMYFUNCTION("""COMPUTED_VALUE"""),43180.6666666666)</f>
        <v>43180.666666666599</v>
      </c>
      <c r="B811" s="1">
        <f ca="1">IFERROR(__xludf.DUMMYFUNCTION("""COMPUTED_VALUE"""),164.8)</f>
        <v>164.8</v>
      </c>
      <c r="C811" s="1">
        <f ca="1">IFERROR(__xludf.DUMMYFUNCTION("""COMPUTED_VALUE"""),173.4)</f>
        <v>173.4</v>
      </c>
      <c r="D811" s="1">
        <f ca="1">IFERROR(__xludf.DUMMYFUNCTION("""COMPUTED_VALUE"""),163.3)</f>
        <v>163.30000000000001</v>
      </c>
      <c r="E811" s="1">
        <f ca="1">IFERROR(__xludf.DUMMYFUNCTION("""COMPUTED_VALUE"""),169.39)</f>
        <v>169.39</v>
      </c>
      <c r="F811" s="1">
        <f ca="1">IFERROR(__xludf.DUMMYFUNCTION("""COMPUTED_VALUE"""),106598834)</f>
        <v>106598834</v>
      </c>
    </row>
    <row r="812" spans="1:6" x14ac:dyDescent="0.35">
      <c r="A812" s="2">
        <f ca="1">IFERROR(__xludf.DUMMYFUNCTION("""COMPUTED_VALUE"""),43181.6666666666)</f>
        <v>43181.666666666599</v>
      </c>
      <c r="B812" s="1">
        <f ca="1">IFERROR(__xludf.DUMMYFUNCTION("""COMPUTED_VALUE"""),166.13)</f>
        <v>166.13</v>
      </c>
      <c r="C812" s="1">
        <f ca="1">IFERROR(__xludf.DUMMYFUNCTION("""COMPUTED_VALUE"""),170.27)</f>
        <v>170.27</v>
      </c>
      <c r="D812" s="1">
        <f ca="1">IFERROR(__xludf.DUMMYFUNCTION("""COMPUTED_VALUE"""),163.72)</f>
        <v>163.72</v>
      </c>
      <c r="E812" s="1">
        <f ca="1">IFERROR(__xludf.DUMMYFUNCTION("""COMPUTED_VALUE"""),164.89)</f>
        <v>164.89</v>
      </c>
      <c r="F812" s="1">
        <f ca="1">IFERROR(__xludf.DUMMYFUNCTION("""COMPUTED_VALUE"""),73742979)</f>
        <v>73742979</v>
      </c>
    </row>
    <row r="813" spans="1:6" x14ac:dyDescent="0.35">
      <c r="A813" s="2">
        <f ca="1">IFERROR(__xludf.DUMMYFUNCTION("""COMPUTED_VALUE"""),43182.6666666666)</f>
        <v>43182.666666666599</v>
      </c>
      <c r="B813" s="1">
        <f ca="1">IFERROR(__xludf.DUMMYFUNCTION("""COMPUTED_VALUE"""),165.44)</f>
        <v>165.44</v>
      </c>
      <c r="C813" s="1">
        <f ca="1">IFERROR(__xludf.DUMMYFUNCTION("""COMPUTED_VALUE"""),167.1)</f>
        <v>167.1</v>
      </c>
      <c r="D813" s="1">
        <f ca="1">IFERROR(__xludf.DUMMYFUNCTION("""COMPUTED_VALUE"""),159.02)</f>
        <v>159.02000000000001</v>
      </c>
      <c r="E813" s="1">
        <f ca="1">IFERROR(__xludf.DUMMYFUNCTION("""COMPUTED_VALUE"""),159.39)</f>
        <v>159.38999999999999</v>
      </c>
      <c r="F813" s="1">
        <f ca="1">IFERROR(__xludf.DUMMYFUNCTION("""COMPUTED_VALUE"""),53609706)</f>
        <v>53609706</v>
      </c>
    </row>
    <row r="814" spans="1:6" x14ac:dyDescent="0.35">
      <c r="A814" s="2">
        <f ca="1">IFERROR(__xludf.DUMMYFUNCTION("""COMPUTED_VALUE"""),43185.6666666666)</f>
        <v>43185.666666666599</v>
      </c>
      <c r="B814" s="1">
        <f ca="1">IFERROR(__xludf.DUMMYFUNCTION("""COMPUTED_VALUE"""),160.82)</f>
        <v>160.82</v>
      </c>
      <c r="C814" s="1">
        <f ca="1">IFERROR(__xludf.DUMMYFUNCTION("""COMPUTED_VALUE"""),161.1)</f>
        <v>161.1</v>
      </c>
      <c r="D814" s="1">
        <f ca="1">IFERROR(__xludf.DUMMYFUNCTION("""COMPUTED_VALUE"""),149.02)</f>
        <v>149.02000000000001</v>
      </c>
      <c r="E814" s="1">
        <f ca="1">IFERROR(__xludf.DUMMYFUNCTION("""COMPUTED_VALUE"""),160.06)</f>
        <v>160.06</v>
      </c>
      <c r="F814" s="1">
        <f ca="1">IFERROR(__xludf.DUMMYFUNCTION("""COMPUTED_VALUE"""),126116634)</f>
        <v>126116634</v>
      </c>
    </row>
    <row r="815" spans="1:6" x14ac:dyDescent="0.35">
      <c r="A815" s="2">
        <f ca="1">IFERROR(__xludf.DUMMYFUNCTION("""COMPUTED_VALUE"""),43186.6666666666)</f>
        <v>43186.666666666599</v>
      </c>
      <c r="B815" s="1">
        <f ca="1">IFERROR(__xludf.DUMMYFUNCTION("""COMPUTED_VALUE"""),156.31)</f>
        <v>156.31</v>
      </c>
      <c r="C815" s="1">
        <f ca="1">IFERROR(__xludf.DUMMYFUNCTION("""COMPUTED_VALUE"""),162.85)</f>
        <v>162.85</v>
      </c>
      <c r="D815" s="1">
        <f ca="1">IFERROR(__xludf.DUMMYFUNCTION("""COMPUTED_VALUE"""),150.75)</f>
        <v>150.75</v>
      </c>
      <c r="E815" s="1">
        <f ca="1">IFERROR(__xludf.DUMMYFUNCTION("""COMPUTED_VALUE"""),152.22)</f>
        <v>152.22</v>
      </c>
      <c r="F815" s="1">
        <f ca="1">IFERROR(__xludf.DUMMYFUNCTION("""COMPUTED_VALUE"""),79116995)</f>
        <v>79116995</v>
      </c>
    </row>
    <row r="816" spans="1:6" x14ac:dyDescent="0.35">
      <c r="A816" s="2">
        <f ca="1">IFERROR(__xludf.DUMMYFUNCTION("""COMPUTED_VALUE"""),43187.6666666666)</f>
        <v>43187.666666666599</v>
      </c>
      <c r="B816" s="1">
        <f ca="1">IFERROR(__xludf.DUMMYFUNCTION("""COMPUTED_VALUE"""),151.65)</f>
        <v>151.65</v>
      </c>
      <c r="C816" s="1">
        <f ca="1">IFERROR(__xludf.DUMMYFUNCTION("""COMPUTED_VALUE"""),155.88)</f>
        <v>155.88</v>
      </c>
      <c r="D816" s="1">
        <f ca="1">IFERROR(__xludf.DUMMYFUNCTION("""COMPUTED_VALUE"""),150.8)</f>
        <v>150.80000000000001</v>
      </c>
      <c r="E816" s="1">
        <f ca="1">IFERROR(__xludf.DUMMYFUNCTION("""COMPUTED_VALUE"""),153.03)</f>
        <v>153.03</v>
      </c>
      <c r="F816" s="1">
        <f ca="1">IFERROR(__xludf.DUMMYFUNCTION("""COMPUTED_VALUE"""),60029170)</f>
        <v>60029170</v>
      </c>
    </row>
    <row r="817" spans="1:6" x14ac:dyDescent="0.35">
      <c r="A817" s="2">
        <f ca="1">IFERROR(__xludf.DUMMYFUNCTION("""COMPUTED_VALUE"""),43188.6666666666)</f>
        <v>43188.666666666599</v>
      </c>
      <c r="B817" s="1">
        <f ca="1">IFERROR(__xludf.DUMMYFUNCTION("""COMPUTED_VALUE"""),155.15)</f>
        <v>155.15</v>
      </c>
      <c r="C817" s="1">
        <f ca="1">IFERROR(__xludf.DUMMYFUNCTION("""COMPUTED_VALUE"""),161.42)</f>
        <v>161.41999999999999</v>
      </c>
      <c r="D817" s="1">
        <f ca="1">IFERROR(__xludf.DUMMYFUNCTION("""COMPUTED_VALUE"""),154.14)</f>
        <v>154.13999999999999</v>
      </c>
      <c r="E817" s="1">
        <f ca="1">IFERROR(__xludf.DUMMYFUNCTION("""COMPUTED_VALUE"""),159.79)</f>
        <v>159.79</v>
      </c>
      <c r="F817" s="1">
        <f ca="1">IFERROR(__xludf.DUMMYFUNCTION("""COMPUTED_VALUE"""),59434293)</f>
        <v>59434293</v>
      </c>
    </row>
    <row r="818" spans="1:6" x14ac:dyDescent="0.35">
      <c r="A818" s="2">
        <f ca="1">IFERROR(__xludf.DUMMYFUNCTION("""COMPUTED_VALUE"""),43192.6666666666)</f>
        <v>43192.666666666599</v>
      </c>
      <c r="B818" s="1">
        <f ca="1">IFERROR(__xludf.DUMMYFUNCTION("""COMPUTED_VALUE"""),157.81)</f>
        <v>157.81</v>
      </c>
      <c r="C818" s="1">
        <f ca="1">IFERROR(__xludf.DUMMYFUNCTION("""COMPUTED_VALUE"""),159.2)</f>
        <v>159.19999999999999</v>
      </c>
      <c r="D818" s="1">
        <f ca="1">IFERROR(__xludf.DUMMYFUNCTION("""COMPUTED_VALUE"""),154.11)</f>
        <v>154.11000000000001</v>
      </c>
      <c r="E818" s="1">
        <f ca="1">IFERROR(__xludf.DUMMYFUNCTION("""COMPUTED_VALUE"""),155.39)</f>
        <v>155.38999999999999</v>
      </c>
      <c r="F818" s="1">
        <f ca="1">IFERROR(__xludf.DUMMYFUNCTION("""COMPUTED_VALUE"""),36795991)</f>
        <v>36795991</v>
      </c>
    </row>
    <row r="819" spans="1:6" x14ac:dyDescent="0.35">
      <c r="A819" s="2">
        <f ca="1">IFERROR(__xludf.DUMMYFUNCTION("""COMPUTED_VALUE"""),43193.6666666666)</f>
        <v>43193.666666666599</v>
      </c>
      <c r="B819" s="1">
        <f ca="1">IFERROR(__xludf.DUMMYFUNCTION("""COMPUTED_VALUE"""),156.55)</f>
        <v>156.55000000000001</v>
      </c>
      <c r="C819" s="1">
        <f ca="1">IFERROR(__xludf.DUMMYFUNCTION("""COMPUTED_VALUE"""),157.39)</f>
        <v>157.38999999999999</v>
      </c>
      <c r="D819" s="1">
        <f ca="1">IFERROR(__xludf.DUMMYFUNCTION("""COMPUTED_VALUE"""),150.81)</f>
        <v>150.81</v>
      </c>
      <c r="E819" s="1">
        <f ca="1">IFERROR(__xludf.DUMMYFUNCTION("""COMPUTED_VALUE"""),156.11)</f>
        <v>156.11000000000001</v>
      </c>
      <c r="F819" s="1">
        <f ca="1">IFERROR(__xludf.DUMMYFUNCTION("""COMPUTED_VALUE"""),42543865)</f>
        <v>42543865</v>
      </c>
    </row>
    <row r="820" spans="1:6" x14ac:dyDescent="0.35">
      <c r="A820" s="2">
        <f ca="1">IFERROR(__xludf.DUMMYFUNCTION("""COMPUTED_VALUE"""),43194.6666666666)</f>
        <v>43194.666666666599</v>
      </c>
      <c r="B820" s="1">
        <f ca="1">IFERROR(__xludf.DUMMYFUNCTION("""COMPUTED_VALUE"""),152.03)</f>
        <v>152.03</v>
      </c>
      <c r="C820" s="1">
        <f ca="1">IFERROR(__xludf.DUMMYFUNCTION("""COMPUTED_VALUE"""),155.56)</f>
        <v>155.56</v>
      </c>
      <c r="D820" s="1">
        <f ca="1">IFERROR(__xludf.DUMMYFUNCTION("""COMPUTED_VALUE"""),150.51)</f>
        <v>150.51</v>
      </c>
      <c r="E820" s="1">
        <f ca="1">IFERROR(__xludf.DUMMYFUNCTION("""COMPUTED_VALUE"""),155.1)</f>
        <v>155.1</v>
      </c>
      <c r="F820" s="1">
        <f ca="1">IFERROR(__xludf.DUMMYFUNCTION("""COMPUTED_VALUE"""),49885584)</f>
        <v>49885584</v>
      </c>
    </row>
    <row r="821" spans="1:6" x14ac:dyDescent="0.35">
      <c r="A821" s="2">
        <f ca="1">IFERROR(__xludf.DUMMYFUNCTION("""COMPUTED_VALUE"""),43195.6666666666)</f>
        <v>43195.666666666599</v>
      </c>
      <c r="B821" s="1">
        <f ca="1">IFERROR(__xludf.DUMMYFUNCTION("""COMPUTED_VALUE"""),161.56)</f>
        <v>161.56</v>
      </c>
      <c r="C821" s="1">
        <f ca="1">IFERROR(__xludf.DUMMYFUNCTION("""COMPUTED_VALUE"""),161.57)</f>
        <v>161.57</v>
      </c>
      <c r="D821" s="1">
        <f ca="1">IFERROR(__xludf.DUMMYFUNCTION("""COMPUTED_VALUE"""),156.65)</f>
        <v>156.65</v>
      </c>
      <c r="E821" s="1">
        <f ca="1">IFERROR(__xludf.DUMMYFUNCTION("""COMPUTED_VALUE"""),159.34)</f>
        <v>159.34</v>
      </c>
      <c r="F821" s="1">
        <f ca="1">IFERROR(__xludf.DUMMYFUNCTION("""COMPUTED_VALUE"""),41449609)</f>
        <v>41449609</v>
      </c>
    </row>
    <row r="822" spans="1:6" x14ac:dyDescent="0.35">
      <c r="A822" s="2">
        <f ca="1">IFERROR(__xludf.DUMMYFUNCTION("""COMPUTED_VALUE"""),43196.6666666666)</f>
        <v>43196.666666666599</v>
      </c>
      <c r="B822" s="1">
        <f ca="1">IFERROR(__xludf.DUMMYFUNCTION("""COMPUTED_VALUE"""),157.73)</f>
        <v>157.72999999999999</v>
      </c>
      <c r="C822" s="1">
        <f ca="1">IFERROR(__xludf.DUMMYFUNCTION("""COMPUTED_VALUE"""),161.42)</f>
        <v>161.41999999999999</v>
      </c>
      <c r="D822" s="1">
        <f ca="1">IFERROR(__xludf.DUMMYFUNCTION("""COMPUTED_VALUE"""),156.81)</f>
        <v>156.81</v>
      </c>
      <c r="E822" s="1">
        <f ca="1">IFERROR(__xludf.DUMMYFUNCTION("""COMPUTED_VALUE"""),157.2)</f>
        <v>157.19999999999999</v>
      </c>
      <c r="F822" s="1">
        <f ca="1">IFERROR(__xludf.DUMMYFUNCTION("""COMPUTED_VALUE"""),41644812)</f>
        <v>41644812</v>
      </c>
    </row>
    <row r="823" spans="1:6" x14ac:dyDescent="0.35">
      <c r="A823" s="2">
        <f ca="1">IFERROR(__xludf.DUMMYFUNCTION("""COMPUTED_VALUE"""),43199.6666666666)</f>
        <v>43199.666666666599</v>
      </c>
      <c r="B823" s="1">
        <f ca="1">IFERROR(__xludf.DUMMYFUNCTION("""COMPUTED_VALUE"""),157.82)</f>
        <v>157.82</v>
      </c>
      <c r="C823" s="1">
        <f ca="1">IFERROR(__xludf.DUMMYFUNCTION("""COMPUTED_VALUE"""),160.53)</f>
        <v>160.53</v>
      </c>
      <c r="D823" s="1">
        <f ca="1">IFERROR(__xludf.DUMMYFUNCTION("""COMPUTED_VALUE"""),156.04)</f>
        <v>156.04</v>
      </c>
      <c r="E823" s="1">
        <f ca="1">IFERROR(__xludf.DUMMYFUNCTION("""COMPUTED_VALUE"""),157.93)</f>
        <v>157.93</v>
      </c>
      <c r="F823" s="1">
        <f ca="1">IFERROR(__xludf.DUMMYFUNCTION("""COMPUTED_VALUE"""),34915227)</f>
        <v>34915227</v>
      </c>
    </row>
    <row r="824" spans="1:6" x14ac:dyDescent="0.35">
      <c r="A824" s="2">
        <f ca="1">IFERROR(__xludf.DUMMYFUNCTION("""COMPUTED_VALUE"""),43200.6666666666)</f>
        <v>43200.666666666599</v>
      </c>
      <c r="B824" s="1">
        <f ca="1">IFERROR(__xludf.DUMMYFUNCTION("""COMPUTED_VALUE"""),157.93)</f>
        <v>157.93</v>
      </c>
      <c r="C824" s="1">
        <f ca="1">IFERROR(__xludf.DUMMYFUNCTION("""COMPUTED_VALUE"""),165.98)</f>
        <v>165.98</v>
      </c>
      <c r="D824" s="1">
        <f ca="1">IFERROR(__xludf.DUMMYFUNCTION("""COMPUTED_VALUE"""),157.01)</f>
        <v>157.01</v>
      </c>
      <c r="E824" s="1">
        <f ca="1">IFERROR(__xludf.DUMMYFUNCTION("""COMPUTED_VALUE"""),165.04)</f>
        <v>165.04</v>
      </c>
      <c r="F824" s="1">
        <f ca="1">IFERROR(__xludf.DUMMYFUNCTION("""COMPUTED_VALUE"""),58947041)</f>
        <v>58947041</v>
      </c>
    </row>
    <row r="825" spans="1:6" x14ac:dyDescent="0.35">
      <c r="A825" s="2">
        <f ca="1">IFERROR(__xludf.DUMMYFUNCTION("""COMPUTED_VALUE"""),43201.6666666666)</f>
        <v>43201.666666666599</v>
      </c>
      <c r="B825" s="1">
        <f ca="1">IFERROR(__xludf.DUMMYFUNCTION("""COMPUTED_VALUE"""),165.36)</f>
        <v>165.36</v>
      </c>
      <c r="C825" s="1">
        <f ca="1">IFERROR(__xludf.DUMMYFUNCTION("""COMPUTED_VALUE"""),168.65)</f>
        <v>168.65</v>
      </c>
      <c r="D825" s="1">
        <f ca="1">IFERROR(__xludf.DUMMYFUNCTION("""COMPUTED_VALUE"""),163.25)</f>
        <v>163.25</v>
      </c>
      <c r="E825" s="1">
        <f ca="1">IFERROR(__xludf.DUMMYFUNCTION("""COMPUTED_VALUE"""),166.32)</f>
        <v>166.32</v>
      </c>
      <c r="F825" s="1">
        <f ca="1">IFERROR(__xludf.DUMMYFUNCTION("""COMPUTED_VALUE"""),56144633)</f>
        <v>56144633</v>
      </c>
    </row>
    <row r="826" spans="1:6" x14ac:dyDescent="0.35">
      <c r="A826" s="2">
        <f ca="1">IFERROR(__xludf.DUMMYFUNCTION("""COMPUTED_VALUE"""),43202.6666666666)</f>
        <v>43202.666666666599</v>
      </c>
      <c r="B826" s="1">
        <f ca="1">IFERROR(__xludf.DUMMYFUNCTION("""COMPUTED_VALUE"""),166.98)</f>
        <v>166.98</v>
      </c>
      <c r="C826" s="1">
        <f ca="1">IFERROR(__xludf.DUMMYFUNCTION("""COMPUTED_VALUE"""),167.45)</f>
        <v>167.45</v>
      </c>
      <c r="D826" s="1">
        <f ca="1">IFERROR(__xludf.DUMMYFUNCTION("""COMPUTED_VALUE"""),163.1)</f>
        <v>163.1</v>
      </c>
      <c r="E826" s="1">
        <f ca="1">IFERROR(__xludf.DUMMYFUNCTION("""COMPUTED_VALUE"""),163.87)</f>
        <v>163.87</v>
      </c>
      <c r="F826" s="1">
        <f ca="1">IFERROR(__xludf.DUMMYFUNCTION("""COMPUTED_VALUE"""),38262956)</f>
        <v>38262956</v>
      </c>
    </row>
    <row r="827" spans="1:6" x14ac:dyDescent="0.35">
      <c r="A827" s="2">
        <f ca="1">IFERROR(__xludf.DUMMYFUNCTION("""COMPUTED_VALUE"""),43203.6666666666)</f>
        <v>43203.666666666599</v>
      </c>
      <c r="B827" s="1">
        <f ca="1">IFERROR(__xludf.DUMMYFUNCTION("""COMPUTED_VALUE"""),164.58)</f>
        <v>164.58</v>
      </c>
      <c r="C827" s="1">
        <f ca="1">IFERROR(__xludf.DUMMYFUNCTION("""COMPUTED_VALUE"""),165.7)</f>
        <v>165.7</v>
      </c>
      <c r="D827" s="1">
        <f ca="1">IFERROR(__xludf.DUMMYFUNCTION("""COMPUTED_VALUE"""),163.77)</f>
        <v>163.77000000000001</v>
      </c>
      <c r="E827" s="1">
        <f ca="1">IFERROR(__xludf.DUMMYFUNCTION("""COMPUTED_VALUE"""),164.52)</f>
        <v>164.52</v>
      </c>
      <c r="F827" s="1">
        <f ca="1">IFERROR(__xludf.DUMMYFUNCTION("""COMPUTED_VALUE"""),19990561)</f>
        <v>19990561</v>
      </c>
    </row>
    <row r="828" spans="1:6" x14ac:dyDescent="0.35">
      <c r="A828" s="2">
        <f ca="1">IFERROR(__xludf.DUMMYFUNCTION("""COMPUTED_VALUE"""),43206.6666666666)</f>
        <v>43206.666666666599</v>
      </c>
      <c r="B828" s="1">
        <f ca="1">IFERROR(__xludf.DUMMYFUNCTION("""COMPUTED_VALUE"""),165.72)</f>
        <v>165.72</v>
      </c>
      <c r="C828" s="1">
        <f ca="1">IFERROR(__xludf.DUMMYFUNCTION("""COMPUTED_VALUE"""),165.78)</f>
        <v>165.78</v>
      </c>
      <c r="D828" s="1">
        <f ca="1">IFERROR(__xludf.DUMMYFUNCTION("""COMPUTED_VALUE"""),163.39)</f>
        <v>163.38999999999999</v>
      </c>
      <c r="E828" s="1">
        <f ca="1">IFERROR(__xludf.DUMMYFUNCTION("""COMPUTED_VALUE"""),164.83)</f>
        <v>164.83</v>
      </c>
      <c r="F828" s="1">
        <f ca="1">IFERROR(__xludf.DUMMYFUNCTION("""COMPUTED_VALUE"""),18119435)</f>
        <v>18119435</v>
      </c>
    </row>
    <row r="829" spans="1:6" x14ac:dyDescent="0.35">
      <c r="A829" s="2">
        <f ca="1">IFERROR(__xludf.DUMMYFUNCTION("""COMPUTED_VALUE"""),43207.6666666666)</f>
        <v>43207.666666666599</v>
      </c>
      <c r="B829" s="1">
        <f ca="1">IFERROR(__xludf.DUMMYFUNCTION("""COMPUTED_VALUE"""),165.83)</f>
        <v>165.83</v>
      </c>
      <c r="C829" s="1">
        <f ca="1">IFERROR(__xludf.DUMMYFUNCTION("""COMPUTED_VALUE"""),169)</f>
        <v>169</v>
      </c>
      <c r="D829" s="1">
        <f ca="1">IFERROR(__xludf.DUMMYFUNCTION("""COMPUTED_VALUE"""),165.66)</f>
        <v>165.66</v>
      </c>
      <c r="E829" s="1">
        <f ca="1">IFERROR(__xludf.DUMMYFUNCTION("""COMPUTED_VALUE"""),168.66)</f>
        <v>168.66</v>
      </c>
      <c r="F829" s="1">
        <f ca="1">IFERROR(__xludf.DUMMYFUNCTION("""COMPUTED_VALUE"""),22743029)</f>
        <v>22743029</v>
      </c>
    </row>
    <row r="830" spans="1:6" x14ac:dyDescent="0.35">
      <c r="A830" s="2">
        <f ca="1">IFERROR(__xludf.DUMMYFUNCTION("""COMPUTED_VALUE"""),43208.6666666666)</f>
        <v>43208.666666666599</v>
      </c>
      <c r="B830" s="1">
        <f ca="1">IFERROR(__xludf.DUMMYFUNCTION("""COMPUTED_VALUE"""),166.88)</f>
        <v>166.88</v>
      </c>
      <c r="C830" s="1">
        <f ca="1">IFERROR(__xludf.DUMMYFUNCTION("""COMPUTED_VALUE"""),168.12)</f>
        <v>168.12</v>
      </c>
      <c r="D830" s="1">
        <f ca="1">IFERROR(__xludf.DUMMYFUNCTION("""COMPUTED_VALUE"""),165.77)</f>
        <v>165.77</v>
      </c>
      <c r="E830" s="1">
        <f ca="1">IFERROR(__xludf.DUMMYFUNCTION("""COMPUTED_VALUE"""),166.36)</f>
        <v>166.36</v>
      </c>
      <c r="F830" s="1">
        <f ca="1">IFERROR(__xludf.DUMMYFUNCTION("""COMPUTED_VALUE"""),20969568)</f>
        <v>20969568</v>
      </c>
    </row>
    <row r="831" spans="1:6" x14ac:dyDescent="0.35">
      <c r="A831" s="2">
        <f ca="1">IFERROR(__xludf.DUMMYFUNCTION("""COMPUTED_VALUE"""),43209.6666666666)</f>
        <v>43209.666666666599</v>
      </c>
      <c r="B831" s="1">
        <f ca="1">IFERROR(__xludf.DUMMYFUNCTION("""COMPUTED_VALUE"""),166.2)</f>
        <v>166.2</v>
      </c>
      <c r="C831" s="1">
        <f ca="1">IFERROR(__xludf.DUMMYFUNCTION("""COMPUTED_VALUE"""),168.33)</f>
        <v>168.33</v>
      </c>
      <c r="D831" s="1">
        <f ca="1">IFERROR(__xludf.DUMMYFUNCTION("""COMPUTED_VALUE"""),165.2)</f>
        <v>165.2</v>
      </c>
      <c r="E831" s="1">
        <f ca="1">IFERROR(__xludf.DUMMYFUNCTION("""COMPUTED_VALUE"""),168.1)</f>
        <v>168.1</v>
      </c>
      <c r="F831" s="1">
        <f ca="1">IFERROR(__xludf.DUMMYFUNCTION("""COMPUTED_VALUE"""),22234961)</f>
        <v>22234961</v>
      </c>
    </row>
    <row r="832" spans="1:6" x14ac:dyDescent="0.35">
      <c r="A832" s="2">
        <f ca="1">IFERROR(__xludf.DUMMYFUNCTION("""COMPUTED_VALUE"""),43210.6666666666)</f>
        <v>43210.666666666599</v>
      </c>
      <c r="B832" s="1">
        <f ca="1">IFERROR(__xludf.DUMMYFUNCTION("""COMPUTED_VALUE"""),167.79)</f>
        <v>167.79</v>
      </c>
      <c r="C832" s="1">
        <f ca="1">IFERROR(__xludf.DUMMYFUNCTION("""COMPUTED_VALUE"""),168.43)</f>
        <v>168.43</v>
      </c>
      <c r="D832" s="1">
        <f ca="1">IFERROR(__xludf.DUMMYFUNCTION("""COMPUTED_VALUE"""),165.81)</f>
        <v>165.81</v>
      </c>
      <c r="E832" s="1">
        <f ca="1">IFERROR(__xludf.DUMMYFUNCTION("""COMPUTED_VALUE"""),166.28)</f>
        <v>166.28</v>
      </c>
      <c r="F832" s="1">
        <f ca="1">IFERROR(__xludf.DUMMYFUNCTION("""COMPUTED_VALUE"""),19119438)</f>
        <v>19119438</v>
      </c>
    </row>
    <row r="833" spans="1:6" x14ac:dyDescent="0.35">
      <c r="A833" s="2">
        <f ca="1">IFERROR(__xludf.DUMMYFUNCTION("""COMPUTED_VALUE"""),43213.6666666666)</f>
        <v>43213.666666666599</v>
      </c>
      <c r="B833" s="1">
        <f ca="1">IFERROR(__xludf.DUMMYFUNCTION("""COMPUTED_VALUE"""),167.27)</f>
        <v>167.27</v>
      </c>
      <c r="C833" s="1">
        <f ca="1">IFERROR(__xludf.DUMMYFUNCTION("""COMPUTED_VALUE"""),168.45)</f>
        <v>168.45</v>
      </c>
      <c r="D833" s="1">
        <f ca="1">IFERROR(__xludf.DUMMYFUNCTION("""COMPUTED_VALUE"""),165.09)</f>
        <v>165.09</v>
      </c>
      <c r="E833" s="1">
        <f ca="1">IFERROR(__xludf.DUMMYFUNCTION("""COMPUTED_VALUE"""),165.84)</f>
        <v>165.84</v>
      </c>
      <c r="F833" s="1">
        <f ca="1">IFERROR(__xludf.DUMMYFUNCTION("""COMPUTED_VALUE"""),23088102)</f>
        <v>23088102</v>
      </c>
    </row>
    <row r="834" spans="1:6" x14ac:dyDescent="0.35">
      <c r="A834" s="2">
        <f ca="1">IFERROR(__xludf.DUMMYFUNCTION("""COMPUTED_VALUE"""),43214.6666666666)</f>
        <v>43214.666666666599</v>
      </c>
      <c r="B834" s="1">
        <f ca="1">IFERROR(__xludf.DUMMYFUNCTION("""COMPUTED_VALUE"""),165.43)</f>
        <v>165.43</v>
      </c>
      <c r="C834" s="1">
        <f ca="1">IFERROR(__xludf.DUMMYFUNCTION("""COMPUTED_VALUE"""),166.1)</f>
        <v>166.1</v>
      </c>
      <c r="D834" s="1">
        <f ca="1">IFERROR(__xludf.DUMMYFUNCTION("""COMPUTED_VALUE"""),158.19)</f>
        <v>158.19</v>
      </c>
      <c r="E834" s="1">
        <f ca="1">IFERROR(__xludf.DUMMYFUNCTION("""COMPUTED_VALUE"""),159.69)</f>
        <v>159.69</v>
      </c>
      <c r="F834" s="1">
        <f ca="1">IFERROR(__xludf.DUMMYFUNCTION("""COMPUTED_VALUE"""),35079926)</f>
        <v>35079926</v>
      </c>
    </row>
    <row r="835" spans="1:6" x14ac:dyDescent="0.35">
      <c r="A835" s="2">
        <f ca="1">IFERROR(__xludf.DUMMYFUNCTION("""COMPUTED_VALUE"""),43215.6666666666)</f>
        <v>43215.666666666599</v>
      </c>
      <c r="B835" s="1">
        <f ca="1">IFERROR(__xludf.DUMMYFUNCTION("""COMPUTED_VALUE"""),160.14)</f>
        <v>160.13999999999999</v>
      </c>
      <c r="C835" s="1">
        <f ca="1">IFERROR(__xludf.DUMMYFUNCTION("""COMPUTED_VALUE"""),161.06)</f>
        <v>161.06</v>
      </c>
      <c r="D835" s="1">
        <f ca="1">IFERROR(__xludf.DUMMYFUNCTION("""COMPUTED_VALUE"""),156.19)</f>
        <v>156.19</v>
      </c>
      <c r="E835" s="1">
        <f ca="1">IFERROR(__xludf.DUMMYFUNCTION("""COMPUTED_VALUE"""),159.69)</f>
        <v>159.69</v>
      </c>
      <c r="F835" s="1">
        <f ca="1">IFERROR(__xludf.DUMMYFUNCTION("""COMPUTED_VALUE"""),41083581)</f>
        <v>41083581</v>
      </c>
    </row>
    <row r="836" spans="1:6" x14ac:dyDescent="0.35">
      <c r="A836" s="2">
        <f ca="1">IFERROR(__xludf.DUMMYFUNCTION("""COMPUTED_VALUE"""),43216.6666666666)</f>
        <v>43216.666666666599</v>
      </c>
      <c r="B836" s="1">
        <f ca="1">IFERROR(__xludf.DUMMYFUNCTION("""COMPUTED_VALUE"""),173.22)</f>
        <v>173.22</v>
      </c>
      <c r="C836" s="1">
        <f ca="1">IFERROR(__xludf.DUMMYFUNCTION("""COMPUTED_VALUE"""),176.27)</f>
        <v>176.27</v>
      </c>
      <c r="D836" s="1">
        <f ca="1">IFERROR(__xludf.DUMMYFUNCTION("""COMPUTED_VALUE"""),170.8)</f>
        <v>170.8</v>
      </c>
      <c r="E836" s="1">
        <f ca="1">IFERROR(__xludf.DUMMYFUNCTION("""COMPUTED_VALUE"""),174.16)</f>
        <v>174.16</v>
      </c>
      <c r="F836" s="1">
        <f ca="1">IFERROR(__xludf.DUMMYFUNCTION("""COMPUTED_VALUE"""),77556934)</f>
        <v>77556934</v>
      </c>
    </row>
    <row r="837" spans="1:6" x14ac:dyDescent="0.35">
      <c r="A837" s="2">
        <f ca="1">IFERROR(__xludf.DUMMYFUNCTION("""COMPUTED_VALUE"""),43217.6666666666)</f>
        <v>43217.666666666599</v>
      </c>
      <c r="B837" s="1">
        <f ca="1">IFERROR(__xludf.DUMMYFUNCTION("""COMPUTED_VALUE"""),176.81)</f>
        <v>176.81</v>
      </c>
      <c r="C837" s="1">
        <f ca="1">IFERROR(__xludf.DUMMYFUNCTION("""COMPUTED_VALUE"""),177.1)</f>
        <v>177.1</v>
      </c>
      <c r="D837" s="1">
        <f ca="1">IFERROR(__xludf.DUMMYFUNCTION("""COMPUTED_VALUE"""),172.6)</f>
        <v>172.6</v>
      </c>
      <c r="E837" s="1">
        <f ca="1">IFERROR(__xludf.DUMMYFUNCTION("""COMPUTED_VALUE"""),173.59)</f>
        <v>173.59</v>
      </c>
      <c r="F837" s="1">
        <f ca="1">IFERROR(__xludf.DUMMYFUNCTION("""COMPUTED_VALUE"""),29804657)</f>
        <v>29804657</v>
      </c>
    </row>
    <row r="838" spans="1:6" x14ac:dyDescent="0.35">
      <c r="A838" s="2">
        <f ca="1">IFERROR(__xludf.DUMMYFUNCTION("""COMPUTED_VALUE"""),43220.6666666666)</f>
        <v>43220.666666666599</v>
      </c>
      <c r="B838" s="1">
        <f ca="1">IFERROR(__xludf.DUMMYFUNCTION("""COMPUTED_VALUE"""),173.79)</f>
        <v>173.79</v>
      </c>
      <c r="C838" s="1">
        <f ca="1">IFERROR(__xludf.DUMMYFUNCTION("""COMPUTED_VALUE"""),175.72)</f>
        <v>175.72</v>
      </c>
      <c r="D838" s="1">
        <f ca="1">IFERROR(__xludf.DUMMYFUNCTION("""COMPUTED_VALUE"""),171.71)</f>
        <v>171.71</v>
      </c>
      <c r="E838" s="1">
        <f ca="1">IFERROR(__xludf.DUMMYFUNCTION("""COMPUTED_VALUE"""),172)</f>
        <v>172</v>
      </c>
      <c r="F838" s="1">
        <f ca="1">IFERROR(__xludf.DUMMYFUNCTION("""COMPUTED_VALUE"""),20750478)</f>
        <v>20750478</v>
      </c>
    </row>
    <row r="839" spans="1:6" x14ac:dyDescent="0.35">
      <c r="A839" s="2">
        <f ca="1">IFERROR(__xludf.DUMMYFUNCTION("""COMPUTED_VALUE"""),43221.6666666666)</f>
        <v>43221.666666666599</v>
      </c>
      <c r="B839" s="1">
        <f ca="1">IFERROR(__xludf.DUMMYFUNCTION("""COMPUTED_VALUE"""),172)</f>
        <v>172</v>
      </c>
      <c r="C839" s="1">
        <f ca="1">IFERROR(__xludf.DUMMYFUNCTION("""COMPUTED_VALUE"""),174.02)</f>
        <v>174.02</v>
      </c>
      <c r="D839" s="1">
        <f ca="1">IFERROR(__xludf.DUMMYFUNCTION("""COMPUTED_VALUE"""),170.23)</f>
        <v>170.23</v>
      </c>
      <c r="E839" s="1">
        <f ca="1">IFERROR(__xludf.DUMMYFUNCTION("""COMPUTED_VALUE"""),173.86)</f>
        <v>173.86</v>
      </c>
      <c r="F839" s="1">
        <f ca="1">IFERROR(__xludf.DUMMYFUNCTION("""COMPUTED_VALUE"""),26025932)</f>
        <v>26025932</v>
      </c>
    </row>
    <row r="840" spans="1:6" x14ac:dyDescent="0.35">
      <c r="A840" s="2">
        <f ca="1">IFERROR(__xludf.DUMMYFUNCTION("""COMPUTED_VALUE"""),43222.6666666666)</f>
        <v>43222.666666666599</v>
      </c>
      <c r="B840" s="1">
        <f ca="1">IFERROR(__xludf.DUMMYFUNCTION("""COMPUTED_VALUE"""),174.25)</f>
        <v>174.25</v>
      </c>
      <c r="C840" s="1">
        <f ca="1">IFERROR(__xludf.DUMMYFUNCTION("""COMPUTED_VALUE"""),178.08)</f>
        <v>178.08</v>
      </c>
      <c r="D840" s="1">
        <f ca="1">IFERROR(__xludf.DUMMYFUNCTION("""COMPUTED_VALUE"""),174.2)</f>
        <v>174.2</v>
      </c>
      <c r="E840" s="1">
        <f ca="1">IFERROR(__xludf.DUMMYFUNCTION("""COMPUTED_VALUE"""),176.07)</f>
        <v>176.07</v>
      </c>
      <c r="F840" s="1">
        <f ca="1">IFERROR(__xludf.DUMMYFUNCTION("""COMPUTED_VALUE"""),30424450)</f>
        <v>30424450</v>
      </c>
    </row>
    <row r="841" spans="1:6" x14ac:dyDescent="0.35">
      <c r="A841" s="2">
        <f ca="1">IFERROR(__xludf.DUMMYFUNCTION("""COMPUTED_VALUE"""),43223.6666666666)</f>
        <v>43223.666666666599</v>
      </c>
      <c r="B841" s="1">
        <f ca="1">IFERROR(__xludf.DUMMYFUNCTION("""COMPUTED_VALUE"""),175.13)</f>
        <v>175.13</v>
      </c>
      <c r="C841" s="1">
        <f ca="1">IFERROR(__xludf.DUMMYFUNCTION("""COMPUTED_VALUE"""),176.12)</f>
        <v>176.12</v>
      </c>
      <c r="D841" s="1">
        <f ca="1">IFERROR(__xludf.DUMMYFUNCTION("""COMPUTED_VALUE"""),172.12)</f>
        <v>172.12</v>
      </c>
      <c r="E841" s="1">
        <f ca="1">IFERROR(__xludf.DUMMYFUNCTION("""COMPUTED_VALUE"""),174.02)</f>
        <v>174.02</v>
      </c>
      <c r="F841" s="1">
        <f ca="1">IFERROR(__xludf.DUMMYFUNCTION("""COMPUTED_VALUE"""),24026071)</f>
        <v>24026071</v>
      </c>
    </row>
    <row r="842" spans="1:6" x14ac:dyDescent="0.35">
      <c r="A842" s="2">
        <f ca="1">IFERROR(__xludf.DUMMYFUNCTION("""COMPUTED_VALUE"""),43224.6666666666)</f>
        <v>43224.666666666599</v>
      </c>
      <c r="B842" s="1">
        <f ca="1">IFERROR(__xludf.DUMMYFUNCTION("""COMPUTED_VALUE"""),173.08)</f>
        <v>173.08</v>
      </c>
      <c r="C842" s="1">
        <f ca="1">IFERROR(__xludf.DUMMYFUNCTION("""COMPUTED_VALUE"""),176.98)</f>
        <v>176.98</v>
      </c>
      <c r="D842" s="1">
        <f ca="1">IFERROR(__xludf.DUMMYFUNCTION("""COMPUTED_VALUE"""),173.06)</f>
        <v>173.06</v>
      </c>
      <c r="E842" s="1">
        <f ca="1">IFERROR(__xludf.DUMMYFUNCTION("""COMPUTED_VALUE"""),176.61)</f>
        <v>176.61</v>
      </c>
      <c r="F842" s="1">
        <f ca="1">IFERROR(__xludf.DUMMYFUNCTION("""COMPUTED_VALUE"""),17677844)</f>
        <v>17677844</v>
      </c>
    </row>
    <row r="843" spans="1:6" x14ac:dyDescent="0.35">
      <c r="A843" s="2">
        <f ca="1">IFERROR(__xludf.DUMMYFUNCTION("""COMPUTED_VALUE"""),43227.6666666666)</f>
        <v>43227.666666666599</v>
      </c>
      <c r="B843" s="1">
        <f ca="1">IFERROR(__xludf.DUMMYFUNCTION("""COMPUTED_VALUE"""),177.35)</f>
        <v>177.35</v>
      </c>
      <c r="C843" s="1">
        <f ca="1">IFERROR(__xludf.DUMMYFUNCTION("""COMPUTED_VALUE"""),179.5)</f>
        <v>179.5</v>
      </c>
      <c r="D843" s="1">
        <f ca="1">IFERROR(__xludf.DUMMYFUNCTION("""COMPUTED_VALUE"""),177.17)</f>
        <v>177.17</v>
      </c>
      <c r="E843" s="1">
        <f ca="1">IFERROR(__xludf.DUMMYFUNCTION("""COMPUTED_VALUE"""),177.97)</f>
        <v>177.97</v>
      </c>
      <c r="F843" s="1">
        <f ca="1">IFERROR(__xludf.DUMMYFUNCTION("""COMPUTED_VALUE"""),18697195)</f>
        <v>18697195</v>
      </c>
    </row>
    <row r="844" spans="1:6" x14ac:dyDescent="0.35">
      <c r="A844" s="2">
        <f ca="1">IFERROR(__xludf.DUMMYFUNCTION("""COMPUTED_VALUE"""),43228.6666666666)</f>
        <v>43228.666666666599</v>
      </c>
      <c r="B844" s="1">
        <f ca="1">IFERROR(__xludf.DUMMYFUNCTION("""COMPUTED_VALUE"""),178.25)</f>
        <v>178.25</v>
      </c>
      <c r="C844" s="1">
        <f ca="1">IFERROR(__xludf.DUMMYFUNCTION("""COMPUTED_VALUE"""),179.04)</f>
        <v>179.04</v>
      </c>
      <c r="D844" s="1">
        <f ca="1">IFERROR(__xludf.DUMMYFUNCTION("""COMPUTED_VALUE"""),177.11)</f>
        <v>177.11</v>
      </c>
      <c r="E844" s="1">
        <f ca="1">IFERROR(__xludf.DUMMYFUNCTION("""COMPUTED_VALUE"""),178.92)</f>
        <v>178.92</v>
      </c>
      <c r="F844" s="1">
        <f ca="1">IFERROR(__xludf.DUMMYFUNCTION("""COMPUTED_VALUE"""),15577211)</f>
        <v>15577211</v>
      </c>
    </row>
    <row r="845" spans="1:6" x14ac:dyDescent="0.35">
      <c r="A845" s="2">
        <f ca="1">IFERROR(__xludf.DUMMYFUNCTION("""COMPUTED_VALUE"""),43229.6666666666)</f>
        <v>43229.666666666599</v>
      </c>
      <c r="B845" s="1">
        <f ca="1">IFERROR(__xludf.DUMMYFUNCTION("""COMPUTED_VALUE"""),179.67)</f>
        <v>179.67</v>
      </c>
      <c r="C845" s="1">
        <f ca="1">IFERROR(__xludf.DUMMYFUNCTION("""COMPUTED_VALUE"""),183.01)</f>
        <v>183.01</v>
      </c>
      <c r="D845" s="1">
        <f ca="1">IFERROR(__xludf.DUMMYFUNCTION("""COMPUTED_VALUE"""),178.78)</f>
        <v>178.78</v>
      </c>
      <c r="E845" s="1">
        <f ca="1">IFERROR(__xludf.DUMMYFUNCTION("""COMPUTED_VALUE"""),182.66)</f>
        <v>182.66</v>
      </c>
      <c r="F845" s="1">
        <f ca="1">IFERROR(__xludf.DUMMYFUNCTION("""COMPUTED_VALUE"""),23282811)</f>
        <v>23282811</v>
      </c>
    </row>
    <row r="846" spans="1:6" x14ac:dyDescent="0.35">
      <c r="A846" s="2">
        <f ca="1">IFERROR(__xludf.DUMMYFUNCTION("""COMPUTED_VALUE"""),43230.6666666666)</f>
        <v>43230.666666666599</v>
      </c>
      <c r="B846" s="1">
        <f ca="1">IFERROR(__xludf.DUMMYFUNCTION("""COMPUTED_VALUE"""),183.15)</f>
        <v>183.15</v>
      </c>
      <c r="C846" s="1">
        <f ca="1">IFERROR(__xludf.DUMMYFUNCTION("""COMPUTED_VALUE"""),186.13)</f>
        <v>186.13</v>
      </c>
      <c r="D846" s="1">
        <f ca="1">IFERROR(__xludf.DUMMYFUNCTION("""COMPUTED_VALUE"""),182.5)</f>
        <v>182.5</v>
      </c>
      <c r="E846" s="1">
        <f ca="1">IFERROR(__xludf.DUMMYFUNCTION("""COMPUTED_VALUE"""),185.53)</f>
        <v>185.53</v>
      </c>
      <c r="F846" s="1">
        <f ca="1">IFERROR(__xludf.DUMMYFUNCTION("""COMPUTED_VALUE"""),21071403)</f>
        <v>21071403</v>
      </c>
    </row>
    <row r="847" spans="1:6" x14ac:dyDescent="0.35">
      <c r="A847" s="2">
        <f ca="1">IFERROR(__xludf.DUMMYFUNCTION("""COMPUTED_VALUE"""),43231.6666666666)</f>
        <v>43231.666666666599</v>
      </c>
      <c r="B847" s="1">
        <f ca="1">IFERROR(__xludf.DUMMYFUNCTION("""COMPUTED_VALUE"""),184.85)</f>
        <v>184.85</v>
      </c>
      <c r="C847" s="1">
        <f ca="1">IFERROR(__xludf.DUMMYFUNCTION("""COMPUTED_VALUE"""),188.32)</f>
        <v>188.32</v>
      </c>
      <c r="D847" s="1">
        <f ca="1">IFERROR(__xludf.DUMMYFUNCTION("""COMPUTED_VALUE"""),184.18)</f>
        <v>184.18</v>
      </c>
      <c r="E847" s="1">
        <f ca="1">IFERROR(__xludf.DUMMYFUNCTION("""COMPUTED_VALUE"""),186.99)</f>
        <v>186.99</v>
      </c>
      <c r="F847" s="1">
        <f ca="1">IFERROR(__xludf.DUMMYFUNCTION("""COMPUTED_VALUE"""),21207848)</f>
        <v>21207848</v>
      </c>
    </row>
    <row r="848" spans="1:6" x14ac:dyDescent="0.35">
      <c r="A848" s="2">
        <f ca="1">IFERROR(__xludf.DUMMYFUNCTION("""COMPUTED_VALUE"""),43234.6666666666)</f>
        <v>43234.666666666599</v>
      </c>
      <c r="B848" s="1">
        <f ca="1">IFERROR(__xludf.DUMMYFUNCTION("""COMPUTED_VALUE"""),187.71)</f>
        <v>187.71</v>
      </c>
      <c r="C848" s="1">
        <f ca="1">IFERROR(__xludf.DUMMYFUNCTION("""COMPUTED_VALUE"""),187.86)</f>
        <v>187.86</v>
      </c>
      <c r="D848" s="1">
        <f ca="1">IFERROR(__xludf.DUMMYFUNCTION("""COMPUTED_VALUE"""),186.2)</f>
        <v>186.2</v>
      </c>
      <c r="E848" s="1">
        <f ca="1">IFERROR(__xludf.DUMMYFUNCTION("""COMPUTED_VALUE"""),186.64)</f>
        <v>186.64</v>
      </c>
      <c r="F848" s="1">
        <f ca="1">IFERROR(__xludf.DUMMYFUNCTION("""COMPUTED_VALUE"""),15646744)</f>
        <v>15646744</v>
      </c>
    </row>
    <row r="849" spans="1:6" x14ac:dyDescent="0.35">
      <c r="A849" s="2">
        <f ca="1">IFERROR(__xludf.DUMMYFUNCTION("""COMPUTED_VALUE"""),43235.6666666666)</f>
        <v>43235.666666666599</v>
      </c>
      <c r="B849" s="1">
        <f ca="1">IFERROR(__xludf.DUMMYFUNCTION("""COMPUTED_VALUE"""),184.88)</f>
        <v>184.88</v>
      </c>
      <c r="C849" s="1">
        <f ca="1">IFERROR(__xludf.DUMMYFUNCTION("""COMPUTED_VALUE"""),185.29)</f>
        <v>185.29</v>
      </c>
      <c r="D849" s="1">
        <f ca="1">IFERROR(__xludf.DUMMYFUNCTION("""COMPUTED_VALUE"""),183.2)</f>
        <v>183.2</v>
      </c>
      <c r="E849" s="1">
        <f ca="1">IFERROR(__xludf.DUMMYFUNCTION("""COMPUTED_VALUE"""),184.32)</f>
        <v>184.32</v>
      </c>
      <c r="F849" s="1">
        <f ca="1">IFERROR(__xludf.DUMMYFUNCTION("""COMPUTED_VALUE"""),15429433)</f>
        <v>15429433</v>
      </c>
    </row>
    <row r="850" spans="1:6" x14ac:dyDescent="0.35">
      <c r="A850" s="2">
        <f ca="1">IFERROR(__xludf.DUMMYFUNCTION("""COMPUTED_VALUE"""),43236.6666666666)</f>
        <v>43236.666666666599</v>
      </c>
      <c r="B850" s="1">
        <f ca="1">IFERROR(__xludf.DUMMYFUNCTION("""COMPUTED_VALUE"""),183.7)</f>
        <v>183.7</v>
      </c>
      <c r="C850" s="1">
        <f ca="1">IFERROR(__xludf.DUMMYFUNCTION("""COMPUTED_VALUE"""),184.32)</f>
        <v>184.32</v>
      </c>
      <c r="D850" s="1">
        <f ca="1">IFERROR(__xludf.DUMMYFUNCTION("""COMPUTED_VALUE"""),182.66)</f>
        <v>182.66</v>
      </c>
      <c r="E850" s="1">
        <f ca="1">IFERROR(__xludf.DUMMYFUNCTION("""COMPUTED_VALUE"""),183.2)</f>
        <v>183.2</v>
      </c>
      <c r="F850" s="1">
        <f ca="1">IFERROR(__xludf.DUMMYFUNCTION("""COMPUTED_VALUE"""),16975495)</f>
        <v>16975495</v>
      </c>
    </row>
    <row r="851" spans="1:6" x14ac:dyDescent="0.35">
      <c r="A851" s="2">
        <f ca="1">IFERROR(__xludf.DUMMYFUNCTION("""COMPUTED_VALUE"""),43237.6666666666)</f>
        <v>43237.666666666599</v>
      </c>
      <c r="B851" s="1">
        <f ca="1">IFERROR(__xludf.DUMMYFUNCTION("""COMPUTED_VALUE"""),182.68)</f>
        <v>182.68</v>
      </c>
      <c r="C851" s="1">
        <f ca="1">IFERROR(__xludf.DUMMYFUNCTION("""COMPUTED_VALUE"""),184.06)</f>
        <v>184.06</v>
      </c>
      <c r="D851" s="1">
        <f ca="1">IFERROR(__xludf.DUMMYFUNCTION("""COMPUTED_VALUE"""),182.22)</f>
        <v>182.22</v>
      </c>
      <c r="E851" s="1">
        <f ca="1">IFERROR(__xludf.DUMMYFUNCTION("""COMPUTED_VALUE"""),183.76)</f>
        <v>183.76</v>
      </c>
      <c r="F851" s="1">
        <f ca="1">IFERROR(__xludf.DUMMYFUNCTION("""COMPUTED_VALUE"""),14840675)</f>
        <v>14840675</v>
      </c>
    </row>
    <row r="852" spans="1:6" x14ac:dyDescent="0.35">
      <c r="A852" s="2">
        <f ca="1">IFERROR(__xludf.DUMMYFUNCTION("""COMPUTED_VALUE"""),43238.6666666666)</f>
        <v>43238.666666666599</v>
      </c>
      <c r="B852" s="1">
        <f ca="1">IFERROR(__xludf.DUMMYFUNCTION("""COMPUTED_VALUE"""),183.49)</f>
        <v>183.49</v>
      </c>
      <c r="C852" s="1">
        <f ca="1">IFERROR(__xludf.DUMMYFUNCTION("""COMPUTED_VALUE"""),184.19)</f>
        <v>184.19</v>
      </c>
      <c r="D852" s="1">
        <f ca="1">IFERROR(__xludf.DUMMYFUNCTION("""COMPUTED_VALUE"""),182.61)</f>
        <v>182.61</v>
      </c>
      <c r="E852" s="1">
        <f ca="1">IFERROR(__xludf.DUMMYFUNCTION("""COMPUTED_VALUE"""),182.68)</f>
        <v>182.68</v>
      </c>
      <c r="F852" s="1">
        <f ca="1">IFERROR(__xludf.DUMMYFUNCTION("""COMPUTED_VALUE"""),13130451)</f>
        <v>13130451</v>
      </c>
    </row>
    <row r="853" spans="1:6" x14ac:dyDescent="0.35">
      <c r="A853" s="2">
        <f ca="1">IFERROR(__xludf.DUMMYFUNCTION("""COMPUTED_VALUE"""),43241.6666666666)</f>
        <v>43241.666666666599</v>
      </c>
      <c r="B853" s="1">
        <f ca="1">IFERROR(__xludf.DUMMYFUNCTION("""COMPUTED_VALUE"""),183.77)</f>
        <v>183.77</v>
      </c>
      <c r="C853" s="1">
        <f ca="1">IFERROR(__xludf.DUMMYFUNCTION("""COMPUTED_VALUE"""),185.3)</f>
        <v>185.3</v>
      </c>
      <c r="D853" s="1">
        <f ca="1">IFERROR(__xludf.DUMMYFUNCTION("""COMPUTED_VALUE"""),183.13)</f>
        <v>183.13</v>
      </c>
      <c r="E853" s="1">
        <f ca="1">IFERROR(__xludf.DUMMYFUNCTION("""COMPUTED_VALUE"""),184.49)</f>
        <v>184.49</v>
      </c>
      <c r="F853" s="1">
        <f ca="1">IFERROR(__xludf.DUMMYFUNCTION("""COMPUTED_VALUE"""),13532864)</f>
        <v>13532864</v>
      </c>
    </row>
    <row r="854" spans="1:6" x14ac:dyDescent="0.35">
      <c r="A854" s="2">
        <f ca="1">IFERROR(__xludf.DUMMYFUNCTION("""COMPUTED_VALUE"""),43242.6666666666)</f>
        <v>43242.666666666599</v>
      </c>
      <c r="B854" s="1">
        <f ca="1">IFERROR(__xludf.DUMMYFUNCTION("""COMPUTED_VALUE"""),184.93)</f>
        <v>184.93</v>
      </c>
      <c r="C854" s="1">
        <f ca="1">IFERROR(__xludf.DUMMYFUNCTION("""COMPUTED_VALUE"""),185.42)</f>
        <v>185.42</v>
      </c>
      <c r="D854" s="1">
        <f ca="1">IFERROR(__xludf.DUMMYFUNCTION("""COMPUTED_VALUE"""),183.43)</f>
        <v>183.43</v>
      </c>
      <c r="E854" s="1">
        <f ca="1">IFERROR(__xludf.DUMMYFUNCTION("""COMPUTED_VALUE"""),183.8)</f>
        <v>183.8</v>
      </c>
      <c r="F854" s="1">
        <f ca="1">IFERROR(__xludf.DUMMYFUNCTION("""COMPUTED_VALUE"""),12731419)</f>
        <v>12731419</v>
      </c>
    </row>
    <row r="855" spans="1:6" x14ac:dyDescent="0.35">
      <c r="A855" s="2">
        <f ca="1">IFERROR(__xludf.DUMMYFUNCTION("""COMPUTED_VALUE"""),43243.6666666666)</f>
        <v>43243.666666666599</v>
      </c>
      <c r="B855" s="1">
        <f ca="1">IFERROR(__xludf.DUMMYFUNCTION("""COMPUTED_VALUE"""),182.5)</f>
        <v>182.5</v>
      </c>
      <c r="C855" s="1">
        <f ca="1">IFERROR(__xludf.DUMMYFUNCTION("""COMPUTED_VALUE"""),186.91)</f>
        <v>186.91</v>
      </c>
      <c r="D855" s="1">
        <f ca="1">IFERROR(__xludf.DUMMYFUNCTION("""COMPUTED_VALUE"""),182.18)</f>
        <v>182.18</v>
      </c>
      <c r="E855" s="1">
        <f ca="1">IFERROR(__xludf.DUMMYFUNCTION("""COMPUTED_VALUE"""),186.9)</f>
        <v>186.9</v>
      </c>
      <c r="F855" s="1">
        <f ca="1">IFERROR(__xludf.DUMMYFUNCTION("""COMPUTED_VALUE"""),16628100)</f>
        <v>16628100</v>
      </c>
    </row>
    <row r="856" spans="1:6" x14ac:dyDescent="0.35">
      <c r="A856" s="2">
        <f ca="1">IFERROR(__xludf.DUMMYFUNCTION("""COMPUTED_VALUE"""),43244.6666666666)</f>
        <v>43244.666666666599</v>
      </c>
      <c r="B856" s="1">
        <f ca="1">IFERROR(__xludf.DUMMYFUNCTION("""COMPUTED_VALUE"""),185.88)</f>
        <v>185.88</v>
      </c>
      <c r="C856" s="1">
        <f ca="1">IFERROR(__xludf.DUMMYFUNCTION("""COMPUTED_VALUE"""),186.8)</f>
        <v>186.8</v>
      </c>
      <c r="D856" s="1">
        <f ca="1">IFERROR(__xludf.DUMMYFUNCTION("""COMPUTED_VALUE"""),185.03)</f>
        <v>185.03</v>
      </c>
      <c r="E856" s="1">
        <f ca="1">IFERROR(__xludf.DUMMYFUNCTION("""COMPUTED_VALUE"""),185.93)</f>
        <v>185.93</v>
      </c>
      <c r="F856" s="1">
        <f ca="1">IFERROR(__xludf.DUMMYFUNCTION("""COMPUTED_VALUE"""),12354742)</f>
        <v>12354742</v>
      </c>
    </row>
    <row r="857" spans="1:6" x14ac:dyDescent="0.35">
      <c r="A857" s="2">
        <f ca="1">IFERROR(__xludf.DUMMYFUNCTION("""COMPUTED_VALUE"""),43245.6666666666)</f>
        <v>43245.666666666599</v>
      </c>
      <c r="B857" s="1">
        <f ca="1">IFERROR(__xludf.DUMMYFUNCTION("""COMPUTED_VALUE"""),186.02)</f>
        <v>186.02</v>
      </c>
      <c r="C857" s="1">
        <f ca="1">IFERROR(__xludf.DUMMYFUNCTION("""COMPUTED_VALUE"""),186.33)</f>
        <v>186.33</v>
      </c>
      <c r="D857" s="1">
        <f ca="1">IFERROR(__xludf.DUMMYFUNCTION("""COMPUTED_VALUE"""),184.45)</f>
        <v>184.45</v>
      </c>
      <c r="E857" s="1">
        <f ca="1">IFERROR(__xludf.DUMMYFUNCTION("""COMPUTED_VALUE"""),184.92)</f>
        <v>184.92</v>
      </c>
      <c r="F857" s="1">
        <f ca="1">IFERROR(__xludf.DUMMYFUNCTION("""COMPUTED_VALUE"""),10965061)</f>
        <v>10965061</v>
      </c>
    </row>
    <row r="858" spans="1:6" x14ac:dyDescent="0.35">
      <c r="A858" s="2">
        <f ca="1">IFERROR(__xludf.DUMMYFUNCTION("""COMPUTED_VALUE"""),43249.6666666666)</f>
        <v>43249.666666666599</v>
      </c>
      <c r="B858" s="1">
        <f ca="1">IFERROR(__xludf.DUMMYFUNCTION("""COMPUTED_VALUE"""),184.34)</f>
        <v>184.34</v>
      </c>
      <c r="C858" s="1">
        <f ca="1">IFERROR(__xludf.DUMMYFUNCTION("""COMPUTED_VALUE"""),186.81)</f>
        <v>186.81</v>
      </c>
      <c r="D858" s="1">
        <f ca="1">IFERROR(__xludf.DUMMYFUNCTION("""COMPUTED_VALUE"""),183.71)</f>
        <v>183.71</v>
      </c>
      <c r="E858" s="1">
        <f ca="1">IFERROR(__xludf.DUMMYFUNCTION("""COMPUTED_VALUE"""),185.74)</f>
        <v>185.74</v>
      </c>
      <c r="F858" s="1">
        <f ca="1">IFERROR(__xludf.DUMMYFUNCTION("""COMPUTED_VALUE"""),16398937)</f>
        <v>16398937</v>
      </c>
    </row>
    <row r="859" spans="1:6" x14ac:dyDescent="0.35">
      <c r="A859" s="2">
        <f ca="1">IFERROR(__xludf.DUMMYFUNCTION("""COMPUTED_VALUE"""),43250.6666666666)</f>
        <v>43250.666666666599</v>
      </c>
      <c r="B859" s="1">
        <f ca="1">IFERROR(__xludf.DUMMYFUNCTION("""COMPUTED_VALUE"""),186.54)</f>
        <v>186.54</v>
      </c>
      <c r="C859" s="1">
        <f ca="1">IFERROR(__xludf.DUMMYFUNCTION("""COMPUTED_VALUE"""),188)</f>
        <v>188</v>
      </c>
      <c r="D859" s="1">
        <f ca="1">IFERROR(__xludf.DUMMYFUNCTION("""COMPUTED_VALUE"""),185.25)</f>
        <v>185.25</v>
      </c>
      <c r="E859" s="1">
        <f ca="1">IFERROR(__xludf.DUMMYFUNCTION("""COMPUTED_VALUE"""),187.67)</f>
        <v>187.67</v>
      </c>
      <c r="F859" s="1">
        <f ca="1">IFERROR(__xludf.DUMMYFUNCTION("""COMPUTED_VALUE"""),13736866)</f>
        <v>13736866</v>
      </c>
    </row>
    <row r="860" spans="1:6" x14ac:dyDescent="0.35">
      <c r="A860" s="2">
        <f ca="1">IFERROR(__xludf.DUMMYFUNCTION("""COMPUTED_VALUE"""),43251.6666666666)</f>
        <v>43251.666666666599</v>
      </c>
      <c r="B860" s="1">
        <f ca="1">IFERROR(__xludf.DUMMYFUNCTION("""COMPUTED_VALUE"""),187.87)</f>
        <v>187.87</v>
      </c>
      <c r="C860" s="1">
        <f ca="1">IFERROR(__xludf.DUMMYFUNCTION("""COMPUTED_VALUE"""),192.72)</f>
        <v>192.72</v>
      </c>
      <c r="D860" s="1">
        <f ca="1">IFERROR(__xludf.DUMMYFUNCTION("""COMPUTED_VALUE"""),187.48)</f>
        <v>187.48</v>
      </c>
      <c r="E860" s="1">
        <f ca="1">IFERROR(__xludf.DUMMYFUNCTION("""COMPUTED_VALUE"""),191.78)</f>
        <v>191.78</v>
      </c>
      <c r="F860" s="1">
        <f ca="1">IFERROR(__xludf.DUMMYFUNCTION("""COMPUTED_VALUE"""),30782631)</f>
        <v>30782631</v>
      </c>
    </row>
    <row r="861" spans="1:6" x14ac:dyDescent="0.35">
      <c r="A861" s="2">
        <f ca="1">IFERROR(__xludf.DUMMYFUNCTION("""COMPUTED_VALUE"""),43252.6666666666)</f>
        <v>43252.666666666599</v>
      </c>
      <c r="B861" s="1">
        <f ca="1">IFERROR(__xludf.DUMMYFUNCTION("""COMPUTED_VALUE"""),193.07)</f>
        <v>193.07</v>
      </c>
      <c r="C861" s="1">
        <f ca="1">IFERROR(__xludf.DUMMYFUNCTION("""COMPUTED_VALUE"""),194.55)</f>
        <v>194.55</v>
      </c>
      <c r="D861" s="1">
        <f ca="1">IFERROR(__xludf.DUMMYFUNCTION("""COMPUTED_VALUE"""),192.07)</f>
        <v>192.07</v>
      </c>
      <c r="E861" s="1">
        <f ca="1">IFERROR(__xludf.DUMMYFUNCTION("""COMPUTED_VALUE"""),193.99)</f>
        <v>193.99</v>
      </c>
      <c r="F861" s="1">
        <f ca="1">IFERROR(__xludf.DUMMYFUNCTION("""COMPUTED_VALUE"""),17307245)</f>
        <v>17307245</v>
      </c>
    </row>
    <row r="862" spans="1:6" x14ac:dyDescent="0.35">
      <c r="A862" s="2">
        <f ca="1">IFERROR(__xludf.DUMMYFUNCTION("""COMPUTED_VALUE"""),43255.6666666666)</f>
        <v>43255.666666666599</v>
      </c>
      <c r="B862" s="1">
        <f ca="1">IFERROR(__xludf.DUMMYFUNCTION("""COMPUTED_VALUE"""),191.84)</f>
        <v>191.84</v>
      </c>
      <c r="C862" s="1">
        <f ca="1">IFERROR(__xludf.DUMMYFUNCTION("""COMPUTED_VALUE"""),193.98)</f>
        <v>193.98</v>
      </c>
      <c r="D862" s="1">
        <f ca="1">IFERROR(__xludf.DUMMYFUNCTION("""COMPUTED_VALUE"""),191.47)</f>
        <v>191.47</v>
      </c>
      <c r="E862" s="1">
        <f ca="1">IFERROR(__xludf.DUMMYFUNCTION("""COMPUTED_VALUE"""),193.28)</f>
        <v>193.28</v>
      </c>
      <c r="F862" s="1">
        <f ca="1">IFERROR(__xludf.DUMMYFUNCTION("""COMPUTED_VALUE"""),18939795)</f>
        <v>18939795</v>
      </c>
    </row>
    <row r="863" spans="1:6" x14ac:dyDescent="0.35">
      <c r="A863" s="2">
        <f ca="1">IFERROR(__xludf.DUMMYFUNCTION("""COMPUTED_VALUE"""),43256.6666666666)</f>
        <v>43256.666666666599</v>
      </c>
      <c r="B863" s="1">
        <f ca="1">IFERROR(__xludf.DUMMYFUNCTION("""COMPUTED_VALUE"""),194.3)</f>
        <v>194.3</v>
      </c>
      <c r="C863" s="1">
        <f ca="1">IFERROR(__xludf.DUMMYFUNCTION("""COMPUTED_VALUE"""),195)</f>
        <v>195</v>
      </c>
      <c r="D863" s="1">
        <f ca="1">IFERROR(__xludf.DUMMYFUNCTION("""COMPUTED_VALUE"""),192.62)</f>
        <v>192.62</v>
      </c>
      <c r="E863" s="1">
        <f ca="1">IFERROR(__xludf.DUMMYFUNCTION("""COMPUTED_VALUE"""),192.94)</f>
        <v>192.94</v>
      </c>
      <c r="F863" s="1">
        <f ca="1">IFERROR(__xludf.DUMMYFUNCTION("""COMPUTED_VALUE"""),15544294)</f>
        <v>15544294</v>
      </c>
    </row>
    <row r="864" spans="1:6" x14ac:dyDescent="0.35">
      <c r="A864" s="2">
        <f ca="1">IFERROR(__xludf.DUMMYFUNCTION("""COMPUTED_VALUE"""),43257.6666666666)</f>
        <v>43257.666666666599</v>
      </c>
      <c r="B864" s="1">
        <f ca="1">IFERROR(__xludf.DUMMYFUNCTION("""COMPUTED_VALUE"""),191.03)</f>
        <v>191.03</v>
      </c>
      <c r="C864" s="1">
        <f ca="1">IFERROR(__xludf.DUMMYFUNCTION("""COMPUTED_VALUE"""),192.53)</f>
        <v>192.53</v>
      </c>
      <c r="D864" s="1">
        <f ca="1">IFERROR(__xludf.DUMMYFUNCTION("""COMPUTED_VALUE"""),189.11)</f>
        <v>189.11</v>
      </c>
      <c r="E864" s="1">
        <f ca="1">IFERROR(__xludf.DUMMYFUNCTION("""COMPUTED_VALUE"""),191.34)</f>
        <v>191.34</v>
      </c>
      <c r="F864" s="1">
        <f ca="1">IFERROR(__xludf.DUMMYFUNCTION("""COMPUTED_VALUE"""),22558920)</f>
        <v>22558920</v>
      </c>
    </row>
    <row r="865" spans="1:6" x14ac:dyDescent="0.35">
      <c r="A865" s="2">
        <f ca="1">IFERROR(__xludf.DUMMYFUNCTION("""COMPUTED_VALUE"""),43258.6666666666)</f>
        <v>43258.666666666599</v>
      </c>
      <c r="B865" s="1">
        <f ca="1">IFERROR(__xludf.DUMMYFUNCTION("""COMPUTED_VALUE"""),190.75)</f>
        <v>190.75</v>
      </c>
      <c r="C865" s="1">
        <f ca="1">IFERROR(__xludf.DUMMYFUNCTION("""COMPUTED_VALUE"""),190.97)</f>
        <v>190.97</v>
      </c>
      <c r="D865" s="1">
        <f ca="1">IFERROR(__xludf.DUMMYFUNCTION("""COMPUTED_VALUE"""),186.77)</f>
        <v>186.77</v>
      </c>
      <c r="E865" s="1">
        <f ca="1">IFERROR(__xludf.DUMMYFUNCTION("""COMPUTED_VALUE"""),188.18)</f>
        <v>188.18</v>
      </c>
      <c r="F865" s="1">
        <f ca="1">IFERROR(__xludf.DUMMYFUNCTION("""COMPUTED_VALUE"""),21503171)</f>
        <v>21503171</v>
      </c>
    </row>
    <row r="866" spans="1:6" x14ac:dyDescent="0.35">
      <c r="A866" s="2">
        <f ca="1">IFERROR(__xludf.DUMMYFUNCTION("""COMPUTED_VALUE"""),43259.6666666666)</f>
        <v>43259.666666666599</v>
      </c>
      <c r="B866" s="1">
        <f ca="1">IFERROR(__xludf.DUMMYFUNCTION("""COMPUTED_VALUE"""),187.53)</f>
        <v>187.53</v>
      </c>
      <c r="C866" s="1">
        <f ca="1">IFERROR(__xludf.DUMMYFUNCTION("""COMPUTED_VALUE"""),189.48)</f>
        <v>189.48</v>
      </c>
      <c r="D866" s="1">
        <f ca="1">IFERROR(__xludf.DUMMYFUNCTION("""COMPUTED_VALUE"""),186.43)</f>
        <v>186.43</v>
      </c>
      <c r="E866" s="1">
        <f ca="1">IFERROR(__xludf.DUMMYFUNCTION("""COMPUTED_VALUE"""),189.1)</f>
        <v>189.1</v>
      </c>
      <c r="F866" s="1">
        <f ca="1">IFERROR(__xludf.DUMMYFUNCTION("""COMPUTED_VALUE"""),12677092)</f>
        <v>12677092</v>
      </c>
    </row>
    <row r="867" spans="1:6" x14ac:dyDescent="0.35">
      <c r="A867" s="2">
        <f ca="1">IFERROR(__xludf.DUMMYFUNCTION("""COMPUTED_VALUE"""),43262.6666666666)</f>
        <v>43262.666666666599</v>
      </c>
      <c r="B867" s="1">
        <f ca="1">IFERROR(__xludf.DUMMYFUNCTION("""COMPUTED_VALUE"""),188.81)</f>
        <v>188.81</v>
      </c>
      <c r="C867" s="1">
        <f ca="1">IFERROR(__xludf.DUMMYFUNCTION("""COMPUTED_VALUE"""),192.6)</f>
        <v>192.6</v>
      </c>
      <c r="D867" s="1">
        <f ca="1">IFERROR(__xludf.DUMMYFUNCTION("""COMPUTED_VALUE"""),188.8)</f>
        <v>188.8</v>
      </c>
      <c r="E867" s="1">
        <f ca="1">IFERROR(__xludf.DUMMYFUNCTION("""COMPUTED_VALUE"""),191.54)</f>
        <v>191.54</v>
      </c>
      <c r="F867" s="1">
        <f ca="1">IFERROR(__xludf.DUMMYFUNCTION("""COMPUTED_VALUE"""),12928907)</f>
        <v>12928907</v>
      </c>
    </row>
    <row r="868" spans="1:6" x14ac:dyDescent="0.35">
      <c r="A868" s="2">
        <f ca="1">IFERROR(__xludf.DUMMYFUNCTION("""COMPUTED_VALUE"""),43263.6666666666)</f>
        <v>43263.666666666599</v>
      </c>
      <c r="B868" s="1">
        <f ca="1">IFERROR(__xludf.DUMMYFUNCTION("""COMPUTED_VALUE"""),192.17)</f>
        <v>192.17</v>
      </c>
      <c r="C868" s="1">
        <f ca="1">IFERROR(__xludf.DUMMYFUNCTION("""COMPUTED_VALUE"""),193.28)</f>
        <v>193.28</v>
      </c>
      <c r="D868" s="1">
        <f ca="1">IFERROR(__xludf.DUMMYFUNCTION("""COMPUTED_VALUE"""),191.56)</f>
        <v>191.56</v>
      </c>
      <c r="E868" s="1">
        <f ca="1">IFERROR(__xludf.DUMMYFUNCTION("""COMPUTED_VALUE"""),192.4)</f>
        <v>192.4</v>
      </c>
      <c r="F868" s="1">
        <f ca="1">IFERROR(__xludf.DUMMYFUNCTION("""COMPUTED_VALUE"""),11562704)</f>
        <v>11562704</v>
      </c>
    </row>
    <row r="869" spans="1:6" x14ac:dyDescent="0.35">
      <c r="A869" s="2">
        <f ca="1">IFERROR(__xludf.DUMMYFUNCTION("""COMPUTED_VALUE"""),43264.6666666666)</f>
        <v>43264.666666666599</v>
      </c>
      <c r="B869" s="1">
        <f ca="1">IFERROR(__xludf.DUMMYFUNCTION("""COMPUTED_VALUE"""),192.74)</f>
        <v>192.74</v>
      </c>
      <c r="C869" s="1">
        <f ca="1">IFERROR(__xludf.DUMMYFUNCTION("""COMPUTED_VALUE"""),194.5)</f>
        <v>194.5</v>
      </c>
      <c r="D869" s="1">
        <f ca="1">IFERROR(__xludf.DUMMYFUNCTION("""COMPUTED_VALUE"""),191.91)</f>
        <v>191.91</v>
      </c>
      <c r="E869" s="1">
        <f ca="1">IFERROR(__xludf.DUMMYFUNCTION("""COMPUTED_VALUE"""),192.41)</f>
        <v>192.41</v>
      </c>
      <c r="F869" s="1">
        <f ca="1">IFERROR(__xludf.DUMMYFUNCTION("""COMPUTED_VALUE"""),15853821)</f>
        <v>15853821</v>
      </c>
    </row>
    <row r="870" spans="1:6" x14ac:dyDescent="0.35">
      <c r="A870" s="2">
        <f ca="1">IFERROR(__xludf.DUMMYFUNCTION("""COMPUTED_VALUE"""),43265.6666666666)</f>
        <v>43265.666666666599</v>
      </c>
      <c r="B870" s="1">
        <f ca="1">IFERROR(__xludf.DUMMYFUNCTION("""COMPUTED_VALUE"""),193.1)</f>
        <v>193.1</v>
      </c>
      <c r="C870" s="1">
        <f ca="1">IFERROR(__xludf.DUMMYFUNCTION("""COMPUTED_VALUE"""),197.28)</f>
        <v>197.28</v>
      </c>
      <c r="D870" s="1">
        <f ca="1">IFERROR(__xludf.DUMMYFUNCTION("""COMPUTED_VALUE"""),192.91)</f>
        <v>192.91</v>
      </c>
      <c r="E870" s="1">
        <f ca="1">IFERROR(__xludf.DUMMYFUNCTION("""COMPUTED_VALUE"""),196.81)</f>
        <v>196.81</v>
      </c>
      <c r="F870" s="1">
        <f ca="1">IFERROR(__xludf.DUMMYFUNCTION("""COMPUTED_VALUE"""),19120866)</f>
        <v>19120866</v>
      </c>
    </row>
    <row r="871" spans="1:6" x14ac:dyDescent="0.35">
      <c r="A871" s="2">
        <f ca="1">IFERROR(__xludf.DUMMYFUNCTION("""COMPUTED_VALUE"""),43266.6666666666)</f>
        <v>43266.666666666599</v>
      </c>
      <c r="B871" s="1">
        <f ca="1">IFERROR(__xludf.DUMMYFUNCTION("""COMPUTED_VALUE"""),195.79)</f>
        <v>195.79</v>
      </c>
      <c r="C871" s="1">
        <f ca="1">IFERROR(__xludf.DUMMYFUNCTION("""COMPUTED_VALUE"""),197.07)</f>
        <v>197.07</v>
      </c>
      <c r="D871" s="1">
        <f ca="1">IFERROR(__xludf.DUMMYFUNCTION("""COMPUTED_VALUE"""),194.64)</f>
        <v>194.64</v>
      </c>
      <c r="E871" s="1">
        <f ca="1">IFERROR(__xludf.DUMMYFUNCTION("""COMPUTED_VALUE"""),195.85)</f>
        <v>195.85</v>
      </c>
      <c r="F871" s="1">
        <f ca="1">IFERROR(__xludf.DUMMYFUNCTION("""COMPUTED_VALUE"""),21860931)</f>
        <v>21860931</v>
      </c>
    </row>
    <row r="872" spans="1:6" x14ac:dyDescent="0.35">
      <c r="A872" s="2">
        <f ca="1">IFERROR(__xludf.DUMMYFUNCTION("""COMPUTED_VALUE"""),43269.6666666666)</f>
        <v>43269.666666666599</v>
      </c>
      <c r="B872" s="1">
        <f ca="1">IFERROR(__xludf.DUMMYFUNCTION("""COMPUTED_VALUE"""),194.8)</f>
        <v>194.8</v>
      </c>
      <c r="C872" s="1">
        <f ca="1">IFERROR(__xludf.DUMMYFUNCTION("""COMPUTED_VALUE"""),199.58)</f>
        <v>199.58</v>
      </c>
      <c r="D872" s="1">
        <f ca="1">IFERROR(__xludf.DUMMYFUNCTION("""COMPUTED_VALUE"""),194.13)</f>
        <v>194.13</v>
      </c>
      <c r="E872" s="1">
        <f ca="1">IFERROR(__xludf.DUMMYFUNCTION("""COMPUTED_VALUE"""),198.31)</f>
        <v>198.31</v>
      </c>
      <c r="F872" s="1">
        <f ca="1">IFERROR(__xludf.DUMMYFUNCTION("""COMPUTED_VALUE"""),16826023)</f>
        <v>16826023</v>
      </c>
    </row>
    <row r="873" spans="1:6" x14ac:dyDescent="0.35">
      <c r="A873" s="2">
        <f ca="1">IFERROR(__xludf.DUMMYFUNCTION("""COMPUTED_VALUE"""),43270.6666666666)</f>
        <v>43270.666666666599</v>
      </c>
      <c r="B873" s="1">
        <f ca="1">IFERROR(__xludf.DUMMYFUNCTION("""COMPUTED_VALUE"""),196.24)</f>
        <v>196.24</v>
      </c>
      <c r="C873" s="1">
        <f ca="1">IFERROR(__xludf.DUMMYFUNCTION("""COMPUTED_VALUE"""),197.96)</f>
        <v>197.96</v>
      </c>
      <c r="D873" s="1">
        <f ca="1">IFERROR(__xludf.DUMMYFUNCTION("""COMPUTED_VALUE"""),193.79)</f>
        <v>193.79</v>
      </c>
      <c r="E873" s="1">
        <f ca="1">IFERROR(__xludf.DUMMYFUNCTION("""COMPUTED_VALUE"""),197.49)</f>
        <v>197.49</v>
      </c>
      <c r="F873" s="1">
        <f ca="1">IFERROR(__xludf.DUMMYFUNCTION("""COMPUTED_VALUE"""),19993996)</f>
        <v>19993996</v>
      </c>
    </row>
    <row r="874" spans="1:6" x14ac:dyDescent="0.35">
      <c r="A874" s="2">
        <f ca="1">IFERROR(__xludf.DUMMYFUNCTION("""COMPUTED_VALUE"""),43271.6666666666)</f>
        <v>43271.666666666599</v>
      </c>
      <c r="B874" s="1">
        <f ca="1">IFERROR(__xludf.DUMMYFUNCTION("""COMPUTED_VALUE"""),199.1)</f>
        <v>199.1</v>
      </c>
      <c r="C874" s="1">
        <f ca="1">IFERROR(__xludf.DUMMYFUNCTION("""COMPUTED_VALUE"""),203.55)</f>
        <v>203.55</v>
      </c>
      <c r="D874" s="1">
        <f ca="1">IFERROR(__xludf.DUMMYFUNCTION("""COMPUTED_VALUE"""),198.81)</f>
        <v>198.81</v>
      </c>
      <c r="E874" s="1">
        <f ca="1">IFERROR(__xludf.DUMMYFUNCTION("""COMPUTED_VALUE"""),202)</f>
        <v>202</v>
      </c>
      <c r="F874" s="1">
        <f ca="1">IFERROR(__xludf.DUMMYFUNCTION("""COMPUTED_VALUE"""),28230933)</f>
        <v>28230933</v>
      </c>
    </row>
    <row r="875" spans="1:6" x14ac:dyDescent="0.35">
      <c r="A875" s="2">
        <f ca="1">IFERROR(__xludf.DUMMYFUNCTION("""COMPUTED_VALUE"""),43272.6666666666)</f>
        <v>43272.666666666599</v>
      </c>
      <c r="B875" s="1">
        <f ca="1">IFERROR(__xludf.DUMMYFUNCTION("""COMPUTED_VALUE"""),202.76)</f>
        <v>202.76</v>
      </c>
      <c r="C875" s="1">
        <f ca="1">IFERROR(__xludf.DUMMYFUNCTION("""COMPUTED_VALUE"""),203.39)</f>
        <v>203.39</v>
      </c>
      <c r="D875" s="1">
        <f ca="1">IFERROR(__xludf.DUMMYFUNCTION("""COMPUTED_VALUE"""),200.09)</f>
        <v>200.09</v>
      </c>
      <c r="E875" s="1">
        <f ca="1">IFERROR(__xludf.DUMMYFUNCTION("""COMPUTED_VALUE"""),201.5)</f>
        <v>201.5</v>
      </c>
      <c r="F875" s="1">
        <f ca="1">IFERROR(__xludf.DUMMYFUNCTION("""COMPUTED_VALUE"""),19045717)</f>
        <v>19045717</v>
      </c>
    </row>
    <row r="876" spans="1:6" x14ac:dyDescent="0.35">
      <c r="A876" s="2">
        <f ca="1">IFERROR(__xludf.DUMMYFUNCTION("""COMPUTED_VALUE"""),43273.6666666666)</f>
        <v>43273.666666666599</v>
      </c>
      <c r="B876" s="1">
        <f ca="1">IFERROR(__xludf.DUMMYFUNCTION("""COMPUTED_VALUE"""),201.16)</f>
        <v>201.16</v>
      </c>
      <c r="C876" s="1">
        <f ca="1">IFERROR(__xludf.DUMMYFUNCTION("""COMPUTED_VALUE"""),202.24)</f>
        <v>202.24</v>
      </c>
      <c r="D876" s="1">
        <f ca="1">IFERROR(__xludf.DUMMYFUNCTION("""COMPUTED_VALUE"""),199.31)</f>
        <v>199.31</v>
      </c>
      <c r="E876" s="1">
        <f ca="1">IFERROR(__xludf.DUMMYFUNCTION("""COMPUTED_VALUE"""),201.74)</f>
        <v>201.74</v>
      </c>
      <c r="F876" s="1">
        <f ca="1">IFERROR(__xludf.DUMMYFUNCTION("""COMPUTED_VALUE"""),17420188)</f>
        <v>17420188</v>
      </c>
    </row>
    <row r="877" spans="1:6" x14ac:dyDescent="0.35">
      <c r="A877" s="2">
        <f ca="1">IFERROR(__xludf.DUMMYFUNCTION("""COMPUTED_VALUE"""),43276.6666666666)</f>
        <v>43276.666666666599</v>
      </c>
      <c r="B877" s="1">
        <f ca="1">IFERROR(__xludf.DUMMYFUNCTION("""COMPUTED_VALUE"""),200)</f>
        <v>200</v>
      </c>
      <c r="C877" s="1">
        <f ca="1">IFERROR(__xludf.DUMMYFUNCTION("""COMPUTED_VALUE"""),200)</f>
        <v>200</v>
      </c>
      <c r="D877" s="1">
        <f ca="1">IFERROR(__xludf.DUMMYFUNCTION("""COMPUTED_VALUE"""),193.11)</f>
        <v>193.11</v>
      </c>
      <c r="E877" s="1">
        <f ca="1">IFERROR(__xludf.DUMMYFUNCTION("""COMPUTED_VALUE"""),196.35)</f>
        <v>196.35</v>
      </c>
      <c r="F877" s="1">
        <f ca="1">IFERROR(__xludf.DUMMYFUNCTION("""COMPUTED_VALUE"""),25275137)</f>
        <v>25275137</v>
      </c>
    </row>
    <row r="878" spans="1:6" x14ac:dyDescent="0.35">
      <c r="A878" s="2">
        <f ca="1">IFERROR(__xludf.DUMMYFUNCTION("""COMPUTED_VALUE"""),43277.6666666666)</f>
        <v>43277.666666666599</v>
      </c>
      <c r="B878" s="1">
        <f ca="1">IFERROR(__xludf.DUMMYFUNCTION("""COMPUTED_VALUE"""),197.6)</f>
        <v>197.6</v>
      </c>
      <c r="C878" s="1">
        <f ca="1">IFERROR(__xludf.DUMMYFUNCTION("""COMPUTED_VALUE"""),199.1)</f>
        <v>199.1</v>
      </c>
      <c r="D878" s="1">
        <f ca="1">IFERROR(__xludf.DUMMYFUNCTION("""COMPUTED_VALUE"""),196.23)</f>
        <v>196.23</v>
      </c>
      <c r="E878" s="1">
        <f ca="1">IFERROR(__xludf.DUMMYFUNCTION("""COMPUTED_VALUE"""),199)</f>
        <v>199</v>
      </c>
      <c r="F878" s="1">
        <f ca="1">IFERROR(__xludf.DUMMYFUNCTION("""COMPUTED_VALUE"""),17897576)</f>
        <v>17897576</v>
      </c>
    </row>
    <row r="879" spans="1:6" x14ac:dyDescent="0.35">
      <c r="A879" s="2">
        <f ca="1">IFERROR(__xludf.DUMMYFUNCTION("""COMPUTED_VALUE"""),43278.6666666666)</f>
        <v>43278.666666666599</v>
      </c>
      <c r="B879" s="1">
        <f ca="1">IFERROR(__xludf.DUMMYFUNCTION("""COMPUTED_VALUE"""),199.18)</f>
        <v>199.18</v>
      </c>
      <c r="C879" s="1">
        <f ca="1">IFERROR(__xludf.DUMMYFUNCTION("""COMPUTED_VALUE"""),200.75)</f>
        <v>200.75</v>
      </c>
      <c r="D879" s="1">
        <f ca="1">IFERROR(__xludf.DUMMYFUNCTION("""COMPUTED_VALUE"""),195.8)</f>
        <v>195.8</v>
      </c>
      <c r="E879" s="1">
        <f ca="1">IFERROR(__xludf.DUMMYFUNCTION("""COMPUTED_VALUE"""),195.84)</f>
        <v>195.84</v>
      </c>
      <c r="F879" s="1">
        <f ca="1">IFERROR(__xludf.DUMMYFUNCTION("""COMPUTED_VALUE"""),18734408)</f>
        <v>18734408</v>
      </c>
    </row>
    <row r="880" spans="1:6" x14ac:dyDescent="0.35">
      <c r="A880" s="2">
        <f ca="1">IFERROR(__xludf.DUMMYFUNCTION("""COMPUTED_VALUE"""),43279.6666666666)</f>
        <v>43279.666666666599</v>
      </c>
      <c r="B880" s="1">
        <f ca="1">IFERROR(__xludf.DUMMYFUNCTION("""COMPUTED_VALUE"""),195.18)</f>
        <v>195.18</v>
      </c>
      <c r="C880" s="1">
        <f ca="1">IFERROR(__xludf.DUMMYFUNCTION("""COMPUTED_VALUE"""),197.34)</f>
        <v>197.34</v>
      </c>
      <c r="D880" s="1">
        <f ca="1">IFERROR(__xludf.DUMMYFUNCTION("""COMPUTED_VALUE"""),193.26)</f>
        <v>193.26</v>
      </c>
      <c r="E880" s="1">
        <f ca="1">IFERROR(__xludf.DUMMYFUNCTION("""COMPUTED_VALUE"""),196.23)</f>
        <v>196.23</v>
      </c>
      <c r="F880" s="1">
        <f ca="1">IFERROR(__xludf.DUMMYFUNCTION("""COMPUTED_VALUE"""),18172439)</f>
        <v>18172439</v>
      </c>
    </row>
    <row r="881" spans="1:6" x14ac:dyDescent="0.35">
      <c r="A881" s="2">
        <f ca="1">IFERROR(__xludf.DUMMYFUNCTION("""COMPUTED_VALUE"""),43280.6666666666)</f>
        <v>43280.666666666599</v>
      </c>
      <c r="B881" s="1">
        <f ca="1">IFERROR(__xludf.DUMMYFUNCTION("""COMPUTED_VALUE"""),197.32)</f>
        <v>197.32</v>
      </c>
      <c r="C881" s="1">
        <f ca="1">IFERROR(__xludf.DUMMYFUNCTION("""COMPUTED_VALUE"""),197.6)</f>
        <v>197.6</v>
      </c>
      <c r="D881" s="1">
        <f ca="1">IFERROR(__xludf.DUMMYFUNCTION("""COMPUTED_VALUE"""),193.96)</f>
        <v>193.96</v>
      </c>
      <c r="E881" s="1">
        <f ca="1">IFERROR(__xludf.DUMMYFUNCTION("""COMPUTED_VALUE"""),194.32)</f>
        <v>194.32</v>
      </c>
      <c r="F881" s="1">
        <f ca="1">IFERROR(__xludf.DUMMYFUNCTION("""COMPUTED_VALUE"""),15811602)</f>
        <v>15811602</v>
      </c>
    </row>
    <row r="882" spans="1:6" x14ac:dyDescent="0.35">
      <c r="A882" s="2">
        <f ca="1">IFERROR(__xludf.DUMMYFUNCTION("""COMPUTED_VALUE"""),43283.6666666666)</f>
        <v>43283.666666666599</v>
      </c>
      <c r="B882" s="1">
        <f ca="1">IFERROR(__xludf.DUMMYFUNCTION("""COMPUTED_VALUE"""),193.37)</f>
        <v>193.37</v>
      </c>
      <c r="C882" s="1">
        <f ca="1">IFERROR(__xludf.DUMMYFUNCTION("""COMPUTED_VALUE"""),197.45)</f>
        <v>197.45</v>
      </c>
      <c r="D882" s="1">
        <f ca="1">IFERROR(__xludf.DUMMYFUNCTION("""COMPUTED_VALUE"""),192.22)</f>
        <v>192.22</v>
      </c>
      <c r="E882" s="1">
        <f ca="1">IFERROR(__xludf.DUMMYFUNCTION("""COMPUTED_VALUE"""),197.36)</f>
        <v>197.36</v>
      </c>
      <c r="F882" s="1">
        <f ca="1">IFERROR(__xludf.DUMMYFUNCTION("""COMPUTED_VALUE"""),13961578)</f>
        <v>13961578</v>
      </c>
    </row>
    <row r="883" spans="1:6" x14ac:dyDescent="0.35">
      <c r="A883" s="2">
        <f ca="1">IFERROR(__xludf.DUMMYFUNCTION("""COMPUTED_VALUE"""),43284.5416666666)</f>
        <v>43284.541666666599</v>
      </c>
      <c r="B883" s="1">
        <f ca="1">IFERROR(__xludf.DUMMYFUNCTION("""COMPUTED_VALUE"""),194.55)</f>
        <v>194.55</v>
      </c>
      <c r="C883" s="1">
        <f ca="1">IFERROR(__xludf.DUMMYFUNCTION("""COMPUTED_VALUE"""),195.4)</f>
        <v>195.4</v>
      </c>
      <c r="D883" s="1">
        <f ca="1">IFERROR(__xludf.DUMMYFUNCTION("""COMPUTED_VALUE"""),192.52)</f>
        <v>192.52</v>
      </c>
      <c r="E883" s="1">
        <f ca="1">IFERROR(__xludf.DUMMYFUNCTION("""COMPUTED_VALUE"""),192.73)</f>
        <v>192.73</v>
      </c>
      <c r="F883" s="1">
        <f ca="1">IFERROR(__xludf.DUMMYFUNCTION("""COMPUTED_VALUE"""),13489514)</f>
        <v>13489514</v>
      </c>
    </row>
    <row r="884" spans="1:6" x14ac:dyDescent="0.35">
      <c r="A884" s="2">
        <f ca="1">IFERROR(__xludf.DUMMYFUNCTION("""COMPUTED_VALUE"""),43286.6666666666)</f>
        <v>43286.666666666599</v>
      </c>
      <c r="B884" s="1">
        <f ca="1">IFERROR(__xludf.DUMMYFUNCTION("""COMPUTED_VALUE"""),194.74)</f>
        <v>194.74</v>
      </c>
      <c r="C884" s="1">
        <f ca="1">IFERROR(__xludf.DUMMYFUNCTION("""COMPUTED_VALUE"""),198.65)</f>
        <v>198.65</v>
      </c>
      <c r="D884" s="1">
        <f ca="1">IFERROR(__xludf.DUMMYFUNCTION("""COMPUTED_VALUE"""),194.03)</f>
        <v>194.03</v>
      </c>
      <c r="E884" s="1">
        <f ca="1">IFERROR(__xludf.DUMMYFUNCTION("""COMPUTED_VALUE"""),198.45)</f>
        <v>198.45</v>
      </c>
      <c r="F884" s="1">
        <f ca="1">IFERROR(__xludf.DUMMYFUNCTION("""COMPUTED_VALUE"""),19684193)</f>
        <v>19684193</v>
      </c>
    </row>
    <row r="885" spans="1:6" x14ac:dyDescent="0.35">
      <c r="A885" s="2">
        <f ca="1">IFERROR(__xludf.DUMMYFUNCTION("""COMPUTED_VALUE"""),43287.6666666666)</f>
        <v>43287.666666666599</v>
      </c>
      <c r="B885" s="1">
        <f ca="1">IFERROR(__xludf.DUMMYFUNCTION("""COMPUTED_VALUE"""),198.45)</f>
        <v>198.45</v>
      </c>
      <c r="C885" s="1">
        <f ca="1">IFERROR(__xludf.DUMMYFUNCTION("""COMPUTED_VALUE"""),203.64)</f>
        <v>203.64</v>
      </c>
      <c r="D885" s="1">
        <f ca="1">IFERROR(__xludf.DUMMYFUNCTION("""COMPUTED_VALUE"""),197.7)</f>
        <v>197.7</v>
      </c>
      <c r="E885" s="1">
        <f ca="1">IFERROR(__xludf.DUMMYFUNCTION("""COMPUTED_VALUE"""),203.23)</f>
        <v>203.23</v>
      </c>
      <c r="F885" s="1">
        <f ca="1">IFERROR(__xludf.DUMMYFUNCTION("""COMPUTED_VALUE"""),19740131)</f>
        <v>19740131</v>
      </c>
    </row>
    <row r="886" spans="1:6" x14ac:dyDescent="0.35">
      <c r="A886" s="2">
        <f ca="1">IFERROR(__xludf.DUMMYFUNCTION("""COMPUTED_VALUE"""),43290.6666666666)</f>
        <v>43290.666666666599</v>
      </c>
      <c r="B886" s="1">
        <f ca="1">IFERROR(__xludf.DUMMYFUNCTION("""COMPUTED_VALUE"""),204.93)</f>
        <v>204.93</v>
      </c>
      <c r="C886" s="1">
        <f ca="1">IFERROR(__xludf.DUMMYFUNCTION("""COMPUTED_VALUE"""),205.8)</f>
        <v>205.8</v>
      </c>
      <c r="D886" s="1">
        <f ca="1">IFERROR(__xludf.DUMMYFUNCTION("""COMPUTED_VALUE"""),202.12)</f>
        <v>202.12</v>
      </c>
      <c r="E886" s="1">
        <f ca="1">IFERROR(__xludf.DUMMYFUNCTION("""COMPUTED_VALUE"""),204.74)</f>
        <v>204.74</v>
      </c>
      <c r="F886" s="1">
        <f ca="1">IFERROR(__xludf.DUMMYFUNCTION("""COMPUTED_VALUE"""),18149437)</f>
        <v>18149437</v>
      </c>
    </row>
    <row r="887" spans="1:6" x14ac:dyDescent="0.35">
      <c r="A887" s="2">
        <f ca="1">IFERROR(__xludf.DUMMYFUNCTION("""COMPUTED_VALUE"""),43291.6666666666)</f>
        <v>43291.666666666599</v>
      </c>
      <c r="B887" s="1">
        <f ca="1">IFERROR(__xludf.DUMMYFUNCTION("""COMPUTED_VALUE"""),204.5)</f>
        <v>204.5</v>
      </c>
      <c r="C887" s="1">
        <f ca="1">IFERROR(__xludf.DUMMYFUNCTION("""COMPUTED_VALUE"""),204.91)</f>
        <v>204.91</v>
      </c>
      <c r="D887" s="1">
        <f ca="1">IFERROR(__xludf.DUMMYFUNCTION("""COMPUTED_VALUE"""),202.26)</f>
        <v>202.26</v>
      </c>
      <c r="E887" s="1">
        <f ca="1">IFERROR(__xludf.DUMMYFUNCTION("""COMPUTED_VALUE"""),203.54)</f>
        <v>203.54</v>
      </c>
      <c r="F887" s="1">
        <f ca="1">IFERROR(__xludf.DUMMYFUNCTION("""COMPUTED_VALUE"""),13190067)</f>
        <v>13190067</v>
      </c>
    </row>
    <row r="888" spans="1:6" x14ac:dyDescent="0.35">
      <c r="A888" s="2">
        <f ca="1">IFERROR(__xludf.DUMMYFUNCTION("""COMPUTED_VALUE"""),43292.6666666666)</f>
        <v>43292.666666666599</v>
      </c>
      <c r="B888" s="1">
        <f ca="1">IFERROR(__xludf.DUMMYFUNCTION("""COMPUTED_VALUE"""),202.22)</f>
        <v>202.22</v>
      </c>
      <c r="C888" s="1">
        <f ca="1">IFERROR(__xludf.DUMMYFUNCTION("""COMPUTED_VALUE"""),204.5)</f>
        <v>204.5</v>
      </c>
      <c r="D888" s="1">
        <f ca="1">IFERROR(__xludf.DUMMYFUNCTION("""COMPUTED_VALUE"""),201.75)</f>
        <v>201.75</v>
      </c>
      <c r="E888" s="1">
        <f ca="1">IFERROR(__xludf.DUMMYFUNCTION("""COMPUTED_VALUE"""),202.54)</f>
        <v>202.54</v>
      </c>
      <c r="F888" s="1">
        <f ca="1">IFERROR(__xludf.DUMMYFUNCTION("""COMPUTED_VALUE"""),12927377)</f>
        <v>12927377</v>
      </c>
    </row>
    <row r="889" spans="1:6" x14ac:dyDescent="0.35">
      <c r="A889" s="2">
        <f ca="1">IFERROR(__xludf.DUMMYFUNCTION("""COMPUTED_VALUE"""),43293.6666666666)</f>
        <v>43293.666666666599</v>
      </c>
      <c r="B889" s="1">
        <f ca="1">IFERROR(__xludf.DUMMYFUNCTION("""COMPUTED_VALUE"""),203.43)</f>
        <v>203.43</v>
      </c>
      <c r="C889" s="1">
        <f ca="1">IFERROR(__xludf.DUMMYFUNCTION("""COMPUTED_VALUE"""),207.08)</f>
        <v>207.08</v>
      </c>
      <c r="D889" s="1">
        <f ca="1">IFERROR(__xludf.DUMMYFUNCTION("""COMPUTED_VALUE"""),203.19)</f>
        <v>203.19</v>
      </c>
      <c r="E889" s="1">
        <f ca="1">IFERROR(__xludf.DUMMYFUNCTION("""COMPUTED_VALUE"""),206.92)</f>
        <v>206.92</v>
      </c>
      <c r="F889" s="1">
        <f ca="1">IFERROR(__xludf.DUMMYFUNCTION("""COMPUTED_VALUE"""),15454706)</f>
        <v>15454706</v>
      </c>
    </row>
    <row r="890" spans="1:6" x14ac:dyDescent="0.35">
      <c r="A890" s="2">
        <f ca="1">IFERROR(__xludf.DUMMYFUNCTION("""COMPUTED_VALUE"""),43294.6666666666)</f>
        <v>43294.666666666599</v>
      </c>
      <c r="B890" s="1">
        <f ca="1">IFERROR(__xludf.DUMMYFUNCTION("""COMPUTED_VALUE"""),207.81)</f>
        <v>207.81</v>
      </c>
      <c r="C890" s="1">
        <f ca="1">IFERROR(__xludf.DUMMYFUNCTION("""COMPUTED_VALUE"""),208.43)</f>
        <v>208.43</v>
      </c>
      <c r="D890" s="1">
        <f ca="1">IFERROR(__xludf.DUMMYFUNCTION("""COMPUTED_VALUE"""),206.45)</f>
        <v>206.45</v>
      </c>
      <c r="E890" s="1">
        <f ca="1">IFERROR(__xludf.DUMMYFUNCTION("""COMPUTED_VALUE"""),207.32)</f>
        <v>207.32</v>
      </c>
      <c r="F890" s="1">
        <f ca="1">IFERROR(__xludf.DUMMYFUNCTION("""COMPUTED_VALUE"""),11503401)</f>
        <v>11503401</v>
      </c>
    </row>
    <row r="891" spans="1:6" x14ac:dyDescent="0.35">
      <c r="A891" s="2">
        <f ca="1">IFERROR(__xludf.DUMMYFUNCTION("""COMPUTED_VALUE"""),43297.6666666666)</f>
        <v>43297.666666666599</v>
      </c>
      <c r="B891" s="1">
        <f ca="1">IFERROR(__xludf.DUMMYFUNCTION("""COMPUTED_VALUE"""),207.5)</f>
        <v>207.5</v>
      </c>
      <c r="C891" s="1">
        <f ca="1">IFERROR(__xludf.DUMMYFUNCTION("""COMPUTED_VALUE"""),208.72)</f>
        <v>208.72</v>
      </c>
      <c r="D891" s="1">
        <f ca="1">IFERROR(__xludf.DUMMYFUNCTION("""COMPUTED_VALUE"""),206.84)</f>
        <v>206.84</v>
      </c>
      <c r="E891" s="1">
        <f ca="1">IFERROR(__xludf.DUMMYFUNCTION("""COMPUTED_VALUE"""),207.23)</f>
        <v>207.23</v>
      </c>
      <c r="F891" s="1">
        <f ca="1">IFERROR(__xludf.DUMMYFUNCTION("""COMPUTED_VALUE"""),11078209)</f>
        <v>11078209</v>
      </c>
    </row>
    <row r="892" spans="1:6" x14ac:dyDescent="0.35">
      <c r="A892" s="2">
        <f ca="1">IFERROR(__xludf.DUMMYFUNCTION("""COMPUTED_VALUE"""),43298.6666666666)</f>
        <v>43298.666666666599</v>
      </c>
      <c r="B892" s="1">
        <f ca="1">IFERROR(__xludf.DUMMYFUNCTION("""COMPUTED_VALUE"""),204.9)</f>
        <v>204.9</v>
      </c>
      <c r="C892" s="1">
        <f ca="1">IFERROR(__xludf.DUMMYFUNCTION("""COMPUTED_VALUE"""),210.46)</f>
        <v>210.46</v>
      </c>
      <c r="D892" s="1">
        <f ca="1">IFERROR(__xludf.DUMMYFUNCTION("""COMPUTED_VALUE"""),204.84)</f>
        <v>204.84</v>
      </c>
      <c r="E892" s="1">
        <f ca="1">IFERROR(__xludf.DUMMYFUNCTION("""COMPUTED_VALUE"""),209.99)</f>
        <v>209.99</v>
      </c>
      <c r="F892" s="1">
        <f ca="1">IFERROR(__xludf.DUMMYFUNCTION("""COMPUTED_VALUE"""),15349892)</f>
        <v>15349892</v>
      </c>
    </row>
    <row r="893" spans="1:6" x14ac:dyDescent="0.35">
      <c r="A893" s="2">
        <f ca="1">IFERROR(__xludf.DUMMYFUNCTION("""COMPUTED_VALUE"""),43299.6666666666)</f>
        <v>43299.666666666599</v>
      </c>
      <c r="B893" s="1">
        <f ca="1">IFERROR(__xludf.DUMMYFUNCTION("""COMPUTED_VALUE"""),209.82)</f>
        <v>209.82</v>
      </c>
      <c r="C893" s="1">
        <f ca="1">IFERROR(__xludf.DUMMYFUNCTION("""COMPUTED_VALUE"""),210.99)</f>
        <v>210.99</v>
      </c>
      <c r="D893" s="1">
        <f ca="1">IFERROR(__xludf.DUMMYFUNCTION("""COMPUTED_VALUE"""),208.44)</f>
        <v>208.44</v>
      </c>
      <c r="E893" s="1">
        <f ca="1">IFERROR(__xludf.DUMMYFUNCTION("""COMPUTED_VALUE"""),209.36)</f>
        <v>209.36</v>
      </c>
      <c r="F893" s="1">
        <f ca="1">IFERROR(__xludf.DUMMYFUNCTION("""COMPUTED_VALUE"""),15334907)</f>
        <v>15334907</v>
      </c>
    </row>
    <row r="894" spans="1:6" x14ac:dyDescent="0.35">
      <c r="A894" s="2">
        <f ca="1">IFERROR(__xludf.DUMMYFUNCTION("""COMPUTED_VALUE"""),43300.6666666666)</f>
        <v>43300.666666666599</v>
      </c>
      <c r="B894" s="1">
        <f ca="1">IFERROR(__xludf.DUMMYFUNCTION("""COMPUTED_VALUE"""),208.77)</f>
        <v>208.77</v>
      </c>
      <c r="C894" s="1">
        <f ca="1">IFERROR(__xludf.DUMMYFUNCTION("""COMPUTED_VALUE"""),209.99)</f>
        <v>209.99</v>
      </c>
      <c r="D894" s="1">
        <f ca="1">IFERROR(__xludf.DUMMYFUNCTION("""COMPUTED_VALUE"""),207.76)</f>
        <v>207.76</v>
      </c>
      <c r="E894" s="1">
        <f ca="1">IFERROR(__xludf.DUMMYFUNCTION("""COMPUTED_VALUE"""),208.09)</f>
        <v>208.09</v>
      </c>
      <c r="F894" s="1">
        <f ca="1">IFERROR(__xludf.DUMMYFUNCTION("""COMPUTED_VALUE"""),11350429)</f>
        <v>11350429</v>
      </c>
    </row>
    <row r="895" spans="1:6" x14ac:dyDescent="0.35">
      <c r="A895" s="2">
        <f ca="1">IFERROR(__xludf.DUMMYFUNCTION("""COMPUTED_VALUE"""),43301.6666666666)</f>
        <v>43301.666666666599</v>
      </c>
      <c r="B895" s="1">
        <f ca="1">IFERROR(__xludf.DUMMYFUNCTION("""COMPUTED_VALUE"""),208.85)</f>
        <v>208.85</v>
      </c>
      <c r="C895" s="1">
        <f ca="1">IFERROR(__xludf.DUMMYFUNCTION("""COMPUTED_VALUE"""),211.5)</f>
        <v>211.5</v>
      </c>
      <c r="D895" s="1">
        <f ca="1">IFERROR(__xludf.DUMMYFUNCTION("""COMPUTED_VALUE"""),208.5)</f>
        <v>208.5</v>
      </c>
      <c r="E895" s="1">
        <f ca="1">IFERROR(__xludf.DUMMYFUNCTION("""COMPUTED_VALUE"""),209.94)</f>
        <v>209.94</v>
      </c>
      <c r="F895" s="1">
        <f ca="1">IFERROR(__xludf.DUMMYFUNCTION("""COMPUTED_VALUE"""),16241508)</f>
        <v>16241508</v>
      </c>
    </row>
    <row r="896" spans="1:6" x14ac:dyDescent="0.35">
      <c r="A896" s="2">
        <f ca="1">IFERROR(__xludf.DUMMYFUNCTION("""COMPUTED_VALUE"""),43304.6666666666)</f>
        <v>43304.666666666599</v>
      </c>
      <c r="B896" s="1">
        <f ca="1">IFERROR(__xludf.DUMMYFUNCTION("""COMPUTED_VALUE"""),210.58)</f>
        <v>210.58</v>
      </c>
      <c r="C896" s="1">
        <f ca="1">IFERROR(__xludf.DUMMYFUNCTION("""COMPUTED_VALUE"""),211.62)</f>
        <v>211.62</v>
      </c>
      <c r="D896" s="1">
        <f ca="1">IFERROR(__xludf.DUMMYFUNCTION("""COMPUTED_VALUE"""),208.8)</f>
        <v>208.8</v>
      </c>
      <c r="E896" s="1">
        <f ca="1">IFERROR(__xludf.DUMMYFUNCTION("""COMPUTED_VALUE"""),210.91)</f>
        <v>210.91</v>
      </c>
      <c r="F896" s="1">
        <f ca="1">IFERROR(__xludf.DUMMYFUNCTION("""COMPUTED_VALUE"""),16731969)</f>
        <v>16731969</v>
      </c>
    </row>
    <row r="897" spans="1:6" x14ac:dyDescent="0.35">
      <c r="A897" s="2">
        <f ca="1">IFERROR(__xludf.DUMMYFUNCTION("""COMPUTED_VALUE"""),43305.6666666666)</f>
        <v>43305.666666666599</v>
      </c>
      <c r="B897" s="1">
        <f ca="1">IFERROR(__xludf.DUMMYFUNCTION("""COMPUTED_VALUE"""),215.11)</f>
        <v>215.11</v>
      </c>
      <c r="C897" s="1">
        <f ca="1">IFERROR(__xludf.DUMMYFUNCTION("""COMPUTED_VALUE"""),216.2)</f>
        <v>216.2</v>
      </c>
      <c r="D897" s="1">
        <f ca="1">IFERROR(__xludf.DUMMYFUNCTION("""COMPUTED_VALUE"""),212.6)</f>
        <v>212.6</v>
      </c>
      <c r="E897" s="1">
        <f ca="1">IFERROR(__xludf.DUMMYFUNCTION("""COMPUTED_VALUE"""),214.67)</f>
        <v>214.67</v>
      </c>
      <c r="F897" s="1">
        <f ca="1">IFERROR(__xludf.DUMMYFUNCTION("""COMPUTED_VALUE"""),28468681)</f>
        <v>28468681</v>
      </c>
    </row>
    <row r="898" spans="1:6" x14ac:dyDescent="0.35">
      <c r="A898" s="2">
        <f ca="1">IFERROR(__xludf.DUMMYFUNCTION("""COMPUTED_VALUE"""),43306.6666666666)</f>
        <v>43306.666666666599</v>
      </c>
      <c r="B898" s="1">
        <f ca="1">IFERROR(__xludf.DUMMYFUNCTION("""COMPUTED_VALUE"""),215.72)</f>
        <v>215.72</v>
      </c>
      <c r="C898" s="1">
        <f ca="1">IFERROR(__xludf.DUMMYFUNCTION("""COMPUTED_VALUE"""),218.62)</f>
        <v>218.62</v>
      </c>
      <c r="D898" s="1">
        <f ca="1">IFERROR(__xludf.DUMMYFUNCTION("""COMPUTED_VALUE"""),214.27)</f>
        <v>214.27</v>
      </c>
      <c r="E898" s="1">
        <f ca="1">IFERROR(__xludf.DUMMYFUNCTION("""COMPUTED_VALUE"""),217.5)</f>
        <v>217.5</v>
      </c>
      <c r="F898" s="1">
        <f ca="1">IFERROR(__xludf.DUMMYFUNCTION("""COMPUTED_VALUE"""),64592585)</f>
        <v>64592585</v>
      </c>
    </row>
    <row r="899" spans="1:6" x14ac:dyDescent="0.35">
      <c r="A899" s="2">
        <f ca="1">IFERROR(__xludf.DUMMYFUNCTION("""COMPUTED_VALUE"""),43307.6666666666)</f>
        <v>43307.666666666599</v>
      </c>
      <c r="B899" s="1">
        <f ca="1">IFERROR(__xludf.DUMMYFUNCTION("""COMPUTED_VALUE"""),174.89)</f>
        <v>174.89</v>
      </c>
      <c r="C899" s="1">
        <f ca="1">IFERROR(__xludf.DUMMYFUNCTION("""COMPUTED_VALUE"""),180.13)</f>
        <v>180.13</v>
      </c>
      <c r="D899" s="1">
        <f ca="1">IFERROR(__xludf.DUMMYFUNCTION("""COMPUTED_VALUE"""),173.75)</f>
        <v>173.75</v>
      </c>
      <c r="E899" s="1">
        <f ca="1">IFERROR(__xludf.DUMMYFUNCTION("""COMPUTED_VALUE"""),176.26)</f>
        <v>176.26</v>
      </c>
      <c r="F899" s="1">
        <f ca="1">IFERROR(__xludf.DUMMYFUNCTION("""COMPUTED_VALUE"""),169803668)</f>
        <v>169803668</v>
      </c>
    </row>
    <row r="900" spans="1:6" x14ac:dyDescent="0.35">
      <c r="A900" s="2">
        <f ca="1">IFERROR(__xludf.DUMMYFUNCTION("""COMPUTED_VALUE"""),43308.6666666666)</f>
        <v>43308.666666666599</v>
      </c>
      <c r="B900" s="1">
        <f ca="1">IFERROR(__xludf.DUMMYFUNCTION("""COMPUTED_VALUE"""),179.87)</f>
        <v>179.87</v>
      </c>
      <c r="C900" s="1">
        <f ca="1">IFERROR(__xludf.DUMMYFUNCTION("""COMPUTED_VALUE"""),179.93)</f>
        <v>179.93</v>
      </c>
      <c r="D900" s="1">
        <f ca="1">IFERROR(__xludf.DUMMYFUNCTION("""COMPUTED_VALUE"""),173)</f>
        <v>173</v>
      </c>
      <c r="E900" s="1">
        <f ca="1">IFERROR(__xludf.DUMMYFUNCTION("""COMPUTED_VALUE"""),174.89)</f>
        <v>174.89</v>
      </c>
      <c r="F900" s="1">
        <f ca="1">IFERROR(__xludf.DUMMYFUNCTION("""COMPUTED_VALUE"""),60073749)</f>
        <v>60073749</v>
      </c>
    </row>
    <row r="901" spans="1:6" x14ac:dyDescent="0.35">
      <c r="A901" s="2">
        <f ca="1">IFERROR(__xludf.DUMMYFUNCTION("""COMPUTED_VALUE"""),43311.6666666666)</f>
        <v>43311.666666666599</v>
      </c>
      <c r="B901" s="1">
        <f ca="1">IFERROR(__xludf.DUMMYFUNCTION("""COMPUTED_VALUE"""),175.3)</f>
        <v>175.3</v>
      </c>
      <c r="C901" s="1">
        <f ca="1">IFERROR(__xludf.DUMMYFUNCTION("""COMPUTED_VALUE"""),175.3)</f>
        <v>175.3</v>
      </c>
      <c r="D901" s="1">
        <f ca="1">IFERROR(__xludf.DUMMYFUNCTION("""COMPUTED_VALUE"""),166.56)</f>
        <v>166.56</v>
      </c>
      <c r="E901" s="1">
        <f ca="1">IFERROR(__xludf.DUMMYFUNCTION("""COMPUTED_VALUE"""),171.06)</f>
        <v>171.06</v>
      </c>
      <c r="F901" s="1">
        <f ca="1">IFERROR(__xludf.DUMMYFUNCTION("""COMPUTED_VALUE"""),65280787)</f>
        <v>65280787</v>
      </c>
    </row>
    <row r="902" spans="1:6" x14ac:dyDescent="0.35">
      <c r="A902" s="2">
        <f ca="1">IFERROR(__xludf.DUMMYFUNCTION("""COMPUTED_VALUE"""),43312.6666666666)</f>
        <v>43312.666666666599</v>
      </c>
      <c r="B902" s="1">
        <f ca="1">IFERROR(__xludf.DUMMYFUNCTION("""COMPUTED_VALUE"""),170.67)</f>
        <v>170.67</v>
      </c>
      <c r="C902" s="1">
        <f ca="1">IFERROR(__xludf.DUMMYFUNCTION("""COMPUTED_VALUE"""),174.24)</f>
        <v>174.24</v>
      </c>
      <c r="D902" s="1">
        <f ca="1">IFERROR(__xludf.DUMMYFUNCTION("""COMPUTED_VALUE"""),170)</f>
        <v>170</v>
      </c>
      <c r="E902" s="1">
        <f ca="1">IFERROR(__xludf.DUMMYFUNCTION("""COMPUTED_VALUE"""),172.58)</f>
        <v>172.58</v>
      </c>
      <c r="F902" s="1">
        <f ca="1">IFERROR(__xludf.DUMMYFUNCTION("""COMPUTED_VALUE"""),40356471)</f>
        <v>40356471</v>
      </c>
    </row>
    <row r="903" spans="1:6" x14ac:dyDescent="0.35">
      <c r="A903" s="2">
        <f ca="1">IFERROR(__xludf.DUMMYFUNCTION("""COMPUTED_VALUE"""),43313.6666666666)</f>
        <v>43313.666666666599</v>
      </c>
      <c r="B903" s="1">
        <f ca="1">IFERROR(__xludf.DUMMYFUNCTION("""COMPUTED_VALUE"""),173.93)</f>
        <v>173.93</v>
      </c>
      <c r="C903" s="1">
        <f ca="1">IFERROR(__xludf.DUMMYFUNCTION("""COMPUTED_VALUE"""),175.08)</f>
        <v>175.08</v>
      </c>
      <c r="D903" s="1">
        <f ca="1">IFERROR(__xludf.DUMMYFUNCTION("""COMPUTED_VALUE"""),170.9)</f>
        <v>170.9</v>
      </c>
      <c r="E903" s="1">
        <f ca="1">IFERROR(__xludf.DUMMYFUNCTION("""COMPUTED_VALUE"""),171.65)</f>
        <v>171.65</v>
      </c>
      <c r="F903" s="1">
        <f ca="1">IFERROR(__xludf.DUMMYFUNCTION("""COMPUTED_VALUE"""),34042109)</f>
        <v>34042109</v>
      </c>
    </row>
    <row r="904" spans="1:6" x14ac:dyDescent="0.35">
      <c r="A904" s="2">
        <f ca="1">IFERROR(__xludf.DUMMYFUNCTION("""COMPUTED_VALUE"""),43314.6666666666)</f>
        <v>43314.666666666599</v>
      </c>
      <c r="B904" s="1">
        <f ca="1">IFERROR(__xludf.DUMMYFUNCTION("""COMPUTED_VALUE"""),170.68)</f>
        <v>170.68</v>
      </c>
      <c r="C904" s="1">
        <f ca="1">IFERROR(__xludf.DUMMYFUNCTION("""COMPUTED_VALUE"""),176.79)</f>
        <v>176.79</v>
      </c>
      <c r="D904" s="1">
        <f ca="1">IFERROR(__xludf.DUMMYFUNCTION("""COMPUTED_VALUE"""),170.27)</f>
        <v>170.27</v>
      </c>
      <c r="E904" s="1">
        <f ca="1">IFERROR(__xludf.DUMMYFUNCTION("""COMPUTED_VALUE"""),176.37)</f>
        <v>176.37</v>
      </c>
      <c r="F904" s="1">
        <f ca="1">IFERROR(__xludf.DUMMYFUNCTION("""COMPUTED_VALUE"""),32399954)</f>
        <v>32399954</v>
      </c>
    </row>
    <row r="905" spans="1:6" x14ac:dyDescent="0.35">
      <c r="A905" s="2">
        <f ca="1">IFERROR(__xludf.DUMMYFUNCTION("""COMPUTED_VALUE"""),43315.6666666666)</f>
        <v>43315.666666666599</v>
      </c>
      <c r="B905" s="1">
        <f ca="1">IFERROR(__xludf.DUMMYFUNCTION("""COMPUTED_VALUE"""),177.69)</f>
        <v>177.69</v>
      </c>
      <c r="C905" s="1">
        <f ca="1">IFERROR(__xludf.DUMMYFUNCTION("""COMPUTED_VALUE"""),178.85)</f>
        <v>178.85</v>
      </c>
      <c r="D905" s="1">
        <f ca="1">IFERROR(__xludf.DUMMYFUNCTION("""COMPUTED_VALUE"""),176.15)</f>
        <v>176.15</v>
      </c>
      <c r="E905" s="1">
        <f ca="1">IFERROR(__xludf.DUMMYFUNCTION("""COMPUTED_VALUE"""),177.78)</f>
        <v>177.78</v>
      </c>
      <c r="F905" s="1">
        <f ca="1">IFERROR(__xludf.DUMMYFUNCTION("""COMPUTED_VALUE"""),24763434)</f>
        <v>24763434</v>
      </c>
    </row>
    <row r="906" spans="1:6" x14ac:dyDescent="0.35">
      <c r="A906" s="2">
        <f ca="1">IFERROR(__xludf.DUMMYFUNCTION("""COMPUTED_VALUE"""),43318.6666666666)</f>
        <v>43318.666666666599</v>
      </c>
      <c r="B906" s="1">
        <f ca="1">IFERROR(__xludf.DUMMYFUNCTION("""COMPUTED_VALUE"""),178.97)</f>
        <v>178.97</v>
      </c>
      <c r="C906" s="1">
        <f ca="1">IFERROR(__xludf.DUMMYFUNCTION("""COMPUTED_VALUE"""),185.79)</f>
        <v>185.79</v>
      </c>
      <c r="D906" s="1">
        <f ca="1">IFERROR(__xludf.DUMMYFUNCTION("""COMPUTED_VALUE"""),178.38)</f>
        <v>178.38</v>
      </c>
      <c r="E906" s="1">
        <f ca="1">IFERROR(__xludf.DUMMYFUNCTION("""COMPUTED_VALUE"""),185.69)</f>
        <v>185.69</v>
      </c>
      <c r="F906" s="1">
        <f ca="1">IFERROR(__xludf.DUMMYFUNCTION("""COMPUTED_VALUE"""),49716192)</f>
        <v>49716192</v>
      </c>
    </row>
    <row r="907" spans="1:6" x14ac:dyDescent="0.35">
      <c r="A907" s="2">
        <f ca="1">IFERROR(__xludf.DUMMYFUNCTION("""COMPUTED_VALUE"""),43319.6666666666)</f>
        <v>43319.666666666599</v>
      </c>
      <c r="B907" s="1">
        <f ca="1">IFERROR(__xludf.DUMMYFUNCTION("""COMPUTED_VALUE"""),186.5)</f>
        <v>186.5</v>
      </c>
      <c r="C907" s="1">
        <f ca="1">IFERROR(__xludf.DUMMYFUNCTION("""COMPUTED_VALUE"""),188.3)</f>
        <v>188.3</v>
      </c>
      <c r="D907" s="1">
        <f ca="1">IFERROR(__xludf.DUMMYFUNCTION("""COMPUTED_VALUE"""),183.72)</f>
        <v>183.72</v>
      </c>
      <c r="E907" s="1">
        <f ca="1">IFERROR(__xludf.DUMMYFUNCTION("""COMPUTED_VALUE"""),183.81)</f>
        <v>183.81</v>
      </c>
      <c r="F907" s="1">
        <f ca="1">IFERROR(__xludf.DUMMYFUNCTION("""COMPUTED_VALUE"""),33398562)</f>
        <v>33398562</v>
      </c>
    </row>
    <row r="908" spans="1:6" x14ac:dyDescent="0.35">
      <c r="A908" s="2">
        <f ca="1">IFERROR(__xludf.DUMMYFUNCTION("""COMPUTED_VALUE"""),43320.6666666666)</f>
        <v>43320.666666666599</v>
      </c>
      <c r="B908" s="1">
        <f ca="1">IFERROR(__xludf.DUMMYFUNCTION("""COMPUTED_VALUE"""),184.75)</f>
        <v>184.75</v>
      </c>
      <c r="C908" s="1">
        <f ca="1">IFERROR(__xludf.DUMMYFUNCTION("""COMPUTED_VALUE"""),186.85)</f>
        <v>186.85</v>
      </c>
      <c r="D908" s="1">
        <f ca="1">IFERROR(__xludf.DUMMYFUNCTION("""COMPUTED_VALUE"""),183.76)</f>
        <v>183.76</v>
      </c>
      <c r="E908" s="1">
        <f ca="1">IFERROR(__xludf.DUMMYFUNCTION("""COMPUTED_VALUE"""),185.18)</f>
        <v>185.18</v>
      </c>
      <c r="F908" s="1">
        <f ca="1">IFERROR(__xludf.DUMMYFUNCTION("""COMPUTED_VALUE"""),22205230)</f>
        <v>22205230</v>
      </c>
    </row>
    <row r="909" spans="1:6" x14ac:dyDescent="0.35">
      <c r="A909" s="2">
        <f ca="1">IFERROR(__xludf.DUMMYFUNCTION("""COMPUTED_VALUE"""),43321.6666666666)</f>
        <v>43321.666666666599</v>
      </c>
      <c r="B909" s="1">
        <f ca="1">IFERROR(__xludf.DUMMYFUNCTION("""COMPUTED_VALUE"""),185.85)</f>
        <v>185.85</v>
      </c>
      <c r="C909" s="1">
        <f ca="1">IFERROR(__xludf.DUMMYFUNCTION("""COMPUTED_VALUE"""),186.57)</f>
        <v>186.57</v>
      </c>
      <c r="D909" s="1">
        <f ca="1">IFERROR(__xludf.DUMMYFUNCTION("""COMPUTED_VALUE"""),182.48)</f>
        <v>182.48</v>
      </c>
      <c r="E909" s="1">
        <f ca="1">IFERROR(__xludf.DUMMYFUNCTION("""COMPUTED_VALUE"""),183.09)</f>
        <v>183.09</v>
      </c>
      <c r="F909" s="1">
        <f ca="1">IFERROR(__xludf.DUMMYFUNCTION("""COMPUTED_VALUE"""),19732120)</f>
        <v>19732120</v>
      </c>
    </row>
    <row r="910" spans="1:6" x14ac:dyDescent="0.35">
      <c r="A910" s="2">
        <f ca="1">IFERROR(__xludf.DUMMYFUNCTION("""COMPUTED_VALUE"""),43322.6666666666)</f>
        <v>43322.666666666599</v>
      </c>
      <c r="B910" s="1">
        <f ca="1">IFERROR(__xludf.DUMMYFUNCTION("""COMPUTED_VALUE"""),182.04)</f>
        <v>182.04</v>
      </c>
      <c r="C910" s="1">
        <f ca="1">IFERROR(__xludf.DUMMYFUNCTION("""COMPUTED_VALUE"""),182.1)</f>
        <v>182.1</v>
      </c>
      <c r="D910" s="1">
        <f ca="1">IFERROR(__xludf.DUMMYFUNCTION("""COMPUTED_VALUE"""),179.42)</f>
        <v>179.42</v>
      </c>
      <c r="E910" s="1">
        <f ca="1">IFERROR(__xludf.DUMMYFUNCTION("""COMPUTED_VALUE"""),180.26)</f>
        <v>180.26</v>
      </c>
      <c r="F910" s="1">
        <f ca="1">IFERROR(__xludf.DUMMYFUNCTION("""COMPUTED_VALUE"""),21500410)</f>
        <v>21500410</v>
      </c>
    </row>
    <row r="911" spans="1:6" x14ac:dyDescent="0.35">
      <c r="A911" s="2">
        <f ca="1">IFERROR(__xludf.DUMMYFUNCTION("""COMPUTED_VALUE"""),43325.6666666666)</f>
        <v>43325.666666666599</v>
      </c>
      <c r="B911" s="1">
        <f ca="1">IFERROR(__xludf.DUMMYFUNCTION("""COMPUTED_VALUE"""),180.1)</f>
        <v>180.1</v>
      </c>
      <c r="C911" s="1">
        <f ca="1">IFERROR(__xludf.DUMMYFUNCTION("""COMPUTED_VALUE"""),182.61)</f>
        <v>182.61</v>
      </c>
      <c r="D911" s="1">
        <f ca="1">IFERROR(__xludf.DUMMYFUNCTION("""COMPUTED_VALUE"""),178.9)</f>
        <v>178.9</v>
      </c>
      <c r="E911" s="1">
        <f ca="1">IFERROR(__xludf.DUMMYFUNCTION("""COMPUTED_VALUE"""),180.05)</f>
        <v>180.05</v>
      </c>
      <c r="F911" s="1">
        <f ca="1">IFERROR(__xludf.DUMMYFUNCTION("""COMPUTED_VALUE"""),17423264)</f>
        <v>17423264</v>
      </c>
    </row>
    <row r="912" spans="1:6" x14ac:dyDescent="0.35">
      <c r="A912" s="2">
        <f ca="1">IFERROR(__xludf.DUMMYFUNCTION("""COMPUTED_VALUE"""),43326.6666666666)</f>
        <v>43326.666666666599</v>
      </c>
      <c r="B912" s="1">
        <f ca="1">IFERROR(__xludf.DUMMYFUNCTION("""COMPUTED_VALUE"""),180.71)</f>
        <v>180.71</v>
      </c>
      <c r="C912" s="1">
        <f ca="1">IFERROR(__xludf.DUMMYFUNCTION("""COMPUTED_VALUE"""),181.99)</f>
        <v>181.99</v>
      </c>
      <c r="D912" s="1">
        <f ca="1">IFERROR(__xludf.DUMMYFUNCTION("""COMPUTED_VALUE"""),178.62)</f>
        <v>178.62</v>
      </c>
      <c r="E912" s="1">
        <f ca="1">IFERROR(__xludf.DUMMYFUNCTION("""COMPUTED_VALUE"""),181.11)</f>
        <v>181.11</v>
      </c>
      <c r="F912" s="1">
        <f ca="1">IFERROR(__xludf.DUMMYFUNCTION("""COMPUTED_VALUE"""),19101995)</f>
        <v>19101995</v>
      </c>
    </row>
    <row r="913" spans="1:6" x14ac:dyDescent="0.35">
      <c r="A913" s="2">
        <f ca="1">IFERROR(__xludf.DUMMYFUNCTION("""COMPUTED_VALUE"""),43327.6666666666)</f>
        <v>43327.666666666599</v>
      </c>
      <c r="B913" s="1">
        <f ca="1">IFERROR(__xludf.DUMMYFUNCTION("""COMPUTED_VALUE"""),179.34)</f>
        <v>179.34</v>
      </c>
      <c r="C913" s="1">
        <f ca="1">IFERROR(__xludf.DUMMYFUNCTION("""COMPUTED_VALUE"""),180.87)</f>
        <v>180.87</v>
      </c>
      <c r="D913" s="1">
        <f ca="1">IFERROR(__xludf.DUMMYFUNCTION("""COMPUTED_VALUE"""),174.78)</f>
        <v>174.78</v>
      </c>
      <c r="E913" s="1">
        <f ca="1">IFERROR(__xludf.DUMMYFUNCTION("""COMPUTED_VALUE"""),179.53)</f>
        <v>179.53</v>
      </c>
      <c r="F913" s="1">
        <f ca="1">IFERROR(__xludf.DUMMYFUNCTION("""COMPUTED_VALUE"""),33020231)</f>
        <v>33020231</v>
      </c>
    </row>
    <row r="914" spans="1:6" x14ac:dyDescent="0.35">
      <c r="A914" s="2">
        <f ca="1">IFERROR(__xludf.DUMMYFUNCTION("""COMPUTED_VALUE"""),43328.6666666666)</f>
        <v>43328.666666666599</v>
      </c>
      <c r="B914" s="1">
        <f ca="1">IFERROR(__xludf.DUMMYFUNCTION("""COMPUTED_VALUE"""),180.42)</f>
        <v>180.42</v>
      </c>
      <c r="C914" s="1">
        <f ca="1">IFERROR(__xludf.DUMMYFUNCTION("""COMPUTED_VALUE"""),180.5)</f>
        <v>180.5</v>
      </c>
      <c r="D914" s="1">
        <f ca="1">IFERROR(__xludf.DUMMYFUNCTION("""COMPUTED_VALUE"""),174.01)</f>
        <v>174.01</v>
      </c>
      <c r="E914" s="1">
        <f ca="1">IFERROR(__xludf.DUMMYFUNCTION("""COMPUTED_VALUE"""),174.7)</f>
        <v>174.7</v>
      </c>
      <c r="F914" s="1">
        <f ca="1">IFERROR(__xludf.DUMMYFUNCTION("""COMPUTED_VALUE"""),31351784)</f>
        <v>31351784</v>
      </c>
    </row>
    <row r="915" spans="1:6" x14ac:dyDescent="0.35">
      <c r="A915" s="2">
        <f ca="1">IFERROR(__xludf.DUMMYFUNCTION("""COMPUTED_VALUE"""),43329.6666666666)</f>
        <v>43329.666666666599</v>
      </c>
      <c r="B915" s="1">
        <f ca="1">IFERROR(__xludf.DUMMYFUNCTION("""COMPUTED_VALUE"""),174.5)</f>
        <v>174.5</v>
      </c>
      <c r="C915" s="1">
        <f ca="1">IFERROR(__xludf.DUMMYFUNCTION("""COMPUTED_VALUE"""),176.22)</f>
        <v>176.22</v>
      </c>
      <c r="D915" s="1">
        <f ca="1">IFERROR(__xludf.DUMMYFUNCTION("""COMPUTED_VALUE"""),172.04)</f>
        <v>172.04</v>
      </c>
      <c r="E915" s="1">
        <f ca="1">IFERROR(__xludf.DUMMYFUNCTION("""COMPUTED_VALUE"""),173.8)</f>
        <v>173.8</v>
      </c>
      <c r="F915" s="1">
        <f ca="1">IFERROR(__xludf.DUMMYFUNCTION("""COMPUTED_VALUE"""),24893176)</f>
        <v>24893176</v>
      </c>
    </row>
    <row r="916" spans="1:6" x14ac:dyDescent="0.35">
      <c r="A916" s="2">
        <f ca="1">IFERROR(__xludf.DUMMYFUNCTION("""COMPUTED_VALUE"""),43332.6666666666)</f>
        <v>43332.666666666599</v>
      </c>
      <c r="B916" s="1">
        <f ca="1">IFERROR(__xludf.DUMMYFUNCTION("""COMPUTED_VALUE"""),174.04)</f>
        <v>174.04</v>
      </c>
      <c r="C916" s="1">
        <f ca="1">IFERROR(__xludf.DUMMYFUNCTION("""COMPUTED_VALUE"""),174.57)</f>
        <v>174.57</v>
      </c>
      <c r="D916" s="1">
        <f ca="1">IFERROR(__xludf.DUMMYFUNCTION("""COMPUTED_VALUE"""),170.91)</f>
        <v>170.91</v>
      </c>
      <c r="E916" s="1">
        <f ca="1">IFERROR(__xludf.DUMMYFUNCTION("""COMPUTED_VALUE"""),172.5)</f>
        <v>172.5</v>
      </c>
      <c r="F916" s="1">
        <f ca="1">IFERROR(__xludf.DUMMYFUNCTION("""COMPUTED_VALUE"""),21518006)</f>
        <v>21518006</v>
      </c>
    </row>
    <row r="917" spans="1:6" x14ac:dyDescent="0.35">
      <c r="A917" s="2">
        <f ca="1">IFERROR(__xludf.DUMMYFUNCTION("""COMPUTED_VALUE"""),43333.6666666666)</f>
        <v>43333.666666666599</v>
      </c>
      <c r="B917" s="1">
        <f ca="1">IFERROR(__xludf.DUMMYFUNCTION("""COMPUTED_VALUE"""),172.81)</f>
        <v>172.81</v>
      </c>
      <c r="C917" s="1">
        <f ca="1">IFERROR(__xludf.DUMMYFUNCTION("""COMPUTED_VALUE"""),174.17)</f>
        <v>174.17</v>
      </c>
      <c r="D917" s="1">
        <f ca="1">IFERROR(__xludf.DUMMYFUNCTION("""COMPUTED_VALUE"""),171.39)</f>
        <v>171.39</v>
      </c>
      <c r="E917" s="1">
        <f ca="1">IFERROR(__xludf.DUMMYFUNCTION("""COMPUTED_VALUE"""),172.62)</f>
        <v>172.62</v>
      </c>
      <c r="F917" s="1">
        <f ca="1">IFERROR(__xludf.DUMMYFUNCTION("""COMPUTED_VALUE"""),19578514)</f>
        <v>19578514</v>
      </c>
    </row>
    <row r="918" spans="1:6" x14ac:dyDescent="0.35">
      <c r="A918" s="2">
        <f ca="1">IFERROR(__xludf.DUMMYFUNCTION("""COMPUTED_VALUE"""),43334.6666666666)</f>
        <v>43334.666666666599</v>
      </c>
      <c r="B918" s="1">
        <f ca="1">IFERROR(__xludf.DUMMYFUNCTION("""COMPUTED_VALUE"""),172.21)</f>
        <v>172.21</v>
      </c>
      <c r="C918" s="1">
        <f ca="1">IFERROR(__xludf.DUMMYFUNCTION("""COMPUTED_VALUE"""),174.24)</f>
        <v>174.24</v>
      </c>
      <c r="D918" s="1">
        <f ca="1">IFERROR(__xludf.DUMMYFUNCTION("""COMPUTED_VALUE"""),172.13)</f>
        <v>172.13</v>
      </c>
      <c r="E918" s="1">
        <f ca="1">IFERROR(__xludf.DUMMYFUNCTION("""COMPUTED_VALUE"""),173.64)</f>
        <v>173.64</v>
      </c>
      <c r="F918" s="1">
        <f ca="1">IFERROR(__xludf.DUMMYFUNCTION("""COMPUTED_VALUE"""),16894083)</f>
        <v>16894083</v>
      </c>
    </row>
    <row r="919" spans="1:6" x14ac:dyDescent="0.35">
      <c r="A919" s="2">
        <f ca="1">IFERROR(__xludf.DUMMYFUNCTION("""COMPUTED_VALUE"""),43335.6666666666)</f>
        <v>43335.666666666599</v>
      </c>
      <c r="B919" s="1">
        <f ca="1">IFERROR(__xludf.DUMMYFUNCTION("""COMPUTED_VALUE"""),173.09)</f>
        <v>173.09</v>
      </c>
      <c r="C919" s="1">
        <f ca="1">IFERROR(__xludf.DUMMYFUNCTION("""COMPUTED_VALUE"""),175.55)</f>
        <v>175.55</v>
      </c>
      <c r="D919" s="1">
        <f ca="1">IFERROR(__xludf.DUMMYFUNCTION("""COMPUTED_VALUE"""),172.83)</f>
        <v>172.83</v>
      </c>
      <c r="E919" s="1">
        <f ca="1">IFERROR(__xludf.DUMMYFUNCTION("""COMPUTED_VALUE"""),172.9)</f>
        <v>172.9</v>
      </c>
      <c r="F919" s="1">
        <f ca="1">IFERROR(__xludf.DUMMYFUNCTION("""COMPUTED_VALUE"""),18053567)</f>
        <v>18053567</v>
      </c>
    </row>
    <row r="920" spans="1:6" x14ac:dyDescent="0.35">
      <c r="A920" s="2">
        <f ca="1">IFERROR(__xludf.DUMMYFUNCTION("""COMPUTED_VALUE"""),43336.6666666666)</f>
        <v>43336.666666666599</v>
      </c>
      <c r="B920" s="1">
        <f ca="1">IFERROR(__xludf.DUMMYFUNCTION("""COMPUTED_VALUE"""),173.7)</f>
        <v>173.7</v>
      </c>
      <c r="C920" s="1">
        <f ca="1">IFERROR(__xludf.DUMMYFUNCTION("""COMPUTED_VALUE"""),174.82)</f>
        <v>174.82</v>
      </c>
      <c r="D920" s="1">
        <f ca="1">IFERROR(__xludf.DUMMYFUNCTION("""COMPUTED_VALUE"""),172.92)</f>
        <v>172.92</v>
      </c>
      <c r="E920" s="1">
        <f ca="1">IFERROR(__xludf.DUMMYFUNCTION("""COMPUTED_VALUE"""),174.65)</f>
        <v>174.65</v>
      </c>
      <c r="F920" s="1">
        <f ca="1">IFERROR(__xludf.DUMMYFUNCTION("""COMPUTED_VALUE"""),14631556)</f>
        <v>14631556</v>
      </c>
    </row>
    <row r="921" spans="1:6" x14ac:dyDescent="0.35">
      <c r="A921" s="2">
        <f ca="1">IFERROR(__xludf.DUMMYFUNCTION("""COMPUTED_VALUE"""),43339.6666666666)</f>
        <v>43339.666666666599</v>
      </c>
      <c r="B921" s="1">
        <f ca="1">IFERROR(__xludf.DUMMYFUNCTION("""COMPUTED_VALUE"""),175.99)</f>
        <v>175.99</v>
      </c>
      <c r="C921" s="1">
        <f ca="1">IFERROR(__xludf.DUMMYFUNCTION("""COMPUTED_VALUE"""),178.67)</f>
        <v>178.67</v>
      </c>
      <c r="D921" s="1">
        <f ca="1">IFERROR(__xludf.DUMMYFUNCTION("""COMPUTED_VALUE"""),175.79)</f>
        <v>175.79</v>
      </c>
      <c r="E921" s="1">
        <f ca="1">IFERROR(__xludf.DUMMYFUNCTION("""COMPUTED_VALUE"""),177.46)</f>
        <v>177.46</v>
      </c>
      <c r="F921" s="1">
        <f ca="1">IFERROR(__xludf.DUMMYFUNCTION("""COMPUTED_VALUE"""),17921935)</f>
        <v>17921935</v>
      </c>
    </row>
    <row r="922" spans="1:6" x14ac:dyDescent="0.35">
      <c r="A922" s="2">
        <f ca="1">IFERROR(__xludf.DUMMYFUNCTION("""COMPUTED_VALUE"""),43340.6666666666)</f>
        <v>43340.666666666599</v>
      </c>
      <c r="B922" s="1">
        <f ca="1">IFERROR(__xludf.DUMMYFUNCTION("""COMPUTED_VALUE"""),178.1)</f>
        <v>178.1</v>
      </c>
      <c r="C922" s="1">
        <f ca="1">IFERROR(__xludf.DUMMYFUNCTION("""COMPUTED_VALUE"""),178.24)</f>
        <v>178.24</v>
      </c>
      <c r="D922" s="1">
        <f ca="1">IFERROR(__xludf.DUMMYFUNCTION("""COMPUTED_VALUE"""),175.83)</f>
        <v>175.83</v>
      </c>
      <c r="E922" s="1">
        <f ca="1">IFERROR(__xludf.DUMMYFUNCTION("""COMPUTED_VALUE"""),176.26)</f>
        <v>176.26</v>
      </c>
      <c r="F922" s="1">
        <f ca="1">IFERROR(__xludf.DUMMYFUNCTION("""COMPUTED_VALUE"""),15910675)</f>
        <v>15910675</v>
      </c>
    </row>
    <row r="923" spans="1:6" x14ac:dyDescent="0.35">
      <c r="A923" s="2">
        <f ca="1">IFERROR(__xludf.DUMMYFUNCTION("""COMPUTED_VALUE"""),43341.6666666666)</f>
        <v>43341.666666666599</v>
      </c>
      <c r="B923" s="1">
        <f ca="1">IFERROR(__xludf.DUMMYFUNCTION("""COMPUTED_VALUE"""),176.3)</f>
        <v>176.3</v>
      </c>
      <c r="C923" s="1">
        <f ca="1">IFERROR(__xludf.DUMMYFUNCTION("""COMPUTED_VALUE"""),176.79)</f>
        <v>176.79</v>
      </c>
      <c r="D923" s="1">
        <f ca="1">IFERROR(__xludf.DUMMYFUNCTION("""COMPUTED_VALUE"""),174.75)</f>
        <v>174.75</v>
      </c>
      <c r="E923" s="1">
        <f ca="1">IFERROR(__xludf.DUMMYFUNCTION("""COMPUTED_VALUE"""),175.9)</f>
        <v>175.9</v>
      </c>
      <c r="F923" s="1">
        <f ca="1">IFERROR(__xludf.DUMMYFUNCTION("""COMPUTED_VALUE"""),18678301)</f>
        <v>18678301</v>
      </c>
    </row>
    <row r="924" spans="1:6" x14ac:dyDescent="0.35">
      <c r="A924" s="2">
        <f ca="1">IFERROR(__xludf.DUMMYFUNCTION("""COMPUTED_VALUE"""),43342.6666666666)</f>
        <v>43342.666666666599</v>
      </c>
      <c r="B924" s="1">
        <f ca="1">IFERROR(__xludf.DUMMYFUNCTION("""COMPUTED_VALUE"""),175.9)</f>
        <v>175.9</v>
      </c>
      <c r="C924" s="1">
        <f ca="1">IFERROR(__xludf.DUMMYFUNCTION("""COMPUTED_VALUE"""),179.79)</f>
        <v>179.79</v>
      </c>
      <c r="D924" s="1">
        <f ca="1">IFERROR(__xludf.DUMMYFUNCTION("""COMPUTED_VALUE"""),175.7)</f>
        <v>175.7</v>
      </c>
      <c r="E924" s="1">
        <f ca="1">IFERROR(__xludf.DUMMYFUNCTION("""COMPUTED_VALUE"""),177.64)</f>
        <v>177.64</v>
      </c>
      <c r="F924" s="1">
        <f ca="1">IFERROR(__xludf.DUMMYFUNCTION("""COMPUTED_VALUE"""),24216532)</f>
        <v>24216532</v>
      </c>
    </row>
    <row r="925" spans="1:6" x14ac:dyDescent="0.35">
      <c r="A925" s="2">
        <f ca="1">IFERROR(__xludf.DUMMYFUNCTION("""COMPUTED_VALUE"""),43343.6666666666)</f>
        <v>43343.666666666599</v>
      </c>
      <c r="B925" s="1">
        <f ca="1">IFERROR(__xludf.DUMMYFUNCTION("""COMPUTED_VALUE"""),177.15)</f>
        <v>177.15</v>
      </c>
      <c r="C925" s="1">
        <f ca="1">IFERROR(__xludf.DUMMYFUNCTION("""COMPUTED_VALUE"""),177.62)</f>
        <v>177.62</v>
      </c>
      <c r="D925" s="1">
        <f ca="1">IFERROR(__xludf.DUMMYFUNCTION("""COMPUTED_VALUE"""),174.98)</f>
        <v>174.98</v>
      </c>
      <c r="E925" s="1">
        <f ca="1">IFERROR(__xludf.DUMMYFUNCTION("""COMPUTED_VALUE"""),175.73)</f>
        <v>175.73</v>
      </c>
      <c r="F925" s="1">
        <f ca="1">IFERROR(__xludf.DUMMYFUNCTION("""COMPUTED_VALUE"""),18065159)</f>
        <v>18065159</v>
      </c>
    </row>
    <row r="926" spans="1:6" x14ac:dyDescent="0.35">
      <c r="A926" s="2">
        <f ca="1">IFERROR(__xludf.DUMMYFUNCTION("""COMPUTED_VALUE"""),43347.6666666666)</f>
        <v>43347.666666666599</v>
      </c>
      <c r="B926" s="1">
        <f ca="1">IFERROR(__xludf.DUMMYFUNCTION("""COMPUTED_VALUE"""),173.5)</f>
        <v>173.5</v>
      </c>
      <c r="C926" s="1">
        <f ca="1">IFERROR(__xludf.DUMMYFUNCTION("""COMPUTED_VALUE"""),173.89)</f>
        <v>173.89</v>
      </c>
      <c r="D926" s="1">
        <f ca="1">IFERROR(__xludf.DUMMYFUNCTION("""COMPUTED_VALUE"""),168.8)</f>
        <v>168.8</v>
      </c>
      <c r="E926" s="1">
        <f ca="1">IFERROR(__xludf.DUMMYFUNCTION("""COMPUTED_VALUE"""),171.16)</f>
        <v>171.16</v>
      </c>
      <c r="F926" s="1">
        <f ca="1">IFERROR(__xludf.DUMMYFUNCTION("""COMPUTED_VALUE"""),29808971)</f>
        <v>29808971</v>
      </c>
    </row>
    <row r="927" spans="1:6" x14ac:dyDescent="0.35">
      <c r="A927" s="2">
        <f ca="1">IFERROR(__xludf.DUMMYFUNCTION("""COMPUTED_VALUE"""),43348.6666666666)</f>
        <v>43348.666666666599</v>
      </c>
      <c r="B927" s="1">
        <f ca="1">IFERROR(__xludf.DUMMYFUNCTION("""COMPUTED_VALUE"""),169.49)</f>
        <v>169.49</v>
      </c>
      <c r="C927" s="1">
        <f ca="1">IFERROR(__xludf.DUMMYFUNCTION("""COMPUTED_VALUE"""),171.13)</f>
        <v>171.13</v>
      </c>
      <c r="D927" s="1">
        <f ca="1">IFERROR(__xludf.DUMMYFUNCTION("""COMPUTED_VALUE"""),166.67)</f>
        <v>166.67</v>
      </c>
      <c r="E927" s="1">
        <f ca="1">IFERROR(__xludf.DUMMYFUNCTION("""COMPUTED_VALUE"""),167.18)</f>
        <v>167.18</v>
      </c>
      <c r="F927" s="1">
        <f ca="1">IFERROR(__xludf.DUMMYFUNCTION("""COMPUTED_VALUE"""),31226744)</f>
        <v>31226744</v>
      </c>
    </row>
    <row r="928" spans="1:6" x14ac:dyDescent="0.35">
      <c r="A928" s="2">
        <f ca="1">IFERROR(__xludf.DUMMYFUNCTION("""COMPUTED_VALUE"""),43349.6666666666)</f>
        <v>43349.666666666599</v>
      </c>
      <c r="B928" s="1">
        <f ca="1">IFERROR(__xludf.DUMMYFUNCTION("""COMPUTED_VALUE"""),166.98)</f>
        <v>166.98</v>
      </c>
      <c r="C928" s="1">
        <f ca="1">IFERROR(__xludf.DUMMYFUNCTION("""COMPUTED_VALUE"""),166.98)</f>
        <v>166.98</v>
      </c>
      <c r="D928" s="1">
        <f ca="1">IFERROR(__xludf.DUMMYFUNCTION("""COMPUTED_VALUE"""),160)</f>
        <v>160</v>
      </c>
      <c r="E928" s="1">
        <f ca="1">IFERROR(__xludf.DUMMYFUNCTION("""COMPUTED_VALUE"""),162.53)</f>
        <v>162.53</v>
      </c>
      <c r="F928" s="1">
        <f ca="1">IFERROR(__xludf.DUMMYFUNCTION("""COMPUTED_VALUE"""),41514834)</f>
        <v>41514834</v>
      </c>
    </row>
    <row r="929" spans="1:6" x14ac:dyDescent="0.35">
      <c r="A929" s="2">
        <f ca="1">IFERROR(__xludf.DUMMYFUNCTION("""COMPUTED_VALUE"""),43350.6666666666)</f>
        <v>43350.666666666599</v>
      </c>
      <c r="B929" s="1">
        <f ca="1">IFERROR(__xludf.DUMMYFUNCTION("""COMPUTED_VALUE"""),160.31)</f>
        <v>160.31</v>
      </c>
      <c r="C929" s="1">
        <f ca="1">IFERROR(__xludf.DUMMYFUNCTION("""COMPUTED_VALUE"""),164.63)</f>
        <v>164.63</v>
      </c>
      <c r="D929" s="1">
        <f ca="1">IFERROR(__xludf.DUMMYFUNCTION("""COMPUTED_VALUE"""),160.16)</f>
        <v>160.16</v>
      </c>
      <c r="E929" s="1">
        <f ca="1">IFERROR(__xludf.DUMMYFUNCTION("""COMPUTED_VALUE"""),163.04)</f>
        <v>163.04</v>
      </c>
      <c r="F929" s="1">
        <f ca="1">IFERROR(__xludf.DUMMYFUNCTION("""COMPUTED_VALUE"""),24300600)</f>
        <v>24300600</v>
      </c>
    </row>
    <row r="930" spans="1:6" x14ac:dyDescent="0.35">
      <c r="A930" s="2">
        <f ca="1">IFERROR(__xludf.DUMMYFUNCTION("""COMPUTED_VALUE"""),43353.6666666666)</f>
        <v>43353.666666666599</v>
      </c>
      <c r="B930" s="1">
        <f ca="1">IFERROR(__xludf.DUMMYFUNCTION("""COMPUTED_VALUE"""),163.51)</f>
        <v>163.51</v>
      </c>
      <c r="C930" s="1">
        <f ca="1">IFERROR(__xludf.DUMMYFUNCTION("""COMPUTED_VALUE"""),165.01)</f>
        <v>165.01</v>
      </c>
      <c r="D930" s="1">
        <f ca="1">IFERROR(__xludf.DUMMYFUNCTION("""COMPUTED_VALUE"""),162.16)</f>
        <v>162.16</v>
      </c>
      <c r="E930" s="1">
        <f ca="1">IFERROR(__xludf.DUMMYFUNCTION("""COMPUTED_VALUE"""),164.18)</f>
        <v>164.18</v>
      </c>
      <c r="F930" s="1">
        <f ca="1">IFERROR(__xludf.DUMMYFUNCTION("""COMPUTED_VALUE"""),20197680)</f>
        <v>20197680</v>
      </c>
    </row>
    <row r="931" spans="1:6" x14ac:dyDescent="0.35">
      <c r="A931" s="2">
        <f ca="1">IFERROR(__xludf.DUMMYFUNCTION("""COMPUTED_VALUE"""),43354.6666666666)</f>
        <v>43354.666666666599</v>
      </c>
      <c r="B931" s="1">
        <f ca="1">IFERROR(__xludf.DUMMYFUNCTION("""COMPUTED_VALUE"""),163.94)</f>
        <v>163.94</v>
      </c>
      <c r="C931" s="1">
        <f ca="1">IFERROR(__xludf.DUMMYFUNCTION("""COMPUTED_VALUE"""),167.19)</f>
        <v>167.19</v>
      </c>
      <c r="D931" s="1">
        <f ca="1">IFERROR(__xludf.DUMMYFUNCTION("""COMPUTED_VALUE"""),163.72)</f>
        <v>163.72</v>
      </c>
      <c r="E931" s="1">
        <f ca="1">IFERROR(__xludf.DUMMYFUNCTION("""COMPUTED_VALUE"""),165.94)</f>
        <v>165.94</v>
      </c>
      <c r="F931" s="1">
        <f ca="1">IFERROR(__xludf.DUMMYFUNCTION("""COMPUTED_VALUE"""),20457088)</f>
        <v>20457088</v>
      </c>
    </row>
    <row r="932" spans="1:6" x14ac:dyDescent="0.35">
      <c r="A932" s="2">
        <f ca="1">IFERROR(__xludf.DUMMYFUNCTION("""COMPUTED_VALUE"""),43355.6666666666)</f>
        <v>43355.666666666599</v>
      </c>
      <c r="B932" s="1">
        <f ca="1">IFERROR(__xludf.DUMMYFUNCTION("""COMPUTED_VALUE"""),163.25)</f>
        <v>163.25</v>
      </c>
      <c r="C932" s="1">
        <f ca="1">IFERROR(__xludf.DUMMYFUNCTION("""COMPUTED_VALUE"""),164.49)</f>
        <v>164.49</v>
      </c>
      <c r="D932" s="1">
        <f ca="1">IFERROR(__xludf.DUMMYFUNCTION("""COMPUTED_VALUE"""),161.8)</f>
        <v>161.80000000000001</v>
      </c>
      <c r="E932" s="1">
        <f ca="1">IFERROR(__xludf.DUMMYFUNCTION("""COMPUTED_VALUE"""),162)</f>
        <v>162</v>
      </c>
      <c r="F932" s="1">
        <f ca="1">IFERROR(__xludf.DUMMYFUNCTION("""COMPUTED_VALUE"""),24078118)</f>
        <v>24078118</v>
      </c>
    </row>
    <row r="933" spans="1:6" x14ac:dyDescent="0.35">
      <c r="A933" s="2">
        <f ca="1">IFERROR(__xludf.DUMMYFUNCTION("""COMPUTED_VALUE"""),43356.6666666666)</f>
        <v>43356.666666666599</v>
      </c>
      <c r="B933" s="1">
        <f ca="1">IFERROR(__xludf.DUMMYFUNCTION("""COMPUTED_VALUE"""),162)</f>
        <v>162</v>
      </c>
      <c r="C933" s="1">
        <f ca="1">IFERROR(__xludf.DUMMYFUNCTION("""COMPUTED_VALUE"""),163.32)</f>
        <v>163.32</v>
      </c>
      <c r="D933" s="1">
        <f ca="1">IFERROR(__xludf.DUMMYFUNCTION("""COMPUTED_VALUE"""),160.86)</f>
        <v>160.86000000000001</v>
      </c>
      <c r="E933" s="1">
        <f ca="1">IFERROR(__xludf.DUMMYFUNCTION("""COMPUTED_VALUE"""),161.36)</f>
        <v>161.36000000000001</v>
      </c>
      <c r="F933" s="1">
        <f ca="1">IFERROR(__xludf.DUMMYFUNCTION("""COMPUTED_VALUE"""),25453775)</f>
        <v>25453775</v>
      </c>
    </row>
    <row r="934" spans="1:6" x14ac:dyDescent="0.35">
      <c r="A934" s="2">
        <f ca="1">IFERROR(__xludf.DUMMYFUNCTION("""COMPUTED_VALUE"""),43357.6666666666)</f>
        <v>43357.666666666599</v>
      </c>
      <c r="B934" s="1">
        <f ca="1">IFERROR(__xludf.DUMMYFUNCTION("""COMPUTED_VALUE"""),161.72)</f>
        <v>161.72</v>
      </c>
      <c r="C934" s="1">
        <f ca="1">IFERROR(__xludf.DUMMYFUNCTION("""COMPUTED_VALUE"""),162.84)</f>
        <v>162.84</v>
      </c>
      <c r="D934" s="1">
        <f ca="1">IFERROR(__xludf.DUMMYFUNCTION("""COMPUTED_VALUE"""),160.34)</f>
        <v>160.34</v>
      </c>
      <c r="E934" s="1">
        <f ca="1">IFERROR(__xludf.DUMMYFUNCTION("""COMPUTED_VALUE"""),162.32)</f>
        <v>162.32</v>
      </c>
      <c r="F934" s="1">
        <f ca="1">IFERROR(__xludf.DUMMYFUNCTION("""COMPUTED_VALUE"""),21770405)</f>
        <v>21770405</v>
      </c>
    </row>
    <row r="935" spans="1:6" x14ac:dyDescent="0.35">
      <c r="A935" s="2">
        <f ca="1">IFERROR(__xludf.DUMMYFUNCTION("""COMPUTED_VALUE"""),43360.6666666666)</f>
        <v>43360.666666666599</v>
      </c>
      <c r="B935" s="1">
        <f ca="1">IFERROR(__xludf.DUMMYFUNCTION("""COMPUTED_VALUE"""),161.92)</f>
        <v>161.91999999999999</v>
      </c>
      <c r="C935" s="1">
        <f ca="1">IFERROR(__xludf.DUMMYFUNCTION("""COMPUTED_VALUE"""),162.06)</f>
        <v>162.06</v>
      </c>
      <c r="D935" s="1">
        <f ca="1">IFERROR(__xludf.DUMMYFUNCTION("""COMPUTED_VALUE"""),159.77)</f>
        <v>159.77000000000001</v>
      </c>
      <c r="E935" s="1">
        <f ca="1">IFERROR(__xludf.DUMMYFUNCTION("""COMPUTED_VALUE"""),160.58)</f>
        <v>160.58000000000001</v>
      </c>
      <c r="F935" s="1">
        <f ca="1">IFERROR(__xludf.DUMMYFUNCTION("""COMPUTED_VALUE"""),21005321)</f>
        <v>21005321</v>
      </c>
    </row>
    <row r="936" spans="1:6" x14ac:dyDescent="0.35">
      <c r="A936" s="2">
        <f ca="1">IFERROR(__xludf.DUMMYFUNCTION("""COMPUTED_VALUE"""),43361.6666666666)</f>
        <v>43361.666666666599</v>
      </c>
      <c r="B936" s="1">
        <f ca="1">IFERROR(__xludf.DUMMYFUNCTION("""COMPUTED_VALUE"""),159.39)</f>
        <v>159.38999999999999</v>
      </c>
      <c r="C936" s="1">
        <f ca="1">IFERROR(__xludf.DUMMYFUNCTION("""COMPUTED_VALUE"""),161.76)</f>
        <v>161.76</v>
      </c>
      <c r="D936" s="1">
        <f ca="1">IFERROR(__xludf.DUMMYFUNCTION("""COMPUTED_VALUE"""),158.87)</f>
        <v>158.87</v>
      </c>
      <c r="E936" s="1">
        <f ca="1">IFERROR(__xludf.DUMMYFUNCTION("""COMPUTED_VALUE"""),160.3)</f>
        <v>160.30000000000001</v>
      </c>
      <c r="F936" s="1">
        <f ca="1">IFERROR(__xludf.DUMMYFUNCTION("""COMPUTED_VALUE"""),22465236)</f>
        <v>22465236</v>
      </c>
    </row>
    <row r="937" spans="1:6" x14ac:dyDescent="0.35">
      <c r="A937" s="2">
        <f ca="1">IFERROR(__xludf.DUMMYFUNCTION("""COMPUTED_VALUE"""),43362.6666666666)</f>
        <v>43362.666666666599</v>
      </c>
      <c r="B937" s="1">
        <f ca="1">IFERROR(__xludf.DUMMYFUNCTION("""COMPUTED_VALUE"""),160.08)</f>
        <v>160.08000000000001</v>
      </c>
      <c r="C937" s="1">
        <f ca="1">IFERROR(__xludf.DUMMYFUNCTION("""COMPUTED_VALUE"""),163.44)</f>
        <v>163.44</v>
      </c>
      <c r="D937" s="1">
        <f ca="1">IFERROR(__xludf.DUMMYFUNCTION("""COMPUTED_VALUE"""),159.48)</f>
        <v>159.47999999999999</v>
      </c>
      <c r="E937" s="1">
        <f ca="1">IFERROR(__xludf.DUMMYFUNCTION("""COMPUTED_VALUE"""),163.06)</f>
        <v>163.06</v>
      </c>
      <c r="F937" s="1">
        <f ca="1">IFERROR(__xludf.DUMMYFUNCTION("""COMPUTED_VALUE"""),19628996)</f>
        <v>19628996</v>
      </c>
    </row>
    <row r="938" spans="1:6" x14ac:dyDescent="0.35">
      <c r="A938" s="2">
        <f ca="1">IFERROR(__xludf.DUMMYFUNCTION("""COMPUTED_VALUE"""),43363.6666666666)</f>
        <v>43363.666666666599</v>
      </c>
      <c r="B938" s="1">
        <f ca="1">IFERROR(__xludf.DUMMYFUNCTION("""COMPUTED_VALUE"""),164.5)</f>
        <v>164.5</v>
      </c>
      <c r="C938" s="1">
        <f ca="1">IFERROR(__xludf.DUMMYFUNCTION("""COMPUTED_VALUE"""),166.45)</f>
        <v>166.45</v>
      </c>
      <c r="D938" s="1">
        <f ca="1">IFERROR(__xludf.DUMMYFUNCTION("""COMPUTED_VALUE"""),164.47)</f>
        <v>164.47</v>
      </c>
      <c r="E938" s="1">
        <f ca="1">IFERROR(__xludf.DUMMYFUNCTION("""COMPUTED_VALUE"""),166.02)</f>
        <v>166.02</v>
      </c>
      <c r="F938" s="1">
        <f ca="1">IFERROR(__xludf.DUMMYFUNCTION("""COMPUTED_VALUE"""),18936038)</f>
        <v>18936038</v>
      </c>
    </row>
    <row r="939" spans="1:6" x14ac:dyDescent="0.35">
      <c r="A939" s="2">
        <f ca="1">IFERROR(__xludf.DUMMYFUNCTION("""COMPUTED_VALUE"""),43364.6666666666)</f>
        <v>43364.666666666599</v>
      </c>
      <c r="B939" s="1">
        <f ca="1">IFERROR(__xludf.DUMMYFUNCTION("""COMPUTED_VALUE"""),166.64)</f>
        <v>166.64</v>
      </c>
      <c r="C939" s="1">
        <f ca="1">IFERROR(__xludf.DUMMYFUNCTION("""COMPUTED_VALUE"""),167.25)</f>
        <v>167.25</v>
      </c>
      <c r="D939" s="1">
        <f ca="1">IFERROR(__xludf.DUMMYFUNCTION("""COMPUTED_VALUE"""),162.81)</f>
        <v>162.81</v>
      </c>
      <c r="E939" s="1">
        <f ca="1">IFERROR(__xludf.DUMMYFUNCTION("""COMPUTED_VALUE"""),162.93)</f>
        <v>162.93</v>
      </c>
      <c r="F939" s="1">
        <f ca="1">IFERROR(__xludf.DUMMYFUNCTION("""COMPUTED_VALUE"""),45994800)</f>
        <v>45994800</v>
      </c>
    </row>
    <row r="940" spans="1:6" x14ac:dyDescent="0.35">
      <c r="A940" s="2">
        <f ca="1">IFERROR(__xludf.DUMMYFUNCTION("""COMPUTED_VALUE"""),43367.6666666666)</f>
        <v>43367.666666666599</v>
      </c>
      <c r="B940" s="1">
        <f ca="1">IFERROR(__xludf.DUMMYFUNCTION("""COMPUTED_VALUE"""),161.03)</f>
        <v>161.03</v>
      </c>
      <c r="C940" s="1">
        <f ca="1">IFERROR(__xludf.DUMMYFUNCTION("""COMPUTED_VALUE"""),165.7)</f>
        <v>165.7</v>
      </c>
      <c r="D940" s="1">
        <f ca="1">IFERROR(__xludf.DUMMYFUNCTION("""COMPUTED_VALUE"""),160.88)</f>
        <v>160.88</v>
      </c>
      <c r="E940" s="1">
        <f ca="1">IFERROR(__xludf.DUMMYFUNCTION("""COMPUTED_VALUE"""),165.41)</f>
        <v>165.41</v>
      </c>
      <c r="F940" s="1">
        <f ca="1">IFERROR(__xludf.DUMMYFUNCTION("""COMPUTED_VALUE"""),19222775)</f>
        <v>19222775</v>
      </c>
    </row>
    <row r="941" spans="1:6" x14ac:dyDescent="0.35">
      <c r="A941" s="2">
        <f ca="1">IFERROR(__xludf.DUMMYFUNCTION("""COMPUTED_VALUE"""),43368.6666666666)</f>
        <v>43368.666666666599</v>
      </c>
      <c r="B941" s="1">
        <f ca="1">IFERROR(__xludf.DUMMYFUNCTION("""COMPUTED_VALUE"""),161.99)</f>
        <v>161.99</v>
      </c>
      <c r="C941" s="1">
        <f ca="1">IFERROR(__xludf.DUMMYFUNCTION("""COMPUTED_VALUE"""),165.59)</f>
        <v>165.59</v>
      </c>
      <c r="D941" s="1">
        <f ca="1">IFERROR(__xludf.DUMMYFUNCTION("""COMPUTED_VALUE"""),161.15)</f>
        <v>161.15</v>
      </c>
      <c r="E941" s="1">
        <f ca="1">IFERROR(__xludf.DUMMYFUNCTION("""COMPUTED_VALUE"""),164.91)</f>
        <v>164.91</v>
      </c>
      <c r="F941" s="1">
        <f ca="1">IFERROR(__xludf.DUMMYFUNCTION("""COMPUTED_VALUE"""),27622806)</f>
        <v>27622806</v>
      </c>
    </row>
    <row r="942" spans="1:6" x14ac:dyDescent="0.35">
      <c r="A942" s="2">
        <f ca="1">IFERROR(__xludf.DUMMYFUNCTION("""COMPUTED_VALUE"""),43369.6666666666)</f>
        <v>43369.666666666599</v>
      </c>
      <c r="B942" s="1">
        <f ca="1">IFERROR(__xludf.DUMMYFUNCTION("""COMPUTED_VALUE"""),164.3)</f>
        <v>164.3</v>
      </c>
      <c r="C942" s="1">
        <f ca="1">IFERROR(__xludf.DUMMYFUNCTION("""COMPUTED_VALUE"""),169.3)</f>
        <v>169.3</v>
      </c>
      <c r="D942" s="1">
        <f ca="1">IFERROR(__xludf.DUMMYFUNCTION("""COMPUTED_VALUE"""),164.21)</f>
        <v>164.21</v>
      </c>
      <c r="E942" s="1">
        <f ca="1">IFERROR(__xludf.DUMMYFUNCTION("""COMPUTED_VALUE"""),166.95)</f>
        <v>166.95</v>
      </c>
      <c r="F942" s="1">
        <f ca="1">IFERROR(__xludf.DUMMYFUNCTION("""COMPUTED_VALUE"""),25252231)</f>
        <v>25252231</v>
      </c>
    </row>
    <row r="943" spans="1:6" x14ac:dyDescent="0.35">
      <c r="A943" s="2">
        <f ca="1">IFERROR(__xludf.DUMMYFUNCTION("""COMPUTED_VALUE"""),43370.6666666666)</f>
        <v>43370.666666666599</v>
      </c>
      <c r="B943" s="1">
        <f ca="1">IFERROR(__xludf.DUMMYFUNCTION("""COMPUTED_VALUE"""),167.55)</f>
        <v>167.55</v>
      </c>
      <c r="C943" s="1">
        <f ca="1">IFERROR(__xludf.DUMMYFUNCTION("""COMPUTED_VALUE"""),171.77)</f>
        <v>171.77</v>
      </c>
      <c r="D943" s="1">
        <f ca="1">IFERROR(__xludf.DUMMYFUNCTION("""COMPUTED_VALUE"""),167.21)</f>
        <v>167.21</v>
      </c>
      <c r="E943" s="1">
        <f ca="1">IFERROR(__xludf.DUMMYFUNCTION("""COMPUTED_VALUE"""),168.84)</f>
        <v>168.84</v>
      </c>
      <c r="F943" s="1">
        <f ca="1">IFERROR(__xludf.DUMMYFUNCTION("""COMPUTED_VALUE"""),27266856)</f>
        <v>27266856</v>
      </c>
    </row>
    <row r="944" spans="1:6" x14ac:dyDescent="0.35">
      <c r="A944" s="2">
        <f ca="1">IFERROR(__xludf.DUMMYFUNCTION("""COMPUTED_VALUE"""),43371.6666666666)</f>
        <v>43371.666666666599</v>
      </c>
      <c r="B944" s="1">
        <f ca="1">IFERROR(__xludf.DUMMYFUNCTION("""COMPUTED_VALUE"""),168.33)</f>
        <v>168.33</v>
      </c>
      <c r="C944" s="1">
        <f ca="1">IFERROR(__xludf.DUMMYFUNCTION("""COMPUTED_VALUE"""),168.79)</f>
        <v>168.79</v>
      </c>
      <c r="D944" s="1">
        <f ca="1">IFERROR(__xludf.DUMMYFUNCTION("""COMPUTED_VALUE"""),162.56)</f>
        <v>162.56</v>
      </c>
      <c r="E944" s="1">
        <f ca="1">IFERROR(__xludf.DUMMYFUNCTION("""COMPUTED_VALUE"""),164.46)</f>
        <v>164.46</v>
      </c>
      <c r="F944" s="1">
        <f ca="1">IFERROR(__xludf.DUMMYFUNCTION("""COMPUTED_VALUE"""),34265638)</f>
        <v>34265638</v>
      </c>
    </row>
    <row r="945" spans="1:6" x14ac:dyDescent="0.35">
      <c r="A945" s="2">
        <f ca="1">IFERROR(__xludf.DUMMYFUNCTION("""COMPUTED_VALUE"""),43374.6666666666)</f>
        <v>43374.666666666599</v>
      </c>
      <c r="B945" s="1">
        <f ca="1">IFERROR(__xludf.DUMMYFUNCTION("""COMPUTED_VALUE"""),163.03)</f>
        <v>163.03</v>
      </c>
      <c r="C945" s="1">
        <f ca="1">IFERROR(__xludf.DUMMYFUNCTION("""COMPUTED_VALUE"""),165.88)</f>
        <v>165.88</v>
      </c>
      <c r="D945" s="1">
        <f ca="1">IFERROR(__xludf.DUMMYFUNCTION("""COMPUTED_VALUE"""),161.26)</f>
        <v>161.26</v>
      </c>
      <c r="E945" s="1">
        <f ca="1">IFERROR(__xludf.DUMMYFUNCTION("""COMPUTED_VALUE"""),162.44)</f>
        <v>162.44</v>
      </c>
      <c r="F945" s="1">
        <f ca="1">IFERROR(__xludf.DUMMYFUNCTION("""COMPUTED_VALUE"""),26407677)</f>
        <v>26407677</v>
      </c>
    </row>
    <row r="946" spans="1:6" x14ac:dyDescent="0.35">
      <c r="A946" s="2">
        <f ca="1">IFERROR(__xludf.DUMMYFUNCTION("""COMPUTED_VALUE"""),43375.6666666666)</f>
        <v>43375.666666666599</v>
      </c>
      <c r="B946" s="1">
        <f ca="1">IFERROR(__xludf.DUMMYFUNCTION("""COMPUTED_VALUE"""),161.58)</f>
        <v>161.58000000000001</v>
      </c>
      <c r="C946" s="1">
        <f ca="1">IFERROR(__xludf.DUMMYFUNCTION("""COMPUTED_VALUE"""),162.28)</f>
        <v>162.28</v>
      </c>
      <c r="D946" s="1">
        <f ca="1">IFERROR(__xludf.DUMMYFUNCTION("""COMPUTED_VALUE"""),158.67)</f>
        <v>158.66999999999999</v>
      </c>
      <c r="E946" s="1">
        <f ca="1">IFERROR(__xludf.DUMMYFUNCTION("""COMPUTED_VALUE"""),159.33)</f>
        <v>159.33000000000001</v>
      </c>
      <c r="F946" s="1">
        <f ca="1">IFERROR(__xludf.DUMMYFUNCTION("""COMPUTED_VALUE"""),36030977)</f>
        <v>36030977</v>
      </c>
    </row>
    <row r="947" spans="1:6" x14ac:dyDescent="0.35">
      <c r="A947" s="2">
        <f ca="1">IFERROR(__xludf.DUMMYFUNCTION("""COMPUTED_VALUE"""),43376.6666666666)</f>
        <v>43376.666666666599</v>
      </c>
      <c r="B947" s="1">
        <f ca="1">IFERROR(__xludf.DUMMYFUNCTION("""COMPUTED_VALUE"""),160)</f>
        <v>160</v>
      </c>
      <c r="C947" s="1">
        <f ca="1">IFERROR(__xludf.DUMMYFUNCTION("""COMPUTED_VALUE"""),163.66)</f>
        <v>163.66</v>
      </c>
      <c r="D947" s="1">
        <f ca="1">IFERROR(__xludf.DUMMYFUNCTION("""COMPUTED_VALUE"""),159.53)</f>
        <v>159.53</v>
      </c>
      <c r="E947" s="1">
        <f ca="1">IFERROR(__xludf.DUMMYFUNCTION("""COMPUTED_VALUE"""),162.43)</f>
        <v>162.43</v>
      </c>
      <c r="F947" s="1">
        <f ca="1">IFERROR(__xludf.DUMMYFUNCTION("""COMPUTED_VALUE"""),23109456)</f>
        <v>23109456</v>
      </c>
    </row>
    <row r="948" spans="1:6" x14ac:dyDescent="0.35">
      <c r="A948" s="2">
        <f ca="1">IFERROR(__xludf.DUMMYFUNCTION("""COMPUTED_VALUE"""),43377.6666666666)</f>
        <v>43377.666666666599</v>
      </c>
      <c r="B948" s="1">
        <f ca="1">IFERROR(__xludf.DUMMYFUNCTION("""COMPUTED_VALUE"""),161.46)</f>
        <v>161.46</v>
      </c>
      <c r="C948" s="1">
        <f ca="1">IFERROR(__xludf.DUMMYFUNCTION("""COMPUTED_VALUE"""),161.46)</f>
        <v>161.46</v>
      </c>
      <c r="D948" s="1">
        <f ca="1">IFERROR(__xludf.DUMMYFUNCTION("""COMPUTED_VALUE"""),157.35)</f>
        <v>157.35</v>
      </c>
      <c r="E948" s="1">
        <f ca="1">IFERROR(__xludf.DUMMYFUNCTION("""COMPUTED_VALUE"""),158.85)</f>
        <v>158.85</v>
      </c>
      <c r="F948" s="1">
        <f ca="1">IFERROR(__xludf.DUMMYFUNCTION("""COMPUTED_VALUE"""),25739635)</f>
        <v>25739635</v>
      </c>
    </row>
    <row r="949" spans="1:6" x14ac:dyDescent="0.35">
      <c r="A949" s="2">
        <f ca="1">IFERROR(__xludf.DUMMYFUNCTION("""COMPUTED_VALUE"""),43378.6666666666)</f>
        <v>43378.666666666599</v>
      </c>
      <c r="B949" s="1">
        <f ca="1">IFERROR(__xludf.DUMMYFUNCTION("""COMPUTED_VALUE"""),159.21)</f>
        <v>159.21</v>
      </c>
      <c r="C949" s="1">
        <f ca="1">IFERROR(__xludf.DUMMYFUNCTION("""COMPUTED_VALUE"""),160.9)</f>
        <v>160.9</v>
      </c>
      <c r="D949" s="1">
        <f ca="1">IFERROR(__xludf.DUMMYFUNCTION("""COMPUTED_VALUE"""),156.2)</f>
        <v>156.19999999999999</v>
      </c>
      <c r="E949" s="1">
        <f ca="1">IFERROR(__xludf.DUMMYFUNCTION("""COMPUTED_VALUE"""),157.33)</f>
        <v>157.33000000000001</v>
      </c>
      <c r="F949" s="1">
        <f ca="1">IFERROR(__xludf.DUMMYFUNCTION("""COMPUTED_VALUE"""),25744047)</f>
        <v>25744047</v>
      </c>
    </row>
    <row r="950" spans="1:6" x14ac:dyDescent="0.35">
      <c r="A950" s="2">
        <f ca="1">IFERROR(__xludf.DUMMYFUNCTION("""COMPUTED_VALUE"""),43381.6666666666)</f>
        <v>43381.666666666599</v>
      </c>
      <c r="B950" s="1">
        <f ca="1">IFERROR(__xludf.DUMMYFUNCTION("""COMPUTED_VALUE"""),155.54)</f>
        <v>155.54</v>
      </c>
      <c r="C950" s="1">
        <f ca="1">IFERROR(__xludf.DUMMYFUNCTION("""COMPUTED_VALUE"""),158.34)</f>
        <v>158.34</v>
      </c>
      <c r="D950" s="1">
        <f ca="1">IFERROR(__xludf.DUMMYFUNCTION("""COMPUTED_VALUE"""),154.39)</f>
        <v>154.38999999999999</v>
      </c>
      <c r="E950" s="1">
        <f ca="1">IFERROR(__xludf.DUMMYFUNCTION("""COMPUTED_VALUE"""),157.25)</f>
        <v>157.25</v>
      </c>
      <c r="F950" s="1">
        <f ca="1">IFERROR(__xludf.DUMMYFUNCTION("""COMPUTED_VALUE"""),24045968)</f>
        <v>24045968</v>
      </c>
    </row>
    <row r="951" spans="1:6" x14ac:dyDescent="0.35">
      <c r="A951" s="2">
        <f ca="1">IFERROR(__xludf.DUMMYFUNCTION("""COMPUTED_VALUE"""),43382.6666666666)</f>
        <v>43382.666666666599</v>
      </c>
      <c r="B951" s="1">
        <f ca="1">IFERROR(__xludf.DUMMYFUNCTION("""COMPUTED_VALUE"""),157.69)</f>
        <v>157.69</v>
      </c>
      <c r="C951" s="1">
        <f ca="1">IFERROR(__xludf.DUMMYFUNCTION("""COMPUTED_VALUE"""),160.59)</f>
        <v>160.59</v>
      </c>
      <c r="D951" s="1">
        <f ca="1">IFERROR(__xludf.DUMMYFUNCTION("""COMPUTED_VALUE"""),157.42)</f>
        <v>157.41999999999999</v>
      </c>
      <c r="E951" s="1">
        <f ca="1">IFERROR(__xludf.DUMMYFUNCTION("""COMPUTED_VALUE"""),157.9)</f>
        <v>157.9</v>
      </c>
      <c r="F951" s="1">
        <f ca="1">IFERROR(__xludf.DUMMYFUNCTION("""COMPUTED_VALUE"""),18844425)</f>
        <v>18844425</v>
      </c>
    </row>
    <row r="952" spans="1:6" x14ac:dyDescent="0.35">
      <c r="A952" s="2">
        <f ca="1">IFERROR(__xludf.DUMMYFUNCTION("""COMPUTED_VALUE"""),43383.6666666666)</f>
        <v>43383.666666666599</v>
      </c>
      <c r="B952" s="1">
        <f ca="1">IFERROR(__xludf.DUMMYFUNCTION("""COMPUTED_VALUE"""),156.82)</f>
        <v>156.82</v>
      </c>
      <c r="C952" s="1">
        <f ca="1">IFERROR(__xludf.DUMMYFUNCTION("""COMPUTED_VALUE"""),157.69)</f>
        <v>157.69</v>
      </c>
      <c r="D952" s="1">
        <f ca="1">IFERROR(__xludf.DUMMYFUNCTION("""COMPUTED_VALUE"""),151.31)</f>
        <v>151.31</v>
      </c>
      <c r="E952" s="1">
        <f ca="1">IFERROR(__xludf.DUMMYFUNCTION("""COMPUTED_VALUE"""),151.38)</f>
        <v>151.38</v>
      </c>
      <c r="F952" s="1">
        <f ca="1">IFERROR(__xludf.DUMMYFUNCTION("""COMPUTED_VALUE"""),30609970)</f>
        <v>30609970</v>
      </c>
    </row>
    <row r="953" spans="1:6" x14ac:dyDescent="0.35">
      <c r="A953" s="2">
        <f ca="1">IFERROR(__xludf.DUMMYFUNCTION("""COMPUTED_VALUE"""),43384.6666666666)</f>
        <v>43384.666666666599</v>
      </c>
      <c r="B953" s="1">
        <f ca="1">IFERROR(__xludf.DUMMYFUNCTION("""COMPUTED_VALUE"""),150.13)</f>
        <v>150.13</v>
      </c>
      <c r="C953" s="1">
        <f ca="1">IFERROR(__xludf.DUMMYFUNCTION("""COMPUTED_VALUE"""),154.81)</f>
        <v>154.81</v>
      </c>
      <c r="D953" s="1">
        <f ca="1">IFERROR(__xludf.DUMMYFUNCTION("""COMPUTED_VALUE"""),149.16)</f>
        <v>149.16</v>
      </c>
      <c r="E953" s="1">
        <f ca="1">IFERROR(__xludf.DUMMYFUNCTION("""COMPUTED_VALUE"""),153.35)</f>
        <v>153.35</v>
      </c>
      <c r="F953" s="1">
        <f ca="1">IFERROR(__xludf.DUMMYFUNCTION("""COMPUTED_VALUE"""),35338901)</f>
        <v>35338901</v>
      </c>
    </row>
    <row r="954" spans="1:6" x14ac:dyDescent="0.35">
      <c r="A954" s="2">
        <f ca="1">IFERROR(__xludf.DUMMYFUNCTION("""COMPUTED_VALUE"""),43385.6666666666)</f>
        <v>43385.666666666599</v>
      </c>
      <c r="B954" s="1">
        <f ca="1">IFERROR(__xludf.DUMMYFUNCTION("""COMPUTED_VALUE"""),156.73)</f>
        <v>156.72999999999999</v>
      </c>
      <c r="C954" s="1">
        <f ca="1">IFERROR(__xludf.DUMMYFUNCTION("""COMPUTED_VALUE"""),156.89)</f>
        <v>156.88999999999999</v>
      </c>
      <c r="D954" s="1">
        <f ca="1">IFERROR(__xludf.DUMMYFUNCTION("""COMPUTED_VALUE"""),151.3)</f>
        <v>151.30000000000001</v>
      </c>
      <c r="E954" s="1">
        <f ca="1">IFERROR(__xludf.DUMMYFUNCTION("""COMPUTED_VALUE"""),153.74)</f>
        <v>153.74</v>
      </c>
      <c r="F954" s="1">
        <f ca="1">IFERROR(__xludf.DUMMYFUNCTION("""COMPUTED_VALUE"""),25293492)</f>
        <v>25293492</v>
      </c>
    </row>
    <row r="955" spans="1:6" x14ac:dyDescent="0.35">
      <c r="A955" s="2">
        <f ca="1">IFERROR(__xludf.DUMMYFUNCTION("""COMPUTED_VALUE"""),43388.6666666666)</f>
        <v>43388.666666666599</v>
      </c>
      <c r="B955" s="1">
        <f ca="1">IFERROR(__xludf.DUMMYFUNCTION("""COMPUTED_VALUE"""),153.32)</f>
        <v>153.32</v>
      </c>
      <c r="C955" s="1">
        <f ca="1">IFERROR(__xludf.DUMMYFUNCTION("""COMPUTED_VALUE"""),155.57)</f>
        <v>155.57</v>
      </c>
      <c r="D955" s="1">
        <f ca="1">IFERROR(__xludf.DUMMYFUNCTION("""COMPUTED_VALUE"""),152.55)</f>
        <v>152.55000000000001</v>
      </c>
      <c r="E955" s="1">
        <f ca="1">IFERROR(__xludf.DUMMYFUNCTION("""COMPUTED_VALUE"""),153.52)</f>
        <v>153.52000000000001</v>
      </c>
      <c r="F955" s="1">
        <f ca="1">IFERROR(__xludf.DUMMYFUNCTION("""COMPUTED_VALUE"""),15433521)</f>
        <v>15433521</v>
      </c>
    </row>
    <row r="956" spans="1:6" x14ac:dyDescent="0.35">
      <c r="A956" s="2">
        <f ca="1">IFERROR(__xludf.DUMMYFUNCTION("""COMPUTED_VALUE"""),43389.6666666666)</f>
        <v>43389.666666666599</v>
      </c>
      <c r="B956" s="1">
        <f ca="1">IFERROR(__xludf.DUMMYFUNCTION("""COMPUTED_VALUE"""),155.4)</f>
        <v>155.4</v>
      </c>
      <c r="C956" s="1">
        <f ca="1">IFERROR(__xludf.DUMMYFUNCTION("""COMPUTED_VALUE"""),159.46)</f>
        <v>159.46</v>
      </c>
      <c r="D956" s="1">
        <f ca="1">IFERROR(__xludf.DUMMYFUNCTION("""COMPUTED_VALUE"""),155.01)</f>
        <v>155.01</v>
      </c>
      <c r="E956" s="1">
        <f ca="1">IFERROR(__xludf.DUMMYFUNCTION("""COMPUTED_VALUE"""),158.78)</f>
        <v>158.78</v>
      </c>
      <c r="F956" s="1">
        <f ca="1">IFERROR(__xludf.DUMMYFUNCTION("""COMPUTED_VALUE"""),19180095)</f>
        <v>19180095</v>
      </c>
    </row>
    <row r="957" spans="1:6" x14ac:dyDescent="0.35">
      <c r="A957" s="2">
        <f ca="1">IFERROR(__xludf.DUMMYFUNCTION("""COMPUTED_VALUE"""),43390.6666666666)</f>
        <v>43390.666666666599</v>
      </c>
      <c r="B957" s="1">
        <f ca="1">IFERROR(__xludf.DUMMYFUNCTION("""COMPUTED_VALUE"""),159.56)</f>
        <v>159.56</v>
      </c>
      <c r="C957" s="1">
        <f ca="1">IFERROR(__xludf.DUMMYFUNCTION("""COMPUTED_VALUE"""),160.49)</f>
        <v>160.49</v>
      </c>
      <c r="D957" s="1">
        <f ca="1">IFERROR(__xludf.DUMMYFUNCTION("""COMPUTED_VALUE"""),157.95)</f>
        <v>157.94999999999999</v>
      </c>
      <c r="E957" s="1">
        <f ca="1">IFERROR(__xludf.DUMMYFUNCTION("""COMPUTED_VALUE"""),159.42)</f>
        <v>159.41999999999999</v>
      </c>
      <c r="F957" s="1">
        <f ca="1">IFERROR(__xludf.DUMMYFUNCTION("""COMPUTED_VALUE"""),17592003)</f>
        <v>17592003</v>
      </c>
    </row>
    <row r="958" spans="1:6" x14ac:dyDescent="0.35">
      <c r="A958" s="2">
        <f ca="1">IFERROR(__xludf.DUMMYFUNCTION("""COMPUTED_VALUE"""),43391.6666666666)</f>
        <v>43391.666666666599</v>
      </c>
      <c r="B958" s="1">
        <f ca="1">IFERROR(__xludf.DUMMYFUNCTION("""COMPUTED_VALUE"""),158.51)</f>
        <v>158.51</v>
      </c>
      <c r="C958" s="1">
        <f ca="1">IFERROR(__xludf.DUMMYFUNCTION("""COMPUTED_VALUE"""),158.66)</f>
        <v>158.66</v>
      </c>
      <c r="D958" s="1">
        <f ca="1">IFERROR(__xludf.DUMMYFUNCTION("""COMPUTED_VALUE"""),153.28)</f>
        <v>153.28</v>
      </c>
      <c r="E958" s="1">
        <f ca="1">IFERROR(__xludf.DUMMYFUNCTION("""COMPUTED_VALUE"""),154.92)</f>
        <v>154.91999999999999</v>
      </c>
      <c r="F958" s="1">
        <f ca="1">IFERROR(__xludf.DUMMYFUNCTION("""COMPUTED_VALUE"""),21675084)</f>
        <v>21675084</v>
      </c>
    </row>
    <row r="959" spans="1:6" x14ac:dyDescent="0.35">
      <c r="A959" s="2">
        <f ca="1">IFERROR(__xludf.DUMMYFUNCTION("""COMPUTED_VALUE"""),43392.6666666666)</f>
        <v>43392.666666666599</v>
      </c>
      <c r="B959" s="1">
        <f ca="1">IFERROR(__xludf.DUMMYFUNCTION("""COMPUTED_VALUE"""),155.86)</f>
        <v>155.86000000000001</v>
      </c>
      <c r="C959" s="1">
        <f ca="1">IFERROR(__xludf.DUMMYFUNCTION("""COMPUTED_VALUE"""),157.35)</f>
        <v>157.35</v>
      </c>
      <c r="D959" s="1">
        <f ca="1">IFERROR(__xludf.DUMMYFUNCTION("""COMPUTED_VALUE"""),153.55)</f>
        <v>153.55000000000001</v>
      </c>
      <c r="E959" s="1">
        <f ca="1">IFERROR(__xludf.DUMMYFUNCTION("""COMPUTED_VALUE"""),154.05)</f>
        <v>154.05000000000001</v>
      </c>
      <c r="F959" s="1">
        <f ca="1">IFERROR(__xludf.DUMMYFUNCTION("""COMPUTED_VALUE"""),19761347)</f>
        <v>19761347</v>
      </c>
    </row>
    <row r="960" spans="1:6" x14ac:dyDescent="0.35">
      <c r="A960" s="2">
        <f ca="1">IFERROR(__xludf.DUMMYFUNCTION("""COMPUTED_VALUE"""),43395.6666666666)</f>
        <v>43395.666666666599</v>
      </c>
      <c r="B960" s="1">
        <f ca="1">IFERROR(__xludf.DUMMYFUNCTION("""COMPUTED_VALUE"""),154.76)</f>
        <v>154.76</v>
      </c>
      <c r="C960" s="1">
        <f ca="1">IFERROR(__xludf.DUMMYFUNCTION("""COMPUTED_VALUE"""),157.34)</f>
        <v>157.34</v>
      </c>
      <c r="D960" s="1">
        <f ca="1">IFERROR(__xludf.DUMMYFUNCTION("""COMPUTED_VALUE"""),154.46)</f>
        <v>154.46</v>
      </c>
      <c r="E960" s="1">
        <f ca="1">IFERROR(__xludf.DUMMYFUNCTION("""COMPUTED_VALUE"""),154.78)</f>
        <v>154.78</v>
      </c>
      <c r="F960" s="1">
        <f ca="1">IFERROR(__xludf.DUMMYFUNCTION("""COMPUTED_VALUE"""),15424658)</f>
        <v>15424658</v>
      </c>
    </row>
    <row r="961" spans="1:6" x14ac:dyDescent="0.35">
      <c r="A961" s="2">
        <f ca="1">IFERROR(__xludf.DUMMYFUNCTION("""COMPUTED_VALUE"""),43396.6666666666)</f>
        <v>43396.666666666599</v>
      </c>
      <c r="B961" s="1">
        <f ca="1">IFERROR(__xludf.DUMMYFUNCTION("""COMPUTED_VALUE"""),151.22)</f>
        <v>151.22</v>
      </c>
      <c r="C961" s="1">
        <f ca="1">IFERROR(__xludf.DUMMYFUNCTION("""COMPUTED_VALUE"""),154.77)</f>
        <v>154.77000000000001</v>
      </c>
      <c r="D961" s="1">
        <f ca="1">IFERROR(__xludf.DUMMYFUNCTION("""COMPUTED_VALUE"""),150.85)</f>
        <v>150.85</v>
      </c>
      <c r="E961" s="1">
        <f ca="1">IFERROR(__xludf.DUMMYFUNCTION("""COMPUTED_VALUE"""),154.39)</f>
        <v>154.38999999999999</v>
      </c>
      <c r="F961" s="1">
        <f ca="1">IFERROR(__xludf.DUMMYFUNCTION("""COMPUTED_VALUE"""),19095032)</f>
        <v>19095032</v>
      </c>
    </row>
    <row r="962" spans="1:6" x14ac:dyDescent="0.35">
      <c r="A962" s="2">
        <f ca="1">IFERROR(__xludf.DUMMYFUNCTION("""COMPUTED_VALUE"""),43397.6666666666)</f>
        <v>43397.666666666599</v>
      </c>
      <c r="B962" s="1">
        <f ca="1">IFERROR(__xludf.DUMMYFUNCTION("""COMPUTED_VALUE"""),154.28)</f>
        <v>154.28</v>
      </c>
      <c r="C962" s="1">
        <f ca="1">IFERROR(__xludf.DUMMYFUNCTION("""COMPUTED_VALUE"""),154.65)</f>
        <v>154.65</v>
      </c>
      <c r="D962" s="1">
        <f ca="1">IFERROR(__xludf.DUMMYFUNCTION("""COMPUTED_VALUE"""),145.6)</f>
        <v>145.6</v>
      </c>
      <c r="E962" s="1">
        <f ca="1">IFERROR(__xludf.DUMMYFUNCTION("""COMPUTED_VALUE"""),146.04)</f>
        <v>146.04</v>
      </c>
      <c r="F962" s="1">
        <f ca="1">IFERROR(__xludf.DUMMYFUNCTION("""COMPUTED_VALUE"""),27744597)</f>
        <v>27744597</v>
      </c>
    </row>
    <row r="963" spans="1:6" x14ac:dyDescent="0.35">
      <c r="A963" s="2">
        <f ca="1">IFERROR(__xludf.DUMMYFUNCTION("""COMPUTED_VALUE"""),43398.6666666666)</f>
        <v>43398.666666666599</v>
      </c>
      <c r="B963" s="1">
        <f ca="1">IFERROR(__xludf.DUMMYFUNCTION("""COMPUTED_VALUE"""),147.73)</f>
        <v>147.72999999999999</v>
      </c>
      <c r="C963" s="1">
        <f ca="1">IFERROR(__xludf.DUMMYFUNCTION("""COMPUTED_VALUE"""),152.21)</f>
        <v>152.21</v>
      </c>
      <c r="D963" s="1">
        <f ca="1">IFERROR(__xludf.DUMMYFUNCTION("""COMPUTED_VALUE"""),147)</f>
        <v>147</v>
      </c>
      <c r="E963" s="1">
        <f ca="1">IFERROR(__xludf.DUMMYFUNCTION("""COMPUTED_VALUE"""),150.95)</f>
        <v>150.94999999999999</v>
      </c>
      <c r="F963" s="1">
        <f ca="1">IFERROR(__xludf.DUMMYFUNCTION("""COMPUTED_VALUE"""),22105696)</f>
        <v>22105696</v>
      </c>
    </row>
    <row r="964" spans="1:6" x14ac:dyDescent="0.35">
      <c r="A964" s="2">
        <f ca="1">IFERROR(__xludf.DUMMYFUNCTION("""COMPUTED_VALUE"""),43399.6666666666)</f>
        <v>43399.666666666599</v>
      </c>
      <c r="B964" s="1">
        <f ca="1">IFERROR(__xludf.DUMMYFUNCTION("""COMPUTED_VALUE"""),145.82)</f>
        <v>145.82</v>
      </c>
      <c r="C964" s="1">
        <f ca="1">IFERROR(__xludf.DUMMYFUNCTION("""COMPUTED_VALUE"""),149)</f>
        <v>149</v>
      </c>
      <c r="D964" s="1">
        <f ca="1">IFERROR(__xludf.DUMMYFUNCTION("""COMPUTED_VALUE"""),143.8)</f>
        <v>143.80000000000001</v>
      </c>
      <c r="E964" s="1">
        <f ca="1">IFERROR(__xludf.DUMMYFUNCTION("""COMPUTED_VALUE"""),145.37)</f>
        <v>145.37</v>
      </c>
      <c r="F964" s="1">
        <f ca="1">IFERROR(__xludf.DUMMYFUNCTION("""COMPUTED_VALUE"""),31303341)</f>
        <v>31303341</v>
      </c>
    </row>
    <row r="965" spans="1:6" x14ac:dyDescent="0.35">
      <c r="A965" s="2">
        <f ca="1">IFERROR(__xludf.DUMMYFUNCTION("""COMPUTED_VALUE"""),43402.6666666666)</f>
        <v>43402.666666666599</v>
      </c>
      <c r="B965" s="1">
        <f ca="1">IFERROR(__xludf.DUMMYFUNCTION("""COMPUTED_VALUE"""),148.5)</f>
        <v>148.5</v>
      </c>
      <c r="C965" s="1">
        <f ca="1">IFERROR(__xludf.DUMMYFUNCTION("""COMPUTED_VALUE"""),148.83)</f>
        <v>148.83000000000001</v>
      </c>
      <c r="D965" s="1">
        <f ca="1">IFERROR(__xludf.DUMMYFUNCTION("""COMPUTED_VALUE"""),139.03)</f>
        <v>139.03</v>
      </c>
      <c r="E965" s="1">
        <f ca="1">IFERROR(__xludf.DUMMYFUNCTION("""COMPUTED_VALUE"""),142.09)</f>
        <v>142.09</v>
      </c>
      <c r="F965" s="1">
        <f ca="1">IFERROR(__xludf.DUMMYFUNCTION("""COMPUTED_VALUE"""),31336784)</f>
        <v>31336784</v>
      </c>
    </row>
    <row r="966" spans="1:6" x14ac:dyDescent="0.35">
      <c r="A966" s="2">
        <f ca="1">IFERROR(__xludf.DUMMYFUNCTION("""COMPUTED_VALUE"""),43403.6666666666)</f>
        <v>43403.666666666599</v>
      </c>
      <c r="B966" s="1">
        <f ca="1">IFERROR(__xludf.DUMMYFUNCTION("""COMPUTED_VALUE"""),139.94)</f>
        <v>139.94</v>
      </c>
      <c r="C966" s="1">
        <f ca="1">IFERROR(__xludf.DUMMYFUNCTION("""COMPUTED_VALUE"""),146.64)</f>
        <v>146.63999999999999</v>
      </c>
      <c r="D966" s="1">
        <f ca="1">IFERROR(__xludf.DUMMYFUNCTION("""COMPUTED_VALUE"""),139.74)</f>
        <v>139.74</v>
      </c>
      <c r="E966" s="1">
        <f ca="1">IFERROR(__xludf.DUMMYFUNCTION("""COMPUTED_VALUE"""),146.22)</f>
        <v>146.22</v>
      </c>
      <c r="F966" s="1">
        <f ca="1">IFERROR(__xludf.DUMMYFUNCTION("""COMPUTED_VALUE"""),50528278)</f>
        <v>50528278</v>
      </c>
    </row>
    <row r="967" spans="1:6" x14ac:dyDescent="0.35">
      <c r="A967" s="2">
        <f ca="1">IFERROR(__xludf.DUMMYFUNCTION("""COMPUTED_VALUE"""),43404.6666666666)</f>
        <v>43404.666666666599</v>
      </c>
      <c r="B967" s="1">
        <f ca="1">IFERROR(__xludf.DUMMYFUNCTION("""COMPUTED_VALUE"""),155)</f>
        <v>155</v>
      </c>
      <c r="C967" s="1">
        <f ca="1">IFERROR(__xludf.DUMMYFUNCTION("""COMPUTED_VALUE"""),156.4)</f>
        <v>156.4</v>
      </c>
      <c r="D967" s="1">
        <f ca="1">IFERROR(__xludf.DUMMYFUNCTION("""COMPUTED_VALUE"""),148.96)</f>
        <v>148.96</v>
      </c>
      <c r="E967" s="1">
        <f ca="1">IFERROR(__xludf.DUMMYFUNCTION("""COMPUTED_VALUE"""),151.79)</f>
        <v>151.79</v>
      </c>
      <c r="F967" s="1">
        <f ca="1">IFERROR(__xludf.DUMMYFUNCTION("""COMPUTED_VALUE"""),60101251)</f>
        <v>60101251</v>
      </c>
    </row>
    <row r="968" spans="1:6" x14ac:dyDescent="0.35">
      <c r="A968" s="2">
        <f ca="1">IFERROR(__xludf.DUMMYFUNCTION("""COMPUTED_VALUE"""),43405.6666666666)</f>
        <v>43405.666666666599</v>
      </c>
      <c r="B968" s="1">
        <f ca="1">IFERROR(__xludf.DUMMYFUNCTION("""COMPUTED_VALUE"""),151.52)</f>
        <v>151.52000000000001</v>
      </c>
      <c r="C968" s="1">
        <f ca="1">IFERROR(__xludf.DUMMYFUNCTION("""COMPUTED_VALUE"""),152.75)</f>
        <v>152.75</v>
      </c>
      <c r="D968" s="1">
        <f ca="1">IFERROR(__xludf.DUMMYFUNCTION("""COMPUTED_VALUE"""),149.35)</f>
        <v>149.35</v>
      </c>
      <c r="E968" s="1">
        <f ca="1">IFERROR(__xludf.DUMMYFUNCTION("""COMPUTED_VALUE"""),151.75)</f>
        <v>151.75</v>
      </c>
      <c r="F968" s="1">
        <f ca="1">IFERROR(__xludf.DUMMYFUNCTION("""COMPUTED_VALUE"""),25640786)</f>
        <v>25640786</v>
      </c>
    </row>
    <row r="969" spans="1:6" x14ac:dyDescent="0.35">
      <c r="A969" s="2">
        <f ca="1">IFERROR(__xludf.DUMMYFUNCTION("""COMPUTED_VALUE"""),43406.6666666666)</f>
        <v>43406.666666666599</v>
      </c>
      <c r="B969" s="1">
        <f ca="1">IFERROR(__xludf.DUMMYFUNCTION("""COMPUTED_VALUE"""),151.8)</f>
        <v>151.80000000000001</v>
      </c>
      <c r="C969" s="1">
        <f ca="1">IFERROR(__xludf.DUMMYFUNCTION("""COMPUTED_VALUE"""),154.13)</f>
        <v>154.13</v>
      </c>
      <c r="D969" s="1">
        <f ca="1">IFERROR(__xludf.DUMMYFUNCTION("""COMPUTED_VALUE"""),148.96)</f>
        <v>148.96</v>
      </c>
      <c r="E969" s="1">
        <f ca="1">IFERROR(__xludf.DUMMYFUNCTION("""COMPUTED_VALUE"""),150.35)</f>
        <v>150.35</v>
      </c>
      <c r="F969" s="1">
        <f ca="1">IFERROR(__xludf.DUMMYFUNCTION("""COMPUTED_VALUE"""),24708695)</f>
        <v>24708695</v>
      </c>
    </row>
    <row r="970" spans="1:6" x14ac:dyDescent="0.35">
      <c r="A970" s="2">
        <f ca="1">IFERROR(__xludf.DUMMYFUNCTION("""COMPUTED_VALUE"""),43409.6666666666)</f>
        <v>43409.666666666599</v>
      </c>
      <c r="B970" s="1">
        <f ca="1">IFERROR(__xludf.DUMMYFUNCTION("""COMPUTED_VALUE"""),150.1)</f>
        <v>150.1</v>
      </c>
      <c r="C970" s="1">
        <f ca="1">IFERROR(__xludf.DUMMYFUNCTION("""COMPUTED_VALUE"""),150.19)</f>
        <v>150.19</v>
      </c>
      <c r="D970" s="1">
        <f ca="1">IFERROR(__xludf.DUMMYFUNCTION("""COMPUTED_VALUE"""),147.44)</f>
        <v>147.44</v>
      </c>
      <c r="E970" s="1">
        <f ca="1">IFERROR(__xludf.DUMMYFUNCTION("""COMPUTED_VALUE"""),148.68)</f>
        <v>148.68</v>
      </c>
      <c r="F970" s="1">
        <f ca="1">IFERROR(__xludf.DUMMYFUNCTION("""COMPUTED_VALUE"""),15969849)</f>
        <v>15969849</v>
      </c>
    </row>
    <row r="971" spans="1:6" x14ac:dyDescent="0.35">
      <c r="A971" s="2">
        <f ca="1">IFERROR(__xludf.DUMMYFUNCTION("""COMPUTED_VALUE"""),43410.6666666666)</f>
        <v>43410.666666666599</v>
      </c>
      <c r="B971" s="1">
        <f ca="1">IFERROR(__xludf.DUMMYFUNCTION("""COMPUTED_VALUE"""),149.31)</f>
        <v>149.31</v>
      </c>
      <c r="C971" s="1">
        <f ca="1">IFERROR(__xludf.DUMMYFUNCTION("""COMPUTED_VALUE"""),150.97)</f>
        <v>150.97</v>
      </c>
      <c r="D971" s="1">
        <f ca="1">IFERROR(__xludf.DUMMYFUNCTION("""COMPUTED_VALUE"""),148)</f>
        <v>148</v>
      </c>
      <c r="E971" s="1">
        <f ca="1">IFERROR(__xludf.DUMMYFUNCTION("""COMPUTED_VALUE"""),149.94)</f>
        <v>149.94</v>
      </c>
      <c r="F971" s="1">
        <f ca="1">IFERROR(__xludf.DUMMYFUNCTION("""COMPUTED_VALUE"""),16667124)</f>
        <v>16667124</v>
      </c>
    </row>
    <row r="972" spans="1:6" x14ac:dyDescent="0.35">
      <c r="A972" s="2">
        <f ca="1">IFERROR(__xludf.DUMMYFUNCTION("""COMPUTED_VALUE"""),43411.6666666666)</f>
        <v>43411.666666666599</v>
      </c>
      <c r="B972" s="1">
        <f ca="1">IFERROR(__xludf.DUMMYFUNCTION("""COMPUTED_VALUE"""),151.57)</f>
        <v>151.57</v>
      </c>
      <c r="C972" s="1">
        <f ca="1">IFERROR(__xludf.DUMMYFUNCTION("""COMPUTED_VALUE"""),153.01)</f>
        <v>153.01</v>
      </c>
      <c r="D972" s="1">
        <f ca="1">IFERROR(__xludf.DUMMYFUNCTION("""COMPUTED_VALUE"""),149.83)</f>
        <v>149.83000000000001</v>
      </c>
      <c r="E972" s="1">
        <f ca="1">IFERROR(__xludf.DUMMYFUNCTION("""COMPUTED_VALUE"""),151.53)</f>
        <v>151.53</v>
      </c>
      <c r="F972" s="1">
        <f ca="1">IFERROR(__xludf.DUMMYFUNCTION("""COMPUTED_VALUE"""),21877372)</f>
        <v>21877372</v>
      </c>
    </row>
    <row r="973" spans="1:6" x14ac:dyDescent="0.35">
      <c r="A973" s="2">
        <f ca="1">IFERROR(__xludf.DUMMYFUNCTION("""COMPUTED_VALUE"""),43412.6666666666)</f>
        <v>43412.666666666599</v>
      </c>
      <c r="B973" s="1">
        <f ca="1">IFERROR(__xludf.DUMMYFUNCTION("""COMPUTED_VALUE"""),150.49)</f>
        <v>150.49</v>
      </c>
      <c r="C973" s="1">
        <f ca="1">IFERROR(__xludf.DUMMYFUNCTION("""COMPUTED_VALUE"""),150.94)</f>
        <v>150.94</v>
      </c>
      <c r="D973" s="1">
        <f ca="1">IFERROR(__xludf.DUMMYFUNCTION("""COMPUTED_VALUE"""),146.74)</f>
        <v>146.74</v>
      </c>
      <c r="E973" s="1">
        <f ca="1">IFERROR(__xludf.DUMMYFUNCTION("""COMPUTED_VALUE"""),147.87)</f>
        <v>147.87</v>
      </c>
      <c r="F973" s="1">
        <f ca="1">IFERROR(__xludf.DUMMYFUNCTION("""COMPUTED_VALUE"""),24145814)</f>
        <v>24145814</v>
      </c>
    </row>
    <row r="974" spans="1:6" x14ac:dyDescent="0.35">
      <c r="A974" s="2">
        <f ca="1">IFERROR(__xludf.DUMMYFUNCTION("""COMPUTED_VALUE"""),43413.6666666666)</f>
        <v>43413.666666666599</v>
      </c>
      <c r="B974" s="1">
        <f ca="1">IFERROR(__xludf.DUMMYFUNCTION("""COMPUTED_VALUE"""),146.75)</f>
        <v>146.75</v>
      </c>
      <c r="C974" s="1">
        <f ca="1">IFERROR(__xludf.DUMMYFUNCTION("""COMPUTED_VALUE"""),147.76)</f>
        <v>147.76</v>
      </c>
      <c r="D974" s="1">
        <f ca="1">IFERROR(__xludf.DUMMYFUNCTION("""COMPUTED_VALUE"""),144.07)</f>
        <v>144.07</v>
      </c>
      <c r="E974" s="1">
        <f ca="1">IFERROR(__xludf.DUMMYFUNCTION("""COMPUTED_VALUE"""),144.96)</f>
        <v>144.96</v>
      </c>
      <c r="F974" s="1">
        <f ca="1">IFERROR(__xludf.DUMMYFUNCTION("""COMPUTED_VALUE"""),17326898)</f>
        <v>17326898</v>
      </c>
    </row>
    <row r="975" spans="1:6" x14ac:dyDescent="0.35">
      <c r="A975" s="2">
        <f ca="1">IFERROR(__xludf.DUMMYFUNCTION("""COMPUTED_VALUE"""),43416.6666666666)</f>
        <v>43416.666666666599</v>
      </c>
      <c r="B975" s="1">
        <f ca="1">IFERROR(__xludf.DUMMYFUNCTION("""COMPUTED_VALUE"""),144.48)</f>
        <v>144.47999999999999</v>
      </c>
      <c r="C975" s="1">
        <f ca="1">IFERROR(__xludf.DUMMYFUNCTION("""COMPUTED_VALUE"""),145.04)</f>
        <v>145.04</v>
      </c>
      <c r="D975" s="1">
        <f ca="1">IFERROR(__xludf.DUMMYFUNCTION("""COMPUTED_VALUE"""),140.49)</f>
        <v>140.49</v>
      </c>
      <c r="E975" s="1">
        <f ca="1">IFERROR(__xludf.DUMMYFUNCTION("""COMPUTED_VALUE"""),141.55)</f>
        <v>141.55000000000001</v>
      </c>
      <c r="F975" s="1">
        <f ca="1">IFERROR(__xludf.DUMMYFUNCTION("""COMPUTED_VALUE"""),18542123)</f>
        <v>18542123</v>
      </c>
    </row>
    <row r="976" spans="1:6" x14ac:dyDescent="0.35">
      <c r="A976" s="2">
        <f ca="1">IFERROR(__xludf.DUMMYFUNCTION("""COMPUTED_VALUE"""),43417.6666666666)</f>
        <v>43417.666666666599</v>
      </c>
      <c r="B976" s="1">
        <f ca="1">IFERROR(__xludf.DUMMYFUNCTION("""COMPUTED_VALUE"""),142)</f>
        <v>142</v>
      </c>
      <c r="C976" s="1">
        <f ca="1">IFERROR(__xludf.DUMMYFUNCTION("""COMPUTED_VALUE"""),144.88)</f>
        <v>144.88</v>
      </c>
      <c r="D976" s="1">
        <f ca="1">IFERROR(__xludf.DUMMYFUNCTION("""COMPUTED_VALUE"""),141.62)</f>
        <v>141.62</v>
      </c>
      <c r="E976" s="1">
        <f ca="1">IFERROR(__xludf.DUMMYFUNCTION("""COMPUTED_VALUE"""),142.16)</f>
        <v>142.16</v>
      </c>
      <c r="F976" s="1">
        <f ca="1">IFERROR(__xludf.DUMMYFUNCTION("""COMPUTED_VALUE"""),15141710)</f>
        <v>15141710</v>
      </c>
    </row>
    <row r="977" spans="1:6" x14ac:dyDescent="0.35">
      <c r="A977" s="2">
        <f ca="1">IFERROR(__xludf.DUMMYFUNCTION("""COMPUTED_VALUE"""),43418.6666666666)</f>
        <v>43418.666666666599</v>
      </c>
      <c r="B977" s="1">
        <f ca="1">IFERROR(__xludf.DUMMYFUNCTION("""COMPUTED_VALUE"""),143.7)</f>
        <v>143.69999999999999</v>
      </c>
      <c r="C977" s="1">
        <f ca="1">IFERROR(__xludf.DUMMYFUNCTION("""COMPUTED_VALUE"""),145.58)</f>
        <v>145.58000000000001</v>
      </c>
      <c r="D977" s="1">
        <f ca="1">IFERROR(__xludf.DUMMYFUNCTION("""COMPUTED_VALUE"""),141.55)</f>
        <v>141.55000000000001</v>
      </c>
      <c r="E977" s="1">
        <f ca="1">IFERROR(__xludf.DUMMYFUNCTION("""COMPUTED_VALUE"""),144.22)</f>
        <v>144.22</v>
      </c>
      <c r="F977" s="1">
        <f ca="1">IFERROR(__xludf.DUMMYFUNCTION("""COMPUTED_VALUE"""),22068384)</f>
        <v>22068384</v>
      </c>
    </row>
    <row r="978" spans="1:6" x14ac:dyDescent="0.35">
      <c r="A978" s="2">
        <f ca="1">IFERROR(__xludf.DUMMYFUNCTION("""COMPUTED_VALUE"""),43419.6666666666)</f>
        <v>43419.666666666599</v>
      </c>
      <c r="B978" s="1">
        <f ca="1">IFERROR(__xludf.DUMMYFUNCTION("""COMPUTED_VALUE"""),142.33)</f>
        <v>142.33000000000001</v>
      </c>
      <c r="C978" s="1">
        <f ca="1">IFERROR(__xludf.DUMMYFUNCTION("""COMPUTED_VALUE"""),144.84)</f>
        <v>144.84</v>
      </c>
      <c r="D978" s="1">
        <f ca="1">IFERROR(__xludf.DUMMYFUNCTION("""COMPUTED_VALUE"""),140.83)</f>
        <v>140.83000000000001</v>
      </c>
      <c r="E978" s="1">
        <f ca="1">IFERROR(__xludf.DUMMYFUNCTION("""COMPUTED_VALUE"""),143.85)</f>
        <v>143.85</v>
      </c>
      <c r="F978" s="1">
        <f ca="1">IFERROR(__xludf.DUMMYFUNCTION("""COMPUTED_VALUE"""),30320280)</f>
        <v>30320280</v>
      </c>
    </row>
    <row r="979" spans="1:6" x14ac:dyDescent="0.35">
      <c r="A979" s="2">
        <f ca="1">IFERROR(__xludf.DUMMYFUNCTION("""COMPUTED_VALUE"""),43420.6666666666)</f>
        <v>43420.666666666599</v>
      </c>
      <c r="B979" s="1">
        <f ca="1">IFERROR(__xludf.DUMMYFUNCTION("""COMPUTED_VALUE"""),141.07)</f>
        <v>141.07</v>
      </c>
      <c r="C979" s="1">
        <f ca="1">IFERROR(__xludf.DUMMYFUNCTION("""COMPUTED_VALUE"""),141.77)</f>
        <v>141.77000000000001</v>
      </c>
      <c r="D979" s="1">
        <f ca="1">IFERROR(__xludf.DUMMYFUNCTION("""COMPUTED_VALUE"""),137.77)</f>
        <v>137.77000000000001</v>
      </c>
      <c r="E979" s="1">
        <f ca="1">IFERROR(__xludf.DUMMYFUNCTION("""COMPUTED_VALUE"""),139.53)</f>
        <v>139.53</v>
      </c>
      <c r="F979" s="1">
        <f ca="1">IFERROR(__xludf.DUMMYFUNCTION("""COMPUTED_VALUE"""),37250560)</f>
        <v>37250560</v>
      </c>
    </row>
    <row r="980" spans="1:6" x14ac:dyDescent="0.35">
      <c r="A980" s="2">
        <f ca="1">IFERROR(__xludf.DUMMYFUNCTION("""COMPUTED_VALUE"""),43423.6666666666)</f>
        <v>43423.666666666599</v>
      </c>
      <c r="B980" s="1">
        <f ca="1">IFERROR(__xludf.DUMMYFUNCTION("""COMPUTED_VALUE"""),137.61)</f>
        <v>137.61000000000001</v>
      </c>
      <c r="C980" s="1">
        <f ca="1">IFERROR(__xludf.DUMMYFUNCTION("""COMPUTED_VALUE"""),137.75)</f>
        <v>137.75</v>
      </c>
      <c r="D980" s="1">
        <f ca="1">IFERROR(__xludf.DUMMYFUNCTION("""COMPUTED_VALUE"""),131.21)</f>
        <v>131.21</v>
      </c>
      <c r="E980" s="1">
        <f ca="1">IFERROR(__xludf.DUMMYFUNCTION("""COMPUTED_VALUE"""),131.55)</f>
        <v>131.55000000000001</v>
      </c>
      <c r="F980" s="1">
        <f ca="1">IFERROR(__xludf.DUMMYFUNCTION("""COMPUTED_VALUE"""),44362729)</f>
        <v>44362729</v>
      </c>
    </row>
    <row r="981" spans="1:6" x14ac:dyDescent="0.35">
      <c r="A981" s="2">
        <f ca="1">IFERROR(__xludf.DUMMYFUNCTION("""COMPUTED_VALUE"""),43424.6666666666)</f>
        <v>43424.666666666599</v>
      </c>
      <c r="B981" s="1">
        <f ca="1">IFERROR(__xludf.DUMMYFUNCTION("""COMPUTED_VALUE"""),127.03)</f>
        <v>127.03</v>
      </c>
      <c r="C981" s="1">
        <f ca="1">IFERROR(__xludf.DUMMYFUNCTION("""COMPUTED_VALUE"""),134.16)</f>
        <v>134.16</v>
      </c>
      <c r="D981" s="1">
        <f ca="1">IFERROR(__xludf.DUMMYFUNCTION("""COMPUTED_VALUE"""),126.85)</f>
        <v>126.85</v>
      </c>
      <c r="E981" s="1">
        <f ca="1">IFERROR(__xludf.DUMMYFUNCTION("""COMPUTED_VALUE"""),132.43)</f>
        <v>132.43</v>
      </c>
      <c r="F981" s="1">
        <f ca="1">IFERROR(__xludf.DUMMYFUNCTION("""COMPUTED_VALUE"""),41939475)</f>
        <v>41939475</v>
      </c>
    </row>
    <row r="982" spans="1:6" x14ac:dyDescent="0.35">
      <c r="A982" s="2">
        <f ca="1">IFERROR(__xludf.DUMMYFUNCTION("""COMPUTED_VALUE"""),43425.6666666666)</f>
        <v>43425.666666666599</v>
      </c>
      <c r="B982" s="1">
        <f ca="1">IFERROR(__xludf.DUMMYFUNCTION("""COMPUTED_VALUE"""),134.4)</f>
        <v>134.4</v>
      </c>
      <c r="C982" s="1">
        <f ca="1">IFERROR(__xludf.DUMMYFUNCTION("""COMPUTED_VALUE"""),137.19)</f>
        <v>137.19</v>
      </c>
      <c r="D982" s="1">
        <f ca="1">IFERROR(__xludf.DUMMYFUNCTION("""COMPUTED_VALUE"""),134.13)</f>
        <v>134.13</v>
      </c>
      <c r="E982" s="1">
        <f ca="1">IFERROR(__xludf.DUMMYFUNCTION("""COMPUTED_VALUE"""),134.82)</f>
        <v>134.82</v>
      </c>
      <c r="F982" s="1">
        <f ca="1">IFERROR(__xludf.DUMMYFUNCTION("""COMPUTED_VALUE"""),25469735)</f>
        <v>25469735</v>
      </c>
    </row>
    <row r="983" spans="1:6" x14ac:dyDescent="0.35">
      <c r="A983" s="2">
        <f ca="1">IFERROR(__xludf.DUMMYFUNCTION("""COMPUTED_VALUE"""),43427.5416666666)</f>
        <v>43427.541666666599</v>
      </c>
      <c r="B983" s="1">
        <f ca="1">IFERROR(__xludf.DUMMYFUNCTION("""COMPUTED_VALUE"""),133.65)</f>
        <v>133.65</v>
      </c>
      <c r="C983" s="1">
        <f ca="1">IFERROR(__xludf.DUMMYFUNCTION("""COMPUTED_VALUE"""),134.5)</f>
        <v>134.5</v>
      </c>
      <c r="D983" s="1">
        <f ca="1">IFERROR(__xludf.DUMMYFUNCTION("""COMPUTED_VALUE"""),131.26)</f>
        <v>131.26</v>
      </c>
      <c r="E983" s="1">
        <f ca="1">IFERROR(__xludf.DUMMYFUNCTION("""COMPUTED_VALUE"""),131.73)</f>
        <v>131.72999999999999</v>
      </c>
      <c r="F983" s="1">
        <f ca="1">IFERROR(__xludf.DUMMYFUNCTION("""COMPUTED_VALUE"""),11886128)</f>
        <v>11886128</v>
      </c>
    </row>
    <row r="984" spans="1:6" x14ac:dyDescent="0.35">
      <c r="A984" s="2">
        <f ca="1">IFERROR(__xludf.DUMMYFUNCTION("""COMPUTED_VALUE"""),43430.6666666666)</f>
        <v>43430.666666666599</v>
      </c>
      <c r="B984" s="1">
        <f ca="1">IFERROR(__xludf.DUMMYFUNCTION("""COMPUTED_VALUE"""),133)</f>
        <v>133</v>
      </c>
      <c r="C984" s="1">
        <f ca="1">IFERROR(__xludf.DUMMYFUNCTION("""COMPUTED_VALUE"""),137)</f>
        <v>137</v>
      </c>
      <c r="D984" s="1">
        <f ca="1">IFERROR(__xludf.DUMMYFUNCTION("""COMPUTED_VALUE"""),132.78)</f>
        <v>132.78</v>
      </c>
      <c r="E984" s="1">
        <f ca="1">IFERROR(__xludf.DUMMYFUNCTION("""COMPUTED_VALUE"""),136.38)</f>
        <v>136.38</v>
      </c>
      <c r="F984" s="1">
        <f ca="1">IFERROR(__xludf.DUMMYFUNCTION("""COMPUTED_VALUE"""),24263640)</f>
        <v>24263640</v>
      </c>
    </row>
    <row r="985" spans="1:6" x14ac:dyDescent="0.35">
      <c r="A985" s="2">
        <f ca="1">IFERROR(__xludf.DUMMYFUNCTION("""COMPUTED_VALUE"""),43431.6666666666)</f>
        <v>43431.666666666599</v>
      </c>
      <c r="B985" s="1">
        <f ca="1">IFERROR(__xludf.DUMMYFUNCTION("""COMPUTED_VALUE"""),135.75)</f>
        <v>135.75</v>
      </c>
      <c r="C985" s="1">
        <f ca="1">IFERROR(__xludf.DUMMYFUNCTION("""COMPUTED_VALUE"""),136.61)</f>
        <v>136.61000000000001</v>
      </c>
      <c r="D985" s="1">
        <f ca="1">IFERROR(__xludf.DUMMYFUNCTION("""COMPUTED_VALUE"""),133.71)</f>
        <v>133.71</v>
      </c>
      <c r="E985" s="1">
        <f ca="1">IFERROR(__xludf.DUMMYFUNCTION("""COMPUTED_VALUE"""),135)</f>
        <v>135</v>
      </c>
      <c r="F985" s="1">
        <f ca="1">IFERROR(__xludf.DUMMYFUNCTION("""COMPUTED_VALUE"""),20750318)</f>
        <v>20750318</v>
      </c>
    </row>
    <row r="986" spans="1:6" x14ac:dyDescent="0.35">
      <c r="A986" s="2">
        <f ca="1">IFERROR(__xludf.DUMMYFUNCTION("""COMPUTED_VALUE"""),43432.6666666666)</f>
        <v>43432.666666666599</v>
      </c>
      <c r="B986" s="1">
        <f ca="1">IFERROR(__xludf.DUMMYFUNCTION("""COMPUTED_VALUE"""),136.28)</f>
        <v>136.28</v>
      </c>
      <c r="C986" s="1">
        <f ca="1">IFERROR(__xludf.DUMMYFUNCTION("""COMPUTED_VALUE"""),136.79)</f>
        <v>136.79</v>
      </c>
      <c r="D986" s="1">
        <f ca="1">IFERROR(__xludf.DUMMYFUNCTION("""COMPUTED_VALUE"""),131.85)</f>
        <v>131.85</v>
      </c>
      <c r="E986" s="1">
        <f ca="1">IFERROR(__xludf.DUMMYFUNCTION("""COMPUTED_VALUE"""),136.76)</f>
        <v>136.76</v>
      </c>
      <c r="F986" s="1">
        <f ca="1">IFERROR(__xludf.DUMMYFUNCTION("""COMPUTED_VALUE"""),29847505)</f>
        <v>29847505</v>
      </c>
    </row>
    <row r="987" spans="1:6" x14ac:dyDescent="0.35">
      <c r="A987" s="2">
        <f ca="1">IFERROR(__xludf.DUMMYFUNCTION("""COMPUTED_VALUE"""),43433.6666666666)</f>
        <v>43433.666666666599</v>
      </c>
      <c r="B987" s="1">
        <f ca="1">IFERROR(__xludf.DUMMYFUNCTION("""COMPUTED_VALUE"""),135.92)</f>
        <v>135.91999999999999</v>
      </c>
      <c r="C987" s="1">
        <f ca="1">IFERROR(__xludf.DUMMYFUNCTION("""COMPUTED_VALUE"""),139.99)</f>
        <v>139.99</v>
      </c>
      <c r="D987" s="1">
        <f ca="1">IFERROR(__xludf.DUMMYFUNCTION("""COMPUTED_VALUE"""),135.66)</f>
        <v>135.66</v>
      </c>
      <c r="E987" s="1">
        <f ca="1">IFERROR(__xludf.DUMMYFUNCTION("""COMPUTED_VALUE"""),138.68)</f>
        <v>138.68</v>
      </c>
      <c r="F987" s="1">
        <f ca="1">IFERROR(__xludf.DUMMYFUNCTION("""COMPUTED_VALUE"""),24238713)</f>
        <v>24238713</v>
      </c>
    </row>
    <row r="988" spans="1:6" x14ac:dyDescent="0.35">
      <c r="A988" s="2">
        <f ca="1">IFERROR(__xludf.DUMMYFUNCTION("""COMPUTED_VALUE"""),43434.6666666666)</f>
        <v>43434.666666666599</v>
      </c>
      <c r="B988" s="1">
        <f ca="1">IFERROR(__xludf.DUMMYFUNCTION("""COMPUTED_VALUE"""),138.26)</f>
        <v>138.26</v>
      </c>
      <c r="C988" s="1">
        <f ca="1">IFERROR(__xludf.DUMMYFUNCTION("""COMPUTED_VALUE"""),140.97)</f>
        <v>140.97</v>
      </c>
      <c r="D988" s="1">
        <f ca="1">IFERROR(__xludf.DUMMYFUNCTION("""COMPUTED_VALUE"""),137.36)</f>
        <v>137.36000000000001</v>
      </c>
      <c r="E988" s="1">
        <f ca="1">IFERROR(__xludf.DUMMYFUNCTION("""COMPUTED_VALUE"""),140.61)</f>
        <v>140.61000000000001</v>
      </c>
      <c r="F988" s="1">
        <f ca="1">IFERROR(__xludf.DUMMYFUNCTION("""COMPUTED_VALUE"""),25732577)</f>
        <v>25732577</v>
      </c>
    </row>
    <row r="989" spans="1:6" x14ac:dyDescent="0.35">
      <c r="A989" s="2">
        <f ca="1">IFERROR(__xludf.DUMMYFUNCTION("""COMPUTED_VALUE"""),43437.6666666666)</f>
        <v>43437.666666666599</v>
      </c>
      <c r="B989" s="1">
        <f ca="1">IFERROR(__xludf.DUMMYFUNCTION("""COMPUTED_VALUE"""),143)</f>
        <v>143</v>
      </c>
      <c r="C989" s="1">
        <f ca="1">IFERROR(__xludf.DUMMYFUNCTION("""COMPUTED_VALUE"""),143.68)</f>
        <v>143.68</v>
      </c>
      <c r="D989" s="1">
        <f ca="1">IFERROR(__xludf.DUMMYFUNCTION("""COMPUTED_VALUE"""),140.76)</f>
        <v>140.76</v>
      </c>
      <c r="E989" s="1">
        <f ca="1">IFERROR(__xludf.DUMMYFUNCTION("""COMPUTED_VALUE"""),141.09)</f>
        <v>141.09</v>
      </c>
      <c r="F989" s="1">
        <f ca="1">IFERROR(__xludf.DUMMYFUNCTION("""COMPUTED_VALUE"""),24819226)</f>
        <v>24819226</v>
      </c>
    </row>
    <row r="990" spans="1:6" x14ac:dyDescent="0.35">
      <c r="A990" s="2">
        <f ca="1">IFERROR(__xludf.DUMMYFUNCTION("""COMPUTED_VALUE"""),43438.6666666666)</f>
        <v>43438.666666666599</v>
      </c>
      <c r="B990" s="1">
        <f ca="1">IFERROR(__xludf.DUMMYFUNCTION("""COMPUTED_VALUE"""),140.73)</f>
        <v>140.72999999999999</v>
      </c>
      <c r="C990" s="1">
        <f ca="1">IFERROR(__xludf.DUMMYFUNCTION("""COMPUTED_VALUE"""),143.39)</f>
        <v>143.38999999999999</v>
      </c>
      <c r="D990" s="1">
        <f ca="1">IFERROR(__xludf.DUMMYFUNCTION("""COMPUTED_VALUE"""),137.16)</f>
        <v>137.16</v>
      </c>
      <c r="E990" s="1">
        <f ca="1">IFERROR(__xludf.DUMMYFUNCTION("""COMPUTED_VALUE"""),137.93)</f>
        <v>137.93</v>
      </c>
      <c r="F990" s="1">
        <f ca="1">IFERROR(__xludf.DUMMYFUNCTION("""COMPUTED_VALUE"""),30307400)</f>
        <v>30307400</v>
      </c>
    </row>
    <row r="991" spans="1:6" x14ac:dyDescent="0.35">
      <c r="A991" s="2">
        <f ca="1">IFERROR(__xludf.DUMMYFUNCTION("""COMPUTED_VALUE"""),43440.6666666666)</f>
        <v>43440.666666666599</v>
      </c>
      <c r="B991" s="1">
        <f ca="1">IFERROR(__xludf.DUMMYFUNCTION("""COMPUTED_VALUE"""),133.82)</f>
        <v>133.82</v>
      </c>
      <c r="C991" s="1">
        <f ca="1">IFERROR(__xludf.DUMMYFUNCTION("""COMPUTED_VALUE"""),139.7)</f>
        <v>139.69999999999999</v>
      </c>
      <c r="D991" s="1">
        <f ca="1">IFERROR(__xludf.DUMMYFUNCTION("""COMPUTED_VALUE"""),133.67)</f>
        <v>133.66999999999999</v>
      </c>
      <c r="E991" s="1">
        <f ca="1">IFERROR(__xludf.DUMMYFUNCTION("""COMPUTED_VALUE"""),139.63)</f>
        <v>139.63</v>
      </c>
      <c r="F991" s="1">
        <f ca="1">IFERROR(__xludf.DUMMYFUNCTION("""COMPUTED_VALUE"""),28218145)</f>
        <v>28218145</v>
      </c>
    </row>
    <row r="992" spans="1:6" x14ac:dyDescent="0.35">
      <c r="A992" s="2">
        <f ca="1">IFERROR(__xludf.DUMMYFUNCTION("""COMPUTED_VALUE"""),43441.6666666666)</f>
        <v>43441.666666666599</v>
      </c>
      <c r="B992" s="1">
        <f ca="1">IFERROR(__xludf.DUMMYFUNCTION("""COMPUTED_VALUE"""),139.25)</f>
        <v>139.25</v>
      </c>
      <c r="C992" s="1">
        <f ca="1">IFERROR(__xludf.DUMMYFUNCTION("""COMPUTED_VALUE"""),140.87)</f>
        <v>140.87</v>
      </c>
      <c r="D992" s="1">
        <f ca="1">IFERROR(__xludf.DUMMYFUNCTION("""COMPUTED_VALUE"""),136.66)</f>
        <v>136.66</v>
      </c>
      <c r="E992" s="1">
        <f ca="1">IFERROR(__xludf.DUMMYFUNCTION("""COMPUTED_VALUE"""),137.42)</f>
        <v>137.41999999999999</v>
      </c>
      <c r="F992" s="1">
        <f ca="1">IFERROR(__xludf.DUMMYFUNCTION("""COMPUTED_VALUE"""),21195460)</f>
        <v>21195460</v>
      </c>
    </row>
    <row r="993" spans="1:6" x14ac:dyDescent="0.35">
      <c r="A993" s="2">
        <f ca="1">IFERROR(__xludf.DUMMYFUNCTION("""COMPUTED_VALUE"""),43444.6666666666)</f>
        <v>43444.666666666599</v>
      </c>
      <c r="B993" s="1">
        <f ca="1">IFERROR(__xludf.DUMMYFUNCTION("""COMPUTED_VALUE"""),139.6)</f>
        <v>139.6</v>
      </c>
      <c r="C993" s="1">
        <f ca="1">IFERROR(__xludf.DUMMYFUNCTION("""COMPUTED_VALUE"""),143.05)</f>
        <v>143.05000000000001</v>
      </c>
      <c r="D993" s="1">
        <f ca="1">IFERROR(__xludf.DUMMYFUNCTION("""COMPUTED_VALUE"""),139.01)</f>
        <v>139.01</v>
      </c>
      <c r="E993" s="1">
        <f ca="1">IFERROR(__xludf.DUMMYFUNCTION("""COMPUTED_VALUE"""),141.85)</f>
        <v>141.85</v>
      </c>
      <c r="F993" s="1">
        <f ca="1">IFERROR(__xludf.DUMMYFUNCTION("""COMPUTED_VALUE"""),26422173)</f>
        <v>26422173</v>
      </c>
    </row>
    <row r="994" spans="1:6" x14ac:dyDescent="0.35">
      <c r="A994" s="2">
        <f ca="1">IFERROR(__xludf.DUMMYFUNCTION("""COMPUTED_VALUE"""),43445.6666666666)</f>
        <v>43445.666666666599</v>
      </c>
      <c r="B994" s="1">
        <f ca="1">IFERROR(__xludf.DUMMYFUNCTION("""COMPUTED_VALUE"""),143.88)</f>
        <v>143.88</v>
      </c>
      <c r="C994" s="1">
        <f ca="1">IFERROR(__xludf.DUMMYFUNCTION("""COMPUTED_VALUE"""),143.88)</f>
        <v>143.88</v>
      </c>
      <c r="D994" s="1">
        <f ca="1">IFERROR(__xludf.DUMMYFUNCTION("""COMPUTED_VALUE"""),141.1)</f>
        <v>141.1</v>
      </c>
      <c r="E994" s="1">
        <f ca="1">IFERROR(__xludf.DUMMYFUNCTION("""COMPUTED_VALUE"""),142.08)</f>
        <v>142.08000000000001</v>
      </c>
      <c r="F994" s="1">
        <f ca="1">IFERROR(__xludf.DUMMYFUNCTION("""COMPUTED_VALUE"""),20300349)</f>
        <v>20300349</v>
      </c>
    </row>
    <row r="995" spans="1:6" x14ac:dyDescent="0.35">
      <c r="A995" s="2">
        <f ca="1">IFERROR(__xludf.DUMMYFUNCTION("""COMPUTED_VALUE"""),43446.6666666666)</f>
        <v>43446.666666666599</v>
      </c>
      <c r="B995" s="1">
        <f ca="1">IFERROR(__xludf.DUMMYFUNCTION("""COMPUTED_VALUE"""),143.08)</f>
        <v>143.08000000000001</v>
      </c>
      <c r="C995" s="1">
        <f ca="1">IFERROR(__xludf.DUMMYFUNCTION("""COMPUTED_VALUE"""),147.19)</f>
        <v>147.19</v>
      </c>
      <c r="D995" s="1">
        <f ca="1">IFERROR(__xludf.DUMMYFUNCTION("""COMPUTED_VALUE"""),142.51)</f>
        <v>142.51</v>
      </c>
      <c r="E995" s="1">
        <f ca="1">IFERROR(__xludf.DUMMYFUNCTION("""COMPUTED_VALUE"""),144.5)</f>
        <v>144.5</v>
      </c>
      <c r="F995" s="1">
        <f ca="1">IFERROR(__xludf.DUMMYFUNCTION("""COMPUTED_VALUE"""),23696936)</f>
        <v>23696936</v>
      </c>
    </row>
    <row r="996" spans="1:6" x14ac:dyDescent="0.35">
      <c r="A996" s="2">
        <f ca="1">IFERROR(__xludf.DUMMYFUNCTION("""COMPUTED_VALUE"""),43447.6666666666)</f>
        <v>43447.666666666599</v>
      </c>
      <c r="B996" s="1">
        <f ca="1">IFERROR(__xludf.DUMMYFUNCTION("""COMPUTED_VALUE"""),145.57)</f>
        <v>145.57</v>
      </c>
      <c r="C996" s="1">
        <f ca="1">IFERROR(__xludf.DUMMYFUNCTION("""COMPUTED_VALUE"""),145.85)</f>
        <v>145.85</v>
      </c>
      <c r="D996" s="1">
        <f ca="1">IFERROR(__xludf.DUMMYFUNCTION("""COMPUTED_VALUE"""),143.19)</f>
        <v>143.19</v>
      </c>
      <c r="E996" s="1">
        <f ca="1">IFERROR(__xludf.DUMMYFUNCTION("""COMPUTED_VALUE"""),145.01)</f>
        <v>145.01</v>
      </c>
      <c r="F996" s="1">
        <f ca="1">IFERROR(__xludf.DUMMYFUNCTION("""COMPUTED_VALUE"""),18148610)</f>
        <v>18148610</v>
      </c>
    </row>
    <row r="997" spans="1:6" x14ac:dyDescent="0.35">
      <c r="A997" s="2">
        <f ca="1">IFERROR(__xludf.DUMMYFUNCTION("""COMPUTED_VALUE"""),43448.6666666666)</f>
        <v>43448.666666666599</v>
      </c>
      <c r="B997" s="1">
        <f ca="1">IFERROR(__xludf.DUMMYFUNCTION("""COMPUTED_VALUE"""),143.34)</f>
        <v>143.34</v>
      </c>
      <c r="C997" s="1">
        <f ca="1">IFERROR(__xludf.DUMMYFUNCTION("""COMPUTED_VALUE"""),146.01)</f>
        <v>146.01</v>
      </c>
      <c r="D997" s="1">
        <f ca="1">IFERROR(__xludf.DUMMYFUNCTION("""COMPUTED_VALUE"""),142.51)</f>
        <v>142.51</v>
      </c>
      <c r="E997" s="1">
        <f ca="1">IFERROR(__xludf.DUMMYFUNCTION("""COMPUTED_VALUE"""),144.06)</f>
        <v>144.06</v>
      </c>
      <c r="F997" s="1">
        <f ca="1">IFERROR(__xludf.DUMMYFUNCTION("""COMPUTED_VALUE"""),21785820)</f>
        <v>21785820</v>
      </c>
    </row>
    <row r="998" spans="1:6" x14ac:dyDescent="0.35">
      <c r="A998" s="2">
        <f ca="1">IFERROR(__xludf.DUMMYFUNCTION("""COMPUTED_VALUE"""),43451.6666666666)</f>
        <v>43451.666666666599</v>
      </c>
      <c r="B998" s="1">
        <f ca="1">IFERROR(__xludf.DUMMYFUNCTION("""COMPUTED_VALUE"""),143.08)</f>
        <v>143.08000000000001</v>
      </c>
      <c r="C998" s="1">
        <f ca="1">IFERROR(__xludf.DUMMYFUNCTION("""COMPUTED_VALUE"""),144.92)</f>
        <v>144.91999999999999</v>
      </c>
      <c r="D998" s="1">
        <f ca="1">IFERROR(__xludf.DUMMYFUNCTION("""COMPUTED_VALUE"""),138.42)</f>
        <v>138.41999999999999</v>
      </c>
      <c r="E998" s="1">
        <f ca="1">IFERROR(__xludf.DUMMYFUNCTION("""COMPUTED_VALUE"""),140.19)</f>
        <v>140.19</v>
      </c>
      <c r="F998" s="1">
        <f ca="1">IFERROR(__xludf.DUMMYFUNCTION("""COMPUTED_VALUE"""),24333959)</f>
        <v>24333959</v>
      </c>
    </row>
    <row r="999" spans="1:6" x14ac:dyDescent="0.35">
      <c r="A999" s="2">
        <f ca="1">IFERROR(__xludf.DUMMYFUNCTION("""COMPUTED_VALUE"""),43452.6666666666)</f>
        <v>43452.666666666599</v>
      </c>
      <c r="B999" s="1">
        <f ca="1">IFERROR(__xludf.DUMMYFUNCTION("""COMPUTED_VALUE"""),141.08)</f>
        <v>141.08000000000001</v>
      </c>
      <c r="C999" s="1">
        <f ca="1">IFERROR(__xludf.DUMMYFUNCTION("""COMPUTED_VALUE"""),145.93)</f>
        <v>145.93</v>
      </c>
      <c r="D999" s="1">
        <f ca="1">IFERROR(__xludf.DUMMYFUNCTION("""COMPUTED_VALUE"""),139.83)</f>
        <v>139.83000000000001</v>
      </c>
      <c r="E999" s="1">
        <f ca="1">IFERROR(__xludf.DUMMYFUNCTION("""COMPUTED_VALUE"""),143.66)</f>
        <v>143.66</v>
      </c>
      <c r="F999" s="1">
        <f ca="1">IFERROR(__xludf.DUMMYFUNCTION("""COMPUTED_VALUE"""),24709084)</f>
        <v>24709084</v>
      </c>
    </row>
    <row r="1000" spans="1:6" x14ac:dyDescent="0.35">
      <c r="A1000" s="2">
        <f ca="1">IFERROR(__xludf.DUMMYFUNCTION("""COMPUTED_VALUE"""),43453.6666666666)</f>
        <v>43453.666666666599</v>
      </c>
      <c r="B1000" s="1">
        <f ca="1">IFERROR(__xludf.DUMMYFUNCTION("""COMPUTED_VALUE"""),141.21)</f>
        <v>141.21</v>
      </c>
      <c r="C1000" s="1">
        <f ca="1">IFERROR(__xludf.DUMMYFUNCTION("""COMPUTED_VALUE"""),144.91)</f>
        <v>144.91</v>
      </c>
      <c r="D1000" s="1">
        <f ca="1">IFERROR(__xludf.DUMMYFUNCTION("""COMPUTED_VALUE"""),132.5)</f>
        <v>132.5</v>
      </c>
      <c r="E1000" s="1">
        <f ca="1">IFERROR(__xludf.DUMMYFUNCTION("""COMPUTED_VALUE"""),133.24)</f>
        <v>133.24</v>
      </c>
      <c r="F1000" s="1">
        <f ca="1">IFERROR(__xludf.DUMMYFUNCTION("""COMPUTED_VALUE"""),57404894)</f>
        <v>57404894</v>
      </c>
    </row>
    <row r="1001" spans="1:6" x14ac:dyDescent="0.35">
      <c r="A1001" s="2">
        <f ca="1">IFERROR(__xludf.DUMMYFUNCTION("""COMPUTED_VALUE"""),43454.6666666666)</f>
        <v>43454.666666666599</v>
      </c>
      <c r="B1001" s="1">
        <f ca="1">IFERROR(__xludf.DUMMYFUNCTION("""COMPUTED_VALUE"""),130.7)</f>
        <v>130.69999999999999</v>
      </c>
      <c r="C1001" s="1">
        <f ca="1">IFERROR(__xludf.DUMMYFUNCTION("""COMPUTED_VALUE"""),135.57)</f>
        <v>135.57</v>
      </c>
      <c r="D1001" s="1">
        <f ca="1">IFERROR(__xludf.DUMMYFUNCTION("""COMPUTED_VALUE"""),130)</f>
        <v>130</v>
      </c>
      <c r="E1001" s="1">
        <f ca="1">IFERROR(__xludf.DUMMYFUNCTION("""COMPUTED_VALUE"""),133.4)</f>
        <v>133.4</v>
      </c>
      <c r="F1001" s="1">
        <f ca="1">IFERROR(__xludf.DUMMYFUNCTION("""COMPUTED_VALUE"""),40297944)</f>
        <v>40297944</v>
      </c>
    </row>
    <row r="1002" spans="1:6" x14ac:dyDescent="0.35">
      <c r="A1002" s="2">
        <f ca="1">IFERROR(__xludf.DUMMYFUNCTION("""COMPUTED_VALUE"""),43455.6666666666)</f>
        <v>43455.666666666599</v>
      </c>
      <c r="B1002" s="1">
        <f ca="1">IFERROR(__xludf.DUMMYFUNCTION("""COMPUTED_VALUE"""),133.39)</f>
        <v>133.38999999999999</v>
      </c>
      <c r="C1002" s="1">
        <f ca="1">IFERROR(__xludf.DUMMYFUNCTION("""COMPUTED_VALUE"""),134.9)</f>
        <v>134.9</v>
      </c>
      <c r="D1002" s="1">
        <f ca="1">IFERROR(__xludf.DUMMYFUNCTION("""COMPUTED_VALUE"""),123.42)</f>
        <v>123.42</v>
      </c>
      <c r="E1002" s="1">
        <f ca="1">IFERROR(__xludf.DUMMYFUNCTION("""COMPUTED_VALUE"""),124.95)</f>
        <v>124.95</v>
      </c>
      <c r="F1002" s="1">
        <f ca="1">IFERROR(__xludf.DUMMYFUNCTION("""COMPUTED_VALUE"""),56901491)</f>
        <v>56901491</v>
      </c>
    </row>
    <row r="1003" spans="1:6" x14ac:dyDescent="0.35">
      <c r="A1003" s="2">
        <f ca="1">IFERROR(__xludf.DUMMYFUNCTION("""COMPUTED_VALUE"""),43458.5416666666)</f>
        <v>43458.541666666599</v>
      </c>
      <c r="B1003" s="1">
        <f ca="1">IFERROR(__xludf.DUMMYFUNCTION("""COMPUTED_VALUE"""),123.1)</f>
        <v>123.1</v>
      </c>
      <c r="C1003" s="1">
        <f ca="1">IFERROR(__xludf.DUMMYFUNCTION("""COMPUTED_VALUE"""),129.74)</f>
        <v>129.74</v>
      </c>
      <c r="D1003" s="1">
        <f ca="1">IFERROR(__xludf.DUMMYFUNCTION("""COMPUTED_VALUE"""),123.02)</f>
        <v>123.02</v>
      </c>
      <c r="E1003" s="1">
        <f ca="1">IFERROR(__xludf.DUMMYFUNCTION("""COMPUTED_VALUE"""),124.06)</f>
        <v>124.06</v>
      </c>
      <c r="F1003" s="1">
        <f ca="1">IFERROR(__xludf.DUMMYFUNCTION("""COMPUTED_VALUE"""),22066002)</f>
        <v>22066002</v>
      </c>
    </row>
    <row r="1004" spans="1:6" x14ac:dyDescent="0.35">
      <c r="A1004" s="2">
        <f ca="1">IFERROR(__xludf.DUMMYFUNCTION("""COMPUTED_VALUE"""),43460.6666666666)</f>
        <v>43460.666666666599</v>
      </c>
      <c r="B1004" s="1">
        <f ca="1">IFERROR(__xludf.DUMMYFUNCTION("""COMPUTED_VALUE"""),126)</f>
        <v>126</v>
      </c>
      <c r="C1004" s="1">
        <f ca="1">IFERROR(__xludf.DUMMYFUNCTION("""COMPUTED_VALUE"""),134.24)</f>
        <v>134.24</v>
      </c>
      <c r="D1004" s="1">
        <f ca="1">IFERROR(__xludf.DUMMYFUNCTION("""COMPUTED_VALUE"""),125.89)</f>
        <v>125.89</v>
      </c>
      <c r="E1004" s="1">
        <f ca="1">IFERROR(__xludf.DUMMYFUNCTION("""COMPUTED_VALUE"""),134.18)</f>
        <v>134.18</v>
      </c>
      <c r="F1004" s="1">
        <f ca="1">IFERROR(__xludf.DUMMYFUNCTION("""COMPUTED_VALUE"""),39723370)</f>
        <v>39723370</v>
      </c>
    </row>
    <row r="1005" spans="1:6" x14ac:dyDescent="0.35">
      <c r="A1005" s="2">
        <f ca="1">IFERROR(__xludf.DUMMYFUNCTION("""COMPUTED_VALUE"""),43461.6666666666)</f>
        <v>43461.666666666599</v>
      </c>
      <c r="B1005" s="1">
        <f ca="1">IFERROR(__xludf.DUMMYFUNCTION("""COMPUTED_VALUE"""),132.44)</f>
        <v>132.44</v>
      </c>
      <c r="C1005" s="1">
        <f ca="1">IFERROR(__xludf.DUMMYFUNCTION("""COMPUTED_VALUE"""),134.99)</f>
        <v>134.99</v>
      </c>
      <c r="D1005" s="1">
        <f ca="1">IFERROR(__xludf.DUMMYFUNCTION("""COMPUTED_VALUE"""),129.67)</f>
        <v>129.66999999999999</v>
      </c>
      <c r="E1005" s="1">
        <f ca="1">IFERROR(__xludf.DUMMYFUNCTION("""COMPUTED_VALUE"""),134.52)</f>
        <v>134.52000000000001</v>
      </c>
      <c r="F1005" s="1">
        <f ca="1">IFERROR(__xludf.DUMMYFUNCTION("""COMPUTED_VALUE"""),31202509)</f>
        <v>31202509</v>
      </c>
    </row>
    <row r="1006" spans="1:6" x14ac:dyDescent="0.35">
      <c r="A1006" s="2">
        <f ca="1">IFERROR(__xludf.DUMMYFUNCTION("""COMPUTED_VALUE"""),43462.6666666666)</f>
        <v>43462.666666666599</v>
      </c>
      <c r="B1006" s="1">
        <f ca="1">IFERROR(__xludf.DUMMYFUNCTION("""COMPUTED_VALUE"""),135.34)</f>
        <v>135.34</v>
      </c>
      <c r="C1006" s="1">
        <f ca="1">IFERROR(__xludf.DUMMYFUNCTION("""COMPUTED_VALUE"""),135.92)</f>
        <v>135.91999999999999</v>
      </c>
      <c r="D1006" s="1">
        <f ca="1">IFERROR(__xludf.DUMMYFUNCTION("""COMPUTED_VALUE"""),132.2)</f>
        <v>132.19999999999999</v>
      </c>
      <c r="E1006" s="1">
        <f ca="1">IFERROR(__xludf.DUMMYFUNCTION("""COMPUTED_VALUE"""),133.2)</f>
        <v>133.19999999999999</v>
      </c>
      <c r="F1006" s="1">
        <f ca="1">IFERROR(__xludf.DUMMYFUNCTION("""COMPUTED_VALUE"""),22627569)</f>
        <v>22627569</v>
      </c>
    </row>
    <row r="1007" spans="1:6" x14ac:dyDescent="0.35">
      <c r="A1007" s="2">
        <f ca="1">IFERROR(__xludf.DUMMYFUNCTION("""COMPUTED_VALUE"""),43465.6666666666)</f>
        <v>43465.666666666599</v>
      </c>
      <c r="B1007" s="1">
        <f ca="1">IFERROR(__xludf.DUMMYFUNCTION("""COMPUTED_VALUE"""),134.45)</f>
        <v>134.44999999999999</v>
      </c>
      <c r="C1007" s="1">
        <f ca="1">IFERROR(__xludf.DUMMYFUNCTION("""COMPUTED_VALUE"""),134.64)</f>
        <v>134.63999999999999</v>
      </c>
      <c r="D1007" s="1">
        <f ca="1">IFERROR(__xludf.DUMMYFUNCTION("""COMPUTED_VALUE"""),129.95)</f>
        <v>129.94999999999999</v>
      </c>
      <c r="E1007" s="1">
        <f ca="1">IFERROR(__xludf.DUMMYFUNCTION("""COMPUTED_VALUE"""),131.09)</f>
        <v>131.09</v>
      </c>
      <c r="F1007" s="1">
        <f ca="1">IFERROR(__xludf.DUMMYFUNCTION("""COMPUTED_VALUE"""),24625308)</f>
        <v>24625308</v>
      </c>
    </row>
    <row r="1008" spans="1:6" x14ac:dyDescent="0.35">
      <c r="A1008" s="2">
        <f ca="1">IFERROR(__xludf.DUMMYFUNCTION("""COMPUTED_VALUE"""),43467.6666666666)</f>
        <v>43467.666666666599</v>
      </c>
      <c r="B1008" s="1">
        <f ca="1">IFERROR(__xludf.DUMMYFUNCTION("""COMPUTED_VALUE"""),128.99)</f>
        <v>128.99</v>
      </c>
      <c r="C1008" s="1">
        <f ca="1">IFERROR(__xludf.DUMMYFUNCTION("""COMPUTED_VALUE"""),137.51)</f>
        <v>137.51</v>
      </c>
      <c r="D1008" s="1">
        <f ca="1">IFERROR(__xludf.DUMMYFUNCTION("""COMPUTED_VALUE"""),128.56)</f>
        <v>128.56</v>
      </c>
      <c r="E1008" s="1">
        <f ca="1">IFERROR(__xludf.DUMMYFUNCTION("""COMPUTED_VALUE"""),135.68)</f>
        <v>135.68</v>
      </c>
      <c r="F1008" s="1">
        <f ca="1">IFERROR(__xludf.DUMMYFUNCTION("""COMPUTED_VALUE"""),28146193)</f>
        <v>28146193</v>
      </c>
    </row>
    <row r="1009" spans="1:6" x14ac:dyDescent="0.35">
      <c r="A1009" s="2">
        <f ca="1">IFERROR(__xludf.DUMMYFUNCTION("""COMPUTED_VALUE"""),43468.6666666666)</f>
        <v>43468.666666666599</v>
      </c>
      <c r="B1009" s="1">
        <f ca="1">IFERROR(__xludf.DUMMYFUNCTION("""COMPUTED_VALUE"""),134.69)</f>
        <v>134.69</v>
      </c>
      <c r="C1009" s="1">
        <f ca="1">IFERROR(__xludf.DUMMYFUNCTION("""COMPUTED_VALUE"""),137.17)</f>
        <v>137.16999999999999</v>
      </c>
      <c r="D1009" s="1">
        <f ca="1">IFERROR(__xludf.DUMMYFUNCTION("""COMPUTED_VALUE"""),131.12)</f>
        <v>131.12</v>
      </c>
      <c r="E1009" s="1">
        <f ca="1">IFERROR(__xludf.DUMMYFUNCTION("""COMPUTED_VALUE"""),131.74)</f>
        <v>131.74</v>
      </c>
      <c r="F1009" s="1">
        <f ca="1">IFERROR(__xludf.DUMMYFUNCTION("""COMPUTED_VALUE"""),22717948)</f>
        <v>22717948</v>
      </c>
    </row>
    <row r="1010" spans="1:6" x14ac:dyDescent="0.35">
      <c r="A1010" s="2">
        <f ca="1">IFERROR(__xludf.DUMMYFUNCTION("""COMPUTED_VALUE"""),43469.6666666666)</f>
        <v>43469.666666666599</v>
      </c>
      <c r="B1010" s="1">
        <f ca="1">IFERROR(__xludf.DUMMYFUNCTION("""COMPUTED_VALUE"""),134.01)</f>
        <v>134.01</v>
      </c>
      <c r="C1010" s="1">
        <f ca="1">IFERROR(__xludf.DUMMYFUNCTION("""COMPUTED_VALUE"""),138)</f>
        <v>138</v>
      </c>
      <c r="D1010" s="1">
        <f ca="1">IFERROR(__xludf.DUMMYFUNCTION("""COMPUTED_VALUE"""),133.75)</f>
        <v>133.75</v>
      </c>
      <c r="E1010" s="1">
        <f ca="1">IFERROR(__xludf.DUMMYFUNCTION("""COMPUTED_VALUE"""),137.95)</f>
        <v>137.94999999999999</v>
      </c>
      <c r="F1010" s="1">
        <f ca="1">IFERROR(__xludf.DUMMYFUNCTION("""COMPUTED_VALUE"""),29002059)</f>
        <v>29002059</v>
      </c>
    </row>
    <row r="1011" spans="1:6" x14ac:dyDescent="0.35">
      <c r="A1011" s="2">
        <f ca="1">IFERROR(__xludf.DUMMYFUNCTION("""COMPUTED_VALUE"""),43472.6666666666)</f>
        <v>43472.666666666599</v>
      </c>
      <c r="B1011" s="1">
        <f ca="1">IFERROR(__xludf.DUMMYFUNCTION("""COMPUTED_VALUE"""),137.56)</f>
        <v>137.56</v>
      </c>
      <c r="C1011" s="1">
        <f ca="1">IFERROR(__xludf.DUMMYFUNCTION("""COMPUTED_VALUE"""),138.87)</f>
        <v>138.87</v>
      </c>
      <c r="D1011" s="1">
        <f ca="1">IFERROR(__xludf.DUMMYFUNCTION("""COMPUTED_VALUE"""),135.91)</f>
        <v>135.91</v>
      </c>
      <c r="E1011" s="1">
        <f ca="1">IFERROR(__xludf.DUMMYFUNCTION("""COMPUTED_VALUE"""),138.05)</f>
        <v>138.05000000000001</v>
      </c>
      <c r="F1011" s="1">
        <f ca="1">IFERROR(__xludf.DUMMYFUNCTION("""COMPUTED_VALUE"""),20089337)</f>
        <v>20089337</v>
      </c>
    </row>
    <row r="1012" spans="1:6" x14ac:dyDescent="0.35">
      <c r="A1012" s="2">
        <f ca="1">IFERROR(__xludf.DUMMYFUNCTION("""COMPUTED_VALUE"""),43473.6666666666)</f>
        <v>43473.666666666599</v>
      </c>
      <c r="B1012" s="1">
        <f ca="1">IFERROR(__xludf.DUMMYFUNCTION("""COMPUTED_VALUE"""),139.89)</f>
        <v>139.88999999999999</v>
      </c>
      <c r="C1012" s="1">
        <f ca="1">IFERROR(__xludf.DUMMYFUNCTION("""COMPUTED_VALUE"""),143.14)</f>
        <v>143.13999999999999</v>
      </c>
      <c r="D1012" s="1">
        <f ca="1">IFERROR(__xludf.DUMMYFUNCTION("""COMPUTED_VALUE"""),139.54)</f>
        <v>139.54</v>
      </c>
      <c r="E1012" s="1">
        <f ca="1">IFERROR(__xludf.DUMMYFUNCTION("""COMPUTED_VALUE"""),142.53)</f>
        <v>142.53</v>
      </c>
      <c r="F1012" s="1">
        <f ca="1">IFERROR(__xludf.DUMMYFUNCTION("""COMPUTED_VALUE"""),26263793)</f>
        <v>26263793</v>
      </c>
    </row>
    <row r="1013" spans="1:6" x14ac:dyDescent="0.35">
      <c r="A1013" s="2">
        <f ca="1">IFERROR(__xludf.DUMMYFUNCTION("""COMPUTED_VALUE"""),43474.6666666666)</f>
        <v>43474.666666666599</v>
      </c>
      <c r="B1013" s="1">
        <f ca="1">IFERROR(__xludf.DUMMYFUNCTION("""COMPUTED_VALUE"""),142.95)</f>
        <v>142.94999999999999</v>
      </c>
      <c r="C1013" s="1">
        <f ca="1">IFERROR(__xludf.DUMMYFUNCTION("""COMPUTED_VALUE"""),144.7)</f>
        <v>144.69999999999999</v>
      </c>
      <c r="D1013" s="1">
        <f ca="1">IFERROR(__xludf.DUMMYFUNCTION("""COMPUTED_VALUE"""),141.27)</f>
        <v>141.27000000000001</v>
      </c>
      <c r="E1013" s="1">
        <f ca="1">IFERROR(__xludf.DUMMYFUNCTION("""COMPUTED_VALUE"""),144.23)</f>
        <v>144.22999999999999</v>
      </c>
      <c r="F1013" s="1">
        <f ca="1">IFERROR(__xludf.DUMMYFUNCTION("""COMPUTED_VALUE"""),22205879)</f>
        <v>22205879</v>
      </c>
    </row>
    <row r="1014" spans="1:6" x14ac:dyDescent="0.35">
      <c r="A1014" s="2">
        <f ca="1">IFERROR(__xludf.DUMMYFUNCTION("""COMPUTED_VALUE"""),43475.6666666666)</f>
        <v>43475.666666666599</v>
      </c>
      <c r="B1014" s="1">
        <f ca="1">IFERROR(__xludf.DUMMYFUNCTION("""COMPUTED_VALUE"""),143.08)</f>
        <v>143.08000000000001</v>
      </c>
      <c r="C1014" s="1">
        <f ca="1">IFERROR(__xludf.DUMMYFUNCTION("""COMPUTED_VALUE"""),144.56)</f>
        <v>144.56</v>
      </c>
      <c r="D1014" s="1">
        <f ca="1">IFERROR(__xludf.DUMMYFUNCTION("""COMPUTED_VALUE"""),140.84)</f>
        <v>140.84</v>
      </c>
      <c r="E1014" s="1">
        <f ca="1">IFERROR(__xludf.DUMMYFUNCTION("""COMPUTED_VALUE"""),144.2)</f>
        <v>144.19999999999999</v>
      </c>
      <c r="F1014" s="1">
        <f ca="1">IFERROR(__xludf.DUMMYFUNCTION("""COMPUTED_VALUE"""),16125004)</f>
        <v>16125004</v>
      </c>
    </row>
    <row r="1015" spans="1:6" x14ac:dyDescent="0.35">
      <c r="A1015" s="2">
        <f ca="1">IFERROR(__xludf.DUMMYFUNCTION("""COMPUTED_VALUE"""),43476.6666666666)</f>
        <v>43476.666666666599</v>
      </c>
      <c r="B1015" s="1">
        <f ca="1">IFERROR(__xludf.DUMMYFUNCTION("""COMPUTED_VALUE"""),143.15)</f>
        <v>143.15</v>
      </c>
      <c r="C1015" s="1">
        <f ca="1">IFERROR(__xludf.DUMMYFUNCTION("""COMPUTED_VALUE"""),145.36)</f>
        <v>145.36000000000001</v>
      </c>
      <c r="D1015" s="1">
        <f ca="1">IFERROR(__xludf.DUMMYFUNCTION("""COMPUTED_VALUE"""),142.57)</f>
        <v>142.57</v>
      </c>
      <c r="E1015" s="1">
        <f ca="1">IFERROR(__xludf.DUMMYFUNCTION("""COMPUTED_VALUE"""),143.8)</f>
        <v>143.80000000000001</v>
      </c>
      <c r="F1015" s="1">
        <f ca="1">IFERROR(__xludf.DUMMYFUNCTION("""COMPUTED_VALUE"""),12908031)</f>
        <v>12908031</v>
      </c>
    </row>
    <row r="1016" spans="1:6" x14ac:dyDescent="0.35">
      <c r="A1016" s="2">
        <f ca="1">IFERROR(__xludf.DUMMYFUNCTION("""COMPUTED_VALUE"""),43479.6666666666)</f>
        <v>43479.666666666599</v>
      </c>
      <c r="B1016" s="1">
        <f ca="1">IFERROR(__xludf.DUMMYFUNCTION("""COMPUTED_VALUE"""),142)</f>
        <v>142</v>
      </c>
      <c r="C1016" s="1">
        <f ca="1">IFERROR(__xludf.DUMMYFUNCTION("""COMPUTED_VALUE"""),146.57)</f>
        <v>146.57</v>
      </c>
      <c r="D1016" s="1">
        <f ca="1">IFERROR(__xludf.DUMMYFUNCTION("""COMPUTED_VALUE"""),141.27)</f>
        <v>141.27000000000001</v>
      </c>
      <c r="E1016" s="1">
        <f ca="1">IFERROR(__xludf.DUMMYFUNCTION("""COMPUTED_VALUE"""),145.39)</f>
        <v>145.38999999999999</v>
      </c>
      <c r="F1016" s="1">
        <f ca="1">IFERROR(__xludf.DUMMYFUNCTION("""COMPUTED_VALUE"""),20520278)</f>
        <v>20520278</v>
      </c>
    </row>
    <row r="1017" spans="1:6" x14ac:dyDescent="0.35">
      <c r="A1017" s="2">
        <f ca="1">IFERROR(__xludf.DUMMYFUNCTION("""COMPUTED_VALUE"""),43480.6666666666)</f>
        <v>43480.666666666599</v>
      </c>
      <c r="B1017" s="1">
        <f ca="1">IFERROR(__xludf.DUMMYFUNCTION("""COMPUTED_VALUE"""),146.01)</f>
        <v>146.01</v>
      </c>
      <c r="C1017" s="1">
        <f ca="1">IFERROR(__xludf.DUMMYFUNCTION("""COMPUTED_VALUE"""),150.68)</f>
        <v>150.68</v>
      </c>
      <c r="D1017" s="1">
        <f ca="1">IFERROR(__xludf.DUMMYFUNCTION("""COMPUTED_VALUE"""),145.99)</f>
        <v>145.99</v>
      </c>
      <c r="E1017" s="1">
        <f ca="1">IFERROR(__xludf.DUMMYFUNCTION("""COMPUTED_VALUE"""),148.95)</f>
        <v>148.94999999999999</v>
      </c>
      <c r="F1017" s="1">
        <f ca="1">IFERROR(__xludf.DUMMYFUNCTION("""COMPUTED_VALUE"""),24068822)</f>
        <v>24068822</v>
      </c>
    </row>
    <row r="1018" spans="1:6" x14ac:dyDescent="0.35">
      <c r="A1018" s="2">
        <f ca="1">IFERROR(__xludf.DUMMYFUNCTION("""COMPUTED_VALUE"""),43481.6666666666)</f>
        <v>43481.666666666599</v>
      </c>
      <c r="B1018" s="1">
        <f ca="1">IFERROR(__xludf.DUMMYFUNCTION("""COMPUTED_VALUE"""),149)</f>
        <v>149</v>
      </c>
      <c r="C1018" s="1">
        <f ca="1">IFERROR(__xludf.DUMMYFUNCTION("""COMPUTED_VALUE"""),149.65)</f>
        <v>149.65</v>
      </c>
      <c r="D1018" s="1">
        <f ca="1">IFERROR(__xludf.DUMMYFUNCTION("""COMPUTED_VALUE"""),147)</f>
        <v>147</v>
      </c>
      <c r="E1018" s="1">
        <f ca="1">IFERROR(__xludf.DUMMYFUNCTION("""COMPUTED_VALUE"""),147.54)</f>
        <v>147.54</v>
      </c>
      <c r="F1018" s="1">
        <f ca="1">IFERROR(__xludf.DUMMYFUNCTION("""COMPUTED_VALUE"""),18025714)</f>
        <v>18025714</v>
      </c>
    </row>
    <row r="1019" spans="1:6" x14ac:dyDescent="0.35">
      <c r="A1019" s="2">
        <f ca="1">IFERROR(__xludf.DUMMYFUNCTION("""COMPUTED_VALUE"""),43482.6666666666)</f>
        <v>43482.666666666599</v>
      </c>
      <c r="B1019" s="1">
        <f ca="1">IFERROR(__xludf.DUMMYFUNCTION("""COMPUTED_VALUE"""),146.95)</f>
        <v>146.94999999999999</v>
      </c>
      <c r="C1019" s="1">
        <f ca="1">IFERROR(__xludf.DUMMYFUNCTION("""COMPUTED_VALUE"""),149)</f>
        <v>149</v>
      </c>
      <c r="D1019" s="1">
        <f ca="1">IFERROR(__xludf.DUMMYFUNCTION("""COMPUTED_VALUE"""),146.5)</f>
        <v>146.5</v>
      </c>
      <c r="E1019" s="1">
        <f ca="1">IFERROR(__xludf.DUMMYFUNCTION("""COMPUTED_VALUE"""),148.3)</f>
        <v>148.30000000000001</v>
      </c>
      <c r="F1019" s="1">
        <f ca="1">IFERROR(__xludf.DUMMYFUNCTION("""COMPUTED_VALUE"""),15787914)</f>
        <v>15787914</v>
      </c>
    </row>
    <row r="1020" spans="1:6" x14ac:dyDescent="0.35">
      <c r="A1020" s="2">
        <f ca="1">IFERROR(__xludf.DUMMYFUNCTION("""COMPUTED_VALUE"""),43483.6666666666)</f>
        <v>43483.666666666599</v>
      </c>
      <c r="B1020" s="1">
        <f ca="1">IFERROR(__xludf.DUMMYFUNCTION("""COMPUTED_VALUE"""),149.75)</f>
        <v>149.75</v>
      </c>
      <c r="C1020" s="1">
        <f ca="1">IFERROR(__xludf.DUMMYFUNCTION("""COMPUTED_VALUE"""),152.43)</f>
        <v>152.43</v>
      </c>
      <c r="D1020" s="1">
        <f ca="1">IFERROR(__xludf.DUMMYFUNCTION("""COMPUTED_VALUE"""),148.55)</f>
        <v>148.55000000000001</v>
      </c>
      <c r="E1020" s="1">
        <f ca="1">IFERROR(__xludf.DUMMYFUNCTION("""COMPUTED_VALUE"""),150.04)</f>
        <v>150.04</v>
      </c>
      <c r="F1020" s="1">
        <f ca="1">IFERROR(__xludf.DUMMYFUNCTION("""COMPUTED_VALUE"""),31029612)</f>
        <v>31029612</v>
      </c>
    </row>
    <row r="1021" spans="1:6" x14ac:dyDescent="0.35">
      <c r="A1021" s="2">
        <f ca="1">IFERROR(__xludf.DUMMYFUNCTION("""COMPUTED_VALUE"""),43487.6666666666)</f>
        <v>43487.666666666599</v>
      </c>
      <c r="B1021" s="1">
        <f ca="1">IFERROR(__xludf.DUMMYFUNCTION("""COMPUTED_VALUE"""),149.2)</f>
        <v>149.19999999999999</v>
      </c>
      <c r="C1021" s="1">
        <f ca="1">IFERROR(__xludf.DUMMYFUNCTION("""COMPUTED_VALUE"""),151.53)</f>
        <v>151.53</v>
      </c>
      <c r="D1021" s="1">
        <f ca="1">IFERROR(__xludf.DUMMYFUNCTION("""COMPUTED_VALUE"""),146.37)</f>
        <v>146.37</v>
      </c>
      <c r="E1021" s="1">
        <f ca="1">IFERROR(__xludf.DUMMYFUNCTION("""COMPUTED_VALUE"""),147.57)</f>
        <v>147.57</v>
      </c>
      <c r="F1021" s="1">
        <f ca="1">IFERROR(__xludf.DUMMYFUNCTION("""COMPUTED_VALUE"""),22378694)</f>
        <v>22378694</v>
      </c>
    </row>
    <row r="1022" spans="1:6" x14ac:dyDescent="0.35">
      <c r="A1022" s="2">
        <f ca="1">IFERROR(__xludf.DUMMYFUNCTION("""COMPUTED_VALUE"""),43488.6666666666)</f>
        <v>43488.666666666599</v>
      </c>
      <c r="B1022" s="1">
        <f ca="1">IFERROR(__xludf.DUMMYFUNCTION("""COMPUTED_VALUE"""),148.28)</f>
        <v>148.28</v>
      </c>
      <c r="C1022" s="1">
        <f ca="1">IFERROR(__xludf.DUMMYFUNCTION("""COMPUTED_VALUE"""),148.8)</f>
        <v>148.80000000000001</v>
      </c>
      <c r="D1022" s="1">
        <f ca="1">IFERROR(__xludf.DUMMYFUNCTION("""COMPUTED_VALUE"""),143.06)</f>
        <v>143.06</v>
      </c>
      <c r="E1022" s="1">
        <f ca="1">IFERROR(__xludf.DUMMYFUNCTION("""COMPUTED_VALUE"""),144.3)</f>
        <v>144.30000000000001</v>
      </c>
      <c r="F1022" s="1">
        <f ca="1">IFERROR(__xludf.DUMMYFUNCTION("""COMPUTED_VALUE"""),20098415)</f>
        <v>20098415</v>
      </c>
    </row>
    <row r="1023" spans="1:6" x14ac:dyDescent="0.35">
      <c r="A1023" s="2">
        <f ca="1">IFERROR(__xludf.DUMMYFUNCTION("""COMPUTED_VALUE"""),43489.6666666666)</f>
        <v>43489.666666666599</v>
      </c>
      <c r="B1023" s="1">
        <f ca="1">IFERROR(__xludf.DUMMYFUNCTION("""COMPUTED_VALUE"""),144.64)</f>
        <v>144.63999999999999</v>
      </c>
      <c r="C1023" s="1">
        <f ca="1">IFERROR(__xludf.DUMMYFUNCTION("""COMPUTED_VALUE"""),146.44)</f>
        <v>146.44</v>
      </c>
      <c r="D1023" s="1">
        <f ca="1">IFERROR(__xludf.DUMMYFUNCTION("""COMPUTED_VALUE"""),142.52)</f>
        <v>142.52000000000001</v>
      </c>
      <c r="E1023" s="1">
        <f ca="1">IFERROR(__xludf.DUMMYFUNCTION("""COMPUTED_VALUE"""),145.83)</f>
        <v>145.83000000000001</v>
      </c>
      <c r="F1023" s="1">
        <f ca="1">IFERROR(__xludf.DUMMYFUNCTION("""COMPUTED_VALUE"""),20955518)</f>
        <v>20955518</v>
      </c>
    </row>
    <row r="1024" spans="1:6" x14ac:dyDescent="0.35">
      <c r="A1024" s="2">
        <f ca="1">IFERROR(__xludf.DUMMYFUNCTION("""COMPUTED_VALUE"""),43490.6666666666)</f>
        <v>43490.666666666599</v>
      </c>
      <c r="B1024" s="1">
        <f ca="1">IFERROR(__xludf.DUMMYFUNCTION("""COMPUTED_VALUE"""),147.48)</f>
        <v>147.47999999999999</v>
      </c>
      <c r="C1024" s="1">
        <f ca="1">IFERROR(__xludf.DUMMYFUNCTION("""COMPUTED_VALUE"""),149.83)</f>
        <v>149.83000000000001</v>
      </c>
      <c r="D1024" s="1">
        <f ca="1">IFERROR(__xludf.DUMMYFUNCTION("""COMPUTED_VALUE"""),146.54)</f>
        <v>146.54</v>
      </c>
      <c r="E1024" s="1">
        <f ca="1">IFERROR(__xludf.DUMMYFUNCTION("""COMPUTED_VALUE"""),149.01)</f>
        <v>149.01</v>
      </c>
      <c r="F1024" s="1">
        <f ca="1">IFERROR(__xludf.DUMMYFUNCTION("""COMPUTED_VALUE"""),22250954)</f>
        <v>22250954</v>
      </c>
    </row>
    <row r="1025" spans="1:6" x14ac:dyDescent="0.35">
      <c r="A1025" s="2">
        <f ca="1">IFERROR(__xludf.DUMMYFUNCTION("""COMPUTED_VALUE"""),43493.6666666666)</f>
        <v>43493.666666666599</v>
      </c>
      <c r="B1025" s="1">
        <f ca="1">IFERROR(__xludf.DUMMYFUNCTION("""COMPUTED_VALUE"""),148.05)</f>
        <v>148.05000000000001</v>
      </c>
      <c r="C1025" s="1">
        <f ca="1">IFERROR(__xludf.DUMMYFUNCTION("""COMPUTED_VALUE"""),148.96)</f>
        <v>148.96</v>
      </c>
      <c r="D1025" s="1">
        <f ca="1">IFERROR(__xludf.DUMMYFUNCTION("""COMPUTED_VALUE"""),146.21)</f>
        <v>146.21</v>
      </c>
      <c r="E1025" s="1">
        <f ca="1">IFERROR(__xludf.DUMMYFUNCTION("""COMPUTED_VALUE"""),147.47)</f>
        <v>147.47</v>
      </c>
      <c r="F1025" s="1">
        <f ca="1">IFERROR(__xludf.DUMMYFUNCTION("""COMPUTED_VALUE"""),15508483)</f>
        <v>15508483</v>
      </c>
    </row>
    <row r="1026" spans="1:6" x14ac:dyDescent="0.35">
      <c r="A1026" s="2">
        <f ca="1">IFERROR(__xludf.DUMMYFUNCTION("""COMPUTED_VALUE"""),43494.6666666666)</f>
        <v>43494.666666666599</v>
      </c>
      <c r="B1026" s="1">
        <f ca="1">IFERROR(__xludf.DUMMYFUNCTION("""COMPUTED_VALUE"""),148.09)</f>
        <v>148.09</v>
      </c>
      <c r="C1026" s="1">
        <f ca="1">IFERROR(__xludf.DUMMYFUNCTION("""COMPUTED_VALUE"""),148.1)</f>
        <v>148.1</v>
      </c>
      <c r="D1026" s="1">
        <f ca="1">IFERROR(__xludf.DUMMYFUNCTION("""COMPUTED_VALUE"""),143.43)</f>
        <v>143.43</v>
      </c>
      <c r="E1026" s="1">
        <f ca="1">IFERROR(__xludf.DUMMYFUNCTION("""COMPUTED_VALUE"""),144.19)</f>
        <v>144.19</v>
      </c>
      <c r="F1026" s="1">
        <f ca="1">IFERROR(__xludf.DUMMYFUNCTION("""COMPUTED_VALUE"""),17631953)</f>
        <v>17631953</v>
      </c>
    </row>
    <row r="1027" spans="1:6" x14ac:dyDescent="0.35">
      <c r="A1027" s="2">
        <f ca="1">IFERROR(__xludf.DUMMYFUNCTION("""COMPUTED_VALUE"""),43495.6666666666)</f>
        <v>43495.666666666599</v>
      </c>
      <c r="B1027" s="1">
        <f ca="1">IFERROR(__xludf.DUMMYFUNCTION("""COMPUTED_VALUE"""),146.22)</f>
        <v>146.22</v>
      </c>
      <c r="C1027" s="1">
        <f ca="1">IFERROR(__xludf.DUMMYFUNCTION("""COMPUTED_VALUE"""),150.95)</f>
        <v>150.94999999999999</v>
      </c>
      <c r="D1027" s="1">
        <f ca="1">IFERROR(__xludf.DUMMYFUNCTION("""COMPUTED_VALUE"""),145.7)</f>
        <v>145.69999999999999</v>
      </c>
      <c r="E1027" s="1">
        <f ca="1">IFERROR(__xludf.DUMMYFUNCTION("""COMPUTED_VALUE"""),150.42)</f>
        <v>150.41999999999999</v>
      </c>
      <c r="F1027" s="1">
        <f ca="1">IFERROR(__xludf.DUMMYFUNCTION("""COMPUTED_VALUE"""),44613240)</f>
        <v>44613240</v>
      </c>
    </row>
    <row r="1028" spans="1:6" x14ac:dyDescent="0.35">
      <c r="A1028" s="2">
        <f ca="1">IFERROR(__xludf.DUMMYFUNCTION("""COMPUTED_VALUE"""),43496.6666666666)</f>
        <v>43496.666666666599</v>
      </c>
      <c r="B1028" s="1">
        <f ca="1">IFERROR(__xludf.DUMMYFUNCTION("""COMPUTED_VALUE"""),165.6)</f>
        <v>165.6</v>
      </c>
      <c r="C1028" s="1">
        <f ca="1">IFERROR(__xludf.DUMMYFUNCTION("""COMPUTED_VALUE"""),171.68)</f>
        <v>171.68</v>
      </c>
      <c r="D1028" s="1">
        <f ca="1">IFERROR(__xludf.DUMMYFUNCTION("""COMPUTED_VALUE"""),165)</f>
        <v>165</v>
      </c>
      <c r="E1028" s="1">
        <f ca="1">IFERROR(__xludf.DUMMYFUNCTION("""COMPUTED_VALUE"""),166.69)</f>
        <v>166.69</v>
      </c>
      <c r="F1028" s="1">
        <f ca="1">IFERROR(__xludf.DUMMYFUNCTION("""COMPUTED_VALUE"""),77233602)</f>
        <v>77233602</v>
      </c>
    </row>
    <row r="1029" spans="1:6" x14ac:dyDescent="0.35">
      <c r="A1029" s="2">
        <f ca="1">IFERROR(__xludf.DUMMYFUNCTION("""COMPUTED_VALUE"""),43497.6666666666)</f>
        <v>43497.666666666599</v>
      </c>
      <c r="B1029" s="1">
        <f ca="1">IFERROR(__xludf.DUMMYFUNCTION("""COMPUTED_VALUE"""),165.84)</f>
        <v>165.84</v>
      </c>
      <c r="C1029" s="1">
        <f ca="1">IFERROR(__xludf.DUMMYFUNCTION("""COMPUTED_VALUE"""),169.1)</f>
        <v>169.1</v>
      </c>
      <c r="D1029" s="1">
        <f ca="1">IFERROR(__xludf.DUMMYFUNCTION("""COMPUTED_VALUE"""),165.66)</f>
        <v>165.66</v>
      </c>
      <c r="E1029" s="1">
        <f ca="1">IFERROR(__xludf.DUMMYFUNCTION("""COMPUTED_VALUE"""),165.71)</f>
        <v>165.71</v>
      </c>
      <c r="F1029" s="1">
        <f ca="1">IFERROR(__xludf.DUMMYFUNCTION("""COMPUTED_VALUE"""),30806513)</f>
        <v>30806513</v>
      </c>
    </row>
    <row r="1030" spans="1:6" x14ac:dyDescent="0.35">
      <c r="A1030" s="2">
        <f ca="1">IFERROR(__xludf.DUMMYFUNCTION("""COMPUTED_VALUE"""),43500.6666666666)</f>
        <v>43500.666666666599</v>
      </c>
      <c r="B1030" s="1">
        <f ca="1">IFERROR(__xludf.DUMMYFUNCTION("""COMPUTED_VALUE"""),165.7)</f>
        <v>165.7</v>
      </c>
      <c r="C1030" s="1">
        <f ca="1">IFERROR(__xludf.DUMMYFUNCTION("""COMPUTED_VALUE"""),169.3)</f>
        <v>169.3</v>
      </c>
      <c r="D1030" s="1">
        <f ca="1">IFERROR(__xludf.DUMMYFUNCTION("""COMPUTED_VALUE"""),163.62)</f>
        <v>163.62</v>
      </c>
      <c r="E1030" s="1">
        <f ca="1">IFERROR(__xludf.DUMMYFUNCTION("""COMPUTED_VALUE"""),169.25)</f>
        <v>169.25</v>
      </c>
      <c r="F1030" s="1">
        <f ca="1">IFERROR(__xludf.DUMMYFUNCTION("""COMPUTED_VALUE"""),20036470)</f>
        <v>20036470</v>
      </c>
    </row>
    <row r="1031" spans="1:6" x14ac:dyDescent="0.35">
      <c r="A1031" s="2">
        <f ca="1">IFERROR(__xludf.DUMMYFUNCTION("""COMPUTED_VALUE"""),43501.6666666666)</f>
        <v>43501.666666666599</v>
      </c>
      <c r="B1031" s="1">
        <f ca="1">IFERROR(__xludf.DUMMYFUNCTION("""COMPUTED_VALUE"""),169.15)</f>
        <v>169.15</v>
      </c>
      <c r="C1031" s="1">
        <f ca="1">IFERROR(__xludf.DUMMYFUNCTION("""COMPUTED_VALUE"""),171.98)</f>
        <v>171.98</v>
      </c>
      <c r="D1031" s="1">
        <f ca="1">IFERROR(__xludf.DUMMYFUNCTION("""COMPUTED_VALUE"""),168.69)</f>
        <v>168.69</v>
      </c>
      <c r="E1031" s="1">
        <f ca="1">IFERROR(__xludf.DUMMYFUNCTION("""COMPUTED_VALUE"""),171.16)</f>
        <v>171.16</v>
      </c>
      <c r="F1031" s="1">
        <f ca="1">IFERROR(__xludf.DUMMYFUNCTION("""COMPUTED_VALUE"""),22556985)</f>
        <v>22556985</v>
      </c>
    </row>
    <row r="1032" spans="1:6" x14ac:dyDescent="0.35">
      <c r="A1032" s="2">
        <f ca="1">IFERROR(__xludf.DUMMYFUNCTION("""COMPUTED_VALUE"""),43502.6666666666)</f>
        <v>43502.666666666599</v>
      </c>
      <c r="B1032" s="1">
        <f ca="1">IFERROR(__xludf.DUMMYFUNCTION("""COMPUTED_VALUE"""),171.2)</f>
        <v>171.2</v>
      </c>
      <c r="C1032" s="1">
        <f ca="1">IFERROR(__xludf.DUMMYFUNCTION("""COMPUTED_VALUE"""),172.47)</f>
        <v>172.47</v>
      </c>
      <c r="D1032" s="1">
        <f ca="1">IFERROR(__xludf.DUMMYFUNCTION("""COMPUTED_VALUE"""),169.27)</f>
        <v>169.27</v>
      </c>
      <c r="E1032" s="1">
        <f ca="1">IFERROR(__xludf.DUMMYFUNCTION("""COMPUTED_VALUE"""),170.49)</f>
        <v>170.49</v>
      </c>
      <c r="F1032" s="1">
        <f ca="1">IFERROR(__xludf.DUMMYFUNCTION("""COMPUTED_VALUE"""),13281161)</f>
        <v>13281161</v>
      </c>
    </row>
    <row r="1033" spans="1:6" x14ac:dyDescent="0.35">
      <c r="A1033" s="2">
        <f ca="1">IFERROR(__xludf.DUMMYFUNCTION("""COMPUTED_VALUE"""),43503.6666666666)</f>
        <v>43503.666666666599</v>
      </c>
      <c r="B1033" s="1">
        <f ca="1">IFERROR(__xludf.DUMMYFUNCTION("""COMPUTED_VALUE"""),168.2)</f>
        <v>168.2</v>
      </c>
      <c r="C1033" s="1">
        <f ca="1">IFERROR(__xludf.DUMMYFUNCTION("""COMPUTED_VALUE"""),169.24)</f>
        <v>169.24</v>
      </c>
      <c r="D1033" s="1">
        <f ca="1">IFERROR(__xludf.DUMMYFUNCTION("""COMPUTED_VALUE"""),165.25)</f>
        <v>165.25</v>
      </c>
      <c r="E1033" s="1">
        <f ca="1">IFERROR(__xludf.DUMMYFUNCTION("""COMPUTED_VALUE"""),166.38)</f>
        <v>166.38</v>
      </c>
      <c r="F1033" s="1">
        <f ca="1">IFERROR(__xludf.DUMMYFUNCTION("""COMPUTED_VALUE"""),17517609)</f>
        <v>17517609</v>
      </c>
    </row>
    <row r="1034" spans="1:6" x14ac:dyDescent="0.35">
      <c r="A1034" s="2">
        <f ca="1">IFERROR(__xludf.DUMMYFUNCTION("""COMPUTED_VALUE"""),43504.6666666666)</f>
        <v>43504.666666666599</v>
      </c>
      <c r="B1034" s="1">
        <f ca="1">IFERROR(__xludf.DUMMYFUNCTION("""COMPUTED_VALUE"""),164.47)</f>
        <v>164.47</v>
      </c>
      <c r="C1034" s="1">
        <f ca="1">IFERROR(__xludf.DUMMYFUNCTION("""COMPUTED_VALUE"""),167.37)</f>
        <v>167.37</v>
      </c>
      <c r="D1034" s="1">
        <f ca="1">IFERROR(__xludf.DUMMYFUNCTION("""COMPUTED_VALUE"""),164.21)</f>
        <v>164.21</v>
      </c>
      <c r="E1034" s="1">
        <f ca="1">IFERROR(__xludf.DUMMYFUNCTION("""COMPUTED_VALUE"""),167.33)</f>
        <v>167.33</v>
      </c>
      <c r="F1034" s="1">
        <f ca="1">IFERROR(__xludf.DUMMYFUNCTION("""COMPUTED_VALUE"""),12561422)</f>
        <v>12561422</v>
      </c>
    </row>
    <row r="1035" spans="1:6" x14ac:dyDescent="0.35">
      <c r="A1035" s="2">
        <f ca="1">IFERROR(__xludf.DUMMYFUNCTION("""COMPUTED_VALUE"""),43507.6666666666)</f>
        <v>43507.666666666599</v>
      </c>
      <c r="B1035" s="1">
        <f ca="1">IFERROR(__xludf.DUMMYFUNCTION("""COMPUTED_VALUE"""),167.9)</f>
        <v>167.9</v>
      </c>
      <c r="C1035" s="1">
        <f ca="1">IFERROR(__xludf.DUMMYFUNCTION("""COMPUTED_VALUE"""),168.3)</f>
        <v>168.3</v>
      </c>
      <c r="D1035" s="1">
        <f ca="1">IFERROR(__xludf.DUMMYFUNCTION("""COMPUTED_VALUE"""),165.08)</f>
        <v>165.08</v>
      </c>
      <c r="E1035" s="1">
        <f ca="1">IFERROR(__xludf.DUMMYFUNCTION("""COMPUTED_VALUE"""),165.79)</f>
        <v>165.79</v>
      </c>
      <c r="F1035" s="1">
        <f ca="1">IFERROR(__xludf.DUMMYFUNCTION("""COMPUTED_VALUE"""),12811176)</f>
        <v>12811176</v>
      </c>
    </row>
    <row r="1036" spans="1:6" x14ac:dyDescent="0.35">
      <c r="A1036" s="2">
        <f ca="1">IFERROR(__xludf.DUMMYFUNCTION("""COMPUTED_VALUE"""),43508.6666666666)</f>
        <v>43508.666666666599</v>
      </c>
      <c r="B1036" s="1">
        <f ca="1">IFERROR(__xludf.DUMMYFUNCTION("""COMPUTED_VALUE"""),166.86)</f>
        <v>166.86</v>
      </c>
      <c r="C1036" s="1">
        <f ca="1">IFERROR(__xludf.DUMMYFUNCTION("""COMPUTED_VALUE"""),168.34)</f>
        <v>168.34</v>
      </c>
      <c r="D1036" s="1">
        <f ca="1">IFERROR(__xludf.DUMMYFUNCTION("""COMPUTED_VALUE"""),164.5)</f>
        <v>164.5</v>
      </c>
      <c r="E1036" s="1">
        <f ca="1">IFERROR(__xludf.DUMMYFUNCTION("""COMPUTED_VALUE"""),165.04)</f>
        <v>165.04</v>
      </c>
      <c r="F1036" s="1">
        <f ca="1">IFERROR(__xludf.DUMMYFUNCTION("""COMPUTED_VALUE"""),16292290)</f>
        <v>16292290</v>
      </c>
    </row>
    <row r="1037" spans="1:6" x14ac:dyDescent="0.35">
      <c r="A1037" s="2">
        <f ca="1">IFERROR(__xludf.DUMMYFUNCTION("""COMPUTED_VALUE"""),43509.6666666666)</f>
        <v>43509.666666666599</v>
      </c>
      <c r="B1037" s="1">
        <f ca="1">IFERROR(__xludf.DUMMYFUNCTION("""COMPUTED_VALUE"""),165.38)</f>
        <v>165.38</v>
      </c>
      <c r="C1037" s="1">
        <f ca="1">IFERROR(__xludf.DUMMYFUNCTION("""COMPUTED_VALUE"""),166.22)</f>
        <v>166.22</v>
      </c>
      <c r="D1037" s="1">
        <f ca="1">IFERROR(__xludf.DUMMYFUNCTION("""COMPUTED_VALUE"""),163.73)</f>
        <v>163.72999999999999</v>
      </c>
      <c r="E1037" s="1">
        <f ca="1">IFERROR(__xludf.DUMMYFUNCTION("""COMPUTED_VALUE"""),164.07)</f>
        <v>164.07</v>
      </c>
      <c r="F1037" s="1">
        <f ca="1">IFERROR(__xludf.DUMMYFUNCTION("""COMPUTED_VALUE"""),14205146)</f>
        <v>14205146</v>
      </c>
    </row>
    <row r="1038" spans="1:6" x14ac:dyDescent="0.35">
      <c r="A1038" s="2">
        <f ca="1">IFERROR(__xludf.DUMMYFUNCTION("""COMPUTED_VALUE"""),43510.6666666666)</f>
        <v>43510.666666666599</v>
      </c>
      <c r="B1038" s="1">
        <f ca="1">IFERROR(__xludf.DUMMYFUNCTION("""COMPUTED_VALUE"""),163.19)</f>
        <v>163.19</v>
      </c>
      <c r="C1038" s="1">
        <f ca="1">IFERROR(__xludf.DUMMYFUNCTION("""COMPUTED_VALUE"""),164.87)</f>
        <v>164.87</v>
      </c>
      <c r="D1038" s="1">
        <f ca="1">IFERROR(__xludf.DUMMYFUNCTION("""COMPUTED_VALUE"""),162.25)</f>
        <v>162.25</v>
      </c>
      <c r="E1038" s="1">
        <f ca="1">IFERROR(__xludf.DUMMYFUNCTION("""COMPUTED_VALUE"""),163.95)</f>
        <v>163.95</v>
      </c>
      <c r="F1038" s="1">
        <f ca="1">IFERROR(__xludf.DUMMYFUNCTION("""COMPUTED_VALUE"""),12755151)</f>
        <v>12755151</v>
      </c>
    </row>
    <row r="1039" spans="1:6" x14ac:dyDescent="0.35">
      <c r="A1039" s="2">
        <f ca="1">IFERROR(__xludf.DUMMYFUNCTION("""COMPUTED_VALUE"""),43511.6666666666)</f>
        <v>43511.666666666599</v>
      </c>
      <c r="B1039" s="1">
        <f ca="1">IFERROR(__xludf.DUMMYFUNCTION("""COMPUTED_VALUE"""),164.51)</f>
        <v>164.51</v>
      </c>
      <c r="C1039" s="1">
        <f ca="1">IFERROR(__xludf.DUMMYFUNCTION("""COMPUTED_VALUE"""),164.7)</f>
        <v>164.7</v>
      </c>
      <c r="D1039" s="1">
        <f ca="1">IFERROR(__xludf.DUMMYFUNCTION("""COMPUTED_VALUE"""),160.86)</f>
        <v>160.86000000000001</v>
      </c>
      <c r="E1039" s="1">
        <f ca="1">IFERROR(__xludf.DUMMYFUNCTION("""COMPUTED_VALUE"""),162.5)</f>
        <v>162.5</v>
      </c>
      <c r="F1039" s="1">
        <f ca="1">IFERROR(__xludf.DUMMYFUNCTION("""COMPUTED_VALUE"""),15504415)</f>
        <v>15504415</v>
      </c>
    </row>
    <row r="1040" spans="1:6" x14ac:dyDescent="0.35">
      <c r="A1040" s="2">
        <f ca="1">IFERROR(__xludf.DUMMYFUNCTION("""COMPUTED_VALUE"""),43515.6666666666)</f>
        <v>43515.666666666599</v>
      </c>
      <c r="B1040" s="1">
        <f ca="1">IFERROR(__xludf.DUMMYFUNCTION("""COMPUTED_VALUE"""),160.5)</f>
        <v>160.5</v>
      </c>
      <c r="C1040" s="1">
        <f ca="1">IFERROR(__xludf.DUMMYFUNCTION("""COMPUTED_VALUE"""),164.15)</f>
        <v>164.15</v>
      </c>
      <c r="D1040" s="1">
        <f ca="1">IFERROR(__xludf.DUMMYFUNCTION("""COMPUTED_VALUE"""),160.33)</f>
        <v>160.33000000000001</v>
      </c>
      <c r="E1040" s="1">
        <f ca="1">IFERROR(__xludf.DUMMYFUNCTION("""COMPUTED_VALUE"""),162.29)</f>
        <v>162.29</v>
      </c>
      <c r="F1040" s="1">
        <f ca="1">IFERROR(__xludf.DUMMYFUNCTION("""COMPUTED_VALUE"""),14345390)</f>
        <v>14345390</v>
      </c>
    </row>
    <row r="1041" spans="1:6" x14ac:dyDescent="0.35">
      <c r="A1041" s="2">
        <f ca="1">IFERROR(__xludf.DUMMYFUNCTION("""COMPUTED_VALUE"""),43516.6666666666)</f>
        <v>43516.666666666599</v>
      </c>
      <c r="B1041" s="1">
        <f ca="1">IFERROR(__xludf.DUMMYFUNCTION("""COMPUTED_VALUE"""),162.25)</f>
        <v>162.25</v>
      </c>
      <c r="C1041" s="1">
        <f ca="1">IFERROR(__xludf.DUMMYFUNCTION("""COMPUTED_VALUE"""),163.72)</f>
        <v>163.72</v>
      </c>
      <c r="D1041" s="1">
        <f ca="1">IFERROR(__xludf.DUMMYFUNCTION("""COMPUTED_VALUE"""),161.25)</f>
        <v>161.25</v>
      </c>
      <c r="E1041" s="1">
        <f ca="1">IFERROR(__xludf.DUMMYFUNCTION("""COMPUTED_VALUE"""),162.56)</f>
        <v>162.56</v>
      </c>
      <c r="F1041" s="1">
        <f ca="1">IFERROR(__xludf.DUMMYFUNCTION("""COMPUTED_VALUE"""),11770692)</f>
        <v>11770692</v>
      </c>
    </row>
    <row r="1042" spans="1:6" x14ac:dyDescent="0.35">
      <c r="A1042" s="2">
        <f ca="1">IFERROR(__xludf.DUMMYFUNCTION("""COMPUTED_VALUE"""),43517.6666666666)</f>
        <v>43517.666666666599</v>
      </c>
      <c r="B1042" s="1">
        <f ca="1">IFERROR(__xludf.DUMMYFUNCTION("""COMPUTED_VALUE"""),161.93)</f>
        <v>161.93</v>
      </c>
      <c r="C1042" s="1">
        <f ca="1">IFERROR(__xludf.DUMMYFUNCTION("""COMPUTED_VALUE"""),162.24)</f>
        <v>162.24</v>
      </c>
      <c r="D1042" s="1">
        <f ca="1">IFERROR(__xludf.DUMMYFUNCTION("""COMPUTED_VALUE"""),159.59)</f>
        <v>159.59</v>
      </c>
      <c r="E1042" s="1">
        <f ca="1">IFERROR(__xludf.DUMMYFUNCTION("""COMPUTED_VALUE"""),160.04)</f>
        <v>160.04</v>
      </c>
      <c r="F1042" s="1">
        <f ca="1">IFERROR(__xludf.DUMMYFUNCTION("""COMPUTED_VALUE"""),15607828)</f>
        <v>15607828</v>
      </c>
    </row>
    <row r="1043" spans="1:6" x14ac:dyDescent="0.35">
      <c r="A1043" s="2">
        <f ca="1">IFERROR(__xludf.DUMMYFUNCTION("""COMPUTED_VALUE"""),43518.6666666666)</f>
        <v>43518.666666666599</v>
      </c>
      <c r="B1043" s="1">
        <f ca="1">IFERROR(__xludf.DUMMYFUNCTION("""COMPUTED_VALUE"""),160.58)</f>
        <v>160.58000000000001</v>
      </c>
      <c r="C1043" s="1">
        <f ca="1">IFERROR(__xludf.DUMMYFUNCTION("""COMPUTED_VALUE"""),162.41)</f>
        <v>162.41</v>
      </c>
      <c r="D1043" s="1">
        <f ca="1">IFERROR(__xludf.DUMMYFUNCTION("""COMPUTED_VALUE"""),160.31)</f>
        <v>160.31</v>
      </c>
      <c r="E1043" s="1">
        <f ca="1">IFERROR(__xludf.DUMMYFUNCTION("""COMPUTED_VALUE"""),161.89)</f>
        <v>161.88999999999999</v>
      </c>
      <c r="F1043" s="1">
        <f ca="1">IFERROR(__xludf.DUMMYFUNCTION("""COMPUTED_VALUE"""),15858468)</f>
        <v>15858468</v>
      </c>
    </row>
    <row r="1044" spans="1:6" x14ac:dyDescent="0.35">
      <c r="A1044" s="2">
        <f ca="1">IFERROR(__xludf.DUMMYFUNCTION("""COMPUTED_VALUE"""),43521.6666666666)</f>
        <v>43521.666666666599</v>
      </c>
      <c r="B1044" s="1">
        <f ca="1">IFERROR(__xludf.DUMMYFUNCTION("""COMPUTED_VALUE"""),163.07)</f>
        <v>163.07</v>
      </c>
      <c r="C1044" s="1">
        <f ca="1">IFERROR(__xludf.DUMMYFUNCTION("""COMPUTED_VALUE"""),166.07)</f>
        <v>166.07</v>
      </c>
      <c r="D1044" s="1">
        <f ca="1">IFERROR(__xludf.DUMMYFUNCTION("""COMPUTED_VALUE"""),162.9)</f>
        <v>162.9</v>
      </c>
      <c r="E1044" s="1">
        <f ca="1">IFERROR(__xludf.DUMMYFUNCTION("""COMPUTED_VALUE"""),164.62)</f>
        <v>164.62</v>
      </c>
      <c r="F1044" s="1">
        <f ca="1">IFERROR(__xludf.DUMMYFUNCTION("""COMPUTED_VALUE"""),18737106)</f>
        <v>18737106</v>
      </c>
    </row>
    <row r="1045" spans="1:6" x14ac:dyDescent="0.35">
      <c r="A1045" s="2">
        <f ca="1">IFERROR(__xludf.DUMMYFUNCTION("""COMPUTED_VALUE"""),43522.6666666666)</f>
        <v>43522.666666666599</v>
      </c>
      <c r="B1045" s="1">
        <f ca="1">IFERROR(__xludf.DUMMYFUNCTION("""COMPUTED_VALUE"""),164.34)</f>
        <v>164.34</v>
      </c>
      <c r="C1045" s="1">
        <f ca="1">IFERROR(__xludf.DUMMYFUNCTION("""COMPUTED_VALUE"""),166.24)</f>
        <v>166.24</v>
      </c>
      <c r="D1045" s="1">
        <f ca="1">IFERROR(__xludf.DUMMYFUNCTION("""COMPUTED_VALUE"""),163.8)</f>
        <v>163.80000000000001</v>
      </c>
      <c r="E1045" s="1">
        <f ca="1">IFERROR(__xludf.DUMMYFUNCTION("""COMPUTED_VALUE"""),164.13)</f>
        <v>164.13</v>
      </c>
      <c r="F1045" s="1">
        <f ca="1">IFERROR(__xludf.DUMMYFUNCTION("""COMPUTED_VALUE"""),13784063)</f>
        <v>13784063</v>
      </c>
    </row>
    <row r="1046" spans="1:6" x14ac:dyDescent="0.35">
      <c r="A1046" s="2">
        <f ca="1">IFERROR(__xludf.DUMMYFUNCTION("""COMPUTED_VALUE"""),43523.6666666666)</f>
        <v>43523.666666666599</v>
      </c>
      <c r="B1046" s="1">
        <f ca="1">IFERROR(__xludf.DUMMYFUNCTION("""COMPUTED_VALUE"""),162.9)</f>
        <v>162.9</v>
      </c>
      <c r="C1046" s="1">
        <f ca="1">IFERROR(__xludf.DUMMYFUNCTION("""COMPUTED_VALUE"""),163.93)</f>
        <v>163.93</v>
      </c>
      <c r="D1046" s="1">
        <f ca="1">IFERROR(__xludf.DUMMYFUNCTION("""COMPUTED_VALUE"""),160.41)</f>
        <v>160.41</v>
      </c>
      <c r="E1046" s="1">
        <f ca="1">IFERROR(__xludf.DUMMYFUNCTION("""COMPUTED_VALUE"""),162.81)</f>
        <v>162.81</v>
      </c>
      <c r="F1046" s="1">
        <f ca="1">IFERROR(__xludf.DUMMYFUNCTION("""COMPUTED_VALUE"""),12697485)</f>
        <v>12697485</v>
      </c>
    </row>
    <row r="1047" spans="1:6" x14ac:dyDescent="0.35">
      <c r="A1047" s="2">
        <f ca="1">IFERROR(__xludf.DUMMYFUNCTION("""COMPUTED_VALUE"""),43524.6666666666)</f>
        <v>43524.666666666599</v>
      </c>
      <c r="B1047" s="1">
        <f ca="1">IFERROR(__xludf.DUMMYFUNCTION("""COMPUTED_VALUE"""),162.37)</f>
        <v>162.37</v>
      </c>
      <c r="C1047" s="1">
        <f ca="1">IFERROR(__xludf.DUMMYFUNCTION("""COMPUTED_VALUE"""),163.5)</f>
        <v>163.5</v>
      </c>
      <c r="D1047" s="1">
        <f ca="1">IFERROR(__xludf.DUMMYFUNCTION("""COMPUTED_VALUE"""),160.86)</f>
        <v>160.86000000000001</v>
      </c>
      <c r="E1047" s="1">
        <f ca="1">IFERROR(__xludf.DUMMYFUNCTION("""COMPUTED_VALUE"""),161.45)</f>
        <v>161.44999999999999</v>
      </c>
      <c r="F1047" s="1">
        <f ca="1">IFERROR(__xludf.DUMMYFUNCTION("""COMPUTED_VALUE"""),11114185)</f>
        <v>11114185</v>
      </c>
    </row>
    <row r="1048" spans="1:6" x14ac:dyDescent="0.35">
      <c r="A1048" s="2">
        <f ca="1">IFERROR(__xludf.DUMMYFUNCTION("""COMPUTED_VALUE"""),43525.6666666666)</f>
        <v>43525.666666666599</v>
      </c>
      <c r="B1048" s="1">
        <f ca="1">IFERROR(__xludf.DUMMYFUNCTION("""COMPUTED_VALUE"""),162.6)</f>
        <v>162.6</v>
      </c>
      <c r="C1048" s="1">
        <f ca="1">IFERROR(__xludf.DUMMYFUNCTION("""COMPUTED_VALUE"""),163.13)</f>
        <v>163.13</v>
      </c>
      <c r="D1048" s="1">
        <f ca="1">IFERROR(__xludf.DUMMYFUNCTION("""COMPUTED_VALUE"""),161.69)</f>
        <v>161.69</v>
      </c>
      <c r="E1048" s="1">
        <f ca="1">IFERROR(__xludf.DUMMYFUNCTION("""COMPUTED_VALUE"""),162.28)</f>
        <v>162.28</v>
      </c>
      <c r="F1048" s="1">
        <f ca="1">IFERROR(__xludf.DUMMYFUNCTION("""COMPUTED_VALUE"""),11097770)</f>
        <v>11097770</v>
      </c>
    </row>
    <row r="1049" spans="1:6" x14ac:dyDescent="0.35">
      <c r="A1049" s="2">
        <f ca="1">IFERROR(__xludf.DUMMYFUNCTION("""COMPUTED_VALUE"""),43528.6666666666)</f>
        <v>43528.666666666599</v>
      </c>
      <c r="B1049" s="1">
        <f ca="1">IFERROR(__xludf.DUMMYFUNCTION("""COMPUTED_VALUE"""),163.9)</f>
        <v>163.9</v>
      </c>
      <c r="C1049" s="1">
        <f ca="1">IFERROR(__xludf.DUMMYFUNCTION("""COMPUTED_VALUE"""),167.5)</f>
        <v>167.5</v>
      </c>
      <c r="D1049" s="1">
        <f ca="1">IFERROR(__xludf.DUMMYFUNCTION("""COMPUTED_VALUE"""),163.83)</f>
        <v>163.83000000000001</v>
      </c>
      <c r="E1049" s="1">
        <f ca="1">IFERROR(__xludf.DUMMYFUNCTION("""COMPUTED_VALUE"""),167.37)</f>
        <v>167.37</v>
      </c>
      <c r="F1049" s="1">
        <f ca="1">IFERROR(__xludf.DUMMYFUNCTION("""COMPUTED_VALUE"""),18894689)</f>
        <v>18894689</v>
      </c>
    </row>
    <row r="1050" spans="1:6" x14ac:dyDescent="0.35">
      <c r="A1050" s="2">
        <f ca="1">IFERROR(__xludf.DUMMYFUNCTION("""COMPUTED_VALUE"""),43529.6666666666)</f>
        <v>43529.666666666599</v>
      </c>
      <c r="B1050" s="1">
        <f ca="1">IFERROR(__xludf.DUMMYFUNCTION("""COMPUTED_VALUE"""),167.37)</f>
        <v>167.37</v>
      </c>
      <c r="C1050" s="1">
        <f ca="1">IFERROR(__xludf.DUMMYFUNCTION("""COMPUTED_VALUE"""),171.88)</f>
        <v>171.88</v>
      </c>
      <c r="D1050" s="1">
        <f ca="1">IFERROR(__xludf.DUMMYFUNCTION("""COMPUTED_VALUE"""),166.55)</f>
        <v>166.55</v>
      </c>
      <c r="E1050" s="1">
        <f ca="1">IFERROR(__xludf.DUMMYFUNCTION("""COMPUTED_VALUE"""),171.26)</f>
        <v>171.26</v>
      </c>
      <c r="F1050" s="1">
        <f ca="1">IFERROR(__xludf.DUMMYFUNCTION("""COMPUTED_VALUE"""),28187890)</f>
        <v>28187890</v>
      </c>
    </row>
    <row r="1051" spans="1:6" x14ac:dyDescent="0.35">
      <c r="A1051" s="2">
        <f ca="1">IFERROR(__xludf.DUMMYFUNCTION("""COMPUTED_VALUE"""),43530.6666666666)</f>
        <v>43530.666666666599</v>
      </c>
      <c r="B1051" s="1">
        <f ca="1">IFERROR(__xludf.DUMMYFUNCTION("""COMPUTED_VALUE"""),172.9)</f>
        <v>172.9</v>
      </c>
      <c r="C1051" s="1">
        <f ca="1">IFERROR(__xludf.DUMMYFUNCTION("""COMPUTED_VALUE"""),173.57)</f>
        <v>173.57</v>
      </c>
      <c r="D1051" s="1">
        <f ca="1">IFERROR(__xludf.DUMMYFUNCTION("""COMPUTED_VALUE"""),171.27)</f>
        <v>171.27</v>
      </c>
      <c r="E1051" s="1">
        <f ca="1">IFERROR(__xludf.DUMMYFUNCTION("""COMPUTED_VALUE"""),172.51)</f>
        <v>172.51</v>
      </c>
      <c r="F1051" s="1">
        <f ca="1">IFERROR(__xludf.DUMMYFUNCTION("""COMPUTED_VALUE"""),21531723)</f>
        <v>21531723</v>
      </c>
    </row>
    <row r="1052" spans="1:6" x14ac:dyDescent="0.35">
      <c r="A1052" s="2">
        <f ca="1">IFERROR(__xludf.DUMMYFUNCTION("""COMPUTED_VALUE"""),43531.6666666666)</f>
        <v>43531.666666666599</v>
      </c>
      <c r="B1052" s="1">
        <f ca="1">IFERROR(__xludf.DUMMYFUNCTION("""COMPUTED_VALUE"""),171.5)</f>
        <v>171.5</v>
      </c>
      <c r="C1052" s="1">
        <f ca="1">IFERROR(__xludf.DUMMYFUNCTION("""COMPUTED_VALUE"""),171.74)</f>
        <v>171.74</v>
      </c>
      <c r="D1052" s="1">
        <f ca="1">IFERROR(__xludf.DUMMYFUNCTION("""COMPUTED_VALUE"""),167.61)</f>
        <v>167.61</v>
      </c>
      <c r="E1052" s="1">
        <f ca="1">IFERROR(__xludf.DUMMYFUNCTION("""COMPUTED_VALUE"""),169.13)</f>
        <v>169.13</v>
      </c>
      <c r="F1052" s="1">
        <f ca="1">IFERROR(__xludf.DUMMYFUNCTION("""COMPUTED_VALUE"""),18306504)</f>
        <v>18306504</v>
      </c>
    </row>
    <row r="1053" spans="1:6" x14ac:dyDescent="0.35">
      <c r="A1053" s="2">
        <f ca="1">IFERROR(__xludf.DUMMYFUNCTION("""COMPUTED_VALUE"""),43532.6666666666)</f>
        <v>43532.666666666599</v>
      </c>
      <c r="B1053" s="1">
        <f ca="1">IFERROR(__xludf.DUMMYFUNCTION("""COMPUTED_VALUE"""),166.2)</f>
        <v>166.2</v>
      </c>
      <c r="C1053" s="1">
        <f ca="1">IFERROR(__xludf.DUMMYFUNCTION("""COMPUTED_VALUE"""),169.62)</f>
        <v>169.62</v>
      </c>
      <c r="D1053" s="1">
        <f ca="1">IFERROR(__xludf.DUMMYFUNCTION("""COMPUTED_VALUE"""),165.97)</f>
        <v>165.97</v>
      </c>
      <c r="E1053" s="1">
        <f ca="1">IFERROR(__xludf.DUMMYFUNCTION("""COMPUTED_VALUE"""),169.6)</f>
        <v>169.6</v>
      </c>
      <c r="F1053" s="1">
        <f ca="1">IFERROR(__xludf.DUMMYFUNCTION("""COMPUTED_VALUE"""),13184831)</f>
        <v>13184831</v>
      </c>
    </row>
    <row r="1054" spans="1:6" x14ac:dyDescent="0.35">
      <c r="A1054" s="2">
        <f ca="1">IFERROR(__xludf.DUMMYFUNCTION("""COMPUTED_VALUE"""),43535.6666666666)</f>
        <v>43535.666666666599</v>
      </c>
      <c r="B1054" s="1">
        <f ca="1">IFERROR(__xludf.DUMMYFUNCTION("""COMPUTED_VALUE"""),171.6)</f>
        <v>171.6</v>
      </c>
      <c r="C1054" s="1">
        <f ca="1">IFERROR(__xludf.DUMMYFUNCTION("""COMPUTED_VALUE"""),174.3)</f>
        <v>174.3</v>
      </c>
      <c r="D1054" s="1">
        <f ca="1">IFERROR(__xludf.DUMMYFUNCTION("""COMPUTED_VALUE"""),171.58)</f>
        <v>171.58</v>
      </c>
      <c r="E1054" s="1">
        <f ca="1">IFERROR(__xludf.DUMMYFUNCTION("""COMPUTED_VALUE"""),172.07)</f>
        <v>172.07</v>
      </c>
      <c r="F1054" s="1">
        <f ca="1">IFERROR(__xludf.DUMMYFUNCTION("""COMPUTED_VALUE"""),18883983)</f>
        <v>18883983</v>
      </c>
    </row>
    <row r="1055" spans="1:6" x14ac:dyDescent="0.35">
      <c r="A1055" s="2">
        <f ca="1">IFERROR(__xludf.DUMMYFUNCTION("""COMPUTED_VALUE"""),43536.6666666666)</f>
        <v>43536.666666666599</v>
      </c>
      <c r="B1055" s="1">
        <f ca="1">IFERROR(__xludf.DUMMYFUNCTION("""COMPUTED_VALUE"""),172.09)</f>
        <v>172.09</v>
      </c>
      <c r="C1055" s="1">
        <f ca="1">IFERROR(__xludf.DUMMYFUNCTION("""COMPUTED_VALUE"""),173.8)</f>
        <v>173.8</v>
      </c>
      <c r="D1055" s="1">
        <f ca="1">IFERROR(__xludf.DUMMYFUNCTION("""COMPUTED_VALUE"""),171.22)</f>
        <v>171.22</v>
      </c>
      <c r="E1055" s="1">
        <f ca="1">IFERROR(__xludf.DUMMYFUNCTION("""COMPUTED_VALUE"""),171.92)</f>
        <v>171.92</v>
      </c>
      <c r="F1055" s="1">
        <f ca="1">IFERROR(__xludf.DUMMYFUNCTION("""COMPUTED_VALUE"""),12155264)</f>
        <v>12155264</v>
      </c>
    </row>
    <row r="1056" spans="1:6" x14ac:dyDescent="0.35">
      <c r="A1056" s="2">
        <f ca="1">IFERROR(__xludf.DUMMYFUNCTION("""COMPUTED_VALUE"""),43537.6666666666)</f>
        <v>43537.666666666599</v>
      </c>
      <c r="B1056" s="1">
        <f ca="1">IFERROR(__xludf.DUMMYFUNCTION("""COMPUTED_VALUE"""),172.32)</f>
        <v>172.32</v>
      </c>
      <c r="C1056" s="1">
        <f ca="1">IFERROR(__xludf.DUMMYFUNCTION("""COMPUTED_VALUE"""),174.03)</f>
        <v>174.03</v>
      </c>
      <c r="D1056" s="1">
        <f ca="1">IFERROR(__xludf.DUMMYFUNCTION("""COMPUTED_VALUE"""),172.12)</f>
        <v>172.12</v>
      </c>
      <c r="E1056" s="1">
        <f ca="1">IFERROR(__xludf.DUMMYFUNCTION("""COMPUTED_VALUE"""),173.37)</f>
        <v>173.37</v>
      </c>
      <c r="F1056" s="1">
        <f ca="1">IFERROR(__xludf.DUMMYFUNCTION("""COMPUTED_VALUE"""),11973280)</f>
        <v>11973280</v>
      </c>
    </row>
    <row r="1057" spans="1:6" x14ac:dyDescent="0.35">
      <c r="A1057" s="2">
        <f ca="1">IFERROR(__xludf.DUMMYFUNCTION("""COMPUTED_VALUE"""),43538.6666666666)</f>
        <v>43538.666666666599</v>
      </c>
      <c r="B1057" s="1">
        <f ca="1">IFERROR(__xludf.DUMMYFUNCTION("""COMPUTED_VALUE"""),169.76)</f>
        <v>169.76</v>
      </c>
      <c r="C1057" s="1">
        <f ca="1">IFERROR(__xludf.DUMMYFUNCTION("""COMPUTED_VALUE"""),171.15)</f>
        <v>171.15</v>
      </c>
      <c r="D1057" s="1">
        <f ca="1">IFERROR(__xludf.DUMMYFUNCTION("""COMPUTED_VALUE"""),168.16)</f>
        <v>168.16</v>
      </c>
      <c r="E1057" s="1">
        <f ca="1">IFERROR(__xludf.DUMMYFUNCTION("""COMPUTED_VALUE"""),170.17)</f>
        <v>170.17</v>
      </c>
      <c r="F1057" s="1">
        <f ca="1">IFERROR(__xludf.DUMMYFUNCTION("""COMPUTED_VALUE"""),18037364)</f>
        <v>18037364</v>
      </c>
    </row>
    <row r="1058" spans="1:6" x14ac:dyDescent="0.35">
      <c r="A1058" s="2">
        <f ca="1">IFERROR(__xludf.DUMMYFUNCTION("""COMPUTED_VALUE"""),43539.6666666666)</f>
        <v>43539.666666666599</v>
      </c>
      <c r="B1058" s="1">
        <f ca="1">IFERROR(__xludf.DUMMYFUNCTION("""COMPUTED_VALUE"""),167.16)</f>
        <v>167.16</v>
      </c>
      <c r="C1058" s="1">
        <f ca="1">IFERROR(__xludf.DUMMYFUNCTION("""COMPUTED_VALUE"""),167.58)</f>
        <v>167.58</v>
      </c>
      <c r="D1058" s="1">
        <f ca="1">IFERROR(__xludf.DUMMYFUNCTION("""COMPUTED_VALUE"""),162.51)</f>
        <v>162.51</v>
      </c>
      <c r="E1058" s="1">
        <f ca="1">IFERROR(__xludf.DUMMYFUNCTION("""COMPUTED_VALUE"""),165.98)</f>
        <v>165.98</v>
      </c>
      <c r="F1058" s="1">
        <f ca="1">IFERROR(__xludf.DUMMYFUNCTION("""COMPUTED_VALUE"""),37126000)</f>
        <v>37126000</v>
      </c>
    </row>
    <row r="1059" spans="1:6" x14ac:dyDescent="0.35">
      <c r="A1059" s="2">
        <f ca="1">IFERROR(__xludf.DUMMYFUNCTION("""COMPUTED_VALUE"""),43542.6666666666)</f>
        <v>43542.666666666599</v>
      </c>
      <c r="B1059" s="1">
        <f ca="1">IFERROR(__xludf.DUMMYFUNCTION("""COMPUTED_VALUE"""),163.57)</f>
        <v>163.57</v>
      </c>
      <c r="C1059" s="1">
        <f ca="1">IFERROR(__xludf.DUMMYFUNCTION("""COMPUTED_VALUE"""),163.9)</f>
        <v>163.9</v>
      </c>
      <c r="D1059" s="1">
        <f ca="1">IFERROR(__xludf.DUMMYFUNCTION("""COMPUTED_VALUE"""),159.28)</f>
        <v>159.28</v>
      </c>
      <c r="E1059" s="1">
        <f ca="1">IFERROR(__xludf.DUMMYFUNCTION("""COMPUTED_VALUE"""),160.47)</f>
        <v>160.47</v>
      </c>
      <c r="F1059" s="1">
        <f ca="1">IFERROR(__xludf.DUMMYFUNCTION("""COMPUTED_VALUE"""),37524191)</f>
        <v>37524191</v>
      </c>
    </row>
    <row r="1060" spans="1:6" x14ac:dyDescent="0.35">
      <c r="A1060" s="2">
        <f ca="1">IFERROR(__xludf.DUMMYFUNCTION("""COMPUTED_VALUE"""),43543.6666666666)</f>
        <v>43543.666666666599</v>
      </c>
      <c r="B1060" s="1">
        <f ca="1">IFERROR(__xludf.DUMMYFUNCTION("""COMPUTED_VALUE"""),161.48)</f>
        <v>161.47999999999999</v>
      </c>
      <c r="C1060" s="1">
        <f ca="1">IFERROR(__xludf.DUMMYFUNCTION("""COMPUTED_VALUE"""),163.82)</f>
        <v>163.82</v>
      </c>
      <c r="D1060" s="1">
        <f ca="1">IFERROR(__xludf.DUMMYFUNCTION("""COMPUTED_VALUE"""),160.82)</f>
        <v>160.82</v>
      </c>
      <c r="E1060" s="1">
        <f ca="1">IFERROR(__xludf.DUMMYFUNCTION("""COMPUTED_VALUE"""),161.57)</f>
        <v>161.57</v>
      </c>
      <c r="F1060" s="1">
        <f ca="1">IFERROR(__xludf.DUMMYFUNCTION("""COMPUTED_VALUE"""),25611488)</f>
        <v>25611488</v>
      </c>
    </row>
    <row r="1061" spans="1:6" x14ac:dyDescent="0.35">
      <c r="A1061" s="2">
        <f ca="1">IFERROR(__xludf.DUMMYFUNCTION("""COMPUTED_VALUE"""),43544.6666666666)</f>
        <v>43544.666666666599</v>
      </c>
      <c r="B1061" s="1">
        <f ca="1">IFERROR(__xludf.DUMMYFUNCTION("""COMPUTED_VALUE"""),161.5)</f>
        <v>161.5</v>
      </c>
      <c r="C1061" s="1">
        <f ca="1">IFERROR(__xludf.DUMMYFUNCTION("""COMPUTED_VALUE"""),166.12)</f>
        <v>166.12</v>
      </c>
      <c r="D1061" s="1">
        <f ca="1">IFERROR(__xludf.DUMMYFUNCTION("""COMPUTED_VALUE"""),161.24)</f>
        <v>161.24</v>
      </c>
      <c r="E1061" s="1">
        <f ca="1">IFERROR(__xludf.DUMMYFUNCTION("""COMPUTED_VALUE"""),165.44)</f>
        <v>165.44</v>
      </c>
      <c r="F1061" s="1">
        <f ca="1">IFERROR(__xludf.DUMMYFUNCTION("""COMPUTED_VALUE"""),20211474)</f>
        <v>20211474</v>
      </c>
    </row>
    <row r="1062" spans="1:6" x14ac:dyDescent="0.35">
      <c r="A1062" s="2">
        <f ca="1">IFERROR(__xludf.DUMMYFUNCTION("""COMPUTED_VALUE"""),43545.6666666666)</f>
        <v>43545.666666666599</v>
      </c>
      <c r="B1062" s="1">
        <f ca="1">IFERROR(__xludf.DUMMYFUNCTION("""COMPUTED_VALUE"""),164.89)</f>
        <v>164.89</v>
      </c>
      <c r="C1062" s="1">
        <f ca="1">IFERROR(__xludf.DUMMYFUNCTION("""COMPUTED_VALUE"""),166.39)</f>
        <v>166.39</v>
      </c>
      <c r="D1062" s="1">
        <f ca="1">IFERROR(__xludf.DUMMYFUNCTION("""COMPUTED_VALUE"""),163.75)</f>
        <v>163.75</v>
      </c>
      <c r="E1062" s="1">
        <f ca="1">IFERROR(__xludf.DUMMYFUNCTION("""COMPUTED_VALUE"""),166.08)</f>
        <v>166.08</v>
      </c>
      <c r="F1062" s="1">
        <f ca="1">IFERROR(__xludf.DUMMYFUNCTION("""COMPUTED_VALUE"""),16223007)</f>
        <v>16223007</v>
      </c>
    </row>
    <row r="1063" spans="1:6" x14ac:dyDescent="0.35">
      <c r="A1063" s="2">
        <f ca="1">IFERROR(__xludf.DUMMYFUNCTION("""COMPUTED_VALUE"""),43546.6666666666)</f>
        <v>43546.666666666599</v>
      </c>
      <c r="B1063" s="1">
        <f ca="1">IFERROR(__xludf.DUMMYFUNCTION("""COMPUTED_VALUE"""),165.65)</f>
        <v>165.65</v>
      </c>
      <c r="C1063" s="1">
        <f ca="1">IFERROR(__xludf.DUMMYFUNCTION("""COMPUTED_VALUE"""),167.42)</f>
        <v>167.42</v>
      </c>
      <c r="D1063" s="1">
        <f ca="1">IFERROR(__xludf.DUMMYFUNCTION("""COMPUTED_VALUE"""),164.09)</f>
        <v>164.09</v>
      </c>
      <c r="E1063" s="1">
        <f ca="1">IFERROR(__xludf.DUMMYFUNCTION("""COMPUTED_VALUE"""),164.34)</f>
        <v>164.34</v>
      </c>
      <c r="F1063" s="1">
        <f ca="1">IFERROR(__xludf.DUMMYFUNCTION("""COMPUTED_VALUE"""),16389185)</f>
        <v>16389185</v>
      </c>
    </row>
    <row r="1064" spans="1:6" x14ac:dyDescent="0.35">
      <c r="A1064" s="2">
        <f ca="1">IFERROR(__xludf.DUMMYFUNCTION("""COMPUTED_VALUE"""),43549.6666666666)</f>
        <v>43549.666666666599</v>
      </c>
      <c r="B1064" s="1">
        <f ca="1">IFERROR(__xludf.DUMMYFUNCTION("""COMPUTED_VALUE"""),163)</f>
        <v>163</v>
      </c>
      <c r="C1064" s="1">
        <f ca="1">IFERROR(__xludf.DUMMYFUNCTION("""COMPUTED_VALUE"""),166.54)</f>
        <v>166.54</v>
      </c>
      <c r="D1064" s="1">
        <f ca="1">IFERROR(__xludf.DUMMYFUNCTION("""COMPUTED_VALUE"""),162)</f>
        <v>162</v>
      </c>
      <c r="E1064" s="1">
        <f ca="1">IFERROR(__xludf.DUMMYFUNCTION("""COMPUTED_VALUE"""),166.29)</f>
        <v>166.29</v>
      </c>
      <c r="F1064" s="1">
        <f ca="1">IFERROR(__xludf.DUMMYFUNCTION("""COMPUTED_VALUE"""),12631230)</f>
        <v>12631230</v>
      </c>
    </row>
    <row r="1065" spans="1:6" x14ac:dyDescent="0.35">
      <c r="A1065" s="2">
        <f ca="1">IFERROR(__xludf.DUMMYFUNCTION("""COMPUTED_VALUE"""),43550.6666666666)</f>
        <v>43550.666666666599</v>
      </c>
      <c r="B1065" s="1">
        <f ca="1">IFERROR(__xludf.DUMMYFUNCTION("""COMPUTED_VALUE"""),167.35)</f>
        <v>167.35</v>
      </c>
      <c r="C1065" s="1">
        <f ca="1">IFERROR(__xludf.DUMMYFUNCTION("""COMPUTED_VALUE"""),169.45)</f>
        <v>169.45</v>
      </c>
      <c r="D1065" s="1">
        <f ca="1">IFERROR(__xludf.DUMMYFUNCTION("""COMPUTED_VALUE"""),166.35)</f>
        <v>166.35</v>
      </c>
      <c r="E1065" s="1">
        <f ca="1">IFERROR(__xludf.DUMMYFUNCTION("""COMPUTED_VALUE"""),167.68)</f>
        <v>167.68</v>
      </c>
      <c r="F1065" s="1">
        <f ca="1">IFERROR(__xludf.DUMMYFUNCTION("""COMPUTED_VALUE"""),15437920)</f>
        <v>15437920</v>
      </c>
    </row>
    <row r="1066" spans="1:6" x14ac:dyDescent="0.35">
      <c r="A1066" s="2">
        <f ca="1">IFERROR(__xludf.DUMMYFUNCTION("""COMPUTED_VALUE"""),43551.6666666666)</f>
        <v>43551.666666666599</v>
      </c>
      <c r="B1066" s="1">
        <f ca="1">IFERROR(__xludf.DUMMYFUNCTION("""COMPUTED_VALUE"""),167.85)</f>
        <v>167.85</v>
      </c>
      <c r="C1066" s="1">
        <f ca="1">IFERROR(__xludf.DUMMYFUNCTION("""COMPUTED_VALUE"""),168.94)</f>
        <v>168.94</v>
      </c>
      <c r="D1066" s="1">
        <f ca="1">IFERROR(__xludf.DUMMYFUNCTION("""COMPUTED_VALUE"""),164.79)</f>
        <v>164.79</v>
      </c>
      <c r="E1066" s="1">
        <f ca="1">IFERROR(__xludf.DUMMYFUNCTION("""COMPUTED_VALUE"""),165.87)</f>
        <v>165.87</v>
      </c>
      <c r="F1066" s="1">
        <f ca="1">IFERROR(__xludf.DUMMYFUNCTION("""COMPUTED_VALUE"""),10620299)</f>
        <v>10620299</v>
      </c>
    </row>
    <row r="1067" spans="1:6" x14ac:dyDescent="0.35">
      <c r="A1067" s="2">
        <f ca="1">IFERROR(__xludf.DUMMYFUNCTION("""COMPUTED_VALUE"""),43552.6666666666)</f>
        <v>43552.666666666599</v>
      </c>
      <c r="B1067" s="1">
        <f ca="1">IFERROR(__xludf.DUMMYFUNCTION("""COMPUTED_VALUE"""),164.57)</f>
        <v>164.57</v>
      </c>
      <c r="C1067" s="1">
        <f ca="1">IFERROR(__xludf.DUMMYFUNCTION("""COMPUTED_VALUE"""),166.72)</f>
        <v>166.72</v>
      </c>
      <c r="D1067" s="1">
        <f ca="1">IFERROR(__xludf.DUMMYFUNCTION("""COMPUTED_VALUE"""),163.33)</f>
        <v>163.33000000000001</v>
      </c>
      <c r="E1067" s="1">
        <f ca="1">IFERROR(__xludf.DUMMYFUNCTION("""COMPUTED_VALUE"""),165.55)</f>
        <v>165.55</v>
      </c>
      <c r="F1067" s="1">
        <f ca="1">IFERROR(__xludf.DUMMYFUNCTION("""COMPUTED_VALUE"""),10689171)</f>
        <v>10689171</v>
      </c>
    </row>
    <row r="1068" spans="1:6" x14ac:dyDescent="0.35">
      <c r="A1068" s="2">
        <f ca="1">IFERROR(__xludf.DUMMYFUNCTION("""COMPUTED_VALUE"""),43553.6666666666)</f>
        <v>43553.666666666599</v>
      </c>
      <c r="B1068" s="1">
        <f ca="1">IFERROR(__xludf.DUMMYFUNCTION("""COMPUTED_VALUE"""),166.39)</f>
        <v>166.39</v>
      </c>
      <c r="C1068" s="1">
        <f ca="1">IFERROR(__xludf.DUMMYFUNCTION("""COMPUTED_VALUE"""),167.19)</f>
        <v>167.19</v>
      </c>
      <c r="D1068" s="1">
        <f ca="1">IFERROR(__xludf.DUMMYFUNCTION("""COMPUTED_VALUE"""),164.81)</f>
        <v>164.81</v>
      </c>
      <c r="E1068" s="1">
        <f ca="1">IFERROR(__xludf.DUMMYFUNCTION("""COMPUTED_VALUE"""),166.69)</f>
        <v>166.69</v>
      </c>
      <c r="F1068" s="1">
        <f ca="1">IFERROR(__xludf.DUMMYFUNCTION("""COMPUTED_VALUE"""),13455454)</f>
        <v>13455454</v>
      </c>
    </row>
    <row r="1069" spans="1:6" x14ac:dyDescent="0.35">
      <c r="A1069" s="2">
        <f ca="1">IFERROR(__xludf.DUMMYFUNCTION("""COMPUTED_VALUE"""),43556.6666666666)</f>
        <v>43556.666666666599</v>
      </c>
      <c r="B1069" s="1">
        <f ca="1">IFERROR(__xludf.DUMMYFUNCTION("""COMPUTED_VALUE"""),167.83)</f>
        <v>167.83</v>
      </c>
      <c r="C1069" s="1">
        <f ca="1">IFERROR(__xludf.DUMMYFUNCTION("""COMPUTED_VALUE"""),168.9)</f>
        <v>168.9</v>
      </c>
      <c r="D1069" s="1">
        <f ca="1">IFERROR(__xludf.DUMMYFUNCTION("""COMPUTED_VALUE"""),167.28)</f>
        <v>167.28</v>
      </c>
      <c r="E1069" s="1">
        <f ca="1">IFERROR(__xludf.DUMMYFUNCTION("""COMPUTED_VALUE"""),168.7)</f>
        <v>168.7</v>
      </c>
      <c r="F1069" s="1">
        <f ca="1">IFERROR(__xludf.DUMMYFUNCTION("""COMPUTED_VALUE"""),10381490)</f>
        <v>10381490</v>
      </c>
    </row>
    <row r="1070" spans="1:6" x14ac:dyDescent="0.35">
      <c r="A1070" s="2">
        <f ca="1">IFERROR(__xludf.DUMMYFUNCTION("""COMPUTED_VALUE"""),43557.6666666666)</f>
        <v>43557.666666666599</v>
      </c>
      <c r="B1070" s="1">
        <f ca="1">IFERROR(__xludf.DUMMYFUNCTION("""COMPUTED_VALUE"""),170.14)</f>
        <v>170.14</v>
      </c>
      <c r="C1070" s="1">
        <f ca="1">IFERROR(__xludf.DUMMYFUNCTION("""COMPUTED_VALUE"""),174.9)</f>
        <v>174.9</v>
      </c>
      <c r="D1070" s="1">
        <f ca="1">IFERROR(__xludf.DUMMYFUNCTION("""COMPUTED_VALUE"""),169.55)</f>
        <v>169.55</v>
      </c>
      <c r="E1070" s="1">
        <f ca="1">IFERROR(__xludf.DUMMYFUNCTION("""COMPUTED_VALUE"""),174.2)</f>
        <v>174.2</v>
      </c>
      <c r="F1070" s="1">
        <f ca="1">IFERROR(__xludf.DUMMYFUNCTION("""COMPUTED_VALUE"""),23946529)</f>
        <v>23946529</v>
      </c>
    </row>
    <row r="1071" spans="1:6" x14ac:dyDescent="0.35">
      <c r="A1071" s="2">
        <f ca="1">IFERROR(__xludf.DUMMYFUNCTION("""COMPUTED_VALUE"""),43558.6666666666)</f>
        <v>43558.666666666599</v>
      </c>
      <c r="B1071" s="1">
        <f ca="1">IFERROR(__xludf.DUMMYFUNCTION("""COMPUTED_VALUE"""),174.5)</f>
        <v>174.5</v>
      </c>
      <c r="C1071" s="1">
        <f ca="1">IFERROR(__xludf.DUMMYFUNCTION("""COMPUTED_VALUE"""),177.96)</f>
        <v>177.96</v>
      </c>
      <c r="D1071" s="1">
        <f ca="1">IFERROR(__xludf.DUMMYFUNCTION("""COMPUTED_VALUE"""),172.95)</f>
        <v>172.95</v>
      </c>
      <c r="E1071" s="1">
        <f ca="1">IFERROR(__xludf.DUMMYFUNCTION("""COMPUTED_VALUE"""),173.54)</f>
        <v>173.54</v>
      </c>
      <c r="F1071" s="1">
        <f ca="1">IFERROR(__xludf.DUMMYFUNCTION("""COMPUTED_VALUE"""),27590058)</f>
        <v>27590058</v>
      </c>
    </row>
    <row r="1072" spans="1:6" x14ac:dyDescent="0.35">
      <c r="A1072" s="2">
        <f ca="1">IFERROR(__xludf.DUMMYFUNCTION("""COMPUTED_VALUE"""),43559.6666666666)</f>
        <v>43559.666666666599</v>
      </c>
      <c r="B1072" s="1">
        <f ca="1">IFERROR(__xludf.DUMMYFUNCTION("""COMPUTED_VALUE"""),176.02)</f>
        <v>176.02</v>
      </c>
      <c r="C1072" s="1">
        <f ca="1">IFERROR(__xludf.DUMMYFUNCTION("""COMPUTED_VALUE"""),178)</f>
        <v>178</v>
      </c>
      <c r="D1072" s="1">
        <f ca="1">IFERROR(__xludf.DUMMYFUNCTION("""COMPUTED_VALUE"""),175.53)</f>
        <v>175.53</v>
      </c>
      <c r="E1072" s="1">
        <f ca="1">IFERROR(__xludf.DUMMYFUNCTION("""COMPUTED_VALUE"""),176.02)</f>
        <v>176.02</v>
      </c>
      <c r="F1072" s="1">
        <f ca="1">IFERROR(__xludf.DUMMYFUNCTION("""COMPUTED_VALUE"""),17847731)</f>
        <v>17847731</v>
      </c>
    </row>
    <row r="1073" spans="1:6" x14ac:dyDescent="0.35">
      <c r="A1073" s="2">
        <f ca="1">IFERROR(__xludf.DUMMYFUNCTION("""COMPUTED_VALUE"""),43560.6666666666)</f>
        <v>43560.666666666599</v>
      </c>
      <c r="B1073" s="1">
        <f ca="1">IFERROR(__xludf.DUMMYFUNCTION("""COMPUTED_VALUE"""),176.88)</f>
        <v>176.88</v>
      </c>
      <c r="C1073" s="1">
        <f ca="1">IFERROR(__xludf.DUMMYFUNCTION("""COMPUTED_VALUE"""),177)</f>
        <v>177</v>
      </c>
      <c r="D1073" s="1">
        <f ca="1">IFERROR(__xludf.DUMMYFUNCTION("""COMPUTED_VALUE"""),175.1)</f>
        <v>175.1</v>
      </c>
      <c r="E1073" s="1">
        <f ca="1">IFERROR(__xludf.DUMMYFUNCTION("""COMPUTED_VALUE"""),175.72)</f>
        <v>175.72</v>
      </c>
      <c r="F1073" s="1">
        <f ca="1">IFERROR(__xludf.DUMMYFUNCTION("""COMPUTED_VALUE"""),9594133)</f>
        <v>9594133</v>
      </c>
    </row>
    <row r="1074" spans="1:6" x14ac:dyDescent="0.35">
      <c r="A1074" s="2">
        <f ca="1">IFERROR(__xludf.DUMMYFUNCTION("""COMPUTED_VALUE"""),43563.6666666666)</f>
        <v>43563.666666666599</v>
      </c>
      <c r="B1074" s="1">
        <f ca="1">IFERROR(__xludf.DUMMYFUNCTION("""COMPUTED_VALUE"""),175.21)</f>
        <v>175.21</v>
      </c>
      <c r="C1074" s="1">
        <f ca="1">IFERROR(__xludf.DUMMYFUNCTION("""COMPUTED_VALUE"""),175.5)</f>
        <v>175.5</v>
      </c>
      <c r="D1074" s="1">
        <f ca="1">IFERROR(__xludf.DUMMYFUNCTION("""COMPUTED_VALUE"""),174.23)</f>
        <v>174.23</v>
      </c>
      <c r="E1074" s="1">
        <f ca="1">IFERROR(__xludf.DUMMYFUNCTION("""COMPUTED_VALUE"""),174.93)</f>
        <v>174.93</v>
      </c>
      <c r="F1074" s="1">
        <f ca="1">IFERROR(__xludf.DUMMYFUNCTION("""COMPUTED_VALUE"""),7297379)</f>
        <v>7297379</v>
      </c>
    </row>
    <row r="1075" spans="1:6" x14ac:dyDescent="0.35">
      <c r="A1075" s="2">
        <f ca="1">IFERROR(__xludf.DUMMYFUNCTION("""COMPUTED_VALUE"""),43564.6666666666)</f>
        <v>43564.666666666599</v>
      </c>
      <c r="B1075" s="1">
        <f ca="1">IFERROR(__xludf.DUMMYFUNCTION("""COMPUTED_VALUE"""),175.62)</f>
        <v>175.62</v>
      </c>
      <c r="C1075" s="1">
        <f ca="1">IFERROR(__xludf.DUMMYFUNCTION("""COMPUTED_VALUE"""),179.19)</f>
        <v>179.19</v>
      </c>
      <c r="D1075" s="1">
        <f ca="1">IFERROR(__xludf.DUMMYFUNCTION("""COMPUTED_VALUE"""),175.55)</f>
        <v>175.55</v>
      </c>
      <c r="E1075" s="1">
        <f ca="1">IFERROR(__xludf.DUMMYFUNCTION("""COMPUTED_VALUE"""),177.58)</f>
        <v>177.58</v>
      </c>
      <c r="F1075" s="1">
        <f ca="1">IFERROR(__xludf.DUMMYFUNCTION("""COMPUTED_VALUE"""),19751031)</f>
        <v>19751031</v>
      </c>
    </row>
    <row r="1076" spans="1:6" x14ac:dyDescent="0.35">
      <c r="A1076" s="2">
        <f ca="1">IFERROR(__xludf.DUMMYFUNCTION("""COMPUTED_VALUE"""),43565.6666666666)</f>
        <v>43565.666666666599</v>
      </c>
      <c r="B1076" s="1">
        <f ca="1">IFERROR(__xludf.DUMMYFUNCTION("""COMPUTED_VALUE"""),178.18)</f>
        <v>178.18</v>
      </c>
      <c r="C1076" s="1">
        <f ca="1">IFERROR(__xludf.DUMMYFUNCTION("""COMPUTED_VALUE"""),178.79)</f>
        <v>178.79</v>
      </c>
      <c r="D1076" s="1">
        <f ca="1">IFERROR(__xludf.DUMMYFUNCTION("""COMPUTED_VALUE"""),176.54)</f>
        <v>176.54</v>
      </c>
      <c r="E1076" s="1">
        <f ca="1">IFERROR(__xludf.DUMMYFUNCTION("""COMPUTED_VALUE"""),177.82)</f>
        <v>177.82</v>
      </c>
      <c r="F1076" s="1">
        <f ca="1">IFERROR(__xludf.DUMMYFUNCTION("""COMPUTED_VALUE"""),11701479)</f>
        <v>11701479</v>
      </c>
    </row>
    <row r="1077" spans="1:6" x14ac:dyDescent="0.35">
      <c r="A1077" s="2">
        <f ca="1">IFERROR(__xludf.DUMMYFUNCTION("""COMPUTED_VALUE"""),43566.6666666666)</f>
        <v>43566.666666666599</v>
      </c>
      <c r="B1077" s="1">
        <f ca="1">IFERROR(__xludf.DUMMYFUNCTION("""COMPUTED_VALUE"""),178.24)</f>
        <v>178.24</v>
      </c>
      <c r="C1077" s="1">
        <f ca="1">IFERROR(__xludf.DUMMYFUNCTION("""COMPUTED_VALUE"""),178.4)</f>
        <v>178.4</v>
      </c>
      <c r="D1077" s="1">
        <f ca="1">IFERROR(__xludf.DUMMYFUNCTION("""COMPUTED_VALUE"""),177)</f>
        <v>177</v>
      </c>
      <c r="E1077" s="1">
        <f ca="1">IFERROR(__xludf.DUMMYFUNCTION("""COMPUTED_VALUE"""),177.51)</f>
        <v>177.51</v>
      </c>
      <c r="F1077" s="1">
        <f ca="1">IFERROR(__xludf.DUMMYFUNCTION("""COMPUTED_VALUE"""),8070967)</f>
        <v>8070967</v>
      </c>
    </row>
    <row r="1078" spans="1:6" x14ac:dyDescent="0.35">
      <c r="A1078" s="2">
        <f ca="1">IFERROR(__xludf.DUMMYFUNCTION("""COMPUTED_VALUE"""),43567.6666666666)</f>
        <v>43567.666666666599</v>
      </c>
      <c r="B1078" s="1">
        <f ca="1">IFERROR(__xludf.DUMMYFUNCTION("""COMPUTED_VALUE"""),178)</f>
        <v>178</v>
      </c>
      <c r="C1078" s="1">
        <f ca="1">IFERROR(__xludf.DUMMYFUNCTION("""COMPUTED_VALUE"""),179.63)</f>
        <v>179.63</v>
      </c>
      <c r="D1078" s="1">
        <f ca="1">IFERROR(__xludf.DUMMYFUNCTION("""COMPUTED_VALUE"""),177.95)</f>
        <v>177.95</v>
      </c>
      <c r="E1078" s="1">
        <f ca="1">IFERROR(__xludf.DUMMYFUNCTION("""COMPUTED_VALUE"""),179.1)</f>
        <v>179.1</v>
      </c>
      <c r="F1078" s="1">
        <f ca="1">IFERROR(__xludf.DUMMYFUNCTION("""COMPUTED_VALUE"""),12329812)</f>
        <v>12329812</v>
      </c>
    </row>
    <row r="1079" spans="1:6" x14ac:dyDescent="0.35">
      <c r="A1079" s="2">
        <f ca="1">IFERROR(__xludf.DUMMYFUNCTION("""COMPUTED_VALUE"""),43570.6666666666)</f>
        <v>43570.666666666599</v>
      </c>
      <c r="B1079" s="1">
        <f ca="1">IFERROR(__xludf.DUMMYFUNCTION("""COMPUTED_VALUE"""),178.5)</f>
        <v>178.5</v>
      </c>
      <c r="C1079" s="1">
        <f ca="1">IFERROR(__xludf.DUMMYFUNCTION("""COMPUTED_VALUE"""),180.5)</f>
        <v>180.5</v>
      </c>
      <c r="D1079" s="1">
        <f ca="1">IFERROR(__xludf.DUMMYFUNCTION("""COMPUTED_VALUE"""),176.87)</f>
        <v>176.87</v>
      </c>
      <c r="E1079" s="1">
        <f ca="1">IFERROR(__xludf.DUMMYFUNCTION("""COMPUTED_VALUE"""),179.65)</f>
        <v>179.65</v>
      </c>
      <c r="F1079" s="1">
        <f ca="1">IFERROR(__xludf.DUMMYFUNCTION("""COMPUTED_VALUE"""),10834762)</f>
        <v>10834762</v>
      </c>
    </row>
    <row r="1080" spans="1:6" x14ac:dyDescent="0.35">
      <c r="A1080" s="2">
        <f ca="1">IFERROR(__xludf.DUMMYFUNCTION("""COMPUTED_VALUE"""),43571.6666666666)</f>
        <v>43571.666666666599</v>
      </c>
      <c r="B1080" s="1">
        <f ca="1">IFERROR(__xludf.DUMMYFUNCTION("""COMPUTED_VALUE"""),179)</f>
        <v>179</v>
      </c>
      <c r="C1080" s="1">
        <f ca="1">IFERROR(__xludf.DUMMYFUNCTION("""COMPUTED_VALUE"""),180.17)</f>
        <v>180.17</v>
      </c>
      <c r="D1080" s="1">
        <f ca="1">IFERROR(__xludf.DUMMYFUNCTION("""COMPUTED_VALUE"""),178.3)</f>
        <v>178.3</v>
      </c>
      <c r="E1080" s="1">
        <f ca="1">IFERROR(__xludf.DUMMYFUNCTION("""COMPUTED_VALUE"""),178.87)</f>
        <v>178.87</v>
      </c>
      <c r="F1080" s="1">
        <f ca="1">IFERROR(__xludf.DUMMYFUNCTION("""COMPUTED_VALUE"""),11215193)</f>
        <v>11215193</v>
      </c>
    </row>
    <row r="1081" spans="1:6" x14ac:dyDescent="0.35">
      <c r="A1081" s="2">
        <f ca="1">IFERROR(__xludf.DUMMYFUNCTION("""COMPUTED_VALUE"""),43572.6666666666)</f>
        <v>43572.666666666599</v>
      </c>
      <c r="B1081" s="1">
        <f ca="1">IFERROR(__xludf.DUMMYFUNCTION("""COMPUTED_VALUE"""),179.6)</f>
        <v>179.6</v>
      </c>
      <c r="C1081" s="1">
        <f ca="1">IFERROR(__xludf.DUMMYFUNCTION("""COMPUTED_VALUE"""),180.74)</f>
        <v>180.74</v>
      </c>
      <c r="D1081" s="1">
        <f ca="1">IFERROR(__xludf.DUMMYFUNCTION("""COMPUTED_VALUE"""),178.36)</f>
        <v>178.36</v>
      </c>
      <c r="E1081" s="1">
        <f ca="1">IFERROR(__xludf.DUMMYFUNCTION("""COMPUTED_VALUE"""),178.78)</f>
        <v>178.78</v>
      </c>
      <c r="F1081" s="1">
        <f ca="1">IFERROR(__xludf.DUMMYFUNCTION("""COMPUTED_VALUE"""),9973732)</f>
        <v>9973732</v>
      </c>
    </row>
    <row r="1082" spans="1:6" x14ac:dyDescent="0.35">
      <c r="A1082" s="2">
        <f ca="1">IFERROR(__xludf.DUMMYFUNCTION("""COMPUTED_VALUE"""),43573.6666666666)</f>
        <v>43573.666666666599</v>
      </c>
      <c r="B1082" s="1">
        <f ca="1">IFERROR(__xludf.DUMMYFUNCTION("""COMPUTED_VALUE"""),178.8)</f>
        <v>178.8</v>
      </c>
      <c r="C1082" s="1">
        <f ca="1">IFERROR(__xludf.DUMMYFUNCTION("""COMPUTED_VALUE"""),178.88)</f>
        <v>178.88</v>
      </c>
      <c r="D1082" s="1">
        <f ca="1">IFERROR(__xludf.DUMMYFUNCTION("""COMPUTED_VALUE"""),177.34)</f>
        <v>177.34</v>
      </c>
      <c r="E1082" s="1">
        <f ca="1">IFERROR(__xludf.DUMMYFUNCTION("""COMPUTED_VALUE"""),178.28)</f>
        <v>178.28</v>
      </c>
      <c r="F1082" s="1">
        <f ca="1">IFERROR(__xludf.DUMMYFUNCTION("""COMPUTED_VALUE"""),11655608)</f>
        <v>11655608</v>
      </c>
    </row>
    <row r="1083" spans="1:6" x14ac:dyDescent="0.35">
      <c r="A1083" s="2">
        <f ca="1">IFERROR(__xludf.DUMMYFUNCTION("""COMPUTED_VALUE"""),43577.6666666666)</f>
        <v>43577.666666666599</v>
      </c>
      <c r="B1083" s="1">
        <f ca="1">IFERROR(__xludf.DUMMYFUNCTION("""COMPUTED_VALUE"""),178.25)</f>
        <v>178.25</v>
      </c>
      <c r="C1083" s="1">
        <f ca="1">IFERROR(__xludf.DUMMYFUNCTION("""COMPUTED_VALUE"""),181.67)</f>
        <v>181.67</v>
      </c>
      <c r="D1083" s="1">
        <f ca="1">IFERROR(__xludf.DUMMYFUNCTION("""COMPUTED_VALUE"""),178.25)</f>
        <v>178.25</v>
      </c>
      <c r="E1083" s="1">
        <f ca="1">IFERROR(__xludf.DUMMYFUNCTION("""COMPUTED_VALUE"""),181.44)</f>
        <v>181.44</v>
      </c>
      <c r="F1083" s="1">
        <f ca="1">IFERROR(__xludf.DUMMYFUNCTION("""COMPUTED_VALUE"""),13389889)</f>
        <v>13389889</v>
      </c>
    </row>
    <row r="1084" spans="1:6" x14ac:dyDescent="0.35">
      <c r="A1084" s="2">
        <f ca="1">IFERROR(__xludf.DUMMYFUNCTION("""COMPUTED_VALUE"""),43578.6666666666)</f>
        <v>43578.666666666599</v>
      </c>
      <c r="B1084" s="1">
        <f ca="1">IFERROR(__xludf.DUMMYFUNCTION("""COMPUTED_VALUE"""),182.74)</f>
        <v>182.74</v>
      </c>
      <c r="C1084" s="1">
        <f ca="1">IFERROR(__xludf.DUMMYFUNCTION("""COMPUTED_VALUE"""),184.22)</f>
        <v>184.22</v>
      </c>
      <c r="D1084" s="1">
        <f ca="1">IFERROR(__xludf.DUMMYFUNCTION("""COMPUTED_VALUE"""),181.48)</f>
        <v>181.48</v>
      </c>
      <c r="E1084" s="1">
        <f ca="1">IFERROR(__xludf.DUMMYFUNCTION("""COMPUTED_VALUE"""),183.78)</f>
        <v>183.78</v>
      </c>
      <c r="F1084" s="1">
        <f ca="1">IFERROR(__xludf.DUMMYFUNCTION("""COMPUTED_VALUE"""),19954814)</f>
        <v>19954814</v>
      </c>
    </row>
    <row r="1085" spans="1:6" x14ac:dyDescent="0.35">
      <c r="A1085" s="2">
        <f ca="1">IFERROR(__xludf.DUMMYFUNCTION("""COMPUTED_VALUE"""),43579.6666666666)</f>
        <v>43579.666666666599</v>
      </c>
      <c r="B1085" s="1">
        <f ca="1">IFERROR(__xludf.DUMMYFUNCTION("""COMPUTED_VALUE"""),184.49)</f>
        <v>184.49</v>
      </c>
      <c r="C1085" s="1">
        <f ca="1">IFERROR(__xludf.DUMMYFUNCTION("""COMPUTED_VALUE"""),185.14)</f>
        <v>185.14</v>
      </c>
      <c r="D1085" s="1">
        <f ca="1">IFERROR(__xludf.DUMMYFUNCTION("""COMPUTED_VALUE"""),181.65)</f>
        <v>181.65</v>
      </c>
      <c r="E1085" s="1">
        <f ca="1">IFERROR(__xludf.DUMMYFUNCTION("""COMPUTED_VALUE"""),182.58)</f>
        <v>182.58</v>
      </c>
      <c r="F1085" s="1">
        <f ca="1">IFERROR(__xludf.DUMMYFUNCTION("""COMPUTED_VALUE"""),37289871)</f>
        <v>37289871</v>
      </c>
    </row>
    <row r="1086" spans="1:6" x14ac:dyDescent="0.35">
      <c r="A1086" s="2">
        <f ca="1">IFERROR(__xludf.DUMMYFUNCTION("""COMPUTED_VALUE"""),43580.6666666666)</f>
        <v>43580.666666666599</v>
      </c>
      <c r="B1086" s="1">
        <f ca="1">IFERROR(__xludf.DUMMYFUNCTION("""COMPUTED_VALUE"""),196.98)</f>
        <v>196.98</v>
      </c>
      <c r="C1086" s="1">
        <f ca="1">IFERROR(__xludf.DUMMYFUNCTION("""COMPUTED_VALUE"""),198.48)</f>
        <v>198.48</v>
      </c>
      <c r="D1086" s="1">
        <f ca="1">IFERROR(__xludf.DUMMYFUNCTION("""COMPUTED_VALUE"""),192.12)</f>
        <v>192.12</v>
      </c>
      <c r="E1086" s="1">
        <f ca="1">IFERROR(__xludf.DUMMYFUNCTION("""COMPUTED_VALUE"""),193.26)</f>
        <v>193.26</v>
      </c>
      <c r="F1086" s="1">
        <f ca="1">IFERROR(__xludf.DUMMYFUNCTION("""COMPUTED_VALUE"""),54148789)</f>
        <v>54148789</v>
      </c>
    </row>
    <row r="1087" spans="1:6" x14ac:dyDescent="0.35">
      <c r="A1087" s="2">
        <f ca="1">IFERROR(__xludf.DUMMYFUNCTION("""COMPUTED_VALUE"""),43581.6666666666)</f>
        <v>43581.666666666599</v>
      </c>
      <c r="B1087" s="1">
        <f ca="1">IFERROR(__xludf.DUMMYFUNCTION("""COMPUTED_VALUE"""),192.5)</f>
        <v>192.5</v>
      </c>
      <c r="C1087" s="1">
        <f ca="1">IFERROR(__xludf.DUMMYFUNCTION("""COMPUTED_VALUE"""),192.9)</f>
        <v>192.9</v>
      </c>
      <c r="D1087" s="1">
        <f ca="1">IFERROR(__xludf.DUMMYFUNCTION("""COMPUTED_VALUE"""),189.09)</f>
        <v>189.09</v>
      </c>
      <c r="E1087" s="1">
        <f ca="1">IFERROR(__xludf.DUMMYFUNCTION("""COMPUTED_VALUE"""),191.49)</f>
        <v>191.49</v>
      </c>
      <c r="F1087" s="1">
        <f ca="1">IFERROR(__xludf.DUMMYFUNCTION("""COMPUTED_VALUE"""),22075002)</f>
        <v>22075002</v>
      </c>
    </row>
    <row r="1088" spans="1:6" x14ac:dyDescent="0.35">
      <c r="A1088" s="2">
        <f ca="1">IFERROR(__xludf.DUMMYFUNCTION("""COMPUTED_VALUE"""),43584.6666666666)</f>
        <v>43584.666666666599</v>
      </c>
      <c r="B1088" s="1">
        <f ca="1">IFERROR(__xludf.DUMMYFUNCTION("""COMPUTED_VALUE"""),190.95)</f>
        <v>190.95</v>
      </c>
      <c r="C1088" s="1">
        <f ca="1">IFERROR(__xludf.DUMMYFUNCTION("""COMPUTED_VALUE"""),195.41)</f>
        <v>195.41</v>
      </c>
      <c r="D1088" s="1">
        <f ca="1">IFERROR(__xludf.DUMMYFUNCTION("""COMPUTED_VALUE"""),190.65)</f>
        <v>190.65</v>
      </c>
      <c r="E1088" s="1">
        <f ca="1">IFERROR(__xludf.DUMMYFUNCTION("""COMPUTED_VALUE"""),194.78)</f>
        <v>194.78</v>
      </c>
      <c r="F1088" s="1">
        <f ca="1">IFERROR(__xludf.DUMMYFUNCTION("""COMPUTED_VALUE"""),19641310)</f>
        <v>19641310</v>
      </c>
    </row>
    <row r="1089" spans="1:6" x14ac:dyDescent="0.35">
      <c r="A1089" s="2">
        <f ca="1">IFERROR(__xludf.DUMMYFUNCTION("""COMPUTED_VALUE"""),43585.6666666666)</f>
        <v>43585.666666666599</v>
      </c>
      <c r="B1089" s="1">
        <f ca="1">IFERROR(__xludf.DUMMYFUNCTION("""COMPUTED_VALUE"""),194.19)</f>
        <v>194.19</v>
      </c>
      <c r="C1089" s="1">
        <f ca="1">IFERROR(__xludf.DUMMYFUNCTION("""COMPUTED_VALUE"""),197.39)</f>
        <v>197.39</v>
      </c>
      <c r="D1089" s="1">
        <f ca="1">IFERROR(__xludf.DUMMYFUNCTION("""COMPUTED_VALUE"""),192.28)</f>
        <v>192.28</v>
      </c>
      <c r="E1089" s="1">
        <f ca="1">IFERROR(__xludf.DUMMYFUNCTION("""COMPUTED_VALUE"""),193.4)</f>
        <v>193.4</v>
      </c>
      <c r="F1089" s="1">
        <f ca="1">IFERROR(__xludf.DUMMYFUNCTION("""COMPUTED_VALUE"""),23494689)</f>
        <v>23494689</v>
      </c>
    </row>
    <row r="1090" spans="1:6" x14ac:dyDescent="0.35">
      <c r="A1090" s="2">
        <f ca="1">IFERROR(__xludf.DUMMYFUNCTION("""COMPUTED_VALUE"""),43586.6666666666)</f>
        <v>43586.666666666599</v>
      </c>
      <c r="B1090" s="1">
        <f ca="1">IFERROR(__xludf.DUMMYFUNCTION("""COMPUTED_VALUE"""),194.78)</f>
        <v>194.78</v>
      </c>
      <c r="C1090" s="1">
        <f ca="1">IFERROR(__xludf.DUMMYFUNCTION("""COMPUTED_VALUE"""),196.18)</f>
        <v>196.18</v>
      </c>
      <c r="D1090" s="1">
        <f ca="1">IFERROR(__xludf.DUMMYFUNCTION("""COMPUTED_VALUE"""),193.01)</f>
        <v>193.01</v>
      </c>
      <c r="E1090" s="1">
        <f ca="1">IFERROR(__xludf.DUMMYFUNCTION("""COMPUTED_VALUE"""),193.03)</f>
        <v>193.03</v>
      </c>
      <c r="F1090" s="1">
        <f ca="1">IFERROR(__xludf.DUMMYFUNCTION("""COMPUTED_VALUE"""),15996646)</f>
        <v>15996646</v>
      </c>
    </row>
    <row r="1091" spans="1:6" x14ac:dyDescent="0.35">
      <c r="A1091" s="2">
        <f ca="1">IFERROR(__xludf.DUMMYFUNCTION("""COMPUTED_VALUE"""),43587.6666666666)</f>
        <v>43587.666666666599</v>
      </c>
      <c r="B1091" s="1">
        <f ca="1">IFERROR(__xludf.DUMMYFUNCTION("""COMPUTED_VALUE"""),193)</f>
        <v>193</v>
      </c>
      <c r="C1091" s="1">
        <f ca="1">IFERROR(__xludf.DUMMYFUNCTION("""COMPUTED_VALUE"""),194)</f>
        <v>194</v>
      </c>
      <c r="D1091" s="1">
        <f ca="1">IFERROR(__xludf.DUMMYFUNCTION("""COMPUTED_VALUE"""),189.75)</f>
        <v>189.75</v>
      </c>
      <c r="E1091" s="1">
        <f ca="1">IFERROR(__xludf.DUMMYFUNCTION("""COMPUTED_VALUE"""),192.53)</f>
        <v>192.53</v>
      </c>
      <c r="F1091" s="1">
        <f ca="1">IFERROR(__xludf.DUMMYFUNCTION("""COMPUTED_VALUE"""),13209452)</f>
        <v>13209452</v>
      </c>
    </row>
    <row r="1092" spans="1:6" x14ac:dyDescent="0.35">
      <c r="A1092" s="2">
        <f ca="1">IFERROR(__xludf.DUMMYFUNCTION("""COMPUTED_VALUE"""),43588.6666666666)</f>
        <v>43588.666666666599</v>
      </c>
      <c r="B1092" s="1">
        <f ca="1">IFERROR(__xludf.DUMMYFUNCTION("""COMPUTED_VALUE"""),194.38)</f>
        <v>194.38</v>
      </c>
      <c r="C1092" s="1">
        <f ca="1">IFERROR(__xludf.DUMMYFUNCTION("""COMPUTED_VALUE"""),196.16)</f>
        <v>196.16</v>
      </c>
      <c r="D1092" s="1">
        <f ca="1">IFERROR(__xludf.DUMMYFUNCTION("""COMPUTED_VALUE"""),193.71)</f>
        <v>193.71</v>
      </c>
      <c r="E1092" s="1">
        <f ca="1">IFERROR(__xludf.DUMMYFUNCTION("""COMPUTED_VALUE"""),195.47)</f>
        <v>195.47</v>
      </c>
      <c r="F1092" s="1">
        <f ca="1">IFERROR(__xludf.DUMMYFUNCTION("""COMPUTED_VALUE"""),14575434)</f>
        <v>14575434</v>
      </c>
    </row>
    <row r="1093" spans="1:6" x14ac:dyDescent="0.35">
      <c r="A1093" s="2">
        <f ca="1">IFERROR(__xludf.DUMMYFUNCTION("""COMPUTED_VALUE"""),43591.6666666666)</f>
        <v>43591.666666666599</v>
      </c>
      <c r="B1093" s="1">
        <f ca="1">IFERROR(__xludf.DUMMYFUNCTION("""COMPUTED_VALUE"""),191.24)</f>
        <v>191.24</v>
      </c>
      <c r="C1093" s="1">
        <f ca="1">IFERROR(__xludf.DUMMYFUNCTION("""COMPUTED_VALUE"""),194.28)</f>
        <v>194.28</v>
      </c>
      <c r="D1093" s="1">
        <f ca="1">IFERROR(__xludf.DUMMYFUNCTION("""COMPUTED_VALUE"""),190.55)</f>
        <v>190.55</v>
      </c>
      <c r="E1093" s="1">
        <f ca="1">IFERROR(__xludf.DUMMYFUNCTION("""COMPUTED_VALUE"""),193.88)</f>
        <v>193.88</v>
      </c>
      <c r="F1093" s="1">
        <f ca="1">IFERROR(__xludf.DUMMYFUNCTION("""COMPUTED_VALUE"""),13994932)</f>
        <v>13994932</v>
      </c>
    </row>
    <row r="1094" spans="1:6" x14ac:dyDescent="0.35">
      <c r="A1094" s="2">
        <f ca="1">IFERROR(__xludf.DUMMYFUNCTION("""COMPUTED_VALUE"""),43592.6666666666)</f>
        <v>43592.666666666599</v>
      </c>
      <c r="B1094" s="1">
        <f ca="1">IFERROR(__xludf.DUMMYFUNCTION("""COMPUTED_VALUE"""),192.54)</f>
        <v>192.54</v>
      </c>
      <c r="C1094" s="1">
        <f ca="1">IFERROR(__xludf.DUMMYFUNCTION("""COMPUTED_VALUE"""),192.9)</f>
        <v>192.9</v>
      </c>
      <c r="D1094" s="1">
        <f ca="1">IFERROR(__xludf.DUMMYFUNCTION("""COMPUTED_VALUE"""),187.85)</f>
        <v>187.85</v>
      </c>
      <c r="E1094" s="1">
        <f ca="1">IFERROR(__xludf.DUMMYFUNCTION("""COMPUTED_VALUE"""),189.77)</f>
        <v>189.77</v>
      </c>
      <c r="F1094" s="1">
        <f ca="1">IFERROR(__xludf.DUMMYFUNCTION("""COMPUTED_VALUE"""),16253001)</f>
        <v>16253001</v>
      </c>
    </row>
    <row r="1095" spans="1:6" x14ac:dyDescent="0.35">
      <c r="A1095" s="2">
        <f ca="1">IFERROR(__xludf.DUMMYFUNCTION("""COMPUTED_VALUE"""),43593.6666666666)</f>
        <v>43593.666666666599</v>
      </c>
      <c r="B1095" s="1">
        <f ca="1">IFERROR(__xludf.DUMMYFUNCTION("""COMPUTED_VALUE"""),189.39)</f>
        <v>189.39</v>
      </c>
      <c r="C1095" s="1">
        <f ca="1">IFERROR(__xludf.DUMMYFUNCTION("""COMPUTED_VALUE"""),190.72)</f>
        <v>190.72</v>
      </c>
      <c r="D1095" s="1">
        <f ca="1">IFERROR(__xludf.DUMMYFUNCTION("""COMPUTED_VALUE"""),188.55)</f>
        <v>188.55</v>
      </c>
      <c r="E1095" s="1">
        <f ca="1">IFERROR(__xludf.DUMMYFUNCTION("""COMPUTED_VALUE"""),189.54)</f>
        <v>189.54</v>
      </c>
      <c r="F1095" s="1">
        <f ca="1">IFERROR(__xludf.DUMMYFUNCTION("""COMPUTED_VALUE"""),12505737)</f>
        <v>12505737</v>
      </c>
    </row>
    <row r="1096" spans="1:6" x14ac:dyDescent="0.35">
      <c r="A1096" s="2">
        <f ca="1">IFERROR(__xludf.DUMMYFUNCTION("""COMPUTED_VALUE"""),43594.6666666666)</f>
        <v>43594.666666666599</v>
      </c>
      <c r="B1096" s="1">
        <f ca="1">IFERROR(__xludf.DUMMYFUNCTION("""COMPUTED_VALUE"""),187.2)</f>
        <v>187.2</v>
      </c>
      <c r="C1096" s="1">
        <f ca="1">IFERROR(__xludf.DUMMYFUNCTION("""COMPUTED_VALUE"""),189.77)</f>
        <v>189.77</v>
      </c>
      <c r="D1096" s="1">
        <f ca="1">IFERROR(__xludf.DUMMYFUNCTION("""COMPUTED_VALUE"""),186.26)</f>
        <v>186.26</v>
      </c>
      <c r="E1096" s="1">
        <f ca="1">IFERROR(__xludf.DUMMYFUNCTION("""COMPUTED_VALUE"""),188.65)</f>
        <v>188.65</v>
      </c>
      <c r="F1096" s="1">
        <f ca="1">IFERROR(__xludf.DUMMYFUNCTION("""COMPUTED_VALUE"""),12967033)</f>
        <v>12967033</v>
      </c>
    </row>
    <row r="1097" spans="1:6" x14ac:dyDescent="0.35">
      <c r="A1097" s="2">
        <f ca="1">IFERROR(__xludf.DUMMYFUNCTION("""COMPUTED_VALUE"""),43595.6666666666)</f>
        <v>43595.666666666599</v>
      </c>
      <c r="B1097" s="1">
        <f ca="1">IFERROR(__xludf.DUMMYFUNCTION("""COMPUTED_VALUE"""),188.25)</f>
        <v>188.25</v>
      </c>
      <c r="C1097" s="1">
        <f ca="1">IFERROR(__xludf.DUMMYFUNCTION("""COMPUTED_VALUE"""),190)</f>
        <v>190</v>
      </c>
      <c r="D1097" s="1">
        <f ca="1">IFERROR(__xludf.DUMMYFUNCTION("""COMPUTED_VALUE"""),184.59)</f>
        <v>184.59</v>
      </c>
      <c r="E1097" s="1">
        <f ca="1">IFERROR(__xludf.DUMMYFUNCTION("""COMPUTED_VALUE"""),188.34)</f>
        <v>188.34</v>
      </c>
      <c r="F1097" s="1">
        <f ca="1">IFERROR(__xludf.DUMMYFUNCTION("""COMPUTED_VALUE"""),12578508)</f>
        <v>12578508</v>
      </c>
    </row>
    <row r="1098" spans="1:6" x14ac:dyDescent="0.35">
      <c r="A1098" s="2">
        <f ca="1">IFERROR(__xludf.DUMMYFUNCTION("""COMPUTED_VALUE"""),43598.6666666666)</f>
        <v>43598.666666666599</v>
      </c>
      <c r="B1098" s="1">
        <f ca="1">IFERROR(__xludf.DUMMYFUNCTION("""COMPUTED_VALUE"""),183.5)</f>
        <v>183.5</v>
      </c>
      <c r="C1098" s="1">
        <f ca="1">IFERROR(__xludf.DUMMYFUNCTION("""COMPUTED_VALUE"""),185.43)</f>
        <v>185.43</v>
      </c>
      <c r="D1098" s="1">
        <f ca="1">IFERROR(__xludf.DUMMYFUNCTION("""COMPUTED_VALUE"""),180.84)</f>
        <v>180.84</v>
      </c>
      <c r="E1098" s="1">
        <f ca="1">IFERROR(__xludf.DUMMYFUNCTION("""COMPUTED_VALUE"""),181.54)</f>
        <v>181.54</v>
      </c>
      <c r="F1098" s="1">
        <f ca="1">IFERROR(__xludf.DUMMYFUNCTION("""COMPUTED_VALUE"""),16833347)</f>
        <v>16833347</v>
      </c>
    </row>
    <row r="1099" spans="1:6" x14ac:dyDescent="0.35">
      <c r="A1099" s="2">
        <f ca="1">IFERROR(__xludf.DUMMYFUNCTION("""COMPUTED_VALUE"""),43599.6666666666)</f>
        <v>43599.666666666599</v>
      </c>
      <c r="B1099" s="1">
        <f ca="1">IFERROR(__xludf.DUMMYFUNCTION("""COMPUTED_VALUE"""),182.52)</f>
        <v>182.52</v>
      </c>
      <c r="C1099" s="1">
        <f ca="1">IFERROR(__xludf.DUMMYFUNCTION("""COMPUTED_VALUE"""),183.49)</f>
        <v>183.49</v>
      </c>
      <c r="D1099" s="1">
        <f ca="1">IFERROR(__xludf.DUMMYFUNCTION("""COMPUTED_VALUE"""),178.1)</f>
        <v>178.1</v>
      </c>
      <c r="E1099" s="1">
        <f ca="1">IFERROR(__xludf.DUMMYFUNCTION("""COMPUTED_VALUE"""),180.73)</f>
        <v>180.73</v>
      </c>
      <c r="F1099" s="1">
        <f ca="1">IFERROR(__xludf.DUMMYFUNCTION("""COMPUTED_VALUE"""),17628142)</f>
        <v>17628142</v>
      </c>
    </row>
    <row r="1100" spans="1:6" x14ac:dyDescent="0.35">
      <c r="A1100" s="2">
        <f ca="1">IFERROR(__xludf.DUMMYFUNCTION("""COMPUTED_VALUE"""),43600.6666666666)</f>
        <v>43600.666666666599</v>
      </c>
      <c r="B1100" s="1">
        <f ca="1">IFERROR(__xludf.DUMMYFUNCTION("""COMPUTED_VALUE"""),180.42)</f>
        <v>180.42</v>
      </c>
      <c r="C1100" s="1">
        <f ca="1">IFERROR(__xludf.DUMMYFUNCTION("""COMPUTED_VALUE"""),187.28)</f>
        <v>187.28</v>
      </c>
      <c r="D1100" s="1">
        <f ca="1">IFERROR(__xludf.DUMMYFUNCTION("""COMPUTED_VALUE"""),180.02)</f>
        <v>180.02</v>
      </c>
      <c r="E1100" s="1">
        <f ca="1">IFERROR(__xludf.DUMMYFUNCTION("""COMPUTED_VALUE"""),186.27)</f>
        <v>186.27</v>
      </c>
      <c r="F1100" s="1">
        <f ca="1">IFERROR(__xludf.DUMMYFUNCTION("""COMPUTED_VALUE"""),16746904)</f>
        <v>16746904</v>
      </c>
    </row>
    <row r="1101" spans="1:6" x14ac:dyDescent="0.35">
      <c r="A1101" s="2">
        <f ca="1">IFERROR(__xludf.DUMMYFUNCTION("""COMPUTED_VALUE"""),43601.6666666666)</f>
        <v>43601.666666666599</v>
      </c>
      <c r="B1101" s="1">
        <f ca="1">IFERROR(__xludf.DUMMYFUNCTION("""COMPUTED_VALUE"""),185.05)</f>
        <v>185.05</v>
      </c>
      <c r="C1101" s="1">
        <f ca="1">IFERROR(__xludf.DUMMYFUNCTION("""COMPUTED_VALUE"""),188.58)</f>
        <v>188.58</v>
      </c>
      <c r="D1101" s="1">
        <f ca="1">IFERROR(__xludf.DUMMYFUNCTION("""COMPUTED_VALUE"""),185.05)</f>
        <v>185.05</v>
      </c>
      <c r="E1101" s="1">
        <f ca="1">IFERROR(__xludf.DUMMYFUNCTION("""COMPUTED_VALUE"""),186.99)</f>
        <v>186.99</v>
      </c>
      <c r="F1101" s="1">
        <f ca="1">IFERROR(__xludf.DUMMYFUNCTION("""COMPUTED_VALUE"""),12953111)</f>
        <v>12953111</v>
      </c>
    </row>
    <row r="1102" spans="1:6" x14ac:dyDescent="0.35">
      <c r="A1102" s="2">
        <f ca="1">IFERROR(__xludf.DUMMYFUNCTION("""COMPUTED_VALUE"""),43602.6666666666)</f>
        <v>43602.666666666599</v>
      </c>
      <c r="B1102" s="1">
        <f ca="1">IFERROR(__xludf.DUMMYFUNCTION("""COMPUTED_VALUE"""),184.84)</f>
        <v>184.84</v>
      </c>
      <c r="C1102" s="1">
        <f ca="1">IFERROR(__xludf.DUMMYFUNCTION("""COMPUTED_VALUE"""),187.58)</f>
        <v>187.58</v>
      </c>
      <c r="D1102" s="1">
        <f ca="1">IFERROR(__xludf.DUMMYFUNCTION("""COMPUTED_VALUE"""),184.28)</f>
        <v>184.28</v>
      </c>
      <c r="E1102" s="1">
        <f ca="1">IFERROR(__xludf.DUMMYFUNCTION("""COMPUTED_VALUE"""),185.3)</f>
        <v>185.3</v>
      </c>
      <c r="F1102" s="1">
        <f ca="1">IFERROR(__xludf.DUMMYFUNCTION("""COMPUTED_VALUE"""),10485370)</f>
        <v>10485370</v>
      </c>
    </row>
    <row r="1103" spans="1:6" x14ac:dyDescent="0.35">
      <c r="A1103" s="2">
        <f ca="1">IFERROR(__xludf.DUMMYFUNCTION("""COMPUTED_VALUE"""),43605.6666666666)</f>
        <v>43605.666666666599</v>
      </c>
      <c r="B1103" s="1">
        <f ca="1">IFERROR(__xludf.DUMMYFUNCTION("""COMPUTED_VALUE"""),181.88)</f>
        <v>181.88</v>
      </c>
      <c r="C1103" s="1">
        <f ca="1">IFERROR(__xludf.DUMMYFUNCTION("""COMPUTED_VALUE"""),184.23)</f>
        <v>184.23</v>
      </c>
      <c r="D1103" s="1">
        <f ca="1">IFERROR(__xludf.DUMMYFUNCTION("""COMPUTED_VALUE"""),181.37)</f>
        <v>181.37</v>
      </c>
      <c r="E1103" s="1">
        <f ca="1">IFERROR(__xludf.DUMMYFUNCTION("""COMPUTED_VALUE"""),182.72)</f>
        <v>182.72</v>
      </c>
      <c r="F1103" s="1">
        <f ca="1">IFERROR(__xludf.DUMMYFUNCTION("""COMPUTED_VALUE"""),10351981)</f>
        <v>10351981</v>
      </c>
    </row>
    <row r="1104" spans="1:6" x14ac:dyDescent="0.35">
      <c r="A1104" s="2">
        <f ca="1">IFERROR(__xludf.DUMMYFUNCTION("""COMPUTED_VALUE"""),43606.6666666666)</f>
        <v>43606.666666666599</v>
      </c>
      <c r="B1104" s="1">
        <f ca="1">IFERROR(__xludf.DUMMYFUNCTION("""COMPUTED_VALUE"""),184.57)</f>
        <v>184.57</v>
      </c>
      <c r="C1104" s="1">
        <f ca="1">IFERROR(__xludf.DUMMYFUNCTION("""COMPUTED_VALUE"""),185.7)</f>
        <v>185.7</v>
      </c>
      <c r="D1104" s="1">
        <f ca="1">IFERROR(__xludf.DUMMYFUNCTION("""COMPUTED_VALUE"""),183.89)</f>
        <v>183.89</v>
      </c>
      <c r="E1104" s="1">
        <f ca="1">IFERROR(__xludf.DUMMYFUNCTION("""COMPUTED_VALUE"""),184.82)</f>
        <v>184.82</v>
      </c>
      <c r="F1104" s="1">
        <f ca="1">IFERROR(__xludf.DUMMYFUNCTION("""COMPUTED_VALUE"""),7502820)</f>
        <v>7502820</v>
      </c>
    </row>
    <row r="1105" spans="1:6" x14ac:dyDescent="0.35">
      <c r="A1105" s="2">
        <f ca="1">IFERROR(__xludf.DUMMYFUNCTION("""COMPUTED_VALUE"""),43607.6666666666)</f>
        <v>43607.666666666599</v>
      </c>
      <c r="B1105" s="1">
        <f ca="1">IFERROR(__xludf.DUMMYFUNCTION("""COMPUTED_VALUE"""),184.73)</f>
        <v>184.73</v>
      </c>
      <c r="C1105" s="1">
        <f ca="1">IFERROR(__xludf.DUMMYFUNCTION("""COMPUTED_VALUE"""),186.74)</f>
        <v>186.74</v>
      </c>
      <c r="D1105" s="1">
        <f ca="1">IFERROR(__xludf.DUMMYFUNCTION("""COMPUTED_VALUE"""),183.61)</f>
        <v>183.61</v>
      </c>
      <c r="E1105" s="1">
        <f ca="1">IFERROR(__xludf.DUMMYFUNCTION("""COMPUTED_VALUE"""),185.32)</f>
        <v>185.32</v>
      </c>
      <c r="F1105" s="1">
        <f ca="1">IFERROR(__xludf.DUMMYFUNCTION("""COMPUTED_VALUE"""),9213801)</f>
        <v>9213801</v>
      </c>
    </row>
    <row r="1106" spans="1:6" x14ac:dyDescent="0.35">
      <c r="A1106" s="2">
        <f ca="1">IFERROR(__xludf.DUMMYFUNCTION("""COMPUTED_VALUE"""),43608.6666666666)</f>
        <v>43608.666666666599</v>
      </c>
      <c r="B1106" s="1">
        <f ca="1">IFERROR(__xludf.DUMMYFUNCTION("""COMPUTED_VALUE"""),182.42)</f>
        <v>182.42</v>
      </c>
      <c r="C1106" s="1">
        <f ca="1">IFERROR(__xludf.DUMMYFUNCTION("""COMPUTED_VALUE"""),183.9)</f>
        <v>183.9</v>
      </c>
      <c r="D1106" s="1">
        <f ca="1">IFERROR(__xludf.DUMMYFUNCTION("""COMPUTED_VALUE"""),179.67)</f>
        <v>179.67</v>
      </c>
      <c r="E1106" s="1">
        <f ca="1">IFERROR(__xludf.DUMMYFUNCTION("""COMPUTED_VALUE"""),180.87)</f>
        <v>180.87</v>
      </c>
      <c r="F1106" s="1">
        <f ca="1">IFERROR(__xludf.DUMMYFUNCTION("""COMPUTED_VALUE"""),12768835)</f>
        <v>12768835</v>
      </c>
    </row>
    <row r="1107" spans="1:6" x14ac:dyDescent="0.35">
      <c r="A1107" s="2">
        <f ca="1">IFERROR(__xludf.DUMMYFUNCTION("""COMPUTED_VALUE"""),43609.6666666666)</f>
        <v>43609.666666666599</v>
      </c>
      <c r="B1107" s="1">
        <f ca="1">IFERROR(__xludf.DUMMYFUNCTION("""COMPUTED_VALUE"""),182.33)</f>
        <v>182.33</v>
      </c>
      <c r="C1107" s="1">
        <f ca="1">IFERROR(__xludf.DUMMYFUNCTION("""COMPUTED_VALUE"""),183.63)</f>
        <v>183.63</v>
      </c>
      <c r="D1107" s="1">
        <f ca="1">IFERROR(__xludf.DUMMYFUNCTION("""COMPUTED_VALUE"""),180.83)</f>
        <v>180.83</v>
      </c>
      <c r="E1107" s="1">
        <f ca="1">IFERROR(__xludf.DUMMYFUNCTION("""COMPUTED_VALUE"""),181.06)</f>
        <v>181.06</v>
      </c>
      <c r="F1107" s="1">
        <f ca="1">IFERROR(__xludf.DUMMYFUNCTION("""COMPUTED_VALUE"""),8807701)</f>
        <v>8807701</v>
      </c>
    </row>
    <row r="1108" spans="1:6" x14ac:dyDescent="0.35">
      <c r="A1108" s="2">
        <f ca="1">IFERROR(__xludf.DUMMYFUNCTION("""COMPUTED_VALUE"""),43613.6666666666)</f>
        <v>43613.666666666599</v>
      </c>
      <c r="B1108" s="1">
        <f ca="1">IFERROR(__xludf.DUMMYFUNCTION("""COMPUTED_VALUE"""),181.54)</f>
        <v>181.54</v>
      </c>
      <c r="C1108" s="1">
        <f ca="1">IFERROR(__xludf.DUMMYFUNCTION("""COMPUTED_VALUE"""),184.71)</f>
        <v>184.71</v>
      </c>
      <c r="D1108" s="1">
        <f ca="1">IFERROR(__xludf.DUMMYFUNCTION("""COMPUTED_VALUE"""),181.45)</f>
        <v>181.45</v>
      </c>
      <c r="E1108" s="1">
        <f ca="1">IFERROR(__xludf.DUMMYFUNCTION("""COMPUTED_VALUE"""),184.31)</f>
        <v>184.31</v>
      </c>
      <c r="F1108" s="1">
        <f ca="1">IFERROR(__xludf.DUMMYFUNCTION("""COMPUTED_VALUE"""),14843308)</f>
        <v>14843308</v>
      </c>
    </row>
    <row r="1109" spans="1:6" x14ac:dyDescent="0.35">
      <c r="A1109" s="2">
        <f ca="1">IFERROR(__xludf.DUMMYFUNCTION("""COMPUTED_VALUE"""),43614.6666666666)</f>
        <v>43614.666666666599</v>
      </c>
      <c r="B1109" s="1">
        <f ca="1">IFERROR(__xludf.DUMMYFUNCTION("""COMPUTED_VALUE"""),183.5)</f>
        <v>183.5</v>
      </c>
      <c r="C1109" s="1">
        <f ca="1">IFERROR(__xludf.DUMMYFUNCTION("""COMPUTED_VALUE"""),184.56)</f>
        <v>184.56</v>
      </c>
      <c r="D1109" s="1">
        <f ca="1">IFERROR(__xludf.DUMMYFUNCTION("""COMPUTED_VALUE"""),181.35)</f>
        <v>181.35</v>
      </c>
      <c r="E1109" s="1">
        <f ca="1">IFERROR(__xludf.DUMMYFUNCTION("""COMPUTED_VALUE"""),182.19)</f>
        <v>182.19</v>
      </c>
      <c r="F1109" s="1">
        <f ca="1">IFERROR(__xludf.DUMMYFUNCTION("""COMPUTED_VALUE"""),12797685)</f>
        <v>12797685</v>
      </c>
    </row>
    <row r="1110" spans="1:6" x14ac:dyDescent="0.35">
      <c r="A1110" s="2">
        <f ca="1">IFERROR(__xludf.DUMMYFUNCTION("""COMPUTED_VALUE"""),43615.6666666666)</f>
        <v>43615.666666666599</v>
      </c>
      <c r="B1110" s="1">
        <f ca="1">IFERROR(__xludf.DUMMYFUNCTION("""COMPUTED_VALUE"""),183.08)</f>
        <v>183.08</v>
      </c>
      <c r="C1110" s="1">
        <f ca="1">IFERROR(__xludf.DUMMYFUNCTION("""COMPUTED_VALUE"""),183.48)</f>
        <v>183.48</v>
      </c>
      <c r="D1110" s="1">
        <f ca="1">IFERROR(__xludf.DUMMYFUNCTION("""COMPUTED_VALUE"""),180.89)</f>
        <v>180.89</v>
      </c>
      <c r="E1110" s="1">
        <f ca="1">IFERROR(__xludf.DUMMYFUNCTION("""COMPUTED_VALUE"""),183.01)</f>
        <v>183.01</v>
      </c>
      <c r="F1110" s="1">
        <f ca="1">IFERROR(__xludf.DUMMYFUNCTION("""COMPUTED_VALUE"""),8581544)</f>
        <v>8581544</v>
      </c>
    </row>
    <row r="1111" spans="1:6" x14ac:dyDescent="0.35">
      <c r="A1111" s="2">
        <f ca="1">IFERROR(__xludf.DUMMYFUNCTION("""COMPUTED_VALUE"""),43616.6666666666)</f>
        <v>43616.666666666599</v>
      </c>
      <c r="B1111" s="1">
        <f ca="1">IFERROR(__xludf.DUMMYFUNCTION("""COMPUTED_VALUE"""),180.28)</f>
        <v>180.28</v>
      </c>
      <c r="C1111" s="1">
        <f ca="1">IFERROR(__xludf.DUMMYFUNCTION("""COMPUTED_VALUE"""),180.54)</f>
        <v>180.54</v>
      </c>
      <c r="D1111" s="1">
        <f ca="1">IFERROR(__xludf.DUMMYFUNCTION("""COMPUTED_VALUE"""),177.16)</f>
        <v>177.16</v>
      </c>
      <c r="E1111" s="1">
        <f ca="1">IFERROR(__xludf.DUMMYFUNCTION("""COMPUTED_VALUE"""),177.47)</f>
        <v>177.47</v>
      </c>
      <c r="F1111" s="1">
        <f ca="1">IFERROR(__xludf.DUMMYFUNCTION("""COMPUTED_VALUE"""),15226536)</f>
        <v>15226536</v>
      </c>
    </row>
    <row r="1112" spans="1:6" x14ac:dyDescent="0.35">
      <c r="A1112" s="2">
        <f ca="1">IFERROR(__xludf.DUMMYFUNCTION("""COMPUTED_VALUE"""),43619.6666666666)</f>
        <v>43619.666666666599</v>
      </c>
      <c r="B1112" s="1">
        <f ca="1">IFERROR(__xludf.DUMMYFUNCTION("""COMPUTED_VALUE"""),175)</f>
        <v>175</v>
      </c>
      <c r="C1112" s="1">
        <f ca="1">IFERROR(__xludf.DUMMYFUNCTION("""COMPUTED_VALUE"""),175.05)</f>
        <v>175.05</v>
      </c>
      <c r="D1112" s="1">
        <f ca="1">IFERROR(__xludf.DUMMYFUNCTION("""COMPUTED_VALUE"""),161.01)</f>
        <v>161.01</v>
      </c>
      <c r="E1112" s="1">
        <f ca="1">IFERROR(__xludf.DUMMYFUNCTION("""COMPUTED_VALUE"""),164.15)</f>
        <v>164.15</v>
      </c>
      <c r="F1112" s="1">
        <f ca="1">IFERROR(__xludf.DUMMYFUNCTION("""COMPUTED_VALUE"""),56059609)</f>
        <v>56059609</v>
      </c>
    </row>
    <row r="1113" spans="1:6" x14ac:dyDescent="0.35">
      <c r="A1113" s="2">
        <f ca="1">IFERROR(__xludf.DUMMYFUNCTION("""COMPUTED_VALUE"""),43620.6666666666)</f>
        <v>43620.666666666599</v>
      </c>
      <c r="B1113" s="1">
        <f ca="1">IFERROR(__xludf.DUMMYFUNCTION("""COMPUTED_VALUE"""),163.71)</f>
        <v>163.71</v>
      </c>
      <c r="C1113" s="1">
        <f ca="1">IFERROR(__xludf.DUMMYFUNCTION("""COMPUTED_VALUE"""),168.28)</f>
        <v>168.28</v>
      </c>
      <c r="D1113" s="1">
        <f ca="1">IFERROR(__xludf.DUMMYFUNCTION("""COMPUTED_VALUE"""),160.84)</f>
        <v>160.84</v>
      </c>
      <c r="E1113" s="1">
        <f ca="1">IFERROR(__xludf.DUMMYFUNCTION("""COMPUTED_VALUE"""),167.5)</f>
        <v>167.5</v>
      </c>
      <c r="F1113" s="1">
        <f ca="1">IFERROR(__xludf.DUMMYFUNCTION("""COMPUTED_VALUE"""),46044256)</f>
        <v>46044256</v>
      </c>
    </row>
    <row r="1114" spans="1:6" x14ac:dyDescent="0.35">
      <c r="A1114" s="2">
        <f ca="1">IFERROR(__xludf.DUMMYFUNCTION("""COMPUTED_VALUE"""),43621.6666666666)</f>
        <v>43621.666666666599</v>
      </c>
      <c r="B1114" s="1">
        <f ca="1">IFERROR(__xludf.DUMMYFUNCTION("""COMPUTED_VALUE"""),167.48)</f>
        <v>167.48</v>
      </c>
      <c r="C1114" s="1">
        <f ca="1">IFERROR(__xludf.DUMMYFUNCTION("""COMPUTED_VALUE"""),168.72)</f>
        <v>168.72</v>
      </c>
      <c r="D1114" s="1">
        <f ca="1">IFERROR(__xludf.DUMMYFUNCTION("""COMPUTED_VALUE"""),164.63)</f>
        <v>164.63</v>
      </c>
      <c r="E1114" s="1">
        <f ca="1">IFERROR(__xludf.DUMMYFUNCTION("""COMPUTED_VALUE"""),168.17)</f>
        <v>168.17</v>
      </c>
      <c r="F1114" s="1">
        <f ca="1">IFERROR(__xludf.DUMMYFUNCTION("""COMPUTED_VALUE"""),19758317)</f>
        <v>19758317</v>
      </c>
    </row>
    <row r="1115" spans="1:6" x14ac:dyDescent="0.35">
      <c r="A1115" s="2">
        <f ca="1">IFERROR(__xludf.DUMMYFUNCTION("""COMPUTED_VALUE"""),43622.6666666666)</f>
        <v>43622.666666666599</v>
      </c>
      <c r="B1115" s="1">
        <f ca="1">IFERROR(__xludf.DUMMYFUNCTION("""COMPUTED_VALUE"""),168.3)</f>
        <v>168.3</v>
      </c>
      <c r="C1115" s="1">
        <f ca="1">IFERROR(__xludf.DUMMYFUNCTION("""COMPUTED_VALUE"""),169.7)</f>
        <v>169.7</v>
      </c>
      <c r="D1115" s="1">
        <f ca="1">IFERROR(__xludf.DUMMYFUNCTION("""COMPUTED_VALUE"""),167.23)</f>
        <v>167.23</v>
      </c>
      <c r="E1115" s="1">
        <f ca="1">IFERROR(__xludf.DUMMYFUNCTION("""COMPUTED_VALUE"""),168.33)</f>
        <v>168.33</v>
      </c>
      <c r="F1115" s="1">
        <f ca="1">IFERROR(__xludf.DUMMYFUNCTION("""COMPUTED_VALUE"""),12446354)</f>
        <v>12446354</v>
      </c>
    </row>
    <row r="1116" spans="1:6" x14ac:dyDescent="0.35">
      <c r="A1116" s="2">
        <f ca="1">IFERROR(__xludf.DUMMYFUNCTION("""COMPUTED_VALUE"""),43623.6666666666)</f>
        <v>43623.666666666599</v>
      </c>
      <c r="B1116" s="1">
        <f ca="1">IFERROR(__xludf.DUMMYFUNCTION("""COMPUTED_VALUE"""),170.17)</f>
        <v>170.17</v>
      </c>
      <c r="C1116" s="1">
        <f ca="1">IFERROR(__xludf.DUMMYFUNCTION("""COMPUTED_VALUE"""),173.87)</f>
        <v>173.87</v>
      </c>
      <c r="D1116" s="1">
        <f ca="1">IFERROR(__xludf.DUMMYFUNCTION("""COMPUTED_VALUE"""),168.84)</f>
        <v>168.84</v>
      </c>
      <c r="E1116" s="1">
        <f ca="1">IFERROR(__xludf.DUMMYFUNCTION("""COMPUTED_VALUE"""),173.35)</f>
        <v>173.35</v>
      </c>
      <c r="F1116" s="1">
        <f ca="1">IFERROR(__xludf.DUMMYFUNCTION("""COMPUTED_VALUE"""),16917343)</f>
        <v>16917343</v>
      </c>
    </row>
    <row r="1117" spans="1:6" x14ac:dyDescent="0.35">
      <c r="A1117" s="2">
        <f ca="1">IFERROR(__xludf.DUMMYFUNCTION("""COMPUTED_VALUE"""),43626.6666666666)</f>
        <v>43626.666666666599</v>
      </c>
      <c r="B1117" s="1">
        <f ca="1">IFERROR(__xludf.DUMMYFUNCTION("""COMPUTED_VALUE"""),174.75)</f>
        <v>174.75</v>
      </c>
      <c r="C1117" s="1">
        <f ca="1">IFERROR(__xludf.DUMMYFUNCTION("""COMPUTED_VALUE"""),177.86)</f>
        <v>177.86</v>
      </c>
      <c r="D1117" s="1">
        <f ca="1">IFERROR(__xludf.DUMMYFUNCTION("""COMPUTED_VALUE"""),173.8)</f>
        <v>173.8</v>
      </c>
      <c r="E1117" s="1">
        <f ca="1">IFERROR(__xludf.DUMMYFUNCTION("""COMPUTED_VALUE"""),174.82)</f>
        <v>174.82</v>
      </c>
      <c r="F1117" s="1">
        <f ca="1">IFERROR(__xludf.DUMMYFUNCTION("""COMPUTED_VALUE"""),14767918)</f>
        <v>14767918</v>
      </c>
    </row>
    <row r="1118" spans="1:6" x14ac:dyDescent="0.35">
      <c r="A1118" s="2">
        <f ca="1">IFERROR(__xludf.DUMMYFUNCTION("""COMPUTED_VALUE"""),43627.6666666666)</f>
        <v>43627.666666666599</v>
      </c>
      <c r="B1118" s="1">
        <f ca="1">IFERROR(__xludf.DUMMYFUNCTION("""COMPUTED_VALUE"""),178.48)</f>
        <v>178.48</v>
      </c>
      <c r="C1118" s="1">
        <f ca="1">IFERROR(__xludf.DUMMYFUNCTION("""COMPUTED_VALUE"""),179.98)</f>
        <v>179.98</v>
      </c>
      <c r="D1118" s="1">
        <f ca="1">IFERROR(__xludf.DUMMYFUNCTION("""COMPUTED_VALUE"""),176.79)</f>
        <v>176.79</v>
      </c>
      <c r="E1118" s="1">
        <f ca="1">IFERROR(__xludf.DUMMYFUNCTION("""COMPUTED_VALUE"""),178.1)</f>
        <v>178.1</v>
      </c>
      <c r="F1118" s="1">
        <f ca="1">IFERROR(__xludf.DUMMYFUNCTION("""COMPUTED_VALUE"""),15266644)</f>
        <v>15266644</v>
      </c>
    </row>
    <row r="1119" spans="1:6" x14ac:dyDescent="0.35">
      <c r="A1119" s="2">
        <f ca="1">IFERROR(__xludf.DUMMYFUNCTION("""COMPUTED_VALUE"""),43628.6666666666)</f>
        <v>43628.666666666599</v>
      </c>
      <c r="B1119" s="1">
        <f ca="1">IFERROR(__xludf.DUMMYFUNCTION("""COMPUTED_VALUE"""),178.38)</f>
        <v>178.38</v>
      </c>
      <c r="C1119" s="1">
        <f ca="1">IFERROR(__xludf.DUMMYFUNCTION("""COMPUTED_VALUE"""),179.27)</f>
        <v>179.27</v>
      </c>
      <c r="D1119" s="1">
        <f ca="1">IFERROR(__xludf.DUMMYFUNCTION("""COMPUTED_VALUE"""),172.88)</f>
        <v>172.88</v>
      </c>
      <c r="E1119" s="1">
        <f ca="1">IFERROR(__xludf.DUMMYFUNCTION("""COMPUTED_VALUE"""),175.04)</f>
        <v>175.04</v>
      </c>
      <c r="F1119" s="1">
        <f ca="1">IFERROR(__xludf.DUMMYFUNCTION("""COMPUTED_VALUE"""),17699806)</f>
        <v>17699806</v>
      </c>
    </row>
    <row r="1120" spans="1:6" x14ac:dyDescent="0.35">
      <c r="A1120" s="2">
        <f ca="1">IFERROR(__xludf.DUMMYFUNCTION("""COMPUTED_VALUE"""),43629.6666666666)</f>
        <v>43629.666666666599</v>
      </c>
      <c r="B1120" s="1">
        <f ca="1">IFERROR(__xludf.DUMMYFUNCTION("""COMPUTED_VALUE"""),175.53)</f>
        <v>175.53</v>
      </c>
      <c r="C1120" s="1">
        <f ca="1">IFERROR(__xludf.DUMMYFUNCTION("""COMPUTED_VALUE"""),178.03)</f>
        <v>178.03</v>
      </c>
      <c r="D1120" s="1">
        <f ca="1">IFERROR(__xludf.DUMMYFUNCTION("""COMPUTED_VALUE"""),174.61)</f>
        <v>174.61</v>
      </c>
      <c r="E1120" s="1">
        <f ca="1">IFERROR(__xludf.DUMMYFUNCTION("""COMPUTED_VALUE"""),177.47)</f>
        <v>177.47</v>
      </c>
      <c r="F1120" s="1">
        <f ca="1">IFERROR(__xludf.DUMMYFUNCTION("""COMPUTED_VALUE"""),12253569)</f>
        <v>12253569</v>
      </c>
    </row>
    <row r="1121" spans="1:6" x14ac:dyDescent="0.35">
      <c r="A1121" s="2">
        <f ca="1">IFERROR(__xludf.DUMMYFUNCTION("""COMPUTED_VALUE"""),43630.6666666666)</f>
        <v>43630.666666666599</v>
      </c>
      <c r="B1121" s="1">
        <f ca="1">IFERROR(__xludf.DUMMYFUNCTION("""COMPUTED_VALUE"""),180.51)</f>
        <v>180.51</v>
      </c>
      <c r="C1121" s="1">
        <f ca="1">IFERROR(__xludf.DUMMYFUNCTION("""COMPUTED_VALUE"""),181.84)</f>
        <v>181.84</v>
      </c>
      <c r="D1121" s="1">
        <f ca="1">IFERROR(__xludf.DUMMYFUNCTION("""COMPUTED_VALUE"""),180)</f>
        <v>180</v>
      </c>
      <c r="E1121" s="1">
        <f ca="1">IFERROR(__xludf.DUMMYFUNCTION("""COMPUTED_VALUE"""),181.33)</f>
        <v>181.33</v>
      </c>
      <c r="F1121" s="1">
        <f ca="1">IFERROR(__xludf.DUMMYFUNCTION("""COMPUTED_VALUE"""),16773691)</f>
        <v>16773691</v>
      </c>
    </row>
    <row r="1122" spans="1:6" x14ac:dyDescent="0.35">
      <c r="A1122" s="2">
        <f ca="1">IFERROR(__xludf.DUMMYFUNCTION("""COMPUTED_VALUE"""),43633.6666666666)</f>
        <v>43633.666666666599</v>
      </c>
      <c r="B1122" s="1">
        <f ca="1">IFERROR(__xludf.DUMMYFUNCTION("""COMPUTED_VALUE"""),185.01)</f>
        <v>185.01</v>
      </c>
      <c r="C1122" s="1">
        <f ca="1">IFERROR(__xludf.DUMMYFUNCTION("""COMPUTED_VALUE"""),189.5)</f>
        <v>189.5</v>
      </c>
      <c r="D1122" s="1">
        <f ca="1">IFERROR(__xludf.DUMMYFUNCTION("""COMPUTED_VALUE"""),184.41)</f>
        <v>184.41</v>
      </c>
      <c r="E1122" s="1">
        <f ca="1">IFERROR(__xludf.DUMMYFUNCTION("""COMPUTED_VALUE"""),189.01)</f>
        <v>189.01</v>
      </c>
      <c r="F1122" s="1">
        <f ca="1">IFERROR(__xludf.DUMMYFUNCTION("""COMPUTED_VALUE"""),29459881)</f>
        <v>29459881</v>
      </c>
    </row>
    <row r="1123" spans="1:6" x14ac:dyDescent="0.35">
      <c r="A1123" s="2">
        <f ca="1">IFERROR(__xludf.DUMMYFUNCTION("""COMPUTED_VALUE"""),43634.6666666666)</f>
        <v>43634.666666666599</v>
      </c>
      <c r="B1123" s="1">
        <f ca="1">IFERROR(__xludf.DUMMYFUNCTION("""COMPUTED_VALUE"""),194)</f>
        <v>194</v>
      </c>
      <c r="C1123" s="1">
        <f ca="1">IFERROR(__xludf.DUMMYFUNCTION("""COMPUTED_VALUE"""),194.53)</f>
        <v>194.53</v>
      </c>
      <c r="D1123" s="1">
        <f ca="1">IFERROR(__xludf.DUMMYFUNCTION("""COMPUTED_VALUE"""),187.28)</f>
        <v>187.28</v>
      </c>
      <c r="E1123" s="1">
        <f ca="1">IFERROR(__xludf.DUMMYFUNCTION("""COMPUTED_VALUE"""),188.47)</f>
        <v>188.47</v>
      </c>
      <c r="F1123" s="1">
        <f ca="1">IFERROR(__xludf.DUMMYFUNCTION("""COMPUTED_VALUE"""),37571352)</f>
        <v>37571352</v>
      </c>
    </row>
    <row r="1124" spans="1:6" x14ac:dyDescent="0.35">
      <c r="A1124" s="2">
        <f ca="1">IFERROR(__xludf.DUMMYFUNCTION("""COMPUTED_VALUE"""),43635.6666666666)</f>
        <v>43635.666666666599</v>
      </c>
      <c r="B1124" s="1">
        <f ca="1">IFERROR(__xludf.DUMMYFUNCTION("""COMPUTED_VALUE"""),187)</f>
        <v>187</v>
      </c>
      <c r="C1124" s="1">
        <f ca="1">IFERROR(__xludf.DUMMYFUNCTION("""COMPUTED_VALUE"""),188.1)</f>
        <v>188.1</v>
      </c>
      <c r="D1124" s="1">
        <f ca="1">IFERROR(__xludf.DUMMYFUNCTION("""COMPUTED_VALUE"""),184.55)</f>
        <v>184.55</v>
      </c>
      <c r="E1124" s="1">
        <f ca="1">IFERROR(__xludf.DUMMYFUNCTION("""COMPUTED_VALUE"""),187.48)</f>
        <v>187.48</v>
      </c>
      <c r="F1124" s="1">
        <f ca="1">IFERROR(__xludf.DUMMYFUNCTION("""COMPUTED_VALUE"""),21417092)</f>
        <v>21417092</v>
      </c>
    </row>
    <row r="1125" spans="1:6" x14ac:dyDescent="0.35">
      <c r="A1125" s="2">
        <f ca="1">IFERROR(__xludf.DUMMYFUNCTION("""COMPUTED_VALUE"""),43636.6666666666)</f>
        <v>43636.666666666599</v>
      </c>
      <c r="B1125" s="1">
        <f ca="1">IFERROR(__xludf.DUMMYFUNCTION("""COMPUTED_VALUE"""),190.95)</f>
        <v>190.95</v>
      </c>
      <c r="C1125" s="1">
        <f ca="1">IFERROR(__xludf.DUMMYFUNCTION("""COMPUTED_VALUE"""),191.16)</f>
        <v>191.16</v>
      </c>
      <c r="D1125" s="1">
        <f ca="1">IFERROR(__xludf.DUMMYFUNCTION("""COMPUTED_VALUE"""),187.64)</f>
        <v>187.64</v>
      </c>
      <c r="E1125" s="1">
        <f ca="1">IFERROR(__xludf.DUMMYFUNCTION("""COMPUTED_VALUE"""),189.53)</f>
        <v>189.53</v>
      </c>
      <c r="F1125" s="1">
        <f ca="1">IFERROR(__xludf.DUMMYFUNCTION("""COMPUTED_VALUE"""),14635740)</f>
        <v>14635740</v>
      </c>
    </row>
    <row r="1126" spans="1:6" x14ac:dyDescent="0.35">
      <c r="A1126" s="2">
        <f ca="1">IFERROR(__xludf.DUMMYFUNCTION("""COMPUTED_VALUE"""),43637.6666666666)</f>
        <v>43637.666666666599</v>
      </c>
      <c r="B1126" s="1">
        <f ca="1">IFERROR(__xludf.DUMMYFUNCTION("""COMPUTED_VALUE"""),188.75)</f>
        <v>188.75</v>
      </c>
      <c r="C1126" s="1">
        <f ca="1">IFERROR(__xludf.DUMMYFUNCTION("""COMPUTED_VALUE"""),192)</f>
        <v>192</v>
      </c>
      <c r="D1126" s="1">
        <f ca="1">IFERROR(__xludf.DUMMYFUNCTION("""COMPUTED_VALUE"""),188.75)</f>
        <v>188.75</v>
      </c>
      <c r="E1126" s="1">
        <f ca="1">IFERROR(__xludf.DUMMYFUNCTION("""COMPUTED_VALUE"""),191.14)</f>
        <v>191.14</v>
      </c>
      <c r="F1126" s="1">
        <f ca="1">IFERROR(__xludf.DUMMYFUNCTION("""COMPUTED_VALUE"""),22751159)</f>
        <v>22751159</v>
      </c>
    </row>
    <row r="1127" spans="1:6" x14ac:dyDescent="0.35">
      <c r="A1127" s="2">
        <f ca="1">IFERROR(__xludf.DUMMYFUNCTION("""COMPUTED_VALUE"""),43640.6666666666)</f>
        <v>43640.666666666599</v>
      </c>
      <c r="B1127" s="1">
        <f ca="1">IFERROR(__xludf.DUMMYFUNCTION("""COMPUTED_VALUE"""),192.42)</f>
        <v>192.42</v>
      </c>
      <c r="C1127" s="1">
        <f ca="1">IFERROR(__xludf.DUMMYFUNCTION("""COMPUTED_VALUE"""),193.98)</f>
        <v>193.98</v>
      </c>
      <c r="D1127" s="1">
        <f ca="1">IFERROR(__xludf.DUMMYFUNCTION("""COMPUTED_VALUE"""),191.57)</f>
        <v>191.57</v>
      </c>
      <c r="E1127" s="1">
        <f ca="1">IFERROR(__xludf.DUMMYFUNCTION("""COMPUTED_VALUE"""),192.6)</f>
        <v>192.6</v>
      </c>
      <c r="F1127" s="1">
        <f ca="1">IFERROR(__xludf.DUMMYFUNCTION("""COMPUTED_VALUE"""),15508955)</f>
        <v>15508955</v>
      </c>
    </row>
    <row r="1128" spans="1:6" x14ac:dyDescent="0.35">
      <c r="A1128" s="2">
        <f ca="1">IFERROR(__xludf.DUMMYFUNCTION("""COMPUTED_VALUE"""),43641.6666666666)</f>
        <v>43641.666666666599</v>
      </c>
      <c r="B1128" s="1">
        <f ca="1">IFERROR(__xludf.DUMMYFUNCTION("""COMPUTED_VALUE"""),192.88)</f>
        <v>192.88</v>
      </c>
      <c r="C1128" s="1">
        <f ca="1">IFERROR(__xludf.DUMMYFUNCTION("""COMPUTED_VALUE"""),193.14)</f>
        <v>193.14</v>
      </c>
      <c r="D1128" s="1">
        <f ca="1">IFERROR(__xludf.DUMMYFUNCTION("""COMPUTED_VALUE"""),188.13)</f>
        <v>188.13</v>
      </c>
      <c r="E1128" s="1">
        <f ca="1">IFERROR(__xludf.DUMMYFUNCTION("""COMPUTED_VALUE"""),188.84)</f>
        <v>188.84</v>
      </c>
      <c r="F1128" s="1">
        <f ca="1">IFERROR(__xludf.DUMMYFUNCTION("""COMPUTED_VALUE"""),16750309)</f>
        <v>16750309</v>
      </c>
    </row>
    <row r="1129" spans="1:6" x14ac:dyDescent="0.35">
      <c r="A1129" s="2">
        <f ca="1">IFERROR(__xludf.DUMMYFUNCTION("""COMPUTED_VALUE"""),43642.6666666666)</f>
        <v>43642.666666666599</v>
      </c>
      <c r="B1129" s="1">
        <f ca="1">IFERROR(__xludf.DUMMYFUNCTION("""COMPUTED_VALUE"""),189.54)</f>
        <v>189.54</v>
      </c>
      <c r="C1129" s="1">
        <f ca="1">IFERROR(__xludf.DUMMYFUNCTION("""COMPUTED_VALUE"""),190.76)</f>
        <v>190.76</v>
      </c>
      <c r="D1129" s="1">
        <f ca="1">IFERROR(__xludf.DUMMYFUNCTION("""COMPUTED_VALUE"""),187.31)</f>
        <v>187.31</v>
      </c>
      <c r="E1129" s="1">
        <f ca="1">IFERROR(__xludf.DUMMYFUNCTION("""COMPUTED_VALUE"""),187.66)</f>
        <v>187.66</v>
      </c>
      <c r="F1129" s="1">
        <f ca="1">IFERROR(__xludf.DUMMYFUNCTION("""COMPUTED_VALUE"""),12808604)</f>
        <v>12808604</v>
      </c>
    </row>
    <row r="1130" spans="1:6" x14ac:dyDescent="0.35">
      <c r="A1130" s="2">
        <f ca="1">IFERROR(__xludf.DUMMYFUNCTION("""COMPUTED_VALUE"""),43643.6666666666)</f>
        <v>43643.666666666599</v>
      </c>
      <c r="B1130" s="1">
        <f ca="1">IFERROR(__xludf.DUMMYFUNCTION("""COMPUTED_VALUE"""),189.88)</f>
        <v>189.88</v>
      </c>
      <c r="C1130" s="1">
        <f ca="1">IFERROR(__xludf.DUMMYFUNCTION("""COMPUTED_VALUE"""),189.95)</f>
        <v>189.95</v>
      </c>
      <c r="D1130" s="1">
        <f ca="1">IFERROR(__xludf.DUMMYFUNCTION("""COMPUTED_VALUE"""),188.27)</f>
        <v>188.27</v>
      </c>
      <c r="E1130" s="1">
        <f ca="1">IFERROR(__xludf.DUMMYFUNCTION("""COMPUTED_VALUE"""),189.5)</f>
        <v>189.5</v>
      </c>
      <c r="F1130" s="1">
        <f ca="1">IFERROR(__xludf.DUMMYFUNCTION("""COMPUTED_VALUE"""),11158983)</f>
        <v>11158983</v>
      </c>
    </row>
    <row r="1131" spans="1:6" x14ac:dyDescent="0.35">
      <c r="A1131" s="2">
        <f ca="1">IFERROR(__xludf.DUMMYFUNCTION("""COMPUTED_VALUE"""),43644.6666666666)</f>
        <v>43644.666666666599</v>
      </c>
      <c r="B1131" s="1">
        <f ca="1">IFERROR(__xludf.DUMMYFUNCTION("""COMPUTED_VALUE"""),190.55)</f>
        <v>190.55</v>
      </c>
      <c r="C1131" s="1">
        <f ca="1">IFERROR(__xludf.DUMMYFUNCTION("""COMPUTED_VALUE"""),193.2)</f>
        <v>193.2</v>
      </c>
      <c r="D1131" s="1">
        <f ca="1">IFERROR(__xludf.DUMMYFUNCTION("""COMPUTED_VALUE"""),189.94)</f>
        <v>189.94</v>
      </c>
      <c r="E1131" s="1">
        <f ca="1">IFERROR(__xludf.DUMMYFUNCTION("""COMPUTED_VALUE"""),193)</f>
        <v>193</v>
      </c>
      <c r="F1131" s="1">
        <f ca="1">IFERROR(__xludf.DUMMYFUNCTION("""COMPUTED_VALUE"""),16378878)</f>
        <v>16378878</v>
      </c>
    </row>
    <row r="1132" spans="1:6" x14ac:dyDescent="0.35">
      <c r="A1132" s="2">
        <f ca="1">IFERROR(__xludf.DUMMYFUNCTION("""COMPUTED_VALUE"""),43647.6666666666)</f>
        <v>43647.666666666599</v>
      </c>
      <c r="B1132" s="1">
        <f ca="1">IFERROR(__xludf.DUMMYFUNCTION("""COMPUTED_VALUE"""),195.21)</f>
        <v>195.21</v>
      </c>
      <c r="C1132" s="1">
        <f ca="1">IFERROR(__xludf.DUMMYFUNCTION("""COMPUTED_VALUE"""),195.28)</f>
        <v>195.28</v>
      </c>
      <c r="D1132" s="1">
        <f ca="1">IFERROR(__xludf.DUMMYFUNCTION("""COMPUTED_VALUE"""),191.93)</f>
        <v>191.93</v>
      </c>
      <c r="E1132" s="1">
        <f ca="1">IFERROR(__xludf.DUMMYFUNCTION("""COMPUTED_VALUE"""),193)</f>
        <v>193</v>
      </c>
      <c r="F1132" s="1">
        <f ca="1">IFERROR(__xludf.DUMMYFUNCTION("""COMPUTED_VALUE"""),14204690)</f>
        <v>14204690</v>
      </c>
    </row>
    <row r="1133" spans="1:6" x14ac:dyDescent="0.35">
      <c r="A1133" s="2">
        <f ca="1">IFERROR(__xludf.DUMMYFUNCTION("""COMPUTED_VALUE"""),43648.6666666666)</f>
        <v>43648.666666666599</v>
      </c>
      <c r="B1133" s="1">
        <f ca="1">IFERROR(__xludf.DUMMYFUNCTION("""COMPUTED_VALUE"""),193)</f>
        <v>193</v>
      </c>
      <c r="C1133" s="1">
        <f ca="1">IFERROR(__xludf.DUMMYFUNCTION("""COMPUTED_VALUE"""),195)</f>
        <v>195</v>
      </c>
      <c r="D1133" s="1">
        <f ca="1">IFERROR(__xludf.DUMMYFUNCTION("""COMPUTED_VALUE"""),192.71)</f>
        <v>192.71</v>
      </c>
      <c r="E1133" s="1">
        <f ca="1">IFERROR(__xludf.DUMMYFUNCTION("""COMPUTED_VALUE"""),195)</f>
        <v>195</v>
      </c>
      <c r="F1133" s="1">
        <f ca="1">IFERROR(__xludf.DUMMYFUNCTION("""COMPUTED_VALUE"""),9049979)</f>
        <v>9049979</v>
      </c>
    </row>
    <row r="1134" spans="1:6" x14ac:dyDescent="0.35">
      <c r="A1134" s="2">
        <f ca="1">IFERROR(__xludf.DUMMYFUNCTION("""COMPUTED_VALUE"""),43649.5416666666)</f>
        <v>43649.541666666599</v>
      </c>
      <c r="B1134" s="1">
        <f ca="1">IFERROR(__xludf.DUMMYFUNCTION("""COMPUTED_VALUE"""),194.16)</f>
        <v>194.16</v>
      </c>
      <c r="C1134" s="1">
        <f ca="1">IFERROR(__xludf.DUMMYFUNCTION("""COMPUTED_VALUE"""),197.4)</f>
        <v>197.4</v>
      </c>
      <c r="D1134" s="1">
        <f ca="1">IFERROR(__xludf.DUMMYFUNCTION("""COMPUTED_VALUE"""),194.16)</f>
        <v>194.16</v>
      </c>
      <c r="E1134" s="1">
        <f ca="1">IFERROR(__xludf.DUMMYFUNCTION("""COMPUTED_VALUE"""),197.2)</f>
        <v>197.2</v>
      </c>
      <c r="F1134" s="1">
        <f ca="1">IFERROR(__xludf.DUMMYFUNCTION("""COMPUTED_VALUE"""),10246119)</f>
        <v>10246119</v>
      </c>
    </row>
    <row r="1135" spans="1:6" x14ac:dyDescent="0.35">
      <c r="A1135" s="2">
        <f ca="1">IFERROR(__xludf.DUMMYFUNCTION("""COMPUTED_VALUE"""),43651.6666666666)</f>
        <v>43651.666666666599</v>
      </c>
      <c r="B1135" s="1">
        <f ca="1">IFERROR(__xludf.DUMMYFUNCTION("""COMPUTED_VALUE"""),196.18)</f>
        <v>196.18</v>
      </c>
      <c r="C1135" s="1">
        <f ca="1">IFERROR(__xludf.DUMMYFUNCTION("""COMPUTED_VALUE"""),197.07)</f>
        <v>197.07</v>
      </c>
      <c r="D1135" s="1">
        <f ca="1">IFERROR(__xludf.DUMMYFUNCTION("""COMPUTED_VALUE"""),194.17)</f>
        <v>194.17</v>
      </c>
      <c r="E1135" s="1">
        <f ca="1">IFERROR(__xludf.DUMMYFUNCTION("""COMPUTED_VALUE"""),196.4)</f>
        <v>196.4</v>
      </c>
      <c r="F1135" s="1">
        <f ca="1">IFERROR(__xludf.DUMMYFUNCTION("""COMPUTED_VALUE"""),11164107)</f>
        <v>11164107</v>
      </c>
    </row>
    <row r="1136" spans="1:6" x14ac:dyDescent="0.35">
      <c r="A1136" s="2">
        <f ca="1">IFERROR(__xludf.DUMMYFUNCTION("""COMPUTED_VALUE"""),43654.6666666666)</f>
        <v>43654.666666666599</v>
      </c>
      <c r="B1136" s="1">
        <f ca="1">IFERROR(__xludf.DUMMYFUNCTION("""COMPUTED_VALUE"""),195.19)</f>
        <v>195.19</v>
      </c>
      <c r="C1136" s="1">
        <f ca="1">IFERROR(__xludf.DUMMYFUNCTION("""COMPUTED_VALUE"""),196.68)</f>
        <v>196.68</v>
      </c>
      <c r="D1136" s="1">
        <f ca="1">IFERROR(__xludf.DUMMYFUNCTION("""COMPUTED_VALUE"""),193.64)</f>
        <v>193.64</v>
      </c>
      <c r="E1136" s="1">
        <f ca="1">IFERROR(__xludf.DUMMYFUNCTION("""COMPUTED_VALUE"""),195.76)</f>
        <v>195.76</v>
      </c>
      <c r="F1136" s="1">
        <f ca="1">IFERROR(__xludf.DUMMYFUNCTION("""COMPUTED_VALUE"""),9723858)</f>
        <v>9723858</v>
      </c>
    </row>
    <row r="1137" spans="1:6" x14ac:dyDescent="0.35">
      <c r="A1137" s="2">
        <f ca="1">IFERROR(__xludf.DUMMYFUNCTION("""COMPUTED_VALUE"""),43655.6666666666)</f>
        <v>43655.666666666599</v>
      </c>
      <c r="B1137" s="1">
        <f ca="1">IFERROR(__xludf.DUMMYFUNCTION("""COMPUTED_VALUE"""),194.97)</f>
        <v>194.97</v>
      </c>
      <c r="C1137" s="1">
        <f ca="1">IFERROR(__xludf.DUMMYFUNCTION("""COMPUTED_VALUE"""),199.46)</f>
        <v>199.46</v>
      </c>
      <c r="D1137" s="1">
        <f ca="1">IFERROR(__xludf.DUMMYFUNCTION("""COMPUTED_VALUE"""),194.89)</f>
        <v>194.89</v>
      </c>
      <c r="E1137" s="1">
        <f ca="1">IFERROR(__xludf.DUMMYFUNCTION("""COMPUTED_VALUE"""),199.21)</f>
        <v>199.21</v>
      </c>
      <c r="F1137" s="1">
        <f ca="1">IFERROR(__xludf.DUMMYFUNCTION("""COMPUTED_VALUE"""),14698611)</f>
        <v>14698611</v>
      </c>
    </row>
    <row r="1138" spans="1:6" x14ac:dyDescent="0.35">
      <c r="A1138" s="2">
        <f ca="1">IFERROR(__xludf.DUMMYFUNCTION("""COMPUTED_VALUE"""),43656.6666666666)</f>
        <v>43656.666666666599</v>
      </c>
      <c r="B1138" s="1">
        <f ca="1">IFERROR(__xludf.DUMMYFUNCTION("""COMPUTED_VALUE"""),200)</f>
        <v>200</v>
      </c>
      <c r="C1138" s="1">
        <f ca="1">IFERROR(__xludf.DUMMYFUNCTION("""COMPUTED_VALUE"""),202.96)</f>
        <v>202.96</v>
      </c>
      <c r="D1138" s="1">
        <f ca="1">IFERROR(__xludf.DUMMYFUNCTION("""COMPUTED_VALUE"""),199.67)</f>
        <v>199.67</v>
      </c>
      <c r="E1138" s="1">
        <f ca="1">IFERROR(__xludf.DUMMYFUNCTION("""COMPUTED_VALUE"""),202.73)</f>
        <v>202.73</v>
      </c>
      <c r="F1138" s="1">
        <f ca="1">IFERROR(__xludf.DUMMYFUNCTION("""COMPUTED_VALUE"""),20571702)</f>
        <v>20571702</v>
      </c>
    </row>
    <row r="1139" spans="1:6" x14ac:dyDescent="0.35">
      <c r="A1139" s="2">
        <f ca="1">IFERROR(__xludf.DUMMYFUNCTION("""COMPUTED_VALUE"""),43657.6666666666)</f>
        <v>43657.666666666599</v>
      </c>
      <c r="B1139" s="1">
        <f ca="1">IFERROR(__xludf.DUMMYFUNCTION("""COMPUTED_VALUE"""),203.26)</f>
        <v>203.26</v>
      </c>
      <c r="C1139" s="1">
        <f ca="1">IFERROR(__xludf.DUMMYFUNCTION("""COMPUTED_VALUE"""),203.8)</f>
        <v>203.8</v>
      </c>
      <c r="D1139" s="1">
        <f ca="1">IFERROR(__xludf.DUMMYFUNCTION("""COMPUTED_VALUE"""),200.21)</f>
        <v>200.21</v>
      </c>
      <c r="E1139" s="1">
        <f ca="1">IFERROR(__xludf.DUMMYFUNCTION("""COMPUTED_VALUE"""),201.23)</f>
        <v>201.23</v>
      </c>
      <c r="F1139" s="1">
        <f ca="1">IFERROR(__xludf.DUMMYFUNCTION("""COMPUTED_VALUE"""),13678457)</f>
        <v>13678457</v>
      </c>
    </row>
    <row r="1140" spans="1:6" x14ac:dyDescent="0.35">
      <c r="A1140" s="2">
        <f ca="1">IFERROR(__xludf.DUMMYFUNCTION("""COMPUTED_VALUE"""),43658.6666666666)</f>
        <v>43658.666666666599</v>
      </c>
      <c r="B1140" s="1">
        <f ca="1">IFERROR(__xludf.DUMMYFUNCTION("""COMPUTED_VALUE"""),199.68)</f>
        <v>199.68</v>
      </c>
      <c r="C1140" s="1">
        <f ca="1">IFERROR(__xludf.DUMMYFUNCTION("""COMPUTED_VALUE"""),205.3)</f>
        <v>205.3</v>
      </c>
      <c r="D1140" s="1">
        <f ca="1">IFERROR(__xludf.DUMMYFUNCTION("""COMPUTED_VALUE"""),199.16)</f>
        <v>199.16</v>
      </c>
      <c r="E1140" s="1">
        <f ca="1">IFERROR(__xludf.DUMMYFUNCTION("""COMPUTED_VALUE"""),204.87)</f>
        <v>204.87</v>
      </c>
      <c r="F1140" s="1">
        <f ca="1">IFERROR(__xludf.DUMMYFUNCTION("""COMPUTED_VALUE"""),15366272)</f>
        <v>15366272</v>
      </c>
    </row>
    <row r="1141" spans="1:6" x14ac:dyDescent="0.35">
      <c r="A1141" s="2">
        <f ca="1">IFERROR(__xludf.DUMMYFUNCTION("""COMPUTED_VALUE"""),43661.6666666666)</f>
        <v>43661.666666666599</v>
      </c>
      <c r="B1141" s="1">
        <f ca="1">IFERROR(__xludf.DUMMYFUNCTION("""COMPUTED_VALUE"""),204.25)</f>
        <v>204.25</v>
      </c>
      <c r="C1141" s="1">
        <f ca="1">IFERROR(__xludf.DUMMYFUNCTION("""COMPUTED_VALUE"""),205.33)</f>
        <v>205.33</v>
      </c>
      <c r="D1141" s="1">
        <f ca="1">IFERROR(__xludf.DUMMYFUNCTION("""COMPUTED_VALUE"""),201.82)</f>
        <v>201.82</v>
      </c>
      <c r="E1141" s="1">
        <f ca="1">IFERROR(__xludf.DUMMYFUNCTION("""COMPUTED_VALUE"""),203.91)</f>
        <v>203.91</v>
      </c>
      <c r="F1141" s="1">
        <f ca="1">IFERROR(__xludf.DUMMYFUNCTION("""COMPUTED_VALUE"""),16030335)</f>
        <v>16030335</v>
      </c>
    </row>
    <row r="1142" spans="1:6" x14ac:dyDescent="0.35">
      <c r="A1142" s="2">
        <f ca="1">IFERROR(__xludf.DUMMYFUNCTION("""COMPUTED_VALUE"""),43662.6666666666)</f>
        <v>43662.666666666599</v>
      </c>
      <c r="B1142" s="1">
        <f ca="1">IFERROR(__xludf.DUMMYFUNCTION("""COMPUTED_VALUE"""),203.89)</f>
        <v>203.89</v>
      </c>
      <c r="C1142" s="1">
        <f ca="1">IFERROR(__xludf.DUMMYFUNCTION("""COMPUTED_VALUE"""),205.47)</f>
        <v>205.47</v>
      </c>
      <c r="D1142" s="1">
        <f ca="1">IFERROR(__xludf.DUMMYFUNCTION("""COMPUTED_VALUE"""),203.1)</f>
        <v>203.1</v>
      </c>
      <c r="E1142" s="1">
        <f ca="1">IFERROR(__xludf.DUMMYFUNCTION("""COMPUTED_VALUE"""),203.84)</f>
        <v>203.84</v>
      </c>
      <c r="F1142" s="1">
        <f ca="1">IFERROR(__xludf.DUMMYFUNCTION("""COMPUTED_VALUE"""),12132720)</f>
        <v>12132720</v>
      </c>
    </row>
    <row r="1143" spans="1:6" x14ac:dyDescent="0.35">
      <c r="A1143" s="2">
        <f ca="1">IFERROR(__xludf.DUMMYFUNCTION("""COMPUTED_VALUE"""),43663.6666666666)</f>
        <v>43663.666666666599</v>
      </c>
      <c r="B1143" s="1">
        <f ca="1">IFERROR(__xludf.DUMMYFUNCTION("""COMPUTED_VALUE"""),204.18)</f>
        <v>204.18</v>
      </c>
      <c r="C1143" s="1">
        <f ca="1">IFERROR(__xludf.DUMMYFUNCTION("""COMPUTED_VALUE"""),204.36)</f>
        <v>204.36</v>
      </c>
      <c r="D1143" s="1">
        <f ca="1">IFERROR(__xludf.DUMMYFUNCTION("""COMPUTED_VALUE"""),201.59)</f>
        <v>201.59</v>
      </c>
      <c r="E1143" s="1">
        <f ca="1">IFERROR(__xludf.DUMMYFUNCTION("""COMPUTED_VALUE"""),201.8)</f>
        <v>201.8</v>
      </c>
      <c r="F1143" s="1">
        <f ca="1">IFERROR(__xludf.DUMMYFUNCTION("""COMPUTED_VALUE"""),12083714)</f>
        <v>12083714</v>
      </c>
    </row>
    <row r="1144" spans="1:6" x14ac:dyDescent="0.35">
      <c r="A1144" s="2">
        <f ca="1">IFERROR(__xludf.DUMMYFUNCTION("""COMPUTED_VALUE"""),43664.6666666666)</f>
        <v>43664.666666666599</v>
      </c>
      <c r="B1144" s="1">
        <f ca="1">IFERROR(__xludf.DUMMYFUNCTION("""COMPUTED_VALUE"""),200.15)</f>
        <v>200.15</v>
      </c>
      <c r="C1144" s="1">
        <f ca="1">IFERROR(__xludf.DUMMYFUNCTION("""COMPUTED_VALUE"""),202.47)</f>
        <v>202.47</v>
      </c>
      <c r="D1144" s="1">
        <f ca="1">IFERROR(__xludf.DUMMYFUNCTION("""COMPUTED_VALUE"""),199.38)</f>
        <v>199.38</v>
      </c>
      <c r="E1144" s="1">
        <f ca="1">IFERROR(__xludf.DUMMYFUNCTION("""COMPUTED_VALUE"""),200.78)</f>
        <v>200.78</v>
      </c>
      <c r="F1144" s="1">
        <f ca="1">IFERROR(__xludf.DUMMYFUNCTION("""COMPUTED_VALUE"""),11956554)</f>
        <v>11956554</v>
      </c>
    </row>
    <row r="1145" spans="1:6" x14ac:dyDescent="0.35">
      <c r="A1145" s="2">
        <f ca="1">IFERROR(__xludf.DUMMYFUNCTION("""COMPUTED_VALUE"""),43665.6666666666)</f>
        <v>43665.666666666599</v>
      </c>
      <c r="B1145" s="1">
        <f ca="1">IFERROR(__xludf.DUMMYFUNCTION("""COMPUTED_VALUE"""),202.18)</f>
        <v>202.18</v>
      </c>
      <c r="C1145" s="1">
        <f ca="1">IFERROR(__xludf.DUMMYFUNCTION("""COMPUTED_VALUE"""),202.33)</f>
        <v>202.33</v>
      </c>
      <c r="D1145" s="1">
        <f ca="1">IFERROR(__xludf.DUMMYFUNCTION("""COMPUTED_VALUE"""),198.07)</f>
        <v>198.07</v>
      </c>
      <c r="E1145" s="1">
        <f ca="1">IFERROR(__xludf.DUMMYFUNCTION("""COMPUTED_VALUE"""),198.36)</f>
        <v>198.36</v>
      </c>
      <c r="F1145" s="1">
        <f ca="1">IFERROR(__xludf.DUMMYFUNCTION("""COMPUTED_VALUE"""),12098262)</f>
        <v>12098262</v>
      </c>
    </row>
    <row r="1146" spans="1:6" x14ac:dyDescent="0.35">
      <c r="A1146" s="2">
        <f ca="1">IFERROR(__xludf.DUMMYFUNCTION("""COMPUTED_VALUE"""),43668.6666666666)</f>
        <v>43668.666666666599</v>
      </c>
      <c r="B1146" s="1">
        <f ca="1">IFERROR(__xludf.DUMMYFUNCTION("""COMPUTED_VALUE"""),199.91)</f>
        <v>199.91</v>
      </c>
      <c r="C1146" s="1">
        <f ca="1">IFERROR(__xludf.DUMMYFUNCTION("""COMPUTED_VALUE"""),202.57)</f>
        <v>202.57</v>
      </c>
      <c r="D1146" s="1">
        <f ca="1">IFERROR(__xludf.DUMMYFUNCTION("""COMPUTED_VALUE"""),198.81)</f>
        <v>198.81</v>
      </c>
      <c r="E1146" s="1">
        <f ca="1">IFERROR(__xludf.DUMMYFUNCTION("""COMPUTED_VALUE"""),202.32)</f>
        <v>202.32</v>
      </c>
      <c r="F1146" s="1">
        <f ca="1">IFERROR(__xludf.DUMMYFUNCTION("""COMPUTED_VALUE"""),13589024)</f>
        <v>13589024</v>
      </c>
    </row>
    <row r="1147" spans="1:6" x14ac:dyDescent="0.35">
      <c r="A1147" s="2">
        <f ca="1">IFERROR(__xludf.DUMMYFUNCTION("""COMPUTED_VALUE"""),43669.6666666666)</f>
        <v>43669.666666666599</v>
      </c>
      <c r="B1147" s="1">
        <f ca="1">IFERROR(__xludf.DUMMYFUNCTION("""COMPUTED_VALUE"""),202.84)</f>
        <v>202.84</v>
      </c>
      <c r="C1147" s="1">
        <f ca="1">IFERROR(__xludf.DUMMYFUNCTION("""COMPUTED_VALUE"""),204.24)</f>
        <v>204.24</v>
      </c>
      <c r="D1147" s="1">
        <f ca="1">IFERROR(__xludf.DUMMYFUNCTION("""COMPUTED_VALUE"""),200.96)</f>
        <v>200.96</v>
      </c>
      <c r="E1147" s="1">
        <f ca="1">IFERROR(__xludf.DUMMYFUNCTION("""COMPUTED_VALUE"""),202.36)</f>
        <v>202.36</v>
      </c>
      <c r="F1147" s="1">
        <f ca="1">IFERROR(__xludf.DUMMYFUNCTION("""COMPUTED_VALUE"""),14583680)</f>
        <v>14583680</v>
      </c>
    </row>
    <row r="1148" spans="1:6" x14ac:dyDescent="0.35">
      <c r="A1148" s="2">
        <f ca="1">IFERROR(__xludf.DUMMYFUNCTION("""COMPUTED_VALUE"""),43670.6666666666)</f>
        <v>43670.666666666599</v>
      </c>
      <c r="B1148" s="1">
        <f ca="1">IFERROR(__xludf.DUMMYFUNCTION("""COMPUTED_VALUE"""),197.63)</f>
        <v>197.63</v>
      </c>
      <c r="C1148" s="1">
        <f ca="1">IFERROR(__xludf.DUMMYFUNCTION("""COMPUTED_VALUE"""),204.81)</f>
        <v>204.81</v>
      </c>
      <c r="D1148" s="1">
        <f ca="1">IFERROR(__xludf.DUMMYFUNCTION("""COMPUTED_VALUE"""),197.22)</f>
        <v>197.22</v>
      </c>
      <c r="E1148" s="1">
        <f ca="1">IFERROR(__xludf.DUMMYFUNCTION("""COMPUTED_VALUE"""),204.66)</f>
        <v>204.66</v>
      </c>
      <c r="F1148" s="1">
        <f ca="1">IFERROR(__xludf.DUMMYFUNCTION("""COMPUTED_VALUE"""),32532540)</f>
        <v>32532540</v>
      </c>
    </row>
    <row r="1149" spans="1:6" x14ac:dyDescent="0.35">
      <c r="A1149" s="2">
        <f ca="1">IFERROR(__xludf.DUMMYFUNCTION("""COMPUTED_VALUE"""),43671.6666666666)</f>
        <v>43671.666666666599</v>
      </c>
      <c r="B1149" s="1">
        <f ca="1">IFERROR(__xludf.DUMMYFUNCTION("""COMPUTED_VALUE"""),206.7)</f>
        <v>206.7</v>
      </c>
      <c r="C1149" s="1">
        <f ca="1">IFERROR(__xludf.DUMMYFUNCTION("""COMPUTED_VALUE"""),208.66)</f>
        <v>208.66</v>
      </c>
      <c r="D1149" s="1">
        <f ca="1">IFERROR(__xludf.DUMMYFUNCTION("""COMPUTED_VALUE"""),198.26)</f>
        <v>198.26</v>
      </c>
      <c r="E1149" s="1">
        <f ca="1">IFERROR(__xludf.DUMMYFUNCTION("""COMPUTED_VALUE"""),200.71)</f>
        <v>200.71</v>
      </c>
      <c r="F1149" s="1">
        <f ca="1">IFERROR(__xludf.DUMMYFUNCTION("""COMPUTED_VALUE"""),39889869)</f>
        <v>39889869</v>
      </c>
    </row>
    <row r="1150" spans="1:6" x14ac:dyDescent="0.35">
      <c r="A1150" s="2">
        <f ca="1">IFERROR(__xludf.DUMMYFUNCTION("""COMPUTED_VALUE"""),43672.6666666666)</f>
        <v>43672.666666666599</v>
      </c>
      <c r="B1150" s="1">
        <f ca="1">IFERROR(__xludf.DUMMYFUNCTION("""COMPUTED_VALUE"""),200.19)</f>
        <v>200.19</v>
      </c>
      <c r="C1150" s="1">
        <f ca="1">IFERROR(__xludf.DUMMYFUNCTION("""COMPUTED_VALUE"""),202.88)</f>
        <v>202.88</v>
      </c>
      <c r="D1150" s="1">
        <f ca="1">IFERROR(__xludf.DUMMYFUNCTION("""COMPUTED_VALUE"""),196.25)</f>
        <v>196.25</v>
      </c>
      <c r="E1150" s="1">
        <f ca="1">IFERROR(__xludf.DUMMYFUNCTION("""COMPUTED_VALUE"""),199.75)</f>
        <v>199.75</v>
      </c>
      <c r="F1150" s="1">
        <f ca="1">IFERROR(__xludf.DUMMYFUNCTION("""COMPUTED_VALUE"""),24433985)</f>
        <v>24433985</v>
      </c>
    </row>
    <row r="1151" spans="1:6" x14ac:dyDescent="0.35">
      <c r="A1151" s="2">
        <f ca="1">IFERROR(__xludf.DUMMYFUNCTION("""COMPUTED_VALUE"""),43675.6666666666)</f>
        <v>43675.666666666599</v>
      </c>
      <c r="B1151" s="1">
        <f ca="1">IFERROR(__xludf.DUMMYFUNCTION("""COMPUTED_VALUE"""),199)</f>
        <v>199</v>
      </c>
      <c r="C1151" s="1">
        <f ca="1">IFERROR(__xludf.DUMMYFUNCTION("""COMPUTED_VALUE"""),199.63)</f>
        <v>199.63</v>
      </c>
      <c r="D1151" s="1">
        <f ca="1">IFERROR(__xludf.DUMMYFUNCTION("""COMPUTED_VALUE"""),195.3)</f>
        <v>195.3</v>
      </c>
      <c r="E1151" s="1">
        <f ca="1">IFERROR(__xludf.DUMMYFUNCTION("""COMPUTED_VALUE"""),195.94)</f>
        <v>195.94</v>
      </c>
      <c r="F1151" s="1">
        <f ca="1">IFERROR(__xludf.DUMMYFUNCTION("""COMPUTED_VALUE"""),16530801)</f>
        <v>16530801</v>
      </c>
    </row>
    <row r="1152" spans="1:6" x14ac:dyDescent="0.35">
      <c r="A1152" s="2">
        <f ca="1">IFERROR(__xludf.DUMMYFUNCTION("""COMPUTED_VALUE"""),43676.6666666666)</f>
        <v>43676.666666666599</v>
      </c>
      <c r="B1152" s="1">
        <f ca="1">IFERROR(__xludf.DUMMYFUNCTION("""COMPUTED_VALUE"""),195.39)</f>
        <v>195.39</v>
      </c>
      <c r="C1152" s="1">
        <f ca="1">IFERROR(__xludf.DUMMYFUNCTION("""COMPUTED_VALUE"""),198.71)</f>
        <v>198.71</v>
      </c>
      <c r="D1152" s="1">
        <f ca="1">IFERROR(__xludf.DUMMYFUNCTION("""COMPUTED_VALUE"""),193.5)</f>
        <v>193.5</v>
      </c>
      <c r="E1152" s="1">
        <f ca="1">IFERROR(__xludf.DUMMYFUNCTION("""COMPUTED_VALUE"""),197.04)</f>
        <v>197.04</v>
      </c>
      <c r="F1152" s="1">
        <f ca="1">IFERROR(__xludf.DUMMYFUNCTION("""COMPUTED_VALUE"""),11903558)</f>
        <v>11903558</v>
      </c>
    </row>
    <row r="1153" spans="1:6" x14ac:dyDescent="0.35">
      <c r="A1153" s="2">
        <f ca="1">IFERROR(__xludf.DUMMYFUNCTION("""COMPUTED_VALUE"""),43677.6666666666)</f>
        <v>43677.666666666599</v>
      </c>
      <c r="B1153" s="1">
        <f ca="1">IFERROR(__xludf.DUMMYFUNCTION("""COMPUTED_VALUE"""),196.95)</f>
        <v>196.95</v>
      </c>
      <c r="C1153" s="1">
        <f ca="1">IFERROR(__xludf.DUMMYFUNCTION("""COMPUTED_VALUE"""),198.76)</f>
        <v>198.76</v>
      </c>
      <c r="D1153" s="1">
        <f ca="1">IFERROR(__xludf.DUMMYFUNCTION("""COMPUTED_VALUE"""),192.68)</f>
        <v>192.68</v>
      </c>
      <c r="E1153" s="1">
        <f ca="1">IFERROR(__xludf.DUMMYFUNCTION("""COMPUTED_VALUE"""),194.23)</f>
        <v>194.23</v>
      </c>
      <c r="F1153" s="1">
        <f ca="1">IFERROR(__xludf.DUMMYFUNCTION("""COMPUTED_VALUE"""),14593544)</f>
        <v>14593544</v>
      </c>
    </row>
    <row r="1154" spans="1:6" x14ac:dyDescent="0.35">
      <c r="A1154" s="2">
        <f ca="1">IFERROR(__xludf.DUMMYFUNCTION("""COMPUTED_VALUE"""),43678.6666666666)</f>
        <v>43678.666666666599</v>
      </c>
      <c r="B1154" s="1">
        <f ca="1">IFERROR(__xludf.DUMMYFUNCTION("""COMPUTED_VALUE"""),194.17)</f>
        <v>194.17</v>
      </c>
      <c r="C1154" s="1">
        <f ca="1">IFERROR(__xludf.DUMMYFUNCTION("""COMPUTED_VALUE"""),198.47)</f>
        <v>198.47</v>
      </c>
      <c r="D1154" s="1">
        <f ca="1">IFERROR(__xludf.DUMMYFUNCTION("""COMPUTED_VALUE"""),190.88)</f>
        <v>190.88</v>
      </c>
      <c r="E1154" s="1">
        <f ca="1">IFERROR(__xludf.DUMMYFUNCTION("""COMPUTED_VALUE"""),192.73)</f>
        <v>192.73</v>
      </c>
      <c r="F1154" s="1">
        <f ca="1">IFERROR(__xludf.DUMMYFUNCTION("""COMPUTED_VALUE"""),17777013)</f>
        <v>17777013</v>
      </c>
    </row>
    <row r="1155" spans="1:6" x14ac:dyDescent="0.35">
      <c r="A1155" s="2">
        <f ca="1">IFERROR(__xludf.DUMMYFUNCTION("""COMPUTED_VALUE"""),43679.6666666666)</f>
        <v>43679.666666666599</v>
      </c>
      <c r="B1155" s="1">
        <f ca="1">IFERROR(__xludf.DUMMYFUNCTION("""COMPUTED_VALUE"""),191.1)</f>
        <v>191.1</v>
      </c>
      <c r="C1155" s="1">
        <f ca="1">IFERROR(__xludf.DUMMYFUNCTION("""COMPUTED_VALUE"""),192.62)</f>
        <v>192.62</v>
      </c>
      <c r="D1155" s="1">
        <f ca="1">IFERROR(__xludf.DUMMYFUNCTION("""COMPUTED_VALUE"""),188.07)</f>
        <v>188.07</v>
      </c>
      <c r="E1155" s="1">
        <f ca="1">IFERROR(__xludf.DUMMYFUNCTION("""COMPUTED_VALUE"""),189.02)</f>
        <v>189.02</v>
      </c>
      <c r="F1155" s="1">
        <f ca="1">IFERROR(__xludf.DUMMYFUNCTION("""COMPUTED_VALUE"""),15296975)</f>
        <v>15296975</v>
      </c>
    </row>
    <row r="1156" spans="1:6" x14ac:dyDescent="0.35">
      <c r="A1156" s="2">
        <f ca="1">IFERROR(__xludf.DUMMYFUNCTION("""COMPUTED_VALUE"""),43682.6666666666)</f>
        <v>43682.666666666599</v>
      </c>
      <c r="B1156" s="1">
        <f ca="1">IFERROR(__xludf.DUMMYFUNCTION("""COMPUTED_VALUE"""),184.69)</f>
        <v>184.69</v>
      </c>
      <c r="C1156" s="1">
        <f ca="1">IFERROR(__xludf.DUMMYFUNCTION("""COMPUTED_VALUE"""),185.67)</f>
        <v>185.67</v>
      </c>
      <c r="D1156" s="1">
        <f ca="1">IFERROR(__xludf.DUMMYFUNCTION("""COMPUTED_VALUE"""),179.34)</f>
        <v>179.34</v>
      </c>
      <c r="E1156" s="1">
        <f ca="1">IFERROR(__xludf.DUMMYFUNCTION("""COMPUTED_VALUE"""),181.73)</f>
        <v>181.73</v>
      </c>
      <c r="F1156" s="1">
        <f ca="1">IFERROR(__xludf.DUMMYFUNCTION("""COMPUTED_VALUE"""),23086655)</f>
        <v>23086655</v>
      </c>
    </row>
    <row r="1157" spans="1:6" x14ac:dyDescent="0.35">
      <c r="A1157" s="2">
        <f ca="1">IFERROR(__xludf.DUMMYFUNCTION("""COMPUTED_VALUE"""),43683.6666666666)</f>
        <v>43683.666666666599</v>
      </c>
      <c r="B1157" s="1">
        <f ca="1">IFERROR(__xludf.DUMMYFUNCTION("""COMPUTED_VALUE"""),183.69)</f>
        <v>183.69</v>
      </c>
      <c r="C1157" s="1">
        <f ca="1">IFERROR(__xludf.DUMMYFUNCTION("""COMPUTED_VALUE"""),185.79)</f>
        <v>185.79</v>
      </c>
      <c r="D1157" s="1">
        <f ca="1">IFERROR(__xludf.DUMMYFUNCTION("""COMPUTED_VALUE"""),183.09)</f>
        <v>183.09</v>
      </c>
      <c r="E1157" s="1">
        <f ca="1">IFERROR(__xludf.DUMMYFUNCTION("""COMPUTED_VALUE"""),184.51)</f>
        <v>184.51</v>
      </c>
      <c r="F1157" s="1">
        <f ca="1">IFERROR(__xludf.DUMMYFUNCTION("""COMPUTED_VALUE"""),18035686)</f>
        <v>18035686</v>
      </c>
    </row>
    <row r="1158" spans="1:6" x14ac:dyDescent="0.35">
      <c r="A1158" s="2">
        <f ca="1">IFERROR(__xludf.DUMMYFUNCTION("""COMPUTED_VALUE"""),43684.6666666666)</f>
        <v>43684.666666666599</v>
      </c>
      <c r="B1158" s="1">
        <f ca="1">IFERROR(__xludf.DUMMYFUNCTION("""COMPUTED_VALUE"""),183.6)</f>
        <v>183.6</v>
      </c>
      <c r="C1158" s="1">
        <f ca="1">IFERROR(__xludf.DUMMYFUNCTION("""COMPUTED_VALUE"""),186.37)</f>
        <v>186.37</v>
      </c>
      <c r="D1158" s="1">
        <f ca="1">IFERROR(__xludf.DUMMYFUNCTION("""COMPUTED_VALUE"""),181.22)</f>
        <v>181.22</v>
      </c>
      <c r="E1158" s="1">
        <f ca="1">IFERROR(__xludf.DUMMYFUNCTION("""COMPUTED_VALUE"""),185.15)</f>
        <v>185.15</v>
      </c>
      <c r="F1158" s="1">
        <f ca="1">IFERROR(__xludf.DUMMYFUNCTION("""COMPUTED_VALUE"""),15833197)</f>
        <v>15833197</v>
      </c>
    </row>
    <row r="1159" spans="1:6" x14ac:dyDescent="0.35">
      <c r="A1159" s="2">
        <f ca="1">IFERROR(__xludf.DUMMYFUNCTION("""COMPUTED_VALUE"""),43685.6666666666)</f>
        <v>43685.666666666599</v>
      </c>
      <c r="B1159" s="1">
        <f ca="1">IFERROR(__xludf.DUMMYFUNCTION("""COMPUTED_VALUE"""),186.62)</f>
        <v>186.62</v>
      </c>
      <c r="C1159" s="1">
        <f ca="1">IFERROR(__xludf.DUMMYFUNCTION("""COMPUTED_VALUE"""),190.34)</f>
        <v>190.34</v>
      </c>
      <c r="D1159" s="1">
        <f ca="1">IFERROR(__xludf.DUMMYFUNCTION("""COMPUTED_VALUE"""),184.05)</f>
        <v>184.05</v>
      </c>
      <c r="E1159" s="1">
        <f ca="1">IFERROR(__xludf.DUMMYFUNCTION("""COMPUTED_VALUE"""),190.16)</f>
        <v>190.16</v>
      </c>
      <c r="F1159" s="1">
        <f ca="1">IFERROR(__xludf.DUMMYFUNCTION("""COMPUTED_VALUE"""),14828916)</f>
        <v>14828916</v>
      </c>
    </row>
    <row r="1160" spans="1:6" x14ac:dyDescent="0.35">
      <c r="A1160" s="2">
        <f ca="1">IFERROR(__xludf.DUMMYFUNCTION("""COMPUTED_VALUE"""),43686.6666666666)</f>
        <v>43686.666666666599</v>
      </c>
      <c r="B1160" s="1">
        <f ca="1">IFERROR(__xludf.DUMMYFUNCTION("""COMPUTED_VALUE"""),190)</f>
        <v>190</v>
      </c>
      <c r="C1160" s="1">
        <f ca="1">IFERROR(__xludf.DUMMYFUNCTION("""COMPUTED_VALUE"""),190.98)</f>
        <v>190.98</v>
      </c>
      <c r="D1160" s="1">
        <f ca="1">IFERROR(__xludf.DUMMYFUNCTION("""COMPUTED_VALUE"""),187.12)</f>
        <v>187.12</v>
      </c>
      <c r="E1160" s="1">
        <f ca="1">IFERROR(__xludf.DUMMYFUNCTION("""COMPUTED_VALUE"""),187.85)</f>
        <v>187.85</v>
      </c>
      <c r="F1160" s="1">
        <f ca="1">IFERROR(__xludf.DUMMYFUNCTION("""COMPUTED_VALUE"""),11058811)</f>
        <v>11058811</v>
      </c>
    </row>
    <row r="1161" spans="1:6" x14ac:dyDescent="0.35">
      <c r="A1161" s="2">
        <f ca="1">IFERROR(__xludf.DUMMYFUNCTION("""COMPUTED_VALUE"""),43689.6666666666)</f>
        <v>43689.666666666599</v>
      </c>
      <c r="B1161" s="1">
        <f ca="1">IFERROR(__xludf.DUMMYFUNCTION("""COMPUTED_VALUE"""),186.85)</f>
        <v>186.85</v>
      </c>
      <c r="C1161" s="1">
        <f ca="1">IFERROR(__xludf.DUMMYFUNCTION("""COMPUTED_VALUE"""),187.59)</f>
        <v>187.59</v>
      </c>
      <c r="D1161" s="1">
        <f ca="1">IFERROR(__xludf.DUMMYFUNCTION("""COMPUTED_VALUE"""),184.46)</f>
        <v>184.46</v>
      </c>
      <c r="E1161" s="1">
        <f ca="1">IFERROR(__xludf.DUMMYFUNCTION("""COMPUTED_VALUE"""),185.37)</f>
        <v>185.37</v>
      </c>
      <c r="F1161" s="1">
        <f ca="1">IFERROR(__xludf.DUMMYFUNCTION("""COMPUTED_VALUE"""),10936283)</f>
        <v>10936283</v>
      </c>
    </row>
    <row r="1162" spans="1:6" x14ac:dyDescent="0.35">
      <c r="A1162" s="2">
        <f ca="1">IFERROR(__xludf.DUMMYFUNCTION("""COMPUTED_VALUE"""),43690.6666666666)</f>
        <v>43690.666666666599</v>
      </c>
      <c r="B1162" s="1">
        <f ca="1">IFERROR(__xludf.DUMMYFUNCTION("""COMPUTED_VALUE"""),185.52)</f>
        <v>185.52</v>
      </c>
      <c r="C1162" s="1">
        <f ca="1">IFERROR(__xludf.DUMMYFUNCTION("""COMPUTED_VALUE"""),191.38)</f>
        <v>191.38</v>
      </c>
      <c r="D1162" s="1">
        <f ca="1">IFERROR(__xludf.DUMMYFUNCTION("""COMPUTED_VALUE"""),185.37)</f>
        <v>185.37</v>
      </c>
      <c r="E1162" s="1">
        <f ca="1">IFERROR(__xludf.DUMMYFUNCTION("""COMPUTED_VALUE"""),188.45)</f>
        <v>188.45</v>
      </c>
      <c r="F1162" s="1">
        <f ca="1">IFERROR(__xludf.DUMMYFUNCTION("""COMPUTED_VALUE"""),13653319)</f>
        <v>13653319</v>
      </c>
    </row>
    <row r="1163" spans="1:6" x14ac:dyDescent="0.35">
      <c r="A1163" s="2">
        <f ca="1">IFERROR(__xludf.DUMMYFUNCTION("""COMPUTED_VALUE"""),43691.6666666666)</f>
        <v>43691.666666666599</v>
      </c>
      <c r="B1163" s="1">
        <f ca="1">IFERROR(__xludf.DUMMYFUNCTION("""COMPUTED_VALUE"""),185.8)</f>
        <v>185.8</v>
      </c>
      <c r="C1163" s="1">
        <f ca="1">IFERROR(__xludf.DUMMYFUNCTION("""COMPUTED_VALUE"""),185.99)</f>
        <v>185.99</v>
      </c>
      <c r="D1163" s="1">
        <f ca="1">IFERROR(__xludf.DUMMYFUNCTION("""COMPUTED_VALUE"""),179.31)</f>
        <v>179.31</v>
      </c>
      <c r="E1163" s="1">
        <f ca="1">IFERROR(__xludf.DUMMYFUNCTION("""COMPUTED_VALUE"""),179.71)</f>
        <v>179.71</v>
      </c>
      <c r="F1163" s="1">
        <f ca="1">IFERROR(__xludf.DUMMYFUNCTION("""COMPUTED_VALUE"""),18903716)</f>
        <v>18903716</v>
      </c>
    </row>
    <row r="1164" spans="1:6" x14ac:dyDescent="0.35">
      <c r="A1164" s="2">
        <f ca="1">IFERROR(__xludf.DUMMYFUNCTION("""COMPUTED_VALUE"""),43692.6666666666)</f>
        <v>43692.666666666599</v>
      </c>
      <c r="B1164" s="1">
        <f ca="1">IFERROR(__xludf.DUMMYFUNCTION("""COMPUTED_VALUE"""),180.95)</f>
        <v>180.95</v>
      </c>
      <c r="C1164" s="1">
        <f ca="1">IFERROR(__xludf.DUMMYFUNCTION("""COMPUTED_VALUE"""),183.2)</f>
        <v>183.2</v>
      </c>
      <c r="D1164" s="1">
        <f ca="1">IFERROR(__xludf.DUMMYFUNCTION("""COMPUTED_VALUE"""),180.03)</f>
        <v>180.03</v>
      </c>
      <c r="E1164" s="1">
        <f ca="1">IFERROR(__xludf.DUMMYFUNCTION("""COMPUTED_VALUE"""),182.59)</f>
        <v>182.59</v>
      </c>
      <c r="F1164" s="1">
        <f ca="1">IFERROR(__xludf.DUMMYFUNCTION("""COMPUTED_VALUE"""),13059640)</f>
        <v>13059640</v>
      </c>
    </row>
    <row r="1165" spans="1:6" x14ac:dyDescent="0.35">
      <c r="A1165" s="2">
        <f ca="1">IFERROR(__xludf.DUMMYFUNCTION("""COMPUTED_VALUE"""),43693.6666666666)</f>
        <v>43693.666666666599</v>
      </c>
      <c r="B1165" s="1">
        <f ca="1">IFERROR(__xludf.DUMMYFUNCTION("""COMPUTED_VALUE"""),183.75)</f>
        <v>183.75</v>
      </c>
      <c r="C1165" s="1">
        <f ca="1">IFERROR(__xludf.DUMMYFUNCTION("""COMPUTED_VALUE"""),185.1)</f>
        <v>185.1</v>
      </c>
      <c r="D1165" s="1">
        <f ca="1">IFERROR(__xludf.DUMMYFUNCTION("""COMPUTED_VALUE"""),182.36)</f>
        <v>182.36</v>
      </c>
      <c r="E1165" s="1">
        <f ca="1">IFERROR(__xludf.DUMMYFUNCTION("""COMPUTED_VALUE"""),183.7)</f>
        <v>183.7</v>
      </c>
      <c r="F1165" s="1">
        <f ca="1">IFERROR(__xludf.DUMMYFUNCTION("""COMPUTED_VALUE"""),12844832)</f>
        <v>12844832</v>
      </c>
    </row>
    <row r="1166" spans="1:6" x14ac:dyDescent="0.35">
      <c r="A1166" s="2">
        <f ca="1">IFERROR(__xludf.DUMMYFUNCTION("""COMPUTED_VALUE"""),43696.6666666666)</f>
        <v>43696.666666666599</v>
      </c>
      <c r="B1166" s="1">
        <f ca="1">IFERROR(__xludf.DUMMYFUNCTION("""COMPUTED_VALUE"""),186.01)</f>
        <v>186.01</v>
      </c>
      <c r="C1166" s="1">
        <f ca="1">IFERROR(__xludf.DUMMYFUNCTION("""COMPUTED_VALUE"""),187.5)</f>
        <v>187.5</v>
      </c>
      <c r="D1166" s="1">
        <f ca="1">IFERROR(__xludf.DUMMYFUNCTION("""COMPUTED_VALUE"""),184.85)</f>
        <v>184.85</v>
      </c>
      <c r="E1166" s="1">
        <f ca="1">IFERROR(__xludf.DUMMYFUNCTION("""COMPUTED_VALUE"""),186.17)</f>
        <v>186.17</v>
      </c>
      <c r="F1166" s="1">
        <f ca="1">IFERROR(__xludf.DUMMYFUNCTION("""COMPUTED_VALUE"""),9699661)</f>
        <v>9699661</v>
      </c>
    </row>
    <row r="1167" spans="1:6" x14ac:dyDescent="0.35">
      <c r="A1167" s="2">
        <f ca="1">IFERROR(__xludf.DUMMYFUNCTION("""COMPUTED_VALUE"""),43697.6666666666)</f>
        <v>43697.666666666599</v>
      </c>
      <c r="B1167" s="1">
        <f ca="1">IFERROR(__xludf.DUMMYFUNCTION("""COMPUTED_VALUE"""),185.45)</f>
        <v>185.45</v>
      </c>
      <c r="C1167" s="1">
        <f ca="1">IFERROR(__xludf.DUMMYFUNCTION("""COMPUTED_VALUE"""),186)</f>
        <v>186</v>
      </c>
      <c r="D1167" s="1">
        <f ca="1">IFERROR(__xludf.DUMMYFUNCTION("""COMPUTED_VALUE"""),182.39)</f>
        <v>182.39</v>
      </c>
      <c r="E1167" s="1">
        <f ca="1">IFERROR(__xludf.DUMMYFUNCTION("""COMPUTED_VALUE"""),183.81)</f>
        <v>183.81</v>
      </c>
      <c r="F1167" s="1">
        <f ca="1">IFERROR(__xludf.DUMMYFUNCTION("""COMPUTED_VALUE"""),10087592)</f>
        <v>10087592</v>
      </c>
    </row>
    <row r="1168" spans="1:6" x14ac:dyDescent="0.35">
      <c r="A1168" s="2">
        <f ca="1">IFERROR(__xludf.DUMMYFUNCTION("""COMPUTED_VALUE"""),43698.6666666666)</f>
        <v>43698.666666666599</v>
      </c>
      <c r="B1168" s="1">
        <f ca="1">IFERROR(__xludf.DUMMYFUNCTION("""COMPUTED_VALUE"""),185)</f>
        <v>185</v>
      </c>
      <c r="C1168" s="1">
        <f ca="1">IFERROR(__xludf.DUMMYFUNCTION("""COMPUTED_VALUE"""),185.9)</f>
        <v>185.9</v>
      </c>
      <c r="D1168" s="1">
        <f ca="1">IFERROR(__xludf.DUMMYFUNCTION("""COMPUTED_VALUE"""),183.14)</f>
        <v>183.14</v>
      </c>
      <c r="E1168" s="1">
        <f ca="1">IFERROR(__xludf.DUMMYFUNCTION("""COMPUTED_VALUE"""),183.55)</f>
        <v>183.55</v>
      </c>
      <c r="F1168" s="1">
        <f ca="1">IFERROR(__xludf.DUMMYFUNCTION("""COMPUTED_VALUE"""),8409548)</f>
        <v>8409548</v>
      </c>
    </row>
    <row r="1169" spans="1:6" x14ac:dyDescent="0.35">
      <c r="A1169" s="2">
        <f ca="1">IFERROR(__xludf.DUMMYFUNCTION("""COMPUTED_VALUE"""),43699.6666666666)</f>
        <v>43699.666666666599</v>
      </c>
      <c r="B1169" s="1">
        <f ca="1">IFERROR(__xludf.DUMMYFUNCTION("""COMPUTED_VALUE"""),183.43)</f>
        <v>183.43</v>
      </c>
      <c r="C1169" s="1">
        <f ca="1">IFERROR(__xludf.DUMMYFUNCTION("""COMPUTED_VALUE"""),184.11)</f>
        <v>184.11</v>
      </c>
      <c r="D1169" s="1">
        <f ca="1">IFERROR(__xludf.DUMMYFUNCTION("""COMPUTED_VALUE"""),179.91)</f>
        <v>179.91</v>
      </c>
      <c r="E1169" s="1">
        <f ca="1">IFERROR(__xludf.DUMMYFUNCTION("""COMPUTED_VALUE"""),182.04)</f>
        <v>182.04</v>
      </c>
      <c r="F1169" s="1">
        <f ca="1">IFERROR(__xludf.DUMMYFUNCTION("""COMPUTED_VALUE"""),10829509)</f>
        <v>10829509</v>
      </c>
    </row>
    <row r="1170" spans="1:6" x14ac:dyDescent="0.35">
      <c r="A1170" s="2">
        <f ca="1">IFERROR(__xludf.DUMMYFUNCTION("""COMPUTED_VALUE"""),43700.6666666666)</f>
        <v>43700.666666666599</v>
      </c>
      <c r="B1170" s="1">
        <f ca="1">IFERROR(__xludf.DUMMYFUNCTION("""COMPUTED_VALUE"""),180.84)</f>
        <v>180.84</v>
      </c>
      <c r="C1170" s="1">
        <f ca="1">IFERROR(__xludf.DUMMYFUNCTION("""COMPUTED_VALUE"""),183.13)</f>
        <v>183.13</v>
      </c>
      <c r="D1170" s="1">
        <f ca="1">IFERROR(__xludf.DUMMYFUNCTION("""COMPUTED_VALUE"""),176.66)</f>
        <v>176.66</v>
      </c>
      <c r="E1170" s="1">
        <f ca="1">IFERROR(__xludf.DUMMYFUNCTION("""COMPUTED_VALUE"""),177.75)</f>
        <v>177.75</v>
      </c>
      <c r="F1170" s="1">
        <f ca="1">IFERROR(__xludf.DUMMYFUNCTION("""COMPUTED_VALUE"""),17331221)</f>
        <v>17331221</v>
      </c>
    </row>
    <row r="1171" spans="1:6" x14ac:dyDescent="0.35">
      <c r="A1171" s="2">
        <f ca="1">IFERROR(__xludf.DUMMYFUNCTION("""COMPUTED_VALUE"""),43703.6666666666)</f>
        <v>43703.666666666599</v>
      </c>
      <c r="B1171" s="1">
        <f ca="1">IFERROR(__xludf.DUMMYFUNCTION("""COMPUTED_VALUE"""),179.4)</f>
        <v>179.4</v>
      </c>
      <c r="C1171" s="1">
        <f ca="1">IFERROR(__xludf.DUMMYFUNCTION("""COMPUTED_VALUE"""),180.5)</f>
        <v>180.5</v>
      </c>
      <c r="D1171" s="1">
        <f ca="1">IFERROR(__xludf.DUMMYFUNCTION("""COMPUTED_VALUE"""),178.24)</f>
        <v>178.24</v>
      </c>
      <c r="E1171" s="1">
        <f ca="1">IFERROR(__xludf.DUMMYFUNCTION("""COMPUTED_VALUE"""),180.36)</f>
        <v>180.36</v>
      </c>
      <c r="F1171" s="1">
        <f ca="1">IFERROR(__xludf.DUMMYFUNCTION("""COMPUTED_VALUE"""),8780477)</f>
        <v>8780477</v>
      </c>
    </row>
    <row r="1172" spans="1:6" x14ac:dyDescent="0.35">
      <c r="A1172" s="2">
        <f ca="1">IFERROR(__xludf.DUMMYFUNCTION("""COMPUTED_VALUE"""),43704.6666666666)</f>
        <v>43704.666666666599</v>
      </c>
      <c r="B1172" s="1">
        <f ca="1">IFERROR(__xludf.DUMMYFUNCTION("""COMPUTED_VALUE"""),181.93)</f>
        <v>181.93</v>
      </c>
      <c r="C1172" s="1">
        <f ca="1">IFERROR(__xludf.DUMMYFUNCTION("""COMPUTED_VALUE"""),184.04)</f>
        <v>184.04</v>
      </c>
      <c r="D1172" s="1">
        <f ca="1">IFERROR(__xludf.DUMMYFUNCTION("""COMPUTED_VALUE"""),181.01)</f>
        <v>181.01</v>
      </c>
      <c r="E1172" s="1">
        <f ca="1">IFERROR(__xludf.DUMMYFUNCTION("""COMPUTED_VALUE"""),181.3)</f>
        <v>181.3</v>
      </c>
      <c r="F1172" s="1">
        <f ca="1">IFERROR(__xludf.DUMMYFUNCTION("""COMPUTED_VALUE"""),14408946)</f>
        <v>14408946</v>
      </c>
    </row>
    <row r="1173" spans="1:6" x14ac:dyDescent="0.35">
      <c r="A1173" s="2">
        <f ca="1">IFERROR(__xludf.DUMMYFUNCTION("""COMPUTED_VALUE"""),43705.6666666666)</f>
        <v>43705.666666666599</v>
      </c>
      <c r="B1173" s="1">
        <f ca="1">IFERROR(__xludf.DUMMYFUNCTION("""COMPUTED_VALUE"""),180.53)</f>
        <v>180.53</v>
      </c>
      <c r="C1173" s="1">
        <f ca="1">IFERROR(__xludf.DUMMYFUNCTION("""COMPUTED_VALUE"""),181.95)</f>
        <v>181.95</v>
      </c>
      <c r="D1173" s="1">
        <f ca="1">IFERROR(__xludf.DUMMYFUNCTION("""COMPUTED_VALUE"""),178.92)</f>
        <v>178.92</v>
      </c>
      <c r="E1173" s="1">
        <f ca="1">IFERROR(__xludf.DUMMYFUNCTION("""COMPUTED_VALUE"""),181.76)</f>
        <v>181.76</v>
      </c>
      <c r="F1173" s="1">
        <f ca="1">IFERROR(__xludf.DUMMYFUNCTION("""COMPUTED_VALUE"""),9392060)</f>
        <v>9392060</v>
      </c>
    </row>
    <row r="1174" spans="1:6" x14ac:dyDescent="0.35">
      <c r="A1174" s="2">
        <f ca="1">IFERROR(__xludf.DUMMYFUNCTION("""COMPUTED_VALUE"""),43706.6666666666)</f>
        <v>43706.666666666599</v>
      </c>
      <c r="B1174" s="1">
        <f ca="1">IFERROR(__xludf.DUMMYFUNCTION("""COMPUTED_VALUE"""),183.77)</f>
        <v>183.77</v>
      </c>
      <c r="C1174" s="1">
        <f ca="1">IFERROR(__xludf.DUMMYFUNCTION("""COMPUTED_VALUE"""),186.08)</f>
        <v>186.08</v>
      </c>
      <c r="D1174" s="1">
        <f ca="1">IFERROR(__xludf.DUMMYFUNCTION("""COMPUTED_VALUE"""),183.47)</f>
        <v>183.47</v>
      </c>
      <c r="E1174" s="1">
        <f ca="1">IFERROR(__xludf.DUMMYFUNCTION("""COMPUTED_VALUE"""),185.57)</f>
        <v>185.57</v>
      </c>
      <c r="F1174" s="1">
        <f ca="1">IFERROR(__xludf.DUMMYFUNCTION("""COMPUTED_VALUE"""),10135033)</f>
        <v>10135033</v>
      </c>
    </row>
    <row r="1175" spans="1:6" x14ac:dyDescent="0.35">
      <c r="A1175" s="2">
        <f ca="1">IFERROR(__xludf.DUMMYFUNCTION("""COMPUTED_VALUE"""),43707.6666666666)</f>
        <v>43707.666666666599</v>
      </c>
      <c r="B1175" s="1">
        <f ca="1">IFERROR(__xludf.DUMMYFUNCTION("""COMPUTED_VALUE"""),186.78)</f>
        <v>186.78</v>
      </c>
      <c r="C1175" s="1">
        <f ca="1">IFERROR(__xludf.DUMMYFUNCTION("""COMPUTED_VALUE"""),186.8)</f>
        <v>186.8</v>
      </c>
      <c r="D1175" s="1">
        <f ca="1">IFERROR(__xludf.DUMMYFUNCTION("""COMPUTED_VALUE"""),183.46)</f>
        <v>183.46</v>
      </c>
      <c r="E1175" s="1">
        <f ca="1">IFERROR(__xludf.DUMMYFUNCTION("""COMPUTED_VALUE"""),185.67)</f>
        <v>185.67</v>
      </c>
      <c r="F1175" s="1">
        <f ca="1">IFERROR(__xludf.DUMMYFUNCTION("""COMPUTED_VALUE"""),10785722)</f>
        <v>10785722</v>
      </c>
    </row>
    <row r="1176" spans="1:6" x14ac:dyDescent="0.35">
      <c r="A1176" s="2">
        <f ca="1">IFERROR(__xludf.DUMMYFUNCTION("""COMPUTED_VALUE"""),43711.6666666666)</f>
        <v>43711.666666666599</v>
      </c>
      <c r="B1176" s="1">
        <f ca="1">IFERROR(__xludf.DUMMYFUNCTION("""COMPUTED_VALUE"""),184)</f>
        <v>184</v>
      </c>
      <c r="C1176" s="1">
        <f ca="1">IFERROR(__xludf.DUMMYFUNCTION("""COMPUTED_VALUE"""),185.67)</f>
        <v>185.67</v>
      </c>
      <c r="D1176" s="1">
        <f ca="1">IFERROR(__xludf.DUMMYFUNCTION("""COMPUTED_VALUE"""),182.11)</f>
        <v>182.11</v>
      </c>
      <c r="E1176" s="1">
        <f ca="1">IFERROR(__xludf.DUMMYFUNCTION("""COMPUTED_VALUE"""),182.39)</f>
        <v>182.39</v>
      </c>
      <c r="F1176" s="1">
        <f ca="1">IFERROR(__xludf.DUMMYFUNCTION("""COMPUTED_VALUE"""),9792187)</f>
        <v>9792187</v>
      </c>
    </row>
    <row r="1177" spans="1:6" x14ac:dyDescent="0.35">
      <c r="A1177" s="2">
        <f ca="1">IFERROR(__xludf.DUMMYFUNCTION("""COMPUTED_VALUE"""),43712.6666666666)</f>
        <v>43712.666666666599</v>
      </c>
      <c r="B1177" s="1">
        <f ca="1">IFERROR(__xludf.DUMMYFUNCTION("""COMPUTED_VALUE"""),184.65)</f>
        <v>184.65</v>
      </c>
      <c r="C1177" s="1">
        <f ca="1">IFERROR(__xludf.DUMMYFUNCTION("""COMPUTED_VALUE"""),187.75)</f>
        <v>187.75</v>
      </c>
      <c r="D1177" s="1">
        <f ca="1">IFERROR(__xludf.DUMMYFUNCTION("""COMPUTED_VALUE"""),183.89)</f>
        <v>183.89</v>
      </c>
      <c r="E1177" s="1">
        <f ca="1">IFERROR(__xludf.DUMMYFUNCTION("""COMPUTED_VALUE"""),187.14)</f>
        <v>187.14</v>
      </c>
      <c r="F1177" s="1">
        <f ca="1">IFERROR(__xludf.DUMMYFUNCTION("""COMPUTED_VALUE"""),11314571)</f>
        <v>11314571</v>
      </c>
    </row>
    <row r="1178" spans="1:6" x14ac:dyDescent="0.35">
      <c r="A1178" s="2">
        <f ca="1">IFERROR(__xludf.DUMMYFUNCTION("""COMPUTED_VALUE"""),43713.6666666666)</f>
        <v>43713.666666666599</v>
      </c>
      <c r="B1178" s="1">
        <f ca="1">IFERROR(__xludf.DUMMYFUNCTION("""COMPUTED_VALUE"""),188.53)</f>
        <v>188.53</v>
      </c>
      <c r="C1178" s="1">
        <f ca="1">IFERROR(__xludf.DUMMYFUNCTION("""COMPUTED_VALUE"""),191.36)</f>
        <v>191.36</v>
      </c>
      <c r="D1178" s="1">
        <f ca="1">IFERROR(__xludf.DUMMYFUNCTION("""COMPUTED_VALUE"""),187.94)</f>
        <v>187.94</v>
      </c>
      <c r="E1178" s="1">
        <f ca="1">IFERROR(__xludf.DUMMYFUNCTION("""COMPUTED_VALUE"""),190.9)</f>
        <v>190.9</v>
      </c>
      <c r="F1178" s="1">
        <f ca="1">IFERROR(__xludf.DUMMYFUNCTION("""COMPUTED_VALUE"""),13896621)</f>
        <v>13896621</v>
      </c>
    </row>
    <row r="1179" spans="1:6" x14ac:dyDescent="0.35">
      <c r="A1179" s="2">
        <f ca="1">IFERROR(__xludf.DUMMYFUNCTION("""COMPUTED_VALUE"""),43714.6666666666)</f>
        <v>43714.666666666599</v>
      </c>
      <c r="B1179" s="1">
        <f ca="1">IFERROR(__xludf.DUMMYFUNCTION("""COMPUTED_VALUE"""),190.21)</f>
        <v>190.21</v>
      </c>
      <c r="C1179" s="1">
        <f ca="1">IFERROR(__xludf.DUMMYFUNCTION("""COMPUTED_VALUE"""),190.21)</f>
        <v>190.21</v>
      </c>
      <c r="D1179" s="1">
        <f ca="1">IFERROR(__xludf.DUMMYFUNCTION("""COMPUTED_VALUE"""),186.35)</f>
        <v>186.35</v>
      </c>
      <c r="E1179" s="1">
        <f ca="1">IFERROR(__xludf.DUMMYFUNCTION("""COMPUTED_VALUE"""),187.49)</f>
        <v>187.49</v>
      </c>
      <c r="F1179" s="1">
        <f ca="1">IFERROR(__xludf.DUMMYFUNCTION("""COMPUTED_VALUE"""),15226820)</f>
        <v>15226820</v>
      </c>
    </row>
    <row r="1180" spans="1:6" x14ac:dyDescent="0.35">
      <c r="A1180" s="2">
        <f ca="1">IFERROR(__xludf.DUMMYFUNCTION("""COMPUTED_VALUE"""),43717.6666666666)</f>
        <v>43717.666666666599</v>
      </c>
      <c r="B1180" s="1">
        <f ca="1">IFERROR(__xludf.DUMMYFUNCTION("""COMPUTED_VALUE"""),187.73)</f>
        <v>187.73</v>
      </c>
      <c r="C1180" s="1">
        <f ca="1">IFERROR(__xludf.DUMMYFUNCTION("""COMPUTED_VALUE"""),188.98)</f>
        <v>188.98</v>
      </c>
      <c r="D1180" s="1">
        <f ca="1">IFERROR(__xludf.DUMMYFUNCTION("""COMPUTED_VALUE"""),185.85)</f>
        <v>185.85</v>
      </c>
      <c r="E1180" s="1">
        <f ca="1">IFERROR(__xludf.DUMMYFUNCTION("""COMPUTED_VALUE"""),188.76)</f>
        <v>188.76</v>
      </c>
      <c r="F1180" s="1">
        <f ca="1">IFERROR(__xludf.DUMMYFUNCTION("""COMPUTED_VALUE"""),14722402)</f>
        <v>14722402</v>
      </c>
    </row>
    <row r="1181" spans="1:6" x14ac:dyDescent="0.35">
      <c r="A1181" s="2">
        <f ca="1">IFERROR(__xludf.DUMMYFUNCTION("""COMPUTED_VALUE"""),43718.6666666666)</f>
        <v>43718.666666666599</v>
      </c>
      <c r="B1181" s="1">
        <f ca="1">IFERROR(__xludf.DUMMYFUNCTION("""COMPUTED_VALUE"""),187.44)</f>
        <v>187.44</v>
      </c>
      <c r="C1181" s="1">
        <f ca="1">IFERROR(__xludf.DUMMYFUNCTION("""COMPUTED_VALUE"""),188.1)</f>
        <v>188.1</v>
      </c>
      <c r="D1181" s="1">
        <f ca="1">IFERROR(__xludf.DUMMYFUNCTION("""COMPUTED_VALUE"""),184.55)</f>
        <v>184.55</v>
      </c>
      <c r="E1181" s="1">
        <f ca="1">IFERROR(__xludf.DUMMYFUNCTION("""COMPUTED_VALUE"""),186.17)</f>
        <v>186.17</v>
      </c>
      <c r="F1181" s="1">
        <f ca="1">IFERROR(__xludf.DUMMYFUNCTION("""COMPUTED_VALUE"""),15455867)</f>
        <v>15455867</v>
      </c>
    </row>
    <row r="1182" spans="1:6" x14ac:dyDescent="0.35">
      <c r="A1182" s="2">
        <f ca="1">IFERROR(__xludf.DUMMYFUNCTION("""COMPUTED_VALUE"""),43719.6666666666)</f>
        <v>43719.666666666599</v>
      </c>
      <c r="B1182" s="1">
        <f ca="1">IFERROR(__xludf.DUMMYFUNCTION("""COMPUTED_VALUE"""),186.46)</f>
        <v>186.46</v>
      </c>
      <c r="C1182" s="1">
        <f ca="1">IFERROR(__xludf.DUMMYFUNCTION("""COMPUTED_VALUE"""),189.44)</f>
        <v>189.44</v>
      </c>
      <c r="D1182" s="1">
        <f ca="1">IFERROR(__xludf.DUMMYFUNCTION("""COMPUTED_VALUE"""),186.08)</f>
        <v>186.08</v>
      </c>
      <c r="E1182" s="1">
        <f ca="1">IFERROR(__xludf.DUMMYFUNCTION("""COMPUTED_VALUE"""),188.49)</f>
        <v>188.49</v>
      </c>
      <c r="F1182" s="1">
        <f ca="1">IFERROR(__xludf.DUMMYFUNCTION("""COMPUTED_VALUE"""),11761660)</f>
        <v>11761660</v>
      </c>
    </row>
    <row r="1183" spans="1:6" x14ac:dyDescent="0.35">
      <c r="A1183" s="2">
        <f ca="1">IFERROR(__xludf.DUMMYFUNCTION("""COMPUTED_VALUE"""),43720.6666666666)</f>
        <v>43720.666666666599</v>
      </c>
      <c r="B1183" s="1">
        <f ca="1">IFERROR(__xludf.DUMMYFUNCTION("""COMPUTED_VALUE"""),189.86)</f>
        <v>189.86</v>
      </c>
      <c r="C1183" s="1">
        <f ca="1">IFERROR(__xludf.DUMMYFUNCTION("""COMPUTED_VALUE"""),190.93)</f>
        <v>190.93</v>
      </c>
      <c r="D1183" s="1">
        <f ca="1">IFERROR(__xludf.DUMMYFUNCTION("""COMPUTED_VALUE"""),187.23)</f>
        <v>187.23</v>
      </c>
      <c r="E1183" s="1">
        <f ca="1">IFERROR(__xludf.DUMMYFUNCTION("""COMPUTED_VALUE"""),187.47)</f>
        <v>187.47</v>
      </c>
      <c r="F1183" s="1">
        <f ca="1">IFERROR(__xludf.DUMMYFUNCTION("""COMPUTED_VALUE"""),11419775)</f>
        <v>11419775</v>
      </c>
    </row>
    <row r="1184" spans="1:6" x14ac:dyDescent="0.35">
      <c r="A1184" s="2">
        <f ca="1">IFERROR(__xludf.DUMMYFUNCTION("""COMPUTED_VALUE"""),43721.6666666666)</f>
        <v>43721.666666666599</v>
      </c>
      <c r="B1184" s="1">
        <f ca="1">IFERROR(__xludf.DUMMYFUNCTION("""COMPUTED_VALUE"""),187.33)</f>
        <v>187.33</v>
      </c>
      <c r="C1184" s="1">
        <f ca="1">IFERROR(__xludf.DUMMYFUNCTION("""COMPUTED_VALUE"""),187.97)</f>
        <v>187.97</v>
      </c>
      <c r="D1184" s="1">
        <f ca="1">IFERROR(__xludf.DUMMYFUNCTION("""COMPUTED_VALUE"""),186.54)</f>
        <v>186.54</v>
      </c>
      <c r="E1184" s="1">
        <f ca="1">IFERROR(__xludf.DUMMYFUNCTION("""COMPUTED_VALUE"""),187.19)</f>
        <v>187.19</v>
      </c>
      <c r="F1184" s="1">
        <f ca="1">IFERROR(__xludf.DUMMYFUNCTION("""COMPUTED_VALUE"""),11441116)</f>
        <v>11441116</v>
      </c>
    </row>
    <row r="1185" spans="1:6" x14ac:dyDescent="0.35">
      <c r="A1185" s="2">
        <f ca="1">IFERROR(__xludf.DUMMYFUNCTION("""COMPUTED_VALUE"""),43724.6666666666)</f>
        <v>43724.666666666599</v>
      </c>
      <c r="B1185" s="1">
        <f ca="1">IFERROR(__xludf.DUMMYFUNCTION("""COMPUTED_VALUE"""),186.93)</f>
        <v>186.93</v>
      </c>
      <c r="C1185" s="1">
        <f ca="1">IFERROR(__xludf.DUMMYFUNCTION("""COMPUTED_VALUE"""),187.79)</f>
        <v>187.79</v>
      </c>
      <c r="D1185" s="1">
        <f ca="1">IFERROR(__xludf.DUMMYFUNCTION("""COMPUTED_VALUE"""),185.77)</f>
        <v>185.77</v>
      </c>
      <c r="E1185" s="1">
        <f ca="1">IFERROR(__xludf.DUMMYFUNCTION("""COMPUTED_VALUE"""),186.22)</f>
        <v>186.22</v>
      </c>
      <c r="F1185" s="1">
        <f ca="1">IFERROR(__xludf.DUMMYFUNCTION("""COMPUTED_VALUE"""),8444844)</f>
        <v>8444844</v>
      </c>
    </row>
    <row r="1186" spans="1:6" x14ac:dyDescent="0.35">
      <c r="A1186" s="2">
        <f ca="1">IFERROR(__xludf.DUMMYFUNCTION("""COMPUTED_VALUE"""),43725.6666666666)</f>
        <v>43725.666666666599</v>
      </c>
      <c r="B1186" s="1">
        <f ca="1">IFERROR(__xludf.DUMMYFUNCTION("""COMPUTED_VALUE"""),186.66)</f>
        <v>186.66</v>
      </c>
      <c r="C1186" s="1">
        <f ca="1">IFERROR(__xludf.DUMMYFUNCTION("""COMPUTED_VALUE"""),188.32)</f>
        <v>188.32</v>
      </c>
      <c r="D1186" s="1">
        <f ca="1">IFERROR(__xludf.DUMMYFUNCTION("""COMPUTED_VALUE"""),185.54)</f>
        <v>185.54</v>
      </c>
      <c r="E1186" s="1">
        <f ca="1">IFERROR(__xludf.DUMMYFUNCTION("""COMPUTED_VALUE"""),188.08)</f>
        <v>188.08</v>
      </c>
      <c r="F1186" s="1">
        <f ca="1">IFERROR(__xludf.DUMMYFUNCTION("""COMPUTED_VALUE"""),9751570)</f>
        <v>9751570</v>
      </c>
    </row>
    <row r="1187" spans="1:6" x14ac:dyDescent="0.35">
      <c r="A1187" s="2">
        <f ca="1">IFERROR(__xludf.DUMMYFUNCTION("""COMPUTED_VALUE"""),43726.6666666666)</f>
        <v>43726.666666666599</v>
      </c>
      <c r="B1187" s="1">
        <f ca="1">IFERROR(__xludf.DUMMYFUNCTION("""COMPUTED_VALUE"""),188.09)</f>
        <v>188.09</v>
      </c>
      <c r="C1187" s="1">
        <f ca="1">IFERROR(__xludf.DUMMYFUNCTION("""COMPUTED_VALUE"""),189.08)</f>
        <v>189.08</v>
      </c>
      <c r="D1187" s="1">
        <f ca="1">IFERROR(__xludf.DUMMYFUNCTION("""COMPUTED_VALUE"""),186.01)</f>
        <v>186.01</v>
      </c>
      <c r="E1187" s="1">
        <f ca="1">IFERROR(__xludf.DUMMYFUNCTION("""COMPUTED_VALUE"""),188.14)</f>
        <v>188.14</v>
      </c>
      <c r="F1187" s="1">
        <f ca="1">IFERROR(__xludf.DUMMYFUNCTION("""COMPUTED_VALUE"""),9945798)</f>
        <v>9945798</v>
      </c>
    </row>
    <row r="1188" spans="1:6" x14ac:dyDescent="0.35">
      <c r="A1188" s="2">
        <f ca="1">IFERROR(__xludf.DUMMYFUNCTION("""COMPUTED_VALUE"""),43727.6666666666)</f>
        <v>43727.666666666599</v>
      </c>
      <c r="B1188" s="1">
        <f ca="1">IFERROR(__xludf.DUMMYFUNCTION("""COMPUTED_VALUE"""),188.66)</f>
        <v>188.66</v>
      </c>
      <c r="C1188" s="1">
        <f ca="1">IFERROR(__xludf.DUMMYFUNCTION("""COMPUTED_VALUE"""),191.1)</f>
        <v>191.1</v>
      </c>
      <c r="D1188" s="1">
        <f ca="1">IFERROR(__xludf.DUMMYFUNCTION("""COMPUTED_VALUE"""),188.15)</f>
        <v>188.15</v>
      </c>
      <c r="E1188" s="1">
        <f ca="1">IFERROR(__xludf.DUMMYFUNCTION("""COMPUTED_VALUE"""),190.14)</f>
        <v>190.14</v>
      </c>
      <c r="F1188" s="1">
        <f ca="1">IFERROR(__xludf.DUMMYFUNCTION("""COMPUTED_VALUE"""),10474685)</f>
        <v>10474685</v>
      </c>
    </row>
    <row r="1189" spans="1:6" x14ac:dyDescent="0.35">
      <c r="A1189" s="2">
        <f ca="1">IFERROR(__xludf.DUMMYFUNCTION("""COMPUTED_VALUE"""),43728.6666666666)</f>
        <v>43728.666666666599</v>
      </c>
      <c r="B1189" s="1">
        <f ca="1">IFERROR(__xludf.DUMMYFUNCTION("""COMPUTED_VALUE"""),190.66)</f>
        <v>190.66</v>
      </c>
      <c r="C1189" s="1">
        <f ca="1">IFERROR(__xludf.DUMMYFUNCTION("""COMPUTED_VALUE"""),193.1)</f>
        <v>193.1</v>
      </c>
      <c r="D1189" s="1">
        <f ca="1">IFERROR(__xludf.DUMMYFUNCTION("""COMPUTED_VALUE"""),188.12)</f>
        <v>188.12</v>
      </c>
      <c r="E1189" s="1">
        <f ca="1">IFERROR(__xludf.DUMMYFUNCTION("""COMPUTED_VALUE"""),189.93)</f>
        <v>189.93</v>
      </c>
      <c r="F1189" s="1">
        <f ca="1">IFERROR(__xludf.DUMMYFUNCTION("""COMPUTED_VALUE"""),20359878)</f>
        <v>20359878</v>
      </c>
    </row>
    <row r="1190" spans="1:6" x14ac:dyDescent="0.35">
      <c r="A1190" s="2">
        <f ca="1">IFERROR(__xludf.DUMMYFUNCTION("""COMPUTED_VALUE"""),43731.6666666666)</f>
        <v>43731.666666666599</v>
      </c>
      <c r="B1190" s="1">
        <f ca="1">IFERROR(__xludf.DUMMYFUNCTION("""COMPUTED_VALUE"""),189.34)</f>
        <v>189.34</v>
      </c>
      <c r="C1190" s="1">
        <f ca="1">IFERROR(__xludf.DUMMYFUNCTION("""COMPUTED_VALUE"""),190.1)</f>
        <v>190.1</v>
      </c>
      <c r="D1190" s="1">
        <f ca="1">IFERROR(__xludf.DUMMYFUNCTION("""COMPUTED_VALUE"""),185.21)</f>
        <v>185.21</v>
      </c>
      <c r="E1190" s="1">
        <f ca="1">IFERROR(__xludf.DUMMYFUNCTION("""COMPUTED_VALUE"""),186.82)</f>
        <v>186.82</v>
      </c>
      <c r="F1190" s="1">
        <f ca="1">IFERROR(__xludf.DUMMYFUNCTION("""COMPUTED_VALUE"""),14370089)</f>
        <v>14370089</v>
      </c>
    </row>
    <row r="1191" spans="1:6" x14ac:dyDescent="0.35">
      <c r="A1191" s="2">
        <f ca="1">IFERROR(__xludf.DUMMYFUNCTION("""COMPUTED_VALUE"""),43732.6666666666)</f>
        <v>43732.666666666599</v>
      </c>
      <c r="B1191" s="1">
        <f ca="1">IFERROR(__xludf.DUMMYFUNCTION("""COMPUTED_VALUE"""),187.98)</f>
        <v>187.98</v>
      </c>
      <c r="C1191" s="1">
        <f ca="1">IFERROR(__xludf.DUMMYFUNCTION("""COMPUTED_VALUE"""),188.04)</f>
        <v>188.04</v>
      </c>
      <c r="D1191" s="1">
        <f ca="1">IFERROR(__xludf.DUMMYFUNCTION("""COMPUTED_VALUE"""),180.39)</f>
        <v>180.39</v>
      </c>
      <c r="E1191" s="1">
        <f ca="1">IFERROR(__xludf.DUMMYFUNCTION("""COMPUTED_VALUE"""),181.28)</f>
        <v>181.28</v>
      </c>
      <c r="F1191" s="1">
        <f ca="1">IFERROR(__xludf.DUMMYFUNCTION("""COMPUTED_VALUE"""),18775666)</f>
        <v>18775666</v>
      </c>
    </row>
    <row r="1192" spans="1:6" x14ac:dyDescent="0.35">
      <c r="A1192" s="2">
        <f ca="1">IFERROR(__xludf.DUMMYFUNCTION("""COMPUTED_VALUE"""),43733.6666666666)</f>
        <v>43733.666666666599</v>
      </c>
      <c r="B1192" s="1">
        <f ca="1">IFERROR(__xludf.DUMMYFUNCTION("""COMPUTED_VALUE"""),181.45)</f>
        <v>181.45</v>
      </c>
      <c r="C1192" s="1">
        <f ca="1">IFERROR(__xludf.DUMMYFUNCTION("""COMPUTED_VALUE"""),183.42)</f>
        <v>183.42</v>
      </c>
      <c r="D1192" s="1">
        <f ca="1">IFERROR(__xludf.DUMMYFUNCTION("""COMPUTED_VALUE"""),177.87)</f>
        <v>177.87</v>
      </c>
      <c r="E1192" s="1">
        <f ca="1">IFERROR(__xludf.DUMMYFUNCTION("""COMPUTED_VALUE"""),182.8)</f>
        <v>182.8</v>
      </c>
      <c r="F1192" s="1">
        <f ca="1">IFERROR(__xludf.DUMMYFUNCTION("""COMPUTED_VALUE"""),18339960)</f>
        <v>18339960</v>
      </c>
    </row>
    <row r="1193" spans="1:6" x14ac:dyDescent="0.35">
      <c r="A1193" s="2">
        <f ca="1">IFERROR(__xludf.DUMMYFUNCTION("""COMPUTED_VALUE"""),43734.6666666666)</f>
        <v>43734.666666666599</v>
      </c>
      <c r="B1193" s="1">
        <f ca="1">IFERROR(__xludf.DUMMYFUNCTION("""COMPUTED_VALUE"""),181.33)</f>
        <v>181.33</v>
      </c>
      <c r="C1193" s="1">
        <f ca="1">IFERROR(__xludf.DUMMYFUNCTION("""COMPUTED_VALUE"""),181.4)</f>
        <v>181.4</v>
      </c>
      <c r="D1193" s="1">
        <f ca="1">IFERROR(__xludf.DUMMYFUNCTION("""COMPUTED_VALUE"""),177.67)</f>
        <v>177.67</v>
      </c>
      <c r="E1193" s="1">
        <f ca="1">IFERROR(__xludf.DUMMYFUNCTION("""COMPUTED_VALUE"""),180.11)</f>
        <v>180.11</v>
      </c>
      <c r="F1193" s="1">
        <f ca="1">IFERROR(__xludf.DUMMYFUNCTION("""COMPUTED_VALUE"""),16280691)</f>
        <v>16280691</v>
      </c>
    </row>
    <row r="1194" spans="1:6" x14ac:dyDescent="0.35">
      <c r="A1194" s="2">
        <f ca="1">IFERROR(__xludf.DUMMYFUNCTION("""COMPUTED_VALUE"""),43735.6666666666)</f>
        <v>43735.666666666599</v>
      </c>
      <c r="B1194" s="1">
        <f ca="1">IFERROR(__xludf.DUMMYFUNCTION("""COMPUTED_VALUE"""),180.49)</f>
        <v>180.49</v>
      </c>
      <c r="C1194" s="1">
        <f ca="1">IFERROR(__xludf.DUMMYFUNCTION("""COMPUTED_VALUE"""),180.76)</f>
        <v>180.76</v>
      </c>
      <c r="D1194" s="1">
        <f ca="1">IFERROR(__xludf.DUMMYFUNCTION("""COMPUTED_VALUE"""),175.66)</f>
        <v>175.66</v>
      </c>
      <c r="E1194" s="1">
        <f ca="1">IFERROR(__xludf.DUMMYFUNCTION("""COMPUTED_VALUE"""),177.1)</f>
        <v>177.1</v>
      </c>
      <c r="F1194" s="1">
        <f ca="1">IFERROR(__xludf.DUMMYFUNCTION("""COMPUTED_VALUE"""),14663575)</f>
        <v>14663575</v>
      </c>
    </row>
    <row r="1195" spans="1:6" x14ac:dyDescent="0.35">
      <c r="A1195" s="2">
        <f ca="1">IFERROR(__xludf.DUMMYFUNCTION("""COMPUTED_VALUE"""),43738.6666666666)</f>
        <v>43738.666666666599</v>
      </c>
      <c r="B1195" s="1">
        <f ca="1">IFERROR(__xludf.DUMMYFUNCTION("""COMPUTED_VALUE"""),177.87)</f>
        <v>177.87</v>
      </c>
      <c r="C1195" s="1">
        <f ca="1">IFERROR(__xludf.DUMMYFUNCTION("""COMPUTED_VALUE"""),178.67)</f>
        <v>178.67</v>
      </c>
      <c r="D1195" s="1">
        <f ca="1">IFERROR(__xludf.DUMMYFUNCTION("""COMPUTED_VALUE"""),176.85)</f>
        <v>176.85</v>
      </c>
      <c r="E1195" s="1">
        <f ca="1">IFERROR(__xludf.DUMMYFUNCTION("""COMPUTED_VALUE"""),178.08)</f>
        <v>178.08</v>
      </c>
      <c r="F1195" s="1">
        <f ca="1">IFERROR(__xludf.DUMMYFUNCTION("""COMPUTED_VALUE"""),11071425)</f>
        <v>11071425</v>
      </c>
    </row>
    <row r="1196" spans="1:6" x14ac:dyDescent="0.35">
      <c r="A1196" s="2">
        <f ca="1">IFERROR(__xludf.DUMMYFUNCTION("""COMPUTED_VALUE"""),43739.6666666666)</f>
        <v>43739.666666666599</v>
      </c>
      <c r="B1196" s="1">
        <f ca="1">IFERROR(__xludf.DUMMYFUNCTION("""COMPUTED_VALUE"""),179.15)</f>
        <v>179.15</v>
      </c>
      <c r="C1196" s="1">
        <f ca="1">IFERROR(__xludf.DUMMYFUNCTION("""COMPUTED_VALUE"""),179.84)</f>
        <v>179.84</v>
      </c>
      <c r="D1196" s="1">
        <f ca="1">IFERROR(__xludf.DUMMYFUNCTION("""COMPUTED_VALUE"""),174.88)</f>
        <v>174.88</v>
      </c>
      <c r="E1196" s="1">
        <f ca="1">IFERROR(__xludf.DUMMYFUNCTION("""COMPUTED_VALUE"""),175.81)</f>
        <v>175.81</v>
      </c>
      <c r="F1196" s="1">
        <f ca="1">IFERROR(__xludf.DUMMYFUNCTION("""COMPUTED_VALUE"""),17261556)</f>
        <v>17261556</v>
      </c>
    </row>
    <row r="1197" spans="1:6" x14ac:dyDescent="0.35">
      <c r="A1197" s="2">
        <f ca="1">IFERROR(__xludf.DUMMYFUNCTION("""COMPUTED_VALUE"""),43740.6666666666)</f>
        <v>43740.666666666599</v>
      </c>
      <c r="B1197" s="1">
        <f ca="1">IFERROR(__xludf.DUMMYFUNCTION("""COMPUTED_VALUE"""),174.84)</f>
        <v>174.84</v>
      </c>
      <c r="C1197" s="1">
        <f ca="1">IFERROR(__xludf.DUMMYFUNCTION("""COMPUTED_VALUE"""),176.53)</f>
        <v>176.53</v>
      </c>
      <c r="D1197" s="1">
        <f ca="1">IFERROR(__xludf.DUMMYFUNCTION("""COMPUTED_VALUE"""),173.09)</f>
        <v>173.09</v>
      </c>
      <c r="E1197" s="1">
        <f ca="1">IFERROR(__xludf.DUMMYFUNCTION("""COMPUTED_VALUE"""),174.6)</f>
        <v>174.6</v>
      </c>
      <c r="F1197" s="1">
        <f ca="1">IFERROR(__xludf.DUMMYFUNCTION("""COMPUTED_VALUE"""),16374148)</f>
        <v>16374148</v>
      </c>
    </row>
    <row r="1198" spans="1:6" x14ac:dyDescent="0.35">
      <c r="A1198" s="2">
        <f ca="1">IFERROR(__xludf.DUMMYFUNCTION("""COMPUTED_VALUE"""),43741.6666666666)</f>
        <v>43741.666666666599</v>
      </c>
      <c r="B1198" s="1">
        <f ca="1">IFERROR(__xludf.DUMMYFUNCTION("""COMPUTED_VALUE"""),175.57)</f>
        <v>175.57</v>
      </c>
      <c r="C1198" s="1">
        <f ca="1">IFERROR(__xludf.DUMMYFUNCTION("""COMPUTED_VALUE"""),179.84)</f>
        <v>179.84</v>
      </c>
      <c r="D1198" s="1">
        <f ca="1">IFERROR(__xludf.DUMMYFUNCTION("""COMPUTED_VALUE"""),173.63)</f>
        <v>173.63</v>
      </c>
      <c r="E1198" s="1">
        <f ca="1">IFERROR(__xludf.DUMMYFUNCTION("""COMPUTED_VALUE"""),179.38)</f>
        <v>179.38</v>
      </c>
      <c r="F1198" s="1">
        <f ca="1">IFERROR(__xludf.DUMMYFUNCTION("""COMPUTED_VALUE"""),16789319)</f>
        <v>16789319</v>
      </c>
    </row>
    <row r="1199" spans="1:6" x14ac:dyDescent="0.35">
      <c r="A1199" s="2">
        <f ca="1">IFERROR(__xludf.DUMMYFUNCTION("""COMPUTED_VALUE"""),43742.6666666666)</f>
        <v>43742.666666666599</v>
      </c>
      <c r="B1199" s="1">
        <f ca="1">IFERROR(__xludf.DUMMYFUNCTION("""COMPUTED_VALUE"""),179.55)</f>
        <v>179.55</v>
      </c>
      <c r="C1199" s="1">
        <f ca="1">IFERROR(__xludf.DUMMYFUNCTION("""COMPUTED_VALUE"""),180.98)</f>
        <v>180.98</v>
      </c>
      <c r="D1199" s="1">
        <f ca="1">IFERROR(__xludf.DUMMYFUNCTION("""COMPUTED_VALUE"""),178.1)</f>
        <v>178.1</v>
      </c>
      <c r="E1199" s="1">
        <f ca="1">IFERROR(__xludf.DUMMYFUNCTION("""COMPUTED_VALUE"""),180.45)</f>
        <v>180.45</v>
      </c>
      <c r="F1199" s="1">
        <f ca="1">IFERROR(__xludf.DUMMYFUNCTION("""COMPUTED_VALUE"""),10476395)</f>
        <v>10476395</v>
      </c>
    </row>
    <row r="1200" spans="1:6" x14ac:dyDescent="0.35">
      <c r="A1200" s="2">
        <f ca="1">IFERROR(__xludf.DUMMYFUNCTION("""COMPUTED_VALUE"""),43745.6666666666)</f>
        <v>43745.666666666599</v>
      </c>
      <c r="B1200" s="1">
        <f ca="1">IFERROR(__xludf.DUMMYFUNCTION("""COMPUTED_VALUE"""),180)</f>
        <v>180</v>
      </c>
      <c r="C1200" s="1">
        <f ca="1">IFERROR(__xludf.DUMMYFUNCTION("""COMPUTED_VALUE"""),181.18)</f>
        <v>181.18</v>
      </c>
      <c r="D1200" s="1">
        <f ca="1">IFERROR(__xludf.DUMMYFUNCTION("""COMPUTED_VALUE"""),178.09)</f>
        <v>178.09</v>
      </c>
      <c r="E1200" s="1">
        <f ca="1">IFERROR(__xludf.DUMMYFUNCTION("""COMPUTED_VALUE"""),179.68)</f>
        <v>179.68</v>
      </c>
      <c r="F1200" s="1">
        <f ca="1">IFERROR(__xludf.DUMMYFUNCTION("""COMPUTED_VALUE"""),9359793)</f>
        <v>9359793</v>
      </c>
    </row>
    <row r="1201" spans="1:6" x14ac:dyDescent="0.35">
      <c r="A1201" s="2">
        <f ca="1">IFERROR(__xludf.DUMMYFUNCTION("""COMPUTED_VALUE"""),43746.6666666666)</f>
        <v>43746.666666666599</v>
      </c>
      <c r="B1201" s="1">
        <f ca="1">IFERROR(__xludf.DUMMYFUNCTION("""COMPUTED_VALUE"""),178.26)</f>
        <v>178.26</v>
      </c>
      <c r="C1201" s="1">
        <f ca="1">IFERROR(__xludf.DUMMYFUNCTION("""COMPUTED_VALUE"""),180.37)</f>
        <v>180.37</v>
      </c>
      <c r="D1201" s="1">
        <f ca="1">IFERROR(__xludf.DUMMYFUNCTION("""COMPUTED_VALUE"""),177.72)</f>
        <v>177.72</v>
      </c>
      <c r="E1201" s="1">
        <f ca="1">IFERROR(__xludf.DUMMYFUNCTION("""COMPUTED_VALUE"""),177.75)</f>
        <v>177.75</v>
      </c>
      <c r="F1201" s="1">
        <f ca="1">IFERROR(__xludf.DUMMYFUNCTION("""COMPUTED_VALUE"""),10084896)</f>
        <v>10084896</v>
      </c>
    </row>
    <row r="1202" spans="1:6" x14ac:dyDescent="0.35">
      <c r="A1202" s="2">
        <f ca="1">IFERROR(__xludf.DUMMYFUNCTION("""COMPUTED_VALUE"""),43747.6666666666)</f>
        <v>43747.666666666599</v>
      </c>
      <c r="B1202" s="1">
        <f ca="1">IFERROR(__xludf.DUMMYFUNCTION("""COMPUTED_VALUE"""),179.16)</f>
        <v>179.16</v>
      </c>
      <c r="C1202" s="1">
        <f ca="1">IFERROR(__xludf.DUMMYFUNCTION("""COMPUTED_VALUE"""),180.72)</f>
        <v>180.72</v>
      </c>
      <c r="D1202" s="1">
        <f ca="1">IFERROR(__xludf.DUMMYFUNCTION("""COMPUTED_VALUE"""),177.94)</f>
        <v>177.94</v>
      </c>
      <c r="E1202" s="1">
        <f ca="1">IFERROR(__xludf.DUMMYFUNCTION("""COMPUTED_VALUE"""),179.85)</f>
        <v>179.85</v>
      </c>
      <c r="F1202" s="1">
        <f ca="1">IFERROR(__xludf.DUMMYFUNCTION("""COMPUTED_VALUE"""),7648874)</f>
        <v>7648874</v>
      </c>
    </row>
    <row r="1203" spans="1:6" x14ac:dyDescent="0.35">
      <c r="A1203" s="2">
        <f ca="1">IFERROR(__xludf.DUMMYFUNCTION("""COMPUTED_VALUE"""),43748.6666666666)</f>
        <v>43748.666666666599</v>
      </c>
      <c r="B1203" s="1">
        <f ca="1">IFERROR(__xludf.DUMMYFUNCTION("""COMPUTED_VALUE"""),180.32)</f>
        <v>180.32</v>
      </c>
      <c r="C1203" s="1">
        <f ca="1">IFERROR(__xludf.DUMMYFUNCTION("""COMPUTED_VALUE"""),181.61)</f>
        <v>181.61</v>
      </c>
      <c r="D1203" s="1">
        <f ca="1">IFERROR(__xludf.DUMMYFUNCTION("""COMPUTED_VALUE"""),179.17)</f>
        <v>179.17</v>
      </c>
      <c r="E1203" s="1">
        <f ca="1">IFERROR(__xludf.DUMMYFUNCTION("""COMPUTED_VALUE"""),180.03)</f>
        <v>180.03</v>
      </c>
      <c r="F1203" s="1">
        <f ca="1">IFERROR(__xludf.DUMMYFUNCTION("""COMPUTED_VALUE"""),8980978)</f>
        <v>8980978</v>
      </c>
    </row>
    <row r="1204" spans="1:6" x14ac:dyDescent="0.35">
      <c r="A1204" s="2">
        <f ca="1">IFERROR(__xludf.DUMMYFUNCTION("""COMPUTED_VALUE"""),43749.6666666666)</f>
        <v>43749.666666666599</v>
      </c>
      <c r="B1204" s="1">
        <f ca="1">IFERROR(__xludf.DUMMYFUNCTION("""COMPUTED_VALUE"""),182.15)</f>
        <v>182.15</v>
      </c>
      <c r="C1204" s="1">
        <f ca="1">IFERROR(__xludf.DUMMYFUNCTION("""COMPUTED_VALUE"""),186.49)</f>
        <v>186.49</v>
      </c>
      <c r="D1204" s="1">
        <f ca="1">IFERROR(__xludf.DUMMYFUNCTION("""COMPUTED_VALUE"""),182.14)</f>
        <v>182.14</v>
      </c>
      <c r="E1204" s="1">
        <f ca="1">IFERROR(__xludf.DUMMYFUNCTION("""COMPUTED_VALUE"""),184.19)</f>
        <v>184.19</v>
      </c>
      <c r="F1204" s="1">
        <f ca="1">IFERROR(__xludf.DUMMYFUNCTION("""COMPUTED_VALUE"""),14998754)</f>
        <v>14998754</v>
      </c>
    </row>
    <row r="1205" spans="1:6" x14ac:dyDescent="0.35">
      <c r="A1205" s="2">
        <f ca="1">IFERROR(__xludf.DUMMYFUNCTION("""COMPUTED_VALUE"""),43752.6666666666)</f>
        <v>43752.666666666599</v>
      </c>
      <c r="B1205" s="1">
        <f ca="1">IFERROR(__xludf.DUMMYFUNCTION("""COMPUTED_VALUE"""),184.2)</f>
        <v>184.2</v>
      </c>
      <c r="C1205" s="1">
        <f ca="1">IFERROR(__xludf.DUMMYFUNCTION("""COMPUTED_VALUE"""),184.62)</f>
        <v>184.62</v>
      </c>
      <c r="D1205" s="1">
        <f ca="1">IFERROR(__xludf.DUMMYFUNCTION("""COMPUTED_VALUE"""),182.57)</f>
        <v>182.57</v>
      </c>
      <c r="E1205" s="1">
        <f ca="1">IFERROR(__xludf.DUMMYFUNCTION("""COMPUTED_VALUE"""),183.28)</f>
        <v>183.28</v>
      </c>
      <c r="F1205" s="1">
        <f ca="1">IFERROR(__xludf.DUMMYFUNCTION("""COMPUTED_VALUE"""),7203665)</f>
        <v>7203665</v>
      </c>
    </row>
    <row r="1206" spans="1:6" x14ac:dyDescent="0.35">
      <c r="A1206" s="2">
        <f ca="1">IFERROR(__xludf.DUMMYFUNCTION("""COMPUTED_VALUE"""),43753.6666666666)</f>
        <v>43753.666666666599</v>
      </c>
      <c r="B1206" s="1">
        <f ca="1">IFERROR(__xludf.DUMMYFUNCTION("""COMPUTED_VALUE"""),183.8)</f>
        <v>183.8</v>
      </c>
      <c r="C1206" s="1">
        <f ca="1">IFERROR(__xludf.DUMMYFUNCTION("""COMPUTED_VALUE"""),190.38)</f>
        <v>190.38</v>
      </c>
      <c r="D1206" s="1">
        <f ca="1">IFERROR(__xludf.DUMMYFUNCTION("""COMPUTED_VALUE"""),183.66)</f>
        <v>183.66</v>
      </c>
      <c r="E1206" s="1">
        <f ca="1">IFERROR(__xludf.DUMMYFUNCTION("""COMPUTED_VALUE"""),188.89)</f>
        <v>188.89</v>
      </c>
      <c r="F1206" s="1">
        <f ca="1">IFERROR(__xludf.DUMMYFUNCTION("""COMPUTED_VALUE"""),15143119)</f>
        <v>15143119</v>
      </c>
    </row>
    <row r="1207" spans="1:6" x14ac:dyDescent="0.35">
      <c r="A1207" s="2">
        <f ca="1">IFERROR(__xludf.DUMMYFUNCTION("""COMPUTED_VALUE"""),43754.6666666666)</f>
        <v>43754.666666666599</v>
      </c>
      <c r="B1207" s="1">
        <f ca="1">IFERROR(__xludf.DUMMYFUNCTION("""COMPUTED_VALUE"""),188.32)</f>
        <v>188.32</v>
      </c>
      <c r="C1207" s="1">
        <f ca="1">IFERROR(__xludf.DUMMYFUNCTION("""COMPUTED_VALUE"""),189.7)</f>
        <v>189.7</v>
      </c>
      <c r="D1207" s="1">
        <f ca="1">IFERROR(__xludf.DUMMYFUNCTION("""COMPUTED_VALUE"""),186.9)</f>
        <v>186.9</v>
      </c>
      <c r="E1207" s="1">
        <f ca="1">IFERROR(__xludf.DUMMYFUNCTION("""COMPUTED_VALUE"""),189.55)</f>
        <v>189.55</v>
      </c>
      <c r="F1207" s="1">
        <f ca="1">IFERROR(__xludf.DUMMYFUNCTION("""COMPUTED_VALUE"""),10560343)</f>
        <v>10560343</v>
      </c>
    </row>
    <row r="1208" spans="1:6" x14ac:dyDescent="0.35">
      <c r="A1208" s="2">
        <f ca="1">IFERROR(__xludf.DUMMYFUNCTION("""COMPUTED_VALUE"""),43755.6666666666)</f>
        <v>43755.666666666599</v>
      </c>
      <c r="B1208" s="1">
        <f ca="1">IFERROR(__xludf.DUMMYFUNCTION("""COMPUTED_VALUE"""),190.3)</f>
        <v>190.3</v>
      </c>
      <c r="C1208" s="1">
        <f ca="1">IFERROR(__xludf.DUMMYFUNCTION("""COMPUTED_VALUE"""),190.84)</f>
        <v>190.84</v>
      </c>
      <c r="D1208" s="1">
        <f ca="1">IFERROR(__xludf.DUMMYFUNCTION("""COMPUTED_VALUE"""),188.77)</f>
        <v>188.77</v>
      </c>
      <c r="E1208" s="1">
        <f ca="1">IFERROR(__xludf.DUMMYFUNCTION("""COMPUTED_VALUE"""),190.39)</f>
        <v>190.39</v>
      </c>
      <c r="F1208" s="1">
        <f ca="1">IFERROR(__xludf.DUMMYFUNCTION("""COMPUTED_VALUE"""),9761548)</f>
        <v>9761548</v>
      </c>
    </row>
    <row r="1209" spans="1:6" x14ac:dyDescent="0.35">
      <c r="A1209" s="2">
        <f ca="1">IFERROR(__xludf.DUMMYFUNCTION("""COMPUTED_VALUE"""),43756.6666666666)</f>
        <v>43756.666666666599</v>
      </c>
      <c r="B1209" s="1">
        <f ca="1">IFERROR(__xludf.DUMMYFUNCTION("""COMPUTED_VALUE"""),190.23)</f>
        <v>190.23</v>
      </c>
      <c r="C1209" s="1">
        <f ca="1">IFERROR(__xludf.DUMMYFUNCTION("""COMPUTED_VALUE"""),191.49)</f>
        <v>191.49</v>
      </c>
      <c r="D1209" s="1">
        <f ca="1">IFERROR(__xludf.DUMMYFUNCTION("""COMPUTED_VALUE"""),183.92)</f>
        <v>183.92</v>
      </c>
      <c r="E1209" s="1">
        <f ca="1">IFERROR(__xludf.DUMMYFUNCTION("""COMPUTED_VALUE"""),185.85)</f>
        <v>185.85</v>
      </c>
      <c r="F1209" s="1">
        <f ca="1">IFERROR(__xludf.DUMMYFUNCTION("""COMPUTED_VALUE"""),16882862)</f>
        <v>16882862</v>
      </c>
    </row>
    <row r="1210" spans="1:6" x14ac:dyDescent="0.35">
      <c r="A1210" s="2">
        <f ca="1">IFERROR(__xludf.DUMMYFUNCTION("""COMPUTED_VALUE"""),43759.6666666666)</f>
        <v>43759.666666666599</v>
      </c>
      <c r="B1210" s="1">
        <f ca="1">IFERROR(__xludf.DUMMYFUNCTION("""COMPUTED_VALUE"""),187.04)</f>
        <v>187.04</v>
      </c>
      <c r="C1210" s="1">
        <f ca="1">IFERROR(__xludf.DUMMYFUNCTION("""COMPUTED_VALUE"""),189.91)</f>
        <v>189.91</v>
      </c>
      <c r="D1210" s="1">
        <f ca="1">IFERROR(__xludf.DUMMYFUNCTION("""COMPUTED_VALUE"""),186.75)</f>
        <v>186.75</v>
      </c>
      <c r="E1210" s="1">
        <f ca="1">IFERROR(__xludf.DUMMYFUNCTION("""COMPUTED_VALUE"""),189.76)</f>
        <v>189.76</v>
      </c>
      <c r="F1210" s="1">
        <f ca="1">IFERROR(__xludf.DUMMYFUNCTION("""COMPUTED_VALUE"""),8580744)</f>
        <v>8580744</v>
      </c>
    </row>
    <row r="1211" spans="1:6" x14ac:dyDescent="0.35">
      <c r="A1211" s="2">
        <f ca="1">IFERROR(__xludf.DUMMYFUNCTION("""COMPUTED_VALUE"""),43760.6666666666)</f>
        <v>43760.666666666599</v>
      </c>
      <c r="B1211" s="1">
        <f ca="1">IFERROR(__xludf.DUMMYFUNCTION("""COMPUTED_VALUE"""),190)</f>
        <v>190</v>
      </c>
      <c r="C1211" s="1">
        <f ca="1">IFERROR(__xludf.DUMMYFUNCTION("""COMPUTED_VALUE"""),190.65)</f>
        <v>190.65</v>
      </c>
      <c r="D1211" s="1">
        <f ca="1">IFERROR(__xludf.DUMMYFUNCTION("""COMPUTED_VALUE"""),181.5)</f>
        <v>181.5</v>
      </c>
      <c r="E1211" s="1">
        <f ca="1">IFERROR(__xludf.DUMMYFUNCTION("""COMPUTED_VALUE"""),182.34)</f>
        <v>182.34</v>
      </c>
      <c r="F1211" s="1">
        <f ca="1">IFERROR(__xludf.DUMMYFUNCTION("""COMPUTED_VALUE"""),19854192)</f>
        <v>19854192</v>
      </c>
    </row>
    <row r="1212" spans="1:6" x14ac:dyDescent="0.35">
      <c r="A1212" s="2">
        <f ca="1">IFERROR(__xludf.DUMMYFUNCTION("""COMPUTED_VALUE"""),43761.6666666666)</f>
        <v>43761.666666666599</v>
      </c>
      <c r="B1212" s="1">
        <f ca="1">IFERROR(__xludf.DUMMYFUNCTION("""COMPUTED_VALUE"""),182.01)</f>
        <v>182.01</v>
      </c>
      <c r="C1212" s="1">
        <f ca="1">IFERROR(__xludf.DUMMYFUNCTION("""COMPUTED_VALUE"""),186.38)</f>
        <v>186.38</v>
      </c>
      <c r="D1212" s="1">
        <f ca="1">IFERROR(__xludf.DUMMYFUNCTION("""COMPUTED_VALUE"""),182)</f>
        <v>182</v>
      </c>
      <c r="E1212" s="1">
        <f ca="1">IFERROR(__xludf.DUMMYFUNCTION("""COMPUTED_VALUE"""),186.15)</f>
        <v>186.15</v>
      </c>
      <c r="F1212" s="1">
        <f ca="1">IFERROR(__xludf.DUMMYFUNCTION("""COMPUTED_VALUE"""),12370819)</f>
        <v>12370819</v>
      </c>
    </row>
    <row r="1213" spans="1:6" x14ac:dyDescent="0.35">
      <c r="A1213" s="2">
        <f ca="1">IFERROR(__xludf.DUMMYFUNCTION("""COMPUTED_VALUE"""),43762.6666666666)</f>
        <v>43762.666666666599</v>
      </c>
      <c r="B1213" s="1">
        <f ca="1">IFERROR(__xludf.DUMMYFUNCTION("""COMPUTED_VALUE"""),184.62)</f>
        <v>184.62</v>
      </c>
      <c r="C1213" s="1">
        <f ca="1">IFERROR(__xludf.DUMMYFUNCTION("""COMPUTED_VALUE"""),186.73)</f>
        <v>186.73</v>
      </c>
      <c r="D1213" s="1">
        <f ca="1">IFERROR(__xludf.DUMMYFUNCTION("""COMPUTED_VALUE"""),182.8)</f>
        <v>182.8</v>
      </c>
      <c r="E1213" s="1">
        <f ca="1">IFERROR(__xludf.DUMMYFUNCTION("""COMPUTED_VALUE"""),186.38)</f>
        <v>186.38</v>
      </c>
      <c r="F1213" s="1">
        <f ca="1">IFERROR(__xludf.DUMMYFUNCTION("""COMPUTED_VALUE"""),11505406)</f>
        <v>11505406</v>
      </c>
    </row>
    <row r="1214" spans="1:6" x14ac:dyDescent="0.35">
      <c r="A1214" s="2">
        <f ca="1">IFERROR(__xludf.DUMMYFUNCTION("""COMPUTED_VALUE"""),43763.6666666666)</f>
        <v>43763.666666666599</v>
      </c>
      <c r="B1214" s="1">
        <f ca="1">IFERROR(__xludf.DUMMYFUNCTION("""COMPUTED_VALUE"""),185.83)</f>
        <v>185.83</v>
      </c>
      <c r="C1214" s="1">
        <f ca="1">IFERROR(__xludf.DUMMYFUNCTION("""COMPUTED_VALUE"""),189)</f>
        <v>189</v>
      </c>
      <c r="D1214" s="1">
        <f ca="1">IFERROR(__xludf.DUMMYFUNCTION("""COMPUTED_VALUE"""),185.09)</f>
        <v>185.09</v>
      </c>
      <c r="E1214" s="1">
        <f ca="1">IFERROR(__xludf.DUMMYFUNCTION("""COMPUTED_VALUE"""),187.89)</f>
        <v>187.89</v>
      </c>
      <c r="F1214" s="1">
        <f ca="1">IFERROR(__xludf.DUMMYFUNCTION("""COMPUTED_VALUE"""),8061240)</f>
        <v>8061240</v>
      </c>
    </row>
    <row r="1215" spans="1:6" x14ac:dyDescent="0.35">
      <c r="A1215" s="2">
        <f ca="1">IFERROR(__xludf.DUMMYFUNCTION("""COMPUTED_VALUE"""),43766.6666666666)</f>
        <v>43766.666666666599</v>
      </c>
      <c r="B1215" s="1">
        <f ca="1">IFERROR(__xludf.DUMMYFUNCTION("""COMPUTED_VALUE"""),187.2)</f>
        <v>187.2</v>
      </c>
      <c r="C1215" s="1">
        <f ca="1">IFERROR(__xludf.DUMMYFUNCTION("""COMPUTED_VALUE"""),189.53)</f>
        <v>189.53</v>
      </c>
      <c r="D1215" s="1">
        <f ca="1">IFERROR(__xludf.DUMMYFUNCTION("""COMPUTED_VALUE"""),185.08)</f>
        <v>185.08</v>
      </c>
      <c r="E1215" s="1">
        <f ca="1">IFERROR(__xludf.DUMMYFUNCTION("""COMPUTED_VALUE"""),189.4)</f>
        <v>189.4</v>
      </c>
      <c r="F1215" s="1">
        <f ca="1">IFERROR(__xludf.DUMMYFUNCTION("""COMPUTED_VALUE"""),13657866)</f>
        <v>13657866</v>
      </c>
    </row>
    <row r="1216" spans="1:6" x14ac:dyDescent="0.35">
      <c r="A1216" s="2">
        <f ca="1">IFERROR(__xludf.DUMMYFUNCTION("""COMPUTED_VALUE"""),43767.6666666666)</f>
        <v>43767.666666666599</v>
      </c>
      <c r="B1216" s="1">
        <f ca="1">IFERROR(__xludf.DUMMYFUNCTION("""COMPUTED_VALUE"""),191.69)</f>
        <v>191.69</v>
      </c>
      <c r="C1216" s="1">
        <f ca="1">IFERROR(__xludf.DUMMYFUNCTION("""COMPUTED_VALUE"""),192.53)</f>
        <v>192.53</v>
      </c>
      <c r="D1216" s="1">
        <f ca="1">IFERROR(__xludf.DUMMYFUNCTION("""COMPUTED_VALUE"""),188.47)</f>
        <v>188.47</v>
      </c>
      <c r="E1216" s="1">
        <f ca="1">IFERROR(__xludf.DUMMYFUNCTION("""COMPUTED_VALUE"""),189.31)</f>
        <v>189.31</v>
      </c>
      <c r="F1216" s="1">
        <f ca="1">IFERROR(__xludf.DUMMYFUNCTION("""COMPUTED_VALUE"""),13574874)</f>
        <v>13574874</v>
      </c>
    </row>
    <row r="1217" spans="1:6" x14ac:dyDescent="0.35">
      <c r="A1217" s="2">
        <f ca="1">IFERROR(__xludf.DUMMYFUNCTION("""COMPUTED_VALUE"""),43768.6666666666)</f>
        <v>43768.666666666599</v>
      </c>
      <c r="B1217" s="1">
        <f ca="1">IFERROR(__xludf.DUMMYFUNCTION("""COMPUTED_VALUE"""),189.56)</f>
        <v>189.56</v>
      </c>
      <c r="C1217" s="1">
        <f ca="1">IFERROR(__xludf.DUMMYFUNCTION("""COMPUTED_VALUE"""),190.45)</f>
        <v>190.45</v>
      </c>
      <c r="D1217" s="1">
        <f ca="1">IFERROR(__xludf.DUMMYFUNCTION("""COMPUTED_VALUE"""),185.98)</f>
        <v>185.98</v>
      </c>
      <c r="E1217" s="1">
        <f ca="1">IFERROR(__xludf.DUMMYFUNCTION("""COMPUTED_VALUE"""),188.25)</f>
        <v>188.25</v>
      </c>
      <c r="F1217" s="1">
        <f ca="1">IFERROR(__xludf.DUMMYFUNCTION("""COMPUTED_VALUE"""),28734559)</f>
        <v>28734559</v>
      </c>
    </row>
    <row r="1218" spans="1:6" x14ac:dyDescent="0.35">
      <c r="A1218" s="2">
        <f ca="1">IFERROR(__xludf.DUMMYFUNCTION("""COMPUTED_VALUE"""),43769.6666666666)</f>
        <v>43769.666666666599</v>
      </c>
      <c r="B1218" s="1">
        <f ca="1">IFERROR(__xludf.DUMMYFUNCTION("""COMPUTED_VALUE"""),196.7)</f>
        <v>196.7</v>
      </c>
      <c r="C1218" s="1">
        <f ca="1">IFERROR(__xludf.DUMMYFUNCTION("""COMPUTED_VALUE"""),198.09)</f>
        <v>198.09</v>
      </c>
      <c r="D1218" s="1">
        <f ca="1">IFERROR(__xludf.DUMMYFUNCTION("""COMPUTED_VALUE"""),188.25)</f>
        <v>188.25</v>
      </c>
      <c r="E1218" s="1">
        <f ca="1">IFERROR(__xludf.DUMMYFUNCTION("""COMPUTED_VALUE"""),191.65)</f>
        <v>191.65</v>
      </c>
      <c r="F1218" s="1">
        <f ca="1">IFERROR(__xludf.DUMMYFUNCTION("""COMPUTED_VALUE"""),42286529)</f>
        <v>42286529</v>
      </c>
    </row>
    <row r="1219" spans="1:6" x14ac:dyDescent="0.35">
      <c r="A1219" s="2">
        <f ca="1">IFERROR(__xludf.DUMMYFUNCTION("""COMPUTED_VALUE"""),43770.6666666666)</f>
        <v>43770.666666666599</v>
      </c>
      <c r="B1219" s="1">
        <f ca="1">IFERROR(__xludf.DUMMYFUNCTION("""COMPUTED_VALUE"""),192.85)</f>
        <v>192.85</v>
      </c>
      <c r="C1219" s="1">
        <f ca="1">IFERROR(__xludf.DUMMYFUNCTION("""COMPUTED_VALUE"""),194.11)</f>
        <v>194.11</v>
      </c>
      <c r="D1219" s="1">
        <f ca="1">IFERROR(__xludf.DUMMYFUNCTION("""COMPUTED_VALUE"""),189.91)</f>
        <v>189.91</v>
      </c>
      <c r="E1219" s="1">
        <f ca="1">IFERROR(__xludf.DUMMYFUNCTION("""COMPUTED_VALUE"""),193.62)</f>
        <v>193.62</v>
      </c>
      <c r="F1219" s="1">
        <f ca="1">IFERROR(__xludf.DUMMYFUNCTION("""COMPUTED_VALUE"""),21711829)</f>
        <v>21711829</v>
      </c>
    </row>
    <row r="1220" spans="1:6" x14ac:dyDescent="0.35">
      <c r="A1220" s="2">
        <f ca="1">IFERROR(__xludf.DUMMYFUNCTION("""COMPUTED_VALUE"""),43773.6666666666)</f>
        <v>43773.666666666599</v>
      </c>
      <c r="B1220" s="1">
        <f ca="1">IFERROR(__xludf.DUMMYFUNCTION("""COMPUTED_VALUE"""),194.55)</f>
        <v>194.55</v>
      </c>
      <c r="C1220" s="1">
        <f ca="1">IFERROR(__xludf.DUMMYFUNCTION("""COMPUTED_VALUE"""),197.37)</f>
        <v>197.37</v>
      </c>
      <c r="D1220" s="1">
        <f ca="1">IFERROR(__xludf.DUMMYFUNCTION("""COMPUTED_VALUE"""),193.81)</f>
        <v>193.81</v>
      </c>
      <c r="E1220" s="1">
        <f ca="1">IFERROR(__xludf.DUMMYFUNCTION("""COMPUTED_VALUE"""),194.72)</f>
        <v>194.72</v>
      </c>
      <c r="F1220" s="1">
        <f ca="1">IFERROR(__xludf.DUMMYFUNCTION("""COMPUTED_VALUE"""),16371292)</f>
        <v>16371292</v>
      </c>
    </row>
    <row r="1221" spans="1:6" x14ac:dyDescent="0.35">
      <c r="A1221" s="2">
        <f ca="1">IFERROR(__xludf.DUMMYFUNCTION("""COMPUTED_VALUE"""),43774.6666666666)</f>
        <v>43774.666666666599</v>
      </c>
      <c r="B1221" s="1">
        <f ca="1">IFERROR(__xludf.DUMMYFUNCTION("""COMPUTED_VALUE"""),195.37)</f>
        <v>195.37</v>
      </c>
      <c r="C1221" s="1">
        <f ca="1">IFERROR(__xludf.DUMMYFUNCTION("""COMPUTED_VALUE"""),195.75)</f>
        <v>195.75</v>
      </c>
      <c r="D1221" s="1">
        <f ca="1">IFERROR(__xludf.DUMMYFUNCTION("""COMPUTED_VALUE"""),193.6)</f>
        <v>193.6</v>
      </c>
      <c r="E1221" s="1">
        <f ca="1">IFERROR(__xludf.DUMMYFUNCTION("""COMPUTED_VALUE"""),194.32)</f>
        <v>194.32</v>
      </c>
      <c r="F1221" s="1">
        <f ca="1">IFERROR(__xludf.DUMMYFUNCTION("""COMPUTED_VALUE"""),9941954)</f>
        <v>9941954</v>
      </c>
    </row>
    <row r="1222" spans="1:6" x14ac:dyDescent="0.35">
      <c r="A1222" s="2">
        <f ca="1">IFERROR(__xludf.DUMMYFUNCTION("""COMPUTED_VALUE"""),43775.6666666666)</f>
        <v>43775.666666666599</v>
      </c>
      <c r="B1222" s="1">
        <f ca="1">IFERROR(__xludf.DUMMYFUNCTION("""COMPUTED_VALUE"""),194.03)</f>
        <v>194.03</v>
      </c>
      <c r="C1222" s="1">
        <f ca="1">IFERROR(__xludf.DUMMYFUNCTION("""COMPUTED_VALUE"""),194.37)</f>
        <v>194.37</v>
      </c>
      <c r="D1222" s="1">
        <f ca="1">IFERROR(__xludf.DUMMYFUNCTION("""COMPUTED_VALUE"""),191.35)</f>
        <v>191.35</v>
      </c>
      <c r="E1222" s="1">
        <f ca="1">IFERROR(__xludf.DUMMYFUNCTION("""COMPUTED_VALUE"""),191.55)</f>
        <v>191.55</v>
      </c>
      <c r="F1222" s="1">
        <f ca="1">IFERROR(__xludf.DUMMYFUNCTION("""COMPUTED_VALUE"""),10973019)</f>
        <v>10973019</v>
      </c>
    </row>
    <row r="1223" spans="1:6" x14ac:dyDescent="0.35">
      <c r="A1223" s="2">
        <f ca="1">IFERROR(__xludf.DUMMYFUNCTION("""COMPUTED_VALUE"""),43776.6666666666)</f>
        <v>43776.666666666599</v>
      </c>
      <c r="B1223" s="1">
        <f ca="1">IFERROR(__xludf.DUMMYFUNCTION("""COMPUTED_VALUE"""),191.91)</f>
        <v>191.91</v>
      </c>
      <c r="C1223" s="1">
        <f ca="1">IFERROR(__xludf.DUMMYFUNCTION("""COMPUTED_VALUE"""),193.44)</f>
        <v>193.44</v>
      </c>
      <c r="D1223" s="1">
        <f ca="1">IFERROR(__xludf.DUMMYFUNCTION("""COMPUTED_VALUE"""),189.47)</f>
        <v>189.47</v>
      </c>
      <c r="E1223" s="1">
        <f ca="1">IFERROR(__xludf.DUMMYFUNCTION("""COMPUTED_VALUE"""),190.42)</f>
        <v>190.42</v>
      </c>
      <c r="F1223" s="1">
        <f ca="1">IFERROR(__xludf.DUMMYFUNCTION("""COMPUTED_VALUE"""),13472998)</f>
        <v>13472998</v>
      </c>
    </row>
    <row r="1224" spans="1:6" x14ac:dyDescent="0.35">
      <c r="A1224" s="2">
        <f ca="1">IFERROR(__xludf.DUMMYFUNCTION("""COMPUTED_VALUE"""),43777.6666666666)</f>
        <v>43777.666666666599</v>
      </c>
      <c r="B1224" s="1">
        <f ca="1">IFERROR(__xludf.DUMMYFUNCTION("""COMPUTED_VALUE"""),190)</f>
        <v>190</v>
      </c>
      <c r="C1224" s="1">
        <f ca="1">IFERROR(__xludf.DUMMYFUNCTION("""COMPUTED_VALUE"""),192.34)</f>
        <v>192.34</v>
      </c>
      <c r="D1224" s="1">
        <f ca="1">IFERROR(__xludf.DUMMYFUNCTION("""COMPUTED_VALUE"""),189.7)</f>
        <v>189.7</v>
      </c>
      <c r="E1224" s="1">
        <f ca="1">IFERROR(__xludf.DUMMYFUNCTION("""COMPUTED_VALUE"""),190.84)</f>
        <v>190.84</v>
      </c>
      <c r="F1224" s="1">
        <f ca="1">IFERROR(__xludf.DUMMYFUNCTION("""COMPUTED_VALUE"""),10764784)</f>
        <v>10764784</v>
      </c>
    </row>
    <row r="1225" spans="1:6" x14ac:dyDescent="0.35">
      <c r="A1225" s="2">
        <f ca="1">IFERROR(__xludf.DUMMYFUNCTION("""COMPUTED_VALUE"""),43780.6666666666)</f>
        <v>43780.666666666599</v>
      </c>
      <c r="B1225" s="1">
        <f ca="1">IFERROR(__xludf.DUMMYFUNCTION("""COMPUTED_VALUE"""),189.93)</f>
        <v>189.93</v>
      </c>
      <c r="C1225" s="1">
        <f ca="1">IFERROR(__xludf.DUMMYFUNCTION("""COMPUTED_VALUE"""),190.08)</f>
        <v>190.08</v>
      </c>
      <c r="D1225" s="1">
        <f ca="1">IFERROR(__xludf.DUMMYFUNCTION("""COMPUTED_VALUE"""),188.54)</f>
        <v>188.54</v>
      </c>
      <c r="E1225" s="1">
        <f ca="1">IFERROR(__xludf.DUMMYFUNCTION("""COMPUTED_VALUE"""),189.61)</f>
        <v>189.61</v>
      </c>
      <c r="F1225" s="1">
        <f ca="1">IFERROR(__xludf.DUMMYFUNCTION("""COMPUTED_VALUE"""),8637768)</f>
        <v>8637768</v>
      </c>
    </row>
    <row r="1226" spans="1:6" x14ac:dyDescent="0.35">
      <c r="A1226" s="2">
        <f ca="1">IFERROR(__xludf.DUMMYFUNCTION("""COMPUTED_VALUE"""),43781.6666666666)</f>
        <v>43781.666666666599</v>
      </c>
      <c r="B1226" s="1">
        <f ca="1">IFERROR(__xludf.DUMMYFUNCTION("""COMPUTED_VALUE"""),190)</f>
        <v>190</v>
      </c>
      <c r="C1226" s="1">
        <f ca="1">IFERROR(__xludf.DUMMYFUNCTION("""COMPUTED_VALUE"""),195.06)</f>
        <v>195.06</v>
      </c>
      <c r="D1226" s="1">
        <f ca="1">IFERROR(__xludf.DUMMYFUNCTION("""COMPUTED_VALUE"""),189.74)</f>
        <v>189.74</v>
      </c>
      <c r="E1226" s="1">
        <f ca="1">IFERROR(__xludf.DUMMYFUNCTION("""COMPUTED_VALUE"""),194.47)</f>
        <v>194.47</v>
      </c>
      <c r="F1226" s="1">
        <f ca="1">IFERROR(__xludf.DUMMYFUNCTION("""COMPUTED_VALUE"""),17615454)</f>
        <v>17615454</v>
      </c>
    </row>
    <row r="1227" spans="1:6" x14ac:dyDescent="0.35">
      <c r="A1227" s="2">
        <f ca="1">IFERROR(__xludf.DUMMYFUNCTION("""COMPUTED_VALUE"""),43782.6666666666)</f>
        <v>43782.666666666599</v>
      </c>
      <c r="B1227" s="1">
        <f ca="1">IFERROR(__xludf.DUMMYFUNCTION("""COMPUTED_VALUE"""),194.7)</f>
        <v>194.7</v>
      </c>
      <c r="C1227" s="1">
        <f ca="1">IFERROR(__xludf.DUMMYFUNCTION("""COMPUTED_VALUE"""),195.7)</f>
        <v>195.7</v>
      </c>
      <c r="D1227" s="1">
        <f ca="1">IFERROR(__xludf.DUMMYFUNCTION("""COMPUTED_VALUE"""),192.74)</f>
        <v>192.74</v>
      </c>
      <c r="E1227" s="1">
        <f ca="1">IFERROR(__xludf.DUMMYFUNCTION("""COMPUTED_VALUE"""),193.19)</f>
        <v>193.19</v>
      </c>
      <c r="F1227" s="1">
        <f ca="1">IFERROR(__xludf.DUMMYFUNCTION("""COMPUTED_VALUE"""),11009800)</f>
        <v>11009800</v>
      </c>
    </row>
    <row r="1228" spans="1:6" x14ac:dyDescent="0.35">
      <c r="A1228" s="2">
        <f ca="1">IFERROR(__xludf.DUMMYFUNCTION("""COMPUTED_VALUE"""),43783.6666666666)</f>
        <v>43783.666666666599</v>
      </c>
      <c r="B1228" s="1">
        <f ca="1">IFERROR(__xludf.DUMMYFUNCTION("""COMPUTED_VALUE"""),192.93)</f>
        <v>192.93</v>
      </c>
      <c r="C1228" s="1">
        <f ca="1">IFERROR(__xludf.DUMMYFUNCTION("""COMPUTED_VALUE"""),194.03)</f>
        <v>194.03</v>
      </c>
      <c r="D1228" s="1">
        <f ca="1">IFERROR(__xludf.DUMMYFUNCTION("""COMPUTED_VALUE"""),191.45)</f>
        <v>191.45</v>
      </c>
      <c r="E1228" s="1">
        <f ca="1">IFERROR(__xludf.DUMMYFUNCTION("""COMPUTED_VALUE"""),193.15)</f>
        <v>193.15</v>
      </c>
      <c r="F1228" s="1">
        <f ca="1">IFERROR(__xludf.DUMMYFUNCTION("""COMPUTED_VALUE"""),9059897)</f>
        <v>9059897</v>
      </c>
    </row>
    <row r="1229" spans="1:6" x14ac:dyDescent="0.35">
      <c r="A1229" s="2">
        <f ca="1">IFERROR(__xludf.DUMMYFUNCTION("""COMPUTED_VALUE"""),43784.6666666666)</f>
        <v>43784.666666666599</v>
      </c>
      <c r="B1229" s="1">
        <f ca="1">IFERROR(__xludf.DUMMYFUNCTION("""COMPUTED_VALUE"""),194.26)</f>
        <v>194.26</v>
      </c>
      <c r="C1229" s="1">
        <f ca="1">IFERROR(__xludf.DUMMYFUNCTION("""COMPUTED_VALUE"""),195.3)</f>
        <v>195.3</v>
      </c>
      <c r="D1229" s="1">
        <f ca="1">IFERROR(__xludf.DUMMYFUNCTION("""COMPUTED_VALUE"""),193.38)</f>
        <v>193.38</v>
      </c>
      <c r="E1229" s="1">
        <f ca="1">IFERROR(__xludf.DUMMYFUNCTION("""COMPUTED_VALUE"""),195.1)</f>
        <v>195.1</v>
      </c>
      <c r="F1229" s="1">
        <f ca="1">IFERROR(__xludf.DUMMYFUNCTION("""COMPUTED_VALUE"""),11530232)</f>
        <v>11530232</v>
      </c>
    </row>
    <row r="1230" spans="1:6" x14ac:dyDescent="0.35">
      <c r="A1230" s="2">
        <f ca="1">IFERROR(__xludf.DUMMYFUNCTION("""COMPUTED_VALUE"""),43787.6666666666)</f>
        <v>43787.666666666599</v>
      </c>
      <c r="B1230" s="1">
        <f ca="1">IFERROR(__xludf.DUMMYFUNCTION("""COMPUTED_VALUE"""),194.56)</f>
        <v>194.56</v>
      </c>
      <c r="C1230" s="1">
        <f ca="1">IFERROR(__xludf.DUMMYFUNCTION("""COMPUTED_VALUE"""),198.63)</f>
        <v>198.63</v>
      </c>
      <c r="D1230" s="1">
        <f ca="1">IFERROR(__xludf.DUMMYFUNCTION("""COMPUTED_VALUE"""),193.05)</f>
        <v>193.05</v>
      </c>
      <c r="E1230" s="1">
        <f ca="1">IFERROR(__xludf.DUMMYFUNCTION("""COMPUTED_VALUE"""),197.4)</f>
        <v>197.4</v>
      </c>
      <c r="F1230" s="1">
        <f ca="1">IFERROR(__xludf.DUMMYFUNCTION("""COMPUTED_VALUE"""),16176107)</f>
        <v>16176107</v>
      </c>
    </row>
    <row r="1231" spans="1:6" x14ac:dyDescent="0.35">
      <c r="A1231" s="2">
        <f ca="1">IFERROR(__xludf.DUMMYFUNCTION("""COMPUTED_VALUE"""),43788.6666666666)</f>
        <v>43788.666666666599</v>
      </c>
      <c r="B1231" s="1">
        <f ca="1">IFERROR(__xludf.DUMMYFUNCTION("""COMPUTED_VALUE"""),197.4)</f>
        <v>197.4</v>
      </c>
      <c r="C1231" s="1">
        <f ca="1">IFERROR(__xludf.DUMMYFUNCTION("""COMPUTED_VALUE"""),200)</f>
        <v>200</v>
      </c>
      <c r="D1231" s="1">
        <f ca="1">IFERROR(__xludf.DUMMYFUNCTION("""COMPUTED_VALUE"""),196.86)</f>
        <v>196.86</v>
      </c>
      <c r="E1231" s="1">
        <f ca="1">IFERROR(__xludf.DUMMYFUNCTION("""COMPUTED_VALUE"""),199.32)</f>
        <v>199.32</v>
      </c>
      <c r="F1231" s="1">
        <f ca="1">IFERROR(__xludf.DUMMYFUNCTION("""COMPUTED_VALUE"""),19070291)</f>
        <v>19070291</v>
      </c>
    </row>
    <row r="1232" spans="1:6" x14ac:dyDescent="0.35">
      <c r="A1232" s="2">
        <f ca="1">IFERROR(__xludf.DUMMYFUNCTION("""COMPUTED_VALUE"""),43789.6666666666)</f>
        <v>43789.666666666599</v>
      </c>
      <c r="B1232" s="1">
        <f ca="1">IFERROR(__xludf.DUMMYFUNCTION("""COMPUTED_VALUE"""),198.58)</f>
        <v>198.58</v>
      </c>
      <c r="C1232" s="1">
        <f ca="1">IFERROR(__xludf.DUMMYFUNCTION("""COMPUTED_VALUE"""),199.59)</f>
        <v>199.59</v>
      </c>
      <c r="D1232" s="1">
        <f ca="1">IFERROR(__xludf.DUMMYFUNCTION("""COMPUTED_VALUE"""),195.43)</f>
        <v>195.43</v>
      </c>
      <c r="E1232" s="1">
        <f ca="1">IFERROR(__xludf.DUMMYFUNCTION("""COMPUTED_VALUE"""),197.51)</f>
        <v>197.51</v>
      </c>
      <c r="F1232" s="1">
        <f ca="1">IFERROR(__xludf.DUMMYFUNCTION("""COMPUTED_VALUE"""),12370240)</f>
        <v>12370240</v>
      </c>
    </row>
    <row r="1233" spans="1:6" x14ac:dyDescent="0.35">
      <c r="A1233" s="2">
        <f ca="1">IFERROR(__xludf.DUMMYFUNCTION("""COMPUTED_VALUE"""),43790.6666666666)</f>
        <v>43790.666666666599</v>
      </c>
      <c r="B1233" s="1">
        <f ca="1">IFERROR(__xludf.DUMMYFUNCTION("""COMPUTED_VALUE"""),197.42)</f>
        <v>197.42</v>
      </c>
      <c r="C1233" s="1">
        <f ca="1">IFERROR(__xludf.DUMMYFUNCTION("""COMPUTED_VALUE"""),199.09)</f>
        <v>199.09</v>
      </c>
      <c r="D1233" s="1">
        <f ca="1">IFERROR(__xludf.DUMMYFUNCTION("""COMPUTED_VALUE"""),196.86)</f>
        <v>196.86</v>
      </c>
      <c r="E1233" s="1">
        <f ca="1">IFERROR(__xludf.DUMMYFUNCTION("""COMPUTED_VALUE"""),197.93)</f>
        <v>197.93</v>
      </c>
      <c r="F1233" s="1">
        <f ca="1">IFERROR(__xludf.DUMMYFUNCTION("""COMPUTED_VALUE"""),12130985)</f>
        <v>12130985</v>
      </c>
    </row>
    <row r="1234" spans="1:6" x14ac:dyDescent="0.35">
      <c r="A1234" s="2">
        <f ca="1">IFERROR(__xludf.DUMMYFUNCTION("""COMPUTED_VALUE"""),43791.6666666666)</f>
        <v>43791.666666666599</v>
      </c>
      <c r="B1234" s="1">
        <f ca="1">IFERROR(__xludf.DUMMYFUNCTION("""COMPUTED_VALUE"""),198.38)</f>
        <v>198.38</v>
      </c>
      <c r="C1234" s="1">
        <f ca="1">IFERROR(__xludf.DUMMYFUNCTION("""COMPUTED_VALUE"""),199.3)</f>
        <v>199.3</v>
      </c>
      <c r="D1234" s="1">
        <f ca="1">IFERROR(__xludf.DUMMYFUNCTION("""COMPUTED_VALUE"""),197.62)</f>
        <v>197.62</v>
      </c>
      <c r="E1234" s="1">
        <f ca="1">IFERROR(__xludf.DUMMYFUNCTION("""COMPUTED_VALUE"""),198.82)</f>
        <v>198.82</v>
      </c>
      <c r="F1234" s="1">
        <f ca="1">IFERROR(__xludf.DUMMYFUNCTION("""COMPUTED_VALUE"""),9959817)</f>
        <v>9959817</v>
      </c>
    </row>
    <row r="1235" spans="1:6" x14ac:dyDescent="0.35">
      <c r="A1235" s="2">
        <f ca="1">IFERROR(__xludf.DUMMYFUNCTION("""COMPUTED_VALUE"""),43794.6666666666)</f>
        <v>43794.666666666599</v>
      </c>
      <c r="B1235" s="1">
        <f ca="1">IFERROR(__xludf.DUMMYFUNCTION("""COMPUTED_VALUE"""),199.52)</f>
        <v>199.52</v>
      </c>
      <c r="C1235" s="1">
        <f ca="1">IFERROR(__xludf.DUMMYFUNCTION("""COMPUTED_VALUE"""),200.97)</f>
        <v>200.97</v>
      </c>
      <c r="D1235" s="1">
        <f ca="1">IFERROR(__xludf.DUMMYFUNCTION("""COMPUTED_VALUE"""),199.25)</f>
        <v>199.25</v>
      </c>
      <c r="E1235" s="1">
        <f ca="1">IFERROR(__xludf.DUMMYFUNCTION("""COMPUTED_VALUE"""),199.79)</f>
        <v>199.79</v>
      </c>
      <c r="F1235" s="1">
        <f ca="1">IFERROR(__xludf.DUMMYFUNCTION("""COMPUTED_VALUE"""),15286442)</f>
        <v>15286442</v>
      </c>
    </row>
    <row r="1236" spans="1:6" x14ac:dyDescent="0.35">
      <c r="A1236" s="2">
        <f ca="1">IFERROR(__xludf.DUMMYFUNCTION("""COMPUTED_VALUE"""),43795.6666666666)</f>
        <v>43795.666666666599</v>
      </c>
      <c r="B1236" s="1">
        <f ca="1">IFERROR(__xludf.DUMMYFUNCTION("""COMPUTED_VALUE"""),200)</f>
        <v>200</v>
      </c>
      <c r="C1236" s="1">
        <f ca="1">IFERROR(__xludf.DUMMYFUNCTION("""COMPUTED_VALUE"""),200.15)</f>
        <v>200.15</v>
      </c>
      <c r="D1236" s="1">
        <f ca="1">IFERROR(__xludf.DUMMYFUNCTION("""COMPUTED_VALUE"""),198.04)</f>
        <v>198.04</v>
      </c>
      <c r="E1236" s="1">
        <f ca="1">IFERROR(__xludf.DUMMYFUNCTION("""COMPUTED_VALUE"""),198.97)</f>
        <v>198.97</v>
      </c>
      <c r="F1236" s="1">
        <f ca="1">IFERROR(__xludf.DUMMYFUNCTION("""COMPUTED_VALUE"""),11748664)</f>
        <v>11748664</v>
      </c>
    </row>
    <row r="1237" spans="1:6" x14ac:dyDescent="0.35">
      <c r="A1237" s="2">
        <f ca="1">IFERROR(__xludf.DUMMYFUNCTION("""COMPUTED_VALUE"""),43796.6666666666)</f>
        <v>43796.666666666599</v>
      </c>
      <c r="B1237" s="1">
        <f ca="1">IFERROR(__xludf.DUMMYFUNCTION("""COMPUTED_VALUE"""),199.9)</f>
        <v>199.9</v>
      </c>
      <c r="C1237" s="1">
        <f ca="1">IFERROR(__xludf.DUMMYFUNCTION("""COMPUTED_VALUE"""),203.14)</f>
        <v>203.14</v>
      </c>
      <c r="D1237" s="1">
        <f ca="1">IFERROR(__xludf.DUMMYFUNCTION("""COMPUTED_VALUE"""),199.42)</f>
        <v>199.42</v>
      </c>
      <c r="E1237" s="1">
        <f ca="1">IFERROR(__xludf.DUMMYFUNCTION("""COMPUTED_VALUE"""),202)</f>
        <v>202</v>
      </c>
      <c r="F1237" s="1">
        <f ca="1">IFERROR(__xludf.DUMMYFUNCTION("""COMPUTED_VALUE"""),12760568)</f>
        <v>12760568</v>
      </c>
    </row>
    <row r="1238" spans="1:6" x14ac:dyDescent="0.35">
      <c r="A1238" s="2">
        <f ca="1">IFERROR(__xludf.DUMMYFUNCTION("""COMPUTED_VALUE"""),43798.5416666666)</f>
        <v>43798.541666666599</v>
      </c>
      <c r="B1238" s="1">
        <f ca="1">IFERROR(__xludf.DUMMYFUNCTION("""COMPUTED_VALUE"""),201.6)</f>
        <v>201.6</v>
      </c>
      <c r="C1238" s="1">
        <f ca="1">IFERROR(__xludf.DUMMYFUNCTION("""COMPUTED_VALUE"""),203.8)</f>
        <v>203.8</v>
      </c>
      <c r="D1238" s="1">
        <f ca="1">IFERROR(__xludf.DUMMYFUNCTION("""COMPUTED_VALUE"""),201.21)</f>
        <v>201.21</v>
      </c>
      <c r="E1238" s="1">
        <f ca="1">IFERROR(__xludf.DUMMYFUNCTION("""COMPUTED_VALUE"""),201.64)</f>
        <v>201.64</v>
      </c>
      <c r="F1238" s="1">
        <f ca="1">IFERROR(__xludf.DUMMYFUNCTION("""COMPUTED_VALUE"""),7985231)</f>
        <v>7985231</v>
      </c>
    </row>
    <row r="1239" spans="1:6" x14ac:dyDescent="0.35">
      <c r="A1239" s="2">
        <f ca="1">IFERROR(__xludf.DUMMYFUNCTION("""COMPUTED_VALUE"""),43801.6666666666)</f>
        <v>43801.666666666599</v>
      </c>
      <c r="B1239" s="1">
        <f ca="1">IFERROR(__xludf.DUMMYFUNCTION("""COMPUTED_VALUE"""),202.13)</f>
        <v>202.13</v>
      </c>
      <c r="C1239" s="1">
        <f ca="1">IFERROR(__xludf.DUMMYFUNCTION("""COMPUTED_VALUE"""),202.18)</f>
        <v>202.18</v>
      </c>
      <c r="D1239" s="1">
        <f ca="1">IFERROR(__xludf.DUMMYFUNCTION("""COMPUTED_VALUE"""),198.05)</f>
        <v>198.05</v>
      </c>
      <c r="E1239" s="1">
        <f ca="1">IFERROR(__xludf.DUMMYFUNCTION("""COMPUTED_VALUE"""),199.7)</f>
        <v>199.7</v>
      </c>
      <c r="F1239" s="1">
        <f ca="1">IFERROR(__xludf.DUMMYFUNCTION("""COMPUTED_VALUE"""),11542020)</f>
        <v>11542020</v>
      </c>
    </row>
    <row r="1240" spans="1:6" x14ac:dyDescent="0.35">
      <c r="A1240" s="2">
        <f ca="1">IFERROR(__xludf.DUMMYFUNCTION("""COMPUTED_VALUE"""),43802.6666666666)</f>
        <v>43802.666666666599</v>
      </c>
      <c r="B1240" s="1">
        <f ca="1">IFERROR(__xludf.DUMMYFUNCTION("""COMPUTED_VALUE"""),197.6)</f>
        <v>197.6</v>
      </c>
      <c r="C1240" s="1">
        <f ca="1">IFERROR(__xludf.DUMMYFUNCTION("""COMPUTED_VALUE"""),198.93)</f>
        <v>198.93</v>
      </c>
      <c r="D1240" s="1">
        <f ca="1">IFERROR(__xludf.DUMMYFUNCTION("""COMPUTED_VALUE"""),195.08)</f>
        <v>195.08</v>
      </c>
      <c r="E1240" s="1">
        <f ca="1">IFERROR(__xludf.DUMMYFUNCTION("""COMPUTED_VALUE"""),198.82)</f>
        <v>198.82</v>
      </c>
      <c r="F1240" s="1">
        <f ca="1">IFERROR(__xludf.DUMMYFUNCTION("""COMPUTED_VALUE"""),13014170)</f>
        <v>13014170</v>
      </c>
    </row>
    <row r="1241" spans="1:6" x14ac:dyDescent="0.35">
      <c r="A1241" s="2">
        <f ca="1">IFERROR(__xludf.DUMMYFUNCTION("""COMPUTED_VALUE"""),43803.6666666666)</f>
        <v>43803.666666666599</v>
      </c>
      <c r="B1241" s="1">
        <f ca="1">IFERROR(__xludf.DUMMYFUNCTION("""COMPUTED_VALUE"""),200)</f>
        <v>200</v>
      </c>
      <c r="C1241" s="1">
        <f ca="1">IFERROR(__xludf.DUMMYFUNCTION("""COMPUTED_VALUE"""),200.03)</f>
        <v>200.03</v>
      </c>
      <c r="D1241" s="1">
        <f ca="1">IFERROR(__xludf.DUMMYFUNCTION("""COMPUTED_VALUE"""),198.05)</f>
        <v>198.05</v>
      </c>
      <c r="E1241" s="1">
        <f ca="1">IFERROR(__xludf.DUMMYFUNCTION("""COMPUTED_VALUE"""),198.71)</f>
        <v>198.71</v>
      </c>
      <c r="F1241" s="1">
        <f ca="1">IFERROR(__xludf.DUMMYFUNCTION("""COMPUTED_VALUE"""),8459939)</f>
        <v>8459939</v>
      </c>
    </row>
    <row r="1242" spans="1:6" x14ac:dyDescent="0.35">
      <c r="A1242" s="2">
        <f ca="1">IFERROR(__xludf.DUMMYFUNCTION("""COMPUTED_VALUE"""),43804.6666666666)</f>
        <v>43804.666666666599</v>
      </c>
      <c r="B1242" s="1">
        <f ca="1">IFERROR(__xludf.DUMMYFUNCTION("""COMPUTED_VALUE"""),199.86)</f>
        <v>199.86</v>
      </c>
      <c r="C1242" s="1">
        <f ca="1">IFERROR(__xludf.DUMMYFUNCTION("""COMPUTED_VALUE"""),201.29)</f>
        <v>201.29</v>
      </c>
      <c r="D1242" s="1">
        <f ca="1">IFERROR(__xludf.DUMMYFUNCTION("""COMPUTED_VALUE"""),198.21)</f>
        <v>198.21</v>
      </c>
      <c r="E1242" s="1">
        <f ca="1">IFERROR(__xludf.DUMMYFUNCTION("""COMPUTED_VALUE"""),199.36)</f>
        <v>199.36</v>
      </c>
      <c r="F1242" s="1">
        <f ca="1">IFERROR(__xludf.DUMMYFUNCTION("""COMPUTED_VALUE"""),9755350)</f>
        <v>9755350</v>
      </c>
    </row>
    <row r="1243" spans="1:6" x14ac:dyDescent="0.35">
      <c r="A1243" s="2">
        <f ca="1">IFERROR(__xludf.DUMMYFUNCTION("""COMPUTED_VALUE"""),43805.6666666666)</f>
        <v>43805.666666666599</v>
      </c>
      <c r="B1243" s="1">
        <f ca="1">IFERROR(__xludf.DUMMYFUNCTION("""COMPUTED_VALUE"""),200.5)</f>
        <v>200.5</v>
      </c>
      <c r="C1243" s="1">
        <f ca="1">IFERROR(__xludf.DUMMYFUNCTION("""COMPUTED_VALUE"""),201.57)</f>
        <v>201.57</v>
      </c>
      <c r="D1243" s="1">
        <f ca="1">IFERROR(__xludf.DUMMYFUNCTION("""COMPUTED_VALUE"""),200.06)</f>
        <v>200.06</v>
      </c>
      <c r="E1243" s="1">
        <f ca="1">IFERROR(__xludf.DUMMYFUNCTION("""COMPUTED_VALUE"""),201.05)</f>
        <v>201.05</v>
      </c>
      <c r="F1243" s="1">
        <f ca="1">IFERROR(__xludf.DUMMYFUNCTION("""COMPUTED_VALUE"""),12279525)</f>
        <v>12279525</v>
      </c>
    </row>
    <row r="1244" spans="1:6" x14ac:dyDescent="0.35">
      <c r="A1244" s="2">
        <f ca="1">IFERROR(__xludf.DUMMYFUNCTION("""COMPUTED_VALUE"""),43808.6666666666)</f>
        <v>43808.666666666599</v>
      </c>
      <c r="B1244" s="1">
        <f ca="1">IFERROR(__xludf.DUMMYFUNCTION("""COMPUTED_VALUE"""),200.65)</f>
        <v>200.65</v>
      </c>
      <c r="C1244" s="1">
        <f ca="1">IFERROR(__xludf.DUMMYFUNCTION("""COMPUTED_VALUE"""),203.14)</f>
        <v>203.14</v>
      </c>
      <c r="D1244" s="1">
        <f ca="1">IFERROR(__xludf.DUMMYFUNCTION("""COMPUTED_VALUE"""),200.21)</f>
        <v>200.21</v>
      </c>
      <c r="E1244" s="1">
        <f ca="1">IFERROR(__xludf.DUMMYFUNCTION("""COMPUTED_VALUE"""),201.34)</f>
        <v>201.34</v>
      </c>
      <c r="F1244" s="1">
        <f ca="1">IFERROR(__xludf.DUMMYFUNCTION("""COMPUTED_VALUE"""),12013218)</f>
        <v>12013218</v>
      </c>
    </row>
    <row r="1245" spans="1:6" x14ac:dyDescent="0.35">
      <c r="A1245" s="2">
        <f ca="1">IFERROR(__xludf.DUMMYFUNCTION("""COMPUTED_VALUE"""),43809.6666666666)</f>
        <v>43809.666666666599</v>
      </c>
      <c r="B1245" s="1">
        <f ca="1">IFERROR(__xludf.DUMMYFUNCTION("""COMPUTED_VALUE"""),201.66)</f>
        <v>201.66</v>
      </c>
      <c r="C1245" s="1">
        <f ca="1">IFERROR(__xludf.DUMMYFUNCTION("""COMPUTED_VALUE"""),202.05)</f>
        <v>202.05</v>
      </c>
      <c r="D1245" s="1">
        <f ca="1">IFERROR(__xludf.DUMMYFUNCTION("""COMPUTED_VALUE"""),200.15)</f>
        <v>200.15</v>
      </c>
      <c r="E1245" s="1">
        <f ca="1">IFERROR(__xludf.DUMMYFUNCTION("""COMPUTED_VALUE"""),200.87)</f>
        <v>200.87</v>
      </c>
      <c r="F1245" s="1">
        <f ca="1">IFERROR(__xludf.DUMMYFUNCTION("""COMPUTED_VALUE"""),9485568)</f>
        <v>9485568</v>
      </c>
    </row>
    <row r="1246" spans="1:6" x14ac:dyDescent="0.35">
      <c r="A1246" s="2">
        <f ca="1">IFERROR(__xludf.DUMMYFUNCTION("""COMPUTED_VALUE"""),43810.6666666666)</f>
        <v>43810.666666666599</v>
      </c>
      <c r="B1246" s="1">
        <f ca="1">IFERROR(__xludf.DUMMYFUNCTION("""COMPUTED_VALUE"""),200.28)</f>
        <v>200.28</v>
      </c>
      <c r="C1246" s="1">
        <f ca="1">IFERROR(__xludf.DUMMYFUNCTION("""COMPUTED_VALUE"""),202.63)</f>
        <v>202.63</v>
      </c>
      <c r="D1246" s="1">
        <f ca="1">IFERROR(__xludf.DUMMYFUNCTION("""COMPUTED_VALUE"""),200.28)</f>
        <v>200.28</v>
      </c>
      <c r="E1246" s="1">
        <f ca="1">IFERROR(__xludf.DUMMYFUNCTION("""COMPUTED_VALUE"""),202.26)</f>
        <v>202.26</v>
      </c>
      <c r="F1246" s="1">
        <f ca="1">IFERROR(__xludf.DUMMYFUNCTION("""COMPUTED_VALUE"""),8041827)</f>
        <v>8041827</v>
      </c>
    </row>
    <row r="1247" spans="1:6" x14ac:dyDescent="0.35">
      <c r="A1247" s="2">
        <f ca="1">IFERROR(__xludf.DUMMYFUNCTION("""COMPUTED_VALUE"""),43811.6666666666)</f>
        <v>43811.666666666599</v>
      </c>
      <c r="B1247" s="1">
        <f ca="1">IFERROR(__xludf.DUMMYFUNCTION("""COMPUTED_VALUE"""),202.35)</f>
        <v>202.35</v>
      </c>
      <c r="C1247" s="1">
        <f ca="1">IFERROR(__xludf.DUMMYFUNCTION("""COMPUTED_VALUE"""),203.66)</f>
        <v>203.66</v>
      </c>
      <c r="D1247" s="1">
        <f ca="1">IFERROR(__xludf.DUMMYFUNCTION("""COMPUTED_VALUE"""),194.1)</f>
        <v>194.1</v>
      </c>
      <c r="E1247" s="1">
        <f ca="1">IFERROR(__xludf.DUMMYFUNCTION("""COMPUTED_VALUE"""),196.75)</f>
        <v>196.75</v>
      </c>
      <c r="F1247" s="1">
        <f ca="1">IFERROR(__xludf.DUMMYFUNCTION("""COMPUTED_VALUE"""),23766986)</f>
        <v>23766986</v>
      </c>
    </row>
    <row r="1248" spans="1:6" x14ac:dyDescent="0.35">
      <c r="A1248" s="2">
        <f ca="1">IFERROR(__xludf.DUMMYFUNCTION("""COMPUTED_VALUE"""),43812.6666666666)</f>
        <v>43812.666666666599</v>
      </c>
      <c r="B1248" s="1">
        <f ca="1">IFERROR(__xludf.DUMMYFUNCTION("""COMPUTED_VALUE"""),196.4)</f>
        <v>196.4</v>
      </c>
      <c r="C1248" s="1">
        <f ca="1">IFERROR(__xludf.DUMMYFUNCTION("""COMPUTED_VALUE"""),196.8)</f>
        <v>196.8</v>
      </c>
      <c r="D1248" s="1">
        <f ca="1">IFERROR(__xludf.DUMMYFUNCTION("""COMPUTED_VALUE"""),193.17)</f>
        <v>193.17</v>
      </c>
      <c r="E1248" s="1">
        <f ca="1">IFERROR(__xludf.DUMMYFUNCTION("""COMPUTED_VALUE"""),194.11)</f>
        <v>194.11</v>
      </c>
      <c r="F1248" s="1">
        <f ca="1">IFERROR(__xludf.DUMMYFUNCTION("""COMPUTED_VALUE"""),18806020)</f>
        <v>18806020</v>
      </c>
    </row>
    <row r="1249" spans="1:6" x14ac:dyDescent="0.35">
      <c r="A1249" s="2">
        <f ca="1">IFERROR(__xludf.DUMMYFUNCTION("""COMPUTED_VALUE"""),43815.6666666666)</f>
        <v>43815.666666666599</v>
      </c>
      <c r="B1249" s="1">
        <f ca="1">IFERROR(__xludf.DUMMYFUNCTION("""COMPUTED_VALUE"""),195.27)</f>
        <v>195.27</v>
      </c>
      <c r="C1249" s="1">
        <f ca="1">IFERROR(__xludf.DUMMYFUNCTION("""COMPUTED_VALUE"""),199.12)</f>
        <v>199.12</v>
      </c>
      <c r="D1249" s="1">
        <f ca="1">IFERROR(__xludf.DUMMYFUNCTION("""COMPUTED_VALUE"""),194.81)</f>
        <v>194.81</v>
      </c>
      <c r="E1249" s="1">
        <f ca="1">IFERROR(__xludf.DUMMYFUNCTION("""COMPUTED_VALUE"""),197.92)</f>
        <v>197.92</v>
      </c>
      <c r="F1249" s="1">
        <f ca="1">IFERROR(__xludf.DUMMYFUNCTION("""COMPUTED_VALUE"""),14922733)</f>
        <v>14922733</v>
      </c>
    </row>
    <row r="1250" spans="1:6" x14ac:dyDescent="0.35">
      <c r="A1250" s="2">
        <f ca="1">IFERROR(__xludf.DUMMYFUNCTION("""COMPUTED_VALUE"""),43816.6666666666)</f>
        <v>43816.666666666599</v>
      </c>
      <c r="B1250" s="1">
        <f ca="1">IFERROR(__xludf.DUMMYFUNCTION("""COMPUTED_VALUE"""),198.84)</f>
        <v>198.84</v>
      </c>
      <c r="C1250" s="1">
        <f ca="1">IFERROR(__xludf.DUMMYFUNCTION("""COMPUTED_VALUE"""),199)</f>
        <v>199</v>
      </c>
      <c r="D1250" s="1">
        <f ca="1">IFERROR(__xludf.DUMMYFUNCTION("""COMPUTED_VALUE"""),196.13)</f>
        <v>196.13</v>
      </c>
      <c r="E1250" s="1">
        <f ca="1">IFERROR(__xludf.DUMMYFUNCTION("""COMPUTED_VALUE"""),198.39)</f>
        <v>198.39</v>
      </c>
      <c r="F1250" s="1">
        <f ca="1">IFERROR(__xludf.DUMMYFUNCTION("""COMPUTED_VALUE"""),10177605)</f>
        <v>10177605</v>
      </c>
    </row>
    <row r="1251" spans="1:6" x14ac:dyDescent="0.35">
      <c r="A1251" s="2">
        <f ca="1">IFERROR(__xludf.DUMMYFUNCTION("""COMPUTED_VALUE"""),43817.6666666666)</f>
        <v>43817.666666666599</v>
      </c>
      <c r="B1251" s="1">
        <f ca="1">IFERROR(__xludf.DUMMYFUNCTION("""COMPUTED_VALUE"""),200.09)</f>
        <v>200.09</v>
      </c>
      <c r="C1251" s="1">
        <f ca="1">IFERROR(__xludf.DUMMYFUNCTION("""COMPUTED_VALUE"""),204.3)</f>
        <v>204.3</v>
      </c>
      <c r="D1251" s="1">
        <f ca="1">IFERROR(__xludf.DUMMYFUNCTION("""COMPUTED_VALUE"""),200.09)</f>
        <v>200.09</v>
      </c>
      <c r="E1251" s="1">
        <f ca="1">IFERROR(__xludf.DUMMYFUNCTION("""COMPUTED_VALUE"""),202.5)</f>
        <v>202.5</v>
      </c>
      <c r="F1251" s="1">
        <f ca="1">IFERROR(__xludf.DUMMYFUNCTION("""COMPUTED_VALUE"""),23284746)</f>
        <v>23284746</v>
      </c>
    </row>
    <row r="1252" spans="1:6" x14ac:dyDescent="0.35">
      <c r="A1252" s="2">
        <f ca="1">IFERROR(__xludf.DUMMYFUNCTION("""COMPUTED_VALUE"""),43818.6666666666)</f>
        <v>43818.666666666599</v>
      </c>
      <c r="B1252" s="1">
        <f ca="1">IFERROR(__xludf.DUMMYFUNCTION("""COMPUTED_VALUE"""),202.78)</f>
        <v>202.78</v>
      </c>
      <c r="C1252" s="1">
        <f ca="1">IFERROR(__xludf.DUMMYFUNCTION("""COMPUTED_VALUE"""),206.3)</f>
        <v>206.3</v>
      </c>
      <c r="D1252" s="1">
        <f ca="1">IFERROR(__xludf.DUMMYFUNCTION("""COMPUTED_VALUE"""),202.51)</f>
        <v>202.51</v>
      </c>
      <c r="E1252" s="1">
        <f ca="1">IFERROR(__xludf.DUMMYFUNCTION("""COMPUTED_VALUE"""),206.06)</f>
        <v>206.06</v>
      </c>
      <c r="F1252" s="1">
        <f ca="1">IFERROR(__xludf.DUMMYFUNCTION("""COMPUTED_VALUE"""),16808184)</f>
        <v>16808184</v>
      </c>
    </row>
    <row r="1253" spans="1:6" x14ac:dyDescent="0.35">
      <c r="A1253" s="2">
        <f ca="1">IFERROR(__xludf.DUMMYFUNCTION("""COMPUTED_VALUE"""),43819.6666666666)</f>
        <v>43819.666666666599</v>
      </c>
      <c r="B1253" s="1">
        <f ca="1">IFERROR(__xludf.DUMMYFUNCTION("""COMPUTED_VALUE"""),207.48)</f>
        <v>207.48</v>
      </c>
      <c r="C1253" s="1">
        <f ca="1">IFERROR(__xludf.DUMMYFUNCTION("""COMPUTED_VALUE"""),207.71)</f>
        <v>207.71</v>
      </c>
      <c r="D1253" s="1">
        <f ca="1">IFERROR(__xludf.DUMMYFUNCTION("""COMPUTED_VALUE"""),203.43)</f>
        <v>203.43</v>
      </c>
      <c r="E1253" s="1">
        <f ca="1">IFERROR(__xludf.DUMMYFUNCTION("""COMPUTED_VALUE"""),206.3)</f>
        <v>206.3</v>
      </c>
      <c r="F1253" s="1">
        <f ca="1">IFERROR(__xludf.DUMMYFUNCTION("""COMPUTED_VALUE"""),27315226)</f>
        <v>27315226</v>
      </c>
    </row>
    <row r="1254" spans="1:6" x14ac:dyDescent="0.35">
      <c r="A1254" s="2">
        <f ca="1">IFERROR(__xludf.DUMMYFUNCTION("""COMPUTED_VALUE"""),43822.6666666666)</f>
        <v>43822.666666666599</v>
      </c>
      <c r="B1254" s="1">
        <f ca="1">IFERROR(__xludf.DUMMYFUNCTION("""COMPUTED_VALUE"""),206.7)</f>
        <v>206.7</v>
      </c>
      <c r="C1254" s="1">
        <f ca="1">IFERROR(__xludf.DUMMYFUNCTION("""COMPUTED_VALUE"""),208.59)</f>
        <v>208.59</v>
      </c>
      <c r="D1254" s="1">
        <f ca="1">IFERROR(__xludf.DUMMYFUNCTION("""COMPUTED_VALUE"""),205.68)</f>
        <v>205.68</v>
      </c>
      <c r="E1254" s="1">
        <f ca="1">IFERROR(__xludf.DUMMYFUNCTION("""COMPUTED_VALUE"""),206.18)</f>
        <v>206.18</v>
      </c>
      <c r="F1254" s="1">
        <f ca="1">IFERROR(__xludf.DUMMYFUNCTION("""COMPUTED_VALUE"""),13353194)</f>
        <v>13353194</v>
      </c>
    </row>
    <row r="1255" spans="1:6" x14ac:dyDescent="0.35">
      <c r="A1255" s="2">
        <f ca="1">IFERROR(__xludf.DUMMYFUNCTION("""COMPUTED_VALUE"""),43823.5416666666)</f>
        <v>43823.541666666599</v>
      </c>
      <c r="B1255" s="1">
        <f ca="1">IFERROR(__xludf.DUMMYFUNCTION("""COMPUTED_VALUE"""),206.3)</f>
        <v>206.3</v>
      </c>
      <c r="C1255" s="1">
        <f ca="1">IFERROR(__xludf.DUMMYFUNCTION("""COMPUTED_VALUE"""),206.79)</f>
        <v>206.79</v>
      </c>
      <c r="D1255" s="1">
        <f ca="1">IFERROR(__xludf.DUMMYFUNCTION("""COMPUTED_VALUE"""),205)</f>
        <v>205</v>
      </c>
      <c r="E1255" s="1">
        <f ca="1">IFERROR(__xludf.DUMMYFUNCTION("""COMPUTED_VALUE"""),205.12)</f>
        <v>205.12</v>
      </c>
      <c r="F1255" s="1">
        <f ca="1">IFERROR(__xludf.DUMMYFUNCTION("""COMPUTED_VALUE"""),6046273)</f>
        <v>6046273</v>
      </c>
    </row>
    <row r="1256" spans="1:6" x14ac:dyDescent="0.35">
      <c r="A1256" s="2">
        <f ca="1">IFERROR(__xludf.DUMMYFUNCTION("""COMPUTED_VALUE"""),43825.6666666666)</f>
        <v>43825.666666666599</v>
      </c>
      <c r="B1256" s="1">
        <f ca="1">IFERROR(__xludf.DUMMYFUNCTION("""COMPUTED_VALUE"""),205.57)</f>
        <v>205.57</v>
      </c>
      <c r="C1256" s="1">
        <f ca="1">IFERROR(__xludf.DUMMYFUNCTION("""COMPUTED_VALUE"""),207.82)</f>
        <v>207.82</v>
      </c>
      <c r="D1256" s="1">
        <f ca="1">IFERROR(__xludf.DUMMYFUNCTION("""COMPUTED_VALUE"""),205.31)</f>
        <v>205.31</v>
      </c>
      <c r="E1256" s="1">
        <f ca="1">IFERROR(__xludf.DUMMYFUNCTION("""COMPUTED_VALUE"""),207.79)</f>
        <v>207.79</v>
      </c>
      <c r="F1256" s="1">
        <f ca="1">IFERROR(__xludf.DUMMYFUNCTION("""COMPUTED_VALUE"""),9368273)</f>
        <v>9368273</v>
      </c>
    </row>
    <row r="1257" spans="1:6" x14ac:dyDescent="0.35">
      <c r="A1257" s="2">
        <f ca="1">IFERROR(__xludf.DUMMYFUNCTION("""COMPUTED_VALUE"""),43826.6666666666)</f>
        <v>43826.666666666599</v>
      </c>
      <c r="B1257" s="1">
        <f ca="1">IFERROR(__xludf.DUMMYFUNCTION("""COMPUTED_VALUE"""),208.67)</f>
        <v>208.67</v>
      </c>
      <c r="C1257" s="1">
        <f ca="1">IFERROR(__xludf.DUMMYFUNCTION("""COMPUTED_VALUE"""),208.93)</f>
        <v>208.93</v>
      </c>
      <c r="D1257" s="1">
        <f ca="1">IFERROR(__xludf.DUMMYFUNCTION("""COMPUTED_VALUE"""),206.59)</f>
        <v>206.59</v>
      </c>
      <c r="E1257" s="1">
        <f ca="1">IFERROR(__xludf.DUMMYFUNCTION("""COMPUTED_VALUE"""),208.1)</f>
        <v>208.1</v>
      </c>
      <c r="F1257" s="1">
        <f ca="1">IFERROR(__xludf.DUMMYFUNCTION("""COMPUTED_VALUE"""),10287634)</f>
        <v>10287634</v>
      </c>
    </row>
    <row r="1258" spans="1:6" x14ac:dyDescent="0.35">
      <c r="A1258" s="2">
        <f ca="1">IFERROR(__xludf.DUMMYFUNCTION("""COMPUTED_VALUE"""),43829.6666666666)</f>
        <v>43829.666666666599</v>
      </c>
      <c r="B1258" s="1">
        <f ca="1">IFERROR(__xludf.DUMMYFUNCTION("""COMPUTED_VALUE"""),207.86)</f>
        <v>207.86</v>
      </c>
      <c r="C1258" s="1">
        <f ca="1">IFERROR(__xludf.DUMMYFUNCTION("""COMPUTED_VALUE"""),207.9)</f>
        <v>207.9</v>
      </c>
      <c r="D1258" s="1">
        <f ca="1">IFERROR(__xludf.DUMMYFUNCTION("""COMPUTED_VALUE"""),203.9)</f>
        <v>203.9</v>
      </c>
      <c r="E1258" s="1">
        <f ca="1">IFERROR(__xludf.DUMMYFUNCTION("""COMPUTED_VALUE"""),204.41)</f>
        <v>204.41</v>
      </c>
      <c r="F1258" s="1">
        <f ca="1">IFERROR(__xludf.DUMMYFUNCTION("""COMPUTED_VALUE"""),10534441)</f>
        <v>10534441</v>
      </c>
    </row>
    <row r="1259" spans="1:6" x14ac:dyDescent="0.35">
      <c r="A1259" s="2">
        <f ca="1">IFERROR(__xludf.DUMMYFUNCTION("""COMPUTED_VALUE"""),43830.6666666666)</f>
        <v>43830.666666666599</v>
      </c>
      <c r="B1259" s="1">
        <f ca="1">IFERROR(__xludf.DUMMYFUNCTION("""COMPUTED_VALUE"""),204)</f>
        <v>204</v>
      </c>
      <c r="C1259" s="1">
        <f ca="1">IFERROR(__xludf.DUMMYFUNCTION("""COMPUTED_VALUE"""),205.56)</f>
        <v>205.56</v>
      </c>
      <c r="D1259" s="1">
        <f ca="1">IFERROR(__xludf.DUMMYFUNCTION("""COMPUTED_VALUE"""),203.6)</f>
        <v>203.6</v>
      </c>
      <c r="E1259" s="1">
        <f ca="1">IFERROR(__xludf.DUMMYFUNCTION("""COMPUTED_VALUE"""),205.25)</f>
        <v>205.25</v>
      </c>
      <c r="F1259" s="1">
        <f ca="1">IFERROR(__xludf.DUMMYFUNCTION("""COMPUTED_VALUE"""),8962756)</f>
        <v>8962756</v>
      </c>
    </row>
    <row r="1260" spans="1:6" x14ac:dyDescent="0.35">
      <c r="A1260" s="2">
        <f ca="1">IFERROR(__xludf.DUMMYFUNCTION("""COMPUTED_VALUE"""),43832.6666666666)</f>
        <v>43832.666666666599</v>
      </c>
      <c r="B1260" s="1">
        <f ca="1">IFERROR(__xludf.DUMMYFUNCTION("""COMPUTED_VALUE"""),206.75)</f>
        <v>206.75</v>
      </c>
      <c r="C1260" s="1">
        <f ca="1">IFERROR(__xludf.DUMMYFUNCTION("""COMPUTED_VALUE"""),209.79)</f>
        <v>209.79</v>
      </c>
      <c r="D1260" s="1">
        <f ca="1">IFERROR(__xludf.DUMMYFUNCTION("""COMPUTED_VALUE"""),206.27)</f>
        <v>206.27</v>
      </c>
      <c r="E1260" s="1">
        <f ca="1">IFERROR(__xludf.DUMMYFUNCTION("""COMPUTED_VALUE"""),209.78)</f>
        <v>209.78</v>
      </c>
      <c r="F1260" s="1">
        <f ca="1">IFERROR(__xludf.DUMMYFUNCTION("""COMPUTED_VALUE"""),12090707)</f>
        <v>12090707</v>
      </c>
    </row>
    <row r="1261" spans="1:6" x14ac:dyDescent="0.35">
      <c r="A1261" s="2">
        <f ca="1">IFERROR(__xludf.DUMMYFUNCTION("""COMPUTED_VALUE"""),43833.6666666666)</f>
        <v>43833.666666666599</v>
      </c>
      <c r="B1261" s="1">
        <f ca="1">IFERROR(__xludf.DUMMYFUNCTION("""COMPUTED_VALUE"""),207.21)</f>
        <v>207.21</v>
      </c>
      <c r="C1261" s="1">
        <f ca="1">IFERROR(__xludf.DUMMYFUNCTION("""COMPUTED_VALUE"""),210.4)</f>
        <v>210.4</v>
      </c>
      <c r="D1261" s="1">
        <f ca="1">IFERROR(__xludf.DUMMYFUNCTION("""COMPUTED_VALUE"""),206.95)</f>
        <v>206.95</v>
      </c>
      <c r="E1261" s="1">
        <f ca="1">IFERROR(__xludf.DUMMYFUNCTION("""COMPUTED_VALUE"""),208.67)</f>
        <v>208.67</v>
      </c>
      <c r="F1261" s="1">
        <f ca="1">IFERROR(__xludf.DUMMYFUNCTION("""COMPUTED_VALUE"""),11197416)</f>
        <v>11197416</v>
      </c>
    </row>
    <row r="1262" spans="1:6" x14ac:dyDescent="0.35">
      <c r="A1262" s="2">
        <f ca="1">IFERROR(__xludf.DUMMYFUNCTION("""COMPUTED_VALUE"""),43836.6666666666)</f>
        <v>43836.666666666599</v>
      </c>
      <c r="B1262" s="1">
        <f ca="1">IFERROR(__xludf.DUMMYFUNCTION("""COMPUTED_VALUE"""),206.7)</f>
        <v>206.7</v>
      </c>
      <c r="C1262" s="1">
        <f ca="1">IFERROR(__xludf.DUMMYFUNCTION("""COMPUTED_VALUE"""),212.78)</f>
        <v>212.78</v>
      </c>
      <c r="D1262" s="1">
        <f ca="1">IFERROR(__xludf.DUMMYFUNCTION("""COMPUTED_VALUE"""),206.52)</f>
        <v>206.52</v>
      </c>
      <c r="E1262" s="1">
        <f ca="1">IFERROR(__xludf.DUMMYFUNCTION("""COMPUTED_VALUE"""),212.6)</f>
        <v>212.6</v>
      </c>
      <c r="F1262" s="1">
        <f ca="1">IFERROR(__xludf.DUMMYFUNCTION("""COMPUTED_VALUE"""),17073861)</f>
        <v>17073861</v>
      </c>
    </row>
    <row r="1263" spans="1:6" x14ac:dyDescent="0.35">
      <c r="A1263" s="2">
        <f ca="1">IFERROR(__xludf.DUMMYFUNCTION("""COMPUTED_VALUE"""),43837.6666666666)</f>
        <v>43837.666666666599</v>
      </c>
      <c r="B1263" s="1">
        <f ca="1">IFERROR(__xludf.DUMMYFUNCTION("""COMPUTED_VALUE"""),212.82)</f>
        <v>212.82</v>
      </c>
      <c r="C1263" s="1">
        <f ca="1">IFERROR(__xludf.DUMMYFUNCTION("""COMPUTED_VALUE"""),214.58)</f>
        <v>214.58</v>
      </c>
      <c r="D1263" s="1">
        <f ca="1">IFERROR(__xludf.DUMMYFUNCTION("""COMPUTED_VALUE"""),211.75)</f>
        <v>211.75</v>
      </c>
      <c r="E1263" s="1">
        <f ca="1">IFERROR(__xludf.DUMMYFUNCTION("""COMPUTED_VALUE"""),213.06)</f>
        <v>213.06</v>
      </c>
      <c r="F1263" s="1">
        <f ca="1">IFERROR(__xludf.DUMMYFUNCTION("""COMPUTED_VALUE"""),15111857)</f>
        <v>15111857</v>
      </c>
    </row>
    <row r="1264" spans="1:6" x14ac:dyDescent="0.35">
      <c r="A1264" s="2">
        <f ca="1">IFERROR(__xludf.DUMMYFUNCTION("""COMPUTED_VALUE"""),43838.6666666666)</f>
        <v>43838.666666666599</v>
      </c>
      <c r="B1264" s="1">
        <f ca="1">IFERROR(__xludf.DUMMYFUNCTION("""COMPUTED_VALUE"""),213)</f>
        <v>213</v>
      </c>
      <c r="C1264" s="1">
        <f ca="1">IFERROR(__xludf.DUMMYFUNCTION("""COMPUTED_VALUE"""),216.24)</f>
        <v>216.24</v>
      </c>
      <c r="D1264" s="1">
        <f ca="1">IFERROR(__xludf.DUMMYFUNCTION("""COMPUTED_VALUE"""),212.61)</f>
        <v>212.61</v>
      </c>
      <c r="E1264" s="1">
        <f ca="1">IFERROR(__xludf.DUMMYFUNCTION("""COMPUTED_VALUE"""),215.22)</f>
        <v>215.22</v>
      </c>
      <c r="F1264" s="1">
        <f ca="1">IFERROR(__xludf.DUMMYFUNCTION("""COMPUTED_VALUE"""),13492703)</f>
        <v>13492703</v>
      </c>
    </row>
    <row r="1265" spans="1:6" x14ac:dyDescent="0.35">
      <c r="A1265" s="2">
        <f ca="1">IFERROR(__xludf.DUMMYFUNCTION("""COMPUTED_VALUE"""),43839.6666666666)</f>
        <v>43839.666666666599</v>
      </c>
      <c r="B1265" s="1">
        <f ca="1">IFERROR(__xludf.DUMMYFUNCTION("""COMPUTED_VALUE"""),217.54)</f>
        <v>217.54</v>
      </c>
      <c r="C1265" s="1">
        <f ca="1">IFERROR(__xludf.DUMMYFUNCTION("""COMPUTED_VALUE"""),218.38)</f>
        <v>218.38</v>
      </c>
      <c r="D1265" s="1">
        <f ca="1">IFERROR(__xludf.DUMMYFUNCTION("""COMPUTED_VALUE"""),216.28)</f>
        <v>216.28</v>
      </c>
      <c r="E1265" s="1">
        <f ca="1">IFERROR(__xludf.DUMMYFUNCTION("""COMPUTED_VALUE"""),218.3)</f>
        <v>218.3</v>
      </c>
      <c r="F1265" s="1">
        <f ca="1">IFERROR(__xludf.DUMMYFUNCTION("""COMPUTED_VALUE"""),12679579)</f>
        <v>12679579</v>
      </c>
    </row>
    <row r="1266" spans="1:6" x14ac:dyDescent="0.35">
      <c r="A1266" s="2">
        <f ca="1">IFERROR(__xludf.DUMMYFUNCTION("""COMPUTED_VALUE"""),43840.6666666666)</f>
        <v>43840.666666666599</v>
      </c>
      <c r="B1266" s="1">
        <f ca="1">IFERROR(__xludf.DUMMYFUNCTION("""COMPUTED_VALUE"""),219.2)</f>
        <v>219.2</v>
      </c>
      <c r="C1266" s="1">
        <f ca="1">IFERROR(__xludf.DUMMYFUNCTION("""COMPUTED_VALUE"""),219.88)</f>
        <v>219.88</v>
      </c>
      <c r="D1266" s="1">
        <f ca="1">IFERROR(__xludf.DUMMYFUNCTION("""COMPUTED_VALUE"""),217.42)</f>
        <v>217.42</v>
      </c>
      <c r="E1266" s="1">
        <f ca="1">IFERROR(__xludf.DUMMYFUNCTION("""COMPUTED_VALUE"""),218.06)</f>
        <v>218.06</v>
      </c>
      <c r="F1266" s="1">
        <f ca="1">IFERROR(__xludf.DUMMYFUNCTION("""COMPUTED_VALUE"""),12127432)</f>
        <v>12127432</v>
      </c>
    </row>
    <row r="1267" spans="1:6" x14ac:dyDescent="0.35">
      <c r="A1267" s="2">
        <f ca="1">IFERROR(__xludf.DUMMYFUNCTION("""COMPUTED_VALUE"""),43843.6666666666)</f>
        <v>43843.666666666599</v>
      </c>
      <c r="B1267" s="1">
        <f ca="1">IFERROR(__xludf.DUMMYFUNCTION("""COMPUTED_VALUE"""),219.6)</f>
        <v>219.6</v>
      </c>
      <c r="C1267" s="1">
        <f ca="1">IFERROR(__xludf.DUMMYFUNCTION("""COMPUTED_VALUE"""),221.97)</f>
        <v>221.97</v>
      </c>
      <c r="D1267" s="1">
        <f ca="1">IFERROR(__xludf.DUMMYFUNCTION("""COMPUTED_VALUE"""),219.21)</f>
        <v>219.21</v>
      </c>
      <c r="E1267" s="1">
        <f ca="1">IFERROR(__xludf.DUMMYFUNCTION("""COMPUTED_VALUE"""),221.91)</f>
        <v>221.91</v>
      </c>
      <c r="F1267" s="1">
        <f ca="1">IFERROR(__xludf.DUMMYFUNCTION("""COMPUTED_VALUE"""),14494517)</f>
        <v>14494517</v>
      </c>
    </row>
    <row r="1268" spans="1:6" x14ac:dyDescent="0.35">
      <c r="A1268" s="2">
        <f ca="1">IFERROR(__xludf.DUMMYFUNCTION("""COMPUTED_VALUE"""),43844.6666666666)</f>
        <v>43844.666666666599</v>
      </c>
      <c r="B1268" s="1">
        <f ca="1">IFERROR(__xludf.DUMMYFUNCTION("""COMPUTED_VALUE"""),221.61)</f>
        <v>221.61</v>
      </c>
      <c r="C1268" s="1">
        <f ca="1">IFERROR(__xludf.DUMMYFUNCTION("""COMPUTED_VALUE"""),222.38)</f>
        <v>222.38</v>
      </c>
      <c r="D1268" s="1">
        <f ca="1">IFERROR(__xludf.DUMMYFUNCTION("""COMPUTED_VALUE"""),218.63)</f>
        <v>218.63</v>
      </c>
      <c r="E1268" s="1">
        <f ca="1">IFERROR(__xludf.DUMMYFUNCTION("""COMPUTED_VALUE"""),219.06)</f>
        <v>219.06</v>
      </c>
      <c r="F1268" s="1">
        <f ca="1">IFERROR(__xludf.DUMMYFUNCTION("""COMPUTED_VALUE"""),13315361)</f>
        <v>13315361</v>
      </c>
    </row>
    <row r="1269" spans="1:6" x14ac:dyDescent="0.35">
      <c r="A1269" s="2">
        <f ca="1">IFERROR(__xludf.DUMMYFUNCTION("""COMPUTED_VALUE"""),43845.6666666666)</f>
        <v>43845.666666666599</v>
      </c>
      <c r="B1269" s="1">
        <f ca="1">IFERROR(__xludf.DUMMYFUNCTION("""COMPUTED_VALUE"""),220.61)</f>
        <v>220.61</v>
      </c>
      <c r="C1269" s="1">
        <f ca="1">IFERROR(__xludf.DUMMYFUNCTION("""COMPUTED_VALUE"""),221.68)</f>
        <v>221.68</v>
      </c>
      <c r="D1269" s="1">
        <f ca="1">IFERROR(__xludf.DUMMYFUNCTION("""COMPUTED_VALUE"""),220.14)</f>
        <v>220.14</v>
      </c>
      <c r="E1269" s="1">
        <f ca="1">IFERROR(__xludf.DUMMYFUNCTION("""COMPUTED_VALUE"""),221.15)</f>
        <v>221.15</v>
      </c>
      <c r="F1269" s="1">
        <f ca="1">IFERROR(__xludf.DUMMYFUNCTION("""COMPUTED_VALUE"""),10036475)</f>
        <v>10036475</v>
      </c>
    </row>
    <row r="1270" spans="1:6" x14ac:dyDescent="0.35">
      <c r="A1270" s="2">
        <f ca="1">IFERROR(__xludf.DUMMYFUNCTION("""COMPUTED_VALUE"""),43846.6666666666)</f>
        <v>43846.666666666599</v>
      </c>
      <c r="B1270" s="1">
        <f ca="1">IFERROR(__xludf.DUMMYFUNCTION("""COMPUTED_VALUE"""),222.57)</f>
        <v>222.57</v>
      </c>
      <c r="C1270" s="1">
        <f ca="1">IFERROR(__xludf.DUMMYFUNCTION("""COMPUTED_VALUE"""),222.63)</f>
        <v>222.63</v>
      </c>
      <c r="D1270" s="1">
        <f ca="1">IFERROR(__xludf.DUMMYFUNCTION("""COMPUTED_VALUE"""),220.39)</f>
        <v>220.39</v>
      </c>
      <c r="E1270" s="1">
        <f ca="1">IFERROR(__xludf.DUMMYFUNCTION("""COMPUTED_VALUE"""),221.77)</f>
        <v>221.77</v>
      </c>
      <c r="F1270" s="1">
        <f ca="1">IFERROR(__xludf.DUMMYFUNCTION("""COMPUTED_VALUE"""),10015288)</f>
        <v>10015288</v>
      </c>
    </row>
    <row r="1271" spans="1:6" x14ac:dyDescent="0.35">
      <c r="A1271" s="2">
        <f ca="1">IFERROR(__xludf.DUMMYFUNCTION("""COMPUTED_VALUE"""),43847.6666666666)</f>
        <v>43847.666666666599</v>
      </c>
      <c r="B1271" s="1">
        <f ca="1">IFERROR(__xludf.DUMMYFUNCTION("""COMPUTED_VALUE"""),222.03)</f>
        <v>222.03</v>
      </c>
      <c r="C1271" s="1">
        <f ca="1">IFERROR(__xludf.DUMMYFUNCTION("""COMPUTED_VALUE"""),222.29)</f>
        <v>222.29</v>
      </c>
      <c r="D1271" s="1">
        <f ca="1">IFERROR(__xludf.DUMMYFUNCTION("""COMPUTED_VALUE"""),220.53)</f>
        <v>220.53</v>
      </c>
      <c r="E1271" s="1">
        <f ca="1">IFERROR(__xludf.DUMMYFUNCTION("""COMPUTED_VALUE"""),222.14)</f>
        <v>222.14</v>
      </c>
      <c r="F1271" s="1">
        <f ca="1">IFERROR(__xludf.DUMMYFUNCTION("""COMPUTED_VALUE"""),15905944)</f>
        <v>15905944</v>
      </c>
    </row>
    <row r="1272" spans="1:6" x14ac:dyDescent="0.35">
      <c r="A1272" s="2">
        <f ca="1">IFERROR(__xludf.DUMMYFUNCTION("""COMPUTED_VALUE"""),43851.6666666666)</f>
        <v>43851.666666666599</v>
      </c>
      <c r="B1272" s="1">
        <f ca="1">IFERROR(__xludf.DUMMYFUNCTION("""COMPUTED_VALUE"""),222.16)</f>
        <v>222.16</v>
      </c>
      <c r="C1272" s="1">
        <f ca="1">IFERROR(__xludf.DUMMYFUNCTION("""COMPUTED_VALUE"""),222.37)</f>
        <v>222.37</v>
      </c>
      <c r="D1272" s="1">
        <f ca="1">IFERROR(__xludf.DUMMYFUNCTION("""COMPUTED_VALUE"""),219.12)</f>
        <v>219.12</v>
      </c>
      <c r="E1272" s="1">
        <f ca="1">IFERROR(__xludf.DUMMYFUNCTION("""COMPUTED_VALUE"""),221.44)</f>
        <v>221.44</v>
      </c>
      <c r="F1272" s="1">
        <f ca="1">IFERROR(__xludf.DUMMYFUNCTION("""COMPUTED_VALUE"""),14275784)</f>
        <v>14275784</v>
      </c>
    </row>
    <row r="1273" spans="1:6" x14ac:dyDescent="0.35">
      <c r="A1273" s="2">
        <f ca="1">IFERROR(__xludf.DUMMYFUNCTION("""COMPUTED_VALUE"""),43852.6666666666)</f>
        <v>43852.666666666599</v>
      </c>
      <c r="B1273" s="1">
        <f ca="1">IFERROR(__xludf.DUMMYFUNCTION("""COMPUTED_VALUE"""),222.31)</f>
        <v>222.31</v>
      </c>
      <c r="C1273" s="1">
        <f ca="1">IFERROR(__xludf.DUMMYFUNCTION("""COMPUTED_VALUE"""),222.75)</f>
        <v>222.75</v>
      </c>
      <c r="D1273" s="1">
        <f ca="1">IFERROR(__xludf.DUMMYFUNCTION("""COMPUTED_VALUE"""),221.28)</f>
        <v>221.28</v>
      </c>
      <c r="E1273" s="1">
        <f ca="1">IFERROR(__xludf.DUMMYFUNCTION("""COMPUTED_VALUE"""),221.32)</f>
        <v>221.32</v>
      </c>
      <c r="F1273" s="1">
        <f ca="1">IFERROR(__xludf.DUMMYFUNCTION("""COMPUTED_VALUE"""),12212814)</f>
        <v>12212814</v>
      </c>
    </row>
    <row r="1274" spans="1:6" x14ac:dyDescent="0.35">
      <c r="A1274" s="2">
        <f ca="1">IFERROR(__xludf.DUMMYFUNCTION("""COMPUTED_VALUE"""),43853.6666666666)</f>
        <v>43853.666666666599</v>
      </c>
      <c r="B1274" s="1">
        <f ca="1">IFERROR(__xludf.DUMMYFUNCTION("""COMPUTED_VALUE"""),220.75)</f>
        <v>220.75</v>
      </c>
      <c r="C1274" s="1">
        <f ca="1">IFERROR(__xludf.DUMMYFUNCTION("""COMPUTED_VALUE"""),221.49)</f>
        <v>221.49</v>
      </c>
      <c r="D1274" s="1">
        <f ca="1">IFERROR(__xludf.DUMMYFUNCTION("""COMPUTED_VALUE"""),219.27)</f>
        <v>219.27</v>
      </c>
      <c r="E1274" s="1">
        <f ca="1">IFERROR(__xludf.DUMMYFUNCTION("""COMPUTED_VALUE"""),219.76)</f>
        <v>219.76</v>
      </c>
      <c r="F1274" s="1">
        <f ca="1">IFERROR(__xludf.DUMMYFUNCTION("""COMPUTED_VALUE"""),11195000)</f>
        <v>11195000</v>
      </c>
    </row>
    <row r="1275" spans="1:6" x14ac:dyDescent="0.35">
      <c r="A1275" s="2">
        <f ca="1">IFERROR(__xludf.DUMMYFUNCTION("""COMPUTED_VALUE"""),43854.6666666666)</f>
        <v>43854.666666666599</v>
      </c>
      <c r="B1275" s="1">
        <f ca="1">IFERROR(__xludf.DUMMYFUNCTION("""COMPUTED_VALUE"""),220.8)</f>
        <v>220.8</v>
      </c>
      <c r="C1275" s="1">
        <f ca="1">IFERROR(__xludf.DUMMYFUNCTION("""COMPUTED_VALUE"""),221.78)</f>
        <v>221.78</v>
      </c>
      <c r="D1275" s="1">
        <f ca="1">IFERROR(__xludf.DUMMYFUNCTION("""COMPUTED_VALUE"""),216.11)</f>
        <v>216.11</v>
      </c>
      <c r="E1275" s="1">
        <f ca="1">IFERROR(__xludf.DUMMYFUNCTION("""COMPUTED_VALUE"""),217.94)</f>
        <v>217.94</v>
      </c>
      <c r="F1275" s="1">
        <f ca="1">IFERROR(__xludf.DUMMYFUNCTION("""COMPUTED_VALUE"""),11905824)</f>
        <v>11905824</v>
      </c>
    </row>
    <row r="1276" spans="1:6" x14ac:dyDescent="0.35">
      <c r="A1276" s="2">
        <f ca="1">IFERROR(__xludf.DUMMYFUNCTION("""COMPUTED_VALUE"""),43857.6666666666)</f>
        <v>43857.666666666599</v>
      </c>
      <c r="B1276" s="1">
        <f ca="1">IFERROR(__xludf.DUMMYFUNCTION("""COMPUTED_VALUE"""),213.1)</f>
        <v>213.1</v>
      </c>
      <c r="C1276" s="1">
        <f ca="1">IFERROR(__xludf.DUMMYFUNCTION("""COMPUTED_VALUE"""),216.06)</f>
        <v>216.06</v>
      </c>
      <c r="D1276" s="1">
        <f ca="1">IFERROR(__xludf.DUMMYFUNCTION("""COMPUTED_VALUE"""),212.5)</f>
        <v>212.5</v>
      </c>
      <c r="E1276" s="1">
        <f ca="1">IFERROR(__xludf.DUMMYFUNCTION("""COMPUTED_VALUE"""),214.87)</f>
        <v>214.87</v>
      </c>
      <c r="F1276" s="1">
        <f ca="1">IFERROR(__xludf.DUMMYFUNCTION("""COMPUTED_VALUE"""),13810655)</f>
        <v>13810655</v>
      </c>
    </row>
    <row r="1277" spans="1:6" x14ac:dyDescent="0.35">
      <c r="A1277" s="2">
        <f ca="1">IFERROR(__xludf.DUMMYFUNCTION("""COMPUTED_VALUE"""),43858.6666666666)</f>
        <v>43858.666666666599</v>
      </c>
      <c r="B1277" s="1">
        <f ca="1">IFERROR(__xludf.DUMMYFUNCTION("""COMPUTED_VALUE"""),216.14)</f>
        <v>216.14</v>
      </c>
      <c r="C1277" s="1">
        <f ca="1">IFERROR(__xludf.DUMMYFUNCTION("""COMPUTED_VALUE"""),218.74)</f>
        <v>218.74</v>
      </c>
      <c r="D1277" s="1">
        <f ca="1">IFERROR(__xludf.DUMMYFUNCTION("""COMPUTED_VALUE"""),213.52)</f>
        <v>213.52</v>
      </c>
      <c r="E1277" s="1">
        <f ca="1">IFERROR(__xludf.DUMMYFUNCTION("""COMPUTED_VALUE"""),217.79)</f>
        <v>217.79</v>
      </c>
      <c r="F1277" s="1">
        <f ca="1">IFERROR(__xludf.DUMMYFUNCTION("""COMPUTED_VALUE"""),13413835)</f>
        <v>13413835</v>
      </c>
    </row>
    <row r="1278" spans="1:6" x14ac:dyDescent="0.35">
      <c r="A1278" s="2">
        <f ca="1">IFERROR(__xludf.DUMMYFUNCTION("""COMPUTED_VALUE"""),43859.6666666666)</f>
        <v>43859.666666666599</v>
      </c>
      <c r="B1278" s="1">
        <f ca="1">IFERROR(__xludf.DUMMYFUNCTION("""COMPUTED_VALUE"""),221.44)</f>
        <v>221.44</v>
      </c>
      <c r="C1278" s="1">
        <f ca="1">IFERROR(__xludf.DUMMYFUNCTION("""COMPUTED_VALUE"""),224.2)</f>
        <v>224.2</v>
      </c>
      <c r="D1278" s="1">
        <f ca="1">IFERROR(__xludf.DUMMYFUNCTION("""COMPUTED_VALUE"""),218.45)</f>
        <v>218.45</v>
      </c>
      <c r="E1278" s="1">
        <f ca="1">IFERROR(__xludf.DUMMYFUNCTION("""COMPUTED_VALUE"""),223.23)</f>
        <v>223.23</v>
      </c>
      <c r="F1278" s="1">
        <f ca="1">IFERROR(__xludf.DUMMYFUNCTION("""COMPUTED_VALUE"""),33610005)</f>
        <v>33610005</v>
      </c>
    </row>
    <row r="1279" spans="1:6" x14ac:dyDescent="0.35">
      <c r="A1279" s="2">
        <f ca="1">IFERROR(__xludf.DUMMYFUNCTION("""COMPUTED_VALUE"""),43860.6666666666)</f>
        <v>43860.666666666599</v>
      </c>
      <c r="B1279" s="1">
        <f ca="1">IFERROR(__xludf.DUMMYFUNCTION("""COMPUTED_VALUE"""),206.53)</f>
        <v>206.53</v>
      </c>
      <c r="C1279" s="1">
        <f ca="1">IFERROR(__xludf.DUMMYFUNCTION("""COMPUTED_VALUE"""),211.43)</f>
        <v>211.43</v>
      </c>
      <c r="D1279" s="1">
        <f ca="1">IFERROR(__xludf.DUMMYFUNCTION("""COMPUTED_VALUE"""),204.75)</f>
        <v>204.75</v>
      </c>
      <c r="E1279" s="1">
        <f ca="1">IFERROR(__xludf.DUMMYFUNCTION("""COMPUTED_VALUE"""),209.53)</f>
        <v>209.53</v>
      </c>
      <c r="F1279" s="1">
        <f ca="1">IFERROR(__xludf.DUMMYFUNCTION("""COMPUTED_VALUE"""),48775500)</f>
        <v>48775500</v>
      </c>
    </row>
    <row r="1280" spans="1:6" x14ac:dyDescent="0.35">
      <c r="A1280" s="2">
        <f ca="1">IFERROR(__xludf.DUMMYFUNCTION("""COMPUTED_VALUE"""),43861.6666666666)</f>
        <v>43861.666666666599</v>
      </c>
      <c r="B1280" s="1">
        <f ca="1">IFERROR(__xludf.DUMMYFUNCTION("""COMPUTED_VALUE"""),208.43)</f>
        <v>208.43</v>
      </c>
      <c r="C1280" s="1">
        <f ca="1">IFERROR(__xludf.DUMMYFUNCTION("""COMPUTED_VALUE"""),208.69)</f>
        <v>208.69</v>
      </c>
      <c r="D1280" s="1">
        <f ca="1">IFERROR(__xludf.DUMMYFUNCTION("""COMPUTED_VALUE"""),201.06)</f>
        <v>201.06</v>
      </c>
      <c r="E1280" s="1">
        <f ca="1">IFERROR(__xludf.DUMMYFUNCTION("""COMPUTED_VALUE"""),201.91)</f>
        <v>201.91</v>
      </c>
      <c r="F1280" s="1">
        <f ca="1">IFERROR(__xludf.DUMMYFUNCTION("""COMPUTED_VALUE"""),31359917)</f>
        <v>31359917</v>
      </c>
    </row>
    <row r="1281" spans="1:6" x14ac:dyDescent="0.35">
      <c r="A1281" s="2">
        <f ca="1">IFERROR(__xludf.DUMMYFUNCTION("""COMPUTED_VALUE"""),43864.6666666666)</f>
        <v>43864.666666666599</v>
      </c>
      <c r="B1281" s="1">
        <f ca="1">IFERROR(__xludf.DUMMYFUNCTION("""COMPUTED_VALUE"""),203.44)</f>
        <v>203.44</v>
      </c>
      <c r="C1281" s="1">
        <f ca="1">IFERROR(__xludf.DUMMYFUNCTION("""COMPUTED_VALUE"""),205.14)</f>
        <v>205.14</v>
      </c>
      <c r="D1281" s="1">
        <f ca="1">IFERROR(__xludf.DUMMYFUNCTION("""COMPUTED_VALUE"""),202.5)</f>
        <v>202.5</v>
      </c>
      <c r="E1281" s="1">
        <f ca="1">IFERROR(__xludf.DUMMYFUNCTION("""COMPUTED_VALUE"""),204.19)</f>
        <v>204.19</v>
      </c>
      <c r="F1281" s="1">
        <f ca="1">IFERROR(__xludf.DUMMYFUNCTION("""COMPUTED_VALUE"""),15510509)</f>
        <v>15510509</v>
      </c>
    </row>
    <row r="1282" spans="1:6" x14ac:dyDescent="0.35">
      <c r="A1282" s="2">
        <f ca="1">IFERROR(__xludf.DUMMYFUNCTION("""COMPUTED_VALUE"""),43865.6666666666)</f>
        <v>43865.666666666599</v>
      </c>
      <c r="B1282" s="1">
        <f ca="1">IFERROR(__xludf.DUMMYFUNCTION("""COMPUTED_VALUE"""),206.62)</f>
        <v>206.62</v>
      </c>
      <c r="C1282" s="1">
        <f ca="1">IFERROR(__xludf.DUMMYFUNCTION("""COMPUTED_VALUE"""),210.6)</f>
        <v>210.6</v>
      </c>
      <c r="D1282" s="1">
        <f ca="1">IFERROR(__xludf.DUMMYFUNCTION("""COMPUTED_VALUE"""),205.2)</f>
        <v>205.2</v>
      </c>
      <c r="E1282" s="1">
        <f ca="1">IFERROR(__xludf.DUMMYFUNCTION("""COMPUTED_VALUE"""),209.83)</f>
        <v>209.83</v>
      </c>
      <c r="F1282" s="1">
        <f ca="1">IFERROR(__xludf.DUMMYFUNCTION("""COMPUTED_VALUE"""),19628890)</f>
        <v>19628890</v>
      </c>
    </row>
    <row r="1283" spans="1:6" x14ac:dyDescent="0.35">
      <c r="A1283" s="2">
        <f ca="1">IFERROR(__xludf.DUMMYFUNCTION("""COMPUTED_VALUE"""),43866.6666666666)</f>
        <v>43866.666666666599</v>
      </c>
      <c r="B1283" s="1">
        <f ca="1">IFERROR(__xludf.DUMMYFUNCTION("""COMPUTED_VALUE"""),212.51)</f>
        <v>212.51</v>
      </c>
      <c r="C1283" s="1">
        <f ca="1">IFERROR(__xludf.DUMMYFUNCTION("""COMPUTED_VALUE"""),212.73)</f>
        <v>212.73</v>
      </c>
      <c r="D1283" s="1">
        <f ca="1">IFERROR(__xludf.DUMMYFUNCTION("""COMPUTED_VALUE"""),208.71)</f>
        <v>208.71</v>
      </c>
      <c r="E1283" s="1">
        <f ca="1">IFERROR(__xludf.DUMMYFUNCTION("""COMPUTED_VALUE"""),210.11)</f>
        <v>210.11</v>
      </c>
      <c r="F1283" s="1">
        <f ca="1">IFERROR(__xludf.DUMMYFUNCTION("""COMPUTED_VALUE"""),12538154)</f>
        <v>12538154</v>
      </c>
    </row>
    <row r="1284" spans="1:6" x14ac:dyDescent="0.35">
      <c r="A1284" s="2">
        <f ca="1">IFERROR(__xludf.DUMMYFUNCTION("""COMPUTED_VALUE"""),43867.6666666666)</f>
        <v>43867.666666666599</v>
      </c>
      <c r="B1284" s="1">
        <f ca="1">IFERROR(__xludf.DUMMYFUNCTION("""COMPUTED_VALUE"""),210.47)</f>
        <v>210.47</v>
      </c>
      <c r="C1284" s="1">
        <f ca="1">IFERROR(__xludf.DUMMYFUNCTION("""COMPUTED_VALUE"""),211.19)</f>
        <v>211.19</v>
      </c>
      <c r="D1284" s="1">
        <f ca="1">IFERROR(__xludf.DUMMYFUNCTION("""COMPUTED_VALUE"""),209.34)</f>
        <v>209.34</v>
      </c>
      <c r="E1284" s="1">
        <f ca="1">IFERROR(__xludf.DUMMYFUNCTION("""COMPUTED_VALUE"""),210.85)</f>
        <v>210.85</v>
      </c>
      <c r="F1284" s="1">
        <f ca="1">IFERROR(__xludf.DUMMYFUNCTION("""COMPUTED_VALUE"""),10567533)</f>
        <v>10567533</v>
      </c>
    </row>
    <row r="1285" spans="1:6" x14ac:dyDescent="0.35">
      <c r="A1285" s="2">
        <f ca="1">IFERROR(__xludf.DUMMYFUNCTION("""COMPUTED_VALUE"""),43868.6666666666)</f>
        <v>43868.666666666599</v>
      </c>
      <c r="B1285" s="1">
        <f ca="1">IFERROR(__xludf.DUMMYFUNCTION("""COMPUTED_VALUE"""),210.3)</f>
        <v>210.3</v>
      </c>
      <c r="C1285" s="1">
        <f ca="1">IFERROR(__xludf.DUMMYFUNCTION("""COMPUTED_VALUE"""),212.82)</f>
        <v>212.82</v>
      </c>
      <c r="D1285" s="1">
        <f ca="1">IFERROR(__xludf.DUMMYFUNCTION("""COMPUTED_VALUE"""),209.93)</f>
        <v>209.93</v>
      </c>
      <c r="E1285" s="1">
        <f ca="1">IFERROR(__xludf.DUMMYFUNCTION("""COMPUTED_VALUE"""),212.33)</f>
        <v>212.33</v>
      </c>
      <c r="F1285" s="1">
        <f ca="1">IFERROR(__xludf.DUMMYFUNCTION("""COMPUTED_VALUE"""),12242530)</f>
        <v>12242530</v>
      </c>
    </row>
    <row r="1286" spans="1:6" x14ac:dyDescent="0.35">
      <c r="A1286" s="2">
        <f ca="1">IFERROR(__xludf.DUMMYFUNCTION("""COMPUTED_VALUE"""),43871.6666666666)</f>
        <v>43871.666666666599</v>
      </c>
      <c r="B1286" s="1">
        <f ca="1">IFERROR(__xludf.DUMMYFUNCTION("""COMPUTED_VALUE"""),211.52)</f>
        <v>211.52</v>
      </c>
      <c r="C1286" s="1">
        <f ca="1">IFERROR(__xludf.DUMMYFUNCTION("""COMPUTED_VALUE"""),213.8)</f>
        <v>213.8</v>
      </c>
      <c r="D1286" s="1">
        <f ca="1">IFERROR(__xludf.DUMMYFUNCTION("""COMPUTED_VALUE"""),210.66)</f>
        <v>210.66</v>
      </c>
      <c r="E1286" s="1">
        <f ca="1">IFERROR(__xludf.DUMMYFUNCTION("""COMPUTED_VALUE"""),213.06)</f>
        <v>213.06</v>
      </c>
      <c r="F1286" s="1">
        <f ca="1">IFERROR(__xludf.DUMMYFUNCTION("""COMPUTED_VALUE"""),11856350)</f>
        <v>11856350</v>
      </c>
    </row>
    <row r="1287" spans="1:6" x14ac:dyDescent="0.35">
      <c r="A1287" s="2">
        <f ca="1">IFERROR(__xludf.DUMMYFUNCTION("""COMPUTED_VALUE"""),43872.6666666666)</f>
        <v>43872.666666666599</v>
      </c>
      <c r="B1287" s="1">
        <f ca="1">IFERROR(__xludf.DUMMYFUNCTION("""COMPUTED_VALUE"""),210.19)</f>
        <v>210.19</v>
      </c>
      <c r="C1287" s="1">
        <f ca="1">IFERROR(__xludf.DUMMYFUNCTION("""COMPUTED_VALUE"""),210.86)</f>
        <v>210.86</v>
      </c>
      <c r="D1287" s="1">
        <f ca="1">IFERROR(__xludf.DUMMYFUNCTION("""COMPUTED_VALUE"""),206.51)</f>
        <v>206.51</v>
      </c>
      <c r="E1287" s="1">
        <f ca="1">IFERROR(__xludf.DUMMYFUNCTION("""COMPUTED_VALUE"""),207.19)</f>
        <v>207.19</v>
      </c>
      <c r="F1287" s="1">
        <f ca="1">IFERROR(__xludf.DUMMYFUNCTION("""COMPUTED_VALUE"""),25030810)</f>
        <v>25030810</v>
      </c>
    </row>
    <row r="1288" spans="1:6" x14ac:dyDescent="0.35">
      <c r="A1288" s="2">
        <f ca="1">IFERROR(__xludf.DUMMYFUNCTION("""COMPUTED_VALUE"""),43873.6666666666)</f>
        <v>43873.666666666599</v>
      </c>
      <c r="B1288" s="1">
        <f ca="1">IFERROR(__xludf.DUMMYFUNCTION("""COMPUTED_VALUE"""),207.85)</f>
        <v>207.85</v>
      </c>
      <c r="C1288" s="1">
        <f ca="1">IFERROR(__xludf.DUMMYFUNCTION("""COMPUTED_VALUE"""),211.22)</f>
        <v>211.22</v>
      </c>
      <c r="D1288" s="1">
        <f ca="1">IFERROR(__xludf.DUMMYFUNCTION("""COMPUTED_VALUE"""),207.4)</f>
        <v>207.4</v>
      </c>
      <c r="E1288" s="1">
        <f ca="1">IFERROR(__xludf.DUMMYFUNCTION("""COMPUTED_VALUE"""),210.76)</f>
        <v>210.76</v>
      </c>
      <c r="F1288" s="1">
        <f ca="1">IFERROR(__xludf.DUMMYFUNCTION("""COMPUTED_VALUE"""),13813704)</f>
        <v>13813704</v>
      </c>
    </row>
    <row r="1289" spans="1:6" x14ac:dyDescent="0.35">
      <c r="A1289" s="2">
        <f ca="1">IFERROR(__xludf.DUMMYFUNCTION("""COMPUTED_VALUE"""),43874.6666666666)</f>
        <v>43874.666666666599</v>
      </c>
      <c r="B1289" s="1">
        <f ca="1">IFERROR(__xludf.DUMMYFUNCTION("""COMPUTED_VALUE"""),209.52)</f>
        <v>209.52</v>
      </c>
      <c r="C1289" s="1">
        <f ca="1">IFERROR(__xludf.DUMMYFUNCTION("""COMPUTED_VALUE"""),214.33)</f>
        <v>214.33</v>
      </c>
      <c r="D1289" s="1">
        <f ca="1">IFERROR(__xludf.DUMMYFUNCTION("""COMPUTED_VALUE"""),209.18)</f>
        <v>209.18</v>
      </c>
      <c r="E1289" s="1">
        <f ca="1">IFERROR(__xludf.DUMMYFUNCTION("""COMPUTED_VALUE"""),213.14)</f>
        <v>213.14</v>
      </c>
      <c r="F1289" s="1">
        <f ca="1">IFERROR(__xludf.DUMMYFUNCTION("""COMPUTED_VALUE"""),15396625)</f>
        <v>15396625</v>
      </c>
    </row>
    <row r="1290" spans="1:6" x14ac:dyDescent="0.35">
      <c r="A1290" s="2">
        <f ca="1">IFERROR(__xludf.DUMMYFUNCTION("""COMPUTED_VALUE"""),43875.6666666666)</f>
        <v>43875.666666666599</v>
      </c>
      <c r="B1290" s="1">
        <f ca="1">IFERROR(__xludf.DUMMYFUNCTION("""COMPUTED_VALUE"""),214)</f>
        <v>214</v>
      </c>
      <c r="C1290" s="1">
        <f ca="1">IFERROR(__xludf.DUMMYFUNCTION("""COMPUTED_VALUE"""),214.93)</f>
        <v>214.93</v>
      </c>
      <c r="D1290" s="1">
        <f ca="1">IFERROR(__xludf.DUMMYFUNCTION("""COMPUTED_VALUE"""),212.65)</f>
        <v>212.65</v>
      </c>
      <c r="E1290" s="1">
        <f ca="1">IFERROR(__xludf.DUMMYFUNCTION("""COMPUTED_VALUE"""),214.18)</f>
        <v>214.18</v>
      </c>
      <c r="F1290" s="1">
        <f ca="1">IFERROR(__xludf.DUMMYFUNCTION("""COMPUTED_VALUE"""),10741747)</f>
        <v>10741747</v>
      </c>
    </row>
    <row r="1291" spans="1:6" x14ac:dyDescent="0.35">
      <c r="A1291" s="2">
        <f ca="1">IFERROR(__xludf.DUMMYFUNCTION("""COMPUTED_VALUE"""),43879.6666666666)</f>
        <v>43879.666666666599</v>
      </c>
      <c r="B1291" s="1">
        <f ca="1">IFERROR(__xludf.DUMMYFUNCTION("""COMPUTED_VALUE"""),213.55)</f>
        <v>213.55</v>
      </c>
      <c r="C1291" s="1">
        <f ca="1">IFERROR(__xludf.DUMMYFUNCTION("""COMPUTED_VALUE"""),217.98)</f>
        <v>217.98</v>
      </c>
      <c r="D1291" s="1">
        <f ca="1">IFERROR(__xludf.DUMMYFUNCTION("""COMPUTED_VALUE"""),213.4)</f>
        <v>213.4</v>
      </c>
      <c r="E1291" s="1">
        <f ca="1">IFERROR(__xludf.DUMMYFUNCTION("""COMPUTED_VALUE"""),217.8)</f>
        <v>217.8</v>
      </c>
      <c r="F1291" s="1">
        <f ca="1">IFERROR(__xludf.DUMMYFUNCTION("""COMPUTED_VALUE"""),15630026)</f>
        <v>15630026</v>
      </c>
    </row>
    <row r="1292" spans="1:6" x14ac:dyDescent="0.35">
      <c r="A1292" s="2">
        <f ca="1">IFERROR(__xludf.DUMMYFUNCTION("""COMPUTED_VALUE"""),43880.6666666666)</f>
        <v>43880.666666666599</v>
      </c>
      <c r="B1292" s="1">
        <f ca="1">IFERROR(__xludf.DUMMYFUNCTION("""COMPUTED_VALUE"""),217.99)</f>
        <v>217.99</v>
      </c>
      <c r="C1292" s="1">
        <f ca="1">IFERROR(__xludf.DUMMYFUNCTION("""COMPUTED_VALUE"""),218.32)</f>
        <v>218.32</v>
      </c>
      <c r="D1292" s="1">
        <f ca="1">IFERROR(__xludf.DUMMYFUNCTION("""COMPUTED_VALUE"""),216.11)</f>
        <v>216.11</v>
      </c>
      <c r="E1292" s="1">
        <f ca="1">IFERROR(__xludf.DUMMYFUNCTION("""COMPUTED_VALUE"""),217.49)</f>
        <v>217.49</v>
      </c>
      <c r="F1292" s="1">
        <f ca="1">IFERROR(__xludf.DUMMYFUNCTION("""COMPUTED_VALUE"""),12135114)</f>
        <v>12135114</v>
      </c>
    </row>
    <row r="1293" spans="1:6" x14ac:dyDescent="0.35">
      <c r="A1293" s="2">
        <f ca="1">IFERROR(__xludf.DUMMYFUNCTION("""COMPUTED_VALUE"""),43881.6666666666)</f>
        <v>43881.666666666599</v>
      </c>
      <c r="B1293" s="1">
        <f ca="1">IFERROR(__xludf.DUMMYFUNCTION("""COMPUTED_VALUE"""),216.52)</f>
        <v>216.52</v>
      </c>
      <c r="C1293" s="1">
        <f ca="1">IFERROR(__xludf.DUMMYFUNCTION("""COMPUTED_VALUE"""),218.77)</f>
        <v>218.77</v>
      </c>
      <c r="D1293" s="1">
        <f ca="1">IFERROR(__xludf.DUMMYFUNCTION("""COMPUTED_VALUE"""),212.95)</f>
        <v>212.95</v>
      </c>
      <c r="E1293" s="1">
        <f ca="1">IFERROR(__xludf.DUMMYFUNCTION("""COMPUTED_VALUE"""),214.58)</f>
        <v>214.58</v>
      </c>
      <c r="F1293" s="1">
        <f ca="1">IFERROR(__xludf.DUMMYFUNCTION("""COMPUTED_VALUE"""),13109213)</f>
        <v>13109213</v>
      </c>
    </row>
    <row r="1294" spans="1:6" x14ac:dyDescent="0.35">
      <c r="A1294" s="2">
        <f ca="1">IFERROR(__xludf.DUMMYFUNCTION("""COMPUTED_VALUE"""),43882.6666666666)</f>
        <v>43882.666666666599</v>
      </c>
      <c r="B1294" s="1">
        <f ca="1">IFERROR(__xludf.DUMMYFUNCTION("""COMPUTED_VALUE"""),213.48)</f>
        <v>213.48</v>
      </c>
      <c r="C1294" s="1">
        <f ca="1">IFERROR(__xludf.DUMMYFUNCTION("""COMPUTED_VALUE"""),214.24)</f>
        <v>214.24</v>
      </c>
      <c r="D1294" s="1">
        <f ca="1">IFERROR(__xludf.DUMMYFUNCTION("""COMPUTED_VALUE"""),208.83)</f>
        <v>208.83</v>
      </c>
      <c r="E1294" s="1">
        <f ca="1">IFERROR(__xludf.DUMMYFUNCTION("""COMPUTED_VALUE"""),210.18)</f>
        <v>210.18</v>
      </c>
      <c r="F1294" s="1">
        <f ca="1">IFERROR(__xludf.DUMMYFUNCTION("""COMPUTED_VALUE"""),14098432)</f>
        <v>14098432</v>
      </c>
    </row>
    <row r="1295" spans="1:6" x14ac:dyDescent="0.35">
      <c r="A1295" s="2">
        <f ca="1">IFERROR(__xludf.DUMMYFUNCTION("""COMPUTED_VALUE"""),43885.6666666666)</f>
        <v>43885.666666666599</v>
      </c>
      <c r="B1295" s="1">
        <f ca="1">IFERROR(__xludf.DUMMYFUNCTION("""COMPUTED_VALUE"""),201.8)</f>
        <v>201.8</v>
      </c>
      <c r="C1295" s="1">
        <f ca="1">IFERROR(__xludf.DUMMYFUNCTION("""COMPUTED_VALUE"""),203.65)</f>
        <v>203.65</v>
      </c>
      <c r="D1295" s="1">
        <f ca="1">IFERROR(__xludf.DUMMYFUNCTION("""COMPUTED_VALUE"""),198.17)</f>
        <v>198.17</v>
      </c>
      <c r="E1295" s="1">
        <f ca="1">IFERROR(__xludf.DUMMYFUNCTION("""COMPUTED_VALUE"""),200.72)</f>
        <v>200.72</v>
      </c>
      <c r="F1295" s="1">
        <f ca="1">IFERROR(__xludf.DUMMYFUNCTION("""COMPUTED_VALUE"""),23080057)</f>
        <v>23080057</v>
      </c>
    </row>
    <row r="1296" spans="1:6" x14ac:dyDescent="0.35">
      <c r="A1296" s="2">
        <f ca="1">IFERROR(__xludf.DUMMYFUNCTION("""COMPUTED_VALUE"""),43886.6666666666)</f>
        <v>43886.666666666599</v>
      </c>
      <c r="B1296" s="1">
        <f ca="1">IFERROR(__xludf.DUMMYFUNCTION("""COMPUTED_VALUE"""),202.25)</f>
        <v>202.25</v>
      </c>
      <c r="C1296" s="1">
        <f ca="1">IFERROR(__xludf.DUMMYFUNCTION("""COMPUTED_VALUE"""),203.5)</f>
        <v>203.5</v>
      </c>
      <c r="D1296" s="1">
        <f ca="1">IFERROR(__xludf.DUMMYFUNCTION("""COMPUTED_VALUE"""),195.95)</f>
        <v>195.95</v>
      </c>
      <c r="E1296" s="1">
        <f ca="1">IFERROR(__xludf.DUMMYFUNCTION("""COMPUTED_VALUE"""),196.77)</f>
        <v>196.77</v>
      </c>
      <c r="F1296" s="1">
        <f ca="1">IFERROR(__xludf.DUMMYFUNCTION("""COMPUTED_VALUE"""),21433487)</f>
        <v>21433487</v>
      </c>
    </row>
    <row r="1297" spans="1:6" x14ac:dyDescent="0.35">
      <c r="A1297" s="2">
        <f ca="1">IFERROR(__xludf.DUMMYFUNCTION("""COMPUTED_VALUE"""),43887.6666666666)</f>
        <v>43887.666666666599</v>
      </c>
      <c r="B1297" s="1">
        <f ca="1">IFERROR(__xludf.DUMMYFUNCTION("""COMPUTED_VALUE"""),197.19)</f>
        <v>197.19</v>
      </c>
      <c r="C1297" s="1">
        <f ca="1">IFERROR(__xludf.DUMMYFUNCTION("""COMPUTED_VALUE"""),201.21)</f>
        <v>201.21</v>
      </c>
      <c r="D1297" s="1">
        <f ca="1">IFERROR(__xludf.DUMMYFUNCTION("""COMPUTED_VALUE"""),195.49)</f>
        <v>195.49</v>
      </c>
      <c r="E1297" s="1">
        <f ca="1">IFERROR(__xludf.DUMMYFUNCTION("""COMPUTED_VALUE"""),197.2)</f>
        <v>197.2</v>
      </c>
      <c r="F1297" s="1">
        <f ca="1">IFERROR(__xludf.DUMMYFUNCTION("""COMPUTED_VALUE"""),16555210)</f>
        <v>16555210</v>
      </c>
    </row>
    <row r="1298" spans="1:6" x14ac:dyDescent="0.35">
      <c r="A1298" s="2">
        <f ca="1">IFERROR(__xludf.DUMMYFUNCTION("""COMPUTED_VALUE"""),43888.6666666666)</f>
        <v>43888.666666666599</v>
      </c>
      <c r="B1298" s="1">
        <f ca="1">IFERROR(__xludf.DUMMYFUNCTION("""COMPUTED_VALUE"""),191.82)</f>
        <v>191.82</v>
      </c>
      <c r="C1298" s="1">
        <f ca="1">IFERROR(__xludf.DUMMYFUNCTION("""COMPUTED_VALUE"""),195.88)</f>
        <v>195.88</v>
      </c>
      <c r="D1298" s="1">
        <f ca="1">IFERROR(__xludf.DUMMYFUNCTION("""COMPUTED_VALUE"""),189.5)</f>
        <v>189.5</v>
      </c>
      <c r="E1298" s="1">
        <f ca="1">IFERROR(__xludf.DUMMYFUNCTION("""COMPUTED_VALUE"""),189.75)</f>
        <v>189.75</v>
      </c>
      <c r="F1298" s="1">
        <f ca="1">IFERROR(__xludf.DUMMYFUNCTION("""COMPUTED_VALUE"""),21682626)</f>
        <v>21682626</v>
      </c>
    </row>
    <row r="1299" spans="1:6" x14ac:dyDescent="0.35">
      <c r="A1299" s="2">
        <f ca="1">IFERROR(__xludf.DUMMYFUNCTION("""COMPUTED_VALUE"""),43889.6666666666)</f>
        <v>43889.666666666599</v>
      </c>
      <c r="B1299" s="1">
        <f ca="1">IFERROR(__xludf.DUMMYFUNCTION("""COMPUTED_VALUE"""),182.7)</f>
        <v>182.7</v>
      </c>
      <c r="C1299" s="1">
        <f ca="1">IFERROR(__xludf.DUMMYFUNCTION("""COMPUTED_VALUE"""),192.74)</f>
        <v>192.74</v>
      </c>
      <c r="D1299" s="1">
        <f ca="1">IFERROR(__xludf.DUMMYFUNCTION("""COMPUTED_VALUE"""),181.82)</f>
        <v>181.82</v>
      </c>
      <c r="E1299" s="1">
        <f ca="1">IFERROR(__xludf.DUMMYFUNCTION("""COMPUTED_VALUE"""),192.47)</f>
        <v>192.47</v>
      </c>
      <c r="F1299" s="1">
        <f ca="1">IFERROR(__xludf.DUMMYFUNCTION("""COMPUTED_VALUE"""),32583494)</f>
        <v>32583494</v>
      </c>
    </row>
    <row r="1300" spans="1:6" x14ac:dyDescent="0.35">
      <c r="A1300" s="2">
        <f ca="1">IFERROR(__xludf.DUMMYFUNCTION("""COMPUTED_VALUE"""),43892.6666666666)</f>
        <v>43892.666666666599</v>
      </c>
      <c r="B1300" s="1">
        <f ca="1">IFERROR(__xludf.DUMMYFUNCTION("""COMPUTED_VALUE"""),194.03)</f>
        <v>194.03</v>
      </c>
      <c r="C1300" s="1">
        <f ca="1">IFERROR(__xludf.DUMMYFUNCTION("""COMPUTED_VALUE"""),196.57)</f>
        <v>196.57</v>
      </c>
      <c r="D1300" s="1">
        <f ca="1">IFERROR(__xludf.DUMMYFUNCTION("""COMPUTED_VALUE"""),188.85)</f>
        <v>188.85</v>
      </c>
      <c r="E1300" s="1">
        <f ca="1">IFERROR(__xludf.DUMMYFUNCTION("""COMPUTED_VALUE"""),196.44)</f>
        <v>196.44</v>
      </c>
      <c r="F1300" s="1">
        <f ca="1">IFERROR(__xludf.DUMMYFUNCTION("""COMPUTED_VALUE"""),24948955)</f>
        <v>24948955</v>
      </c>
    </row>
    <row r="1301" spans="1:6" x14ac:dyDescent="0.35">
      <c r="A1301" s="2">
        <f ca="1">IFERROR(__xludf.DUMMYFUNCTION("""COMPUTED_VALUE"""),43893.6666666666)</f>
        <v>43893.666666666599</v>
      </c>
      <c r="B1301" s="1">
        <f ca="1">IFERROR(__xludf.DUMMYFUNCTION("""COMPUTED_VALUE"""),196.22)</f>
        <v>196.22</v>
      </c>
      <c r="C1301" s="1">
        <f ca="1">IFERROR(__xludf.DUMMYFUNCTION("""COMPUTED_VALUE"""),197.24)</f>
        <v>197.24</v>
      </c>
      <c r="D1301" s="1">
        <f ca="1">IFERROR(__xludf.DUMMYFUNCTION("""COMPUTED_VALUE"""),183.97)</f>
        <v>183.97</v>
      </c>
      <c r="E1301" s="1">
        <f ca="1">IFERROR(__xludf.DUMMYFUNCTION("""COMPUTED_VALUE"""),185.89)</f>
        <v>185.89</v>
      </c>
      <c r="F1301" s="1">
        <f ca="1">IFERROR(__xludf.DUMMYFUNCTION("""COMPUTED_VALUE"""),27984104)</f>
        <v>27984104</v>
      </c>
    </row>
    <row r="1302" spans="1:6" x14ac:dyDescent="0.35">
      <c r="A1302" s="2">
        <f ca="1">IFERROR(__xludf.DUMMYFUNCTION("""COMPUTED_VALUE"""),43894.6666666666)</f>
        <v>43894.666666666599</v>
      </c>
      <c r="B1302" s="1">
        <f ca="1">IFERROR(__xludf.DUMMYFUNCTION("""COMPUTED_VALUE"""),189.17)</f>
        <v>189.17</v>
      </c>
      <c r="C1302" s="1">
        <f ca="1">IFERROR(__xludf.DUMMYFUNCTION("""COMPUTED_VALUE"""),191.83)</f>
        <v>191.83</v>
      </c>
      <c r="D1302" s="1">
        <f ca="1">IFERROR(__xludf.DUMMYFUNCTION("""COMPUTED_VALUE"""),186.39)</f>
        <v>186.39</v>
      </c>
      <c r="E1302" s="1">
        <f ca="1">IFERROR(__xludf.DUMMYFUNCTION("""COMPUTED_VALUE"""),191.76)</f>
        <v>191.76</v>
      </c>
      <c r="F1302" s="1">
        <f ca="1">IFERROR(__xludf.DUMMYFUNCTION("""COMPUTED_VALUE"""),23062473)</f>
        <v>23062473</v>
      </c>
    </row>
    <row r="1303" spans="1:6" x14ac:dyDescent="0.35">
      <c r="A1303" s="2">
        <f ca="1">IFERROR(__xludf.DUMMYFUNCTION("""COMPUTED_VALUE"""),43895.6666666666)</f>
        <v>43895.666666666599</v>
      </c>
      <c r="B1303" s="1">
        <f ca="1">IFERROR(__xludf.DUMMYFUNCTION("""COMPUTED_VALUE"""),186.78)</f>
        <v>186.78</v>
      </c>
      <c r="C1303" s="1">
        <f ca="1">IFERROR(__xludf.DUMMYFUNCTION("""COMPUTED_VALUE"""),188.99)</f>
        <v>188.99</v>
      </c>
      <c r="D1303" s="1">
        <f ca="1">IFERROR(__xludf.DUMMYFUNCTION("""COMPUTED_VALUE"""),183.89)</f>
        <v>183.89</v>
      </c>
      <c r="E1303" s="1">
        <f ca="1">IFERROR(__xludf.DUMMYFUNCTION("""COMPUTED_VALUE"""),185.17)</f>
        <v>185.17</v>
      </c>
      <c r="F1303" s="1">
        <f ca="1">IFERROR(__xludf.DUMMYFUNCTION("""COMPUTED_VALUE"""),19333425)</f>
        <v>19333425</v>
      </c>
    </row>
    <row r="1304" spans="1:6" x14ac:dyDescent="0.35">
      <c r="A1304" s="2">
        <f ca="1">IFERROR(__xludf.DUMMYFUNCTION("""COMPUTED_VALUE"""),43896.6666666666)</f>
        <v>43896.666666666599</v>
      </c>
      <c r="B1304" s="1">
        <f ca="1">IFERROR(__xludf.DUMMYFUNCTION("""COMPUTED_VALUE"""),178.33)</f>
        <v>178.33</v>
      </c>
      <c r="C1304" s="1">
        <f ca="1">IFERROR(__xludf.DUMMYFUNCTION("""COMPUTED_VALUE"""),183.78)</f>
        <v>183.78</v>
      </c>
      <c r="D1304" s="1">
        <f ca="1">IFERROR(__xludf.DUMMYFUNCTION("""COMPUTED_VALUE"""),176.26)</f>
        <v>176.26</v>
      </c>
      <c r="E1304" s="1">
        <f ca="1">IFERROR(__xludf.DUMMYFUNCTION("""COMPUTED_VALUE"""),181.09)</f>
        <v>181.09</v>
      </c>
      <c r="F1304" s="1">
        <f ca="1">IFERROR(__xludf.DUMMYFUNCTION("""COMPUTED_VALUE"""),24559550)</f>
        <v>24559550</v>
      </c>
    </row>
    <row r="1305" spans="1:6" x14ac:dyDescent="0.35">
      <c r="A1305" s="2">
        <f ca="1">IFERROR(__xludf.DUMMYFUNCTION("""COMPUTED_VALUE"""),43899.6666666666)</f>
        <v>43899.666666666599</v>
      </c>
      <c r="B1305" s="1">
        <f ca="1">IFERROR(__xludf.DUMMYFUNCTION("""COMPUTED_VALUE"""),169.6)</f>
        <v>169.6</v>
      </c>
      <c r="C1305" s="1">
        <f ca="1">IFERROR(__xludf.DUMMYFUNCTION("""COMPUTED_VALUE"""),175)</f>
        <v>175</v>
      </c>
      <c r="D1305" s="1">
        <f ca="1">IFERROR(__xludf.DUMMYFUNCTION("""COMPUTED_VALUE"""),165.19)</f>
        <v>165.19</v>
      </c>
      <c r="E1305" s="1">
        <f ca="1">IFERROR(__xludf.DUMMYFUNCTION("""COMPUTED_VALUE"""),169.5)</f>
        <v>169.5</v>
      </c>
      <c r="F1305" s="1">
        <f ca="1">IFERROR(__xludf.DUMMYFUNCTION("""COMPUTED_VALUE"""),29949041)</f>
        <v>29949041</v>
      </c>
    </row>
    <row r="1306" spans="1:6" x14ac:dyDescent="0.35">
      <c r="A1306" s="2">
        <f ca="1">IFERROR(__xludf.DUMMYFUNCTION("""COMPUTED_VALUE"""),43900.6666666666)</f>
        <v>43900.666666666599</v>
      </c>
      <c r="B1306" s="1">
        <f ca="1">IFERROR(__xludf.DUMMYFUNCTION("""COMPUTED_VALUE"""),174.67)</f>
        <v>174.67</v>
      </c>
      <c r="C1306" s="1">
        <f ca="1">IFERROR(__xludf.DUMMYFUNCTION("""COMPUTED_VALUE"""),178.29)</f>
        <v>178.29</v>
      </c>
      <c r="D1306" s="1">
        <f ca="1">IFERROR(__xludf.DUMMYFUNCTION("""COMPUTED_VALUE"""),169.5)</f>
        <v>169.5</v>
      </c>
      <c r="E1306" s="1">
        <f ca="1">IFERROR(__xludf.DUMMYFUNCTION("""COMPUTED_VALUE"""),178.19)</f>
        <v>178.19</v>
      </c>
      <c r="F1306" s="1">
        <f ca="1">IFERROR(__xludf.DUMMYFUNCTION("""COMPUTED_VALUE"""),24517791)</f>
        <v>24517791</v>
      </c>
    </row>
    <row r="1307" spans="1:6" x14ac:dyDescent="0.35">
      <c r="A1307" s="2">
        <f ca="1">IFERROR(__xludf.DUMMYFUNCTION("""COMPUTED_VALUE"""),43901.6666666666)</f>
        <v>43901.666666666599</v>
      </c>
      <c r="B1307" s="1">
        <f ca="1">IFERROR(__xludf.DUMMYFUNCTION("""COMPUTED_VALUE"""),174.01)</f>
        <v>174.01</v>
      </c>
      <c r="C1307" s="1">
        <f ca="1">IFERROR(__xludf.DUMMYFUNCTION("""COMPUTED_VALUE"""),175.88)</f>
        <v>175.88</v>
      </c>
      <c r="D1307" s="1">
        <f ca="1">IFERROR(__xludf.DUMMYFUNCTION("""COMPUTED_VALUE"""),167.66)</f>
        <v>167.66</v>
      </c>
      <c r="E1307" s="1">
        <f ca="1">IFERROR(__xludf.DUMMYFUNCTION("""COMPUTED_VALUE"""),170.24)</f>
        <v>170.24</v>
      </c>
      <c r="F1307" s="1">
        <f ca="1">IFERROR(__xludf.DUMMYFUNCTION("""COMPUTED_VALUE"""),20397204)</f>
        <v>20397204</v>
      </c>
    </row>
    <row r="1308" spans="1:6" x14ac:dyDescent="0.35">
      <c r="A1308" s="2">
        <f ca="1">IFERROR(__xludf.DUMMYFUNCTION("""COMPUTED_VALUE"""),43902.6666666666)</f>
        <v>43902.666666666599</v>
      </c>
      <c r="B1308" s="1">
        <f ca="1">IFERROR(__xludf.DUMMYFUNCTION("""COMPUTED_VALUE"""),159.54)</f>
        <v>159.54</v>
      </c>
      <c r="C1308" s="1">
        <f ca="1">IFERROR(__xludf.DUMMYFUNCTION("""COMPUTED_VALUE"""),166.6)</f>
        <v>166.6</v>
      </c>
      <c r="D1308" s="1">
        <f ca="1">IFERROR(__xludf.DUMMYFUNCTION("""COMPUTED_VALUE"""),154.34)</f>
        <v>154.34</v>
      </c>
      <c r="E1308" s="1">
        <f ca="1">IFERROR(__xludf.DUMMYFUNCTION("""COMPUTED_VALUE"""),154.47)</f>
        <v>154.47</v>
      </c>
      <c r="F1308" s="1">
        <f ca="1">IFERROR(__xludf.DUMMYFUNCTION("""COMPUTED_VALUE"""),43266335)</f>
        <v>43266335</v>
      </c>
    </row>
    <row r="1309" spans="1:6" x14ac:dyDescent="0.35">
      <c r="A1309" s="2">
        <f ca="1">IFERROR(__xludf.DUMMYFUNCTION("""COMPUTED_VALUE"""),43903.6666666666)</f>
        <v>43903.666666666599</v>
      </c>
      <c r="B1309" s="1">
        <f ca="1">IFERROR(__xludf.DUMMYFUNCTION("""COMPUTED_VALUE"""),163.53)</f>
        <v>163.53</v>
      </c>
      <c r="C1309" s="1">
        <f ca="1">IFERROR(__xludf.DUMMYFUNCTION("""COMPUTED_VALUE"""),170.79)</f>
        <v>170.79</v>
      </c>
      <c r="D1309" s="1">
        <f ca="1">IFERROR(__xludf.DUMMYFUNCTION("""COMPUTED_VALUE"""),157.6)</f>
        <v>157.6</v>
      </c>
      <c r="E1309" s="1">
        <f ca="1">IFERROR(__xludf.DUMMYFUNCTION("""COMPUTED_VALUE"""),170.28)</f>
        <v>170.28</v>
      </c>
      <c r="F1309" s="1">
        <f ca="1">IFERROR(__xludf.DUMMYFUNCTION("""COMPUTED_VALUE"""),35028627)</f>
        <v>35028627</v>
      </c>
    </row>
    <row r="1310" spans="1:6" x14ac:dyDescent="0.35">
      <c r="A1310" s="2">
        <f ca="1">IFERROR(__xludf.DUMMYFUNCTION("""COMPUTED_VALUE"""),43906.6666666666)</f>
        <v>43906.666666666599</v>
      </c>
      <c r="B1310" s="1">
        <f ca="1">IFERROR(__xludf.DUMMYFUNCTION("""COMPUTED_VALUE"""),152.32)</f>
        <v>152.32</v>
      </c>
      <c r="C1310" s="1">
        <f ca="1">IFERROR(__xludf.DUMMYFUNCTION("""COMPUTED_VALUE"""),159.13)</f>
        <v>159.13</v>
      </c>
      <c r="D1310" s="1">
        <f ca="1">IFERROR(__xludf.DUMMYFUNCTION("""COMPUTED_VALUE"""),143.1)</f>
        <v>143.1</v>
      </c>
      <c r="E1310" s="1">
        <f ca="1">IFERROR(__xludf.DUMMYFUNCTION("""COMPUTED_VALUE"""),146.01)</f>
        <v>146.01</v>
      </c>
      <c r="F1310" s="1">
        <f ca="1">IFERROR(__xludf.DUMMYFUNCTION("""COMPUTED_VALUE"""),39120419)</f>
        <v>39120419</v>
      </c>
    </row>
    <row r="1311" spans="1:6" x14ac:dyDescent="0.35">
      <c r="A1311" s="2">
        <f ca="1">IFERROR(__xludf.DUMMYFUNCTION("""COMPUTED_VALUE"""),43907.6666666666)</f>
        <v>43907.666666666599</v>
      </c>
      <c r="B1311" s="1">
        <f ca="1">IFERROR(__xludf.DUMMYFUNCTION("""COMPUTED_VALUE"""),150.74)</f>
        <v>150.74</v>
      </c>
      <c r="C1311" s="1">
        <f ca="1">IFERROR(__xludf.DUMMYFUNCTION("""COMPUTED_VALUE"""),153.94)</f>
        <v>153.94</v>
      </c>
      <c r="D1311" s="1">
        <f ca="1">IFERROR(__xludf.DUMMYFUNCTION("""COMPUTED_VALUE"""),140)</f>
        <v>140</v>
      </c>
      <c r="E1311" s="1">
        <f ca="1">IFERROR(__xludf.DUMMYFUNCTION("""COMPUTED_VALUE"""),149.42)</f>
        <v>149.41999999999999</v>
      </c>
      <c r="F1311" s="1">
        <f ca="1">IFERROR(__xludf.DUMMYFUNCTION("""COMPUTED_VALUE"""),34255596)</f>
        <v>34255596</v>
      </c>
    </row>
    <row r="1312" spans="1:6" x14ac:dyDescent="0.35">
      <c r="A1312" s="2">
        <f ca="1">IFERROR(__xludf.DUMMYFUNCTION("""COMPUTED_VALUE"""),43908.6666666666)</f>
        <v>43908.666666666599</v>
      </c>
      <c r="B1312" s="1">
        <f ca="1">IFERROR(__xludf.DUMMYFUNCTION("""COMPUTED_VALUE"""),139.75)</f>
        <v>139.75</v>
      </c>
      <c r="C1312" s="1">
        <f ca="1">IFERROR(__xludf.DUMMYFUNCTION("""COMPUTED_VALUE"""),148.18)</f>
        <v>148.18</v>
      </c>
      <c r="D1312" s="1">
        <f ca="1">IFERROR(__xludf.DUMMYFUNCTION("""COMPUTED_VALUE"""),137.1)</f>
        <v>137.1</v>
      </c>
      <c r="E1312" s="1">
        <f ca="1">IFERROR(__xludf.DUMMYFUNCTION("""COMPUTED_VALUE"""),146.96)</f>
        <v>146.96</v>
      </c>
      <c r="F1312" s="1">
        <f ca="1">IFERROR(__xludf.DUMMYFUNCTION("""COMPUTED_VALUE"""),37553136)</f>
        <v>37553136</v>
      </c>
    </row>
    <row r="1313" spans="1:6" x14ac:dyDescent="0.35">
      <c r="A1313" s="2">
        <f ca="1">IFERROR(__xludf.DUMMYFUNCTION("""COMPUTED_VALUE"""),43909.6666666666)</f>
        <v>43909.666666666599</v>
      </c>
      <c r="B1313" s="1">
        <f ca="1">IFERROR(__xludf.DUMMYFUNCTION("""COMPUTED_VALUE"""),146.62)</f>
        <v>146.62</v>
      </c>
      <c r="C1313" s="1">
        <f ca="1">IFERROR(__xludf.DUMMYFUNCTION("""COMPUTED_VALUE"""),159.93)</f>
        <v>159.93</v>
      </c>
      <c r="D1313" s="1">
        <f ca="1">IFERROR(__xludf.DUMMYFUNCTION("""COMPUTED_VALUE"""),144.8)</f>
        <v>144.80000000000001</v>
      </c>
      <c r="E1313" s="1">
        <f ca="1">IFERROR(__xludf.DUMMYFUNCTION("""COMPUTED_VALUE"""),153.13)</f>
        <v>153.13</v>
      </c>
      <c r="F1313" s="1">
        <f ca="1">IFERROR(__xludf.DUMMYFUNCTION("""COMPUTED_VALUE"""),39862312)</f>
        <v>39862312</v>
      </c>
    </row>
    <row r="1314" spans="1:6" x14ac:dyDescent="0.35">
      <c r="A1314" s="2">
        <f ca="1">IFERROR(__xludf.DUMMYFUNCTION("""COMPUTED_VALUE"""),43910.6666666666)</f>
        <v>43910.666666666599</v>
      </c>
      <c r="B1314" s="1">
        <f ca="1">IFERROR(__xludf.DUMMYFUNCTION("""COMPUTED_VALUE"""),156.02)</f>
        <v>156.02000000000001</v>
      </c>
      <c r="C1314" s="1">
        <f ca="1">IFERROR(__xludf.DUMMYFUNCTION("""COMPUTED_VALUE"""),159.27)</f>
        <v>159.27000000000001</v>
      </c>
      <c r="D1314" s="1">
        <f ca="1">IFERROR(__xludf.DUMMYFUNCTION("""COMPUTED_VALUE"""),148)</f>
        <v>148</v>
      </c>
      <c r="E1314" s="1">
        <f ca="1">IFERROR(__xludf.DUMMYFUNCTION("""COMPUTED_VALUE"""),149.73)</f>
        <v>149.72999999999999</v>
      </c>
      <c r="F1314" s="1">
        <f ca="1">IFERROR(__xludf.DUMMYFUNCTION("""COMPUTED_VALUE"""),32568398)</f>
        <v>32568398</v>
      </c>
    </row>
    <row r="1315" spans="1:6" x14ac:dyDescent="0.35">
      <c r="A1315" s="2">
        <f ca="1">IFERROR(__xludf.DUMMYFUNCTION("""COMPUTED_VALUE"""),43913.6666666666)</f>
        <v>43913.666666666599</v>
      </c>
      <c r="B1315" s="1">
        <f ca="1">IFERROR(__xludf.DUMMYFUNCTION("""COMPUTED_VALUE"""),149.66)</f>
        <v>149.66</v>
      </c>
      <c r="C1315" s="1">
        <f ca="1">IFERROR(__xludf.DUMMYFUNCTION("""COMPUTED_VALUE"""),152.31)</f>
        <v>152.31</v>
      </c>
      <c r="D1315" s="1">
        <f ca="1">IFERROR(__xludf.DUMMYFUNCTION("""COMPUTED_VALUE"""),142.25)</f>
        <v>142.25</v>
      </c>
      <c r="E1315" s="1">
        <f ca="1">IFERROR(__xludf.DUMMYFUNCTION("""COMPUTED_VALUE"""),148.1)</f>
        <v>148.1</v>
      </c>
      <c r="F1315" s="1">
        <f ca="1">IFERROR(__xludf.DUMMYFUNCTION("""COMPUTED_VALUE"""),29830765)</f>
        <v>29830765</v>
      </c>
    </row>
    <row r="1316" spans="1:6" x14ac:dyDescent="0.35">
      <c r="A1316" s="2">
        <f ca="1">IFERROR(__xludf.DUMMYFUNCTION("""COMPUTED_VALUE"""),43914.6666666666)</f>
        <v>43914.666666666599</v>
      </c>
      <c r="B1316" s="1">
        <f ca="1">IFERROR(__xludf.DUMMYFUNCTION("""COMPUTED_VALUE"""),155.21)</f>
        <v>155.21</v>
      </c>
      <c r="C1316" s="1">
        <f ca="1">IFERROR(__xludf.DUMMYFUNCTION("""COMPUTED_VALUE"""),161.31)</f>
        <v>161.31</v>
      </c>
      <c r="D1316" s="1">
        <f ca="1">IFERROR(__xludf.DUMMYFUNCTION("""COMPUTED_VALUE"""),152.57)</f>
        <v>152.57</v>
      </c>
      <c r="E1316" s="1">
        <f ca="1">IFERROR(__xludf.DUMMYFUNCTION("""COMPUTED_VALUE"""),160.98)</f>
        <v>160.97999999999999</v>
      </c>
      <c r="F1316" s="1">
        <f ca="1">IFERROR(__xludf.DUMMYFUNCTION("""COMPUTED_VALUE"""),30440369)</f>
        <v>30440369</v>
      </c>
    </row>
    <row r="1317" spans="1:6" x14ac:dyDescent="0.35">
      <c r="A1317" s="2">
        <f ca="1">IFERROR(__xludf.DUMMYFUNCTION("""COMPUTED_VALUE"""),43915.6666666666)</f>
        <v>43915.666666666599</v>
      </c>
      <c r="B1317" s="1">
        <f ca="1">IFERROR(__xludf.DUMMYFUNCTION("""COMPUTED_VALUE"""),158.92)</f>
        <v>158.91999999999999</v>
      </c>
      <c r="C1317" s="1">
        <f ca="1">IFERROR(__xludf.DUMMYFUNCTION("""COMPUTED_VALUE"""),162.99)</f>
        <v>162.99</v>
      </c>
      <c r="D1317" s="1">
        <f ca="1">IFERROR(__xludf.DUMMYFUNCTION("""COMPUTED_VALUE"""),153.06)</f>
        <v>153.06</v>
      </c>
      <c r="E1317" s="1">
        <f ca="1">IFERROR(__xludf.DUMMYFUNCTION("""COMPUTED_VALUE"""),156.21)</f>
        <v>156.21</v>
      </c>
      <c r="F1317" s="1">
        <f ca="1">IFERROR(__xludf.DUMMYFUNCTION("""COMPUTED_VALUE"""),35184271)</f>
        <v>35184271</v>
      </c>
    </row>
    <row r="1318" spans="1:6" x14ac:dyDescent="0.35">
      <c r="A1318" s="2">
        <f ca="1">IFERROR(__xludf.DUMMYFUNCTION("""COMPUTED_VALUE"""),43916.6666666666)</f>
        <v>43916.666666666599</v>
      </c>
      <c r="B1318" s="1">
        <f ca="1">IFERROR(__xludf.DUMMYFUNCTION("""COMPUTED_VALUE"""),158.25)</f>
        <v>158.25</v>
      </c>
      <c r="C1318" s="1">
        <f ca="1">IFERROR(__xludf.DUMMYFUNCTION("""COMPUTED_VALUE"""),164)</f>
        <v>164</v>
      </c>
      <c r="D1318" s="1">
        <f ca="1">IFERROR(__xludf.DUMMYFUNCTION("""COMPUTED_VALUE"""),157.02)</f>
        <v>157.02000000000001</v>
      </c>
      <c r="E1318" s="1">
        <f ca="1">IFERROR(__xludf.DUMMYFUNCTION("""COMPUTED_VALUE"""),163.34)</f>
        <v>163.34</v>
      </c>
      <c r="F1318" s="1">
        <f ca="1">IFERROR(__xludf.DUMMYFUNCTION("""COMPUTED_VALUE"""),26579021)</f>
        <v>26579021</v>
      </c>
    </row>
    <row r="1319" spans="1:6" x14ac:dyDescent="0.35">
      <c r="A1319" s="2">
        <f ca="1">IFERROR(__xludf.DUMMYFUNCTION("""COMPUTED_VALUE"""),43917.6666666666)</f>
        <v>43917.666666666599</v>
      </c>
      <c r="B1319" s="1">
        <f ca="1">IFERROR(__xludf.DUMMYFUNCTION("""COMPUTED_VALUE"""),158.2)</f>
        <v>158.19999999999999</v>
      </c>
      <c r="C1319" s="1">
        <f ca="1">IFERROR(__xludf.DUMMYFUNCTION("""COMPUTED_VALUE"""),160.09)</f>
        <v>160.09</v>
      </c>
      <c r="D1319" s="1">
        <f ca="1">IFERROR(__xludf.DUMMYFUNCTION("""COMPUTED_VALUE"""),154.75)</f>
        <v>154.75</v>
      </c>
      <c r="E1319" s="1">
        <f ca="1">IFERROR(__xludf.DUMMYFUNCTION("""COMPUTED_VALUE"""),156.79)</f>
        <v>156.79</v>
      </c>
      <c r="F1319" s="1">
        <f ca="1">IFERROR(__xludf.DUMMYFUNCTION("""COMPUTED_VALUE"""),24879869)</f>
        <v>24879869</v>
      </c>
    </row>
    <row r="1320" spans="1:6" x14ac:dyDescent="0.35">
      <c r="A1320" s="2">
        <f ca="1">IFERROR(__xludf.DUMMYFUNCTION("""COMPUTED_VALUE"""),43920.6666666666)</f>
        <v>43920.666666666599</v>
      </c>
      <c r="B1320" s="1">
        <f ca="1">IFERROR(__xludf.DUMMYFUNCTION("""COMPUTED_VALUE"""),159.18)</f>
        <v>159.18</v>
      </c>
      <c r="C1320" s="1">
        <f ca="1">IFERROR(__xludf.DUMMYFUNCTION("""COMPUTED_VALUE"""),166.75)</f>
        <v>166.75</v>
      </c>
      <c r="D1320" s="1">
        <f ca="1">IFERROR(__xludf.DUMMYFUNCTION("""COMPUTED_VALUE"""),158.06)</f>
        <v>158.06</v>
      </c>
      <c r="E1320" s="1">
        <f ca="1">IFERROR(__xludf.DUMMYFUNCTION("""COMPUTED_VALUE"""),165.95)</f>
        <v>165.95</v>
      </c>
      <c r="F1320" s="1">
        <f ca="1">IFERROR(__xludf.DUMMYFUNCTION("""COMPUTED_VALUE"""),22515225)</f>
        <v>22515225</v>
      </c>
    </row>
    <row r="1321" spans="1:6" x14ac:dyDescent="0.35">
      <c r="A1321" s="2">
        <f ca="1">IFERROR(__xludf.DUMMYFUNCTION("""COMPUTED_VALUE"""),43921.6666666666)</f>
        <v>43921.666666666599</v>
      </c>
      <c r="B1321" s="1">
        <f ca="1">IFERROR(__xludf.DUMMYFUNCTION("""COMPUTED_VALUE"""),165.48)</f>
        <v>165.48</v>
      </c>
      <c r="C1321" s="1">
        <f ca="1">IFERROR(__xludf.DUMMYFUNCTION("""COMPUTED_VALUE"""),170.93)</f>
        <v>170.93</v>
      </c>
      <c r="D1321" s="1">
        <f ca="1">IFERROR(__xludf.DUMMYFUNCTION("""COMPUTED_VALUE"""),164.2)</f>
        <v>164.2</v>
      </c>
      <c r="E1321" s="1">
        <f ca="1">IFERROR(__xludf.DUMMYFUNCTION("""COMPUTED_VALUE"""),166.8)</f>
        <v>166.8</v>
      </c>
      <c r="F1321" s="1">
        <f ca="1">IFERROR(__xludf.DUMMYFUNCTION("""COMPUTED_VALUE"""),23676283)</f>
        <v>23676283</v>
      </c>
    </row>
    <row r="1322" spans="1:6" x14ac:dyDescent="0.35">
      <c r="A1322" s="2">
        <f ca="1">IFERROR(__xludf.DUMMYFUNCTION("""COMPUTED_VALUE"""),43922.6666666666)</f>
        <v>43922.666666666599</v>
      </c>
      <c r="B1322" s="1">
        <f ca="1">IFERROR(__xludf.DUMMYFUNCTION("""COMPUTED_VALUE"""),161.62)</f>
        <v>161.62</v>
      </c>
      <c r="C1322" s="1">
        <f ca="1">IFERROR(__xludf.DUMMYFUNCTION("""COMPUTED_VALUE"""),164.15)</f>
        <v>164.15</v>
      </c>
      <c r="D1322" s="1">
        <f ca="1">IFERROR(__xludf.DUMMYFUNCTION("""COMPUTED_VALUE"""),158.04)</f>
        <v>158.04</v>
      </c>
      <c r="E1322" s="1">
        <f ca="1">IFERROR(__xludf.DUMMYFUNCTION("""COMPUTED_VALUE"""),159.6)</f>
        <v>159.6</v>
      </c>
      <c r="F1322" s="1">
        <f ca="1">IFERROR(__xludf.DUMMYFUNCTION("""COMPUTED_VALUE"""),19507559)</f>
        <v>19507559</v>
      </c>
    </row>
    <row r="1323" spans="1:6" x14ac:dyDescent="0.35">
      <c r="A1323" s="2">
        <f ca="1">IFERROR(__xludf.DUMMYFUNCTION("""COMPUTED_VALUE"""),43923.6666666666)</f>
        <v>43923.666666666599</v>
      </c>
      <c r="B1323" s="1">
        <f ca="1">IFERROR(__xludf.DUMMYFUNCTION("""COMPUTED_VALUE"""),159.1)</f>
        <v>159.1</v>
      </c>
      <c r="C1323" s="1">
        <f ca="1">IFERROR(__xludf.DUMMYFUNCTION("""COMPUTED_VALUE"""),161.35)</f>
        <v>161.35</v>
      </c>
      <c r="D1323" s="1">
        <f ca="1">IFERROR(__xludf.DUMMYFUNCTION("""COMPUTED_VALUE"""),155.92)</f>
        <v>155.91999999999999</v>
      </c>
      <c r="E1323" s="1">
        <f ca="1">IFERROR(__xludf.DUMMYFUNCTION("""COMPUTED_VALUE"""),158.19)</f>
        <v>158.19</v>
      </c>
      <c r="F1323" s="1">
        <f ca="1">IFERROR(__xludf.DUMMYFUNCTION("""COMPUTED_VALUE"""),20886309)</f>
        <v>20886309</v>
      </c>
    </row>
    <row r="1324" spans="1:6" x14ac:dyDescent="0.35">
      <c r="A1324" s="2">
        <f ca="1">IFERROR(__xludf.DUMMYFUNCTION("""COMPUTED_VALUE"""),43924.6666666666)</f>
        <v>43924.666666666599</v>
      </c>
      <c r="B1324" s="1">
        <f ca="1">IFERROR(__xludf.DUMMYFUNCTION("""COMPUTED_VALUE"""),157.15)</f>
        <v>157.15</v>
      </c>
      <c r="C1324" s="1">
        <f ca="1">IFERROR(__xludf.DUMMYFUNCTION("""COMPUTED_VALUE"""),157.91)</f>
        <v>157.91</v>
      </c>
      <c r="D1324" s="1">
        <f ca="1">IFERROR(__xludf.DUMMYFUNCTION("""COMPUTED_VALUE"""),150.83)</f>
        <v>150.83000000000001</v>
      </c>
      <c r="E1324" s="1">
        <f ca="1">IFERROR(__xludf.DUMMYFUNCTION("""COMPUTED_VALUE"""),154.18)</f>
        <v>154.18</v>
      </c>
      <c r="F1324" s="1">
        <f ca="1">IFERROR(__xludf.DUMMYFUNCTION("""COMPUTED_VALUE"""),25983317)</f>
        <v>25983317</v>
      </c>
    </row>
    <row r="1325" spans="1:6" x14ac:dyDescent="0.35">
      <c r="A1325" s="2">
        <f ca="1">IFERROR(__xludf.DUMMYFUNCTION("""COMPUTED_VALUE"""),43927.6666666666)</f>
        <v>43927.666666666599</v>
      </c>
      <c r="B1325" s="1">
        <f ca="1">IFERROR(__xludf.DUMMYFUNCTION("""COMPUTED_VALUE"""),160.15)</f>
        <v>160.15</v>
      </c>
      <c r="C1325" s="1">
        <f ca="1">IFERROR(__xludf.DUMMYFUNCTION("""COMPUTED_VALUE"""),166.2)</f>
        <v>166.2</v>
      </c>
      <c r="D1325" s="1">
        <f ca="1">IFERROR(__xludf.DUMMYFUNCTION("""COMPUTED_VALUE"""),158.51)</f>
        <v>158.51</v>
      </c>
      <c r="E1325" s="1">
        <f ca="1">IFERROR(__xludf.DUMMYFUNCTION("""COMPUTED_VALUE"""),165.55)</f>
        <v>165.55</v>
      </c>
      <c r="F1325" s="1">
        <f ca="1">IFERROR(__xludf.DUMMYFUNCTION("""COMPUTED_VALUE"""),28453581)</f>
        <v>28453581</v>
      </c>
    </row>
    <row r="1326" spans="1:6" x14ac:dyDescent="0.35">
      <c r="A1326" s="2">
        <f ca="1">IFERROR(__xludf.DUMMYFUNCTION("""COMPUTED_VALUE"""),43928.6666666666)</f>
        <v>43928.666666666599</v>
      </c>
      <c r="B1326" s="1">
        <f ca="1">IFERROR(__xludf.DUMMYFUNCTION("""COMPUTED_VALUE"""),171.79)</f>
        <v>171.79</v>
      </c>
      <c r="C1326" s="1">
        <f ca="1">IFERROR(__xludf.DUMMYFUNCTION("""COMPUTED_VALUE"""),173.39)</f>
        <v>173.39</v>
      </c>
      <c r="D1326" s="1">
        <f ca="1">IFERROR(__xludf.DUMMYFUNCTION("""COMPUTED_VALUE"""),166.01)</f>
        <v>166.01</v>
      </c>
      <c r="E1326" s="1">
        <f ca="1">IFERROR(__xludf.DUMMYFUNCTION("""COMPUTED_VALUE"""),168.83)</f>
        <v>168.83</v>
      </c>
      <c r="F1326" s="1">
        <f ca="1">IFERROR(__xludf.DUMMYFUNCTION("""COMPUTED_VALUE"""),31411919)</f>
        <v>31411919</v>
      </c>
    </row>
    <row r="1327" spans="1:6" x14ac:dyDescent="0.35">
      <c r="A1327" s="2">
        <f ca="1">IFERROR(__xludf.DUMMYFUNCTION("""COMPUTED_VALUE"""),43929.6666666666)</f>
        <v>43929.666666666599</v>
      </c>
      <c r="B1327" s="1">
        <f ca="1">IFERROR(__xludf.DUMMYFUNCTION("""COMPUTED_VALUE"""),171.25)</f>
        <v>171.25</v>
      </c>
      <c r="C1327" s="1">
        <f ca="1">IFERROR(__xludf.DUMMYFUNCTION("""COMPUTED_VALUE"""),175)</f>
        <v>175</v>
      </c>
      <c r="D1327" s="1">
        <f ca="1">IFERROR(__xludf.DUMMYFUNCTION("""COMPUTED_VALUE"""),167.74)</f>
        <v>167.74</v>
      </c>
      <c r="E1327" s="1">
        <f ca="1">IFERROR(__xludf.DUMMYFUNCTION("""COMPUTED_VALUE"""),174.28)</f>
        <v>174.28</v>
      </c>
      <c r="F1327" s="1">
        <f ca="1">IFERROR(__xludf.DUMMYFUNCTION("""COMPUTED_VALUE"""),21664198)</f>
        <v>21664198</v>
      </c>
    </row>
    <row r="1328" spans="1:6" x14ac:dyDescent="0.35">
      <c r="A1328" s="2">
        <f ca="1">IFERROR(__xludf.DUMMYFUNCTION("""COMPUTED_VALUE"""),43930.6666666666)</f>
        <v>43930.666666666599</v>
      </c>
      <c r="B1328" s="1">
        <f ca="1">IFERROR(__xludf.DUMMYFUNCTION("""COMPUTED_VALUE"""),175.9)</f>
        <v>175.9</v>
      </c>
      <c r="C1328" s="1">
        <f ca="1">IFERROR(__xludf.DUMMYFUNCTION("""COMPUTED_VALUE"""),177.08)</f>
        <v>177.08</v>
      </c>
      <c r="D1328" s="1">
        <f ca="1">IFERROR(__xludf.DUMMYFUNCTION("""COMPUTED_VALUE"""),171.57)</f>
        <v>171.57</v>
      </c>
      <c r="E1328" s="1">
        <f ca="1">IFERROR(__xludf.DUMMYFUNCTION("""COMPUTED_VALUE"""),175.19)</f>
        <v>175.19</v>
      </c>
      <c r="F1328" s="1">
        <f ca="1">IFERROR(__xludf.DUMMYFUNCTION("""COMPUTED_VALUE"""),23534287)</f>
        <v>23534287</v>
      </c>
    </row>
    <row r="1329" spans="1:6" x14ac:dyDescent="0.35">
      <c r="A1329" s="2">
        <f ca="1">IFERROR(__xludf.DUMMYFUNCTION("""COMPUTED_VALUE"""),43934.6666666666)</f>
        <v>43934.666666666599</v>
      </c>
      <c r="B1329" s="1">
        <f ca="1">IFERROR(__xludf.DUMMYFUNCTION("""COMPUTED_VALUE"""),173.67)</f>
        <v>173.67</v>
      </c>
      <c r="C1329" s="1">
        <f ca="1">IFERROR(__xludf.DUMMYFUNCTION("""COMPUTED_VALUE"""),175)</f>
        <v>175</v>
      </c>
      <c r="D1329" s="1">
        <f ca="1">IFERROR(__xludf.DUMMYFUNCTION("""COMPUTED_VALUE"""),169.45)</f>
        <v>169.45</v>
      </c>
      <c r="E1329" s="1">
        <f ca="1">IFERROR(__xludf.DUMMYFUNCTION("""COMPUTED_VALUE"""),174.79)</f>
        <v>174.79</v>
      </c>
      <c r="F1329" s="1">
        <f ca="1">IFERROR(__xludf.DUMMYFUNCTION("""COMPUTED_VALUE"""),19355355)</f>
        <v>19355355</v>
      </c>
    </row>
    <row r="1330" spans="1:6" x14ac:dyDescent="0.35">
      <c r="A1330" s="2">
        <f ca="1">IFERROR(__xludf.DUMMYFUNCTION("""COMPUTED_VALUE"""),43935.6666666666)</f>
        <v>43935.666666666599</v>
      </c>
      <c r="B1330" s="1">
        <f ca="1">IFERROR(__xludf.DUMMYFUNCTION("""COMPUTED_VALUE"""),178.98)</f>
        <v>178.98</v>
      </c>
      <c r="C1330" s="1">
        <f ca="1">IFERROR(__xludf.DUMMYFUNCTION("""COMPUTED_VALUE"""),181.23)</f>
        <v>181.23</v>
      </c>
      <c r="D1330" s="1">
        <f ca="1">IFERROR(__xludf.DUMMYFUNCTION("""COMPUTED_VALUE"""),176.62)</f>
        <v>176.62</v>
      </c>
      <c r="E1330" s="1">
        <f ca="1">IFERROR(__xludf.DUMMYFUNCTION("""COMPUTED_VALUE"""),178.17)</f>
        <v>178.17</v>
      </c>
      <c r="F1330" s="1">
        <f ca="1">IFERROR(__xludf.DUMMYFUNCTION("""COMPUTED_VALUE"""),21011815)</f>
        <v>21011815</v>
      </c>
    </row>
    <row r="1331" spans="1:6" x14ac:dyDescent="0.35">
      <c r="A1331" s="2">
        <f ca="1">IFERROR(__xludf.DUMMYFUNCTION("""COMPUTED_VALUE"""),43936.6666666666)</f>
        <v>43936.666666666599</v>
      </c>
      <c r="B1331" s="1">
        <f ca="1">IFERROR(__xludf.DUMMYFUNCTION("""COMPUTED_VALUE"""),175.19)</f>
        <v>175.19</v>
      </c>
      <c r="C1331" s="1">
        <f ca="1">IFERROR(__xludf.DUMMYFUNCTION("""COMPUTED_VALUE"""),178.19)</f>
        <v>178.19</v>
      </c>
      <c r="D1331" s="1">
        <f ca="1">IFERROR(__xludf.DUMMYFUNCTION("""COMPUTED_VALUE"""),172.82)</f>
        <v>172.82</v>
      </c>
      <c r="E1331" s="1">
        <f ca="1">IFERROR(__xludf.DUMMYFUNCTION("""COMPUTED_VALUE"""),176.97)</f>
        <v>176.97</v>
      </c>
      <c r="F1331" s="1">
        <f ca="1">IFERROR(__xludf.DUMMYFUNCTION("""COMPUTED_VALUE"""),17423003)</f>
        <v>17423003</v>
      </c>
    </row>
    <row r="1332" spans="1:6" x14ac:dyDescent="0.35">
      <c r="A1332" s="2">
        <f ca="1">IFERROR(__xludf.DUMMYFUNCTION("""COMPUTED_VALUE"""),43937.6666666666)</f>
        <v>43937.666666666599</v>
      </c>
      <c r="B1332" s="1">
        <f ca="1">IFERROR(__xludf.DUMMYFUNCTION("""COMPUTED_VALUE"""),177.95)</f>
        <v>177.95</v>
      </c>
      <c r="C1332" s="1">
        <f ca="1">IFERROR(__xludf.DUMMYFUNCTION("""COMPUTED_VALUE"""),178.05)</f>
        <v>178.05</v>
      </c>
      <c r="D1332" s="1">
        <f ca="1">IFERROR(__xludf.DUMMYFUNCTION("""COMPUTED_VALUE"""),172.51)</f>
        <v>172.51</v>
      </c>
      <c r="E1332" s="1">
        <f ca="1">IFERROR(__xludf.DUMMYFUNCTION("""COMPUTED_VALUE"""),176.25)</f>
        <v>176.25</v>
      </c>
      <c r="F1332" s="1">
        <f ca="1">IFERROR(__xludf.DUMMYFUNCTION("""COMPUTED_VALUE"""),23593229)</f>
        <v>23593229</v>
      </c>
    </row>
    <row r="1333" spans="1:6" x14ac:dyDescent="0.35">
      <c r="A1333" s="2">
        <f ca="1">IFERROR(__xludf.DUMMYFUNCTION("""COMPUTED_VALUE"""),43938.6666666666)</f>
        <v>43938.666666666599</v>
      </c>
      <c r="B1333" s="1">
        <f ca="1">IFERROR(__xludf.DUMMYFUNCTION("""COMPUTED_VALUE"""),179.2)</f>
        <v>179.2</v>
      </c>
      <c r="C1333" s="1">
        <f ca="1">IFERROR(__xludf.DUMMYFUNCTION("""COMPUTED_VALUE"""),180.28)</f>
        <v>180.28</v>
      </c>
      <c r="D1333" s="1">
        <f ca="1">IFERROR(__xludf.DUMMYFUNCTION("""COMPUTED_VALUE"""),176.66)</f>
        <v>176.66</v>
      </c>
      <c r="E1333" s="1">
        <f ca="1">IFERROR(__xludf.DUMMYFUNCTION("""COMPUTED_VALUE"""),179.24)</f>
        <v>179.24</v>
      </c>
      <c r="F1333" s="1">
        <f ca="1">IFERROR(__xludf.DUMMYFUNCTION("""COMPUTED_VALUE"""),20974750)</f>
        <v>20974750</v>
      </c>
    </row>
    <row r="1334" spans="1:6" x14ac:dyDescent="0.35">
      <c r="A1334" s="2">
        <f ca="1">IFERROR(__xludf.DUMMYFUNCTION("""COMPUTED_VALUE"""),43941.6666666666)</f>
        <v>43941.666666666599</v>
      </c>
      <c r="B1334" s="1">
        <f ca="1">IFERROR(__xludf.DUMMYFUNCTION("""COMPUTED_VALUE"""),177.41)</f>
        <v>177.41</v>
      </c>
      <c r="C1334" s="1">
        <f ca="1">IFERROR(__xludf.DUMMYFUNCTION("""COMPUTED_VALUE"""),180.5)</f>
        <v>180.5</v>
      </c>
      <c r="D1334" s="1">
        <f ca="1">IFERROR(__xludf.DUMMYFUNCTION("""COMPUTED_VALUE"""),176.77)</f>
        <v>176.77</v>
      </c>
      <c r="E1334" s="1">
        <f ca="1">IFERROR(__xludf.DUMMYFUNCTION("""COMPUTED_VALUE"""),178.24)</f>
        <v>178.24</v>
      </c>
      <c r="F1334" s="1">
        <f ca="1">IFERROR(__xludf.DUMMYFUNCTION("""COMPUTED_VALUE"""),16110664)</f>
        <v>16110664</v>
      </c>
    </row>
    <row r="1335" spans="1:6" x14ac:dyDescent="0.35">
      <c r="A1335" s="2">
        <f ca="1">IFERROR(__xludf.DUMMYFUNCTION("""COMPUTED_VALUE"""),43942.6666666666)</f>
        <v>43942.666666666599</v>
      </c>
      <c r="B1335" s="1">
        <f ca="1">IFERROR(__xludf.DUMMYFUNCTION("""COMPUTED_VALUE"""),175.25)</f>
        <v>175.25</v>
      </c>
      <c r="C1335" s="1">
        <f ca="1">IFERROR(__xludf.DUMMYFUNCTION("""COMPUTED_VALUE"""),175.38)</f>
        <v>175.38</v>
      </c>
      <c r="D1335" s="1">
        <f ca="1">IFERROR(__xludf.DUMMYFUNCTION("""COMPUTED_VALUE"""),168.34)</f>
        <v>168.34</v>
      </c>
      <c r="E1335" s="1">
        <f ca="1">IFERROR(__xludf.DUMMYFUNCTION("""COMPUTED_VALUE"""),170.8)</f>
        <v>170.8</v>
      </c>
      <c r="F1335" s="1">
        <f ca="1">IFERROR(__xludf.DUMMYFUNCTION("""COMPUTED_VALUE"""),24850528)</f>
        <v>24850528</v>
      </c>
    </row>
    <row r="1336" spans="1:6" x14ac:dyDescent="0.35">
      <c r="A1336" s="2">
        <f ca="1">IFERROR(__xludf.DUMMYFUNCTION("""COMPUTED_VALUE"""),43943.6666666666)</f>
        <v>43943.666666666599</v>
      </c>
      <c r="B1336" s="1">
        <f ca="1">IFERROR(__xludf.DUMMYFUNCTION("""COMPUTED_VALUE"""),178.45)</f>
        <v>178.45</v>
      </c>
      <c r="C1336" s="1">
        <f ca="1">IFERROR(__xludf.DUMMYFUNCTION("""COMPUTED_VALUE"""),184.78)</f>
        <v>184.78</v>
      </c>
      <c r="D1336" s="1">
        <f ca="1">IFERROR(__xludf.DUMMYFUNCTION("""COMPUTED_VALUE"""),178.14)</f>
        <v>178.14</v>
      </c>
      <c r="E1336" s="1">
        <f ca="1">IFERROR(__xludf.DUMMYFUNCTION("""COMPUTED_VALUE"""),182.28)</f>
        <v>182.28</v>
      </c>
      <c r="F1336" s="1">
        <f ca="1">IFERROR(__xludf.DUMMYFUNCTION("""COMPUTED_VALUE"""),33369931)</f>
        <v>33369931</v>
      </c>
    </row>
    <row r="1337" spans="1:6" x14ac:dyDescent="0.35">
      <c r="A1337" s="2">
        <f ca="1">IFERROR(__xludf.DUMMYFUNCTION("""COMPUTED_VALUE"""),43944.6666666666)</f>
        <v>43944.666666666599</v>
      </c>
      <c r="B1337" s="1">
        <f ca="1">IFERROR(__xludf.DUMMYFUNCTION("""COMPUTED_VALUE"""),184.08)</f>
        <v>184.08</v>
      </c>
      <c r="C1337" s="1">
        <f ca="1">IFERROR(__xludf.DUMMYFUNCTION("""COMPUTED_VALUE"""),187.05)</f>
        <v>187.05</v>
      </c>
      <c r="D1337" s="1">
        <f ca="1">IFERROR(__xludf.DUMMYFUNCTION("""COMPUTED_VALUE"""),183.15)</f>
        <v>183.15</v>
      </c>
      <c r="E1337" s="1">
        <f ca="1">IFERROR(__xludf.DUMMYFUNCTION("""COMPUTED_VALUE"""),185.13)</f>
        <v>185.13</v>
      </c>
      <c r="F1337" s="1">
        <f ca="1">IFERROR(__xludf.DUMMYFUNCTION("""COMPUTED_VALUE"""),21426604)</f>
        <v>21426604</v>
      </c>
    </row>
    <row r="1338" spans="1:6" x14ac:dyDescent="0.35">
      <c r="A1338" s="2">
        <f ca="1">IFERROR(__xludf.DUMMYFUNCTION("""COMPUTED_VALUE"""),43945.6666666666)</f>
        <v>43945.666666666599</v>
      </c>
      <c r="B1338" s="1">
        <f ca="1">IFERROR(__xludf.DUMMYFUNCTION("""COMPUTED_VALUE"""),183.23)</f>
        <v>183.23</v>
      </c>
      <c r="C1338" s="1">
        <f ca="1">IFERROR(__xludf.DUMMYFUNCTION("""COMPUTED_VALUE"""),190.41)</f>
        <v>190.41</v>
      </c>
      <c r="D1338" s="1">
        <f ca="1">IFERROR(__xludf.DUMMYFUNCTION("""COMPUTED_VALUE"""),180.83)</f>
        <v>180.83</v>
      </c>
      <c r="E1338" s="1">
        <f ca="1">IFERROR(__xludf.DUMMYFUNCTION("""COMPUTED_VALUE"""),190.07)</f>
        <v>190.07</v>
      </c>
      <c r="F1338" s="1">
        <f ca="1">IFERROR(__xludf.DUMMYFUNCTION("""COMPUTED_VALUE"""),28868528)</f>
        <v>28868528</v>
      </c>
    </row>
    <row r="1339" spans="1:6" x14ac:dyDescent="0.35">
      <c r="A1339" s="2">
        <f ca="1">IFERROR(__xludf.DUMMYFUNCTION("""COMPUTED_VALUE"""),43948.6666666666)</f>
        <v>43948.666666666599</v>
      </c>
      <c r="B1339" s="1">
        <f ca="1">IFERROR(__xludf.DUMMYFUNCTION("""COMPUTED_VALUE"""),192.66)</f>
        <v>192.66</v>
      </c>
      <c r="C1339" s="1">
        <f ca="1">IFERROR(__xludf.DUMMYFUNCTION("""COMPUTED_VALUE"""),193.75)</f>
        <v>193.75</v>
      </c>
      <c r="D1339" s="1">
        <f ca="1">IFERROR(__xludf.DUMMYFUNCTION("""COMPUTED_VALUE"""),187.41)</f>
        <v>187.41</v>
      </c>
      <c r="E1339" s="1">
        <f ca="1">IFERROR(__xludf.DUMMYFUNCTION("""COMPUTED_VALUE"""),187.5)</f>
        <v>187.5</v>
      </c>
      <c r="F1339" s="1">
        <f ca="1">IFERROR(__xludf.DUMMYFUNCTION("""COMPUTED_VALUE"""),29197750)</f>
        <v>29197750</v>
      </c>
    </row>
    <row r="1340" spans="1:6" x14ac:dyDescent="0.35">
      <c r="A1340" s="2">
        <f ca="1">IFERROR(__xludf.DUMMYFUNCTION("""COMPUTED_VALUE"""),43949.6666666666)</f>
        <v>43949.666666666599</v>
      </c>
      <c r="B1340" s="1">
        <f ca="1">IFERROR(__xludf.DUMMYFUNCTION("""COMPUTED_VALUE"""),188.66)</f>
        <v>188.66</v>
      </c>
      <c r="C1340" s="1">
        <f ca="1">IFERROR(__xludf.DUMMYFUNCTION("""COMPUTED_VALUE"""),189.2)</f>
        <v>189.2</v>
      </c>
      <c r="D1340" s="1">
        <f ca="1">IFERROR(__xludf.DUMMYFUNCTION("""COMPUTED_VALUE"""),182.56)</f>
        <v>182.56</v>
      </c>
      <c r="E1340" s="1">
        <f ca="1">IFERROR(__xludf.DUMMYFUNCTION("""COMPUTED_VALUE"""),182.91)</f>
        <v>182.91</v>
      </c>
      <c r="F1340" s="1">
        <f ca="1">IFERROR(__xludf.DUMMYFUNCTION("""COMPUTED_VALUE"""),21730986)</f>
        <v>21730986</v>
      </c>
    </row>
    <row r="1341" spans="1:6" x14ac:dyDescent="0.35">
      <c r="A1341" s="2">
        <f ca="1">IFERROR(__xludf.DUMMYFUNCTION("""COMPUTED_VALUE"""),43950.6666666666)</f>
        <v>43950.666666666599</v>
      </c>
      <c r="B1341" s="1">
        <f ca="1">IFERROR(__xludf.DUMMYFUNCTION("""COMPUTED_VALUE"""),190.93)</f>
        <v>190.93</v>
      </c>
      <c r="C1341" s="1">
        <f ca="1">IFERROR(__xludf.DUMMYFUNCTION("""COMPUTED_VALUE"""),196.91)</f>
        <v>196.91</v>
      </c>
      <c r="D1341" s="1">
        <f ca="1">IFERROR(__xludf.DUMMYFUNCTION("""COMPUTED_VALUE"""),190)</f>
        <v>190</v>
      </c>
      <c r="E1341" s="1">
        <f ca="1">IFERROR(__xludf.DUMMYFUNCTION("""COMPUTED_VALUE"""),194.19)</f>
        <v>194.19</v>
      </c>
      <c r="F1341" s="1">
        <f ca="1">IFERROR(__xludf.DUMMYFUNCTION("""COMPUTED_VALUE"""),45954521)</f>
        <v>45954521</v>
      </c>
    </row>
    <row r="1342" spans="1:6" x14ac:dyDescent="0.35">
      <c r="A1342" s="2">
        <f ca="1">IFERROR(__xludf.DUMMYFUNCTION("""COMPUTED_VALUE"""),43951.6666666666)</f>
        <v>43951.666666666599</v>
      </c>
      <c r="B1342" s="1">
        <f ca="1">IFERROR(__xludf.DUMMYFUNCTION("""COMPUTED_VALUE"""),206.92)</f>
        <v>206.92</v>
      </c>
      <c r="C1342" s="1">
        <f ca="1">IFERROR(__xludf.DUMMYFUNCTION("""COMPUTED_VALUE"""),209.69)</f>
        <v>209.69</v>
      </c>
      <c r="D1342" s="1">
        <f ca="1">IFERROR(__xludf.DUMMYFUNCTION("""COMPUTED_VALUE"""),201.57)</f>
        <v>201.57</v>
      </c>
      <c r="E1342" s="1">
        <f ca="1">IFERROR(__xludf.DUMMYFUNCTION("""COMPUTED_VALUE"""),204.71)</f>
        <v>204.71</v>
      </c>
      <c r="F1342" s="1">
        <f ca="1">IFERROR(__xludf.DUMMYFUNCTION("""COMPUTED_VALUE"""),46230116)</f>
        <v>46230116</v>
      </c>
    </row>
    <row r="1343" spans="1:6" x14ac:dyDescent="0.35">
      <c r="A1343" s="2">
        <f ca="1">IFERROR(__xludf.DUMMYFUNCTION("""COMPUTED_VALUE"""),43952.6666666666)</f>
        <v>43952.666666666599</v>
      </c>
      <c r="B1343" s="1">
        <f ca="1">IFERROR(__xludf.DUMMYFUNCTION("""COMPUTED_VALUE"""),201.6)</f>
        <v>201.6</v>
      </c>
      <c r="C1343" s="1">
        <f ca="1">IFERROR(__xludf.DUMMYFUNCTION("""COMPUTED_VALUE"""),207.28)</f>
        <v>207.28</v>
      </c>
      <c r="D1343" s="1">
        <f ca="1">IFERROR(__xludf.DUMMYFUNCTION("""COMPUTED_VALUE"""),199.05)</f>
        <v>199.05</v>
      </c>
      <c r="E1343" s="1">
        <f ca="1">IFERROR(__xludf.DUMMYFUNCTION("""COMPUTED_VALUE"""),202.27)</f>
        <v>202.27</v>
      </c>
      <c r="F1343" s="1">
        <f ca="1">IFERROR(__xludf.DUMMYFUNCTION("""COMPUTED_VALUE"""),30415581)</f>
        <v>30415581</v>
      </c>
    </row>
    <row r="1344" spans="1:6" x14ac:dyDescent="0.35">
      <c r="A1344" s="2">
        <f ca="1">IFERROR(__xludf.DUMMYFUNCTION("""COMPUTED_VALUE"""),43955.6666666666)</f>
        <v>43955.666666666599</v>
      </c>
      <c r="B1344" s="1">
        <f ca="1">IFERROR(__xludf.DUMMYFUNCTION("""COMPUTED_VALUE"""),200.2)</f>
        <v>200.2</v>
      </c>
      <c r="C1344" s="1">
        <f ca="1">IFERROR(__xludf.DUMMYFUNCTION("""COMPUTED_VALUE"""),205.91)</f>
        <v>205.91</v>
      </c>
      <c r="D1344" s="1">
        <f ca="1">IFERROR(__xludf.DUMMYFUNCTION("""COMPUTED_VALUE"""),198.76)</f>
        <v>198.76</v>
      </c>
      <c r="E1344" s="1">
        <f ca="1">IFERROR(__xludf.DUMMYFUNCTION("""COMPUTED_VALUE"""),205.26)</f>
        <v>205.26</v>
      </c>
      <c r="F1344" s="1">
        <f ca="1">IFERROR(__xludf.DUMMYFUNCTION("""COMPUTED_VALUE"""),19250673)</f>
        <v>19250673</v>
      </c>
    </row>
    <row r="1345" spans="1:6" x14ac:dyDescent="0.35">
      <c r="A1345" s="2">
        <f ca="1">IFERROR(__xludf.DUMMYFUNCTION("""COMPUTED_VALUE"""),43956.6666666666)</f>
        <v>43956.666666666599</v>
      </c>
      <c r="B1345" s="1">
        <f ca="1">IFERROR(__xludf.DUMMYFUNCTION("""COMPUTED_VALUE"""),207.02)</f>
        <v>207.02</v>
      </c>
      <c r="C1345" s="1">
        <f ca="1">IFERROR(__xludf.DUMMYFUNCTION("""COMPUTED_VALUE"""),210.38)</f>
        <v>210.38</v>
      </c>
      <c r="D1345" s="1">
        <f ca="1">IFERROR(__xludf.DUMMYFUNCTION("""COMPUTED_VALUE"""),206.5)</f>
        <v>206.5</v>
      </c>
      <c r="E1345" s="1">
        <f ca="1">IFERROR(__xludf.DUMMYFUNCTION("""COMPUTED_VALUE"""),207.07)</f>
        <v>207.07</v>
      </c>
      <c r="F1345" s="1">
        <f ca="1">IFERROR(__xludf.DUMMYFUNCTION("""COMPUTED_VALUE"""),21071223)</f>
        <v>21071223</v>
      </c>
    </row>
    <row r="1346" spans="1:6" x14ac:dyDescent="0.35">
      <c r="A1346" s="2">
        <f ca="1">IFERROR(__xludf.DUMMYFUNCTION("""COMPUTED_VALUE"""),43957.6666666666)</f>
        <v>43957.666666666599</v>
      </c>
      <c r="B1346" s="1">
        <f ca="1">IFERROR(__xludf.DUMMYFUNCTION("""COMPUTED_VALUE"""),208.12)</f>
        <v>208.12</v>
      </c>
      <c r="C1346" s="1">
        <f ca="1">IFERROR(__xludf.DUMMYFUNCTION("""COMPUTED_VALUE"""),211.6)</f>
        <v>211.6</v>
      </c>
      <c r="D1346" s="1">
        <f ca="1">IFERROR(__xludf.DUMMYFUNCTION("""COMPUTED_VALUE"""),206.66)</f>
        <v>206.66</v>
      </c>
      <c r="E1346" s="1">
        <f ca="1">IFERROR(__xludf.DUMMYFUNCTION("""COMPUTED_VALUE"""),208.47)</f>
        <v>208.47</v>
      </c>
      <c r="F1346" s="1">
        <f ca="1">IFERROR(__xludf.DUMMYFUNCTION("""COMPUTED_VALUE"""),21856963)</f>
        <v>21856963</v>
      </c>
    </row>
    <row r="1347" spans="1:6" x14ac:dyDescent="0.35">
      <c r="A1347" s="2">
        <f ca="1">IFERROR(__xludf.DUMMYFUNCTION("""COMPUTED_VALUE"""),43958.6666666666)</f>
        <v>43958.666666666599</v>
      </c>
      <c r="B1347" s="1">
        <f ca="1">IFERROR(__xludf.DUMMYFUNCTION("""COMPUTED_VALUE"""),211.16)</f>
        <v>211.16</v>
      </c>
      <c r="C1347" s="1">
        <f ca="1">IFERROR(__xludf.DUMMYFUNCTION("""COMPUTED_VALUE"""),211.6)</f>
        <v>211.6</v>
      </c>
      <c r="D1347" s="1">
        <f ca="1">IFERROR(__xludf.DUMMYFUNCTION("""COMPUTED_VALUE"""),209.04)</f>
        <v>209.04</v>
      </c>
      <c r="E1347" s="1">
        <f ca="1">IFERROR(__xludf.DUMMYFUNCTION("""COMPUTED_VALUE"""),211.26)</f>
        <v>211.26</v>
      </c>
      <c r="F1347" s="1">
        <f ca="1">IFERROR(__xludf.DUMMYFUNCTION("""COMPUTED_VALUE"""),15151976)</f>
        <v>15151976</v>
      </c>
    </row>
    <row r="1348" spans="1:6" x14ac:dyDescent="0.35">
      <c r="A1348" s="2">
        <f ca="1">IFERROR(__xludf.DUMMYFUNCTION("""COMPUTED_VALUE"""),43959.6666666666)</f>
        <v>43959.666666666599</v>
      </c>
      <c r="B1348" s="1">
        <f ca="1">IFERROR(__xludf.DUMMYFUNCTION("""COMPUTED_VALUE"""),212.24)</f>
        <v>212.24</v>
      </c>
      <c r="C1348" s="1">
        <f ca="1">IFERROR(__xludf.DUMMYFUNCTION("""COMPUTED_VALUE"""),213.21)</f>
        <v>213.21</v>
      </c>
      <c r="D1348" s="1">
        <f ca="1">IFERROR(__xludf.DUMMYFUNCTION("""COMPUTED_VALUE"""),210.85)</f>
        <v>210.85</v>
      </c>
      <c r="E1348" s="1">
        <f ca="1">IFERROR(__xludf.DUMMYFUNCTION("""COMPUTED_VALUE"""),212.35)</f>
        <v>212.35</v>
      </c>
      <c r="F1348" s="1">
        <f ca="1">IFERROR(__xludf.DUMMYFUNCTION("""COMPUTED_VALUE"""),12524048)</f>
        <v>12524048</v>
      </c>
    </row>
    <row r="1349" spans="1:6" x14ac:dyDescent="0.35">
      <c r="A1349" s="2">
        <f ca="1">IFERROR(__xludf.DUMMYFUNCTION("""COMPUTED_VALUE"""),43962.6666666666)</f>
        <v>43962.666666666599</v>
      </c>
      <c r="B1349" s="1">
        <f ca="1">IFERROR(__xludf.DUMMYFUNCTION("""COMPUTED_VALUE"""),210.89)</f>
        <v>210.89</v>
      </c>
      <c r="C1349" s="1">
        <f ca="1">IFERROR(__xludf.DUMMYFUNCTION("""COMPUTED_VALUE"""),215)</f>
        <v>215</v>
      </c>
      <c r="D1349" s="1">
        <f ca="1">IFERROR(__xludf.DUMMYFUNCTION("""COMPUTED_VALUE"""),210.37)</f>
        <v>210.37</v>
      </c>
      <c r="E1349" s="1">
        <f ca="1">IFERROR(__xludf.DUMMYFUNCTION("""COMPUTED_VALUE"""),213.18)</f>
        <v>213.18</v>
      </c>
      <c r="F1349" s="1">
        <f ca="1">IFERROR(__xludf.DUMMYFUNCTION("""COMPUTED_VALUE"""),12911948)</f>
        <v>12911948</v>
      </c>
    </row>
    <row r="1350" spans="1:6" x14ac:dyDescent="0.35">
      <c r="A1350" s="2">
        <f ca="1">IFERROR(__xludf.DUMMYFUNCTION("""COMPUTED_VALUE"""),43963.6666666666)</f>
        <v>43963.666666666599</v>
      </c>
      <c r="B1350" s="1">
        <f ca="1">IFERROR(__xludf.DUMMYFUNCTION("""COMPUTED_VALUE"""),213.29)</f>
        <v>213.29</v>
      </c>
      <c r="C1350" s="1">
        <f ca="1">IFERROR(__xludf.DUMMYFUNCTION("""COMPUTED_VALUE"""),215.28)</f>
        <v>215.28</v>
      </c>
      <c r="D1350" s="1">
        <f ca="1">IFERROR(__xludf.DUMMYFUNCTION("""COMPUTED_VALUE"""),210)</f>
        <v>210</v>
      </c>
      <c r="E1350" s="1">
        <f ca="1">IFERROR(__xludf.DUMMYFUNCTION("""COMPUTED_VALUE"""),210.1)</f>
        <v>210.1</v>
      </c>
      <c r="F1350" s="1">
        <f ca="1">IFERROR(__xludf.DUMMYFUNCTION("""COMPUTED_VALUE"""),14704647)</f>
        <v>14704647</v>
      </c>
    </row>
    <row r="1351" spans="1:6" x14ac:dyDescent="0.35">
      <c r="A1351" s="2">
        <f ca="1">IFERROR(__xludf.DUMMYFUNCTION("""COMPUTED_VALUE"""),43964.6666666666)</f>
        <v>43964.666666666599</v>
      </c>
      <c r="B1351" s="1">
        <f ca="1">IFERROR(__xludf.DUMMYFUNCTION("""COMPUTED_VALUE"""),209.43)</f>
        <v>209.43</v>
      </c>
      <c r="C1351" s="1">
        <f ca="1">IFERROR(__xludf.DUMMYFUNCTION("""COMPUTED_VALUE"""),210.78)</f>
        <v>210.78</v>
      </c>
      <c r="D1351" s="1">
        <f ca="1">IFERROR(__xludf.DUMMYFUNCTION("""COMPUTED_VALUE"""),202.11)</f>
        <v>202.11</v>
      </c>
      <c r="E1351" s="1">
        <f ca="1">IFERROR(__xludf.DUMMYFUNCTION("""COMPUTED_VALUE"""),205.1)</f>
        <v>205.1</v>
      </c>
      <c r="F1351" s="1">
        <f ca="1">IFERROR(__xludf.DUMMYFUNCTION("""COMPUTED_VALUE"""),20684559)</f>
        <v>20684559</v>
      </c>
    </row>
    <row r="1352" spans="1:6" x14ac:dyDescent="0.35">
      <c r="A1352" s="2">
        <f ca="1">IFERROR(__xludf.DUMMYFUNCTION("""COMPUTED_VALUE"""),43965.6666666666)</f>
        <v>43965.666666666599</v>
      </c>
      <c r="B1352" s="1">
        <f ca="1">IFERROR(__xludf.DUMMYFUNCTION("""COMPUTED_VALUE"""),202.56)</f>
        <v>202.56</v>
      </c>
      <c r="C1352" s="1">
        <f ca="1">IFERROR(__xludf.DUMMYFUNCTION("""COMPUTED_VALUE"""),206.93)</f>
        <v>206.93</v>
      </c>
      <c r="D1352" s="1">
        <f ca="1">IFERROR(__xludf.DUMMYFUNCTION("""COMPUTED_VALUE"""),200.69)</f>
        <v>200.69</v>
      </c>
      <c r="E1352" s="1">
        <f ca="1">IFERROR(__xludf.DUMMYFUNCTION("""COMPUTED_VALUE"""),206.81)</f>
        <v>206.81</v>
      </c>
      <c r="F1352" s="1">
        <f ca="1">IFERROR(__xludf.DUMMYFUNCTION("""COMPUTED_VALUE"""),17178947)</f>
        <v>17178947</v>
      </c>
    </row>
    <row r="1353" spans="1:6" x14ac:dyDescent="0.35">
      <c r="A1353" s="2">
        <f ca="1">IFERROR(__xludf.DUMMYFUNCTION("""COMPUTED_VALUE"""),43966.6666666666)</f>
        <v>43966.666666666599</v>
      </c>
      <c r="B1353" s="1">
        <f ca="1">IFERROR(__xludf.DUMMYFUNCTION("""COMPUTED_VALUE"""),205.27)</f>
        <v>205.27</v>
      </c>
      <c r="C1353" s="1">
        <f ca="1">IFERROR(__xludf.DUMMYFUNCTION("""COMPUTED_VALUE"""),211.34)</f>
        <v>211.34</v>
      </c>
      <c r="D1353" s="1">
        <f ca="1">IFERROR(__xludf.DUMMYFUNCTION("""COMPUTED_VALUE"""),204.12)</f>
        <v>204.12</v>
      </c>
      <c r="E1353" s="1">
        <f ca="1">IFERROR(__xludf.DUMMYFUNCTION("""COMPUTED_VALUE"""),210.88)</f>
        <v>210.88</v>
      </c>
      <c r="F1353" s="1">
        <f ca="1">IFERROR(__xludf.DUMMYFUNCTION("""COMPUTED_VALUE"""),19383154)</f>
        <v>19383154</v>
      </c>
    </row>
    <row r="1354" spans="1:6" x14ac:dyDescent="0.35">
      <c r="A1354" s="2">
        <f ca="1">IFERROR(__xludf.DUMMYFUNCTION("""COMPUTED_VALUE"""),43969.6666666666)</f>
        <v>43969.666666666599</v>
      </c>
      <c r="B1354" s="1">
        <f ca="1">IFERROR(__xludf.DUMMYFUNCTION("""COMPUTED_VALUE"""),212.15)</f>
        <v>212.15</v>
      </c>
      <c r="C1354" s="1">
        <f ca="1">IFERROR(__xludf.DUMMYFUNCTION("""COMPUTED_VALUE"""),214.64)</f>
        <v>214.64</v>
      </c>
      <c r="D1354" s="1">
        <f ca="1">IFERROR(__xludf.DUMMYFUNCTION("""COMPUTED_VALUE"""),210.94)</f>
        <v>210.94</v>
      </c>
      <c r="E1354" s="1">
        <f ca="1">IFERROR(__xludf.DUMMYFUNCTION("""COMPUTED_VALUE"""),213.19)</f>
        <v>213.19</v>
      </c>
      <c r="F1354" s="1">
        <f ca="1">IFERROR(__xludf.DUMMYFUNCTION("""COMPUTED_VALUE"""),20167443)</f>
        <v>20167443</v>
      </c>
    </row>
    <row r="1355" spans="1:6" x14ac:dyDescent="0.35">
      <c r="A1355" s="2">
        <f ca="1">IFERROR(__xludf.DUMMYFUNCTION("""COMPUTED_VALUE"""),43970.6666666666)</f>
        <v>43970.666666666599</v>
      </c>
      <c r="B1355" s="1">
        <f ca="1">IFERROR(__xludf.DUMMYFUNCTION("""COMPUTED_VALUE"""),213.27)</f>
        <v>213.27</v>
      </c>
      <c r="C1355" s="1">
        <f ca="1">IFERROR(__xludf.DUMMYFUNCTION("""COMPUTED_VALUE"""),220.49)</f>
        <v>220.49</v>
      </c>
      <c r="D1355" s="1">
        <f ca="1">IFERROR(__xludf.DUMMYFUNCTION("""COMPUTED_VALUE"""),212.83)</f>
        <v>212.83</v>
      </c>
      <c r="E1355" s="1">
        <f ca="1">IFERROR(__xludf.DUMMYFUNCTION("""COMPUTED_VALUE"""),216.88)</f>
        <v>216.88</v>
      </c>
      <c r="F1355" s="1">
        <f ca="1">IFERROR(__xludf.DUMMYFUNCTION("""COMPUTED_VALUE"""),31843152)</f>
        <v>31843152</v>
      </c>
    </row>
    <row r="1356" spans="1:6" x14ac:dyDescent="0.35">
      <c r="A1356" s="2">
        <f ca="1">IFERROR(__xludf.DUMMYFUNCTION("""COMPUTED_VALUE"""),43971.6666666666)</f>
        <v>43971.666666666599</v>
      </c>
      <c r="B1356" s="1">
        <f ca="1">IFERROR(__xludf.DUMMYFUNCTION("""COMPUTED_VALUE"""),223.5)</f>
        <v>223.5</v>
      </c>
      <c r="C1356" s="1">
        <f ca="1">IFERROR(__xludf.DUMMYFUNCTION("""COMPUTED_VALUE"""),231.34)</f>
        <v>231.34</v>
      </c>
      <c r="D1356" s="1">
        <f ca="1">IFERROR(__xludf.DUMMYFUNCTION("""COMPUTED_VALUE"""),223.19)</f>
        <v>223.19</v>
      </c>
      <c r="E1356" s="1">
        <f ca="1">IFERROR(__xludf.DUMMYFUNCTION("""COMPUTED_VALUE"""),229.97)</f>
        <v>229.97</v>
      </c>
      <c r="F1356" s="1">
        <f ca="1">IFERROR(__xludf.DUMMYFUNCTION("""COMPUTED_VALUE"""),50162875)</f>
        <v>50162875</v>
      </c>
    </row>
    <row r="1357" spans="1:6" x14ac:dyDescent="0.35">
      <c r="A1357" s="2">
        <f ca="1">IFERROR(__xludf.DUMMYFUNCTION("""COMPUTED_VALUE"""),43972.6666666666)</f>
        <v>43972.666666666599</v>
      </c>
      <c r="B1357" s="1">
        <f ca="1">IFERROR(__xludf.DUMMYFUNCTION("""COMPUTED_VALUE"""),234.72)</f>
        <v>234.72</v>
      </c>
      <c r="C1357" s="1">
        <f ca="1">IFERROR(__xludf.DUMMYFUNCTION("""COMPUTED_VALUE"""),237.2)</f>
        <v>237.2</v>
      </c>
      <c r="D1357" s="1">
        <f ca="1">IFERROR(__xludf.DUMMYFUNCTION("""COMPUTED_VALUE"""),231.2)</f>
        <v>231.2</v>
      </c>
      <c r="E1357" s="1">
        <f ca="1">IFERROR(__xludf.DUMMYFUNCTION("""COMPUTED_VALUE"""),231.39)</f>
        <v>231.39</v>
      </c>
      <c r="F1357" s="1">
        <f ca="1">IFERROR(__xludf.DUMMYFUNCTION("""COMPUTED_VALUE"""),47782636)</f>
        <v>47782636</v>
      </c>
    </row>
    <row r="1358" spans="1:6" x14ac:dyDescent="0.35">
      <c r="A1358" s="2">
        <f ca="1">IFERROR(__xludf.DUMMYFUNCTION("""COMPUTED_VALUE"""),43973.6666666666)</f>
        <v>43973.666666666599</v>
      </c>
      <c r="B1358" s="1">
        <f ca="1">IFERROR(__xludf.DUMMYFUNCTION("""COMPUTED_VALUE"""),231.51)</f>
        <v>231.51</v>
      </c>
      <c r="C1358" s="1">
        <f ca="1">IFERROR(__xludf.DUMMYFUNCTION("""COMPUTED_VALUE"""),235.99)</f>
        <v>235.99</v>
      </c>
      <c r="D1358" s="1">
        <f ca="1">IFERROR(__xludf.DUMMYFUNCTION("""COMPUTED_VALUE"""),228.74)</f>
        <v>228.74</v>
      </c>
      <c r="E1358" s="1">
        <f ca="1">IFERROR(__xludf.DUMMYFUNCTION("""COMPUTED_VALUE"""),234.91)</f>
        <v>234.91</v>
      </c>
      <c r="F1358" s="1">
        <f ca="1">IFERROR(__xludf.DUMMYFUNCTION("""COMPUTED_VALUE"""),33925564)</f>
        <v>33925564</v>
      </c>
    </row>
    <row r="1359" spans="1:6" x14ac:dyDescent="0.35">
      <c r="A1359" s="2">
        <f ca="1">IFERROR(__xludf.DUMMYFUNCTION("""COMPUTED_VALUE"""),43977.6666666666)</f>
        <v>43977.666666666599</v>
      </c>
      <c r="B1359" s="1">
        <f ca="1">IFERROR(__xludf.DUMMYFUNCTION("""COMPUTED_VALUE"""),239.77)</f>
        <v>239.77</v>
      </c>
      <c r="C1359" s="1">
        <f ca="1">IFERROR(__xludf.DUMMYFUNCTION("""COMPUTED_VALUE"""),240.9)</f>
        <v>240.9</v>
      </c>
      <c r="D1359" s="1">
        <f ca="1">IFERROR(__xludf.DUMMYFUNCTION("""COMPUTED_VALUE"""),231.67)</f>
        <v>231.67</v>
      </c>
      <c r="E1359" s="1">
        <f ca="1">IFERROR(__xludf.DUMMYFUNCTION("""COMPUTED_VALUE"""),232.2)</f>
        <v>232.2</v>
      </c>
      <c r="F1359" s="1">
        <f ca="1">IFERROR(__xludf.DUMMYFUNCTION("""COMPUTED_VALUE"""),33178318)</f>
        <v>33178318</v>
      </c>
    </row>
    <row r="1360" spans="1:6" x14ac:dyDescent="0.35">
      <c r="A1360" s="2">
        <f ca="1">IFERROR(__xludf.DUMMYFUNCTION("""COMPUTED_VALUE"""),43978.6666666666)</f>
        <v>43978.666666666599</v>
      </c>
      <c r="B1360" s="1">
        <f ca="1">IFERROR(__xludf.DUMMYFUNCTION("""COMPUTED_VALUE"""),229.07)</f>
        <v>229.07</v>
      </c>
      <c r="C1360" s="1">
        <f ca="1">IFERROR(__xludf.DUMMYFUNCTION("""COMPUTED_VALUE"""),230.56)</f>
        <v>230.56</v>
      </c>
      <c r="D1360" s="1">
        <f ca="1">IFERROR(__xludf.DUMMYFUNCTION("""COMPUTED_VALUE"""),221.13)</f>
        <v>221.13</v>
      </c>
      <c r="E1360" s="1">
        <f ca="1">IFERROR(__xludf.DUMMYFUNCTION("""COMPUTED_VALUE"""),229.14)</f>
        <v>229.14</v>
      </c>
      <c r="F1360" s="1">
        <f ca="1">IFERROR(__xludf.DUMMYFUNCTION("""COMPUTED_VALUE"""),34697553)</f>
        <v>34697553</v>
      </c>
    </row>
    <row r="1361" spans="1:6" x14ac:dyDescent="0.35">
      <c r="A1361" s="2">
        <f ca="1">IFERROR(__xludf.DUMMYFUNCTION("""COMPUTED_VALUE"""),43979.6666666666)</f>
        <v>43979.666666666599</v>
      </c>
      <c r="B1361" s="1">
        <f ca="1">IFERROR(__xludf.DUMMYFUNCTION("""COMPUTED_VALUE"""),224.3)</f>
        <v>224.3</v>
      </c>
      <c r="C1361" s="1">
        <f ca="1">IFERROR(__xludf.DUMMYFUNCTION("""COMPUTED_VALUE"""),231.63)</f>
        <v>231.63</v>
      </c>
      <c r="D1361" s="1">
        <f ca="1">IFERROR(__xludf.DUMMYFUNCTION("""COMPUTED_VALUE"""),224)</f>
        <v>224</v>
      </c>
      <c r="E1361" s="1">
        <f ca="1">IFERROR(__xludf.DUMMYFUNCTION("""COMPUTED_VALUE"""),225.46)</f>
        <v>225.46</v>
      </c>
      <c r="F1361" s="1">
        <f ca="1">IFERROR(__xludf.DUMMYFUNCTION("""COMPUTED_VALUE"""),29423013)</f>
        <v>29423013</v>
      </c>
    </row>
    <row r="1362" spans="1:6" x14ac:dyDescent="0.35">
      <c r="A1362" s="2">
        <f ca="1">IFERROR(__xludf.DUMMYFUNCTION("""COMPUTED_VALUE"""),43980.6666666666)</f>
        <v>43980.666666666599</v>
      </c>
      <c r="B1362" s="1">
        <f ca="1">IFERROR(__xludf.DUMMYFUNCTION("""COMPUTED_VALUE"""),225.2)</f>
        <v>225.2</v>
      </c>
      <c r="C1362" s="1">
        <f ca="1">IFERROR(__xludf.DUMMYFUNCTION("""COMPUTED_VALUE"""),227.49)</f>
        <v>227.49</v>
      </c>
      <c r="D1362" s="1">
        <f ca="1">IFERROR(__xludf.DUMMYFUNCTION("""COMPUTED_VALUE"""),222.88)</f>
        <v>222.88</v>
      </c>
      <c r="E1362" s="1">
        <f ca="1">IFERROR(__xludf.DUMMYFUNCTION("""COMPUTED_VALUE"""),225.09)</f>
        <v>225.09</v>
      </c>
      <c r="F1362" s="1">
        <f ca="1">IFERROR(__xludf.DUMMYFUNCTION("""COMPUTED_VALUE"""),23322476)</f>
        <v>23322476</v>
      </c>
    </row>
    <row r="1363" spans="1:6" x14ac:dyDescent="0.35">
      <c r="A1363" s="2">
        <f ca="1">IFERROR(__xludf.DUMMYFUNCTION("""COMPUTED_VALUE"""),43983.6666666666)</f>
        <v>43983.666666666599</v>
      </c>
      <c r="B1363" s="1">
        <f ca="1">IFERROR(__xludf.DUMMYFUNCTION("""COMPUTED_VALUE"""),224.59)</f>
        <v>224.59</v>
      </c>
      <c r="C1363" s="1">
        <f ca="1">IFERROR(__xludf.DUMMYFUNCTION("""COMPUTED_VALUE"""),232.44)</f>
        <v>232.44</v>
      </c>
      <c r="D1363" s="1">
        <f ca="1">IFERROR(__xludf.DUMMYFUNCTION("""COMPUTED_VALUE"""),223.5)</f>
        <v>223.5</v>
      </c>
      <c r="E1363" s="1">
        <f ca="1">IFERROR(__xludf.DUMMYFUNCTION("""COMPUTED_VALUE"""),231.91)</f>
        <v>231.91</v>
      </c>
      <c r="F1363" s="1">
        <f ca="1">IFERROR(__xludf.DUMMYFUNCTION("""COMPUTED_VALUE"""),18223839)</f>
        <v>18223839</v>
      </c>
    </row>
    <row r="1364" spans="1:6" x14ac:dyDescent="0.35">
      <c r="A1364" s="2">
        <f ca="1">IFERROR(__xludf.DUMMYFUNCTION("""COMPUTED_VALUE"""),43984.6666666666)</f>
        <v>43984.666666666599</v>
      </c>
      <c r="B1364" s="1">
        <f ca="1">IFERROR(__xludf.DUMMYFUNCTION("""COMPUTED_VALUE"""),230.94)</f>
        <v>230.94</v>
      </c>
      <c r="C1364" s="1">
        <f ca="1">IFERROR(__xludf.DUMMYFUNCTION("""COMPUTED_VALUE"""),233)</f>
        <v>233</v>
      </c>
      <c r="D1364" s="1">
        <f ca="1">IFERROR(__xludf.DUMMYFUNCTION("""COMPUTED_VALUE"""),226.56)</f>
        <v>226.56</v>
      </c>
      <c r="E1364" s="1">
        <f ca="1">IFERROR(__xludf.DUMMYFUNCTION("""COMPUTED_VALUE"""),232.72)</f>
        <v>232.72</v>
      </c>
      <c r="F1364" s="1">
        <f ca="1">IFERROR(__xludf.DUMMYFUNCTION("""COMPUTED_VALUE"""),20919018)</f>
        <v>20919018</v>
      </c>
    </row>
    <row r="1365" spans="1:6" x14ac:dyDescent="0.35">
      <c r="A1365" s="2">
        <f ca="1">IFERROR(__xludf.DUMMYFUNCTION("""COMPUTED_VALUE"""),43985.6666666666)</f>
        <v>43985.666666666599</v>
      </c>
      <c r="B1365" s="1">
        <f ca="1">IFERROR(__xludf.DUMMYFUNCTION("""COMPUTED_VALUE"""),232.11)</f>
        <v>232.11</v>
      </c>
      <c r="C1365" s="1">
        <f ca="1">IFERROR(__xludf.DUMMYFUNCTION("""COMPUTED_VALUE"""),232.65)</f>
        <v>232.65</v>
      </c>
      <c r="D1365" s="1">
        <f ca="1">IFERROR(__xludf.DUMMYFUNCTION("""COMPUTED_VALUE"""),228.53)</f>
        <v>228.53</v>
      </c>
      <c r="E1365" s="1">
        <f ca="1">IFERROR(__xludf.DUMMYFUNCTION("""COMPUTED_VALUE"""),230.16)</f>
        <v>230.16</v>
      </c>
      <c r="F1365" s="1">
        <f ca="1">IFERROR(__xludf.DUMMYFUNCTION("""COMPUTED_VALUE"""),15380282)</f>
        <v>15380282</v>
      </c>
    </row>
    <row r="1366" spans="1:6" x14ac:dyDescent="0.35">
      <c r="A1366" s="2">
        <f ca="1">IFERROR(__xludf.DUMMYFUNCTION("""COMPUTED_VALUE"""),43986.6666666666)</f>
        <v>43986.666666666599</v>
      </c>
      <c r="B1366" s="1">
        <f ca="1">IFERROR(__xludf.DUMMYFUNCTION("""COMPUTED_VALUE"""),229.56)</f>
        <v>229.56</v>
      </c>
      <c r="C1366" s="1">
        <f ca="1">IFERROR(__xludf.DUMMYFUNCTION("""COMPUTED_VALUE"""),231.63)</f>
        <v>231.63</v>
      </c>
      <c r="D1366" s="1">
        <f ca="1">IFERROR(__xludf.DUMMYFUNCTION("""COMPUTED_VALUE"""),224.61)</f>
        <v>224.61</v>
      </c>
      <c r="E1366" s="1">
        <f ca="1">IFERROR(__xludf.DUMMYFUNCTION("""COMPUTED_VALUE"""),226.29)</f>
        <v>226.29</v>
      </c>
      <c r="F1366" s="1">
        <f ca="1">IFERROR(__xludf.DUMMYFUNCTION("""COMPUTED_VALUE"""),17041481)</f>
        <v>17041481</v>
      </c>
    </row>
    <row r="1367" spans="1:6" x14ac:dyDescent="0.35">
      <c r="A1367" s="2">
        <f ca="1">IFERROR(__xludf.DUMMYFUNCTION("""COMPUTED_VALUE"""),43987.6666666666)</f>
        <v>43987.666666666599</v>
      </c>
      <c r="B1367" s="1">
        <f ca="1">IFERROR(__xludf.DUMMYFUNCTION("""COMPUTED_VALUE"""),226.71)</f>
        <v>226.71</v>
      </c>
      <c r="C1367" s="1">
        <f ca="1">IFERROR(__xludf.DUMMYFUNCTION("""COMPUTED_VALUE"""),231.35)</f>
        <v>231.35</v>
      </c>
      <c r="D1367" s="1">
        <f ca="1">IFERROR(__xludf.DUMMYFUNCTION("""COMPUTED_VALUE"""),225.31)</f>
        <v>225.31</v>
      </c>
      <c r="E1367" s="1">
        <f ca="1">IFERROR(__xludf.DUMMYFUNCTION("""COMPUTED_VALUE"""),230.77)</f>
        <v>230.77</v>
      </c>
      <c r="F1367" s="1">
        <f ca="1">IFERROR(__xludf.DUMMYFUNCTION("""COMPUTED_VALUE"""),16750438)</f>
        <v>16750438</v>
      </c>
    </row>
    <row r="1368" spans="1:6" x14ac:dyDescent="0.35">
      <c r="A1368" s="2">
        <f ca="1">IFERROR(__xludf.DUMMYFUNCTION("""COMPUTED_VALUE"""),43990.6666666666)</f>
        <v>43990.666666666599</v>
      </c>
      <c r="B1368" s="1">
        <f ca="1">IFERROR(__xludf.DUMMYFUNCTION("""COMPUTED_VALUE"""),229.03)</f>
        <v>229.03</v>
      </c>
      <c r="C1368" s="1">
        <f ca="1">IFERROR(__xludf.DUMMYFUNCTION("""COMPUTED_VALUE"""),231.55)</f>
        <v>231.55</v>
      </c>
      <c r="D1368" s="1">
        <f ca="1">IFERROR(__xludf.DUMMYFUNCTION("""COMPUTED_VALUE"""),227.41)</f>
        <v>227.41</v>
      </c>
      <c r="E1368" s="1">
        <f ca="1">IFERROR(__xludf.DUMMYFUNCTION("""COMPUTED_VALUE"""),231.4)</f>
        <v>231.4</v>
      </c>
      <c r="F1368" s="1">
        <f ca="1">IFERROR(__xludf.DUMMYFUNCTION("""COMPUTED_VALUE"""),15466499)</f>
        <v>15466499</v>
      </c>
    </row>
    <row r="1369" spans="1:6" x14ac:dyDescent="0.35">
      <c r="A1369" s="2">
        <f ca="1">IFERROR(__xludf.DUMMYFUNCTION("""COMPUTED_VALUE"""),43991.6666666666)</f>
        <v>43991.666666666599</v>
      </c>
      <c r="B1369" s="1">
        <f ca="1">IFERROR(__xludf.DUMMYFUNCTION("""COMPUTED_VALUE"""),231.52)</f>
        <v>231.52</v>
      </c>
      <c r="C1369" s="1">
        <f ca="1">IFERROR(__xludf.DUMMYFUNCTION("""COMPUTED_VALUE"""),239.77)</f>
        <v>239.77</v>
      </c>
      <c r="D1369" s="1">
        <f ca="1">IFERROR(__xludf.DUMMYFUNCTION("""COMPUTED_VALUE"""),230.41)</f>
        <v>230.41</v>
      </c>
      <c r="E1369" s="1">
        <f ca="1">IFERROR(__xludf.DUMMYFUNCTION("""COMPUTED_VALUE"""),238.67)</f>
        <v>238.67</v>
      </c>
      <c r="F1369" s="1">
        <f ca="1">IFERROR(__xludf.DUMMYFUNCTION("""COMPUTED_VALUE"""),27462872)</f>
        <v>27462872</v>
      </c>
    </row>
    <row r="1370" spans="1:6" x14ac:dyDescent="0.35">
      <c r="A1370" s="2">
        <f ca="1">IFERROR(__xludf.DUMMYFUNCTION("""COMPUTED_VALUE"""),43992.6666666666)</f>
        <v>43992.666666666599</v>
      </c>
      <c r="B1370" s="1">
        <f ca="1">IFERROR(__xludf.DUMMYFUNCTION("""COMPUTED_VALUE"""),240.96)</f>
        <v>240.96</v>
      </c>
      <c r="C1370" s="1">
        <f ca="1">IFERROR(__xludf.DUMMYFUNCTION("""COMPUTED_VALUE"""),241.21)</f>
        <v>241.21</v>
      </c>
      <c r="D1370" s="1">
        <f ca="1">IFERROR(__xludf.DUMMYFUNCTION("""COMPUTED_VALUE"""),235.28)</f>
        <v>235.28</v>
      </c>
      <c r="E1370" s="1">
        <f ca="1">IFERROR(__xludf.DUMMYFUNCTION("""COMPUTED_VALUE"""),236.73)</f>
        <v>236.73</v>
      </c>
      <c r="F1370" s="1">
        <f ca="1">IFERROR(__xludf.DUMMYFUNCTION("""COMPUTED_VALUE"""),20720709)</f>
        <v>20720709</v>
      </c>
    </row>
    <row r="1371" spans="1:6" x14ac:dyDescent="0.35">
      <c r="A1371" s="2">
        <f ca="1">IFERROR(__xludf.DUMMYFUNCTION("""COMPUTED_VALUE"""),43993.6666666666)</f>
        <v>43993.666666666599</v>
      </c>
      <c r="B1371" s="1">
        <f ca="1">IFERROR(__xludf.DUMMYFUNCTION("""COMPUTED_VALUE"""),229.94)</f>
        <v>229.94</v>
      </c>
      <c r="C1371" s="1">
        <f ca="1">IFERROR(__xludf.DUMMYFUNCTION("""COMPUTED_VALUE"""),232.89)</f>
        <v>232.89</v>
      </c>
      <c r="D1371" s="1">
        <f ca="1">IFERROR(__xludf.DUMMYFUNCTION("""COMPUTED_VALUE"""),223.55)</f>
        <v>223.55</v>
      </c>
      <c r="E1371" s="1">
        <f ca="1">IFERROR(__xludf.DUMMYFUNCTION("""COMPUTED_VALUE"""),224.43)</f>
        <v>224.43</v>
      </c>
      <c r="F1371" s="1">
        <f ca="1">IFERROR(__xludf.DUMMYFUNCTION("""COMPUTED_VALUE"""),26708163)</f>
        <v>26708163</v>
      </c>
    </row>
    <row r="1372" spans="1:6" x14ac:dyDescent="0.35">
      <c r="A1372" s="2">
        <f ca="1">IFERROR(__xludf.DUMMYFUNCTION("""COMPUTED_VALUE"""),43994.6666666666)</f>
        <v>43994.666666666599</v>
      </c>
      <c r="B1372" s="1">
        <f ca="1">IFERROR(__xludf.DUMMYFUNCTION("""COMPUTED_VALUE"""),229.9)</f>
        <v>229.9</v>
      </c>
      <c r="C1372" s="1">
        <f ca="1">IFERROR(__xludf.DUMMYFUNCTION("""COMPUTED_VALUE"""),231.66)</f>
        <v>231.66</v>
      </c>
      <c r="D1372" s="1">
        <f ca="1">IFERROR(__xludf.DUMMYFUNCTION("""COMPUTED_VALUE"""),224.5)</f>
        <v>224.5</v>
      </c>
      <c r="E1372" s="1">
        <f ca="1">IFERROR(__xludf.DUMMYFUNCTION("""COMPUTED_VALUE"""),228.58)</f>
        <v>228.58</v>
      </c>
      <c r="F1372" s="1">
        <f ca="1">IFERROR(__xludf.DUMMYFUNCTION("""COMPUTED_VALUE"""),22091387)</f>
        <v>22091387</v>
      </c>
    </row>
    <row r="1373" spans="1:6" x14ac:dyDescent="0.35">
      <c r="A1373" s="2">
        <f ca="1">IFERROR(__xludf.DUMMYFUNCTION("""COMPUTED_VALUE"""),43997.6666666666)</f>
        <v>43997.666666666599</v>
      </c>
      <c r="B1373" s="1">
        <f ca="1">IFERROR(__xludf.DUMMYFUNCTION("""COMPUTED_VALUE"""),225.09)</f>
        <v>225.09</v>
      </c>
      <c r="C1373" s="1">
        <f ca="1">IFERROR(__xludf.DUMMYFUNCTION("""COMPUTED_VALUE"""),233.77)</f>
        <v>233.77</v>
      </c>
      <c r="D1373" s="1">
        <f ca="1">IFERROR(__xludf.DUMMYFUNCTION("""COMPUTED_VALUE"""),224.8)</f>
        <v>224.8</v>
      </c>
      <c r="E1373" s="1">
        <f ca="1">IFERROR(__xludf.DUMMYFUNCTION("""COMPUTED_VALUE"""),232.5)</f>
        <v>232.5</v>
      </c>
      <c r="F1373" s="1">
        <f ca="1">IFERROR(__xludf.DUMMYFUNCTION("""COMPUTED_VALUE"""),15340264)</f>
        <v>15340264</v>
      </c>
    </row>
    <row r="1374" spans="1:6" x14ac:dyDescent="0.35">
      <c r="A1374" s="2">
        <f ca="1">IFERROR(__xludf.DUMMYFUNCTION("""COMPUTED_VALUE"""),43998.6666666666)</f>
        <v>43998.666666666599</v>
      </c>
      <c r="B1374" s="1">
        <f ca="1">IFERROR(__xludf.DUMMYFUNCTION("""COMPUTED_VALUE"""),237.14)</f>
        <v>237.14</v>
      </c>
      <c r="C1374" s="1">
        <f ca="1">IFERROR(__xludf.DUMMYFUNCTION("""COMPUTED_VALUE"""),238.46)</f>
        <v>238.46</v>
      </c>
      <c r="D1374" s="1">
        <f ca="1">IFERROR(__xludf.DUMMYFUNCTION("""COMPUTED_VALUE"""),233)</f>
        <v>233</v>
      </c>
      <c r="E1374" s="1">
        <f ca="1">IFERROR(__xludf.DUMMYFUNCTION("""COMPUTED_VALUE"""),235.65)</f>
        <v>235.65</v>
      </c>
      <c r="F1374" s="1">
        <f ca="1">IFERROR(__xludf.DUMMYFUNCTION("""COMPUTED_VALUE"""),15236691)</f>
        <v>15236691</v>
      </c>
    </row>
    <row r="1375" spans="1:6" x14ac:dyDescent="0.35">
      <c r="A1375" s="2">
        <f ca="1">IFERROR(__xludf.DUMMYFUNCTION("""COMPUTED_VALUE"""),43999.6666666666)</f>
        <v>43999.666666666599</v>
      </c>
      <c r="B1375" s="1">
        <f ca="1">IFERROR(__xludf.DUMMYFUNCTION("""COMPUTED_VALUE"""),235)</f>
        <v>235</v>
      </c>
      <c r="C1375" s="1">
        <f ca="1">IFERROR(__xludf.DUMMYFUNCTION("""COMPUTED_VALUE"""),237.59)</f>
        <v>237.59</v>
      </c>
      <c r="D1375" s="1">
        <f ca="1">IFERROR(__xludf.DUMMYFUNCTION("""COMPUTED_VALUE"""),231.73)</f>
        <v>231.73</v>
      </c>
      <c r="E1375" s="1">
        <f ca="1">IFERROR(__xludf.DUMMYFUNCTION("""COMPUTED_VALUE"""),235.53)</f>
        <v>235.53</v>
      </c>
      <c r="F1375" s="1">
        <f ca="1">IFERROR(__xludf.DUMMYFUNCTION("""COMPUTED_VALUE"""),19578125)</f>
        <v>19578125</v>
      </c>
    </row>
    <row r="1376" spans="1:6" x14ac:dyDescent="0.35">
      <c r="A1376" s="2">
        <f ca="1">IFERROR(__xludf.DUMMYFUNCTION("""COMPUTED_VALUE"""),44000.6666666666)</f>
        <v>44000.666666666599</v>
      </c>
      <c r="B1376" s="1">
        <f ca="1">IFERROR(__xludf.DUMMYFUNCTION("""COMPUTED_VALUE"""),234.99)</f>
        <v>234.99</v>
      </c>
      <c r="C1376" s="1">
        <f ca="1">IFERROR(__xludf.DUMMYFUNCTION("""COMPUTED_VALUE"""),236.14)</f>
        <v>236.14</v>
      </c>
      <c r="D1376" s="1">
        <f ca="1">IFERROR(__xludf.DUMMYFUNCTION("""COMPUTED_VALUE"""),232.15)</f>
        <v>232.15</v>
      </c>
      <c r="E1376" s="1">
        <f ca="1">IFERROR(__xludf.DUMMYFUNCTION("""COMPUTED_VALUE"""),235.94)</f>
        <v>235.94</v>
      </c>
      <c r="F1376" s="1">
        <f ca="1">IFERROR(__xludf.DUMMYFUNCTION("""COMPUTED_VALUE"""),15782452)</f>
        <v>15782452</v>
      </c>
    </row>
    <row r="1377" spans="1:6" x14ac:dyDescent="0.35">
      <c r="A1377" s="2">
        <f ca="1">IFERROR(__xludf.DUMMYFUNCTION("""COMPUTED_VALUE"""),44001.6666666666)</f>
        <v>44001.666666666599</v>
      </c>
      <c r="B1377" s="1">
        <f ca="1">IFERROR(__xludf.DUMMYFUNCTION("""COMPUTED_VALUE"""),237.79)</f>
        <v>237.79</v>
      </c>
      <c r="C1377" s="1">
        <f ca="1">IFERROR(__xludf.DUMMYFUNCTION("""COMPUTED_VALUE"""),240.83)</f>
        <v>240.83</v>
      </c>
      <c r="D1377" s="1">
        <f ca="1">IFERROR(__xludf.DUMMYFUNCTION("""COMPUTED_VALUE"""),235.55)</f>
        <v>235.55</v>
      </c>
      <c r="E1377" s="1">
        <f ca="1">IFERROR(__xludf.DUMMYFUNCTION("""COMPUTED_VALUE"""),238.79)</f>
        <v>238.79</v>
      </c>
      <c r="F1377" s="1">
        <f ca="1">IFERROR(__xludf.DUMMYFUNCTION("""COMPUTED_VALUE"""),30081291)</f>
        <v>30081291</v>
      </c>
    </row>
    <row r="1378" spans="1:6" x14ac:dyDescent="0.35">
      <c r="A1378" s="2">
        <f ca="1">IFERROR(__xludf.DUMMYFUNCTION("""COMPUTED_VALUE"""),44004.6666666666)</f>
        <v>44004.666666666599</v>
      </c>
      <c r="B1378" s="1">
        <f ca="1">IFERROR(__xludf.DUMMYFUNCTION("""COMPUTED_VALUE"""),238.56)</f>
        <v>238.56</v>
      </c>
      <c r="C1378" s="1">
        <f ca="1">IFERROR(__xludf.DUMMYFUNCTION("""COMPUTED_VALUE"""),240.7)</f>
        <v>240.7</v>
      </c>
      <c r="D1378" s="1">
        <f ca="1">IFERROR(__xludf.DUMMYFUNCTION("""COMPUTED_VALUE"""),236.91)</f>
        <v>236.91</v>
      </c>
      <c r="E1378" s="1">
        <f ca="1">IFERROR(__xludf.DUMMYFUNCTION("""COMPUTED_VALUE"""),239.22)</f>
        <v>239.22</v>
      </c>
      <c r="F1378" s="1">
        <f ca="1">IFERROR(__xludf.DUMMYFUNCTION("""COMPUTED_VALUE"""),18917782)</f>
        <v>18917782</v>
      </c>
    </row>
    <row r="1379" spans="1:6" x14ac:dyDescent="0.35">
      <c r="A1379" s="2">
        <f ca="1">IFERROR(__xludf.DUMMYFUNCTION("""COMPUTED_VALUE"""),44005.6666666666)</f>
        <v>44005.666666666599</v>
      </c>
      <c r="B1379" s="1">
        <f ca="1">IFERROR(__xludf.DUMMYFUNCTION("""COMPUTED_VALUE"""),241.28)</f>
        <v>241.28</v>
      </c>
      <c r="C1379" s="1">
        <f ca="1">IFERROR(__xludf.DUMMYFUNCTION("""COMPUTED_VALUE"""),245.19)</f>
        <v>245.19</v>
      </c>
      <c r="D1379" s="1">
        <f ca="1">IFERROR(__xludf.DUMMYFUNCTION("""COMPUTED_VALUE"""),239.86)</f>
        <v>239.86</v>
      </c>
      <c r="E1379" s="1">
        <f ca="1">IFERROR(__xludf.DUMMYFUNCTION("""COMPUTED_VALUE"""),242.24)</f>
        <v>242.24</v>
      </c>
      <c r="F1379" s="1">
        <f ca="1">IFERROR(__xludf.DUMMYFUNCTION("""COMPUTED_VALUE"""),24017915)</f>
        <v>24017915</v>
      </c>
    </row>
    <row r="1380" spans="1:6" x14ac:dyDescent="0.35">
      <c r="A1380" s="2">
        <f ca="1">IFERROR(__xludf.DUMMYFUNCTION("""COMPUTED_VALUE"""),44006.6666666666)</f>
        <v>44006.666666666599</v>
      </c>
      <c r="B1380" s="1">
        <f ca="1">IFERROR(__xludf.DUMMYFUNCTION("""COMPUTED_VALUE"""),241.2)</f>
        <v>241.2</v>
      </c>
      <c r="C1380" s="1">
        <f ca="1">IFERROR(__xludf.DUMMYFUNCTION("""COMPUTED_VALUE"""),243.22)</f>
        <v>243.22</v>
      </c>
      <c r="D1380" s="1">
        <f ca="1">IFERROR(__xludf.DUMMYFUNCTION("""COMPUTED_VALUE"""),232.68)</f>
        <v>232.68</v>
      </c>
      <c r="E1380" s="1">
        <f ca="1">IFERROR(__xludf.DUMMYFUNCTION("""COMPUTED_VALUE"""),234.02)</f>
        <v>234.02</v>
      </c>
      <c r="F1380" s="1">
        <f ca="1">IFERROR(__xludf.DUMMYFUNCTION("""COMPUTED_VALUE"""),20834904)</f>
        <v>20834904</v>
      </c>
    </row>
    <row r="1381" spans="1:6" x14ac:dyDescent="0.35">
      <c r="A1381" s="2">
        <f ca="1">IFERROR(__xludf.DUMMYFUNCTION("""COMPUTED_VALUE"""),44007.6666666666)</f>
        <v>44007.666666666599</v>
      </c>
      <c r="B1381" s="1">
        <f ca="1">IFERROR(__xludf.DUMMYFUNCTION("""COMPUTED_VALUE"""),234.62)</f>
        <v>234.62</v>
      </c>
      <c r="C1381" s="1">
        <f ca="1">IFERROR(__xludf.DUMMYFUNCTION("""COMPUTED_VALUE"""),237.3)</f>
        <v>237.3</v>
      </c>
      <c r="D1381" s="1">
        <f ca="1">IFERROR(__xludf.DUMMYFUNCTION("""COMPUTED_VALUE"""),232.74)</f>
        <v>232.74</v>
      </c>
      <c r="E1381" s="1">
        <f ca="1">IFERROR(__xludf.DUMMYFUNCTION("""COMPUTED_VALUE"""),235.68)</f>
        <v>235.68</v>
      </c>
      <c r="F1381" s="1">
        <f ca="1">IFERROR(__xludf.DUMMYFUNCTION("""COMPUTED_VALUE"""),18704339)</f>
        <v>18704339</v>
      </c>
    </row>
    <row r="1382" spans="1:6" x14ac:dyDescent="0.35">
      <c r="A1382" s="2">
        <f ca="1">IFERROR(__xludf.DUMMYFUNCTION("""COMPUTED_VALUE"""),44008.6666666666)</f>
        <v>44008.666666666599</v>
      </c>
      <c r="B1382" s="1">
        <f ca="1">IFERROR(__xludf.DUMMYFUNCTION("""COMPUTED_VALUE"""),232.64)</f>
        <v>232.64</v>
      </c>
      <c r="C1382" s="1">
        <f ca="1">IFERROR(__xludf.DUMMYFUNCTION("""COMPUTED_VALUE"""),233.09)</f>
        <v>233.09</v>
      </c>
      <c r="D1382" s="1">
        <f ca="1">IFERROR(__xludf.DUMMYFUNCTION("""COMPUTED_VALUE"""),215.4)</f>
        <v>215.4</v>
      </c>
      <c r="E1382" s="1">
        <f ca="1">IFERROR(__xludf.DUMMYFUNCTION("""COMPUTED_VALUE"""),216.08)</f>
        <v>216.08</v>
      </c>
      <c r="F1382" s="1">
        <f ca="1">IFERROR(__xludf.DUMMYFUNCTION("""COMPUTED_VALUE"""),76343939)</f>
        <v>76343939</v>
      </c>
    </row>
    <row r="1383" spans="1:6" x14ac:dyDescent="0.35">
      <c r="A1383" s="2">
        <f ca="1">IFERROR(__xludf.DUMMYFUNCTION("""COMPUTED_VALUE"""),44011.6666666666)</f>
        <v>44011.666666666599</v>
      </c>
      <c r="B1383" s="1">
        <f ca="1">IFERROR(__xludf.DUMMYFUNCTION("""COMPUTED_VALUE"""),209.75)</f>
        <v>209.75</v>
      </c>
      <c r="C1383" s="1">
        <f ca="1">IFERROR(__xludf.DUMMYFUNCTION("""COMPUTED_VALUE"""),220.75)</f>
        <v>220.75</v>
      </c>
      <c r="D1383" s="1">
        <f ca="1">IFERROR(__xludf.DUMMYFUNCTION("""COMPUTED_VALUE"""),207.11)</f>
        <v>207.11</v>
      </c>
      <c r="E1383" s="1">
        <f ca="1">IFERROR(__xludf.DUMMYFUNCTION("""COMPUTED_VALUE"""),220.64)</f>
        <v>220.64</v>
      </c>
      <c r="F1383" s="1">
        <f ca="1">IFERROR(__xludf.DUMMYFUNCTION("""COMPUTED_VALUE"""),58514281)</f>
        <v>58514281</v>
      </c>
    </row>
    <row r="1384" spans="1:6" x14ac:dyDescent="0.35">
      <c r="A1384" s="2">
        <f ca="1">IFERROR(__xludf.DUMMYFUNCTION("""COMPUTED_VALUE"""),44012.6666666666)</f>
        <v>44012.666666666599</v>
      </c>
      <c r="B1384" s="1">
        <f ca="1">IFERROR(__xludf.DUMMYFUNCTION("""COMPUTED_VALUE"""),220.59)</f>
        <v>220.59</v>
      </c>
      <c r="C1384" s="1">
        <f ca="1">IFERROR(__xludf.DUMMYFUNCTION("""COMPUTED_VALUE"""),227.5)</f>
        <v>227.5</v>
      </c>
      <c r="D1384" s="1">
        <f ca="1">IFERROR(__xludf.DUMMYFUNCTION("""COMPUTED_VALUE"""),218.47)</f>
        <v>218.47</v>
      </c>
      <c r="E1384" s="1">
        <f ca="1">IFERROR(__xludf.DUMMYFUNCTION("""COMPUTED_VALUE"""),227.07)</f>
        <v>227.07</v>
      </c>
      <c r="F1384" s="1">
        <f ca="1">IFERROR(__xludf.DUMMYFUNCTION("""COMPUTED_VALUE"""),33927068)</f>
        <v>33927068</v>
      </c>
    </row>
    <row r="1385" spans="1:6" x14ac:dyDescent="0.35">
      <c r="A1385" s="2">
        <f ca="1">IFERROR(__xludf.DUMMYFUNCTION("""COMPUTED_VALUE"""),44013.6666666666)</f>
        <v>44013.666666666599</v>
      </c>
      <c r="B1385" s="1">
        <f ca="1">IFERROR(__xludf.DUMMYFUNCTION("""COMPUTED_VALUE"""),228.5)</f>
        <v>228.5</v>
      </c>
      <c r="C1385" s="1">
        <f ca="1">IFERROR(__xludf.DUMMYFUNCTION("""COMPUTED_VALUE"""),239)</f>
        <v>239</v>
      </c>
      <c r="D1385" s="1">
        <f ca="1">IFERROR(__xludf.DUMMYFUNCTION("""COMPUTED_VALUE"""),227.56)</f>
        <v>227.56</v>
      </c>
      <c r="E1385" s="1">
        <f ca="1">IFERROR(__xludf.DUMMYFUNCTION("""COMPUTED_VALUE"""),237.55)</f>
        <v>237.55</v>
      </c>
      <c r="F1385" s="1">
        <f ca="1">IFERROR(__xludf.DUMMYFUNCTION("""COMPUTED_VALUE"""),43399739)</f>
        <v>43399739</v>
      </c>
    </row>
    <row r="1386" spans="1:6" x14ac:dyDescent="0.35">
      <c r="A1386" s="2">
        <f ca="1">IFERROR(__xludf.DUMMYFUNCTION("""COMPUTED_VALUE"""),44014.6666666666)</f>
        <v>44014.666666666599</v>
      </c>
      <c r="B1386" s="1">
        <f ca="1">IFERROR(__xludf.DUMMYFUNCTION("""COMPUTED_VALUE"""),239)</f>
        <v>239</v>
      </c>
      <c r="C1386" s="1">
        <f ca="1">IFERROR(__xludf.DUMMYFUNCTION("""COMPUTED_VALUE"""),240)</f>
        <v>240</v>
      </c>
      <c r="D1386" s="1">
        <f ca="1">IFERROR(__xludf.DUMMYFUNCTION("""COMPUTED_VALUE"""),232.61)</f>
        <v>232.61</v>
      </c>
      <c r="E1386" s="1">
        <f ca="1">IFERROR(__xludf.DUMMYFUNCTION("""COMPUTED_VALUE"""),233.42)</f>
        <v>233.42</v>
      </c>
      <c r="F1386" s="1">
        <f ca="1">IFERROR(__xludf.DUMMYFUNCTION("""COMPUTED_VALUE"""),30633620)</f>
        <v>30633620</v>
      </c>
    </row>
    <row r="1387" spans="1:6" x14ac:dyDescent="0.35">
      <c r="A1387" s="2">
        <f ca="1">IFERROR(__xludf.DUMMYFUNCTION("""COMPUTED_VALUE"""),44018.6666666666)</f>
        <v>44018.666666666599</v>
      </c>
      <c r="B1387" s="1">
        <f ca="1">IFERROR(__xludf.DUMMYFUNCTION("""COMPUTED_VALUE"""),233.76)</f>
        <v>233.76</v>
      </c>
      <c r="C1387" s="1">
        <f ca="1">IFERROR(__xludf.DUMMYFUNCTION("""COMPUTED_VALUE"""),240.4)</f>
        <v>240.4</v>
      </c>
      <c r="D1387" s="1">
        <f ca="1">IFERROR(__xludf.DUMMYFUNCTION("""COMPUTED_VALUE"""),232.27)</f>
        <v>232.27</v>
      </c>
      <c r="E1387" s="1">
        <f ca="1">IFERROR(__xludf.DUMMYFUNCTION("""COMPUTED_VALUE"""),240.28)</f>
        <v>240.28</v>
      </c>
      <c r="F1387" s="1">
        <f ca="1">IFERROR(__xludf.DUMMYFUNCTION("""COMPUTED_VALUE"""),26206158)</f>
        <v>26206158</v>
      </c>
    </row>
    <row r="1388" spans="1:6" x14ac:dyDescent="0.35">
      <c r="A1388" s="2">
        <f ca="1">IFERROR(__xludf.DUMMYFUNCTION("""COMPUTED_VALUE"""),44019.6666666666)</f>
        <v>44019.666666666599</v>
      </c>
      <c r="B1388" s="1">
        <f ca="1">IFERROR(__xludf.DUMMYFUNCTION("""COMPUTED_VALUE"""),239.41)</f>
        <v>239.41</v>
      </c>
      <c r="C1388" s="1">
        <f ca="1">IFERROR(__xludf.DUMMYFUNCTION("""COMPUTED_VALUE"""),247.65)</f>
        <v>247.65</v>
      </c>
      <c r="D1388" s="1">
        <f ca="1">IFERROR(__xludf.DUMMYFUNCTION("""COMPUTED_VALUE"""),238.82)</f>
        <v>238.82</v>
      </c>
      <c r="E1388" s="1">
        <f ca="1">IFERROR(__xludf.DUMMYFUNCTION("""COMPUTED_VALUE"""),240.86)</f>
        <v>240.86</v>
      </c>
      <c r="F1388" s="1">
        <f ca="1">IFERROR(__xludf.DUMMYFUNCTION("""COMPUTED_VALUE"""),27887786)</f>
        <v>27887786</v>
      </c>
    </row>
    <row r="1389" spans="1:6" x14ac:dyDescent="0.35">
      <c r="A1389" s="2">
        <f ca="1">IFERROR(__xludf.DUMMYFUNCTION("""COMPUTED_VALUE"""),44020.6666666666)</f>
        <v>44020.666666666599</v>
      </c>
      <c r="B1389" s="1">
        <f ca="1">IFERROR(__xludf.DUMMYFUNCTION("""COMPUTED_VALUE"""),238.11)</f>
        <v>238.11</v>
      </c>
      <c r="C1389" s="1">
        <f ca="1">IFERROR(__xludf.DUMMYFUNCTION("""COMPUTED_VALUE"""),246.99)</f>
        <v>246.99</v>
      </c>
      <c r="D1389" s="1">
        <f ca="1">IFERROR(__xludf.DUMMYFUNCTION("""COMPUTED_VALUE"""),236.59)</f>
        <v>236.59</v>
      </c>
      <c r="E1389" s="1">
        <f ca="1">IFERROR(__xludf.DUMMYFUNCTION("""COMPUTED_VALUE"""),243.58)</f>
        <v>243.58</v>
      </c>
      <c r="F1389" s="1">
        <f ca="1">IFERROR(__xludf.DUMMYFUNCTION("""COMPUTED_VALUE"""),29791339)</f>
        <v>29791339</v>
      </c>
    </row>
    <row r="1390" spans="1:6" x14ac:dyDescent="0.35">
      <c r="A1390" s="2">
        <f ca="1">IFERROR(__xludf.DUMMYFUNCTION("""COMPUTED_VALUE"""),44021.6666666666)</f>
        <v>44021.666666666599</v>
      </c>
      <c r="B1390" s="1">
        <f ca="1">IFERROR(__xludf.DUMMYFUNCTION("""COMPUTED_VALUE"""),245)</f>
        <v>245</v>
      </c>
      <c r="C1390" s="1">
        <f ca="1">IFERROR(__xludf.DUMMYFUNCTION("""COMPUTED_VALUE"""),246.53)</f>
        <v>246.53</v>
      </c>
      <c r="D1390" s="1">
        <f ca="1">IFERROR(__xludf.DUMMYFUNCTION("""COMPUTED_VALUE"""),239.24)</f>
        <v>239.24</v>
      </c>
      <c r="E1390" s="1">
        <f ca="1">IFERROR(__xludf.DUMMYFUNCTION("""COMPUTED_VALUE"""),244.5)</f>
        <v>244.5</v>
      </c>
      <c r="F1390" s="1">
        <f ca="1">IFERROR(__xludf.DUMMYFUNCTION("""COMPUTED_VALUE"""),22174896)</f>
        <v>22174896</v>
      </c>
    </row>
    <row r="1391" spans="1:6" x14ac:dyDescent="0.35">
      <c r="A1391" s="2">
        <f ca="1">IFERROR(__xludf.DUMMYFUNCTION("""COMPUTED_VALUE"""),44022.6666666666)</f>
        <v>44022.666666666599</v>
      </c>
      <c r="B1391" s="1">
        <f ca="1">IFERROR(__xludf.DUMMYFUNCTION("""COMPUTED_VALUE"""),243.69)</f>
        <v>243.69</v>
      </c>
      <c r="C1391" s="1">
        <f ca="1">IFERROR(__xludf.DUMMYFUNCTION("""COMPUTED_VALUE"""),245.49)</f>
        <v>245.49</v>
      </c>
      <c r="D1391" s="1">
        <f ca="1">IFERROR(__xludf.DUMMYFUNCTION("""COMPUTED_VALUE"""),239.32)</f>
        <v>239.32</v>
      </c>
      <c r="E1391" s="1">
        <f ca="1">IFERROR(__xludf.DUMMYFUNCTION("""COMPUTED_VALUE"""),245.07)</f>
        <v>245.07</v>
      </c>
      <c r="F1391" s="1">
        <f ca="1">IFERROR(__xludf.DUMMYFUNCTION("""COMPUTED_VALUE"""),22982716)</f>
        <v>22982716</v>
      </c>
    </row>
    <row r="1392" spans="1:6" x14ac:dyDescent="0.35">
      <c r="A1392" s="2">
        <f ca="1">IFERROR(__xludf.DUMMYFUNCTION("""COMPUTED_VALUE"""),44025.6666666666)</f>
        <v>44025.666666666599</v>
      </c>
      <c r="B1392" s="1">
        <f ca="1">IFERROR(__xludf.DUMMYFUNCTION("""COMPUTED_VALUE"""),247.01)</f>
        <v>247.01</v>
      </c>
      <c r="C1392" s="1">
        <f ca="1">IFERROR(__xludf.DUMMYFUNCTION("""COMPUTED_VALUE"""),250.15)</f>
        <v>250.15</v>
      </c>
      <c r="D1392" s="1">
        <f ca="1">IFERROR(__xludf.DUMMYFUNCTION("""COMPUTED_VALUE"""),238.42)</f>
        <v>238.42</v>
      </c>
      <c r="E1392" s="1">
        <f ca="1">IFERROR(__xludf.DUMMYFUNCTION("""COMPUTED_VALUE"""),239)</f>
        <v>239</v>
      </c>
      <c r="F1392" s="1">
        <f ca="1">IFERROR(__xludf.DUMMYFUNCTION("""COMPUTED_VALUE"""),24674874)</f>
        <v>24674874</v>
      </c>
    </row>
    <row r="1393" spans="1:6" x14ac:dyDescent="0.35">
      <c r="A1393" s="2">
        <f ca="1">IFERROR(__xludf.DUMMYFUNCTION("""COMPUTED_VALUE"""),44026.6666666666)</f>
        <v>44026.666666666599</v>
      </c>
      <c r="B1393" s="1">
        <f ca="1">IFERROR(__xludf.DUMMYFUNCTION("""COMPUTED_VALUE"""),236.76)</f>
        <v>236.76</v>
      </c>
      <c r="C1393" s="1">
        <f ca="1">IFERROR(__xludf.DUMMYFUNCTION("""COMPUTED_VALUE"""),240.33)</f>
        <v>240.33</v>
      </c>
      <c r="D1393" s="1">
        <f ca="1">IFERROR(__xludf.DUMMYFUNCTION("""COMPUTED_VALUE"""),232.03)</f>
        <v>232.03</v>
      </c>
      <c r="E1393" s="1">
        <f ca="1">IFERROR(__xludf.DUMMYFUNCTION("""COMPUTED_VALUE"""),239.73)</f>
        <v>239.73</v>
      </c>
      <c r="F1393" s="1">
        <f ca="1">IFERROR(__xludf.DUMMYFUNCTION("""COMPUTED_VALUE"""),23378056)</f>
        <v>23378056</v>
      </c>
    </row>
    <row r="1394" spans="1:6" x14ac:dyDescent="0.35">
      <c r="A1394" s="2">
        <f ca="1">IFERROR(__xludf.DUMMYFUNCTION("""COMPUTED_VALUE"""),44027.6666666666)</f>
        <v>44027.666666666599</v>
      </c>
      <c r="B1394" s="1">
        <f ca="1">IFERROR(__xludf.DUMMYFUNCTION("""COMPUTED_VALUE"""),241.55)</f>
        <v>241.55</v>
      </c>
      <c r="C1394" s="1">
        <f ca="1">IFERROR(__xludf.DUMMYFUNCTION("""COMPUTED_VALUE"""),244.82)</f>
        <v>244.82</v>
      </c>
      <c r="D1394" s="1">
        <f ca="1">IFERROR(__xludf.DUMMYFUNCTION("""COMPUTED_VALUE"""),238.05)</f>
        <v>238.05</v>
      </c>
      <c r="E1394" s="1">
        <f ca="1">IFERROR(__xludf.DUMMYFUNCTION("""COMPUTED_VALUE"""),240.28)</f>
        <v>240.28</v>
      </c>
      <c r="F1394" s="1">
        <f ca="1">IFERROR(__xludf.DUMMYFUNCTION("""COMPUTED_VALUE"""),19133562)</f>
        <v>19133562</v>
      </c>
    </row>
    <row r="1395" spans="1:6" x14ac:dyDescent="0.35">
      <c r="A1395" s="2">
        <f ca="1">IFERROR(__xludf.DUMMYFUNCTION("""COMPUTED_VALUE"""),44028.6666666666)</f>
        <v>44028.666666666599</v>
      </c>
      <c r="B1395" s="1">
        <f ca="1">IFERROR(__xludf.DUMMYFUNCTION("""COMPUTED_VALUE"""),238)</f>
        <v>238</v>
      </c>
      <c r="C1395" s="1">
        <f ca="1">IFERROR(__xludf.DUMMYFUNCTION("""COMPUTED_VALUE"""),241.76)</f>
        <v>241.76</v>
      </c>
      <c r="D1395" s="1">
        <f ca="1">IFERROR(__xludf.DUMMYFUNCTION("""COMPUTED_VALUE"""),236.33)</f>
        <v>236.33</v>
      </c>
      <c r="E1395" s="1">
        <f ca="1">IFERROR(__xludf.DUMMYFUNCTION("""COMPUTED_VALUE"""),240.93)</f>
        <v>240.93</v>
      </c>
      <c r="F1395" s="1">
        <f ca="1">IFERROR(__xludf.DUMMYFUNCTION("""COMPUTED_VALUE"""),18880705)</f>
        <v>18880705</v>
      </c>
    </row>
    <row r="1396" spans="1:6" x14ac:dyDescent="0.35">
      <c r="A1396" s="2">
        <f ca="1">IFERROR(__xludf.DUMMYFUNCTION("""COMPUTED_VALUE"""),44029.6666666666)</f>
        <v>44029.666666666599</v>
      </c>
      <c r="B1396" s="1">
        <f ca="1">IFERROR(__xludf.DUMMYFUNCTION("""COMPUTED_VALUE"""),241)</f>
        <v>241</v>
      </c>
      <c r="C1396" s="1">
        <f ca="1">IFERROR(__xludf.DUMMYFUNCTION("""COMPUTED_VALUE"""),244.16)</f>
        <v>244.16</v>
      </c>
      <c r="D1396" s="1">
        <f ca="1">IFERROR(__xludf.DUMMYFUNCTION("""COMPUTED_VALUE"""),237.86)</f>
        <v>237.86</v>
      </c>
      <c r="E1396" s="1">
        <f ca="1">IFERROR(__xludf.DUMMYFUNCTION("""COMPUTED_VALUE"""),242.03)</f>
        <v>242.03</v>
      </c>
      <c r="F1396" s="1">
        <f ca="1">IFERROR(__xludf.DUMMYFUNCTION("""COMPUTED_VALUE"""),18152413)</f>
        <v>18152413</v>
      </c>
    </row>
    <row r="1397" spans="1:6" x14ac:dyDescent="0.35">
      <c r="A1397" s="2">
        <f ca="1">IFERROR(__xludf.DUMMYFUNCTION("""COMPUTED_VALUE"""),44032.6666666666)</f>
        <v>44032.666666666599</v>
      </c>
      <c r="B1397" s="1">
        <f ca="1">IFERROR(__xludf.DUMMYFUNCTION("""COMPUTED_VALUE"""),240.06)</f>
        <v>240.06</v>
      </c>
      <c r="C1397" s="1">
        <f ca="1">IFERROR(__xludf.DUMMYFUNCTION("""COMPUTED_VALUE"""),246.05)</f>
        <v>246.05</v>
      </c>
      <c r="D1397" s="1">
        <f ca="1">IFERROR(__xludf.DUMMYFUNCTION("""COMPUTED_VALUE"""),235.64)</f>
        <v>235.64</v>
      </c>
      <c r="E1397" s="1">
        <f ca="1">IFERROR(__xludf.DUMMYFUNCTION("""COMPUTED_VALUE"""),245.42)</f>
        <v>245.42</v>
      </c>
      <c r="F1397" s="1">
        <f ca="1">IFERROR(__xludf.DUMMYFUNCTION("""COMPUTED_VALUE"""),20872223)</f>
        <v>20872223</v>
      </c>
    </row>
    <row r="1398" spans="1:6" x14ac:dyDescent="0.35">
      <c r="A1398" s="2">
        <f ca="1">IFERROR(__xludf.DUMMYFUNCTION("""COMPUTED_VALUE"""),44033.6666666666)</f>
        <v>44033.666666666599</v>
      </c>
      <c r="B1398" s="1">
        <f ca="1">IFERROR(__xludf.DUMMYFUNCTION("""COMPUTED_VALUE"""),246.22)</f>
        <v>246.22</v>
      </c>
      <c r="C1398" s="1">
        <f ca="1">IFERROR(__xludf.DUMMYFUNCTION("""COMPUTED_VALUE"""),246.91)</f>
        <v>246.91</v>
      </c>
      <c r="D1398" s="1">
        <f ca="1">IFERROR(__xludf.DUMMYFUNCTION("""COMPUTED_VALUE"""),240.08)</f>
        <v>240.08</v>
      </c>
      <c r="E1398" s="1">
        <f ca="1">IFERROR(__xludf.DUMMYFUNCTION("""COMPUTED_VALUE"""),241.75)</f>
        <v>241.75</v>
      </c>
      <c r="F1398" s="1">
        <f ca="1">IFERROR(__xludf.DUMMYFUNCTION("""COMPUTED_VALUE"""),19409687)</f>
        <v>19409687</v>
      </c>
    </row>
    <row r="1399" spans="1:6" x14ac:dyDescent="0.35">
      <c r="A1399" s="2">
        <f ca="1">IFERROR(__xludf.DUMMYFUNCTION("""COMPUTED_VALUE"""),44034.6666666666)</f>
        <v>44034.666666666599</v>
      </c>
      <c r="B1399" s="1">
        <f ca="1">IFERROR(__xludf.DUMMYFUNCTION("""COMPUTED_VALUE"""),240.26)</f>
        <v>240.26</v>
      </c>
      <c r="C1399" s="1">
        <f ca="1">IFERROR(__xludf.DUMMYFUNCTION("""COMPUTED_VALUE"""),241.9)</f>
        <v>241.9</v>
      </c>
      <c r="D1399" s="1">
        <f ca="1">IFERROR(__xludf.DUMMYFUNCTION("""COMPUTED_VALUE"""),238.12)</f>
        <v>238.12</v>
      </c>
      <c r="E1399" s="1">
        <f ca="1">IFERROR(__xludf.DUMMYFUNCTION("""COMPUTED_VALUE"""),239.87)</f>
        <v>239.87</v>
      </c>
      <c r="F1399" s="1">
        <f ca="1">IFERROR(__xludf.DUMMYFUNCTION("""COMPUTED_VALUE"""),15427885)</f>
        <v>15427885</v>
      </c>
    </row>
    <row r="1400" spans="1:6" x14ac:dyDescent="0.35">
      <c r="A1400" s="2">
        <f ca="1">IFERROR(__xludf.DUMMYFUNCTION("""COMPUTED_VALUE"""),44035.6666666666)</f>
        <v>44035.666666666599</v>
      </c>
      <c r="B1400" s="1">
        <f ca="1">IFERROR(__xludf.DUMMYFUNCTION("""COMPUTED_VALUE"""),239.63)</f>
        <v>239.63</v>
      </c>
      <c r="C1400" s="1">
        <f ca="1">IFERROR(__xludf.DUMMYFUNCTION("""COMPUTED_VALUE"""),242.42)</f>
        <v>242.42</v>
      </c>
      <c r="D1400" s="1">
        <f ca="1">IFERROR(__xludf.DUMMYFUNCTION("""COMPUTED_VALUE"""),231.75)</f>
        <v>231.75</v>
      </c>
      <c r="E1400" s="1">
        <f ca="1">IFERROR(__xludf.DUMMYFUNCTION("""COMPUTED_VALUE"""),232.6)</f>
        <v>232.6</v>
      </c>
      <c r="F1400" s="1">
        <f ca="1">IFERROR(__xludf.DUMMYFUNCTION("""COMPUTED_VALUE"""),21771802)</f>
        <v>21771802</v>
      </c>
    </row>
    <row r="1401" spans="1:6" x14ac:dyDescent="0.35">
      <c r="A1401" s="2">
        <f ca="1">IFERROR(__xludf.DUMMYFUNCTION("""COMPUTED_VALUE"""),44036.6666666666)</f>
        <v>44036.666666666599</v>
      </c>
      <c r="B1401" s="1">
        <f ca="1">IFERROR(__xludf.DUMMYFUNCTION("""COMPUTED_VALUE"""),230.19)</f>
        <v>230.19</v>
      </c>
      <c r="C1401" s="1">
        <f ca="1">IFERROR(__xludf.DUMMYFUNCTION("""COMPUTED_VALUE"""),233.49)</f>
        <v>233.49</v>
      </c>
      <c r="D1401" s="1">
        <f ca="1">IFERROR(__xludf.DUMMYFUNCTION("""COMPUTED_VALUE"""),226.9)</f>
        <v>226.9</v>
      </c>
      <c r="E1401" s="1">
        <f ca="1">IFERROR(__xludf.DUMMYFUNCTION("""COMPUTED_VALUE"""),230.71)</f>
        <v>230.71</v>
      </c>
      <c r="F1401" s="1">
        <f ca="1">IFERROR(__xludf.DUMMYFUNCTION("""COMPUTED_VALUE"""),18325813)</f>
        <v>18325813</v>
      </c>
    </row>
    <row r="1402" spans="1:6" x14ac:dyDescent="0.35">
      <c r="A1402" s="2">
        <f ca="1">IFERROR(__xludf.DUMMYFUNCTION("""COMPUTED_VALUE"""),44039.6666666666)</f>
        <v>44039.666666666599</v>
      </c>
      <c r="B1402" s="1">
        <f ca="1">IFERROR(__xludf.DUMMYFUNCTION("""COMPUTED_VALUE"""),231.46)</f>
        <v>231.46</v>
      </c>
      <c r="C1402" s="1">
        <f ca="1">IFERROR(__xludf.DUMMYFUNCTION("""COMPUTED_VALUE"""),234.95)</f>
        <v>234.95</v>
      </c>
      <c r="D1402" s="1">
        <f ca="1">IFERROR(__xludf.DUMMYFUNCTION("""COMPUTED_VALUE"""),230.83)</f>
        <v>230.83</v>
      </c>
      <c r="E1402" s="1">
        <f ca="1">IFERROR(__xludf.DUMMYFUNCTION("""COMPUTED_VALUE"""),233.5)</f>
        <v>233.5</v>
      </c>
      <c r="F1402" s="1">
        <f ca="1">IFERROR(__xludf.DUMMYFUNCTION("""COMPUTED_VALUE"""),13163083)</f>
        <v>13163083</v>
      </c>
    </row>
    <row r="1403" spans="1:6" x14ac:dyDescent="0.35">
      <c r="A1403" s="2">
        <f ca="1">IFERROR(__xludf.DUMMYFUNCTION("""COMPUTED_VALUE"""),44040.6666666666)</f>
        <v>44040.666666666599</v>
      </c>
      <c r="B1403" s="1">
        <f ca="1">IFERROR(__xludf.DUMMYFUNCTION("""COMPUTED_VALUE"""),234.63)</f>
        <v>234.63</v>
      </c>
      <c r="C1403" s="1">
        <f ca="1">IFERROR(__xludf.DUMMYFUNCTION("""COMPUTED_VALUE"""),234.96)</f>
        <v>234.96</v>
      </c>
      <c r="D1403" s="1">
        <f ca="1">IFERROR(__xludf.DUMMYFUNCTION("""COMPUTED_VALUE"""),229.83)</f>
        <v>229.83</v>
      </c>
      <c r="E1403" s="1">
        <f ca="1">IFERROR(__xludf.DUMMYFUNCTION("""COMPUTED_VALUE"""),230.12)</f>
        <v>230.12</v>
      </c>
      <c r="F1403" s="1">
        <f ca="1">IFERROR(__xludf.DUMMYFUNCTION("""COMPUTED_VALUE"""),14170112)</f>
        <v>14170112</v>
      </c>
    </row>
    <row r="1404" spans="1:6" x14ac:dyDescent="0.35">
      <c r="A1404" s="2">
        <f ca="1">IFERROR(__xludf.DUMMYFUNCTION("""COMPUTED_VALUE"""),44041.6666666666)</f>
        <v>44041.666666666599</v>
      </c>
      <c r="B1404" s="1">
        <f ca="1">IFERROR(__xludf.DUMMYFUNCTION("""COMPUTED_VALUE"""),231.14)</f>
        <v>231.14</v>
      </c>
      <c r="C1404" s="1">
        <f ca="1">IFERROR(__xludf.DUMMYFUNCTION("""COMPUTED_VALUE"""),233.7)</f>
        <v>233.7</v>
      </c>
      <c r="D1404" s="1">
        <f ca="1">IFERROR(__xludf.DUMMYFUNCTION("""COMPUTED_VALUE"""),230.31)</f>
        <v>230.31</v>
      </c>
      <c r="E1404" s="1">
        <f ca="1">IFERROR(__xludf.DUMMYFUNCTION("""COMPUTED_VALUE"""),233.29)</f>
        <v>233.29</v>
      </c>
      <c r="F1404" s="1">
        <f ca="1">IFERROR(__xludf.DUMMYFUNCTION("""COMPUTED_VALUE"""),13588317)</f>
        <v>13588317</v>
      </c>
    </row>
    <row r="1405" spans="1:6" x14ac:dyDescent="0.35">
      <c r="A1405" s="2">
        <f ca="1">IFERROR(__xludf.DUMMYFUNCTION("""COMPUTED_VALUE"""),44042.6666666666)</f>
        <v>44042.666666666599</v>
      </c>
      <c r="B1405" s="1">
        <f ca="1">IFERROR(__xludf.DUMMYFUNCTION("""COMPUTED_VALUE"""),230.22)</f>
        <v>230.22</v>
      </c>
      <c r="C1405" s="1">
        <f ca="1">IFERROR(__xludf.DUMMYFUNCTION("""COMPUTED_VALUE"""),234.89)</f>
        <v>234.89</v>
      </c>
      <c r="D1405" s="1">
        <f ca="1">IFERROR(__xludf.DUMMYFUNCTION("""COMPUTED_VALUE"""),229)</f>
        <v>229</v>
      </c>
      <c r="E1405" s="1">
        <f ca="1">IFERROR(__xludf.DUMMYFUNCTION("""COMPUTED_VALUE"""),234.5)</f>
        <v>234.5</v>
      </c>
      <c r="F1405" s="1">
        <f ca="1">IFERROR(__xludf.DUMMYFUNCTION("""COMPUTED_VALUE"""),20615306)</f>
        <v>20615306</v>
      </c>
    </row>
    <row r="1406" spans="1:6" x14ac:dyDescent="0.35">
      <c r="A1406" s="2">
        <f ca="1">IFERROR(__xludf.DUMMYFUNCTION("""COMPUTED_VALUE"""),44043.6666666666)</f>
        <v>44043.666666666599</v>
      </c>
      <c r="B1406" s="1">
        <f ca="1">IFERROR(__xludf.DUMMYFUNCTION("""COMPUTED_VALUE"""),255.82)</f>
        <v>255.82</v>
      </c>
      <c r="C1406" s="1">
        <f ca="1">IFERROR(__xludf.DUMMYFUNCTION("""COMPUTED_VALUE"""),255.85)</f>
        <v>255.85</v>
      </c>
      <c r="D1406" s="1">
        <f ca="1">IFERROR(__xludf.DUMMYFUNCTION("""COMPUTED_VALUE"""),249)</f>
        <v>249</v>
      </c>
      <c r="E1406" s="1">
        <f ca="1">IFERROR(__xludf.DUMMYFUNCTION("""COMPUTED_VALUE"""),253.67)</f>
        <v>253.67</v>
      </c>
      <c r="F1406" s="1">
        <f ca="1">IFERROR(__xludf.DUMMYFUNCTION("""COMPUTED_VALUE"""),53030037)</f>
        <v>53030037</v>
      </c>
    </row>
    <row r="1407" spans="1:6" x14ac:dyDescent="0.35">
      <c r="A1407" s="2">
        <f ca="1">IFERROR(__xludf.DUMMYFUNCTION("""COMPUTED_VALUE"""),44046.6666666666)</f>
        <v>44046.666666666599</v>
      </c>
      <c r="B1407" s="1">
        <f ca="1">IFERROR(__xludf.DUMMYFUNCTION("""COMPUTED_VALUE"""),252.65)</f>
        <v>252.65</v>
      </c>
      <c r="C1407" s="1">
        <f ca="1">IFERROR(__xludf.DUMMYFUNCTION("""COMPUTED_VALUE"""),255.4)</f>
        <v>255.4</v>
      </c>
      <c r="D1407" s="1">
        <f ca="1">IFERROR(__xludf.DUMMYFUNCTION("""COMPUTED_VALUE"""),250.33)</f>
        <v>250.33</v>
      </c>
      <c r="E1407" s="1">
        <f ca="1">IFERROR(__xludf.DUMMYFUNCTION("""COMPUTED_VALUE"""),251.96)</f>
        <v>251.96</v>
      </c>
      <c r="F1407" s="1">
        <f ca="1">IFERROR(__xludf.DUMMYFUNCTION("""COMPUTED_VALUE"""),23134103)</f>
        <v>23134103</v>
      </c>
    </row>
    <row r="1408" spans="1:6" x14ac:dyDescent="0.35">
      <c r="A1408" s="2">
        <f ca="1">IFERROR(__xludf.DUMMYFUNCTION("""COMPUTED_VALUE"""),44047.6666666666)</f>
        <v>44047.666666666599</v>
      </c>
      <c r="B1408" s="1">
        <f ca="1">IFERROR(__xludf.DUMMYFUNCTION("""COMPUTED_VALUE"""),251.56)</f>
        <v>251.56</v>
      </c>
      <c r="C1408" s="1">
        <f ca="1">IFERROR(__xludf.DUMMYFUNCTION("""COMPUTED_VALUE"""),252.8)</f>
        <v>252.8</v>
      </c>
      <c r="D1408" s="1">
        <f ca="1">IFERROR(__xludf.DUMMYFUNCTION("""COMPUTED_VALUE"""),247.43)</f>
        <v>247.43</v>
      </c>
      <c r="E1408" s="1">
        <f ca="1">IFERROR(__xludf.DUMMYFUNCTION("""COMPUTED_VALUE"""),249.83)</f>
        <v>249.83</v>
      </c>
      <c r="F1408" s="1">
        <f ca="1">IFERROR(__xludf.DUMMYFUNCTION("""COMPUTED_VALUE"""),17183533)</f>
        <v>17183533</v>
      </c>
    </row>
    <row r="1409" spans="1:6" x14ac:dyDescent="0.35">
      <c r="A1409" s="2">
        <f ca="1">IFERROR(__xludf.DUMMYFUNCTION("""COMPUTED_VALUE"""),44048.6666666666)</f>
        <v>44048.666666666599</v>
      </c>
      <c r="B1409" s="1">
        <f ca="1">IFERROR(__xludf.DUMMYFUNCTION("""COMPUTED_VALUE"""),250.19)</f>
        <v>250.19</v>
      </c>
      <c r="C1409" s="1">
        <f ca="1">IFERROR(__xludf.DUMMYFUNCTION("""COMPUTED_VALUE"""),252.27)</f>
        <v>252.27</v>
      </c>
      <c r="D1409" s="1">
        <f ca="1">IFERROR(__xludf.DUMMYFUNCTION("""COMPUTED_VALUE"""),247.77)</f>
        <v>247.77</v>
      </c>
      <c r="E1409" s="1">
        <f ca="1">IFERROR(__xludf.DUMMYFUNCTION("""COMPUTED_VALUE"""),249.12)</f>
        <v>249.12</v>
      </c>
      <c r="F1409" s="1">
        <f ca="1">IFERROR(__xludf.DUMMYFUNCTION("""COMPUTED_VALUE"""),13088361)</f>
        <v>13088361</v>
      </c>
    </row>
    <row r="1410" spans="1:6" x14ac:dyDescent="0.35">
      <c r="A1410" s="2">
        <f ca="1">IFERROR(__xludf.DUMMYFUNCTION("""COMPUTED_VALUE"""),44049.6666666666)</f>
        <v>44049.666666666599</v>
      </c>
      <c r="B1410" s="1">
        <f ca="1">IFERROR(__xludf.DUMMYFUNCTION("""COMPUTED_VALUE"""),249.04)</f>
        <v>249.04</v>
      </c>
      <c r="C1410" s="1">
        <f ca="1">IFERROR(__xludf.DUMMYFUNCTION("""COMPUTED_VALUE"""),266.6)</f>
        <v>266.60000000000002</v>
      </c>
      <c r="D1410" s="1">
        <f ca="1">IFERROR(__xludf.DUMMYFUNCTION("""COMPUTED_VALUE"""),248.67)</f>
        <v>248.67</v>
      </c>
      <c r="E1410" s="1">
        <f ca="1">IFERROR(__xludf.DUMMYFUNCTION("""COMPUTED_VALUE"""),265.28)</f>
        <v>265.27999999999997</v>
      </c>
      <c r="F1410" s="1">
        <f ca="1">IFERROR(__xludf.DUMMYFUNCTION("""COMPUTED_VALUE"""),45241611)</f>
        <v>45241611</v>
      </c>
    </row>
    <row r="1411" spans="1:6" x14ac:dyDescent="0.35">
      <c r="A1411" s="2">
        <f ca="1">IFERROR(__xludf.DUMMYFUNCTION("""COMPUTED_VALUE"""),44050.6666666666)</f>
        <v>44050.666666666599</v>
      </c>
      <c r="B1411" s="1">
        <f ca="1">IFERROR(__xludf.DUMMYFUNCTION("""COMPUTED_VALUE"""),264.08)</f>
        <v>264.08</v>
      </c>
      <c r="C1411" s="1">
        <f ca="1">IFERROR(__xludf.DUMMYFUNCTION("""COMPUTED_VALUE"""),278.89)</f>
        <v>278.89</v>
      </c>
      <c r="D1411" s="1">
        <f ca="1">IFERROR(__xludf.DUMMYFUNCTION("""COMPUTED_VALUE"""),263.43)</f>
        <v>263.43</v>
      </c>
      <c r="E1411" s="1">
        <f ca="1">IFERROR(__xludf.DUMMYFUNCTION("""COMPUTED_VALUE"""),268.44)</f>
        <v>268.44</v>
      </c>
      <c r="F1411" s="1">
        <f ca="1">IFERROR(__xludf.DUMMYFUNCTION("""COMPUTED_VALUE"""),72766364)</f>
        <v>72766364</v>
      </c>
    </row>
    <row r="1412" spans="1:6" x14ac:dyDescent="0.35">
      <c r="A1412" s="2">
        <f ca="1">IFERROR(__xludf.DUMMYFUNCTION("""COMPUTED_VALUE"""),44053.6666666666)</f>
        <v>44053.666666666599</v>
      </c>
      <c r="B1412" s="1">
        <f ca="1">IFERROR(__xludf.DUMMYFUNCTION("""COMPUTED_VALUE"""),268.04)</f>
        <v>268.04000000000002</v>
      </c>
      <c r="C1412" s="1">
        <f ca="1">IFERROR(__xludf.DUMMYFUNCTION("""COMPUTED_VALUE"""),273.86)</f>
        <v>273.86</v>
      </c>
      <c r="D1412" s="1">
        <f ca="1">IFERROR(__xludf.DUMMYFUNCTION("""COMPUTED_VALUE"""),259.69)</f>
        <v>259.69</v>
      </c>
      <c r="E1412" s="1">
        <f ca="1">IFERROR(__xludf.DUMMYFUNCTION("""COMPUTED_VALUE"""),263)</f>
        <v>263</v>
      </c>
      <c r="F1412" s="1">
        <f ca="1">IFERROR(__xludf.DUMMYFUNCTION("""COMPUTED_VALUE"""),30248826)</f>
        <v>30248826</v>
      </c>
    </row>
    <row r="1413" spans="1:6" x14ac:dyDescent="0.35">
      <c r="A1413" s="2">
        <f ca="1">IFERROR(__xludf.DUMMYFUNCTION("""COMPUTED_VALUE"""),44054.6666666666)</f>
        <v>44054.666666666599</v>
      </c>
      <c r="B1413" s="1">
        <f ca="1">IFERROR(__xludf.DUMMYFUNCTION("""COMPUTED_VALUE"""),260.19)</f>
        <v>260.19</v>
      </c>
      <c r="C1413" s="1">
        <f ca="1">IFERROR(__xludf.DUMMYFUNCTION("""COMPUTED_VALUE"""),265.92)</f>
        <v>265.92</v>
      </c>
      <c r="D1413" s="1">
        <f ca="1">IFERROR(__xludf.DUMMYFUNCTION("""COMPUTED_VALUE"""),255.13)</f>
        <v>255.13</v>
      </c>
      <c r="E1413" s="1">
        <f ca="1">IFERROR(__xludf.DUMMYFUNCTION("""COMPUTED_VALUE"""),256.13)</f>
        <v>256.13</v>
      </c>
      <c r="F1413" s="1">
        <f ca="1">IFERROR(__xludf.DUMMYFUNCTION("""COMPUTED_VALUE"""),28238283)</f>
        <v>28238283</v>
      </c>
    </row>
    <row r="1414" spans="1:6" x14ac:dyDescent="0.35">
      <c r="A1414" s="2">
        <f ca="1">IFERROR(__xludf.DUMMYFUNCTION("""COMPUTED_VALUE"""),44055.6666666666)</f>
        <v>44055.666666666599</v>
      </c>
      <c r="B1414" s="1">
        <f ca="1">IFERROR(__xludf.DUMMYFUNCTION("""COMPUTED_VALUE"""),258.97)</f>
        <v>258.97000000000003</v>
      </c>
      <c r="C1414" s="1">
        <f ca="1">IFERROR(__xludf.DUMMYFUNCTION("""COMPUTED_VALUE"""),263.9)</f>
        <v>263.89999999999998</v>
      </c>
      <c r="D1414" s="1">
        <f ca="1">IFERROR(__xludf.DUMMYFUNCTION("""COMPUTED_VALUE"""),258.11)</f>
        <v>258.11</v>
      </c>
      <c r="E1414" s="1">
        <f ca="1">IFERROR(__xludf.DUMMYFUNCTION("""COMPUTED_VALUE"""),259.89)</f>
        <v>259.89</v>
      </c>
      <c r="F1414" s="1">
        <f ca="1">IFERROR(__xludf.DUMMYFUNCTION("""COMPUTED_VALUE"""),21428329)</f>
        <v>21428329</v>
      </c>
    </row>
    <row r="1415" spans="1:6" x14ac:dyDescent="0.35">
      <c r="A1415" s="2">
        <f ca="1">IFERROR(__xludf.DUMMYFUNCTION("""COMPUTED_VALUE"""),44056.6666666666)</f>
        <v>44056.666666666599</v>
      </c>
      <c r="B1415" s="1">
        <f ca="1">IFERROR(__xludf.DUMMYFUNCTION("""COMPUTED_VALUE"""),261.55)</f>
        <v>261.55</v>
      </c>
      <c r="C1415" s="1">
        <f ca="1">IFERROR(__xludf.DUMMYFUNCTION("""COMPUTED_VALUE"""),265.16)</f>
        <v>265.16000000000003</v>
      </c>
      <c r="D1415" s="1">
        <f ca="1">IFERROR(__xludf.DUMMYFUNCTION("""COMPUTED_VALUE"""),259.57)</f>
        <v>259.57</v>
      </c>
      <c r="E1415" s="1">
        <f ca="1">IFERROR(__xludf.DUMMYFUNCTION("""COMPUTED_VALUE"""),261.3)</f>
        <v>261.3</v>
      </c>
      <c r="F1415" s="1">
        <f ca="1">IFERROR(__xludf.DUMMYFUNCTION("""COMPUTED_VALUE"""),17373970)</f>
        <v>17373970</v>
      </c>
    </row>
    <row r="1416" spans="1:6" x14ac:dyDescent="0.35">
      <c r="A1416" s="2">
        <f ca="1">IFERROR(__xludf.DUMMYFUNCTION("""COMPUTED_VALUE"""),44057.6666666666)</f>
        <v>44057.666666666599</v>
      </c>
      <c r="B1416" s="1">
        <f ca="1">IFERROR(__xludf.DUMMYFUNCTION("""COMPUTED_VALUE"""),262.31)</f>
        <v>262.31</v>
      </c>
      <c r="C1416" s="1">
        <f ca="1">IFERROR(__xludf.DUMMYFUNCTION("""COMPUTED_VALUE"""),262.65)</f>
        <v>262.64999999999998</v>
      </c>
      <c r="D1416" s="1">
        <f ca="1">IFERROR(__xludf.DUMMYFUNCTION("""COMPUTED_VALUE"""),258.68)</f>
        <v>258.68</v>
      </c>
      <c r="E1416" s="1">
        <f ca="1">IFERROR(__xludf.DUMMYFUNCTION("""COMPUTED_VALUE"""),261.24)</f>
        <v>261.24</v>
      </c>
      <c r="F1416" s="1">
        <f ca="1">IFERROR(__xludf.DUMMYFUNCTION("""COMPUTED_VALUE"""),14792708)</f>
        <v>14792708</v>
      </c>
    </row>
    <row r="1417" spans="1:6" x14ac:dyDescent="0.35">
      <c r="A1417" s="2">
        <f ca="1">IFERROR(__xludf.DUMMYFUNCTION("""COMPUTED_VALUE"""),44060.6666666666)</f>
        <v>44060.666666666599</v>
      </c>
      <c r="B1417" s="1">
        <f ca="1">IFERROR(__xludf.DUMMYFUNCTION("""COMPUTED_VALUE"""),262.5)</f>
        <v>262.5</v>
      </c>
      <c r="C1417" s="1">
        <f ca="1">IFERROR(__xludf.DUMMYFUNCTION("""COMPUTED_VALUE"""),264.1)</f>
        <v>264.10000000000002</v>
      </c>
      <c r="D1417" s="1">
        <f ca="1">IFERROR(__xludf.DUMMYFUNCTION("""COMPUTED_VALUE"""),259.4)</f>
        <v>259.39999999999998</v>
      </c>
      <c r="E1417" s="1">
        <f ca="1">IFERROR(__xludf.DUMMYFUNCTION("""COMPUTED_VALUE"""),261.16)</f>
        <v>261.16000000000003</v>
      </c>
      <c r="F1417" s="1">
        <f ca="1">IFERROR(__xludf.DUMMYFUNCTION("""COMPUTED_VALUE"""),13351062)</f>
        <v>13351062</v>
      </c>
    </row>
    <row r="1418" spans="1:6" x14ac:dyDescent="0.35">
      <c r="A1418" s="2">
        <f ca="1">IFERROR(__xludf.DUMMYFUNCTION("""COMPUTED_VALUE"""),44061.6666666666)</f>
        <v>44061.666666666599</v>
      </c>
      <c r="B1418" s="1">
        <f ca="1">IFERROR(__xludf.DUMMYFUNCTION("""COMPUTED_VALUE"""),260.95)</f>
        <v>260.95</v>
      </c>
      <c r="C1418" s="1">
        <f ca="1">IFERROR(__xludf.DUMMYFUNCTION("""COMPUTED_VALUE"""),265.15)</f>
        <v>265.14999999999998</v>
      </c>
      <c r="D1418" s="1">
        <f ca="1">IFERROR(__xludf.DUMMYFUNCTION("""COMPUTED_VALUE"""),259.26)</f>
        <v>259.26</v>
      </c>
      <c r="E1418" s="1">
        <f ca="1">IFERROR(__xludf.DUMMYFUNCTION("""COMPUTED_VALUE"""),262.34)</f>
        <v>262.33999999999997</v>
      </c>
      <c r="F1418" s="1">
        <f ca="1">IFERROR(__xludf.DUMMYFUNCTION("""COMPUTED_VALUE"""),18690383)</f>
        <v>18690383</v>
      </c>
    </row>
    <row r="1419" spans="1:6" x14ac:dyDescent="0.35">
      <c r="A1419" s="2">
        <f ca="1">IFERROR(__xludf.DUMMYFUNCTION("""COMPUTED_VALUE"""),44062.6666666666)</f>
        <v>44062.666666666599</v>
      </c>
      <c r="B1419" s="1">
        <f ca="1">IFERROR(__xludf.DUMMYFUNCTION("""COMPUTED_VALUE"""),261.39)</f>
        <v>261.39</v>
      </c>
      <c r="C1419" s="1">
        <f ca="1">IFERROR(__xludf.DUMMYFUNCTION("""COMPUTED_VALUE"""),267.91)</f>
        <v>267.91000000000003</v>
      </c>
      <c r="D1419" s="1">
        <f ca="1">IFERROR(__xludf.DUMMYFUNCTION("""COMPUTED_VALUE"""),261.35)</f>
        <v>261.35000000000002</v>
      </c>
      <c r="E1419" s="1">
        <f ca="1">IFERROR(__xludf.DUMMYFUNCTION("""COMPUTED_VALUE"""),262.59)</f>
        <v>262.58999999999997</v>
      </c>
      <c r="F1419" s="1">
        <f ca="1">IFERROR(__xludf.DUMMYFUNCTION("""COMPUTED_VALUE"""),23291463)</f>
        <v>23291463</v>
      </c>
    </row>
    <row r="1420" spans="1:6" x14ac:dyDescent="0.35">
      <c r="A1420" s="2">
        <f ca="1">IFERROR(__xludf.DUMMYFUNCTION("""COMPUTED_VALUE"""),44063.6666666666)</f>
        <v>44063.666666666599</v>
      </c>
      <c r="B1420" s="1">
        <f ca="1">IFERROR(__xludf.DUMMYFUNCTION("""COMPUTED_VALUE"""),261.5)</f>
        <v>261.5</v>
      </c>
      <c r="C1420" s="1">
        <f ca="1">IFERROR(__xludf.DUMMYFUNCTION("""COMPUTED_VALUE"""),269.63)</f>
        <v>269.63</v>
      </c>
      <c r="D1420" s="1">
        <f ca="1">IFERROR(__xludf.DUMMYFUNCTION("""COMPUTED_VALUE"""),261.46)</f>
        <v>261.45999999999998</v>
      </c>
      <c r="E1420" s="1">
        <f ca="1">IFERROR(__xludf.DUMMYFUNCTION("""COMPUTED_VALUE"""),269.01)</f>
        <v>269.01</v>
      </c>
      <c r="F1420" s="1">
        <f ca="1">IFERROR(__xludf.DUMMYFUNCTION("""COMPUTED_VALUE"""),20299688)</f>
        <v>20299688</v>
      </c>
    </row>
    <row r="1421" spans="1:6" x14ac:dyDescent="0.35">
      <c r="A1421" s="2">
        <f ca="1">IFERROR(__xludf.DUMMYFUNCTION("""COMPUTED_VALUE"""),44064.6666666666)</f>
        <v>44064.666666666599</v>
      </c>
      <c r="B1421" s="1">
        <f ca="1">IFERROR(__xludf.DUMMYFUNCTION("""COMPUTED_VALUE"""),268.69)</f>
        <v>268.69</v>
      </c>
      <c r="C1421" s="1">
        <f ca="1">IFERROR(__xludf.DUMMYFUNCTION("""COMPUTED_VALUE"""),270.49)</f>
        <v>270.49</v>
      </c>
      <c r="D1421" s="1">
        <f ca="1">IFERROR(__xludf.DUMMYFUNCTION("""COMPUTED_VALUE"""),266.42)</f>
        <v>266.42</v>
      </c>
      <c r="E1421" s="1">
        <f ca="1">IFERROR(__xludf.DUMMYFUNCTION("""COMPUTED_VALUE"""),267.01)</f>
        <v>267.01</v>
      </c>
      <c r="F1421" s="1">
        <f ca="1">IFERROR(__xludf.DUMMYFUNCTION("""COMPUTED_VALUE"""),15538615)</f>
        <v>15538615</v>
      </c>
    </row>
    <row r="1422" spans="1:6" x14ac:dyDescent="0.35">
      <c r="A1422" s="2">
        <f ca="1">IFERROR(__xludf.DUMMYFUNCTION("""COMPUTED_VALUE"""),44067.6666666666)</f>
        <v>44067.666666666599</v>
      </c>
      <c r="B1422" s="1">
        <f ca="1">IFERROR(__xludf.DUMMYFUNCTION("""COMPUTED_VALUE"""),271.07)</f>
        <v>271.07</v>
      </c>
      <c r="C1422" s="1">
        <f ca="1">IFERROR(__xludf.DUMMYFUNCTION("""COMPUTED_VALUE"""),277.25)</f>
        <v>277.25</v>
      </c>
      <c r="D1422" s="1">
        <f ca="1">IFERROR(__xludf.DUMMYFUNCTION("""COMPUTED_VALUE"""),268.77)</f>
        <v>268.77</v>
      </c>
      <c r="E1422" s="1">
        <f ca="1">IFERROR(__xludf.DUMMYFUNCTION("""COMPUTED_VALUE"""),271.39)</f>
        <v>271.39</v>
      </c>
      <c r="F1422" s="1">
        <f ca="1">IFERROR(__xludf.DUMMYFUNCTION("""COMPUTED_VALUE"""),23685603)</f>
        <v>23685603</v>
      </c>
    </row>
    <row r="1423" spans="1:6" x14ac:dyDescent="0.35">
      <c r="A1423" s="2">
        <f ca="1">IFERROR(__xludf.DUMMYFUNCTION("""COMPUTED_VALUE"""),44068.6666666666)</f>
        <v>44068.666666666599</v>
      </c>
      <c r="B1423" s="1">
        <f ca="1">IFERROR(__xludf.DUMMYFUNCTION("""COMPUTED_VALUE"""),272.41)</f>
        <v>272.41000000000003</v>
      </c>
      <c r="C1423" s="1">
        <f ca="1">IFERROR(__xludf.DUMMYFUNCTION("""COMPUTED_VALUE"""),283.09)</f>
        <v>283.08999999999997</v>
      </c>
      <c r="D1423" s="1">
        <f ca="1">IFERROR(__xludf.DUMMYFUNCTION("""COMPUTED_VALUE"""),270.26)</f>
        <v>270.26</v>
      </c>
      <c r="E1423" s="1">
        <f ca="1">IFERROR(__xludf.DUMMYFUNCTION("""COMPUTED_VALUE"""),280.82)</f>
        <v>280.82</v>
      </c>
      <c r="F1423" s="1">
        <f ca="1">IFERROR(__xludf.DUMMYFUNCTION("""COMPUTED_VALUE"""),42127240)</f>
        <v>42127240</v>
      </c>
    </row>
    <row r="1424" spans="1:6" x14ac:dyDescent="0.35">
      <c r="A1424" s="2">
        <f ca="1">IFERROR(__xludf.DUMMYFUNCTION("""COMPUTED_VALUE"""),44069.6666666666)</f>
        <v>44069.666666666599</v>
      </c>
      <c r="B1424" s="1">
        <f ca="1">IFERROR(__xludf.DUMMYFUNCTION("""COMPUTED_VALUE"""),284)</f>
        <v>284</v>
      </c>
      <c r="C1424" s="1">
        <f ca="1">IFERROR(__xludf.DUMMYFUNCTION("""COMPUTED_VALUE"""),304.67)</f>
        <v>304.67</v>
      </c>
      <c r="D1424" s="1">
        <f ca="1">IFERROR(__xludf.DUMMYFUNCTION("""COMPUTED_VALUE"""),284)</f>
        <v>284</v>
      </c>
      <c r="E1424" s="1">
        <f ca="1">IFERROR(__xludf.DUMMYFUNCTION("""COMPUTED_VALUE"""),303.91)</f>
        <v>303.91000000000003</v>
      </c>
      <c r="F1424" s="1">
        <f ca="1">IFERROR(__xludf.DUMMYFUNCTION("""COMPUTED_VALUE"""),69015151)</f>
        <v>69015151</v>
      </c>
    </row>
    <row r="1425" spans="1:6" x14ac:dyDescent="0.35">
      <c r="A1425" s="2">
        <f ca="1">IFERROR(__xludf.DUMMYFUNCTION("""COMPUTED_VALUE"""),44070.6666666666)</f>
        <v>44070.666666666599</v>
      </c>
      <c r="B1425" s="1">
        <f ca="1">IFERROR(__xludf.DUMMYFUNCTION("""COMPUTED_VALUE"""),300.16)</f>
        <v>300.16000000000003</v>
      </c>
      <c r="C1425" s="1">
        <f ca="1">IFERROR(__xludf.DUMMYFUNCTION("""COMPUTED_VALUE"""),301.23)</f>
        <v>301.23</v>
      </c>
      <c r="D1425" s="1">
        <f ca="1">IFERROR(__xludf.DUMMYFUNCTION("""COMPUTED_VALUE"""),292.02)</f>
        <v>292.02</v>
      </c>
      <c r="E1425" s="1">
        <f ca="1">IFERROR(__xludf.DUMMYFUNCTION("""COMPUTED_VALUE"""),293.22)</f>
        <v>293.22000000000003</v>
      </c>
      <c r="F1425" s="1">
        <f ca="1">IFERROR(__xludf.DUMMYFUNCTION("""COMPUTED_VALUE"""),30301309)</f>
        <v>30301309</v>
      </c>
    </row>
    <row r="1426" spans="1:6" x14ac:dyDescent="0.35">
      <c r="A1426" s="2">
        <f ca="1">IFERROR(__xludf.DUMMYFUNCTION("""COMPUTED_VALUE"""),44071.6666666666)</f>
        <v>44071.666666666599</v>
      </c>
      <c r="B1426" s="1">
        <f ca="1">IFERROR(__xludf.DUMMYFUNCTION("""COMPUTED_VALUE"""),295)</f>
        <v>295</v>
      </c>
      <c r="C1426" s="1">
        <f ca="1">IFERROR(__xludf.DUMMYFUNCTION("""COMPUTED_VALUE"""),297.23)</f>
        <v>297.23</v>
      </c>
      <c r="D1426" s="1">
        <f ca="1">IFERROR(__xludf.DUMMYFUNCTION("""COMPUTED_VALUE"""),290.98)</f>
        <v>290.98</v>
      </c>
      <c r="E1426" s="1">
        <f ca="1">IFERROR(__xludf.DUMMYFUNCTION("""COMPUTED_VALUE"""),293.66)</f>
        <v>293.66000000000003</v>
      </c>
      <c r="F1426" s="1">
        <f ca="1">IFERROR(__xludf.DUMMYFUNCTION("""COMPUTED_VALUE"""),17172415)</f>
        <v>17172415</v>
      </c>
    </row>
    <row r="1427" spans="1:6" x14ac:dyDescent="0.35">
      <c r="A1427" s="2">
        <f ca="1">IFERROR(__xludf.DUMMYFUNCTION("""COMPUTED_VALUE"""),44074.6666666666)</f>
        <v>44074.666666666599</v>
      </c>
      <c r="B1427" s="1">
        <f ca="1">IFERROR(__xludf.DUMMYFUNCTION("""COMPUTED_VALUE"""),293.95)</f>
        <v>293.95</v>
      </c>
      <c r="C1427" s="1">
        <f ca="1">IFERROR(__xludf.DUMMYFUNCTION("""COMPUTED_VALUE"""),296.88)</f>
        <v>296.88</v>
      </c>
      <c r="D1427" s="1">
        <f ca="1">IFERROR(__xludf.DUMMYFUNCTION("""COMPUTED_VALUE"""),291.55)</f>
        <v>291.55</v>
      </c>
      <c r="E1427" s="1">
        <f ca="1">IFERROR(__xludf.DUMMYFUNCTION("""COMPUTED_VALUE"""),293.2)</f>
        <v>293.2</v>
      </c>
      <c r="F1427" s="1">
        <f ca="1">IFERROR(__xludf.DUMMYFUNCTION("""COMPUTED_VALUE"""),17345134)</f>
        <v>17345134</v>
      </c>
    </row>
    <row r="1428" spans="1:6" x14ac:dyDescent="0.35">
      <c r="A1428" s="2">
        <f ca="1">IFERROR(__xludf.DUMMYFUNCTION("""COMPUTED_VALUE"""),44075.6666666666)</f>
        <v>44075.666666666599</v>
      </c>
      <c r="B1428" s="1">
        <f ca="1">IFERROR(__xludf.DUMMYFUNCTION("""COMPUTED_VALUE"""),294.71)</f>
        <v>294.70999999999998</v>
      </c>
      <c r="C1428" s="1">
        <f ca="1">IFERROR(__xludf.DUMMYFUNCTION("""COMPUTED_VALUE"""),301.49)</f>
        <v>301.49</v>
      </c>
      <c r="D1428" s="1">
        <f ca="1">IFERROR(__xludf.DUMMYFUNCTION("""COMPUTED_VALUE"""),292.71)</f>
        <v>292.70999999999998</v>
      </c>
      <c r="E1428" s="1">
        <f ca="1">IFERROR(__xludf.DUMMYFUNCTION("""COMPUTED_VALUE"""),295.44)</f>
        <v>295.44</v>
      </c>
      <c r="F1428" s="1">
        <f ca="1">IFERROR(__xludf.DUMMYFUNCTION("""COMPUTED_VALUE"""),17320872)</f>
        <v>17320872</v>
      </c>
    </row>
    <row r="1429" spans="1:6" x14ac:dyDescent="0.35">
      <c r="A1429" s="2">
        <f ca="1">IFERROR(__xludf.DUMMYFUNCTION("""COMPUTED_VALUE"""),44076.6666666666)</f>
        <v>44076.666666666599</v>
      </c>
      <c r="B1429" s="1">
        <f ca="1">IFERROR(__xludf.DUMMYFUNCTION("""COMPUTED_VALUE"""),298.88)</f>
        <v>298.88</v>
      </c>
      <c r="C1429" s="1">
        <f ca="1">IFERROR(__xludf.DUMMYFUNCTION("""COMPUTED_VALUE"""),303.6)</f>
        <v>303.60000000000002</v>
      </c>
      <c r="D1429" s="1">
        <f ca="1">IFERROR(__xludf.DUMMYFUNCTION("""COMPUTED_VALUE"""),293.05)</f>
        <v>293.05</v>
      </c>
      <c r="E1429" s="1">
        <f ca="1">IFERROR(__xludf.DUMMYFUNCTION("""COMPUTED_VALUE"""),302.5)</f>
        <v>302.5</v>
      </c>
      <c r="F1429" s="1">
        <f ca="1">IFERROR(__xludf.DUMMYFUNCTION("""COMPUTED_VALUE"""),24341369)</f>
        <v>24341369</v>
      </c>
    </row>
    <row r="1430" spans="1:6" x14ac:dyDescent="0.35">
      <c r="A1430" s="2">
        <f ca="1">IFERROR(__xludf.DUMMYFUNCTION("""COMPUTED_VALUE"""),44077.6666666666)</f>
        <v>44077.666666666599</v>
      </c>
      <c r="B1430" s="1">
        <f ca="1">IFERROR(__xludf.DUMMYFUNCTION("""COMPUTED_VALUE"""),295.99)</f>
        <v>295.99</v>
      </c>
      <c r="C1430" s="1">
        <f ca="1">IFERROR(__xludf.DUMMYFUNCTION("""COMPUTED_VALUE"""),297.6)</f>
        <v>297.60000000000002</v>
      </c>
      <c r="D1430" s="1">
        <f ca="1">IFERROR(__xludf.DUMMYFUNCTION("""COMPUTED_VALUE"""),283.63)</f>
        <v>283.63</v>
      </c>
      <c r="E1430" s="1">
        <f ca="1">IFERROR(__xludf.DUMMYFUNCTION("""COMPUTED_VALUE"""),291.12)</f>
        <v>291.12</v>
      </c>
      <c r="F1430" s="1">
        <f ca="1">IFERROR(__xludf.DUMMYFUNCTION("""COMPUTED_VALUE"""),32294092)</f>
        <v>32294092</v>
      </c>
    </row>
    <row r="1431" spans="1:6" x14ac:dyDescent="0.35">
      <c r="A1431" s="2">
        <f ca="1">IFERROR(__xludf.DUMMYFUNCTION("""COMPUTED_VALUE"""),44078.6666666666)</f>
        <v>44078.666666666599</v>
      </c>
      <c r="B1431" s="1">
        <f ca="1">IFERROR(__xludf.DUMMYFUNCTION("""COMPUTED_VALUE"""),287.25)</f>
        <v>287.25</v>
      </c>
      <c r="C1431" s="1">
        <f ca="1">IFERROR(__xludf.DUMMYFUNCTION("""COMPUTED_VALUE"""),289)</f>
        <v>289</v>
      </c>
      <c r="D1431" s="1">
        <f ca="1">IFERROR(__xludf.DUMMYFUNCTION("""COMPUTED_VALUE"""),271.14)</f>
        <v>271.14</v>
      </c>
      <c r="E1431" s="1">
        <f ca="1">IFERROR(__xludf.DUMMYFUNCTION("""COMPUTED_VALUE"""),282.73)</f>
        <v>282.73</v>
      </c>
      <c r="F1431" s="1">
        <f ca="1">IFERROR(__xludf.DUMMYFUNCTION("""COMPUTED_VALUE"""),30333671)</f>
        <v>30333671</v>
      </c>
    </row>
    <row r="1432" spans="1:6" x14ac:dyDescent="0.35">
      <c r="A1432" s="2">
        <f ca="1">IFERROR(__xludf.DUMMYFUNCTION("""COMPUTED_VALUE"""),44082.6666666666)</f>
        <v>44082.666666666599</v>
      </c>
      <c r="B1432" s="1">
        <f ca="1">IFERROR(__xludf.DUMMYFUNCTION("""COMPUTED_VALUE"""),271.28)</f>
        <v>271.27999999999997</v>
      </c>
      <c r="C1432" s="1">
        <f ca="1">IFERROR(__xludf.DUMMYFUNCTION("""COMPUTED_VALUE"""),279.3)</f>
        <v>279.3</v>
      </c>
      <c r="D1432" s="1">
        <f ca="1">IFERROR(__xludf.DUMMYFUNCTION("""COMPUTED_VALUE"""),269.42)</f>
        <v>269.42</v>
      </c>
      <c r="E1432" s="1">
        <f ca="1">IFERROR(__xludf.DUMMYFUNCTION("""COMPUTED_VALUE"""),271.16)</f>
        <v>271.16000000000003</v>
      </c>
      <c r="F1432" s="1">
        <f ca="1">IFERROR(__xludf.DUMMYFUNCTION("""COMPUTED_VALUE"""),24863997)</f>
        <v>24863997</v>
      </c>
    </row>
    <row r="1433" spans="1:6" x14ac:dyDescent="0.35">
      <c r="A1433" s="2">
        <f ca="1">IFERROR(__xludf.DUMMYFUNCTION("""COMPUTED_VALUE"""),44083.6666666666)</f>
        <v>44083.666666666599</v>
      </c>
      <c r="B1433" s="1">
        <f ca="1">IFERROR(__xludf.DUMMYFUNCTION("""COMPUTED_VALUE"""),275.77)</f>
        <v>275.77</v>
      </c>
      <c r="C1433" s="1">
        <f ca="1">IFERROR(__xludf.DUMMYFUNCTION("""COMPUTED_VALUE"""),278.48)</f>
        <v>278.48</v>
      </c>
      <c r="D1433" s="1">
        <f ca="1">IFERROR(__xludf.DUMMYFUNCTION("""COMPUTED_VALUE"""),271.35)</f>
        <v>271.35000000000002</v>
      </c>
      <c r="E1433" s="1">
        <f ca="1">IFERROR(__xludf.DUMMYFUNCTION("""COMPUTED_VALUE"""),273.72)</f>
        <v>273.72000000000003</v>
      </c>
      <c r="F1433" s="1">
        <f ca="1">IFERROR(__xludf.DUMMYFUNCTION("""COMPUTED_VALUE"""),22918769)</f>
        <v>22918769</v>
      </c>
    </row>
    <row r="1434" spans="1:6" x14ac:dyDescent="0.35">
      <c r="A1434" s="2">
        <f ca="1">IFERROR(__xludf.DUMMYFUNCTION("""COMPUTED_VALUE"""),44084.6666666666)</f>
        <v>44084.666666666599</v>
      </c>
      <c r="B1434" s="1">
        <f ca="1">IFERROR(__xludf.DUMMYFUNCTION("""COMPUTED_VALUE"""),275.51)</f>
        <v>275.51</v>
      </c>
      <c r="C1434" s="1">
        <f ca="1">IFERROR(__xludf.DUMMYFUNCTION("""COMPUTED_VALUE"""),279.16)</f>
        <v>279.16000000000003</v>
      </c>
      <c r="D1434" s="1">
        <f ca="1">IFERROR(__xludf.DUMMYFUNCTION("""COMPUTED_VALUE"""),267.03)</f>
        <v>267.02999999999997</v>
      </c>
      <c r="E1434" s="1">
        <f ca="1">IFERROR(__xludf.DUMMYFUNCTION("""COMPUTED_VALUE"""),268.09)</f>
        <v>268.08999999999997</v>
      </c>
      <c r="F1434" s="1">
        <f ca="1">IFERROR(__xludf.DUMMYFUNCTION("""COMPUTED_VALUE"""),24814669)</f>
        <v>24814669</v>
      </c>
    </row>
    <row r="1435" spans="1:6" x14ac:dyDescent="0.35">
      <c r="A1435" s="2">
        <f ca="1">IFERROR(__xludf.DUMMYFUNCTION("""COMPUTED_VALUE"""),44085.6666666666)</f>
        <v>44085.666666666599</v>
      </c>
      <c r="B1435" s="1">
        <f ca="1">IFERROR(__xludf.DUMMYFUNCTION("""COMPUTED_VALUE"""),270.06)</f>
        <v>270.06</v>
      </c>
      <c r="C1435" s="1">
        <f ca="1">IFERROR(__xludf.DUMMYFUNCTION("""COMPUTED_VALUE"""),271.39)</f>
        <v>271.39</v>
      </c>
      <c r="D1435" s="1">
        <f ca="1">IFERROR(__xludf.DUMMYFUNCTION("""COMPUTED_VALUE"""),262.64)</f>
        <v>262.64</v>
      </c>
      <c r="E1435" s="1">
        <f ca="1">IFERROR(__xludf.DUMMYFUNCTION("""COMPUTED_VALUE"""),266.61)</f>
        <v>266.61</v>
      </c>
      <c r="F1435" s="1">
        <f ca="1">IFERROR(__xludf.DUMMYFUNCTION("""COMPUTED_VALUE"""),18913883)</f>
        <v>18913883</v>
      </c>
    </row>
    <row r="1436" spans="1:6" x14ac:dyDescent="0.35">
      <c r="A1436" s="2">
        <f ca="1">IFERROR(__xludf.DUMMYFUNCTION("""COMPUTED_VALUE"""),44088.6666666666)</f>
        <v>44088.666666666599</v>
      </c>
      <c r="B1436" s="1">
        <f ca="1">IFERROR(__xludf.DUMMYFUNCTION("""COMPUTED_VALUE"""),270.95)</f>
        <v>270.95</v>
      </c>
      <c r="C1436" s="1">
        <f ca="1">IFERROR(__xludf.DUMMYFUNCTION("""COMPUTED_VALUE"""),276.64)</f>
        <v>276.64</v>
      </c>
      <c r="D1436" s="1">
        <f ca="1">IFERROR(__xludf.DUMMYFUNCTION("""COMPUTED_VALUE"""),265.7)</f>
        <v>265.7</v>
      </c>
      <c r="E1436" s="1">
        <f ca="1">IFERROR(__xludf.DUMMYFUNCTION("""COMPUTED_VALUE"""),266.15)</f>
        <v>266.14999999999998</v>
      </c>
      <c r="F1436" s="1">
        <f ca="1">IFERROR(__xludf.DUMMYFUNCTION("""COMPUTED_VALUE"""),24093830)</f>
        <v>24093830</v>
      </c>
    </row>
    <row r="1437" spans="1:6" x14ac:dyDescent="0.35">
      <c r="A1437" s="2">
        <f ca="1">IFERROR(__xludf.DUMMYFUNCTION("""COMPUTED_VALUE"""),44089.6666666666)</f>
        <v>44089.666666666599</v>
      </c>
      <c r="B1437" s="1">
        <f ca="1">IFERROR(__xludf.DUMMYFUNCTION("""COMPUTED_VALUE"""),270.67)</f>
        <v>270.67</v>
      </c>
      <c r="C1437" s="1">
        <f ca="1">IFERROR(__xludf.DUMMYFUNCTION("""COMPUTED_VALUE"""),274.52)</f>
        <v>274.52</v>
      </c>
      <c r="D1437" s="1">
        <f ca="1">IFERROR(__xludf.DUMMYFUNCTION("""COMPUTED_VALUE"""),269.3)</f>
        <v>269.3</v>
      </c>
      <c r="E1437" s="1">
        <f ca="1">IFERROR(__xludf.DUMMYFUNCTION("""COMPUTED_VALUE"""),272.42)</f>
        <v>272.42</v>
      </c>
      <c r="F1437" s="1">
        <f ca="1">IFERROR(__xludf.DUMMYFUNCTION("""COMPUTED_VALUE"""),18478530)</f>
        <v>18478530</v>
      </c>
    </row>
    <row r="1438" spans="1:6" x14ac:dyDescent="0.35">
      <c r="A1438" s="2">
        <f ca="1">IFERROR(__xludf.DUMMYFUNCTION("""COMPUTED_VALUE"""),44090.6666666666)</f>
        <v>44090.666666666599</v>
      </c>
      <c r="B1438" s="1">
        <f ca="1">IFERROR(__xludf.DUMMYFUNCTION("""COMPUTED_VALUE"""),267.29)</f>
        <v>267.29000000000002</v>
      </c>
      <c r="C1438" s="1">
        <f ca="1">IFERROR(__xludf.DUMMYFUNCTION("""COMPUTED_VALUE"""),272.44)</f>
        <v>272.44</v>
      </c>
      <c r="D1438" s="1">
        <f ca="1">IFERROR(__xludf.DUMMYFUNCTION("""COMPUTED_VALUE"""),261.79)</f>
        <v>261.79000000000002</v>
      </c>
      <c r="E1438" s="1">
        <f ca="1">IFERROR(__xludf.DUMMYFUNCTION("""COMPUTED_VALUE"""),263.52)</f>
        <v>263.52</v>
      </c>
      <c r="F1438" s="1">
        <f ca="1">IFERROR(__xludf.DUMMYFUNCTION("""COMPUTED_VALUE"""),29207594)</f>
        <v>29207594</v>
      </c>
    </row>
    <row r="1439" spans="1:6" x14ac:dyDescent="0.35">
      <c r="A1439" s="2">
        <f ca="1">IFERROR(__xludf.DUMMYFUNCTION("""COMPUTED_VALUE"""),44091.6666666666)</f>
        <v>44091.666666666599</v>
      </c>
      <c r="B1439" s="1">
        <f ca="1">IFERROR(__xludf.DUMMYFUNCTION("""COMPUTED_VALUE"""),258.28)</f>
        <v>258.27999999999997</v>
      </c>
      <c r="C1439" s="1">
        <f ca="1">IFERROR(__xludf.DUMMYFUNCTION("""COMPUTED_VALUE"""),261.5)</f>
        <v>261.5</v>
      </c>
      <c r="D1439" s="1">
        <f ca="1">IFERROR(__xludf.DUMMYFUNCTION("""COMPUTED_VALUE"""),250.19)</f>
        <v>250.19</v>
      </c>
      <c r="E1439" s="1">
        <f ca="1">IFERROR(__xludf.DUMMYFUNCTION("""COMPUTED_VALUE"""),254.82)</f>
        <v>254.82</v>
      </c>
      <c r="F1439" s="1">
        <f ca="1">IFERROR(__xludf.DUMMYFUNCTION("""COMPUTED_VALUE"""),31281441)</f>
        <v>31281441</v>
      </c>
    </row>
    <row r="1440" spans="1:6" x14ac:dyDescent="0.35">
      <c r="A1440" s="2">
        <f ca="1">IFERROR(__xludf.DUMMYFUNCTION("""COMPUTED_VALUE"""),44092.6666666666)</f>
        <v>44092.666666666599</v>
      </c>
      <c r="B1440" s="1">
        <f ca="1">IFERROR(__xludf.DUMMYFUNCTION("""COMPUTED_VALUE"""),258.4)</f>
        <v>258.39999999999998</v>
      </c>
      <c r="C1440" s="1">
        <f ca="1">IFERROR(__xludf.DUMMYFUNCTION("""COMPUTED_VALUE"""),259.2)</f>
        <v>259.2</v>
      </c>
      <c r="D1440" s="1">
        <f ca="1">IFERROR(__xludf.DUMMYFUNCTION("""COMPUTED_VALUE"""),250.05)</f>
        <v>250.05</v>
      </c>
      <c r="E1440" s="1">
        <f ca="1">IFERROR(__xludf.DUMMYFUNCTION("""COMPUTED_VALUE"""),252.53)</f>
        <v>252.53</v>
      </c>
      <c r="F1440" s="1">
        <f ca="1">IFERROR(__xludf.DUMMYFUNCTION("""COMPUTED_VALUE"""),28130767)</f>
        <v>28130767</v>
      </c>
    </row>
    <row r="1441" spans="1:6" x14ac:dyDescent="0.35">
      <c r="A1441" s="2">
        <f ca="1">IFERROR(__xludf.DUMMYFUNCTION("""COMPUTED_VALUE"""),44095.6666666666)</f>
        <v>44095.666666666599</v>
      </c>
      <c r="B1441" s="1">
        <f ca="1">IFERROR(__xludf.DUMMYFUNCTION("""COMPUTED_VALUE"""),247.54)</f>
        <v>247.54</v>
      </c>
      <c r="C1441" s="1">
        <f ca="1">IFERROR(__xludf.DUMMYFUNCTION("""COMPUTED_VALUE"""),249.95)</f>
        <v>249.95</v>
      </c>
      <c r="D1441" s="1">
        <f ca="1">IFERROR(__xludf.DUMMYFUNCTION("""COMPUTED_VALUE"""),244.13)</f>
        <v>244.13</v>
      </c>
      <c r="E1441" s="1">
        <f ca="1">IFERROR(__xludf.DUMMYFUNCTION("""COMPUTED_VALUE"""),248.15)</f>
        <v>248.15</v>
      </c>
      <c r="F1441" s="1">
        <f ca="1">IFERROR(__xludf.DUMMYFUNCTION("""COMPUTED_VALUE"""),24709378)</f>
        <v>24709378</v>
      </c>
    </row>
    <row r="1442" spans="1:6" x14ac:dyDescent="0.35">
      <c r="A1442" s="2">
        <f ca="1">IFERROR(__xludf.DUMMYFUNCTION("""COMPUTED_VALUE"""),44096.6666666666)</f>
        <v>44096.666666666599</v>
      </c>
      <c r="B1442" s="1">
        <f ca="1">IFERROR(__xludf.DUMMYFUNCTION("""COMPUTED_VALUE"""),253.31)</f>
        <v>253.31</v>
      </c>
      <c r="C1442" s="1">
        <f ca="1">IFERROR(__xludf.DUMMYFUNCTION("""COMPUTED_VALUE"""),255.32)</f>
        <v>255.32</v>
      </c>
      <c r="D1442" s="1">
        <f ca="1">IFERROR(__xludf.DUMMYFUNCTION("""COMPUTED_VALUE"""),248.22)</f>
        <v>248.22</v>
      </c>
      <c r="E1442" s="1">
        <f ca="1">IFERROR(__xludf.DUMMYFUNCTION("""COMPUTED_VALUE"""),254.75)</f>
        <v>254.75</v>
      </c>
      <c r="F1442" s="1">
        <f ca="1">IFERROR(__xludf.DUMMYFUNCTION("""COMPUTED_VALUE"""),30293103)</f>
        <v>30293103</v>
      </c>
    </row>
    <row r="1443" spans="1:6" x14ac:dyDescent="0.35">
      <c r="A1443" s="2">
        <f ca="1">IFERROR(__xludf.DUMMYFUNCTION("""COMPUTED_VALUE"""),44097.6666666666)</f>
        <v>44097.666666666599</v>
      </c>
      <c r="B1443" s="1">
        <f ca="1">IFERROR(__xludf.DUMMYFUNCTION("""COMPUTED_VALUE"""),255.26)</f>
        <v>255.26</v>
      </c>
      <c r="C1443" s="1">
        <f ca="1">IFERROR(__xludf.DUMMYFUNCTION("""COMPUTED_VALUE"""),257.99)</f>
        <v>257.99</v>
      </c>
      <c r="D1443" s="1">
        <f ca="1">IFERROR(__xludf.DUMMYFUNCTION("""COMPUTED_VALUE"""),248.15)</f>
        <v>248.15</v>
      </c>
      <c r="E1443" s="1">
        <f ca="1">IFERROR(__xludf.DUMMYFUNCTION("""COMPUTED_VALUE"""),249.02)</f>
        <v>249.02</v>
      </c>
      <c r="F1443" s="1">
        <f ca="1">IFERROR(__xludf.DUMMYFUNCTION("""COMPUTED_VALUE"""),19641266)</f>
        <v>19641266</v>
      </c>
    </row>
    <row r="1444" spans="1:6" x14ac:dyDescent="0.35">
      <c r="A1444" s="2">
        <f ca="1">IFERROR(__xludf.DUMMYFUNCTION("""COMPUTED_VALUE"""),44098.6666666666)</f>
        <v>44098.666666666599</v>
      </c>
      <c r="B1444" s="1">
        <f ca="1">IFERROR(__xludf.DUMMYFUNCTION("""COMPUTED_VALUE"""),246.5)</f>
        <v>246.5</v>
      </c>
      <c r="C1444" s="1">
        <f ca="1">IFERROR(__xludf.DUMMYFUNCTION("""COMPUTED_VALUE"""),252.24)</f>
        <v>252.24</v>
      </c>
      <c r="D1444" s="1">
        <f ca="1">IFERROR(__xludf.DUMMYFUNCTION("""COMPUTED_VALUE"""),245.62)</f>
        <v>245.62</v>
      </c>
      <c r="E1444" s="1">
        <f ca="1">IFERROR(__xludf.DUMMYFUNCTION("""COMPUTED_VALUE"""),249.53)</f>
        <v>249.53</v>
      </c>
      <c r="F1444" s="1">
        <f ca="1">IFERROR(__xludf.DUMMYFUNCTION("""COMPUTED_VALUE"""),20006750)</f>
        <v>20006750</v>
      </c>
    </row>
    <row r="1445" spans="1:6" x14ac:dyDescent="0.35">
      <c r="A1445" s="2">
        <f ca="1">IFERROR(__xludf.DUMMYFUNCTION("""COMPUTED_VALUE"""),44099.6666666666)</f>
        <v>44099.666666666599</v>
      </c>
      <c r="B1445" s="1">
        <f ca="1">IFERROR(__xludf.DUMMYFUNCTION("""COMPUTED_VALUE"""),249.4)</f>
        <v>249.4</v>
      </c>
      <c r="C1445" s="1">
        <f ca="1">IFERROR(__xludf.DUMMYFUNCTION("""COMPUTED_VALUE"""),255.75)</f>
        <v>255.75</v>
      </c>
      <c r="D1445" s="1">
        <f ca="1">IFERROR(__xludf.DUMMYFUNCTION("""COMPUTED_VALUE"""),246.61)</f>
        <v>246.61</v>
      </c>
      <c r="E1445" s="1">
        <f ca="1">IFERROR(__xludf.DUMMYFUNCTION("""COMPUTED_VALUE"""),254.82)</f>
        <v>254.82</v>
      </c>
      <c r="F1445" s="1">
        <f ca="1">IFERROR(__xludf.DUMMYFUNCTION("""COMPUTED_VALUE"""),18351311)</f>
        <v>18351311</v>
      </c>
    </row>
    <row r="1446" spans="1:6" x14ac:dyDescent="0.35">
      <c r="A1446" s="2">
        <f ca="1">IFERROR(__xludf.DUMMYFUNCTION("""COMPUTED_VALUE"""),44102.6666666666)</f>
        <v>44102.666666666599</v>
      </c>
      <c r="B1446" s="1">
        <f ca="1">IFERROR(__xludf.DUMMYFUNCTION("""COMPUTED_VALUE"""),259.4)</f>
        <v>259.39999999999998</v>
      </c>
      <c r="C1446" s="1">
        <f ca="1">IFERROR(__xludf.DUMMYFUNCTION("""COMPUTED_VALUE"""),259.6)</f>
        <v>259.60000000000002</v>
      </c>
      <c r="D1446" s="1">
        <f ca="1">IFERROR(__xludf.DUMMYFUNCTION("""COMPUTED_VALUE"""),254.82)</f>
        <v>254.82</v>
      </c>
      <c r="E1446" s="1">
        <f ca="1">IFERROR(__xludf.DUMMYFUNCTION("""COMPUTED_VALUE"""),256.82)</f>
        <v>256.82</v>
      </c>
      <c r="F1446" s="1">
        <f ca="1">IFERROR(__xludf.DUMMYFUNCTION("""COMPUTED_VALUE"""),18826254)</f>
        <v>18826254</v>
      </c>
    </row>
    <row r="1447" spans="1:6" x14ac:dyDescent="0.35">
      <c r="A1447" s="2">
        <f ca="1">IFERROR(__xludf.DUMMYFUNCTION("""COMPUTED_VALUE"""),44103.6666666666)</f>
        <v>44103.666666666599</v>
      </c>
      <c r="B1447" s="1">
        <f ca="1">IFERROR(__xludf.DUMMYFUNCTION("""COMPUTED_VALUE"""),257.81)</f>
        <v>257.81</v>
      </c>
      <c r="C1447" s="1">
        <f ca="1">IFERROR(__xludf.DUMMYFUNCTION("""COMPUTED_VALUE"""),263.33)</f>
        <v>263.33</v>
      </c>
      <c r="D1447" s="1">
        <f ca="1">IFERROR(__xludf.DUMMYFUNCTION("""COMPUTED_VALUE"""),256.9)</f>
        <v>256.89999999999998</v>
      </c>
      <c r="E1447" s="1">
        <f ca="1">IFERROR(__xludf.DUMMYFUNCTION("""COMPUTED_VALUE"""),261.79)</f>
        <v>261.79000000000002</v>
      </c>
      <c r="F1447" s="1">
        <f ca="1">IFERROR(__xludf.DUMMYFUNCTION("""COMPUTED_VALUE"""),20215504)</f>
        <v>20215504</v>
      </c>
    </row>
    <row r="1448" spans="1:6" x14ac:dyDescent="0.35">
      <c r="A1448" s="2">
        <f ca="1">IFERROR(__xludf.DUMMYFUNCTION("""COMPUTED_VALUE"""),44104.6666666666)</f>
        <v>44104.666666666599</v>
      </c>
      <c r="B1448" s="1">
        <f ca="1">IFERROR(__xludf.DUMMYFUNCTION("""COMPUTED_VALUE"""),261.98)</f>
        <v>261.98</v>
      </c>
      <c r="C1448" s="1">
        <f ca="1">IFERROR(__xludf.DUMMYFUNCTION("""COMPUTED_VALUE"""),266.08)</f>
        <v>266.08</v>
      </c>
      <c r="D1448" s="1">
        <f ca="1">IFERROR(__xludf.DUMMYFUNCTION("""COMPUTED_VALUE"""),260.1)</f>
        <v>260.10000000000002</v>
      </c>
      <c r="E1448" s="1">
        <f ca="1">IFERROR(__xludf.DUMMYFUNCTION("""COMPUTED_VALUE"""),261.9)</f>
        <v>261.89999999999998</v>
      </c>
      <c r="F1448" s="1">
        <f ca="1">IFERROR(__xludf.DUMMYFUNCTION("""COMPUTED_VALUE"""),20142546)</f>
        <v>20142546</v>
      </c>
    </row>
    <row r="1449" spans="1:6" x14ac:dyDescent="0.35">
      <c r="A1449" s="2">
        <f ca="1">IFERROR(__xludf.DUMMYFUNCTION("""COMPUTED_VALUE"""),44105.6666666666)</f>
        <v>44105.666666666599</v>
      </c>
      <c r="B1449" s="1">
        <f ca="1">IFERROR(__xludf.DUMMYFUNCTION("""COMPUTED_VALUE"""),265.35)</f>
        <v>265.35000000000002</v>
      </c>
      <c r="C1449" s="1">
        <f ca="1">IFERROR(__xludf.DUMMYFUNCTION("""COMPUTED_VALUE"""),268.33)</f>
        <v>268.33</v>
      </c>
      <c r="D1449" s="1">
        <f ca="1">IFERROR(__xludf.DUMMYFUNCTION("""COMPUTED_VALUE"""),264.8)</f>
        <v>264.8</v>
      </c>
      <c r="E1449" s="1">
        <f ca="1">IFERROR(__xludf.DUMMYFUNCTION("""COMPUTED_VALUE"""),266.63)</f>
        <v>266.63</v>
      </c>
      <c r="F1449" s="1">
        <f ca="1">IFERROR(__xludf.DUMMYFUNCTION("""COMPUTED_VALUE"""),20009801)</f>
        <v>20009801</v>
      </c>
    </row>
    <row r="1450" spans="1:6" x14ac:dyDescent="0.35">
      <c r="A1450" s="2">
        <f ca="1">IFERROR(__xludf.DUMMYFUNCTION("""COMPUTED_VALUE"""),44106.6666666666)</f>
        <v>44106.666666666599</v>
      </c>
      <c r="B1450" s="1">
        <f ca="1">IFERROR(__xludf.DUMMYFUNCTION("""COMPUTED_VALUE"""),261.21)</f>
        <v>261.20999999999998</v>
      </c>
      <c r="C1450" s="1">
        <f ca="1">IFERROR(__xludf.DUMMYFUNCTION("""COMPUTED_VALUE"""),265.15)</f>
        <v>265.14999999999998</v>
      </c>
      <c r="D1450" s="1">
        <f ca="1">IFERROR(__xludf.DUMMYFUNCTION("""COMPUTED_VALUE"""),259.18)</f>
        <v>259.18</v>
      </c>
      <c r="E1450" s="1">
        <f ca="1">IFERROR(__xludf.DUMMYFUNCTION("""COMPUTED_VALUE"""),259.94)</f>
        <v>259.94</v>
      </c>
      <c r="F1450" s="1">
        <f ca="1">IFERROR(__xludf.DUMMYFUNCTION("""COMPUTED_VALUE"""),16367597)</f>
        <v>16367597</v>
      </c>
    </row>
    <row r="1451" spans="1:6" x14ac:dyDescent="0.35">
      <c r="A1451" s="2">
        <f ca="1">IFERROR(__xludf.DUMMYFUNCTION("""COMPUTED_VALUE"""),44109.6666666666)</f>
        <v>44109.666666666599</v>
      </c>
      <c r="B1451" s="1">
        <f ca="1">IFERROR(__xludf.DUMMYFUNCTION("""COMPUTED_VALUE"""),262.2)</f>
        <v>262.2</v>
      </c>
      <c r="C1451" s="1">
        <f ca="1">IFERROR(__xludf.DUMMYFUNCTION("""COMPUTED_VALUE"""),264.87)</f>
        <v>264.87</v>
      </c>
      <c r="D1451" s="1">
        <f ca="1">IFERROR(__xludf.DUMMYFUNCTION("""COMPUTED_VALUE"""),260.84)</f>
        <v>260.83999999999997</v>
      </c>
      <c r="E1451" s="1">
        <f ca="1">IFERROR(__xludf.DUMMYFUNCTION("""COMPUTED_VALUE"""),264.65)</f>
        <v>264.64999999999998</v>
      </c>
      <c r="F1451" s="1">
        <f ca="1">IFERROR(__xludf.DUMMYFUNCTION("""COMPUTED_VALUE"""),12822252)</f>
        <v>12822252</v>
      </c>
    </row>
    <row r="1452" spans="1:6" x14ac:dyDescent="0.35">
      <c r="A1452" s="2">
        <f ca="1">IFERROR(__xludf.DUMMYFUNCTION("""COMPUTED_VALUE"""),44110.6666666666)</f>
        <v>44110.666666666599</v>
      </c>
      <c r="B1452" s="1">
        <f ca="1">IFERROR(__xludf.DUMMYFUNCTION("""COMPUTED_VALUE"""),261.78)</f>
        <v>261.77999999999997</v>
      </c>
      <c r="C1452" s="1">
        <f ca="1">IFERROR(__xludf.DUMMYFUNCTION("""COMPUTED_VALUE"""),265.69)</f>
        <v>265.69</v>
      </c>
      <c r="D1452" s="1">
        <f ca="1">IFERROR(__xludf.DUMMYFUNCTION("""COMPUTED_VALUE"""),258.24)</f>
        <v>258.24</v>
      </c>
      <c r="E1452" s="1">
        <f ca="1">IFERROR(__xludf.DUMMYFUNCTION("""COMPUTED_VALUE"""),258.66)</f>
        <v>258.66000000000003</v>
      </c>
      <c r="F1452" s="1">
        <f ca="1">IFERROR(__xludf.DUMMYFUNCTION("""COMPUTED_VALUE"""),18696917)</f>
        <v>18696917</v>
      </c>
    </row>
    <row r="1453" spans="1:6" x14ac:dyDescent="0.35">
      <c r="A1453" s="2">
        <f ca="1">IFERROR(__xludf.DUMMYFUNCTION("""COMPUTED_VALUE"""),44111.6666666666)</f>
        <v>44111.666666666599</v>
      </c>
      <c r="B1453" s="1">
        <f ca="1">IFERROR(__xludf.DUMMYFUNCTION("""COMPUTED_VALUE"""),259.21)</f>
        <v>259.20999999999998</v>
      </c>
      <c r="C1453" s="1">
        <f ca="1">IFERROR(__xludf.DUMMYFUNCTION("""COMPUTED_VALUE"""),260.18)</f>
        <v>260.18</v>
      </c>
      <c r="D1453" s="1">
        <f ca="1">IFERROR(__xludf.DUMMYFUNCTION("""COMPUTED_VALUE"""),254.82)</f>
        <v>254.82</v>
      </c>
      <c r="E1453" s="1">
        <f ca="1">IFERROR(__xludf.DUMMYFUNCTION("""COMPUTED_VALUE"""),258.12)</f>
        <v>258.12</v>
      </c>
      <c r="F1453" s="1">
        <f ca="1">IFERROR(__xludf.DUMMYFUNCTION("""COMPUTED_VALUE"""),23133417)</f>
        <v>23133417</v>
      </c>
    </row>
    <row r="1454" spans="1:6" x14ac:dyDescent="0.35">
      <c r="A1454" s="2">
        <f ca="1">IFERROR(__xludf.DUMMYFUNCTION("""COMPUTED_VALUE"""),44112.6666666666)</f>
        <v>44112.666666666599</v>
      </c>
      <c r="B1454" s="1">
        <f ca="1">IFERROR(__xludf.DUMMYFUNCTION("""COMPUTED_VALUE"""),259.75)</f>
        <v>259.75</v>
      </c>
      <c r="C1454" s="1">
        <f ca="1">IFERROR(__xludf.DUMMYFUNCTION("""COMPUTED_VALUE"""),264.62)</f>
        <v>264.62</v>
      </c>
      <c r="D1454" s="1">
        <f ca="1">IFERROR(__xludf.DUMMYFUNCTION("""COMPUTED_VALUE"""),259.15)</f>
        <v>259.14999999999998</v>
      </c>
      <c r="E1454" s="1">
        <f ca="1">IFERROR(__xludf.DUMMYFUNCTION("""COMPUTED_VALUE"""),263.76)</f>
        <v>263.76</v>
      </c>
      <c r="F1454" s="1">
        <f ca="1">IFERROR(__xludf.DUMMYFUNCTION("""COMPUTED_VALUE"""),16312762)</f>
        <v>16312762</v>
      </c>
    </row>
    <row r="1455" spans="1:6" x14ac:dyDescent="0.35">
      <c r="A1455" s="2">
        <f ca="1">IFERROR(__xludf.DUMMYFUNCTION("""COMPUTED_VALUE"""),44113.6666666666)</f>
        <v>44113.666666666599</v>
      </c>
      <c r="B1455" s="1">
        <f ca="1">IFERROR(__xludf.DUMMYFUNCTION("""COMPUTED_VALUE"""),264.52)</f>
        <v>264.52</v>
      </c>
      <c r="C1455" s="1">
        <f ca="1">IFERROR(__xludf.DUMMYFUNCTION("""COMPUTED_VALUE"""),264.75)</f>
        <v>264.75</v>
      </c>
      <c r="D1455" s="1">
        <f ca="1">IFERROR(__xludf.DUMMYFUNCTION("""COMPUTED_VALUE"""),262.17)</f>
        <v>262.17</v>
      </c>
      <c r="E1455" s="1">
        <f ca="1">IFERROR(__xludf.DUMMYFUNCTION("""COMPUTED_VALUE"""),264.45)</f>
        <v>264.45</v>
      </c>
      <c r="F1455" s="1">
        <f ca="1">IFERROR(__xludf.DUMMYFUNCTION("""COMPUTED_VALUE"""),14107803)</f>
        <v>14107803</v>
      </c>
    </row>
    <row r="1456" spans="1:6" x14ac:dyDescent="0.35">
      <c r="A1456" s="2">
        <f ca="1">IFERROR(__xludf.DUMMYFUNCTION("""COMPUTED_VALUE"""),44116.6666666666)</f>
        <v>44116.666666666599</v>
      </c>
      <c r="B1456" s="1">
        <f ca="1">IFERROR(__xludf.DUMMYFUNCTION("""COMPUTED_VALUE"""),270.2)</f>
        <v>270.2</v>
      </c>
      <c r="C1456" s="1">
        <f ca="1">IFERROR(__xludf.DUMMYFUNCTION("""COMPUTED_VALUE"""),280.18)</f>
        <v>280.18</v>
      </c>
      <c r="D1456" s="1">
        <f ca="1">IFERROR(__xludf.DUMMYFUNCTION("""COMPUTED_VALUE"""),267.87)</f>
        <v>267.87</v>
      </c>
      <c r="E1456" s="1">
        <f ca="1">IFERROR(__xludf.DUMMYFUNCTION("""COMPUTED_VALUE"""),275.75)</f>
        <v>275.75</v>
      </c>
      <c r="F1456" s="1">
        <f ca="1">IFERROR(__xludf.DUMMYFUNCTION("""COMPUTED_VALUE"""),31019256)</f>
        <v>31019256</v>
      </c>
    </row>
    <row r="1457" spans="1:6" x14ac:dyDescent="0.35">
      <c r="A1457" s="2">
        <f ca="1">IFERROR(__xludf.DUMMYFUNCTION("""COMPUTED_VALUE"""),44117.6666666666)</f>
        <v>44117.666666666599</v>
      </c>
      <c r="B1457" s="1">
        <f ca="1">IFERROR(__xludf.DUMMYFUNCTION("""COMPUTED_VALUE"""),277.58)</f>
        <v>277.58</v>
      </c>
      <c r="C1457" s="1">
        <f ca="1">IFERROR(__xludf.DUMMYFUNCTION("""COMPUTED_VALUE"""),279.1)</f>
        <v>279.10000000000002</v>
      </c>
      <c r="D1457" s="1">
        <f ca="1">IFERROR(__xludf.DUMMYFUNCTION("""COMPUTED_VALUE"""),273.39)</f>
        <v>273.39</v>
      </c>
      <c r="E1457" s="1">
        <f ca="1">IFERROR(__xludf.DUMMYFUNCTION("""COMPUTED_VALUE"""),276.14)</f>
        <v>276.14</v>
      </c>
      <c r="F1457" s="1">
        <f ca="1">IFERROR(__xludf.DUMMYFUNCTION("""COMPUTED_VALUE"""),18063343)</f>
        <v>18063343</v>
      </c>
    </row>
    <row r="1458" spans="1:6" x14ac:dyDescent="0.35">
      <c r="A1458" s="2">
        <f ca="1">IFERROR(__xludf.DUMMYFUNCTION("""COMPUTED_VALUE"""),44118.6666666666)</f>
        <v>44118.666666666599</v>
      </c>
      <c r="B1458" s="1">
        <f ca="1">IFERROR(__xludf.DUMMYFUNCTION("""COMPUTED_VALUE"""),277.62)</f>
        <v>277.62</v>
      </c>
      <c r="C1458" s="1">
        <f ca="1">IFERROR(__xludf.DUMMYFUNCTION("""COMPUTED_VALUE"""),278.75)</f>
        <v>278.75</v>
      </c>
      <c r="D1458" s="1">
        <f ca="1">IFERROR(__xludf.DUMMYFUNCTION("""COMPUTED_VALUE"""),271.5)</f>
        <v>271.5</v>
      </c>
      <c r="E1458" s="1">
        <f ca="1">IFERROR(__xludf.DUMMYFUNCTION("""COMPUTED_VALUE"""),271.82)</f>
        <v>271.82</v>
      </c>
      <c r="F1458" s="1">
        <f ca="1">IFERROR(__xludf.DUMMYFUNCTION("""COMPUTED_VALUE"""),15601154)</f>
        <v>15601154</v>
      </c>
    </row>
    <row r="1459" spans="1:6" x14ac:dyDescent="0.35">
      <c r="A1459" s="2">
        <f ca="1">IFERROR(__xludf.DUMMYFUNCTION("""COMPUTED_VALUE"""),44119.6666666666)</f>
        <v>44119.666666666599</v>
      </c>
      <c r="B1459" s="1">
        <f ca="1">IFERROR(__xludf.DUMMYFUNCTION("""COMPUTED_VALUE"""),267.6)</f>
        <v>267.60000000000002</v>
      </c>
      <c r="C1459" s="1">
        <f ca="1">IFERROR(__xludf.DUMMYFUNCTION("""COMPUTED_VALUE"""),269.04)</f>
        <v>269.04000000000002</v>
      </c>
      <c r="D1459" s="1">
        <f ca="1">IFERROR(__xludf.DUMMYFUNCTION("""COMPUTED_VALUE"""),263.67)</f>
        <v>263.67</v>
      </c>
      <c r="E1459" s="1">
        <f ca="1">IFERROR(__xludf.DUMMYFUNCTION("""COMPUTED_VALUE"""),266.72)</f>
        <v>266.72000000000003</v>
      </c>
      <c r="F1459" s="1">
        <f ca="1">IFERROR(__xludf.DUMMYFUNCTION("""COMPUTED_VALUE"""),15416064)</f>
        <v>15416064</v>
      </c>
    </row>
    <row r="1460" spans="1:6" x14ac:dyDescent="0.35">
      <c r="A1460" s="2">
        <f ca="1">IFERROR(__xludf.DUMMYFUNCTION("""COMPUTED_VALUE"""),44120.6666666666)</f>
        <v>44120.666666666599</v>
      </c>
      <c r="B1460" s="1">
        <f ca="1">IFERROR(__xludf.DUMMYFUNCTION("""COMPUTED_VALUE"""),267.38)</f>
        <v>267.38</v>
      </c>
      <c r="C1460" s="1">
        <f ca="1">IFERROR(__xludf.DUMMYFUNCTION("""COMPUTED_VALUE"""),271.37)</f>
        <v>271.37</v>
      </c>
      <c r="D1460" s="1">
        <f ca="1">IFERROR(__xludf.DUMMYFUNCTION("""COMPUTED_VALUE"""),265.3)</f>
        <v>265.3</v>
      </c>
      <c r="E1460" s="1">
        <f ca="1">IFERROR(__xludf.DUMMYFUNCTION("""COMPUTED_VALUE"""),265.93)</f>
        <v>265.93</v>
      </c>
      <c r="F1460" s="1">
        <f ca="1">IFERROR(__xludf.DUMMYFUNCTION("""COMPUTED_VALUE"""),16622702)</f>
        <v>16622702</v>
      </c>
    </row>
    <row r="1461" spans="1:6" x14ac:dyDescent="0.35">
      <c r="A1461" s="2">
        <f ca="1">IFERROR(__xludf.DUMMYFUNCTION("""COMPUTED_VALUE"""),44123.6666666666)</f>
        <v>44123.666666666599</v>
      </c>
      <c r="B1461" s="1">
        <f ca="1">IFERROR(__xludf.DUMMYFUNCTION("""COMPUTED_VALUE"""),265.53)</f>
        <v>265.52999999999997</v>
      </c>
      <c r="C1461" s="1">
        <f ca="1">IFERROR(__xludf.DUMMYFUNCTION("""COMPUTED_VALUE"""),268.55)</f>
        <v>268.55</v>
      </c>
      <c r="D1461" s="1">
        <f ca="1">IFERROR(__xludf.DUMMYFUNCTION("""COMPUTED_VALUE"""),259.88)</f>
        <v>259.88</v>
      </c>
      <c r="E1461" s="1">
        <f ca="1">IFERROR(__xludf.DUMMYFUNCTION("""COMPUTED_VALUE"""),261.4)</f>
        <v>261.39999999999998</v>
      </c>
      <c r="F1461" s="1">
        <f ca="1">IFERROR(__xludf.DUMMYFUNCTION("""COMPUTED_VALUE"""),13586955)</f>
        <v>13586955</v>
      </c>
    </row>
    <row r="1462" spans="1:6" x14ac:dyDescent="0.35">
      <c r="A1462" s="2">
        <f ca="1">IFERROR(__xludf.DUMMYFUNCTION("""COMPUTED_VALUE"""),44124.6666666666)</f>
        <v>44124.666666666599</v>
      </c>
      <c r="B1462" s="1">
        <f ca="1">IFERROR(__xludf.DUMMYFUNCTION("""COMPUTED_VALUE"""),263.06)</f>
        <v>263.06</v>
      </c>
      <c r="C1462" s="1">
        <f ca="1">IFERROR(__xludf.DUMMYFUNCTION("""COMPUTED_VALUE"""),269.7)</f>
        <v>269.7</v>
      </c>
      <c r="D1462" s="1">
        <f ca="1">IFERROR(__xludf.DUMMYFUNCTION("""COMPUTED_VALUE"""),262.88)</f>
        <v>262.88</v>
      </c>
      <c r="E1462" s="1">
        <f ca="1">IFERROR(__xludf.DUMMYFUNCTION("""COMPUTED_VALUE"""),267.56)</f>
        <v>267.56</v>
      </c>
      <c r="F1462" s="1">
        <f ca="1">IFERROR(__xludf.DUMMYFUNCTION("""COMPUTED_VALUE"""),18763246)</f>
        <v>18763246</v>
      </c>
    </row>
    <row r="1463" spans="1:6" x14ac:dyDescent="0.35">
      <c r="A1463" s="2">
        <f ca="1">IFERROR(__xludf.DUMMYFUNCTION("""COMPUTED_VALUE"""),44125.6666666666)</f>
        <v>44125.666666666599</v>
      </c>
      <c r="B1463" s="1">
        <f ca="1">IFERROR(__xludf.DUMMYFUNCTION("""COMPUTED_VALUE"""),279.56)</f>
        <v>279.56</v>
      </c>
      <c r="C1463" s="1">
        <f ca="1">IFERROR(__xludf.DUMMYFUNCTION("""COMPUTED_VALUE"""),283.05)</f>
        <v>283.05</v>
      </c>
      <c r="D1463" s="1">
        <f ca="1">IFERROR(__xludf.DUMMYFUNCTION("""COMPUTED_VALUE"""),276.37)</f>
        <v>276.37</v>
      </c>
      <c r="E1463" s="1">
        <f ca="1">IFERROR(__xludf.DUMMYFUNCTION("""COMPUTED_VALUE"""),278.73)</f>
        <v>278.73</v>
      </c>
      <c r="F1463" s="1">
        <f ca="1">IFERROR(__xludf.DUMMYFUNCTION("""COMPUTED_VALUE"""),28998638)</f>
        <v>28998638</v>
      </c>
    </row>
    <row r="1464" spans="1:6" x14ac:dyDescent="0.35">
      <c r="A1464" s="2">
        <f ca="1">IFERROR(__xludf.DUMMYFUNCTION("""COMPUTED_VALUE"""),44126.6666666666)</f>
        <v>44126.666666666599</v>
      </c>
      <c r="B1464" s="1">
        <f ca="1">IFERROR(__xludf.DUMMYFUNCTION("""COMPUTED_VALUE"""),279.87)</f>
        <v>279.87</v>
      </c>
      <c r="C1464" s="1">
        <f ca="1">IFERROR(__xludf.DUMMYFUNCTION("""COMPUTED_VALUE"""),282.45)</f>
        <v>282.45</v>
      </c>
      <c r="D1464" s="1">
        <f ca="1">IFERROR(__xludf.DUMMYFUNCTION("""COMPUTED_VALUE"""),275.04)</f>
        <v>275.04000000000002</v>
      </c>
      <c r="E1464" s="1">
        <f ca="1">IFERROR(__xludf.DUMMYFUNCTION("""COMPUTED_VALUE"""),278.12)</f>
        <v>278.12</v>
      </c>
      <c r="F1464" s="1">
        <f ca="1">IFERROR(__xludf.DUMMYFUNCTION("""COMPUTED_VALUE"""),16720026)</f>
        <v>16720026</v>
      </c>
    </row>
    <row r="1465" spans="1:6" x14ac:dyDescent="0.35">
      <c r="A1465" s="2">
        <f ca="1">IFERROR(__xludf.DUMMYFUNCTION("""COMPUTED_VALUE"""),44127.6666666666)</f>
        <v>44127.666666666599</v>
      </c>
      <c r="B1465" s="1">
        <f ca="1">IFERROR(__xludf.DUMMYFUNCTION("""COMPUTED_VALUE"""),278.8)</f>
        <v>278.8</v>
      </c>
      <c r="C1465" s="1">
        <f ca="1">IFERROR(__xludf.DUMMYFUNCTION("""COMPUTED_VALUE"""),285.24)</f>
        <v>285.24</v>
      </c>
      <c r="D1465" s="1">
        <f ca="1">IFERROR(__xludf.DUMMYFUNCTION("""COMPUTED_VALUE"""),276.82)</f>
        <v>276.82</v>
      </c>
      <c r="E1465" s="1">
        <f ca="1">IFERROR(__xludf.DUMMYFUNCTION("""COMPUTED_VALUE"""),284.79)</f>
        <v>284.79000000000002</v>
      </c>
      <c r="F1465" s="1">
        <f ca="1">IFERROR(__xludf.DUMMYFUNCTION("""COMPUTED_VALUE"""),17535155)</f>
        <v>17535155</v>
      </c>
    </row>
    <row r="1466" spans="1:6" x14ac:dyDescent="0.35">
      <c r="A1466" s="2">
        <f ca="1">IFERROR(__xludf.DUMMYFUNCTION("""COMPUTED_VALUE"""),44130.6666666666)</f>
        <v>44130.666666666599</v>
      </c>
      <c r="B1466" s="1">
        <f ca="1">IFERROR(__xludf.DUMMYFUNCTION("""COMPUTED_VALUE"""),283.16)</f>
        <v>283.16000000000003</v>
      </c>
      <c r="C1466" s="1">
        <f ca="1">IFERROR(__xludf.DUMMYFUNCTION("""COMPUTED_VALUE"""),285.23)</f>
        <v>285.23</v>
      </c>
      <c r="D1466" s="1">
        <f ca="1">IFERROR(__xludf.DUMMYFUNCTION("""COMPUTED_VALUE"""),274.26)</f>
        <v>274.26</v>
      </c>
      <c r="E1466" s="1">
        <f ca="1">IFERROR(__xludf.DUMMYFUNCTION("""COMPUTED_VALUE"""),277.11)</f>
        <v>277.11</v>
      </c>
      <c r="F1466" s="1">
        <f ca="1">IFERROR(__xludf.DUMMYFUNCTION("""COMPUTED_VALUE"""),21322925)</f>
        <v>21322925</v>
      </c>
    </row>
    <row r="1467" spans="1:6" x14ac:dyDescent="0.35">
      <c r="A1467" s="2">
        <f ca="1">IFERROR(__xludf.DUMMYFUNCTION("""COMPUTED_VALUE"""),44131.6666666666)</f>
        <v>44131.666666666599</v>
      </c>
      <c r="B1467" s="1">
        <f ca="1">IFERROR(__xludf.DUMMYFUNCTION("""COMPUTED_VALUE"""),278.76)</f>
        <v>278.76</v>
      </c>
      <c r="C1467" s="1">
        <f ca="1">IFERROR(__xludf.DUMMYFUNCTION("""COMPUTED_VALUE"""),284.51)</f>
        <v>284.51</v>
      </c>
      <c r="D1467" s="1">
        <f ca="1">IFERROR(__xludf.DUMMYFUNCTION("""COMPUTED_VALUE"""),276.31)</f>
        <v>276.31</v>
      </c>
      <c r="E1467" s="1">
        <f ca="1">IFERROR(__xludf.DUMMYFUNCTION("""COMPUTED_VALUE"""),283.29)</f>
        <v>283.29000000000002</v>
      </c>
      <c r="F1467" s="1">
        <f ca="1">IFERROR(__xludf.DUMMYFUNCTION("""COMPUTED_VALUE"""),16287249)</f>
        <v>16287249</v>
      </c>
    </row>
    <row r="1468" spans="1:6" x14ac:dyDescent="0.35">
      <c r="A1468" s="2">
        <f ca="1">IFERROR(__xludf.DUMMYFUNCTION("""COMPUTED_VALUE"""),44132.6666666666)</f>
        <v>44132.666666666599</v>
      </c>
      <c r="B1468" s="1">
        <f ca="1">IFERROR(__xludf.DUMMYFUNCTION("""COMPUTED_VALUE"""),278.79)</f>
        <v>278.79000000000002</v>
      </c>
      <c r="C1468" s="1">
        <f ca="1">IFERROR(__xludf.DUMMYFUNCTION("""COMPUTED_VALUE"""),278.79)</f>
        <v>278.79000000000002</v>
      </c>
      <c r="D1468" s="1">
        <f ca="1">IFERROR(__xludf.DUMMYFUNCTION("""COMPUTED_VALUE"""),267.26)</f>
        <v>267.26</v>
      </c>
      <c r="E1468" s="1">
        <f ca="1">IFERROR(__xludf.DUMMYFUNCTION("""COMPUTED_VALUE"""),267.67)</f>
        <v>267.67</v>
      </c>
      <c r="F1468" s="1">
        <f ca="1">IFERROR(__xludf.DUMMYFUNCTION("""COMPUTED_VALUE"""),23121808)</f>
        <v>23121808</v>
      </c>
    </row>
    <row r="1469" spans="1:6" x14ac:dyDescent="0.35">
      <c r="A1469" s="2">
        <f ca="1">IFERROR(__xludf.DUMMYFUNCTION("""COMPUTED_VALUE"""),44133.6666666666)</f>
        <v>44133.666666666599</v>
      </c>
      <c r="B1469" s="1">
        <f ca="1">IFERROR(__xludf.DUMMYFUNCTION("""COMPUTED_VALUE"""),276.55)</f>
        <v>276.55</v>
      </c>
      <c r="C1469" s="1">
        <f ca="1">IFERROR(__xludf.DUMMYFUNCTION("""COMPUTED_VALUE"""),283.6)</f>
        <v>283.60000000000002</v>
      </c>
      <c r="D1469" s="1">
        <f ca="1">IFERROR(__xludf.DUMMYFUNCTION("""COMPUTED_VALUE"""),273.78)</f>
        <v>273.77999999999997</v>
      </c>
      <c r="E1469" s="1">
        <f ca="1">IFERROR(__xludf.DUMMYFUNCTION("""COMPUTED_VALUE"""),280.83)</f>
        <v>280.83</v>
      </c>
      <c r="F1469" s="1">
        <f ca="1">IFERROR(__xludf.DUMMYFUNCTION("""COMPUTED_VALUE"""),32368118)</f>
        <v>32368118</v>
      </c>
    </row>
    <row r="1470" spans="1:6" x14ac:dyDescent="0.35">
      <c r="A1470" s="2">
        <f ca="1">IFERROR(__xludf.DUMMYFUNCTION("""COMPUTED_VALUE"""),44134.6666666666)</f>
        <v>44134.666666666599</v>
      </c>
      <c r="B1470" s="1">
        <f ca="1">IFERROR(__xludf.DUMMYFUNCTION("""COMPUTED_VALUE"""),274.5)</f>
        <v>274.5</v>
      </c>
      <c r="C1470" s="1">
        <f ca="1">IFERROR(__xludf.DUMMYFUNCTION("""COMPUTED_VALUE"""),276.7)</f>
        <v>276.7</v>
      </c>
      <c r="D1470" s="1">
        <f ca="1">IFERROR(__xludf.DUMMYFUNCTION("""COMPUTED_VALUE"""),259.1)</f>
        <v>259.10000000000002</v>
      </c>
      <c r="E1470" s="1">
        <f ca="1">IFERROR(__xludf.DUMMYFUNCTION("""COMPUTED_VALUE"""),263.11)</f>
        <v>263.11</v>
      </c>
      <c r="F1470" s="1">
        <f ca="1">IFERROR(__xludf.DUMMYFUNCTION("""COMPUTED_VALUE"""),47299002)</f>
        <v>47299002</v>
      </c>
    </row>
    <row r="1471" spans="1:6" x14ac:dyDescent="0.35">
      <c r="A1471" s="2">
        <f ca="1">IFERROR(__xludf.DUMMYFUNCTION("""COMPUTED_VALUE"""),44137.6666666666)</f>
        <v>44137.666666666599</v>
      </c>
      <c r="B1471" s="1">
        <f ca="1">IFERROR(__xludf.DUMMYFUNCTION("""COMPUTED_VALUE"""),264.6)</f>
        <v>264.60000000000002</v>
      </c>
      <c r="C1471" s="1">
        <f ca="1">IFERROR(__xludf.DUMMYFUNCTION("""COMPUTED_VALUE"""),270.47)</f>
        <v>270.47000000000003</v>
      </c>
      <c r="D1471" s="1">
        <f ca="1">IFERROR(__xludf.DUMMYFUNCTION("""COMPUTED_VALUE"""),257.34)</f>
        <v>257.33999999999997</v>
      </c>
      <c r="E1471" s="1">
        <f ca="1">IFERROR(__xludf.DUMMYFUNCTION("""COMPUTED_VALUE"""),261.36)</f>
        <v>261.36</v>
      </c>
      <c r="F1471" s="1">
        <f ca="1">IFERROR(__xludf.DUMMYFUNCTION("""COMPUTED_VALUE"""),27165679)</f>
        <v>27165679</v>
      </c>
    </row>
    <row r="1472" spans="1:6" x14ac:dyDescent="0.35">
      <c r="A1472" s="2">
        <f ca="1">IFERROR(__xludf.DUMMYFUNCTION("""COMPUTED_VALUE"""),44138.6666666666)</f>
        <v>44138.666666666599</v>
      </c>
      <c r="B1472" s="1">
        <f ca="1">IFERROR(__xludf.DUMMYFUNCTION("""COMPUTED_VALUE"""),263.16)</f>
        <v>263.16000000000003</v>
      </c>
      <c r="C1472" s="1">
        <f ca="1">IFERROR(__xludf.DUMMYFUNCTION("""COMPUTED_VALUE"""),270.05)</f>
        <v>270.05</v>
      </c>
      <c r="D1472" s="1">
        <f ca="1">IFERROR(__xludf.DUMMYFUNCTION("""COMPUTED_VALUE"""),260.88)</f>
        <v>260.88</v>
      </c>
      <c r="E1472" s="1">
        <f ca="1">IFERROR(__xludf.DUMMYFUNCTION("""COMPUTED_VALUE"""),265.3)</f>
        <v>265.3</v>
      </c>
      <c r="F1472" s="1">
        <f ca="1">IFERROR(__xludf.DUMMYFUNCTION("""COMPUTED_VALUE"""),17961859)</f>
        <v>17961859</v>
      </c>
    </row>
    <row r="1473" spans="1:6" x14ac:dyDescent="0.35">
      <c r="A1473" s="2">
        <f ca="1">IFERROR(__xludf.DUMMYFUNCTION("""COMPUTED_VALUE"""),44139.6666666666)</f>
        <v>44139.666666666599</v>
      </c>
      <c r="B1473" s="1">
        <f ca="1">IFERROR(__xludf.DUMMYFUNCTION("""COMPUTED_VALUE"""),281)</f>
        <v>281</v>
      </c>
      <c r="C1473" s="1">
        <f ca="1">IFERROR(__xludf.DUMMYFUNCTION("""COMPUTED_VALUE"""),288.94)</f>
        <v>288.94</v>
      </c>
      <c r="D1473" s="1">
        <f ca="1">IFERROR(__xludf.DUMMYFUNCTION("""COMPUTED_VALUE"""),278.62)</f>
        <v>278.62</v>
      </c>
      <c r="E1473" s="1">
        <f ca="1">IFERROR(__xludf.DUMMYFUNCTION("""COMPUTED_VALUE"""),287.38)</f>
        <v>287.38</v>
      </c>
      <c r="F1473" s="1">
        <f ca="1">IFERROR(__xludf.DUMMYFUNCTION("""COMPUTED_VALUE"""),35364424)</f>
        <v>35364424</v>
      </c>
    </row>
    <row r="1474" spans="1:6" x14ac:dyDescent="0.35">
      <c r="A1474" s="2">
        <f ca="1">IFERROR(__xludf.DUMMYFUNCTION("""COMPUTED_VALUE"""),44140.6666666666)</f>
        <v>44140.666666666599</v>
      </c>
      <c r="B1474" s="1">
        <f ca="1">IFERROR(__xludf.DUMMYFUNCTION("""COMPUTED_VALUE"""),291.9)</f>
        <v>291.89999999999998</v>
      </c>
      <c r="C1474" s="1">
        <f ca="1">IFERROR(__xludf.DUMMYFUNCTION("""COMPUTED_VALUE"""),297.38)</f>
        <v>297.38</v>
      </c>
      <c r="D1474" s="1">
        <f ca="1">IFERROR(__xludf.DUMMYFUNCTION("""COMPUTED_VALUE"""),288.95)</f>
        <v>288.95</v>
      </c>
      <c r="E1474" s="1">
        <f ca="1">IFERROR(__xludf.DUMMYFUNCTION("""COMPUTED_VALUE"""),294.68)</f>
        <v>294.68</v>
      </c>
      <c r="F1474" s="1">
        <f ca="1">IFERROR(__xludf.DUMMYFUNCTION("""COMPUTED_VALUE"""),23823633)</f>
        <v>23823633</v>
      </c>
    </row>
    <row r="1475" spans="1:6" x14ac:dyDescent="0.35">
      <c r="A1475" s="2">
        <f ca="1">IFERROR(__xludf.DUMMYFUNCTION("""COMPUTED_VALUE"""),44141.6666666666)</f>
        <v>44141.666666666599</v>
      </c>
      <c r="B1475" s="1">
        <f ca="1">IFERROR(__xludf.DUMMYFUNCTION("""COMPUTED_VALUE"""),293.95)</f>
        <v>293.95</v>
      </c>
      <c r="C1475" s="1">
        <f ca="1">IFERROR(__xludf.DUMMYFUNCTION("""COMPUTED_VALUE"""),294.6)</f>
        <v>294.60000000000002</v>
      </c>
      <c r="D1475" s="1">
        <f ca="1">IFERROR(__xludf.DUMMYFUNCTION("""COMPUTED_VALUE"""),288.06)</f>
        <v>288.06</v>
      </c>
      <c r="E1475" s="1">
        <f ca="1">IFERROR(__xludf.DUMMYFUNCTION("""COMPUTED_VALUE"""),293.41)</f>
        <v>293.41000000000003</v>
      </c>
      <c r="F1475" s="1">
        <f ca="1">IFERROR(__xludf.DUMMYFUNCTION("""COMPUTED_VALUE"""),13890974)</f>
        <v>13890974</v>
      </c>
    </row>
    <row r="1476" spans="1:6" x14ac:dyDescent="0.35">
      <c r="A1476" s="2">
        <f ca="1">IFERROR(__xludf.DUMMYFUNCTION("""COMPUTED_VALUE"""),44144.6666666666)</f>
        <v>44144.666666666599</v>
      </c>
      <c r="B1476" s="1">
        <f ca="1">IFERROR(__xludf.DUMMYFUNCTION("""COMPUTED_VALUE"""),289.87)</f>
        <v>289.87</v>
      </c>
      <c r="C1476" s="1">
        <f ca="1">IFERROR(__xludf.DUMMYFUNCTION("""COMPUTED_VALUE"""),292.58)</f>
        <v>292.58</v>
      </c>
      <c r="D1476" s="1">
        <f ca="1">IFERROR(__xludf.DUMMYFUNCTION("""COMPUTED_VALUE"""),278.53)</f>
        <v>278.52999999999997</v>
      </c>
      <c r="E1476" s="1">
        <f ca="1">IFERROR(__xludf.DUMMYFUNCTION("""COMPUTED_VALUE"""),278.77)</f>
        <v>278.77</v>
      </c>
      <c r="F1476" s="1">
        <f ca="1">IFERROR(__xludf.DUMMYFUNCTION("""COMPUTED_VALUE"""),25117650)</f>
        <v>25117650</v>
      </c>
    </row>
    <row r="1477" spans="1:6" x14ac:dyDescent="0.35">
      <c r="A1477" s="2">
        <f ca="1">IFERROR(__xludf.DUMMYFUNCTION("""COMPUTED_VALUE"""),44145.6666666666)</f>
        <v>44145.666666666599</v>
      </c>
      <c r="B1477" s="1">
        <f ca="1">IFERROR(__xludf.DUMMYFUNCTION("""COMPUTED_VALUE"""),273.1)</f>
        <v>273.10000000000002</v>
      </c>
      <c r="C1477" s="1">
        <f ca="1">IFERROR(__xludf.DUMMYFUNCTION("""COMPUTED_VALUE"""),274)</f>
        <v>274</v>
      </c>
      <c r="D1477" s="1">
        <f ca="1">IFERROR(__xludf.DUMMYFUNCTION("""COMPUTED_VALUE"""),264)</f>
        <v>264</v>
      </c>
      <c r="E1477" s="1">
        <f ca="1">IFERROR(__xludf.DUMMYFUNCTION("""COMPUTED_VALUE"""),272.43)</f>
        <v>272.43</v>
      </c>
      <c r="F1477" s="1">
        <f ca="1">IFERROR(__xludf.DUMMYFUNCTION("""COMPUTED_VALUE"""),29067691)</f>
        <v>29067691</v>
      </c>
    </row>
    <row r="1478" spans="1:6" x14ac:dyDescent="0.35">
      <c r="A1478" s="2">
        <f ca="1">IFERROR(__xludf.DUMMYFUNCTION("""COMPUTED_VALUE"""),44146.6666666666)</f>
        <v>44146.666666666599</v>
      </c>
      <c r="B1478" s="1">
        <f ca="1">IFERROR(__xludf.DUMMYFUNCTION("""COMPUTED_VALUE"""),273.47)</f>
        <v>273.47000000000003</v>
      </c>
      <c r="C1478" s="1">
        <f ca="1">IFERROR(__xludf.DUMMYFUNCTION("""COMPUTED_VALUE"""),278.4)</f>
        <v>278.39999999999998</v>
      </c>
      <c r="D1478" s="1">
        <f ca="1">IFERROR(__xludf.DUMMYFUNCTION("""COMPUTED_VALUE"""),272.48)</f>
        <v>272.48</v>
      </c>
      <c r="E1478" s="1">
        <f ca="1">IFERROR(__xludf.DUMMYFUNCTION("""COMPUTED_VALUE"""),276.48)</f>
        <v>276.48</v>
      </c>
      <c r="F1478" s="1">
        <f ca="1">IFERROR(__xludf.DUMMYFUNCTION("""COMPUTED_VALUE"""),14956950)</f>
        <v>14956950</v>
      </c>
    </row>
    <row r="1479" spans="1:6" x14ac:dyDescent="0.35">
      <c r="A1479" s="2">
        <f ca="1">IFERROR(__xludf.DUMMYFUNCTION("""COMPUTED_VALUE"""),44147.6666666666)</f>
        <v>44147.666666666599</v>
      </c>
      <c r="B1479" s="1">
        <f ca="1">IFERROR(__xludf.DUMMYFUNCTION("""COMPUTED_VALUE"""),277.18)</f>
        <v>277.18</v>
      </c>
      <c r="C1479" s="1">
        <f ca="1">IFERROR(__xludf.DUMMYFUNCTION("""COMPUTED_VALUE"""),279.75)</f>
        <v>279.75</v>
      </c>
      <c r="D1479" s="1">
        <f ca="1">IFERROR(__xludf.DUMMYFUNCTION("""COMPUTED_VALUE"""),274.43)</f>
        <v>274.43</v>
      </c>
      <c r="E1479" s="1">
        <f ca="1">IFERROR(__xludf.DUMMYFUNCTION("""COMPUTED_VALUE"""),275.08)</f>
        <v>275.08</v>
      </c>
      <c r="F1479" s="1">
        <f ca="1">IFERROR(__xludf.DUMMYFUNCTION("""COMPUTED_VALUE"""),12914206)</f>
        <v>12914206</v>
      </c>
    </row>
    <row r="1480" spans="1:6" x14ac:dyDescent="0.35">
      <c r="A1480" s="2">
        <f ca="1">IFERROR(__xludf.DUMMYFUNCTION("""COMPUTED_VALUE"""),44148.6666666666)</f>
        <v>44148.666666666599</v>
      </c>
      <c r="B1480" s="1">
        <f ca="1">IFERROR(__xludf.DUMMYFUNCTION("""COMPUTED_VALUE"""),277.72)</f>
        <v>277.72000000000003</v>
      </c>
      <c r="C1480" s="1">
        <f ca="1">IFERROR(__xludf.DUMMYFUNCTION("""COMPUTED_VALUE"""),277.76)</f>
        <v>277.76</v>
      </c>
      <c r="D1480" s="1">
        <f ca="1">IFERROR(__xludf.DUMMYFUNCTION("""COMPUTED_VALUE"""),273.1)</f>
        <v>273.10000000000002</v>
      </c>
      <c r="E1480" s="1">
        <f ca="1">IFERROR(__xludf.DUMMYFUNCTION("""COMPUTED_VALUE"""),276.95)</f>
        <v>276.95</v>
      </c>
      <c r="F1480" s="1">
        <f ca="1">IFERROR(__xludf.DUMMYFUNCTION("""COMPUTED_VALUE"""),10400101)</f>
        <v>10400101</v>
      </c>
    </row>
    <row r="1481" spans="1:6" x14ac:dyDescent="0.35">
      <c r="A1481" s="2">
        <f ca="1">IFERROR(__xludf.DUMMYFUNCTION("""COMPUTED_VALUE"""),44151.6666666666)</f>
        <v>44151.666666666599</v>
      </c>
      <c r="B1481" s="1">
        <f ca="1">IFERROR(__xludf.DUMMYFUNCTION("""COMPUTED_VALUE"""),275.05)</f>
        <v>275.05</v>
      </c>
      <c r="C1481" s="1">
        <f ca="1">IFERROR(__xludf.DUMMYFUNCTION("""COMPUTED_VALUE"""),279.41)</f>
        <v>279.41000000000003</v>
      </c>
      <c r="D1481" s="1">
        <f ca="1">IFERROR(__xludf.DUMMYFUNCTION("""COMPUTED_VALUE"""),274.63)</f>
        <v>274.63</v>
      </c>
      <c r="E1481" s="1">
        <f ca="1">IFERROR(__xludf.DUMMYFUNCTION("""COMPUTED_VALUE"""),278.96)</f>
        <v>278.95999999999998</v>
      </c>
      <c r="F1481" s="1">
        <f ca="1">IFERROR(__xludf.DUMMYFUNCTION("""COMPUTED_VALUE"""),12970352)</f>
        <v>12970352</v>
      </c>
    </row>
    <row r="1482" spans="1:6" x14ac:dyDescent="0.35">
      <c r="A1482" s="2">
        <f ca="1">IFERROR(__xludf.DUMMYFUNCTION("""COMPUTED_VALUE"""),44152.6666666666)</f>
        <v>44152.666666666599</v>
      </c>
      <c r="B1482" s="1">
        <f ca="1">IFERROR(__xludf.DUMMYFUNCTION("""COMPUTED_VALUE"""),277.68)</f>
        <v>277.68</v>
      </c>
      <c r="C1482" s="1">
        <f ca="1">IFERROR(__xludf.DUMMYFUNCTION("""COMPUTED_VALUE"""),277.68)</f>
        <v>277.68</v>
      </c>
      <c r="D1482" s="1">
        <f ca="1">IFERROR(__xludf.DUMMYFUNCTION("""COMPUTED_VALUE"""),273.29)</f>
        <v>273.29000000000002</v>
      </c>
      <c r="E1482" s="1">
        <f ca="1">IFERROR(__xludf.DUMMYFUNCTION("""COMPUTED_VALUE"""),275)</f>
        <v>275</v>
      </c>
      <c r="F1482" s="1">
        <f ca="1">IFERROR(__xludf.DUMMYFUNCTION("""COMPUTED_VALUE"""),15040297)</f>
        <v>15040297</v>
      </c>
    </row>
    <row r="1483" spans="1:6" x14ac:dyDescent="0.35">
      <c r="A1483" s="2">
        <f ca="1">IFERROR(__xludf.DUMMYFUNCTION("""COMPUTED_VALUE"""),44153.6666666666)</f>
        <v>44153.666666666599</v>
      </c>
      <c r="B1483" s="1">
        <f ca="1">IFERROR(__xludf.DUMMYFUNCTION("""COMPUTED_VALUE"""),274.52)</f>
        <v>274.52</v>
      </c>
      <c r="C1483" s="1">
        <f ca="1">IFERROR(__xludf.DUMMYFUNCTION("""COMPUTED_VALUE"""),277.39)</f>
        <v>277.39</v>
      </c>
      <c r="D1483" s="1">
        <f ca="1">IFERROR(__xludf.DUMMYFUNCTION("""COMPUTED_VALUE"""),271.84)</f>
        <v>271.83999999999997</v>
      </c>
      <c r="E1483" s="1">
        <f ca="1">IFERROR(__xludf.DUMMYFUNCTION("""COMPUTED_VALUE"""),271.97)</f>
        <v>271.97000000000003</v>
      </c>
      <c r="F1483" s="1">
        <f ca="1">IFERROR(__xludf.DUMMYFUNCTION("""COMPUTED_VALUE"""),12152945)</f>
        <v>12152945</v>
      </c>
    </row>
    <row r="1484" spans="1:6" x14ac:dyDescent="0.35">
      <c r="A1484" s="2">
        <f ca="1">IFERROR(__xludf.DUMMYFUNCTION("""COMPUTED_VALUE"""),44154.6666666666)</f>
        <v>44154.666666666599</v>
      </c>
      <c r="B1484" s="1">
        <f ca="1">IFERROR(__xludf.DUMMYFUNCTION("""COMPUTED_VALUE"""),271.02)</f>
        <v>271.02</v>
      </c>
      <c r="C1484" s="1">
        <f ca="1">IFERROR(__xludf.DUMMYFUNCTION("""COMPUTED_VALUE"""),273.47)</f>
        <v>273.47000000000003</v>
      </c>
      <c r="D1484" s="1">
        <f ca="1">IFERROR(__xludf.DUMMYFUNCTION("""COMPUTED_VALUE"""),269.19)</f>
        <v>269.19</v>
      </c>
      <c r="E1484" s="1">
        <f ca="1">IFERROR(__xludf.DUMMYFUNCTION("""COMPUTED_VALUE"""),272.94)</f>
        <v>272.94</v>
      </c>
      <c r="F1484" s="1">
        <f ca="1">IFERROR(__xludf.DUMMYFUNCTION("""COMPUTED_VALUE"""),12963658)</f>
        <v>12963658</v>
      </c>
    </row>
    <row r="1485" spans="1:6" x14ac:dyDescent="0.35">
      <c r="A1485" s="2">
        <f ca="1">IFERROR(__xludf.DUMMYFUNCTION("""COMPUTED_VALUE"""),44155.6666666666)</f>
        <v>44155.666666666599</v>
      </c>
      <c r="B1485" s="1">
        <f ca="1">IFERROR(__xludf.DUMMYFUNCTION("""COMPUTED_VALUE"""),272.56)</f>
        <v>272.56</v>
      </c>
      <c r="C1485" s="1">
        <f ca="1">IFERROR(__xludf.DUMMYFUNCTION("""COMPUTED_VALUE"""),273)</f>
        <v>273</v>
      </c>
      <c r="D1485" s="1">
        <f ca="1">IFERROR(__xludf.DUMMYFUNCTION("""COMPUTED_VALUE"""),269.41)</f>
        <v>269.41000000000003</v>
      </c>
      <c r="E1485" s="1">
        <f ca="1">IFERROR(__xludf.DUMMYFUNCTION("""COMPUTED_VALUE"""),269.7)</f>
        <v>269.7</v>
      </c>
      <c r="F1485" s="1">
        <f ca="1">IFERROR(__xludf.DUMMYFUNCTION("""COMPUTED_VALUE"""),18122412)</f>
        <v>18122412</v>
      </c>
    </row>
    <row r="1486" spans="1:6" x14ac:dyDescent="0.35">
      <c r="A1486" s="2">
        <f ca="1">IFERROR(__xludf.DUMMYFUNCTION("""COMPUTED_VALUE"""),44158.6666666666)</f>
        <v>44158.666666666599</v>
      </c>
      <c r="B1486" s="1">
        <f ca="1">IFERROR(__xludf.DUMMYFUNCTION("""COMPUTED_VALUE"""),270.89)</f>
        <v>270.89</v>
      </c>
      <c r="C1486" s="1">
        <f ca="1">IFERROR(__xludf.DUMMYFUNCTION("""COMPUTED_VALUE"""),270.95)</f>
        <v>270.95</v>
      </c>
      <c r="D1486" s="1">
        <f ca="1">IFERROR(__xludf.DUMMYFUNCTION("""COMPUTED_VALUE"""),264.53)</f>
        <v>264.52999999999997</v>
      </c>
      <c r="E1486" s="1">
        <f ca="1">IFERROR(__xludf.DUMMYFUNCTION("""COMPUTED_VALUE"""),268.43)</f>
        <v>268.43</v>
      </c>
      <c r="F1486" s="1">
        <f ca="1">IFERROR(__xludf.DUMMYFUNCTION("""COMPUTED_VALUE"""),20990786)</f>
        <v>20990786</v>
      </c>
    </row>
    <row r="1487" spans="1:6" x14ac:dyDescent="0.35">
      <c r="A1487" s="2">
        <f ca="1">IFERROR(__xludf.DUMMYFUNCTION("""COMPUTED_VALUE"""),44159.6666666666)</f>
        <v>44159.666666666599</v>
      </c>
      <c r="B1487" s="1">
        <f ca="1">IFERROR(__xludf.DUMMYFUNCTION("""COMPUTED_VALUE"""),268.49)</f>
        <v>268.49</v>
      </c>
      <c r="C1487" s="1">
        <f ca="1">IFERROR(__xludf.DUMMYFUNCTION("""COMPUTED_VALUE"""),277.82)</f>
        <v>277.82</v>
      </c>
      <c r="D1487" s="1">
        <f ca="1">IFERROR(__xludf.DUMMYFUNCTION("""COMPUTED_VALUE"""),267.87)</f>
        <v>267.87</v>
      </c>
      <c r="E1487" s="1">
        <f ca="1">IFERROR(__xludf.DUMMYFUNCTION("""COMPUTED_VALUE"""),276.92)</f>
        <v>276.92</v>
      </c>
      <c r="F1487" s="1">
        <f ca="1">IFERROR(__xludf.DUMMYFUNCTION("""COMPUTED_VALUE"""),16930424)</f>
        <v>16930424</v>
      </c>
    </row>
    <row r="1488" spans="1:6" x14ac:dyDescent="0.35">
      <c r="A1488" s="2">
        <f ca="1">IFERROR(__xludf.DUMMYFUNCTION("""COMPUTED_VALUE"""),44160.6666666666)</f>
        <v>44160.666666666599</v>
      </c>
      <c r="B1488" s="1">
        <f ca="1">IFERROR(__xludf.DUMMYFUNCTION("""COMPUTED_VALUE"""),278.14)</f>
        <v>278.14</v>
      </c>
      <c r="C1488" s="1">
        <f ca="1">IFERROR(__xludf.DUMMYFUNCTION("""COMPUTED_VALUE"""),280.18)</f>
        <v>280.18</v>
      </c>
      <c r="D1488" s="1">
        <f ca="1">IFERROR(__xludf.DUMMYFUNCTION("""COMPUTED_VALUE"""),272.65)</f>
        <v>272.64999999999998</v>
      </c>
      <c r="E1488" s="1">
        <f ca="1">IFERROR(__xludf.DUMMYFUNCTION("""COMPUTED_VALUE"""),275.59)</f>
        <v>275.58999999999997</v>
      </c>
      <c r="F1488" s="1">
        <f ca="1">IFERROR(__xludf.DUMMYFUNCTION("""COMPUTED_VALUE"""),12467009)</f>
        <v>12467009</v>
      </c>
    </row>
    <row r="1489" spans="1:6" x14ac:dyDescent="0.35">
      <c r="A1489" s="2">
        <f ca="1">IFERROR(__xludf.DUMMYFUNCTION("""COMPUTED_VALUE"""),44162.5416666666)</f>
        <v>44162.541666666599</v>
      </c>
      <c r="B1489" s="1">
        <f ca="1">IFERROR(__xludf.DUMMYFUNCTION("""COMPUTED_VALUE"""),277.39)</f>
        <v>277.39</v>
      </c>
      <c r="C1489" s="1">
        <f ca="1">IFERROR(__xludf.DUMMYFUNCTION("""COMPUTED_VALUE"""),279.13)</f>
        <v>279.13</v>
      </c>
      <c r="D1489" s="1">
        <f ca="1">IFERROR(__xludf.DUMMYFUNCTION("""COMPUTED_VALUE"""),274.82)</f>
        <v>274.82</v>
      </c>
      <c r="E1489" s="1">
        <f ca="1">IFERROR(__xludf.DUMMYFUNCTION("""COMPUTED_VALUE"""),277.81)</f>
        <v>277.81</v>
      </c>
      <c r="F1489" s="1">
        <f ca="1">IFERROR(__xludf.DUMMYFUNCTION("""COMPUTED_VALUE"""),7808426)</f>
        <v>7808426</v>
      </c>
    </row>
    <row r="1490" spans="1:6" x14ac:dyDescent="0.35">
      <c r="A1490" s="2">
        <f ca="1">IFERROR(__xludf.DUMMYFUNCTION("""COMPUTED_VALUE"""),44165.6666666666)</f>
        <v>44165.666666666599</v>
      </c>
      <c r="B1490" s="1">
        <f ca="1">IFERROR(__xludf.DUMMYFUNCTION("""COMPUTED_VALUE"""),276.03)</f>
        <v>276.02999999999997</v>
      </c>
      <c r="C1490" s="1">
        <f ca="1">IFERROR(__xludf.DUMMYFUNCTION("""COMPUTED_VALUE"""),277.7)</f>
        <v>277.7</v>
      </c>
      <c r="D1490" s="1">
        <f ca="1">IFERROR(__xludf.DUMMYFUNCTION("""COMPUTED_VALUE"""),271.01)</f>
        <v>271.01</v>
      </c>
      <c r="E1490" s="1">
        <f ca="1">IFERROR(__xludf.DUMMYFUNCTION("""COMPUTED_VALUE"""),276.97)</f>
        <v>276.97000000000003</v>
      </c>
      <c r="F1490" s="1">
        <f ca="1">IFERROR(__xludf.DUMMYFUNCTION("""COMPUTED_VALUE"""),16693336)</f>
        <v>16693336</v>
      </c>
    </row>
    <row r="1491" spans="1:6" x14ac:dyDescent="0.35">
      <c r="A1491" s="2">
        <f ca="1">IFERROR(__xludf.DUMMYFUNCTION("""COMPUTED_VALUE"""),44166.6666666666)</f>
        <v>44166.666666666599</v>
      </c>
      <c r="B1491" s="1">
        <f ca="1">IFERROR(__xludf.DUMMYFUNCTION("""COMPUTED_VALUE"""),279.16)</f>
        <v>279.16000000000003</v>
      </c>
      <c r="C1491" s="1">
        <f ca="1">IFERROR(__xludf.DUMMYFUNCTION("""COMPUTED_VALUE"""),289.3)</f>
        <v>289.3</v>
      </c>
      <c r="D1491" s="1">
        <f ca="1">IFERROR(__xludf.DUMMYFUNCTION("""COMPUTED_VALUE"""),278.96)</f>
        <v>278.95999999999998</v>
      </c>
      <c r="E1491" s="1">
        <f ca="1">IFERROR(__xludf.DUMMYFUNCTION("""COMPUTED_VALUE"""),286.55)</f>
        <v>286.55</v>
      </c>
      <c r="F1491" s="1">
        <f ca="1">IFERROR(__xludf.DUMMYFUNCTION("""COMPUTED_VALUE"""),20777906)</f>
        <v>20777906</v>
      </c>
    </row>
    <row r="1492" spans="1:6" x14ac:dyDescent="0.35">
      <c r="A1492" s="2">
        <f ca="1">IFERROR(__xludf.DUMMYFUNCTION("""COMPUTED_VALUE"""),44167.6666666666)</f>
        <v>44167.666666666599</v>
      </c>
      <c r="B1492" s="1">
        <f ca="1">IFERROR(__xludf.DUMMYFUNCTION("""COMPUTED_VALUE"""),285.36)</f>
        <v>285.36</v>
      </c>
      <c r="C1492" s="1">
        <f ca="1">IFERROR(__xludf.DUMMYFUNCTION("""COMPUTED_VALUE"""),291.78)</f>
        <v>291.77999999999997</v>
      </c>
      <c r="D1492" s="1">
        <f ca="1">IFERROR(__xludf.DUMMYFUNCTION("""COMPUTED_VALUE"""),280.83)</f>
        <v>280.83</v>
      </c>
      <c r="E1492" s="1">
        <f ca="1">IFERROR(__xludf.DUMMYFUNCTION("""COMPUTED_VALUE"""),287.52)</f>
        <v>287.52</v>
      </c>
      <c r="F1492" s="1">
        <f ca="1">IFERROR(__xludf.DUMMYFUNCTION("""COMPUTED_VALUE"""),17361624)</f>
        <v>17361624</v>
      </c>
    </row>
    <row r="1493" spans="1:6" x14ac:dyDescent="0.35">
      <c r="A1493" s="2">
        <f ca="1">IFERROR(__xludf.DUMMYFUNCTION("""COMPUTED_VALUE"""),44168.6666666666)</f>
        <v>44168.666666666599</v>
      </c>
      <c r="B1493" s="1">
        <f ca="1">IFERROR(__xludf.DUMMYFUNCTION("""COMPUTED_VALUE"""),286.25)</f>
        <v>286.25</v>
      </c>
      <c r="C1493" s="1">
        <f ca="1">IFERROR(__xludf.DUMMYFUNCTION("""COMPUTED_VALUE"""),286.65)</f>
        <v>286.64999999999998</v>
      </c>
      <c r="D1493" s="1">
        <f ca="1">IFERROR(__xludf.DUMMYFUNCTION("""COMPUTED_VALUE"""),281.07)</f>
        <v>281.07</v>
      </c>
      <c r="E1493" s="1">
        <f ca="1">IFERROR(__xludf.DUMMYFUNCTION("""COMPUTED_VALUE"""),281.85)</f>
        <v>281.85000000000002</v>
      </c>
      <c r="F1493" s="1">
        <f ca="1">IFERROR(__xludf.DUMMYFUNCTION("""COMPUTED_VALUE"""),12921694)</f>
        <v>12921694</v>
      </c>
    </row>
    <row r="1494" spans="1:6" x14ac:dyDescent="0.35">
      <c r="A1494" s="2">
        <f ca="1">IFERROR(__xludf.DUMMYFUNCTION("""COMPUTED_VALUE"""),44169.6666666666)</f>
        <v>44169.666666666599</v>
      </c>
      <c r="B1494" s="1">
        <f ca="1">IFERROR(__xludf.DUMMYFUNCTION("""COMPUTED_VALUE"""),280.3)</f>
        <v>280.3</v>
      </c>
      <c r="C1494" s="1">
        <f ca="1">IFERROR(__xludf.DUMMYFUNCTION("""COMPUTED_VALUE"""),283.46)</f>
        <v>283.45999999999998</v>
      </c>
      <c r="D1494" s="1">
        <f ca="1">IFERROR(__xludf.DUMMYFUNCTION("""COMPUTED_VALUE"""),279.3)</f>
        <v>279.3</v>
      </c>
      <c r="E1494" s="1">
        <f ca="1">IFERROR(__xludf.DUMMYFUNCTION("""COMPUTED_VALUE"""),279.7)</f>
        <v>279.7</v>
      </c>
      <c r="F1494" s="1">
        <f ca="1">IFERROR(__xludf.DUMMYFUNCTION("""COMPUTED_VALUE"""),10880299)</f>
        <v>10880299</v>
      </c>
    </row>
    <row r="1495" spans="1:6" x14ac:dyDescent="0.35">
      <c r="A1495" s="2">
        <f ca="1">IFERROR(__xludf.DUMMYFUNCTION("""COMPUTED_VALUE"""),44172.6666666666)</f>
        <v>44172.666666666599</v>
      </c>
      <c r="B1495" s="1">
        <f ca="1">IFERROR(__xludf.DUMMYFUNCTION("""COMPUTED_VALUE"""),279.19)</f>
        <v>279.19</v>
      </c>
      <c r="C1495" s="1">
        <f ca="1">IFERROR(__xludf.DUMMYFUNCTION("""COMPUTED_VALUE"""),288.49)</f>
        <v>288.49</v>
      </c>
      <c r="D1495" s="1">
        <f ca="1">IFERROR(__xludf.DUMMYFUNCTION("""COMPUTED_VALUE"""),278.2)</f>
        <v>278.2</v>
      </c>
      <c r="E1495" s="1">
        <f ca="1">IFERROR(__xludf.DUMMYFUNCTION("""COMPUTED_VALUE"""),285.58)</f>
        <v>285.58</v>
      </c>
      <c r="F1495" s="1">
        <f ca="1">IFERROR(__xludf.DUMMYFUNCTION("""COMPUTED_VALUE"""),13007665)</f>
        <v>13007665</v>
      </c>
    </row>
    <row r="1496" spans="1:6" x14ac:dyDescent="0.35">
      <c r="A1496" s="2">
        <f ca="1">IFERROR(__xludf.DUMMYFUNCTION("""COMPUTED_VALUE"""),44173.6666666666)</f>
        <v>44173.666666666599</v>
      </c>
      <c r="B1496" s="1">
        <f ca="1">IFERROR(__xludf.DUMMYFUNCTION("""COMPUTED_VALUE"""),286.01)</f>
        <v>286.01</v>
      </c>
      <c r="C1496" s="1">
        <f ca="1">IFERROR(__xludf.DUMMYFUNCTION("""COMPUTED_VALUE"""),286.43)</f>
        <v>286.43</v>
      </c>
      <c r="D1496" s="1">
        <f ca="1">IFERROR(__xludf.DUMMYFUNCTION("""COMPUTED_VALUE"""),281.55)</f>
        <v>281.55</v>
      </c>
      <c r="E1496" s="1">
        <f ca="1">IFERROR(__xludf.DUMMYFUNCTION("""COMPUTED_VALUE"""),283.4)</f>
        <v>283.39999999999998</v>
      </c>
      <c r="F1496" s="1">
        <f ca="1">IFERROR(__xludf.DUMMYFUNCTION("""COMPUTED_VALUE"""),10747650)</f>
        <v>10747650</v>
      </c>
    </row>
    <row r="1497" spans="1:6" x14ac:dyDescent="0.35">
      <c r="A1497" s="2">
        <f ca="1">IFERROR(__xludf.DUMMYFUNCTION("""COMPUTED_VALUE"""),44174.6666666666)</f>
        <v>44174.666666666599</v>
      </c>
      <c r="B1497" s="1">
        <f ca="1">IFERROR(__xludf.DUMMYFUNCTION("""COMPUTED_VALUE"""),283.66)</f>
        <v>283.66000000000003</v>
      </c>
      <c r="C1497" s="1">
        <f ca="1">IFERROR(__xludf.DUMMYFUNCTION("""COMPUTED_VALUE"""),287.63)</f>
        <v>287.63</v>
      </c>
      <c r="D1497" s="1">
        <f ca="1">IFERROR(__xludf.DUMMYFUNCTION("""COMPUTED_VALUE"""),271.75)</f>
        <v>271.75</v>
      </c>
      <c r="E1497" s="1">
        <f ca="1">IFERROR(__xludf.DUMMYFUNCTION("""COMPUTED_VALUE"""),277.92)</f>
        <v>277.92</v>
      </c>
      <c r="F1497" s="1">
        <f ca="1">IFERROR(__xludf.DUMMYFUNCTION("""COMPUTED_VALUE"""),25189707)</f>
        <v>25189707</v>
      </c>
    </row>
    <row r="1498" spans="1:6" x14ac:dyDescent="0.35">
      <c r="A1498" s="2">
        <f ca="1">IFERROR(__xludf.DUMMYFUNCTION("""COMPUTED_VALUE"""),44175.6666666666)</f>
        <v>44175.666666666599</v>
      </c>
      <c r="B1498" s="1">
        <f ca="1">IFERROR(__xludf.DUMMYFUNCTION("""COMPUTED_VALUE"""),275.54)</f>
        <v>275.54000000000002</v>
      </c>
      <c r="C1498" s="1">
        <f ca="1">IFERROR(__xludf.DUMMYFUNCTION("""COMPUTED_VALUE"""),278.73)</f>
        <v>278.73</v>
      </c>
      <c r="D1498" s="1">
        <f ca="1">IFERROR(__xludf.DUMMYFUNCTION("""COMPUTED_VALUE"""),271.86)</f>
        <v>271.86</v>
      </c>
      <c r="E1498" s="1">
        <f ca="1">IFERROR(__xludf.DUMMYFUNCTION("""COMPUTED_VALUE"""),277.12)</f>
        <v>277.12</v>
      </c>
      <c r="F1498" s="1">
        <f ca="1">IFERROR(__xludf.DUMMYFUNCTION("""COMPUTED_VALUE"""),20065091)</f>
        <v>20065091</v>
      </c>
    </row>
    <row r="1499" spans="1:6" x14ac:dyDescent="0.35">
      <c r="A1499" s="2">
        <f ca="1">IFERROR(__xludf.DUMMYFUNCTION("""COMPUTED_VALUE"""),44176.6666666666)</f>
        <v>44176.666666666599</v>
      </c>
      <c r="B1499" s="1">
        <f ca="1">IFERROR(__xludf.DUMMYFUNCTION("""COMPUTED_VALUE"""),274.53)</f>
        <v>274.52999999999997</v>
      </c>
      <c r="C1499" s="1">
        <f ca="1">IFERROR(__xludf.DUMMYFUNCTION("""COMPUTED_VALUE"""),276.48)</f>
        <v>276.48</v>
      </c>
      <c r="D1499" s="1">
        <f ca="1">IFERROR(__xludf.DUMMYFUNCTION("""COMPUTED_VALUE"""),270.25)</f>
        <v>270.25</v>
      </c>
      <c r="E1499" s="1">
        <f ca="1">IFERROR(__xludf.DUMMYFUNCTION("""COMPUTED_VALUE"""),273.55)</f>
        <v>273.55</v>
      </c>
      <c r="F1499" s="1">
        <f ca="1">IFERROR(__xludf.DUMMYFUNCTION("""COMPUTED_VALUE"""),14391401)</f>
        <v>14391401</v>
      </c>
    </row>
    <row r="1500" spans="1:6" x14ac:dyDescent="0.35">
      <c r="A1500" s="2">
        <f ca="1">IFERROR(__xludf.DUMMYFUNCTION("""COMPUTED_VALUE"""),44179.6666666666)</f>
        <v>44179.666666666599</v>
      </c>
      <c r="B1500" s="1">
        <f ca="1">IFERROR(__xludf.DUMMYFUNCTION("""COMPUTED_VALUE"""),273.37)</f>
        <v>273.37</v>
      </c>
      <c r="C1500" s="1">
        <f ca="1">IFERROR(__xludf.DUMMYFUNCTION("""COMPUTED_VALUE"""),277.22)</f>
        <v>277.22000000000003</v>
      </c>
      <c r="D1500" s="1">
        <f ca="1">IFERROR(__xludf.DUMMYFUNCTION("""COMPUTED_VALUE"""),271.56)</f>
        <v>271.56</v>
      </c>
      <c r="E1500" s="1">
        <f ca="1">IFERROR(__xludf.DUMMYFUNCTION("""COMPUTED_VALUE"""),274.19)</f>
        <v>274.19</v>
      </c>
      <c r="F1500" s="1">
        <f ca="1">IFERROR(__xludf.DUMMYFUNCTION("""COMPUTED_VALUE"""),16376880)</f>
        <v>16376880</v>
      </c>
    </row>
    <row r="1501" spans="1:6" x14ac:dyDescent="0.35">
      <c r="A1501" s="2">
        <f ca="1">IFERROR(__xludf.DUMMYFUNCTION("""COMPUTED_VALUE"""),44180.6666666666)</f>
        <v>44180.666666666599</v>
      </c>
      <c r="B1501" s="1">
        <f ca="1">IFERROR(__xludf.DUMMYFUNCTION("""COMPUTED_VALUE"""),274.83)</f>
        <v>274.83</v>
      </c>
      <c r="C1501" s="1">
        <f ca="1">IFERROR(__xludf.DUMMYFUNCTION("""COMPUTED_VALUE"""),276.08)</f>
        <v>276.08</v>
      </c>
      <c r="D1501" s="1">
        <f ca="1">IFERROR(__xludf.DUMMYFUNCTION("""COMPUTED_VALUE"""),267.47)</f>
        <v>267.47000000000003</v>
      </c>
      <c r="E1501" s="1">
        <f ca="1">IFERROR(__xludf.DUMMYFUNCTION("""COMPUTED_VALUE"""),275.55)</f>
        <v>275.55</v>
      </c>
      <c r="F1501" s="1">
        <f ca="1">IFERROR(__xludf.DUMMYFUNCTION("""COMPUTED_VALUE"""),23979461)</f>
        <v>23979461</v>
      </c>
    </row>
    <row r="1502" spans="1:6" x14ac:dyDescent="0.35">
      <c r="A1502" s="2">
        <f ca="1">IFERROR(__xludf.DUMMYFUNCTION("""COMPUTED_VALUE"""),44181.6666666666)</f>
        <v>44181.666666666599</v>
      </c>
      <c r="B1502" s="1">
        <f ca="1">IFERROR(__xludf.DUMMYFUNCTION("""COMPUTED_VALUE"""),274.76)</f>
        <v>274.76</v>
      </c>
      <c r="C1502" s="1">
        <f ca="1">IFERROR(__xludf.DUMMYFUNCTION("""COMPUTED_VALUE"""),277.86)</f>
        <v>277.86</v>
      </c>
      <c r="D1502" s="1">
        <f ca="1">IFERROR(__xludf.DUMMYFUNCTION("""COMPUTED_VALUE"""),272.51)</f>
        <v>272.51</v>
      </c>
      <c r="E1502" s="1">
        <f ca="1">IFERROR(__xludf.DUMMYFUNCTION("""COMPUTED_VALUE"""),275.67)</f>
        <v>275.67</v>
      </c>
      <c r="F1502" s="1">
        <f ca="1">IFERROR(__xludf.DUMMYFUNCTION("""COMPUTED_VALUE"""),15884999)</f>
        <v>15884999</v>
      </c>
    </row>
    <row r="1503" spans="1:6" x14ac:dyDescent="0.35">
      <c r="A1503" s="2">
        <f ca="1">IFERROR(__xludf.DUMMYFUNCTION("""COMPUTED_VALUE"""),44182.6666666666)</f>
        <v>44182.666666666599</v>
      </c>
      <c r="B1503" s="1">
        <f ca="1">IFERROR(__xludf.DUMMYFUNCTION("""COMPUTED_VALUE"""),277.07)</f>
        <v>277.07</v>
      </c>
      <c r="C1503" s="1">
        <f ca="1">IFERROR(__xludf.DUMMYFUNCTION("""COMPUTED_VALUE"""),280.44)</f>
        <v>280.44</v>
      </c>
      <c r="D1503" s="1">
        <f ca="1">IFERROR(__xludf.DUMMYFUNCTION("""COMPUTED_VALUE"""),273.61)</f>
        <v>273.61</v>
      </c>
      <c r="E1503" s="1">
        <f ca="1">IFERROR(__xludf.DUMMYFUNCTION("""COMPUTED_VALUE"""),274.48)</f>
        <v>274.48</v>
      </c>
      <c r="F1503" s="1">
        <f ca="1">IFERROR(__xludf.DUMMYFUNCTION("""COMPUTED_VALUE"""),16377844)</f>
        <v>16377844</v>
      </c>
    </row>
    <row r="1504" spans="1:6" x14ac:dyDescent="0.35">
      <c r="A1504" s="2">
        <f ca="1">IFERROR(__xludf.DUMMYFUNCTION("""COMPUTED_VALUE"""),44183.6666666666)</f>
        <v>44183.666666666599</v>
      </c>
      <c r="B1504" s="1">
        <f ca="1">IFERROR(__xludf.DUMMYFUNCTION("""COMPUTED_VALUE"""),275.77)</f>
        <v>275.77</v>
      </c>
      <c r="C1504" s="1">
        <f ca="1">IFERROR(__xludf.DUMMYFUNCTION("""COMPUTED_VALUE"""),278)</f>
        <v>278</v>
      </c>
      <c r="D1504" s="1">
        <f ca="1">IFERROR(__xludf.DUMMYFUNCTION("""COMPUTED_VALUE"""),271.14)</f>
        <v>271.14</v>
      </c>
      <c r="E1504" s="1">
        <f ca="1">IFERROR(__xludf.DUMMYFUNCTION("""COMPUTED_VALUE"""),276.4)</f>
        <v>276.39999999999998</v>
      </c>
      <c r="F1504" s="1">
        <f ca="1">IFERROR(__xludf.DUMMYFUNCTION("""COMPUTED_VALUE"""),26693249)</f>
        <v>26693249</v>
      </c>
    </row>
    <row r="1505" spans="1:6" x14ac:dyDescent="0.35">
      <c r="A1505" s="2">
        <f ca="1">IFERROR(__xludf.DUMMYFUNCTION("""COMPUTED_VALUE"""),44186.6666666666)</f>
        <v>44186.666666666599</v>
      </c>
      <c r="B1505" s="1">
        <f ca="1">IFERROR(__xludf.DUMMYFUNCTION("""COMPUTED_VALUE"""),272.98)</f>
        <v>272.98</v>
      </c>
      <c r="C1505" s="1">
        <f ca="1">IFERROR(__xludf.DUMMYFUNCTION("""COMPUTED_VALUE"""),274.67)</f>
        <v>274.67</v>
      </c>
      <c r="D1505" s="1">
        <f ca="1">IFERROR(__xludf.DUMMYFUNCTION("""COMPUTED_VALUE"""),267.79)</f>
        <v>267.79000000000002</v>
      </c>
      <c r="E1505" s="1">
        <f ca="1">IFERROR(__xludf.DUMMYFUNCTION("""COMPUTED_VALUE"""),272.79)</f>
        <v>272.79000000000002</v>
      </c>
      <c r="F1505" s="1">
        <f ca="1">IFERROR(__xludf.DUMMYFUNCTION("""COMPUTED_VALUE"""),16553740)</f>
        <v>16553740</v>
      </c>
    </row>
    <row r="1506" spans="1:6" x14ac:dyDescent="0.35">
      <c r="A1506" s="2">
        <f ca="1">IFERROR(__xludf.DUMMYFUNCTION("""COMPUTED_VALUE"""),44187.6666666666)</f>
        <v>44187.666666666599</v>
      </c>
      <c r="B1506" s="1">
        <f ca="1">IFERROR(__xludf.DUMMYFUNCTION("""COMPUTED_VALUE"""),271.5)</f>
        <v>271.5</v>
      </c>
      <c r="C1506" s="1">
        <f ca="1">IFERROR(__xludf.DUMMYFUNCTION("""COMPUTED_VALUE"""),271.5)</f>
        <v>271.5</v>
      </c>
      <c r="D1506" s="1">
        <f ca="1">IFERROR(__xludf.DUMMYFUNCTION("""COMPUTED_VALUE"""),264.63)</f>
        <v>264.63</v>
      </c>
      <c r="E1506" s="1">
        <f ca="1">IFERROR(__xludf.DUMMYFUNCTION("""COMPUTED_VALUE"""),267.09)</f>
        <v>267.08999999999997</v>
      </c>
      <c r="F1506" s="1">
        <f ca="1">IFERROR(__xludf.DUMMYFUNCTION("""COMPUTED_VALUE"""),17334999)</f>
        <v>17334999</v>
      </c>
    </row>
    <row r="1507" spans="1:6" x14ac:dyDescent="0.35">
      <c r="A1507" s="2">
        <f ca="1">IFERROR(__xludf.DUMMYFUNCTION("""COMPUTED_VALUE"""),44188.6666666666)</f>
        <v>44188.666666666599</v>
      </c>
      <c r="B1507" s="1">
        <f ca="1">IFERROR(__xludf.DUMMYFUNCTION("""COMPUTED_VALUE"""),266.89)</f>
        <v>266.89</v>
      </c>
      <c r="C1507" s="1">
        <f ca="1">IFERROR(__xludf.DUMMYFUNCTION("""COMPUTED_VALUE"""),272.17)</f>
        <v>272.17</v>
      </c>
      <c r="D1507" s="1">
        <f ca="1">IFERROR(__xludf.DUMMYFUNCTION("""COMPUTED_VALUE"""),266.23)</f>
        <v>266.23</v>
      </c>
      <c r="E1507" s="1">
        <f ca="1">IFERROR(__xludf.DUMMYFUNCTION("""COMPUTED_VALUE"""),268.11)</f>
        <v>268.11</v>
      </c>
      <c r="F1507" s="1">
        <f ca="1">IFERROR(__xludf.DUMMYFUNCTION("""COMPUTED_VALUE"""),14329038)</f>
        <v>14329038</v>
      </c>
    </row>
    <row r="1508" spans="1:6" x14ac:dyDescent="0.35">
      <c r="A1508" s="2">
        <f ca="1">IFERROR(__xludf.DUMMYFUNCTION("""COMPUTED_VALUE"""),44189.5416666666)</f>
        <v>44189.541666666599</v>
      </c>
      <c r="B1508" s="1">
        <f ca="1">IFERROR(__xludf.DUMMYFUNCTION("""COMPUTED_VALUE"""),268.88)</f>
        <v>268.88</v>
      </c>
      <c r="C1508" s="1">
        <f ca="1">IFERROR(__xludf.DUMMYFUNCTION("""COMPUTED_VALUE"""),270.4)</f>
        <v>270.39999999999998</v>
      </c>
      <c r="D1508" s="1">
        <f ca="1">IFERROR(__xludf.DUMMYFUNCTION("""COMPUTED_VALUE"""),266.2)</f>
        <v>266.2</v>
      </c>
      <c r="E1508" s="1">
        <f ca="1">IFERROR(__xludf.DUMMYFUNCTION("""COMPUTED_VALUE"""),267.4)</f>
        <v>267.39999999999998</v>
      </c>
      <c r="F1508" s="1">
        <f ca="1">IFERROR(__xludf.DUMMYFUNCTION("""COMPUTED_VALUE"""),6702033)</f>
        <v>6702033</v>
      </c>
    </row>
    <row r="1509" spans="1:6" x14ac:dyDescent="0.35">
      <c r="A1509" s="2">
        <f ca="1">IFERROR(__xludf.DUMMYFUNCTION("""COMPUTED_VALUE"""),44193.6666666666)</f>
        <v>44193.666666666599</v>
      </c>
      <c r="B1509" s="1">
        <f ca="1">IFERROR(__xludf.DUMMYFUNCTION("""COMPUTED_VALUE"""),268.74)</f>
        <v>268.74</v>
      </c>
      <c r="C1509" s="1">
        <f ca="1">IFERROR(__xludf.DUMMYFUNCTION("""COMPUTED_VALUE"""),277.3)</f>
        <v>277.3</v>
      </c>
      <c r="D1509" s="1">
        <f ca="1">IFERROR(__xludf.DUMMYFUNCTION("""COMPUTED_VALUE"""),265.66)</f>
        <v>265.66000000000003</v>
      </c>
      <c r="E1509" s="1">
        <f ca="1">IFERROR(__xludf.DUMMYFUNCTION("""COMPUTED_VALUE"""),277)</f>
        <v>277</v>
      </c>
      <c r="F1509" s="1">
        <f ca="1">IFERROR(__xludf.DUMMYFUNCTION("""COMPUTED_VALUE"""),23299707)</f>
        <v>23299707</v>
      </c>
    </row>
    <row r="1510" spans="1:6" x14ac:dyDescent="0.35">
      <c r="A1510" s="2">
        <f ca="1">IFERROR(__xludf.DUMMYFUNCTION("""COMPUTED_VALUE"""),44194.6666666666)</f>
        <v>44194.666666666599</v>
      </c>
      <c r="B1510" s="1">
        <f ca="1">IFERROR(__xludf.DUMMYFUNCTION("""COMPUTED_VALUE"""),276.95)</f>
        <v>276.95</v>
      </c>
      <c r="C1510" s="1">
        <f ca="1">IFERROR(__xludf.DUMMYFUNCTION("""COMPUTED_VALUE"""),280.51)</f>
        <v>280.51</v>
      </c>
      <c r="D1510" s="1">
        <f ca="1">IFERROR(__xludf.DUMMYFUNCTION("""COMPUTED_VALUE"""),276.28)</f>
        <v>276.27999999999997</v>
      </c>
      <c r="E1510" s="1">
        <f ca="1">IFERROR(__xludf.DUMMYFUNCTION("""COMPUTED_VALUE"""),276.78)</f>
        <v>276.77999999999997</v>
      </c>
      <c r="F1510" s="1">
        <f ca="1">IFERROR(__xludf.DUMMYFUNCTION("""COMPUTED_VALUE"""),16382995)</f>
        <v>16382995</v>
      </c>
    </row>
    <row r="1511" spans="1:6" x14ac:dyDescent="0.35">
      <c r="A1511" s="2">
        <f ca="1">IFERROR(__xludf.DUMMYFUNCTION("""COMPUTED_VALUE"""),44195.6666666666)</f>
        <v>44195.666666666599</v>
      </c>
      <c r="B1511" s="1">
        <f ca="1">IFERROR(__xludf.DUMMYFUNCTION("""COMPUTED_VALUE"""),277.95)</f>
        <v>277.95</v>
      </c>
      <c r="C1511" s="1">
        <f ca="1">IFERROR(__xludf.DUMMYFUNCTION("""COMPUTED_VALUE"""),278.08)</f>
        <v>278.08</v>
      </c>
      <c r="D1511" s="1">
        <f ca="1">IFERROR(__xludf.DUMMYFUNCTION("""COMPUTED_VALUE"""),271.71)</f>
        <v>271.70999999999998</v>
      </c>
      <c r="E1511" s="1">
        <f ca="1">IFERROR(__xludf.DUMMYFUNCTION("""COMPUTED_VALUE"""),271.87)</f>
        <v>271.87</v>
      </c>
      <c r="F1511" s="1">
        <f ca="1">IFERROR(__xludf.DUMMYFUNCTION("""COMPUTED_VALUE"""),11803795)</f>
        <v>11803795</v>
      </c>
    </row>
    <row r="1512" spans="1:6" x14ac:dyDescent="0.35">
      <c r="A1512" s="2">
        <f ca="1">IFERROR(__xludf.DUMMYFUNCTION("""COMPUTED_VALUE"""),44196.6666666666)</f>
        <v>44196.666666666599</v>
      </c>
      <c r="B1512" s="1">
        <f ca="1">IFERROR(__xludf.DUMMYFUNCTION("""COMPUTED_VALUE"""),272)</f>
        <v>272</v>
      </c>
      <c r="C1512" s="1">
        <f ca="1">IFERROR(__xludf.DUMMYFUNCTION("""COMPUTED_VALUE"""),277.09)</f>
        <v>277.08999999999997</v>
      </c>
      <c r="D1512" s="1">
        <f ca="1">IFERROR(__xludf.DUMMYFUNCTION("""COMPUTED_VALUE"""),269.81)</f>
        <v>269.81</v>
      </c>
      <c r="E1512" s="1">
        <f ca="1">IFERROR(__xludf.DUMMYFUNCTION("""COMPUTED_VALUE"""),273.16)</f>
        <v>273.16000000000003</v>
      </c>
      <c r="F1512" s="1">
        <f ca="1">IFERROR(__xludf.DUMMYFUNCTION("""COMPUTED_VALUE"""),12900408)</f>
        <v>12900408</v>
      </c>
    </row>
    <row r="1513" spans="1:6" x14ac:dyDescent="0.35">
      <c r="A1513" s="2">
        <f ca="1">IFERROR(__xludf.DUMMYFUNCTION("""COMPUTED_VALUE"""),44200.6666666666)</f>
        <v>44200.666666666599</v>
      </c>
      <c r="B1513" s="1">
        <f ca="1">IFERROR(__xludf.DUMMYFUNCTION("""COMPUTED_VALUE"""),274.78)</f>
        <v>274.77999999999997</v>
      </c>
      <c r="C1513" s="1">
        <f ca="1">IFERROR(__xludf.DUMMYFUNCTION("""COMPUTED_VALUE"""),275)</f>
        <v>275</v>
      </c>
      <c r="D1513" s="1">
        <f ca="1">IFERROR(__xludf.DUMMYFUNCTION("""COMPUTED_VALUE"""),265.2)</f>
        <v>265.2</v>
      </c>
      <c r="E1513" s="1">
        <f ca="1">IFERROR(__xludf.DUMMYFUNCTION("""COMPUTED_VALUE"""),268.94)</f>
        <v>268.94</v>
      </c>
      <c r="F1513" s="1">
        <f ca="1">IFERROR(__xludf.DUMMYFUNCTION("""COMPUTED_VALUE"""),15106113)</f>
        <v>15106113</v>
      </c>
    </row>
    <row r="1514" spans="1:6" x14ac:dyDescent="0.35">
      <c r="A1514" s="2">
        <f ca="1">IFERROR(__xludf.DUMMYFUNCTION("""COMPUTED_VALUE"""),44201.6666666666)</f>
        <v>44201.666666666599</v>
      </c>
      <c r="B1514" s="1">
        <f ca="1">IFERROR(__xludf.DUMMYFUNCTION("""COMPUTED_VALUE"""),268.29)</f>
        <v>268.29000000000002</v>
      </c>
      <c r="C1514" s="1">
        <f ca="1">IFERROR(__xludf.DUMMYFUNCTION("""COMPUTED_VALUE"""),272.4)</f>
        <v>272.39999999999998</v>
      </c>
      <c r="D1514" s="1">
        <f ca="1">IFERROR(__xludf.DUMMYFUNCTION("""COMPUTED_VALUE"""),268.21)</f>
        <v>268.20999999999998</v>
      </c>
      <c r="E1514" s="1">
        <f ca="1">IFERROR(__xludf.DUMMYFUNCTION("""COMPUTED_VALUE"""),270.97)</f>
        <v>270.97000000000003</v>
      </c>
      <c r="F1514" s="1">
        <f ca="1">IFERROR(__xludf.DUMMYFUNCTION("""COMPUTED_VALUE"""),9871557)</f>
        <v>9871557</v>
      </c>
    </row>
    <row r="1515" spans="1:6" x14ac:dyDescent="0.35">
      <c r="A1515" s="2">
        <f ca="1">IFERROR(__xludf.DUMMYFUNCTION("""COMPUTED_VALUE"""),44202.6666666666)</f>
        <v>44202.666666666599</v>
      </c>
      <c r="B1515" s="1">
        <f ca="1">IFERROR(__xludf.DUMMYFUNCTION("""COMPUTED_VALUE"""),262)</f>
        <v>262</v>
      </c>
      <c r="C1515" s="1">
        <f ca="1">IFERROR(__xludf.DUMMYFUNCTION("""COMPUTED_VALUE"""),267.75)</f>
        <v>267.75</v>
      </c>
      <c r="D1515" s="1">
        <f ca="1">IFERROR(__xludf.DUMMYFUNCTION("""COMPUTED_VALUE"""),260.01)</f>
        <v>260.01</v>
      </c>
      <c r="E1515" s="1">
        <f ca="1">IFERROR(__xludf.DUMMYFUNCTION("""COMPUTED_VALUE"""),263.31)</f>
        <v>263.31</v>
      </c>
      <c r="F1515" s="1">
        <f ca="1">IFERROR(__xludf.DUMMYFUNCTION("""COMPUTED_VALUE"""),24354149)</f>
        <v>24354149</v>
      </c>
    </row>
    <row r="1516" spans="1:6" x14ac:dyDescent="0.35">
      <c r="A1516" s="2">
        <f ca="1">IFERROR(__xludf.DUMMYFUNCTION("""COMPUTED_VALUE"""),44203.6666666666)</f>
        <v>44203.666666666599</v>
      </c>
      <c r="B1516" s="1">
        <f ca="1">IFERROR(__xludf.DUMMYFUNCTION("""COMPUTED_VALUE"""),265.9)</f>
        <v>265.89999999999998</v>
      </c>
      <c r="C1516" s="1">
        <f ca="1">IFERROR(__xludf.DUMMYFUNCTION("""COMPUTED_VALUE"""),271.61)</f>
        <v>271.61</v>
      </c>
      <c r="D1516" s="1">
        <f ca="1">IFERROR(__xludf.DUMMYFUNCTION("""COMPUTED_VALUE"""),264.78)</f>
        <v>264.77999999999997</v>
      </c>
      <c r="E1516" s="1">
        <f ca="1">IFERROR(__xludf.DUMMYFUNCTION("""COMPUTED_VALUE"""),268.74)</f>
        <v>268.74</v>
      </c>
      <c r="F1516" s="1">
        <f ca="1">IFERROR(__xludf.DUMMYFUNCTION("""COMPUTED_VALUE"""),15789756)</f>
        <v>15789756</v>
      </c>
    </row>
    <row r="1517" spans="1:6" x14ac:dyDescent="0.35">
      <c r="A1517" s="2">
        <f ca="1">IFERROR(__xludf.DUMMYFUNCTION("""COMPUTED_VALUE"""),44204.6666666666)</f>
        <v>44204.666666666599</v>
      </c>
      <c r="B1517" s="1">
        <f ca="1">IFERROR(__xludf.DUMMYFUNCTION("""COMPUTED_VALUE"""),268.31)</f>
        <v>268.31</v>
      </c>
      <c r="C1517" s="1">
        <f ca="1">IFERROR(__xludf.DUMMYFUNCTION("""COMPUTED_VALUE"""),268.95)</f>
        <v>268.95</v>
      </c>
      <c r="D1517" s="1">
        <f ca="1">IFERROR(__xludf.DUMMYFUNCTION("""COMPUTED_VALUE"""),263.18)</f>
        <v>263.18</v>
      </c>
      <c r="E1517" s="1">
        <f ca="1">IFERROR(__xludf.DUMMYFUNCTION("""COMPUTED_VALUE"""),267.57)</f>
        <v>267.57</v>
      </c>
      <c r="F1517" s="1">
        <f ca="1">IFERROR(__xludf.DUMMYFUNCTION("""COMPUTED_VALUE"""),18528251)</f>
        <v>18528251</v>
      </c>
    </row>
    <row r="1518" spans="1:6" x14ac:dyDescent="0.35">
      <c r="A1518" s="2">
        <f ca="1">IFERROR(__xludf.DUMMYFUNCTION("""COMPUTED_VALUE"""),44207.6666666666)</f>
        <v>44207.666666666599</v>
      </c>
      <c r="B1518" s="1">
        <f ca="1">IFERROR(__xludf.DUMMYFUNCTION("""COMPUTED_VALUE"""),260.48)</f>
        <v>260.48</v>
      </c>
      <c r="C1518" s="1">
        <f ca="1">IFERROR(__xludf.DUMMYFUNCTION("""COMPUTED_VALUE"""),263.47)</f>
        <v>263.47000000000003</v>
      </c>
      <c r="D1518" s="1">
        <f ca="1">IFERROR(__xludf.DUMMYFUNCTION("""COMPUTED_VALUE"""),255.9)</f>
        <v>255.9</v>
      </c>
      <c r="E1518" s="1">
        <f ca="1">IFERROR(__xludf.DUMMYFUNCTION("""COMPUTED_VALUE"""),256.84)</f>
        <v>256.83999999999997</v>
      </c>
      <c r="F1518" s="1">
        <f ca="1">IFERROR(__xludf.DUMMYFUNCTION("""COMPUTED_VALUE"""),30412286)</f>
        <v>30412286</v>
      </c>
    </row>
    <row r="1519" spans="1:6" x14ac:dyDescent="0.35">
      <c r="A1519" s="2">
        <f ca="1">IFERROR(__xludf.DUMMYFUNCTION("""COMPUTED_VALUE"""),44208.6666666666)</f>
        <v>44208.666666666599</v>
      </c>
      <c r="B1519" s="1">
        <f ca="1">IFERROR(__xludf.DUMMYFUNCTION("""COMPUTED_VALUE"""),256.63)</f>
        <v>256.63</v>
      </c>
      <c r="C1519" s="1">
        <f ca="1">IFERROR(__xludf.DUMMYFUNCTION("""COMPUTED_VALUE"""),259.72)</f>
        <v>259.72000000000003</v>
      </c>
      <c r="D1519" s="1">
        <f ca="1">IFERROR(__xludf.DUMMYFUNCTION("""COMPUTED_VALUE"""),250.3)</f>
        <v>250.3</v>
      </c>
      <c r="E1519" s="1">
        <f ca="1">IFERROR(__xludf.DUMMYFUNCTION("""COMPUTED_VALUE"""),251.09)</f>
        <v>251.09</v>
      </c>
      <c r="F1519" s="1">
        <f ca="1">IFERROR(__xludf.DUMMYFUNCTION("""COMPUTED_VALUE"""),26449943)</f>
        <v>26449943</v>
      </c>
    </row>
    <row r="1520" spans="1:6" x14ac:dyDescent="0.35">
      <c r="A1520" s="2">
        <f ca="1">IFERROR(__xludf.DUMMYFUNCTION("""COMPUTED_VALUE"""),44209.6666666666)</f>
        <v>44209.666666666599</v>
      </c>
      <c r="B1520" s="1">
        <f ca="1">IFERROR(__xludf.DUMMYFUNCTION("""COMPUTED_VALUE"""),251.55)</f>
        <v>251.55</v>
      </c>
      <c r="C1520" s="1">
        <f ca="1">IFERROR(__xludf.DUMMYFUNCTION("""COMPUTED_VALUE"""),253.95)</f>
        <v>253.95</v>
      </c>
      <c r="D1520" s="1">
        <f ca="1">IFERROR(__xludf.DUMMYFUNCTION("""COMPUTED_VALUE"""),249.2)</f>
        <v>249.2</v>
      </c>
      <c r="E1520" s="1">
        <f ca="1">IFERROR(__xludf.DUMMYFUNCTION("""COMPUTED_VALUE"""),251.64)</f>
        <v>251.64</v>
      </c>
      <c r="F1520" s="1">
        <f ca="1">IFERROR(__xludf.DUMMYFUNCTION("""COMPUTED_VALUE"""),19528938)</f>
        <v>19528938</v>
      </c>
    </row>
    <row r="1521" spans="1:6" x14ac:dyDescent="0.35">
      <c r="A1521" s="2">
        <f ca="1">IFERROR(__xludf.DUMMYFUNCTION("""COMPUTED_VALUE"""),44210.6666666666)</f>
        <v>44210.666666666599</v>
      </c>
      <c r="B1521" s="1">
        <f ca="1">IFERROR(__xludf.DUMMYFUNCTION("""COMPUTED_VALUE"""),253.4)</f>
        <v>253.4</v>
      </c>
      <c r="C1521" s="1">
        <f ca="1">IFERROR(__xludf.DUMMYFUNCTION("""COMPUTED_VALUE"""),255.03)</f>
        <v>255.03</v>
      </c>
      <c r="D1521" s="1">
        <f ca="1">IFERROR(__xludf.DUMMYFUNCTION("""COMPUTED_VALUE"""),244.61)</f>
        <v>244.61</v>
      </c>
      <c r="E1521" s="1">
        <f ca="1">IFERROR(__xludf.DUMMYFUNCTION("""COMPUTED_VALUE"""),245.64)</f>
        <v>245.64</v>
      </c>
      <c r="F1521" s="1">
        <f ca="1">IFERROR(__xludf.DUMMYFUNCTION("""COMPUTED_VALUE"""),29739404)</f>
        <v>29739404</v>
      </c>
    </row>
    <row r="1522" spans="1:6" x14ac:dyDescent="0.35">
      <c r="A1522" s="2">
        <f ca="1">IFERROR(__xludf.DUMMYFUNCTION("""COMPUTED_VALUE"""),44211.6666666666)</f>
        <v>44211.666666666599</v>
      </c>
      <c r="B1522" s="1">
        <f ca="1">IFERROR(__xludf.DUMMYFUNCTION("""COMPUTED_VALUE"""),247.9)</f>
        <v>247.9</v>
      </c>
      <c r="C1522" s="1">
        <f ca="1">IFERROR(__xludf.DUMMYFUNCTION("""COMPUTED_VALUE"""),253.86)</f>
        <v>253.86</v>
      </c>
      <c r="D1522" s="1">
        <f ca="1">IFERROR(__xludf.DUMMYFUNCTION("""COMPUTED_VALUE"""),247.16)</f>
        <v>247.16</v>
      </c>
      <c r="E1522" s="1">
        <f ca="1">IFERROR(__xludf.DUMMYFUNCTION("""COMPUTED_VALUE"""),251.36)</f>
        <v>251.36</v>
      </c>
      <c r="F1522" s="1">
        <f ca="1">IFERROR(__xludf.DUMMYFUNCTION("""COMPUTED_VALUE"""),24942930)</f>
        <v>24942930</v>
      </c>
    </row>
    <row r="1523" spans="1:6" x14ac:dyDescent="0.35">
      <c r="A1523" s="2">
        <f ca="1">IFERROR(__xludf.DUMMYFUNCTION("""COMPUTED_VALUE"""),44215.6666666666)</f>
        <v>44215.666666666599</v>
      </c>
      <c r="B1523" s="1">
        <f ca="1">IFERROR(__xludf.DUMMYFUNCTION("""COMPUTED_VALUE"""),256.9)</f>
        <v>256.89999999999998</v>
      </c>
      <c r="C1523" s="1">
        <f ca="1">IFERROR(__xludf.DUMMYFUNCTION("""COMPUTED_VALUE"""),262.2)</f>
        <v>262.2</v>
      </c>
      <c r="D1523" s="1">
        <f ca="1">IFERROR(__xludf.DUMMYFUNCTION("""COMPUTED_VALUE"""),252.72)</f>
        <v>252.72</v>
      </c>
      <c r="E1523" s="1">
        <f ca="1">IFERROR(__xludf.DUMMYFUNCTION("""COMPUTED_VALUE"""),261.1)</f>
        <v>261.10000000000002</v>
      </c>
      <c r="F1523" s="1">
        <f ca="1">IFERROR(__xludf.DUMMYFUNCTION("""COMPUTED_VALUE"""),28028546)</f>
        <v>28028546</v>
      </c>
    </row>
    <row r="1524" spans="1:6" x14ac:dyDescent="0.35">
      <c r="A1524" s="2">
        <f ca="1">IFERROR(__xludf.DUMMYFUNCTION("""COMPUTED_VALUE"""),44216.6666666666)</f>
        <v>44216.666666666599</v>
      </c>
      <c r="B1524" s="1">
        <f ca="1">IFERROR(__xludf.DUMMYFUNCTION("""COMPUTED_VALUE"""),268.93)</f>
        <v>268.93</v>
      </c>
      <c r="C1524" s="1">
        <f ca="1">IFERROR(__xludf.DUMMYFUNCTION("""COMPUTED_VALUE"""),270.32)</f>
        <v>270.32</v>
      </c>
      <c r="D1524" s="1">
        <f ca="1">IFERROR(__xludf.DUMMYFUNCTION("""COMPUTED_VALUE"""),263.6)</f>
        <v>263.60000000000002</v>
      </c>
      <c r="E1524" s="1">
        <f ca="1">IFERROR(__xludf.DUMMYFUNCTION("""COMPUTED_VALUE"""),267.48)</f>
        <v>267.48</v>
      </c>
      <c r="F1524" s="1">
        <f ca="1">IFERROR(__xludf.DUMMYFUNCTION("""COMPUTED_VALUE"""),25199919)</f>
        <v>25199919</v>
      </c>
    </row>
    <row r="1525" spans="1:6" x14ac:dyDescent="0.35">
      <c r="A1525" s="2">
        <f ca="1">IFERROR(__xludf.DUMMYFUNCTION("""COMPUTED_VALUE"""),44217.6666666666)</f>
        <v>44217.666666666599</v>
      </c>
      <c r="B1525" s="1">
        <f ca="1">IFERROR(__xludf.DUMMYFUNCTION("""COMPUTED_VALUE"""),269.26)</f>
        <v>269.26</v>
      </c>
      <c r="C1525" s="1">
        <f ca="1">IFERROR(__xludf.DUMMYFUNCTION("""COMPUTED_VALUE"""),273.6)</f>
        <v>273.60000000000002</v>
      </c>
      <c r="D1525" s="1">
        <f ca="1">IFERROR(__xludf.DUMMYFUNCTION("""COMPUTED_VALUE"""),267.49)</f>
        <v>267.49</v>
      </c>
      <c r="E1525" s="1">
        <f ca="1">IFERROR(__xludf.DUMMYFUNCTION("""COMPUTED_VALUE"""),272.87)</f>
        <v>272.87</v>
      </c>
      <c r="F1525" s="1">
        <f ca="1">IFERROR(__xludf.DUMMYFUNCTION("""COMPUTED_VALUE"""),20838687)</f>
        <v>20838687</v>
      </c>
    </row>
    <row r="1526" spans="1:6" x14ac:dyDescent="0.35">
      <c r="A1526" s="2">
        <f ca="1">IFERROR(__xludf.DUMMYFUNCTION("""COMPUTED_VALUE"""),44218.6666666666)</f>
        <v>44218.666666666599</v>
      </c>
      <c r="B1526" s="1">
        <f ca="1">IFERROR(__xludf.DUMMYFUNCTION("""COMPUTED_VALUE"""),272.01)</f>
        <v>272.01</v>
      </c>
      <c r="C1526" s="1">
        <f ca="1">IFERROR(__xludf.DUMMYFUNCTION("""COMPUTED_VALUE"""),278.47)</f>
        <v>278.47000000000003</v>
      </c>
      <c r="D1526" s="1">
        <f ca="1">IFERROR(__xludf.DUMMYFUNCTION("""COMPUTED_VALUE"""),272)</f>
        <v>272</v>
      </c>
      <c r="E1526" s="1">
        <f ca="1">IFERROR(__xludf.DUMMYFUNCTION("""COMPUTED_VALUE"""),274.5)</f>
        <v>274.5</v>
      </c>
      <c r="F1526" s="1">
        <f ca="1">IFERROR(__xludf.DUMMYFUNCTION("""COMPUTED_VALUE"""),21954042)</f>
        <v>21954042</v>
      </c>
    </row>
    <row r="1527" spans="1:6" x14ac:dyDescent="0.35">
      <c r="A1527" s="2">
        <f ca="1">IFERROR(__xludf.DUMMYFUNCTION("""COMPUTED_VALUE"""),44221.6666666666)</f>
        <v>44221.666666666599</v>
      </c>
      <c r="B1527" s="1">
        <f ca="1">IFERROR(__xludf.DUMMYFUNCTION("""COMPUTED_VALUE"""),278.14)</f>
        <v>278.14</v>
      </c>
      <c r="C1527" s="1">
        <f ca="1">IFERROR(__xludf.DUMMYFUNCTION("""COMPUTED_VALUE"""),280.1)</f>
        <v>280.10000000000002</v>
      </c>
      <c r="D1527" s="1">
        <f ca="1">IFERROR(__xludf.DUMMYFUNCTION("""COMPUTED_VALUE"""),271.51)</f>
        <v>271.51</v>
      </c>
      <c r="E1527" s="1">
        <f ca="1">IFERROR(__xludf.DUMMYFUNCTION("""COMPUTED_VALUE"""),278.01)</f>
        <v>278.01</v>
      </c>
      <c r="F1527" s="1">
        <f ca="1">IFERROR(__xludf.DUMMYFUNCTION("""COMPUTED_VALUE"""),19086990)</f>
        <v>19086990</v>
      </c>
    </row>
    <row r="1528" spans="1:6" x14ac:dyDescent="0.35">
      <c r="A1528" s="2">
        <f ca="1">IFERROR(__xludf.DUMMYFUNCTION("""COMPUTED_VALUE"""),44222.6666666666)</f>
        <v>44222.666666666599</v>
      </c>
      <c r="B1528" s="1">
        <f ca="1">IFERROR(__xludf.DUMMYFUNCTION("""COMPUTED_VALUE"""),278.14)</f>
        <v>278.14</v>
      </c>
      <c r="C1528" s="1">
        <f ca="1">IFERROR(__xludf.DUMMYFUNCTION("""COMPUTED_VALUE"""),285.39)</f>
        <v>285.39</v>
      </c>
      <c r="D1528" s="1">
        <f ca="1">IFERROR(__xludf.DUMMYFUNCTION("""COMPUTED_VALUE"""),277.81)</f>
        <v>277.81</v>
      </c>
      <c r="E1528" s="1">
        <f ca="1">IFERROR(__xludf.DUMMYFUNCTION("""COMPUTED_VALUE"""),282.05)</f>
        <v>282.05</v>
      </c>
      <c r="F1528" s="1">
        <f ca="1">IFERROR(__xludf.DUMMYFUNCTION("""COMPUTED_VALUE"""),19373636)</f>
        <v>19373636</v>
      </c>
    </row>
    <row r="1529" spans="1:6" x14ac:dyDescent="0.35">
      <c r="A1529" s="2">
        <f ca="1">IFERROR(__xludf.DUMMYFUNCTION("""COMPUTED_VALUE"""),44223.6666666666)</f>
        <v>44223.666666666599</v>
      </c>
      <c r="B1529" s="1">
        <f ca="1">IFERROR(__xludf.DUMMYFUNCTION("""COMPUTED_VALUE"""),282.53)</f>
        <v>282.52999999999997</v>
      </c>
      <c r="C1529" s="1">
        <f ca="1">IFERROR(__xludf.DUMMYFUNCTION("""COMPUTED_VALUE"""),283.45)</f>
        <v>283.45</v>
      </c>
      <c r="D1529" s="1">
        <f ca="1">IFERROR(__xludf.DUMMYFUNCTION("""COMPUTED_VALUE"""),268.12)</f>
        <v>268.12</v>
      </c>
      <c r="E1529" s="1">
        <f ca="1">IFERROR(__xludf.DUMMYFUNCTION("""COMPUTED_VALUE"""),272.14)</f>
        <v>272.14</v>
      </c>
      <c r="F1529" s="1">
        <f ca="1">IFERROR(__xludf.DUMMYFUNCTION("""COMPUTED_VALUE"""),35346194)</f>
        <v>35346194</v>
      </c>
    </row>
    <row r="1530" spans="1:6" x14ac:dyDescent="0.35">
      <c r="A1530" s="2">
        <f ca="1">IFERROR(__xludf.DUMMYFUNCTION("""COMPUTED_VALUE"""),44224.6666666666)</f>
        <v>44224.666666666599</v>
      </c>
      <c r="B1530" s="1">
        <f ca="1">IFERROR(__xludf.DUMMYFUNCTION("""COMPUTED_VALUE"""),277.18)</f>
        <v>277.18</v>
      </c>
      <c r="C1530" s="1">
        <f ca="1">IFERROR(__xludf.DUMMYFUNCTION("""COMPUTED_VALUE"""),286.79)</f>
        <v>286.79000000000002</v>
      </c>
      <c r="D1530" s="1">
        <f ca="1">IFERROR(__xludf.DUMMYFUNCTION("""COMPUTED_VALUE"""),264.7)</f>
        <v>264.7</v>
      </c>
      <c r="E1530" s="1">
        <f ca="1">IFERROR(__xludf.DUMMYFUNCTION("""COMPUTED_VALUE"""),265)</f>
        <v>265</v>
      </c>
      <c r="F1530" s="1">
        <f ca="1">IFERROR(__xludf.DUMMYFUNCTION("""COMPUTED_VALUE"""),37758844)</f>
        <v>37758844</v>
      </c>
    </row>
    <row r="1531" spans="1:6" x14ac:dyDescent="0.35">
      <c r="A1531" s="2">
        <f ca="1">IFERROR(__xludf.DUMMYFUNCTION("""COMPUTED_VALUE"""),44225.6666666666)</f>
        <v>44225.666666666599</v>
      </c>
      <c r="B1531" s="1">
        <f ca="1">IFERROR(__xludf.DUMMYFUNCTION("""COMPUTED_VALUE"""),265.3)</f>
        <v>265.3</v>
      </c>
      <c r="C1531" s="1">
        <f ca="1">IFERROR(__xludf.DUMMYFUNCTION("""COMPUTED_VALUE"""),266.56)</f>
        <v>266.56</v>
      </c>
      <c r="D1531" s="1">
        <f ca="1">IFERROR(__xludf.DUMMYFUNCTION("""COMPUTED_VALUE"""),254.85)</f>
        <v>254.85</v>
      </c>
      <c r="E1531" s="1">
        <f ca="1">IFERROR(__xludf.DUMMYFUNCTION("""COMPUTED_VALUE"""),258.33)</f>
        <v>258.33</v>
      </c>
      <c r="F1531" s="1">
        <f ca="1">IFERROR(__xludf.DUMMYFUNCTION("""COMPUTED_VALUE"""),30389499)</f>
        <v>30389499</v>
      </c>
    </row>
    <row r="1532" spans="1:6" x14ac:dyDescent="0.35">
      <c r="A1532" s="2">
        <f ca="1">IFERROR(__xludf.DUMMYFUNCTION("""COMPUTED_VALUE"""),44228.6666666666)</f>
        <v>44228.666666666599</v>
      </c>
      <c r="B1532" s="1">
        <f ca="1">IFERROR(__xludf.DUMMYFUNCTION("""COMPUTED_VALUE"""),259.52)</f>
        <v>259.52</v>
      </c>
      <c r="C1532" s="1">
        <f ca="1">IFERROR(__xludf.DUMMYFUNCTION("""COMPUTED_VALUE"""),264.17)</f>
        <v>264.17</v>
      </c>
      <c r="D1532" s="1">
        <f ca="1">IFERROR(__xludf.DUMMYFUNCTION("""COMPUTED_VALUE"""),254.91)</f>
        <v>254.91</v>
      </c>
      <c r="E1532" s="1">
        <f ca="1">IFERROR(__xludf.DUMMYFUNCTION("""COMPUTED_VALUE"""),262.01)</f>
        <v>262.01</v>
      </c>
      <c r="F1532" s="1">
        <f ca="1">IFERROR(__xludf.DUMMYFUNCTION("""COMPUTED_VALUE"""),22914255)</f>
        <v>22914255</v>
      </c>
    </row>
    <row r="1533" spans="1:6" x14ac:dyDescent="0.35">
      <c r="A1533" s="2">
        <f ca="1">IFERROR(__xludf.DUMMYFUNCTION("""COMPUTED_VALUE"""),44229.6666666666)</f>
        <v>44229.666666666599</v>
      </c>
      <c r="B1533" s="1">
        <f ca="1">IFERROR(__xludf.DUMMYFUNCTION("""COMPUTED_VALUE"""),264)</f>
        <v>264</v>
      </c>
      <c r="C1533" s="1">
        <f ca="1">IFERROR(__xludf.DUMMYFUNCTION("""COMPUTED_VALUE"""),268.85)</f>
        <v>268.85000000000002</v>
      </c>
      <c r="D1533" s="1">
        <f ca="1">IFERROR(__xludf.DUMMYFUNCTION("""COMPUTED_VALUE"""),263.27)</f>
        <v>263.27</v>
      </c>
      <c r="E1533" s="1">
        <f ca="1">IFERROR(__xludf.DUMMYFUNCTION("""COMPUTED_VALUE"""),267.08)</f>
        <v>267.08</v>
      </c>
      <c r="F1533" s="1">
        <f ca="1">IFERROR(__xludf.DUMMYFUNCTION("""COMPUTED_VALUE"""),17320788)</f>
        <v>17320788</v>
      </c>
    </row>
    <row r="1534" spans="1:6" x14ac:dyDescent="0.35">
      <c r="A1534" s="2">
        <f ca="1">IFERROR(__xludf.DUMMYFUNCTION("""COMPUTED_VALUE"""),44230.6666666666)</f>
        <v>44230.666666666599</v>
      </c>
      <c r="B1534" s="1">
        <f ca="1">IFERROR(__xludf.DUMMYFUNCTION("""COMPUTED_VALUE"""),265.62)</f>
        <v>265.62</v>
      </c>
      <c r="C1534" s="1">
        <f ca="1">IFERROR(__xludf.DUMMYFUNCTION("""COMPUTED_VALUE"""),269.2)</f>
        <v>269.2</v>
      </c>
      <c r="D1534" s="1">
        <f ca="1">IFERROR(__xludf.DUMMYFUNCTION("""COMPUTED_VALUE"""),263.84)</f>
        <v>263.83999999999997</v>
      </c>
      <c r="E1534" s="1">
        <f ca="1">IFERROR(__xludf.DUMMYFUNCTION("""COMPUTED_VALUE"""),266.65)</f>
        <v>266.64999999999998</v>
      </c>
      <c r="F1534" s="1">
        <f ca="1">IFERROR(__xludf.DUMMYFUNCTION("""COMPUTED_VALUE"""),14223377)</f>
        <v>14223377</v>
      </c>
    </row>
    <row r="1535" spans="1:6" x14ac:dyDescent="0.35">
      <c r="A1535" s="2">
        <f ca="1">IFERROR(__xludf.DUMMYFUNCTION("""COMPUTED_VALUE"""),44231.6666666666)</f>
        <v>44231.666666666599</v>
      </c>
      <c r="B1535" s="1">
        <f ca="1">IFERROR(__xludf.DUMMYFUNCTION("""COMPUTED_VALUE"""),267.01)</f>
        <v>267.01</v>
      </c>
      <c r="C1535" s="1">
        <f ca="1">IFERROR(__xludf.DUMMYFUNCTION("""COMPUTED_VALUE"""),268.16)</f>
        <v>268.16000000000003</v>
      </c>
      <c r="D1535" s="1">
        <f ca="1">IFERROR(__xludf.DUMMYFUNCTION("""COMPUTED_VALUE"""),264)</f>
        <v>264</v>
      </c>
      <c r="E1535" s="1">
        <f ca="1">IFERROR(__xludf.DUMMYFUNCTION("""COMPUTED_VALUE"""),266.49)</f>
        <v>266.49</v>
      </c>
      <c r="F1535" s="1">
        <f ca="1">IFERROR(__xludf.DUMMYFUNCTION("""COMPUTED_VALUE"""),16059958)</f>
        <v>16059958</v>
      </c>
    </row>
    <row r="1536" spans="1:6" x14ac:dyDescent="0.35">
      <c r="A1536" s="2">
        <f ca="1">IFERROR(__xludf.DUMMYFUNCTION("""COMPUTED_VALUE"""),44232.6666666666)</f>
        <v>44232.666666666599</v>
      </c>
      <c r="B1536" s="1">
        <f ca="1">IFERROR(__xludf.DUMMYFUNCTION("""COMPUTED_VALUE"""),266.8)</f>
        <v>266.8</v>
      </c>
      <c r="C1536" s="1">
        <f ca="1">IFERROR(__xludf.DUMMYFUNCTION("""COMPUTED_VALUE"""),269.17)</f>
        <v>269.17</v>
      </c>
      <c r="D1536" s="1">
        <f ca="1">IFERROR(__xludf.DUMMYFUNCTION("""COMPUTED_VALUE"""),265.67)</f>
        <v>265.67</v>
      </c>
      <c r="E1536" s="1">
        <f ca="1">IFERROR(__xludf.DUMMYFUNCTION("""COMPUTED_VALUE"""),268.1)</f>
        <v>268.10000000000002</v>
      </c>
      <c r="F1536" s="1">
        <f ca="1">IFERROR(__xludf.DUMMYFUNCTION("""COMPUTED_VALUE"""),12454367)</f>
        <v>12454367</v>
      </c>
    </row>
    <row r="1537" spans="1:6" x14ac:dyDescent="0.35">
      <c r="A1537" s="2">
        <f ca="1">IFERROR(__xludf.DUMMYFUNCTION("""COMPUTED_VALUE"""),44235.6666666666)</f>
        <v>44235.666666666599</v>
      </c>
      <c r="B1537" s="1">
        <f ca="1">IFERROR(__xludf.DUMMYFUNCTION("""COMPUTED_VALUE"""),268.75)</f>
        <v>268.75</v>
      </c>
      <c r="C1537" s="1">
        <f ca="1">IFERROR(__xludf.DUMMYFUNCTION("""COMPUTED_VALUE"""),269.86)</f>
        <v>269.86</v>
      </c>
      <c r="D1537" s="1">
        <f ca="1">IFERROR(__xludf.DUMMYFUNCTION("""COMPUTED_VALUE"""),265)</f>
        <v>265</v>
      </c>
      <c r="E1537" s="1">
        <f ca="1">IFERROR(__xludf.DUMMYFUNCTION("""COMPUTED_VALUE"""),266.58)</f>
        <v>266.58</v>
      </c>
      <c r="F1537" s="1">
        <f ca="1">IFERROR(__xludf.DUMMYFUNCTION("""COMPUTED_VALUE"""),13755191)</f>
        <v>13755191</v>
      </c>
    </row>
    <row r="1538" spans="1:6" x14ac:dyDescent="0.35">
      <c r="A1538" s="2">
        <f ca="1">IFERROR(__xludf.DUMMYFUNCTION("""COMPUTED_VALUE"""),44236.6666666666)</f>
        <v>44236.666666666599</v>
      </c>
      <c r="B1538" s="1">
        <f ca="1">IFERROR(__xludf.DUMMYFUNCTION("""COMPUTED_VALUE"""),266.44)</f>
        <v>266.44</v>
      </c>
      <c r="C1538" s="1">
        <f ca="1">IFERROR(__xludf.DUMMYFUNCTION("""COMPUTED_VALUE"""),273.39)</f>
        <v>273.39</v>
      </c>
      <c r="D1538" s="1">
        <f ca="1">IFERROR(__xludf.DUMMYFUNCTION("""COMPUTED_VALUE"""),265.75)</f>
        <v>265.75</v>
      </c>
      <c r="E1538" s="1">
        <f ca="1">IFERROR(__xludf.DUMMYFUNCTION("""COMPUTED_VALUE"""),269.45)</f>
        <v>269.45</v>
      </c>
      <c r="F1538" s="1">
        <f ca="1">IFERROR(__xludf.DUMMYFUNCTION("""COMPUTED_VALUE"""),14613375)</f>
        <v>14613375</v>
      </c>
    </row>
    <row r="1539" spans="1:6" x14ac:dyDescent="0.35">
      <c r="A1539" s="2">
        <f ca="1">IFERROR(__xludf.DUMMYFUNCTION("""COMPUTED_VALUE"""),44237.6666666666)</f>
        <v>44237.666666666599</v>
      </c>
      <c r="B1539" s="1">
        <f ca="1">IFERROR(__xludf.DUMMYFUNCTION("""COMPUTED_VALUE"""),272.45)</f>
        <v>272.45</v>
      </c>
      <c r="C1539" s="1">
        <f ca="1">IFERROR(__xludf.DUMMYFUNCTION("""COMPUTED_VALUE"""),273.8)</f>
        <v>273.8</v>
      </c>
      <c r="D1539" s="1">
        <f ca="1">IFERROR(__xludf.DUMMYFUNCTION("""COMPUTED_VALUE"""),267.72)</f>
        <v>267.72000000000003</v>
      </c>
      <c r="E1539" s="1">
        <f ca="1">IFERROR(__xludf.DUMMYFUNCTION("""COMPUTED_VALUE"""),271.87)</f>
        <v>271.87</v>
      </c>
      <c r="F1539" s="1">
        <f ca="1">IFERROR(__xludf.DUMMYFUNCTION("""COMPUTED_VALUE"""),14687152)</f>
        <v>14687152</v>
      </c>
    </row>
    <row r="1540" spans="1:6" x14ac:dyDescent="0.35">
      <c r="A1540" s="2">
        <f ca="1">IFERROR(__xludf.DUMMYFUNCTION("""COMPUTED_VALUE"""),44238.6666666666)</f>
        <v>44238.666666666599</v>
      </c>
      <c r="B1540" s="1">
        <f ca="1">IFERROR(__xludf.DUMMYFUNCTION("""COMPUTED_VALUE"""),271.89)</f>
        <v>271.89</v>
      </c>
      <c r="C1540" s="1">
        <f ca="1">IFERROR(__xludf.DUMMYFUNCTION("""COMPUTED_VALUE"""),273.58)</f>
        <v>273.58</v>
      </c>
      <c r="D1540" s="1">
        <f ca="1">IFERROR(__xludf.DUMMYFUNCTION("""COMPUTED_VALUE"""),268.49)</f>
        <v>268.49</v>
      </c>
      <c r="E1540" s="1">
        <f ca="1">IFERROR(__xludf.DUMMYFUNCTION("""COMPUTED_VALUE"""),270.39)</f>
        <v>270.39</v>
      </c>
      <c r="F1540" s="1">
        <f ca="1">IFERROR(__xludf.DUMMYFUNCTION("""COMPUTED_VALUE"""),12828572)</f>
        <v>12828572</v>
      </c>
    </row>
    <row r="1541" spans="1:6" x14ac:dyDescent="0.35">
      <c r="A1541" s="2">
        <f ca="1">IFERROR(__xludf.DUMMYFUNCTION("""COMPUTED_VALUE"""),44239.6666666666)</f>
        <v>44239.666666666599</v>
      </c>
      <c r="B1541" s="1">
        <f ca="1">IFERROR(__xludf.DUMMYFUNCTION("""COMPUTED_VALUE"""),270.52)</f>
        <v>270.52</v>
      </c>
      <c r="C1541" s="1">
        <f ca="1">IFERROR(__xludf.DUMMYFUNCTION("""COMPUTED_VALUE"""),271.18)</f>
        <v>271.18</v>
      </c>
      <c r="D1541" s="1">
        <f ca="1">IFERROR(__xludf.DUMMYFUNCTION("""COMPUTED_VALUE"""),268.34)</f>
        <v>268.33999999999997</v>
      </c>
      <c r="E1541" s="1">
        <f ca="1">IFERROR(__xludf.DUMMYFUNCTION("""COMPUTED_VALUE"""),270.5)</f>
        <v>270.5</v>
      </c>
      <c r="F1541" s="1">
        <f ca="1">IFERROR(__xludf.DUMMYFUNCTION("""COMPUTED_VALUE"""),9097597)</f>
        <v>9097597</v>
      </c>
    </row>
    <row r="1542" spans="1:6" x14ac:dyDescent="0.35">
      <c r="A1542" s="2">
        <f ca="1">IFERROR(__xludf.DUMMYFUNCTION("""COMPUTED_VALUE"""),44243.6666666666)</f>
        <v>44243.666666666599</v>
      </c>
      <c r="B1542" s="1">
        <f ca="1">IFERROR(__xludf.DUMMYFUNCTION("""COMPUTED_VALUE"""),270.8)</f>
        <v>270.8</v>
      </c>
      <c r="C1542" s="1">
        <f ca="1">IFERROR(__xludf.DUMMYFUNCTION("""COMPUTED_VALUE"""),276.6)</f>
        <v>276.60000000000002</v>
      </c>
      <c r="D1542" s="1">
        <f ca="1">IFERROR(__xludf.DUMMYFUNCTION("""COMPUTED_VALUE"""),270.05)</f>
        <v>270.05</v>
      </c>
      <c r="E1542" s="1">
        <f ca="1">IFERROR(__xludf.DUMMYFUNCTION("""COMPUTED_VALUE"""),273.97)</f>
        <v>273.97000000000003</v>
      </c>
      <c r="F1542" s="1">
        <f ca="1">IFERROR(__xludf.DUMMYFUNCTION("""COMPUTED_VALUE"""),15417243)</f>
        <v>15417243</v>
      </c>
    </row>
    <row r="1543" spans="1:6" x14ac:dyDescent="0.35">
      <c r="A1543" s="2">
        <f ca="1">IFERROR(__xludf.DUMMYFUNCTION("""COMPUTED_VALUE"""),44244.6666666666)</f>
        <v>44244.666666666599</v>
      </c>
      <c r="B1543" s="1">
        <f ca="1">IFERROR(__xludf.DUMMYFUNCTION("""COMPUTED_VALUE"""),271.24)</f>
        <v>271.24</v>
      </c>
      <c r="C1543" s="1">
        <f ca="1">IFERROR(__xludf.DUMMYFUNCTION("""COMPUTED_VALUE"""),273.97)</f>
        <v>273.97000000000003</v>
      </c>
      <c r="D1543" s="1">
        <f ca="1">IFERROR(__xludf.DUMMYFUNCTION("""COMPUTED_VALUE"""),269.58)</f>
        <v>269.58</v>
      </c>
      <c r="E1543" s="1">
        <f ca="1">IFERROR(__xludf.DUMMYFUNCTION("""COMPUTED_VALUE"""),273.57)</f>
        <v>273.57</v>
      </c>
      <c r="F1543" s="1">
        <f ca="1">IFERROR(__xludf.DUMMYFUNCTION("""COMPUTED_VALUE"""),12763240)</f>
        <v>12763240</v>
      </c>
    </row>
    <row r="1544" spans="1:6" x14ac:dyDescent="0.35">
      <c r="A1544" s="2">
        <f ca="1">IFERROR(__xludf.DUMMYFUNCTION("""COMPUTED_VALUE"""),44245.6666666666)</f>
        <v>44245.666666666599</v>
      </c>
      <c r="B1544" s="1">
        <f ca="1">IFERROR(__xludf.DUMMYFUNCTION("""COMPUTED_VALUE"""),269.57)</f>
        <v>269.57</v>
      </c>
      <c r="C1544" s="1">
        <f ca="1">IFERROR(__xludf.DUMMYFUNCTION("""COMPUTED_VALUE"""),271.95)</f>
        <v>271.95</v>
      </c>
      <c r="D1544" s="1">
        <f ca="1">IFERROR(__xludf.DUMMYFUNCTION("""COMPUTED_VALUE"""),266.03)</f>
        <v>266.02999999999997</v>
      </c>
      <c r="E1544" s="1">
        <f ca="1">IFERROR(__xludf.DUMMYFUNCTION("""COMPUTED_VALUE"""),269.39)</f>
        <v>269.39</v>
      </c>
      <c r="F1544" s="1">
        <f ca="1">IFERROR(__xludf.DUMMYFUNCTION("""COMPUTED_VALUE"""),15249134)</f>
        <v>15249134</v>
      </c>
    </row>
    <row r="1545" spans="1:6" x14ac:dyDescent="0.35">
      <c r="A1545" s="2">
        <f ca="1">IFERROR(__xludf.DUMMYFUNCTION("""COMPUTED_VALUE"""),44246.6666666666)</f>
        <v>44246.666666666599</v>
      </c>
      <c r="B1545" s="1">
        <f ca="1">IFERROR(__xludf.DUMMYFUNCTION("""COMPUTED_VALUE"""),269.86)</f>
        <v>269.86</v>
      </c>
      <c r="C1545" s="1">
        <f ca="1">IFERROR(__xludf.DUMMYFUNCTION("""COMPUTED_VALUE"""),270.27)</f>
        <v>270.27</v>
      </c>
      <c r="D1545" s="1">
        <f ca="1">IFERROR(__xludf.DUMMYFUNCTION("""COMPUTED_VALUE"""),260.15)</f>
        <v>260.14999999999998</v>
      </c>
      <c r="E1545" s="1">
        <f ca="1">IFERROR(__xludf.DUMMYFUNCTION("""COMPUTED_VALUE"""),261.56)</f>
        <v>261.56</v>
      </c>
      <c r="F1545" s="1">
        <f ca="1">IFERROR(__xludf.DUMMYFUNCTION("""COMPUTED_VALUE"""),25622587)</f>
        <v>25622587</v>
      </c>
    </row>
    <row r="1546" spans="1:6" x14ac:dyDescent="0.35">
      <c r="A1546" s="2">
        <f ca="1">IFERROR(__xludf.DUMMYFUNCTION("""COMPUTED_VALUE"""),44249.6666666666)</f>
        <v>44249.666666666599</v>
      </c>
      <c r="B1546" s="1">
        <f ca="1">IFERROR(__xludf.DUMMYFUNCTION("""COMPUTED_VALUE"""),257.95)</f>
        <v>257.95</v>
      </c>
      <c r="C1546" s="1">
        <f ca="1">IFERROR(__xludf.DUMMYFUNCTION("""COMPUTED_VALUE"""),263.07)</f>
        <v>263.07</v>
      </c>
      <c r="D1546" s="1">
        <f ca="1">IFERROR(__xludf.DUMMYFUNCTION("""COMPUTED_VALUE"""),257.53)</f>
        <v>257.52999999999997</v>
      </c>
      <c r="E1546" s="1">
        <f ca="1">IFERROR(__xludf.DUMMYFUNCTION("""COMPUTED_VALUE"""),260.33)</f>
        <v>260.33</v>
      </c>
      <c r="F1546" s="1">
        <f ca="1">IFERROR(__xludf.DUMMYFUNCTION("""COMPUTED_VALUE"""),17434873)</f>
        <v>17434873</v>
      </c>
    </row>
    <row r="1547" spans="1:6" x14ac:dyDescent="0.35">
      <c r="A1547" s="2">
        <f ca="1">IFERROR(__xludf.DUMMYFUNCTION("""COMPUTED_VALUE"""),44250.6666666666)</f>
        <v>44250.666666666599</v>
      </c>
      <c r="B1547" s="1">
        <f ca="1">IFERROR(__xludf.DUMMYFUNCTION("""COMPUTED_VALUE"""),259.5)</f>
        <v>259.5</v>
      </c>
      <c r="C1547" s="1">
        <f ca="1">IFERROR(__xludf.DUMMYFUNCTION("""COMPUTED_VALUE"""),267.46)</f>
        <v>267.45999999999998</v>
      </c>
      <c r="D1547" s="1">
        <f ca="1">IFERROR(__xludf.DUMMYFUNCTION("""COMPUTED_VALUE"""),254.96)</f>
        <v>254.96</v>
      </c>
      <c r="E1547" s="1">
        <f ca="1">IFERROR(__xludf.DUMMYFUNCTION("""COMPUTED_VALUE"""),265.86)</f>
        <v>265.86</v>
      </c>
      <c r="F1547" s="1">
        <f ca="1">IFERROR(__xludf.DUMMYFUNCTION("""COMPUTED_VALUE"""),21924557)</f>
        <v>21924557</v>
      </c>
    </row>
    <row r="1548" spans="1:6" x14ac:dyDescent="0.35">
      <c r="A1548" s="2">
        <f ca="1">IFERROR(__xludf.DUMMYFUNCTION("""COMPUTED_VALUE"""),44251.6666666666)</f>
        <v>44251.666666666599</v>
      </c>
      <c r="B1548" s="1">
        <f ca="1">IFERROR(__xludf.DUMMYFUNCTION("""COMPUTED_VALUE"""),262.33)</f>
        <v>262.33</v>
      </c>
      <c r="C1548" s="1">
        <f ca="1">IFERROR(__xludf.DUMMYFUNCTION("""COMPUTED_VALUE"""),266.38)</f>
        <v>266.38</v>
      </c>
      <c r="D1548" s="1">
        <f ca="1">IFERROR(__xludf.DUMMYFUNCTION("""COMPUTED_VALUE"""),258.39)</f>
        <v>258.39</v>
      </c>
      <c r="E1548" s="1">
        <f ca="1">IFERROR(__xludf.DUMMYFUNCTION("""COMPUTED_VALUE"""),264.31)</f>
        <v>264.31</v>
      </c>
      <c r="F1548" s="1">
        <f ca="1">IFERROR(__xludf.DUMMYFUNCTION("""COMPUTED_VALUE"""),15736123)</f>
        <v>15736123</v>
      </c>
    </row>
    <row r="1549" spans="1:6" x14ac:dyDescent="0.35">
      <c r="A1549" s="2">
        <f ca="1">IFERROR(__xludf.DUMMYFUNCTION("""COMPUTED_VALUE"""),44252.6666666666)</f>
        <v>44252.666666666599</v>
      </c>
      <c r="B1549" s="1">
        <f ca="1">IFERROR(__xludf.DUMMYFUNCTION("""COMPUTED_VALUE"""),262.3)</f>
        <v>262.3</v>
      </c>
      <c r="C1549" s="1">
        <f ca="1">IFERROR(__xludf.DUMMYFUNCTION("""COMPUTED_VALUE"""),266.94)</f>
        <v>266.94</v>
      </c>
      <c r="D1549" s="1">
        <f ca="1">IFERROR(__xludf.DUMMYFUNCTION("""COMPUTED_VALUE"""),254.04)</f>
        <v>254.04</v>
      </c>
      <c r="E1549" s="1">
        <f ca="1">IFERROR(__xludf.DUMMYFUNCTION("""COMPUTED_VALUE"""),254.69)</f>
        <v>254.69</v>
      </c>
      <c r="F1549" s="1">
        <f ca="1">IFERROR(__xludf.DUMMYFUNCTION("""COMPUTED_VALUE"""),19053142)</f>
        <v>19053142</v>
      </c>
    </row>
    <row r="1550" spans="1:6" x14ac:dyDescent="0.35">
      <c r="A1550" s="2">
        <f ca="1">IFERROR(__xludf.DUMMYFUNCTION("""COMPUTED_VALUE"""),44253.6666666666)</f>
        <v>44253.666666666599</v>
      </c>
      <c r="B1550" s="1">
        <f ca="1">IFERROR(__xludf.DUMMYFUNCTION("""COMPUTED_VALUE"""),256.47)</f>
        <v>256.47000000000003</v>
      </c>
      <c r="C1550" s="1">
        <f ca="1">IFERROR(__xludf.DUMMYFUNCTION("""COMPUTED_VALUE"""),265.55)</f>
        <v>265.55</v>
      </c>
      <c r="D1550" s="1">
        <f ca="1">IFERROR(__xludf.DUMMYFUNCTION("""COMPUTED_VALUE"""),256.47)</f>
        <v>256.47000000000003</v>
      </c>
      <c r="E1550" s="1">
        <f ca="1">IFERROR(__xludf.DUMMYFUNCTION("""COMPUTED_VALUE"""),257.62)</f>
        <v>257.62</v>
      </c>
      <c r="F1550" s="1">
        <f ca="1">IFERROR(__xludf.DUMMYFUNCTION("""COMPUTED_VALUE"""),26619517)</f>
        <v>26619517</v>
      </c>
    </row>
    <row r="1551" spans="1:6" x14ac:dyDescent="0.35">
      <c r="A1551" s="2">
        <f ca="1">IFERROR(__xludf.DUMMYFUNCTION("""COMPUTED_VALUE"""),44256.6666666666)</f>
        <v>44256.666666666599</v>
      </c>
      <c r="B1551" s="1">
        <f ca="1">IFERROR(__xludf.DUMMYFUNCTION("""COMPUTED_VALUE"""),260.82)</f>
        <v>260.82</v>
      </c>
      <c r="C1551" s="1">
        <f ca="1">IFERROR(__xludf.DUMMYFUNCTION("""COMPUTED_VALUE"""),266.65)</f>
        <v>266.64999999999998</v>
      </c>
      <c r="D1551" s="1">
        <f ca="1">IFERROR(__xludf.DUMMYFUNCTION("""COMPUTED_VALUE"""),257.9)</f>
        <v>257.89999999999998</v>
      </c>
      <c r="E1551" s="1">
        <f ca="1">IFERROR(__xludf.DUMMYFUNCTION("""COMPUTED_VALUE"""),264.91)</f>
        <v>264.91000000000003</v>
      </c>
      <c r="F1551" s="1">
        <f ca="1">IFERROR(__xludf.DUMMYFUNCTION("""COMPUTED_VALUE"""),22157255)</f>
        <v>22157255</v>
      </c>
    </row>
    <row r="1552" spans="1:6" x14ac:dyDescent="0.35">
      <c r="A1552" s="2">
        <f ca="1">IFERROR(__xludf.DUMMYFUNCTION("""COMPUTED_VALUE"""),44257.6666666666)</f>
        <v>44257.666666666599</v>
      </c>
      <c r="B1552" s="1">
        <f ca="1">IFERROR(__xludf.DUMMYFUNCTION("""COMPUTED_VALUE"""),265.78)</f>
        <v>265.77999999999997</v>
      </c>
      <c r="C1552" s="1">
        <f ca="1">IFERROR(__xludf.DUMMYFUNCTION("""COMPUTED_VALUE"""),266.71)</f>
        <v>266.70999999999998</v>
      </c>
      <c r="D1552" s="1">
        <f ca="1">IFERROR(__xludf.DUMMYFUNCTION("""COMPUTED_VALUE"""),258.65)</f>
        <v>258.64999999999998</v>
      </c>
      <c r="E1552" s="1">
        <f ca="1">IFERROR(__xludf.DUMMYFUNCTION("""COMPUTED_VALUE"""),259)</f>
        <v>259</v>
      </c>
      <c r="F1552" s="1">
        <f ca="1">IFERROR(__xludf.DUMMYFUNCTION("""COMPUTED_VALUE"""),15191722)</f>
        <v>15191722</v>
      </c>
    </row>
    <row r="1553" spans="1:6" x14ac:dyDescent="0.35">
      <c r="A1553" s="2">
        <f ca="1">IFERROR(__xludf.DUMMYFUNCTION("""COMPUTED_VALUE"""),44258.6666666666)</f>
        <v>44258.666666666599</v>
      </c>
      <c r="B1553" s="1">
        <f ca="1">IFERROR(__xludf.DUMMYFUNCTION("""COMPUTED_VALUE"""),260.29)</f>
        <v>260.29000000000002</v>
      </c>
      <c r="C1553" s="1">
        <f ca="1">IFERROR(__xludf.DUMMYFUNCTION("""COMPUTED_VALUE"""),260.99)</f>
        <v>260.99</v>
      </c>
      <c r="D1553" s="1">
        <f ca="1">IFERROR(__xludf.DUMMYFUNCTION("""COMPUTED_VALUE"""),255.1)</f>
        <v>255.1</v>
      </c>
      <c r="E1553" s="1">
        <f ca="1">IFERROR(__xludf.DUMMYFUNCTION("""COMPUTED_VALUE"""),255.41)</f>
        <v>255.41</v>
      </c>
      <c r="F1553" s="1">
        <f ca="1">IFERROR(__xludf.DUMMYFUNCTION("""COMPUTED_VALUE"""),15513515)</f>
        <v>15513515</v>
      </c>
    </row>
    <row r="1554" spans="1:6" x14ac:dyDescent="0.35">
      <c r="A1554" s="2">
        <f ca="1">IFERROR(__xludf.DUMMYFUNCTION("""COMPUTED_VALUE"""),44259.6666666666)</f>
        <v>44259.666666666599</v>
      </c>
      <c r="B1554" s="1">
        <f ca="1">IFERROR(__xludf.DUMMYFUNCTION("""COMPUTED_VALUE"""),256.47)</f>
        <v>256.47000000000003</v>
      </c>
      <c r="C1554" s="1">
        <f ca="1">IFERROR(__xludf.DUMMYFUNCTION("""COMPUTED_VALUE"""),266.49)</f>
        <v>266.49</v>
      </c>
      <c r="D1554" s="1">
        <f ca="1">IFERROR(__xludf.DUMMYFUNCTION("""COMPUTED_VALUE"""),253.5)</f>
        <v>253.5</v>
      </c>
      <c r="E1554" s="1">
        <f ca="1">IFERROR(__xludf.DUMMYFUNCTION("""COMPUTED_VALUE"""),257.64)</f>
        <v>257.64</v>
      </c>
      <c r="F1554" s="1">
        <f ca="1">IFERROR(__xludf.DUMMYFUNCTION("""COMPUTED_VALUE"""),31626463)</f>
        <v>31626463</v>
      </c>
    </row>
    <row r="1555" spans="1:6" x14ac:dyDescent="0.35">
      <c r="A1555" s="2">
        <f ca="1">IFERROR(__xludf.DUMMYFUNCTION("""COMPUTED_VALUE"""),44260.6666666666)</f>
        <v>44260.666666666599</v>
      </c>
      <c r="B1555" s="1">
        <f ca="1">IFERROR(__xludf.DUMMYFUNCTION("""COMPUTED_VALUE"""),260.67)</f>
        <v>260.67</v>
      </c>
      <c r="C1555" s="1">
        <f ca="1">IFERROR(__xludf.DUMMYFUNCTION("""COMPUTED_VALUE"""),265.45)</f>
        <v>265.45</v>
      </c>
      <c r="D1555" s="1">
        <f ca="1">IFERROR(__xludf.DUMMYFUNCTION("""COMPUTED_VALUE"""),255.61)</f>
        <v>255.61</v>
      </c>
      <c r="E1555" s="1">
        <f ca="1">IFERROR(__xludf.DUMMYFUNCTION("""COMPUTED_VALUE"""),264.28)</f>
        <v>264.27999999999997</v>
      </c>
      <c r="F1555" s="1">
        <f ca="1">IFERROR(__xludf.DUMMYFUNCTION("""COMPUTED_VALUE"""),26820055)</f>
        <v>26820055</v>
      </c>
    </row>
    <row r="1556" spans="1:6" x14ac:dyDescent="0.35">
      <c r="A1556" s="2">
        <f ca="1">IFERROR(__xludf.DUMMYFUNCTION("""COMPUTED_VALUE"""),44263.6666666666)</f>
        <v>44263.666666666599</v>
      </c>
      <c r="B1556" s="1">
        <f ca="1">IFERROR(__xludf.DUMMYFUNCTION("""COMPUTED_VALUE"""),265.55)</f>
        <v>265.55</v>
      </c>
      <c r="C1556" s="1">
        <f ca="1">IFERROR(__xludf.DUMMYFUNCTION("""COMPUTED_VALUE"""),265.58)</f>
        <v>265.58</v>
      </c>
      <c r="D1556" s="1">
        <f ca="1">IFERROR(__xludf.DUMMYFUNCTION("""COMPUTED_VALUE"""),255.05)</f>
        <v>255.05</v>
      </c>
      <c r="E1556" s="1">
        <f ca="1">IFERROR(__xludf.DUMMYFUNCTION("""COMPUTED_VALUE"""),255.31)</f>
        <v>255.31</v>
      </c>
      <c r="F1556" s="1">
        <f ca="1">IFERROR(__xludf.DUMMYFUNCTION("""COMPUTED_VALUE"""),18391768)</f>
        <v>18391768</v>
      </c>
    </row>
    <row r="1557" spans="1:6" x14ac:dyDescent="0.35">
      <c r="A1557" s="2">
        <f ca="1">IFERROR(__xludf.DUMMYFUNCTION("""COMPUTED_VALUE"""),44264.6666666666)</f>
        <v>44264.666666666599</v>
      </c>
      <c r="B1557" s="1">
        <f ca="1">IFERROR(__xludf.DUMMYFUNCTION("""COMPUTED_VALUE"""),261.18)</f>
        <v>261.18</v>
      </c>
      <c r="C1557" s="1">
        <f ca="1">IFERROR(__xludf.DUMMYFUNCTION("""COMPUTED_VALUE"""),268.53)</f>
        <v>268.52999999999997</v>
      </c>
      <c r="D1557" s="1">
        <f ca="1">IFERROR(__xludf.DUMMYFUNCTION("""COMPUTED_VALUE"""),259.81)</f>
        <v>259.81</v>
      </c>
      <c r="E1557" s="1">
        <f ca="1">IFERROR(__xludf.DUMMYFUNCTION("""COMPUTED_VALUE"""),265.74)</f>
        <v>265.74</v>
      </c>
      <c r="F1557" s="1">
        <f ca="1">IFERROR(__xludf.DUMMYFUNCTION("""COMPUTED_VALUE"""),22039740)</f>
        <v>22039740</v>
      </c>
    </row>
    <row r="1558" spans="1:6" x14ac:dyDescent="0.35">
      <c r="A1558" s="2">
        <f ca="1">IFERROR(__xludf.DUMMYFUNCTION("""COMPUTED_VALUE"""),44265.6666666666)</f>
        <v>44265.666666666599</v>
      </c>
      <c r="B1558" s="1">
        <f ca="1">IFERROR(__xludf.DUMMYFUNCTION("""COMPUTED_VALUE"""),268.64)</f>
        <v>268.64</v>
      </c>
      <c r="C1558" s="1">
        <f ca="1">IFERROR(__xludf.DUMMYFUNCTION("""COMPUTED_VALUE"""),268.97)</f>
        <v>268.97000000000003</v>
      </c>
      <c r="D1558" s="1">
        <f ca="1">IFERROR(__xludf.DUMMYFUNCTION("""COMPUTED_VALUE"""),262.87)</f>
        <v>262.87</v>
      </c>
      <c r="E1558" s="1">
        <f ca="1">IFERROR(__xludf.DUMMYFUNCTION("""COMPUTED_VALUE"""),264.9)</f>
        <v>264.89999999999998</v>
      </c>
      <c r="F1558" s="1">
        <f ca="1">IFERROR(__xludf.DUMMYFUNCTION("""COMPUTED_VALUE"""),14210318)</f>
        <v>14210318</v>
      </c>
    </row>
    <row r="1559" spans="1:6" x14ac:dyDescent="0.35">
      <c r="A1559" s="2">
        <f ca="1">IFERROR(__xludf.DUMMYFUNCTION("""COMPUTED_VALUE"""),44266.6666666666)</f>
        <v>44266.666666666599</v>
      </c>
      <c r="B1559" s="1">
        <f ca="1">IFERROR(__xludf.DUMMYFUNCTION("""COMPUTED_VALUE"""),268.11)</f>
        <v>268.11</v>
      </c>
      <c r="C1559" s="1">
        <f ca="1">IFERROR(__xludf.DUMMYFUNCTION("""COMPUTED_VALUE"""),277.9)</f>
        <v>277.89999999999998</v>
      </c>
      <c r="D1559" s="1">
        <f ca="1">IFERROR(__xludf.DUMMYFUNCTION("""COMPUTED_VALUE"""),267.82)</f>
        <v>267.82</v>
      </c>
      <c r="E1559" s="1">
        <f ca="1">IFERROR(__xludf.DUMMYFUNCTION("""COMPUTED_VALUE"""),273.88)</f>
        <v>273.88</v>
      </c>
      <c r="F1559" s="1">
        <f ca="1">IFERROR(__xludf.DUMMYFUNCTION("""COMPUTED_VALUE"""),21833979)</f>
        <v>21833979</v>
      </c>
    </row>
    <row r="1560" spans="1:6" x14ac:dyDescent="0.35">
      <c r="A1560" s="2">
        <f ca="1">IFERROR(__xludf.DUMMYFUNCTION("""COMPUTED_VALUE"""),44267.6666666666)</f>
        <v>44267.666666666599</v>
      </c>
      <c r="B1560" s="1">
        <f ca="1">IFERROR(__xludf.DUMMYFUNCTION("""COMPUTED_VALUE"""),269.14)</f>
        <v>269.14</v>
      </c>
      <c r="C1560" s="1">
        <f ca="1">IFERROR(__xludf.DUMMYFUNCTION("""COMPUTED_VALUE"""),269.74)</f>
        <v>269.74</v>
      </c>
      <c r="D1560" s="1">
        <f ca="1">IFERROR(__xludf.DUMMYFUNCTION("""COMPUTED_VALUE"""),264.02)</f>
        <v>264.02</v>
      </c>
      <c r="E1560" s="1">
        <f ca="1">IFERROR(__xludf.DUMMYFUNCTION("""COMPUTED_VALUE"""),268.4)</f>
        <v>268.39999999999998</v>
      </c>
      <c r="F1560" s="1">
        <f ca="1">IFERROR(__xludf.DUMMYFUNCTION("""COMPUTED_VALUE"""),20600198)</f>
        <v>20600198</v>
      </c>
    </row>
    <row r="1561" spans="1:6" x14ac:dyDescent="0.35">
      <c r="A1561" s="2">
        <f ca="1">IFERROR(__xludf.DUMMYFUNCTION("""COMPUTED_VALUE"""),44270.6666666666)</f>
        <v>44270.666666666599</v>
      </c>
      <c r="B1561" s="1">
        <f ca="1">IFERROR(__xludf.DUMMYFUNCTION("""COMPUTED_VALUE"""),269.08)</f>
        <v>269.08</v>
      </c>
      <c r="C1561" s="1">
        <f ca="1">IFERROR(__xludf.DUMMYFUNCTION("""COMPUTED_VALUE"""),275.96)</f>
        <v>275.95999999999998</v>
      </c>
      <c r="D1561" s="1">
        <f ca="1">IFERROR(__xludf.DUMMYFUNCTION("""COMPUTED_VALUE"""),268.5)</f>
        <v>268.5</v>
      </c>
      <c r="E1561" s="1">
        <f ca="1">IFERROR(__xludf.DUMMYFUNCTION("""COMPUTED_VALUE"""),273.75)</f>
        <v>273.75</v>
      </c>
      <c r="F1561" s="1">
        <f ca="1">IFERROR(__xludf.DUMMYFUNCTION("""COMPUTED_VALUE"""),16856746)</f>
        <v>16856746</v>
      </c>
    </row>
    <row r="1562" spans="1:6" x14ac:dyDescent="0.35">
      <c r="A1562" s="2">
        <f ca="1">IFERROR(__xludf.DUMMYFUNCTION("""COMPUTED_VALUE"""),44271.6666666666)</f>
        <v>44271.666666666599</v>
      </c>
      <c r="B1562" s="1">
        <f ca="1">IFERROR(__xludf.DUMMYFUNCTION("""COMPUTED_VALUE"""),276.08)</f>
        <v>276.08</v>
      </c>
      <c r="C1562" s="1">
        <f ca="1">IFERROR(__xludf.DUMMYFUNCTION("""COMPUTED_VALUE"""),282.14)</f>
        <v>282.14</v>
      </c>
      <c r="D1562" s="1">
        <f ca="1">IFERROR(__xludf.DUMMYFUNCTION("""COMPUTED_VALUE"""),274.8)</f>
        <v>274.8</v>
      </c>
      <c r="E1562" s="1">
        <f ca="1">IFERROR(__xludf.DUMMYFUNCTION("""COMPUTED_VALUE"""),279.28)</f>
        <v>279.27999999999997</v>
      </c>
      <c r="F1562" s="1">
        <f ca="1">IFERROR(__xludf.DUMMYFUNCTION("""COMPUTED_VALUE"""),22437665)</f>
        <v>22437665</v>
      </c>
    </row>
    <row r="1563" spans="1:6" x14ac:dyDescent="0.35">
      <c r="A1563" s="2">
        <f ca="1">IFERROR(__xludf.DUMMYFUNCTION("""COMPUTED_VALUE"""),44272.6666666666)</f>
        <v>44272.666666666599</v>
      </c>
      <c r="B1563" s="1">
        <f ca="1">IFERROR(__xludf.DUMMYFUNCTION("""COMPUTED_VALUE"""),275.71)</f>
        <v>275.70999999999998</v>
      </c>
      <c r="C1563" s="1">
        <f ca="1">IFERROR(__xludf.DUMMYFUNCTION("""COMPUTED_VALUE"""),286.23)</f>
        <v>286.23</v>
      </c>
      <c r="D1563" s="1">
        <f ca="1">IFERROR(__xludf.DUMMYFUNCTION("""COMPUTED_VALUE"""),275.41)</f>
        <v>275.41000000000003</v>
      </c>
      <c r="E1563" s="1">
        <f ca="1">IFERROR(__xludf.DUMMYFUNCTION("""COMPUTED_VALUE"""),284.01)</f>
        <v>284.01</v>
      </c>
      <c r="F1563" s="1">
        <f ca="1">IFERROR(__xludf.DUMMYFUNCTION("""COMPUTED_VALUE"""),21315044)</f>
        <v>21315044</v>
      </c>
    </row>
    <row r="1564" spans="1:6" x14ac:dyDescent="0.35">
      <c r="A1564" s="2">
        <f ca="1">IFERROR(__xludf.DUMMYFUNCTION("""COMPUTED_VALUE"""),44273.6666666666)</f>
        <v>44273.666666666599</v>
      </c>
      <c r="B1564" s="1">
        <f ca="1">IFERROR(__xludf.DUMMYFUNCTION("""COMPUTED_VALUE"""),279.87)</f>
        <v>279.87</v>
      </c>
      <c r="C1564" s="1">
        <f ca="1">IFERROR(__xludf.DUMMYFUNCTION("""COMPUTED_VALUE"""),285.19)</f>
        <v>285.19</v>
      </c>
      <c r="D1564" s="1">
        <f ca="1">IFERROR(__xludf.DUMMYFUNCTION("""COMPUTED_VALUE"""),278.28)</f>
        <v>278.27999999999997</v>
      </c>
      <c r="E1564" s="1">
        <f ca="1">IFERROR(__xludf.DUMMYFUNCTION("""COMPUTED_VALUE"""),278.62)</f>
        <v>278.62</v>
      </c>
      <c r="F1564" s="1">
        <f ca="1">IFERROR(__xludf.DUMMYFUNCTION("""COMPUTED_VALUE"""),18754853)</f>
        <v>18754853</v>
      </c>
    </row>
    <row r="1565" spans="1:6" x14ac:dyDescent="0.35">
      <c r="A1565" s="2">
        <f ca="1">IFERROR(__xludf.DUMMYFUNCTION("""COMPUTED_VALUE"""),44274.6666666666)</f>
        <v>44274.666666666599</v>
      </c>
      <c r="B1565" s="1">
        <f ca="1">IFERROR(__xludf.DUMMYFUNCTION("""COMPUTED_VALUE"""),281.22)</f>
        <v>281.22000000000003</v>
      </c>
      <c r="C1565" s="1">
        <f ca="1">IFERROR(__xludf.DUMMYFUNCTION("""COMPUTED_VALUE"""),292.8)</f>
        <v>292.8</v>
      </c>
      <c r="D1565" s="1">
        <f ca="1">IFERROR(__xludf.DUMMYFUNCTION("""COMPUTED_VALUE"""),281.2)</f>
        <v>281.2</v>
      </c>
      <c r="E1565" s="1">
        <f ca="1">IFERROR(__xludf.DUMMYFUNCTION("""COMPUTED_VALUE"""),290.11)</f>
        <v>290.11</v>
      </c>
      <c r="F1565" s="1">
        <f ca="1">IFERROR(__xludf.DUMMYFUNCTION("""COMPUTED_VALUE"""),38930536)</f>
        <v>38930536</v>
      </c>
    </row>
    <row r="1566" spans="1:6" x14ac:dyDescent="0.35">
      <c r="A1566" s="2">
        <f ca="1">IFERROR(__xludf.DUMMYFUNCTION("""COMPUTED_VALUE"""),44277.6666666666)</f>
        <v>44277.666666666599</v>
      </c>
      <c r="B1566" s="1">
        <f ca="1">IFERROR(__xludf.DUMMYFUNCTION("""COMPUTED_VALUE"""),290.45)</f>
        <v>290.45</v>
      </c>
      <c r="C1566" s="1">
        <f ca="1">IFERROR(__xludf.DUMMYFUNCTION("""COMPUTED_VALUE"""),299.71)</f>
        <v>299.70999999999998</v>
      </c>
      <c r="D1566" s="1">
        <f ca="1">IFERROR(__xludf.DUMMYFUNCTION("""COMPUTED_VALUE"""),286.75)</f>
        <v>286.75</v>
      </c>
      <c r="E1566" s="1">
        <f ca="1">IFERROR(__xludf.DUMMYFUNCTION("""COMPUTED_VALUE"""),293.54)</f>
        <v>293.54000000000002</v>
      </c>
      <c r="F1566" s="1">
        <f ca="1">IFERROR(__xludf.DUMMYFUNCTION("""COMPUTED_VALUE"""),28273073)</f>
        <v>28273073</v>
      </c>
    </row>
    <row r="1567" spans="1:6" x14ac:dyDescent="0.35">
      <c r="A1567" s="2">
        <f ca="1">IFERROR(__xludf.DUMMYFUNCTION("""COMPUTED_VALUE"""),44278.6666666666)</f>
        <v>44278.666666666599</v>
      </c>
      <c r="B1567" s="1">
        <f ca="1">IFERROR(__xludf.DUMMYFUNCTION("""COMPUTED_VALUE"""),293.15)</f>
        <v>293.14999999999998</v>
      </c>
      <c r="C1567" s="1">
        <f ca="1">IFERROR(__xludf.DUMMYFUNCTION("""COMPUTED_VALUE"""),298)</f>
        <v>298</v>
      </c>
      <c r="D1567" s="1">
        <f ca="1">IFERROR(__xludf.DUMMYFUNCTION("""COMPUTED_VALUE"""),289.81)</f>
        <v>289.81</v>
      </c>
      <c r="E1567" s="1">
        <f ca="1">IFERROR(__xludf.DUMMYFUNCTION("""COMPUTED_VALUE"""),290.63)</f>
        <v>290.63</v>
      </c>
      <c r="F1567" s="1">
        <f ca="1">IFERROR(__xludf.DUMMYFUNCTION("""COMPUTED_VALUE"""),23000929)</f>
        <v>23000929</v>
      </c>
    </row>
    <row r="1568" spans="1:6" x14ac:dyDescent="0.35">
      <c r="A1568" s="2">
        <f ca="1">IFERROR(__xludf.DUMMYFUNCTION("""COMPUTED_VALUE"""),44279.6666666666)</f>
        <v>44279.666666666599</v>
      </c>
      <c r="B1568" s="1">
        <f ca="1">IFERROR(__xludf.DUMMYFUNCTION("""COMPUTED_VALUE"""),291)</f>
        <v>291</v>
      </c>
      <c r="C1568" s="1">
        <f ca="1">IFERROR(__xludf.DUMMYFUNCTION("""COMPUTED_VALUE"""),291.72)</f>
        <v>291.72000000000003</v>
      </c>
      <c r="D1568" s="1">
        <f ca="1">IFERROR(__xludf.DUMMYFUNCTION("""COMPUTED_VALUE"""),281.16)</f>
        <v>281.16000000000003</v>
      </c>
      <c r="E1568" s="1">
        <f ca="1">IFERROR(__xludf.DUMMYFUNCTION("""COMPUTED_VALUE"""),282.14)</f>
        <v>282.14</v>
      </c>
      <c r="F1568" s="1">
        <f ca="1">IFERROR(__xludf.DUMMYFUNCTION("""COMPUTED_VALUE"""),18675046)</f>
        <v>18675046</v>
      </c>
    </row>
    <row r="1569" spans="1:6" x14ac:dyDescent="0.35">
      <c r="A1569" s="2">
        <f ca="1">IFERROR(__xludf.DUMMYFUNCTION("""COMPUTED_VALUE"""),44280.6666666666)</f>
        <v>44280.666666666599</v>
      </c>
      <c r="B1569" s="1">
        <f ca="1">IFERROR(__xludf.DUMMYFUNCTION("""COMPUTED_VALUE"""),280.98)</f>
        <v>280.98</v>
      </c>
      <c r="C1569" s="1">
        <f ca="1">IFERROR(__xludf.DUMMYFUNCTION("""COMPUTED_VALUE"""),288.06)</f>
        <v>288.06</v>
      </c>
      <c r="D1569" s="1">
        <f ca="1">IFERROR(__xludf.DUMMYFUNCTION("""COMPUTED_VALUE"""),277.75)</f>
        <v>277.75</v>
      </c>
      <c r="E1569" s="1">
        <f ca="1">IFERROR(__xludf.DUMMYFUNCTION("""COMPUTED_VALUE"""),278.74)</f>
        <v>278.74</v>
      </c>
      <c r="F1569" s="1">
        <f ca="1">IFERROR(__xludf.DUMMYFUNCTION("""COMPUTED_VALUE"""),24505648)</f>
        <v>24505648</v>
      </c>
    </row>
    <row r="1570" spans="1:6" x14ac:dyDescent="0.35">
      <c r="A1570" s="2">
        <f ca="1">IFERROR(__xludf.DUMMYFUNCTION("""COMPUTED_VALUE"""),44281.6666666666)</f>
        <v>44281.666666666599</v>
      </c>
      <c r="B1570" s="1">
        <f ca="1">IFERROR(__xludf.DUMMYFUNCTION("""COMPUTED_VALUE"""),278.3)</f>
        <v>278.3</v>
      </c>
      <c r="C1570" s="1">
        <f ca="1">IFERROR(__xludf.DUMMYFUNCTION("""COMPUTED_VALUE"""),284.5)</f>
        <v>284.5</v>
      </c>
      <c r="D1570" s="1">
        <f ca="1">IFERROR(__xludf.DUMMYFUNCTION("""COMPUTED_VALUE"""),277.77)</f>
        <v>277.77</v>
      </c>
      <c r="E1570" s="1">
        <f ca="1">IFERROR(__xludf.DUMMYFUNCTION("""COMPUTED_VALUE"""),283.02)</f>
        <v>283.02</v>
      </c>
      <c r="F1570" s="1">
        <f ca="1">IFERROR(__xludf.DUMMYFUNCTION("""COMPUTED_VALUE"""),17629185)</f>
        <v>17629185</v>
      </c>
    </row>
    <row r="1571" spans="1:6" x14ac:dyDescent="0.35">
      <c r="A1571" s="2">
        <f ca="1">IFERROR(__xludf.DUMMYFUNCTION("""COMPUTED_VALUE"""),44284.6666666666)</f>
        <v>44284.666666666599</v>
      </c>
      <c r="B1571" s="1">
        <f ca="1">IFERROR(__xludf.DUMMYFUNCTION("""COMPUTED_VALUE"""),285.77)</f>
        <v>285.77</v>
      </c>
      <c r="C1571" s="1">
        <f ca="1">IFERROR(__xludf.DUMMYFUNCTION("""COMPUTED_VALUE"""),293.18)</f>
        <v>293.18</v>
      </c>
      <c r="D1571" s="1">
        <f ca="1">IFERROR(__xludf.DUMMYFUNCTION("""COMPUTED_VALUE"""),284.7)</f>
        <v>284.7</v>
      </c>
      <c r="E1571" s="1">
        <f ca="1">IFERROR(__xludf.DUMMYFUNCTION("""COMPUTED_VALUE"""),290.82)</f>
        <v>290.82</v>
      </c>
      <c r="F1571" s="1">
        <f ca="1">IFERROR(__xludf.DUMMYFUNCTION("""COMPUTED_VALUE"""),21718831)</f>
        <v>21718831</v>
      </c>
    </row>
    <row r="1572" spans="1:6" x14ac:dyDescent="0.35">
      <c r="A1572" s="2">
        <f ca="1">IFERROR(__xludf.DUMMYFUNCTION("""COMPUTED_VALUE"""),44285.6666666666)</f>
        <v>44285.666666666599</v>
      </c>
      <c r="B1572" s="1">
        <f ca="1">IFERROR(__xludf.DUMMYFUNCTION("""COMPUTED_VALUE"""),289.83)</f>
        <v>289.83</v>
      </c>
      <c r="C1572" s="1">
        <f ca="1">IFERROR(__xludf.DUMMYFUNCTION("""COMPUTED_VALUE"""),292.47)</f>
        <v>292.47000000000003</v>
      </c>
      <c r="D1572" s="1">
        <f ca="1">IFERROR(__xludf.DUMMYFUNCTION("""COMPUTED_VALUE"""),286.7)</f>
        <v>286.7</v>
      </c>
      <c r="E1572" s="1">
        <f ca="1">IFERROR(__xludf.DUMMYFUNCTION("""COMPUTED_VALUE"""),288)</f>
        <v>288</v>
      </c>
      <c r="F1572" s="1">
        <f ca="1">IFERROR(__xludf.DUMMYFUNCTION("""COMPUTED_VALUE"""),17474537)</f>
        <v>17474537</v>
      </c>
    </row>
    <row r="1573" spans="1:6" x14ac:dyDescent="0.35">
      <c r="A1573" s="2">
        <f ca="1">IFERROR(__xludf.DUMMYFUNCTION("""COMPUTED_VALUE"""),44286.6666666666)</f>
        <v>44286.666666666599</v>
      </c>
      <c r="B1573" s="1">
        <f ca="1">IFERROR(__xludf.DUMMYFUNCTION("""COMPUTED_VALUE"""),289.99)</f>
        <v>289.99</v>
      </c>
      <c r="C1573" s="1">
        <f ca="1">IFERROR(__xludf.DUMMYFUNCTION("""COMPUTED_VALUE"""),296.5)</f>
        <v>296.5</v>
      </c>
      <c r="D1573" s="1">
        <f ca="1">IFERROR(__xludf.DUMMYFUNCTION("""COMPUTED_VALUE"""),288.61)</f>
        <v>288.61</v>
      </c>
      <c r="E1573" s="1">
        <f ca="1">IFERROR(__xludf.DUMMYFUNCTION("""COMPUTED_VALUE"""),294.53)</f>
        <v>294.52999999999997</v>
      </c>
      <c r="F1573" s="1">
        <f ca="1">IFERROR(__xludf.DUMMYFUNCTION("""COMPUTED_VALUE"""),19498157)</f>
        <v>19498157</v>
      </c>
    </row>
    <row r="1574" spans="1:6" x14ac:dyDescent="0.35">
      <c r="A1574" s="2">
        <f ca="1">IFERROR(__xludf.DUMMYFUNCTION("""COMPUTED_VALUE"""),44287.6666666666)</f>
        <v>44287.666666666599</v>
      </c>
      <c r="B1574" s="1">
        <f ca="1">IFERROR(__xludf.DUMMYFUNCTION("""COMPUTED_VALUE"""),298.4)</f>
        <v>298.39999999999998</v>
      </c>
      <c r="C1574" s="1">
        <f ca="1">IFERROR(__xludf.DUMMYFUNCTION("""COMPUTED_VALUE"""),302.4)</f>
        <v>302.39999999999998</v>
      </c>
      <c r="D1574" s="1">
        <f ca="1">IFERROR(__xludf.DUMMYFUNCTION("""COMPUTED_VALUE"""),296.6)</f>
        <v>296.60000000000002</v>
      </c>
      <c r="E1574" s="1">
        <f ca="1">IFERROR(__xludf.DUMMYFUNCTION("""COMPUTED_VALUE"""),298.66)</f>
        <v>298.66000000000003</v>
      </c>
      <c r="F1574" s="1">
        <f ca="1">IFERROR(__xludf.DUMMYFUNCTION("""COMPUTED_VALUE"""),17615980)</f>
        <v>17615980</v>
      </c>
    </row>
    <row r="1575" spans="1:6" x14ac:dyDescent="0.35">
      <c r="A1575" s="2">
        <f ca="1">IFERROR(__xludf.DUMMYFUNCTION("""COMPUTED_VALUE"""),44291.6666666666)</f>
        <v>44291.666666666599</v>
      </c>
      <c r="B1575" s="1">
        <f ca="1">IFERROR(__xludf.DUMMYFUNCTION("""COMPUTED_VALUE"""),300.89)</f>
        <v>300.89</v>
      </c>
      <c r="C1575" s="1">
        <f ca="1">IFERROR(__xludf.DUMMYFUNCTION("""COMPUTED_VALUE"""),310.77)</f>
        <v>310.77</v>
      </c>
      <c r="D1575" s="1">
        <f ca="1">IFERROR(__xludf.DUMMYFUNCTION("""COMPUTED_VALUE"""),300.68)</f>
        <v>300.68</v>
      </c>
      <c r="E1575" s="1">
        <f ca="1">IFERROR(__xludf.DUMMYFUNCTION("""COMPUTED_VALUE"""),308.91)</f>
        <v>308.91000000000003</v>
      </c>
      <c r="F1575" s="1">
        <f ca="1">IFERROR(__xludf.DUMMYFUNCTION("""COMPUTED_VALUE"""),28237006)</f>
        <v>28237006</v>
      </c>
    </row>
    <row r="1576" spans="1:6" x14ac:dyDescent="0.35">
      <c r="A1576" s="2">
        <f ca="1">IFERROR(__xludf.DUMMYFUNCTION("""COMPUTED_VALUE"""),44292.6666666666)</f>
        <v>44292.666666666599</v>
      </c>
      <c r="B1576" s="1">
        <f ca="1">IFERROR(__xludf.DUMMYFUNCTION("""COMPUTED_VALUE"""),308.84)</f>
        <v>308.83999999999997</v>
      </c>
      <c r="C1576" s="1">
        <f ca="1">IFERROR(__xludf.DUMMYFUNCTION("""COMPUTED_VALUE"""),311.35)</f>
        <v>311.35000000000002</v>
      </c>
      <c r="D1576" s="1">
        <f ca="1">IFERROR(__xludf.DUMMYFUNCTION("""COMPUTED_VALUE"""),305.25)</f>
        <v>305.25</v>
      </c>
      <c r="E1576" s="1">
        <f ca="1">IFERROR(__xludf.DUMMYFUNCTION("""COMPUTED_VALUE"""),306.26)</f>
        <v>306.26</v>
      </c>
      <c r="F1576" s="1">
        <f ca="1">IFERROR(__xludf.DUMMYFUNCTION("""COMPUTED_VALUE"""),17335246)</f>
        <v>17335246</v>
      </c>
    </row>
    <row r="1577" spans="1:6" x14ac:dyDescent="0.35">
      <c r="A1577" s="2">
        <f ca="1">IFERROR(__xludf.DUMMYFUNCTION("""COMPUTED_VALUE"""),44293.6666666666)</f>
        <v>44293.666666666599</v>
      </c>
      <c r="B1577" s="1">
        <f ca="1">IFERROR(__xludf.DUMMYFUNCTION("""COMPUTED_VALUE"""),306.34)</f>
        <v>306.33999999999997</v>
      </c>
      <c r="C1577" s="1">
        <f ca="1">IFERROR(__xludf.DUMMYFUNCTION("""COMPUTED_VALUE"""),314.25)</f>
        <v>314.25</v>
      </c>
      <c r="D1577" s="1">
        <f ca="1">IFERROR(__xludf.DUMMYFUNCTION("""COMPUTED_VALUE"""),305.5)</f>
        <v>305.5</v>
      </c>
      <c r="E1577" s="1">
        <f ca="1">IFERROR(__xludf.DUMMYFUNCTION("""COMPUTED_VALUE"""),313.09)</f>
        <v>313.08999999999997</v>
      </c>
      <c r="F1577" s="1">
        <f ca="1">IFERROR(__xludf.DUMMYFUNCTION("""COMPUTED_VALUE"""),22855241)</f>
        <v>22855241</v>
      </c>
    </row>
    <row r="1578" spans="1:6" x14ac:dyDescent="0.35">
      <c r="A1578" s="2">
        <f ca="1">IFERROR(__xludf.DUMMYFUNCTION("""COMPUTED_VALUE"""),44294.6666666666)</f>
        <v>44294.666666666599</v>
      </c>
      <c r="B1578" s="1">
        <f ca="1">IFERROR(__xludf.DUMMYFUNCTION("""COMPUTED_VALUE"""),314.85)</f>
        <v>314.85000000000002</v>
      </c>
      <c r="C1578" s="1">
        <f ca="1">IFERROR(__xludf.DUMMYFUNCTION("""COMPUTED_VALUE"""),315.88)</f>
        <v>315.88</v>
      </c>
      <c r="D1578" s="1">
        <f ca="1">IFERROR(__xludf.DUMMYFUNCTION("""COMPUTED_VALUE"""),310.05)</f>
        <v>310.05</v>
      </c>
      <c r="E1578" s="1">
        <f ca="1">IFERROR(__xludf.DUMMYFUNCTION("""COMPUTED_VALUE"""),313.02)</f>
        <v>313.02</v>
      </c>
      <c r="F1578" s="1">
        <f ca="1">IFERROR(__xludf.DUMMYFUNCTION("""COMPUTED_VALUE"""),20894148)</f>
        <v>20894148</v>
      </c>
    </row>
    <row r="1579" spans="1:6" x14ac:dyDescent="0.35">
      <c r="A1579" s="2">
        <f ca="1">IFERROR(__xludf.DUMMYFUNCTION("""COMPUTED_VALUE"""),44295.6666666666)</f>
        <v>44295.666666666599</v>
      </c>
      <c r="B1579" s="1">
        <f ca="1">IFERROR(__xludf.DUMMYFUNCTION("""COMPUTED_VALUE"""),311.4)</f>
        <v>311.39999999999998</v>
      </c>
      <c r="C1579" s="1">
        <f ca="1">IFERROR(__xludf.DUMMYFUNCTION("""COMPUTED_VALUE"""),314.74)</f>
        <v>314.74</v>
      </c>
      <c r="D1579" s="1">
        <f ca="1">IFERROR(__xludf.DUMMYFUNCTION("""COMPUTED_VALUE"""),310.33)</f>
        <v>310.33</v>
      </c>
      <c r="E1579" s="1">
        <f ca="1">IFERROR(__xludf.DUMMYFUNCTION("""COMPUTED_VALUE"""),312.46)</f>
        <v>312.45999999999998</v>
      </c>
      <c r="F1579" s="1">
        <f ca="1">IFERROR(__xludf.DUMMYFUNCTION("""COMPUTED_VALUE"""),15988568)</f>
        <v>15988568</v>
      </c>
    </row>
    <row r="1580" spans="1:6" x14ac:dyDescent="0.35">
      <c r="A1580" s="2">
        <f ca="1">IFERROR(__xludf.DUMMYFUNCTION("""COMPUTED_VALUE"""),44298.6666666666)</f>
        <v>44298.666666666599</v>
      </c>
      <c r="B1580" s="1">
        <f ca="1">IFERROR(__xludf.DUMMYFUNCTION("""COMPUTED_VALUE"""),311.05)</f>
        <v>311.05</v>
      </c>
      <c r="C1580" s="1">
        <f ca="1">IFERROR(__xludf.DUMMYFUNCTION("""COMPUTED_VALUE"""),312.15)</f>
        <v>312.14999999999998</v>
      </c>
      <c r="D1580" s="1">
        <f ca="1">IFERROR(__xludf.DUMMYFUNCTION("""COMPUTED_VALUE"""),307.93)</f>
        <v>307.93</v>
      </c>
      <c r="E1580" s="1">
        <f ca="1">IFERROR(__xludf.DUMMYFUNCTION("""COMPUTED_VALUE"""),311.54)</f>
        <v>311.54000000000002</v>
      </c>
      <c r="F1580" s="1">
        <f ca="1">IFERROR(__xludf.DUMMYFUNCTION("""COMPUTED_VALUE"""),10881935)</f>
        <v>10881935</v>
      </c>
    </row>
    <row r="1581" spans="1:6" x14ac:dyDescent="0.35">
      <c r="A1581" s="2">
        <f ca="1">IFERROR(__xludf.DUMMYFUNCTION("""COMPUTED_VALUE"""),44299.6666666666)</f>
        <v>44299.666666666599</v>
      </c>
      <c r="B1581" s="1">
        <f ca="1">IFERROR(__xludf.DUMMYFUNCTION("""COMPUTED_VALUE"""),312.21)</f>
        <v>312.20999999999998</v>
      </c>
      <c r="C1581" s="1">
        <f ca="1">IFERROR(__xludf.DUMMYFUNCTION("""COMPUTED_VALUE"""),314.43)</f>
        <v>314.43</v>
      </c>
      <c r="D1581" s="1">
        <f ca="1">IFERROR(__xludf.DUMMYFUNCTION("""COMPUTED_VALUE"""),309.32)</f>
        <v>309.32</v>
      </c>
      <c r="E1581" s="1">
        <f ca="1">IFERROR(__xludf.DUMMYFUNCTION("""COMPUTED_VALUE"""),309.76)</f>
        <v>309.76</v>
      </c>
      <c r="F1581" s="1">
        <f ca="1">IFERROR(__xludf.DUMMYFUNCTION("""COMPUTED_VALUE"""),14036927)</f>
        <v>14036927</v>
      </c>
    </row>
    <row r="1582" spans="1:6" x14ac:dyDescent="0.35">
      <c r="A1582" s="2">
        <f ca="1">IFERROR(__xludf.DUMMYFUNCTION("""COMPUTED_VALUE"""),44300.6666666666)</f>
        <v>44300.666666666599</v>
      </c>
      <c r="B1582" s="1">
        <f ca="1">IFERROR(__xludf.DUMMYFUNCTION("""COMPUTED_VALUE"""),307.3)</f>
        <v>307.3</v>
      </c>
      <c r="C1582" s="1">
        <f ca="1">IFERROR(__xludf.DUMMYFUNCTION("""COMPUTED_VALUE"""),308.03)</f>
        <v>308.02999999999997</v>
      </c>
      <c r="D1582" s="1">
        <f ca="1">IFERROR(__xludf.DUMMYFUNCTION("""COMPUTED_VALUE"""),301.95)</f>
        <v>301.95</v>
      </c>
      <c r="E1582" s="1">
        <f ca="1">IFERROR(__xludf.DUMMYFUNCTION("""COMPUTED_VALUE"""),302.82)</f>
        <v>302.82</v>
      </c>
      <c r="F1582" s="1">
        <f ca="1">IFERROR(__xludf.DUMMYFUNCTION("""COMPUTED_VALUE"""),17421393)</f>
        <v>17421393</v>
      </c>
    </row>
    <row r="1583" spans="1:6" x14ac:dyDescent="0.35">
      <c r="A1583" s="2">
        <f ca="1">IFERROR(__xludf.DUMMYFUNCTION("""COMPUTED_VALUE"""),44301.6666666666)</f>
        <v>44301.666666666599</v>
      </c>
      <c r="B1583" s="1">
        <f ca="1">IFERROR(__xludf.DUMMYFUNCTION("""COMPUTED_VALUE"""),306.34)</f>
        <v>306.33999999999997</v>
      </c>
      <c r="C1583" s="1">
        <f ca="1">IFERROR(__xludf.DUMMYFUNCTION("""COMPUTED_VALUE"""),310.14)</f>
        <v>310.14</v>
      </c>
      <c r="D1583" s="1">
        <f ca="1">IFERROR(__xludf.DUMMYFUNCTION("""COMPUTED_VALUE"""),304.1)</f>
        <v>304.10000000000002</v>
      </c>
      <c r="E1583" s="1">
        <f ca="1">IFERROR(__xludf.DUMMYFUNCTION("""COMPUTED_VALUE"""),307.82)</f>
        <v>307.82</v>
      </c>
      <c r="F1583" s="1">
        <f ca="1">IFERROR(__xludf.DUMMYFUNCTION("""COMPUTED_VALUE"""),14558273)</f>
        <v>14558273</v>
      </c>
    </row>
    <row r="1584" spans="1:6" x14ac:dyDescent="0.35">
      <c r="A1584" s="2">
        <f ca="1">IFERROR(__xludf.DUMMYFUNCTION("""COMPUTED_VALUE"""),44302.6666666666)</f>
        <v>44302.666666666599</v>
      </c>
      <c r="B1584" s="1">
        <f ca="1">IFERROR(__xludf.DUMMYFUNCTION("""COMPUTED_VALUE"""),308.17)</f>
        <v>308.17</v>
      </c>
      <c r="C1584" s="1">
        <f ca="1">IFERROR(__xludf.DUMMYFUNCTION("""COMPUTED_VALUE"""),308.95)</f>
        <v>308.95</v>
      </c>
      <c r="D1584" s="1">
        <f ca="1">IFERROR(__xludf.DUMMYFUNCTION("""COMPUTED_VALUE"""),304.61)</f>
        <v>304.61</v>
      </c>
      <c r="E1584" s="1">
        <f ca="1">IFERROR(__xludf.DUMMYFUNCTION("""COMPUTED_VALUE"""),306.18)</f>
        <v>306.18</v>
      </c>
      <c r="F1584" s="1">
        <f ca="1">IFERROR(__xludf.DUMMYFUNCTION("""COMPUTED_VALUE"""),13059163)</f>
        <v>13059163</v>
      </c>
    </row>
    <row r="1585" spans="1:6" x14ac:dyDescent="0.35">
      <c r="A1585" s="2">
        <f ca="1">IFERROR(__xludf.DUMMYFUNCTION("""COMPUTED_VALUE"""),44305.6666666666)</f>
        <v>44305.666666666599</v>
      </c>
      <c r="B1585" s="1">
        <f ca="1">IFERROR(__xludf.DUMMYFUNCTION("""COMPUTED_VALUE"""),305.01)</f>
        <v>305.01</v>
      </c>
      <c r="C1585" s="1">
        <f ca="1">IFERROR(__xludf.DUMMYFUNCTION("""COMPUTED_VALUE"""),307.7)</f>
        <v>307.7</v>
      </c>
      <c r="D1585" s="1">
        <f ca="1">IFERROR(__xludf.DUMMYFUNCTION("""COMPUTED_VALUE"""),300.56)</f>
        <v>300.56</v>
      </c>
      <c r="E1585" s="1">
        <f ca="1">IFERROR(__xludf.DUMMYFUNCTION("""COMPUTED_VALUE"""),302.24)</f>
        <v>302.24</v>
      </c>
      <c r="F1585" s="1">
        <f ca="1">IFERROR(__xludf.DUMMYFUNCTION("""COMPUTED_VALUE"""),14553507)</f>
        <v>14553507</v>
      </c>
    </row>
    <row r="1586" spans="1:6" x14ac:dyDescent="0.35">
      <c r="A1586" s="2">
        <f ca="1">IFERROR(__xludf.DUMMYFUNCTION("""COMPUTED_VALUE"""),44306.6666666666)</f>
        <v>44306.666666666599</v>
      </c>
      <c r="B1586" s="1">
        <f ca="1">IFERROR(__xludf.DUMMYFUNCTION("""COMPUTED_VALUE"""),301.99)</f>
        <v>301.99</v>
      </c>
      <c r="C1586" s="1">
        <f ca="1">IFERROR(__xludf.DUMMYFUNCTION("""COMPUTED_VALUE"""),305.1)</f>
        <v>305.10000000000002</v>
      </c>
      <c r="D1586" s="1">
        <f ca="1">IFERROR(__xludf.DUMMYFUNCTION("""COMPUTED_VALUE"""),297.21)</f>
        <v>297.20999999999998</v>
      </c>
      <c r="E1586" s="1">
        <f ca="1">IFERROR(__xludf.DUMMYFUNCTION("""COMPUTED_VALUE"""),302.65)</f>
        <v>302.64999999999998</v>
      </c>
      <c r="F1586" s="1">
        <f ca="1">IFERROR(__xludf.DUMMYFUNCTION("""COMPUTED_VALUE"""),16796442)</f>
        <v>16796442</v>
      </c>
    </row>
    <row r="1587" spans="1:6" x14ac:dyDescent="0.35">
      <c r="A1587" s="2">
        <f ca="1">IFERROR(__xludf.DUMMYFUNCTION("""COMPUTED_VALUE"""),44307.6666666666)</f>
        <v>44307.666666666599</v>
      </c>
      <c r="B1587" s="1">
        <f ca="1">IFERROR(__xludf.DUMMYFUNCTION("""COMPUTED_VALUE"""),301.95)</f>
        <v>301.95</v>
      </c>
      <c r="C1587" s="1">
        <f ca="1">IFERROR(__xludf.DUMMYFUNCTION("""COMPUTED_VALUE"""),301.98)</f>
        <v>301.98</v>
      </c>
      <c r="D1587" s="1">
        <f ca="1">IFERROR(__xludf.DUMMYFUNCTION("""COMPUTED_VALUE"""),297.39)</f>
        <v>297.39</v>
      </c>
      <c r="E1587" s="1">
        <f ca="1">IFERROR(__xludf.DUMMYFUNCTION("""COMPUTED_VALUE"""),301.47)</f>
        <v>301.47000000000003</v>
      </c>
      <c r="F1587" s="1">
        <f ca="1">IFERROR(__xludf.DUMMYFUNCTION("""COMPUTED_VALUE"""),14863474)</f>
        <v>14863474</v>
      </c>
    </row>
    <row r="1588" spans="1:6" x14ac:dyDescent="0.35">
      <c r="A1588" s="2">
        <f ca="1">IFERROR(__xludf.DUMMYFUNCTION("""COMPUTED_VALUE"""),44308.6666666666)</f>
        <v>44308.666666666599</v>
      </c>
      <c r="B1588" s="1">
        <f ca="1">IFERROR(__xludf.DUMMYFUNCTION("""COMPUTED_VALUE"""),301.33)</f>
        <v>301.33</v>
      </c>
      <c r="C1588" s="1">
        <f ca="1">IFERROR(__xludf.DUMMYFUNCTION("""COMPUTED_VALUE"""),302.92)</f>
        <v>302.92</v>
      </c>
      <c r="D1588" s="1">
        <f ca="1">IFERROR(__xludf.DUMMYFUNCTION("""COMPUTED_VALUE"""),296.04)</f>
        <v>296.04000000000002</v>
      </c>
      <c r="E1588" s="1">
        <f ca="1">IFERROR(__xludf.DUMMYFUNCTION("""COMPUTED_VALUE"""),296.52)</f>
        <v>296.52</v>
      </c>
      <c r="F1588" s="1">
        <f ca="1">IFERROR(__xludf.DUMMYFUNCTION("""COMPUTED_VALUE"""),16375350)</f>
        <v>16375350</v>
      </c>
    </row>
    <row r="1589" spans="1:6" x14ac:dyDescent="0.35">
      <c r="A1589" s="2">
        <f ca="1">IFERROR(__xludf.DUMMYFUNCTION("""COMPUTED_VALUE"""),44309.6666666666)</f>
        <v>44309.666666666599</v>
      </c>
      <c r="B1589" s="1">
        <f ca="1">IFERROR(__xludf.DUMMYFUNCTION("""COMPUTED_VALUE"""),298.76)</f>
        <v>298.76</v>
      </c>
      <c r="C1589" s="1">
        <f ca="1">IFERROR(__xludf.DUMMYFUNCTION("""COMPUTED_VALUE"""),302.59)</f>
        <v>302.58999999999997</v>
      </c>
      <c r="D1589" s="1">
        <f ca="1">IFERROR(__xludf.DUMMYFUNCTION("""COMPUTED_VALUE"""),297.15)</f>
        <v>297.14999999999998</v>
      </c>
      <c r="E1589" s="1">
        <f ca="1">IFERROR(__xludf.DUMMYFUNCTION("""COMPUTED_VALUE"""),301.13)</f>
        <v>301.13</v>
      </c>
      <c r="F1589" s="1">
        <f ca="1">IFERROR(__xludf.DUMMYFUNCTION("""COMPUTED_VALUE"""),17559498)</f>
        <v>17559498</v>
      </c>
    </row>
    <row r="1590" spans="1:6" x14ac:dyDescent="0.35">
      <c r="A1590" s="2">
        <f ca="1">IFERROR(__xludf.DUMMYFUNCTION("""COMPUTED_VALUE"""),44312.6666666666)</f>
        <v>44312.666666666599</v>
      </c>
      <c r="B1590" s="1">
        <f ca="1">IFERROR(__xludf.DUMMYFUNCTION("""COMPUTED_VALUE"""),303.34)</f>
        <v>303.33999999999997</v>
      </c>
      <c r="C1590" s="1">
        <f ca="1">IFERROR(__xludf.DUMMYFUNCTION("""COMPUTED_VALUE"""),305.8)</f>
        <v>305.8</v>
      </c>
      <c r="D1590" s="1">
        <f ca="1">IFERROR(__xludf.DUMMYFUNCTION("""COMPUTED_VALUE"""),301.56)</f>
        <v>301.56</v>
      </c>
      <c r="E1590" s="1">
        <f ca="1">IFERROR(__xludf.DUMMYFUNCTION("""COMPUTED_VALUE"""),303.04)</f>
        <v>303.04000000000002</v>
      </c>
      <c r="F1590" s="1">
        <f ca="1">IFERROR(__xludf.DUMMYFUNCTION("""COMPUTED_VALUE"""),16172593)</f>
        <v>16172593</v>
      </c>
    </row>
    <row r="1591" spans="1:6" x14ac:dyDescent="0.35">
      <c r="A1591" s="2">
        <f ca="1">IFERROR(__xludf.DUMMYFUNCTION("""COMPUTED_VALUE"""),44313.6666666666)</f>
        <v>44313.666666666599</v>
      </c>
      <c r="B1591" s="1">
        <f ca="1">IFERROR(__xludf.DUMMYFUNCTION("""COMPUTED_VALUE"""),304.28)</f>
        <v>304.27999999999997</v>
      </c>
      <c r="C1591" s="1">
        <f ca="1">IFERROR(__xludf.DUMMYFUNCTION("""COMPUTED_VALUE"""),305.34)</f>
        <v>305.33999999999997</v>
      </c>
      <c r="D1591" s="1">
        <f ca="1">IFERROR(__xludf.DUMMYFUNCTION("""COMPUTED_VALUE"""),301.11)</f>
        <v>301.11</v>
      </c>
      <c r="E1591" s="1">
        <f ca="1">IFERROR(__xludf.DUMMYFUNCTION("""COMPUTED_VALUE"""),303.57)</f>
        <v>303.57</v>
      </c>
      <c r="F1591" s="1">
        <f ca="1">IFERROR(__xludf.DUMMYFUNCTION("""COMPUTED_VALUE"""),15309256)</f>
        <v>15309256</v>
      </c>
    </row>
    <row r="1592" spans="1:6" x14ac:dyDescent="0.35">
      <c r="A1592" s="2">
        <f ca="1">IFERROR(__xludf.DUMMYFUNCTION("""COMPUTED_VALUE"""),44314.6666666666)</f>
        <v>44314.666666666599</v>
      </c>
      <c r="B1592" s="1">
        <f ca="1">IFERROR(__xludf.DUMMYFUNCTION("""COMPUTED_VALUE"""),307.36)</f>
        <v>307.36</v>
      </c>
      <c r="C1592" s="1">
        <f ca="1">IFERROR(__xludf.DUMMYFUNCTION("""COMPUTED_VALUE"""),310.92)</f>
        <v>310.92</v>
      </c>
      <c r="D1592" s="1">
        <f ca="1">IFERROR(__xludf.DUMMYFUNCTION("""COMPUTED_VALUE"""),305.37)</f>
        <v>305.37</v>
      </c>
      <c r="E1592" s="1">
        <f ca="1">IFERROR(__xludf.DUMMYFUNCTION("""COMPUTED_VALUE"""),307.1)</f>
        <v>307.10000000000002</v>
      </c>
      <c r="F1592" s="1">
        <f ca="1">IFERROR(__xludf.DUMMYFUNCTION("""COMPUTED_VALUE"""),33907210)</f>
        <v>33907210</v>
      </c>
    </row>
    <row r="1593" spans="1:6" x14ac:dyDescent="0.35">
      <c r="A1593" s="2">
        <f ca="1">IFERROR(__xludf.DUMMYFUNCTION("""COMPUTED_VALUE"""),44315.6666666666)</f>
        <v>44315.666666666599</v>
      </c>
      <c r="B1593" s="1">
        <f ca="1">IFERROR(__xludf.DUMMYFUNCTION("""COMPUTED_VALUE"""),330.12)</f>
        <v>330.12</v>
      </c>
      <c r="C1593" s="1">
        <f ca="1">IFERROR(__xludf.DUMMYFUNCTION("""COMPUTED_VALUE"""),331.81)</f>
        <v>331.81</v>
      </c>
      <c r="D1593" s="1">
        <f ca="1">IFERROR(__xludf.DUMMYFUNCTION("""COMPUTED_VALUE"""),321.61)</f>
        <v>321.61</v>
      </c>
      <c r="E1593" s="1">
        <f ca="1">IFERROR(__xludf.DUMMYFUNCTION("""COMPUTED_VALUE"""),329.51)</f>
        <v>329.51</v>
      </c>
      <c r="F1593" s="1">
        <f ca="1">IFERROR(__xludf.DUMMYFUNCTION("""COMPUTED_VALUE"""),56526771)</f>
        <v>56526771</v>
      </c>
    </row>
    <row r="1594" spans="1:6" x14ac:dyDescent="0.35">
      <c r="A1594" s="2">
        <f ca="1">IFERROR(__xludf.DUMMYFUNCTION("""COMPUTED_VALUE"""),44316.6666666666)</f>
        <v>44316.666666666599</v>
      </c>
      <c r="B1594" s="1">
        <f ca="1">IFERROR(__xludf.DUMMYFUNCTION("""COMPUTED_VALUE"""),326.14)</f>
        <v>326.14</v>
      </c>
      <c r="C1594" s="1">
        <f ca="1">IFERROR(__xludf.DUMMYFUNCTION("""COMPUTED_VALUE"""),329.82)</f>
        <v>329.82</v>
      </c>
      <c r="D1594" s="1">
        <f ca="1">IFERROR(__xludf.DUMMYFUNCTION("""COMPUTED_VALUE"""),324.5)</f>
        <v>324.5</v>
      </c>
      <c r="E1594" s="1">
        <f ca="1">IFERROR(__xludf.DUMMYFUNCTION("""COMPUTED_VALUE"""),325.08)</f>
        <v>325.08</v>
      </c>
      <c r="F1594" s="1">
        <f ca="1">IFERROR(__xludf.DUMMYFUNCTION("""COMPUTED_VALUE"""),26332423)</f>
        <v>26332423</v>
      </c>
    </row>
    <row r="1595" spans="1:6" x14ac:dyDescent="0.35">
      <c r="A1595" s="2">
        <f ca="1">IFERROR(__xludf.DUMMYFUNCTION("""COMPUTED_VALUE"""),44319.6666666666)</f>
        <v>44319.666666666599</v>
      </c>
      <c r="B1595" s="1">
        <f ca="1">IFERROR(__xludf.DUMMYFUNCTION("""COMPUTED_VALUE"""),326.17)</f>
        <v>326.17</v>
      </c>
      <c r="C1595" s="1">
        <f ca="1">IFERROR(__xludf.DUMMYFUNCTION("""COMPUTED_VALUE"""),328.55)</f>
        <v>328.55</v>
      </c>
      <c r="D1595" s="1">
        <f ca="1">IFERROR(__xludf.DUMMYFUNCTION("""COMPUTED_VALUE"""),321.84)</f>
        <v>321.83999999999997</v>
      </c>
      <c r="E1595" s="1">
        <f ca="1">IFERROR(__xludf.DUMMYFUNCTION("""COMPUTED_VALUE"""),322.58)</f>
        <v>322.58</v>
      </c>
      <c r="F1595" s="1">
        <f ca="1">IFERROR(__xludf.DUMMYFUNCTION("""COMPUTED_VALUE"""),18719462)</f>
        <v>18719462</v>
      </c>
    </row>
    <row r="1596" spans="1:6" x14ac:dyDescent="0.35">
      <c r="A1596" s="2">
        <f ca="1">IFERROR(__xludf.DUMMYFUNCTION("""COMPUTED_VALUE"""),44320.6666666666)</f>
        <v>44320.666666666599</v>
      </c>
      <c r="B1596" s="1">
        <f ca="1">IFERROR(__xludf.DUMMYFUNCTION("""COMPUTED_VALUE"""),320.02)</f>
        <v>320.02</v>
      </c>
      <c r="C1596" s="1">
        <f ca="1">IFERROR(__xludf.DUMMYFUNCTION("""COMPUTED_VALUE"""),322.19)</f>
        <v>322.19</v>
      </c>
      <c r="D1596" s="1">
        <f ca="1">IFERROR(__xludf.DUMMYFUNCTION("""COMPUTED_VALUE"""),313.12)</f>
        <v>313.12</v>
      </c>
      <c r="E1596" s="1">
        <f ca="1">IFERROR(__xludf.DUMMYFUNCTION("""COMPUTED_VALUE"""),318.36)</f>
        <v>318.36</v>
      </c>
      <c r="F1596" s="1">
        <f ca="1">IFERROR(__xludf.DUMMYFUNCTION("""COMPUTED_VALUE"""),24032557)</f>
        <v>24032557</v>
      </c>
    </row>
    <row r="1597" spans="1:6" x14ac:dyDescent="0.35">
      <c r="A1597" s="2">
        <f ca="1">IFERROR(__xludf.DUMMYFUNCTION("""COMPUTED_VALUE"""),44321.6666666666)</f>
        <v>44321.666666666599</v>
      </c>
      <c r="B1597" s="1">
        <f ca="1">IFERROR(__xludf.DUMMYFUNCTION("""COMPUTED_VALUE"""),318.19)</f>
        <v>318.19</v>
      </c>
      <c r="C1597" s="1">
        <f ca="1">IFERROR(__xludf.DUMMYFUNCTION("""COMPUTED_VALUE"""),321.06)</f>
        <v>321.06</v>
      </c>
      <c r="D1597" s="1">
        <f ca="1">IFERROR(__xludf.DUMMYFUNCTION("""COMPUTED_VALUE"""),314.49)</f>
        <v>314.49</v>
      </c>
      <c r="E1597" s="1">
        <f ca="1">IFERROR(__xludf.DUMMYFUNCTION("""COMPUTED_VALUE"""),315.02)</f>
        <v>315.02</v>
      </c>
      <c r="F1597" s="1">
        <f ca="1">IFERROR(__xludf.DUMMYFUNCTION("""COMPUTED_VALUE"""),15577605)</f>
        <v>15577605</v>
      </c>
    </row>
    <row r="1598" spans="1:6" x14ac:dyDescent="0.35">
      <c r="A1598" s="2">
        <f ca="1">IFERROR(__xludf.DUMMYFUNCTION("""COMPUTED_VALUE"""),44322.6666666666)</f>
        <v>44322.666666666599</v>
      </c>
      <c r="B1598" s="1">
        <f ca="1">IFERROR(__xludf.DUMMYFUNCTION("""COMPUTED_VALUE"""),314.52)</f>
        <v>314.52</v>
      </c>
      <c r="C1598" s="1">
        <f ca="1">IFERROR(__xludf.DUMMYFUNCTION("""COMPUTED_VALUE"""),320.24)</f>
        <v>320.24</v>
      </c>
      <c r="D1598" s="1">
        <f ca="1">IFERROR(__xludf.DUMMYFUNCTION("""COMPUTED_VALUE"""),313.27)</f>
        <v>313.27</v>
      </c>
      <c r="E1598" s="1">
        <f ca="1">IFERROR(__xludf.DUMMYFUNCTION("""COMPUTED_VALUE"""),320.02)</f>
        <v>320.02</v>
      </c>
      <c r="F1598" s="1">
        <f ca="1">IFERROR(__xludf.DUMMYFUNCTION("""COMPUTED_VALUE"""),19012241)</f>
        <v>19012241</v>
      </c>
    </row>
    <row r="1599" spans="1:6" x14ac:dyDescent="0.35">
      <c r="A1599" s="2">
        <f ca="1">IFERROR(__xludf.DUMMYFUNCTION("""COMPUTED_VALUE"""),44323.6666666666)</f>
        <v>44323.666666666599</v>
      </c>
      <c r="B1599" s="1">
        <f ca="1">IFERROR(__xludf.DUMMYFUNCTION("""COMPUTED_VALUE"""),322.38)</f>
        <v>322.38</v>
      </c>
      <c r="C1599" s="1">
        <f ca="1">IFERROR(__xludf.DUMMYFUNCTION("""COMPUTED_VALUE"""),322.94)</f>
        <v>322.94</v>
      </c>
      <c r="D1599" s="1">
        <f ca="1">IFERROR(__xludf.DUMMYFUNCTION("""COMPUTED_VALUE"""),318.75)</f>
        <v>318.75</v>
      </c>
      <c r="E1599" s="1">
        <f ca="1">IFERROR(__xludf.DUMMYFUNCTION("""COMPUTED_VALUE"""),319.08)</f>
        <v>319.08</v>
      </c>
      <c r="F1599" s="1">
        <f ca="1">IFERROR(__xludf.DUMMYFUNCTION("""COMPUTED_VALUE"""),15916743)</f>
        <v>15916743</v>
      </c>
    </row>
    <row r="1600" spans="1:6" x14ac:dyDescent="0.35">
      <c r="A1600" s="2">
        <f ca="1">IFERROR(__xludf.DUMMYFUNCTION("""COMPUTED_VALUE"""),44326.6666666666)</f>
        <v>44326.666666666599</v>
      </c>
      <c r="B1600" s="1">
        <f ca="1">IFERROR(__xludf.DUMMYFUNCTION("""COMPUTED_VALUE"""),314.35)</f>
        <v>314.35000000000002</v>
      </c>
      <c r="C1600" s="1">
        <f ca="1">IFERROR(__xludf.DUMMYFUNCTION("""COMPUTED_VALUE"""),314.58)</f>
        <v>314.58</v>
      </c>
      <c r="D1600" s="1">
        <f ca="1">IFERROR(__xludf.DUMMYFUNCTION("""COMPUTED_VALUE"""),304.83)</f>
        <v>304.83</v>
      </c>
      <c r="E1600" s="1">
        <f ca="1">IFERROR(__xludf.DUMMYFUNCTION("""COMPUTED_VALUE"""),305.97)</f>
        <v>305.97000000000003</v>
      </c>
      <c r="F1600" s="1">
        <f ca="1">IFERROR(__xludf.DUMMYFUNCTION("""COMPUTED_VALUE"""),24239170)</f>
        <v>24239170</v>
      </c>
    </row>
    <row r="1601" spans="1:6" x14ac:dyDescent="0.35">
      <c r="A1601" s="2">
        <f ca="1">IFERROR(__xludf.DUMMYFUNCTION("""COMPUTED_VALUE"""),44327.6666666666)</f>
        <v>44327.666666666599</v>
      </c>
      <c r="B1601" s="1">
        <f ca="1">IFERROR(__xludf.DUMMYFUNCTION("""COMPUTED_VALUE"""),300.75)</f>
        <v>300.75</v>
      </c>
      <c r="C1601" s="1">
        <f ca="1">IFERROR(__xludf.DUMMYFUNCTION("""COMPUTED_VALUE"""),306.84)</f>
        <v>306.83999999999997</v>
      </c>
      <c r="D1601" s="1">
        <f ca="1">IFERROR(__xludf.DUMMYFUNCTION("""COMPUTED_VALUE"""),299.69)</f>
        <v>299.69</v>
      </c>
      <c r="E1601" s="1">
        <f ca="1">IFERROR(__xludf.DUMMYFUNCTION("""COMPUTED_VALUE"""),306.53)</f>
        <v>306.52999999999997</v>
      </c>
      <c r="F1601" s="1">
        <f ca="1">IFERROR(__xludf.DUMMYFUNCTION("""COMPUTED_VALUE"""),18920086)</f>
        <v>18920086</v>
      </c>
    </row>
    <row r="1602" spans="1:6" x14ac:dyDescent="0.35">
      <c r="A1602" s="2">
        <f ca="1">IFERROR(__xludf.DUMMYFUNCTION("""COMPUTED_VALUE"""),44328.6666666666)</f>
        <v>44328.666666666599</v>
      </c>
      <c r="B1602" s="1">
        <f ca="1">IFERROR(__xludf.DUMMYFUNCTION("""COMPUTED_VALUE"""),301.13)</f>
        <v>301.13</v>
      </c>
      <c r="C1602" s="1">
        <f ca="1">IFERROR(__xludf.DUMMYFUNCTION("""COMPUTED_VALUE"""),304.96)</f>
        <v>304.95999999999998</v>
      </c>
      <c r="D1602" s="1">
        <f ca="1">IFERROR(__xludf.DUMMYFUNCTION("""COMPUTED_VALUE"""),298.19)</f>
        <v>298.19</v>
      </c>
      <c r="E1602" s="1">
        <f ca="1">IFERROR(__xludf.DUMMYFUNCTION("""COMPUTED_VALUE"""),302.55)</f>
        <v>302.55</v>
      </c>
      <c r="F1602" s="1">
        <f ca="1">IFERROR(__xludf.DUMMYFUNCTION("""COMPUTED_VALUE"""),24641010)</f>
        <v>24641010</v>
      </c>
    </row>
    <row r="1603" spans="1:6" x14ac:dyDescent="0.35">
      <c r="A1603" s="2">
        <f ca="1">IFERROR(__xludf.DUMMYFUNCTION("""COMPUTED_VALUE"""),44329.6666666666)</f>
        <v>44329.666666666599</v>
      </c>
      <c r="B1603" s="1">
        <f ca="1">IFERROR(__xludf.DUMMYFUNCTION("""COMPUTED_VALUE"""),306.08)</f>
        <v>306.08</v>
      </c>
      <c r="C1603" s="1">
        <f ca="1">IFERROR(__xludf.DUMMYFUNCTION("""COMPUTED_VALUE"""),308.86)</f>
        <v>308.86</v>
      </c>
      <c r="D1603" s="1">
        <f ca="1">IFERROR(__xludf.DUMMYFUNCTION("""COMPUTED_VALUE"""),302.77)</f>
        <v>302.77</v>
      </c>
      <c r="E1603" s="1">
        <f ca="1">IFERROR(__xludf.DUMMYFUNCTION("""COMPUTED_VALUE"""),305.26)</f>
        <v>305.26</v>
      </c>
      <c r="F1603" s="1">
        <f ca="1">IFERROR(__xludf.DUMMYFUNCTION("""COMPUTED_VALUE"""),18079160)</f>
        <v>18079160</v>
      </c>
    </row>
    <row r="1604" spans="1:6" x14ac:dyDescent="0.35">
      <c r="A1604" s="2">
        <f ca="1">IFERROR(__xludf.DUMMYFUNCTION("""COMPUTED_VALUE"""),44330.6666666666)</f>
        <v>44330.666666666599</v>
      </c>
      <c r="B1604" s="1">
        <f ca="1">IFERROR(__xludf.DUMMYFUNCTION("""COMPUTED_VALUE"""),309.54)</f>
        <v>309.54000000000002</v>
      </c>
      <c r="C1604" s="1">
        <f ca="1">IFERROR(__xludf.DUMMYFUNCTION("""COMPUTED_VALUE"""),316.85)</f>
        <v>316.85000000000002</v>
      </c>
      <c r="D1604" s="1">
        <f ca="1">IFERROR(__xludf.DUMMYFUNCTION("""COMPUTED_VALUE"""),309.08)</f>
        <v>309.08</v>
      </c>
      <c r="E1604" s="1">
        <f ca="1">IFERROR(__xludf.DUMMYFUNCTION("""COMPUTED_VALUE"""),315.94)</f>
        <v>315.94</v>
      </c>
      <c r="F1604" s="1">
        <f ca="1">IFERROR(__xludf.DUMMYFUNCTION("""COMPUTED_VALUE"""),19245724)</f>
        <v>19245724</v>
      </c>
    </row>
    <row r="1605" spans="1:6" x14ac:dyDescent="0.35">
      <c r="A1605" s="2">
        <f ca="1">IFERROR(__xludf.DUMMYFUNCTION("""COMPUTED_VALUE"""),44333.6666666666)</f>
        <v>44333.666666666599</v>
      </c>
      <c r="B1605" s="1">
        <f ca="1">IFERROR(__xludf.DUMMYFUNCTION("""COMPUTED_VALUE"""),313.55)</f>
        <v>313.55</v>
      </c>
      <c r="C1605" s="1">
        <f ca="1">IFERROR(__xludf.DUMMYFUNCTION("""COMPUTED_VALUE"""),315.68)</f>
        <v>315.68</v>
      </c>
      <c r="D1605" s="1">
        <f ca="1">IFERROR(__xludf.DUMMYFUNCTION("""COMPUTED_VALUE"""),311.58)</f>
        <v>311.58</v>
      </c>
      <c r="E1605" s="1">
        <f ca="1">IFERROR(__xludf.DUMMYFUNCTION("""COMPUTED_VALUE"""),315.46)</f>
        <v>315.45999999999998</v>
      </c>
      <c r="F1605" s="1">
        <f ca="1">IFERROR(__xludf.DUMMYFUNCTION("""COMPUTED_VALUE"""),15401343)</f>
        <v>15401343</v>
      </c>
    </row>
    <row r="1606" spans="1:6" x14ac:dyDescent="0.35">
      <c r="A1606" s="2">
        <f ca="1">IFERROR(__xludf.DUMMYFUNCTION("""COMPUTED_VALUE"""),44334.6666666666)</f>
        <v>44334.666666666599</v>
      </c>
      <c r="B1606" s="1">
        <f ca="1">IFERROR(__xludf.DUMMYFUNCTION("""COMPUTED_VALUE"""),315.59)</f>
        <v>315.58999999999997</v>
      </c>
      <c r="C1606" s="1">
        <f ca="1">IFERROR(__xludf.DUMMYFUNCTION("""COMPUTED_VALUE"""),316.5)</f>
        <v>316.5</v>
      </c>
      <c r="D1606" s="1">
        <f ca="1">IFERROR(__xludf.DUMMYFUNCTION("""COMPUTED_VALUE"""),309.81)</f>
        <v>309.81</v>
      </c>
      <c r="E1606" s="1">
        <f ca="1">IFERROR(__xludf.DUMMYFUNCTION("""COMPUTED_VALUE"""),309.96)</f>
        <v>309.95999999999998</v>
      </c>
      <c r="F1606" s="1">
        <f ca="1">IFERROR(__xludf.DUMMYFUNCTION("""COMPUTED_VALUE"""),14522403)</f>
        <v>14522403</v>
      </c>
    </row>
    <row r="1607" spans="1:6" x14ac:dyDescent="0.35">
      <c r="A1607" s="2">
        <f ca="1">IFERROR(__xludf.DUMMYFUNCTION("""COMPUTED_VALUE"""),44335.6666666666)</f>
        <v>44335.666666666599</v>
      </c>
      <c r="B1607" s="1">
        <f ca="1">IFERROR(__xludf.DUMMYFUNCTION("""COMPUTED_VALUE"""),304.19)</f>
        <v>304.19</v>
      </c>
      <c r="C1607" s="1">
        <f ca="1">IFERROR(__xludf.DUMMYFUNCTION("""COMPUTED_VALUE"""),314.66)</f>
        <v>314.66000000000003</v>
      </c>
      <c r="D1607" s="1">
        <f ca="1">IFERROR(__xludf.DUMMYFUNCTION("""COMPUTED_VALUE"""),303.57)</f>
        <v>303.57</v>
      </c>
      <c r="E1607" s="1">
        <f ca="1">IFERROR(__xludf.DUMMYFUNCTION("""COMPUTED_VALUE"""),313.59)</f>
        <v>313.58999999999997</v>
      </c>
      <c r="F1607" s="1">
        <f ca="1">IFERROR(__xludf.DUMMYFUNCTION("""COMPUTED_VALUE"""),19106244)</f>
        <v>19106244</v>
      </c>
    </row>
    <row r="1608" spans="1:6" x14ac:dyDescent="0.35">
      <c r="A1608" s="2">
        <f ca="1">IFERROR(__xludf.DUMMYFUNCTION("""COMPUTED_VALUE"""),44336.6666666666)</f>
        <v>44336.666666666599</v>
      </c>
      <c r="B1608" s="1">
        <f ca="1">IFERROR(__xludf.DUMMYFUNCTION("""COMPUTED_VALUE"""),313.58)</f>
        <v>313.58</v>
      </c>
      <c r="C1608" s="1">
        <f ca="1">IFERROR(__xludf.DUMMYFUNCTION("""COMPUTED_VALUE"""),319.25)</f>
        <v>319.25</v>
      </c>
      <c r="D1608" s="1">
        <f ca="1">IFERROR(__xludf.DUMMYFUNCTION("""COMPUTED_VALUE"""),313.16)</f>
        <v>313.16000000000003</v>
      </c>
      <c r="E1608" s="1">
        <f ca="1">IFERROR(__xludf.DUMMYFUNCTION("""COMPUTED_VALUE"""),318.61)</f>
        <v>318.61</v>
      </c>
      <c r="F1608" s="1">
        <f ca="1">IFERROR(__xludf.DUMMYFUNCTION("""COMPUTED_VALUE"""),17320241)</f>
        <v>17320241</v>
      </c>
    </row>
    <row r="1609" spans="1:6" x14ac:dyDescent="0.35">
      <c r="A1609" s="2">
        <f ca="1">IFERROR(__xludf.DUMMYFUNCTION("""COMPUTED_VALUE"""),44337.6666666666)</f>
        <v>44337.666666666599</v>
      </c>
      <c r="B1609" s="1">
        <f ca="1">IFERROR(__xludf.DUMMYFUNCTION("""COMPUTED_VALUE"""),319.29)</f>
        <v>319.29000000000002</v>
      </c>
      <c r="C1609" s="1">
        <f ca="1">IFERROR(__xludf.DUMMYFUNCTION("""COMPUTED_VALUE"""),319.93)</f>
        <v>319.93</v>
      </c>
      <c r="D1609" s="1">
        <f ca="1">IFERROR(__xludf.DUMMYFUNCTION("""COMPUTED_VALUE"""),315.81)</f>
        <v>315.81</v>
      </c>
      <c r="E1609" s="1">
        <f ca="1">IFERROR(__xludf.DUMMYFUNCTION("""COMPUTED_VALUE"""),316.23)</f>
        <v>316.23</v>
      </c>
      <c r="F1609" s="1">
        <f ca="1">IFERROR(__xludf.DUMMYFUNCTION("""COMPUTED_VALUE"""),13600901)</f>
        <v>13600901</v>
      </c>
    </row>
    <row r="1610" spans="1:6" x14ac:dyDescent="0.35">
      <c r="A1610" s="2">
        <f ca="1">IFERROR(__xludf.DUMMYFUNCTION("""COMPUTED_VALUE"""),44340.6666666666)</f>
        <v>44340.666666666599</v>
      </c>
      <c r="B1610" s="1">
        <f ca="1">IFERROR(__xludf.DUMMYFUNCTION("""COMPUTED_VALUE"""),318.21)</f>
        <v>318.20999999999998</v>
      </c>
      <c r="C1610" s="1">
        <f ca="1">IFERROR(__xludf.DUMMYFUNCTION("""COMPUTED_VALUE"""),325.95)</f>
        <v>325.95</v>
      </c>
      <c r="D1610" s="1">
        <f ca="1">IFERROR(__xludf.DUMMYFUNCTION("""COMPUTED_VALUE"""),318.03)</f>
        <v>318.02999999999997</v>
      </c>
      <c r="E1610" s="1">
        <f ca="1">IFERROR(__xludf.DUMMYFUNCTION("""COMPUTED_VALUE"""),324.63)</f>
        <v>324.63</v>
      </c>
      <c r="F1610" s="1">
        <f ca="1">IFERROR(__xludf.DUMMYFUNCTION("""COMPUTED_VALUE"""),16445356)</f>
        <v>16445356</v>
      </c>
    </row>
    <row r="1611" spans="1:6" x14ac:dyDescent="0.35">
      <c r="A1611" s="2">
        <f ca="1">IFERROR(__xludf.DUMMYFUNCTION("""COMPUTED_VALUE"""),44341.6666666666)</f>
        <v>44341.666666666599</v>
      </c>
      <c r="B1611" s="1">
        <f ca="1">IFERROR(__xludf.DUMMYFUNCTION("""COMPUTED_VALUE"""),327.08)</f>
        <v>327.08</v>
      </c>
      <c r="C1611" s="1">
        <f ca="1">IFERROR(__xludf.DUMMYFUNCTION("""COMPUTED_VALUE"""),329.18)</f>
        <v>329.18</v>
      </c>
      <c r="D1611" s="1">
        <f ca="1">IFERROR(__xludf.DUMMYFUNCTION("""COMPUTED_VALUE"""),324.8)</f>
        <v>324.8</v>
      </c>
      <c r="E1611" s="1">
        <f ca="1">IFERROR(__xludf.DUMMYFUNCTION("""COMPUTED_VALUE"""),327.79)</f>
        <v>327.79</v>
      </c>
      <c r="F1611" s="1">
        <f ca="1">IFERROR(__xludf.DUMMYFUNCTION("""COMPUTED_VALUE"""),16436965)</f>
        <v>16436965</v>
      </c>
    </row>
    <row r="1612" spans="1:6" x14ac:dyDescent="0.35">
      <c r="A1612" s="2">
        <f ca="1">IFERROR(__xludf.DUMMYFUNCTION("""COMPUTED_VALUE"""),44342.6666666666)</f>
        <v>44342.666666666599</v>
      </c>
      <c r="B1612" s="1">
        <f ca="1">IFERROR(__xludf.DUMMYFUNCTION("""COMPUTED_VALUE"""),328.35)</f>
        <v>328.35</v>
      </c>
      <c r="C1612" s="1">
        <f ca="1">IFERROR(__xludf.DUMMYFUNCTION("""COMPUTED_VALUE"""),329.83)</f>
        <v>329.83</v>
      </c>
      <c r="D1612" s="1">
        <f ca="1">IFERROR(__xludf.DUMMYFUNCTION("""COMPUTED_VALUE"""),325.82)</f>
        <v>325.82</v>
      </c>
      <c r="E1612" s="1">
        <f ca="1">IFERROR(__xludf.DUMMYFUNCTION("""COMPUTED_VALUE"""),327.66)</f>
        <v>327.66000000000003</v>
      </c>
      <c r="F1612" s="1">
        <f ca="1">IFERROR(__xludf.DUMMYFUNCTION("""COMPUTED_VALUE"""),9686917)</f>
        <v>9686917</v>
      </c>
    </row>
    <row r="1613" spans="1:6" x14ac:dyDescent="0.35">
      <c r="A1613" s="2">
        <f ca="1">IFERROR(__xludf.DUMMYFUNCTION("""COMPUTED_VALUE"""),44343.6666666666)</f>
        <v>44343.666666666599</v>
      </c>
      <c r="B1613" s="1">
        <f ca="1">IFERROR(__xludf.DUMMYFUNCTION("""COMPUTED_VALUE"""),328)</f>
        <v>328</v>
      </c>
      <c r="C1613" s="1">
        <f ca="1">IFERROR(__xludf.DUMMYFUNCTION("""COMPUTED_VALUE"""),333.78)</f>
        <v>333.78</v>
      </c>
      <c r="D1613" s="1">
        <f ca="1">IFERROR(__xludf.DUMMYFUNCTION("""COMPUTED_VALUE"""),326.76)</f>
        <v>326.76</v>
      </c>
      <c r="E1613" s="1">
        <f ca="1">IFERROR(__xludf.DUMMYFUNCTION("""COMPUTED_VALUE"""),332.75)</f>
        <v>332.75</v>
      </c>
      <c r="F1613" s="1">
        <f ca="1">IFERROR(__xludf.DUMMYFUNCTION("""COMPUTED_VALUE"""),20477726)</f>
        <v>20477726</v>
      </c>
    </row>
    <row r="1614" spans="1:6" x14ac:dyDescent="0.35">
      <c r="A1614" s="2">
        <f ca="1">IFERROR(__xludf.DUMMYFUNCTION("""COMPUTED_VALUE"""),44344.6666666666)</f>
        <v>44344.666666666599</v>
      </c>
      <c r="B1614" s="1">
        <f ca="1">IFERROR(__xludf.DUMMYFUNCTION("""COMPUTED_VALUE"""),331)</f>
        <v>331</v>
      </c>
      <c r="C1614" s="1">
        <f ca="1">IFERROR(__xludf.DUMMYFUNCTION("""COMPUTED_VALUE"""),332.87)</f>
        <v>332.87</v>
      </c>
      <c r="D1614" s="1">
        <f ca="1">IFERROR(__xludf.DUMMYFUNCTION("""COMPUTED_VALUE"""),328.33)</f>
        <v>328.33</v>
      </c>
      <c r="E1614" s="1">
        <f ca="1">IFERROR(__xludf.DUMMYFUNCTION("""COMPUTED_VALUE"""),328.73)</f>
        <v>328.73</v>
      </c>
      <c r="F1614" s="1">
        <f ca="1">IFERROR(__xludf.DUMMYFUNCTION("""COMPUTED_VALUE"""),12037430)</f>
        <v>12037430</v>
      </c>
    </row>
    <row r="1615" spans="1:6" x14ac:dyDescent="0.35">
      <c r="A1615" s="2">
        <f ca="1">IFERROR(__xludf.DUMMYFUNCTION("""COMPUTED_VALUE"""),44348.6666666666)</f>
        <v>44348.666666666599</v>
      </c>
      <c r="B1615" s="1">
        <f ca="1">IFERROR(__xludf.DUMMYFUNCTION("""COMPUTED_VALUE"""),330.15)</f>
        <v>330.15</v>
      </c>
      <c r="C1615" s="1">
        <f ca="1">IFERROR(__xludf.DUMMYFUNCTION("""COMPUTED_VALUE"""),331.42)</f>
        <v>331.42</v>
      </c>
      <c r="D1615" s="1">
        <f ca="1">IFERROR(__xludf.DUMMYFUNCTION("""COMPUTED_VALUE"""),326.64)</f>
        <v>326.64</v>
      </c>
      <c r="E1615" s="1">
        <f ca="1">IFERROR(__xludf.DUMMYFUNCTION("""COMPUTED_VALUE"""),329.13)</f>
        <v>329.13</v>
      </c>
      <c r="F1615" s="1">
        <f ca="1">IFERROR(__xludf.DUMMYFUNCTION("""COMPUTED_VALUE"""),11765906)</f>
        <v>11765906</v>
      </c>
    </row>
    <row r="1616" spans="1:6" x14ac:dyDescent="0.35">
      <c r="A1616" s="2">
        <f ca="1">IFERROR(__xludf.DUMMYFUNCTION("""COMPUTED_VALUE"""),44349.6666666666)</f>
        <v>44349.666666666599</v>
      </c>
      <c r="B1616" s="1">
        <f ca="1">IFERROR(__xludf.DUMMYFUNCTION("""COMPUTED_VALUE"""),330.38)</f>
        <v>330.38</v>
      </c>
      <c r="C1616" s="1">
        <f ca="1">IFERROR(__xludf.DUMMYFUNCTION("""COMPUTED_VALUE"""),331.87)</f>
        <v>331.87</v>
      </c>
      <c r="D1616" s="1">
        <f ca="1">IFERROR(__xludf.DUMMYFUNCTION("""COMPUTED_VALUE"""),327.12)</f>
        <v>327.12</v>
      </c>
      <c r="E1616" s="1">
        <f ca="1">IFERROR(__xludf.DUMMYFUNCTION("""COMPUTED_VALUE"""),329.15)</f>
        <v>329.15</v>
      </c>
      <c r="F1616" s="1">
        <f ca="1">IFERROR(__xludf.DUMMYFUNCTION("""COMPUTED_VALUE"""),11654275)</f>
        <v>11654275</v>
      </c>
    </row>
    <row r="1617" spans="1:6" x14ac:dyDescent="0.35">
      <c r="A1617" s="2">
        <f ca="1">IFERROR(__xludf.DUMMYFUNCTION("""COMPUTED_VALUE"""),44350.6666666666)</f>
        <v>44350.666666666599</v>
      </c>
      <c r="B1617" s="1">
        <f ca="1">IFERROR(__xludf.DUMMYFUNCTION("""COMPUTED_VALUE"""),325.78)</f>
        <v>325.77999999999997</v>
      </c>
      <c r="C1617" s="1">
        <f ca="1">IFERROR(__xludf.DUMMYFUNCTION("""COMPUTED_VALUE"""),327.38)</f>
        <v>327.38</v>
      </c>
      <c r="D1617" s="1">
        <f ca="1">IFERROR(__xludf.DUMMYFUNCTION("""COMPUTED_VALUE"""),323.48)</f>
        <v>323.48</v>
      </c>
      <c r="E1617" s="1">
        <f ca="1">IFERROR(__xludf.DUMMYFUNCTION("""COMPUTED_VALUE"""),326.04)</f>
        <v>326.04000000000002</v>
      </c>
      <c r="F1617" s="1">
        <f ca="1">IFERROR(__xludf.DUMMYFUNCTION("""COMPUTED_VALUE"""),12610788)</f>
        <v>12610788</v>
      </c>
    </row>
    <row r="1618" spans="1:6" x14ac:dyDescent="0.35">
      <c r="A1618" s="2">
        <f ca="1">IFERROR(__xludf.DUMMYFUNCTION("""COMPUTED_VALUE"""),44351.6666666666)</f>
        <v>44351.666666666599</v>
      </c>
      <c r="B1618" s="1">
        <f ca="1">IFERROR(__xludf.DUMMYFUNCTION("""COMPUTED_VALUE"""),325.9)</f>
        <v>325.89999999999998</v>
      </c>
      <c r="C1618" s="1">
        <f ca="1">IFERROR(__xludf.DUMMYFUNCTION("""COMPUTED_VALUE"""),332.46)</f>
        <v>332.46</v>
      </c>
      <c r="D1618" s="1">
        <f ca="1">IFERROR(__xludf.DUMMYFUNCTION("""COMPUTED_VALUE"""),325.18)</f>
        <v>325.18</v>
      </c>
      <c r="E1618" s="1">
        <f ca="1">IFERROR(__xludf.DUMMYFUNCTION("""COMPUTED_VALUE"""),330.35)</f>
        <v>330.35</v>
      </c>
      <c r="F1618" s="1">
        <f ca="1">IFERROR(__xludf.DUMMYFUNCTION("""COMPUTED_VALUE"""),13289383)</f>
        <v>13289383</v>
      </c>
    </row>
    <row r="1619" spans="1:6" x14ac:dyDescent="0.35">
      <c r="A1619" s="2">
        <f ca="1">IFERROR(__xludf.DUMMYFUNCTION("""COMPUTED_VALUE"""),44354.6666666666)</f>
        <v>44354.666666666599</v>
      </c>
      <c r="B1619" s="1">
        <f ca="1">IFERROR(__xludf.DUMMYFUNCTION("""COMPUTED_VALUE"""),329.48)</f>
        <v>329.48</v>
      </c>
      <c r="C1619" s="1">
        <f ca="1">IFERROR(__xludf.DUMMYFUNCTION("""COMPUTED_VALUE"""),337.69)</f>
        <v>337.69</v>
      </c>
      <c r="D1619" s="1">
        <f ca="1">IFERROR(__xludf.DUMMYFUNCTION("""COMPUTED_VALUE"""),328.93)</f>
        <v>328.93</v>
      </c>
      <c r="E1619" s="1">
        <f ca="1">IFERROR(__xludf.DUMMYFUNCTION("""COMPUTED_VALUE"""),336.58)</f>
        <v>336.58</v>
      </c>
      <c r="F1619" s="1">
        <f ca="1">IFERROR(__xludf.DUMMYFUNCTION("""COMPUTED_VALUE"""),20136707)</f>
        <v>20136707</v>
      </c>
    </row>
    <row r="1620" spans="1:6" x14ac:dyDescent="0.35">
      <c r="A1620" s="2">
        <f ca="1">IFERROR(__xludf.DUMMYFUNCTION("""COMPUTED_VALUE"""),44355.6666666666)</f>
        <v>44355.666666666599</v>
      </c>
      <c r="B1620" s="1">
        <f ca="1">IFERROR(__xludf.DUMMYFUNCTION("""COMPUTED_VALUE"""),336.7)</f>
        <v>336.7</v>
      </c>
      <c r="C1620" s="1">
        <f ca="1">IFERROR(__xludf.DUMMYFUNCTION("""COMPUTED_VALUE"""),338.3)</f>
        <v>338.3</v>
      </c>
      <c r="D1620" s="1">
        <f ca="1">IFERROR(__xludf.DUMMYFUNCTION("""COMPUTED_VALUE"""),332.24)</f>
        <v>332.24</v>
      </c>
      <c r="E1620" s="1">
        <f ca="1">IFERROR(__xludf.DUMMYFUNCTION("""COMPUTED_VALUE"""),333.68)</f>
        <v>333.68</v>
      </c>
      <c r="F1620" s="1">
        <f ca="1">IFERROR(__xludf.DUMMYFUNCTION("""COMPUTED_VALUE"""),14580464)</f>
        <v>14580464</v>
      </c>
    </row>
    <row r="1621" spans="1:6" x14ac:dyDescent="0.35">
      <c r="A1621" s="2">
        <f ca="1">IFERROR(__xludf.DUMMYFUNCTION("""COMPUTED_VALUE"""),44356.6666666666)</f>
        <v>44356.666666666599</v>
      </c>
      <c r="B1621" s="1">
        <f ca="1">IFERROR(__xludf.DUMMYFUNCTION("""COMPUTED_VALUE"""),335.74)</f>
        <v>335.74</v>
      </c>
      <c r="C1621" s="1">
        <f ca="1">IFERROR(__xludf.DUMMYFUNCTION("""COMPUTED_VALUE"""),336.8)</f>
        <v>336.8</v>
      </c>
      <c r="D1621" s="1">
        <f ca="1">IFERROR(__xludf.DUMMYFUNCTION("""COMPUTED_VALUE"""),330)</f>
        <v>330</v>
      </c>
      <c r="E1621" s="1">
        <f ca="1">IFERROR(__xludf.DUMMYFUNCTION("""COMPUTED_VALUE"""),330.25)</f>
        <v>330.25</v>
      </c>
      <c r="F1621" s="1">
        <f ca="1">IFERROR(__xludf.DUMMYFUNCTION("""COMPUTED_VALUE"""),13727946)</f>
        <v>13727946</v>
      </c>
    </row>
    <row r="1622" spans="1:6" x14ac:dyDescent="0.35">
      <c r="A1622" s="2">
        <f ca="1">IFERROR(__xludf.DUMMYFUNCTION("""COMPUTED_VALUE"""),44357.6666666666)</f>
        <v>44357.666666666599</v>
      </c>
      <c r="B1622" s="1">
        <f ca="1">IFERROR(__xludf.DUMMYFUNCTION("""COMPUTED_VALUE"""),330.79)</f>
        <v>330.79</v>
      </c>
      <c r="C1622" s="1">
        <f ca="1">IFERROR(__xludf.DUMMYFUNCTION("""COMPUTED_VALUE"""),333.94)</f>
        <v>333.94</v>
      </c>
      <c r="D1622" s="1">
        <f ca="1">IFERROR(__xludf.DUMMYFUNCTION("""COMPUTED_VALUE"""),328.55)</f>
        <v>328.55</v>
      </c>
      <c r="E1622" s="1">
        <f ca="1">IFERROR(__xludf.DUMMYFUNCTION("""COMPUTED_VALUE"""),332.46)</f>
        <v>332.46</v>
      </c>
      <c r="F1622" s="1">
        <f ca="1">IFERROR(__xludf.DUMMYFUNCTION("""COMPUTED_VALUE"""),13240229)</f>
        <v>13240229</v>
      </c>
    </row>
    <row r="1623" spans="1:6" x14ac:dyDescent="0.35">
      <c r="A1623" s="2">
        <f ca="1">IFERROR(__xludf.DUMMYFUNCTION("""COMPUTED_VALUE"""),44358.6666666666)</f>
        <v>44358.666666666599</v>
      </c>
      <c r="B1623" s="1">
        <f ca="1">IFERROR(__xludf.DUMMYFUNCTION("""COMPUTED_VALUE"""),332.58)</f>
        <v>332.58</v>
      </c>
      <c r="C1623" s="1">
        <f ca="1">IFERROR(__xludf.DUMMYFUNCTION("""COMPUTED_VALUE"""),332.83)</f>
        <v>332.83</v>
      </c>
      <c r="D1623" s="1">
        <f ca="1">IFERROR(__xludf.DUMMYFUNCTION("""COMPUTED_VALUE"""),328.93)</f>
        <v>328.93</v>
      </c>
      <c r="E1623" s="1">
        <f ca="1">IFERROR(__xludf.DUMMYFUNCTION("""COMPUTED_VALUE"""),331.26)</f>
        <v>331.26</v>
      </c>
      <c r="F1623" s="1">
        <f ca="1">IFERROR(__xludf.DUMMYFUNCTION("""COMPUTED_VALUE"""),13587916)</f>
        <v>13587916</v>
      </c>
    </row>
    <row r="1624" spans="1:6" x14ac:dyDescent="0.35">
      <c r="A1624" s="2">
        <f ca="1">IFERROR(__xludf.DUMMYFUNCTION("""COMPUTED_VALUE"""),44361.6666666666)</f>
        <v>44361.666666666599</v>
      </c>
      <c r="B1624" s="1">
        <f ca="1">IFERROR(__xludf.DUMMYFUNCTION("""COMPUTED_VALUE"""),331.9)</f>
        <v>331.9</v>
      </c>
      <c r="C1624" s="1">
        <f ca="1">IFERROR(__xludf.DUMMYFUNCTION("""COMPUTED_VALUE"""),336.82)</f>
        <v>336.82</v>
      </c>
      <c r="D1624" s="1">
        <f ca="1">IFERROR(__xludf.DUMMYFUNCTION("""COMPUTED_VALUE"""),329.81)</f>
        <v>329.81</v>
      </c>
      <c r="E1624" s="1">
        <f ca="1">IFERROR(__xludf.DUMMYFUNCTION("""COMPUTED_VALUE"""),336.77)</f>
        <v>336.77</v>
      </c>
      <c r="F1624" s="1">
        <f ca="1">IFERROR(__xludf.DUMMYFUNCTION("""COMPUTED_VALUE"""),12250799)</f>
        <v>12250799</v>
      </c>
    </row>
    <row r="1625" spans="1:6" x14ac:dyDescent="0.35">
      <c r="A1625" s="2">
        <f ca="1">IFERROR(__xludf.DUMMYFUNCTION("""COMPUTED_VALUE"""),44362.6666666666)</f>
        <v>44362.666666666599</v>
      </c>
      <c r="B1625" s="1">
        <f ca="1">IFERROR(__xludf.DUMMYFUNCTION("""COMPUTED_VALUE"""),336.99)</f>
        <v>336.99</v>
      </c>
      <c r="C1625" s="1">
        <f ca="1">IFERROR(__xludf.DUMMYFUNCTION("""COMPUTED_VALUE"""),339.92)</f>
        <v>339.92</v>
      </c>
      <c r="D1625" s="1">
        <f ca="1">IFERROR(__xludf.DUMMYFUNCTION("""COMPUTED_VALUE"""),335.03)</f>
        <v>335.03</v>
      </c>
      <c r="E1625" s="1">
        <f ca="1">IFERROR(__xludf.DUMMYFUNCTION("""COMPUTED_VALUE"""),336.75)</f>
        <v>336.75</v>
      </c>
      <c r="F1625" s="1">
        <f ca="1">IFERROR(__xludf.DUMMYFUNCTION("""COMPUTED_VALUE"""),15795226)</f>
        <v>15795226</v>
      </c>
    </row>
    <row r="1626" spans="1:6" x14ac:dyDescent="0.35">
      <c r="A1626" s="2">
        <f ca="1">IFERROR(__xludf.DUMMYFUNCTION("""COMPUTED_VALUE"""),44363.6666666666)</f>
        <v>44363.666666666599</v>
      </c>
      <c r="B1626" s="1">
        <f ca="1">IFERROR(__xludf.DUMMYFUNCTION("""COMPUTED_VALUE"""),336.7)</f>
        <v>336.7</v>
      </c>
      <c r="C1626" s="1">
        <f ca="1">IFERROR(__xludf.DUMMYFUNCTION("""COMPUTED_VALUE"""),337.55)</f>
        <v>337.55</v>
      </c>
      <c r="D1626" s="1">
        <f ca="1">IFERROR(__xludf.DUMMYFUNCTION("""COMPUTED_VALUE"""),328.72)</f>
        <v>328.72</v>
      </c>
      <c r="E1626" s="1">
        <f ca="1">IFERROR(__xludf.DUMMYFUNCTION("""COMPUTED_VALUE"""),331.08)</f>
        <v>331.08</v>
      </c>
      <c r="F1626" s="1">
        <f ca="1">IFERROR(__xludf.DUMMYFUNCTION("""COMPUTED_VALUE"""),17232157)</f>
        <v>17232157</v>
      </c>
    </row>
    <row r="1627" spans="1:6" x14ac:dyDescent="0.35">
      <c r="A1627" s="2">
        <f ca="1">IFERROR(__xludf.DUMMYFUNCTION("""COMPUTED_VALUE"""),44364.6666666666)</f>
        <v>44364.666666666599</v>
      </c>
      <c r="B1627" s="1">
        <f ca="1">IFERROR(__xludf.DUMMYFUNCTION("""COMPUTED_VALUE"""),330.49)</f>
        <v>330.49</v>
      </c>
      <c r="C1627" s="1">
        <f ca="1">IFERROR(__xludf.DUMMYFUNCTION("""COMPUTED_VALUE"""),337.98)</f>
        <v>337.98</v>
      </c>
      <c r="D1627" s="1">
        <f ca="1">IFERROR(__xludf.DUMMYFUNCTION("""COMPUTED_VALUE"""),330.15)</f>
        <v>330.15</v>
      </c>
      <c r="E1627" s="1">
        <f ca="1">IFERROR(__xludf.DUMMYFUNCTION("""COMPUTED_VALUE"""),336.51)</f>
        <v>336.51</v>
      </c>
      <c r="F1627" s="1">
        <f ca="1">IFERROR(__xludf.DUMMYFUNCTION("""COMPUTED_VALUE"""),17794080)</f>
        <v>17794080</v>
      </c>
    </row>
    <row r="1628" spans="1:6" x14ac:dyDescent="0.35">
      <c r="A1628" s="2">
        <f ca="1">IFERROR(__xludf.DUMMYFUNCTION("""COMPUTED_VALUE"""),44365.6666666666)</f>
        <v>44365.666666666599</v>
      </c>
      <c r="B1628" s="1">
        <f ca="1">IFERROR(__xludf.DUMMYFUNCTION("""COMPUTED_VALUE"""),334.53)</f>
        <v>334.53</v>
      </c>
      <c r="C1628" s="1">
        <f ca="1">IFERROR(__xludf.DUMMYFUNCTION("""COMPUTED_VALUE"""),336.15)</f>
        <v>336.15</v>
      </c>
      <c r="D1628" s="1">
        <f ca="1">IFERROR(__xludf.DUMMYFUNCTION("""COMPUTED_VALUE"""),329)</f>
        <v>329</v>
      </c>
      <c r="E1628" s="1">
        <f ca="1">IFERROR(__xludf.DUMMYFUNCTION("""COMPUTED_VALUE"""),329.66)</f>
        <v>329.66</v>
      </c>
      <c r="F1628" s="1">
        <f ca="1">IFERROR(__xludf.DUMMYFUNCTION("""COMPUTED_VALUE"""),23039457)</f>
        <v>23039457</v>
      </c>
    </row>
    <row r="1629" spans="1:6" x14ac:dyDescent="0.35">
      <c r="A1629" s="2">
        <f ca="1">IFERROR(__xludf.DUMMYFUNCTION("""COMPUTED_VALUE"""),44368.6666666666)</f>
        <v>44368.666666666599</v>
      </c>
      <c r="B1629" s="1">
        <f ca="1">IFERROR(__xludf.DUMMYFUNCTION("""COMPUTED_VALUE"""),331.09)</f>
        <v>331.09</v>
      </c>
      <c r="C1629" s="1">
        <f ca="1">IFERROR(__xludf.DUMMYFUNCTION("""COMPUTED_VALUE"""),332.92)</f>
        <v>332.92</v>
      </c>
      <c r="D1629" s="1">
        <f ca="1">IFERROR(__xludf.DUMMYFUNCTION("""COMPUTED_VALUE"""),327.65)</f>
        <v>327.64999999999998</v>
      </c>
      <c r="E1629" s="1">
        <f ca="1">IFERROR(__xludf.DUMMYFUNCTION("""COMPUTED_VALUE"""),332.29)</f>
        <v>332.29</v>
      </c>
      <c r="F1629" s="1">
        <f ca="1">IFERROR(__xludf.DUMMYFUNCTION("""COMPUTED_VALUE"""),11337522)</f>
        <v>11337522</v>
      </c>
    </row>
    <row r="1630" spans="1:6" x14ac:dyDescent="0.35">
      <c r="A1630" s="2">
        <f ca="1">IFERROR(__xludf.DUMMYFUNCTION("""COMPUTED_VALUE"""),44369.6666666666)</f>
        <v>44369.666666666599</v>
      </c>
      <c r="B1630" s="1">
        <f ca="1">IFERROR(__xludf.DUMMYFUNCTION("""COMPUTED_VALUE"""),332.69)</f>
        <v>332.69</v>
      </c>
      <c r="C1630" s="1">
        <f ca="1">IFERROR(__xludf.DUMMYFUNCTION("""COMPUTED_VALUE"""),339.92)</f>
        <v>339.92</v>
      </c>
      <c r="D1630" s="1">
        <f ca="1">IFERROR(__xludf.DUMMYFUNCTION("""COMPUTED_VALUE"""),332.6)</f>
        <v>332.6</v>
      </c>
      <c r="E1630" s="1">
        <f ca="1">IFERROR(__xludf.DUMMYFUNCTION("""COMPUTED_VALUE"""),339.03)</f>
        <v>339.03</v>
      </c>
      <c r="F1630" s="1">
        <f ca="1">IFERROR(__xludf.DUMMYFUNCTION("""COMPUTED_VALUE"""),15345299)</f>
        <v>15345299</v>
      </c>
    </row>
    <row r="1631" spans="1:6" x14ac:dyDescent="0.35">
      <c r="A1631" s="2">
        <f ca="1">IFERROR(__xludf.DUMMYFUNCTION("""COMPUTED_VALUE"""),44370.6666666666)</f>
        <v>44370.666666666599</v>
      </c>
      <c r="B1631" s="1">
        <f ca="1">IFERROR(__xludf.DUMMYFUNCTION("""COMPUTED_VALUE"""),339.35)</f>
        <v>339.35</v>
      </c>
      <c r="C1631" s="1">
        <f ca="1">IFERROR(__xludf.DUMMYFUNCTION("""COMPUTED_VALUE"""),343.42)</f>
        <v>343.42</v>
      </c>
      <c r="D1631" s="1">
        <f ca="1">IFERROR(__xludf.DUMMYFUNCTION("""COMPUTED_VALUE"""),338.2)</f>
        <v>338.2</v>
      </c>
      <c r="E1631" s="1">
        <f ca="1">IFERROR(__xludf.DUMMYFUNCTION("""COMPUTED_VALUE"""),340.59)</f>
        <v>340.59</v>
      </c>
      <c r="F1631" s="1">
        <f ca="1">IFERROR(__xludf.DUMMYFUNCTION("""COMPUTED_VALUE"""),14817824)</f>
        <v>14817824</v>
      </c>
    </row>
    <row r="1632" spans="1:6" x14ac:dyDescent="0.35">
      <c r="A1632" s="2">
        <f ca="1">IFERROR(__xludf.DUMMYFUNCTION("""COMPUTED_VALUE"""),44371.6666666666)</f>
        <v>44371.666666666599</v>
      </c>
      <c r="B1632" s="1">
        <f ca="1">IFERROR(__xludf.DUMMYFUNCTION("""COMPUTED_VALUE"""),341.85)</f>
        <v>341.85</v>
      </c>
      <c r="C1632" s="1">
        <f ca="1">IFERROR(__xludf.DUMMYFUNCTION("""COMPUTED_VALUE"""),344.9)</f>
        <v>344.9</v>
      </c>
      <c r="D1632" s="1">
        <f ca="1">IFERROR(__xludf.DUMMYFUNCTION("""COMPUTED_VALUE"""),341.79)</f>
        <v>341.79</v>
      </c>
      <c r="E1632" s="1">
        <f ca="1">IFERROR(__xludf.DUMMYFUNCTION("""COMPUTED_VALUE"""),343.18)</f>
        <v>343.18</v>
      </c>
      <c r="F1632" s="1">
        <f ca="1">IFERROR(__xludf.DUMMYFUNCTION("""COMPUTED_VALUE"""),12329096)</f>
        <v>12329096</v>
      </c>
    </row>
    <row r="1633" spans="1:6" x14ac:dyDescent="0.35">
      <c r="A1633" s="2">
        <f ca="1">IFERROR(__xludf.DUMMYFUNCTION("""COMPUTED_VALUE"""),44372.6666666666)</f>
        <v>44372.666666666599</v>
      </c>
      <c r="B1633" s="1">
        <f ca="1">IFERROR(__xludf.DUMMYFUNCTION("""COMPUTED_VALUE"""),342.59)</f>
        <v>342.59</v>
      </c>
      <c r="C1633" s="1">
        <f ca="1">IFERROR(__xludf.DUMMYFUNCTION("""COMPUTED_VALUE"""),344.12)</f>
        <v>344.12</v>
      </c>
      <c r="D1633" s="1">
        <f ca="1">IFERROR(__xludf.DUMMYFUNCTION("""COMPUTED_VALUE"""),339.68)</f>
        <v>339.68</v>
      </c>
      <c r="E1633" s="1">
        <f ca="1">IFERROR(__xludf.DUMMYFUNCTION("""COMPUTED_VALUE"""),341.37)</f>
        <v>341.37</v>
      </c>
      <c r="F1633" s="1">
        <f ca="1">IFERROR(__xludf.DUMMYFUNCTION("""COMPUTED_VALUE"""),14594444)</f>
        <v>14594444</v>
      </c>
    </row>
    <row r="1634" spans="1:6" x14ac:dyDescent="0.35">
      <c r="A1634" s="2">
        <f ca="1">IFERROR(__xludf.DUMMYFUNCTION("""COMPUTED_VALUE"""),44375.6666666666)</f>
        <v>44375.666666666599</v>
      </c>
      <c r="B1634" s="1">
        <f ca="1">IFERROR(__xludf.DUMMYFUNCTION("""COMPUTED_VALUE"""),342.46)</f>
        <v>342.46</v>
      </c>
      <c r="C1634" s="1">
        <f ca="1">IFERROR(__xludf.DUMMYFUNCTION("""COMPUTED_VALUE"""),358.14)</f>
        <v>358.14</v>
      </c>
      <c r="D1634" s="1">
        <f ca="1">IFERROR(__xludf.DUMMYFUNCTION("""COMPUTED_VALUE"""),341.77)</f>
        <v>341.77</v>
      </c>
      <c r="E1634" s="1">
        <f ca="1">IFERROR(__xludf.DUMMYFUNCTION("""COMPUTED_VALUE"""),355.64)</f>
        <v>355.64</v>
      </c>
      <c r="F1634" s="1">
        <f ca="1">IFERROR(__xludf.DUMMYFUNCTION("""COMPUTED_VALUE"""),29156132)</f>
        <v>29156132</v>
      </c>
    </row>
    <row r="1635" spans="1:6" x14ac:dyDescent="0.35">
      <c r="A1635" s="2">
        <f ca="1">IFERROR(__xludf.DUMMYFUNCTION("""COMPUTED_VALUE"""),44376.6666666666)</f>
        <v>44376.666666666599</v>
      </c>
      <c r="B1635" s="1">
        <f ca="1">IFERROR(__xludf.DUMMYFUNCTION("""COMPUTED_VALUE"""),356.27)</f>
        <v>356.27</v>
      </c>
      <c r="C1635" s="1">
        <f ca="1">IFERROR(__xludf.DUMMYFUNCTION("""COMPUTED_VALUE"""),356.74)</f>
        <v>356.74</v>
      </c>
      <c r="D1635" s="1">
        <f ca="1">IFERROR(__xludf.DUMMYFUNCTION("""COMPUTED_VALUE"""),349.05)</f>
        <v>349.05</v>
      </c>
      <c r="E1635" s="1">
        <f ca="1">IFERROR(__xludf.DUMMYFUNCTION("""COMPUTED_VALUE"""),351.89)</f>
        <v>351.89</v>
      </c>
      <c r="F1635" s="1">
        <f ca="1">IFERROR(__xludf.DUMMYFUNCTION("""COMPUTED_VALUE"""),21417305)</f>
        <v>21417305</v>
      </c>
    </row>
    <row r="1636" spans="1:6" x14ac:dyDescent="0.35">
      <c r="A1636" s="2">
        <f ca="1">IFERROR(__xludf.DUMMYFUNCTION("""COMPUTED_VALUE"""),44377.6666666666)</f>
        <v>44377.666666666599</v>
      </c>
      <c r="B1636" s="1">
        <f ca="1">IFERROR(__xludf.DUMMYFUNCTION("""COMPUTED_VALUE"""),352.17)</f>
        <v>352.17</v>
      </c>
      <c r="C1636" s="1">
        <f ca="1">IFERROR(__xludf.DUMMYFUNCTION("""COMPUTED_VALUE"""),352.92)</f>
        <v>352.92</v>
      </c>
      <c r="D1636" s="1">
        <f ca="1">IFERROR(__xludf.DUMMYFUNCTION("""COMPUTED_VALUE"""),347.17)</f>
        <v>347.17</v>
      </c>
      <c r="E1636" s="1">
        <f ca="1">IFERROR(__xludf.DUMMYFUNCTION("""COMPUTED_VALUE"""),347.71)</f>
        <v>347.71</v>
      </c>
      <c r="F1636" s="1">
        <f ca="1">IFERROR(__xludf.DUMMYFUNCTION("""COMPUTED_VALUE"""),15107514)</f>
        <v>15107514</v>
      </c>
    </row>
    <row r="1637" spans="1:6" x14ac:dyDescent="0.35">
      <c r="A1637" s="2">
        <f ca="1">IFERROR(__xludf.DUMMYFUNCTION("""COMPUTED_VALUE"""),44378.6666666666)</f>
        <v>44378.666666666599</v>
      </c>
      <c r="B1637" s="1">
        <f ca="1">IFERROR(__xludf.DUMMYFUNCTION("""COMPUTED_VALUE"""),346.82)</f>
        <v>346.82</v>
      </c>
      <c r="C1637" s="1">
        <f ca="1">IFERROR(__xludf.DUMMYFUNCTION("""COMPUTED_VALUE"""),354.67)</f>
        <v>354.67</v>
      </c>
      <c r="D1637" s="1">
        <f ca="1">IFERROR(__xludf.DUMMYFUNCTION("""COMPUTED_VALUE"""),346.5)</f>
        <v>346.5</v>
      </c>
      <c r="E1637" s="1">
        <f ca="1">IFERROR(__xludf.DUMMYFUNCTION("""COMPUTED_VALUE"""),354.39)</f>
        <v>354.39</v>
      </c>
      <c r="F1637" s="1">
        <f ca="1">IFERROR(__xludf.DUMMYFUNCTION("""COMPUTED_VALUE"""),17137021)</f>
        <v>17137021</v>
      </c>
    </row>
    <row r="1638" spans="1:6" x14ac:dyDescent="0.35">
      <c r="A1638" s="2">
        <f ca="1">IFERROR(__xludf.DUMMYFUNCTION("""COMPUTED_VALUE"""),44379.6666666666)</f>
        <v>44379.666666666599</v>
      </c>
      <c r="B1638" s="1">
        <f ca="1">IFERROR(__xludf.DUMMYFUNCTION("""COMPUTED_VALUE"""),355.1)</f>
        <v>355.1</v>
      </c>
      <c r="C1638" s="1">
        <f ca="1">IFERROR(__xludf.DUMMYFUNCTION("""COMPUTED_VALUE"""),356.44)</f>
        <v>356.44</v>
      </c>
      <c r="D1638" s="1">
        <f ca="1">IFERROR(__xludf.DUMMYFUNCTION("""COMPUTED_VALUE"""),352.62)</f>
        <v>352.62</v>
      </c>
      <c r="E1638" s="1">
        <f ca="1">IFERROR(__xludf.DUMMYFUNCTION("""COMPUTED_VALUE"""),354.7)</f>
        <v>354.7</v>
      </c>
      <c r="F1638" s="1">
        <f ca="1">IFERROR(__xludf.DUMMYFUNCTION("""COMPUTED_VALUE"""),11524614)</f>
        <v>11524614</v>
      </c>
    </row>
    <row r="1639" spans="1:6" x14ac:dyDescent="0.35">
      <c r="A1639" s="2">
        <f ca="1">IFERROR(__xludf.DUMMYFUNCTION("""COMPUTED_VALUE"""),44383.6666666666)</f>
        <v>44383.666666666599</v>
      </c>
      <c r="B1639" s="1">
        <f ca="1">IFERROR(__xludf.DUMMYFUNCTION("""COMPUTED_VALUE"""),356.5)</f>
        <v>356.5</v>
      </c>
      <c r="C1639" s="1">
        <f ca="1">IFERROR(__xludf.DUMMYFUNCTION("""COMPUTED_VALUE"""),358.79)</f>
        <v>358.79</v>
      </c>
      <c r="D1639" s="1">
        <f ca="1">IFERROR(__xludf.DUMMYFUNCTION("""COMPUTED_VALUE"""),349.18)</f>
        <v>349.18</v>
      </c>
      <c r="E1639" s="1">
        <f ca="1">IFERROR(__xludf.DUMMYFUNCTION("""COMPUTED_VALUE"""),352.78)</f>
        <v>352.78</v>
      </c>
      <c r="F1639" s="1">
        <f ca="1">IFERROR(__xludf.DUMMYFUNCTION("""COMPUTED_VALUE"""),13488455)</f>
        <v>13488455</v>
      </c>
    </row>
    <row r="1640" spans="1:6" x14ac:dyDescent="0.35">
      <c r="A1640" s="2">
        <f ca="1">IFERROR(__xludf.DUMMYFUNCTION("""COMPUTED_VALUE"""),44384.6666666666)</f>
        <v>44384.666666666599</v>
      </c>
      <c r="B1640" s="1">
        <f ca="1">IFERROR(__xludf.DUMMYFUNCTION("""COMPUTED_VALUE"""),355.26)</f>
        <v>355.26</v>
      </c>
      <c r="C1640" s="1">
        <f ca="1">IFERROR(__xludf.DUMMYFUNCTION("""COMPUTED_VALUE"""),356.49)</f>
        <v>356.49</v>
      </c>
      <c r="D1640" s="1">
        <f ca="1">IFERROR(__xludf.DUMMYFUNCTION("""COMPUTED_VALUE"""),350)</f>
        <v>350</v>
      </c>
      <c r="E1640" s="1">
        <f ca="1">IFERROR(__xludf.DUMMYFUNCTION("""COMPUTED_VALUE"""),350.49)</f>
        <v>350.49</v>
      </c>
      <c r="F1640" s="1">
        <f ca="1">IFERROR(__xludf.DUMMYFUNCTION("""COMPUTED_VALUE"""),14218866)</f>
        <v>14218866</v>
      </c>
    </row>
    <row r="1641" spans="1:6" x14ac:dyDescent="0.35">
      <c r="A1641" s="2">
        <f ca="1">IFERROR(__xludf.DUMMYFUNCTION("""COMPUTED_VALUE"""),44385.6666666666)</f>
        <v>44385.666666666599</v>
      </c>
      <c r="B1641" s="1">
        <f ca="1">IFERROR(__xludf.DUMMYFUNCTION("""COMPUTED_VALUE"""),345.73)</f>
        <v>345.73</v>
      </c>
      <c r="C1641" s="1">
        <f ca="1">IFERROR(__xludf.DUMMYFUNCTION("""COMPUTED_VALUE"""),348.33)</f>
        <v>348.33</v>
      </c>
      <c r="D1641" s="1">
        <f ca="1">IFERROR(__xludf.DUMMYFUNCTION("""COMPUTED_VALUE"""),342.56)</f>
        <v>342.56</v>
      </c>
      <c r="E1641" s="1">
        <f ca="1">IFERROR(__xludf.DUMMYFUNCTION("""COMPUTED_VALUE"""),345.65)</f>
        <v>345.65</v>
      </c>
      <c r="F1641" s="1">
        <f ca="1">IFERROR(__xludf.DUMMYFUNCTION("""COMPUTED_VALUE"""),14406457)</f>
        <v>14406457</v>
      </c>
    </row>
    <row r="1642" spans="1:6" x14ac:dyDescent="0.35">
      <c r="A1642" s="2">
        <f ca="1">IFERROR(__xludf.DUMMYFUNCTION("""COMPUTED_VALUE"""),44386.6666666666)</f>
        <v>44386.666666666599</v>
      </c>
      <c r="B1642" s="1">
        <f ca="1">IFERROR(__xludf.DUMMYFUNCTION("""COMPUTED_VALUE"""),345.32)</f>
        <v>345.32</v>
      </c>
      <c r="C1642" s="1">
        <f ca="1">IFERROR(__xludf.DUMMYFUNCTION("""COMPUTED_VALUE"""),350.71)</f>
        <v>350.71</v>
      </c>
      <c r="D1642" s="1">
        <f ca="1">IFERROR(__xludf.DUMMYFUNCTION("""COMPUTED_VALUE"""),345.27)</f>
        <v>345.27</v>
      </c>
      <c r="E1642" s="1">
        <f ca="1">IFERROR(__xludf.DUMMYFUNCTION("""COMPUTED_VALUE"""),350.42)</f>
        <v>350.42</v>
      </c>
      <c r="F1642" s="1">
        <f ca="1">IFERROR(__xludf.DUMMYFUNCTION("""COMPUTED_VALUE"""),13018694)</f>
        <v>13018694</v>
      </c>
    </row>
    <row r="1643" spans="1:6" x14ac:dyDescent="0.35">
      <c r="A1643" s="2">
        <f ca="1">IFERROR(__xludf.DUMMYFUNCTION("""COMPUTED_VALUE"""),44389.6666666666)</f>
        <v>44389.666666666599</v>
      </c>
      <c r="B1643" s="1">
        <f ca="1">IFERROR(__xludf.DUMMYFUNCTION("""COMPUTED_VALUE"""),351.23)</f>
        <v>351.23</v>
      </c>
      <c r="C1643" s="1">
        <f ca="1">IFERROR(__xludf.DUMMYFUNCTION("""COMPUTED_VALUE"""),354.19)</f>
        <v>354.19</v>
      </c>
      <c r="D1643" s="1">
        <f ca="1">IFERROR(__xludf.DUMMYFUNCTION("""COMPUTED_VALUE"""),349.64)</f>
        <v>349.64</v>
      </c>
      <c r="E1643" s="1">
        <f ca="1">IFERROR(__xludf.DUMMYFUNCTION("""COMPUTED_VALUE"""),353.16)</f>
        <v>353.16</v>
      </c>
      <c r="F1643" s="1">
        <f ca="1">IFERROR(__xludf.DUMMYFUNCTION("""COMPUTED_VALUE"""),10018624)</f>
        <v>10018624</v>
      </c>
    </row>
    <row r="1644" spans="1:6" x14ac:dyDescent="0.35">
      <c r="A1644" s="2">
        <f ca="1">IFERROR(__xludf.DUMMYFUNCTION("""COMPUTED_VALUE"""),44390.6666666666)</f>
        <v>44390.666666666599</v>
      </c>
      <c r="B1644" s="1">
        <f ca="1">IFERROR(__xludf.DUMMYFUNCTION("""COMPUTED_VALUE"""),351.5)</f>
        <v>351.5</v>
      </c>
      <c r="C1644" s="1">
        <f ca="1">IFERROR(__xludf.DUMMYFUNCTION("""COMPUTED_VALUE"""),358.49)</f>
        <v>358.49</v>
      </c>
      <c r="D1644" s="1">
        <f ca="1">IFERROR(__xludf.DUMMYFUNCTION("""COMPUTED_VALUE"""),348.8)</f>
        <v>348.8</v>
      </c>
      <c r="E1644" s="1">
        <f ca="1">IFERROR(__xludf.DUMMYFUNCTION("""COMPUTED_VALUE"""),352.09)</f>
        <v>352.09</v>
      </c>
      <c r="F1644" s="1">
        <f ca="1">IFERROR(__xludf.DUMMYFUNCTION("""COMPUTED_VALUE"""),11455963)</f>
        <v>11455963</v>
      </c>
    </row>
    <row r="1645" spans="1:6" x14ac:dyDescent="0.35">
      <c r="A1645" s="2">
        <f ca="1">IFERROR(__xludf.DUMMYFUNCTION("""COMPUTED_VALUE"""),44391.6666666666)</f>
        <v>44391.666666666599</v>
      </c>
      <c r="B1645" s="1">
        <f ca="1">IFERROR(__xludf.DUMMYFUNCTION("""COMPUTED_VALUE"""),354.56)</f>
        <v>354.56</v>
      </c>
      <c r="C1645" s="1">
        <f ca="1">IFERROR(__xludf.DUMMYFUNCTION("""COMPUTED_VALUE"""),355.2)</f>
        <v>355.2</v>
      </c>
      <c r="D1645" s="1">
        <f ca="1">IFERROR(__xludf.DUMMYFUNCTION("""COMPUTED_VALUE"""),346.73)</f>
        <v>346.73</v>
      </c>
      <c r="E1645" s="1">
        <f ca="1">IFERROR(__xludf.DUMMYFUNCTION("""COMPUTED_VALUE"""),347.63)</f>
        <v>347.63</v>
      </c>
      <c r="F1645" s="1">
        <f ca="1">IFERROR(__xludf.DUMMYFUNCTION("""COMPUTED_VALUE"""),13894221)</f>
        <v>13894221</v>
      </c>
    </row>
    <row r="1646" spans="1:6" x14ac:dyDescent="0.35">
      <c r="A1646" s="2">
        <f ca="1">IFERROR(__xludf.DUMMYFUNCTION("""COMPUTED_VALUE"""),44392.6666666666)</f>
        <v>44392.666666666599</v>
      </c>
      <c r="B1646" s="1">
        <f ca="1">IFERROR(__xludf.DUMMYFUNCTION("""COMPUTED_VALUE"""),349.23)</f>
        <v>349.23</v>
      </c>
      <c r="C1646" s="1">
        <f ca="1">IFERROR(__xludf.DUMMYFUNCTION("""COMPUTED_VALUE"""),349.23)</f>
        <v>349.23</v>
      </c>
      <c r="D1646" s="1">
        <f ca="1">IFERROR(__xludf.DUMMYFUNCTION("""COMPUTED_VALUE"""),340.22)</f>
        <v>340.22</v>
      </c>
      <c r="E1646" s="1">
        <f ca="1">IFERROR(__xludf.DUMMYFUNCTION("""COMPUTED_VALUE"""),344.46)</f>
        <v>344.46</v>
      </c>
      <c r="F1646" s="1">
        <f ca="1">IFERROR(__xludf.DUMMYFUNCTION("""COMPUTED_VALUE"""),14781594)</f>
        <v>14781594</v>
      </c>
    </row>
    <row r="1647" spans="1:6" x14ac:dyDescent="0.35">
      <c r="A1647" s="2">
        <f ca="1">IFERROR(__xludf.DUMMYFUNCTION("""COMPUTED_VALUE"""),44393.6666666666)</f>
        <v>44393.666666666599</v>
      </c>
      <c r="B1647" s="1">
        <f ca="1">IFERROR(__xludf.DUMMYFUNCTION("""COMPUTED_VALUE"""),344.91)</f>
        <v>344.91</v>
      </c>
      <c r="C1647" s="1">
        <f ca="1">IFERROR(__xludf.DUMMYFUNCTION("""COMPUTED_VALUE"""),345.99)</f>
        <v>345.99</v>
      </c>
      <c r="D1647" s="1">
        <f ca="1">IFERROR(__xludf.DUMMYFUNCTION("""COMPUTED_VALUE"""),340.14)</f>
        <v>340.14</v>
      </c>
      <c r="E1647" s="1">
        <f ca="1">IFERROR(__xludf.DUMMYFUNCTION("""COMPUTED_VALUE"""),341.16)</f>
        <v>341.16</v>
      </c>
      <c r="F1647" s="1">
        <f ca="1">IFERROR(__xludf.DUMMYFUNCTION("""COMPUTED_VALUE"""),11026093)</f>
        <v>11026093</v>
      </c>
    </row>
    <row r="1648" spans="1:6" x14ac:dyDescent="0.35">
      <c r="A1648" s="2">
        <f ca="1">IFERROR(__xludf.DUMMYFUNCTION("""COMPUTED_VALUE"""),44396.6666666666)</f>
        <v>44396.666666666599</v>
      </c>
      <c r="B1648" s="1">
        <f ca="1">IFERROR(__xludf.DUMMYFUNCTION("""COMPUTED_VALUE"""),337.57)</f>
        <v>337.57</v>
      </c>
      <c r="C1648" s="1">
        <f ca="1">IFERROR(__xludf.DUMMYFUNCTION("""COMPUTED_VALUE"""),339.79)</f>
        <v>339.79</v>
      </c>
      <c r="D1648" s="1">
        <f ca="1">IFERROR(__xludf.DUMMYFUNCTION("""COMPUTED_VALUE"""),334.54)</f>
        <v>334.54</v>
      </c>
      <c r="E1648" s="1">
        <f ca="1">IFERROR(__xludf.DUMMYFUNCTION("""COMPUTED_VALUE"""),336.95)</f>
        <v>336.95</v>
      </c>
      <c r="F1648" s="1">
        <f ca="1">IFERROR(__xludf.DUMMYFUNCTION("""COMPUTED_VALUE"""),14372345)</f>
        <v>14372345</v>
      </c>
    </row>
    <row r="1649" spans="1:6" x14ac:dyDescent="0.35">
      <c r="A1649" s="2">
        <f ca="1">IFERROR(__xludf.DUMMYFUNCTION("""COMPUTED_VALUE"""),44397.6666666666)</f>
        <v>44397.666666666599</v>
      </c>
      <c r="B1649" s="1">
        <f ca="1">IFERROR(__xludf.DUMMYFUNCTION("""COMPUTED_VALUE"""),338.8)</f>
        <v>338.8</v>
      </c>
      <c r="C1649" s="1">
        <f ca="1">IFERROR(__xludf.DUMMYFUNCTION("""COMPUTED_VALUE"""),343.45)</f>
        <v>343.45</v>
      </c>
      <c r="D1649" s="1">
        <f ca="1">IFERROR(__xludf.DUMMYFUNCTION("""COMPUTED_VALUE"""),334.5)</f>
        <v>334.5</v>
      </c>
      <c r="E1649" s="1">
        <f ca="1">IFERROR(__xludf.DUMMYFUNCTION("""COMPUTED_VALUE"""),341.66)</f>
        <v>341.66</v>
      </c>
      <c r="F1649" s="1">
        <f ca="1">IFERROR(__xludf.DUMMYFUNCTION("""COMPUTED_VALUE"""),11024277)</f>
        <v>11024277</v>
      </c>
    </row>
    <row r="1650" spans="1:6" x14ac:dyDescent="0.35">
      <c r="A1650" s="2">
        <f ca="1">IFERROR(__xludf.DUMMYFUNCTION("""COMPUTED_VALUE"""),44398.6666666666)</f>
        <v>44398.666666666599</v>
      </c>
      <c r="B1650" s="1">
        <f ca="1">IFERROR(__xludf.DUMMYFUNCTION("""COMPUTED_VALUE"""),341.5)</f>
        <v>341.5</v>
      </c>
      <c r="C1650" s="1">
        <f ca="1">IFERROR(__xludf.DUMMYFUNCTION("""COMPUTED_VALUE"""),346.52)</f>
        <v>346.52</v>
      </c>
      <c r="D1650" s="1">
        <f ca="1">IFERROR(__xludf.DUMMYFUNCTION("""COMPUTED_VALUE"""),341.25)</f>
        <v>341.25</v>
      </c>
      <c r="E1650" s="1">
        <f ca="1">IFERROR(__xludf.DUMMYFUNCTION("""COMPUTED_VALUE"""),346.23)</f>
        <v>346.23</v>
      </c>
      <c r="F1650" s="1">
        <f ca="1">IFERROR(__xludf.DUMMYFUNCTION("""COMPUTED_VALUE"""),9279657)</f>
        <v>9279657</v>
      </c>
    </row>
    <row r="1651" spans="1:6" x14ac:dyDescent="0.35">
      <c r="A1651" s="2">
        <f ca="1">IFERROR(__xludf.DUMMYFUNCTION("""COMPUTED_VALUE"""),44399.6666666666)</f>
        <v>44399.666666666599</v>
      </c>
      <c r="B1651" s="1">
        <f ca="1">IFERROR(__xludf.DUMMYFUNCTION("""COMPUTED_VALUE"""),346.68)</f>
        <v>346.68</v>
      </c>
      <c r="C1651" s="1">
        <f ca="1">IFERROR(__xludf.DUMMYFUNCTION("""COMPUTED_VALUE"""),351.54)</f>
        <v>351.54</v>
      </c>
      <c r="D1651" s="1">
        <f ca="1">IFERROR(__xludf.DUMMYFUNCTION("""COMPUTED_VALUE"""),345.21)</f>
        <v>345.21</v>
      </c>
      <c r="E1651" s="1">
        <f ca="1">IFERROR(__xludf.DUMMYFUNCTION("""COMPUTED_VALUE"""),351.19)</f>
        <v>351.19</v>
      </c>
      <c r="F1651" s="1">
        <f ca="1">IFERROR(__xludf.DUMMYFUNCTION("""COMPUTED_VALUE"""),12385441)</f>
        <v>12385441</v>
      </c>
    </row>
    <row r="1652" spans="1:6" x14ac:dyDescent="0.35">
      <c r="A1652" s="2">
        <f ca="1">IFERROR(__xludf.DUMMYFUNCTION("""COMPUTED_VALUE"""),44400.6666666666)</f>
        <v>44400.666666666599</v>
      </c>
      <c r="B1652" s="1">
        <f ca="1">IFERROR(__xludf.DUMMYFUNCTION("""COMPUTED_VALUE"""),360.91)</f>
        <v>360.91</v>
      </c>
      <c r="C1652" s="1">
        <f ca="1">IFERROR(__xludf.DUMMYFUNCTION("""COMPUTED_VALUE"""),375.33)</f>
        <v>375.33</v>
      </c>
      <c r="D1652" s="1">
        <f ca="1">IFERROR(__xludf.DUMMYFUNCTION("""COMPUTED_VALUE"""),357.19)</f>
        <v>357.19</v>
      </c>
      <c r="E1652" s="1">
        <f ca="1">IFERROR(__xludf.DUMMYFUNCTION("""COMPUTED_VALUE"""),369.79)</f>
        <v>369.79</v>
      </c>
      <c r="F1652" s="1">
        <f ca="1">IFERROR(__xludf.DUMMYFUNCTION("""COMPUTED_VALUE"""),33694328)</f>
        <v>33694328</v>
      </c>
    </row>
    <row r="1653" spans="1:6" x14ac:dyDescent="0.35">
      <c r="A1653" s="2">
        <f ca="1">IFERROR(__xludf.DUMMYFUNCTION("""COMPUTED_VALUE"""),44403.6666666666)</f>
        <v>44403.666666666599</v>
      </c>
      <c r="B1653" s="1">
        <f ca="1">IFERROR(__xludf.DUMMYFUNCTION("""COMPUTED_VALUE"""),369.58)</f>
        <v>369.58</v>
      </c>
      <c r="C1653" s="1">
        <f ca="1">IFERROR(__xludf.DUMMYFUNCTION("""COMPUTED_VALUE"""),374.44)</f>
        <v>374.44</v>
      </c>
      <c r="D1653" s="1">
        <f ca="1">IFERROR(__xludf.DUMMYFUNCTION("""COMPUTED_VALUE"""),368.22)</f>
        <v>368.22</v>
      </c>
      <c r="E1653" s="1">
        <f ca="1">IFERROR(__xludf.DUMMYFUNCTION("""COMPUTED_VALUE"""),372.46)</f>
        <v>372.46</v>
      </c>
      <c r="F1653" s="1">
        <f ca="1">IFERROR(__xludf.DUMMYFUNCTION("""COMPUTED_VALUE"""),14925222)</f>
        <v>14925222</v>
      </c>
    </row>
    <row r="1654" spans="1:6" x14ac:dyDescent="0.35">
      <c r="A1654" s="2">
        <f ca="1">IFERROR(__xludf.DUMMYFUNCTION("""COMPUTED_VALUE"""),44404.6666666666)</f>
        <v>44404.666666666599</v>
      </c>
      <c r="B1654" s="1">
        <f ca="1">IFERROR(__xludf.DUMMYFUNCTION("""COMPUTED_VALUE"""),371.91)</f>
        <v>371.91</v>
      </c>
      <c r="C1654" s="1">
        <f ca="1">IFERROR(__xludf.DUMMYFUNCTION("""COMPUTED_VALUE"""),373.15)</f>
        <v>373.15</v>
      </c>
      <c r="D1654" s="1">
        <f ca="1">IFERROR(__xludf.DUMMYFUNCTION("""COMPUTED_VALUE"""),364.55)</f>
        <v>364.55</v>
      </c>
      <c r="E1654" s="1">
        <f ca="1">IFERROR(__xludf.DUMMYFUNCTION("""COMPUTED_VALUE"""),367.81)</f>
        <v>367.81</v>
      </c>
      <c r="F1654" s="1">
        <f ca="1">IFERROR(__xludf.DUMMYFUNCTION("""COMPUTED_VALUE"""),15705447)</f>
        <v>15705447</v>
      </c>
    </row>
    <row r="1655" spans="1:6" x14ac:dyDescent="0.35">
      <c r="A1655" s="2">
        <f ca="1">IFERROR(__xludf.DUMMYFUNCTION("""COMPUTED_VALUE"""),44405.6666666666)</f>
        <v>44405.666666666599</v>
      </c>
      <c r="B1655" s="1">
        <f ca="1">IFERROR(__xludf.DUMMYFUNCTION("""COMPUTED_VALUE"""),374.56)</f>
        <v>374.56</v>
      </c>
      <c r="C1655" s="1">
        <f ca="1">IFERROR(__xludf.DUMMYFUNCTION("""COMPUTED_VALUE"""),377.55)</f>
        <v>377.55</v>
      </c>
      <c r="D1655" s="1">
        <f ca="1">IFERROR(__xludf.DUMMYFUNCTION("""COMPUTED_VALUE"""),366.93)</f>
        <v>366.93</v>
      </c>
      <c r="E1655" s="1">
        <f ca="1">IFERROR(__xludf.DUMMYFUNCTION("""COMPUTED_VALUE"""),373.28)</f>
        <v>373.28</v>
      </c>
      <c r="F1655" s="1">
        <f ca="1">IFERROR(__xludf.DUMMYFUNCTION("""COMPUTED_VALUE"""),29676910)</f>
        <v>29676910</v>
      </c>
    </row>
    <row r="1656" spans="1:6" x14ac:dyDescent="0.35">
      <c r="A1656" s="2">
        <f ca="1">IFERROR(__xludf.DUMMYFUNCTION("""COMPUTED_VALUE"""),44406.6666666666)</f>
        <v>44406.666666666599</v>
      </c>
      <c r="B1656" s="1">
        <f ca="1">IFERROR(__xludf.DUMMYFUNCTION("""COMPUTED_VALUE"""),361)</f>
        <v>361</v>
      </c>
      <c r="C1656" s="1">
        <f ca="1">IFERROR(__xludf.DUMMYFUNCTION("""COMPUTED_VALUE"""),365.52)</f>
        <v>365.52</v>
      </c>
      <c r="D1656" s="1">
        <f ca="1">IFERROR(__xludf.DUMMYFUNCTION("""COMPUTED_VALUE"""),356.74)</f>
        <v>356.74</v>
      </c>
      <c r="E1656" s="1">
        <f ca="1">IFERROR(__xludf.DUMMYFUNCTION("""COMPUTED_VALUE"""),358.32)</f>
        <v>358.32</v>
      </c>
      <c r="F1656" s="1">
        <f ca="1">IFERROR(__xludf.DUMMYFUNCTION("""COMPUTED_VALUE"""),33413244)</f>
        <v>33413244</v>
      </c>
    </row>
    <row r="1657" spans="1:6" x14ac:dyDescent="0.35">
      <c r="A1657" s="2">
        <f ca="1">IFERROR(__xludf.DUMMYFUNCTION("""COMPUTED_VALUE"""),44407.6666666666)</f>
        <v>44407.666666666599</v>
      </c>
      <c r="B1657" s="1">
        <f ca="1">IFERROR(__xludf.DUMMYFUNCTION("""COMPUTED_VALUE"""),354)</f>
        <v>354</v>
      </c>
      <c r="C1657" s="1">
        <f ca="1">IFERROR(__xludf.DUMMYFUNCTION("""COMPUTED_VALUE"""),360.73)</f>
        <v>360.73</v>
      </c>
      <c r="D1657" s="1">
        <f ca="1">IFERROR(__xludf.DUMMYFUNCTION("""COMPUTED_VALUE"""),352.94)</f>
        <v>352.94</v>
      </c>
      <c r="E1657" s="1">
        <f ca="1">IFERROR(__xludf.DUMMYFUNCTION("""COMPUTED_VALUE"""),356.3)</f>
        <v>356.3</v>
      </c>
      <c r="F1657" s="1">
        <f ca="1">IFERROR(__xludf.DUMMYFUNCTION("""COMPUTED_VALUE"""),15976179)</f>
        <v>15976179</v>
      </c>
    </row>
    <row r="1658" spans="1:6" x14ac:dyDescent="0.35">
      <c r="A1658" s="2">
        <f ca="1">IFERROR(__xludf.DUMMYFUNCTION("""COMPUTED_VALUE"""),44410.6666666666)</f>
        <v>44410.666666666599</v>
      </c>
      <c r="B1658" s="1">
        <f ca="1">IFERROR(__xludf.DUMMYFUNCTION("""COMPUTED_VALUE"""),358.1)</f>
        <v>358.1</v>
      </c>
      <c r="C1658" s="1">
        <f ca="1">IFERROR(__xludf.DUMMYFUNCTION("""COMPUTED_VALUE"""),359.4)</f>
        <v>359.4</v>
      </c>
      <c r="D1658" s="1">
        <f ca="1">IFERROR(__xludf.DUMMYFUNCTION("""COMPUTED_VALUE"""),350.74)</f>
        <v>350.74</v>
      </c>
      <c r="E1658" s="1">
        <f ca="1">IFERROR(__xludf.DUMMYFUNCTION("""COMPUTED_VALUE"""),351.95)</f>
        <v>351.95</v>
      </c>
      <c r="F1658" s="1">
        <f ca="1">IFERROR(__xludf.DUMMYFUNCTION("""COMPUTED_VALUE"""),13180439)</f>
        <v>13180439</v>
      </c>
    </row>
    <row r="1659" spans="1:6" x14ac:dyDescent="0.35">
      <c r="A1659" s="2">
        <f ca="1">IFERROR(__xludf.DUMMYFUNCTION("""COMPUTED_VALUE"""),44411.6666666666)</f>
        <v>44411.666666666599</v>
      </c>
      <c r="B1659" s="1">
        <f ca="1">IFERROR(__xludf.DUMMYFUNCTION("""COMPUTED_VALUE"""),352.73)</f>
        <v>352.73</v>
      </c>
      <c r="C1659" s="1">
        <f ca="1">IFERROR(__xludf.DUMMYFUNCTION("""COMPUTED_VALUE"""),353.77)</f>
        <v>353.77</v>
      </c>
      <c r="D1659" s="1">
        <f ca="1">IFERROR(__xludf.DUMMYFUNCTION("""COMPUTED_VALUE"""),347.7)</f>
        <v>347.7</v>
      </c>
      <c r="E1659" s="1">
        <f ca="1">IFERROR(__xludf.DUMMYFUNCTION("""COMPUTED_VALUE"""),351.24)</f>
        <v>351.24</v>
      </c>
      <c r="F1659" s="1">
        <f ca="1">IFERROR(__xludf.DUMMYFUNCTION("""COMPUTED_VALUE"""),12406054)</f>
        <v>12406054</v>
      </c>
    </row>
    <row r="1660" spans="1:6" x14ac:dyDescent="0.35">
      <c r="A1660" s="2">
        <f ca="1">IFERROR(__xludf.DUMMYFUNCTION("""COMPUTED_VALUE"""),44412.6666666666)</f>
        <v>44412.666666666599</v>
      </c>
      <c r="B1660" s="1">
        <f ca="1">IFERROR(__xludf.DUMMYFUNCTION("""COMPUTED_VALUE"""),352.42)</f>
        <v>352.42</v>
      </c>
      <c r="C1660" s="1">
        <f ca="1">IFERROR(__xludf.DUMMYFUNCTION("""COMPUTED_VALUE"""),360.48)</f>
        <v>360.48</v>
      </c>
      <c r="D1660" s="1">
        <f ca="1">IFERROR(__xludf.DUMMYFUNCTION("""COMPUTED_VALUE"""),351.51)</f>
        <v>351.51</v>
      </c>
      <c r="E1660" s="1">
        <f ca="1">IFERROR(__xludf.DUMMYFUNCTION("""COMPUTED_VALUE"""),358.92)</f>
        <v>358.92</v>
      </c>
      <c r="F1660" s="1">
        <f ca="1">IFERROR(__xludf.DUMMYFUNCTION("""COMPUTED_VALUE"""),14180572)</f>
        <v>14180572</v>
      </c>
    </row>
    <row r="1661" spans="1:6" x14ac:dyDescent="0.35">
      <c r="A1661" s="2">
        <f ca="1">IFERROR(__xludf.DUMMYFUNCTION("""COMPUTED_VALUE"""),44413.6666666666)</f>
        <v>44413.666666666599</v>
      </c>
      <c r="B1661" s="1">
        <f ca="1">IFERROR(__xludf.DUMMYFUNCTION("""COMPUTED_VALUE"""),359.64)</f>
        <v>359.64</v>
      </c>
      <c r="C1661" s="1">
        <f ca="1">IFERROR(__xludf.DUMMYFUNCTION("""COMPUTED_VALUE"""),363.9)</f>
        <v>363.9</v>
      </c>
      <c r="D1661" s="1">
        <f ca="1">IFERROR(__xludf.DUMMYFUNCTION("""COMPUTED_VALUE"""),356.9)</f>
        <v>356.9</v>
      </c>
      <c r="E1661" s="1">
        <f ca="1">IFERROR(__xludf.DUMMYFUNCTION("""COMPUTED_VALUE"""),362.97)</f>
        <v>362.97</v>
      </c>
      <c r="F1661" s="1">
        <f ca="1">IFERROR(__xludf.DUMMYFUNCTION("""COMPUTED_VALUE"""),10247207)</f>
        <v>10247207</v>
      </c>
    </row>
    <row r="1662" spans="1:6" x14ac:dyDescent="0.35">
      <c r="A1662" s="2">
        <f ca="1">IFERROR(__xludf.DUMMYFUNCTION("""COMPUTED_VALUE"""),44414.6666666666)</f>
        <v>44414.666666666599</v>
      </c>
      <c r="B1662" s="1">
        <f ca="1">IFERROR(__xludf.DUMMYFUNCTION("""COMPUTED_VALUE"""),361.4)</f>
        <v>361.4</v>
      </c>
      <c r="C1662" s="1">
        <f ca="1">IFERROR(__xludf.DUMMYFUNCTION("""COMPUTED_VALUE"""),365.15)</f>
        <v>365.15</v>
      </c>
      <c r="D1662" s="1">
        <f ca="1">IFERROR(__xludf.DUMMYFUNCTION("""COMPUTED_VALUE"""),361.4)</f>
        <v>361.4</v>
      </c>
      <c r="E1662" s="1">
        <f ca="1">IFERROR(__xludf.DUMMYFUNCTION("""COMPUTED_VALUE"""),363.51)</f>
        <v>363.51</v>
      </c>
      <c r="F1662" s="1">
        <f ca="1">IFERROR(__xludf.DUMMYFUNCTION("""COMPUTED_VALUE"""),8925017)</f>
        <v>8925017</v>
      </c>
    </row>
    <row r="1663" spans="1:6" x14ac:dyDescent="0.35">
      <c r="A1663" s="2">
        <f ca="1">IFERROR(__xludf.DUMMYFUNCTION("""COMPUTED_VALUE"""),44417.6666666666)</f>
        <v>44417.666666666599</v>
      </c>
      <c r="B1663" s="1">
        <f ca="1">IFERROR(__xludf.DUMMYFUNCTION("""COMPUTED_VALUE"""),363.76)</f>
        <v>363.76</v>
      </c>
      <c r="C1663" s="1">
        <f ca="1">IFERROR(__xludf.DUMMYFUNCTION("""COMPUTED_VALUE"""),365.78)</f>
        <v>365.78</v>
      </c>
      <c r="D1663" s="1">
        <f ca="1">IFERROR(__xludf.DUMMYFUNCTION("""COMPUTED_VALUE"""),360.75)</f>
        <v>360.75</v>
      </c>
      <c r="E1663" s="1">
        <f ca="1">IFERROR(__xludf.DUMMYFUNCTION("""COMPUTED_VALUE"""),361.61)</f>
        <v>361.61</v>
      </c>
      <c r="F1663" s="1">
        <f ca="1">IFERROR(__xludf.DUMMYFUNCTION("""COMPUTED_VALUE"""),7798872)</f>
        <v>7798872</v>
      </c>
    </row>
    <row r="1664" spans="1:6" x14ac:dyDescent="0.35">
      <c r="A1664" s="2">
        <f ca="1">IFERROR(__xludf.DUMMYFUNCTION("""COMPUTED_VALUE"""),44418.6666666666)</f>
        <v>44418.666666666599</v>
      </c>
      <c r="B1664" s="1">
        <f ca="1">IFERROR(__xludf.DUMMYFUNCTION("""COMPUTED_VALUE"""),361.83)</f>
        <v>361.83</v>
      </c>
      <c r="C1664" s="1">
        <f ca="1">IFERROR(__xludf.DUMMYFUNCTION("""COMPUTED_VALUE"""),364.1)</f>
        <v>364.1</v>
      </c>
      <c r="D1664" s="1">
        <f ca="1">IFERROR(__xludf.DUMMYFUNCTION("""COMPUTED_VALUE"""),359.04)</f>
        <v>359.04</v>
      </c>
      <c r="E1664" s="1">
        <f ca="1">IFERROR(__xludf.DUMMYFUNCTION("""COMPUTED_VALUE"""),361.13)</f>
        <v>361.13</v>
      </c>
      <c r="F1664" s="1">
        <f ca="1">IFERROR(__xludf.DUMMYFUNCTION("""COMPUTED_VALUE"""),7469878)</f>
        <v>7469878</v>
      </c>
    </row>
    <row r="1665" spans="1:6" x14ac:dyDescent="0.35">
      <c r="A1665" s="2">
        <f ca="1">IFERROR(__xludf.DUMMYFUNCTION("""COMPUTED_VALUE"""),44419.6666666666)</f>
        <v>44419.666666666599</v>
      </c>
      <c r="B1665" s="1">
        <f ca="1">IFERROR(__xludf.DUMMYFUNCTION("""COMPUTED_VALUE"""),362.1)</f>
        <v>362.1</v>
      </c>
      <c r="C1665" s="1">
        <f ca="1">IFERROR(__xludf.DUMMYFUNCTION("""COMPUTED_VALUE"""),362.36)</f>
        <v>362.36</v>
      </c>
      <c r="D1665" s="1">
        <f ca="1">IFERROR(__xludf.DUMMYFUNCTION("""COMPUTED_VALUE"""),357.81)</f>
        <v>357.81</v>
      </c>
      <c r="E1665" s="1">
        <f ca="1">IFERROR(__xludf.DUMMYFUNCTION("""COMPUTED_VALUE"""),359.96)</f>
        <v>359.96</v>
      </c>
      <c r="F1665" s="1">
        <f ca="1">IFERROR(__xludf.DUMMYFUNCTION("""COMPUTED_VALUE"""),8400332)</f>
        <v>8400332</v>
      </c>
    </row>
    <row r="1666" spans="1:6" x14ac:dyDescent="0.35">
      <c r="A1666" s="2">
        <f ca="1">IFERROR(__xludf.DUMMYFUNCTION("""COMPUTED_VALUE"""),44420.6666666666)</f>
        <v>44420.666666666599</v>
      </c>
      <c r="B1666" s="1">
        <f ca="1">IFERROR(__xludf.DUMMYFUNCTION("""COMPUTED_VALUE"""),358.45)</f>
        <v>358.45</v>
      </c>
      <c r="C1666" s="1">
        <f ca="1">IFERROR(__xludf.DUMMYFUNCTION("""COMPUTED_VALUE"""),363)</f>
        <v>363</v>
      </c>
      <c r="D1666" s="1">
        <f ca="1">IFERROR(__xludf.DUMMYFUNCTION("""COMPUTED_VALUE"""),357.11)</f>
        <v>357.11</v>
      </c>
      <c r="E1666" s="1">
        <f ca="1">IFERROR(__xludf.DUMMYFUNCTION("""COMPUTED_VALUE"""),362.65)</f>
        <v>362.65</v>
      </c>
      <c r="F1666" s="1">
        <f ca="1">IFERROR(__xludf.DUMMYFUNCTION("""COMPUTED_VALUE"""),7175206)</f>
        <v>7175206</v>
      </c>
    </row>
    <row r="1667" spans="1:6" x14ac:dyDescent="0.35">
      <c r="A1667" s="2">
        <f ca="1">IFERROR(__xludf.DUMMYFUNCTION("""COMPUTED_VALUE"""),44421.6666666666)</f>
        <v>44421.666666666599</v>
      </c>
      <c r="B1667" s="1">
        <f ca="1">IFERROR(__xludf.DUMMYFUNCTION("""COMPUTED_VALUE"""),362.97)</f>
        <v>362.97</v>
      </c>
      <c r="C1667" s="1">
        <f ca="1">IFERROR(__xludf.DUMMYFUNCTION("""COMPUTED_VALUE"""),364.66)</f>
        <v>364.66</v>
      </c>
      <c r="D1667" s="1">
        <f ca="1">IFERROR(__xludf.DUMMYFUNCTION("""COMPUTED_VALUE"""),361.48)</f>
        <v>361.48</v>
      </c>
      <c r="E1667" s="1">
        <f ca="1">IFERROR(__xludf.DUMMYFUNCTION("""COMPUTED_VALUE"""),363.18)</f>
        <v>363.18</v>
      </c>
      <c r="F1667" s="1">
        <f ca="1">IFERROR(__xludf.DUMMYFUNCTION("""COMPUTED_VALUE"""),7195724)</f>
        <v>7195724</v>
      </c>
    </row>
    <row r="1668" spans="1:6" x14ac:dyDescent="0.35">
      <c r="A1668" s="2">
        <f ca="1">IFERROR(__xludf.DUMMYFUNCTION("""COMPUTED_VALUE"""),44424.6666666666)</f>
        <v>44424.666666666599</v>
      </c>
      <c r="B1668" s="1">
        <f ca="1">IFERROR(__xludf.DUMMYFUNCTION("""COMPUTED_VALUE"""),362.52)</f>
        <v>362.52</v>
      </c>
      <c r="C1668" s="1">
        <f ca="1">IFERROR(__xludf.DUMMYFUNCTION("""COMPUTED_VALUE"""),366.95)</f>
        <v>366.95</v>
      </c>
      <c r="D1668" s="1">
        <f ca="1">IFERROR(__xludf.DUMMYFUNCTION("""COMPUTED_VALUE"""),357.38)</f>
        <v>357.38</v>
      </c>
      <c r="E1668" s="1">
        <f ca="1">IFERROR(__xludf.DUMMYFUNCTION("""COMPUTED_VALUE"""),366.56)</f>
        <v>366.56</v>
      </c>
      <c r="F1668" s="1">
        <f ca="1">IFERROR(__xludf.DUMMYFUNCTION("""COMPUTED_VALUE"""),11232269)</f>
        <v>11232269</v>
      </c>
    </row>
    <row r="1669" spans="1:6" x14ac:dyDescent="0.35">
      <c r="A1669" s="2">
        <f ca="1">IFERROR(__xludf.DUMMYFUNCTION("""COMPUTED_VALUE"""),44425.6666666666)</f>
        <v>44425.666666666599</v>
      </c>
      <c r="B1669" s="1">
        <f ca="1">IFERROR(__xludf.DUMMYFUNCTION("""COMPUTED_VALUE"""),362.98)</f>
        <v>362.98</v>
      </c>
      <c r="C1669" s="1">
        <f ca="1">IFERROR(__xludf.DUMMYFUNCTION("""COMPUTED_VALUE"""),364.67)</f>
        <v>364.67</v>
      </c>
      <c r="D1669" s="1">
        <f ca="1">IFERROR(__xludf.DUMMYFUNCTION("""COMPUTED_VALUE"""),355.07)</f>
        <v>355.07</v>
      </c>
      <c r="E1669" s="1">
        <f ca="1">IFERROR(__xludf.DUMMYFUNCTION("""COMPUTED_VALUE"""),358.45)</f>
        <v>358.45</v>
      </c>
      <c r="F1669" s="1">
        <f ca="1">IFERROR(__xludf.DUMMYFUNCTION("""COMPUTED_VALUE"""),12328737)</f>
        <v>12328737</v>
      </c>
    </row>
    <row r="1670" spans="1:6" x14ac:dyDescent="0.35">
      <c r="A1670" s="2">
        <f ca="1">IFERROR(__xludf.DUMMYFUNCTION("""COMPUTED_VALUE"""),44426.6666666666)</f>
        <v>44426.666666666599</v>
      </c>
      <c r="B1670" s="1">
        <f ca="1">IFERROR(__xludf.DUMMYFUNCTION("""COMPUTED_VALUE"""),356.25)</f>
        <v>356.25</v>
      </c>
      <c r="C1670" s="1">
        <f ca="1">IFERROR(__xludf.DUMMYFUNCTION("""COMPUTED_VALUE"""),359.86)</f>
        <v>359.86</v>
      </c>
      <c r="D1670" s="1">
        <f ca="1">IFERROR(__xludf.DUMMYFUNCTION("""COMPUTED_VALUE"""),355.15)</f>
        <v>355.15</v>
      </c>
      <c r="E1670" s="1">
        <f ca="1">IFERROR(__xludf.DUMMYFUNCTION("""COMPUTED_VALUE"""),355.45)</f>
        <v>355.45</v>
      </c>
      <c r="F1670" s="1">
        <f ca="1">IFERROR(__xludf.DUMMYFUNCTION("""COMPUTED_VALUE"""),10042381)</f>
        <v>10042381</v>
      </c>
    </row>
    <row r="1671" spans="1:6" x14ac:dyDescent="0.35">
      <c r="A1671" s="2">
        <f ca="1">IFERROR(__xludf.DUMMYFUNCTION("""COMPUTED_VALUE"""),44427.6666666666)</f>
        <v>44427.666666666599</v>
      </c>
      <c r="B1671" s="1">
        <f ca="1">IFERROR(__xludf.DUMMYFUNCTION("""COMPUTED_VALUE"""),351.35)</f>
        <v>351.35</v>
      </c>
      <c r="C1671" s="1">
        <f ca="1">IFERROR(__xludf.DUMMYFUNCTION("""COMPUTED_VALUE"""),357.57)</f>
        <v>357.57</v>
      </c>
      <c r="D1671" s="1">
        <f ca="1">IFERROR(__xludf.DUMMYFUNCTION("""COMPUTED_VALUE"""),351)</f>
        <v>351</v>
      </c>
      <c r="E1671" s="1">
        <f ca="1">IFERROR(__xludf.DUMMYFUNCTION("""COMPUTED_VALUE"""),355.12)</f>
        <v>355.12</v>
      </c>
      <c r="F1671" s="1">
        <f ca="1">IFERROR(__xludf.DUMMYFUNCTION("""COMPUTED_VALUE"""),12004535)</f>
        <v>12004535</v>
      </c>
    </row>
    <row r="1672" spans="1:6" x14ac:dyDescent="0.35">
      <c r="A1672" s="2">
        <f ca="1">IFERROR(__xludf.DUMMYFUNCTION("""COMPUTED_VALUE"""),44428.6666666666)</f>
        <v>44428.666666666599</v>
      </c>
      <c r="B1672" s="1">
        <f ca="1">IFERROR(__xludf.DUMMYFUNCTION("""COMPUTED_VALUE"""),354.6)</f>
        <v>354.6</v>
      </c>
      <c r="C1672" s="1">
        <f ca="1">IFERROR(__xludf.DUMMYFUNCTION("""COMPUTED_VALUE"""),359.99)</f>
        <v>359.99</v>
      </c>
      <c r="D1672" s="1">
        <f ca="1">IFERROR(__xludf.DUMMYFUNCTION("""COMPUTED_VALUE"""),353.31)</f>
        <v>353.31</v>
      </c>
      <c r="E1672" s="1">
        <f ca="1">IFERROR(__xludf.DUMMYFUNCTION("""COMPUTED_VALUE"""),359.37)</f>
        <v>359.37</v>
      </c>
      <c r="F1672" s="1">
        <f ca="1">IFERROR(__xludf.DUMMYFUNCTION("""COMPUTED_VALUE"""),8697667)</f>
        <v>8697667</v>
      </c>
    </row>
    <row r="1673" spans="1:6" x14ac:dyDescent="0.35">
      <c r="A1673" s="2">
        <f ca="1">IFERROR(__xludf.DUMMYFUNCTION("""COMPUTED_VALUE"""),44431.6666666666)</f>
        <v>44431.666666666599</v>
      </c>
      <c r="B1673" s="1">
        <f ca="1">IFERROR(__xludf.DUMMYFUNCTION("""COMPUTED_VALUE"""),359.44)</f>
        <v>359.44</v>
      </c>
      <c r="C1673" s="1">
        <f ca="1">IFERROR(__xludf.DUMMYFUNCTION("""COMPUTED_VALUE"""),365.69)</f>
        <v>365.69</v>
      </c>
      <c r="D1673" s="1">
        <f ca="1">IFERROR(__xludf.DUMMYFUNCTION("""COMPUTED_VALUE"""),359.1)</f>
        <v>359.1</v>
      </c>
      <c r="E1673" s="1">
        <f ca="1">IFERROR(__xludf.DUMMYFUNCTION("""COMPUTED_VALUE"""),363.35)</f>
        <v>363.35</v>
      </c>
      <c r="F1673" s="1">
        <f ca="1">IFERROR(__xludf.DUMMYFUNCTION("""COMPUTED_VALUE"""),10942007)</f>
        <v>10942007</v>
      </c>
    </row>
    <row r="1674" spans="1:6" x14ac:dyDescent="0.35">
      <c r="A1674" s="2">
        <f ca="1">IFERROR(__xludf.DUMMYFUNCTION("""COMPUTED_VALUE"""),44432.6666666666)</f>
        <v>44432.666666666599</v>
      </c>
      <c r="B1674" s="1">
        <f ca="1">IFERROR(__xludf.DUMMYFUNCTION("""COMPUTED_VALUE"""),363.66)</f>
        <v>363.66</v>
      </c>
      <c r="C1674" s="1">
        <f ca="1">IFERROR(__xludf.DUMMYFUNCTION("""COMPUTED_VALUE"""),367.96)</f>
        <v>367.96</v>
      </c>
      <c r="D1674" s="1">
        <f ca="1">IFERROR(__xludf.DUMMYFUNCTION("""COMPUTED_VALUE"""),361.84)</f>
        <v>361.84</v>
      </c>
      <c r="E1674" s="1">
        <f ca="1">IFERROR(__xludf.DUMMYFUNCTION("""COMPUTED_VALUE"""),365.51)</f>
        <v>365.51</v>
      </c>
      <c r="F1674" s="1">
        <f ca="1">IFERROR(__xludf.DUMMYFUNCTION("""COMPUTED_VALUE"""),9235148)</f>
        <v>9235148</v>
      </c>
    </row>
    <row r="1675" spans="1:6" x14ac:dyDescent="0.35">
      <c r="A1675" s="2">
        <f ca="1">IFERROR(__xludf.DUMMYFUNCTION("""COMPUTED_VALUE"""),44433.6666666666)</f>
        <v>44433.666666666599</v>
      </c>
      <c r="B1675" s="1">
        <f ca="1">IFERROR(__xludf.DUMMYFUNCTION("""COMPUTED_VALUE"""),365.6)</f>
        <v>365.6</v>
      </c>
      <c r="C1675" s="1">
        <f ca="1">IFERROR(__xludf.DUMMYFUNCTION("""COMPUTED_VALUE"""),370.86)</f>
        <v>370.86</v>
      </c>
      <c r="D1675" s="1">
        <f ca="1">IFERROR(__xludf.DUMMYFUNCTION("""COMPUTED_VALUE"""),365.4)</f>
        <v>365.4</v>
      </c>
      <c r="E1675" s="1">
        <f ca="1">IFERROR(__xludf.DUMMYFUNCTION("""COMPUTED_VALUE"""),368.39)</f>
        <v>368.39</v>
      </c>
      <c r="F1675" s="1">
        <f ca="1">IFERROR(__xludf.DUMMYFUNCTION("""COMPUTED_VALUE"""),9684519)</f>
        <v>9684519</v>
      </c>
    </row>
    <row r="1676" spans="1:6" x14ac:dyDescent="0.35">
      <c r="A1676" s="2">
        <f ca="1">IFERROR(__xludf.DUMMYFUNCTION("""COMPUTED_VALUE"""),44434.6666666666)</f>
        <v>44434.666666666599</v>
      </c>
      <c r="B1676" s="1">
        <f ca="1">IFERROR(__xludf.DUMMYFUNCTION("""COMPUTED_VALUE"""),368.38)</f>
        <v>368.38</v>
      </c>
      <c r="C1676" s="1">
        <f ca="1">IFERROR(__xludf.DUMMYFUNCTION("""COMPUTED_VALUE"""),369.44)</f>
        <v>369.44</v>
      </c>
      <c r="D1676" s="1">
        <f ca="1">IFERROR(__xludf.DUMMYFUNCTION("""COMPUTED_VALUE"""),364.13)</f>
        <v>364.13</v>
      </c>
      <c r="E1676" s="1">
        <f ca="1">IFERROR(__xludf.DUMMYFUNCTION("""COMPUTED_VALUE"""),364.38)</f>
        <v>364.38</v>
      </c>
      <c r="F1676" s="1">
        <f ca="1">IFERROR(__xludf.DUMMYFUNCTION("""COMPUTED_VALUE"""),7888683)</f>
        <v>7888683</v>
      </c>
    </row>
    <row r="1677" spans="1:6" x14ac:dyDescent="0.35">
      <c r="A1677" s="2">
        <f ca="1">IFERROR(__xludf.DUMMYFUNCTION("""COMPUTED_VALUE"""),44435.6666666666)</f>
        <v>44435.666666666599</v>
      </c>
      <c r="B1677" s="1">
        <f ca="1">IFERROR(__xludf.DUMMYFUNCTION("""COMPUTED_VALUE"""),365.1)</f>
        <v>365.1</v>
      </c>
      <c r="C1677" s="1">
        <f ca="1">IFERROR(__xludf.DUMMYFUNCTION("""COMPUTED_VALUE"""),373.74)</f>
        <v>373.74</v>
      </c>
      <c r="D1677" s="1">
        <f ca="1">IFERROR(__xludf.DUMMYFUNCTION("""COMPUTED_VALUE"""),364.08)</f>
        <v>364.08</v>
      </c>
      <c r="E1677" s="1">
        <f ca="1">IFERROR(__xludf.DUMMYFUNCTION("""COMPUTED_VALUE"""),372.63)</f>
        <v>372.63</v>
      </c>
      <c r="F1677" s="1">
        <f ca="1">IFERROR(__xludf.DUMMYFUNCTION("""COMPUTED_VALUE"""),11219142)</f>
        <v>11219142</v>
      </c>
    </row>
    <row r="1678" spans="1:6" x14ac:dyDescent="0.35">
      <c r="A1678" s="2">
        <f ca="1">IFERROR(__xludf.DUMMYFUNCTION("""COMPUTED_VALUE"""),44438.6666666666)</f>
        <v>44438.666666666599</v>
      </c>
      <c r="B1678" s="1">
        <f ca="1">IFERROR(__xludf.DUMMYFUNCTION("""COMPUTED_VALUE"""),372.56)</f>
        <v>372.56</v>
      </c>
      <c r="C1678" s="1">
        <f ca="1">IFERROR(__xludf.DUMMYFUNCTION("""COMPUTED_VALUE"""),381.49)</f>
        <v>381.49</v>
      </c>
      <c r="D1678" s="1">
        <f ca="1">IFERROR(__xludf.DUMMYFUNCTION("""COMPUTED_VALUE"""),370.52)</f>
        <v>370.52</v>
      </c>
      <c r="E1678" s="1">
        <f ca="1">IFERROR(__xludf.DUMMYFUNCTION("""COMPUTED_VALUE"""),380.66)</f>
        <v>380.66</v>
      </c>
      <c r="F1678" s="1">
        <f ca="1">IFERROR(__xludf.DUMMYFUNCTION("""COMPUTED_VALUE"""),13547261)</f>
        <v>13547261</v>
      </c>
    </row>
    <row r="1679" spans="1:6" x14ac:dyDescent="0.35">
      <c r="A1679" s="2">
        <f ca="1">IFERROR(__xludf.DUMMYFUNCTION("""COMPUTED_VALUE"""),44439.6666666666)</f>
        <v>44439.666666666599</v>
      </c>
      <c r="B1679" s="1">
        <f ca="1">IFERROR(__xludf.DUMMYFUNCTION("""COMPUTED_VALUE"""),379.95)</f>
        <v>379.95</v>
      </c>
      <c r="C1679" s="1">
        <f ca="1">IFERROR(__xludf.DUMMYFUNCTION("""COMPUTED_VALUE"""),382.76)</f>
        <v>382.76</v>
      </c>
      <c r="D1679" s="1">
        <f ca="1">IFERROR(__xludf.DUMMYFUNCTION("""COMPUTED_VALUE"""),378.8)</f>
        <v>378.8</v>
      </c>
      <c r="E1679" s="1">
        <f ca="1">IFERROR(__xludf.DUMMYFUNCTION("""COMPUTED_VALUE"""),379.38)</f>
        <v>379.38</v>
      </c>
      <c r="F1679" s="1">
        <f ca="1">IFERROR(__xludf.DUMMYFUNCTION("""COMPUTED_VALUE"""),12345350)</f>
        <v>12345350</v>
      </c>
    </row>
    <row r="1680" spans="1:6" x14ac:dyDescent="0.35">
      <c r="A1680" s="2">
        <f ca="1">IFERROR(__xludf.DUMMYFUNCTION("""COMPUTED_VALUE"""),44440.6666666666)</f>
        <v>44440.666666666599</v>
      </c>
      <c r="B1680" s="1">
        <f ca="1">IFERROR(__xludf.DUMMYFUNCTION("""COMPUTED_VALUE"""),379.59)</f>
        <v>379.59</v>
      </c>
      <c r="C1680" s="1">
        <f ca="1">IFERROR(__xludf.DUMMYFUNCTION("""COMPUTED_VALUE"""),384.33)</f>
        <v>384.33</v>
      </c>
      <c r="D1680" s="1">
        <f ca="1">IFERROR(__xludf.DUMMYFUNCTION("""COMPUTED_VALUE"""),378.81)</f>
        <v>378.81</v>
      </c>
      <c r="E1680" s="1">
        <f ca="1">IFERROR(__xludf.DUMMYFUNCTION("""COMPUTED_VALUE"""),382.05)</f>
        <v>382.05</v>
      </c>
      <c r="F1680" s="1">
        <f ca="1">IFERROR(__xludf.DUMMYFUNCTION("""COMPUTED_VALUE"""),11567163)</f>
        <v>11567163</v>
      </c>
    </row>
    <row r="1681" spans="1:6" x14ac:dyDescent="0.35">
      <c r="A1681" s="2">
        <f ca="1">IFERROR(__xludf.DUMMYFUNCTION("""COMPUTED_VALUE"""),44441.6666666666)</f>
        <v>44441.666666666599</v>
      </c>
      <c r="B1681" s="1">
        <f ca="1">IFERROR(__xludf.DUMMYFUNCTION("""COMPUTED_VALUE"""),381.5)</f>
        <v>381.5</v>
      </c>
      <c r="C1681" s="1">
        <f ca="1">IFERROR(__xludf.DUMMYFUNCTION("""COMPUTED_VALUE"""),381.75)</f>
        <v>381.75</v>
      </c>
      <c r="D1681" s="1">
        <f ca="1">IFERROR(__xludf.DUMMYFUNCTION("""COMPUTED_VALUE"""),374.06)</f>
        <v>374.06</v>
      </c>
      <c r="E1681" s="1">
        <f ca="1">IFERROR(__xludf.DUMMYFUNCTION("""COMPUTED_VALUE"""),375.28)</f>
        <v>375.28</v>
      </c>
      <c r="F1681" s="1">
        <f ca="1">IFERROR(__xludf.DUMMYFUNCTION("""COMPUTED_VALUE"""),14838274)</f>
        <v>14838274</v>
      </c>
    </row>
    <row r="1682" spans="1:6" x14ac:dyDescent="0.35">
      <c r="A1682" s="2">
        <f ca="1">IFERROR(__xludf.DUMMYFUNCTION("""COMPUTED_VALUE"""),44442.6666666666)</f>
        <v>44442.666666666599</v>
      </c>
      <c r="B1682" s="1">
        <f ca="1">IFERROR(__xludf.DUMMYFUNCTION("""COMPUTED_VALUE"""),374.75)</f>
        <v>374.75</v>
      </c>
      <c r="C1682" s="1">
        <f ca="1">IFERROR(__xludf.DUMMYFUNCTION("""COMPUTED_VALUE"""),377.16)</f>
        <v>377.16</v>
      </c>
      <c r="D1682" s="1">
        <f ca="1">IFERROR(__xludf.DUMMYFUNCTION("""COMPUTED_VALUE"""),373.11)</f>
        <v>373.11</v>
      </c>
      <c r="E1682" s="1">
        <f ca="1">IFERROR(__xludf.DUMMYFUNCTION("""COMPUTED_VALUE"""),376.26)</f>
        <v>376.26</v>
      </c>
      <c r="F1682" s="1">
        <f ca="1">IFERROR(__xludf.DUMMYFUNCTION("""COMPUTED_VALUE"""),7511356)</f>
        <v>7511356</v>
      </c>
    </row>
    <row r="1683" spans="1:6" x14ac:dyDescent="0.35">
      <c r="A1683" s="2">
        <f ca="1">IFERROR(__xludf.DUMMYFUNCTION("""COMPUTED_VALUE"""),44446.6666666666)</f>
        <v>44446.666666666599</v>
      </c>
      <c r="B1683" s="1">
        <f ca="1">IFERROR(__xludf.DUMMYFUNCTION("""COMPUTED_VALUE"""),375.88)</f>
        <v>375.88</v>
      </c>
      <c r="C1683" s="1">
        <f ca="1">IFERROR(__xludf.DUMMYFUNCTION("""COMPUTED_VALUE"""),382.96)</f>
        <v>382.96</v>
      </c>
      <c r="D1683" s="1">
        <f ca="1">IFERROR(__xludf.DUMMYFUNCTION("""COMPUTED_VALUE"""),373.15)</f>
        <v>373.15</v>
      </c>
      <c r="E1683" s="1">
        <f ca="1">IFERROR(__xludf.DUMMYFUNCTION("""COMPUTED_VALUE"""),382.18)</f>
        <v>382.18</v>
      </c>
      <c r="F1683" s="1">
        <f ca="1">IFERROR(__xludf.DUMMYFUNCTION("""COMPUTED_VALUE"""),10798920)</f>
        <v>10798920</v>
      </c>
    </row>
    <row r="1684" spans="1:6" x14ac:dyDescent="0.35">
      <c r="A1684" s="2">
        <f ca="1">IFERROR(__xludf.DUMMYFUNCTION("""COMPUTED_VALUE"""),44447.6666666666)</f>
        <v>44447.666666666599</v>
      </c>
      <c r="B1684" s="1">
        <f ca="1">IFERROR(__xludf.DUMMYFUNCTION("""COMPUTED_VALUE"""),380.16)</f>
        <v>380.16</v>
      </c>
      <c r="C1684" s="1">
        <f ca="1">IFERROR(__xludf.DUMMYFUNCTION("""COMPUTED_VALUE"""),380.87)</f>
        <v>380.87</v>
      </c>
      <c r="D1684" s="1">
        <f ca="1">IFERROR(__xludf.DUMMYFUNCTION("""COMPUTED_VALUE"""),374.79)</f>
        <v>374.79</v>
      </c>
      <c r="E1684" s="1">
        <f ca="1">IFERROR(__xludf.DUMMYFUNCTION("""COMPUTED_VALUE"""),377.57)</f>
        <v>377.57</v>
      </c>
      <c r="F1684" s="1">
        <f ca="1">IFERROR(__xludf.DUMMYFUNCTION("""COMPUTED_VALUE"""),11067166)</f>
        <v>11067166</v>
      </c>
    </row>
    <row r="1685" spans="1:6" x14ac:dyDescent="0.35">
      <c r="A1685" s="2">
        <f ca="1">IFERROR(__xludf.DUMMYFUNCTION("""COMPUTED_VALUE"""),44448.6666666666)</f>
        <v>44448.666666666599</v>
      </c>
      <c r="B1685" s="1">
        <f ca="1">IFERROR(__xludf.DUMMYFUNCTION("""COMPUTED_VALUE"""),377.64)</f>
        <v>377.64</v>
      </c>
      <c r="C1685" s="1">
        <f ca="1">IFERROR(__xludf.DUMMYFUNCTION("""COMPUTED_VALUE"""),379.83)</f>
        <v>379.83</v>
      </c>
      <c r="D1685" s="1">
        <f ca="1">IFERROR(__xludf.DUMMYFUNCTION("""COMPUTED_VALUE"""),376.57)</f>
        <v>376.57</v>
      </c>
      <c r="E1685" s="1">
        <f ca="1">IFERROR(__xludf.DUMMYFUNCTION("""COMPUTED_VALUE"""),378)</f>
        <v>378</v>
      </c>
      <c r="F1685" s="1">
        <f ca="1">IFERROR(__xludf.DUMMYFUNCTION("""COMPUTED_VALUE"""),9098941)</f>
        <v>9098941</v>
      </c>
    </row>
    <row r="1686" spans="1:6" x14ac:dyDescent="0.35">
      <c r="A1686" s="2">
        <f ca="1">IFERROR(__xludf.DUMMYFUNCTION("""COMPUTED_VALUE"""),44449.6666666666)</f>
        <v>44449.666666666599</v>
      </c>
      <c r="B1686" s="1">
        <f ca="1">IFERROR(__xludf.DUMMYFUNCTION("""COMPUTED_VALUE"""),381.36)</f>
        <v>381.36</v>
      </c>
      <c r="C1686" s="1">
        <f ca="1">IFERROR(__xludf.DUMMYFUNCTION("""COMPUTED_VALUE"""),383.79)</f>
        <v>383.79</v>
      </c>
      <c r="D1686" s="1">
        <f ca="1">IFERROR(__xludf.DUMMYFUNCTION("""COMPUTED_VALUE"""),378.26)</f>
        <v>378.26</v>
      </c>
      <c r="E1686" s="1">
        <f ca="1">IFERROR(__xludf.DUMMYFUNCTION("""COMPUTED_VALUE"""),378.69)</f>
        <v>378.69</v>
      </c>
      <c r="F1686" s="1">
        <f ca="1">IFERROR(__xludf.DUMMYFUNCTION("""COMPUTED_VALUE"""),11549595)</f>
        <v>11549595</v>
      </c>
    </row>
    <row r="1687" spans="1:6" x14ac:dyDescent="0.35">
      <c r="A1687" s="2">
        <f ca="1">IFERROR(__xludf.DUMMYFUNCTION("""COMPUTED_VALUE"""),44452.6666666666)</f>
        <v>44452.666666666599</v>
      </c>
      <c r="B1687" s="1">
        <f ca="1">IFERROR(__xludf.DUMMYFUNCTION("""COMPUTED_VALUE"""),381.68)</f>
        <v>381.68</v>
      </c>
      <c r="C1687" s="1">
        <f ca="1">IFERROR(__xludf.DUMMYFUNCTION("""COMPUTED_VALUE"""),381.75)</f>
        <v>381.75</v>
      </c>
      <c r="D1687" s="1">
        <f ca="1">IFERROR(__xludf.DUMMYFUNCTION("""COMPUTED_VALUE"""),374.35)</f>
        <v>374.35</v>
      </c>
      <c r="E1687" s="1">
        <f ca="1">IFERROR(__xludf.DUMMYFUNCTION("""COMPUTED_VALUE"""),376.51)</f>
        <v>376.51</v>
      </c>
      <c r="F1687" s="1">
        <f ca="1">IFERROR(__xludf.DUMMYFUNCTION("""COMPUTED_VALUE"""),13026275)</f>
        <v>13026275</v>
      </c>
    </row>
    <row r="1688" spans="1:6" x14ac:dyDescent="0.35">
      <c r="A1688" s="2">
        <f ca="1">IFERROR(__xludf.DUMMYFUNCTION("""COMPUTED_VALUE"""),44453.6666666666)</f>
        <v>44453.666666666599</v>
      </c>
      <c r="B1688" s="1">
        <f ca="1">IFERROR(__xludf.DUMMYFUNCTION("""COMPUTED_VALUE"""),377.4)</f>
        <v>377.4</v>
      </c>
      <c r="C1688" s="1">
        <f ca="1">IFERROR(__xludf.DUMMYFUNCTION("""COMPUTED_VALUE"""),378.59)</f>
        <v>378.59</v>
      </c>
      <c r="D1688" s="1">
        <f ca="1">IFERROR(__xludf.DUMMYFUNCTION("""COMPUTED_VALUE"""),375.11)</f>
        <v>375.11</v>
      </c>
      <c r="E1688" s="1">
        <f ca="1">IFERROR(__xludf.DUMMYFUNCTION("""COMPUTED_VALUE"""),376.53)</f>
        <v>376.53</v>
      </c>
      <c r="F1688" s="1">
        <f ca="1">IFERROR(__xludf.DUMMYFUNCTION("""COMPUTED_VALUE"""),8711569)</f>
        <v>8711569</v>
      </c>
    </row>
    <row r="1689" spans="1:6" x14ac:dyDescent="0.35">
      <c r="A1689" s="2">
        <f ca="1">IFERROR(__xludf.DUMMYFUNCTION("""COMPUTED_VALUE"""),44454.6666666666)</f>
        <v>44454.666666666599</v>
      </c>
      <c r="B1689" s="1">
        <f ca="1">IFERROR(__xludf.DUMMYFUNCTION("""COMPUTED_VALUE"""),377)</f>
        <v>377</v>
      </c>
      <c r="C1689" s="1">
        <f ca="1">IFERROR(__xludf.DUMMYFUNCTION("""COMPUTED_VALUE"""),377.56)</f>
        <v>377.56</v>
      </c>
      <c r="D1689" s="1">
        <f ca="1">IFERROR(__xludf.DUMMYFUNCTION("""COMPUTED_VALUE"""),367.67)</f>
        <v>367.67</v>
      </c>
      <c r="E1689" s="1">
        <f ca="1">IFERROR(__xludf.DUMMYFUNCTION("""COMPUTED_VALUE"""),373.92)</f>
        <v>373.92</v>
      </c>
      <c r="F1689" s="1">
        <f ca="1">IFERROR(__xludf.DUMMYFUNCTION("""COMPUTED_VALUE"""),17940297)</f>
        <v>17940297</v>
      </c>
    </row>
    <row r="1690" spans="1:6" x14ac:dyDescent="0.35">
      <c r="A1690" s="2">
        <f ca="1">IFERROR(__xludf.DUMMYFUNCTION("""COMPUTED_VALUE"""),44455.6666666666)</f>
        <v>44455.666666666599</v>
      </c>
      <c r="B1690" s="1">
        <f ca="1">IFERROR(__xludf.DUMMYFUNCTION("""COMPUTED_VALUE"""),372.79)</f>
        <v>372.79</v>
      </c>
      <c r="C1690" s="1">
        <f ca="1">IFERROR(__xludf.DUMMYFUNCTION("""COMPUTED_VALUE"""),373.56)</f>
        <v>373.56</v>
      </c>
      <c r="D1690" s="1">
        <f ca="1">IFERROR(__xludf.DUMMYFUNCTION("""COMPUTED_VALUE"""),369.71)</f>
        <v>369.71</v>
      </c>
      <c r="E1690" s="1">
        <f ca="1">IFERROR(__xludf.DUMMYFUNCTION("""COMPUTED_VALUE"""),373.06)</f>
        <v>373.06</v>
      </c>
      <c r="F1690" s="1">
        <f ca="1">IFERROR(__xludf.DUMMYFUNCTION("""COMPUTED_VALUE"""),11934217)</f>
        <v>11934217</v>
      </c>
    </row>
    <row r="1691" spans="1:6" x14ac:dyDescent="0.35">
      <c r="A1691" s="2">
        <f ca="1">IFERROR(__xludf.DUMMYFUNCTION("""COMPUTED_VALUE"""),44456.6666666666)</f>
        <v>44456.666666666599</v>
      </c>
      <c r="B1691" s="1">
        <f ca="1">IFERROR(__xludf.DUMMYFUNCTION("""COMPUTED_VALUE"""),371.41)</f>
        <v>371.41</v>
      </c>
      <c r="C1691" s="1">
        <f ca="1">IFERROR(__xludf.DUMMYFUNCTION("""COMPUTED_VALUE"""),371.41)</f>
        <v>371.41</v>
      </c>
      <c r="D1691" s="1">
        <f ca="1">IFERROR(__xludf.DUMMYFUNCTION("""COMPUTED_VALUE"""),361.59)</f>
        <v>361.59</v>
      </c>
      <c r="E1691" s="1">
        <f ca="1">IFERROR(__xludf.DUMMYFUNCTION("""COMPUTED_VALUE"""),364.72)</f>
        <v>364.72</v>
      </c>
      <c r="F1691" s="1">
        <f ca="1">IFERROR(__xludf.DUMMYFUNCTION("""COMPUTED_VALUE"""),26298966)</f>
        <v>26298966</v>
      </c>
    </row>
    <row r="1692" spans="1:6" x14ac:dyDescent="0.35">
      <c r="A1692" s="2">
        <f ca="1">IFERROR(__xludf.DUMMYFUNCTION("""COMPUTED_VALUE"""),44459.6666666666)</f>
        <v>44459.666666666599</v>
      </c>
      <c r="B1692" s="1">
        <f ca="1">IFERROR(__xludf.DUMMYFUNCTION("""COMPUTED_VALUE"""),359.3)</f>
        <v>359.3</v>
      </c>
      <c r="C1692" s="1">
        <f ca="1">IFERROR(__xludf.DUMMYFUNCTION("""COMPUTED_VALUE"""),361.03)</f>
        <v>361.03</v>
      </c>
      <c r="D1692" s="1">
        <f ca="1">IFERROR(__xludf.DUMMYFUNCTION("""COMPUTED_VALUE"""),349.8)</f>
        <v>349.8</v>
      </c>
      <c r="E1692" s="1">
        <f ca="1">IFERROR(__xludf.DUMMYFUNCTION("""COMPUTED_VALUE"""),355.7)</f>
        <v>355.7</v>
      </c>
      <c r="F1692" s="1">
        <f ca="1">IFERROR(__xludf.DUMMYFUNCTION("""COMPUTED_VALUE"""),19822772)</f>
        <v>19822772</v>
      </c>
    </row>
    <row r="1693" spans="1:6" x14ac:dyDescent="0.35">
      <c r="A1693" s="2">
        <f ca="1">IFERROR(__xludf.DUMMYFUNCTION("""COMPUTED_VALUE"""),44460.6666666666)</f>
        <v>44460.666666666599</v>
      </c>
      <c r="B1693" s="1">
        <f ca="1">IFERROR(__xludf.DUMMYFUNCTION("""COMPUTED_VALUE"""),358.5)</f>
        <v>358.5</v>
      </c>
      <c r="C1693" s="1">
        <f ca="1">IFERROR(__xludf.DUMMYFUNCTION("""COMPUTED_VALUE"""),360.04)</f>
        <v>360.04</v>
      </c>
      <c r="D1693" s="1">
        <f ca="1">IFERROR(__xludf.DUMMYFUNCTION("""COMPUTED_VALUE"""),355.19)</f>
        <v>355.19</v>
      </c>
      <c r="E1693" s="1">
        <f ca="1">IFERROR(__xludf.DUMMYFUNCTION("""COMPUTED_VALUE"""),357.48)</f>
        <v>357.48</v>
      </c>
      <c r="F1693" s="1">
        <f ca="1">IFERROR(__xludf.DUMMYFUNCTION("""COMPUTED_VALUE"""),11751917)</f>
        <v>11751917</v>
      </c>
    </row>
    <row r="1694" spans="1:6" x14ac:dyDescent="0.35">
      <c r="A1694" s="2">
        <f ca="1">IFERROR(__xludf.DUMMYFUNCTION("""COMPUTED_VALUE"""),44461.6666666666)</f>
        <v>44461.666666666599</v>
      </c>
      <c r="B1694" s="1">
        <f ca="1">IFERROR(__xludf.DUMMYFUNCTION("""COMPUTED_VALUE"""),347.23)</f>
        <v>347.23</v>
      </c>
      <c r="C1694" s="1">
        <f ca="1">IFERROR(__xludf.DUMMYFUNCTION("""COMPUTED_VALUE"""),349.84)</f>
        <v>349.84</v>
      </c>
      <c r="D1694" s="1">
        <f ca="1">IFERROR(__xludf.DUMMYFUNCTION("""COMPUTED_VALUE"""),340.69)</f>
        <v>340.69</v>
      </c>
      <c r="E1694" s="1">
        <f ca="1">IFERROR(__xludf.DUMMYFUNCTION("""COMPUTED_VALUE"""),343.21)</f>
        <v>343.21</v>
      </c>
      <c r="F1694" s="1">
        <f ca="1">IFERROR(__xludf.DUMMYFUNCTION("""COMPUTED_VALUE"""),43692859)</f>
        <v>43692859</v>
      </c>
    </row>
    <row r="1695" spans="1:6" x14ac:dyDescent="0.35">
      <c r="A1695" s="2">
        <f ca="1">IFERROR(__xludf.DUMMYFUNCTION("""COMPUTED_VALUE"""),44462.6666666666)</f>
        <v>44462.666666666599</v>
      </c>
      <c r="B1695" s="1">
        <f ca="1">IFERROR(__xludf.DUMMYFUNCTION("""COMPUTED_VALUE"""),345.36)</f>
        <v>345.36</v>
      </c>
      <c r="C1695" s="1">
        <f ca="1">IFERROR(__xludf.DUMMYFUNCTION("""COMPUTED_VALUE"""),349.67)</f>
        <v>349.67</v>
      </c>
      <c r="D1695" s="1">
        <f ca="1">IFERROR(__xludf.DUMMYFUNCTION("""COMPUTED_VALUE"""),343)</f>
        <v>343</v>
      </c>
      <c r="E1695" s="1">
        <f ca="1">IFERROR(__xludf.DUMMYFUNCTION("""COMPUTED_VALUE"""),345.96)</f>
        <v>345.96</v>
      </c>
      <c r="F1695" s="1">
        <f ca="1">IFERROR(__xludf.DUMMYFUNCTION("""COMPUTED_VALUE"""),21806264)</f>
        <v>21806264</v>
      </c>
    </row>
    <row r="1696" spans="1:6" x14ac:dyDescent="0.35">
      <c r="A1696" s="2">
        <f ca="1">IFERROR(__xludf.DUMMYFUNCTION("""COMPUTED_VALUE"""),44463.6666666666)</f>
        <v>44463.666666666599</v>
      </c>
      <c r="B1696" s="1">
        <f ca="1">IFERROR(__xludf.DUMMYFUNCTION("""COMPUTED_VALUE"""),343.24)</f>
        <v>343.24</v>
      </c>
      <c r="C1696" s="1">
        <f ca="1">IFERROR(__xludf.DUMMYFUNCTION("""COMPUTED_VALUE"""),354.35)</f>
        <v>354.35</v>
      </c>
      <c r="D1696" s="1">
        <f ca="1">IFERROR(__xludf.DUMMYFUNCTION("""COMPUTED_VALUE"""),342.37)</f>
        <v>342.37</v>
      </c>
      <c r="E1696" s="1">
        <f ca="1">IFERROR(__xludf.DUMMYFUNCTION("""COMPUTED_VALUE"""),352.96)</f>
        <v>352.96</v>
      </c>
      <c r="F1696" s="1">
        <f ca="1">IFERROR(__xludf.DUMMYFUNCTION("""COMPUTED_VALUE"""),18801933)</f>
        <v>18801933</v>
      </c>
    </row>
    <row r="1697" spans="1:6" x14ac:dyDescent="0.35">
      <c r="A1697" s="2">
        <f ca="1">IFERROR(__xludf.DUMMYFUNCTION("""COMPUTED_VALUE"""),44466.6666666666)</f>
        <v>44466.666666666599</v>
      </c>
      <c r="B1697" s="1">
        <f ca="1">IFERROR(__xludf.DUMMYFUNCTION("""COMPUTED_VALUE"""),349.81)</f>
        <v>349.81</v>
      </c>
      <c r="C1697" s="1">
        <f ca="1">IFERROR(__xludf.DUMMYFUNCTION("""COMPUTED_VALUE"""),355.15)</f>
        <v>355.15</v>
      </c>
      <c r="D1697" s="1">
        <f ca="1">IFERROR(__xludf.DUMMYFUNCTION("""COMPUTED_VALUE"""),347.08)</f>
        <v>347.08</v>
      </c>
      <c r="E1697" s="1">
        <f ca="1">IFERROR(__xludf.DUMMYFUNCTION("""COMPUTED_VALUE"""),353.58)</f>
        <v>353.58</v>
      </c>
      <c r="F1697" s="1">
        <f ca="1">IFERROR(__xludf.DUMMYFUNCTION("""COMPUTED_VALUE"""),15205843)</f>
        <v>15205843</v>
      </c>
    </row>
    <row r="1698" spans="1:6" x14ac:dyDescent="0.35">
      <c r="A1698" s="2">
        <f ca="1">IFERROR(__xludf.DUMMYFUNCTION("""COMPUTED_VALUE"""),44467.6666666666)</f>
        <v>44467.666666666599</v>
      </c>
      <c r="B1698" s="1">
        <f ca="1">IFERROR(__xludf.DUMMYFUNCTION("""COMPUTED_VALUE"""),347.97)</f>
        <v>347.97</v>
      </c>
      <c r="C1698" s="1">
        <f ca="1">IFERROR(__xludf.DUMMYFUNCTION("""COMPUTED_VALUE"""),349.6)</f>
        <v>349.6</v>
      </c>
      <c r="D1698" s="1">
        <f ca="1">IFERROR(__xludf.DUMMYFUNCTION("""COMPUTED_VALUE"""),338.92)</f>
        <v>338.92</v>
      </c>
      <c r="E1698" s="1">
        <f ca="1">IFERROR(__xludf.DUMMYFUNCTION("""COMPUTED_VALUE"""),340.65)</f>
        <v>340.65</v>
      </c>
      <c r="F1698" s="1">
        <f ca="1">IFERROR(__xludf.DUMMYFUNCTION("""COMPUTED_VALUE"""),21710286)</f>
        <v>21710286</v>
      </c>
    </row>
    <row r="1699" spans="1:6" x14ac:dyDescent="0.35">
      <c r="A1699" s="2">
        <f ca="1">IFERROR(__xludf.DUMMYFUNCTION("""COMPUTED_VALUE"""),44468.6666666666)</f>
        <v>44468.666666666599</v>
      </c>
      <c r="B1699" s="1">
        <f ca="1">IFERROR(__xludf.DUMMYFUNCTION("""COMPUTED_VALUE"""),343.15)</f>
        <v>343.15</v>
      </c>
      <c r="C1699" s="1">
        <f ca="1">IFERROR(__xludf.DUMMYFUNCTION("""COMPUTED_VALUE"""),345.23)</f>
        <v>345.23</v>
      </c>
      <c r="D1699" s="1">
        <f ca="1">IFERROR(__xludf.DUMMYFUNCTION("""COMPUTED_VALUE"""),338.88)</f>
        <v>338.88</v>
      </c>
      <c r="E1699" s="1">
        <f ca="1">IFERROR(__xludf.DUMMYFUNCTION("""COMPUTED_VALUE"""),339.61)</f>
        <v>339.61</v>
      </c>
      <c r="F1699" s="1">
        <f ca="1">IFERROR(__xludf.DUMMYFUNCTION("""COMPUTED_VALUE"""),14452241)</f>
        <v>14452241</v>
      </c>
    </row>
    <row r="1700" spans="1:6" x14ac:dyDescent="0.35">
      <c r="A1700" s="2">
        <f ca="1">IFERROR(__xludf.DUMMYFUNCTION("""COMPUTED_VALUE"""),44469.6666666666)</f>
        <v>44469.666666666599</v>
      </c>
      <c r="B1700" s="1">
        <f ca="1">IFERROR(__xludf.DUMMYFUNCTION("""COMPUTED_VALUE"""),340.45)</f>
        <v>340.45</v>
      </c>
      <c r="C1700" s="1">
        <f ca="1">IFERROR(__xludf.DUMMYFUNCTION("""COMPUTED_VALUE"""),342.8)</f>
        <v>342.8</v>
      </c>
      <c r="D1700" s="1">
        <f ca="1">IFERROR(__xludf.DUMMYFUNCTION("""COMPUTED_VALUE"""),338.15)</f>
        <v>338.15</v>
      </c>
      <c r="E1700" s="1">
        <f ca="1">IFERROR(__xludf.DUMMYFUNCTION("""COMPUTED_VALUE"""),339.39)</f>
        <v>339.39</v>
      </c>
      <c r="F1700" s="1">
        <f ca="1">IFERROR(__xludf.DUMMYFUNCTION("""COMPUTED_VALUE"""),16547094)</f>
        <v>16547094</v>
      </c>
    </row>
    <row r="1701" spans="1:6" x14ac:dyDescent="0.35">
      <c r="A1701" s="2">
        <f ca="1">IFERROR(__xludf.DUMMYFUNCTION("""COMPUTED_VALUE"""),44470.6666666666)</f>
        <v>44470.666666666599</v>
      </c>
      <c r="B1701" s="1">
        <f ca="1">IFERROR(__xludf.DUMMYFUNCTION("""COMPUTED_VALUE"""),341.61)</f>
        <v>341.61</v>
      </c>
      <c r="C1701" s="1">
        <f ca="1">IFERROR(__xludf.DUMMYFUNCTION("""COMPUTED_VALUE"""),345.02)</f>
        <v>345.02</v>
      </c>
      <c r="D1701" s="1">
        <f ca="1">IFERROR(__xludf.DUMMYFUNCTION("""COMPUTED_VALUE"""),338.64)</f>
        <v>338.64</v>
      </c>
      <c r="E1701" s="1">
        <f ca="1">IFERROR(__xludf.DUMMYFUNCTION("""COMPUTED_VALUE"""),343.01)</f>
        <v>343.01</v>
      </c>
      <c r="F1701" s="1">
        <f ca="1">IFERROR(__xludf.DUMMYFUNCTION("""COMPUTED_VALUE"""),14905311)</f>
        <v>14905311</v>
      </c>
    </row>
    <row r="1702" spans="1:6" x14ac:dyDescent="0.35">
      <c r="A1702" s="2">
        <f ca="1">IFERROR(__xludf.DUMMYFUNCTION("""COMPUTED_VALUE"""),44473.6666666666)</f>
        <v>44473.666666666599</v>
      </c>
      <c r="B1702" s="1">
        <f ca="1">IFERROR(__xludf.DUMMYFUNCTION("""COMPUTED_VALUE"""),335.53)</f>
        <v>335.53</v>
      </c>
      <c r="C1702" s="1">
        <f ca="1">IFERROR(__xludf.DUMMYFUNCTION("""COMPUTED_VALUE"""),335.94)</f>
        <v>335.94</v>
      </c>
      <c r="D1702" s="1">
        <f ca="1">IFERROR(__xludf.DUMMYFUNCTION("""COMPUTED_VALUE"""),322.7)</f>
        <v>322.7</v>
      </c>
      <c r="E1702" s="1">
        <f ca="1">IFERROR(__xludf.DUMMYFUNCTION("""COMPUTED_VALUE"""),326.23)</f>
        <v>326.23</v>
      </c>
      <c r="F1702" s="1">
        <f ca="1">IFERROR(__xludf.DUMMYFUNCTION("""COMPUTED_VALUE"""),42884975)</f>
        <v>42884975</v>
      </c>
    </row>
    <row r="1703" spans="1:6" x14ac:dyDescent="0.35">
      <c r="A1703" s="2">
        <f ca="1">IFERROR(__xludf.DUMMYFUNCTION("""COMPUTED_VALUE"""),44474.6666666666)</f>
        <v>44474.666666666599</v>
      </c>
      <c r="B1703" s="1">
        <f ca="1">IFERROR(__xludf.DUMMYFUNCTION("""COMPUTED_VALUE"""),328.58)</f>
        <v>328.58</v>
      </c>
      <c r="C1703" s="1">
        <f ca="1">IFERROR(__xludf.DUMMYFUNCTION("""COMPUTED_VALUE"""),335.18)</f>
        <v>335.18</v>
      </c>
      <c r="D1703" s="1">
        <f ca="1">IFERROR(__xludf.DUMMYFUNCTION("""COMPUTED_VALUE"""),326.16)</f>
        <v>326.16000000000003</v>
      </c>
      <c r="E1703" s="1">
        <f ca="1">IFERROR(__xludf.DUMMYFUNCTION("""COMPUTED_VALUE"""),332.96)</f>
        <v>332.96</v>
      </c>
      <c r="F1703" s="1">
        <f ca="1">IFERROR(__xludf.DUMMYFUNCTION("""COMPUTED_VALUE"""),35377947)</f>
        <v>35377947</v>
      </c>
    </row>
    <row r="1704" spans="1:6" x14ac:dyDescent="0.35">
      <c r="A1704" s="2">
        <f ca="1">IFERROR(__xludf.DUMMYFUNCTION("""COMPUTED_VALUE"""),44475.6666666666)</f>
        <v>44475.666666666599</v>
      </c>
      <c r="B1704" s="1">
        <f ca="1">IFERROR(__xludf.DUMMYFUNCTION("""COMPUTED_VALUE"""),329.74)</f>
        <v>329.74</v>
      </c>
      <c r="C1704" s="1">
        <f ca="1">IFERROR(__xludf.DUMMYFUNCTION("""COMPUTED_VALUE"""),334.38)</f>
        <v>334.38</v>
      </c>
      <c r="D1704" s="1">
        <f ca="1">IFERROR(__xludf.DUMMYFUNCTION("""COMPUTED_VALUE"""),325.8)</f>
        <v>325.8</v>
      </c>
      <c r="E1704" s="1">
        <f ca="1">IFERROR(__xludf.DUMMYFUNCTION("""COMPUTED_VALUE"""),333.64)</f>
        <v>333.64</v>
      </c>
      <c r="F1704" s="1">
        <f ca="1">IFERROR(__xludf.DUMMYFUNCTION("""COMPUTED_VALUE"""),26443010)</f>
        <v>26443010</v>
      </c>
    </row>
    <row r="1705" spans="1:6" x14ac:dyDescent="0.35">
      <c r="A1705" s="2">
        <f ca="1">IFERROR(__xludf.DUMMYFUNCTION("""COMPUTED_VALUE"""),44476.6666666666)</f>
        <v>44476.666666666599</v>
      </c>
      <c r="B1705" s="1">
        <f ca="1">IFERROR(__xludf.DUMMYFUNCTION("""COMPUTED_VALUE"""),337)</f>
        <v>337</v>
      </c>
      <c r="C1705" s="1">
        <f ca="1">IFERROR(__xludf.DUMMYFUNCTION("""COMPUTED_VALUE"""),338.84)</f>
        <v>338.84</v>
      </c>
      <c r="D1705" s="1">
        <f ca="1">IFERROR(__xludf.DUMMYFUNCTION("""COMPUTED_VALUE"""),328.98)</f>
        <v>328.98</v>
      </c>
      <c r="E1705" s="1">
        <f ca="1">IFERROR(__xludf.DUMMYFUNCTION("""COMPUTED_VALUE"""),329.22)</f>
        <v>329.22</v>
      </c>
      <c r="F1705" s="1">
        <f ca="1">IFERROR(__xludf.DUMMYFUNCTION("""COMPUTED_VALUE"""),28307456)</f>
        <v>28307456</v>
      </c>
    </row>
    <row r="1706" spans="1:6" x14ac:dyDescent="0.35">
      <c r="A1706" s="2">
        <f ca="1">IFERROR(__xludf.DUMMYFUNCTION("""COMPUTED_VALUE"""),44477.6666666666)</f>
        <v>44477.666666666599</v>
      </c>
      <c r="B1706" s="1">
        <f ca="1">IFERROR(__xludf.DUMMYFUNCTION("""COMPUTED_VALUE"""),331.51)</f>
        <v>331.51</v>
      </c>
      <c r="C1706" s="1">
        <f ca="1">IFERROR(__xludf.DUMMYFUNCTION("""COMPUTED_VALUE"""),333.4)</f>
        <v>333.4</v>
      </c>
      <c r="D1706" s="1">
        <f ca="1">IFERROR(__xludf.DUMMYFUNCTION("""COMPUTED_VALUE"""),328.71)</f>
        <v>328.71</v>
      </c>
      <c r="E1706" s="1">
        <f ca="1">IFERROR(__xludf.DUMMYFUNCTION("""COMPUTED_VALUE"""),330.05)</f>
        <v>330.05</v>
      </c>
      <c r="F1706" s="1">
        <f ca="1">IFERROR(__xludf.DUMMYFUNCTION("""COMPUTED_VALUE"""),15946110)</f>
        <v>15946110</v>
      </c>
    </row>
    <row r="1707" spans="1:6" x14ac:dyDescent="0.35">
      <c r="A1707" s="2">
        <f ca="1">IFERROR(__xludf.DUMMYFUNCTION("""COMPUTED_VALUE"""),44480.6666666666)</f>
        <v>44480.666666666599</v>
      </c>
      <c r="B1707" s="1">
        <f ca="1">IFERROR(__xludf.DUMMYFUNCTION("""COMPUTED_VALUE"""),327.63)</f>
        <v>327.63</v>
      </c>
      <c r="C1707" s="1">
        <f ca="1">IFERROR(__xludf.DUMMYFUNCTION("""COMPUTED_VALUE"""),330.46)</f>
        <v>330.46</v>
      </c>
      <c r="D1707" s="1">
        <f ca="1">IFERROR(__xludf.DUMMYFUNCTION("""COMPUTED_VALUE"""),325.31)</f>
        <v>325.31</v>
      </c>
      <c r="E1707" s="1">
        <f ca="1">IFERROR(__xludf.DUMMYFUNCTION("""COMPUTED_VALUE"""),325.45)</f>
        <v>325.45</v>
      </c>
      <c r="F1707" s="1">
        <f ca="1">IFERROR(__xludf.DUMMYFUNCTION("""COMPUTED_VALUE"""),14708224)</f>
        <v>14708224</v>
      </c>
    </row>
    <row r="1708" spans="1:6" x14ac:dyDescent="0.35">
      <c r="A1708" s="2">
        <f ca="1">IFERROR(__xludf.DUMMYFUNCTION("""COMPUTED_VALUE"""),44481.6666666666)</f>
        <v>44481.666666666599</v>
      </c>
      <c r="B1708" s="1">
        <f ca="1">IFERROR(__xludf.DUMMYFUNCTION("""COMPUTED_VALUE"""),323.03)</f>
        <v>323.02999999999997</v>
      </c>
      <c r="C1708" s="1">
        <f ca="1">IFERROR(__xludf.DUMMYFUNCTION("""COMPUTED_VALUE"""),324.38)</f>
        <v>324.38</v>
      </c>
      <c r="D1708" s="1">
        <f ca="1">IFERROR(__xludf.DUMMYFUNCTION("""COMPUTED_VALUE"""),317.37)</f>
        <v>317.37</v>
      </c>
      <c r="E1708" s="1">
        <f ca="1">IFERROR(__xludf.DUMMYFUNCTION("""COMPUTED_VALUE"""),323.77)</f>
        <v>323.77</v>
      </c>
      <c r="F1708" s="1">
        <f ca="1">IFERROR(__xludf.DUMMYFUNCTION("""COMPUTED_VALUE"""),31658684)</f>
        <v>31658684</v>
      </c>
    </row>
    <row r="1709" spans="1:6" x14ac:dyDescent="0.35">
      <c r="A1709" s="2">
        <f ca="1">IFERROR(__xludf.DUMMYFUNCTION("""COMPUTED_VALUE"""),44482.6666666666)</f>
        <v>44482.666666666599</v>
      </c>
      <c r="B1709" s="1">
        <f ca="1">IFERROR(__xludf.DUMMYFUNCTION("""COMPUTED_VALUE"""),326.97)</f>
        <v>326.97000000000003</v>
      </c>
      <c r="C1709" s="1">
        <f ca="1">IFERROR(__xludf.DUMMYFUNCTION("""COMPUTED_VALUE"""),327)</f>
        <v>327</v>
      </c>
      <c r="D1709" s="1">
        <f ca="1">IFERROR(__xludf.DUMMYFUNCTION("""COMPUTED_VALUE"""),322.66)</f>
        <v>322.66000000000003</v>
      </c>
      <c r="E1709" s="1">
        <f ca="1">IFERROR(__xludf.DUMMYFUNCTION("""COMPUTED_VALUE"""),324.54)</f>
        <v>324.54000000000002</v>
      </c>
      <c r="F1709" s="1">
        <f ca="1">IFERROR(__xludf.DUMMYFUNCTION("""COMPUTED_VALUE"""),14761470)</f>
        <v>14761470</v>
      </c>
    </row>
    <row r="1710" spans="1:6" x14ac:dyDescent="0.35">
      <c r="A1710" s="2">
        <f ca="1">IFERROR(__xludf.DUMMYFUNCTION("""COMPUTED_VALUE"""),44483.6666666666)</f>
        <v>44483.666666666599</v>
      </c>
      <c r="B1710" s="1">
        <f ca="1">IFERROR(__xludf.DUMMYFUNCTION("""COMPUTED_VALUE"""),328.36)</f>
        <v>328.36</v>
      </c>
      <c r="C1710" s="1">
        <f ca="1">IFERROR(__xludf.DUMMYFUNCTION("""COMPUTED_VALUE"""),330.52)</f>
        <v>330.52</v>
      </c>
      <c r="D1710" s="1">
        <f ca="1">IFERROR(__xludf.DUMMYFUNCTION("""COMPUTED_VALUE"""),327.1)</f>
        <v>327.10000000000002</v>
      </c>
      <c r="E1710" s="1">
        <f ca="1">IFERROR(__xludf.DUMMYFUNCTION("""COMPUTED_VALUE"""),328.53)</f>
        <v>328.53</v>
      </c>
      <c r="F1710" s="1">
        <f ca="1">IFERROR(__xludf.DUMMYFUNCTION("""COMPUTED_VALUE"""),14302154)</f>
        <v>14302154</v>
      </c>
    </row>
    <row r="1711" spans="1:6" x14ac:dyDescent="0.35">
      <c r="A1711" s="2">
        <f ca="1">IFERROR(__xludf.DUMMYFUNCTION("""COMPUTED_VALUE"""),44484.6666666666)</f>
        <v>44484.666666666599</v>
      </c>
      <c r="B1711" s="1">
        <f ca="1">IFERROR(__xludf.DUMMYFUNCTION("""COMPUTED_VALUE"""),328.68)</f>
        <v>328.68</v>
      </c>
      <c r="C1711" s="1">
        <f ca="1">IFERROR(__xludf.DUMMYFUNCTION("""COMPUTED_VALUE"""),329.07)</f>
        <v>329.07</v>
      </c>
      <c r="D1711" s="1">
        <f ca="1">IFERROR(__xludf.DUMMYFUNCTION("""COMPUTED_VALUE"""),322.51)</f>
        <v>322.51</v>
      </c>
      <c r="E1711" s="1">
        <f ca="1">IFERROR(__xludf.DUMMYFUNCTION("""COMPUTED_VALUE"""),324.76)</f>
        <v>324.76</v>
      </c>
      <c r="F1711" s="1">
        <f ca="1">IFERROR(__xludf.DUMMYFUNCTION("""COMPUTED_VALUE"""),21596370)</f>
        <v>21596370</v>
      </c>
    </row>
    <row r="1712" spans="1:6" x14ac:dyDescent="0.35">
      <c r="A1712" s="2">
        <f ca="1">IFERROR(__xludf.DUMMYFUNCTION("""COMPUTED_VALUE"""),44487.6666666666)</f>
        <v>44487.666666666599</v>
      </c>
      <c r="B1712" s="1">
        <f ca="1">IFERROR(__xludf.DUMMYFUNCTION("""COMPUTED_VALUE"""),328.95)</f>
        <v>328.95</v>
      </c>
      <c r="C1712" s="1">
        <f ca="1">IFERROR(__xludf.DUMMYFUNCTION("""COMPUTED_VALUE"""),335.89)</f>
        <v>335.89</v>
      </c>
      <c r="D1712" s="1">
        <f ca="1">IFERROR(__xludf.DUMMYFUNCTION("""COMPUTED_VALUE"""),327.5)</f>
        <v>327.5</v>
      </c>
      <c r="E1712" s="1">
        <f ca="1">IFERROR(__xludf.DUMMYFUNCTION("""COMPUTED_VALUE"""),335.34)</f>
        <v>335.34</v>
      </c>
      <c r="F1712" s="1">
        <f ca="1">IFERROR(__xludf.DUMMYFUNCTION("""COMPUTED_VALUE"""),21585018)</f>
        <v>21585018</v>
      </c>
    </row>
    <row r="1713" spans="1:6" x14ac:dyDescent="0.35">
      <c r="A1713" s="2">
        <f ca="1">IFERROR(__xludf.DUMMYFUNCTION("""COMPUTED_VALUE"""),44488.6666666666)</f>
        <v>44488.666666666599</v>
      </c>
      <c r="B1713" s="1">
        <f ca="1">IFERROR(__xludf.DUMMYFUNCTION("""COMPUTED_VALUE"""),339.65)</f>
        <v>339.65</v>
      </c>
      <c r="C1713" s="1">
        <f ca="1">IFERROR(__xludf.DUMMYFUNCTION("""COMPUTED_VALUE"""),342.46)</f>
        <v>342.46</v>
      </c>
      <c r="D1713" s="1">
        <f ca="1">IFERROR(__xludf.DUMMYFUNCTION("""COMPUTED_VALUE"""),337.28)</f>
        <v>337.28</v>
      </c>
      <c r="E1713" s="1">
        <f ca="1">IFERROR(__xludf.DUMMYFUNCTION("""COMPUTED_VALUE"""),339.99)</f>
        <v>339.99</v>
      </c>
      <c r="F1713" s="1">
        <f ca="1">IFERROR(__xludf.DUMMYFUNCTION("""COMPUTED_VALUE"""),18786316)</f>
        <v>18786316</v>
      </c>
    </row>
    <row r="1714" spans="1:6" x14ac:dyDescent="0.35">
      <c r="A1714" s="2">
        <f ca="1">IFERROR(__xludf.DUMMYFUNCTION("""COMPUTED_VALUE"""),44489.6666666666)</f>
        <v>44489.666666666599</v>
      </c>
      <c r="B1714" s="1">
        <f ca="1">IFERROR(__xludf.DUMMYFUNCTION("""COMPUTED_VALUE"""),343.45)</f>
        <v>343.45</v>
      </c>
      <c r="C1714" s="1">
        <f ca="1">IFERROR(__xludf.DUMMYFUNCTION("""COMPUTED_VALUE"""),343.98)</f>
        <v>343.98</v>
      </c>
      <c r="D1714" s="1">
        <f ca="1">IFERROR(__xludf.DUMMYFUNCTION("""COMPUTED_VALUE"""),339.45)</f>
        <v>339.45</v>
      </c>
      <c r="E1714" s="1">
        <f ca="1">IFERROR(__xludf.DUMMYFUNCTION("""COMPUTED_VALUE"""),340.78)</f>
        <v>340.78</v>
      </c>
      <c r="F1714" s="1">
        <f ca="1">IFERROR(__xludf.DUMMYFUNCTION("""COMPUTED_VALUE"""),13639465)</f>
        <v>13639465</v>
      </c>
    </row>
    <row r="1715" spans="1:6" x14ac:dyDescent="0.35">
      <c r="A1715" s="2">
        <f ca="1">IFERROR(__xludf.DUMMYFUNCTION("""COMPUTED_VALUE"""),44490.6666666666)</f>
        <v>44490.666666666599</v>
      </c>
      <c r="B1715" s="1">
        <f ca="1">IFERROR(__xludf.DUMMYFUNCTION("""COMPUTED_VALUE"""),340.28)</f>
        <v>340.28</v>
      </c>
      <c r="C1715" s="1">
        <f ca="1">IFERROR(__xludf.DUMMYFUNCTION("""COMPUTED_VALUE"""),342.31)</f>
        <v>342.31</v>
      </c>
      <c r="D1715" s="1">
        <f ca="1">IFERROR(__xludf.DUMMYFUNCTION("""COMPUTED_VALUE"""),337.8)</f>
        <v>337.8</v>
      </c>
      <c r="E1715" s="1">
        <f ca="1">IFERROR(__xludf.DUMMYFUNCTION("""COMPUTED_VALUE"""),341.88)</f>
        <v>341.88</v>
      </c>
      <c r="F1715" s="1">
        <f ca="1">IFERROR(__xludf.DUMMYFUNCTION("""COMPUTED_VALUE"""),16354423)</f>
        <v>16354423</v>
      </c>
    </row>
    <row r="1716" spans="1:6" x14ac:dyDescent="0.35">
      <c r="A1716" s="2">
        <f ca="1">IFERROR(__xludf.DUMMYFUNCTION("""COMPUTED_VALUE"""),44491.6666666666)</f>
        <v>44491.666666666599</v>
      </c>
      <c r="B1716" s="1">
        <f ca="1">IFERROR(__xludf.DUMMYFUNCTION("""COMPUTED_VALUE"""),326.35)</f>
        <v>326.35000000000002</v>
      </c>
      <c r="C1716" s="1">
        <f ca="1">IFERROR(__xludf.DUMMYFUNCTION("""COMPUTED_VALUE"""),329.63)</f>
        <v>329.63</v>
      </c>
      <c r="D1716" s="1">
        <f ca="1">IFERROR(__xludf.DUMMYFUNCTION("""COMPUTED_VALUE"""),321.11)</f>
        <v>321.11</v>
      </c>
      <c r="E1716" s="1">
        <f ca="1">IFERROR(__xludf.DUMMYFUNCTION("""COMPUTED_VALUE"""),324.61)</f>
        <v>324.61</v>
      </c>
      <c r="F1716" s="1">
        <f ca="1">IFERROR(__xludf.DUMMYFUNCTION("""COMPUTED_VALUE"""),35224543)</f>
        <v>35224543</v>
      </c>
    </row>
    <row r="1717" spans="1:6" x14ac:dyDescent="0.35">
      <c r="A1717" s="2">
        <f ca="1">IFERROR(__xludf.DUMMYFUNCTION("""COMPUTED_VALUE"""),44494.6666666666)</f>
        <v>44494.666666666599</v>
      </c>
      <c r="B1717" s="1">
        <f ca="1">IFERROR(__xludf.DUMMYFUNCTION("""COMPUTED_VALUE"""),320.3)</f>
        <v>320.3</v>
      </c>
      <c r="C1717" s="1">
        <f ca="1">IFERROR(__xludf.DUMMYFUNCTION("""COMPUTED_VALUE"""),329.56)</f>
        <v>329.56</v>
      </c>
      <c r="D1717" s="1">
        <f ca="1">IFERROR(__xludf.DUMMYFUNCTION("""COMPUTED_VALUE"""),319.72)</f>
        <v>319.72000000000003</v>
      </c>
      <c r="E1717" s="1">
        <f ca="1">IFERROR(__xludf.DUMMYFUNCTION("""COMPUTED_VALUE"""),328.69)</f>
        <v>328.69</v>
      </c>
      <c r="F1717" s="1">
        <f ca="1">IFERROR(__xludf.DUMMYFUNCTION("""COMPUTED_VALUE"""),38408957)</f>
        <v>38408957</v>
      </c>
    </row>
    <row r="1718" spans="1:6" x14ac:dyDescent="0.35">
      <c r="A1718" s="2">
        <f ca="1">IFERROR(__xludf.DUMMYFUNCTION("""COMPUTED_VALUE"""),44495.6666666666)</f>
        <v>44495.666666666599</v>
      </c>
      <c r="B1718" s="1">
        <f ca="1">IFERROR(__xludf.DUMMYFUNCTION("""COMPUTED_VALUE"""),328.26)</f>
        <v>328.26</v>
      </c>
      <c r="C1718" s="1">
        <f ca="1">IFERROR(__xludf.DUMMYFUNCTION("""COMPUTED_VALUE"""),330.21)</f>
        <v>330.21</v>
      </c>
      <c r="D1718" s="1">
        <f ca="1">IFERROR(__xludf.DUMMYFUNCTION("""COMPUTED_VALUE"""),309.6)</f>
        <v>309.60000000000002</v>
      </c>
      <c r="E1718" s="1">
        <f ca="1">IFERROR(__xludf.DUMMYFUNCTION("""COMPUTED_VALUE"""),315.81)</f>
        <v>315.81</v>
      </c>
      <c r="F1718" s="1">
        <f ca="1">IFERROR(__xludf.DUMMYFUNCTION("""COMPUTED_VALUE"""),65654043)</f>
        <v>65654043</v>
      </c>
    </row>
    <row r="1719" spans="1:6" x14ac:dyDescent="0.35">
      <c r="A1719" s="2">
        <f ca="1">IFERROR(__xludf.DUMMYFUNCTION("""COMPUTED_VALUE"""),44496.6666666666)</f>
        <v>44496.666666666599</v>
      </c>
      <c r="B1719" s="1">
        <f ca="1">IFERROR(__xludf.DUMMYFUNCTION("""COMPUTED_VALUE"""),314.19)</f>
        <v>314.19</v>
      </c>
      <c r="C1719" s="1">
        <f ca="1">IFERROR(__xludf.DUMMYFUNCTION("""COMPUTED_VALUE"""),319.25)</f>
        <v>319.25</v>
      </c>
      <c r="D1719" s="1">
        <f ca="1">IFERROR(__xludf.DUMMYFUNCTION("""COMPUTED_VALUE"""),312.06)</f>
        <v>312.06</v>
      </c>
      <c r="E1719" s="1">
        <f ca="1">IFERROR(__xludf.DUMMYFUNCTION("""COMPUTED_VALUE"""),312.22)</f>
        <v>312.22000000000003</v>
      </c>
      <c r="F1719" s="1">
        <f ca="1">IFERROR(__xludf.DUMMYFUNCTION("""COMPUTED_VALUE"""),29971761)</f>
        <v>29971761</v>
      </c>
    </row>
    <row r="1720" spans="1:6" x14ac:dyDescent="0.35">
      <c r="A1720" s="2">
        <f ca="1">IFERROR(__xludf.DUMMYFUNCTION("""COMPUTED_VALUE"""),44497.6666666666)</f>
        <v>44497.666666666599</v>
      </c>
      <c r="B1720" s="1">
        <f ca="1">IFERROR(__xludf.DUMMYFUNCTION("""COMPUTED_VALUE"""),312.99)</f>
        <v>312.99</v>
      </c>
      <c r="C1720" s="1">
        <f ca="1">IFERROR(__xludf.DUMMYFUNCTION("""COMPUTED_VALUE"""),325.52)</f>
        <v>325.52</v>
      </c>
      <c r="D1720" s="1">
        <f ca="1">IFERROR(__xludf.DUMMYFUNCTION("""COMPUTED_VALUE"""),308.11)</f>
        <v>308.11</v>
      </c>
      <c r="E1720" s="1">
        <f ca="1">IFERROR(__xludf.DUMMYFUNCTION("""COMPUTED_VALUE"""),316.92)</f>
        <v>316.92</v>
      </c>
      <c r="F1720" s="1">
        <f ca="1">IFERROR(__xludf.DUMMYFUNCTION("""COMPUTED_VALUE"""),50806840)</f>
        <v>50806840</v>
      </c>
    </row>
    <row r="1721" spans="1:6" x14ac:dyDescent="0.35">
      <c r="A1721" s="2">
        <f ca="1">IFERROR(__xludf.DUMMYFUNCTION("""COMPUTED_VALUE"""),44498.6666666666)</f>
        <v>44498.666666666599</v>
      </c>
      <c r="B1721" s="1">
        <f ca="1">IFERROR(__xludf.DUMMYFUNCTION("""COMPUTED_VALUE"""),320.19)</f>
        <v>320.19</v>
      </c>
      <c r="C1721" s="1">
        <f ca="1">IFERROR(__xludf.DUMMYFUNCTION("""COMPUTED_VALUE"""),326)</f>
        <v>326</v>
      </c>
      <c r="D1721" s="1">
        <f ca="1">IFERROR(__xludf.DUMMYFUNCTION("""COMPUTED_VALUE"""),319.6)</f>
        <v>319.60000000000002</v>
      </c>
      <c r="E1721" s="1">
        <f ca="1">IFERROR(__xludf.DUMMYFUNCTION("""COMPUTED_VALUE"""),323.57)</f>
        <v>323.57</v>
      </c>
      <c r="F1721" s="1">
        <f ca="1">IFERROR(__xludf.DUMMYFUNCTION("""COMPUTED_VALUE"""),37059384)</f>
        <v>37059384</v>
      </c>
    </row>
    <row r="1722" spans="1:6" x14ac:dyDescent="0.35">
      <c r="A1722" s="2">
        <f ca="1">IFERROR(__xludf.DUMMYFUNCTION("""COMPUTED_VALUE"""),44501.6666666666)</f>
        <v>44501.666666666599</v>
      </c>
      <c r="B1722" s="1">
        <f ca="1">IFERROR(__xludf.DUMMYFUNCTION("""COMPUTED_VALUE"""),326.04)</f>
        <v>326.04000000000002</v>
      </c>
      <c r="C1722" s="1">
        <f ca="1">IFERROR(__xludf.DUMMYFUNCTION("""COMPUTED_VALUE"""),333.45)</f>
        <v>333.45</v>
      </c>
      <c r="D1722" s="1">
        <f ca="1">IFERROR(__xludf.DUMMYFUNCTION("""COMPUTED_VALUE"""),326)</f>
        <v>326</v>
      </c>
      <c r="E1722" s="1">
        <f ca="1">IFERROR(__xludf.DUMMYFUNCTION("""COMPUTED_VALUE"""),329.98)</f>
        <v>329.98</v>
      </c>
      <c r="F1722" s="1">
        <f ca="1">IFERROR(__xludf.DUMMYFUNCTION("""COMPUTED_VALUE"""),31518885)</f>
        <v>31518885</v>
      </c>
    </row>
    <row r="1723" spans="1:6" x14ac:dyDescent="0.35">
      <c r="A1723" s="2">
        <f ca="1">IFERROR(__xludf.DUMMYFUNCTION("""COMPUTED_VALUE"""),44502.6666666666)</f>
        <v>44502.666666666599</v>
      </c>
      <c r="B1723" s="1">
        <f ca="1">IFERROR(__xludf.DUMMYFUNCTION("""COMPUTED_VALUE"""),331.38)</f>
        <v>331.38</v>
      </c>
      <c r="C1723" s="1">
        <f ca="1">IFERROR(__xludf.DUMMYFUNCTION("""COMPUTED_VALUE"""),334.79)</f>
        <v>334.79</v>
      </c>
      <c r="D1723" s="1">
        <f ca="1">IFERROR(__xludf.DUMMYFUNCTION("""COMPUTED_VALUE"""),323.8)</f>
        <v>323.8</v>
      </c>
      <c r="E1723" s="1">
        <f ca="1">IFERROR(__xludf.DUMMYFUNCTION("""COMPUTED_VALUE"""),328.08)</f>
        <v>328.08</v>
      </c>
      <c r="F1723" s="1">
        <f ca="1">IFERROR(__xludf.DUMMYFUNCTION("""COMPUTED_VALUE"""),28352966)</f>
        <v>28352966</v>
      </c>
    </row>
    <row r="1724" spans="1:6" x14ac:dyDescent="0.35">
      <c r="A1724" s="2">
        <f ca="1">IFERROR(__xludf.DUMMYFUNCTION("""COMPUTED_VALUE"""),44503.6666666666)</f>
        <v>44503.666666666599</v>
      </c>
      <c r="B1724" s="1">
        <f ca="1">IFERROR(__xludf.DUMMYFUNCTION("""COMPUTED_VALUE"""),327.49)</f>
        <v>327.49</v>
      </c>
      <c r="C1724" s="1">
        <f ca="1">IFERROR(__xludf.DUMMYFUNCTION("""COMPUTED_VALUE"""),332.15)</f>
        <v>332.15</v>
      </c>
      <c r="D1724" s="1">
        <f ca="1">IFERROR(__xludf.DUMMYFUNCTION("""COMPUTED_VALUE"""),323.2)</f>
        <v>323.2</v>
      </c>
      <c r="E1724" s="1">
        <f ca="1">IFERROR(__xludf.DUMMYFUNCTION("""COMPUTED_VALUE"""),331.62)</f>
        <v>331.62</v>
      </c>
      <c r="F1724" s="1">
        <f ca="1">IFERROR(__xludf.DUMMYFUNCTION("""COMPUTED_VALUE"""),20786502)</f>
        <v>20786502</v>
      </c>
    </row>
    <row r="1725" spans="1:6" x14ac:dyDescent="0.35">
      <c r="A1725" s="2">
        <f ca="1">IFERROR(__xludf.DUMMYFUNCTION("""COMPUTED_VALUE"""),44504.6666666666)</f>
        <v>44504.666666666599</v>
      </c>
      <c r="B1725" s="1">
        <f ca="1">IFERROR(__xludf.DUMMYFUNCTION("""COMPUTED_VALUE"""),334.01)</f>
        <v>334.01</v>
      </c>
      <c r="C1725" s="1">
        <f ca="1">IFERROR(__xludf.DUMMYFUNCTION("""COMPUTED_VALUE"""),337.27)</f>
        <v>337.27</v>
      </c>
      <c r="D1725" s="1">
        <f ca="1">IFERROR(__xludf.DUMMYFUNCTION("""COMPUTED_VALUE"""),332.65)</f>
        <v>332.65</v>
      </c>
      <c r="E1725" s="1">
        <f ca="1">IFERROR(__xludf.DUMMYFUNCTION("""COMPUTED_VALUE"""),335.85)</f>
        <v>335.85</v>
      </c>
      <c r="F1725" s="1">
        <f ca="1">IFERROR(__xludf.DUMMYFUNCTION("""COMPUTED_VALUE"""),22495281)</f>
        <v>22495281</v>
      </c>
    </row>
    <row r="1726" spans="1:6" x14ac:dyDescent="0.35">
      <c r="A1726" s="2">
        <f ca="1">IFERROR(__xludf.DUMMYFUNCTION("""COMPUTED_VALUE"""),44505.6666666666)</f>
        <v>44505.666666666599</v>
      </c>
      <c r="B1726" s="1">
        <f ca="1">IFERROR(__xludf.DUMMYFUNCTION("""COMPUTED_VALUE"""),340.31)</f>
        <v>340.31</v>
      </c>
      <c r="C1726" s="1">
        <f ca="1">IFERROR(__xludf.DUMMYFUNCTION("""COMPUTED_VALUE"""),346.79)</f>
        <v>346.79</v>
      </c>
      <c r="D1726" s="1">
        <f ca="1">IFERROR(__xludf.DUMMYFUNCTION("""COMPUTED_VALUE"""),339.64)</f>
        <v>339.64</v>
      </c>
      <c r="E1726" s="1">
        <f ca="1">IFERROR(__xludf.DUMMYFUNCTION("""COMPUTED_VALUE"""),341.13)</f>
        <v>341.13</v>
      </c>
      <c r="F1726" s="1">
        <f ca="1">IFERROR(__xludf.DUMMYFUNCTION("""COMPUTED_VALUE"""),26872817)</f>
        <v>26872817</v>
      </c>
    </row>
    <row r="1727" spans="1:6" x14ac:dyDescent="0.35">
      <c r="A1727" s="2">
        <f ca="1">IFERROR(__xludf.DUMMYFUNCTION("""COMPUTED_VALUE"""),44508.6666666666)</f>
        <v>44508.666666666599</v>
      </c>
      <c r="B1727" s="1">
        <f ca="1">IFERROR(__xludf.DUMMYFUNCTION("""COMPUTED_VALUE"""),344.42)</f>
        <v>344.42</v>
      </c>
      <c r="C1727" s="1">
        <f ca="1">IFERROR(__xludf.DUMMYFUNCTION("""COMPUTED_VALUE"""),344.79)</f>
        <v>344.79</v>
      </c>
      <c r="D1727" s="1">
        <f ca="1">IFERROR(__xludf.DUMMYFUNCTION("""COMPUTED_VALUE"""),338.34)</f>
        <v>338.34</v>
      </c>
      <c r="E1727" s="1">
        <f ca="1">IFERROR(__xludf.DUMMYFUNCTION("""COMPUTED_VALUE"""),338.62)</f>
        <v>338.62</v>
      </c>
      <c r="F1727" s="1">
        <f ca="1">IFERROR(__xludf.DUMMYFUNCTION("""COMPUTED_VALUE"""),18342458)</f>
        <v>18342458</v>
      </c>
    </row>
    <row r="1728" spans="1:6" x14ac:dyDescent="0.35">
      <c r="A1728" s="2">
        <f ca="1">IFERROR(__xludf.DUMMYFUNCTION("""COMPUTED_VALUE"""),44509.6666666666)</f>
        <v>44509.666666666599</v>
      </c>
      <c r="B1728" s="1">
        <f ca="1">IFERROR(__xludf.DUMMYFUNCTION("""COMPUTED_VALUE"""),340)</f>
        <v>340</v>
      </c>
      <c r="C1728" s="1">
        <f ca="1">IFERROR(__xludf.DUMMYFUNCTION("""COMPUTED_VALUE"""),341.31)</f>
        <v>341.31</v>
      </c>
      <c r="D1728" s="1">
        <f ca="1">IFERROR(__xludf.DUMMYFUNCTION("""COMPUTED_VALUE"""),334.47)</f>
        <v>334.47</v>
      </c>
      <c r="E1728" s="1">
        <f ca="1">IFERROR(__xludf.DUMMYFUNCTION("""COMPUTED_VALUE"""),335.37)</f>
        <v>335.37</v>
      </c>
      <c r="F1728" s="1">
        <f ca="1">IFERROR(__xludf.DUMMYFUNCTION("""COMPUTED_VALUE"""),17556721)</f>
        <v>17556721</v>
      </c>
    </row>
    <row r="1729" spans="1:6" x14ac:dyDescent="0.35">
      <c r="A1729" s="2">
        <f ca="1">IFERROR(__xludf.DUMMYFUNCTION("""COMPUTED_VALUE"""),44510.6666666666)</f>
        <v>44510.666666666599</v>
      </c>
      <c r="B1729" s="1">
        <f ca="1">IFERROR(__xludf.DUMMYFUNCTION("""COMPUTED_VALUE"""),332.49)</f>
        <v>332.49</v>
      </c>
      <c r="C1729" s="1">
        <f ca="1">IFERROR(__xludf.DUMMYFUNCTION("""COMPUTED_VALUE"""),333.19)</f>
        <v>333.19</v>
      </c>
      <c r="D1729" s="1">
        <f ca="1">IFERROR(__xludf.DUMMYFUNCTION("""COMPUTED_VALUE"""),325.51)</f>
        <v>325.51</v>
      </c>
      <c r="E1729" s="1">
        <f ca="1">IFERROR(__xludf.DUMMYFUNCTION("""COMPUTED_VALUE"""),327.64)</f>
        <v>327.64</v>
      </c>
      <c r="F1729" s="1">
        <f ca="1">IFERROR(__xludf.DUMMYFUNCTION("""COMPUTED_VALUE"""),21872605)</f>
        <v>21872605</v>
      </c>
    </row>
    <row r="1730" spans="1:6" x14ac:dyDescent="0.35">
      <c r="A1730" s="2">
        <f ca="1">IFERROR(__xludf.DUMMYFUNCTION("""COMPUTED_VALUE"""),44511.6666666666)</f>
        <v>44511.666666666599</v>
      </c>
      <c r="B1730" s="1">
        <f ca="1">IFERROR(__xludf.DUMMYFUNCTION("""COMPUTED_VALUE"""),329.82)</f>
        <v>329.82</v>
      </c>
      <c r="C1730" s="1">
        <f ca="1">IFERROR(__xludf.DUMMYFUNCTION("""COMPUTED_VALUE"""),332.46)</f>
        <v>332.46</v>
      </c>
      <c r="D1730" s="1">
        <f ca="1">IFERROR(__xludf.DUMMYFUNCTION("""COMPUTED_VALUE"""),327)</f>
        <v>327</v>
      </c>
      <c r="E1730" s="1">
        <f ca="1">IFERROR(__xludf.DUMMYFUNCTION("""COMPUTED_VALUE"""),327.74)</f>
        <v>327.74</v>
      </c>
      <c r="F1730" s="1">
        <f ca="1">IFERROR(__xludf.DUMMYFUNCTION("""COMPUTED_VALUE"""),12376563)</f>
        <v>12376563</v>
      </c>
    </row>
    <row r="1731" spans="1:6" x14ac:dyDescent="0.35">
      <c r="A1731" s="2">
        <f ca="1">IFERROR(__xludf.DUMMYFUNCTION("""COMPUTED_VALUE"""),44512.6666666666)</f>
        <v>44512.666666666599</v>
      </c>
      <c r="B1731" s="1">
        <f ca="1">IFERROR(__xludf.DUMMYFUNCTION("""COMPUTED_VALUE"""),330.18)</f>
        <v>330.18</v>
      </c>
      <c r="C1731" s="1">
        <f ca="1">IFERROR(__xludf.DUMMYFUNCTION("""COMPUTED_VALUE"""),341.86)</f>
        <v>341.86</v>
      </c>
      <c r="D1731" s="1">
        <f ca="1">IFERROR(__xludf.DUMMYFUNCTION("""COMPUTED_VALUE"""),329.78)</f>
        <v>329.78</v>
      </c>
      <c r="E1731" s="1">
        <f ca="1">IFERROR(__xludf.DUMMYFUNCTION("""COMPUTED_VALUE"""),340.89)</f>
        <v>340.89</v>
      </c>
      <c r="F1731" s="1">
        <f ca="1">IFERROR(__xludf.DUMMYFUNCTION("""COMPUTED_VALUE"""),25414311)</f>
        <v>25414311</v>
      </c>
    </row>
    <row r="1732" spans="1:6" x14ac:dyDescent="0.35">
      <c r="A1732" s="2">
        <f ca="1">IFERROR(__xludf.DUMMYFUNCTION("""COMPUTED_VALUE"""),44515.6666666666)</f>
        <v>44515.666666666599</v>
      </c>
      <c r="B1732" s="1">
        <f ca="1">IFERROR(__xludf.DUMMYFUNCTION("""COMPUTED_VALUE"""),344.34)</f>
        <v>344.34</v>
      </c>
      <c r="C1732" s="1">
        <f ca="1">IFERROR(__xludf.DUMMYFUNCTION("""COMPUTED_VALUE"""),353.65)</f>
        <v>353.65</v>
      </c>
      <c r="D1732" s="1">
        <f ca="1">IFERROR(__xludf.DUMMYFUNCTION("""COMPUTED_VALUE"""),343.2)</f>
        <v>343.2</v>
      </c>
      <c r="E1732" s="1">
        <f ca="1">IFERROR(__xludf.DUMMYFUNCTION("""COMPUTED_VALUE"""),347.56)</f>
        <v>347.56</v>
      </c>
      <c r="F1732" s="1">
        <f ca="1">IFERROR(__xludf.DUMMYFUNCTION("""COMPUTED_VALUE"""),25076603)</f>
        <v>25076603</v>
      </c>
    </row>
    <row r="1733" spans="1:6" x14ac:dyDescent="0.35">
      <c r="A1733" s="2">
        <f ca="1">IFERROR(__xludf.DUMMYFUNCTION("""COMPUTED_VALUE"""),44516.6666666666)</f>
        <v>44516.666666666599</v>
      </c>
      <c r="B1733" s="1">
        <f ca="1">IFERROR(__xludf.DUMMYFUNCTION("""COMPUTED_VALUE"""),343.83)</f>
        <v>343.83</v>
      </c>
      <c r="C1733" s="1">
        <f ca="1">IFERROR(__xludf.DUMMYFUNCTION("""COMPUTED_VALUE"""),346.65)</f>
        <v>346.65</v>
      </c>
      <c r="D1733" s="1">
        <f ca="1">IFERROR(__xludf.DUMMYFUNCTION("""COMPUTED_VALUE"""),340.87)</f>
        <v>340.87</v>
      </c>
      <c r="E1733" s="1">
        <f ca="1">IFERROR(__xludf.DUMMYFUNCTION("""COMPUTED_VALUE"""),342.96)</f>
        <v>342.96</v>
      </c>
      <c r="F1733" s="1">
        <f ca="1">IFERROR(__xludf.DUMMYFUNCTION("""COMPUTED_VALUE"""),18181106)</f>
        <v>18181106</v>
      </c>
    </row>
    <row r="1734" spans="1:6" x14ac:dyDescent="0.35">
      <c r="A1734" s="2">
        <f ca="1">IFERROR(__xludf.DUMMYFUNCTION("""COMPUTED_VALUE"""),44517.6666666666)</f>
        <v>44517.666666666599</v>
      </c>
      <c r="B1734" s="1">
        <f ca="1">IFERROR(__xludf.DUMMYFUNCTION("""COMPUTED_VALUE"""),344.24)</f>
        <v>344.24</v>
      </c>
      <c r="C1734" s="1">
        <f ca="1">IFERROR(__xludf.DUMMYFUNCTION("""COMPUTED_VALUE"""),347.3)</f>
        <v>347.3</v>
      </c>
      <c r="D1734" s="1">
        <f ca="1">IFERROR(__xludf.DUMMYFUNCTION("""COMPUTED_VALUE"""),340.1)</f>
        <v>340.1</v>
      </c>
      <c r="E1734" s="1">
        <f ca="1">IFERROR(__xludf.DUMMYFUNCTION("""COMPUTED_VALUE"""),340.77)</f>
        <v>340.77</v>
      </c>
      <c r="F1734" s="1">
        <f ca="1">IFERROR(__xludf.DUMMYFUNCTION("""COMPUTED_VALUE"""),13602812)</f>
        <v>13602812</v>
      </c>
    </row>
    <row r="1735" spans="1:6" x14ac:dyDescent="0.35">
      <c r="A1735" s="2">
        <f ca="1">IFERROR(__xludf.DUMMYFUNCTION("""COMPUTED_VALUE"""),44518.6666666666)</f>
        <v>44518.666666666599</v>
      </c>
      <c r="B1735" s="1">
        <f ca="1">IFERROR(__xludf.DUMMYFUNCTION("""COMPUTED_VALUE"""),339.72)</f>
        <v>339.72</v>
      </c>
      <c r="C1735" s="1">
        <f ca="1">IFERROR(__xludf.DUMMYFUNCTION("""COMPUTED_VALUE"""),342.46)</f>
        <v>342.46</v>
      </c>
      <c r="D1735" s="1">
        <f ca="1">IFERROR(__xludf.DUMMYFUNCTION("""COMPUTED_VALUE"""),335.3)</f>
        <v>335.3</v>
      </c>
      <c r="E1735" s="1">
        <f ca="1">IFERROR(__xludf.DUMMYFUNCTION("""COMPUTED_VALUE"""),338.69)</f>
        <v>338.69</v>
      </c>
      <c r="F1735" s="1">
        <f ca="1">IFERROR(__xludf.DUMMYFUNCTION("""COMPUTED_VALUE"""),17487235)</f>
        <v>17487235</v>
      </c>
    </row>
    <row r="1736" spans="1:6" x14ac:dyDescent="0.35">
      <c r="A1736" s="2">
        <f ca="1">IFERROR(__xludf.DUMMYFUNCTION("""COMPUTED_VALUE"""),44519.6666666666)</f>
        <v>44519.666666666599</v>
      </c>
      <c r="B1736" s="1">
        <f ca="1">IFERROR(__xludf.DUMMYFUNCTION("""COMPUTED_VALUE"""),342.2)</f>
        <v>342.2</v>
      </c>
      <c r="C1736" s="1">
        <f ca="1">IFERROR(__xludf.DUMMYFUNCTION("""COMPUTED_VALUE"""),352.1)</f>
        <v>352.1</v>
      </c>
      <c r="D1736" s="1">
        <f ca="1">IFERROR(__xludf.DUMMYFUNCTION("""COMPUTED_VALUE"""),339.9)</f>
        <v>339.9</v>
      </c>
      <c r="E1736" s="1">
        <f ca="1">IFERROR(__xludf.DUMMYFUNCTION("""COMPUTED_VALUE"""),345.3)</f>
        <v>345.3</v>
      </c>
      <c r="F1736" s="1">
        <f ca="1">IFERROR(__xludf.DUMMYFUNCTION("""COMPUTED_VALUE"""),26488541)</f>
        <v>26488541</v>
      </c>
    </row>
    <row r="1737" spans="1:6" x14ac:dyDescent="0.35">
      <c r="A1737" s="2">
        <f ca="1">IFERROR(__xludf.DUMMYFUNCTION("""COMPUTED_VALUE"""),44522.6666666666)</f>
        <v>44522.666666666599</v>
      </c>
      <c r="B1737" s="1">
        <f ca="1">IFERROR(__xludf.DUMMYFUNCTION("""COMPUTED_VALUE"""),349.05)</f>
        <v>349.05</v>
      </c>
      <c r="C1737" s="1">
        <f ca="1">IFERROR(__xludf.DUMMYFUNCTION("""COMPUTED_VALUE"""),353.83)</f>
        <v>353.83</v>
      </c>
      <c r="D1737" s="1">
        <f ca="1">IFERROR(__xludf.DUMMYFUNCTION("""COMPUTED_VALUE"""),340.51)</f>
        <v>340.51</v>
      </c>
      <c r="E1737" s="1">
        <f ca="1">IFERROR(__xludf.DUMMYFUNCTION("""COMPUTED_VALUE"""),341.01)</f>
        <v>341.01</v>
      </c>
      <c r="F1737" s="1">
        <f ca="1">IFERROR(__xludf.DUMMYFUNCTION("""COMPUTED_VALUE"""),27116811)</f>
        <v>27116811</v>
      </c>
    </row>
    <row r="1738" spans="1:6" x14ac:dyDescent="0.35">
      <c r="A1738" s="2">
        <f ca="1">IFERROR(__xludf.DUMMYFUNCTION("""COMPUTED_VALUE"""),44523.6666666666)</f>
        <v>44523.666666666599</v>
      </c>
      <c r="B1738" s="1">
        <f ca="1">IFERROR(__xludf.DUMMYFUNCTION("""COMPUTED_VALUE"""),338.93)</f>
        <v>338.93</v>
      </c>
      <c r="C1738" s="1">
        <f ca="1">IFERROR(__xludf.DUMMYFUNCTION("""COMPUTED_VALUE"""),341.4)</f>
        <v>341.4</v>
      </c>
      <c r="D1738" s="1">
        <f ca="1">IFERROR(__xludf.DUMMYFUNCTION("""COMPUTED_VALUE"""),333.5)</f>
        <v>333.5</v>
      </c>
      <c r="E1738" s="1">
        <f ca="1">IFERROR(__xludf.DUMMYFUNCTION("""COMPUTED_VALUE"""),337.25)</f>
        <v>337.25</v>
      </c>
      <c r="F1738" s="1">
        <f ca="1">IFERROR(__xludf.DUMMYFUNCTION("""COMPUTED_VALUE"""),17224986)</f>
        <v>17224986</v>
      </c>
    </row>
    <row r="1739" spans="1:6" x14ac:dyDescent="0.35">
      <c r="A1739" s="2">
        <f ca="1">IFERROR(__xludf.DUMMYFUNCTION("""COMPUTED_VALUE"""),44524.6666666666)</f>
        <v>44524.666666666599</v>
      </c>
      <c r="B1739" s="1">
        <f ca="1">IFERROR(__xludf.DUMMYFUNCTION("""COMPUTED_VALUE"""),336)</f>
        <v>336</v>
      </c>
      <c r="C1739" s="1">
        <f ca="1">IFERROR(__xludf.DUMMYFUNCTION("""COMPUTED_VALUE"""),341.78)</f>
        <v>341.78</v>
      </c>
      <c r="D1739" s="1">
        <f ca="1">IFERROR(__xludf.DUMMYFUNCTION("""COMPUTED_VALUE"""),332.81)</f>
        <v>332.81</v>
      </c>
      <c r="E1739" s="1">
        <f ca="1">IFERROR(__xludf.DUMMYFUNCTION("""COMPUTED_VALUE"""),341.06)</f>
        <v>341.06</v>
      </c>
      <c r="F1739" s="1">
        <f ca="1">IFERROR(__xludf.DUMMYFUNCTION("""COMPUTED_VALUE"""),13566181)</f>
        <v>13566181</v>
      </c>
    </row>
    <row r="1740" spans="1:6" x14ac:dyDescent="0.35">
      <c r="A1740" s="2">
        <f ca="1">IFERROR(__xludf.DUMMYFUNCTION("""COMPUTED_VALUE"""),44526.5416666666)</f>
        <v>44526.541666666599</v>
      </c>
      <c r="B1740" s="1">
        <f ca="1">IFERROR(__xludf.DUMMYFUNCTION("""COMPUTED_VALUE"""),335.8)</f>
        <v>335.8</v>
      </c>
      <c r="C1740" s="1">
        <f ca="1">IFERROR(__xludf.DUMMYFUNCTION("""COMPUTED_VALUE"""),337.75)</f>
        <v>337.75</v>
      </c>
      <c r="D1740" s="1">
        <f ca="1">IFERROR(__xludf.DUMMYFUNCTION("""COMPUTED_VALUE"""),331.9)</f>
        <v>331.9</v>
      </c>
      <c r="E1740" s="1">
        <f ca="1">IFERROR(__xludf.DUMMYFUNCTION("""COMPUTED_VALUE"""),333.12)</f>
        <v>333.12</v>
      </c>
      <c r="F1740" s="1">
        <f ca="1">IFERROR(__xludf.DUMMYFUNCTION("""COMPUTED_VALUE"""),14750737)</f>
        <v>14750737</v>
      </c>
    </row>
    <row r="1741" spans="1:6" x14ac:dyDescent="0.35">
      <c r="A1741" s="2">
        <f ca="1">IFERROR(__xludf.DUMMYFUNCTION("""COMPUTED_VALUE"""),44529.6666666666)</f>
        <v>44529.666666666599</v>
      </c>
      <c r="B1741" s="1">
        <f ca="1">IFERROR(__xludf.DUMMYFUNCTION("""COMPUTED_VALUE"""),336.89)</f>
        <v>336.89</v>
      </c>
      <c r="C1741" s="1">
        <f ca="1">IFERROR(__xludf.DUMMYFUNCTION("""COMPUTED_VALUE"""),340.67)</f>
        <v>340.67</v>
      </c>
      <c r="D1741" s="1">
        <f ca="1">IFERROR(__xludf.DUMMYFUNCTION("""COMPUTED_VALUE"""),335.31)</f>
        <v>335.31</v>
      </c>
      <c r="E1741" s="1">
        <f ca="1">IFERROR(__xludf.DUMMYFUNCTION("""COMPUTED_VALUE"""),338.03)</f>
        <v>338.03</v>
      </c>
      <c r="F1741" s="1">
        <f ca="1">IFERROR(__xludf.DUMMYFUNCTION("""COMPUTED_VALUE"""),16650949)</f>
        <v>16650949</v>
      </c>
    </row>
    <row r="1742" spans="1:6" x14ac:dyDescent="0.35">
      <c r="A1742" s="2">
        <f ca="1">IFERROR(__xludf.DUMMYFUNCTION("""COMPUTED_VALUE"""),44530.6666666666)</f>
        <v>44530.666666666599</v>
      </c>
      <c r="B1742" s="1">
        <f ca="1">IFERROR(__xludf.DUMMYFUNCTION("""COMPUTED_VALUE"""),335)</f>
        <v>335</v>
      </c>
      <c r="C1742" s="1">
        <f ca="1">IFERROR(__xludf.DUMMYFUNCTION("""COMPUTED_VALUE"""),335.81)</f>
        <v>335.81</v>
      </c>
      <c r="D1742" s="1">
        <f ca="1">IFERROR(__xludf.DUMMYFUNCTION("""COMPUTED_VALUE"""),323.43)</f>
        <v>323.43</v>
      </c>
      <c r="E1742" s="1">
        <f ca="1">IFERROR(__xludf.DUMMYFUNCTION("""COMPUTED_VALUE"""),324.46)</f>
        <v>324.45999999999998</v>
      </c>
      <c r="F1742" s="1">
        <f ca="1">IFERROR(__xludf.DUMMYFUNCTION("""COMPUTED_VALUE"""),25390008)</f>
        <v>25390008</v>
      </c>
    </row>
    <row r="1743" spans="1:6" x14ac:dyDescent="0.35">
      <c r="A1743" s="2">
        <f ca="1">IFERROR(__xludf.DUMMYFUNCTION("""COMPUTED_VALUE"""),44531.6666666666)</f>
        <v>44531.666666666599</v>
      </c>
      <c r="B1743" s="1">
        <f ca="1">IFERROR(__xludf.DUMMYFUNCTION("""COMPUTED_VALUE"""),330.29)</f>
        <v>330.29</v>
      </c>
      <c r="C1743" s="1">
        <f ca="1">IFERROR(__xludf.DUMMYFUNCTION("""COMPUTED_VALUE"""),330.5)</f>
        <v>330.5</v>
      </c>
      <c r="D1743" s="1">
        <f ca="1">IFERROR(__xludf.DUMMYFUNCTION("""COMPUTED_VALUE"""),310.29)</f>
        <v>310.29000000000002</v>
      </c>
      <c r="E1743" s="1">
        <f ca="1">IFERROR(__xludf.DUMMYFUNCTION("""COMPUTED_VALUE"""),310.6)</f>
        <v>310.60000000000002</v>
      </c>
      <c r="F1743" s="1">
        <f ca="1">IFERROR(__xludf.DUMMYFUNCTION("""COMPUTED_VALUE"""),30384083)</f>
        <v>30384083</v>
      </c>
    </row>
    <row r="1744" spans="1:6" x14ac:dyDescent="0.35">
      <c r="A1744" s="2">
        <f ca="1">IFERROR(__xludf.DUMMYFUNCTION("""COMPUTED_VALUE"""),44532.6666666666)</f>
        <v>44532.666666666599</v>
      </c>
      <c r="B1744" s="1">
        <f ca="1">IFERROR(__xludf.DUMMYFUNCTION("""COMPUTED_VALUE"""),311.4)</f>
        <v>311.39999999999998</v>
      </c>
      <c r="C1744" s="1">
        <f ca="1">IFERROR(__xludf.DUMMYFUNCTION("""COMPUTED_VALUE"""),314.6)</f>
        <v>314.60000000000002</v>
      </c>
      <c r="D1744" s="1">
        <f ca="1">IFERROR(__xludf.DUMMYFUNCTION("""COMPUTED_VALUE"""),307.2)</f>
        <v>307.2</v>
      </c>
      <c r="E1744" s="1">
        <f ca="1">IFERROR(__xludf.DUMMYFUNCTION("""COMPUTED_VALUE"""),310.39)</f>
        <v>310.39</v>
      </c>
      <c r="F1744" s="1">
        <f ca="1">IFERROR(__xludf.DUMMYFUNCTION("""COMPUTED_VALUE"""),24396169)</f>
        <v>24396169</v>
      </c>
    </row>
    <row r="1745" spans="1:6" x14ac:dyDescent="0.35">
      <c r="A1745" s="2">
        <f ca="1">IFERROR(__xludf.DUMMYFUNCTION("""COMPUTED_VALUE"""),44533.6666666666)</f>
        <v>44533.666666666599</v>
      </c>
      <c r="B1745" s="1">
        <f ca="1">IFERROR(__xludf.DUMMYFUNCTION("""COMPUTED_VALUE"""),313.73)</f>
        <v>313.73</v>
      </c>
      <c r="C1745" s="1">
        <f ca="1">IFERROR(__xludf.DUMMYFUNCTION("""COMPUTED_VALUE"""),313.75)</f>
        <v>313.75</v>
      </c>
      <c r="D1745" s="1">
        <f ca="1">IFERROR(__xludf.DUMMYFUNCTION("""COMPUTED_VALUE"""),299.5)</f>
        <v>299.5</v>
      </c>
      <c r="E1745" s="1">
        <f ca="1">IFERROR(__xludf.DUMMYFUNCTION("""COMPUTED_VALUE"""),306.84)</f>
        <v>306.83999999999997</v>
      </c>
      <c r="F1745" s="1">
        <f ca="1">IFERROR(__xludf.DUMMYFUNCTION("""COMPUTED_VALUE"""),27471010)</f>
        <v>27471010</v>
      </c>
    </row>
    <row r="1746" spans="1:6" x14ac:dyDescent="0.35">
      <c r="A1746" s="2">
        <f ca="1">IFERROR(__xludf.DUMMYFUNCTION("""COMPUTED_VALUE"""),44536.6666666666)</f>
        <v>44536.666666666599</v>
      </c>
      <c r="B1746" s="1">
        <f ca="1">IFERROR(__xludf.DUMMYFUNCTION("""COMPUTED_VALUE"""),308.13)</f>
        <v>308.13</v>
      </c>
      <c r="C1746" s="1">
        <f ca="1">IFERROR(__xludf.DUMMYFUNCTION("""COMPUTED_VALUE"""),320.1)</f>
        <v>320.10000000000002</v>
      </c>
      <c r="D1746" s="1">
        <f ca="1">IFERROR(__xludf.DUMMYFUNCTION("""COMPUTED_VALUE"""),306.34)</f>
        <v>306.33999999999997</v>
      </c>
      <c r="E1746" s="1">
        <f ca="1">IFERROR(__xludf.DUMMYFUNCTION("""COMPUTED_VALUE"""),317.87)</f>
        <v>317.87</v>
      </c>
      <c r="F1746" s="1">
        <f ca="1">IFERROR(__xludf.DUMMYFUNCTION("""COMPUTED_VALUE"""),21758340)</f>
        <v>21758340</v>
      </c>
    </row>
    <row r="1747" spans="1:6" x14ac:dyDescent="0.35">
      <c r="A1747" s="2">
        <f ca="1">IFERROR(__xludf.DUMMYFUNCTION("""COMPUTED_VALUE"""),44537.6666666666)</f>
        <v>44537.666666666599</v>
      </c>
      <c r="B1747" s="1">
        <f ca="1">IFERROR(__xludf.DUMMYFUNCTION("""COMPUTED_VALUE"""),321.57)</f>
        <v>321.57</v>
      </c>
      <c r="C1747" s="1">
        <f ca="1">IFERROR(__xludf.DUMMYFUNCTION("""COMPUTED_VALUE"""),326.54)</f>
        <v>326.54000000000002</v>
      </c>
      <c r="D1747" s="1">
        <f ca="1">IFERROR(__xludf.DUMMYFUNCTION("""COMPUTED_VALUE"""),321)</f>
        <v>321</v>
      </c>
      <c r="E1747" s="1">
        <f ca="1">IFERROR(__xludf.DUMMYFUNCTION("""COMPUTED_VALUE"""),322.81)</f>
        <v>322.81</v>
      </c>
      <c r="F1747" s="1">
        <f ca="1">IFERROR(__xludf.DUMMYFUNCTION("""COMPUTED_VALUE"""),18794047)</f>
        <v>18794047</v>
      </c>
    </row>
    <row r="1748" spans="1:6" x14ac:dyDescent="0.35">
      <c r="A1748" s="2">
        <f ca="1">IFERROR(__xludf.DUMMYFUNCTION("""COMPUTED_VALUE"""),44538.6666666666)</f>
        <v>44538.666666666599</v>
      </c>
      <c r="B1748" s="1">
        <f ca="1">IFERROR(__xludf.DUMMYFUNCTION("""COMPUTED_VALUE"""),325)</f>
        <v>325</v>
      </c>
      <c r="C1748" s="1">
        <f ca="1">IFERROR(__xludf.DUMMYFUNCTION("""COMPUTED_VALUE"""),332.75)</f>
        <v>332.75</v>
      </c>
      <c r="D1748" s="1">
        <f ca="1">IFERROR(__xludf.DUMMYFUNCTION("""COMPUTED_VALUE"""),323.07)</f>
        <v>323.07</v>
      </c>
      <c r="E1748" s="1">
        <f ca="1">IFERROR(__xludf.DUMMYFUNCTION("""COMPUTED_VALUE"""),330.56)</f>
        <v>330.56</v>
      </c>
      <c r="F1748" s="1">
        <f ca="1">IFERROR(__xludf.DUMMYFUNCTION("""COMPUTED_VALUE"""),19937722)</f>
        <v>19937722</v>
      </c>
    </row>
    <row r="1749" spans="1:6" x14ac:dyDescent="0.35">
      <c r="A1749" s="2">
        <f ca="1">IFERROR(__xludf.DUMMYFUNCTION("""COMPUTED_VALUE"""),44539.6666666666)</f>
        <v>44539.666666666599</v>
      </c>
      <c r="B1749" s="1">
        <f ca="1">IFERROR(__xludf.DUMMYFUNCTION("""COMPUTED_VALUE"""),329.54)</f>
        <v>329.54</v>
      </c>
      <c r="C1749" s="1">
        <f ca="1">IFERROR(__xludf.DUMMYFUNCTION("""COMPUTED_VALUE"""),336.13)</f>
        <v>336.13</v>
      </c>
      <c r="D1749" s="1">
        <f ca="1">IFERROR(__xludf.DUMMYFUNCTION("""COMPUTED_VALUE"""),328)</f>
        <v>328</v>
      </c>
      <c r="E1749" s="1">
        <f ca="1">IFERROR(__xludf.DUMMYFUNCTION("""COMPUTED_VALUE"""),329.82)</f>
        <v>329.82</v>
      </c>
      <c r="F1749" s="1">
        <f ca="1">IFERROR(__xludf.DUMMYFUNCTION("""COMPUTED_VALUE"""),16879168)</f>
        <v>16879168</v>
      </c>
    </row>
    <row r="1750" spans="1:6" x14ac:dyDescent="0.35">
      <c r="A1750" s="2">
        <f ca="1">IFERROR(__xludf.DUMMYFUNCTION("""COMPUTED_VALUE"""),44540.6666666666)</f>
        <v>44540.666666666599</v>
      </c>
      <c r="B1750" s="1">
        <f ca="1">IFERROR(__xludf.DUMMYFUNCTION("""COMPUTED_VALUE"""),332.56)</f>
        <v>332.56</v>
      </c>
      <c r="C1750" s="1">
        <f ca="1">IFERROR(__xludf.DUMMYFUNCTION("""COMPUTED_VALUE"""),335.03)</f>
        <v>335.03</v>
      </c>
      <c r="D1750" s="1">
        <f ca="1">IFERROR(__xludf.DUMMYFUNCTION("""COMPUTED_VALUE"""),326.37)</f>
        <v>326.37</v>
      </c>
      <c r="E1750" s="1">
        <f ca="1">IFERROR(__xludf.DUMMYFUNCTION("""COMPUTED_VALUE"""),329.75)</f>
        <v>329.75</v>
      </c>
      <c r="F1750" s="1">
        <f ca="1">IFERROR(__xludf.DUMMYFUNCTION("""COMPUTED_VALUE"""),14527969)</f>
        <v>14527969</v>
      </c>
    </row>
    <row r="1751" spans="1:6" x14ac:dyDescent="0.35">
      <c r="A1751" s="2">
        <f ca="1">IFERROR(__xludf.DUMMYFUNCTION("""COMPUTED_VALUE"""),44543.6666666666)</f>
        <v>44543.666666666599</v>
      </c>
      <c r="B1751" s="1">
        <f ca="1">IFERROR(__xludf.DUMMYFUNCTION("""COMPUTED_VALUE"""),330.95)</f>
        <v>330.95</v>
      </c>
      <c r="C1751" s="1">
        <f ca="1">IFERROR(__xludf.DUMMYFUNCTION("""COMPUTED_VALUE"""),341.09)</f>
        <v>341.09</v>
      </c>
      <c r="D1751" s="1">
        <f ca="1">IFERROR(__xludf.DUMMYFUNCTION("""COMPUTED_VALUE"""),329.59)</f>
        <v>329.59</v>
      </c>
      <c r="E1751" s="1">
        <f ca="1">IFERROR(__xludf.DUMMYFUNCTION("""COMPUTED_VALUE"""),334.49)</f>
        <v>334.49</v>
      </c>
      <c r="F1751" s="1">
        <f ca="1">IFERROR(__xludf.DUMMYFUNCTION("""COMPUTED_VALUE"""),22948655)</f>
        <v>22948655</v>
      </c>
    </row>
    <row r="1752" spans="1:6" x14ac:dyDescent="0.35">
      <c r="A1752" s="2">
        <f ca="1">IFERROR(__xludf.DUMMYFUNCTION("""COMPUTED_VALUE"""),44544.6666666666)</f>
        <v>44544.666666666599</v>
      </c>
      <c r="B1752" s="1">
        <f ca="1">IFERROR(__xludf.DUMMYFUNCTION("""COMPUTED_VALUE"""),328.05)</f>
        <v>328.05</v>
      </c>
      <c r="C1752" s="1">
        <f ca="1">IFERROR(__xludf.DUMMYFUNCTION("""COMPUTED_VALUE"""),335.7)</f>
        <v>335.7</v>
      </c>
      <c r="D1752" s="1">
        <f ca="1">IFERROR(__xludf.DUMMYFUNCTION("""COMPUTED_VALUE"""),327.65)</f>
        <v>327.64999999999998</v>
      </c>
      <c r="E1752" s="1">
        <f ca="1">IFERROR(__xludf.DUMMYFUNCTION("""COMPUTED_VALUE"""),333.74)</f>
        <v>333.74</v>
      </c>
      <c r="F1752" s="1">
        <f ca="1">IFERROR(__xludf.DUMMYFUNCTION("""COMPUTED_VALUE"""),20461024)</f>
        <v>20461024</v>
      </c>
    </row>
    <row r="1753" spans="1:6" x14ac:dyDescent="0.35">
      <c r="A1753" s="2">
        <f ca="1">IFERROR(__xludf.DUMMYFUNCTION("""COMPUTED_VALUE"""),44545.6666666666)</f>
        <v>44545.666666666599</v>
      </c>
      <c r="B1753" s="1">
        <f ca="1">IFERROR(__xludf.DUMMYFUNCTION("""COMPUTED_VALUE"""),332.49)</f>
        <v>332.49</v>
      </c>
      <c r="C1753" s="1">
        <f ca="1">IFERROR(__xludf.DUMMYFUNCTION("""COMPUTED_VALUE"""),342.11)</f>
        <v>342.11</v>
      </c>
      <c r="D1753" s="1">
        <f ca="1">IFERROR(__xludf.DUMMYFUNCTION("""COMPUTED_VALUE"""),323.98)</f>
        <v>323.98</v>
      </c>
      <c r="E1753" s="1">
        <f ca="1">IFERROR(__xludf.DUMMYFUNCTION("""COMPUTED_VALUE"""),341.66)</f>
        <v>341.66</v>
      </c>
      <c r="F1753" s="1">
        <f ca="1">IFERROR(__xludf.DUMMYFUNCTION("""COMPUTED_VALUE"""),24681326)</f>
        <v>24681326</v>
      </c>
    </row>
    <row r="1754" spans="1:6" x14ac:dyDescent="0.35">
      <c r="A1754" s="2">
        <f ca="1">IFERROR(__xludf.DUMMYFUNCTION("""COMPUTED_VALUE"""),44546.6666666666)</f>
        <v>44546.666666666599</v>
      </c>
      <c r="B1754" s="1">
        <f ca="1">IFERROR(__xludf.DUMMYFUNCTION("""COMPUTED_VALUE"""),338.98)</f>
        <v>338.98</v>
      </c>
      <c r="C1754" s="1">
        <f ca="1">IFERROR(__xludf.DUMMYFUNCTION("""COMPUTED_VALUE"""),344.46)</f>
        <v>344.46</v>
      </c>
      <c r="D1754" s="1">
        <f ca="1">IFERROR(__xludf.DUMMYFUNCTION("""COMPUTED_VALUE"""),333.74)</f>
        <v>333.74</v>
      </c>
      <c r="E1754" s="1">
        <f ca="1">IFERROR(__xludf.DUMMYFUNCTION("""COMPUTED_VALUE"""),334.9)</f>
        <v>334.9</v>
      </c>
      <c r="F1754" s="1">
        <f ca="1">IFERROR(__xludf.DUMMYFUNCTION("""COMPUTED_VALUE"""),22635025)</f>
        <v>22635025</v>
      </c>
    </row>
    <row r="1755" spans="1:6" x14ac:dyDescent="0.35">
      <c r="A1755" s="2">
        <f ca="1">IFERROR(__xludf.DUMMYFUNCTION("""COMPUTED_VALUE"""),44547.6666666666)</f>
        <v>44547.666666666599</v>
      </c>
      <c r="B1755" s="1">
        <f ca="1">IFERROR(__xludf.DUMMYFUNCTION("""COMPUTED_VALUE"""),332.8)</f>
        <v>332.8</v>
      </c>
      <c r="C1755" s="1">
        <f ca="1">IFERROR(__xludf.DUMMYFUNCTION("""COMPUTED_VALUE"""),337.11)</f>
        <v>337.11</v>
      </c>
      <c r="D1755" s="1">
        <f ca="1">IFERROR(__xludf.DUMMYFUNCTION("""COMPUTED_VALUE"""),330.75)</f>
        <v>330.75</v>
      </c>
      <c r="E1755" s="1">
        <f ca="1">IFERROR(__xludf.DUMMYFUNCTION("""COMPUTED_VALUE"""),333.79)</f>
        <v>333.79</v>
      </c>
      <c r="F1755" s="1">
        <f ca="1">IFERROR(__xludf.DUMMYFUNCTION("""COMPUTED_VALUE"""),40012637)</f>
        <v>40012637</v>
      </c>
    </row>
    <row r="1756" spans="1:6" x14ac:dyDescent="0.35">
      <c r="A1756" s="2">
        <f ca="1">IFERROR(__xludf.DUMMYFUNCTION("""COMPUTED_VALUE"""),44550.6666666666)</f>
        <v>44550.666666666599</v>
      </c>
      <c r="B1756" s="1">
        <f ca="1">IFERROR(__xludf.DUMMYFUNCTION("""COMPUTED_VALUE"""),329.78)</f>
        <v>329.78</v>
      </c>
      <c r="C1756" s="1">
        <f ca="1">IFERROR(__xludf.DUMMYFUNCTION("""COMPUTED_VALUE"""),329.9)</f>
        <v>329.9</v>
      </c>
      <c r="D1756" s="1">
        <f ca="1">IFERROR(__xludf.DUMMYFUNCTION("""COMPUTED_VALUE"""),322.53)</f>
        <v>322.52999999999997</v>
      </c>
      <c r="E1756" s="1">
        <f ca="1">IFERROR(__xludf.DUMMYFUNCTION("""COMPUTED_VALUE"""),325.45)</f>
        <v>325.45</v>
      </c>
      <c r="F1756" s="1">
        <f ca="1">IFERROR(__xludf.DUMMYFUNCTION("""COMPUTED_VALUE"""),17901783)</f>
        <v>17901783</v>
      </c>
    </row>
    <row r="1757" spans="1:6" x14ac:dyDescent="0.35">
      <c r="A1757" s="2">
        <f ca="1">IFERROR(__xludf.DUMMYFUNCTION("""COMPUTED_VALUE"""),44551.6666666666)</f>
        <v>44551.666666666599</v>
      </c>
      <c r="B1757" s="1">
        <f ca="1">IFERROR(__xludf.DUMMYFUNCTION("""COMPUTED_VALUE"""),326.41)</f>
        <v>326.41000000000003</v>
      </c>
      <c r="C1757" s="1">
        <f ca="1">IFERROR(__xludf.DUMMYFUNCTION("""COMPUTED_VALUE"""),336)</f>
        <v>336</v>
      </c>
      <c r="D1757" s="1">
        <f ca="1">IFERROR(__xludf.DUMMYFUNCTION("""COMPUTED_VALUE"""),323.75)</f>
        <v>323.75</v>
      </c>
      <c r="E1757" s="1">
        <f ca="1">IFERROR(__xludf.DUMMYFUNCTION("""COMPUTED_VALUE"""),334.2)</f>
        <v>334.2</v>
      </c>
      <c r="F1757" s="1">
        <f ca="1">IFERROR(__xludf.DUMMYFUNCTION("""COMPUTED_VALUE"""),16116784)</f>
        <v>16116784</v>
      </c>
    </row>
    <row r="1758" spans="1:6" x14ac:dyDescent="0.35">
      <c r="A1758" s="2">
        <f ca="1">IFERROR(__xludf.DUMMYFUNCTION("""COMPUTED_VALUE"""),44552.6666666666)</f>
        <v>44552.666666666599</v>
      </c>
      <c r="B1758" s="1">
        <f ca="1">IFERROR(__xludf.DUMMYFUNCTION("""COMPUTED_VALUE"""),333.8)</f>
        <v>333.8</v>
      </c>
      <c r="C1758" s="1">
        <f ca="1">IFERROR(__xludf.DUMMYFUNCTION("""COMPUTED_VALUE"""),334.51)</f>
        <v>334.51</v>
      </c>
      <c r="D1758" s="1">
        <f ca="1">IFERROR(__xludf.DUMMYFUNCTION("""COMPUTED_VALUE"""),328.26)</f>
        <v>328.26</v>
      </c>
      <c r="E1758" s="1">
        <f ca="1">IFERROR(__xludf.DUMMYFUNCTION("""COMPUTED_VALUE"""),330.45)</f>
        <v>330.45</v>
      </c>
      <c r="F1758" s="1">
        <f ca="1">IFERROR(__xludf.DUMMYFUNCTION("""COMPUTED_VALUE"""),16764566)</f>
        <v>16764566</v>
      </c>
    </row>
    <row r="1759" spans="1:6" x14ac:dyDescent="0.35">
      <c r="A1759" s="2">
        <f ca="1">IFERROR(__xludf.DUMMYFUNCTION("""COMPUTED_VALUE"""),44553.6666666666)</f>
        <v>44553.666666666599</v>
      </c>
      <c r="B1759" s="1">
        <f ca="1">IFERROR(__xludf.DUMMYFUNCTION("""COMPUTED_VALUE"""),330.1)</f>
        <v>330.1</v>
      </c>
      <c r="C1759" s="1">
        <f ca="1">IFERROR(__xludf.DUMMYFUNCTION("""COMPUTED_VALUE"""),336.67)</f>
        <v>336.67</v>
      </c>
      <c r="D1759" s="1">
        <f ca="1">IFERROR(__xludf.DUMMYFUNCTION("""COMPUTED_VALUE"""),328.36)</f>
        <v>328.36</v>
      </c>
      <c r="E1759" s="1">
        <f ca="1">IFERROR(__xludf.DUMMYFUNCTION("""COMPUTED_VALUE"""),335.24)</f>
        <v>335.24</v>
      </c>
      <c r="F1759" s="1">
        <f ca="1">IFERROR(__xludf.DUMMYFUNCTION("""COMPUTED_VALUE"""),13987698)</f>
        <v>13987698</v>
      </c>
    </row>
    <row r="1760" spans="1:6" x14ac:dyDescent="0.35">
      <c r="A1760" s="2">
        <f ca="1">IFERROR(__xludf.DUMMYFUNCTION("""COMPUTED_VALUE"""),44557.6666666666)</f>
        <v>44557.666666666599</v>
      </c>
      <c r="B1760" s="1">
        <f ca="1">IFERROR(__xludf.DUMMYFUNCTION("""COMPUTED_VALUE"""),338.85)</f>
        <v>338.85</v>
      </c>
      <c r="C1760" s="1">
        <f ca="1">IFERROR(__xludf.DUMMYFUNCTION("""COMPUTED_VALUE"""),347.87)</f>
        <v>347.87</v>
      </c>
      <c r="D1760" s="1">
        <f ca="1">IFERROR(__xludf.DUMMYFUNCTION("""COMPUTED_VALUE"""),338.01)</f>
        <v>338.01</v>
      </c>
      <c r="E1760" s="1">
        <f ca="1">IFERROR(__xludf.DUMMYFUNCTION("""COMPUTED_VALUE"""),346.18)</f>
        <v>346.18</v>
      </c>
      <c r="F1760" s="1">
        <f ca="1">IFERROR(__xludf.DUMMYFUNCTION("""COMPUTED_VALUE"""),17795026)</f>
        <v>17795026</v>
      </c>
    </row>
    <row r="1761" spans="1:6" x14ac:dyDescent="0.35">
      <c r="A1761" s="2">
        <f ca="1">IFERROR(__xludf.DUMMYFUNCTION("""COMPUTED_VALUE"""),44558.6666666666)</f>
        <v>44558.666666666599</v>
      </c>
      <c r="B1761" s="1">
        <f ca="1">IFERROR(__xludf.DUMMYFUNCTION("""COMPUTED_VALUE"""),346.63)</f>
        <v>346.63</v>
      </c>
      <c r="C1761" s="1">
        <f ca="1">IFERROR(__xludf.DUMMYFUNCTION("""COMPUTED_VALUE"""),352.71)</f>
        <v>352.71</v>
      </c>
      <c r="D1761" s="1">
        <f ca="1">IFERROR(__xludf.DUMMYFUNCTION("""COMPUTED_VALUE"""),345.2)</f>
        <v>345.2</v>
      </c>
      <c r="E1761" s="1">
        <f ca="1">IFERROR(__xludf.DUMMYFUNCTION("""COMPUTED_VALUE"""),346.22)</f>
        <v>346.22</v>
      </c>
      <c r="F1761" s="1">
        <f ca="1">IFERROR(__xludf.DUMMYFUNCTION("""COMPUTED_VALUE"""),16637608)</f>
        <v>16637608</v>
      </c>
    </row>
    <row r="1762" spans="1:6" x14ac:dyDescent="0.35">
      <c r="A1762" s="2">
        <f ca="1">IFERROR(__xludf.DUMMYFUNCTION("""COMPUTED_VALUE"""),44559.6666666666)</f>
        <v>44559.666666666599</v>
      </c>
      <c r="B1762" s="1">
        <f ca="1">IFERROR(__xludf.DUMMYFUNCTION("""COMPUTED_VALUE"""),346.91)</f>
        <v>346.91</v>
      </c>
      <c r="C1762" s="1">
        <f ca="1">IFERROR(__xludf.DUMMYFUNCTION("""COMPUTED_VALUE"""),349.69)</f>
        <v>349.69</v>
      </c>
      <c r="D1762" s="1">
        <f ca="1">IFERROR(__xludf.DUMMYFUNCTION("""COMPUTED_VALUE"""),341.64)</f>
        <v>341.64</v>
      </c>
      <c r="E1762" s="1">
        <f ca="1">IFERROR(__xludf.DUMMYFUNCTION("""COMPUTED_VALUE"""),342.94)</f>
        <v>342.94</v>
      </c>
      <c r="F1762" s="1">
        <f ca="1">IFERROR(__xludf.DUMMYFUNCTION("""COMPUTED_VALUE"""),10747009)</f>
        <v>10747009</v>
      </c>
    </row>
    <row r="1763" spans="1:6" x14ac:dyDescent="0.35">
      <c r="A1763" s="2">
        <f ca="1">IFERROR(__xludf.DUMMYFUNCTION("""COMPUTED_VALUE"""),44560.6666666666)</f>
        <v>44560.666666666599</v>
      </c>
      <c r="B1763" s="1">
        <f ca="1">IFERROR(__xludf.DUMMYFUNCTION("""COMPUTED_VALUE"""),344)</f>
        <v>344</v>
      </c>
      <c r="C1763" s="1">
        <f ca="1">IFERROR(__xludf.DUMMYFUNCTION("""COMPUTED_VALUE"""),347.23)</f>
        <v>347.23</v>
      </c>
      <c r="D1763" s="1">
        <f ca="1">IFERROR(__xludf.DUMMYFUNCTION("""COMPUTED_VALUE"""),343.22)</f>
        <v>343.22</v>
      </c>
      <c r="E1763" s="1">
        <f ca="1">IFERROR(__xludf.DUMMYFUNCTION("""COMPUTED_VALUE"""),344.36)</f>
        <v>344.36</v>
      </c>
      <c r="F1763" s="1">
        <f ca="1">IFERROR(__xludf.DUMMYFUNCTION("""COMPUTED_VALUE"""),10593347)</f>
        <v>10593347</v>
      </c>
    </row>
    <row r="1764" spans="1:6" x14ac:dyDescent="0.35">
      <c r="A1764" s="2">
        <f ca="1">IFERROR(__xludf.DUMMYFUNCTION("""COMPUTED_VALUE"""),44561.6666666666)</f>
        <v>44561.666666666599</v>
      </c>
      <c r="B1764" s="1">
        <f ca="1">IFERROR(__xludf.DUMMYFUNCTION("""COMPUTED_VALUE"""),343.02)</f>
        <v>343.02</v>
      </c>
      <c r="C1764" s="1">
        <f ca="1">IFERROR(__xludf.DUMMYFUNCTION("""COMPUTED_VALUE"""),343.44)</f>
        <v>343.44</v>
      </c>
      <c r="D1764" s="1">
        <f ca="1">IFERROR(__xludf.DUMMYFUNCTION("""COMPUTED_VALUE"""),336.27)</f>
        <v>336.27</v>
      </c>
      <c r="E1764" s="1">
        <f ca="1">IFERROR(__xludf.DUMMYFUNCTION("""COMPUTED_VALUE"""),336.35)</f>
        <v>336.35</v>
      </c>
      <c r="F1764" s="1">
        <f ca="1">IFERROR(__xludf.DUMMYFUNCTION("""COMPUTED_VALUE"""),12870480)</f>
        <v>12870480</v>
      </c>
    </row>
    <row r="1765" spans="1:6" x14ac:dyDescent="0.35">
      <c r="A1765" s="2">
        <f ca="1">IFERROR(__xludf.DUMMYFUNCTION("""COMPUTED_VALUE"""),44564.6666666666)</f>
        <v>44564.666666666599</v>
      </c>
      <c r="B1765" s="1">
        <f ca="1">IFERROR(__xludf.DUMMYFUNCTION("""COMPUTED_VALUE"""),338.3)</f>
        <v>338.3</v>
      </c>
      <c r="C1765" s="1">
        <f ca="1">IFERROR(__xludf.DUMMYFUNCTION("""COMPUTED_VALUE"""),341.08)</f>
        <v>341.08</v>
      </c>
      <c r="D1765" s="1">
        <f ca="1">IFERROR(__xludf.DUMMYFUNCTION("""COMPUTED_VALUE"""),337.19)</f>
        <v>337.19</v>
      </c>
      <c r="E1765" s="1">
        <f ca="1">IFERROR(__xludf.DUMMYFUNCTION("""COMPUTED_VALUE"""),338.54)</f>
        <v>338.54</v>
      </c>
      <c r="F1765" s="1">
        <f ca="1">IFERROR(__xludf.DUMMYFUNCTION("""COMPUTED_VALUE"""),14562849)</f>
        <v>14562849</v>
      </c>
    </row>
    <row r="1766" spans="1:6" x14ac:dyDescent="0.35">
      <c r="A1766" s="2">
        <f ca="1">IFERROR(__xludf.DUMMYFUNCTION("""COMPUTED_VALUE"""),44565.6666666666)</f>
        <v>44565.666666666599</v>
      </c>
      <c r="B1766" s="1">
        <f ca="1">IFERROR(__xludf.DUMMYFUNCTION("""COMPUTED_VALUE"""),339.95)</f>
        <v>339.95</v>
      </c>
      <c r="C1766" s="1">
        <f ca="1">IFERROR(__xludf.DUMMYFUNCTION("""COMPUTED_VALUE"""),343.09)</f>
        <v>343.09</v>
      </c>
      <c r="D1766" s="1">
        <f ca="1">IFERROR(__xludf.DUMMYFUNCTION("""COMPUTED_VALUE"""),331.87)</f>
        <v>331.87</v>
      </c>
      <c r="E1766" s="1">
        <f ca="1">IFERROR(__xludf.DUMMYFUNCTION("""COMPUTED_VALUE"""),336.53)</f>
        <v>336.53</v>
      </c>
      <c r="F1766" s="1">
        <f ca="1">IFERROR(__xludf.DUMMYFUNCTION("""COMPUTED_VALUE"""),15997974)</f>
        <v>15997974</v>
      </c>
    </row>
    <row r="1767" spans="1:6" x14ac:dyDescent="0.35">
      <c r="A1767" s="2">
        <f ca="1">IFERROR(__xludf.DUMMYFUNCTION("""COMPUTED_VALUE"""),44566.6666666666)</f>
        <v>44566.666666666599</v>
      </c>
      <c r="B1767" s="1">
        <f ca="1">IFERROR(__xludf.DUMMYFUNCTION("""COMPUTED_VALUE"""),333.02)</f>
        <v>333.02</v>
      </c>
      <c r="C1767" s="1">
        <f ca="1">IFERROR(__xludf.DUMMYFUNCTION("""COMPUTED_VALUE"""),335.76)</f>
        <v>335.76</v>
      </c>
      <c r="D1767" s="1">
        <f ca="1">IFERROR(__xludf.DUMMYFUNCTION("""COMPUTED_VALUE"""),323.84)</f>
        <v>323.83999999999997</v>
      </c>
      <c r="E1767" s="1">
        <f ca="1">IFERROR(__xludf.DUMMYFUNCTION("""COMPUTED_VALUE"""),324.17)</f>
        <v>324.17</v>
      </c>
      <c r="F1767" s="1">
        <f ca="1">IFERROR(__xludf.DUMMYFUNCTION("""COMPUTED_VALUE"""),20564521)</f>
        <v>20564521</v>
      </c>
    </row>
    <row r="1768" spans="1:6" x14ac:dyDescent="0.35">
      <c r="A1768" s="2">
        <f ca="1">IFERROR(__xludf.DUMMYFUNCTION("""COMPUTED_VALUE"""),44567.6666666666)</f>
        <v>44567.666666666599</v>
      </c>
      <c r="B1768" s="1">
        <f ca="1">IFERROR(__xludf.DUMMYFUNCTION("""COMPUTED_VALUE"""),322.82)</f>
        <v>322.82</v>
      </c>
      <c r="C1768" s="1">
        <f ca="1">IFERROR(__xludf.DUMMYFUNCTION("""COMPUTED_VALUE"""),339.17)</f>
        <v>339.17</v>
      </c>
      <c r="D1768" s="1">
        <f ca="1">IFERROR(__xludf.DUMMYFUNCTION("""COMPUTED_VALUE"""),322.72)</f>
        <v>322.72000000000003</v>
      </c>
      <c r="E1768" s="1">
        <f ca="1">IFERROR(__xludf.DUMMYFUNCTION("""COMPUTED_VALUE"""),332.46)</f>
        <v>332.46</v>
      </c>
      <c r="F1768" s="1">
        <f ca="1">IFERROR(__xludf.DUMMYFUNCTION("""COMPUTED_VALUE"""),27962809)</f>
        <v>27962809</v>
      </c>
    </row>
    <row r="1769" spans="1:6" x14ac:dyDescent="0.35">
      <c r="A1769" s="2">
        <f ca="1">IFERROR(__xludf.DUMMYFUNCTION("""COMPUTED_VALUE"""),44568.6666666666)</f>
        <v>44568.666666666599</v>
      </c>
      <c r="B1769" s="1">
        <f ca="1">IFERROR(__xludf.DUMMYFUNCTION("""COMPUTED_VALUE"""),332.74)</f>
        <v>332.74</v>
      </c>
      <c r="C1769" s="1">
        <f ca="1">IFERROR(__xludf.DUMMYFUNCTION("""COMPUTED_VALUE"""),337)</f>
        <v>337</v>
      </c>
      <c r="D1769" s="1">
        <f ca="1">IFERROR(__xludf.DUMMYFUNCTION("""COMPUTED_VALUE"""),328.88)</f>
        <v>328.88</v>
      </c>
      <c r="E1769" s="1">
        <f ca="1">IFERROR(__xludf.DUMMYFUNCTION("""COMPUTED_VALUE"""),331.79)</f>
        <v>331.79</v>
      </c>
      <c r="F1769" s="1">
        <f ca="1">IFERROR(__xludf.DUMMYFUNCTION("""COMPUTED_VALUE"""),14722020)</f>
        <v>14722020</v>
      </c>
    </row>
    <row r="1770" spans="1:6" x14ac:dyDescent="0.35">
      <c r="A1770" s="2">
        <f ca="1">IFERROR(__xludf.DUMMYFUNCTION("""COMPUTED_VALUE"""),44571.6666666666)</f>
        <v>44571.666666666599</v>
      </c>
      <c r="B1770" s="1">
        <f ca="1">IFERROR(__xludf.DUMMYFUNCTION("""COMPUTED_VALUE"""),325.31)</f>
        <v>325.31</v>
      </c>
      <c r="C1770" s="1">
        <f ca="1">IFERROR(__xludf.DUMMYFUNCTION("""COMPUTED_VALUE"""),328.34)</f>
        <v>328.34</v>
      </c>
      <c r="D1770" s="1">
        <f ca="1">IFERROR(__xludf.DUMMYFUNCTION("""COMPUTED_VALUE"""),315.43)</f>
        <v>315.43</v>
      </c>
      <c r="E1770" s="1">
        <f ca="1">IFERROR(__xludf.DUMMYFUNCTION("""COMPUTED_VALUE"""),328.07)</f>
        <v>328.07</v>
      </c>
      <c r="F1770" s="1">
        <f ca="1">IFERROR(__xludf.DUMMYFUNCTION("""COMPUTED_VALUE"""),24942383)</f>
        <v>24942383</v>
      </c>
    </row>
    <row r="1771" spans="1:6" x14ac:dyDescent="0.35">
      <c r="A1771" s="2">
        <f ca="1">IFERROR(__xludf.DUMMYFUNCTION("""COMPUTED_VALUE"""),44572.6666666666)</f>
        <v>44572.666666666599</v>
      </c>
      <c r="B1771" s="1">
        <f ca="1">IFERROR(__xludf.DUMMYFUNCTION("""COMPUTED_VALUE"""),326.78)</f>
        <v>326.77999999999997</v>
      </c>
      <c r="C1771" s="1">
        <f ca="1">IFERROR(__xludf.DUMMYFUNCTION("""COMPUTED_VALUE"""),334.63)</f>
        <v>334.63</v>
      </c>
      <c r="D1771" s="1">
        <f ca="1">IFERROR(__xludf.DUMMYFUNCTION("""COMPUTED_VALUE"""),325.28)</f>
        <v>325.27999999999997</v>
      </c>
      <c r="E1771" s="1">
        <f ca="1">IFERROR(__xludf.DUMMYFUNCTION("""COMPUTED_VALUE"""),334.37)</f>
        <v>334.37</v>
      </c>
      <c r="F1771" s="1">
        <f ca="1">IFERROR(__xludf.DUMMYFUNCTION("""COMPUTED_VALUE"""),16226847)</f>
        <v>16226847</v>
      </c>
    </row>
    <row r="1772" spans="1:6" x14ac:dyDescent="0.35">
      <c r="A1772" s="2">
        <f ca="1">IFERROR(__xludf.DUMMYFUNCTION("""COMPUTED_VALUE"""),44573.6666666666)</f>
        <v>44573.666666666599</v>
      </c>
      <c r="B1772" s="1">
        <f ca="1">IFERROR(__xludf.DUMMYFUNCTION("""COMPUTED_VALUE"""),335.18)</f>
        <v>335.18</v>
      </c>
      <c r="C1772" s="1">
        <f ca="1">IFERROR(__xludf.DUMMYFUNCTION("""COMPUTED_VALUE"""),336.37)</f>
        <v>336.37</v>
      </c>
      <c r="D1772" s="1">
        <f ca="1">IFERROR(__xludf.DUMMYFUNCTION("""COMPUTED_VALUE"""),330.03)</f>
        <v>330.03</v>
      </c>
      <c r="E1772" s="1">
        <f ca="1">IFERROR(__xludf.DUMMYFUNCTION("""COMPUTED_VALUE"""),333.26)</f>
        <v>333.26</v>
      </c>
      <c r="F1772" s="1">
        <f ca="1">IFERROR(__xludf.DUMMYFUNCTION("""COMPUTED_VALUE"""),14104858)</f>
        <v>14104858</v>
      </c>
    </row>
    <row r="1773" spans="1:6" x14ac:dyDescent="0.35">
      <c r="A1773" s="2">
        <f ca="1">IFERROR(__xludf.DUMMYFUNCTION("""COMPUTED_VALUE"""),44574.6666666666)</f>
        <v>44574.666666666599</v>
      </c>
      <c r="B1773" s="1">
        <f ca="1">IFERROR(__xludf.DUMMYFUNCTION("""COMPUTED_VALUE"""),334.98)</f>
        <v>334.98</v>
      </c>
      <c r="C1773" s="1">
        <f ca="1">IFERROR(__xludf.DUMMYFUNCTION("""COMPUTED_VALUE"""),335.63)</f>
        <v>335.63</v>
      </c>
      <c r="D1773" s="1">
        <f ca="1">IFERROR(__xludf.DUMMYFUNCTION("""COMPUTED_VALUE"""),325.76)</f>
        <v>325.76</v>
      </c>
      <c r="E1773" s="1">
        <f ca="1">IFERROR(__xludf.DUMMYFUNCTION("""COMPUTED_VALUE"""),326.48)</f>
        <v>326.48</v>
      </c>
      <c r="F1773" s="1">
        <f ca="1">IFERROR(__xludf.DUMMYFUNCTION("""COMPUTED_VALUE"""),14797109)</f>
        <v>14797109</v>
      </c>
    </row>
    <row r="1774" spans="1:6" x14ac:dyDescent="0.35">
      <c r="A1774" s="2">
        <f ca="1">IFERROR(__xludf.DUMMYFUNCTION("""COMPUTED_VALUE"""),44575.6666666666)</f>
        <v>44575.666666666599</v>
      </c>
      <c r="B1774" s="1">
        <f ca="1">IFERROR(__xludf.DUMMYFUNCTION("""COMPUTED_VALUE"""),321.79)</f>
        <v>321.79000000000002</v>
      </c>
      <c r="C1774" s="1">
        <f ca="1">IFERROR(__xludf.DUMMYFUNCTION("""COMPUTED_VALUE"""),332.73)</f>
        <v>332.73</v>
      </c>
      <c r="D1774" s="1">
        <f ca="1">IFERROR(__xludf.DUMMYFUNCTION("""COMPUTED_VALUE"""),321.21)</f>
        <v>321.20999999999998</v>
      </c>
      <c r="E1774" s="1">
        <f ca="1">IFERROR(__xludf.DUMMYFUNCTION("""COMPUTED_VALUE"""),331.9)</f>
        <v>331.9</v>
      </c>
      <c r="F1774" s="1">
        <f ca="1">IFERROR(__xludf.DUMMYFUNCTION("""COMPUTED_VALUE"""),16868497)</f>
        <v>16868497</v>
      </c>
    </row>
    <row r="1775" spans="1:6" x14ac:dyDescent="0.35">
      <c r="A1775" s="2">
        <f ca="1">IFERROR(__xludf.DUMMYFUNCTION("""COMPUTED_VALUE"""),44579.6666666666)</f>
        <v>44579.666666666599</v>
      </c>
      <c r="B1775" s="1">
        <f ca="1">IFERROR(__xludf.DUMMYFUNCTION("""COMPUTED_VALUE"""),323.29)</f>
        <v>323.29000000000002</v>
      </c>
      <c r="C1775" s="1">
        <f ca="1">IFERROR(__xludf.DUMMYFUNCTION("""COMPUTED_VALUE"""),324.21)</f>
        <v>324.20999999999998</v>
      </c>
      <c r="D1775" s="1">
        <f ca="1">IFERROR(__xludf.DUMMYFUNCTION("""COMPUTED_VALUE"""),317.64)</f>
        <v>317.64</v>
      </c>
      <c r="E1775" s="1">
        <f ca="1">IFERROR(__xludf.DUMMYFUNCTION("""COMPUTED_VALUE"""),318.15)</f>
        <v>318.14999999999998</v>
      </c>
      <c r="F1775" s="1">
        <f ca="1">IFERROR(__xludf.DUMMYFUNCTION("""COMPUTED_VALUE"""),22677332)</f>
        <v>22677332</v>
      </c>
    </row>
    <row r="1776" spans="1:6" x14ac:dyDescent="0.35">
      <c r="A1776" s="2">
        <f ca="1">IFERROR(__xludf.DUMMYFUNCTION("""COMPUTED_VALUE"""),44580.6666666666)</f>
        <v>44580.666666666599</v>
      </c>
      <c r="B1776" s="1">
        <f ca="1">IFERROR(__xludf.DUMMYFUNCTION("""COMPUTED_VALUE"""),319.58)</f>
        <v>319.58</v>
      </c>
      <c r="C1776" s="1">
        <f ca="1">IFERROR(__xludf.DUMMYFUNCTION("""COMPUTED_VALUE"""),327.1)</f>
        <v>327.10000000000002</v>
      </c>
      <c r="D1776" s="1">
        <f ca="1">IFERROR(__xludf.DUMMYFUNCTION("""COMPUTED_VALUE"""),319.33)</f>
        <v>319.33</v>
      </c>
      <c r="E1776" s="1">
        <f ca="1">IFERROR(__xludf.DUMMYFUNCTION("""COMPUTED_VALUE"""),319.59)</f>
        <v>319.58999999999997</v>
      </c>
      <c r="F1776" s="1">
        <f ca="1">IFERROR(__xludf.DUMMYFUNCTION("""COMPUTED_VALUE"""),20814740)</f>
        <v>20814740</v>
      </c>
    </row>
    <row r="1777" spans="1:6" x14ac:dyDescent="0.35">
      <c r="A1777" s="2">
        <f ca="1">IFERROR(__xludf.DUMMYFUNCTION("""COMPUTED_VALUE"""),44581.6666666666)</f>
        <v>44581.666666666599</v>
      </c>
      <c r="B1777" s="1">
        <f ca="1">IFERROR(__xludf.DUMMYFUNCTION("""COMPUTED_VALUE"""),323.9)</f>
        <v>323.89999999999998</v>
      </c>
      <c r="C1777" s="1">
        <f ca="1">IFERROR(__xludf.DUMMYFUNCTION("""COMPUTED_VALUE"""),327.82)</f>
        <v>327.82</v>
      </c>
      <c r="D1777" s="1">
        <f ca="1">IFERROR(__xludf.DUMMYFUNCTION("""COMPUTED_VALUE"""),315.98)</f>
        <v>315.98</v>
      </c>
      <c r="E1777" s="1">
        <f ca="1">IFERROR(__xludf.DUMMYFUNCTION("""COMPUTED_VALUE"""),316.56)</f>
        <v>316.56</v>
      </c>
      <c r="F1777" s="1">
        <f ca="1">IFERROR(__xludf.DUMMYFUNCTION("""COMPUTED_VALUE"""),16925030)</f>
        <v>16925030</v>
      </c>
    </row>
    <row r="1778" spans="1:6" x14ac:dyDescent="0.35">
      <c r="A1778" s="2">
        <f ca="1">IFERROR(__xludf.DUMMYFUNCTION("""COMPUTED_VALUE"""),44582.6666666666)</f>
        <v>44582.666666666599</v>
      </c>
      <c r="B1778" s="1">
        <f ca="1">IFERROR(__xludf.DUMMYFUNCTION("""COMPUTED_VALUE"""),314.81)</f>
        <v>314.81</v>
      </c>
      <c r="C1778" s="1">
        <f ca="1">IFERROR(__xludf.DUMMYFUNCTION("""COMPUTED_VALUE"""),318.31)</f>
        <v>318.31</v>
      </c>
      <c r="D1778" s="1">
        <f ca="1">IFERROR(__xludf.DUMMYFUNCTION("""COMPUTED_VALUE"""),303.04)</f>
        <v>303.04000000000002</v>
      </c>
      <c r="E1778" s="1">
        <f ca="1">IFERROR(__xludf.DUMMYFUNCTION("""COMPUTED_VALUE"""),303.17)</f>
        <v>303.17</v>
      </c>
      <c r="F1778" s="1">
        <f ca="1">IFERROR(__xludf.DUMMYFUNCTION("""COMPUTED_VALUE"""),28710717)</f>
        <v>28710717</v>
      </c>
    </row>
    <row r="1779" spans="1:6" x14ac:dyDescent="0.35">
      <c r="A1779" s="2">
        <f ca="1">IFERROR(__xludf.DUMMYFUNCTION("""COMPUTED_VALUE"""),44585.6666666666)</f>
        <v>44585.666666666599</v>
      </c>
      <c r="B1779" s="1">
        <f ca="1">IFERROR(__xludf.DUMMYFUNCTION("""COMPUTED_VALUE"""),297.84)</f>
        <v>297.83999999999997</v>
      </c>
      <c r="C1779" s="1">
        <f ca="1">IFERROR(__xludf.DUMMYFUNCTION("""COMPUTED_VALUE"""),309.53)</f>
        <v>309.52999999999997</v>
      </c>
      <c r="D1779" s="1">
        <f ca="1">IFERROR(__xludf.DUMMYFUNCTION("""COMPUTED_VALUE"""),289.01)</f>
        <v>289.01</v>
      </c>
      <c r="E1779" s="1">
        <f ca="1">IFERROR(__xludf.DUMMYFUNCTION("""COMPUTED_VALUE"""),308.71)</f>
        <v>308.70999999999998</v>
      </c>
      <c r="F1779" s="1">
        <f ca="1">IFERROR(__xludf.DUMMYFUNCTION("""COMPUTED_VALUE"""),38936901)</f>
        <v>38936901</v>
      </c>
    </row>
    <row r="1780" spans="1:6" x14ac:dyDescent="0.35">
      <c r="A1780" s="2">
        <f ca="1">IFERROR(__xludf.DUMMYFUNCTION("""COMPUTED_VALUE"""),44586.6666666666)</f>
        <v>44586.666666666599</v>
      </c>
      <c r="B1780" s="1">
        <f ca="1">IFERROR(__xludf.DUMMYFUNCTION("""COMPUTED_VALUE"""),299.95)</f>
        <v>299.95</v>
      </c>
      <c r="C1780" s="1">
        <f ca="1">IFERROR(__xludf.DUMMYFUNCTION("""COMPUTED_VALUE"""),306.23)</f>
        <v>306.23</v>
      </c>
      <c r="D1780" s="1">
        <f ca="1">IFERROR(__xludf.DUMMYFUNCTION("""COMPUTED_VALUE"""),297.58)</f>
        <v>297.58</v>
      </c>
      <c r="E1780" s="1">
        <f ca="1">IFERROR(__xludf.DUMMYFUNCTION("""COMPUTED_VALUE"""),300.15)</f>
        <v>300.14999999999998</v>
      </c>
      <c r="F1780" s="1">
        <f ca="1">IFERROR(__xludf.DUMMYFUNCTION("""COMPUTED_VALUE"""),25108454)</f>
        <v>25108454</v>
      </c>
    </row>
    <row r="1781" spans="1:6" x14ac:dyDescent="0.35">
      <c r="A1781" s="2">
        <f ca="1">IFERROR(__xludf.DUMMYFUNCTION("""COMPUTED_VALUE"""),44587.6666666666)</f>
        <v>44587.666666666599</v>
      </c>
      <c r="B1781" s="1">
        <f ca="1">IFERROR(__xludf.DUMMYFUNCTION("""COMPUTED_VALUE"""),307.01)</f>
        <v>307.01</v>
      </c>
      <c r="C1781" s="1">
        <f ca="1">IFERROR(__xludf.DUMMYFUNCTION("""COMPUTED_VALUE"""),307.51)</f>
        <v>307.51</v>
      </c>
      <c r="D1781" s="1">
        <f ca="1">IFERROR(__xludf.DUMMYFUNCTION("""COMPUTED_VALUE"""),290.85)</f>
        <v>290.85000000000002</v>
      </c>
      <c r="E1781" s="1">
        <f ca="1">IFERROR(__xludf.DUMMYFUNCTION("""COMPUTED_VALUE"""),294.63)</f>
        <v>294.63</v>
      </c>
      <c r="F1781" s="1">
        <f ca="1">IFERROR(__xludf.DUMMYFUNCTION("""COMPUTED_VALUE"""),28348801)</f>
        <v>28348801</v>
      </c>
    </row>
    <row r="1782" spans="1:6" x14ac:dyDescent="0.35">
      <c r="A1782" s="2">
        <f ca="1">IFERROR(__xludf.DUMMYFUNCTION("""COMPUTED_VALUE"""),44588.6666666666)</f>
        <v>44588.666666666599</v>
      </c>
      <c r="B1782" s="1">
        <f ca="1">IFERROR(__xludf.DUMMYFUNCTION("""COMPUTED_VALUE"""),297.75)</f>
        <v>297.75</v>
      </c>
      <c r="C1782" s="1">
        <f ca="1">IFERROR(__xludf.DUMMYFUNCTION("""COMPUTED_VALUE"""),301.71)</f>
        <v>301.70999999999998</v>
      </c>
      <c r="D1782" s="1">
        <f ca="1">IFERROR(__xludf.DUMMYFUNCTION("""COMPUTED_VALUE"""),294.26)</f>
        <v>294.26</v>
      </c>
      <c r="E1782" s="1">
        <f ca="1">IFERROR(__xludf.DUMMYFUNCTION("""COMPUTED_VALUE"""),294.64)</f>
        <v>294.64</v>
      </c>
      <c r="F1782" s="1">
        <f ca="1">IFERROR(__xludf.DUMMYFUNCTION("""COMPUTED_VALUE"""),21629922)</f>
        <v>21629922</v>
      </c>
    </row>
    <row r="1783" spans="1:6" x14ac:dyDescent="0.35">
      <c r="A1783" s="2">
        <f ca="1">IFERROR(__xludf.DUMMYFUNCTION("""COMPUTED_VALUE"""),44589.6666666666)</f>
        <v>44589.666666666599</v>
      </c>
      <c r="B1783" s="1">
        <f ca="1">IFERROR(__xludf.DUMMYFUNCTION("""COMPUTED_VALUE"""),295.62)</f>
        <v>295.62</v>
      </c>
      <c r="C1783" s="1">
        <f ca="1">IFERROR(__xludf.DUMMYFUNCTION("""COMPUTED_VALUE"""),301.9)</f>
        <v>301.89999999999998</v>
      </c>
      <c r="D1783" s="1">
        <f ca="1">IFERROR(__xludf.DUMMYFUNCTION("""COMPUTED_VALUE"""),293.03)</f>
        <v>293.02999999999997</v>
      </c>
      <c r="E1783" s="1">
        <f ca="1">IFERROR(__xludf.DUMMYFUNCTION("""COMPUTED_VALUE"""),301.71)</f>
        <v>301.70999999999998</v>
      </c>
      <c r="F1783" s="1">
        <f ca="1">IFERROR(__xludf.DUMMYFUNCTION("""COMPUTED_VALUE"""),21871620)</f>
        <v>21871620</v>
      </c>
    </row>
    <row r="1784" spans="1:6" x14ac:dyDescent="0.35">
      <c r="A1784" s="2">
        <f ca="1">IFERROR(__xludf.DUMMYFUNCTION("""COMPUTED_VALUE"""),44592.6666666666)</f>
        <v>44592.666666666599</v>
      </c>
      <c r="B1784" s="1">
        <f ca="1">IFERROR(__xludf.DUMMYFUNCTION("""COMPUTED_VALUE"""),300.68)</f>
        <v>300.68</v>
      </c>
      <c r="C1784" s="1">
        <f ca="1">IFERROR(__xludf.DUMMYFUNCTION("""COMPUTED_VALUE"""),313.79)</f>
        <v>313.79000000000002</v>
      </c>
      <c r="D1784" s="1">
        <f ca="1">IFERROR(__xludf.DUMMYFUNCTION("""COMPUTED_VALUE"""),299.32)</f>
        <v>299.32</v>
      </c>
      <c r="E1784" s="1">
        <f ca="1">IFERROR(__xludf.DUMMYFUNCTION("""COMPUTED_VALUE"""),313.26)</f>
        <v>313.26</v>
      </c>
      <c r="F1784" s="1">
        <f ca="1">IFERROR(__xludf.DUMMYFUNCTION("""COMPUTED_VALUE"""),21579474)</f>
        <v>21579474</v>
      </c>
    </row>
    <row r="1785" spans="1:6" x14ac:dyDescent="0.35">
      <c r="A1785" s="2">
        <f ca="1">IFERROR(__xludf.DUMMYFUNCTION("""COMPUTED_VALUE"""),44593.6666666666)</f>
        <v>44593.666666666599</v>
      </c>
      <c r="B1785" s="1">
        <f ca="1">IFERROR(__xludf.DUMMYFUNCTION("""COMPUTED_VALUE"""),314.56)</f>
        <v>314.56</v>
      </c>
      <c r="C1785" s="1">
        <f ca="1">IFERROR(__xludf.DUMMYFUNCTION("""COMPUTED_VALUE"""),319.66)</f>
        <v>319.66000000000003</v>
      </c>
      <c r="D1785" s="1">
        <f ca="1">IFERROR(__xludf.DUMMYFUNCTION("""COMPUTED_VALUE"""),312.12)</f>
        <v>312.12</v>
      </c>
      <c r="E1785" s="1">
        <f ca="1">IFERROR(__xludf.DUMMYFUNCTION("""COMPUTED_VALUE"""),319)</f>
        <v>319</v>
      </c>
      <c r="F1785" s="1">
        <f ca="1">IFERROR(__xludf.DUMMYFUNCTION("""COMPUTED_VALUE"""),18023796)</f>
        <v>18023796</v>
      </c>
    </row>
    <row r="1786" spans="1:6" x14ac:dyDescent="0.35">
      <c r="A1786" s="2">
        <f ca="1">IFERROR(__xludf.DUMMYFUNCTION("""COMPUTED_VALUE"""),44594.6666666666)</f>
        <v>44594.666666666599</v>
      </c>
      <c r="B1786" s="1">
        <f ca="1">IFERROR(__xludf.DUMMYFUNCTION("""COMPUTED_VALUE"""),327.82)</f>
        <v>327.82</v>
      </c>
      <c r="C1786" s="1">
        <f ca="1">IFERROR(__xludf.DUMMYFUNCTION("""COMPUTED_VALUE"""),328)</f>
        <v>328</v>
      </c>
      <c r="D1786" s="1">
        <f ca="1">IFERROR(__xludf.DUMMYFUNCTION("""COMPUTED_VALUE"""),316.87)</f>
        <v>316.87</v>
      </c>
      <c r="E1786" s="1">
        <f ca="1">IFERROR(__xludf.DUMMYFUNCTION("""COMPUTED_VALUE"""),323)</f>
        <v>323</v>
      </c>
      <c r="F1786" s="1">
        <f ca="1">IFERROR(__xludf.DUMMYFUNCTION("""COMPUTED_VALUE"""),58458280)</f>
        <v>58458280</v>
      </c>
    </row>
    <row r="1787" spans="1:6" x14ac:dyDescent="0.35">
      <c r="A1787" s="2">
        <f ca="1">IFERROR(__xludf.DUMMYFUNCTION("""COMPUTED_VALUE"""),44595.6666666666)</f>
        <v>44595.666666666599</v>
      </c>
      <c r="B1787" s="1">
        <f ca="1">IFERROR(__xludf.DUMMYFUNCTION("""COMPUTED_VALUE"""),244.65)</f>
        <v>244.65</v>
      </c>
      <c r="C1787" s="1">
        <f ca="1">IFERROR(__xludf.DUMMYFUNCTION("""COMPUTED_VALUE"""),248)</f>
        <v>248</v>
      </c>
      <c r="D1787" s="1">
        <f ca="1">IFERROR(__xludf.DUMMYFUNCTION("""COMPUTED_VALUE"""),235.75)</f>
        <v>235.75</v>
      </c>
      <c r="E1787" s="1">
        <f ca="1">IFERROR(__xludf.DUMMYFUNCTION("""COMPUTED_VALUE"""),237.76)</f>
        <v>237.76</v>
      </c>
      <c r="F1787" s="1">
        <f ca="1">IFERROR(__xludf.DUMMYFUNCTION("""COMPUTED_VALUE"""),188119925)</f>
        <v>188119925</v>
      </c>
    </row>
    <row r="1788" spans="1:6" x14ac:dyDescent="0.35">
      <c r="A1788" s="2">
        <f ca="1">IFERROR(__xludf.DUMMYFUNCTION("""COMPUTED_VALUE"""),44596.6666666666)</f>
        <v>44596.666666666599</v>
      </c>
      <c r="B1788" s="1">
        <f ca="1">IFERROR(__xludf.DUMMYFUNCTION("""COMPUTED_VALUE"""),234.97)</f>
        <v>234.97</v>
      </c>
      <c r="C1788" s="1">
        <f ca="1">IFERROR(__xludf.DUMMYFUNCTION("""COMPUTED_VALUE"""),242.61)</f>
        <v>242.61</v>
      </c>
      <c r="D1788" s="1">
        <f ca="1">IFERROR(__xludf.DUMMYFUNCTION("""COMPUTED_VALUE"""),230.11)</f>
        <v>230.11</v>
      </c>
      <c r="E1788" s="1">
        <f ca="1">IFERROR(__xludf.DUMMYFUNCTION("""COMPUTED_VALUE"""),237.09)</f>
        <v>237.09</v>
      </c>
      <c r="F1788" s="1">
        <f ca="1">IFERROR(__xludf.DUMMYFUNCTION("""COMPUTED_VALUE"""),89342247)</f>
        <v>89342247</v>
      </c>
    </row>
    <row r="1789" spans="1:6" x14ac:dyDescent="0.35">
      <c r="A1789" s="2">
        <f ca="1">IFERROR(__xludf.DUMMYFUNCTION("""COMPUTED_VALUE"""),44599.6666666666)</f>
        <v>44599.666666666599</v>
      </c>
      <c r="B1789" s="1">
        <f ca="1">IFERROR(__xludf.DUMMYFUNCTION("""COMPUTED_VALUE"""),237.7)</f>
        <v>237.7</v>
      </c>
      <c r="C1789" s="1">
        <f ca="1">IFERROR(__xludf.DUMMYFUNCTION("""COMPUTED_VALUE"""),238.3)</f>
        <v>238.3</v>
      </c>
      <c r="D1789" s="1">
        <f ca="1">IFERROR(__xludf.DUMMYFUNCTION("""COMPUTED_VALUE"""),224.01)</f>
        <v>224.01</v>
      </c>
      <c r="E1789" s="1">
        <f ca="1">IFERROR(__xludf.DUMMYFUNCTION("""COMPUTED_VALUE"""),224.91)</f>
        <v>224.91</v>
      </c>
      <c r="F1789" s="1">
        <f ca="1">IFERROR(__xludf.DUMMYFUNCTION("""COMPUTED_VALUE"""),88613826)</f>
        <v>88613826</v>
      </c>
    </row>
    <row r="1790" spans="1:6" x14ac:dyDescent="0.35">
      <c r="A1790" s="2">
        <f ca="1">IFERROR(__xludf.DUMMYFUNCTION("""COMPUTED_VALUE"""),44600.6666666666)</f>
        <v>44600.666666666599</v>
      </c>
      <c r="B1790" s="1">
        <f ca="1">IFERROR(__xludf.DUMMYFUNCTION("""COMPUTED_VALUE"""),220.85)</f>
        <v>220.85</v>
      </c>
      <c r="C1790" s="1">
        <f ca="1">IFERROR(__xludf.DUMMYFUNCTION("""COMPUTED_VALUE"""),225.77)</f>
        <v>225.77</v>
      </c>
      <c r="D1790" s="1">
        <f ca="1">IFERROR(__xludf.DUMMYFUNCTION("""COMPUTED_VALUE"""),216.15)</f>
        <v>216.15</v>
      </c>
      <c r="E1790" s="1">
        <f ca="1">IFERROR(__xludf.DUMMYFUNCTION("""COMPUTED_VALUE"""),220.18)</f>
        <v>220.18</v>
      </c>
      <c r="F1790" s="1">
        <f ca="1">IFERROR(__xludf.DUMMYFUNCTION("""COMPUTED_VALUE"""),94729672)</f>
        <v>94729672</v>
      </c>
    </row>
    <row r="1791" spans="1:6" x14ac:dyDescent="0.35">
      <c r="A1791" s="2">
        <f ca="1">IFERROR(__xludf.DUMMYFUNCTION("""COMPUTED_VALUE"""),44601.6666666666)</f>
        <v>44601.666666666599</v>
      </c>
      <c r="B1791" s="1">
        <f ca="1">IFERROR(__xludf.DUMMYFUNCTION("""COMPUTED_VALUE"""),224.2)</f>
        <v>224.2</v>
      </c>
      <c r="C1791" s="1">
        <f ca="1">IFERROR(__xludf.DUMMYFUNCTION("""COMPUTED_VALUE"""),233.37)</f>
        <v>233.37</v>
      </c>
      <c r="D1791" s="1">
        <f ca="1">IFERROR(__xludf.DUMMYFUNCTION("""COMPUTED_VALUE"""),222.21)</f>
        <v>222.21</v>
      </c>
      <c r="E1791" s="1">
        <f ca="1">IFERROR(__xludf.DUMMYFUNCTION("""COMPUTED_VALUE"""),232)</f>
        <v>232</v>
      </c>
      <c r="F1791" s="1">
        <f ca="1">IFERROR(__xludf.DUMMYFUNCTION("""COMPUTED_VALUE"""),86563275)</f>
        <v>86563275</v>
      </c>
    </row>
    <row r="1792" spans="1:6" x14ac:dyDescent="0.35">
      <c r="A1792" s="2">
        <f ca="1">IFERROR(__xludf.DUMMYFUNCTION("""COMPUTED_VALUE"""),44602.6666666666)</f>
        <v>44602.666666666599</v>
      </c>
      <c r="B1792" s="1">
        <f ca="1">IFERROR(__xludf.DUMMYFUNCTION("""COMPUTED_VALUE"""),228.27)</f>
        <v>228.27</v>
      </c>
      <c r="C1792" s="1">
        <f ca="1">IFERROR(__xludf.DUMMYFUNCTION("""COMPUTED_VALUE"""),235)</f>
        <v>235</v>
      </c>
      <c r="D1792" s="1">
        <f ca="1">IFERROR(__xludf.DUMMYFUNCTION("""COMPUTED_VALUE"""),226.7)</f>
        <v>226.7</v>
      </c>
      <c r="E1792" s="1">
        <f ca="1">IFERROR(__xludf.DUMMYFUNCTION("""COMPUTED_VALUE"""),228.07)</f>
        <v>228.07</v>
      </c>
      <c r="F1792" s="1">
        <f ca="1">IFERROR(__xludf.DUMMYFUNCTION("""COMPUTED_VALUE"""),49310356)</f>
        <v>49310356</v>
      </c>
    </row>
    <row r="1793" spans="1:6" x14ac:dyDescent="0.35">
      <c r="A1793" s="2">
        <f ca="1">IFERROR(__xludf.DUMMYFUNCTION("""COMPUTED_VALUE"""),44603.6666666666)</f>
        <v>44603.666666666599</v>
      </c>
      <c r="B1793" s="1">
        <f ca="1">IFERROR(__xludf.DUMMYFUNCTION("""COMPUTED_VALUE"""),228.46)</f>
        <v>228.46</v>
      </c>
      <c r="C1793" s="1">
        <f ca="1">IFERROR(__xludf.DUMMYFUNCTION("""COMPUTED_VALUE"""),230.42)</f>
        <v>230.42</v>
      </c>
      <c r="D1793" s="1">
        <f ca="1">IFERROR(__xludf.DUMMYFUNCTION("""COMPUTED_VALUE"""),218.77)</f>
        <v>218.77</v>
      </c>
      <c r="E1793" s="1">
        <f ca="1">IFERROR(__xludf.DUMMYFUNCTION("""COMPUTED_VALUE"""),219.55)</f>
        <v>219.55</v>
      </c>
      <c r="F1793" s="1">
        <f ca="1">IFERROR(__xludf.DUMMYFUNCTION("""COMPUTED_VALUE"""),46156943)</f>
        <v>46156943</v>
      </c>
    </row>
    <row r="1794" spans="1:6" x14ac:dyDescent="0.35">
      <c r="A1794" s="2">
        <f ca="1">IFERROR(__xludf.DUMMYFUNCTION("""COMPUTED_VALUE"""),44606.6666666666)</f>
        <v>44606.666666666599</v>
      </c>
      <c r="B1794" s="1">
        <f ca="1">IFERROR(__xludf.DUMMYFUNCTION("""COMPUTED_VALUE"""),219.31)</f>
        <v>219.31</v>
      </c>
      <c r="C1794" s="1">
        <f ca="1">IFERROR(__xludf.DUMMYFUNCTION("""COMPUTED_VALUE"""),221)</f>
        <v>221</v>
      </c>
      <c r="D1794" s="1">
        <f ca="1">IFERROR(__xludf.DUMMYFUNCTION("""COMPUTED_VALUE"""),214.78)</f>
        <v>214.78</v>
      </c>
      <c r="E1794" s="1">
        <f ca="1">IFERROR(__xludf.DUMMYFUNCTION("""COMPUTED_VALUE"""),217.7)</f>
        <v>217.7</v>
      </c>
      <c r="F1794" s="1">
        <f ca="1">IFERROR(__xludf.DUMMYFUNCTION("""COMPUTED_VALUE"""),38184035)</f>
        <v>38184035</v>
      </c>
    </row>
    <row r="1795" spans="1:6" x14ac:dyDescent="0.35">
      <c r="A1795" s="2">
        <f ca="1">IFERROR(__xludf.DUMMYFUNCTION("""COMPUTED_VALUE"""),44607.6666666666)</f>
        <v>44607.666666666599</v>
      </c>
      <c r="B1795" s="1">
        <f ca="1">IFERROR(__xludf.DUMMYFUNCTION("""COMPUTED_VALUE"""),220.47)</f>
        <v>220.47</v>
      </c>
      <c r="C1795" s="1">
        <f ca="1">IFERROR(__xludf.DUMMYFUNCTION("""COMPUTED_VALUE"""),221.15)</f>
        <v>221.15</v>
      </c>
      <c r="D1795" s="1">
        <f ca="1">IFERROR(__xludf.DUMMYFUNCTION("""COMPUTED_VALUE"""),215.06)</f>
        <v>215.06</v>
      </c>
      <c r="E1795" s="1">
        <f ca="1">IFERROR(__xludf.DUMMYFUNCTION("""COMPUTED_VALUE"""),221)</f>
        <v>221</v>
      </c>
      <c r="F1795" s="1">
        <f ca="1">IFERROR(__xludf.DUMMYFUNCTION("""COMPUTED_VALUE"""),42685473)</f>
        <v>42685473</v>
      </c>
    </row>
    <row r="1796" spans="1:6" x14ac:dyDescent="0.35">
      <c r="A1796" s="2">
        <f ca="1">IFERROR(__xludf.DUMMYFUNCTION("""COMPUTED_VALUE"""),44608.6666666666)</f>
        <v>44608.666666666599</v>
      </c>
      <c r="B1796" s="1">
        <f ca="1">IFERROR(__xludf.DUMMYFUNCTION("""COMPUTED_VALUE"""),212.41)</f>
        <v>212.41</v>
      </c>
      <c r="C1796" s="1">
        <f ca="1">IFERROR(__xludf.DUMMYFUNCTION("""COMPUTED_VALUE"""),217.46)</f>
        <v>217.46</v>
      </c>
      <c r="D1796" s="1">
        <f ca="1">IFERROR(__xludf.DUMMYFUNCTION("""COMPUTED_VALUE"""),212.36)</f>
        <v>212.36</v>
      </c>
      <c r="E1796" s="1">
        <f ca="1">IFERROR(__xludf.DUMMYFUNCTION("""COMPUTED_VALUE"""),216.54)</f>
        <v>216.54</v>
      </c>
      <c r="F1796" s="1">
        <f ca="1">IFERROR(__xludf.DUMMYFUNCTION("""COMPUTED_VALUE"""),45817457)</f>
        <v>45817457</v>
      </c>
    </row>
    <row r="1797" spans="1:6" x14ac:dyDescent="0.35">
      <c r="A1797" s="2">
        <f ca="1">IFERROR(__xludf.DUMMYFUNCTION("""COMPUTED_VALUE"""),44609.6666666666)</f>
        <v>44609.666666666599</v>
      </c>
      <c r="B1797" s="1">
        <f ca="1">IFERROR(__xludf.DUMMYFUNCTION("""COMPUTED_VALUE"""),214.02)</f>
        <v>214.02</v>
      </c>
      <c r="C1797" s="1">
        <f ca="1">IFERROR(__xludf.DUMMYFUNCTION("""COMPUTED_VALUE"""),217.5)</f>
        <v>217.5</v>
      </c>
      <c r="D1797" s="1">
        <f ca="1">IFERROR(__xludf.DUMMYFUNCTION("""COMPUTED_VALUE"""),207.16)</f>
        <v>207.16</v>
      </c>
      <c r="E1797" s="1">
        <f ca="1">IFERROR(__xludf.DUMMYFUNCTION("""COMPUTED_VALUE"""),207.71)</f>
        <v>207.71</v>
      </c>
      <c r="F1797" s="1">
        <f ca="1">IFERROR(__xludf.DUMMYFUNCTION("""COMPUTED_VALUE"""),38747533)</f>
        <v>38747533</v>
      </c>
    </row>
    <row r="1798" spans="1:6" x14ac:dyDescent="0.35">
      <c r="A1798" s="2">
        <f ca="1">IFERROR(__xludf.DUMMYFUNCTION("""COMPUTED_VALUE"""),44610.6666666666)</f>
        <v>44610.666666666599</v>
      </c>
      <c r="B1798" s="1">
        <f ca="1">IFERROR(__xludf.DUMMYFUNCTION("""COMPUTED_VALUE"""),209.39)</f>
        <v>209.39</v>
      </c>
      <c r="C1798" s="1">
        <f ca="1">IFERROR(__xludf.DUMMYFUNCTION("""COMPUTED_VALUE"""),210.75)</f>
        <v>210.75</v>
      </c>
      <c r="D1798" s="1">
        <f ca="1">IFERROR(__xludf.DUMMYFUNCTION("""COMPUTED_VALUE"""),205.18)</f>
        <v>205.18</v>
      </c>
      <c r="E1798" s="1">
        <f ca="1">IFERROR(__xludf.DUMMYFUNCTION("""COMPUTED_VALUE"""),206.16)</f>
        <v>206.16</v>
      </c>
      <c r="F1798" s="1">
        <f ca="1">IFERROR(__xludf.DUMMYFUNCTION("""COMPUTED_VALUE"""),37128438)</f>
        <v>37128438</v>
      </c>
    </row>
    <row r="1799" spans="1:6" x14ac:dyDescent="0.35">
      <c r="A1799" s="2">
        <f ca="1">IFERROR(__xludf.DUMMYFUNCTION("""COMPUTED_VALUE"""),44614.6666666666)</f>
        <v>44614.666666666599</v>
      </c>
      <c r="B1799" s="1">
        <f ca="1">IFERROR(__xludf.DUMMYFUNCTION("""COMPUTED_VALUE"""),202.34)</f>
        <v>202.34</v>
      </c>
      <c r="C1799" s="1">
        <f ca="1">IFERROR(__xludf.DUMMYFUNCTION("""COMPUTED_VALUE"""),207.48)</f>
        <v>207.48</v>
      </c>
      <c r="D1799" s="1">
        <f ca="1">IFERROR(__xludf.DUMMYFUNCTION("""COMPUTED_VALUE"""),200.06)</f>
        <v>200.06</v>
      </c>
      <c r="E1799" s="1">
        <f ca="1">IFERROR(__xludf.DUMMYFUNCTION("""COMPUTED_VALUE"""),202.08)</f>
        <v>202.08</v>
      </c>
      <c r="F1799" s="1">
        <f ca="1">IFERROR(__xludf.DUMMYFUNCTION("""COMPUTED_VALUE"""),39852391)</f>
        <v>39852391</v>
      </c>
    </row>
    <row r="1800" spans="1:6" x14ac:dyDescent="0.35">
      <c r="A1800" s="2">
        <f ca="1">IFERROR(__xludf.DUMMYFUNCTION("""COMPUTED_VALUE"""),44615.6666666666)</f>
        <v>44615.666666666599</v>
      </c>
      <c r="B1800" s="1">
        <f ca="1">IFERROR(__xludf.DUMMYFUNCTION("""COMPUTED_VALUE"""),204.16)</f>
        <v>204.16</v>
      </c>
      <c r="C1800" s="1">
        <f ca="1">IFERROR(__xludf.DUMMYFUNCTION("""COMPUTED_VALUE"""),206.94)</f>
        <v>206.94</v>
      </c>
      <c r="D1800" s="1">
        <f ca="1">IFERROR(__xludf.DUMMYFUNCTION("""COMPUTED_VALUE"""),198.05)</f>
        <v>198.05</v>
      </c>
      <c r="E1800" s="1">
        <f ca="1">IFERROR(__xludf.DUMMYFUNCTION("""COMPUTED_VALUE"""),198.45)</f>
        <v>198.45</v>
      </c>
      <c r="F1800" s="1">
        <f ca="1">IFERROR(__xludf.DUMMYFUNCTION("""COMPUTED_VALUE"""),44481359)</f>
        <v>44481359</v>
      </c>
    </row>
    <row r="1801" spans="1:6" x14ac:dyDescent="0.35">
      <c r="A1801" s="2">
        <f ca="1">IFERROR(__xludf.DUMMYFUNCTION("""COMPUTED_VALUE"""),44616.6666666666)</f>
        <v>44616.666666666599</v>
      </c>
      <c r="B1801" s="1">
        <f ca="1">IFERROR(__xludf.DUMMYFUNCTION("""COMPUTED_VALUE"""),191.06)</f>
        <v>191.06</v>
      </c>
      <c r="C1801" s="1">
        <f ca="1">IFERROR(__xludf.DUMMYFUNCTION("""COMPUTED_VALUE"""),208.35)</f>
        <v>208.35</v>
      </c>
      <c r="D1801" s="1">
        <f ca="1">IFERROR(__xludf.DUMMYFUNCTION("""COMPUTED_VALUE"""),190.22)</f>
        <v>190.22</v>
      </c>
      <c r="E1801" s="1">
        <f ca="1">IFERROR(__xludf.DUMMYFUNCTION("""COMPUTED_VALUE"""),207.6)</f>
        <v>207.6</v>
      </c>
      <c r="F1801" s="1">
        <f ca="1">IFERROR(__xludf.DUMMYFUNCTION("""COMPUTED_VALUE"""),49957167)</f>
        <v>49957167</v>
      </c>
    </row>
    <row r="1802" spans="1:6" x14ac:dyDescent="0.35">
      <c r="A1802" s="2">
        <f ca="1">IFERROR(__xludf.DUMMYFUNCTION("""COMPUTED_VALUE"""),44617.6666666666)</f>
        <v>44617.666666666599</v>
      </c>
      <c r="B1802" s="1">
        <f ca="1">IFERROR(__xludf.DUMMYFUNCTION("""COMPUTED_VALUE"""),204.94)</f>
        <v>204.94</v>
      </c>
      <c r="C1802" s="1">
        <f ca="1">IFERROR(__xludf.DUMMYFUNCTION("""COMPUTED_VALUE"""),211.32)</f>
        <v>211.32</v>
      </c>
      <c r="D1802" s="1">
        <f ca="1">IFERROR(__xludf.DUMMYFUNCTION("""COMPUTED_VALUE"""),203.18)</f>
        <v>203.18</v>
      </c>
      <c r="E1802" s="1">
        <f ca="1">IFERROR(__xludf.DUMMYFUNCTION("""COMPUTED_VALUE"""),210.48)</f>
        <v>210.48</v>
      </c>
      <c r="F1802" s="1">
        <f ca="1">IFERROR(__xludf.DUMMYFUNCTION("""COMPUTED_VALUE"""),37627551)</f>
        <v>37627551</v>
      </c>
    </row>
    <row r="1803" spans="1:6" x14ac:dyDescent="0.35">
      <c r="A1803" s="2">
        <f ca="1">IFERROR(__xludf.DUMMYFUNCTION("""COMPUTED_VALUE"""),44620.6666666666)</f>
        <v>44620.666666666599</v>
      </c>
      <c r="B1803" s="1">
        <f ca="1">IFERROR(__xludf.DUMMYFUNCTION("""COMPUTED_VALUE"""),207.68)</f>
        <v>207.68</v>
      </c>
      <c r="C1803" s="1">
        <f ca="1">IFERROR(__xludf.DUMMYFUNCTION("""COMPUTED_VALUE"""),213.15)</f>
        <v>213.15</v>
      </c>
      <c r="D1803" s="1">
        <f ca="1">IFERROR(__xludf.DUMMYFUNCTION("""COMPUTED_VALUE"""),206.83)</f>
        <v>206.83</v>
      </c>
      <c r="E1803" s="1">
        <f ca="1">IFERROR(__xludf.DUMMYFUNCTION("""COMPUTED_VALUE"""),211.03)</f>
        <v>211.03</v>
      </c>
      <c r="F1803" s="1">
        <f ca="1">IFERROR(__xludf.DUMMYFUNCTION("""COMPUTED_VALUE"""),34239803)</f>
        <v>34239803</v>
      </c>
    </row>
    <row r="1804" spans="1:6" x14ac:dyDescent="0.35">
      <c r="A1804" s="2">
        <f ca="1">IFERROR(__xludf.DUMMYFUNCTION("""COMPUTED_VALUE"""),44621.6666666666)</f>
        <v>44621.666666666599</v>
      </c>
      <c r="B1804" s="1">
        <f ca="1">IFERROR(__xludf.DUMMYFUNCTION("""COMPUTED_VALUE"""),209.87)</f>
        <v>209.87</v>
      </c>
      <c r="C1804" s="1">
        <f ca="1">IFERROR(__xludf.DUMMYFUNCTION("""COMPUTED_VALUE"""),211.75)</f>
        <v>211.75</v>
      </c>
      <c r="D1804" s="1">
        <f ca="1">IFERROR(__xludf.DUMMYFUNCTION("""COMPUTED_VALUE"""),202.22)</f>
        <v>202.22</v>
      </c>
      <c r="E1804" s="1">
        <f ca="1">IFERROR(__xludf.DUMMYFUNCTION("""COMPUTED_VALUE"""),203.49)</f>
        <v>203.49</v>
      </c>
      <c r="F1804" s="1">
        <f ca="1">IFERROR(__xludf.DUMMYFUNCTION("""COMPUTED_VALUE"""),27094902)</f>
        <v>27094902</v>
      </c>
    </row>
    <row r="1805" spans="1:6" x14ac:dyDescent="0.35">
      <c r="A1805" s="2">
        <f ca="1">IFERROR(__xludf.DUMMYFUNCTION("""COMPUTED_VALUE"""),44622.6666666666)</f>
        <v>44622.666666666599</v>
      </c>
      <c r="B1805" s="1">
        <f ca="1">IFERROR(__xludf.DUMMYFUNCTION("""COMPUTED_VALUE"""),204.78)</f>
        <v>204.78</v>
      </c>
      <c r="C1805" s="1">
        <f ca="1">IFERROR(__xludf.DUMMYFUNCTION("""COMPUTED_VALUE"""),209.15)</f>
        <v>209.15</v>
      </c>
      <c r="D1805" s="1">
        <f ca="1">IFERROR(__xludf.DUMMYFUNCTION("""COMPUTED_VALUE"""),202.02)</f>
        <v>202.02</v>
      </c>
      <c r="E1805" s="1">
        <f ca="1">IFERROR(__xludf.DUMMYFUNCTION("""COMPUTED_VALUE"""),208.11)</f>
        <v>208.11</v>
      </c>
      <c r="F1805" s="1">
        <f ca="1">IFERROR(__xludf.DUMMYFUNCTION("""COMPUTED_VALUE"""),29452147)</f>
        <v>29452147</v>
      </c>
    </row>
    <row r="1806" spans="1:6" x14ac:dyDescent="0.35">
      <c r="A1806" s="2">
        <f ca="1">IFERROR(__xludf.DUMMYFUNCTION("""COMPUTED_VALUE"""),44623.6666666666)</f>
        <v>44623.666666666599</v>
      </c>
      <c r="B1806" s="1">
        <f ca="1">IFERROR(__xludf.DUMMYFUNCTION("""COMPUTED_VALUE"""),209.02)</f>
        <v>209.02</v>
      </c>
      <c r="C1806" s="1">
        <f ca="1">IFERROR(__xludf.DUMMYFUNCTION("""COMPUTED_VALUE"""),209.08)</f>
        <v>209.08</v>
      </c>
      <c r="D1806" s="1">
        <f ca="1">IFERROR(__xludf.DUMMYFUNCTION("""COMPUTED_VALUE"""),201.42)</f>
        <v>201.42</v>
      </c>
      <c r="E1806" s="1">
        <f ca="1">IFERROR(__xludf.DUMMYFUNCTION("""COMPUTED_VALUE"""),202.97)</f>
        <v>202.97</v>
      </c>
      <c r="F1806" s="1">
        <f ca="1">IFERROR(__xludf.DUMMYFUNCTION("""COMPUTED_VALUE"""),27263524)</f>
        <v>27263524</v>
      </c>
    </row>
    <row r="1807" spans="1:6" x14ac:dyDescent="0.35">
      <c r="A1807" s="2">
        <f ca="1">IFERROR(__xludf.DUMMYFUNCTION("""COMPUTED_VALUE"""),44624.6666666666)</f>
        <v>44624.666666666599</v>
      </c>
      <c r="B1807" s="1">
        <f ca="1">IFERROR(__xludf.DUMMYFUNCTION("""COMPUTED_VALUE"""),202.37)</f>
        <v>202.37</v>
      </c>
      <c r="C1807" s="1">
        <f ca="1">IFERROR(__xludf.DUMMYFUNCTION("""COMPUTED_VALUE"""),205.89)</f>
        <v>205.89</v>
      </c>
      <c r="D1807" s="1">
        <f ca="1">IFERROR(__xludf.DUMMYFUNCTION("""COMPUTED_VALUE"""),198.79)</f>
        <v>198.79</v>
      </c>
      <c r="E1807" s="1">
        <f ca="1">IFERROR(__xludf.DUMMYFUNCTION("""COMPUTED_VALUE"""),200.06)</f>
        <v>200.06</v>
      </c>
      <c r="F1807" s="1">
        <f ca="1">IFERROR(__xludf.DUMMYFUNCTION("""COMPUTED_VALUE"""),32146264)</f>
        <v>32146264</v>
      </c>
    </row>
    <row r="1808" spans="1:6" x14ac:dyDescent="0.35">
      <c r="A1808" s="2">
        <f ca="1">IFERROR(__xludf.DUMMYFUNCTION("""COMPUTED_VALUE"""),44627.6666666666)</f>
        <v>44627.666666666599</v>
      </c>
      <c r="B1808" s="1">
        <f ca="1">IFERROR(__xludf.DUMMYFUNCTION("""COMPUTED_VALUE"""),200.79)</f>
        <v>200.79</v>
      </c>
      <c r="C1808" s="1">
        <f ca="1">IFERROR(__xludf.DUMMYFUNCTION("""COMPUTED_VALUE"""),200.89)</f>
        <v>200.89</v>
      </c>
      <c r="D1808" s="1">
        <f ca="1">IFERROR(__xludf.DUMMYFUNCTION("""COMPUTED_VALUE"""),187.28)</f>
        <v>187.28</v>
      </c>
      <c r="E1808" s="1">
        <f ca="1">IFERROR(__xludf.DUMMYFUNCTION("""COMPUTED_VALUE"""),187.47)</f>
        <v>187.47</v>
      </c>
      <c r="F1808" s="1">
        <f ca="1">IFERROR(__xludf.DUMMYFUNCTION("""COMPUTED_VALUE"""),38560609)</f>
        <v>38560609</v>
      </c>
    </row>
    <row r="1809" spans="1:6" x14ac:dyDescent="0.35">
      <c r="A1809" s="2">
        <f ca="1">IFERROR(__xludf.DUMMYFUNCTION("""COMPUTED_VALUE"""),44628.6666666666)</f>
        <v>44628.666666666599</v>
      </c>
      <c r="B1809" s="1">
        <f ca="1">IFERROR(__xludf.DUMMYFUNCTION("""COMPUTED_VALUE"""),187.85)</f>
        <v>187.85</v>
      </c>
      <c r="C1809" s="1">
        <f ca="1">IFERROR(__xludf.DUMMYFUNCTION("""COMPUTED_VALUE"""),196.7)</f>
        <v>196.7</v>
      </c>
      <c r="D1809" s="1">
        <f ca="1">IFERROR(__xludf.DUMMYFUNCTION("""COMPUTED_VALUE"""),186.11)</f>
        <v>186.11</v>
      </c>
      <c r="E1809" s="1">
        <f ca="1">IFERROR(__xludf.DUMMYFUNCTION("""COMPUTED_VALUE"""),190.29)</f>
        <v>190.29</v>
      </c>
      <c r="F1809" s="1">
        <f ca="1">IFERROR(__xludf.DUMMYFUNCTION("""COMPUTED_VALUE"""),37508149)</f>
        <v>37508149</v>
      </c>
    </row>
    <row r="1810" spans="1:6" x14ac:dyDescent="0.35">
      <c r="A1810" s="2">
        <f ca="1">IFERROR(__xludf.DUMMYFUNCTION("""COMPUTED_VALUE"""),44629.6666666666)</f>
        <v>44629.666666666599</v>
      </c>
      <c r="B1810" s="1">
        <f ca="1">IFERROR(__xludf.DUMMYFUNCTION("""COMPUTED_VALUE"""),195.74)</f>
        <v>195.74</v>
      </c>
      <c r="C1810" s="1">
        <f ca="1">IFERROR(__xludf.DUMMYFUNCTION("""COMPUTED_VALUE"""),199.1)</f>
        <v>199.1</v>
      </c>
      <c r="D1810" s="1">
        <f ca="1">IFERROR(__xludf.DUMMYFUNCTION("""COMPUTED_VALUE"""),193.92)</f>
        <v>193.92</v>
      </c>
      <c r="E1810" s="1">
        <f ca="1">IFERROR(__xludf.DUMMYFUNCTION("""COMPUTED_VALUE"""),198.5)</f>
        <v>198.5</v>
      </c>
      <c r="F1810" s="1">
        <f ca="1">IFERROR(__xludf.DUMMYFUNCTION("""COMPUTED_VALUE"""),31894695)</f>
        <v>31894695</v>
      </c>
    </row>
    <row r="1811" spans="1:6" x14ac:dyDescent="0.35">
      <c r="A1811" s="2">
        <f ca="1">IFERROR(__xludf.DUMMYFUNCTION("""COMPUTED_VALUE"""),44630.6666666666)</f>
        <v>44630.666666666599</v>
      </c>
      <c r="B1811" s="1">
        <f ca="1">IFERROR(__xludf.DUMMYFUNCTION("""COMPUTED_VALUE"""),194.84)</f>
        <v>194.84</v>
      </c>
      <c r="C1811" s="1">
        <f ca="1">IFERROR(__xludf.DUMMYFUNCTION("""COMPUTED_VALUE"""),196.28)</f>
        <v>196.28</v>
      </c>
      <c r="D1811" s="1">
        <f ca="1">IFERROR(__xludf.DUMMYFUNCTION("""COMPUTED_VALUE"""),191.07)</f>
        <v>191.07</v>
      </c>
      <c r="E1811" s="1">
        <f ca="1">IFERROR(__xludf.DUMMYFUNCTION("""COMPUTED_VALUE"""),195.21)</f>
        <v>195.21</v>
      </c>
      <c r="F1811" s="1">
        <f ca="1">IFERROR(__xludf.DUMMYFUNCTION("""COMPUTED_VALUE"""),24852975)</f>
        <v>24852975</v>
      </c>
    </row>
    <row r="1812" spans="1:6" x14ac:dyDescent="0.35">
      <c r="A1812" s="2">
        <f ca="1">IFERROR(__xludf.DUMMYFUNCTION("""COMPUTED_VALUE"""),44631.6666666666)</f>
        <v>44631.666666666599</v>
      </c>
      <c r="B1812" s="1">
        <f ca="1">IFERROR(__xludf.DUMMYFUNCTION("""COMPUTED_VALUE"""),192.64)</f>
        <v>192.64</v>
      </c>
      <c r="C1812" s="1">
        <f ca="1">IFERROR(__xludf.DUMMYFUNCTION("""COMPUTED_VALUE"""),193.56)</f>
        <v>193.56</v>
      </c>
      <c r="D1812" s="1">
        <f ca="1">IFERROR(__xludf.DUMMYFUNCTION("""COMPUTED_VALUE"""),186.67)</f>
        <v>186.67</v>
      </c>
      <c r="E1812" s="1">
        <f ca="1">IFERROR(__xludf.DUMMYFUNCTION("""COMPUTED_VALUE"""),187.61)</f>
        <v>187.61</v>
      </c>
      <c r="F1812" s="1">
        <f ca="1">IFERROR(__xludf.DUMMYFUNCTION("""COMPUTED_VALUE"""),34694534)</f>
        <v>34694534</v>
      </c>
    </row>
    <row r="1813" spans="1:6" x14ac:dyDescent="0.35">
      <c r="A1813" s="2">
        <f ca="1">IFERROR(__xludf.DUMMYFUNCTION("""COMPUTED_VALUE"""),44634.6666666666)</f>
        <v>44634.666666666599</v>
      </c>
      <c r="B1813" s="1">
        <f ca="1">IFERROR(__xludf.DUMMYFUNCTION("""COMPUTED_VALUE"""),187.03)</f>
        <v>187.03</v>
      </c>
      <c r="C1813" s="1">
        <f ca="1">IFERROR(__xludf.DUMMYFUNCTION("""COMPUTED_VALUE"""),192.29)</f>
        <v>192.29</v>
      </c>
      <c r="D1813" s="1">
        <f ca="1">IFERROR(__xludf.DUMMYFUNCTION("""COMPUTED_VALUE"""),185.82)</f>
        <v>185.82</v>
      </c>
      <c r="E1813" s="1">
        <f ca="1">IFERROR(__xludf.DUMMYFUNCTION("""COMPUTED_VALUE"""),186.63)</f>
        <v>186.63</v>
      </c>
      <c r="F1813" s="1">
        <f ca="1">IFERROR(__xludf.DUMMYFUNCTION("""COMPUTED_VALUE"""),31010462)</f>
        <v>31010462</v>
      </c>
    </row>
    <row r="1814" spans="1:6" x14ac:dyDescent="0.35">
      <c r="A1814" s="2">
        <f ca="1">IFERROR(__xludf.DUMMYFUNCTION("""COMPUTED_VALUE"""),44635.6666666666)</f>
        <v>44635.666666666599</v>
      </c>
      <c r="B1814" s="1">
        <f ca="1">IFERROR(__xludf.DUMMYFUNCTION("""COMPUTED_VALUE"""),190.8)</f>
        <v>190.8</v>
      </c>
      <c r="C1814" s="1">
        <f ca="1">IFERROR(__xludf.DUMMYFUNCTION("""COMPUTED_VALUE"""),192.28)</f>
        <v>192.28</v>
      </c>
      <c r="D1814" s="1">
        <f ca="1">IFERROR(__xludf.DUMMYFUNCTION("""COMPUTED_VALUE"""),185.91)</f>
        <v>185.91</v>
      </c>
      <c r="E1814" s="1">
        <f ca="1">IFERROR(__xludf.DUMMYFUNCTION("""COMPUTED_VALUE"""),192.03)</f>
        <v>192.03</v>
      </c>
      <c r="F1814" s="1">
        <f ca="1">IFERROR(__xludf.DUMMYFUNCTION("""COMPUTED_VALUE"""),31721682)</f>
        <v>31721682</v>
      </c>
    </row>
    <row r="1815" spans="1:6" x14ac:dyDescent="0.35">
      <c r="A1815" s="2">
        <f ca="1">IFERROR(__xludf.DUMMYFUNCTION("""COMPUTED_VALUE"""),44636.6666666666)</f>
        <v>44636.666666666599</v>
      </c>
      <c r="B1815" s="1">
        <f ca="1">IFERROR(__xludf.DUMMYFUNCTION("""COMPUTED_VALUE"""),194.7)</f>
        <v>194.7</v>
      </c>
      <c r="C1815" s="1">
        <f ca="1">IFERROR(__xludf.DUMMYFUNCTION("""COMPUTED_VALUE"""),203.73)</f>
        <v>203.73</v>
      </c>
      <c r="D1815" s="1">
        <f ca="1">IFERROR(__xludf.DUMMYFUNCTION("""COMPUTED_VALUE"""),194.52)</f>
        <v>194.52</v>
      </c>
      <c r="E1815" s="1">
        <f ca="1">IFERROR(__xludf.DUMMYFUNCTION("""COMPUTED_VALUE"""),203.63)</f>
        <v>203.63</v>
      </c>
      <c r="F1815" s="1">
        <f ca="1">IFERROR(__xludf.DUMMYFUNCTION("""COMPUTED_VALUE"""),40640264)</f>
        <v>40640264</v>
      </c>
    </row>
    <row r="1816" spans="1:6" x14ac:dyDescent="0.35">
      <c r="A1816" s="2">
        <f ca="1">IFERROR(__xludf.DUMMYFUNCTION("""COMPUTED_VALUE"""),44637.6666666666)</f>
        <v>44637.666666666599</v>
      </c>
      <c r="B1816" s="1">
        <f ca="1">IFERROR(__xludf.DUMMYFUNCTION("""COMPUTED_VALUE"""),201.7)</f>
        <v>201.7</v>
      </c>
      <c r="C1816" s="1">
        <f ca="1">IFERROR(__xludf.DUMMYFUNCTION("""COMPUTED_VALUE"""),208.04)</f>
        <v>208.04</v>
      </c>
      <c r="D1816" s="1">
        <f ca="1">IFERROR(__xludf.DUMMYFUNCTION("""COMPUTED_VALUE"""),201.11)</f>
        <v>201.11</v>
      </c>
      <c r="E1816" s="1">
        <f ca="1">IFERROR(__xludf.DUMMYFUNCTION("""COMPUTED_VALUE"""),207.84)</f>
        <v>207.84</v>
      </c>
      <c r="F1816" s="1">
        <f ca="1">IFERROR(__xludf.DUMMYFUNCTION("""COMPUTED_VALUE"""),29499681)</f>
        <v>29499681</v>
      </c>
    </row>
    <row r="1817" spans="1:6" x14ac:dyDescent="0.35">
      <c r="A1817" s="2">
        <f ca="1">IFERROR(__xludf.DUMMYFUNCTION("""COMPUTED_VALUE"""),44638.6666666666)</f>
        <v>44638.666666666599</v>
      </c>
      <c r="B1817" s="1">
        <f ca="1">IFERROR(__xludf.DUMMYFUNCTION("""COMPUTED_VALUE"""),206.7)</f>
        <v>206.7</v>
      </c>
      <c r="C1817" s="1">
        <f ca="1">IFERROR(__xludf.DUMMYFUNCTION("""COMPUTED_VALUE"""),216.8)</f>
        <v>216.8</v>
      </c>
      <c r="D1817" s="1">
        <f ca="1">IFERROR(__xludf.DUMMYFUNCTION("""COMPUTED_VALUE"""),206)</f>
        <v>206</v>
      </c>
      <c r="E1817" s="1">
        <f ca="1">IFERROR(__xludf.DUMMYFUNCTION("""COMPUTED_VALUE"""),216.49)</f>
        <v>216.49</v>
      </c>
      <c r="F1817" s="1">
        <f ca="1">IFERROR(__xludf.DUMMYFUNCTION("""COMPUTED_VALUE"""),52127982)</f>
        <v>52127982</v>
      </c>
    </row>
    <row r="1818" spans="1:6" x14ac:dyDescent="0.35">
      <c r="A1818" s="2">
        <f ca="1">IFERROR(__xludf.DUMMYFUNCTION("""COMPUTED_VALUE"""),44641.6666666666)</f>
        <v>44641.666666666599</v>
      </c>
      <c r="B1818" s="1">
        <f ca="1">IFERROR(__xludf.DUMMYFUNCTION("""COMPUTED_VALUE"""),214.5)</f>
        <v>214.5</v>
      </c>
      <c r="C1818" s="1">
        <f ca="1">IFERROR(__xludf.DUMMYFUNCTION("""COMPUTED_VALUE"""),214.71)</f>
        <v>214.71</v>
      </c>
      <c r="D1818" s="1">
        <f ca="1">IFERROR(__xludf.DUMMYFUNCTION("""COMPUTED_VALUE"""),207.63)</f>
        <v>207.63</v>
      </c>
      <c r="E1818" s="1">
        <f ca="1">IFERROR(__xludf.DUMMYFUNCTION("""COMPUTED_VALUE"""),211.49)</f>
        <v>211.49</v>
      </c>
      <c r="F1818" s="1">
        <f ca="1">IFERROR(__xludf.DUMMYFUNCTION("""COMPUTED_VALUE"""),30142338)</f>
        <v>30142338</v>
      </c>
    </row>
    <row r="1819" spans="1:6" x14ac:dyDescent="0.35">
      <c r="A1819" s="2">
        <f ca="1">IFERROR(__xludf.DUMMYFUNCTION("""COMPUTED_VALUE"""),44642.6666666666)</f>
        <v>44642.666666666599</v>
      </c>
      <c r="B1819" s="1">
        <f ca="1">IFERROR(__xludf.DUMMYFUNCTION("""COMPUTED_VALUE"""),211.37)</f>
        <v>211.37</v>
      </c>
      <c r="C1819" s="1">
        <f ca="1">IFERROR(__xludf.DUMMYFUNCTION("""COMPUTED_VALUE"""),219.46)</f>
        <v>219.46</v>
      </c>
      <c r="D1819" s="1">
        <f ca="1">IFERROR(__xludf.DUMMYFUNCTION("""COMPUTED_VALUE"""),210.18)</f>
        <v>210.18</v>
      </c>
      <c r="E1819" s="1">
        <f ca="1">IFERROR(__xludf.DUMMYFUNCTION("""COMPUTED_VALUE"""),216.65)</f>
        <v>216.65</v>
      </c>
      <c r="F1819" s="1">
        <f ca="1">IFERROR(__xludf.DUMMYFUNCTION("""COMPUTED_VALUE"""),31998799)</f>
        <v>31998799</v>
      </c>
    </row>
    <row r="1820" spans="1:6" x14ac:dyDescent="0.35">
      <c r="A1820" s="2">
        <f ca="1">IFERROR(__xludf.DUMMYFUNCTION("""COMPUTED_VALUE"""),44643.6666666666)</f>
        <v>44643.666666666599</v>
      </c>
      <c r="B1820" s="1">
        <f ca="1">IFERROR(__xludf.DUMMYFUNCTION("""COMPUTED_VALUE"""),213.33)</f>
        <v>213.33</v>
      </c>
      <c r="C1820" s="1">
        <f ca="1">IFERROR(__xludf.DUMMYFUNCTION("""COMPUTED_VALUE"""),216.8)</f>
        <v>216.8</v>
      </c>
      <c r="D1820" s="1">
        <f ca="1">IFERROR(__xludf.DUMMYFUNCTION("""COMPUTED_VALUE"""),212.16)</f>
        <v>212.16</v>
      </c>
      <c r="E1820" s="1">
        <f ca="1">IFERROR(__xludf.DUMMYFUNCTION("""COMPUTED_VALUE"""),213.46)</f>
        <v>213.46</v>
      </c>
      <c r="F1820" s="1">
        <f ca="1">IFERROR(__xludf.DUMMYFUNCTION("""COMPUTED_VALUE"""),23717321)</f>
        <v>23717321</v>
      </c>
    </row>
    <row r="1821" spans="1:6" x14ac:dyDescent="0.35">
      <c r="A1821" s="2">
        <f ca="1">IFERROR(__xludf.DUMMYFUNCTION("""COMPUTED_VALUE"""),44644.6666666666)</f>
        <v>44644.666666666599</v>
      </c>
      <c r="B1821" s="1">
        <f ca="1">IFERROR(__xludf.DUMMYFUNCTION("""COMPUTED_VALUE"""),215)</f>
        <v>215</v>
      </c>
      <c r="C1821" s="1">
        <f ca="1">IFERROR(__xludf.DUMMYFUNCTION("""COMPUTED_VALUE"""),220.67)</f>
        <v>220.67</v>
      </c>
      <c r="D1821" s="1">
        <f ca="1">IFERROR(__xludf.DUMMYFUNCTION("""COMPUTED_VALUE"""),214.79)</f>
        <v>214.79</v>
      </c>
      <c r="E1821" s="1">
        <f ca="1">IFERROR(__xludf.DUMMYFUNCTION("""COMPUTED_VALUE"""),219.57)</f>
        <v>219.57</v>
      </c>
      <c r="F1821" s="1">
        <f ca="1">IFERROR(__xludf.DUMMYFUNCTION("""COMPUTED_VALUE"""),31502314)</f>
        <v>31502314</v>
      </c>
    </row>
    <row r="1822" spans="1:6" x14ac:dyDescent="0.35">
      <c r="A1822" s="2">
        <f ca="1">IFERROR(__xludf.DUMMYFUNCTION("""COMPUTED_VALUE"""),44645.6666666666)</f>
        <v>44645.666666666599</v>
      </c>
      <c r="B1822" s="1">
        <f ca="1">IFERROR(__xludf.DUMMYFUNCTION("""COMPUTED_VALUE"""),220.51)</f>
        <v>220.51</v>
      </c>
      <c r="C1822" s="1">
        <f ca="1">IFERROR(__xludf.DUMMYFUNCTION("""COMPUTED_VALUE"""),225.5)</f>
        <v>225.5</v>
      </c>
      <c r="D1822" s="1">
        <f ca="1">IFERROR(__xludf.DUMMYFUNCTION("""COMPUTED_VALUE"""),218.89)</f>
        <v>218.89</v>
      </c>
      <c r="E1822" s="1">
        <f ca="1">IFERROR(__xludf.DUMMYFUNCTION("""COMPUTED_VALUE"""),221.82)</f>
        <v>221.82</v>
      </c>
      <c r="F1822" s="1">
        <f ca="1">IFERROR(__xludf.DUMMYFUNCTION("""COMPUTED_VALUE"""),40039026)</f>
        <v>40039026</v>
      </c>
    </row>
    <row r="1823" spans="1:6" x14ac:dyDescent="0.35">
      <c r="A1823" s="2">
        <f ca="1">IFERROR(__xludf.DUMMYFUNCTION("""COMPUTED_VALUE"""),44648.6666666666)</f>
        <v>44648.666666666599</v>
      </c>
      <c r="B1823" s="1">
        <f ca="1">IFERROR(__xludf.DUMMYFUNCTION("""COMPUTED_VALUE"""),222.13)</f>
        <v>222.13</v>
      </c>
      <c r="C1823" s="1">
        <f ca="1">IFERROR(__xludf.DUMMYFUNCTION("""COMPUTED_VALUE"""),224.04)</f>
        <v>224.04</v>
      </c>
      <c r="D1823" s="1">
        <f ca="1">IFERROR(__xludf.DUMMYFUNCTION("""COMPUTED_VALUE"""),219.54)</f>
        <v>219.54</v>
      </c>
      <c r="E1823" s="1">
        <f ca="1">IFERROR(__xludf.DUMMYFUNCTION("""COMPUTED_VALUE"""),223.59)</f>
        <v>223.59</v>
      </c>
      <c r="F1823" s="1">
        <f ca="1">IFERROR(__xludf.DUMMYFUNCTION("""COMPUTED_VALUE"""),26224141)</f>
        <v>26224141</v>
      </c>
    </row>
    <row r="1824" spans="1:6" x14ac:dyDescent="0.35">
      <c r="A1824" s="2">
        <f ca="1">IFERROR(__xludf.DUMMYFUNCTION("""COMPUTED_VALUE"""),44649.6666666666)</f>
        <v>44649.666666666599</v>
      </c>
      <c r="B1824" s="1">
        <f ca="1">IFERROR(__xludf.DUMMYFUNCTION("""COMPUTED_VALUE"""),226.07)</f>
        <v>226.07</v>
      </c>
      <c r="C1824" s="1">
        <f ca="1">IFERROR(__xludf.DUMMYFUNCTION("""COMPUTED_VALUE"""),230.89)</f>
        <v>230.89</v>
      </c>
      <c r="D1824" s="1">
        <f ca="1">IFERROR(__xludf.DUMMYFUNCTION("""COMPUTED_VALUE"""),225.29)</f>
        <v>225.29</v>
      </c>
      <c r="E1824" s="1">
        <f ca="1">IFERROR(__xludf.DUMMYFUNCTION("""COMPUTED_VALUE"""),229.86)</f>
        <v>229.86</v>
      </c>
      <c r="F1824" s="1">
        <f ca="1">IFERROR(__xludf.DUMMYFUNCTION("""COMPUTED_VALUE"""),31417857)</f>
        <v>31417857</v>
      </c>
    </row>
    <row r="1825" spans="1:6" x14ac:dyDescent="0.35">
      <c r="A1825" s="2">
        <f ca="1">IFERROR(__xludf.DUMMYFUNCTION("""COMPUTED_VALUE"""),44650.6666666666)</f>
        <v>44650.666666666599</v>
      </c>
      <c r="B1825" s="1">
        <f ca="1">IFERROR(__xludf.DUMMYFUNCTION("""COMPUTED_VALUE"""),228.91)</f>
        <v>228.91</v>
      </c>
      <c r="C1825" s="1">
        <f ca="1">IFERROR(__xludf.DUMMYFUNCTION("""COMPUTED_VALUE"""),231.15)</f>
        <v>231.15</v>
      </c>
      <c r="D1825" s="1">
        <f ca="1">IFERROR(__xludf.DUMMYFUNCTION("""COMPUTED_VALUE"""),226.71)</f>
        <v>226.71</v>
      </c>
      <c r="E1825" s="1">
        <f ca="1">IFERROR(__xludf.DUMMYFUNCTION("""COMPUTED_VALUE"""),227.85)</f>
        <v>227.85</v>
      </c>
      <c r="F1825" s="1">
        <f ca="1">IFERROR(__xludf.DUMMYFUNCTION("""COMPUTED_VALUE"""),25588046)</f>
        <v>25588046</v>
      </c>
    </row>
    <row r="1826" spans="1:6" x14ac:dyDescent="0.35">
      <c r="A1826" s="2">
        <f ca="1">IFERROR(__xludf.DUMMYFUNCTION("""COMPUTED_VALUE"""),44651.6666666666)</f>
        <v>44651.666666666599</v>
      </c>
      <c r="B1826" s="1">
        <f ca="1">IFERROR(__xludf.DUMMYFUNCTION("""COMPUTED_VALUE"""),228.45)</f>
        <v>228.45</v>
      </c>
      <c r="C1826" s="1">
        <f ca="1">IFERROR(__xludf.DUMMYFUNCTION("""COMPUTED_VALUE"""),228.49)</f>
        <v>228.49</v>
      </c>
      <c r="D1826" s="1">
        <f ca="1">IFERROR(__xludf.DUMMYFUNCTION("""COMPUTED_VALUE"""),222.26)</f>
        <v>222.26</v>
      </c>
      <c r="E1826" s="1">
        <f ca="1">IFERROR(__xludf.DUMMYFUNCTION("""COMPUTED_VALUE"""),222.36)</f>
        <v>222.36</v>
      </c>
      <c r="F1826" s="1">
        <f ca="1">IFERROR(__xludf.DUMMYFUNCTION("""COMPUTED_VALUE"""),24192266)</f>
        <v>24192266</v>
      </c>
    </row>
    <row r="1827" spans="1:6" x14ac:dyDescent="0.35">
      <c r="A1827" s="2">
        <f ca="1">IFERROR(__xludf.DUMMYFUNCTION("""COMPUTED_VALUE"""),44652.6666666666)</f>
        <v>44652.666666666599</v>
      </c>
      <c r="B1827" s="1">
        <f ca="1">IFERROR(__xludf.DUMMYFUNCTION("""COMPUTED_VALUE"""),224.55)</f>
        <v>224.55</v>
      </c>
      <c r="C1827" s="1">
        <f ca="1">IFERROR(__xludf.DUMMYFUNCTION("""COMPUTED_VALUE"""),227.28)</f>
        <v>227.28</v>
      </c>
      <c r="D1827" s="1">
        <f ca="1">IFERROR(__xludf.DUMMYFUNCTION("""COMPUTED_VALUE"""),222.7)</f>
        <v>222.7</v>
      </c>
      <c r="E1827" s="1">
        <f ca="1">IFERROR(__xludf.DUMMYFUNCTION("""COMPUTED_VALUE"""),224.85)</f>
        <v>224.85</v>
      </c>
      <c r="F1827" s="1">
        <f ca="1">IFERROR(__xludf.DUMMYFUNCTION("""COMPUTED_VALUE"""),19544758)</f>
        <v>19544758</v>
      </c>
    </row>
    <row r="1828" spans="1:6" x14ac:dyDescent="0.35">
      <c r="A1828" s="2">
        <f ca="1">IFERROR(__xludf.DUMMYFUNCTION("""COMPUTED_VALUE"""),44655.6666666666)</f>
        <v>44655.666666666599</v>
      </c>
      <c r="B1828" s="1">
        <f ca="1">IFERROR(__xludf.DUMMYFUNCTION("""COMPUTED_VALUE"""),225.98)</f>
        <v>225.98</v>
      </c>
      <c r="C1828" s="1">
        <f ca="1">IFERROR(__xludf.DUMMYFUNCTION("""COMPUTED_VALUE"""),234.35)</f>
        <v>234.35</v>
      </c>
      <c r="D1828" s="1">
        <f ca="1">IFERROR(__xludf.DUMMYFUNCTION("""COMPUTED_VALUE"""),225.86)</f>
        <v>225.86</v>
      </c>
      <c r="E1828" s="1">
        <f ca="1">IFERROR(__xludf.DUMMYFUNCTION("""COMPUTED_VALUE"""),233.89)</f>
        <v>233.89</v>
      </c>
      <c r="F1828" s="1">
        <f ca="1">IFERROR(__xludf.DUMMYFUNCTION("""COMPUTED_VALUE"""),28100826)</f>
        <v>28100826</v>
      </c>
    </row>
    <row r="1829" spans="1:6" x14ac:dyDescent="0.35">
      <c r="A1829" s="2">
        <f ca="1">IFERROR(__xludf.DUMMYFUNCTION("""COMPUTED_VALUE"""),44656.6666666666)</f>
        <v>44656.666666666599</v>
      </c>
      <c r="B1829" s="1">
        <f ca="1">IFERROR(__xludf.DUMMYFUNCTION("""COMPUTED_VALUE"""),234.08)</f>
        <v>234.08</v>
      </c>
      <c r="C1829" s="1">
        <f ca="1">IFERROR(__xludf.DUMMYFUNCTION("""COMPUTED_VALUE"""),236.86)</f>
        <v>236.86</v>
      </c>
      <c r="D1829" s="1">
        <f ca="1">IFERROR(__xludf.DUMMYFUNCTION("""COMPUTED_VALUE"""),231.02)</f>
        <v>231.02</v>
      </c>
      <c r="E1829" s="1">
        <f ca="1">IFERROR(__xludf.DUMMYFUNCTION("""COMPUTED_VALUE"""),231.84)</f>
        <v>231.84</v>
      </c>
      <c r="F1829" s="1">
        <f ca="1">IFERROR(__xludf.DUMMYFUNCTION("""COMPUTED_VALUE"""),29727181)</f>
        <v>29727181</v>
      </c>
    </row>
    <row r="1830" spans="1:6" x14ac:dyDescent="0.35">
      <c r="A1830" s="2">
        <f ca="1">IFERROR(__xludf.DUMMYFUNCTION("""COMPUTED_VALUE"""),44657.6666666666)</f>
        <v>44657.666666666599</v>
      </c>
      <c r="B1830" s="1">
        <f ca="1">IFERROR(__xludf.DUMMYFUNCTION("""COMPUTED_VALUE"""),226.91)</f>
        <v>226.91</v>
      </c>
      <c r="C1830" s="1">
        <f ca="1">IFERROR(__xludf.DUMMYFUNCTION("""COMPUTED_VALUE"""),228.99)</f>
        <v>228.99</v>
      </c>
      <c r="D1830" s="1">
        <f ca="1">IFERROR(__xludf.DUMMYFUNCTION("""COMPUTED_VALUE"""),221.41)</f>
        <v>221.41</v>
      </c>
      <c r="E1830" s="1">
        <f ca="1">IFERROR(__xludf.DUMMYFUNCTION("""COMPUTED_VALUE"""),223.3)</f>
        <v>223.3</v>
      </c>
      <c r="F1830" s="1">
        <f ca="1">IFERROR(__xludf.DUMMYFUNCTION("""COMPUTED_VALUE"""),28995080)</f>
        <v>28995080</v>
      </c>
    </row>
    <row r="1831" spans="1:6" x14ac:dyDescent="0.35">
      <c r="A1831" s="2">
        <f ca="1">IFERROR(__xludf.DUMMYFUNCTION("""COMPUTED_VALUE"""),44658.6666666666)</f>
        <v>44658.666666666599</v>
      </c>
      <c r="B1831" s="1">
        <f ca="1">IFERROR(__xludf.DUMMYFUNCTION("""COMPUTED_VALUE"""),223.93)</f>
        <v>223.93</v>
      </c>
      <c r="C1831" s="1">
        <f ca="1">IFERROR(__xludf.DUMMYFUNCTION("""COMPUTED_VALUE"""),225.52)</f>
        <v>225.52</v>
      </c>
      <c r="D1831" s="1">
        <f ca="1">IFERROR(__xludf.DUMMYFUNCTION("""COMPUTED_VALUE"""),218.56)</f>
        <v>218.56</v>
      </c>
      <c r="E1831" s="1">
        <f ca="1">IFERROR(__xludf.DUMMYFUNCTION("""COMPUTED_VALUE"""),222.95)</f>
        <v>222.95</v>
      </c>
      <c r="F1831" s="1">
        <f ca="1">IFERROR(__xludf.DUMMYFUNCTION("""COMPUTED_VALUE"""),21037187)</f>
        <v>21037187</v>
      </c>
    </row>
    <row r="1832" spans="1:6" x14ac:dyDescent="0.35">
      <c r="A1832" s="2">
        <f ca="1">IFERROR(__xludf.DUMMYFUNCTION("""COMPUTED_VALUE"""),44659.6666666666)</f>
        <v>44659.666666666599</v>
      </c>
      <c r="B1832" s="1">
        <f ca="1">IFERROR(__xludf.DUMMYFUNCTION("""COMPUTED_VALUE"""),222.38)</f>
        <v>222.38</v>
      </c>
      <c r="C1832" s="1">
        <f ca="1">IFERROR(__xludf.DUMMYFUNCTION("""COMPUTED_VALUE"""),225.13)</f>
        <v>225.13</v>
      </c>
      <c r="D1832" s="1">
        <f ca="1">IFERROR(__xludf.DUMMYFUNCTION("""COMPUTED_VALUE"""),220.03)</f>
        <v>220.03</v>
      </c>
      <c r="E1832" s="1">
        <f ca="1">IFERROR(__xludf.DUMMYFUNCTION("""COMPUTED_VALUE"""),222.33)</f>
        <v>222.33</v>
      </c>
      <c r="F1832" s="1">
        <f ca="1">IFERROR(__xludf.DUMMYFUNCTION("""COMPUTED_VALUE"""),18375711)</f>
        <v>18375711</v>
      </c>
    </row>
    <row r="1833" spans="1:6" x14ac:dyDescent="0.35">
      <c r="A1833" s="2">
        <f ca="1">IFERROR(__xludf.DUMMYFUNCTION("""COMPUTED_VALUE"""),44662.6666666666)</f>
        <v>44662.666666666599</v>
      </c>
      <c r="B1833" s="1">
        <f ca="1">IFERROR(__xludf.DUMMYFUNCTION("""COMPUTED_VALUE"""),218.42)</f>
        <v>218.42</v>
      </c>
      <c r="C1833" s="1">
        <f ca="1">IFERROR(__xludf.DUMMYFUNCTION("""COMPUTED_VALUE"""),220.61)</f>
        <v>220.61</v>
      </c>
      <c r="D1833" s="1">
        <f ca="1">IFERROR(__xludf.DUMMYFUNCTION("""COMPUTED_VALUE"""),215.22)</f>
        <v>215.22</v>
      </c>
      <c r="E1833" s="1">
        <f ca="1">IFERROR(__xludf.DUMMYFUNCTION("""COMPUTED_VALUE"""),216.46)</f>
        <v>216.46</v>
      </c>
      <c r="F1833" s="1">
        <f ca="1">IFERROR(__xludf.DUMMYFUNCTION("""COMPUTED_VALUE"""),20516586)</f>
        <v>20516586</v>
      </c>
    </row>
    <row r="1834" spans="1:6" x14ac:dyDescent="0.35">
      <c r="A1834" s="2">
        <f ca="1">IFERROR(__xludf.DUMMYFUNCTION("""COMPUTED_VALUE"""),44663.6666666666)</f>
        <v>44663.666666666599</v>
      </c>
      <c r="B1834" s="1">
        <f ca="1">IFERROR(__xludf.DUMMYFUNCTION("""COMPUTED_VALUE"""),220.24)</f>
        <v>220.24</v>
      </c>
      <c r="C1834" s="1">
        <f ca="1">IFERROR(__xludf.DUMMYFUNCTION("""COMPUTED_VALUE"""),222.03)</f>
        <v>222.03</v>
      </c>
      <c r="D1834" s="1">
        <f ca="1">IFERROR(__xludf.DUMMYFUNCTION("""COMPUTED_VALUE"""),213.13)</f>
        <v>213.13</v>
      </c>
      <c r="E1834" s="1">
        <f ca="1">IFERROR(__xludf.DUMMYFUNCTION("""COMPUTED_VALUE"""),214.14)</f>
        <v>214.14</v>
      </c>
      <c r="F1834" s="1">
        <f ca="1">IFERROR(__xludf.DUMMYFUNCTION("""COMPUTED_VALUE"""),20128827)</f>
        <v>20128827</v>
      </c>
    </row>
    <row r="1835" spans="1:6" x14ac:dyDescent="0.35">
      <c r="A1835" s="2">
        <f ca="1">IFERROR(__xludf.DUMMYFUNCTION("""COMPUTED_VALUE"""),44664.6666666666)</f>
        <v>44664.666666666599</v>
      </c>
      <c r="B1835" s="1">
        <f ca="1">IFERROR(__xludf.DUMMYFUNCTION("""COMPUTED_VALUE"""),211.82)</f>
        <v>211.82</v>
      </c>
      <c r="C1835" s="1">
        <f ca="1">IFERROR(__xludf.DUMMYFUNCTION("""COMPUTED_VALUE"""),216.61)</f>
        <v>216.61</v>
      </c>
      <c r="D1835" s="1">
        <f ca="1">IFERROR(__xludf.DUMMYFUNCTION("""COMPUTED_VALUE"""),211.33)</f>
        <v>211.33</v>
      </c>
      <c r="E1835" s="1">
        <f ca="1">IFERROR(__xludf.DUMMYFUNCTION("""COMPUTED_VALUE"""),214.99)</f>
        <v>214.99</v>
      </c>
      <c r="F1835" s="1">
        <f ca="1">IFERROR(__xludf.DUMMYFUNCTION("""COMPUTED_VALUE"""),19231816)</f>
        <v>19231816</v>
      </c>
    </row>
    <row r="1836" spans="1:6" x14ac:dyDescent="0.35">
      <c r="A1836" s="2">
        <f ca="1">IFERROR(__xludf.DUMMYFUNCTION("""COMPUTED_VALUE"""),44665.6666666666)</f>
        <v>44665.666666666599</v>
      </c>
      <c r="B1836" s="1">
        <f ca="1">IFERROR(__xludf.DUMMYFUNCTION("""COMPUTED_VALUE"""),214.89)</f>
        <v>214.89</v>
      </c>
      <c r="C1836" s="1">
        <f ca="1">IFERROR(__xludf.DUMMYFUNCTION("""COMPUTED_VALUE"""),214.99)</f>
        <v>214.99</v>
      </c>
      <c r="D1836" s="1">
        <f ca="1">IFERROR(__xludf.DUMMYFUNCTION("""COMPUTED_VALUE"""),210)</f>
        <v>210</v>
      </c>
      <c r="E1836" s="1">
        <f ca="1">IFERROR(__xludf.DUMMYFUNCTION("""COMPUTED_VALUE"""),210.18)</f>
        <v>210.18</v>
      </c>
      <c r="F1836" s="1">
        <f ca="1">IFERROR(__xludf.DUMMYFUNCTION("""COMPUTED_VALUE"""),18379455)</f>
        <v>18379455</v>
      </c>
    </row>
    <row r="1837" spans="1:6" x14ac:dyDescent="0.35">
      <c r="A1837" s="2">
        <f ca="1">IFERROR(__xludf.DUMMYFUNCTION("""COMPUTED_VALUE"""),44669.6666666666)</f>
        <v>44669.666666666599</v>
      </c>
      <c r="B1837" s="1">
        <f ca="1">IFERROR(__xludf.DUMMYFUNCTION("""COMPUTED_VALUE"""),210)</f>
        <v>210</v>
      </c>
      <c r="C1837" s="1">
        <f ca="1">IFERROR(__xludf.DUMMYFUNCTION("""COMPUTED_VALUE"""),213.38)</f>
        <v>213.38</v>
      </c>
      <c r="D1837" s="1">
        <f ca="1">IFERROR(__xludf.DUMMYFUNCTION("""COMPUTED_VALUE"""),208.3)</f>
        <v>208.3</v>
      </c>
      <c r="E1837" s="1">
        <f ca="1">IFERROR(__xludf.DUMMYFUNCTION("""COMPUTED_VALUE"""),210.77)</f>
        <v>210.77</v>
      </c>
      <c r="F1837" s="1">
        <f ca="1">IFERROR(__xludf.DUMMYFUNCTION("""COMPUTED_VALUE"""),16580792)</f>
        <v>16580792</v>
      </c>
    </row>
    <row r="1838" spans="1:6" x14ac:dyDescent="0.35">
      <c r="A1838" s="2">
        <f ca="1">IFERROR(__xludf.DUMMYFUNCTION("""COMPUTED_VALUE"""),44670.6666666666)</f>
        <v>44670.666666666599</v>
      </c>
      <c r="B1838" s="1">
        <f ca="1">IFERROR(__xludf.DUMMYFUNCTION("""COMPUTED_VALUE"""),210.52)</f>
        <v>210.52</v>
      </c>
      <c r="C1838" s="1">
        <f ca="1">IFERROR(__xludf.DUMMYFUNCTION("""COMPUTED_VALUE"""),218.43)</f>
        <v>218.43</v>
      </c>
      <c r="D1838" s="1">
        <f ca="1">IFERROR(__xludf.DUMMYFUNCTION("""COMPUTED_VALUE"""),209)</f>
        <v>209</v>
      </c>
      <c r="E1838" s="1">
        <f ca="1">IFERROR(__xludf.DUMMYFUNCTION("""COMPUTED_VALUE"""),217.31)</f>
        <v>217.31</v>
      </c>
      <c r="F1838" s="1">
        <f ca="1">IFERROR(__xludf.DUMMYFUNCTION("""COMPUTED_VALUE"""),20089871)</f>
        <v>20089871</v>
      </c>
    </row>
    <row r="1839" spans="1:6" x14ac:dyDescent="0.35">
      <c r="A1839" s="2">
        <f ca="1">IFERROR(__xludf.DUMMYFUNCTION("""COMPUTED_VALUE"""),44671.6666666666)</f>
        <v>44671.666666666599</v>
      </c>
      <c r="B1839" s="1">
        <f ca="1">IFERROR(__xludf.DUMMYFUNCTION("""COMPUTED_VALUE"""),213.61)</f>
        <v>213.61</v>
      </c>
      <c r="C1839" s="1">
        <f ca="1">IFERROR(__xludf.DUMMYFUNCTION("""COMPUTED_VALUE"""),214.16)</f>
        <v>214.16</v>
      </c>
      <c r="D1839" s="1">
        <f ca="1">IFERROR(__xludf.DUMMYFUNCTION("""COMPUTED_VALUE"""),198.92)</f>
        <v>198.92</v>
      </c>
      <c r="E1839" s="1">
        <f ca="1">IFERROR(__xludf.DUMMYFUNCTION("""COMPUTED_VALUE"""),200.42)</f>
        <v>200.42</v>
      </c>
      <c r="F1839" s="1">
        <f ca="1">IFERROR(__xludf.DUMMYFUNCTION("""COMPUTED_VALUE"""),43036528)</f>
        <v>43036528</v>
      </c>
    </row>
    <row r="1840" spans="1:6" x14ac:dyDescent="0.35">
      <c r="A1840" s="2">
        <f ca="1">IFERROR(__xludf.DUMMYFUNCTION("""COMPUTED_VALUE"""),44672.6666666666)</f>
        <v>44672.666666666599</v>
      </c>
      <c r="B1840" s="1">
        <f ca="1">IFERROR(__xludf.DUMMYFUNCTION("""COMPUTED_VALUE"""),201.6)</f>
        <v>201.6</v>
      </c>
      <c r="C1840" s="1">
        <f ca="1">IFERROR(__xludf.DUMMYFUNCTION("""COMPUTED_VALUE"""),202.97)</f>
        <v>202.97</v>
      </c>
      <c r="D1840" s="1">
        <f ca="1">IFERROR(__xludf.DUMMYFUNCTION("""COMPUTED_VALUE"""),185.58)</f>
        <v>185.58</v>
      </c>
      <c r="E1840" s="1">
        <f ca="1">IFERROR(__xludf.DUMMYFUNCTION("""COMPUTED_VALUE"""),188.07)</f>
        <v>188.07</v>
      </c>
      <c r="F1840" s="1">
        <f ca="1">IFERROR(__xludf.DUMMYFUNCTION("""COMPUTED_VALUE"""),49954078)</f>
        <v>49954078</v>
      </c>
    </row>
    <row r="1841" spans="1:6" x14ac:dyDescent="0.35">
      <c r="A1841" s="2">
        <f ca="1">IFERROR(__xludf.DUMMYFUNCTION("""COMPUTED_VALUE"""),44673.6666666666)</f>
        <v>44673.666666666599</v>
      </c>
      <c r="B1841" s="1">
        <f ca="1">IFERROR(__xludf.DUMMYFUNCTION("""COMPUTED_VALUE"""),190.37)</f>
        <v>190.37</v>
      </c>
      <c r="C1841" s="1">
        <f ca="1">IFERROR(__xludf.DUMMYFUNCTION("""COMPUTED_VALUE"""),192.72)</f>
        <v>192.72</v>
      </c>
      <c r="D1841" s="1">
        <f ca="1">IFERROR(__xludf.DUMMYFUNCTION("""COMPUTED_VALUE"""),183.27)</f>
        <v>183.27</v>
      </c>
      <c r="E1841" s="1">
        <f ca="1">IFERROR(__xludf.DUMMYFUNCTION("""COMPUTED_VALUE"""),184.11)</f>
        <v>184.11</v>
      </c>
      <c r="F1841" s="1">
        <f ca="1">IFERROR(__xludf.DUMMYFUNCTION("""COMPUTED_VALUE"""),36426769)</f>
        <v>36426769</v>
      </c>
    </row>
    <row r="1842" spans="1:6" x14ac:dyDescent="0.35">
      <c r="A1842" s="2">
        <f ca="1">IFERROR(__xludf.DUMMYFUNCTION("""COMPUTED_VALUE"""),44676.6666666666)</f>
        <v>44676.666666666599</v>
      </c>
      <c r="B1842" s="1">
        <f ca="1">IFERROR(__xludf.DUMMYFUNCTION("""COMPUTED_VALUE"""),182.73)</f>
        <v>182.73</v>
      </c>
      <c r="C1842" s="1">
        <f ca="1">IFERROR(__xludf.DUMMYFUNCTION("""COMPUTED_VALUE"""),187.18)</f>
        <v>187.18</v>
      </c>
      <c r="D1842" s="1">
        <f ca="1">IFERROR(__xludf.DUMMYFUNCTION("""COMPUTED_VALUE"""),181.66)</f>
        <v>181.66</v>
      </c>
      <c r="E1842" s="1">
        <f ca="1">IFERROR(__xludf.DUMMYFUNCTION("""COMPUTED_VALUE"""),186.99)</f>
        <v>186.99</v>
      </c>
      <c r="F1842" s="1">
        <f ca="1">IFERROR(__xludf.DUMMYFUNCTION("""COMPUTED_VALUE"""),29281060)</f>
        <v>29281060</v>
      </c>
    </row>
    <row r="1843" spans="1:6" x14ac:dyDescent="0.35">
      <c r="A1843" s="2">
        <f ca="1">IFERROR(__xludf.DUMMYFUNCTION("""COMPUTED_VALUE"""),44677.6666666666)</f>
        <v>44677.666666666599</v>
      </c>
      <c r="B1843" s="1">
        <f ca="1">IFERROR(__xludf.DUMMYFUNCTION("""COMPUTED_VALUE"""),186.63)</f>
        <v>186.63</v>
      </c>
      <c r="C1843" s="1">
        <f ca="1">IFERROR(__xludf.DUMMYFUNCTION("""COMPUTED_VALUE"""),187.19)</f>
        <v>187.19</v>
      </c>
      <c r="D1843" s="1">
        <f ca="1">IFERROR(__xludf.DUMMYFUNCTION("""COMPUTED_VALUE"""),179.5)</f>
        <v>179.5</v>
      </c>
      <c r="E1843" s="1">
        <f ca="1">IFERROR(__xludf.DUMMYFUNCTION("""COMPUTED_VALUE"""),180.95)</f>
        <v>180.95</v>
      </c>
      <c r="F1843" s="1">
        <f ca="1">IFERROR(__xludf.DUMMYFUNCTION("""COMPUTED_VALUE"""),31747434)</f>
        <v>31747434</v>
      </c>
    </row>
    <row r="1844" spans="1:6" x14ac:dyDescent="0.35">
      <c r="A1844" s="2">
        <f ca="1">IFERROR(__xludf.DUMMYFUNCTION("""COMPUTED_VALUE"""),44678.6666666666)</f>
        <v>44678.666666666599</v>
      </c>
      <c r="B1844" s="1">
        <f ca="1">IFERROR(__xludf.DUMMYFUNCTION("""COMPUTED_VALUE"""),174.43)</f>
        <v>174.43</v>
      </c>
      <c r="C1844" s="1">
        <f ca="1">IFERROR(__xludf.DUMMYFUNCTION("""COMPUTED_VALUE"""),181.21)</f>
        <v>181.21</v>
      </c>
      <c r="D1844" s="1">
        <f ca="1">IFERROR(__xludf.DUMMYFUNCTION("""COMPUTED_VALUE"""),169)</f>
        <v>169</v>
      </c>
      <c r="E1844" s="1">
        <f ca="1">IFERROR(__xludf.DUMMYFUNCTION("""COMPUTED_VALUE"""),174.95)</f>
        <v>174.95</v>
      </c>
      <c r="F1844" s="1">
        <f ca="1">IFERROR(__xludf.DUMMYFUNCTION("""COMPUTED_VALUE"""),71062886)</f>
        <v>71062886</v>
      </c>
    </row>
    <row r="1845" spans="1:6" x14ac:dyDescent="0.35">
      <c r="A1845" s="2">
        <f ca="1">IFERROR(__xludf.DUMMYFUNCTION("""COMPUTED_VALUE"""),44679.6666666666)</f>
        <v>44679.666666666599</v>
      </c>
      <c r="B1845" s="1">
        <f ca="1">IFERROR(__xludf.DUMMYFUNCTION("""COMPUTED_VALUE"""),202.92)</f>
        <v>202.92</v>
      </c>
      <c r="C1845" s="1">
        <f ca="1">IFERROR(__xludf.DUMMYFUNCTION("""COMPUTED_VALUE"""),208.53)</f>
        <v>208.53</v>
      </c>
      <c r="D1845" s="1">
        <f ca="1">IFERROR(__xludf.DUMMYFUNCTION("""COMPUTED_VALUE"""),192.9)</f>
        <v>192.9</v>
      </c>
      <c r="E1845" s="1">
        <f ca="1">IFERROR(__xludf.DUMMYFUNCTION("""COMPUTED_VALUE"""),205.73)</f>
        <v>205.73</v>
      </c>
      <c r="F1845" s="1">
        <f ca="1">IFERROR(__xludf.DUMMYFUNCTION("""COMPUTED_VALUE"""),100890551)</f>
        <v>100890551</v>
      </c>
    </row>
    <row r="1846" spans="1:6" x14ac:dyDescent="0.35">
      <c r="A1846" s="2">
        <f ca="1">IFERROR(__xludf.DUMMYFUNCTION("""COMPUTED_VALUE"""),44680.6666666666)</f>
        <v>44680.666666666599</v>
      </c>
      <c r="B1846" s="1">
        <f ca="1">IFERROR(__xludf.DUMMYFUNCTION("""COMPUTED_VALUE"""),204.46)</f>
        <v>204.46</v>
      </c>
      <c r="C1846" s="1">
        <f ca="1">IFERROR(__xludf.DUMMYFUNCTION("""COMPUTED_VALUE"""),212.48)</f>
        <v>212.48</v>
      </c>
      <c r="D1846" s="1">
        <f ca="1">IFERROR(__xludf.DUMMYFUNCTION("""COMPUTED_VALUE"""),199.9)</f>
        <v>199.9</v>
      </c>
      <c r="E1846" s="1">
        <f ca="1">IFERROR(__xludf.DUMMYFUNCTION("""COMPUTED_VALUE"""),200.47)</f>
        <v>200.47</v>
      </c>
      <c r="F1846" s="1">
        <f ca="1">IFERROR(__xludf.DUMMYFUNCTION("""COMPUTED_VALUE"""),49193434)</f>
        <v>49193434</v>
      </c>
    </row>
    <row r="1847" spans="1:6" x14ac:dyDescent="0.35">
      <c r="A1847" s="2">
        <f ca="1">IFERROR(__xludf.DUMMYFUNCTION("""COMPUTED_VALUE"""),44683.6666666666)</f>
        <v>44683.666666666599</v>
      </c>
      <c r="B1847" s="1">
        <f ca="1">IFERROR(__xludf.DUMMYFUNCTION("""COMPUTED_VALUE"""),201.17)</f>
        <v>201.17</v>
      </c>
      <c r="C1847" s="1">
        <f ca="1">IFERROR(__xludf.DUMMYFUNCTION("""COMPUTED_VALUE"""),211.88)</f>
        <v>211.88</v>
      </c>
      <c r="D1847" s="1">
        <f ca="1">IFERROR(__xludf.DUMMYFUNCTION("""COMPUTED_VALUE"""),200.99)</f>
        <v>200.99</v>
      </c>
      <c r="E1847" s="1">
        <f ca="1">IFERROR(__xludf.DUMMYFUNCTION("""COMPUTED_VALUE"""),211.13)</f>
        <v>211.13</v>
      </c>
      <c r="F1847" s="1">
        <f ca="1">IFERROR(__xludf.DUMMYFUNCTION("""COMPUTED_VALUE"""),49915289)</f>
        <v>49915289</v>
      </c>
    </row>
    <row r="1848" spans="1:6" x14ac:dyDescent="0.35">
      <c r="A1848" s="2">
        <f ca="1">IFERROR(__xludf.DUMMYFUNCTION("""COMPUTED_VALUE"""),44684.6666666666)</f>
        <v>44684.666666666599</v>
      </c>
      <c r="B1848" s="1">
        <f ca="1">IFERROR(__xludf.DUMMYFUNCTION("""COMPUTED_VALUE"""),210.45)</f>
        <v>210.45</v>
      </c>
      <c r="C1848" s="1">
        <f ca="1">IFERROR(__xludf.DUMMYFUNCTION("""COMPUTED_VALUE"""),214.9)</f>
        <v>214.9</v>
      </c>
      <c r="D1848" s="1">
        <f ca="1">IFERROR(__xludf.DUMMYFUNCTION("""COMPUTED_VALUE"""),208.09)</f>
        <v>208.09</v>
      </c>
      <c r="E1848" s="1">
        <f ca="1">IFERROR(__xludf.DUMMYFUNCTION("""COMPUTED_VALUE"""),212.03)</f>
        <v>212.03</v>
      </c>
      <c r="F1848" s="1">
        <f ca="1">IFERROR(__xludf.DUMMYFUNCTION("""COMPUTED_VALUE"""),41556267)</f>
        <v>41556267</v>
      </c>
    </row>
    <row r="1849" spans="1:6" x14ac:dyDescent="0.35">
      <c r="A1849" s="2">
        <f ca="1">IFERROR(__xludf.DUMMYFUNCTION("""COMPUTED_VALUE"""),44685.6666666666)</f>
        <v>44685.666666666599</v>
      </c>
      <c r="B1849" s="1">
        <f ca="1">IFERROR(__xludf.DUMMYFUNCTION("""COMPUTED_VALUE"""),210.65)</f>
        <v>210.65</v>
      </c>
      <c r="C1849" s="1">
        <f ca="1">IFERROR(__xludf.DUMMYFUNCTION("""COMPUTED_VALUE"""),224.3)</f>
        <v>224.3</v>
      </c>
      <c r="D1849" s="1">
        <f ca="1">IFERROR(__xludf.DUMMYFUNCTION("""COMPUTED_VALUE"""),206.96)</f>
        <v>206.96</v>
      </c>
      <c r="E1849" s="1">
        <f ca="1">IFERROR(__xludf.DUMMYFUNCTION("""COMPUTED_VALUE"""),223.41)</f>
        <v>223.41</v>
      </c>
      <c r="F1849" s="1">
        <f ca="1">IFERROR(__xludf.DUMMYFUNCTION("""COMPUTED_VALUE"""),41375881)</f>
        <v>41375881</v>
      </c>
    </row>
    <row r="1850" spans="1:6" x14ac:dyDescent="0.35">
      <c r="A1850" s="2">
        <f ca="1">IFERROR(__xludf.DUMMYFUNCTION("""COMPUTED_VALUE"""),44686.6666666666)</f>
        <v>44686.666666666599</v>
      </c>
      <c r="B1850" s="1">
        <f ca="1">IFERROR(__xludf.DUMMYFUNCTION("""COMPUTED_VALUE"""),218.74)</f>
        <v>218.74</v>
      </c>
      <c r="C1850" s="1">
        <f ca="1">IFERROR(__xludf.DUMMYFUNCTION("""COMPUTED_VALUE"""),220.17)</f>
        <v>220.17</v>
      </c>
      <c r="D1850" s="1">
        <f ca="1">IFERROR(__xludf.DUMMYFUNCTION("""COMPUTED_VALUE"""),206.16)</f>
        <v>206.16</v>
      </c>
      <c r="E1850" s="1">
        <f ca="1">IFERROR(__xludf.DUMMYFUNCTION("""COMPUTED_VALUE"""),208.28)</f>
        <v>208.28</v>
      </c>
      <c r="F1850" s="1">
        <f ca="1">IFERROR(__xludf.DUMMYFUNCTION("""COMPUTED_VALUE"""),41129192)</f>
        <v>41129192</v>
      </c>
    </row>
    <row r="1851" spans="1:6" x14ac:dyDescent="0.35">
      <c r="A1851" s="2">
        <f ca="1">IFERROR(__xludf.DUMMYFUNCTION("""COMPUTED_VALUE"""),44687.6666666666)</f>
        <v>44687.666666666599</v>
      </c>
      <c r="B1851" s="1">
        <f ca="1">IFERROR(__xludf.DUMMYFUNCTION("""COMPUTED_VALUE"""),207.34)</f>
        <v>207.34</v>
      </c>
      <c r="C1851" s="1">
        <f ca="1">IFERROR(__xludf.DUMMYFUNCTION("""COMPUTED_VALUE"""),209.38)</f>
        <v>209.38</v>
      </c>
      <c r="D1851" s="1">
        <f ca="1">IFERROR(__xludf.DUMMYFUNCTION("""COMPUTED_VALUE"""),201.02)</f>
        <v>201.02</v>
      </c>
      <c r="E1851" s="1">
        <f ca="1">IFERROR(__xludf.DUMMYFUNCTION("""COMPUTED_VALUE"""),203.77)</f>
        <v>203.77</v>
      </c>
      <c r="F1851" s="1">
        <f ca="1">IFERROR(__xludf.DUMMYFUNCTION("""COMPUTED_VALUE"""),34747158)</f>
        <v>34747158</v>
      </c>
    </row>
    <row r="1852" spans="1:6" x14ac:dyDescent="0.35">
      <c r="A1852" s="2">
        <f ca="1">IFERROR(__xludf.DUMMYFUNCTION("""COMPUTED_VALUE"""),44690.6666666666)</f>
        <v>44690.666666666599</v>
      </c>
      <c r="B1852" s="1">
        <f ca="1">IFERROR(__xludf.DUMMYFUNCTION("""COMPUTED_VALUE"""),199.84)</f>
        <v>199.84</v>
      </c>
      <c r="C1852" s="1">
        <f ca="1">IFERROR(__xludf.DUMMYFUNCTION("""COMPUTED_VALUE"""),202.57)</f>
        <v>202.57</v>
      </c>
      <c r="D1852" s="1">
        <f ca="1">IFERROR(__xludf.DUMMYFUNCTION("""COMPUTED_VALUE"""),195.58)</f>
        <v>195.58</v>
      </c>
      <c r="E1852" s="1">
        <f ca="1">IFERROR(__xludf.DUMMYFUNCTION("""COMPUTED_VALUE"""),196.21)</f>
        <v>196.21</v>
      </c>
      <c r="F1852" s="1">
        <f ca="1">IFERROR(__xludf.DUMMYFUNCTION("""COMPUTED_VALUE"""),36303200)</f>
        <v>36303200</v>
      </c>
    </row>
    <row r="1853" spans="1:6" x14ac:dyDescent="0.35">
      <c r="A1853" s="2">
        <f ca="1">IFERROR(__xludf.DUMMYFUNCTION("""COMPUTED_VALUE"""),44691.6666666666)</f>
        <v>44691.666666666599</v>
      </c>
      <c r="B1853" s="1">
        <f ca="1">IFERROR(__xludf.DUMMYFUNCTION("""COMPUTED_VALUE"""),199.51)</f>
        <v>199.51</v>
      </c>
      <c r="C1853" s="1">
        <f ca="1">IFERROR(__xludf.DUMMYFUNCTION("""COMPUTED_VALUE"""),202.96)</f>
        <v>202.96</v>
      </c>
      <c r="D1853" s="1">
        <f ca="1">IFERROR(__xludf.DUMMYFUNCTION("""COMPUTED_VALUE"""),194.19)</f>
        <v>194.19</v>
      </c>
      <c r="E1853" s="1">
        <f ca="1">IFERROR(__xludf.DUMMYFUNCTION("""COMPUTED_VALUE"""),197.65)</f>
        <v>197.65</v>
      </c>
      <c r="F1853" s="1">
        <f ca="1">IFERROR(__xludf.DUMMYFUNCTION("""COMPUTED_VALUE"""),34452491)</f>
        <v>34452491</v>
      </c>
    </row>
    <row r="1854" spans="1:6" x14ac:dyDescent="0.35">
      <c r="A1854" s="2">
        <f ca="1">IFERROR(__xludf.DUMMYFUNCTION("""COMPUTED_VALUE"""),44692.6666666666)</f>
        <v>44692.666666666599</v>
      </c>
      <c r="B1854" s="1">
        <f ca="1">IFERROR(__xludf.DUMMYFUNCTION("""COMPUTED_VALUE"""),196.33)</f>
        <v>196.33</v>
      </c>
      <c r="C1854" s="1">
        <f ca="1">IFERROR(__xludf.DUMMYFUNCTION("""COMPUTED_VALUE"""),200.67)</f>
        <v>200.67</v>
      </c>
      <c r="D1854" s="1">
        <f ca="1">IFERROR(__xludf.DUMMYFUNCTION("""COMPUTED_VALUE"""),188.27)</f>
        <v>188.27</v>
      </c>
      <c r="E1854" s="1">
        <f ca="1">IFERROR(__xludf.DUMMYFUNCTION("""COMPUTED_VALUE"""),188.74)</f>
        <v>188.74</v>
      </c>
      <c r="F1854" s="1">
        <f ca="1">IFERROR(__xludf.DUMMYFUNCTION("""COMPUTED_VALUE"""),31153383)</f>
        <v>31153383</v>
      </c>
    </row>
    <row r="1855" spans="1:6" x14ac:dyDescent="0.35">
      <c r="A1855" s="2">
        <f ca="1">IFERROR(__xludf.DUMMYFUNCTION("""COMPUTED_VALUE"""),44693.6666666666)</f>
        <v>44693.666666666599</v>
      </c>
      <c r="B1855" s="1">
        <f ca="1">IFERROR(__xludf.DUMMYFUNCTION("""COMPUTED_VALUE"""),187.06)</f>
        <v>187.06</v>
      </c>
      <c r="C1855" s="1">
        <f ca="1">IFERROR(__xludf.DUMMYFUNCTION("""COMPUTED_VALUE"""),198.05)</f>
        <v>198.05</v>
      </c>
      <c r="D1855" s="1">
        <f ca="1">IFERROR(__xludf.DUMMYFUNCTION("""COMPUTED_VALUE"""),184.78)</f>
        <v>184.78</v>
      </c>
      <c r="E1855" s="1">
        <f ca="1">IFERROR(__xludf.DUMMYFUNCTION("""COMPUTED_VALUE"""),191.24)</f>
        <v>191.24</v>
      </c>
      <c r="F1855" s="1">
        <f ca="1">IFERROR(__xludf.DUMMYFUNCTION("""COMPUTED_VALUE"""),38262226)</f>
        <v>38262226</v>
      </c>
    </row>
    <row r="1856" spans="1:6" x14ac:dyDescent="0.35">
      <c r="A1856" s="2">
        <f ca="1">IFERROR(__xludf.DUMMYFUNCTION("""COMPUTED_VALUE"""),44694.6666666666)</f>
        <v>44694.666666666599</v>
      </c>
      <c r="B1856" s="1">
        <f ca="1">IFERROR(__xludf.DUMMYFUNCTION("""COMPUTED_VALUE"""),192.58)</f>
        <v>192.58</v>
      </c>
      <c r="C1856" s="1">
        <f ca="1">IFERROR(__xludf.DUMMYFUNCTION("""COMPUTED_VALUE"""),199.89)</f>
        <v>199.89</v>
      </c>
      <c r="D1856" s="1">
        <f ca="1">IFERROR(__xludf.DUMMYFUNCTION("""COMPUTED_VALUE"""),191.28)</f>
        <v>191.28</v>
      </c>
      <c r="E1856" s="1">
        <f ca="1">IFERROR(__xludf.DUMMYFUNCTION("""COMPUTED_VALUE"""),198.62)</f>
        <v>198.62</v>
      </c>
      <c r="F1856" s="1">
        <f ca="1">IFERROR(__xludf.DUMMYFUNCTION("""COMPUTED_VALUE"""),24549844)</f>
        <v>24549844</v>
      </c>
    </row>
    <row r="1857" spans="1:6" x14ac:dyDescent="0.35">
      <c r="A1857" s="2">
        <f ca="1">IFERROR(__xludf.DUMMYFUNCTION("""COMPUTED_VALUE"""),44697.6666666666)</f>
        <v>44697.666666666599</v>
      </c>
      <c r="B1857" s="1">
        <f ca="1">IFERROR(__xludf.DUMMYFUNCTION("""COMPUTED_VALUE"""),197.05)</f>
        <v>197.05</v>
      </c>
      <c r="C1857" s="1">
        <f ca="1">IFERROR(__xludf.DUMMYFUNCTION("""COMPUTED_VALUE"""),205.37)</f>
        <v>205.37</v>
      </c>
      <c r="D1857" s="1">
        <f ca="1">IFERROR(__xludf.DUMMYFUNCTION("""COMPUTED_VALUE"""),195.93)</f>
        <v>195.93</v>
      </c>
      <c r="E1857" s="1">
        <f ca="1">IFERROR(__xludf.DUMMYFUNCTION("""COMPUTED_VALUE"""),200.04)</f>
        <v>200.04</v>
      </c>
      <c r="F1857" s="1">
        <f ca="1">IFERROR(__xludf.DUMMYFUNCTION("""COMPUTED_VALUE"""),27112595)</f>
        <v>27112595</v>
      </c>
    </row>
    <row r="1858" spans="1:6" x14ac:dyDescent="0.35">
      <c r="A1858" s="2">
        <f ca="1">IFERROR(__xludf.DUMMYFUNCTION("""COMPUTED_VALUE"""),44698.6666666666)</f>
        <v>44698.666666666599</v>
      </c>
      <c r="B1858" s="1">
        <f ca="1">IFERROR(__xludf.DUMMYFUNCTION("""COMPUTED_VALUE"""),202.12)</f>
        <v>202.12</v>
      </c>
      <c r="C1858" s="1">
        <f ca="1">IFERROR(__xludf.DUMMYFUNCTION("""COMPUTED_VALUE"""),205.46)</f>
        <v>205.46</v>
      </c>
      <c r="D1858" s="1">
        <f ca="1">IFERROR(__xludf.DUMMYFUNCTION("""COMPUTED_VALUE"""),198.36)</f>
        <v>198.36</v>
      </c>
      <c r="E1858" s="1">
        <f ca="1">IFERROR(__xludf.DUMMYFUNCTION("""COMPUTED_VALUE"""),202.62)</f>
        <v>202.62</v>
      </c>
      <c r="F1858" s="1">
        <f ca="1">IFERROR(__xludf.DUMMYFUNCTION("""COMPUTED_VALUE"""),24872729)</f>
        <v>24872729</v>
      </c>
    </row>
    <row r="1859" spans="1:6" x14ac:dyDescent="0.35">
      <c r="A1859" s="2">
        <f ca="1">IFERROR(__xludf.DUMMYFUNCTION("""COMPUTED_VALUE"""),44699.6666666666)</f>
        <v>44699.666666666599</v>
      </c>
      <c r="B1859" s="1">
        <f ca="1">IFERROR(__xludf.DUMMYFUNCTION("""COMPUTED_VALUE"""),200)</f>
        <v>200</v>
      </c>
      <c r="C1859" s="1">
        <f ca="1">IFERROR(__xludf.DUMMYFUNCTION("""COMPUTED_VALUE"""),201)</f>
        <v>201</v>
      </c>
      <c r="D1859" s="1">
        <f ca="1">IFERROR(__xludf.DUMMYFUNCTION("""COMPUTED_VALUE"""),191.63)</f>
        <v>191.63</v>
      </c>
      <c r="E1859" s="1">
        <f ca="1">IFERROR(__xludf.DUMMYFUNCTION("""COMPUTED_VALUE"""),192.24)</f>
        <v>192.24</v>
      </c>
      <c r="F1859" s="1">
        <f ca="1">IFERROR(__xludf.DUMMYFUNCTION("""COMPUTED_VALUE"""),23959966)</f>
        <v>23959966</v>
      </c>
    </row>
    <row r="1860" spans="1:6" x14ac:dyDescent="0.35">
      <c r="A1860" s="2">
        <f ca="1">IFERROR(__xludf.DUMMYFUNCTION("""COMPUTED_VALUE"""),44700.6666666666)</f>
        <v>44700.666666666599</v>
      </c>
      <c r="B1860" s="1">
        <f ca="1">IFERROR(__xludf.DUMMYFUNCTION("""COMPUTED_VALUE"""),191.2)</f>
        <v>191.2</v>
      </c>
      <c r="C1860" s="1">
        <f ca="1">IFERROR(__xludf.DUMMYFUNCTION("""COMPUTED_VALUE"""),195.29)</f>
        <v>195.29</v>
      </c>
      <c r="D1860" s="1">
        <f ca="1">IFERROR(__xludf.DUMMYFUNCTION("""COMPUTED_VALUE"""),189.6)</f>
        <v>189.6</v>
      </c>
      <c r="E1860" s="1">
        <f ca="1">IFERROR(__xludf.DUMMYFUNCTION("""COMPUTED_VALUE"""),191.29)</f>
        <v>191.29</v>
      </c>
      <c r="F1860" s="1">
        <f ca="1">IFERROR(__xludf.DUMMYFUNCTION("""COMPUTED_VALUE"""),24446938)</f>
        <v>24446938</v>
      </c>
    </row>
    <row r="1861" spans="1:6" x14ac:dyDescent="0.35">
      <c r="A1861" s="2">
        <f ca="1">IFERROR(__xludf.DUMMYFUNCTION("""COMPUTED_VALUE"""),44701.6666666666)</f>
        <v>44701.666666666599</v>
      </c>
      <c r="B1861" s="1">
        <f ca="1">IFERROR(__xludf.DUMMYFUNCTION("""COMPUTED_VALUE"""),194.97)</f>
        <v>194.97</v>
      </c>
      <c r="C1861" s="1">
        <f ca="1">IFERROR(__xludf.DUMMYFUNCTION("""COMPUTED_VALUE"""),197.91)</f>
        <v>197.91</v>
      </c>
      <c r="D1861" s="1">
        <f ca="1">IFERROR(__xludf.DUMMYFUNCTION("""COMPUTED_VALUE"""),187.87)</f>
        <v>187.87</v>
      </c>
      <c r="E1861" s="1">
        <f ca="1">IFERROR(__xludf.DUMMYFUNCTION("""COMPUTED_VALUE"""),193.54)</f>
        <v>193.54</v>
      </c>
      <c r="F1861" s="1">
        <f ca="1">IFERROR(__xludf.DUMMYFUNCTION("""COMPUTED_VALUE"""),31465570)</f>
        <v>31465570</v>
      </c>
    </row>
    <row r="1862" spans="1:6" x14ac:dyDescent="0.35">
      <c r="A1862" s="2">
        <f ca="1">IFERROR(__xludf.DUMMYFUNCTION("""COMPUTED_VALUE"""),44704.6666666666)</f>
        <v>44704.666666666599</v>
      </c>
      <c r="B1862" s="1">
        <f ca="1">IFERROR(__xludf.DUMMYFUNCTION("""COMPUTED_VALUE"""),195.19)</f>
        <v>195.19</v>
      </c>
      <c r="C1862" s="1">
        <f ca="1">IFERROR(__xludf.DUMMYFUNCTION("""COMPUTED_VALUE"""),196.99)</f>
        <v>196.99</v>
      </c>
      <c r="D1862" s="1">
        <f ca="1">IFERROR(__xludf.DUMMYFUNCTION("""COMPUTED_VALUE"""),191.24)</f>
        <v>191.24</v>
      </c>
      <c r="E1862" s="1">
        <f ca="1">IFERROR(__xludf.DUMMYFUNCTION("""COMPUTED_VALUE"""),196.23)</f>
        <v>196.23</v>
      </c>
      <c r="F1862" s="1">
        <f ca="1">IFERROR(__xludf.DUMMYFUNCTION("""COMPUTED_VALUE"""),25059161)</f>
        <v>25059161</v>
      </c>
    </row>
    <row r="1863" spans="1:6" x14ac:dyDescent="0.35">
      <c r="A1863" s="2">
        <f ca="1">IFERROR(__xludf.DUMMYFUNCTION("""COMPUTED_VALUE"""),44705.6666666666)</f>
        <v>44705.666666666599</v>
      </c>
      <c r="B1863" s="1">
        <f ca="1">IFERROR(__xludf.DUMMYFUNCTION("""COMPUTED_VALUE"""),180.55)</f>
        <v>180.55</v>
      </c>
      <c r="C1863" s="1">
        <f ca="1">IFERROR(__xludf.DUMMYFUNCTION("""COMPUTED_VALUE"""),183.68)</f>
        <v>183.68</v>
      </c>
      <c r="D1863" s="1">
        <f ca="1">IFERROR(__xludf.DUMMYFUNCTION("""COMPUTED_VALUE"""),176.11)</f>
        <v>176.11</v>
      </c>
      <c r="E1863" s="1">
        <f ca="1">IFERROR(__xludf.DUMMYFUNCTION("""COMPUTED_VALUE"""),181.28)</f>
        <v>181.28</v>
      </c>
      <c r="F1863" s="1">
        <f ca="1">IFERROR(__xludf.DUMMYFUNCTION("""COMPUTED_VALUE"""),50406273)</f>
        <v>50406273</v>
      </c>
    </row>
    <row r="1864" spans="1:6" x14ac:dyDescent="0.35">
      <c r="A1864" s="2">
        <f ca="1">IFERROR(__xludf.DUMMYFUNCTION("""COMPUTED_VALUE"""),44706.6666666666)</f>
        <v>44706.666666666599</v>
      </c>
      <c r="B1864" s="1">
        <f ca="1">IFERROR(__xludf.DUMMYFUNCTION("""COMPUTED_VALUE"""),180.4)</f>
        <v>180.4</v>
      </c>
      <c r="C1864" s="1">
        <f ca="1">IFERROR(__xludf.DUMMYFUNCTION("""COMPUTED_VALUE"""),185.45)</f>
        <v>185.45</v>
      </c>
      <c r="D1864" s="1">
        <f ca="1">IFERROR(__xludf.DUMMYFUNCTION("""COMPUTED_VALUE"""),179.32)</f>
        <v>179.32</v>
      </c>
      <c r="E1864" s="1">
        <f ca="1">IFERROR(__xludf.DUMMYFUNCTION("""COMPUTED_VALUE"""),183.83)</f>
        <v>183.83</v>
      </c>
      <c r="F1864" s="1">
        <f ca="1">IFERROR(__xludf.DUMMYFUNCTION("""COMPUTED_VALUE"""),28030194)</f>
        <v>28030194</v>
      </c>
    </row>
    <row r="1865" spans="1:6" x14ac:dyDescent="0.35">
      <c r="A1865" s="2">
        <f ca="1">IFERROR(__xludf.DUMMYFUNCTION("""COMPUTED_VALUE"""),44707.6666666666)</f>
        <v>44707.666666666599</v>
      </c>
      <c r="B1865" s="1">
        <f ca="1">IFERROR(__xludf.DUMMYFUNCTION("""COMPUTED_VALUE"""),182.88)</f>
        <v>182.88</v>
      </c>
      <c r="C1865" s="1">
        <f ca="1">IFERROR(__xludf.DUMMYFUNCTION("""COMPUTED_VALUE"""),192.83)</f>
        <v>192.83</v>
      </c>
      <c r="D1865" s="1">
        <f ca="1">IFERROR(__xludf.DUMMYFUNCTION("""COMPUTED_VALUE"""),182.26)</f>
        <v>182.26</v>
      </c>
      <c r="E1865" s="1">
        <f ca="1">IFERROR(__xludf.DUMMYFUNCTION("""COMPUTED_VALUE"""),191.63)</f>
        <v>191.63</v>
      </c>
      <c r="F1865" s="1">
        <f ca="1">IFERROR(__xludf.DUMMYFUNCTION("""COMPUTED_VALUE"""),23056455)</f>
        <v>23056455</v>
      </c>
    </row>
    <row r="1866" spans="1:6" x14ac:dyDescent="0.35">
      <c r="A1866" s="2">
        <f ca="1">IFERROR(__xludf.DUMMYFUNCTION("""COMPUTED_VALUE"""),44708.6666666666)</f>
        <v>44708.666666666599</v>
      </c>
      <c r="B1866" s="1">
        <f ca="1">IFERROR(__xludf.DUMMYFUNCTION("""COMPUTED_VALUE"""),191.36)</f>
        <v>191.36</v>
      </c>
      <c r="C1866" s="1">
        <f ca="1">IFERROR(__xludf.DUMMYFUNCTION("""COMPUTED_VALUE"""),195.33)</f>
        <v>195.33</v>
      </c>
      <c r="D1866" s="1">
        <f ca="1">IFERROR(__xludf.DUMMYFUNCTION("""COMPUTED_VALUE"""),189.8)</f>
        <v>189.8</v>
      </c>
      <c r="E1866" s="1">
        <f ca="1">IFERROR(__xludf.DUMMYFUNCTION("""COMPUTED_VALUE"""),195.13)</f>
        <v>195.13</v>
      </c>
      <c r="F1866" s="1">
        <f ca="1">IFERROR(__xludf.DUMMYFUNCTION("""COMPUTED_VALUE"""),22562727)</f>
        <v>22562727</v>
      </c>
    </row>
    <row r="1867" spans="1:6" x14ac:dyDescent="0.35">
      <c r="A1867" s="2">
        <f ca="1">IFERROR(__xludf.DUMMYFUNCTION("""COMPUTED_VALUE"""),44712.6666666666)</f>
        <v>44712.666666666599</v>
      </c>
      <c r="B1867" s="1">
        <f ca="1">IFERROR(__xludf.DUMMYFUNCTION("""COMPUTED_VALUE"""),194.89)</f>
        <v>194.89</v>
      </c>
      <c r="C1867" s="1">
        <f ca="1">IFERROR(__xludf.DUMMYFUNCTION("""COMPUTED_VALUE"""),197.6)</f>
        <v>197.6</v>
      </c>
      <c r="D1867" s="1">
        <f ca="1">IFERROR(__xludf.DUMMYFUNCTION("""COMPUTED_VALUE"""),192.01)</f>
        <v>192.01</v>
      </c>
      <c r="E1867" s="1">
        <f ca="1">IFERROR(__xludf.DUMMYFUNCTION("""COMPUTED_VALUE"""),193.64)</f>
        <v>193.64</v>
      </c>
      <c r="F1867" s="1">
        <f ca="1">IFERROR(__xludf.DUMMYFUNCTION("""COMPUTED_VALUE"""),26131103)</f>
        <v>26131103</v>
      </c>
    </row>
    <row r="1868" spans="1:6" x14ac:dyDescent="0.35">
      <c r="A1868" s="2">
        <f ca="1">IFERROR(__xludf.DUMMYFUNCTION("""COMPUTED_VALUE"""),44713.6666666666)</f>
        <v>44713.666666666599</v>
      </c>
      <c r="B1868" s="1">
        <f ca="1">IFERROR(__xludf.DUMMYFUNCTION("""COMPUTED_VALUE"""),196.51)</f>
        <v>196.51</v>
      </c>
      <c r="C1868" s="1">
        <f ca="1">IFERROR(__xludf.DUMMYFUNCTION("""COMPUTED_VALUE"""),199.53)</f>
        <v>199.53</v>
      </c>
      <c r="D1868" s="1">
        <f ca="1">IFERROR(__xludf.DUMMYFUNCTION("""COMPUTED_VALUE"""),185)</f>
        <v>185</v>
      </c>
      <c r="E1868" s="1">
        <f ca="1">IFERROR(__xludf.DUMMYFUNCTION("""COMPUTED_VALUE"""),188.64)</f>
        <v>188.64</v>
      </c>
      <c r="F1868" s="1">
        <f ca="1">IFERROR(__xludf.DUMMYFUNCTION("""COMPUTED_VALUE"""),36623495)</f>
        <v>36623495</v>
      </c>
    </row>
    <row r="1869" spans="1:6" x14ac:dyDescent="0.35">
      <c r="A1869" s="2">
        <f ca="1">IFERROR(__xludf.DUMMYFUNCTION("""COMPUTED_VALUE"""),44714.6666666666)</f>
        <v>44714.666666666599</v>
      </c>
      <c r="B1869" s="1">
        <f ca="1">IFERROR(__xludf.DUMMYFUNCTION("""COMPUTED_VALUE"""),188.45)</f>
        <v>188.45</v>
      </c>
      <c r="C1869" s="1">
        <f ca="1">IFERROR(__xludf.DUMMYFUNCTION("""COMPUTED_VALUE"""),200.94)</f>
        <v>200.94</v>
      </c>
      <c r="D1869" s="1">
        <f ca="1">IFERROR(__xludf.DUMMYFUNCTION("""COMPUTED_VALUE"""),187.73)</f>
        <v>187.73</v>
      </c>
      <c r="E1869" s="1">
        <f ca="1">IFERROR(__xludf.DUMMYFUNCTION("""COMPUTED_VALUE"""),198.86)</f>
        <v>198.86</v>
      </c>
      <c r="F1869" s="1">
        <f ca="1">IFERROR(__xludf.DUMMYFUNCTION("""COMPUTED_VALUE"""),31951582)</f>
        <v>31951582</v>
      </c>
    </row>
    <row r="1870" spans="1:6" x14ac:dyDescent="0.35">
      <c r="A1870" s="2">
        <f ca="1">IFERROR(__xludf.DUMMYFUNCTION("""COMPUTED_VALUE"""),44715.6666666666)</f>
        <v>44715.666666666599</v>
      </c>
      <c r="B1870" s="1">
        <f ca="1">IFERROR(__xludf.DUMMYFUNCTION("""COMPUTED_VALUE"""),195.98)</f>
        <v>195.98</v>
      </c>
      <c r="C1870" s="1">
        <f ca="1">IFERROR(__xludf.DUMMYFUNCTION("""COMPUTED_VALUE"""),196.61)</f>
        <v>196.61</v>
      </c>
      <c r="D1870" s="1">
        <f ca="1">IFERROR(__xludf.DUMMYFUNCTION("""COMPUTED_VALUE"""),189.78)</f>
        <v>189.78</v>
      </c>
      <c r="E1870" s="1">
        <f ca="1">IFERROR(__xludf.DUMMYFUNCTION("""COMPUTED_VALUE"""),190.78)</f>
        <v>190.78</v>
      </c>
      <c r="F1870" s="1">
        <f ca="1">IFERROR(__xludf.DUMMYFUNCTION("""COMPUTED_VALUE"""),19464993)</f>
        <v>19464993</v>
      </c>
    </row>
    <row r="1871" spans="1:6" x14ac:dyDescent="0.35">
      <c r="A1871" s="2">
        <f ca="1">IFERROR(__xludf.DUMMYFUNCTION("""COMPUTED_VALUE"""),44718.6666666666)</f>
        <v>44718.666666666599</v>
      </c>
      <c r="B1871" s="1">
        <f ca="1">IFERROR(__xludf.DUMMYFUNCTION("""COMPUTED_VALUE"""),193.99)</f>
        <v>193.99</v>
      </c>
      <c r="C1871" s="1">
        <f ca="1">IFERROR(__xludf.DUMMYFUNCTION("""COMPUTED_VALUE"""),196.92)</f>
        <v>196.92</v>
      </c>
      <c r="D1871" s="1">
        <f ca="1">IFERROR(__xludf.DUMMYFUNCTION("""COMPUTED_VALUE"""),188.4)</f>
        <v>188.4</v>
      </c>
      <c r="E1871" s="1">
        <f ca="1">IFERROR(__xludf.DUMMYFUNCTION("""COMPUTED_VALUE"""),194.25)</f>
        <v>194.25</v>
      </c>
      <c r="F1871" s="1">
        <f ca="1">IFERROR(__xludf.DUMMYFUNCTION("""COMPUTED_VALUE"""),30574242)</f>
        <v>30574242</v>
      </c>
    </row>
    <row r="1872" spans="1:6" x14ac:dyDescent="0.35">
      <c r="A1872" s="2">
        <f ca="1">IFERROR(__xludf.DUMMYFUNCTION("""COMPUTED_VALUE"""),44719.6666666666)</f>
        <v>44719.666666666599</v>
      </c>
      <c r="B1872" s="1">
        <f ca="1">IFERROR(__xludf.DUMMYFUNCTION("""COMPUTED_VALUE"""),191.93)</f>
        <v>191.93</v>
      </c>
      <c r="C1872" s="1">
        <f ca="1">IFERROR(__xludf.DUMMYFUNCTION("""COMPUTED_VALUE"""),196.53)</f>
        <v>196.53</v>
      </c>
      <c r="D1872" s="1">
        <f ca="1">IFERROR(__xludf.DUMMYFUNCTION("""COMPUTED_VALUE"""),191.49)</f>
        <v>191.49</v>
      </c>
      <c r="E1872" s="1">
        <f ca="1">IFERROR(__xludf.DUMMYFUNCTION("""COMPUTED_VALUE"""),195.65)</f>
        <v>195.65</v>
      </c>
      <c r="F1872" s="1">
        <f ca="1">IFERROR(__xludf.DUMMYFUNCTION("""COMPUTED_VALUE"""),18828687)</f>
        <v>18828687</v>
      </c>
    </row>
    <row r="1873" spans="1:6" x14ac:dyDescent="0.35">
      <c r="A1873" s="2">
        <f ca="1">IFERROR(__xludf.DUMMYFUNCTION("""COMPUTED_VALUE"""),44720.6666666666)</f>
        <v>44720.666666666599</v>
      </c>
      <c r="B1873" s="1">
        <f ca="1">IFERROR(__xludf.DUMMYFUNCTION("""COMPUTED_VALUE"""),194.67)</f>
        <v>194.67</v>
      </c>
      <c r="C1873" s="1">
        <f ca="1">IFERROR(__xludf.DUMMYFUNCTION("""COMPUTED_VALUE"""),202.03)</f>
        <v>202.03</v>
      </c>
      <c r="D1873" s="1">
        <f ca="1">IFERROR(__xludf.DUMMYFUNCTION("""COMPUTED_VALUE"""),194.41)</f>
        <v>194.41</v>
      </c>
      <c r="E1873" s="1">
        <f ca="1">IFERROR(__xludf.DUMMYFUNCTION("""COMPUTED_VALUE"""),196.64)</f>
        <v>196.64</v>
      </c>
      <c r="F1873" s="1">
        <f ca="1">IFERROR(__xludf.DUMMYFUNCTION("""COMPUTED_VALUE"""),22267154)</f>
        <v>22267154</v>
      </c>
    </row>
    <row r="1874" spans="1:6" x14ac:dyDescent="0.35">
      <c r="A1874" s="2">
        <f ca="1">IFERROR(__xludf.DUMMYFUNCTION("""COMPUTED_VALUE"""),44721.6666666666)</f>
        <v>44721.666666666599</v>
      </c>
      <c r="B1874" s="1">
        <f ca="1">IFERROR(__xludf.DUMMYFUNCTION("""COMPUTED_VALUE"""),194.28)</f>
        <v>194.28</v>
      </c>
      <c r="C1874" s="1">
        <f ca="1">IFERROR(__xludf.DUMMYFUNCTION("""COMPUTED_VALUE"""),199.45)</f>
        <v>199.45</v>
      </c>
      <c r="D1874" s="1">
        <f ca="1">IFERROR(__xludf.DUMMYFUNCTION("""COMPUTED_VALUE"""),183.68)</f>
        <v>183.68</v>
      </c>
      <c r="E1874" s="1">
        <f ca="1">IFERROR(__xludf.DUMMYFUNCTION("""COMPUTED_VALUE"""),184)</f>
        <v>184</v>
      </c>
      <c r="F1874" s="1">
        <f ca="1">IFERROR(__xludf.DUMMYFUNCTION("""COMPUTED_VALUE"""),23501579)</f>
        <v>23501579</v>
      </c>
    </row>
    <row r="1875" spans="1:6" x14ac:dyDescent="0.35">
      <c r="A1875" s="2">
        <f ca="1">IFERROR(__xludf.DUMMYFUNCTION("""COMPUTED_VALUE"""),44722.6666666666)</f>
        <v>44722.666666666599</v>
      </c>
      <c r="B1875" s="1">
        <f ca="1">IFERROR(__xludf.DUMMYFUNCTION("""COMPUTED_VALUE"""),183.04)</f>
        <v>183.04</v>
      </c>
      <c r="C1875" s="1">
        <f ca="1">IFERROR(__xludf.DUMMYFUNCTION("""COMPUTED_VALUE"""),183.1)</f>
        <v>183.1</v>
      </c>
      <c r="D1875" s="1">
        <f ca="1">IFERROR(__xludf.DUMMYFUNCTION("""COMPUTED_VALUE"""),175.02)</f>
        <v>175.02</v>
      </c>
      <c r="E1875" s="1">
        <f ca="1">IFERROR(__xludf.DUMMYFUNCTION("""COMPUTED_VALUE"""),175.57)</f>
        <v>175.57</v>
      </c>
      <c r="F1875" s="1">
        <f ca="1">IFERROR(__xludf.DUMMYFUNCTION("""COMPUTED_VALUE"""),27478354)</f>
        <v>27478354</v>
      </c>
    </row>
    <row r="1876" spans="1:6" x14ac:dyDescent="0.35">
      <c r="A1876" s="2">
        <f ca="1">IFERROR(__xludf.DUMMYFUNCTION("""COMPUTED_VALUE"""),44725.6666666666)</f>
        <v>44725.666666666599</v>
      </c>
      <c r="B1876" s="1">
        <f ca="1">IFERROR(__xludf.DUMMYFUNCTION("""COMPUTED_VALUE"""),170.59)</f>
        <v>170.59</v>
      </c>
      <c r="C1876" s="1">
        <f ca="1">IFERROR(__xludf.DUMMYFUNCTION("""COMPUTED_VALUE"""),172.58)</f>
        <v>172.58</v>
      </c>
      <c r="D1876" s="1">
        <f ca="1">IFERROR(__xludf.DUMMYFUNCTION("""COMPUTED_VALUE"""),164.03)</f>
        <v>164.03</v>
      </c>
      <c r="E1876" s="1">
        <f ca="1">IFERROR(__xludf.DUMMYFUNCTION("""COMPUTED_VALUE"""),164.26)</f>
        <v>164.26</v>
      </c>
      <c r="F1876" s="1">
        <f ca="1">IFERROR(__xludf.DUMMYFUNCTION("""COMPUTED_VALUE"""),31749304)</f>
        <v>31749304</v>
      </c>
    </row>
    <row r="1877" spans="1:6" x14ac:dyDescent="0.35">
      <c r="A1877" s="2">
        <f ca="1">IFERROR(__xludf.DUMMYFUNCTION("""COMPUTED_VALUE"""),44726.6666666666)</f>
        <v>44726.666666666599</v>
      </c>
      <c r="B1877" s="1">
        <f ca="1">IFERROR(__xludf.DUMMYFUNCTION("""COMPUTED_VALUE"""),166.03)</f>
        <v>166.03</v>
      </c>
      <c r="C1877" s="1">
        <f ca="1">IFERROR(__xludf.DUMMYFUNCTION("""COMPUTED_VALUE"""),166.75)</f>
        <v>166.75</v>
      </c>
      <c r="D1877" s="1">
        <f ca="1">IFERROR(__xludf.DUMMYFUNCTION("""COMPUTED_VALUE"""),161.36)</f>
        <v>161.36000000000001</v>
      </c>
      <c r="E1877" s="1">
        <f ca="1">IFERROR(__xludf.DUMMYFUNCTION("""COMPUTED_VALUE"""),163.73)</f>
        <v>163.72999999999999</v>
      </c>
      <c r="F1877" s="1">
        <f ca="1">IFERROR(__xludf.DUMMYFUNCTION("""COMPUTED_VALUE"""),27244274)</f>
        <v>27244274</v>
      </c>
    </row>
    <row r="1878" spans="1:6" x14ac:dyDescent="0.35">
      <c r="A1878" s="2">
        <f ca="1">IFERROR(__xludf.DUMMYFUNCTION("""COMPUTED_VALUE"""),44727.6666666666)</f>
        <v>44727.666666666599</v>
      </c>
      <c r="B1878" s="1">
        <f ca="1">IFERROR(__xludf.DUMMYFUNCTION("""COMPUTED_VALUE"""),167.2)</f>
        <v>167.2</v>
      </c>
      <c r="C1878" s="1">
        <f ca="1">IFERROR(__xludf.DUMMYFUNCTION("""COMPUTED_VALUE"""),172.16)</f>
        <v>172.16</v>
      </c>
      <c r="D1878" s="1">
        <f ca="1">IFERROR(__xludf.DUMMYFUNCTION("""COMPUTED_VALUE"""),163.98)</f>
        <v>163.98</v>
      </c>
      <c r="E1878" s="1">
        <f ca="1">IFERROR(__xludf.DUMMYFUNCTION("""COMPUTED_VALUE"""),169.35)</f>
        <v>169.35</v>
      </c>
      <c r="F1878" s="1">
        <f ca="1">IFERROR(__xludf.DUMMYFUNCTION("""COMPUTED_VALUE"""),30008251)</f>
        <v>30008251</v>
      </c>
    </row>
    <row r="1879" spans="1:6" x14ac:dyDescent="0.35">
      <c r="A1879" s="2">
        <f ca="1">IFERROR(__xludf.DUMMYFUNCTION("""COMPUTED_VALUE"""),44728.6666666666)</f>
        <v>44728.666666666599</v>
      </c>
      <c r="B1879" s="1">
        <f ca="1">IFERROR(__xludf.DUMMYFUNCTION("""COMPUTED_VALUE"""),163.72)</f>
        <v>163.72</v>
      </c>
      <c r="C1879" s="1">
        <f ca="1">IFERROR(__xludf.DUMMYFUNCTION("""COMPUTED_VALUE"""),165.08)</f>
        <v>165.08</v>
      </c>
      <c r="D1879" s="1">
        <f ca="1">IFERROR(__xludf.DUMMYFUNCTION("""COMPUTED_VALUE"""),159.61)</f>
        <v>159.61000000000001</v>
      </c>
      <c r="E1879" s="1">
        <f ca="1">IFERROR(__xludf.DUMMYFUNCTION("""COMPUTED_VALUE"""),160.87)</f>
        <v>160.87</v>
      </c>
      <c r="F1879" s="1">
        <f ca="1">IFERROR(__xludf.DUMMYFUNCTION("""COMPUTED_VALUE"""),26944143)</f>
        <v>26944143</v>
      </c>
    </row>
    <row r="1880" spans="1:6" x14ac:dyDescent="0.35">
      <c r="A1880" s="2">
        <f ca="1">IFERROR(__xludf.DUMMYFUNCTION("""COMPUTED_VALUE"""),44729.6666666666)</f>
        <v>44729.666666666599</v>
      </c>
      <c r="B1880" s="1">
        <f ca="1">IFERROR(__xludf.DUMMYFUNCTION("""COMPUTED_VALUE"""),161.68)</f>
        <v>161.68</v>
      </c>
      <c r="C1880" s="1">
        <f ca="1">IFERROR(__xludf.DUMMYFUNCTION("""COMPUTED_VALUE"""),165.9)</f>
        <v>165.9</v>
      </c>
      <c r="D1880" s="1">
        <f ca="1">IFERROR(__xludf.DUMMYFUNCTION("""COMPUTED_VALUE"""),159.9)</f>
        <v>159.9</v>
      </c>
      <c r="E1880" s="1">
        <f ca="1">IFERROR(__xludf.DUMMYFUNCTION("""COMPUTED_VALUE"""),163.74)</f>
        <v>163.74</v>
      </c>
      <c r="F1880" s="1">
        <f ca="1">IFERROR(__xludf.DUMMYFUNCTION("""COMPUTED_VALUE"""),31374215)</f>
        <v>31374215</v>
      </c>
    </row>
    <row r="1881" spans="1:6" x14ac:dyDescent="0.35">
      <c r="A1881" s="2">
        <f ca="1">IFERROR(__xludf.DUMMYFUNCTION("""COMPUTED_VALUE"""),44733.6666666666)</f>
        <v>44733.666666666599</v>
      </c>
      <c r="B1881" s="1">
        <f ca="1">IFERROR(__xludf.DUMMYFUNCTION("""COMPUTED_VALUE"""),165.93)</f>
        <v>165.93</v>
      </c>
      <c r="C1881" s="1">
        <f ca="1">IFERROR(__xludf.DUMMYFUNCTION("""COMPUTED_VALUE"""),167.76)</f>
        <v>167.76</v>
      </c>
      <c r="D1881" s="1">
        <f ca="1">IFERROR(__xludf.DUMMYFUNCTION("""COMPUTED_VALUE"""),155.97)</f>
        <v>155.97</v>
      </c>
      <c r="E1881" s="1">
        <f ca="1">IFERROR(__xludf.DUMMYFUNCTION("""COMPUTED_VALUE"""),157.05)</f>
        <v>157.05000000000001</v>
      </c>
      <c r="F1881" s="1">
        <f ca="1">IFERROR(__xludf.DUMMYFUNCTION("""COMPUTED_VALUE"""),50724899)</f>
        <v>50724899</v>
      </c>
    </row>
    <row r="1882" spans="1:6" x14ac:dyDescent="0.35">
      <c r="A1882" s="2">
        <f ca="1">IFERROR(__xludf.DUMMYFUNCTION("""COMPUTED_VALUE"""),44734.6666666666)</f>
        <v>44734.666666666599</v>
      </c>
      <c r="B1882" s="1">
        <f ca="1">IFERROR(__xludf.DUMMYFUNCTION("""COMPUTED_VALUE"""),158.38)</f>
        <v>158.38</v>
      </c>
      <c r="C1882" s="1">
        <f ca="1">IFERROR(__xludf.DUMMYFUNCTION("""COMPUTED_VALUE"""),160.79)</f>
        <v>160.79</v>
      </c>
      <c r="D1882" s="1">
        <f ca="1">IFERROR(__xludf.DUMMYFUNCTION("""COMPUTED_VALUE"""),155.44)</f>
        <v>155.44</v>
      </c>
      <c r="E1882" s="1">
        <f ca="1">IFERROR(__xludf.DUMMYFUNCTION("""COMPUTED_VALUE"""),155.85)</f>
        <v>155.85</v>
      </c>
      <c r="F1882" s="1">
        <f ca="1">IFERROR(__xludf.DUMMYFUNCTION("""COMPUTED_VALUE"""),47596820)</f>
        <v>47596820</v>
      </c>
    </row>
    <row r="1883" spans="1:6" x14ac:dyDescent="0.35">
      <c r="A1883" s="2">
        <f ca="1">IFERROR(__xludf.DUMMYFUNCTION("""COMPUTED_VALUE"""),44735.6666666666)</f>
        <v>44735.666666666599</v>
      </c>
      <c r="B1883" s="1">
        <f ca="1">IFERROR(__xludf.DUMMYFUNCTION("""COMPUTED_VALUE"""),156.27)</f>
        <v>156.27000000000001</v>
      </c>
      <c r="C1883" s="1">
        <f ca="1">IFERROR(__xludf.DUMMYFUNCTION("""COMPUTED_VALUE"""),159.75)</f>
        <v>159.75</v>
      </c>
      <c r="D1883" s="1">
        <f ca="1">IFERROR(__xludf.DUMMYFUNCTION("""COMPUTED_VALUE"""),154.25)</f>
        <v>154.25</v>
      </c>
      <c r="E1883" s="1">
        <f ca="1">IFERROR(__xludf.DUMMYFUNCTION("""COMPUTED_VALUE"""),158.75)</f>
        <v>158.75</v>
      </c>
      <c r="F1883" s="1">
        <f ca="1">IFERROR(__xludf.DUMMYFUNCTION("""COMPUTED_VALUE"""),40499198)</f>
        <v>40499198</v>
      </c>
    </row>
    <row r="1884" spans="1:6" x14ac:dyDescent="0.35">
      <c r="A1884" s="2">
        <f ca="1">IFERROR(__xludf.DUMMYFUNCTION("""COMPUTED_VALUE"""),44736.6666666666)</f>
        <v>44736.666666666599</v>
      </c>
      <c r="B1884" s="1">
        <f ca="1">IFERROR(__xludf.DUMMYFUNCTION("""COMPUTED_VALUE"""),161.73)</f>
        <v>161.72999999999999</v>
      </c>
      <c r="C1884" s="1">
        <f ca="1">IFERROR(__xludf.DUMMYFUNCTION("""COMPUTED_VALUE"""),170.25)</f>
        <v>170.25</v>
      </c>
      <c r="D1884" s="1">
        <f ca="1">IFERROR(__xludf.DUMMYFUNCTION("""COMPUTED_VALUE"""),161.3)</f>
        <v>161.30000000000001</v>
      </c>
      <c r="E1884" s="1">
        <f ca="1">IFERROR(__xludf.DUMMYFUNCTION("""COMPUTED_VALUE"""),170.16)</f>
        <v>170.16</v>
      </c>
      <c r="F1884" s="1">
        <f ca="1">IFERROR(__xludf.DUMMYFUNCTION("""COMPUTED_VALUE"""),68736009)</f>
        <v>68736009</v>
      </c>
    </row>
    <row r="1885" spans="1:6" x14ac:dyDescent="0.35">
      <c r="A1885" s="2">
        <f ca="1">IFERROR(__xludf.DUMMYFUNCTION("""COMPUTED_VALUE"""),44739.6666666666)</f>
        <v>44739.666666666599</v>
      </c>
      <c r="B1885" s="1">
        <f ca="1">IFERROR(__xludf.DUMMYFUNCTION("""COMPUTED_VALUE"""),171.32)</f>
        <v>171.32</v>
      </c>
      <c r="C1885" s="1">
        <f ca="1">IFERROR(__xludf.DUMMYFUNCTION("""COMPUTED_VALUE"""),171.75)</f>
        <v>171.75</v>
      </c>
      <c r="D1885" s="1">
        <f ca="1">IFERROR(__xludf.DUMMYFUNCTION("""COMPUTED_VALUE"""),168.01)</f>
        <v>168.01</v>
      </c>
      <c r="E1885" s="1">
        <f ca="1">IFERROR(__xludf.DUMMYFUNCTION("""COMPUTED_VALUE"""),169.49)</f>
        <v>169.49</v>
      </c>
      <c r="F1885" s="1">
        <f ca="1">IFERROR(__xludf.DUMMYFUNCTION("""COMPUTED_VALUE"""),29174559)</f>
        <v>29174559</v>
      </c>
    </row>
    <row r="1886" spans="1:6" x14ac:dyDescent="0.35">
      <c r="A1886" s="2">
        <f ca="1">IFERROR(__xludf.DUMMYFUNCTION("""COMPUTED_VALUE"""),44740.6666666666)</f>
        <v>44740.666666666599</v>
      </c>
      <c r="B1886" s="1">
        <f ca="1">IFERROR(__xludf.DUMMYFUNCTION("""COMPUTED_VALUE"""),169.9)</f>
        <v>169.9</v>
      </c>
      <c r="C1886" s="1">
        <f ca="1">IFERROR(__xludf.DUMMYFUNCTION("""COMPUTED_VALUE"""),171.3)</f>
        <v>171.3</v>
      </c>
      <c r="D1886" s="1">
        <f ca="1">IFERROR(__xludf.DUMMYFUNCTION("""COMPUTED_VALUE"""),160.61)</f>
        <v>160.61000000000001</v>
      </c>
      <c r="E1886" s="1">
        <f ca="1">IFERROR(__xludf.DUMMYFUNCTION("""COMPUTED_VALUE"""),160.68)</f>
        <v>160.68</v>
      </c>
      <c r="F1886" s="1">
        <f ca="1">IFERROR(__xludf.DUMMYFUNCTION("""COMPUTED_VALUE"""),27788725)</f>
        <v>27788725</v>
      </c>
    </row>
    <row r="1887" spans="1:6" x14ac:dyDescent="0.35">
      <c r="A1887" s="2">
        <f ca="1">IFERROR(__xludf.DUMMYFUNCTION("""COMPUTED_VALUE"""),44741.6666666666)</f>
        <v>44741.666666666599</v>
      </c>
      <c r="B1887" s="1">
        <f ca="1">IFERROR(__xludf.DUMMYFUNCTION("""COMPUTED_VALUE"""),163.57)</f>
        <v>163.57</v>
      </c>
      <c r="C1887" s="1">
        <f ca="1">IFERROR(__xludf.DUMMYFUNCTION("""COMPUTED_VALUE"""),166.33)</f>
        <v>166.33</v>
      </c>
      <c r="D1887" s="1">
        <f ca="1">IFERROR(__xludf.DUMMYFUNCTION("""COMPUTED_VALUE"""),160.32)</f>
        <v>160.32</v>
      </c>
      <c r="E1887" s="1">
        <f ca="1">IFERROR(__xludf.DUMMYFUNCTION("""COMPUTED_VALUE"""),163.94)</f>
        <v>163.94</v>
      </c>
      <c r="F1887" s="1">
        <f ca="1">IFERROR(__xludf.DUMMYFUNCTION("""COMPUTED_VALUE"""),28595236)</f>
        <v>28595236</v>
      </c>
    </row>
    <row r="1888" spans="1:6" x14ac:dyDescent="0.35">
      <c r="A1888" s="2">
        <f ca="1">IFERROR(__xludf.DUMMYFUNCTION("""COMPUTED_VALUE"""),44742.6666666666)</f>
        <v>44742.666666666599</v>
      </c>
      <c r="B1888" s="1">
        <f ca="1">IFERROR(__xludf.DUMMYFUNCTION("""COMPUTED_VALUE"""),162.15)</f>
        <v>162.15</v>
      </c>
      <c r="C1888" s="1">
        <f ca="1">IFERROR(__xludf.DUMMYFUNCTION("""COMPUTED_VALUE"""),165.23)</f>
        <v>165.23</v>
      </c>
      <c r="D1888" s="1">
        <f ca="1">IFERROR(__xludf.DUMMYFUNCTION("""COMPUTED_VALUE"""),158.49)</f>
        <v>158.49</v>
      </c>
      <c r="E1888" s="1">
        <f ca="1">IFERROR(__xludf.DUMMYFUNCTION("""COMPUTED_VALUE"""),161.25)</f>
        <v>161.25</v>
      </c>
      <c r="F1888" s="1">
        <f ca="1">IFERROR(__xludf.DUMMYFUNCTION("""COMPUTED_VALUE"""),35250605)</f>
        <v>35250605</v>
      </c>
    </row>
    <row r="1889" spans="1:6" x14ac:dyDescent="0.35">
      <c r="A1889" s="2">
        <f ca="1">IFERROR(__xludf.DUMMYFUNCTION("""COMPUTED_VALUE"""),44743.6666666666)</f>
        <v>44743.666666666599</v>
      </c>
      <c r="B1889" s="1">
        <f ca="1">IFERROR(__xludf.DUMMYFUNCTION("""COMPUTED_VALUE"""),160.31)</f>
        <v>160.31</v>
      </c>
      <c r="C1889" s="1">
        <f ca="1">IFERROR(__xludf.DUMMYFUNCTION("""COMPUTED_VALUE"""),160.62)</f>
        <v>160.62</v>
      </c>
      <c r="D1889" s="1">
        <f ca="1">IFERROR(__xludf.DUMMYFUNCTION("""COMPUTED_VALUE"""),155)</f>
        <v>155</v>
      </c>
      <c r="E1889" s="1">
        <f ca="1">IFERROR(__xludf.DUMMYFUNCTION("""COMPUTED_VALUE"""),160.03)</f>
        <v>160.03</v>
      </c>
      <c r="F1889" s="1">
        <f ca="1">IFERROR(__xludf.DUMMYFUNCTION("""COMPUTED_VALUE"""),31423933)</f>
        <v>31423933</v>
      </c>
    </row>
    <row r="1890" spans="1:6" x14ac:dyDescent="0.35">
      <c r="A1890" s="2">
        <f ca="1">IFERROR(__xludf.DUMMYFUNCTION("""COMPUTED_VALUE"""),44747.6666666666)</f>
        <v>44747.666666666599</v>
      </c>
      <c r="B1890" s="1">
        <f ca="1">IFERROR(__xludf.DUMMYFUNCTION("""COMPUTED_VALUE"""),158.14)</f>
        <v>158.13999999999999</v>
      </c>
      <c r="C1890" s="1">
        <f ca="1">IFERROR(__xludf.DUMMYFUNCTION("""COMPUTED_VALUE"""),168.25)</f>
        <v>168.25</v>
      </c>
      <c r="D1890" s="1">
        <f ca="1">IFERROR(__xludf.DUMMYFUNCTION("""COMPUTED_VALUE"""),157.02)</f>
        <v>157.02000000000001</v>
      </c>
      <c r="E1890" s="1">
        <f ca="1">IFERROR(__xludf.DUMMYFUNCTION("""COMPUTED_VALUE"""),168.19)</f>
        <v>168.19</v>
      </c>
      <c r="F1890" s="1">
        <f ca="1">IFERROR(__xludf.DUMMYFUNCTION("""COMPUTED_VALUE"""),28664799)</f>
        <v>28664799</v>
      </c>
    </row>
    <row r="1891" spans="1:6" x14ac:dyDescent="0.35">
      <c r="A1891" s="2">
        <f ca="1">IFERROR(__xludf.DUMMYFUNCTION("""COMPUTED_VALUE"""),44748.6666666666)</f>
        <v>44748.666666666599</v>
      </c>
      <c r="B1891" s="1">
        <f ca="1">IFERROR(__xludf.DUMMYFUNCTION("""COMPUTED_VALUE"""),168.2)</f>
        <v>168.2</v>
      </c>
      <c r="C1891" s="1">
        <f ca="1">IFERROR(__xludf.DUMMYFUNCTION("""COMPUTED_VALUE"""),171.59)</f>
        <v>171.59</v>
      </c>
      <c r="D1891" s="1">
        <f ca="1">IFERROR(__xludf.DUMMYFUNCTION("""COMPUTED_VALUE"""),165.46)</f>
        <v>165.46</v>
      </c>
      <c r="E1891" s="1">
        <f ca="1">IFERROR(__xludf.DUMMYFUNCTION("""COMPUTED_VALUE"""),169.77)</f>
        <v>169.77</v>
      </c>
      <c r="F1891" s="1">
        <f ca="1">IFERROR(__xludf.DUMMYFUNCTION("""COMPUTED_VALUE"""),23085921)</f>
        <v>23085921</v>
      </c>
    </row>
    <row r="1892" spans="1:6" x14ac:dyDescent="0.35">
      <c r="A1892" s="2">
        <f ca="1">IFERROR(__xludf.DUMMYFUNCTION("""COMPUTED_VALUE"""),44749.6666666666)</f>
        <v>44749.666666666599</v>
      </c>
      <c r="B1892" s="1">
        <f ca="1">IFERROR(__xludf.DUMMYFUNCTION("""COMPUTED_VALUE"""),169.45)</f>
        <v>169.45</v>
      </c>
      <c r="C1892" s="1">
        <f ca="1">IFERROR(__xludf.DUMMYFUNCTION("""COMPUTED_VALUE"""),172.72)</f>
        <v>172.72</v>
      </c>
      <c r="D1892" s="1">
        <f ca="1">IFERROR(__xludf.DUMMYFUNCTION("""COMPUTED_VALUE"""),167.78)</f>
        <v>167.78</v>
      </c>
      <c r="E1892" s="1">
        <f ca="1">IFERROR(__xludf.DUMMYFUNCTION("""COMPUTED_VALUE"""),172.19)</f>
        <v>172.19</v>
      </c>
      <c r="F1892" s="1">
        <f ca="1">IFERROR(__xludf.DUMMYFUNCTION("""COMPUTED_VALUE"""),24083368)</f>
        <v>24083368</v>
      </c>
    </row>
    <row r="1893" spans="1:6" x14ac:dyDescent="0.35">
      <c r="A1893" s="2">
        <f ca="1">IFERROR(__xludf.DUMMYFUNCTION("""COMPUTED_VALUE"""),44750.6666666666)</f>
        <v>44750.666666666599</v>
      </c>
      <c r="B1893" s="1">
        <f ca="1">IFERROR(__xludf.DUMMYFUNCTION("""COMPUTED_VALUE"""),169.98)</f>
        <v>169.98</v>
      </c>
      <c r="C1893" s="1">
        <f ca="1">IFERROR(__xludf.DUMMYFUNCTION("""COMPUTED_VALUE"""),172.4)</f>
        <v>172.4</v>
      </c>
      <c r="D1893" s="1">
        <f ca="1">IFERROR(__xludf.DUMMYFUNCTION("""COMPUTED_VALUE"""),168.15)</f>
        <v>168.15</v>
      </c>
      <c r="E1893" s="1">
        <f ca="1">IFERROR(__xludf.DUMMYFUNCTION("""COMPUTED_VALUE"""),170.88)</f>
        <v>170.88</v>
      </c>
      <c r="F1893" s="1">
        <f ca="1">IFERROR(__xludf.DUMMYFUNCTION("""COMPUTED_VALUE"""),19249243)</f>
        <v>19249243</v>
      </c>
    </row>
    <row r="1894" spans="1:6" x14ac:dyDescent="0.35">
      <c r="A1894" s="2">
        <f ca="1">IFERROR(__xludf.DUMMYFUNCTION("""COMPUTED_VALUE"""),44753.6666666666)</f>
        <v>44753.666666666599</v>
      </c>
      <c r="B1894" s="1">
        <f ca="1">IFERROR(__xludf.DUMMYFUNCTION("""COMPUTED_VALUE"""),167.07)</f>
        <v>167.07</v>
      </c>
      <c r="C1894" s="1">
        <f ca="1">IFERROR(__xludf.DUMMYFUNCTION("""COMPUTED_VALUE"""),167.49)</f>
        <v>167.49</v>
      </c>
      <c r="D1894" s="1">
        <f ca="1">IFERROR(__xludf.DUMMYFUNCTION("""COMPUTED_VALUE"""),161.91)</f>
        <v>161.91</v>
      </c>
      <c r="E1894" s="1">
        <f ca="1">IFERROR(__xludf.DUMMYFUNCTION("""COMPUTED_VALUE"""),162.88)</f>
        <v>162.88</v>
      </c>
      <c r="F1894" s="1">
        <f ca="1">IFERROR(__xludf.DUMMYFUNCTION("""COMPUTED_VALUE"""),21905133)</f>
        <v>21905133</v>
      </c>
    </row>
    <row r="1895" spans="1:6" x14ac:dyDescent="0.35">
      <c r="A1895" s="2">
        <f ca="1">IFERROR(__xludf.DUMMYFUNCTION("""COMPUTED_VALUE"""),44754.6666666666)</f>
        <v>44754.666666666599</v>
      </c>
      <c r="B1895" s="1">
        <f ca="1">IFERROR(__xludf.DUMMYFUNCTION("""COMPUTED_VALUE"""),164.8)</f>
        <v>164.8</v>
      </c>
      <c r="C1895" s="1">
        <f ca="1">IFERROR(__xludf.DUMMYFUNCTION("""COMPUTED_VALUE"""),165.91)</f>
        <v>165.91</v>
      </c>
      <c r="D1895" s="1">
        <f ca="1">IFERROR(__xludf.DUMMYFUNCTION("""COMPUTED_VALUE"""),162.1)</f>
        <v>162.1</v>
      </c>
      <c r="E1895" s="1">
        <f ca="1">IFERROR(__xludf.DUMMYFUNCTION("""COMPUTED_VALUE"""),163.27)</f>
        <v>163.27000000000001</v>
      </c>
      <c r="F1895" s="1">
        <f ca="1">IFERROR(__xludf.DUMMYFUNCTION("""COMPUTED_VALUE"""),16639659)</f>
        <v>16639659</v>
      </c>
    </row>
    <row r="1896" spans="1:6" x14ac:dyDescent="0.35">
      <c r="A1896" s="2">
        <f ca="1">IFERROR(__xludf.DUMMYFUNCTION("""COMPUTED_VALUE"""),44755.6666666666)</f>
        <v>44755.666666666599</v>
      </c>
      <c r="B1896" s="1">
        <f ca="1">IFERROR(__xludf.DUMMYFUNCTION("""COMPUTED_VALUE"""),160.16)</f>
        <v>160.16</v>
      </c>
      <c r="C1896" s="1">
        <f ca="1">IFERROR(__xludf.DUMMYFUNCTION("""COMPUTED_VALUE"""),164.98)</f>
        <v>164.98</v>
      </c>
      <c r="D1896" s="1">
        <f ca="1">IFERROR(__xludf.DUMMYFUNCTION("""COMPUTED_VALUE"""),159.61)</f>
        <v>159.61000000000001</v>
      </c>
      <c r="E1896" s="1">
        <f ca="1">IFERROR(__xludf.DUMMYFUNCTION("""COMPUTED_VALUE"""),163.49)</f>
        <v>163.49</v>
      </c>
      <c r="F1896" s="1">
        <f ca="1">IFERROR(__xludf.DUMMYFUNCTION("""COMPUTED_VALUE"""),16555138)</f>
        <v>16555138</v>
      </c>
    </row>
    <row r="1897" spans="1:6" x14ac:dyDescent="0.35">
      <c r="A1897" s="2">
        <f ca="1">IFERROR(__xludf.DUMMYFUNCTION("""COMPUTED_VALUE"""),44756.6666666666)</f>
        <v>44756.666666666599</v>
      </c>
      <c r="B1897" s="1">
        <f ca="1">IFERROR(__xludf.DUMMYFUNCTION("""COMPUTED_VALUE"""),161.22)</f>
        <v>161.22</v>
      </c>
      <c r="C1897" s="1">
        <f ca="1">IFERROR(__xludf.DUMMYFUNCTION("""COMPUTED_VALUE"""),162.59)</f>
        <v>162.59</v>
      </c>
      <c r="D1897" s="1">
        <f ca="1">IFERROR(__xludf.DUMMYFUNCTION("""COMPUTED_VALUE"""),157.28)</f>
        <v>157.28</v>
      </c>
      <c r="E1897" s="1">
        <f ca="1">IFERROR(__xludf.DUMMYFUNCTION("""COMPUTED_VALUE"""),158.05)</f>
        <v>158.05000000000001</v>
      </c>
      <c r="F1897" s="1">
        <f ca="1">IFERROR(__xludf.DUMMYFUNCTION("""COMPUTED_VALUE"""),23765168)</f>
        <v>23765168</v>
      </c>
    </row>
    <row r="1898" spans="1:6" x14ac:dyDescent="0.35">
      <c r="A1898" s="2">
        <f ca="1">IFERROR(__xludf.DUMMYFUNCTION("""COMPUTED_VALUE"""),44757.6666666666)</f>
        <v>44757.666666666599</v>
      </c>
      <c r="B1898" s="1">
        <f ca="1">IFERROR(__xludf.DUMMYFUNCTION("""COMPUTED_VALUE"""),160.54)</f>
        <v>160.54</v>
      </c>
      <c r="C1898" s="1">
        <f ca="1">IFERROR(__xludf.DUMMYFUNCTION("""COMPUTED_VALUE"""),164.98)</f>
        <v>164.98</v>
      </c>
      <c r="D1898" s="1">
        <f ca="1">IFERROR(__xludf.DUMMYFUNCTION("""COMPUTED_VALUE"""),159.82)</f>
        <v>159.82</v>
      </c>
      <c r="E1898" s="1">
        <f ca="1">IFERROR(__xludf.DUMMYFUNCTION("""COMPUTED_VALUE"""),164.7)</f>
        <v>164.7</v>
      </c>
      <c r="F1898" s="1">
        <f ca="1">IFERROR(__xludf.DUMMYFUNCTION("""COMPUTED_VALUE"""),23342807)</f>
        <v>23342807</v>
      </c>
    </row>
    <row r="1899" spans="1:6" x14ac:dyDescent="0.35">
      <c r="A1899" s="2">
        <f ca="1">IFERROR(__xludf.DUMMYFUNCTION("""COMPUTED_VALUE"""),44760.6666666666)</f>
        <v>44760.666666666599</v>
      </c>
      <c r="B1899" s="1">
        <f ca="1">IFERROR(__xludf.DUMMYFUNCTION("""COMPUTED_VALUE"""),166.75)</f>
        <v>166.75</v>
      </c>
      <c r="C1899" s="1">
        <f ca="1">IFERROR(__xludf.DUMMYFUNCTION("""COMPUTED_VALUE"""),171.69)</f>
        <v>171.69</v>
      </c>
      <c r="D1899" s="1">
        <f ca="1">IFERROR(__xludf.DUMMYFUNCTION("""COMPUTED_VALUE"""),165.64)</f>
        <v>165.64</v>
      </c>
      <c r="E1899" s="1">
        <f ca="1">IFERROR(__xludf.DUMMYFUNCTION("""COMPUTED_VALUE"""),167.23)</f>
        <v>167.23</v>
      </c>
      <c r="F1899" s="1">
        <f ca="1">IFERROR(__xludf.DUMMYFUNCTION("""COMPUTED_VALUE"""),23574337)</f>
        <v>23574337</v>
      </c>
    </row>
    <row r="1900" spans="1:6" x14ac:dyDescent="0.35">
      <c r="A1900" s="2">
        <f ca="1">IFERROR(__xludf.DUMMYFUNCTION("""COMPUTED_VALUE"""),44761.6666666666)</f>
        <v>44761.666666666599</v>
      </c>
      <c r="B1900" s="1">
        <f ca="1">IFERROR(__xludf.DUMMYFUNCTION("""COMPUTED_VALUE"""),170.37)</f>
        <v>170.37</v>
      </c>
      <c r="C1900" s="1">
        <f ca="1">IFERROR(__xludf.DUMMYFUNCTION("""COMPUTED_VALUE"""),176.49)</f>
        <v>176.49</v>
      </c>
      <c r="D1900" s="1">
        <f ca="1">IFERROR(__xludf.DUMMYFUNCTION("""COMPUTED_VALUE"""),169.51)</f>
        <v>169.51</v>
      </c>
      <c r="E1900" s="1">
        <f ca="1">IFERROR(__xludf.DUMMYFUNCTION("""COMPUTED_VALUE"""),175.78)</f>
        <v>175.78</v>
      </c>
      <c r="F1900" s="1">
        <f ca="1">IFERROR(__xludf.DUMMYFUNCTION("""COMPUTED_VALUE"""),25933679)</f>
        <v>25933679</v>
      </c>
    </row>
    <row r="1901" spans="1:6" x14ac:dyDescent="0.35">
      <c r="A1901" s="2">
        <f ca="1">IFERROR(__xludf.DUMMYFUNCTION("""COMPUTED_VALUE"""),44762.6666666666)</f>
        <v>44762.666666666599</v>
      </c>
      <c r="B1901" s="1">
        <f ca="1">IFERROR(__xludf.DUMMYFUNCTION("""COMPUTED_VALUE"""),177.49)</f>
        <v>177.49</v>
      </c>
      <c r="C1901" s="1">
        <f ca="1">IFERROR(__xludf.DUMMYFUNCTION("""COMPUTED_VALUE"""),183.6)</f>
        <v>183.6</v>
      </c>
      <c r="D1901" s="1">
        <f ca="1">IFERROR(__xludf.DUMMYFUNCTION("""COMPUTED_VALUE"""),176.7)</f>
        <v>176.7</v>
      </c>
      <c r="E1901" s="1">
        <f ca="1">IFERROR(__xludf.DUMMYFUNCTION("""COMPUTED_VALUE"""),183.09)</f>
        <v>183.09</v>
      </c>
      <c r="F1901" s="1">
        <f ca="1">IFERROR(__xludf.DUMMYFUNCTION("""COMPUTED_VALUE"""),24784274)</f>
        <v>24784274</v>
      </c>
    </row>
    <row r="1902" spans="1:6" x14ac:dyDescent="0.35">
      <c r="A1902" s="2">
        <f ca="1">IFERROR(__xludf.DUMMYFUNCTION("""COMPUTED_VALUE"""),44763.6666666666)</f>
        <v>44763.666666666599</v>
      </c>
      <c r="B1902" s="1">
        <f ca="1">IFERROR(__xludf.DUMMYFUNCTION("""COMPUTED_VALUE"""),180.63)</f>
        <v>180.63</v>
      </c>
      <c r="C1902" s="1">
        <f ca="1">IFERROR(__xludf.DUMMYFUNCTION("""COMPUTED_VALUE"""),183.85)</f>
        <v>183.85</v>
      </c>
      <c r="D1902" s="1">
        <f ca="1">IFERROR(__xludf.DUMMYFUNCTION("""COMPUTED_VALUE"""),178.87)</f>
        <v>178.87</v>
      </c>
      <c r="E1902" s="1">
        <f ca="1">IFERROR(__xludf.DUMMYFUNCTION("""COMPUTED_VALUE"""),183.17)</f>
        <v>183.17</v>
      </c>
      <c r="F1902" s="1">
        <f ca="1">IFERROR(__xludf.DUMMYFUNCTION("""COMPUTED_VALUE"""),27195815)</f>
        <v>27195815</v>
      </c>
    </row>
    <row r="1903" spans="1:6" x14ac:dyDescent="0.35">
      <c r="A1903" s="2">
        <f ca="1">IFERROR(__xludf.DUMMYFUNCTION("""COMPUTED_VALUE"""),44764.6666666666)</f>
        <v>44764.666666666599</v>
      </c>
      <c r="B1903" s="1">
        <f ca="1">IFERROR(__xludf.DUMMYFUNCTION("""COMPUTED_VALUE"""),173.07)</f>
        <v>173.07</v>
      </c>
      <c r="C1903" s="1">
        <f ca="1">IFERROR(__xludf.DUMMYFUNCTION("""COMPUTED_VALUE"""),175.6)</f>
        <v>175.6</v>
      </c>
      <c r="D1903" s="1">
        <f ca="1">IFERROR(__xludf.DUMMYFUNCTION("""COMPUTED_VALUE"""),168.41)</f>
        <v>168.41</v>
      </c>
      <c r="E1903" s="1">
        <f ca="1">IFERROR(__xludf.DUMMYFUNCTION("""COMPUTED_VALUE"""),169.27)</f>
        <v>169.27</v>
      </c>
      <c r="F1903" s="1">
        <f ca="1">IFERROR(__xludf.DUMMYFUNCTION("""COMPUTED_VALUE"""),42583916)</f>
        <v>42583916</v>
      </c>
    </row>
    <row r="1904" spans="1:6" x14ac:dyDescent="0.35">
      <c r="A1904" s="2">
        <f ca="1">IFERROR(__xludf.DUMMYFUNCTION("""COMPUTED_VALUE"""),44767.6666666666)</f>
        <v>44767.666666666599</v>
      </c>
      <c r="B1904" s="1">
        <f ca="1">IFERROR(__xludf.DUMMYFUNCTION("""COMPUTED_VALUE"""),169)</f>
        <v>169</v>
      </c>
      <c r="C1904" s="1">
        <f ca="1">IFERROR(__xludf.DUMMYFUNCTION("""COMPUTED_VALUE"""),170.57)</f>
        <v>170.57</v>
      </c>
      <c r="D1904" s="1">
        <f ca="1">IFERROR(__xludf.DUMMYFUNCTION("""COMPUTED_VALUE"""),164.81)</f>
        <v>164.81</v>
      </c>
      <c r="E1904" s="1">
        <f ca="1">IFERROR(__xludf.DUMMYFUNCTION("""COMPUTED_VALUE"""),166.65)</f>
        <v>166.65</v>
      </c>
      <c r="F1904" s="1">
        <f ca="1">IFERROR(__xludf.DUMMYFUNCTION("""COMPUTED_VALUE"""),26166326)</f>
        <v>26166326</v>
      </c>
    </row>
    <row r="1905" spans="1:6" x14ac:dyDescent="0.35">
      <c r="A1905" s="2">
        <f ca="1">IFERROR(__xludf.DUMMYFUNCTION("""COMPUTED_VALUE"""),44768.6666666666)</f>
        <v>44768.666666666599</v>
      </c>
      <c r="B1905" s="1">
        <f ca="1">IFERROR(__xludf.DUMMYFUNCTION("""COMPUTED_VALUE"""),165.94)</f>
        <v>165.94</v>
      </c>
      <c r="C1905" s="1">
        <f ca="1">IFERROR(__xludf.DUMMYFUNCTION("""COMPUTED_VALUE"""),166)</f>
        <v>166</v>
      </c>
      <c r="D1905" s="1">
        <f ca="1">IFERROR(__xludf.DUMMYFUNCTION("""COMPUTED_VALUE"""),157.95)</f>
        <v>157.94999999999999</v>
      </c>
      <c r="E1905" s="1">
        <f ca="1">IFERROR(__xludf.DUMMYFUNCTION("""COMPUTED_VALUE"""),159.15)</f>
        <v>159.15</v>
      </c>
      <c r="F1905" s="1">
        <f ca="1">IFERROR(__xludf.DUMMYFUNCTION("""COMPUTED_VALUE"""),28468424)</f>
        <v>28468424</v>
      </c>
    </row>
    <row r="1906" spans="1:6" x14ac:dyDescent="0.35">
      <c r="A1906" s="2">
        <f ca="1">IFERROR(__xludf.DUMMYFUNCTION("""COMPUTED_VALUE"""),44769.6666666666)</f>
        <v>44769.666666666599</v>
      </c>
      <c r="B1906" s="1">
        <f ca="1">IFERROR(__xludf.DUMMYFUNCTION("""COMPUTED_VALUE"""),162.59)</f>
        <v>162.59</v>
      </c>
      <c r="C1906" s="1">
        <f ca="1">IFERROR(__xludf.DUMMYFUNCTION("""COMPUTED_VALUE"""),170.87)</f>
        <v>170.87</v>
      </c>
      <c r="D1906" s="1">
        <f ca="1">IFERROR(__xludf.DUMMYFUNCTION("""COMPUTED_VALUE"""),162.02)</f>
        <v>162.02000000000001</v>
      </c>
      <c r="E1906" s="1">
        <f ca="1">IFERROR(__xludf.DUMMYFUNCTION("""COMPUTED_VALUE"""),169.58)</f>
        <v>169.58</v>
      </c>
      <c r="F1906" s="1">
        <f ca="1">IFERROR(__xludf.DUMMYFUNCTION("""COMPUTED_VALUE"""),43846557)</f>
        <v>43846557</v>
      </c>
    </row>
    <row r="1907" spans="1:6" x14ac:dyDescent="0.35">
      <c r="A1907" s="2">
        <f ca="1">IFERROR(__xludf.DUMMYFUNCTION("""COMPUTED_VALUE"""),44770.6666666666)</f>
        <v>44770.666666666599</v>
      </c>
      <c r="B1907" s="1">
        <f ca="1">IFERROR(__xludf.DUMMYFUNCTION("""COMPUTED_VALUE"""),161.06)</f>
        <v>161.06</v>
      </c>
      <c r="C1907" s="1">
        <f ca="1">IFERROR(__xludf.DUMMYFUNCTION("""COMPUTED_VALUE"""),161.51)</f>
        <v>161.51</v>
      </c>
      <c r="D1907" s="1">
        <f ca="1">IFERROR(__xludf.DUMMYFUNCTION("""COMPUTED_VALUE"""),154.85)</f>
        <v>154.85</v>
      </c>
      <c r="E1907" s="1">
        <f ca="1">IFERROR(__xludf.DUMMYFUNCTION("""COMPUTED_VALUE"""),160.72)</f>
        <v>160.72</v>
      </c>
      <c r="F1907" s="1">
        <f ca="1">IFERROR(__xludf.DUMMYFUNCTION("""COMPUTED_VALUE"""),73214326)</f>
        <v>73214326</v>
      </c>
    </row>
    <row r="1908" spans="1:6" x14ac:dyDescent="0.35">
      <c r="A1908" s="2">
        <f ca="1">IFERROR(__xludf.DUMMYFUNCTION("""COMPUTED_VALUE"""),44771.6666666666)</f>
        <v>44771.666666666599</v>
      </c>
      <c r="B1908" s="1">
        <f ca="1">IFERROR(__xludf.DUMMYFUNCTION("""COMPUTED_VALUE"""),157.69)</f>
        <v>157.69</v>
      </c>
      <c r="C1908" s="1">
        <f ca="1">IFERROR(__xludf.DUMMYFUNCTION("""COMPUTED_VALUE"""),160.14)</f>
        <v>160.13999999999999</v>
      </c>
      <c r="D1908" s="1">
        <f ca="1">IFERROR(__xludf.DUMMYFUNCTION("""COMPUTED_VALUE"""),155.17)</f>
        <v>155.16999999999999</v>
      </c>
      <c r="E1908" s="1">
        <f ca="1">IFERROR(__xludf.DUMMYFUNCTION("""COMPUTED_VALUE"""),159.1)</f>
        <v>159.1</v>
      </c>
      <c r="F1908" s="1">
        <f ca="1">IFERROR(__xludf.DUMMYFUNCTION("""COMPUTED_VALUE"""),42065395)</f>
        <v>42065395</v>
      </c>
    </row>
    <row r="1909" spans="1:6" x14ac:dyDescent="0.35">
      <c r="A1909" s="2">
        <f ca="1">IFERROR(__xludf.DUMMYFUNCTION("""COMPUTED_VALUE"""),44774.6666666666)</f>
        <v>44774.666666666599</v>
      </c>
      <c r="B1909" s="1">
        <f ca="1">IFERROR(__xludf.DUMMYFUNCTION("""COMPUTED_VALUE"""),157.25)</f>
        <v>157.25</v>
      </c>
      <c r="C1909" s="1">
        <f ca="1">IFERROR(__xludf.DUMMYFUNCTION("""COMPUTED_VALUE"""),165.19)</f>
        <v>165.19</v>
      </c>
      <c r="D1909" s="1">
        <f ca="1">IFERROR(__xludf.DUMMYFUNCTION("""COMPUTED_VALUE"""),155.23)</f>
        <v>155.22999999999999</v>
      </c>
      <c r="E1909" s="1">
        <f ca="1">IFERROR(__xludf.DUMMYFUNCTION("""COMPUTED_VALUE"""),159.93)</f>
        <v>159.93</v>
      </c>
      <c r="F1909" s="1">
        <f ca="1">IFERROR(__xludf.DUMMYFUNCTION("""COMPUTED_VALUE"""),40596702)</f>
        <v>40596702</v>
      </c>
    </row>
    <row r="1910" spans="1:6" x14ac:dyDescent="0.35">
      <c r="A1910" s="2">
        <f ca="1">IFERROR(__xludf.DUMMYFUNCTION("""COMPUTED_VALUE"""),44775.6666666666)</f>
        <v>44775.666666666599</v>
      </c>
      <c r="B1910" s="1">
        <f ca="1">IFERROR(__xludf.DUMMYFUNCTION("""COMPUTED_VALUE"""),158.31)</f>
        <v>158.31</v>
      </c>
      <c r="C1910" s="1">
        <f ca="1">IFERROR(__xludf.DUMMYFUNCTION("""COMPUTED_VALUE"""),162.24)</f>
        <v>162.24</v>
      </c>
      <c r="D1910" s="1">
        <f ca="1">IFERROR(__xludf.DUMMYFUNCTION("""COMPUTED_VALUE"""),158.01)</f>
        <v>158.01</v>
      </c>
      <c r="E1910" s="1">
        <f ca="1">IFERROR(__xludf.DUMMYFUNCTION("""COMPUTED_VALUE"""),160.19)</f>
        <v>160.19</v>
      </c>
      <c r="F1910" s="1">
        <f ca="1">IFERROR(__xludf.DUMMYFUNCTION("""COMPUTED_VALUE"""),27374516)</f>
        <v>27374516</v>
      </c>
    </row>
    <row r="1911" spans="1:6" x14ac:dyDescent="0.35">
      <c r="A1911" s="2">
        <f ca="1">IFERROR(__xludf.DUMMYFUNCTION("""COMPUTED_VALUE"""),44776.6666666666)</f>
        <v>44776.666666666599</v>
      </c>
      <c r="B1911" s="1">
        <f ca="1">IFERROR(__xludf.DUMMYFUNCTION("""COMPUTED_VALUE"""),162.69)</f>
        <v>162.69</v>
      </c>
      <c r="C1911" s="1">
        <f ca="1">IFERROR(__xludf.DUMMYFUNCTION("""COMPUTED_VALUE"""),169.54)</f>
        <v>169.54</v>
      </c>
      <c r="D1911" s="1">
        <f ca="1">IFERROR(__xludf.DUMMYFUNCTION("""COMPUTED_VALUE"""),161.57)</f>
        <v>161.57</v>
      </c>
      <c r="E1911" s="1">
        <f ca="1">IFERROR(__xludf.DUMMYFUNCTION("""COMPUTED_VALUE"""),168.8)</f>
        <v>168.8</v>
      </c>
      <c r="F1911" s="1">
        <f ca="1">IFERROR(__xludf.DUMMYFUNCTION("""COMPUTED_VALUE"""),31717527)</f>
        <v>31717527</v>
      </c>
    </row>
    <row r="1912" spans="1:6" x14ac:dyDescent="0.35">
      <c r="A1912" s="2">
        <f ca="1">IFERROR(__xludf.DUMMYFUNCTION("""COMPUTED_VALUE"""),44777.6666666666)</f>
        <v>44777.666666666599</v>
      </c>
      <c r="B1912" s="1">
        <f ca="1">IFERROR(__xludf.DUMMYFUNCTION("""COMPUTED_VALUE"""),168.3)</f>
        <v>168.3</v>
      </c>
      <c r="C1912" s="1">
        <f ca="1">IFERROR(__xludf.DUMMYFUNCTION("""COMPUTED_VALUE"""),172.15)</f>
        <v>172.15</v>
      </c>
      <c r="D1912" s="1">
        <f ca="1">IFERROR(__xludf.DUMMYFUNCTION("""COMPUTED_VALUE"""),166.8)</f>
        <v>166.8</v>
      </c>
      <c r="E1912" s="1">
        <f ca="1">IFERROR(__xludf.DUMMYFUNCTION("""COMPUTED_VALUE"""),170.57)</f>
        <v>170.57</v>
      </c>
      <c r="F1912" s="1">
        <f ca="1">IFERROR(__xludf.DUMMYFUNCTION("""COMPUTED_VALUE"""),23938212)</f>
        <v>23938212</v>
      </c>
    </row>
    <row r="1913" spans="1:6" x14ac:dyDescent="0.35">
      <c r="A1913" s="2">
        <f ca="1">IFERROR(__xludf.DUMMYFUNCTION("""COMPUTED_VALUE"""),44778.6666666666)</f>
        <v>44778.666666666599</v>
      </c>
      <c r="B1913" s="1">
        <f ca="1">IFERROR(__xludf.DUMMYFUNCTION("""COMPUTED_VALUE"""),166.99)</f>
        <v>166.99</v>
      </c>
      <c r="C1913" s="1">
        <f ca="1">IFERROR(__xludf.DUMMYFUNCTION("""COMPUTED_VALUE"""),171.61)</f>
        <v>171.61</v>
      </c>
      <c r="D1913" s="1">
        <f ca="1">IFERROR(__xludf.DUMMYFUNCTION("""COMPUTED_VALUE"""),165.8)</f>
        <v>165.8</v>
      </c>
      <c r="E1913" s="1">
        <f ca="1">IFERROR(__xludf.DUMMYFUNCTION("""COMPUTED_VALUE"""),167.11)</f>
        <v>167.11</v>
      </c>
      <c r="F1913" s="1">
        <f ca="1">IFERROR(__xludf.DUMMYFUNCTION("""COMPUTED_VALUE"""),25832701)</f>
        <v>25832701</v>
      </c>
    </row>
    <row r="1914" spans="1:6" x14ac:dyDescent="0.35">
      <c r="A1914" s="2">
        <f ca="1">IFERROR(__xludf.DUMMYFUNCTION("""COMPUTED_VALUE"""),44781.6666666666)</f>
        <v>44781.666666666599</v>
      </c>
      <c r="B1914" s="1">
        <f ca="1">IFERROR(__xludf.DUMMYFUNCTION("""COMPUTED_VALUE"""),168)</f>
        <v>168</v>
      </c>
      <c r="C1914" s="1">
        <f ca="1">IFERROR(__xludf.DUMMYFUNCTION("""COMPUTED_VALUE"""),177.51)</f>
        <v>177.51</v>
      </c>
      <c r="D1914" s="1">
        <f ca="1">IFERROR(__xludf.DUMMYFUNCTION("""COMPUTED_VALUE"""),167.13)</f>
        <v>167.13</v>
      </c>
      <c r="E1914" s="1">
        <f ca="1">IFERROR(__xludf.DUMMYFUNCTION("""COMPUTED_VALUE"""),170.25)</f>
        <v>170.25</v>
      </c>
      <c r="F1914" s="1">
        <f ca="1">IFERROR(__xludf.DUMMYFUNCTION("""COMPUTED_VALUE"""),27299113)</f>
        <v>27299113</v>
      </c>
    </row>
    <row r="1915" spans="1:6" x14ac:dyDescent="0.35">
      <c r="A1915" s="2">
        <f ca="1">IFERROR(__xludf.DUMMYFUNCTION("""COMPUTED_VALUE"""),44782.6666666666)</f>
        <v>44782.666666666599</v>
      </c>
      <c r="B1915" s="1">
        <f ca="1">IFERROR(__xludf.DUMMYFUNCTION("""COMPUTED_VALUE"""),168.95)</f>
        <v>168.95</v>
      </c>
      <c r="C1915" s="1">
        <f ca="1">IFERROR(__xludf.DUMMYFUNCTION("""COMPUTED_VALUE"""),169.53)</f>
        <v>169.53</v>
      </c>
      <c r="D1915" s="1">
        <f ca="1">IFERROR(__xludf.DUMMYFUNCTION("""COMPUTED_VALUE"""),166.6)</f>
        <v>166.6</v>
      </c>
      <c r="E1915" s="1">
        <f ca="1">IFERROR(__xludf.DUMMYFUNCTION("""COMPUTED_VALUE"""),168.53)</f>
        <v>168.53</v>
      </c>
      <c r="F1915" s="1">
        <f ca="1">IFERROR(__xludf.DUMMYFUNCTION("""COMPUTED_VALUE"""),18655056)</f>
        <v>18655056</v>
      </c>
    </row>
    <row r="1916" spans="1:6" x14ac:dyDescent="0.35">
      <c r="A1916" s="2">
        <f ca="1">IFERROR(__xludf.DUMMYFUNCTION("""COMPUTED_VALUE"""),44783.6666666666)</f>
        <v>44783.666666666599</v>
      </c>
      <c r="B1916" s="1">
        <f ca="1">IFERROR(__xludf.DUMMYFUNCTION("""COMPUTED_VALUE"""),175.99)</f>
        <v>175.99</v>
      </c>
      <c r="C1916" s="1">
        <f ca="1">IFERROR(__xludf.DUMMYFUNCTION("""COMPUTED_VALUE"""),180.48)</f>
        <v>180.48</v>
      </c>
      <c r="D1916" s="1">
        <f ca="1">IFERROR(__xludf.DUMMYFUNCTION("""COMPUTED_VALUE"""),173.95)</f>
        <v>173.95</v>
      </c>
      <c r="E1916" s="1">
        <f ca="1">IFERROR(__xludf.DUMMYFUNCTION("""COMPUTED_VALUE"""),178.34)</f>
        <v>178.34</v>
      </c>
      <c r="F1916" s="1">
        <f ca="1">IFERROR(__xludf.DUMMYFUNCTION("""COMPUTED_VALUE"""),30262132)</f>
        <v>30262132</v>
      </c>
    </row>
    <row r="1917" spans="1:6" x14ac:dyDescent="0.35">
      <c r="A1917" s="2">
        <f ca="1">IFERROR(__xludf.DUMMYFUNCTION("""COMPUTED_VALUE"""),44784.6666666666)</f>
        <v>44784.666666666599</v>
      </c>
      <c r="B1917" s="1">
        <f ca="1">IFERROR(__xludf.DUMMYFUNCTION("""COMPUTED_VALUE"""),179.71)</f>
        <v>179.71</v>
      </c>
      <c r="C1917" s="1">
        <f ca="1">IFERROR(__xludf.DUMMYFUNCTION("""COMPUTED_VALUE"""),183.1)</f>
        <v>183.1</v>
      </c>
      <c r="D1917" s="1">
        <f ca="1">IFERROR(__xludf.DUMMYFUNCTION("""COMPUTED_VALUE"""),176.37)</f>
        <v>176.37</v>
      </c>
      <c r="E1917" s="1">
        <f ca="1">IFERROR(__xludf.DUMMYFUNCTION("""COMPUTED_VALUE"""),177.49)</f>
        <v>177.49</v>
      </c>
      <c r="F1917" s="1">
        <f ca="1">IFERROR(__xludf.DUMMYFUNCTION("""COMPUTED_VALUE"""),24079062)</f>
        <v>24079062</v>
      </c>
    </row>
    <row r="1918" spans="1:6" x14ac:dyDescent="0.35">
      <c r="A1918" s="2">
        <f ca="1">IFERROR(__xludf.DUMMYFUNCTION("""COMPUTED_VALUE"""),44785.6666666666)</f>
        <v>44785.666666666599</v>
      </c>
      <c r="B1918" s="1">
        <f ca="1">IFERROR(__xludf.DUMMYFUNCTION("""COMPUTED_VALUE"""),180.81)</f>
        <v>180.81</v>
      </c>
      <c r="C1918" s="1">
        <f ca="1">IFERROR(__xludf.DUMMYFUNCTION("""COMPUTED_VALUE"""),181.46)</f>
        <v>181.46</v>
      </c>
      <c r="D1918" s="1">
        <f ca="1">IFERROR(__xludf.DUMMYFUNCTION("""COMPUTED_VALUE"""),178.91)</f>
        <v>178.91</v>
      </c>
      <c r="E1918" s="1">
        <f ca="1">IFERROR(__xludf.DUMMYFUNCTION("""COMPUTED_VALUE"""),180.5)</f>
        <v>180.5</v>
      </c>
      <c r="F1918" s="1">
        <f ca="1">IFERROR(__xludf.DUMMYFUNCTION("""COMPUTED_VALUE"""),21274046)</f>
        <v>21274046</v>
      </c>
    </row>
    <row r="1919" spans="1:6" x14ac:dyDescent="0.35">
      <c r="A1919" s="2">
        <f ca="1">IFERROR(__xludf.DUMMYFUNCTION("""COMPUTED_VALUE"""),44788.6666666666)</f>
        <v>44788.666666666599</v>
      </c>
      <c r="B1919" s="1">
        <f ca="1">IFERROR(__xludf.DUMMYFUNCTION("""COMPUTED_VALUE"""),178.96)</f>
        <v>178.96</v>
      </c>
      <c r="C1919" s="1">
        <f ca="1">IFERROR(__xludf.DUMMYFUNCTION("""COMPUTED_VALUE"""),181.44)</f>
        <v>181.44</v>
      </c>
      <c r="D1919" s="1">
        <f ca="1">IFERROR(__xludf.DUMMYFUNCTION("""COMPUTED_VALUE"""),178.2)</f>
        <v>178.2</v>
      </c>
      <c r="E1919" s="1">
        <f ca="1">IFERROR(__xludf.DUMMYFUNCTION("""COMPUTED_VALUE"""),180.89)</f>
        <v>180.89</v>
      </c>
      <c r="F1919" s="1">
        <f ca="1">IFERROR(__xludf.DUMMYFUNCTION("""COMPUTED_VALUE"""),15878671)</f>
        <v>15878671</v>
      </c>
    </row>
    <row r="1920" spans="1:6" x14ac:dyDescent="0.35">
      <c r="A1920" s="2">
        <f ca="1">IFERROR(__xludf.DUMMYFUNCTION("""COMPUTED_VALUE"""),44789.6666666666)</f>
        <v>44789.666666666599</v>
      </c>
      <c r="B1920" s="1">
        <f ca="1">IFERROR(__xludf.DUMMYFUNCTION("""COMPUTED_VALUE"""),179.44)</f>
        <v>179.44</v>
      </c>
      <c r="C1920" s="1">
        <f ca="1">IFERROR(__xludf.DUMMYFUNCTION("""COMPUTED_VALUE"""),180.99)</f>
        <v>180.99</v>
      </c>
      <c r="D1920" s="1">
        <f ca="1">IFERROR(__xludf.DUMMYFUNCTION("""COMPUTED_VALUE"""),177.04)</f>
        <v>177.04</v>
      </c>
      <c r="E1920" s="1">
        <f ca="1">IFERROR(__xludf.DUMMYFUNCTION("""COMPUTED_VALUE"""),179.47)</f>
        <v>179.47</v>
      </c>
      <c r="F1920" s="1">
        <f ca="1">IFERROR(__xludf.DUMMYFUNCTION("""COMPUTED_VALUE"""),21156710)</f>
        <v>21156710</v>
      </c>
    </row>
    <row r="1921" spans="1:6" x14ac:dyDescent="0.35">
      <c r="A1921" s="2">
        <f ca="1">IFERROR(__xludf.DUMMYFUNCTION("""COMPUTED_VALUE"""),44790.6666666666)</f>
        <v>44790.666666666599</v>
      </c>
      <c r="B1921" s="1">
        <f ca="1">IFERROR(__xludf.DUMMYFUNCTION("""COMPUTED_VALUE"""),176.76)</f>
        <v>176.76</v>
      </c>
      <c r="C1921" s="1">
        <f ca="1">IFERROR(__xludf.DUMMYFUNCTION("""COMPUTED_VALUE"""),178.14)</f>
        <v>178.14</v>
      </c>
      <c r="D1921" s="1">
        <f ca="1">IFERROR(__xludf.DUMMYFUNCTION("""COMPUTED_VALUE"""),174.17)</f>
        <v>174.17</v>
      </c>
      <c r="E1921" s="1">
        <f ca="1">IFERROR(__xludf.DUMMYFUNCTION("""COMPUTED_VALUE"""),174.85)</f>
        <v>174.85</v>
      </c>
      <c r="F1921" s="1">
        <f ca="1">IFERROR(__xludf.DUMMYFUNCTION("""COMPUTED_VALUE"""),20118133)</f>
        <v>20118133</v>
      </c>
    </row>
    <row r="1922" spans="1:6" x14ac:dyDescent="0.35">
      <c r="A1922" s="2">
        <f ca="1">IFERROR(__xludf.DUMMYFUNCTION("""COMPUTED_VALUE"""),44791.6666666666)</f>
        <v>44791.666666666599</v>
      </c>
      <c r="B1922" s="1">
        <f ca="1">IFERROR(__xludf.DUMMYFUNCTION("""COMPUTED_VALUE"""),174.34)</f>
        <v>174.34</v>
      </c>
      <c r="C1922" s="1">
        <f ca="1">IFERROR(__xludf.DUMMYFUNCTION("""COMPUTED_VALUE"""),175.76)</f>
        <v>175.76</v>
      </c>
      <c r="D1922" s="1">
        <f ca="1">IFERROR(__xludf.DUMMYFUNCTION("""COMPUTED_VALUE"""),171.86)</f>
        <v>171.86</v>
      </c>
      <c r="E1922" s="1">
        <f ca="1">IFERROR(__xludf.DUMMYFUNCTION("""COMPUTED_VALUE"""),174.66)</f>
        <v>174.66</v>
      </c>
      <c r="F1922" s="1">
        <f ca="1">IFERROR(__xludf.DUMMYFUNCTION("""COMPUTED_VALUE"""),18844451)</f>
        <v>18844451</v>
      </c>
    </row>
    <row r="1923" spans="1:6" x14ac:dyDescent="0.35">
      <c r="A1923" s="2">
        <f ca="1">IFERROR(__xludf.DUMMYFUNCTION("""COMPUTED_VALUE"""),44792.6666666666)</f>
        <v>44792.666666666599</v>
      </c>
      <c r="B1923" s="1">
        <f ca="1">IFERROR(__xludf.DUMMYFUNCTION("""COMPUTED_VALUE"""),170.2)</f>
        <v>170.2</v>
      </c>
      <c r="C1923" s="1">
        <f ca="1">IFERROR(__xludf.DUMMYFUNCTION("""COMPUTED_VALUE"""),172.32)</f>
        <v>172.32</v>
      </c>
      <c r="D1923" s="1">
        <f ca="1">IFERROR(__xludf.DUMMYFUNCTION("""COMPUTED_VALUE"""),167.05)</f>
        <v>167.05</v>
      </c>
      <c r="E1923" s="1">
        <f ca="1">IFERROR(__xludf.DUMMYFUNCTION("""COMPUTED_VALUE"""),167.96)</f>
        <v>167.96</v>
      </c>
      <c r="F1923" s="1">
        <f ca="1">IFERROR(__xludf.DUMMYFUNCTION("""COMPUTED_VALUE"""),26240799)</f>
        <v>26240799</v>
      </c>
    </row>
    <row r="1924" spans="1:6" x14ac:dyDescent="0.35">
      <c r="A1924" s="2">
        <f ca="1">IFERROR(__xludf.DUMMYFUNCTION("""COMPUTED_VALUE"""),44795.6666666666)</f>
        <v>44795.666666666599</v>
      </c>
      <c r="B1924" s="1">
        <f ca="1">IFERROR(__xludf.DUMMYFUNCTION("""COMPUTED_VALUE"""),165.49)</f>
        <v>165.49</v>
      </c>
      <c r="C1924" s="1">
        <f ca="1">IFERROR(__xludf.DUMMYFUNCTION("""COMPUTED_VALUE"""),165.49)</f>
        <v>165.49</v>
      </c>
      <c r="D1924" s="1">
        <f ca="1">IFERROR(__xludf.DUMMYFUNCTION("""COMPUTED_VALUE"""),162.26)</f>
        <v>162.26</v>
      </c>
      <c r="E1924" s="1">
        <f ca="1">IFERROR(__xludf.DUMMYFUNCTION("""COMPUTED_VALUE"""),163.05)</f>
        <v>163.05000000000001</v>
      </c>
      <c r="F1924" s="1">
        <f ca="1">IFERROR(__xludf.DUMMYFUNCTION("""COMPUTED_VALUE"""),19499711)</f>
        <v>19499711</v>
      </c>
    </row>
    <row r="1925" spans="1:6" x14ac:dyDescent="0.35">
      <c r="A1925" s="2">
        <f ca="1">IFERROR(__xludf.DUMMYFUNCTION("""COMPUTED_VALUE"""),44796.6666666666)</f>
        <v>44796.666666666599</v>
      </c>
      <c r="B1925" s="1">
        <f ca="1">IFERROR(__xludf.DUMMYFUNCTION("""COMPUTED_VALUE"""),162.48)</f>
        <v>162.47999999999999</v>
      </c>
      <c r="C1925" s="1">
        <f ca="1">IFERROR(__xludf.DUMMYFUNCTION("""COMPUTED_VALUE"""),165.05)</f>
        <v>165.05</v>
      </c>
      <c r="D1925" s="1">
        <f ca="1">IFERROR(__xludf.DUMMYFUNCTION("""COMPUTED_VALUE"""),160.7)</f>
        <v>160.69999999999999</v>
      </c>
      <c r="E1925" s="1">
        <f ca="1">IFERROR(__xludf.DUMMYFUNCTION("""COMPUTED_VALUE"""),161.11)</f>
        <v>161.11000000000001</v>
      </c>
      <c r="F1925" s="1">
        <f ca="1">IFERROR(__xludf.DUMMYFUNCTION("""COMPUTED_VALUE"""),18111777)</f>
        <v>18111777</v>
      </c>
    </row>
    <row r="1926" spans="1:6" x14ac:dyDescent="0.35">
      <c r="A1926" s="2">
        <f ca="1">IFERROR(__xludf.DUMMYFUNCTION("""COMPUTED_VALUE"""),44797.6666666666)</f>
        <v>44797.666666666599</v>
      </c>
      <c r="B1926" s="1">
        <f ca="1">IFERROR(__xludf.DUMMYFUNCTION("""COMPUTED_VALUE"""),160.6)</f>
        <v>160.6</v>
      </c>
      <c r="C1926" s="1">
        <f ca="1">IFERROR(__xludf.DUMMYFUNCTION("""COMPUTED_VALUE"""),165.46)</f>
        <v>165.46</v>
      </c>
      <c r="D1926" s="1">
        <f ca="1">IFERROR(__xludf.DUMMYFUNCTION("""COMPUTED_VALUE"""),159.77)</f>
        <v>159.77000000000001</v>
      </c>
      <c r="E1926" s="1">
        <f ca="1">IFERROR(__xludf.DUMMYFUNCTION("""COMPUTED_VALUE"""),163.26)</f>
        <v>163.26</v>
      </c>
      <c r="F1926" s="1">
        <f ca="1">IFERROR(__xludf.DUMMYFUNCTION("""COMPUTED_VALUE"""),20891481)</f>
        <v>20891481</v>
      </c>
    </row>
    <row r="1927" spans="1:6" x14ac:dyDescent="0.35">
      <c r="A1927" s="2">
        <f ca="1">IFERROR(__xludf.DUMMYFUNCTION("""COMPUTED_VALUE"""),44798.6666666666)</f>
        <v>44798.666666666599</v>
      </c>
      <c r="B1927" s="1">
        <f ca="1">IFERROR(__xludf.DUMMYFUNCTION("""COMPUTED_VALUE"""),165.18)</f>
        <v>165.18</v>
      </c>
      <c r="C1927" s="1">
        <f ca="1">IFERROR(__xludf.DUMMYFUNCTION("""COMPUTED_VALUE"""),168.88)</f>
        <v>168.88</v>
      </c>
      <c r="D1927" s="1">
        <f ca="1">IFERROR(__xludf.DUMMYFUNCTION("""COMPUTED_VALUE"""),164.02)</f>
        <v>164.02</v>
      </c>
      <c r="E1927" s="1">
        <f ca="1">IFERROR(__xludf.DUMMYFUNCTION("""COMPUTED_VALUE"""),168.78)</f>
        <v>168.78</v>
      </c>
      <c r="F1927" s="1">
        <f ca="1">IFERROR(__xludf.DUMMYFUNCTION("""COMPUTED_VALUE"""),15550514)</f>
        <v>15550514</v>
      </c>
    </row>
    <row r="1928" spans="1:6" x14ac:dyDescent="0.35">
      <c r="A1928" s="2">
        <f ca="1">IFERROR(__xludf.DUMMYFUNCTION("""COMPUTED_VALUE"""),44799.6666666666)</f>
        <v>44799.666666666599</v>
      </c>
      <c r="B1928" s="1">
        <f ca="1">IFERROR(__xludf.DUMMYFUNCTION("""COMPUTED_VALUE"""),168.48)</f>
        <v>168.48</v>
      </c>
      <c r="C1928" s="1">
        <f ca="1">IFERROR(__xludf.DUMMYFUNCTION("""COMPUTED_VALUE"""),170.92)</f>
        <v>170.92</v>
      </c>
      <c r="D1928" s="1">
        <f ca="1">IFERROR(__xludf.DUMMYFUNCTION("""COMPUTED_VALUE"""),161.67)</f>
        <v>161.66999999999999</v>
      </c>
      <c r="E1928" s="1">
        <f ca="1">IFERROR(__xludf.DUMMYFUNCTION("""COMPUTED_VALUE"""),161.78)</f>
        <v>161.78</v>
      </c>
      <c r="F1928" s="1">
        <f ca="1">IFERROR(__xludf.DUMMYFUNCTION("""COMPUTED_VALUE"""),24023633)</f>
        <v>24023633</v>
      </c>
    </row>
    <row r="1929" spans="1:6" x14ac:dyDescent="0.35">
      <c r="A1929" s="2">
        <f ca="1">IFERROR(__xludf.DUMMYFUNCTION("""COMPUTED_VALUE"""),44802.6666666666)</f>
        <v>44802.666666666599</v>
      </c>
      <c r="B1929" s="1">
        <f ca="1">IFERROR(__xludf.DUMMYFUNCTION("""COMPUTED_VALUE"""),160.66)</f>
        <v>160.66</v>
      </c>
      <c r="C1929" s="1">
        <f ca="1">IFERROR(__xludf.DUMMYFUNCTION("""COMPUTED_VALUE"""),163.05)</f>
        <v>163.05000000000001</v>
      </c>
      <c r="D1929" s="1">
        <f ca="1">IFERROR(__xludf.DUMMYFUNCTION("""COMPUTED_VALUE"""),159.01)</f>
        <v>159.01</v>
      </c>
      <c r="E1929" s="1">
        <f ca="1">IFERROR(__xludf.DUMMYFUNCTION("""COMPUTED_VALUE"""),159.17)</f>
        <v>159.16999999999999</v>
      </c>
      <c r="F1929" s="1">
        <f ca="1">IFERROR(__xludf.DUMMYFUNCTION("""COMPUTED_VALUE"""),20052661)</f>
        <v>20052661</v>
      </c>
    </row>
    <row r="1930" spans="1:6" x14ac:dyDescent="0.35">
      <c r="A1930" s="2">
        <f ca="1">IFERROR(__xludf.DUMMYFUNCTION("""COMPUTED_VALUE"""),44803.6666666666)</f>
        <v>44803.666666666599</v>
      </c>
      <c r="B1930" s="1">
        <f ca="1">IFERROR(__xludf.DUMMYFUNCTION("""COMPUTED_VALUE"""),160.35)</f>
        <v>160.35</v>
      </c>
      <c r="C1930" s="1">
        <f ca="1">IFERROR(__xludf.DUMMYFUNCTION("""COMPUTED_VALUE"""),161.66)</f>
        <v>161.66</v>
      </c>
      <c r="D1930" s="1">
        <f ca="1">IFERROR(__xludf.DUMMYFUNCTION("""COMPUTED_VALUE"""),155.91)</f>
        <v>155.91</v>
      </c>
      <c r="E1930" s="1">
        <f ca="1">IFERROR(__xludf.DUMMYFUNCTION("""COMPUTED_VALUE"""),157.16)</f>
        <v>157.16</v>
      </c>
      <c r="F1930" s="1">
        <f ca="1">IFERROR(__xludf.DUMMYFUNCTION("""COMPUTED_VALUE"""),19567948)</f>
        <v>19567948</v>
      </c>
    </row>
    <row r="1931" spans="1:6" x14ac:dyDescent="0.35">
      <c r="A1931" s="2">
        <f ca="1">IFERROR(__xludf.DUMMYFUNCTION("""COMPUTED_VALUE"""),44804.6666666666)</f>
        <v>44804.666666666599</v>
      </c>
      <c r="B1931" s="1">
        <f ca="1">IFERROR(__xludf.DUMMYFUNCTION("""COMPUTED_VALUE"""),167.07)</f>
        <v>167.07</v>
      </c>
      <c r="C1931" s="1">
        <f ca="1">IFERROR(__xludf.DUMMYFUNCTION("""COMPUTED_VALUE"""),167.84)</f>
        <v>167.84</v>
      </c>
      <c r="D1931" s="1">
        <f ca="1">IFERROR(__xludf.DUMMYFUNCTION("""COMPUTED_VALUE"""),162.14)</f>
        <v>162.13999999999999</v>
      </c>
      <c r="E1931" s="1">
        <f ca="1">IFERROR(__xludf.DUMMYFUNCTION("""COMPUTED_VALUE"""),162.93)</f>
        <v>162.93</v>
      </c>
      <c r="F1931" s="1">
        <f ca="1">IFERROR(__xludf.DUMMYFUNCTION("""COMPUTED_VALUE"""),40952975)</f>
        <v>40952975</v>
      </c>
    </row>
    <row r="1932" spans="1:6" x14ac:dyDescent="0.35">
      <c r="A1932" s="2">
        <f ca="1">IFERROR(__xludf.DUMMYFUNCTION("""COMPUTED_VALUE"""),44805.6666666666)</f>
        <v>44805.666666666599</v>
      </c>
      <c r="B1932" s="1">
        <f ca="1">IFERROR(__xludf.DUMMYFUNCTION("""COMPUTED_VALUE"""),163.58)</f>
        <v>163.58000000000001</v>
      </c>
      <c r="C1932" s="1">
        <f ca="1">IFERROR(__xludf.DUMMYFUNCTION("""COMPUTED_VALUE"""),167.36)</f>
        <v>167.36</v>
      </c>
      <c r="D1932" s="1">
        <f ca="1">IFERROR(__xludf.DUMMYFUNCTION("""COMPUTED_VALUE"""),160.35)</f>
        <v>160.35</v>
      </c>
      <c r="E1932" s="1">
        <f ca="1">IFERROR(__xludf.DUMMYFUNCTION("""COMPUTED_VALUE"""),165.36)</f>
        <v>165.36</v>
      </c>
      <c r="F1932" s="1">
        <f ca="1">IFERROR(__xludf.DUMMYFUNCTION("""COMPUTED_VALUE"""),30145683)</f>
        <v>30145683</v>
      </c>
    </row>
    <row r="1933" spans="1:6" x14ac:dyDescent="0.35">
      <c r="A1933" s="2">
        <f ca="1">IFERROR(__xludf.DUMMYFUNCTION("""COMPUTED_VALUE"""),44806.6666666666)</f>
        <v>44806.666666666599</v>
      </c>
      <c r="B1933" s="1">
        <f ca="1">IFERROR(__xludf.DUMMYFUNCTION("""COMPUTED_VALUE"""),167.45)</f>
        <v>167.45</v>
      </c>
      <c r="C1933" s="1">
        <f ca="1">IFERROR(__xludf.DUMMYFUNCTION("""COMPUTED_VALUE"""),167.93)</f>
        <v>167.93</v>
      </c>
      <c r="D1933" s="1">
        <f ca="1">IFERROR(__xludf.DUMMYFUNCTION("""COMPUTED_VALUE"""),159.22)</f>
        <v>159.22</v>
      </c>
      <c r="E1933" s="1">
        <f ca="1">IFERROR(__xludf.DUMMYFUNCTION("""COMPUTED_VALUE"""),160.32)</f>
        <v>160.32</v>
      </c>
      <c r="F1933" s="1">
        <f ca="1">IFERROR(__xludf.DUMMYFUNCTION("""COMPUTED_VALUE"""),22634191)</f>
        <v>22634191</v>
      </c>
    </row>
    <row r="1934" spans="1:6" x14ac:dyDescent="0.35">
      <c r="A1934" s="2">
        <f ca="1">IFERROR(__xludf.DUMMYFUNCTION("""COMPUTED_VALUE"""),44810.6666666666)</f>
        <v>44810.666666666599</v>
      </c>
      <c r="B1934" s="1">
        <f ca="1">IFERROR(__xludf.DUMMYFUNCTION("""COMPUTED_VALUE"""),160.1)</f>
        <v>160.1</v>
      </c>
      <c r="C1934" s="1">
        <f ca="1">IFERROR(__xludf.DUMMYFUNCTION("""COMPUTED_VALUE"""),161.69)</f>
        <v>161.69</v>
      </c>
      <c r="D1934" s="1">
        <f ca="1">IFERROR(__xludf.DUMMYFUNCTION("""COMPUTED_VALUE"""),157.69)</f>
        <v>157.69</v>
      </c>
      <c r="E1934" s="1">
        <f ca="1">IFERROR(__xludf.DUMMYFUNCTION("""COMPUTED_VALUE"""),158.54)</f>
        <v>158.54</v>
      </c>
      <c r="F1934" s="1">
        <f ca="1">IFERROR(__xludf.DUMMYFUNCTION("""COMPUTED_VALUE"""),19339781)</f>
        <v>19339781</v>
      </c>
    </row>
    <row r="1935" spans="1:6" x14ac:dyDescent="0.35">
      <c r="A1935" s="2">
        <f ca="1">IFERROR(__xludf.DUMMYFUNCTION("""COMPUTED_VALUE"""),44811.6666666666)</f>
        <v>44811.666666666599</v>
      </c>
      <c r="B1935" s="1">
        <f ca="1">IFERROR(__xludf.DUMMYFUNCTION("""COMPUTED_VALUE"""),157.76)</f>
        <v>157.76</v>
      </c>
      <c r="C1935" s="1">
        <f ca="1">IFERROR(__xludf.DUMMYFUNCTION("""COMPUTED_VALUE"""),160.96)</f>
        <v>160.96</v>
      </c>
      <c r="D1935" s="1">
        <f ca="1">IFERROR(__xludf.DUMMYFUNCTION("""COMPUTED_VALUE"""),156.81)</f>
        <v>156.81</v>
      </c>
      <c r="E1935" s="1">
        <f ca="1">IFERROR(__xludf.DUMMYFUNCTION("""COMPUTED_VALUE"""),160.39)</f>
        <v>160.38999999999999</v>
      </c>
      <c r="F1935" s="1">
        <f ca="1">IFERROR(__xludf.DUMMYFUNCTION("""COMPUTED_VALUE"""),16831182)</f>
        <v>16831182</v>
      </c>
    </row>
    <row r="1936" spans="1:6" x14ac:dyDescent="0.35">
      <c r="A1936" s="2">
        <f ca="1">IFERROR(__xludf.DUMMYFUNCTION("""COMPUTED_VALUE"""),44812.6666666666)</f>
        <v>44812.666666666599</v>
      </c>
      <c r="B1936" s="1">
        <f ca="1">IFERROR(__xludf.DUMMYFUNCTION("""COMPUTED_VALUE"""),158.71)</f>
        <v>158.71</v>
      </c>
      <c r="C1936" s="1">
        <f ca="1">IFERROR(__xludf.DUMMYFUNCTION("""COMPUTED_VALUE"""),162.23)</f>
        <v>162.22999999999999</v>
      </c>
      <c r="D1936" s="1">
        <f ca="1">IFERROR(__xludf.DUMMYFUNCTION("""COMPUTED_VALUE"""),157.74)</f>
        <v>157.74</v>
      </c>
      <c r="E1936" s="1">
        <f ca="1">IFERROR(__xludf.DUMMYFUNCTION("""COMPUTED_VALUE"""),162.06)</f>
        <v>162.06</v>
      </c>
      <c r="F1936" s="1">
        <f ca="1">IFERROR(__xludf.DUMMYFUNCTION("""COMPUTED_VALUE"""),22530785)</f>
        <v>22530785</v>
      </c>
    </row>
    <row r="1937" spans="1:6" x14ac:dyDescent="0.35">
      <c r="A1937" s="2">
        <f ca="1">IFERROR(__xludf.DUMMYFUNCTION("""COMPUTED_VALUE"""),44813.6666666666)</f>
        <v>44813.666666666599</v>
      </c>
      <c r="B1937" s="1">
        <f ca="1">IFERROR(__xludf.DUMMYFUNCTION("""COMPUTED_VALUE"""),163.25)</f>
        <v>163.25</v>
      </c>
      <c r="C1937" s="1">
        <f ca="1">IFERROR(__xludf.DUMMYFUNCTION("""COMPUTED_VALUE"""),169.54)</f>
        <v>169.54</v>
      </c>
      <c r="D1937" s="1">
        <f ca="1">IFERROR(__xludf.DUMMYFUNCTION("""COMPUTED_VALUE"""),163.02)</f>
        <v>163.02000000000001</v>
      </c>
      <c r="E1937" s="1">
        <f ca="1">IFERROR(__xludf.DUMMYFUNCTION("""COMPUTED_VALUE"""),169.15)</f>
        <v>169.15</v>
      </c>
      <c r="F1937" s="1">
        <f ca="1">IFERROR(__xludf.DUMMYFUNCTION("""COMPUTED_VALUE"""),22129802)</f>
        <v>22129802</v>
      </c>
    </row>
    <row r="1938" spans="1:6" x14ac:dyDescent="0.35">
      <c r="A1938" s="2">
        <f ca="1">IFERROR(__xludf.DUMMYFUNCTION("""COMPUTED_VALUE"""),44816.6666666666)</f>
        <v>44816.666666666599</v>
      </c>
      <c r="B1938" s="1">
        <f ca="1">IFERROR(__xludf.DUMMYFUNCTION("""COMPUTED_VALUE"""),167.39)</f>
        <v>167.39</v>
      </c>
      <c r="C1938" s="1">
        <f ca="1">IFERROR(__xludf.DUMMYFUNCTION("""COMPUTED_VALUE"""),171.39)</f>
        <v>171.39</v>
      </c>
      <c r="D1938" s="1">
        <f ca="1">IFERROR(__xludf.DUMMYFUNCTION("""COMPUTED_VALUE"""),167.28)</f>
        <v>167.28</v>
      </c>
      <c r="E1938" s="1">
        <f ca="1">IFERROR(__xludf.DUMMYFUNCTION("""COMPUTED_VALUE"""),168.96)</f>
        <v>168.96</v>
      </c>
      <c r="F1938" s="1">
        <f ca="1">IFERROR(__xludf.DUMMYFUNCTION("""COMPUTED_VALUE"""),23220405)</f>
        <v>23220405</v>
      </c>
    </row>
    <row r="1939" spans="1:6" x14ac:dyDescent="0.35">
      <c r="A1939" s="2">
        <f ca="1">IFERROR(__xludf.DUMMYFUNCTION("""COMPUTED_VALUE"""),44817.6666666666)</f>
        <v>44817.666666666599</v>
      </c>
      <c r="B1939" s="1">
        <f ca="1">IFERROR(__xludf.DUMMYFUNCTION("""COMPUTED_VALUE"""),161.54)</f>
        <v>161.54</v>
      </c>
      <c r="C1939" s="1">
        <f ca="1">IFERROR(__xludf.DUMMYFUNCTION("""COMPUTED_VALUE"""),161.63)</f>
        <v>161.63</v>
      </c>
      <c r="D1939" s="1">
        <f ca="1">IFERROR(__xludf.DUMMYFUNCTION("""COMPUTED_VALUE"""),152.67)</f>
        <v>152.66999999999999</v>
      </c>
      <c r="E1939" s="1">
        <f ca="1">IFERROR(__xludf.DUMMYFUNCTION("""COMPUTED_VALUE"""),153.13)</f>
        <v>153.13</v>
      </c>
      <c r="F1939" s="1">
        <f ca="1">IFERROR(__xludf.DUMMYFUNCTION("""COMPUTED_VALUE"""),44444061)</f>
        <v>44444061</v>
      </c>
    </row>
    <row r="1940" spans="1:6" x14ac:dyDescent="0.35">
      <c r="A1940" s="2">
        <f ca="1">IFERROR(__xludf.DUMMYFUNCTION("""COMPUTED_VALUE"""),44818.6666666666)</f>
        <v>44818.666666666599</v>
      </c>
      <c r="B1940" s="1">
        <f ca="1">IFERROR(__xludf.DUMMYFUNCTION("""COMPUTED_VALUE"""),153.33)</f>
        <v>153.33000000000001</v>
      </c>
      <c r="C1940" s="1">
        <f ca="1">IFERROR(__xludf.DUMMYFUNCTION("""COMPUTED_VALUE"""),153.54)</f>
        <v>153.54</v>
      </c>
      <c r="D1940" s="1">
        <f ca="1">IFERROR(__xludf.DUMMYFUNCTION("""COMPUTED_VALUE"""),149.05)</f>
        <v>149.05000000000001</v>
      </c>
      <c r="E1940" s="1">
        <f ca="1">IFERROR(__xludf.DUMMYFUNCTION("""COMPUTED_VALUE"""),151.47)</f>
        <v>151.47</v>
      </c>
      <c r="F1940" s="1">
        <f ca="1">IFERROR(__xludf.DUMMYFUNCTION("""COMPUTED_VALUE"""),43064195)</f>
        <v>43064195</v>
      </c>
    </row>
    <row r="1941" spans="1:6" x14ac:dyDescent="0.35">
      <c r="A1941" s="2">
        <f ca="1">IFERROR(__xludf.DUMMYFUNCTION("""COMPUTED_VALUE"""),44819.6666666666)</f>
        <v>44819.666666666599</v>
      </c>
      <c r="B1941" s="1">
        <f ca="1">IFERROR(__xludf.DUMMYFUNCTION("""COMPUTED_VALUE"""),149.8)</f>
        <v>149.80000000000001</v>
      </c>
      <c r="C1941" s="1">
        <f ca="1">IFERROR(__xludf.DUMMYFUNCTION("""COMPUTED_VALUE"""),154.2)</f>
        <v>154.19999999999999</v>
      </c>
      <c r="D1941" s="1">
        <f ca="1">IFERROR(__xludf.DUMMYFUNCTION("""COMPUTED_VALUE"""),148.7)</f>
        <v>148.69999999999999</v>
      </c>
      <c r="E1941" s="1">
        <f ca="1">IFERROR(__xludf.DUMMYFUNCTION("""COMPUTED_VALUE"""),149.55)</f>
        <v>149.55000000000001</v>
      </c>
      <c r="F1941" s="1">
        <f ca="1">IFERROR(__xludf.DUMMYFUNCTION("""COMPUTED_VALUE"""),34606348)</f>
        <v>34606348</v>
      </c>
    </row>
    <row r="1942" spans="1:6" x14ac:dyDescent="0.35">
      <c r="A1942" s="2">
        <f ca="1">IFERROR(__xludf.DUMMYFUNCTION("""COMPUTED_VALUE"""),44820.6666666666)</f>
        <v>44820.666666666599</v>
      </c>
      <c r="B1942" s="1">
        <f ca="1">IFERROR(__xludf.DUMMYFUNCTION("""COMPUTED_VALUE"""),148.05)</f>
        <v>148.05000000000001</v>
      </c>
      <c r="C1942" s="1">
        <f ca="1">IFERROR(__xludf.DUMMYFUNCTION("""COMPUTED_VALUE"""),148.58)</f>
        <v>148.58000000000001</v>
      </c>
      <c r="D1942" s="1">
        <f ca="1">IFERROR(__xludf.DUMMYFUNCTION("""COMPUTED_VALUE"""),144.29)</f>
        <v>144.29</v>
      </c>
      <c r="E1942" s="1">
        <f ca="1">IFERROR(__xludf.DUMMYFUNCTION("""COMPUTED_VALUE"""),146.29)</f>
        <v>146.29</v>
      </c>
      <c r="F1942" s="1">
        <f ca="1">IFERROR(__xludf.DUMMYFUNCTION("""COMPUTED_VALUE"""),40122824)</f>
        <v>40122824</v>
      </c>
    </row>
    <row r="1943" spans="1:6" x14ac:dyDescent="0.35">
      <c r="A1943" s="2">
        <f ca="1">IFERROR(__xludf.DUMMYFUNCTION("""COMPUTED_VALUE"""),44823.6666666666)</f>
        <v>44823.666666666599</v>
      </c>
      <c r="B1943" s="1">
        <f ca="1">IFERROR(__xludf.DUMMYFUNCTION("""COMPUTED_VALUE"""),145.24)</f>
        <v>145.24</v>
      </c>
      <c r="C1943" s="1">
        <f ca="1">IFERROR(__xludf.DUMMYFUNCTION("""COMPUTED_VALUE"""),148.58)</f>
        <v>148.58000000000001</v>
      </c>
      <c r="D1943" s="1">
        <f ca="1">IFERROR(__xludf.DUMMYFUNCTION("""COMPUTED_VALUE"""),145.1)</f>
        <v>145.1</v>
      </c>
      <c r="E1943" s="1">
        <f ca="1">IFERROR(__xludf.DUMMYFUNCTION("""COMPUTED_VALUE"""),148.02)</f>
        <v>148.02000000000001</v>
      </c>
      <c r="F1943" s="1">
        <f ca="1">IFERROR(__xludf.DUMMYFUNCTION("""COMPUTED_VALUE"""),22169477)</f>
        <v>22169477</v>
      </c>
    </row>
    <row r="1944" spans="1:6" x14ac:dyDescent="0.35">
      <c r="A1944" s="2">
        <f ca="1">IFERROR(__xludf.DUMMYFUNCTION("""COMPUTED_VALUE"""),44824.6666666666)</f>
        <v>44824.666666666599</v>
      </c>
      <c r="B1944" s="1">
        <f ca="1">IFERROR(__xludf.DUMMYFUNCTION("""COMPUTED_VALUE"""),145.78)</f>
        <v>145.78</v>
      </c>
      <c r="C1944" s="1">
        <f ca="1">IFERROR(__xludf.DUMMYFUNCTION("""COMPUTED_VALUE"""),148.84)</f>
        <v>148.84</v>
      </c>
      <c r="D1944" s="1">
        <f ca="1">IFERROR(__xludf.DUMMYFUNCTION("""COMPUTED_VALUE"""),145.22)</f>
        <v>145.22</v>
      </c>
      <c r="E1944" s="1">
        <f ca="1">IFERROR(__xludf.DUMMYFUNCTION("""COMPUTED_VALUE"""),146.09)</f>
        <v>146.09</v>
      </c>
      <c r="F1944" s="1">
        <f ca="1">IFERROR(__xludf.DUMMYFUNCTION("""COMPUTED_VALUE"""),23217350)</f>
        <v>23217350</v>
      </c>
    </row>
    <row r="1945" spans="1:6" x14ac:dyDescent="0.35">
      <c r="A1945" s="2">
        <f ca="1">IFERROR(__xludf.DUMMYFUNCTION("""COMPUTED_VALUE"""),44825.6666666666)</f>
        <v>44825.666666666599</v>
      </c>
      <c r="B1945" s="1">
        <f ca="1">IFERROR(__xludf.DUMMYFUNCTION("""COMPUTED_VALUE"""),146.39)</f>
        <v>146.38999999999999</v>
      </c>
      <c r="C1945" s="1">
        <f ca="1">IFERROR(__xludf.DUMMYFUNCTION("""COMPUTED_VALUE"""),149.6)</f>
        <v>149.6</v>
      </c>
      <c r="D1945" s="1">
        <f ca="1">IFERROR(__xludf.DUMMYFUNCTION("""COMPUTED_VALUE"""),142)</f>
        <v>142</v>
      </c>
      <c r="E1945" s="1">
        <f ca="1">IFERROR(__xludf.DUMMYFUNCTION("""COMPUTED_VALUE"""),142.12)</f>
        <v>142.12</v>
      </c>
      <c r="F1945" s="1">
        <f ca="1">IFERROR(__xludf.DUMMYFUNCTION("""COMPUTED_VALUE"""),38338614)</f>
        <v>38338614</v>
      </c>
    </row>
    <row r="1946" spans="1:6" x14ac:dyDescent="0.35">
      <c r="A1946" s="2">
        <f ca="1">IFERROR(__xludf.DUMMYFUNCTION("""COMPUTED_VALUE"""),44826.6666666666)</f>
        <v>44826.666666666599</v>
      </c>
      <c r="B1946" s="1">
        <f ca="1">IFERROR(__xludf.DUMMYFUNCTION("""COMPUTED_VALUE"""),141.55)</f>
        <v>141.55000000000001</v>
      </c>
      <c r="C1946" s="1">
        <f ca="1">IFERROR(__xludf.DUMMYFUNCTION("""COMPUTED_VALUE"""),144.58)</f>
        <v>144.58000000000001</v>
      </c>
      <c r="D1946" s="1">
        <f ca="1">IFERROR(__xludf.DUMMYFUNCTION("""COMPUTED_VALUE"""),140.87)</f>
        <v>140.87</v>
      </c>
      <c r="E1946" s="1">
        <f ca="1">IFERROR(__xludf.DUMMYFUNCTION("""COMPUTED_VALUE"""),142.82)</f>
        <v>142.82</v>
      </c>
      <c r="F1946" s="1">
        <f ca="1">IFERROR(__xludf.DUMMYFUNCTION("""COMPUTED_VALUE"""),34418521)</f>
        <v>34418521</v>
      </c>
    </row>
    <row r="1947" spans="1:6" x14ac:dyDescent="0.35">
      <c r="A1947" s="2">
        <f ca="1">IFERROR(__xludf.DUMMYFUNCTION("""COMPUTED_VALUE"""),44827.6666666666)</f>
        <v>44827.666666666599</v>
      </c>
      <c r="B1947" s="1">
        <f ca="1">IFERROR(__xludf.DUMMYFUNCTION("""COMPUTED_VALUE"""),141.42)</f>
        <v>141.41999999999999</v>
      </c>
      <c r="C1947" s="1">
        <f ca="1">IFERROR(__xludf.DUMMYFUNCTION("""COMPUTED_VALUE"""),142.62)</f>
        <v>142.62</v>
      </c>
      <c r="D1947" s="1">
        <f ca="1">IFERROR(__xludf.DUMMYFUNCTION("""COMPUTED_VALUE"""),138.89)</f>
        <v>138.88999999999999</v>
      </c>
      <c r="E1947" s="1">
        <f ca="1">IFERROR(__xludf.DUMMYFUNCTION("""COMPUTED_VALUE"""),140.41)</f>
        <v>140.41</v>
      </c>
      <c r="F1947" s="1">
        <f ca="1">IFERROR(__xludf.DUMMYFUNCTION("""COMPUTED_VALUE"""),31710685)</f>
        <v>31710685</v>
      </c>
    </row>
    <row r="1948" spans="1:6" x14ac:dyDescent="0.35">
      <c r="A1948" s="2">
        <f ca="1">IFERROR(__xludf.DUMMYFUNCTION("""COMPUTED_VALUE"""),44830.6666666666)</f>
        <v>44830.666666666599</v>
      </c>
      <c r="B1948" s="1">
        <f ca="1">IFERROR(__xludf.DUMMYFUNCTION("""COMPUTED_VALUE"""),140.12)</f>
        <v>140.12</v>
      </c>
      <c r="C1948" s="1">
        <f ca="1">IFERROR(__xludf.DUMMYFUNCTION("""COMPUTED_VALUE"""),142.24)</f>
        <v>142.24</v>
      </c>
      <c r="D1948" s="1">
        <f ca="1">IFERROR(__xludf.DUMMYFUNCTION("""COMPUTED_VALUE"""),136.19)</f>
        <v>136.19</v>
      </c>
      <c r="E1948" s="1">
        <f ca="1">IFERROR(__xludf.DUMMYFUNCTION("""COMPUTED_VALUE"""),136.37)</f>
        <v>136.37</v>
      </c>
      <c r="F1948" s="1">
        <f ca="1">IFERROR(__xludf.DUMMYFUNCTION("""COMPUTED_VALUE"""),30497021)</f>
        <v>30497021</v>
      </c>
    </row>
    <row r="1949" spans="1:6" x14ac:dyDescent="0.35">
      <c r="A1949" s="2">
        <f ca="1">IFERROR(__xludf.DUMMYFUNCTION("""COMPUTED_VALUE"""),44831.6666666666)</f>
        <v>44831.666666666599</v>
      </c>
      <c r="B1949" s="1">
        <f ca="1">IFERROR(__xludf.DUMMYFUNCTION("""COMPUTED_VALUE"""),137.92)</f>
        <v>137.91999999999999</v>
      </c>
      <c r="C1949" s="1">
        <f ca="1">IFERROR(__xludf.DUMMYFUNCTION("""COMPUTED_VALUE"""),139.42)</f>
        <v>139.41999999999999</v>
      </c>
      <c r="D1949" s="1">
        <f ca="1">IFERROR(__xludf.DUMMYFUNCTION("""COMPUTED_VALUE"""),134.12)</f>
        <v>134.12</v>
      </c>
      <c r="E1949" s="1">
        <f ca="1">IFERROR(__xludf.DUMMYFUNCTION("""COMPUTED_VALUE"""),134.4)</f>
        <v>134.4</v>
      </c>
      <c r="F1949" s="1">
        <f ca="1">IFERROR(__xludf.DUMMYFUNCTION("""COMPUTED_VALUE"""),30826471)</f>
        <v>30826471</v>
      </c>
    </row>
    <row r="1950" spans="1:6" x14ac:dyDescent="0.35">
      <c r="A1950" s="2">
        <f ca="1">IFERROR(__xludf.DUMMYFUNCTION("""COMPUTED_VALUE"""),44832.6666666666)</f>
        <v>44832.666666666599</v>
      </c>
      <c r="B1950" s="1">
        <f ca="1">IFERROR(__xludf.DUMMYFUNCTION("""COMPUTED_VALUE"""),134.62)</f>
        <v>134.62</v>
      </c>
      <c r="C1950" s="1">
        <f ca="1">IFERROR(__xludf.DUMMYFUNCTION("""COMPUTED_VALUE"""),142.03)</f>
        <v>142.03</v>
      </c>
      <c r="D1950" s="1">
        <f ca="1">IFERROR(__xludf.DUMMYFUNCTION("""COMPUTED_VALUE"""),134.27)</f>
        <v>134.27000000000001</v>
      </c>
      <c r="E1950" s="1">
        <f ca="1">IFERROR(__xludf.DUMMYFUNCTION("""COMPUTED_VALUE"""),141.61)</f>
        <v>141.61000000000001</v>
      </c>
      <c r="F1950" s="1">
        <f ca="1">IFERROR(__xludf.DUMMYFUNCTION("""COMPUTED_VALUE"""),32658478)</f>
        <v>32658478</v>
      </c>
    </row>
    <row r="1951" spans="1:6" x14ac:dyDescent="0.35">
      <c r="A1951" s="2">
        <f ca="1">IFERROR(__xludf.DUMMYFUNCTION("""COMPUTED_VALUE"""),44833.6666666666)</f>
        <v>44833.666666666599</v>
      </c>
      <c r="B1951" s="1">
        <f ca="1">IFERROR(__xludf.DUMMYFUNCTION("""COMPUTED_VALUE"""),139.36)</f>
        <v>139.36000000000001</v>
      </c>
      <c r="C1951" s="1">
        <f ca="1">IFERROR(__xludf.DUMMYFUNCTION("""COMPUTED_VALUE"""),139.84)</f>
        <v>139.84</v>
      </c>
      <c r="D1951" s="1">
        <f ca="1">IFERROR(__xludf.DUMMYFUNCTION("""COMPUTED_VALUE"""),135.2)</f>
        <v>135.19999999999999</v>
      </c>
      <c r="E1951" s="1">
        <f ca="1">IFERROR(__xludf.DUMMYFUNCTION("""COMPUTED_VALUE"""),136.41)</f>
        <v>136.41</v>
      </c>
      <c r="F1951" s="1">
        <f ca="1">IFERROR(__xludf.DUMMYFUNCTION("""COMPUTED_VALUE"""),38985414)</f>
        <v>38985414</v>
      </c>
    </row>
    <row r="1952" spans="1:6" x14ac:dyDescent="0.35">
      <c r="A1952" s="2">
        <f ca="1">IFERROR(__xludf.DUMMYFUNCTION("""COMPUTED_VALUE"""),44834.6666666666)</f>
        <v>44834.666666666599</v>
      </c>
      <c r="B1952" s="1">
        <f ca="1">IFERROR(__xludf.DUMMYFUNCTION("""COMPUTED_VALUE"""),136.05)</f>
        <v>136.05000000000001</v>
      </c>
      <c r="C1952" s="1">
        <f ca="1">IFERROR(__xludf.DUMMYFUNCTION("""COMPUTED_VALUE"""),140.99)</f>
        <v>140.99</v>
      </c>
      <c r="D1952" s="1">
        <f ca="1">IFERROR(__xludf.DUMMYFUNCTION("""COMPUTED_VALUE"""),135.5)</f>
        <v>135.5</v>
      </c>
      <c r="E1952" s="1">
        <f ca="1">IFERROR(__xludf.DUMMYFUNCTION("""COMPUTED_VALUE"""),135.68)</f>
        <v>135.68</v>
      </c>
      <c r="F1952" s="1">
        <f ca="1">IFERROR(__xludf.DUMMYFUNCTION("""COMPUTED_VALUE"""),33166393)</f>
        <v>33166393</v>
      </c>
    </row>
    <row r="1953" spans="1:6" x14ac:dyDescent="0.35">
      <c r="A1953" s="2">
        <f ca="1">IFERROR(__xludf.DUMMYFUNCTION("""COMPUTED_VALUE"""),44837.6666666666)</f>
        <v>44837.666666666599</v>
      </c>
      <c r="B1953" s="1">
        <f ca="1">IFERROR(__xludf.DUMMYFUNCTION("""COMPUTED_VALUE"""),137.14)</f>
        <v>137.13999999999999</v>
      </c>
      <c r="C1953" s="1">
        <f ca="1">IFERROR(__xludf.DUMMYFUNCTION("""COMPUTED_VALUE"""),139.62)</f>
        <v>139.62</v>
      </c>
      <c r="D1953" s="1">
        <f ca="1">IFERROR(__xludf.DUMMYFUNCTION("""COMPUTED_VALUE"""),136.1)</f>
        <v>136.1</v>
      </c>
      <c r="E1953" s="1">
        <f ca="1">IFERROR(__xludf.DUMMYFUNCTION("""COMPUTED_VALUE"""),138.61)</f>
        <v>138.61000000000001</v>
      </c>
      <c r="F1953" s="1">
        <f ca="1">IFERROR(__xludf.DUMMYFUNCTION("""COMPUTED_VALUE"""),27723063)</f>
        <v>27723063</v>
      </c>
    </row>
    <row r="1954" spans="1:6" x14ac:dyDescent="0.35">
      <c r="A1954" s="2">
        <f ca="1">IFERROR(__xludf.DUMMYFUNCTION("""COMPUTED_VALUE"""),44838.6666666666)</f>
        <v>44838.666666666599</v>
      </c>
      <c r="B1954" s="1">
        <f ca="1">IFERROR(__xludf.DUMMYFUNCTION("""COMPUTED_VALUE"""),140.49)</f>
        <v>140.49</v>
      </c>
      <c r="C1954" s="1">
        <f ca="1">IFERROR(__xludf.DUMMYFUNCTION("""COMPUTED_VALUE"""),142.39)</f>
        <v>142.38999999999999</v>
      </c>
      <c r="D1954" s="1">
        <f ca="1">IFERROR(__xludf.DUMMYFUNCTION("""COMPUTED_VALUE"""),139.34)</f>
        <v>139.34</v>
      </c>
      <c r="E1954" s="1">
        <f ca="1">IFERROR(__xludf.DUMMYFUNCTION("""COMPUTED_VALUE"""),140.28)</f>
        <v>140.28</v>
      </c>
      <c r="F1954" s="1">
        <f ca="1">IFERROR(__xludf.DUMMYFUNCTION("""COMPUTED_VALUE"""),34670729)</f>
        <v>34670729</v>
      </c>
    </row>
    <row r="1955" spans="1:6" x14ac:dyDescent="0.35">
      <c r="A1955" s="2">
        <f ca="1">IFERROR(__xludf.DUMMYFUNCTION("""COMPUTED_VALUE"""),44839.6666666666)</f>
        <v>44839.666666666599</v>
      </c>
      <c r="B1955" s="1">
        <f ca="1">IFERROR(__xludf.DUMMYFUNCTION("""COMPUTED_VALUE"""),138.24)</f>
        <v>138.24</v>
      </c>
      <c r="C1955" s="1">
        <f ca="1">IFERROR(__xludf.DUMMYFUNCTION("""COMPUTED_VALUE"""),140.21)</f>
        <v>140.21</v>
      </c>
      <c r="D1955" s="1">
        <f ca="1">IFERROR(__xludf.DUMMYFUNCTION("""COMPUTED_VALUE"""),134.78)</f>
        <v>134.78</v>
      </c>
      <c r="E1955" s="1">
        <f ca="1">IFERROR(__xludf.DUMMYFUNCTION("""COMPUTED_VALUE"""),138.98)</f>
        <v>138.97999999999999</v>
      </c>
      <c r="F1955" s="1">
        <f ca="1">IFERROR(__xludf.DUMMYFUNCTION("""COMPUTED_VALUE"""),27979348)</f>
        <v>27979348</v>
      </c>
    </row>
    <row r="1956" spans="1:6" x14ac:dyDescent="0.35">
      <c r="A1956" s="2">
        <f ca="1">IFERROR(__xludf.DUMMYFUNCTION("""COMPUTED_VALUE"""),44840.6666666666)</f>
        <v>44840.666666666599</v>
      </c>
      <c r="B1956" s="1">
        <f ca="1">IFERROR(__xludf.DUMMYFUNCTION("""COMPUTED_VALUE"""),137.72)</f>
        <v>137.72</v>
      </c>
      <c r="C1956" s="1">
        <f ca="1">IFERROR(__xludf.DUMMYFUNCTION("""COMPUTED_VALUE"""),141.45)</f>
        <v>141.44999999999999</v>
      </c>
      <c r="D1956" s="1">
        <f ca="1">IFERROR(__xludf.DUMMYFUNCTION("""COMPUTED_VALUE"""),136.6)</f>
        <v>136.6</v>
      </c>
      <c r="E1956" s="1">
        <f ca="1">IFERROR(__xludf.DUMMYFUNCTION("""COMPUTED_VALUE"""),139.07)</f>
        <v>139.07</v>
      </c>
      <c r="F1956" s="1">
        <f ca="1">IFERROR(__xludf.DUMMYFUNCTION("""COMPUTED_VALUE"""),36231056)</f>
        <v>36231056</v>
      </c>
    </row>
    <row r="1957" spans="1:6" x14ac:dyDescent="0.35">
      <c r="A1957" s="2">
        <f ca="1">IFERROR(__xludf.DUMMYFUNCTION("""COMPUTED_VALUE"""),44841.6666666666)</f>
        <v>44841.666666666599</v>
      </c>
      <c r="B1957" s="1">
        <f ca="1">IFERROR(__xludf.DUMMYFUNCTION("""COMPUTED_VALUE"""),136.76)</f>
        <v>136.76</v>
      </c>
      <c r="C1957" s="1">
        <f ca="1">IFERROR(__xludf.DUMMYFUNCTION("""COMPUTED_VALUE"""),138.29)</f>
        <v>138.29</v>
      </c>
      <c r="D1957" s="1">
        <f ca="1">IFERROR(__xludf.DUMMYFUNCTION("""COMPUTED_VALUE"""),132.44)</f>
        <v>132.44</v>
      </c>
      <c r="E1957" s="1">
        <f ca="1">IFERROR(__xludf.DUMMYFUNCTION("""COMPUTED_VALUE"""),133.45)</f>
        <v>133.44999999999999</v>
      </c>
      <c r="F1957" s="1">
        <f ca="1">IFERROR(__xludf.DUMMYFUNCTION("""COMPUTED_VALUE"""),33214773)</f>
        <v>33214773</v>
      </c>
    </row>
    <row r="1958" spans="1:6" x14ac:dyDescent="0.35">
      <c r="A1958" s="2">
        <f ca="1">IFERROR(__xludf.DUMMYFUNCTION("""COMPUTED_VALUE"""),44844.6666666666)</f>
        <v>44844.666666666599</v>
      </c>
      <c r="B1958" s="1">
        <f ca="1">IFERROR(__xludf.DUMMYFUNCTION("""COMPUTED_VALUE"""),133.55)</f>
        <v>133.55000000000001</v>
      </c>
      <c r="C1958" s="1">
        <f ca="1">IFERROR(__xludf.DUMMYFUNCTION("""COMPUTED_VALUE"""),136.11)</f>
        <v>136.11000000000001</v>
      </c>
      <c r="D1958" s="1">
        <f ca="1">IFERROR(__xludf.DUMMYFUNCTION("""COMPUTED_VALUE"""),131.87)</f>
        <v>131.87</v>
      </c>
      <c r="E1958" s="1">
        <f ca="1">IFERROR(__xludf.DUMMYFUNCTION("""COMPUTED_VALUE"""),133.79)</f>
        <v>133.79</v>
      </c>
      <c r="F1958" s="1">
        <f ca="1">IFERROR(__xludf.DUMMYFUNCTION("""COMPUTED_VALUE"""),24023982)</f>
        <v>24023982</v>
      </c>
    </row>
    <row r="1959" spans="1:6" x14ac:dyDescent="0.35">
      <c r="A1959" s="2">
        <f ca="1">IFERROR(__xludf.DUMMYFUNCTION("""COMPUTED_VALUE"""),44845.6666666666)</f>
        <v>44845.666666666599</v>
      </c>
      <c r="B1959" s="1">
        <f ca="1">IFERROR(__xludf.DUMMYFUNCTION("""COMPUTED_VALUE"""),131.62)</f>
        <v>131.62</v>
      </c>
      <c r="C1959" s="1">
        <f ca="1">IFERROR(__xludf.DUMMYFUNCTION("""COMPUTED_VALUE"""),132.66)</f>
        <v>132.66</v>
      </c>
      <c r="D1959" s="1">
        <f ca="1">IFERROR(__xludf.DUMMYFUNCTION("""COMPUTED_VALUE"""),126.99)</f>
        <v>126.99</v>
      </c>
      <c r="E1959" s="1">
        <f ca="1">IFERROR(__xludf.DUMMYFUNCTION("""COMPUTED_VALUE"""),128.54)</f>
        <v>128.54</v>
      </c>
      <c r="F1959" s="1">
        <f ca="1">IFERROR(__xludf.DUMMYFUNCTION("""COMPUTED_VALUE"""),38481403)</f>
        <v>38481403</v>
      </c>
    </row>
    <row r="1960" spans="1:6" x14ac:dyDescent="0.35">
      <c r="A1960" s="2">
        <f ca="1">IFERROR(__xludf.DUMMYFUNCTION("""COMPUTED_VALUE"""),44846.6666666666)</f>
        <v>44846.666666666599</v>
      </c>
      <c r="B1960" s="1">
        <f ca="1">IFERROR(__xludf.DUMMYFUNCTION("""COMPUTED_VALUE"""),128.32)</f>
        <v>128.32</v>
      </c>
      <c r="C1960" s="1">
        <f ca="1">IFERROR(__xludf.DUMMYFUNCTION("""COMPUTED_VALUE"""),129.67)</f>
        <v>129.66999999999999</v>
      </c>
      <c r="D1960" s="1">
        <f ca="1">IFERROR(__xludf.DUMMYFUNCTION("""COMPUTED_VALUE"""),126.25)</f>
        <v>126.25</v>
      </c>
      <c r="E1960" s="1">
        <f ca="1">IFERROR(__xludf.DUMMYFUNCTION("""COMPUTED_VALUE"""),127.5)</f>
        <v>127.5</v>
      </c>
      <c r="F1960" s="1">
        <f ca="1">IFERROR(__xludf.DUMMYFUNCTION("""COMPUTED_VALUE"""),34605245)</f>
        <v>34605245</v>
      </c>
    </row>
    <row r="1961" spans="1:6" x14ac:dyDescent="0.35">
      <c r="A1961" s="2">
        <f ca="1">IFERROR(__xludf.DUMMYFUNCTION("""COMPUTED_VALUE"""),44847.6666666666)</f>
        <v>44847.666666666599</v>
      </c>
      <c r="B1961" s="1">
        <f ca="1">IFERROR(__xludf.DUMMYFUNCTION("""COMPUTED_VALUE"""),123.53)</f>
        <v>123.53</v>
      </c>
      <c r="C1961" s="1">
        <f ca="1">IFERROR(__xludf.DUMMYFUNCTION("""COMPUTED_VALUE"""),131.14)</f>
        <v>131.13999999999999</v>
      </c>
      <c r="D1961" s="1">
        <f ca="1">IFERROR(__xludf.DUMMYFUNCTION("""COMPUTED_VALUE"""),122.53)</f>
        <v>122.53</v>
      </c>
      <c r="E1961" s="1">
        <f ca="1">IFERROR(__xludf.DUMMYFUNCTION("""COMPUTED_VALUE"""),130.29)</f>
        <v>130.29</v>
      </c>
      <c r="F1961" s="1">
        <f ca="1">IFERROR(__xludf.DUMMYFUNCTION("""COMPUTED_VALUE"""),34325715)</f>
        <v>34325715</v>
      </c>
    </row>
    <row r="1962" spans="1:6" x14ac:dyDescent="0.35">
      <c r="A1962" s="2">
        <f ca="1">IFERROR(__xludf.DUMMYFUNCTION("""COMPUTED_VALUE"""),44848.6666666666)</f>
        <v>44848.666666666599</v>
      </c>
      <c r="B1962" s="1">
        <f ca="1">IFERROR(__xludf.DUMMYFUNCTION("""COMPUTED_VALUE"""),131)</f>
        <v>131</v>
      </c>
      <c r="C1962" s="1">
        <f ca="1">IFERROR(__xludf.DUMMYFUNCTION("""COMPUTED_VALUE"""),131.79)</f>
        <v>131.79</v>
      </c>
      <c r="D1962" s="1">
        <f ca="1">IFERROR(__xludf.DUMMYFUNCTION("""COMPUTED_VALUE"""),126.52)</f>
        <v>126.52</v>
      </c>
      <c r="E1962" s="1">
        <f ca="1">IFERROR(__xludf.DUMMYFUNCTION("""COMPUTED_VALUE"""),126.76)</f>
        <v>126.76</v>
      </c>
      <c r="F1962" s="1">
        <f ca="1">IFERROR(__xludf.DUMMYFUNCTION("""COMPUTED_VALUE"""),23559407)</f>
        <v>23559407</v>
      </c>
    </row>
    <row r="1963" spans="1:6" x14ac:dyDescent="0.35">
      <c r="A1963" s="2">
        <f ca="1">IFERROR(__xludf.DUMMYFUNCTION("""COMPUTED_VALUE"""),44851.6666666666)</f>
        <v>44851.666666666599</v>
      </c>
      <c r="B1963" s="1">
        <f ca="1">IFERROR(__xludf.DUMMYFUNCTION("""COMPUTED_VALUE"""),130.3)</f>
        <v>130.30000000000001</v>
      </c>
      <c r="C1963" s="1">
        <f ca="1">IFERROR(__xludf.DUMMYFUNCTION("""COMPUTED_VALUE"""),134.79)</f>
        <v>134.79</v>
      </c>
      <c r="D1963" s="1">
        <f ca="1">IFERROR(__xludf.DUMMYFUNCTION("""COMPUTED_VALUE"""),130.18)</f>
        <v>130.18</v>
      </c>
      <c r="E1963" s="1">
        <f ca="1">IFERROR(__xludf.DUMMYFUNCTION("""COMPUTED_VALUE"""),134.04)</f>
        <v>134.04</v>
      </c>
      <c r="F1963" s="1">
        <f ca="1">IFERROR(__xludf.DUMMYFUNCTION("""COMPUTED_VALUE"""),29612245)</f>
        <v>29612245</v>
      </c>
    </row>
    <row r="1964" spans="1:6" x14ac:dyDescent="0.35">
      <c r="A1964" s="2">
        <f ca="1">IFERROR(__xludf.DUMMYFUNCTION("""COMPUTED_VALUE"""),44852.6666666666)</f>
        <v>44852.666666666599</v>
      </c>
      <c r="B1964" s="1">
        <f ca="1">IFERROR(__xludf.DUMMYFUNCTION("""COMPUTED_VALUE"""),137.09)</f>
        <v>137.09</v>
      </c>
      <c r="C1964" s="1">
        <f ca="1">IFERROR(__xludf.DUMMYFUNCTION("""COMPUTED_VALUE"""),137.84)</f>
        <v>137.84</v>
      </c>
      <c r="D1964" s="1">
        <f ca="1">IFERROR(__xludf.DUMMYFUNCTION("""COMPUTED_VALUE"""),131.4)</f>
        <v>131.4</v>
      </c>
      <c r="E1964" s="1">
        <f ca="1">IFERROR(__xludf.DUMMYFUNCTION("""COMPUTED_VALUE"""),132.8)</f>
        <v>132.80000000000001</v>
      </c>
      <c r="F1964" s="1">
        <f ca="1">IFERROR(__xludf.DUMMYFUNCTION("""COMPUTED_VALUE"""),25444979)</f>
        <v>25444979</v>
      </c>
    </row>
    <row r="1965" spans="1:6" x14ac:dyDescent="0.35">
      <c r="A1965" s="2">
        <f ca="1">IFERROR(__xludf.DUMMYFUNCTION("""COMPUTED_VALUE"""),44853.6666666666)</f>
        <v>44853.666666666599</v>
      </c>
      <c r="B1965" s="1">
        <f ca="1">IFERROR(__xludf.DUMMYFUNCTION("""COMPUTED_VALUE"""),132.89)</f>
        <v>132.88999999999999</v>
      </c>
      <c r="C1965" s="1">
        <f ca="1">IFERROR(__xludf.DUMMYFUNCTION("""COMPUTED_VALUE"""),137)</f>
        <v>137</v>
      </c>
      <c r="D1965" s="1">
        <f ca="1">IFERROR(__xludf.DUMMYFUNCTION("""COMPUTED_VALUE"""),132.22)</f>
        <v>132.22</v>
      </c>
      <c r="E1965" s="1">
        <f ca="1">IFERROR(__xludf.DUMMYFUNCTION("""COMPUTED_VALUE"""),133.23)</f>
        <v>133.22999999999999</v>
      </c>
      <c r="F1965" s="1">
        <f ca="1">IFERROR(__xludf.DUMMYFUNCTION("""COMPUTED_VALUE"""),30691047)</f>
        <v>30691047</v>
      </c>
    </row>
    <row r="1966" spans="1:6" x14ac:dyDescent="0.35">
      <c r="A1966" s="2">
        <f ca="1">IFERROR(__xludf.DUMMYFUNCTION("""COMPUTED_VALUE"""),44854.6666666666)</f>
        <v>44854.666666666599</v>
      </c>
      <c r="B1966" s="1">
        <f ca="1">IFERROR(__xludf.DUMMYFUNCTION("""COMPUTED_VALUE"""),132.93)</f>
        <v>132.93</v>
      </c>
      <c r="C1966" s="1">
        <f ca="1">IFERROR(__xludf.DUMMYFUNCTION("""COMPUTED_VALUE"""),136.77)</f>
        <v>136.77000000000001</v>
      </c>
      <c r="D1966" s="1">
        <f ca="1">IFERROR(__xludf.DUMMYFUNCTION("""COMPUTED_VALUE"""),131.31)</f>
        <v>131.31</v>
      </c>
      <c r="E1966" s="1">
        <f ca="1">IFERROR(__xludf.DUMMYFUNCTION("""COMPUTED_VALUE"""),131.53)</f>
        <v>131.53</v>
      </c>
      <c r="F1966" s="1">
        <f ca="1">IFERROR(__xludf.DUMMYFUNCTION("""COMPUTED_VALUE"""),26356276)</f>
        <v>26356276</v>
      </c>
    </row>
    <row r="1967" spans="1:6" x14ac:dyDescent="0.35">
      <c r="A1967" s="2">
        <f ca="1">IFERROR(__xludf.DUMMYFUNCTION("""COMPUTED_VALUE"""),44855.6666666666)</f>
        <v>44855.666666666599</v>
      </c>
      <c r="B1967" s="1">
        <f ca="1">IFERROR(__xludf.DUMMYFUNCTION("""COMPUTED_VALUE"""),126.31)</f>
        <v>126.31</v>
      </c>
      <c r="C1967" s="1">
        <f ca="1">IFERROR(__xludf.DUMMYFUNCTION("""COMPUTED_VALUE"""),130.12)</f>
        <v>130.12</v>
      </c>
      <c r="D1967" s="1">
        <f ca="1">IFERROR(__xludf.DUMMYFUNCTION("""COMPUTED_VALUE"""),125.44)</f>
        <v>125.44</v>
      </c>
      <c r="E1967" s="1">
        <f ca="1">IFERROR(__xludf.DUMMYFUNCTION("""COMPUTED_VALUE"""),130.01)</f>
        <v>130.01</v>
      </c>
      <c r="F1967" s="1">
        <f ca="1">IFERROR(__xludf.DUMMYFUNCTION("""COMPUTED_VALUE"""),46348647)</f>
        <v>46348647</v>
      </c>
    </row>
    <row r="1968" spans="1:6" x14ac:dyDescent="0.35">
      <c r="A1968" s="2">
        <f ca="1">IFERROR(__xludf.DUMMYFUNCTION("""COMPUTED_VALUE"""),44858.6666666666)</f>
        <v>44858.666666666599</v>
      </c>
      <c r="B1968" s="1">
        <f ca="1">IFERROR(__xludf.DUMMYFUNCTION("""COMPUTED_VALUE"""),127.25)</f>
        <v>127.25</v>
      </c>
      <c r="C1968" s="1">
        <f ca="1">IFERROR(__xludf.DUMMYFUNCTION("""COMPUTED_VALUE"""),133.48)</f>
        <v>133.47999999999999</v>
      </c>
      <c r="D1968" s="1">
        <f ca="1">IFERROR(__xludf.DUMMYFUNCTION("""COMPUTED_VALUE"""),124.57)</f>
        <v>124.57</v>
      </c>
      <c r="E1968" s="1">
        <f ca="1">IFERROR(__xludf.DUMMYFUNCTION("""COMPUTED_VALUE"""),129.72)</f>
        <v>129.72</v>
      </c>
      <c r="F1968" s="1">
        <f ca="1">IFERROR(__xludf.DUMMYFUNCTION("""COMPUTED_VALUE"""),63563447)</f>
        <v>63563447</v>
      </c>
    </row>
    <row r="1969" spans="1:6" x14ac:dyDescent="0.35">
      <c r="A1969" s="2">
        <f ca="1">IFERROR(__xludf.DUMMYFUNCTION("""COMPUTED_VALUE"""),44859.6666666666)</f>
        <v>44859.666666666599</v>
      </c>
      <c r="B1969" s="1">
        <f ca="1">IFERROR(__xludf.DUMMYFUNCTION("""COMPUTED_VALUE"""),130.88)</f>
        <v>130.88</v>
      </c>
      <c r="C1969" s="1">
        <f ca="1">IFERROR(__xludf.DUMMYFUNCTION("""COMPUTED_VALUE"""),138.35)</f>
        <v>138.35</v>
      </c>
      <c r="D1969" s="1">
        <f ca="1">IFERROR(__xludf.DUMMYFUNCTION("""COMPUTED_VALUE"""),130.59)</f>
        <v>130.59</v>
      </c>
      <c r="E1969" s="1">
        <f ca="1">IFERROR(__xludf.DUMMYFUNCTION("""COMPUTED_VALUE"""),137.51)</f>
        <v>137.51</v>
      </c>
      <c r="F1969" s="1">
        <f ca="1">IFERROR(__xludf.DUMMYFUNCTION("""COMPUTED_VALUE"""),38433219)</f>
        <v>38433219</v>
      </c>
    </row>
    <row r="1970" spans="1:6" x14ac:dyDescent="0.35">
      <c r="A1970" s="2">
        <f ca="1">IFERROR(__xludf.DUMMYFUNCTION("""COMPUTED_VALUE"""),44860.6666666666)</f>
        <v>44860.666666666599</v>
      </c>
      <c r="B1970" s="1">
        <f ca="1">IFERROR(__xludf.DUMMYFUNCTION("""COMPUTED_VALUE"""),131.68)</f>
        <v>131.68</v>
      </c>
      <c r="C1970" s="1">
        <f ca="1">IFERROR(__xludf.DUMMYFUNCTION("""COMPUTED_VALUE"""),135.55)</f>
        <v>135.55000000000001</v>
      </c>
      <c r="D1970" s="1">
        <f ca="1">IFERROR(__xludf.DUMMYFUNCTION("""COMPUTED_VALUE"""),128.53)</f>
        <v>128.53</v>
      </c>
      <c r="E1970" s="1">
        <f ca="1">IFERROR(__xludf.DUMMYFUNCTION("""COMPUTED_VALUE"""),129.82)</f>
        <v>129.82</v>
      </c>
      <c r="F1970" s="1">
        <f ca="1">IFERROR(__xludf.DUMMYFUNCTION("""COMPUTED_VALUE"""),89294679)</f>
        <v>89294679</v>
      </c>
    </row>
    <row r="1971" spans="1:6" x14ac:dyDescent="0.35">
      <c r="A1971" s="2">
        <f ca="1">IFERROR(__xludf.DUMMYFUNCTION("""COMPUTED_VALUE"""),44861.6666666666)</f>
        <v>44861.666666666599</v>
      </c>
      <c r="B1971" s="1">
        <f ca="1">IFERROR(__xludf.DUMMYFUNCTION("""COMPUTED_VALUE"""),97.98)</f>
        <v>97.98</v>
      </c>
      <c r="C1971" s="1">
        <f ca="1">IFERROR(__xludf.DUMMYFUNCTION("""COMPUTED_VALUE"""),102.5)</f>
        <v>102.5</v>
      </c>
      <c r="D1971" s="1">
        <f ca="1">IFERROR(__xludf.DUMMYFUNCTION("""COMPUTED_VALUE"""),96.38)</f>
        <v>96.38</v>
      </c>
      <c r="E1971" s="1">
        <f ca="1">IFERROR(__xludf.DUMMYFUNCTION("""COMPUTED_VALUE"""),97.94)</f>
        <v>97.94</v>
      </c>
      <c r="F1971" s="1">
        <f ca="1">IFERROR(__xludf.DUMMYFUNCTION("""COMPUTED_VALUE"""),232316571)</f>
        <v>232316571</v>
      </c>
    </row>
    <row r="1972" spans="1:6" x14ac:dyDescent="0.35">
      <c r="A1972" s="2">
        <f ca="1">IFERROR(__xludf.DUMMYFUNCTION("""COMPUTED_VALUE"""),44862.6666666666)</f>
        <v>44862.666666666599</v>
      </c>
      <c r="B1972" s="1">
        <f ca="1">IFERROR(__xludf.DUMMYFUNCTION("""COMPUTED_VALUE"""),99.58)</f>
        <v>99.58</v>
      </c>
      <c r="C1972" s="1">
        <f ca="1">IFERROR(__xludf.DUMMYFUNCTION("""COMPUTED_VALUE"""),100.85)</f>
        <v>100.85</v>
      </c>
      <c r="D1972" s="1">
        <f ca="1">IFERROR(__xludf.DUMMYFUNCTION("""COMPUTED_VALUE"""),97.51)</f>
        <v>97.51</v>
      </c>
      <c r="E1972" s="1">
        <f ca="1">IFERROR(__xludf.DUMMYFUNCTION("""COMPUTED_VALUE"""),99.2)</f>
        <v>99.2</v>
      </c>
      <c r="F1972" s="1">
        <f ca="1">IFERROR(__xludf.DUMMYFUNCTION("""COMPUTED_VALUE"""),95928306)</f>
        <v>95928306</v>
      </c>
    </row>
    <row r="1973" spans="1:6" x14ac:dyDescent="0.35">
      <c r="A1973" s="2">
        <f ca="1">IFERROR(__xludf.DUMMYFUNCTION("""COMPUTED_VALUE"""),44865.6666666666)</f>
        <v>44865.666666666599</v>
      </c>
      <c r="B1973" s="1">
        <f ca="1">IFERROR(__xludf.DUMMYFUNCTION("""COMPUTED_VALUE"""),98.22)</f>
        <v>98.22</v>
      </c>
      <c r="C1973" s="1">
        <f ca="1">IFERROR(__xludf.DUMMYFUNCTION("""COMPUTED_VALUE"""),99.32)</f>
        <v>99.32</v>
      </c>
      <c r="D1973" s="1">
        <f ca="1">IFERROR(__xludf.DUMMYFUNCTION("""COMPUTED_VALUE"""),92.6)</f>
        <v>92.6</v>
      </c>
      <c r="E1973" s="1">
        <f ca="1">IFERROR(__xludf.DUMMYFUNCTION("""COMPUTED_VALUE"""),93.16)</f>
        <v>93.16</v>
      </c>
      <c r="F1973" s="1">
        <f ca="1">IFERROR(__xludf.DUMMYFUNCTION("""COMPUTED_VALUE"""),121361444)</f>
        <v>121361444</v>
      </c>
    </row>
    <row r="1974" spans="1:6" x14ac:dyDescent="0.35">
      <c r="A1974" s="2">
        <f ca="1">IFERROR(__xludf.DUMMYFUNCTION("""COMPUTED_VALUE"""),44866.6666666666)</f>
        <v>44866.666666666599</v>
      </c>
      <c r="B1974" s="1">
        <f ca="1">IFERROR(__xludf.DUMMYFUNCTION("""COMPUTED_VALUE"""),94.33)</f>
        <v>94.33</v>
      </c>
      <c r="C1974" s="1">
        <f ca="1">IFERROR(__xludf.DUMMYFUNCTION("""COMPUTED_VALUE"""),97.49)</f>
        <v>97.49</v>
      </c>
      <c r="D1974" s="1">
        <f ca="1">IFERROR(__xludf.DUMMYFUNCTION("""COMPUTED_VALUE"""),93.55)</f>
        <v>93.55</v>
      </c>
      <c r="E1974" s="1">
        <f ca="1">IFERROR(__xludf.DUMMYFUNCTION("""COMPUTED_VALUE"""),95.2)</f>
        <v>95.2</v>
      </c>
      <c r="F1974" s="1">
        <f ca="1">IFERROR(__xludf.DUMMYFUNCTION("""COMPUTED_VALUE"""),110189617)</f>
        <v>110189617</v>
      </c>
    </row>
    <row r="1975" spans="1:6" x14ac:dyDescent="0.35">
      <c r="A1975" s="2">
        <f ca="1">IFERROR(__xludf.DUMMYFUNCTION("""COMPUTED_VALUE"""),44867.6666666666)</f>
        <v>44867.666666666599</v>
      </c>
      <c r="B1975" s="1">
        <f ca="1">IFERROR(__xludf.DUMMYFUNCTION("""COMPUTED_VALUE"""),94.21)</f>
        <v>94.21</v>
      </c>
      <c r="C1975" s="1">
        <f ca="1">IFERROR(__xludf.DUMMYFUNCTION("""COMPUTED_VALUE"""),95.2)</f>
        <v>95.2</v>
      </c>
      <c r="D1975" s="1">
        <f ca="1">IFERROR(__xludf.DUMMYFUNCTION("""COMPUTED_VALUE"""),90.48)</f>
        <v>90.48</v>
      </c>
      <c r="E1975" s="1">
        <f ca="1">IFERROR(__xludf.DUMMYFUNCTION("""COMPUTED_VALUE"""),90.54)</f>
        <v>90.54</v>
      </c>
      <c r="F1975" s="1">
        <f ca="1">IFERROR(__xludf.DUMMYFUNCTION("""COMPUTED_VALUE"""),71821058)</f>
        <v>71821058</v>
      </c>
    </row>
    <row r="1976" spans="1:6" x14ac:dyDescent="0.35">
      <c r="A1976" s="2">
        <f ca="1">IFERROR(__xludf.DUMMYFUNCTION("""COMPUTED_VALUE"""),44868.6666666666)</f>
        <v>44868.666666666599</v>
      </c>
      <c r="B1976" s="1">
        <f ca="1">IFERROR(__xludf.DUMMYFUNCTION("""COMPUTED_VALUE"""),90.08)</f>
        <v>90.08</v>
      </c>
      <c r="C1976" s="1">
        <f ca="1">IFERROR(__xludf.DUMMYFUNCTION("""COMPUTED_VALUE"""),90.46)</f>
        <v>90.46</v>
      </c>
      <c r="D1976" s="1">
        <f ca="1">IFERROR(__xludf.DUMMYFUNCTION("""COMPUTED_VALUE"""),88.41)</f>
        <v>88.41</v>
      </c>
      <c r="E1976" s="1">
        <f ca="1">IFERROR(__xludf.DUMMYFUNCTION("""COMPUTED_VALUE"""),88.91)</f>
        <v>88.91</v>
      </c>
      <c r="F1976" s="1">
        <f ca="1">IFERROR(__xludf.DUMMYFUNCTION("""COMPUTED_VALUE"""),60664012)</f>
        <v>60664012</v>
      </c>
    </row>
    <row r="1977" spans="1:6" x14ac:dyDescent="0.35">
      <c r="A1977" s="2">
        <f ca="1">IFERROR(__xludf.DUMMYFUNCTION("""COMPUTED_VALUE"""),44869.6666666666)</f>
        <v>44869.666666666599</v>
      </c>
      <c r="B1977" s="1">
        <f ca="1">IFERROR(__xludf.DUMMYFUNCTION("""COMPUTED_VALUE"""),90.35)</f>
        <v>90.35</v>
      </c>
      <c r="C1977" s="1">
        <f ca="1">IFERROR(__xludf.DUMMYFUNCTION("""COMPUTED_VALUE"""),91.39)</f>
        <v>91.39</v>
      </c>
      <c r="D1977" s="1">
        <f ca="1">IFERROR(__xludf.DUMMYFUNCTION("""COMPUTED_VALUE"""),88.09)</f>
        <v>88.09</v>
      </c>
      <c r="E1977" s="1">
        <f ca="1">IFERROR(__xludf.DUMMYFUNCTION("""COMPUTED_VALUE"""),90.79)</f>
        <v>90.79</v>
      </c>
      <c r="F1977" s="1">
        <f ca="1">IFERROR(__xludf.DUMMYFUNCTION("""COMPUTED_VALUE"""),55638061)</f>
        <v>55638061</v>
      </c>
    </row>
    <row r="1978" spans="1:6" x14ac:dyDescent="0.35">
      <c r="A1978" s="2">
        <f ca="1">IFERROR(__xludf.DUMMYFUNCTION("""COMPUTED_VALUE"""),44872.6666666666)</f>
        <v>44872.666666666599</v>
      </c>
      <c r="B1978" s="1">
        <f ca="1">IFERROR(__xludf.DUMMYFUNCTION("""COMPUTED_VALUE"""),94.78)</f>
        <v>94.78</v>
      </c>
      <c r="C1978" s="1">
        <f ca="1">IFERROR(__xludf.DUMMYFUNCTION("""COMPUTED_VALUE"""),96.88)</f>
        <v>96.88</v>
      </c>
      <c r="D1978" s="1">
        <f ca="1">IFERROR(__xludf.DUMMYFUNCTION("""COMPUTED_VALUE"""),93.1)</f>
        <v>93.1</v>
      </c>
      <c r="E1978" s="1">
        <f ca="1">IFERROR(__xludf.DUMMYFUNCTION("""COMPUTED_VALUE"""),96.72)</f>
        <v>96.72</v>
      </c>
      <c r="F1978" s="1">
        <f ca="1">IFERROR(__xludf.DUMMYFUNCTION("""COMPUTED_VALUE"""),81987295)</f>
        <v>81987295</v>
      </c>
    </row>
    <row r="1979" spans="1:6" x14ac:dyDescent="0.35">
      <c r="A1979" s="2">
        <f ca="1">IFERROR(__xludf.DUMMYFUNCTION("""COMPUTED_VALUE"""),44873.6666666666)</f>
        <v>44873.666666666599</v>
      </c>
      <c r="B1979" s="1">
        <f ca="1">IFERROR(__xludf.DUMMYFUNCTION("""COMPUTED_VALUE"""),95.92)</f>
        <v>95.92</v>
      </c>
      <c r="C1979" s="1">
        <f ca="1">IFERROR(__xludf.DUMMYFUNCTION("""COMPUTED_VALUE"""),97.8)</f>
        <v>97.8</v>
      </c>
      <c r="D1979" s="1">
        <f ca="1">IFERROR(__xludf.DUMMYFUNCTION("""COMPUTED_VALUE"""),94.79)</f>
        <v>94.79</v>
      </c>
      <c r="E1979" s="1">
        <f ca="1">IFERROR(__xludf.DUMMYFUNCTION("""COMPUTED_VALUE"""),96.47)</f>
        <v>96.47</v>
      </c>
      <c r="F1979" s="1">
        <f ca="1">IFERROR(__xludf.DUMMYFUNCTION("""COMPUTED_VALUE"""),52088320)</f>
        <v>52088320</v>
      </c>
    </row>
    <row r="1980" spans="1:6" x14ac:dyDescent="0.35">
      <c r="A1980" s="2">
        <f ca="1">IFERROR(__xludf.DUMMYFUNCTION("""COMPUTED_VALUE"""),44874.6666666666)</f>
        <v>44874.666666666599</v>
      </c>
      <c r="B1980" s="1">
        <f ca="1">IFERROR(__xludf.DUMMYFUNCTION("""COMPUTED_VALUE"""),101.72)</f>
        <v>101.72</v>
      </c>
      <c r="C1980" s="1">
        <f ca="1">IFERROR(__xludf.DUMMYFUNCTION("""COMPUTED_VALUE"""),104.9)</f>
        <v>104.9</v>
      </c>
      <c r="D1980" s="1">
        <f ca="1">IFERROR(__xludf.DUMMYFUNCTION("""COMPUTED_VALUE"""),100.74)</f>
        <v>100.74</v>
      </c>
      <c r="E1980" s="1">
        <f ca="1">IFERROR(__xludf.DUMMYFUNCTION("""COMPUTED_VALUE"""),101.47)</f>
        <v>101.47</v>
      </c>
      <c r="F1980" s="1">
        <f ca="1">IFERROR(__xludf.DUMMYFUNCTION("""COMPUTED_VALUE"""),107677284)</f>
        <v>107677284</v>
      </c>
    </row>
    <row r="1981" spans="1:6" x14ac:dyDescent="0.35">
      <c r="A1981" s="2">
        <f ca="1">IFERROR(__xludf.DUMMYFUNCTION("""COMPUTED_VALUE"""),44875.6666666666)</f>
        <v>44875.666666666599</v>
      </c>
      <c r="B1981" s="1">
        <f ca="1">IFERROR(__xludf.DUMMYFUNCTION("""COMPUTED_VALUE"""),107.12)</f>
        <v>107.12</v>
      </c>
      <c r="C1981" s="1">
        <f ca="1">IFERROR(__xludf.DUMMYFUNCTION("""COMPUTED_VALUE"""),112.75)</f>
        <v>112.75</v>
      </c>
      <c r="D1981" s="1">
        <f ca="1">IFERROR(__xludf.DUMMYFUNCTION("""COMPUTED_VALUE"""),104.61)</f>
        <v>104.61</v>
      </c>
      <c r="E1981" s="1">
        <f ca="1">IFERROR(__xludf.DUMMYFUNCTION("""COMPUTED_VALUE"""),111.87)</f>
        <v>111.87</v>
      </c>
      <c r="F1981" s="1">
        <f ca="1">IFERROR(__xludf.DUMMYFUNCTION("""COMPUTED_VALUE"""),80670961)</f>
        <v>80670961</v>
      </c>
    </row>
    <row r="1982" spans="1:6" x14ac:dyDescent="0.35">
      <c r="A1982" s="2">
        <f ca="1">IFERROR(__xludf.DUMMYFUNCTION("""COMPUTED_VALUE"""),44876.6666666666)</f>
        <v>44876.666666666599</v>
      </c>
      <c r="B1982" s="1">
        <f ca="1">IFERROR(__xludf.DUMMYFUNCTION("""COMPUTED_VALUE"""),109.23)</f>
        <v>109.23</v>
      </c>
      <c r="C1982" s="1">
        <f ca="1">IFERROR(__xludf.DUMMYFUNCTION("""COMPUTED_VALUE"""),114.9)</f>
        <v>114.9</v>
      </c>
      <c r="D1982" s="1">
        <f ca="1">IFERROR(__xludf.DUMMYFUNCTION("""COMPUTED_VALUE"""),108.81)</f>
        <v>108.81</v>
      </c>
      <c r="E1982" s="1">
        <f ca="1">IFERROR(__xludf.DUMMYFUNCTION("""COMPUTED_VALUE"""),113.02)</f>
        <v>113.02</v>
      </c>
      <c r="F1982" s="1">
        <f ca="1">IFERROR(__xludf.DUMMYFUNCTION("""COMPUTED_VALUE"""),59961742)</f>
        <v>59961742</v>
      </c>
    </row>
    <row r="1983" spans="1:6" x14ac:dyDescent="0.35">
      <c r="A1983" s="2">
        <f ca="1">IFERROR(__xludf.DUMMYFUNCTION("""COMPUTED_VALUE"""),44879.6666666666)</f>
        <v>44879.666666666599</v>
      </c>
      <c r="B1983" s="1">
        <f ca="1">IFERROR(__xludf.DUMMYFUNCTION("""COMPUTED_VALUE"""),110.99)</f>
        <v>110.99</v>
      </c>
      <c r="C1983" s="1">
        <f ca="1">IFERROR(__xludf.DUMMYFUNCTION("""COMPUTED_VALUE"""),116.27)</f>
        <v>116.27</v>
      </c>
      <c r="D1983" s="1">
        <f ca="1">IFERROR(__xludf.DUMMYFUNCTION("""COMPUTED_VALUE"""),110.8)</f>
        <v>110.8</v>
      </c>
      <c r="E1983" s="1">
        <f ca="1">IFERROR(__xludf.DUMMYFUNCTION("""COMPUTED_VALUE"""),114.22)</f>
        <v>114.22</v>
      </c>
      <c r="F1983" s="1">
        <f ca="1">IFERROR(__xludf.DUMMYFUNCTION("""COMPUTED_VALUE"""),53394974)</f>
        <v>53394974</v>
      </c>
    </row>
    <row r="1984" spans="1:6" x14ac:dyDescent="0.35">
      <c r="A1984" s="2">
        <f ca="1">IFERROR(__xludf.DUMMYFUNCTION("""COMPUTED_VALUE"""),44880.6666666666)</f>
        <v>44880.666666666599</v>
      </c>
      <c r="B1984" s="1">
        <f ca="1">IFERROR(__xludf.DUMMYFUNCTION("""COMPUTED_VALUE"""),116.07)</f>
        <v>116.07</v>
      </c>
      <c r="C1984" s="1">
        <f ca="1">IFERROR(__xludf.DUMMYFUNCTION("""COMPUTED_VALUE"""),118.74)</f>
        <v>118.74</v>
      </c>
      <c r="D1984" s="1">
        <f ca="1">IFERROR(__xludf.DUMMYFUNCTION("""COMPUTED_VALUE"""),114.41)</f>
        <v>114.41</v>
      </c>
      <c r="E1984" s="1">
        <f ca="1">IFERROR(__xludf.DUMMYFUNCTION("""COMPUTED_VALUE"""),117.08)</f>
        <v>117.08</v>
      </c>
      <c r="F1984" s="1">
        <f ca="1">IFERROR(__xludf.DUMMYFUNCTION("""COMPUTED_VALUE"""),50670499)</f>
        <v>50670499</v>
      </c>
    </row>
    <row r="1985" spans="1:6" x14ac:dyDescent="0.35">
      <c r="A1985" s="2">
        <f ca="1">IFERROR(__xludf.DUMMYFUNCTION("""COMPUTED_VALUE"""),44881.6666666666)</f>
        <v>44881.666666666599</v>
      </c>
      <c r="B1985" s="1">
        <f ca="1">IFERROR(__xludf.DUMMYFUNCTION("""COMPUTED_VALUE"""),114.5)</f>
        <v>114.5</v>
      </c>
      <c r="C1985" s="1">
        <f ca="1">IFERROR(__xludf.DUMMYFUNCTION("""COMPUTED_VALUE"""),116.08)</f>
        <v>116.08</v>
      </c>
      <c r="D1985" s="1">
        <f ca="1">IFERROR(__xludf.DUMMYFUNCTION("""COMPUTED_VALUE"""),112.66)</f>
        <v>112.66</v>
      </c>
      <c r="E1985" s="1">
        <f ca="1">IFERROR(__xludf.DUMMYFUNCTION("""COMPUTED_VALUE"""),113.23)</f>
        <v>113.23</v>
      </c>
      <c r="F1985" s="1">
        <f ca="1">IFERROR(__xludf.DUMMYFUNCTION("""COMPUTED_VALUE"""),33287773)</f>
        <v>33287773</v>
      </c>
    </row>
    <row r="1986" spans="1:6" x14ac:dyDescent="0.35">
      <c r="A1986" s="2">
        <f ca="1">IFERROR(__xludf.DUMMYFUNCTION("""COMPUTED_VALUE"""),44882.6666666666)</f>
        <v>44882.666666666599</v>
      </c>
      <c r="B1986" s="1">
        <f ca="1">IFERROR(__xludf.DUMMYFUNCTION("""COMPUTED_VALUE"""),110.41)</f>
        <v>110.41</v>
      </c>
      <c r="C1986" s="1">
        <f ca="1">IFERROR(__xludf.DUMMYFUNCTION("""COMPUTED_VALUE"""),112.33)</f>
        <v>112.33</v>
      </c>
      <c r="D1986" s="1">
        <f ca="1">IFERROR(__xludf.DUMMYFUNCTION("""COMPUTED_VALUE"""),109.8)</f>
        <v>109.8</v>
      </c>
      <c r="E1986" s="1">
        <f ca="1">IFERROR(__xludf.DUMMYFUNCTION("""COMPUTED_VALUE"""),111.45)</f>
        <v>111.45</v>
      </c>
      <c r="F1986" s="1">
        <f ca="1">IFERROR(__xludf.DUMMYFUNCTION("""COMPUTED_VALUE"""),35093822)</f>
        <v>35093822</v>
      </c>
    </row>
    <row r="1987" spans="1:6" x14ac:dyDescent="0.35">
      <c r="A1987" s="2">
        <f ca="1">IFERROR(__xludf.DUMMYFUNCTION("""COMPUTED_VALUE"""),44883.6666666666)</f>
        <v>44883.666666666599</v>
      </c>
      <c r="B1987" s="1">
        <f ca="1">IFERROR(__xludf.DUMMYFUNCTION("""COMPUTED_VALUE"""),113.8)</f>
        <v>113.8</v>
      </c>
      <c r="C1987" s="1">
        <f ca="1">IFERROR(__xludf.DUMMYFUNCTION("""COMPUTED_VALUE"""),114.32)</f>
        <v>114.32</v>
      </c>
      <c r="D1987" s="1">
        <f ca="1">IFERROR(__xludf.DUMMYFUNCTION("""COMPUTED_VALUE"""),110.62)</f>
        <v>110.62</v>
      </c>
      <c r="E1987" s="1">
        <f ca="1">IFERROR(__xludf.DUMMYFUNCTION("""COMPUTED_VALUE"""),112.05)</f>
        <v>112.05</v>
      </c>
      <c r="F1987" s="1">
        <f ca="1">IFERROR(__xludf.DUMMYFUNCTION("""COMPUTED_VALUE"""),33357707)</f>
        <v>33357707</v>
      </c>
    </row>
    <row r="1988" spans="1:6" x14ac:dyDescent="0.35">
      <c r="A1988" s="2">
        <f ca="1">IFERROR(__xludf.DUMMYFUNCTION("""COMPUTED_VALUE"""),44886.6666666666)</f>
        <v>44886.666666666599</v>
      </c>
      <c r="B1988" s="1">
        <f ca="1">IFERROR(__xludf.DUMMYFUNCTION("""COMPUTED_VALUE"""),111.52)</f>
        <v>111.52</v>
      </c>
      <c r="C1988" s="1">
        <f ca="1">IFERROR(__xludf.DUMMYFUNCTION("""COMPUTED_VALUE"""),112.37)</f>
        <v>112.37</v>
      </c>
      <c r="D1988" s="1">
        <f ca="1">IFERROR(__xludf.DUMMYFUNCTION("""COMPUTED_VALUE"""),109.19)</f>
        <v>109.19</v>
      </c>
      <c r="E1988" s="1">
        <f ca="1">IFERROR(__xludf.DUMMYFUNCTION("""COMPUTED_VALUE"""),109.86)</f>
        <v>109.86</v>
      </c>
      <c r="F1988" s="1">
        <f ca="1">IFERROR(__xludf.DUMMYFUNCTION("""COMPUTED_VALUE"""),24351074)</f>
        <v>24351074</v>
      </c>
    </row>
    <row r="1989" spans="1:6" x14ac:dyDescent="0.35">
      <c r="A1989" s="2">
        <f ca="1">IFERROR(__xludf.DUMMYFUNCTION("""COMPUTED_VALUE"""),44887.6666666666)</f>
        <v>44887.666666666599</v>
      </c>
      <c r="B1989" s="1">
        <f ca="1">IFERROR(__xludf.DUMMYFUNCTION("""COMPUTED_VALUE"""),109.86)</f>
        <v>109.86</v>
      </c>
      <c r="C1989" s="1">
        <f ca="1">IFERROR(__xludf.DUMMYFUNCTION("""COMPUTED_VALUE"""),111.62)</f>
        <v>111.62</v>
      </c>
      <c r="D1989" s="1">
        <f ca="1">IFERROR(__xludf.DUMMYFUNCTION("""COMPUTED_VALUE"""),108.32)</f>
        <v>108.32</v>
      </c>
      <c r="E1989" s="1">
        <f ca="1">IFERROR(__xludf.DUMMYFUNCTION("""COMPUTED_VALUE"""),111.44)</f>
        <v>111.44</v>
      </c>
      <c r="F1989" s="1">
        <f ca="1">IFERROR(__xludf.DUMMYFUNCTION("""COMPUTED_VALUE"""),29028963)</f>
        <v>29028963</v>
      </c>
    </row>
    <row r="1990" spans="1:6" x14ac:dyDescent="0.35">
      <c r="A1990" s="2">
        <f ca="1">IFERROR(__xludf.DUMMYFUNCTION("""COMPUTED_VALUE"""),44888.6666666666)</f>
        <v>44888.666666666599</v>
      </c>
      <c r="B1990" s="1">
        <f ca="1">IFERROR(__xludf.DUMMYFUNCTION("""COMPUTED_VALUE"""),111.72)</f>
        <v>111.72</v>
      </c>
      <c r="C1990" s="1">
        <f ca="1">IFERROR(__xludf.DUMMYFUNCTION("""COMPUTED_VALUE"""),112.67)</f>
        <v>112.67</v>
      </c>
      <c r="D1990" s="1">
        <f ca="1">IFERROR(__xludf.DUMMYFUNCTION("""COMPUTED_VALUE"""),110.73)</f>
        <v>110.73</v>
      </c>
      <c r="E1990" s="1">
        <f ca="1">IFERROR(__xludf.DUMMYFUNCTION("""COMPUTED_VALUE"""),112.24)</f>
        <v>112.24</v>
      </c>
      <c r="F1990" s="1">
        <f ca="1">IFERROR(__xludf.DUMMYFUNCTION("""COMPUTED_VALUE"""),21343083)</f>
        <v>21343083</v>
      </c>
    </row>
    <row r="1991" spans="1:6" x14ac:dyDescent="0.35">
      <c r="A1991" s="2">
        <f ca="1">IFERROR(__xludf.DUMMYFUNCTION("""COMPUTED_VALUE"""),44890.5451388888)</f>
        <v>44890.545138888803</v>
      </c>
      <c r="B1991" s="1">
        <f ca="1">IFERROR(__xludf.DUMMYFUNCTION("""COMPUTED_VALUE"""),111.3)</f>
        <v>111.3</v>
      </c>
      <c r="C1991" s="1">
        <f ca="1">IFERROR(__xludf.DUMMYFUNCTION("""COMPUTED_VALUE"""),112.73)</f>
        <v>112.73</v>
      </c>
      <c r="D1991" s="1">
        <f ca="1">IFERROR(__xludf.DUMMYFUNCTION("""COMPUTED_VALUE"""),111.02)</f>
        <v>111.02</v>
      </c>
      <c r="E1991" s="1">
        <f ca="1">IFERROR(__xludf.DUMMYFUNCTION("""COMPUTED_VALUE"""),111.41)</f>
        <v>111.41</v>
      </c>
      <c r="F1991" s="1">
        <f ca="1">IFERROR(__xludf.DUMMYFUNCTION("""COMPUTED_VALUE"""),12007566)</f>
        <v>12007566</v>
      </c>
    </row>
    <row r="1992" spans="1:6" x14ac:dyDescent="0.35">
      <c r="A1992" s="2">
        <f ca="1">IFERROR(__xludf.DUMMYFUNCTION("""COMPUTED_VALUE"""),44893.6666666666)</f>
        <v>44893.666666666599</v>
      </c>
      <c r="B1992" s="1">
        <f ca="1">IFERROR(__xludf.DUMMYFUNCTION("""COMPUTED_VALUE"""),110.78)</f>
        <v>110.78</v>
      </c>
      <c r="C1992" s="1">
        <f ca="1">IFERROR(__xludf.DUMMYFUNCTION("""COMPUTED_VALUE"""),112.04)</f>
        <v>112.04</v>
      </c>
      <c r="D1992" s="1">
        <f ca="1">IFERROR(__xludf.DUMMYFUNCTION("""COMPUTED_VALUE"""),108.38)</f>
        <v>108.38</v>
      </c>
      <c r="E1992" s="1">
        <f ca="1">IFERROR(__xludf.DUMMYFUNCTION("""COMPUTED_VALUE"""),108.78)</f>
        <v>108.78</v>
      </c>
      <c r="F1992" s="1">
        <f ca="1">IFERROR(__xludf.DUMMYFUNCTION("""COMPUTED_VALUE"""),23332816)</f>
        <v>23332816</v>
      </c>
    </row>
    <row r="1993" spans="1:6" x14ac:dyDescent="0.35">
      <c r="A1993" s="2">
        <f ca="1">IFERROR(__xludf.DUMMYFUNCTION("""COMPUTED_VALUE"""),44894.6666666666)</f>
        <v>44894.666666666599</v>
      </c>
      <c r="B1993" s="1">
        <f ca="1">IFERROR(__xludf.DUMMYFUNCTION("""COMPUTED_VALUE"""),109.54)</f>
        <v>109.54</v>
      </c>
      <c r="C1993" s="1">
        <f ca="1">IFERROR(__xludf.DUMMYFUNCTION("""COMPUTED_VALUE"""),110.94)</f>
        <v>110.94</v>
      </c>
      <c r="D1993" s="1">
        <f ca="1">IFERROR(__xludf.DUMMYFUNCTION("""COMPUTED_VALUE"""),108.54)</f>
        <v>108.54</v>
      </c>
      <c r="E1993" s="1">
        <f ca="1">IFERROR(__xludf.DUMMYFUNCTION("""COMPUTED_VALUE"""),109.46)</f>
        <v>109.46</v>
      </c>
      <c r="F1993" s="1">
        <f ca="1">IFERROR(__xludf.DUMMYFUNCTION("""COMPUTED_VALUE"""),23899238)</f>
        <v>23899238</v>
      </c>
    </row>
    <row r="1994" spans="1:6" x14ac:dyDescent="0.35">
      <c r="A1994" s="2">
        <f ca="1">IFERROR(__xludf.DUMMYFUNCTION("""COMPUTED_VALUE"""),44895.6666666666)</f>
        <v>44895.666666666599</v>
      </c>
      <c r="B1994" s="1">
        <f ca="1">IFERROR(__xludf.DUMMYFUNCTION("""COMPUTED_VALUE"""),109.51)</f>
        <v>109.51</v>
      </c>
      <c r="C1994" s="1">
        <f ca="1">IFERROR(__xludf.DUMMYFUNCTION("""COMPUTED_VALUE"""),118.16)</f>
        <v>118.16</v>
      </c>
      <c r="D1994" s="1">
        <f ca="1">IFERROR(__xludf.DUMMYFUNCTION("""COMPUTED_VALUE"""),109.38)</f>
        <v>109.38</v>
      </c>
      <c r="E1994" s="1">
        <f ca="1">IFERROR(__xludf.DUMMYFUNCTION("""COMPUTED_VALUE"""),118.1)</f>
        <v>118.1</v>
      </c>
      <c r="F1994" s="1">
        <f ca="1">IFERROR(__xludf.DUMMYFUNCTION("""COMPUTED_VALUE"""),43348557)</f>
        <v>43348557</v>
      </c>
    </row>
    <row r="1995" spans="1:6" x14ac:dyDescent="0.35">
      <c r="A1995" s="2">
        <f ca="1">IFERROR(__xludf.DUMMYFUNCTION("""COMPUTED_VALUE"""),44896.6666666666)</f>
        <v>44896.666666666599</v>
      </c>
      <c r="B1995" s="1">
        <f ca="1">IFERROR(__xludf.DUMMYFUNCTION("""COMPUTED_VALUE"""),119.2)</f>
        <v>119.2</v>
      </c>
      <c r="C1995" s="1">
        <f ca="1">IFERROR(__xludf.DUMMYFUNCTION("""COMPUTED_VALUE"""),121.2)</f>
        <v>121.2</v>
      </c>
      <c r="D1995" s="1">
        <f ca="1">IFERROR(__xludf.DUMMYFUNCTION("""COMPUTED_VALUE"""),118.4)</f>
        <v>118.4</v>
      </c>
      <c r="E1995" s="1">
        <f ca="1">IFERROR(__xludf.DUMMYFUNCTION("""COMPUTED_VALUE"""),120.44)</f>
        <v>120.44</v>
      </c>
      <c r="F1995" s="1">
        <f ca="1">IFERROR(__xludf.DUMMYFUNCTION("""COMPUTED_VALUE"""),36551374)</f>
        <v>36551374</v>
      </c>
    </row>
    <row r="1996" spans="1:6" x14ac:dyDescent="0.35">
      <c r="A1996" s="2">
        <f ca="1">IFERROR(__xludf.DUMMYFUNCTION("""COMPUTED_VALUE"""),44897.6666666666)</f>
        <v>44897.666666666599</v>
      </c>
      <c r="B1996" s="1">
        <f ca="1">IFERROR(__xludf.DUMMYFUNCTION("""COMPUTED_VALUE"""),117.83)</f>
        <v>117.83</v>
      </c>
      <c r="C1996" s="1">
        <f ca="1">IFERROR(__xludf.DUMMYFUNCTION("""COMPUTED_VALUE"""),124.04)</f>
        <v>124.04</v>
      </c>
      <c r="D1996" s="1">
        <f ca="1">IFERROR(__xludf.DUMMYFUNCTION("""COMPUTED_VALUE"""),117.61)</f>
        <v>117.61</v>
      </c>
      <c r="E1996" s="1">
        <f ca="1">IFERROR(__xludf.DUMMYFUNCTION("""COMPUTED_VALUE"""),123.49)</f>
        <v>123.49</v>
      </c>
      <c r="F1996" s="1">
        <f ca="1">IFERROR(__xludf.DUMMYFUNCTION("""COMPUTED_VALUE"""),39950464)</f>
        <v>39950464</v>
      </c>
    </row>
    <row r="1997" spans="1:6" x14ac:dyDescent="0.35">
      <c r="A1997" s="2">
        <f ca="1">IFERROR(__xludf.DUMMYFUNCTION("""COMPUTED_VALUE"""),44900.6666666666)</f>
        <v>44900.666666666599</v>
      </c>
      <c r="B1997" s="1">
        <f ca="1">IFERROR(__xludf.DUMMYFUNCTION("""COMPUTED_VALUE"""),121.75)</f>
        <v>121.75</v>
      </c>
      <c r="C1997" s="1">
        <f ca="1">IFERROR(__xludf.DUMMYFUNCTION("""COMPUTED_VALUE"""),124.67)</f>
        <v>124.67</v>
      </c>
      <c r="D1997" s="1">
        <f ca="1">IFERROR(__xludf.DUMMYFUNCTION("""COMPUTED_VALUE"""),121.35)</f>
        <v>121.35</v>
      </c>
      <c r="E1997" s="1">
        <f ca="1">IFERROR(__xludf.DUMMYFUNCTION("""COMPUTED_VALUE"""),122.43)</f>
        <v>122.43</v>
      </c>
      <c r="F1997" s="1">
        <f ca="1">IFERROR(__xludf.DUMMYFUNCTION("""COMPUTED_VALUE"""),35474884)</f>
        <v>35474884</v>
      </c>
    </row>
    <row r="1998" spans="1:6" x14ac:dyDescent="0.35">
      <c r="A1998" s="2">
        <f ca="1">IFERROR(__xludf.DUMMYFUNCTION("""COMPUTED_VALUE"""),44901.6666666666)</f>
        <v>44901.666666666599</v>
      </c>
      <c r="B1998" s="1">
        <f ca="1">IFERROR(__xludf.DUMMYFUNCTION("""COMPUTED_VALUE"""),119.91)</f>
        <v>119.91</v>
      </c>
      <c r="C1998" s="1">
        <f ca="1">IFERROR(__xludf.DUMMYFUNCTION("""COMPUTED_VALUE"""),120.55)</f>
        <v>120.55</v>
      </c>
      <c r="D1998" s="1">
        <f ca="1">IFERROR(__xludf.DUMMYFUNCTION("""COMPUTED_VALUE"""),113.74)</f>
        <v>113.74</v>
      </c>
      <c r="E1998" s="1">
        <f ca="1">IFERROR(__xludf.DUMMYFUNCTION("""COMPUTED_VALUE"""),114.12)</f>
        <v>114.12</v>
      </c>
      <c r="F1998" s="1">
        <f ca="1">IFERROR(__xludf.DUMMYFUNCTION("""COMPUTED_VALUE"""),43689183)</f>
        <v>43689183</v>
      </c>
    </row>
    <row r="1999" spans="1:6" x14ac:dyDescent="0.35">
      <c r="A1999" s="2">
        <f ca="1">IFERROR(__xludf.DUMMYFUNCTION("""COMPUTED_VALUE"""),44902.6666666666)</f>
        <v>44902.666666666599</v>
      </c>
      <c r="B1999" s="1">
        <f ca="1">IFERROR(__xludf.DUMMYFUNCTION("""COMPUTED_VALUE"""),113.76)</f>
        <v>113.76</v>
      </c>
      <c r="C1999" s="1">
        <f ca="1">IFERROR(__xludf.DUMMYFUNCTION("""COMPUTED_VALUE"""),115.88)</f>
        <v>115.88</v>
      </c>
      <c r="D1999" s="1">
        <f ca="1">IFERROR(__xludf.DUMMYFUNCTION("""COMPUTED_VALUE"""),112.88)</f>
        <v>112.88</v>
      </c>
      <c r="E1999" s="1">
        <f ca="1">IFERROR(__xludf.DUMMYFUNCTION("""COMPUTED_VALUE"""),113.93)</f>
        <v>113.93</v>
      </c>
      <c r="F1999" s="1">
        <f ca="1">IFERROR(__xludf.DUMMYFUNCTION("""COMPUTED_VALUE"""),29461137)</f>
        <v>29461137</v>
      </c>
    </row>
    <row r="2000" spans="1:6" x14ac:dyDescent="0.35">
      <c r="A2000" s="2">
        <f ca="1">IFERROR(__xludf.DUMMYFUNCTION("""COMPUTED_VALUE"""),44903.6666666666)</f>
        <v>44903.666666666599</v>
      </c>
      <c r="B2000" s="1">
        <f ca="1">IFERROR(__xludf.DUMMYFUNCTION("""COMPUTED_VALUE"""),116.39)</f>
        <v>116.39</v>
      </c>
      <c r="C2000" s="1">
        <f ca="1">IFERROR(__xludf.DUMMYFUNCTION("""COMPUTED_VALUE"""),117.34)</f>
        <v>117.34</v>
      </c>
      <c r="D2000" s="1">
        <f ca="1">IFERROR(__xludf.DUMMYFUNCTION("""COMPUTED_VALUE"""),114.59)</f>
        <v>114.59</v>
      </c>
      <c r="E2000" s="1">
        <f ca="1">IFERROR(__xludf.DUMMYFUNCTION("""COMPUTED_VALUE"""),115.33)</f>
        <v>115.33</v>
      </c>
      <c r="F2000" s="1">
        <f ca="1">IFERROR(__xludf.DUMMYFUNCTION("""COMPUTED_VALUE"""),30619418)</f>
        <v>30619418</v>
      </c>
    </row>
    <row r="2001" spans="1:6" x14ac:dyDescent="0.35">
      <c r="A2001" s="2">
        <f ca="1">IFERROR(__xludf.DUMMYFUNCTION("""COMPUTED_VALUE"""),44904.6666666666)</f>
        <v>44904.666666666599</v>
      </c>
      <c r="B2001" s="1">
        <f ca="1">IFERROR(__xludf.DUMMYFUNCTION("""COMPUTED_VALUE"""),115.3)</f>
        <v>115.3</v>
      </c>
      <c r="C2001" s="1">
        <f ca="1">IFERROR(__xludf.DUMMYFUNCTION("""COMPUTED_VALUE"""),117.54)</f>
        <v>117.54</v>
      </c>
      <c r="D2001" s="1">
        <f ca="1">IFERROR(__xludf.DUMMYFUNCTION("""COMPUTED_VALUE"""),113.87)</f>
        <v>113.87</v>
      </c>
      <c r="E2001" s="1">
        <f ca="1">IFERROR(__xludf.DUMMYFUNCTION("""COMPUTED_VALUE"""),115.9)</f>
        <v>115.9</v>
      </c>
      <c r="F2001" s="1">
        <f ca="1">IFERROR(__xludf.DUMMYFUNCTION("""COMPUTED_VALUE"""),26033353)</f>
        <v>26033353</v>
      </c>
    </row>
    <row r="2002" spans="1:6" x14ac:dyDescent="0.35">
      <c r="A2002" s="2">
        <f ca="1">IFERROR(__xludf.DUMMYFUNCTION("""COMPUTED_VALUE"""),44907.6666666666)</f>
        <v>44907.666666666599</v>
      </c>
      <c r="B2002" s="1">
        <f ca="1">IFERROR(__xludf.DUMMYFUNCTION("""COMPUTED_VALUE"""),115.18)</f>
        <v>115.18</v>
      </c>
      <c r="C2002" s="1">
        <f ca="1">IFERROR(__xludf.DUMMYFUNCTION("""COMPUTED_VALUE"""),115.72)</f>
        <v>115.72</v>
      </c>
      <c r="D2002" s="1">
        <f ca="1">IFERROR(__xludf.DUMMYFUNCTION("""COMPUTED_VALUE"""),113.14)</f>
        <v>113.14</v>
      </c>
      <c r="E2002" s="1">
        <f ca="1">IFERROR(__xludf.DUMMYFUNCTION("""COMPUTED_VALUE"""),114.71)</f>
        <v>114.71</v>
      </c>
      <c r="F2002" s="1">
        <f ca="1">IFERROR(__xludf.DUMMYFUNCTION("""COMPUTED_VALUE"""),24747064)</f>
        <v>24747064</v>
      </c>
    </row>
    <row r="2003" spans="1:6" x14ac:dyDescent="0.35">
      <c r="A2003" s="2">
        <f ca="1">IFERROR(__xludf.DUMMYFUNCTION("""COMPUTED_VALUE"""),44908.6666666666)</f>
        <v>44908.666666666599</v>
      </c>
      <c r="B2003" s="1">
        <f ca="1">IFERROR(__xludf.DUMMYFUNCTION("""COMPUTED_VALUE"""),122.13)</f>
        <v>122.13</v>
      </c>
      <c r="C2003" s="1">
        <f ca="1">IFERROR(__xludf.DUMMYFUNCTION("""COMPUTED_VALUE"""),123.3)</f>
        <v>123.3</v>
      </c>
      <c r="D2003" s="1">
        <f ca="1">IFERROR(__xludf.DUMMYFUNCTION("""COMPUTED_VALUE"""),118.64)</f>
        <v>118.64</v>
      </c>
      <c r="E2003" s="1">
        <f ca="1">IFERROR(__xludf.DUMMYFUNCTION("""COMPUTED_VALUE"""),120.15)</f>
        <v>120.15</v>
      </c>
      <c r="F2003" s="1">
        <f ca="1">IFERROR(__xludf.DUMMYFUNCTION("""COMPUTED_VALUE"""),44701054)</f>
        <v>44701054</v>
      </c>
    </row>
    <row r="2004" spans="1:6" x14ac:dyDescent="0.35">
      <c r="A2004" s="2">
        <f ca="1">IFERROR(__xludf.DUMMYFUNCTION("""COMPUTED_VALUE"""),44909.6666666666)</f>
        <v>44909.666666666599</v>
      </c>
      <c r="B2004" s="1">
        <f ca="1">IFERROR(__xludf.DUMMYFUNCTION("""COMPUTED_VALUE"""),119.39)</f>
        <v>119.39</v>
      </c>
      <c r="C2004" s="1">
        <f ca="1">IFERROR(__xludf.DUMMYFUNCTION("""COMPUTED_VALUE"""),124.14)</f>
        <v>124.14</v>
      </c>
      <c r="D2004" s="1">
        <f ca="1">IFERROR(__xludf.DUMMYFUNCTION("""COMPUTED_VALUE"""),119.39)</f>
        <v>119.39</v>
      </c>
      <c r="E2004" s="1">
        <f ca="1">IFERROR(__xludf.DUMMYFUNCTION("""COMPUTED_VALUE"""),121.59)</f>
        <v>121.59</v>
      </c>
      <c r="F2004" s="1">
        <f ca="1">IFERROR(__xludf.DUMMYFUNCTION("""COMPUTED_VALUE"""),36922037)</f>
        <v>36922037</v>
      </c>
    </row>
    <row r="2005" spans="1:6" x14ac:dyDescent="0.35">
      <c r="A2005" s="2">
        <f ca="1">IFERROR(__xludf.DUMMYFUNCTION("""COMPUTED_VALUE"""),44910.6666666666)</f>
        <v>44910.666666666599</v>
      </c>
      <c r="B2005" s="1">
        <f ca="1">IFERROR(__xludf.DUMMYFUNCTION("""COMPUTED_VALUE"""),118.33)</f>
        <v>118.33</v>
      </c>
      <c r="C2005" s="1">
        <f ca="1">IFERROR(__xludf.DUMMYFUNCTION("""COMPUTED_VALUE"""),118.63)</f>
        <v>118.63</v>
      </c>
      <c r="D2005" s="1">
        <f ca="1">IFERROR(__xludf.DUMMYFUNCTION("""COMPUTED_VALUE"""),114.01)</f>
        <v>114.01</v>
      </c>
      <c r="E2005" s="1">
        <f ca="1">IFERROR(__xludf.DUMMYFUNCTION("""COMPUTED_VALUE"""),116.15)</f>
        <v>116.15</v>
      </c>
      <c r="F2005" s="1">
        <f ca="1">IFERROR(__xludf.DUMMYFUNCTION("""COMPUTED_VALUE"""),34530970)</f>
        <v>34530970</v>
      </c>
    </row>
    <row r="2006" spans="1:6" x14ac:dyDescent="0.35">
      <c r="A2006" s="2">
        <f ca="1">IFERROR(__xludf.DUMMYFUNCTION("""COMPUTED_VALUE"""),44911.6666666666)</f>
        <v>44911.666666666599</v>
      </c>
      <c r="B2006" s="1">
        <f ca="1">IFERROR(__xludf.DUMMYFUNCTION("""COMPUTED_VALUE"""),120.23)</f>
        <v>120.23</v>
      </c>
      <c r="C2006" s="1">
        <f ca="1">IFERROR(__xludf.DUMMYFUNCTION("""COMPUTED_VALUE"""),123.31)</f>
        <v>123.31</v>
      </c>
      <c r="D2006" s="1">
        <f ca="1">IFERROR(__xludf.DUMMYFUNCTION("""COMPUTED_VALUE"""),118.82)</f>
        <v>118.82</v>
      </c>
      <c r="E2006" s="1">
        <f ca="1">IFERROR(__xludf.DUMMYFUNCTION("""COMPUTED_VALUE"""),119.43)</f>
        <v>119.43</v>
      </c>
      <c r="F2006" s="1">
        <f ca="1">IFERROR(__xludf.DUMMYFUNCTION("""COMPUTED_VALUE"""),67064001)</f>
        <v>67064001</v>
      </c>
    </row>
    <row r="2007" spans="1:6" x14ac:dyDescent="0.35">
      <c r="A2007" s="2">
        <f ca="1">IFERROR(__xludf.DUMMYFUNCTION("""COMPUTED_VALUE"""),44914.6666666666)</f>
        <v>44914.666666666599</v>
      </c>
      <c r="B2007" s="1">
        <f ca="1">IFERROR(__xludf.DUMMYFUNCTION("""COMPUTED_VALUE"""),116.83)</f>
        <v>116.83</v>
      </c>
      <c r="C2007" s="1">
        <f ca="1">IFERROR(__xludf.DUMMYFUNCTION("""COMPUTED_VALUE"""),117.8)</f>
        <v>117.8</v>
      </c>
      <c r="D2007" s="1">
        <f ca="1">IFERROR(__xludf.DUMMYFUNCTION("""COMPUTED_VALUE"""),114.33)</f>
        <v>114.33</v>
      </c>
      <c r="E2007" s="1">
        <f ca="1">IFERROR(__xludf.DUMMYFUNCTION("""COMPUTED_VALUE"""),114.48)</f>
        <v>114.48</v>
      </c>
      <c r="F2007" s="1">
        <f ca="1">IFERROR(__xludf.DUMMYFUNCTION("""COMPUTED_VALUE"""),29769875)</f>
        <v>29769875</v>
      </c>
    </row>
    <row r="2008" spans="1:6" x14ac:dyDescent="0.35">
      <c r="A2008" s="2">
        <f ca="1">IFERROR(__xludf.DUMMYFUNCTION("""COMPUTED_VALUE"""),44915.6666666666)</f>
        <v>44915.666666666599</v>
      </c>
      <c r="B2008" s="1">
        <f ca="1">IFERROR(__xludf.DUMMYFUNCTION("""COMPUTED_VALUE"""),113.26)</f>
        <v>113.26</v>
      </c>
      <c r="C2008" s="1">
        <f ca="1">IFERROR(__xludf.DUMMYFUNCTION("""COMPUTED_VALUE"""),117.33)</f>
        <v>117.33</v>
      </c>
      <c r="D2008" s="1">
        <f ca="1">IFERROR(__xludf.DUMMYFUNCTION("""COMPUTED_VALUE"""),112.46)</f>
        <v>112.46</v>
      </c>
      <c r="E2008" s="1">
        <f ca="1">IFERROR(__xludf.DUMMYFUNCTION("""COMPUTED_VALUE"""),117.09)</f>
        <v>117.09</v>
      </c>
      <c r="F2008" s="1">
        <f ca="1">IFERROR(__xludf.DUMMYFUNCTION("""COMPUTED_VALUE"""),28742501)</f>
        <v>28742501</v>
      </c>
    </row>
    <row r="2009" spans="1:6" x14ac:dyDescent="0.35">
      <c r="A2009" s="2">
        <f ca="1">IFERROR(__xludf.DUMMYFUNCTION("""COMPUTED_VALUE"""),44916.6666666666)</f>
        <v>44916.666666666599</v>
      </c>
      <c r="B2009" s="1">
        <f ca="1">IFERROR(__xludf.DUMMYFUNCTION("""COMPUTED_VALUE"""),116.7)</f>
        <v>116.7</v>
      </c>
      <c r="C2009" s="1">
        <f ca="1">IFERROR(__xludf.DUMMYFUNCTION("""COMPUTED_VALUE"""),120.34)</f>
        <v>120.34</v>
      </c>
      <c r="D2009" s="1">
        <f ca="1">IFERROR(__xludf.DUMMYFUNCTION("""COMPUTED_VALUE"""),115.62)</f>
        <v>115.62</v>
      </c>
      <c r="E2009" s="1">
        <f ca="1">IFERROR(__xludf.DUMMYFUNCTION("""COMPUTED_VALUE"""),119.76)</f>
        <v>119.76</v>
      </c>
      <c r="F2009" s="1">
        <f ca="1">IFERROR(__xludf.DUMMYFUNCTION("""COMPUTED_VALUE"""),20392799)</f>
        <v>20392799</v>
      </c>
    </row>
    <row r="2010" spans="1:6" x14ac:dyDescent="0.35">
      <c r="A2010" s="2">
        <f ca="1">IFERROR(__xludf.DUMMYFUNCTION("""COMPUTED_VALUE"""),44917.6666666666)</f>
        <v>44917.666666666599</v>
      </c>
      <c r="B2010" s="1">
        <f ca="1">IFERROR(__xludf.DUMMYFUNCTION("""COMPUTED_VALUE"""),117.2)</f>
        <v>117.2</v>
      </c>
      <c r="C2010" s="1">
        <f ca="1">IFERROR(__xludf.DUMMYFUNCTION("""COMPUTED_VALUE"""),118.62)</f>
        <v>118.62</v>
      </c>
      <c r="D2010" s="1">
        <f ca="1">IFERROR(__xludf.DUMMYFUNCTION("""COMPUTED_VALUE"""),114.38)</f>
        <v>114.38</v>
      </c>
      <c r="E2010" s="1">
        <f ca="1">IFERROR(__xludf.DUMMYFUNCTION("""COMPUTED_VALUE"""),117.12)</f>
        <v>117.12</v>
      </c>
      <c r="F2010" s="1">
        <f ca="1">IFERROR(__xludf.DUMMYFUNCTION("""COMPUTED_VALUE"""),23618121)</f>
        <v>23618121</v>
      </c>
    </row>
    <row r="2011" spans="1:6" x14ac:dyDescent="0.35">
      <c r="A2011" s="2">
        <f ca="1">IFERROR(__xludf.DUMMYFUNCTION("""COMPUTED_VALUE"""),44918.6666666666)</f>
        <v>44918.666666666599</v>
      </c>
      <c r="B2011" s="1">
        <f ca="1">IFERROR(__xludf.DUMMYFUNCTION("""COMPUTED_VALUE"""),116.03)</f>
        <v>116.03</v>
      </c>
      <c r="C2011" s="1">
        <f ca="1">IFERROR(__xludf.DUMMYFUNCTION("""COMPUTED_VALUE"""),118.18)</f>
        <v>118.18</v>
      </c>
      <c r="D2011" s="1">
        <f ca="1">IFERROR(__xludf.DUMMYFUNCTION("""COMPUTED_VALUE"""),115.54)</f>
        <v>115.54</v>
      </c>
      <c r="E2011" s="1">
        <f ca="1">IFERROR(__xludf.DUMMYFUNCTION("""COMPUTED_VALUE"""),118.04)</f>
        <v>118.04</v>
      </c>
      <c r="F2011" s="1">
        <f ca="1">IFERROR(__xludf.DUMMYFUNCTION("""COMPUTED_VALUE"""),17796625)</f>
        <v>17796625</v>
      </c>
    </row>
    <row r="2012" spans="1:6" x14ac:dyDescent="0.35">
      <c r="A2012" s="2">
        <f ca="1">IFERROR(__xludf.DUMMYFUNCTION("""COMPUTED_VALUE"""),44922.6666666666)</f>
        <v>44922.666666666599</v>
      </c>
      <c r="B2012" s="1">
        <f ca="1">IFERROR(__xludf.DUMMYFUNCTION("""COMPUTED_VALUE"""),117.93)</f>
        <v>117.93</v>
      </c>
      <c r="C2012" s="1">
        <f ca="1">IFERROR(__xludf.DUMMYFUNCTION("""COMPUTED_VALUE"""),118.6)</f>
        <v>118.6</v>
      </c>
      <c r="D2012" s="1">
        <f ca="1">IFERROR(__xludf.DUMMYFUNCTION("""COMPUTED_VALUE"""),116.05)</f>
        <v>116.05</v>
      </c>
      <c r="E2012" s="1">
        <f ca="1">IFERROR(__xludf.DUMMYFUNCTION("""COMPUTED_VALUE"""),116.88)</f>
        <v>116.88</v>
      </c>
      <c r="F2012" s="1">
        <f ca="1">IFERROR(__xludf.DUMMYFUNCTION("""COMPUTED_VALUE"""),21392311)</f>
        <v>21392311</v>
      </c>
    </row>
    <row r="2013" spans="1:6" x14ac:dyDescent="0.35">
      <c r="A2013" s="2">
        <f ca="1">IFERROR(__xludf.DUMMYFUNCTION("""COMPUTED_VALUE"""),44923.6666666666)</f>
        <v>44923.666666666599</v>
      </c>
      <c r="B2013" s="1">
        <f ca="1">IFERROR(__xludf.DUMMYFUNCTION("""COMPUTED_VALUE"""),116.25)</f>
        <v>116.25</v>
      </c>
      <c r="C2013" s="1">
        <f ca="1">IFERROR(__xludf.DUMMYFUNCTION("""COMPUTED_VALUE"""),118.15)</f>
        <v>118.15</v>
      </c>
      <c r="D2013" s="1">
        <f ca="1">IFERROR(__xludf.DUMMYFUNCTION("""COMPUTED_VALUE"""),115.51)</f>
        <v>115.51</v>
      </c>
      <c r="E2013" s="1">
        <f ca="1">IFERROR(__xludf.DUMMYFUNCTION("""COMPUTED_VALUE"""),115.62)</f>
        <v>115.62</v>
      </c>
      <c r="F2013" s="1">
        <f ca="1">IFERROR(__xludf.DUMMYFUNCTION("""COMPUTED_VALUE"""),19612473)</f>
        <v>19612473</v>
      </c>
    </row>
    <row r="2014" spans="1:6" x14ac:dyDescent="0.35">
      <c r="A2014" s="2">
        <f ca="1">IFERROR(__xludf.DUMMYFUNCTION("""COMPUTED_VALUE"""),44924.6666666666)</f>
        <v>44924.666666666599</v>
      </c>
      <c r="B2014" s="1">
        <f ca="1">IFERROR(__xludf.DUMMYFUNCTION("""COMPUTED_VALUE"""),116.4)</f>
        <v>116.4</v>
      </c>
      <c r="C2014" s="1">
        <f ca="1">IFERROR(__xludf.DUMMYFUNCTION("""COMPUTED_VALUE"""),121.03)</f>
        <v>121.03</v>
      </c>
      <c r="D2014" s="1">
        <f ca="1">IFERROR(__xludf.DUMMYFUNCTION("""COMPUTED_VALUE"""),115.77)</f>
        <v>115.77</v>
      </c>
      <c r="E2014" s="1">
        <f ca="1">IFERROR(__xludf.DUMMYFUNCTION("""COMPUTED_VALUE"""),120.26)</f>
        <v>120.26</v>
      </c>
      <c r="F2014" s="1">
        <f ca="1">IFERROR(__xludf.DUMMYFUNCTION("""COMPUTED_VALUE"""),22366192)</f>
        <v>22366192</v>
      </c>
    </row>
    <row r="2015" spans="1:6" x14ac:dyDescent="0.35">
      <c r="A2015" s="2">
        <f ca="1">IFERROR(__xludf.DUMMYFUNCTION("""COMPUTED_VALUE"""),44925.6666666666)</f>
        <v>44925.666666666599</v>
      </c>
      <c r="B2015" s="1">
        <f ca="1">IFERROR(__xludf.DUMMYFUNCTION("""COMPUTED_VALUE"""),118.16)</f>
        <v>118.16</v>
      </c>
      <c r="C2015" s="1">
        <f ca="1">IFERROR(__xludf.DUMMYFUNCTION("""COMPUTED_VALUE"""),120.42)</f>
        <v>120.42</v>
      </c>
      <c r="D2015" s="1">
        <f ca="1">IFERROR(__xludf.DUMMYFUNCTION("""COMPUTED_VALUE"""),117.74)</f>
        <v>117.74</v>
      </c>
      <c r="E2015" s="1">
        <f ca="1">IFERROR(__xludf.DUMMYFUNCTION("""COMPUTED_VALUE"""),120.34)</f>
        <v>120.34</v>
      </c>
      <c r="F2015" s="1">
        <f ca="1">IFERROR(__xludf.DUMMYFUNCTION("""COMPUTED_VALUE"""),19583825)</f>
        <v>19583825</v>
      </c>
    </row>
    <row r="2016" spans="1:6" x14ac:dyDescent="0.35">
      <c r="A2016" s="2">
        <f ca="1">IFERROR(__xludf.DUMMYFUNCTION("""COMPUTED_VALUE"""),44929.6666666666)</f>
        <v>44929.666666666599</v>
      </c>
      <c r="B2016" s="1">
        <f ca="1">IFERROR(__xludf.DUMMYFUNCTION("""COMPUTED_VALUE"""),122.82)</f>
        <v>122.82</v>
      </c>
      <c r="C2016" s="1">
        <f ca="1">IFERROR(__xludf.DUMMYFUNCTION("""COMPUTED_VALUE"""),126.37)</f>
        <v>126.37</v>
      </c>
      <c r="D2016" s="1">
        <f ca="1">IFERROR(__xludf.DUMMYFUNCTION("""COMPUTED_VALUE"""),122.28)</f>
        <v>122.28</v>
      </c>
      <c r="E2016" s="1">
        <f ca="1">IFERROR(__xludf.DUMMYFUNCTION("""COMPUTED_VALUE"""),124.74)</f>
        <v>124.74</v>
      </c>
      <c r="F2016" s="1">
        <f ca="1">IFERROR(__xludf.DUMMYFUNCTION("""COMPUTED_VALUE"""),35528531)</f>
        <v>35528531</v>
      </c>
    </row>
    <row r="2017" spans="1:6" x14ac:dyDescent="0.35">
      <c r="A2017" s="2">
        <f ca="1">IFERROR(__xludf.DUMMYFUNCTION("""COMPUTED_VALUE"""),44930.6666666666)</f>
        <v>44930.666666666599</v>
      </c>
      <c r="B2017" s="1">
        <f ca="1">IFERROR(__xludf.DUMMYFUNCTION("""COMPUTED_VALUE"""),127.38)</f>
        <v>127.38</v>
      </c>
      <c r="C2017" s="1">
        <f ca="1">IFERROR(__xludf.DUMMYFUNCTION("""COMPUTED_VALUE"""),129.05)</f>
        <v>129.05000000000001</v>
      </c>
      <c r="D2017" s="1">
        <f ca="1">IFERROR(__xludf.DUMMYFUNCTION("""COMPUTED_VALUE"""),125.85)</f>
        <v>125.85</v>
      </c>
      <c r="E2017" s="1">
        <f ca="1">IFERROR(__xludf.DUMMYFUNCTION("""COMPUTED_VALUE"""),127.37)</f>
        <v>127.37</v>
      </c>
      <c r="F2017" s="1">
        <f ca="1">IFERROR(__xludf.DUMMYFUNCTION("""COMPUTED_VALUE"""),32397094)</f>
        <v>32397094</v>
      </c>
    </row>
    <row r="2018" spans="1:6" x14ac:dyDescent="0.35">
      <c r="A2018" s="2">
        <f ca="1">IFERROR(__xludf.DUMMYFUNCTION("""COMPUTED_VALUE"""),44931.6666666666)</f>
        <v>44931.666666666599</v>
      </c>
      <c r="B2018" s="1">
        <f ca="1">IFERROR(__xludf.DUMMYFUNCTION("""COMPUTED_VALUE"""),126.13)</f>
        <v>126.13</v>
      </c>
      <c r="C2018" s="1">
        <f ca="1">IFERROR(__xludf.DUMMYFUNCTION("""COMPUTED_VALUE"""),128.52)</f>
        <v>128.52000000000001</v>
      </c>
      <c r="D2018" s="1">
        <f ca="1">IFERROR(__xludf.DUMMYFUNCTION("""COMPUTED_VALUE"""),124.54)</f>
        <v>124.54</v>
      </c>
      <c r="E2018" s="1">
        <f ca="1">IFERROR(__xludf.DUMMYFUNCTION("""COMPUTED_VALUE"""),126.94)</f>
        <v>126.94</v>
      </c>
      <c r="F2018" s="1">
        <f ca="1">IFERROR(__xludf.DUMMYFUNCTION("""COMPUTED_VALUE"""),25447099)</f>
        <v>25447099</v>
      </c>
    </row>
    <row r="2019" spans="1:6" x14ac:dyDescent="0.35">
      <c r="A2019" s="2">
        <f ca="1">IFERROR(__xludf.DUMMYFUNCTION("""COMPUTED_VALUE"""),44932.6666666666)</f>
        <v>44932.666666666599</v>
      </c>
      <c r="B2019" s="1">
        <f ca="1">IFERROR(__xludf.DUMMYFUNCTION("""COMPUTED_VALUE"""),128.97)</f>
        <v>128.97</v>
      </c>
      <c r="C2019" s="1">
        <f ca="1">IFERROR(__xludf.DUMMYFUNCTION("""COMPUTED_VALUE"""),130.33)</f>
        <v>130.33000000000001</v>
      </c>
      <c r="D2019" s="1">
        <f ca="1">IFERROR(__xludf.DUMMYFUNCTION("""COMPUTED_VALUE"""),126.04)</f>
        <v>126.04</v>
      </c>
      <c r="E2019" s="1">
        <f ca="1">IFERROR(__xludf.DUMMYFUNCTION("""COMPUTED_VALUE"""),130.02)</f>
        <v>130.02000000000001</v>
      </c>
      <c r="F2019" s="1">
        <f ca="1">IFERROR(__xludf.DUMMYFUNCTION("""COMPUTED_VALUE"""),27584498)</f>
        <v>27584498</v>
      </c>
    </row>
    <row r="2020" spans="1:6" x14ac:dyDescent="0.35">
      <c r="A2020" s="2">
        <f ca="1">IFERROR(__xludf.DUMMYFUNCTION("""COMPUTED_VALUE"""),44935.6666666666)</f>
        <v>44935.666666666599</v>
      </c>
      <c r="B2020" s="1">
        <f ca="1">IFERROR(__xludf.DUMMYFUNCTION("""COMPUTED_VALUE"""),131.16)</f>
        <v>131.16</v>
      </c>
      <c r="C2020" s="1">
        <f ca="1">IFERROR(__xludf.DUMMYFUNCTION("""COMPUTED_VALUE"""),132.95)</f>
        <v>132.94999999999999</v>
      </c>
      <c r="D2020" s="1">
        <f ca="1">IFERROR(__xludf.DUMMYFUNCTION("""COMPUTED_VALUE"""),129.28)</f>
        <v>129.28</v>
      </c>
      <c r="E2020" s="1">
        <f ca="1">IFERROR(__xludf.DUMMYFUNCTION("""COMPUTED_VALUE"""),129.47)</f>
        <v>129.47</v>
      </c>
      <c r="F2020" s="1">
        <f ca="1">IFERROR(__xludf.DUMMYFUNCTION("""COMPUTED_VALUE"""),26649145)</f>
        <v>26649145</v>
      </c>
    </row>
    <row r="2021" spans="1:6" x14ac:dyDescent="0.35">
      <c r="A2021" s="2">
        <f ca="1">IFERROR(__xludf.DUMMYFUNCTION("""COMPUTED_VALUE"""),44936.6666666666)</f>
        <v>44936.666666666599</v>
      </c>
      <c r="B2021" s="1">
        <f ca="1">IFERROR(__xludf.DUMMYFUNCTION("""COMPUTED_VALUE"""),127.27)</f>
        <v>127.27</v>
      </c>
      <c r="C2021" s="1">
        <f ca="1">IFERROR(__xludf.DUMMYFUNCTION("""COMPUTED_VALUE"""),133.44)</f>
        <v>133.44</v>
      </c>
      <c r="D2021" s="1">
        <f ca="1">IFERROR(__xludf.DUMMYFUNCTION("""COMPUTED_VALUE"""),127.15)</f>
        <v>127.15</v>
      </c>
      <c r="E2021" s="1">
        <f ca="1">IFERROR(__xludf.DUMMYFUNCTION("""COMPUTED_VALUE"""),132.99)</f>
        <v>132.99</v>
      </c>
      <c r="F2021" s="1">
        <f ca="1">IFERROR(__xludf.DUMMYFUNCTION("""COMPUTED_VALUE"""),28684431)</f>
        <v>28684431</v>
      </c>
    </row>
    <row r="2022" spans="1:6" x14ac:dyDescent="0.35">
      <c r="A2022" s="2">
        <f ca="1">IFERROR(__xludf.DUMMYFUNCTION("""COMPUTED_VALUE"""),44937.6666666666)</f>
        <v>44937.666666666599</v>
      </c>
      <c r="B2022" s="1">
        <f ca="1">IFERROR(__xludf.DUMMYFUNCTION("""COMPUTED_VALUE"""),130.96)</f>
        <v>130.96</v>
      </c>
      <c r="C2022" s="1">
        <f ca="1">IFERROR(__xludf.DUMMYFUNCTION("""COMPUTED_VALUE"""),133.85)</f>
        <v>133.85</v>
      </c>
      <c r="D2022" s="1">
        <f ca="1">IFERROR(__xludf.DUMMYFUNCTION("""COMPUTED_VALUE"""),130.34)</f>
        <v>130.34</v>
      </c>
      <c r="E2022" s="1">
        <f ca="1">IFERROR(__xludf.DUMMYFUNCTION("""COMPUTED_VALUE"""),132.89)</f>
        <v>132.88999999999999</v>
      </c>
      <c r="F2022" s="1">
        <f ca="1">IFERROR(__xludf.DUMMYFUNCTION("""COMPUTED_VALUE"""),25423046)</f>
        <v>25423046</v>
      </c>
    </row>
    <row r="2023" spans="1:6" x14ac:dyDescent="0.35">
      <c r="A2023" s="2">
        <f ca="1">IFERROR(__xludf.DUMMYFUNCTION("""COMPUTED_VALUE"""),44938.6666666666)</f>
        <v>44938.666666666599</v>
      </c>
      <c r="B2023" s="1">
        <f ca="1">IFERROR(__xludf.DUMMYFUNCTION("""COMPUTED_VALUE"""),133.44)</f>
        <v>133.44</v>
      </c>
      <c r="C2023" s="1">
        <f ca="1">IFERROR(__xludf.DUMMYFUNCTION("""COMPUTED_VALUE"""),137.68)</f>
        <v>137.68</v>
      </c>
      <c r="D2023" s="1">
        <f ca="1">IFERROR(__xludf.DUMMYFUNCTION("""COMPUTED_VALUE"""),131.76)</f>
        <v>131.76</v>
      </c>
      <c r="E2023" s="1">
        <f ca="1">IFERROR(__xludf.DUMMYFUNCTION("""COMPUTED_VALUE"""),136.71)</f>
        <v>136.71</v>
      </c>
      <c r="F2023" s="1">
        <f ca="1">IFERROR(__xludf.DUMMYFUNCTION("""COMPUTED_VALUE"""),30757732)</f>
        <v>30757732</v>
      </c>
    </row>
    <row r="2024" spans="1:6" x14ac:dyDescent="0.35">
      <c r="A2024" s="2">
        <f ca="1">IFERROR(__xludf.DUMMYFUNCTION("""COMPUTED_VALUE"""),44939.6666666666)</f>
        <v>44939.666666666599</v>
      </c>
      <c r="B2024" s="1">
        <f ca="1">IFERROR(__xludf.DUMMYFUNCTION("""COMPUTED_VALUE"""),134.97)</f>
        <v>134.97</v>
      </c>
      <c r="C2024" s="1">
        <f ca="1">IFERROR(__xludf.DUMMYFUNCTION("""COMPUTED_VALUE"""),137.39)</f>
        <v>137.38999999999999</v>
      </c>
      <c r="D2024" s="1">
        <f ca="1">IFERROR(__xludf.DUMMYFUNCTION("""COMPUTED_VALUE"""),134.84)</f>
        <v>134.84</v>
      </c>
      <c r="E2024" s="1">
        <f ca="1">IFERROR(__xludf.DUMMYFUNCTION("""COMPUTED_VALUE"""),136.98)</f>
        <v>136.97999999999999</v>
      </c>
      <c r="F2024" s="1">
        <f ca="1">IFERROR(__xludf.DUMMYFUNCTION("""COMPUTED_VALUE"""),22423839)</f>
        <v>22423839</v>
      </c>
    </row>
    <row r="2025" spans="1:6" x14ac:dyDescent="0.35">
      <c r="A2025" s="2">
        <f ca="1">IFERROR(__xludf.DUMMYFUNCTION("""COMPUTED_VALUE"""),44943.6666666666)</f>
        <v>44943.666666666599</v>
      </c>
      <c r="B2025" s="1">
        <f ca="1">IFERROR(__xludf.DUMMYFUNCTION("""COMPUTED_VALUE"""),136.18)</f>
        <v>136.18</v>
      </c>
      <c r="C2025" s="1">
        <f ca="1">IFERROR(__xludf.DUMMYFUNCTION("""COMPUTED_VALUE"""),136.75)</f>
        <v>136.75</v>
      </c>
      <c r="D2025" s="1">
        <f ca="1">IFERROR(__xludf.DUMMYFUNCTION("""COMPUTED_VALUE"""),134.25)</f>
        <v>134.25</v>
      </c>
      <c r="E2025" s="1">
        <f ca="1">IFERROR(__xludf.DUMMYFUNCTION("""COMPUTED_VALUE"""),135.36)</f>
        <v>135.36000000000001</v>
      </c>
      <c r="F2025" s="1">
        <f ca="1">IFERROR(__xludf.DUMMYFUNCTION("""COMPUTED_VALUE"""),21147587)</f>
        <v>21147587</v>
      </c>
    </row>
    <row r="2026" spans="1:6" x14ac:dyDescent="0.35">
      <c r="A2026" s="2">
        <f ca="1">IFERROR(__xludf.DUMMYFUNCTION("""COMPUTED_VALUE"""),44944.6666666666)</f>
        <v>44944.666666666599</v>
      </c>
      <c r="B2026" s="1">
        <f ca="1">IFERROR(__xludf.DUMMYFUNCTION("""COMPUTED_VALUE"""),135.81)</f>
        <v>135.81</v>
      </c>
      <c r="C2026" s="1">
        <f ca="1">IFERROR(__xludf.DUMMYFUNCTION("""COMPUTED_VALUE"""),137.25)</f>
        <v>137.25</v>
      </c>
      <c r="D2026" s="1">
        <f ca="1">IFERROR(__xludf.DUMMYFUNCTION("""COMPUTED_VALUE"""),132.8)</f>
        <v>132.80000000000001</v>
      </c>
      <c r="E2026" s="1">
        <f ca="1">IFERROR(__xludf.DUMMYFUNCTION("""COMPUTED_VALUE"""),133.02)</f>
        <v>133.02000000000001</v>
      </c>
      <c r="F2026" s="1">
        <f ca="1">IFERROR(__xludf.DUMMYFUNCTION("""COMPUTED_VALUE"""),20215486)</f>
        <v>20215486</v>
      </c>
    </row>
    <row r="2027" spans="1:6" x14ac:dyDescent="0.35">
      <c r="A2027" s="2">
        <f ca="1">IFERROR(__xludf.DUMMYFUNCTION("""COMPUTED_VALUE"""),44945.6666666666)</f>
        <v>44945.666666666599</v>
      </c>
      <c r="B2027" s="1">
        <f ca="1">IFERROR(__xludf.DUMMYFUNCTION("""COMPUTED_VALUE"""),132.49)</f>
        <v>132.49</v>
      </c>
      <c r="C2027" s="1">
        <f ca="1">IFERROR(__xludf.DUMMYFUNCTION("""COMPUTED_VALUE"""),137.45)</f>
        <v>137.44999999999999</v>
      </c>
      <c r="D2027" s="1">
        <f ca="1">IFERROR(__xludf.DUMMYFUNCTION("""COMPUTED_VALUE"""),132.14)</f>
        <v>132.13999999999999</v>
      </c>
      <c r="E2027" s="1">
        <f ca="1">IFERROR(__xludf.DUMMYFUNCTION("""COMPUTED_VALUE"""),136.15)</f>
        <v>136.15</v>
      </c>
      <c r="F2027" s="1">
        <f ca="1">IFERROR(__xludf.DUMMYFUNCTION("""COMPUTED_VALUE"""),28625232)</f>
        <v>28625232</v>
      </c>
    </row>
    <row r="2028" spans="1:6" x14ac:dyDescent="0.35">
      <c r="A2028" s="2">
        <f ca="1">IFERROR(__xludf.DUMMYFUNCTION("""COMPUTED_VALUE"""),44946.6666666666)</f>
        <v>44946.666666666599</v>
      </c>
      <c r="B2028" s="1">
        <f ca="1">IFERROR(__xludf.DUMMYFUNCTION("""COMPUTED_VALUE"""),135.89)</f>
        <v>135.88999999999999</v>
      </c>
      <c r="C2028" s="1">
        <f ca="1">IFERROR(__xludf.DUMMYFUNCTION("""COMPUTED_VALUE"""),139.94)</f>
        <v>139.94</v>
      </c>
      <c r="D2028" s="1">
        <f ca="1">IFERROR(__xludf.DUMMYFUNCTION("""COMPUTED_VALUE"""),134.61)</f>
        <v>134.61000000000001</v>
      </c>
      <c r="E2028" s="1">
        <f ca="1">IFERROR(__xludf.DUMMYFUNCTION("""COMPUTED_VALUE"""),139.37)</f>
        <v>139.37</v>
      </c>
      <c r="F2028" s="1">
        <f ca="1">IFERROR(__xludf.DUMMYFUNCTION("""COMPUTED_VALUE"""),28688630)</f>
        <v>28688630</v>
      </c>
    </row>
    <row r="2029" spans="1:6" x14ac:dyDescent="0.35">
      <c r="A2029" s="2">
        <f ca="1">IFERROR(__xludf.DUMMYFUNCTION("""COMPUTED_VALUE"""),44949.6666666666)</f>
        <v>44949.666666666599</v>
      </c>
      <c r="B2029" s="1">
        <f ca="1">IFERROR(__xludf.DUMMYFUNCTION("""COMPUTED_VALUE"""),139.29)</f>
        <v>139.29</v>
      </c>
      <c r="C2029" s="1">
        <f ca="1">IFERROR(__xludf.DUMMYFUNCTION("""COMPUTED_VALUE"""),143.76)</f>
        <v>143.76</v>
      </c>
      <c r="D2029" s="1">
        <f ca="1">IFERROR(__xludf.DUMMYFUNCTION("""COMPUTED_VALUE"""),138.66)</f>
        <v>138.66</v>
      </c>
      <c r="E2029" s="1">
        <f ca="1">IFERROR(__xludf.DUMMYFUNCTION("""COMPUTED_VALUE"""),143.27)</f>
        <v>143.27000000000001</v>
      </c>
      <c r="F2029" s="1">
        <f ca="1">IFERROR(__xludf.DUMMYFUNCTION("""COMPUTED_VALUE"""),27470093)</f>
        <v>27470093</v>
      </c>
    </row>
    <row r="2030" spans="1:6" x14ac:dyDescent="0.35">
      <c r="A2030" s="2">
        <f ca="1">IFERROR(__xludf.DUMMYFUNCTION("""COMPUTED_VALUE"""),44950.6666666666)</f>
        <v>44950.666666666599</v>
      </c>
      <c r="B2030" s="1">
        <f ca="1">IFERROR(__xludf.DUMMYFUNCTION("""COMPUTED_VALUE"""),141.69)</f>
        <v>141.69</v>
      </c>
      <c r="C2030" s="1">
        <f ca="1">IFERROR(__xludf.DUMMYFUNCTION("""COMPUTED_VALUE"""),145)</f>
        <v>145</v>
      </c>
      <c r="D2030" s="1">
        <f ca="1">IFERROR(__xludf.DUMMYFUNCTION("""COMPUTED_VALUE"""),141.36)</f>
        <v>141.36000000000001</v>
      </c>
      <c r="E2030" s="1">
        <f ca="1">IFERROR(__xludf.DUMMYFUNCTION("""COMPUTED_VALUE"""),143.14)</f>
        <v>143.13999999999999</v>
      </c>
      <c r="F2030" s="1">
        <f ca="1">IFERROR(__xludf.DUMMYFUNCTION("""COMPUTED_VALUE"""),21970190)</f>
        <v>21970190</v>
      </c>
    </row>
    <row r="2031" spans="1:6" x14ac:dyDescent="0.35">
      <c r="A2031" s="2">
        <f ca="1">IFERROR(__xludf.DUMMYFUNCTION("""COMPUTED_VALUE"""),44951.6666666666)</f>
        <v>44951.666666666599</v>
      </c>
      <c r="B2031" s="1">
        <f ca="1">IFERROR(__xludf.DUMMYFUNCTION("""COMPUTED_VALUE"""),141.22)</f>
        <v>141.22</v>
      </c>
      <c r="C2031" s="1">
        <f ca="1">IFERROR(__xludf.DUMMYFUNCTION("""COMPUTED_VALUE"""),143.17)</f>
        <v>143.16999999999999</v>
      </c>
      <c r="D2031" s="1">
        <f ca="1">IFERROR(__xludf.DUMMYFUNCTION("""COMPUTED_VALUE"""),140.31)</f>
        <v>140.31</v>
      </c>
      <c r="E2031" s="1">
        <f ca="1">IFERROR(__xludf.DUMMYFUNCTION("""COMPUTED_VALUE"""),141.5)</f>
        <v>141.5</v>
      </c>
      <c r="F2031" s="1">
        <f ca="1">IFERROR(__xludf.DUMMYFUNCTION("""COMPUTED_VALUE"""),26622021)</f>
        <v>26622021</v>
      </c>
    </row>
    <row r="2032" spans="1:6" x14ac:dyDescent="0.35">
      <c r="A2032" s="2">
        <f ca="1">IFERROR(__xludf.DUMMYFUNCTION("""COMPUTED_VALUE"""),44952.6666666666)</f>
        <v>44952.666666666599</v>
      </c>
      <c r="B2032" s="1">
        <f ca="1">IFERROR(__xludf.DUMMYFUNCTION("""COMPUTED_VALUE"""),144.4)</f>
        <v>144.4</v>
      </c>
      <c r="C2032" s="1">
        <f ca="1">IFERROR(__xludf.DUMMYFUNCTION("""COMPUTED_VALUE"""),147.51)</f>
        <v>147.51</v>
      </c>
      <c r="D2032" s="1">
        <f ca="1">IFERROR(__xludf.DUMMYFUNCTION("""COMPUTED_VALUE"""),143.3)</f>
        <v>143.30000000000001</v>
      </c>
      <c r="E2032" s="1">
        <f ca="1">IFERROR(__xludf.DUMMYFUNCTION("""COMPUTED_VALUE"""),147.3)</f>
        <v>147.30000000000001</v>
      </c>
      <c r="F2032" s="1">
        <f ca="1">IFERROR(__xludf.DUMMYFUNCTION("""COMPUTED_VALUE"""),25482084)</f>
        <v>25482084</v>
      </c>
    </row>
    <row r="2033" spans="1:6" x14ac:dyDescent="0.35">
      <c r="A2033" s="2">
        <f ca="1">IFERROR(__xludf.DUMMYFUNCTION("""COMPUTED_VALUE"""),44953.6666666666)</f>
        <v>44953.666666666599</v>
      </c>
      <c r="B2033" s="1">
        <f ca="1">IFERROR(__xludf.DUMMYFUNCTION("""COMPUTED_VALUE"""),148.24)</f>
        <v>148.24</v>
      </c>
      <c r="C2033" s="1">
        <f ca="1">IFERROR(__xludf.DUMMYFUNCTION("""COMPUTED_VALUE"""),153.19)</f>
        <v>153.19</v>
      </c>
      <c r="D2033" s="1">
        <f ca="1">IFERROR(__xludf.DUMMYFUNCTION("""COMPUTED_VALUE"""),147.39)</f>
        <v>147.38999999999999</v>
      </c>
      <c r="E2033" s="1">
        <f ca="1">IFERROR(__xludf.DUMMYFUNCTION("""COMPUTED_VALUE"""),151.74)</f>
        <v>151.74</v>
      </c>
      <c r="F2033" s="1">
        <f ca="1">IFERROR(__xludf.DUMMYFUNCTION("""COMPUTED_VALUE"""),35771865)</f>
        <v>35771865</v>
      </c>
    </row>
    <row r="2034" spans="1:6" x14ac:dyDescent="0.35">
      <c r="A2034" s="2">
        <f ca="1">IFERROR(__xludf.DUMMYFUNCTION("""COMPUTED_VALUE"""),44956.6666666666)</f>
        <v>44956.666666666599</v>
      </c>
      <c r="B2034" s="1">
        <f ca="1">IFERROR(__xludf.DUMMYFUNCTION("""COMPUTED_VALUE"""),149.41)</f>
        <v>149.41</v>
      </c>
      <c r="C2034" s="1">
        <f ca="1">IFERROR(__xludf.DUMMYFUNCTION("""COMPUTED_VALUE"""),151.12)</f>
        <v>151.12</v>
      </c>
      <c r="D2034" s="1">
        <f ca="1">IFERROR(__xludf.DUMMYFUNCTION("""COMPUTED_VALUE"""),146.95)</f>
        <v>146.94999999999999</v>
      </c>
      <c r="E2034" s="1">
        <f ca="1">IFERROR(__xludf.DUMMYFUNCTION("""COMPUTED_VALUE"""),147.06)</f>
        <v>147.06</v>
      </c>
      <c r="F2034" s="1">
        <f ca="1">IFERROR(__xludf.DUMMYFUNCTION("""COMPUTED_VALUE"""),28040100)</f>
        <v>28040100</v>
      </c>
    </row>
    <row r="2035" spans="1:6" x14ac:dyDescent="0.35">
      <c r="A2035" s="2">
        <f ca="1">IFERROR(__xludf.DUMMYFUNCTION("""COMPUTED_VALUE"""),44957.6666666666)</f>
        <v>44957.666666666599</v>
      </c>
      <c r="B2035" s="1">
        <f ca="1">IFERROR(__xludf.DUMMYFUNCTION("""COMPUTED_VALUE"""),147.95)</f>
        <v>147.94999999999999</v>
      </c>
      <c r="C2035" s="1">
        <f ca="1">IFERROR(__xludf.DUMMYFUNCTION("""COMPUTED_VALUE"""),149.88)</f>
        <v>149.88</v>
      </c>
      <c r="D2035" s="1">
        <f ca="1">IFERROR(__xludf.DUMMYFUNCTION("""COMPUTED_VALUE"""),147.52)</f>
        <v>147.52000000000001</v>
      </c>
      <c r="E2035" s="1">
        <f ca="1">IFERROR(__xludf.DUMMYFUNCTION("""COMPUTED_VALUE"""),148.97)</f>
        <v>148.97</v>
      </c>
      <c r="F2035" s="1">
        <f ca="1">IFERROR(__xludf.DUMMYFUNCTION("""COMPUTED_VALUE"""),29842109)</f>
        <v>29842109</v>
      </c>
    </row>
    <row r="2036" spans="1:6" x14ac:dyDescent="0.35">
      <c r="A2036" s="2">
        <f ca="1">IFERROR(__xludf.DUMMYFUNCTION("""COMPUTED_VALUE"""),44958.6666666666)</f>
        <v>44958.666666666599</v>
      </c>
      <c r="B2036" s="1">
        <f ca="1">IFERROR(__xludf.DUMMYFUNCTION("""COMPUTED_VALUE"""),148.03)</f>
        <v>148.03</v>
      </c>
      <c r="C2036" s="1">
        <f ca="1">IFERROR(__xludf.DUMMYFUNCTION("""COMPUTED_VALUE"""),153.58)</f>
        <v>153.58000000000001</v>
      </c>
      <c r="D2036" s="1">
        <f ca="1">IFERROR(__xludf.DUMMYFUNCTION("""COMPUTED_VALUE"""),147.06)</f>
        <v>147.06</v>
      </c>
      <c r="E2036" s="1">
        <f ca="1">IFERROR(__xludf.DUMMYFUNCTION("""COMPUTED_VALUE"""),153.12)</f>
        <v>153.12</v>
      </c>
      <c r="F2036" s="1">
        <f ca="1">IFERROR(__xludf.DUMMYFUNCTION("""COMPUTED_VALUE"""),55661017)</f>
        <v>55661017</v>
      </c>
    </row>
    <row r="2037" spans="1:6" x14ac:dyDescent="0.35">
      <c r="A2037" s="2">
        <f ca="1">IFERROR(__xludf.DUMMYFUNCTION("""COMPUTED_VALUE"""),44959.6666666666)</f>
        <v>44959.666666666599</v>
      </c>
      <c r="B2037" s="1">
        <f ca="1">IFERROR(__xludf.DUMMYFUNCTION("""COMPUTED_VALUE"""),183.38)</f>
        <v>183.38</v>
      </c>
      <c r="C2037" s="1">
        <f ca="1">IFERROR(__xludf.DUMMYFUNCTION("""COMPUTED_VALUE"""),197.16)</f>
        <v>197.16</v>
      </c>
      <c r="D2037" s="1">
        <f ca="1">IFERROR(__xludf.DUMMYFUNCTION("""COMPUTED_VALUE"""),180.16)</f>
        <v>180.16</v>
      </c>
      <c r="E2037" s="1">
        <f ca="1">IFERROR(__xludf.DUMMYFUNCTION("""COMPUTED_VALUE"""),188.77)</f>
        <v>188.77</v>
      </c>
      <c r="F2037" s="1">
        <f ca="1">IFERROR(__xludf.DUMMYFUNCTION("""COMPUTED_VALUE"""),150475687)</f>
        <v>150475687</v>
      </c>
    </row>
    <row r="2038" spans="1:6" x14ac:dyDescent="0.35">
      <c r="A2038" s="2">
        <f ca="1">IFERROR(__xludf.DUMMYFUNCTION("""COMPUTED_VALUE"""),44960.6666666666)</f>
        <v>44960.666666666599</v>
      </c>
      <c r="B2038" s="1">
        <f ca="1">IFERROR(__xludf.DUMMYFUNCTION("""COMPUTED_VALUE"""),183.47)</f>
        <v>183.47</v>
      </c>
      <c r="C2038" s="1">
        <f ca="1">IFERROR(__xludf.DUMMYFUNCTION("""COMPUTED_VALUE"""),196.77)</f>
        <v>196.77</v>
      </c>
      <c r="D2038" s="1">
        <f ca="1">IFERROR(__xludf.DUMMYFUNCTION("""COMPUTED_VALUE"""),182.89)</f>
        <v>182.89</v>
      </c>
      <c r="E2038" s="1">
        <f ca="1">IFERROR(__xludf.DUMMYFUNCTION("""COMPUTED_VALUE"""),186.53)</f>
        <v>186.53</v>
      </c>
      <c r="F2038" s="1">
        <f ca="1">IFERROR(__xludf.DUMMYFUNCTION("""COMPUTED_VALUE"""),76809701)</f>
        <v>76809701</v>
      </c>
    </row>
    <row r="2039" spans="1:6" x14ac:dyDescent="0.35">
      <c r="A2039" s="2">
        <f ca="1">IFERROR(__xludf.DUMMYFUNCTION("""COMPUTED_VALUE"""),44963.6666666666)</f>
        <v>44963.666666666599</v>
      </c>
      <c r="B2039" s="1">
        <f ca="1">IFERROR(__xludf.DUMMYFUNCTION("""COMPUTED_VALUE"""),186.53)</f>
        <v>186.53</v>
      </c>
      <c r="C2039" s="1">
        <f ca="1">IFERROR(__xludf.DUMMYFUNCTION("""COMPUTED_VALUE"""),190.7)</f>
        <v>190.7</v>
      </c>
      <c r="D2039" s="1">
        <f ca="1">IFERROR(__xludf.DUMMYFUNCTION("""COMPUTED_VALUE"""),185.52)</f>
        <v>185.52</v>
      </c>
      <c r="E2039" s="1">
        <f ca="1">IFERROR(__xludf.DUMMYFUNCTION("""COMPUTED_VALUE"""),186.06)</f>
        <v>186.06</v>
      </c>
      <c r="F2039" s="1">
        <f ca="1">IFERROR(__xludf.DUMMYFUNCTION("""COMPUTED_VALUE"""),42483811)</f>
        <v>42483811</v>
      </c>
    </row>
    <row r="2040" spans="1:6" x14ac:dyDescent="0.35">
      <c r="A2040" s="2">
        <f ca="1">IFERROR(__xludf.DUMMYFUNCTION("""COMPUTED_VALUE"""),44964.6666666666)</f>
        <v>44964.666666666599</v>
      </c>
      <c r="B2040" s="1">
        <f ca="1">IFERROR(__xludf.DUMMYFUNCTION("""COMPUTED_VALUE"""),185.58)</f>
        <v>185.58</v>
      </c>
      <c r="C2040" s="1">
        <f ca="1">IFERROR(__xludf.DUMMYFUNCTION("""COMPUTED_VALUE"""),193.78)</f>
        <v>193.78</v>
      </c>
      <c r="D2040" s="1">
        <f ca="1">IFERROR(__xludf.DUMMYFUNCTION("""COMPUTED_VALUE"""),184.4)</f>
        <v>184.4</v>
      </c>
      <c r="E2040" s="1">
        <f ca="1">IFERROR(__xludf.DUMMYFUNCTION("""COMPUTED_VALUE"""),191.62)</f>
        <v>191.62</v>
      </c>
      <c r="F2040" s="1">
        <f ca="1">IFERROR(__xludf.DUMMYFUNCTION("""COMPUTED_VALUE"""),47080662)</f>
        <v>47080662</v>
      </c>
    </row>
    <row r="2041" spans="1:6" x14ac:dyDescent="0.35">
      <c r="A2041" s="2">
        <f ca="1">IFERROR(__xludf.DUMMYFUNCTION("""COMPUTED_VALUE"""),44965.6666666666)</f>
        <v>44965.666666666599</v>
      </c>
      <c r="B2041" s="1">
        <f ca="1">IFERROR(__xludf.DUMMYFUNCTION("""COMPUTED_VALUE"""),190)</f>
        <v>190</v>
      </c>
      <c r="C2041" s="1">
        <f ca="1">IFERROR(__xludf.DUMMYFUNCTION("""COMPUTED_VALUE"""),190.83)</f>
        <v>190.83</v>
      </c>
      <c r="D2041" s="1">
        <f ca="1">IFERROR(__xludf.DUMMYFUNCTION("""COMPUTED_VALUE"""),182.92)</f>
        <v>182.92</v>
      </c>
      <c r="E2041" s="1">
        <f ca="1">IFERROR(__xludf.DUMMYFUNCTION("""COMPUTED_VALUE"""),183.43)</f>
        <v>183.43</v>
      </c>
      <c r="F2041" s="1">
        <f ca="1">IFERROR(__xludf.DUMMYFUNCTION("""COMPUTED_VALUE"""),36139074)</f>
        <v>36139074</v>
      </c>
    </row>
    <row r="2042" spans="1:6" x14ac:dyDescent="0.35">
      <c r="A2042" s="2">
        <f ca="1">IFERROR(__xludf.DUMMYFUNCTION("""COMPUTED_VALUE"""),44966.6666666666)</f>
        <v>44966.666666666599</v>
      </c>
      <c r="B2042" s="1">
        <f ca="1">IFERROR(__xludf.DUMMYFUNCTION("""COMPUTED_VALUE"""),186.13)</f>
        <v>186.13</v>
      </c>
      <c r="C2042" s="1">
        <f ca="1">IFERROR(__xludf.DUMMYFUNCTION("""COMPUTED_VALUE"""),186.65)</f>
        <v>186.65</v>
      </c>
      <c r="D2042" s="1">
        <f ca="1">IFERROR(__xludf.DUMMYFUNCTION("""COMPUTED_VALUE"""),177.27)</f>
        <v>177.27</v>
      </c>
      <c r="E2042" s="1">
        <f ca="1">IFERROR(__xludf.DUMMYFUNCTION("""COMPUTED_VALUE"""),177.92)</f>
        <v>177.92</v>
      </c>
      <c r="F2042" s="1">
        <f ca="1">IFERROR(__xludf.DUMMYFUNCTION("""COMPUTED_VALUE"""),37118811)</f>
        <v>37118811</v>
      </c>
    </row>
    <row r="2043" spans="1:6" x14ac:dyDescent="0.35">
      <c r="A2043" s="2">
        <f ca="1">IFERROR(__xludf.DUMMYFUNCTION("""COMPUTED_VALUE"""),44967.6666666666)</f>
        <v>44967.666666666599</v>
      </c>
      <c r="B2043" s="1">
        <f ca="1">IFERROR(__xludf.DUMMYFUNCTION("""COMPUTED_VALUE"""),176.35)</f>
        <v>176.35</v>
      </c>
      <c r="C2043" s="1">
        <f ca="1">IFERROR(__xludf.DUMMYFUNCTION("""COMPUTED_VALUE"""),178.89)</f>
        <v>178.89</v>
      </c>
      <c r="D2043" s="1">
        <f ca="1">IFERROR(__xludf.DUMMYFUNCTION("""COMPUTED_VALUE"""),173.35)</f>
        <v>173.35</v>
      </c>
      <c r="E2043" s="1">
        <f ca="1">IFERROR(__xludf.DUMMYFUNCTION("""COMPUTED_VALUE"""),174.15)</f>
        <v>174.15</v>
      </c>
      <c r="F2043" s="1">
        <f ca="1">IFERROR(__xludf.DUMMYFUNCTION("""COMPUTED_VALUE"""),33433567)</f>
        <v>33433567</v>
      </c>
    </row>
    <row r="2044" spans="1:6" x14ac:dyDescent="0.35">
      <c r="A2044" s="2">
        <f ca="1">IFERROR(__xludf.DUMMYFUNCTION("""COMPUTED_VALUE"""),44970.6666666666)</f>
        <v>44970.666666666599</v>
      </c>
      <c r="B2044" s="1">
        <f ca="1">IFERROR(__xludf.DUMMYFUNCTION("""COMPUTED_VALUE"""),178.22)</f>
        <v>178.22</v>
      </c>
      <c r="C2044" s="1">
        <f ca="1">IFERROR(__xludf.DUMMYFUNCTION("""COMPUTED_VALUE"""),181)</f>
        <v>181</v>
      </c>
      <c r="D2044" s="1">
        <f ca="1">IFERROR(__xludf.DUMMYFUNCTION("""COMPUTED_VALUE"""),175.82)</f>
        <v>175.82</v>
      </c>
      <c r="E2044" s="1">
        <f ca="1">IFERROR(__xludf.DUMMYFUNCTION("""COMPUTED_VALUE"""),179.43)</f>
        <v>179.43</v>
      </c>
      <c r="F2044" s="1">
        <f ca="1">IFERROR(__xludf.DUMMYFUNCTION("""COMPUTED_VALUE"""),31463223)</f>
        <v>31463223</v>
      </c>
    </row>
    <row r="2045" spans="1:6" x14ac:dyDescent="0.35">
      <c r="A2045" s="2">
        <f ca="1">IFERROR(__xludf.DUMMYFUNCTION("""COMPUTED_VALUE"""),44971.6666666666)</f>
        <v>44971.666666666599</v>
      </c>
      <c r="B2045" s="1">
        <f ca="1">IFERROR(__xludf.DUMMYFUNCTION("""COMPUTED_VALUE"""),177.16)</f>
        <v>177.16</v>
      </c>
      <c r="C2045" s="1">
        <f ca="1">IFERROR(__xludf.DUMMYFUNCTION("""COMPUTED_VALUE"""),181.51)</f>
        <v>181.51</v>
      </c>
      <c r="D2045" s="1">
        <f ca="1">IFERROR(__xludf.DUMMYFUNCTION("""COMPUTED_VALUE"""),175.88)</f>
        <v>175.88</v>
      </c>
      <c r="E2045" s="1">
        <f ca="1">IFERROR(__xludf.DUMMYFUNCTION("""COMPUTED_VALUE"""),179.48)</f>
        <v>179.48</v>
      </c>
      <c r="F2045" s="1">
        <f ca="1">IFERROR(__xludf.DUMMYFUNCTION("""COMPUTED_VALUE"""),24034631)</f>
        <v>24034631</v>
      </c>
    </row>
    <row r="2046" spans="1:6" x14ac:dyDescent="0.35">
      <c r="A2046" s="2">
        <f ca="1">IFERROR(__xludf.DUMMYFUNCTION("""COMPUTED_VALUE"""),44972.6666666666)</f>
        <v>44972.666666666599</v>
      </c>
      <c r="B2046" s="1">
        <f ca="1">IFERROR(__xludf.DUMMYFUNCTION("""COMPUTED_VALUE"""),176.42)</f>
        <v>176.42</v>
      </c>
      <c r="C2046" s="1">
        <f ca="1">IFERROR(__xludf.DUMMYFUNCTION("""COMPUTED_VALUE"""),178.19)</f>
        <v>178.19</v>
      </c>
      <c r="D2046" s="1">
        <f ca="1">IFERROR(__xludf.DUMMYFUNCTION("""COMPUTED_VALUE"""),175.33)</f>
        <v>175.33</v>
      </c>
      <c r="E2046" s="1">
        <f ca="1">IFERROR(__xludf.DUMMYFUNCTION("""COMPUTED_VALUE"""),177.16)</f>
        <v>177.16</v>
      </c>
      <c r="F2046" s="1">
        <f ca="1">IFERROR(__xludf.DUMMYFUNCTION("""COMPUTED_VALUE"""),25337966)</f>
        <v>25337966</v>
      </c>
    </row>
    <row r="2047" spans="1:6" x14ac:dyDescent="0.35">
      <c r="A2047" s="2">
        <f ca="1">IFERROR(__xludf.DUMMYFUNCTION("""COMPUTED_VALUE"""),44973.6666666666)</f>
        <v>44973.666666666599</v>
      </c>
      <c r="B2047" s="1">
        <f ca="1">IFERROR(__xludf.DUMMYFUNCTION("""COMPUTED_VALUE"""),172.75)</f>
        <v>172.75</v>
      </c>
      <c r="C2047" s="1">
        <f ca="1">IFERROR(__xludf.DUMMYFUNCTION("""COMPUTED_VALUE"""),175.85)</f>
        <v>175.85</v>
      </c>
      <c r="D2047" s="1">
        <f ca="1">IFERROR(__xludf.DUMMYFUNCTION("""COMPUTED_VALUE"""),171.79)</f>
        <v>171.79</v>
      </c>
      <c r="E2047" s="1">
        <f ca="1">IFERROR(__xludf.DUMMYFUNCTION("""COMPUTED_VALUE"""),172.44)</f>
        <v>172.44</v>
      </c>
      <c r="F2047" s="1">
        <f ca="1">IFERROR(__xludf.DUMMYFUNCTION("""COMPUTED_VALUE"""),25827473)</f>
        <v>25827473</v>
      </c>
    </row>
    <row r="2048" spans="1:6" x14ac:dyDescent="0.35">
      <c r="A2048" s="2">
        <f ca="1">IFERROR(__xludf.DUMMYFUNCTION("""COMPUTED_VALUE"""),44974.6666666666)</f>
        <v>44974.666666666599</v>
      </c>
      <c r="B2048" s="1">
        <f ca="1">IFERROR(__xludf.DUMMYFUNCTION("""COMPUTED_VALUE"""),170.22)</f>
        <v>170.22</v>
      </c>
      <c r="C2048" s="1">
        <f ca="1">IFERROR(__xludf.DUMMYFUNCTION("""COMPUTED_VALUE"""),173.18)</f>
        <v>173.18</v>
      </c>
      <c r="D2048" s="1">
        <f ca="1">IFERROR(__xludf.DUMMYFUNCTION("""COMPUTED_VALUE"""),169.7)</f>
        <v>169.7</v>
      </c>
      <c r="E2048" s="1">
        <f ca="1">IFERROR(__xludf.DUMMYFUNCTION("""COMPUTED_VALUE"""),172.88)</f>
        <v>172.88</v>
      </c>
      <c r="F2048" s="1">
        <f ca="1">IFERROR(__xludf.DUMMYFUNCTION("""COMPUTED_VALUE"""),24171260)</f>
        <v>24171260</v>
      </c>
    </row>
    <row r="2049" spans="1:6" x14ac:dyDescent="0.35">
      <c r="A2049" s="2">
        <f ca="1">IFERROR(__xludf.DUMMYFUNCTION("""COMPUTED_VALUE"""),44978.6666666666)</f>
        <v>44978.666666666599</v>
      </c>
      <c r="B2049" s="1">
        <f ca="1">IFERROR(__xludf.DUMMYFUNCTION("""COMPUTED_VALUE"""),174.31)</f>
        <v>174.31</v>
      </c>
      <c r="C2049" s="1">
        <f ca="1">IFERROR(__xludf.DUMMYFUNCTION("""COMPUTED_VALUE"""),178.17)</f>
        <v>178.17</v>
      </c>
      <c r="D2049" s="1">
        <f ca="1">IFERROR(__xludf.DUMMYFUNCTION("""COMPUTED_VALUE"""),171.88)</f>
        <v>171.88</v>
      </c>
      <c r="E2049" s="1">
        <f ca="1">IFERROR(__xludf.DUMMYFUNCTION("""COMPUTED_VALUE"""),172.08)</f>
        <v>172.08</v>
      </c>
      <c r="F2049" s="1">
        <f ca="1">IFERROR(__xludf.DUMMYFUNCTION("""COMPUTED_VALUE"""),34592582)</f>
        <v>34592582</v>
      </c>
    </row>
    <row r="2050" spans="1:6" x14ac:dyDescent="0.35">
      <c r="A2050" s="2">
        <f ca="1">IFERROR(__xludf.DUMMYFUNCTION("""COMPUTED_VALUE"""),44979.6666666666)</f>
        <v>44979.666666666599</v>
      </c>
      <c r="B2050" s="1">
        <f ca="1">IFERROR(__xludf.DUMMYFUNCTION("""COMPUTED_VALUE"""),171.07)</f>
        <v>171.07</v>
      </c>
      <c r="C2050" s="1">
        <f ca="1">IFERROR(__xludf.DUMMYFUNCTION("""COMPUTED_VALUE"""),172.76)</f>
        <v>172.76</v>
      </c>
      <c r="D2050" s="1">
        <f ca="1">IFERROR(__xludf.DUMMYFUNCTION("""COMPUTED_VALUE"""),169.69)</f>
        <v>169.69</v>
      </c>
      <c r="E2050" s="1">
        <f ca="1">IFERROR(__xludf.DUMMYFUNCTION("""COMPUTED_VALUE"""),171.12)</f>
        <v>171.12</v>
      </c>
      <c r="F2050" s="1">
        <f ca="1">IFERROR(__xludf.DUMMYFUNCTION("""COMPUTED_VALUE"""),22433158)</f>
        <v>22433158</v>
      </c>
    </row>
    <row r="2051" spans="1:6" x14ac:dyDescent="0.35">
      <c r="A2051" s="2">
        <f ca="1">IFERROR(__xludf.DUMMYFUNCTION("""COMPUTED_VALUE"""),44980.6666666666)</f>
        <v>44980.666666666599</v>
      </c>
      <c r="B2051" s="1">
        <f ca="1">IFERROR(__xludf.DUMMYFUNCTION("""COMPUTED_VALUE"""),172)</f>
        <v>172</v>
      </c>
      <c r="C2051" s="1">
        <f ca="1">IFERROR(__xludf.DUMMYFUNCTION("""COMPUTED_VALUE"""),173.69)</f>
        <v>173.69</v>
      </c>
      <c r="D2051" s="1">
        <f ca="1">IFERROR(__xludf.DUMMYFUNCTION("""COMPUTED_VALUE"""),169.38)</f>
        <v>169.38</v>
      </c>
      <c r="E2051" s="1">
        <f ca="1">IFERROR(__xludf.DUMMYFUNCTION("""COMPUTED_VALUE"""),172.04)</f>
        <v>172.04</v>
      </c>
      <c r="F2051" s="1">
        <f ca="1">IFERROR(__xludf.DUMMYFUNCTION("""COMPUTED_VALUE"""),20017779)</f>
        <v>20017779</v>
      </c>
    </row>
    <row r="2052" spans="1:6" x14ac:dyDescent="0.35">
      <c r="A2052" s="2">
        <f ca="1">IFERROR(__xludf.DUMMYFUNCTION("""COMPUTED_VALUE"""),44981.6666666666)</f>
        <v>44981.666666666599</v>
      </c>
      <c r="B2052" s="1">
        <f ca="1">IFERROR(__xludf.DUMMYFUNCTION("""COMPUTED_VALUE"""),168.64)</f>
        <v>168.64</v>
      </c>
      <c r="C2052" s="1">
        <f ca="1">IFERROR(__xludf.DUMMYFUNCTION("""COMPUTED_VALUE"""),170.72)</f>
        <v>170.72</v>
      </c>
      <c r="D2052" s="1">
        <f ca="1">IFERROR(__xludf.DUMMYFUNCTION("""COMPUTED_VALUE"""),167.66)</f>
        <v>167.66</v>
      </c>
      <c r="E2052" s="1">
        <f ca="1">IFERROR(__xludf.DUMMYFUNCTION("""COMPUTED_VALUE"""),170.39)</f>
        <v>170.39</v>
      </c>
      <c r="F2052" s="1">
        <f ca="1">IFERROR(__xludf.DUMMYFUNCTION("""COMPUTED_VALUE"""),19791334)</f>
        <v>19791334</v>
      </c>
    </row>
    <row r="2053" spans="1:6" x14ac:dyDescent="0.35">
      <c r="A2053" s="2">
        <f ca="1">IFERROR(__xludf.DUMMYFUNCTION("""COMPUTED_VALUE"""),44984.6666666666)</f>
        <v>44984.666666666599</v>
      </c>
      <c r="B2053" s="1">
        <f ca="1">IFERROR(__xludf.DUMMYFUNCTION("""COMPUTED_VALUE"""),171.88)</f>
        <v>171.88</v>
      </c>
      <c r="C2053" s="1">
        <f ca="1">IFERROR(__xludf.DUMMYFUNCTION("""COMPUTED_VALUE"""),173.12)</f>
        <v>173.12</v>
      </c>
      <c r="D2053" s="1">
        <f ca="1">IFERROR(__xludf.DUMMYFUNCTION("""COMPUTED_VALUE"""),169.06)</f>
        <v>169.06</v>
      </c>
      <c r="E2053" s="1">
        <f ca="1">IFERROR(__xludf.DUMMYFUNCTION("""COMPUTED_VALUE"""),169.54)</f>
        <v>169.54</v>
      </c>
      <c r="F2053" s="1">
        <f ca="1">IFERROR(__xludf.DUMMYFUNCTION("""COMPUTED_VALUE"""),19277002)</f>
        <v>19277002</v>
      </c>
    </row>
    <row r="2054" spans="1:6" x14ac:dyDescent="0.35">
      <c r="A2054" s="2">
        <f ca="1">IFERROR(__xludf.DUMMYFUNCTION("""COMPUTED_VALUE"""),44985.6666666666)</f>
        <v>44985.666666666599</v>
      </c>
      <c r="B2054" s="1">
        <f ca="1">IFERROR(__xludf.DUMMYFUNCTION("""COMPUTED_VALUE"""),171.9)</f>
        <v>171.9</v>
      </c>
      <c r="C2054" s="1">
        <f ca="1">IFERROR(__xludf.DUMMYFUNCTION("""COMPUTED_VALUE"""),177.55)</f>
        <v>177.55</v>
      </c>
      <c r="D2054" s="1">
        <f ca="1">IFERROR(__xludf.DUMMYFUNCTION("""COMPUTED_VALUE"""),171.87)</f>
        <v>171.87</v>
      </c>
      <c r="E2054" s="1">
        <f ca="1">IFERROR(__xludf.DUMMYFUNCTION("""COMPUTED_VALUE"""),174.94)</f>
        <v>174.94</v>
      </c>
      <c r="F2054" s="1">
        <f ca="1">IFERROR(__xludf.DUMMYFUNCTION("""COMPUTED_VALUE"""),46051117)</f>
        <v>46051117</v>
      </c>
    </row>
    <row r="2055" spans="1:6" x14ac:dyDescent="0.35">
      <c r="A2055" s="2">
        <f ca="1">IFERROR(__xludf.DUMMYFUNCTION("""COMPUTED_VALUE"""),44986.6666666666)</f>
        <v>44986.666666666599</v>
      </c>
      <c r="B2055" s="1">
        <f ca="1">IFERROR(__xludf.DUMMYFUNCTION("""COMPUTED_VALUE"""),174.59)</f>
        <v>174.59</v>
      </c>
      <c r="C2055" s="1">
        <f ca="1">IFERROR(__xludf.DUMMYFUNCTION("""COMPUTED_VALUE"""),177.85)</f>
        <v>177.85</v>
      </c>
      <c r="D2055" s="1">
        <f ca="1">IFERROR(__xludf.DUMMYFUNCTION("""COMPUTED_VALUE"""),173.05)</f>
        <v>173.05</v>
      </c>
      <c r="E2055" s="1">
        <f ca="1">IFERROR(__xludf.DUMMYFUNCTION("""COMPUTED_VALUE"""),173.42)</f>
        <v>173.42</v>
      </c>
      <c r="F2055" s="1">
        <f ca="1">IFERROR(__xludf.DUMMYFUNCTION("""COMPUTED_VALUE"""),30998380)</f>
        <v>30998380</v>
      </c>
    </row>
    <row r="2056" spans="1:6" x14ac:dyDescent="0.35">
      <c r="A2056" s="2">
        <f ca="1">IFERROR(__xludf.DUMMYFUNCTION("""COMPUTED_VALUE"""),44987.6666666666)</f>
        <v>44987.666666666599</v>
      </c>
      <c r="B2056" s="1">
        <f ca="1">IFERROR(__xludf.DUMMYFUNCTION("""COMPUTED_VALUE"""),172.38)</f>
        <v>172.38</v>
      </c>
      <c r="C2056" s="1">
        <f ca="1">IFERROR(__xludf.DUMMYFUNCTION("""COMPUTED_VALUE"""),175.01)</f>
        <v>175.01</v>
      </c>
      <c r="D2056" s="1">
        <f ca="1">IFERROR(__xludf.DUMMYFUNCTION("""COMPUTED_VALUE"""),171.43)</f>
        <v>171.43</v>
      </c>
      <c r="E2056" s="1">
        <f ca="1">IFERROR(__xludf.DUMMYFUNCTION("""COMPUTED_VALUE"""),174.53)</f>
        <v>174.53</v>
      </c>
      <c r="F2056" s="1">
        <f ca="1">IFERROR(__xludf.DUMMYFUNCTION("""COMPUTED_VALUE"""),17360708)</f>
        <v>17360708</v>
      </c>
    </row>
    <row r="2057" spans="1:6" x14ac:dyDescent="0.35">
      <c r="A2057" s="2">
        <f ca="1">IFERROR(__xludf.DUMMYFUNCTION("""COMPUTED_VALUE"""),44988.6666666666)</f>
        <v>44988.666666666599</v>
      </c>
      <c r="B2057" s="1">
        <f ca="1">IFERROR(__xludf.DUMMYFUNCTION("""COMPUTED_VALUE"""),178.92)</f>
        <v>178.92</v>
      </c>
      <c r="C2057" s="1">
        <f ca="1">IFERROR(__xludf.DUMMYFUNCTION("""COMPUTED_VALUE"""),186.62)</f>
        <v>186.62</v>
      </c>
      <c r="D2057" s="1">
        <f ca="1">IFERROR(__xludf.DUMMYFUNCTION("""COMPUTED_VALUE"""),177.05)</f>
        <v>177.05</v>
      </c>
      <c r="E2057" s="1">
        <f ca="1">IFERROR(__xludf.DUMMYFUNCTION("""COMPUTED_VALUE"""),185.25)</f>
        <v>185.25</v>
      </c>
      <c r="F2057" s="1">
        <f ca="1">IFERROR(__xludf.DUMMYFUNCTION("""COMPUTED_VALUE"""),45877692)</f>
        <v>45877692</v>
      </c>
    </row>
    <row r="2058" spans="1:6" x14ac:dyDescent="0.35">
      <c r="A2058" s="2">
        <f ca="1">IFERROR(__xludf.DUMMYFUNCTION("""COMPUTED_VALUE"""),44991.6666666666)</f>
        <v>44991.666666666599</v>
      </c>
      <c r="B2058" s="1">
        <f ca="1">IFERROR(__xludf.DUMMYFUNCTION("""COMPUTED_VALUE"""),188)</f>
        <v>188</v>
      </c>
      <c r="C2058" s="1">
        <f ca="1">IFERROR(__xludf.DUMMYFUNCTION("""COMPUTED_VALUE"""),189.66)</f>
        <v>189.66</v>
      </c>
      <c r="D2058" s="1">
        <f ca="1">IFERROR(__xludf.DUMMYFUNCTION("""COMPUTED_VALUE"""),184.64)</f>
        <v>184.64</v>
      </c>
      <c r="E2058" s="1">
        <f ca="1">IFERROR(__xludf.DUMMYFUNCTION("""COMPUTED_VALUE"""),184.9)</f>
        <v>184.9</v>
      </c>
      <c r="F2058" s="1">
        <f ca="1">IFERROR(__xludf.DUMMYFUNCTION("""COMPUTED_VALUE"""),33209394)</f>
        <v>33209394</v>
      </c>
    </row>
    <row r="2059" spans="1:6" x14ac:dyDescent="0.35">
      <c r="A2059" s="2">
        <f ca="1">IFERROR(__xludf.DUMMYFUNCTION("""COMPUTED_VALUE"""),44992.6666666666)</f>
        <v>44992.666666666599</v>
      </c>
      <c r="B2059" s="1">
        <f ca="1">IFERROR(__xludf.DUMMYFUNCTION("""COMPUTED_VALUE"""),189)</f>
        <v>189</v>
      </c>
      <c r="C2059" s="1">
        <f ca="1">IFERROR(__xludf.DUMMYFUNCTION("""COMPUTED_VALUE"""),190.36)</f>
        <v>190.36</v>
      </c>
      <c r="D2059" s="1">
        <f ca="1">IFERROR(__xludf.DUMMYFUNCTION("""COMPUTED_VALUE"""),184.01)</f>
        <v>184.01</v>
      </c>
      <c r="E2059" s="1">
        <f ca="1">IFERROR(__xludf.DUMMYFUNCTION("""COMPUTED_VALUE"""),184.51)</f>
        <v>184.51</v>
      </c>
      <c r="F2059" s="1">
        <f ca="1">IFERROR(__xludf.DUMMYFUNCTION("""COMPUTED_VALUE"""),36701495)</f>
        <v>36701495</v>
      </c>
    </row>
    <row r="2060" spans="1:6" x14ac:dyDescent="0.35">
      <c r="A2060" s="2">
        <f ca="1">IFERROR(__xludf.DUMMYFUNCTION("""COMPUTED_VALUE"""),44993.6666666666)</f>
        <v>44993.666666666599</v>
      </c>
      <c r="B2060" s="1">
        <f ca="1">IFERROR(__xludf.DUMMYFUNCTION("""COMPUTED_VALUE"""),182.87)</f>
        <v>182.87</v>
      </c>
      <c r="C2060" s="1">
        <f ca="1">IFERROR(__xludf.DUMMYFUNCTION("""COMPUTED_VALUE"""),185.26)</f>
        <v>185.26</v>
      </c>
      <c r="D2060" s="1">
        <f ca="1">IFERROR(__xludf.DUMMYFUNCTION("""COMPUTED_VALUE"""),181.34)</f>
        <v>181.34</v>
      </c>
      <c r="E2060" s="1">
        <f ca="1">IFERROR(__xludf.DUMMYFUNCTION("""COMPUTED_VALUE"""),184.97)</f>
        <v>184.97</v>
      </c>
      <c r="F2060" s="1">
        <f ca="1">IFERROR(__xludf.DUMMYFUNCTION("""COMPUTED_VALUE"""),19432405)</f>
        <v>19432405</v>
      </c>
    </row>
    <row r="2061" spans="1:6" x14ac:dyDescent="0.35">
      <c r="A2061" s="2">
        <f ca="1">IFERROR(__xludf.DUMMYFUNCTION("""COMPUTED_VALUE"""),44994.6666666666)</f>
        <v>44994.666666666599</v>
      </c>
      <c r="B2061" s="1">
        <f ca="1">IFERROR(__xludf.DUMMYFUNCTION("""COMPUTED_VALUE"""),186.35)</f>
        <v>186.35</v>
      </c>
      <c r="C2061" s="1">
        <f ca="1">IFERROR(__xludf.DUMMYFUNCTION("""COMPUTED_VALUE"""),188.93)</f>
        <v>188.93</v>
      </c>
      <c r="D2061" s="1">
        <f ca="1">IFERROR(__xludf.DUMMYFUNCTION("""COMPUTED_VALUE"""),180.3)</f>
        <v>180.3</v>
      </c>
      <c r="E2061" s="1">
        <f ca="1">IFERROR(__xludf.DUMMYFUNCTION("""COMPUTED_VALUE"""),181.69)</f>
        <v>181.69</v>
      </c>
      <c r="F2061" s="1">
        <f ca="1">IFERROR(__xludf.DUMMYFUNCTION("""COMPUTED_VALUE"""),26582750)</f>
        <v>26582750</v>
      </c>
    </row>
    <row r="2062" spans="1:6" x14ac:dyDescent="0.35">
      <c r="A2062" s="2">
        <f ca="1">IFERROR(__xludf.DUMMYFUNCTION("""COMPUTED_VALUE"""),44995.6666666666)</f>
        <v>44995.666666666599</v>
      </c>
      <c r="B2062" s="1">
        <f ca="1">IFERROR(__xludf.DUMMYFUNCTION("""COMPUTED_VALUE"""),181.01)</f>
        <v>181.01</v>
      </c>
      <c r="C2062" s="1">
        <f ca="1">IFERROR(__xludf.DUMMYFUNCTION("""COMPUTED_VALUE"""),184.77)</f>
        <v>184.77</v>
      </c>
      <c r="D2062" s="1">
        <f ca="1">IFERROR(__xludf.DUMMYFUNCTION("""COMPUTED_VALUE"""),178.8)</f>
        <v>178.8</v>
      </c>
      <c r="E2062" s="1">
        <f ca="1">IFERROR(__xludf.DUMMYFUNCTION("""COMPUTED_VALUE"""),179.51)</f>
        <v>179.51</v>
      </c>
      <c r="F2062" s="1">
        <f ca="1">IFERROR(__xludf.DUMMYFUNCTION("""COMPUTED_VALUE"""),25665032)</f>
        <v>25665032</v>
      </c>
    </row>
    <row r="2063" spans="1:6" x14ac:dyDescent="0.35">
      <c r="A2063" s="2">
        <f ca="1">IFERROR(__xludf.DUMMYFUNCTION("""COMPUTED_VALUE"""),44998.6666666666)</f>
        <v>44998.666666666599</v>
      </c>
      <c r="B2063" s="1">
        <f ca="1">IFERROR(__xludf.DUMMYFUNCTION("""COMPUTED_VALUE"""),177.96)</f>
        <v>177.96</v>
      </c>
      <c r="C2063" s="1">
        <f ca="1">IFERROR(__xludf.DUMMYFUNCTION("""COMPUTED_VALUE"""),183.78)</f>
        <v>183.78</v>
      </c>
      <c r="D2063" s="1">
        <f ca="1">IFERROR(__xludf.DUMMYFUNCTION("""COMPUTED_VALUE"""),174.82)</f>
        <v>174.82</v>
      </c>
      <c r="E2063" s="1">
        <f ca="1">IFERROR(__xludf.DUMMYFUNCTION("""COMPUTED_VALUE"""),180.9)</f>
        <v>180.9</v>
      </c>
      <c r="F2063" s="1">
        <f ca="1">IFERROR(__xludf.DUMMYFUNCTION("""COMPUTED_VALUE"""),24727969)</f>
        <v>24727969</v>
      </c>
    </row>
    <row r="2064" spans="1:6" x14ac:dyDescent="0.35">
      <c r="A2064" s="2">
        <f ca="1">IFERROR(__xludf.DUMMYFUNCTION("""COMPUTED_VALUE"""),44999.6666666666)</f>
        <v>44999.666666666599</v>
      </c>
      <c r="B2064" s="1">
        <f ca="1">IFERROR(__xludf.DUMMYFUNCTION("""COMPUTED_VALUE"""),187.58)</f>
        <v>187.58</v>
      </c>
      <c r="C2064" s="1">
        <f ca="1">IFERROR(__xludf.DUMMYFUNCTION("""COMPUTED_VALUE"""),194.32)</f>
        <v>194.32</v>
      </c>
      <c r="D2064" s="1">
        <f ca="1">IFERROR(__xludf.DUMMYFUNCTION("""COMPUTED_VALUE"""),186.56)</f>
        <v>186.56</v>
      </c>
      <c r="E2064" s="1">
        <f ca="1">IFERROR(__xludf.DUMMYFUNCTION("""COMPUTED_VALUE"""),194.02)</f>
        <v>194.02</v>
      </c>
      <c r="F2064" s="1">
        <f ca="1">IFERROR(__xludf.DUMMYFUNCTION("""COMPUTED_VALUE"""),41642627)</f>
        <v>41642627</v>
      </c>
    </row>
    <row r="2065" spans="1:6" x14ac:dyDescent="0.35">
      <c r="A2065" s="2">
        <f ca="1">IFERROR(__xludf.DUMMYFUNCTION("""COMPUTED_VALUE"""),45000.6666666666)</f>
        <v>45000.666666666599</v>
      </c>
      <c r="B2065" s="1">
        <f ca="1">IFERROR(__xludf.DUMMYFUNCTION("""COMPUTED_VALUE"""),192.95)</f>
        <v>192.95</v>
      </c>
      <c r="C2065" s="1">
        <f ca="1">IFERROR(__xludf.DUMMYFUNCTION("""COMPUTED_VALUE"""),197.78)</f>
        <v>197.78</v>
      </c>
      <c r="D2065" s="1">
        <f ca="1">IFERROR(__xludf.DUMMYFUNCTION("""COMPUTED_VALUE"""),190.84)</f>
        <v>190.84</v>
      </c>
      <c r="E2065" s="1">
        <f ca="1">IFERROR(__xludf.DUMMYFUNCTION("""COMPUTED_VALUE"""),197.75)</f>
        <v>197.75</v>
      </c>
      <c r="F2065" s="1">
        <f ca="1">IFERROR(__xludf.DUMMYFUNCTION("""COMPUTED_VALUE"""),42123552)</f>
        <v>42123552</v>
      </c>
    </row>
    <row r="2066" spans="1:6" x14ac:dyDescent="0.35">
      <c r="A2066" s="2">
        <f ca="1">IFERROR(__xludf.DUMMYFUNCTION("""COMPUTED_VALUE"""),45001.6666666666)</f>
        <v>45001.666666666599</v>
      </c>
      <c r="B2066" s="1">
        <f ca="1">IFERROR(__xludf.DUMMYFUNCTION("""COMPUTED_VALUE"""),198.26)</f>
        <v>198.26</v>
      </c>
      <c r="C2066" s="1">
        <f ca="1">IFERROR(__xludf.DUMMYFUNCTION("""COMPUTED_VALUE"""),205.76)</f>
        <v>205.76</v>
      </c>
      <c r="D2066" s="1">
        <f ca="1">IFERROR(__xludf.DUMMYFUNCTION("""COMPUTED_VALUE"""),196.09)</f>
        <v>196.09</v>
      </c>
      <c r="E2066" s="1">
        <f ca="1">IFERROR(__xludf.DUMMYFUNCTION("""COMPUTED_VALUE"""),204.93)</f>
        <v>204.93</v>
      </c>
      <c r="F2066" s="1">
        <f ca="1">IFERROR(__xludf.DUMMYFUNCTION("""COMPUTED_VALUE"""),50819659)</f>
        <v>50819659</v>
      </c>
    </row>
    <row r="2067" spans="1:6" x14ac:dyDescent="0.35">
      <c r="A2067" s="2">
        <f ca="1">IFERROR(__xludf.DUMMYFUNCTION("""COMPUTED_VALUE"""),45002.6666666666)</f>
        <v>45002.666666666599</v>
      </c>
      <c r="B2067" s="1">
        <f ca="1">IFERROR(__xludf.DUMMYFUNCTION("""COMPUTED_VALUE"""),200.56)</f>
        <v>200.56</v>
      </c>
      <c r="C2067" s="1">
        <f ca="1">IFERROR(__xludf.DUMMYFUNCTION("""COMPUTED_VALUE"""),201.9)</f>
        <v>201.9</v>
      </c>
      <c r="D2067" s="1">
        <f ca="1">IFERROR(__xludf.DUMMYFUNCTION("""COMPUTED_VALUE"""),195.43)</f>
        <v>195.43</v>
      </c>
      <c r="E2067" s="1">
        <f ca="1">IFERROR(__xludf.DUMMYFUNCTION("""COMPUTED_VALUE"""),195.61)</f>
        <v>195.61</v>
      </c>
      <c r="F2067" s="1">
        <f ca="1">IFERROR(__xludf.DUMMYFUNCTION("""COMPUTED_VALUE"""),50141098)</f>
        <v>50141098</v>
      </c>
    </row>
    <row r="2068" spans="1:6" x14ac:dyDescent="0.35">
      <c r="A2068" s="2">
        <f ca="1">IFERROR(__xludf.DUMMYFUNCTION("""COMPUTED_VALUE"""),45005.6666666666)</f>
        <v>45005.666666666599</v>
      </c>
      <c r="B2068" s="1">
        <f ca="1">IFERROR(__xludf.DUMMYFUNCTION("""COMPUTED_VALUE"""),198.48)</f>
        <v>198.48</v>
      </c>
      <c r="C2068" s="1">
        <f ca="1">IFERROR(__xludf.DUMMYFUNCTION("""COMPUTED_VALUE"""),199.36)</f>
        <v>199.36</v>
      </c>
      <c r="D2068" s="1">
        <f ca="1">IFERROR(__xludf.DUMMYFUNCTION("""COMPUTED_VALUE"""),193.64)</f>
        <v>193.64</v>
      </c>
      <c r="E2068" s="1">
        <f ca="1">IFERROR(__xludf.DUMMYFUNCTION("""COMPUTED_VALUE"""),197.81)</f>
        <v>197.81</v>
      </c>
      <c r="F2068" s="1">
        <f ca="1">IFERROR(__xludf.DUMMYFUNCTION("""COMPUTED_VALUE"""),25186315)</f>
        <v>25186315</v>
      </c>
    </row>
    <row r="2069" spans="1:6" x14ac:dyDescent="0.35">
      <c r="A2069" s="2">
        <f ca="1">IFERROR(__xludf.DUMMYFUNCTION("""COMPUTED_VALUE"""),45006.6666666666)</f>
        <v>45006.666666666599</v>
      </c>
      <c r="B2069" s="1">
        <f ca="1">IFERROR(__xludf.DUMMYFUNCTION("""COMPUTED_VALUE"""),203.2)</f>
        <v>203.2</v>
      </c>
      <c r="C2069" s="1">
        <f ca="1">IFERROR(__xludf.DUMMYFUNCTION("""COMPUTED_VALUE"""),203.55)</f>
        <v>203.55</v>
      </c>
      <c r="D2069" s="1">
        <f ca="1">IFERROR(__xludf.DUMMYFUNCTION("""COMPUTED_VALUE"""),197.95)</f>
        <v>197.95</v>
      </c>
      <c r="E2069" s="1">
        <f ca="1">IFERROR(__xludf.DUMMYFUNCTION("""COMPUTED_VALUE"""),202.16)</f>
        <v>202.16</v>
      </c>
      <c r="F2069" s="1">
        <f ca="1">IFERROR(__xludf.DUMMYFUNCTION("""COMPUTED_VALUE"""),31826952)</f>
        <v>31826952</v>
      </c>
    </row>
    <row r="2070" spans="1:6" x14ac:dyDescent="0.35">
      <c r="A2070" s="2">
        <f ca="1">IFERROR(__xludf.DUMMYFUNCTION("""COMPUTED_VALUE"""),45007.6666666666)</f>
        <v>45007.666666666599</v>
      </c>
      <c r="B2070" s="1">
        <f ca="1">IFERROR(__xludf.DUMMYFUNCTION("""COMPUTED_VALUE"""),202.5)</f>
        <v>202.5</v>
      </c>
      <c r="C2070" s="1">
        <f ca="1">IFERROR(__xludf.DUMMYFUNCTION("""COMPUTED_VALUE"""),207.37)</f>
        <v>207.37</v>
      </c>
      <c r="D2070" s="1">
        <f ca="1">IFERROR(__xludf.DUMMYFUNCTION("""COMPUTED_VALUE"""),199.67)</f>
        <v>199.67</v>
      </c>
      <c r="E2070" s="1">
        <f ca="1">IFERROR(__xludf.DUMMYFUNCTION("""COMPUTED_VALUE"""),199.81)</f>
        <v>199.81</v>
      </c>
      <c r="F2070" s="1">
        <f ca="1">IFERROR(__xludf.DUMMYFUNCTION("""COMPUTED_VALUE"""),28477759)</f>
        <v>28477759</v>
      </c>
    </row>
    <row r="2071" spans="1:6" x14ac:dyDescent="0.35">
      <c r="A2071" s="2">
        <f ca="1">IFERROR(__xludf.DUMMYFUNCTION("""COMPUTED_VALUE"""),45008.6666666666)</f>
        <v>45008.666666666599</v>
      </c>
      <c r="B2071" s="1">
        <f ca="1">IFERROR(__xludf.DUMMYFUNCTION("""COMPUTED_VALUE"""),202.84)</f>
        <v>202.84</v>
      </c>
      <c r="C2071" s="1">
        <f ca="1">IFERROR(__xludf.DUMMYFUNCTION("""COMPUTED_VALUE"""),207.88)</f>
        <v>207.88</v>
      </c>
      <c r="D2071" s="1">
        <f ca="1">IFERROR(__xludf.DUMMYFUNCTION("""COMPUTED_VALUE"""),202.15)</f>
        <v>202.15</v>
      </c>
      <c r="E2071" s="1">
        <f ca="1">IFERROR(__xludf.DUMMYFUNCTION("""COMPUTED_VALUE"""),204.28)</f>
        <v>204.28</v>
      </c>
      <c r="F2071" s="1">
        <f ca="1">IFERROR(__xludf.DUMMYFUNCTION("""COMPUTED_VALUE"""),27389669)</f>
        <v>27389669</v>
      </c>
    </row>
    <row r="2072" spans="1:6" x14ac:dyDescent="0.35">
      <c r="A2072" s="2">
        <f ca="1">IFERROR(__xludf.DUMMYFUNCTION("""COMPUTED_VALUE"""),45009.6666666666)</f>
        <v>45009.666666666599</v>
      </c>
      <c r="B2072" s="1">
        <f ca="1">IFERROR(__xludf.DUMMYFUNCTION("""COMPUTED_VALUE"""),205.18)</f>
        <v>205.18</v>
      </c>
      <c r="C2072" s="1">
        <f ca="1">IFERROR(__xludf.DUMMYFUNCTION("""COMPUTED_VALUE"""),207.58)</f>
        <v>207.58</v>
      </c>
      <c r="D2072" s="1">
        <f ca="1">IFERROR(__xludf.DUMMYFUNCTION("""COMPUTED_VALUE"""),203.55)</f>
        <v>203.55</v>
      </c>
      <c r="E2072" s="1">
        <f ca="1">IFERROR(__xludf.DUMMYFUNCTION("""COMPUTED_VALUE"""),206.01)</f>
        <v>206.01</v>
      </c>
      <c r="F2072" s="1">
        <f ca="1">IFERROR(__xludf.DUMMYFUNCTION("""COMPUTED_VALUE"""),27733042)</f>
        <v>27733042</v>
      </c>
    </row>
    <row r="2073" spans="1:6" x14ac:dyDescent="0.35">
      <c r="A2073" s="2">
        <f ca="1">IFERROR(__xludf.DUMMYFUNCTION("""COMPUTED_VALUE"""),45012.6666666666)</f>
        <v>45012.666666666599</v>
      </c>
      <c r="B2073" s="1">
        <f ca="1">IFERROR(__xludf.DUMMYFUNCTION("""COMPUTED_VALUE"""),204.81)</f>
        <v>204.81</v>
      </c>
      <c r="C2073" s="1">
        <f ca="1">IFERROR(__xludf.DUMMYFUNCTION("""COMPUTED_VALUE"""),205.86)</f>
        <v>205.86</v>
      </c>
      <c r="D2073" s="1">
        <f ca="1">IFERROR(__xludf.DUMMYFUNCTION("""COMPUTED_VALUE"""),201.36)</f>
        <v>201.36</v>
      </c>
      <c r="E2073" s="1">
        <f ca="1">IFERROR(__xludf.DUMMYFUNCTION("""COMPUTED_VALUE"""),202.84)</f>
        <v>202.84</v>
      </c>
      <c r="F2073" s="1">
        <f ca="1">IFERROR(__xludf.DUMMYFUNCTION("""COMPUTED_VALUE"""),18527184)</f>
        <v>18527184</v>
      </c>
    </row>
    <row r="2074" spans="1:6" x14ac:dyDescent="0.35">
      <c r="A2074" s="2">
        <f ca="1">IFERROR(__xludf.DUMMYFUNCTION("""COMPUTED_VALUE"""),45013.6666666666)</f>
        <v>45013.666666666599</v>
      </c>
      <c r="B2074" s="1">
        <f ca="1">IFERROR(__xludf.DUMMYFUNCTION("""COMPUTED_VALUE"""),200.15)</f>
        <v>200.15</v>
      </c>
      <c r="C2074" s="1">
        <f ca="1">IFERROR(__xludf.DUMMYFUNCTION("""COMPUTED_VALUE"""),201.03)</f>
        <v>201.03</v>
      </c>
      <c r="D2074" s="1">
        <f ca="1">IFERROR(__xludf.DUMMYFUNCTION("""COMPUTED_VALUE"""),197.9)</f>
        <v>197.9</v>
      </c>
      <c r="E2074" s="1">
        <f ca="1">IFERROR(__xludf.DUMMYFUNCTION("""COMPUTED_VALUE"""),200.68)</f>
        <v>200.68</v>
      </c>
      <c r="F2074" s="1">
        <f ca="1">IFERROR(__xludf.DUMMYFUNCTION("""COMPUTED_VALUE"""),19127295)</f>
        <v>19127295</v>
      </c>
    </row>
    <row r="2075" spans="1:6" x14ac:dyDescent="0.35">
      <c r="A2075" s="2">
        <f ca="1">IFERROR(__xludf.DUMMYFUNCTION("""COMPUTED_VALUE"""),45014.6666666666)</f>
        <v>45014.666666666599</v>
      </c>
      <c r="B2075" s="1">
        <f ca="1">IFERROR(__xludf.DUMMYFUNCTION("""COMPUTED_VALUE"""),203.56)</f>
        <v>203.56</v>
      </c>
      <c r="C2075" s="1">
        <f ca="1">IFERROR(__xludf.DUMMYFUNCTION("""COMPUTED_VALUE"""),205.72)</f>
        <v>205.72</v>
      </c>
      <c r="D2075" s="1">
        <f ca="1">IFERROR(__xludf.DUMMYFUNCTION("""COMPUTED_VALUE"""),202.54)</f>
        <v>202.54</v>
      </c>
      <c r="E2075" s="1">
        <f ca="1">IFERROR(__xludf.DUMMYFUNCTION("""COMPUTED_VALUE"""),205.35)</f>
        <v>205.35</v>
      </c>
      <c r="F2075" s="1">
        <f ca="1">IFERROR(__xludf.DUMMYFUNCTION("""COMPUTED_VALUE"""),18851137)</f>
        <v>18851137</v>
      </c>
    </row>
    <row r="2076" spans="1:6" x14ac:dyDescent="0.35">
      <c r="A2076" s="2">
        <f ca="1">IFERROR(__xludf.DUMMYFUNCTION("""COMPUTED_VALUE"""),45015.6666666666)</f>
        <v>45015.666666666599</v>
      </c>
      <c r="B2076" s="1">
        <f ca="1">IFERROR(__xludf.DUMMYFUNCTION("""COMPUTED_VALUE"""),203.38)</f>
        <v>203.38</v>
      </c>
      <c r="C2076" s="1">
        <f ca="1">IFERROR(__xludf.DUMMYFUNCTION("""COMPUTED_VALUE"""),208.09)</f>
        <v>208.09</v>
      </c>
      <c r="D2076" s="1">
        <f ca="1">IFERROR(__xludf.DUMMYFUNCTION("""COMPUTED_VALUE"""),202.82)</f>
        <v>202.82</v>
      </c>
      <c r="E2076" s="1">
        <f ca="1">IFERROR(__xludf.DUMMYFUNCTION("""COMPUTED_VALUE"""),207.84)</f>
        <v>207.84</v>
      </c>
      <c r="F2076" s="1">
        <f ca="1">IFERROR(__xludf.DUMMYFUNCTION("""COMPUTED_VALUE"""),22608303)</f>
        <v>22608303</v>
      </c>
    </row>
    <row r="2077" spans="1:6" x14ac:dyDescent="0.35">
      <c r="A2077" s="2">
        <f ca="1">IFERROR(__xludf.DUMMYFUNCTION("""COMPUTED_VALUE"""),45016.6666666666)</f>
        <v>45016.666666666599</v>
      </c>
      <c r="B2077" s="1">
        <f ca="1">IFERROR(__xludf.DUMMYFUNCTION("""COMPUTED_VALUE"""),207.24)</f>
        <v>207.24</v>
      </c>
      <c r="C2077" s="1">
        <f ca="1">IFERROR(__xludf.DUMMYFUNCTION("""COMPUTED_VALUE"""),212.17)</f>
        <v>212.17</v>
      </c>
      <c r="D2077" s="1">
        <f ca="1">IFERROR(__xludf.DUMMYFUNCTION("""COMPUTED_VALUE"""),206.77)</f>
        <v>206.77</v>
      </c>
      <c r="E2077" s="1">
        <f ca="1">IFERROR(__xludf.DUMMYFUNCTION("""COMPUTED_VALUE"""),211.94)</f>
        <v>211.94</v>
      </c>
      <c r="F2077" s="1">
        <f ca="1">IFERROR(__xludf.DUMMYFUNCTION("""COMPUTED_VALUE"""),25440273)</f>
        <v>25440273</v>
      </c>
    </row>
    <row r="2078" spans="1:6" x14ac:dyDescent="0.35">
      <c r="A2078" s="2">
        <f ca="1">IFERROR(__xludf.DUMMYFUNCTION("""COMPUTED_VALUE"""),45019.6666666666)</f>
        <v>45019.666666666599</v>
      </c>
      <c r="B2078" s="1">
        <f ca="1">IFERROR(__xludf.DUMMYFUNCTION("""COMPUTED_VALUE"""),208.84)</f>
        <v>208.84</v>
      </c>
      <c r="C2078" s="1">
        <f ca="1">IFERROR(__xludf.DUMMYFUNCTION("""COMPUTED_VALUE"""),213.49)</f>
        <v>213.49</v>
      </c>
      <c r="D2078" s="1">
        <f ca="1">IFERROR(__xludf.DUMMYFUNCTION("""COMPUTED_VALUE"""),208.2)</f>
        <v>208.2</v>
      </c>
      <c r="E2078" s="1">
        <f ca="1">IFERROR(__xludf.DUMMYFUNCTION("""COMPUTED_VALUE"""),213.07)</f>
        <v>213.07</v>
      </c>
      <c r="F2078" s="1">
        <f ca="1">IFERROR(__xludf.DUMMYFUNCTION("""COMPUTED_VALUE"""),17924613)</f>
        <v>17924613</v>
      </c>
    </row>
    <row r="2079" spans="1:6" x14ac:dyDescent="0.35">
      <c r="A2079" s="2">
        <f ca="1">IFERROR(__xludf.DUMMYFUNCTION("""COMPUTED_VALUE"""),45020.6666666666)</f>
        <v>45020.666666666599</v>
      </c>
      <c r="B2079" s="1">
        <f ca="1">IFERROR(__xludf.DUMMYFUNCTION("""COMPUTED_VALUE"""),213.39)</f>
        <v>213.39</v>
      </c>
      <c r="C2079" s="1">
        <f ca="1">IFERROR(__xludf.DUMMYFUNCTION("""COMPUTED_VALUE"""),216.24)</f>
        <v>216.24</v>
      </c>
      <c r="D2079" s="1">
        <f ca="1">IFERROR(__xludf.DUMMYFUNCTION("""COMPUTED_VALUE"""),212.54)</f>
        <v>212.54</v>
      </c>
      <c r="E2079" s="1">
        <f ca="1">IFERROR(__xludf.DUMMYFUNCTION("""COMPUTED_VALUE"""),214.72)</f>
        <v>214.72</v>
      </c>
      <c r="F2079" s="1">
        <f ca="1">IFERROR(__xludf.DUMMYFUNCTION("""COMPUTED_VALUE"""),21026367)</f>
        <v>21026367</v>
      </c>
    </row>
    <row r="2080" spans="1:6" x14ac:dyDescent="0.35">
      <c r="A2080" s="2">
        <f ca="1">IFERROR(__xludf.DUMMYFUNCTION("""COMPUTED_VALUE"""),45021.6666666666)</f>
        <v>45021.666666666599</v>
      </c>
      <c r="B2080" s="1">
        <f ca="1">IFERROR(__xludf.DUMMYFUNCTION("""COMPUTED_VALUE"""),214.15)</f>
        <v>214.15</v>
      </c>
      <c r="C2080" s="1">
        <f ca="1">IFERROR(__xludf.DUMMYFUNCTION("""COMPUTED_VALUE"""),215.19)</f>
        <v>215.19</v>
      </c>
      <c r="D2080" s="1">
        <f ca="1">IFERROR(__xludf.DUMMYFUNCTION("""COMPUTED_VALUE"""),209.94)</f>
        <v>209.94</v>
      </c>
      <c r="E2080" s="1">
        <f ca="1">IFERROR(__xludf.DUMMYFUNCTION("""COMPUTED_VALUE"""),211.48)</f>
        <v>211.48</v>
      </c>
      <c r="F2080" s="1">
        <f ca="1">IFERROR(__xludf.DUMMYFUNCTION("""COMPUTED_VALUE"""),19396630)</f>
        <v>19396630</v>
      </c>
    </row>
    <row r="2081" spans="1:6" x14ac:dyDescent="0.35">
      <c r="A2081" s="2">
        <f ca="1">IFERROR(__xludf.DUMMYFUNCTION("""COMPUTED_VALUE"""),45022.6666666666)</f>
        <v>45022.666666666599</v>
      </c>
      <c r="B2081" s="1">
        <f ca="1">IFERROR(__xludf.DUMMYFUNCTION("""COMPUTED_VALUE"""),209.25)</f>
        <v>209.25</v>
      </c>
      <c r="C2081" s="1">
        <f ca="1">IFERROR(__xludf.DUMMYFUNCTION("""COMPUTED_VALUE"""),216.94)</f>
        <v>216.94</v>
      </c>
      <c r="D2081" s="1">
        <f ca="1">IFERROR(__xludf.DUMMYFUNCTION("""COMPUTED_VALUE"""),208.65)</f>
        <v>208.65</v>
      </c>
      <c r="E2081" s="1">
        <f ca="1">IFERROR(__xludf.DUMMYFUNCTION("""COMPUTED_VALUE"""),216.1)</f>
        <v>216.1</v>
      </c>
      <c r="F2081" s="1">
        <f ca="1">IFERROR(__xludf.DUMMYFUNCTION("""COMPUTED_VALUE"""),26104411)</f>
        <v>26104411</v>
      </c>
    </row>
    <row r="2082" spans="1:6" x14ac:dyDescent="0.35">
      <c r="A2082" s="2">
        <f ca="1">IFERROR(__xludf.DUMMYFUNCTION("""COMPUTED_VALUE"""),45026.6666666666)</f>
        <v>45026.666666666599</v>
      </c>
      <c r="B2082" s="1">
        <f ca="1">IFERROR(__xludf.DUMMYFUNCTION("""COMPUTED_VALUE"""),214.71)</f>
        <v>214.71</v>
      </c>
      <c r="C2082" s="1">
        <f ca="1">IFERROR(__xludf.DUMMYFUNCTION("""COMPUTED_VALUE"""),215.66)</f>
        <v>215.66</v>
      </c>
      <c r="D2082" s="1">
        <f ca="1">IFERROR(__xludf.DUMMYFUNCTION("""COMPUTED_VALUE"""),210.66)</f>
        <v>210.66</v>
      </c>
      <c r="E2082" s="1">
        <f ca="1">IFERROR(__xludf.DUMMYFUNCTION("""COMPUTED_VALUE"""),214.75)</f>
        <v>214.75</v>
      </c>
      <c r="F2082" s="1">
        <f ca="1">IFERROR(__xludf.DUMMYFUNCTION("""COMPUTED_VALUE"""),16106074)</f>
        <v>16106074</v>
      </c>
    </row>
    <row r="2083" spans="1:6" x14ac:dyDescent="0.35">
      <c r="A2083" s="2">
        <f ca="1">IFERROR(__xludf.DUMMYFUNCTION("""COMPUTED_VALUE"""),45027.6666666666)</f>
        <v>45027.666666666599</v>
      </c>
      <c r="B2083" s="1">
        <f ca="1">IFERROR(__xludf.DUMMYFUNCTION("""COMPUTED_VALUE"""),215.48)</f>
        <v>215.48</v>
      </c>
      <c r="C2083" s="1">
        <f ca="1">IFERROR(__xludf.DUMMYFUNCTION("""COMPUTED_VALUE"""),216.02)</f>
        <v>216.02</v>
      </c>
      <c r="D2083" s="1">
        <f ca="1">IFERROR(__xludf.DUMMYFUNCTION("""COMPUTED_VALUE"""),213.41)</f>
        <v>213.41</v>
      </c>
      <c r="E2083" s="1">
        <f ca="1">IFERROR(__xludf.DUMMYFUNCTION("""COMPUTED_VALUE"""),213.85)</f>
        <v>213.85</v>
      </c>
      <c r="F2083" s="1">
        <f ca="1">IFERROR(__xludf.DUMMYFUNCTION("""COMPUTED_VALUE"""),16710101)</f>
        <v>16710101</v>
      </c>
    </row>
    <row r="2084" spans="1:6" x14ac:dyDescent="0.35">
      <c r="A2084" s="2">
        <f ca="1">IFERROR(__xludf.DUMMYFUNCTION("""COMPUTED_VALUE"""),45028.6666666666)</f>
        <v>45028.666666666599</v>
      </c>
      <c r="B2084" s="1">
        <f ca="1">IFERROR(__xludf.DUMMYFUNCTION("""COMPUTED_VALUE"""),214.84)</f>
        <v>214.84</v>
      </c>
      <c r="C2084" s="1">
        <f ca="1">IFERROR(__xludf.DUMMYFUNCTION("""COMPUTED_VALUE"""),216.84)</f>
        <v>216.84</v>
      </c>
      <c r="D2084" s="1">
        <f ca="1">IFERROR(__xludf.DUMMYFUNCTION("""COMPUTED_VALUE"""),212.58)</f>
        <v>212.58</v>
      </c>
      <c r="E2084" s="1">
        <f ca="1">IFERROR(__xludf.DUMMYFUNCTION("""COMPUTED_VALUE"""),214)</f>
        <v>214</v>
      </c>
      <c r="F2084" s="1">
        <f ca="1">IFERROR(__xludf.DUMMYFUNCTION("""COMPUTED_VALUE"""),18972172)</f>
        <v>18972172</v>
      </c>
    </row>
    <row r="2085" spans="1:6" x14ac:dyDescent="0.35">
      <c r="A2085" s="2">
        <f ca="1">IFERROR(__xludf.DUMMYFUNCTION("""COMPUTED_VALUE"""),45029.6666666666)</f>
        <v>45029.666666666599</v>
      </c>
      <c r="B2085" s="1">
        <f ca="1">IFERROR(__xludf.DUMMYFUNCTION("""COMPUTED_VALUE"""),215.73)</f>
        <v>215.73</v>
      </c>
      <c r="C2085" s="1">
        <f ca="1">IFERROR(__xludf.DUMMYFUNCTION("""COMPUTED_VALUE"""),221.15)</f>
        <v>221.15</v>
      </c>
      <c r="D2085" s="1">
        <f ca="1">IFERROR(__xludf.DUMMYFUNCTION("""COMPUTED_VALUE"""),215.69)</f>
        <v>215.69</v>
      </c>
      <c r="E2085" s="1">
        <f ca="1">IFERROR(__xludf.DUMMYFUNCTION("""COMPUTED_VALUE"""),220.35)</f>
        <v>220.35</v>
      </c>
      <c r="F2085" s="1">
        <f ca="1">IFERROR(__xludf.DUMMYFUNCTION("""COMPUTED_VALUE"""),23310357)</f>
        <v>23310357</v>
      </c>
    </row>
    <row r="2086" spans="1:6" x14ac:dyDescent="0.35">
      <c r="A2086" s="2">
        <f ca="1">IFERROR(__xludf.DUMMYFUNCTION("""COMPUTED_VALUE"""),45030.6666666666)</f>
        <v>45030.666666666599</v>
      </c>
      <c r="B2086" s="1">
        <f ca="1">IFERROR(__xludf.DUMMYFUNCTION("""COMPUTED_VALUE"""),217.88)</f>
        <v>217.88</v>
      </c>
      <c r="C2086" s="1">
        <f ca="1">IFERROR(__xludf.DUMMYFUNCTION("""COMPUTED_VALUE"""),222.11)</f>
        <v>222.11</v>
      </c>
      <c r="D2086" s="1">
        <f ca="1">IFERROR(__xludf.DUMMYFUNCTION("""COMPUTED_VALUE"""),217.55)</f>
        <v>217.55</v>
      </c>
      <c r="E2086" s="1">
        <f ca="1">IFERROR(__xludf.DUMMYFUNCTION("""COMPUTED_VALUE"""),221.49)</f>
        <v>221.49</v>
      </c>
      <c r="F2086" s="1">
        <f ca="1">IFERROR(__xludf.DUMMYFUNCTION("""COMPUTED_VALUE"""),21591207)</f>
        <v>21591207</v>
      </c>
    </row>
    <row r="2087" spans="1:6" x14ac:dyDescent="0.35">
      <c r="A2087" s="2">
        <f ca="1">IFERROR(__xludf.DUMMYFUNCTION("""COMPUTED_VALUE"""),45033.6666666666)</f>
        <v>45033.666666666599</v>
      </c>
      <c r="B2087" s="1">
        <f ca="1">IFERROR(__xludf.DUMMYFUNCTION("""COMPUTED_VALUE"""),219.79)</f>
        <v>219.79</v>
      </c>
      <c r="C2087" s="1">
        <f ca="1">IFERROR(__xludf.DUMMYFUNCTION("""COMPUTED_VALUE"""),220.98)</f>
        <v>220.98</v>
      </c>
      <c r="D2087" s="1">
        <f ca="1">IFERROR(__xludf.DUMMYFUNCTION("""COMPUTED_VALUE"""),217.13)</f>
        <v>217.13</v>
      </c>
      <c r="E2087" s="1">
        <f ca="1">IFERROR(__xludf.DUMMYFUNCTION("""COMPUTED_VALUE"""),218.86)</f>
        <v>218.86</v>
      </c>
      <c r="F2087" s="1">
        <f ca="1">IFERROR(__xludf.DUMMYFUNCTION("""COMPUTED_VALUE"""),15481874)</f>
        <v>15481874</v>
      </c>
    </row>
    <row r="2088" spans="1:6" x14ac:dyDescent="0.35">
      <c r="A2088" s="2">
        <f ca="1">IFERROR(__xludf.DUMMYFUNCTION("""COMPUTED_VALUE"""),45034.6666666666)</f>
        <v>45034.666666666599</v>
      </c>
      <c r="B2088" s="1">
        <f ca="1">IFERROR(__xludf.DUMMYFUNCTION("""COMPUTED_VALUE"""),219.91)</f>
        <v>219.91</v>
      </c>
      <c r="C2088" s="1">
        <f ca="1">IFERROR(__xludf.DUMMYFUNCTION("""COMPUTED_VALUE"""),220.44)</f>
        <v>220.44</v>
      </c>
      <c r="D2088" s="1">
        <f ca="1">IFERROR(__xludf.DUMMYFUNCTION("""COMPUTED_VALUE"""),216.21)</f>
        <v>216.21</v>
      </c>
      <c r="E2088" s="1">
        <f ca="1">IFERROR(__xludf.DUMMYFUNCTION("""COMPUTED_VALUE"""),217.89)</f>
        <v>217.89</v>
      </c>
      <c r="F2088" s="1">
        <f ca="1">IFERROR(__xludf.DUMMYFUNCTION("""COMPUTED_VALUE"""),12280984)</f>
        <v>12280984</v>
      </c>
    </row>
    <row r="2089" spans="1:6" x14ac:dyDescent="0.35">
      <c r="A2089" s="2">
        <f ca="1">IFERROR(__xludf.DUMMYFUNCTION("""COMPUTED_VALUE"""),45035.6666666666)</f>
        <v>45035.666666666599</v>
      </c>
      <c r="B2089" s="1">
        <f ca="1">IFERROR(__xludf.DUMMYFUNCTION("""COMPUTED_VALUE"""),213.47)</f>
        <v>213.47</v>
      </c>
      <c r="C2089" s="1">
        <f ca="1">IFERROR(__xludf.DUMMYFUNCTION("""COMPUTED_VALUE"""),217.33)</f>
        <v>217.33</v>
      </c>
      <c r="D2089" s="1">
        <f ca="1">IFERROR(__xludf.DUMMYFUNCTION("""COMPUTED_VALUE"""),212.93)</f>
        <v>212.93</v>
      </c>
      <c r="E2089" s="1">
        <f ca="1">IFERROR(__xludf.DUMMYFUNCTION("""COMPUTED_VALUE"""),215.7)</f>
        <v>215.7</v>
      </c>
      <c r="F2089" s="1">
        <f ca="1">IFERROR(__xludf.DUMMYFUNCTION("""COMPUTED_VALUE"""),15898078)</f>
        <v>15898078</v>
      </c>
    </row>
    <row r="2090" spans="1:6" x14ac:dyDescent="0.35">
      <c r="A2090" s="2">
        <f ca="1">IFERROR(__xludf.DUMMYFUNCTION("""COMPUTED_VALUE"""),45036.6666666666)</f>
        <v>45036.666666666599</v>
      </c>
      <c r="B2090" s="1">
        <f ca="1">IFERROR(__xludf.DUMMYFUNCTION("""COMPUTED_VALUE"""),213.48)</f>
        <v>213.48</v>
      </c>
      <c r="C2090" s="1">
        <f ca="1">IFERROR(__xludf.DUMMYFUNCTION("""COMPUTED_VALUE"""),216.75)</f>
        <v>216.75</v>
      </c>
      <c r="D2090" s="1">
        <f ca="1">IFERROR(__xludf.DUMMYFUNCTION("""COMPUTED_VALUE"""),212.77)</f>
        <v>212.77</v>
      </c>
      <c r="E2090" s="1">
        <f ca="1">IFERROR(__xludf.DUMMYFUNCTION("""COMPUTED_VALUE"""),213.07)</f>
        <v>213.07</v>
      </c>
      <c r="F2090" s="1">
        <f ca="1">IFERROR(__xludf.DUMMYFUNCTION("""COMPUTED_VALUE"""),16475443)</f>
        <v>16475443</v>
      </c>
    </row>
    <row r="2091" spans="1:6" x14ac:dyDescent="0.35">
      <c r="A2091" s="2">
        <f ca="1">IFERROR(__xludf.DUMMYFUNCTION("""COMPUTED_VALUE"""),45037.6666666666)</f>
        <v>45037.666666666599</v>
      </c>
      <c r="B2091" s="1">
        <f ca="1">IFERROR(__xludf.DUMMYFUNCTION("""COMPUTED_VALUE"""),210.21)</f>
        <v>210.21</v>
      </c>
      <c r="C2091" s="1">
        <f ca="1">IFERROR(__xludf.DUMMYFUNCTION("""COMPUTED_VALUE"""),213.41)</f>
        <v>213.41</v>
      </c>
      <c r="D2091" s="1">
        <f ca="1">IFERROR(__xludf.DUMMYFUNCTION("""COMPUTED_VALUE"""),209.58)</f>
        <v>209.58</v>
      </c>
      <c r="E2091" s="1">
        <f ca="1">IFERROR(__xludf.DUMMYFUNCTION("""COMPUTED_VALUE"""),212.89)</f>
        <v>212.89</v>
      </c>
      <c r="F2091" s="1">
        <f ca="1">IFERROR(__xludf.DUMMYFUNCTION("""COMPUTED_VALUE"""),17717166)</f>
        <v>17717166</v>
      </c>
    </row>
    <row r="2092" spans="1:6" x14ac:dyDescent="0.35">
      <c r="A2092" s="2">
        <f ca="1">IFERROR(__xludf.DUMMYFUNCTION("""COMPUTED_VALUE"""),45040.6666666666)</f>
        <v>45040.666666666599</v>
      </c>
      <c r="B2092" s="1">
        <f ca="1">IFERROR(__xludf.DUMMYFUNCTION("""COMPUTED_VALUE"""),213.68)</f>
        <v>213.68</v>
      </c>
      <c r="C2092" s="1">
        <f ca="1">IFERROR(__xludf.DUMMYFUNCTION("""COMPUTED_VALUE"""),213.92)</f>
        <v>213.92</v>
      </c>
      <c r="D2092" s="1">
        <f ca="1">IFERROR(__xludf.DUMMYFUNCTION("""COMPUTED_VALUE"""),210.71)</f>
        <v>210.71</v>
      </c>
      <c r="E2092" s="1">
        <f ca="1">IFERROR(__xludf.DUMMYFUNCTION("""COMPUTED_VALUE"""),212.79)</f>
        <v>212.79</v>
      </c>
      <c r="F2092" s="1">
        <f ca="1">IFERROR(__xludf.DUMMYFUNCTION("""COMPUTED_VALUE"""),15750920)</f>
        <v>15750920</v>
      </c>
    </row>
    <row r="2093" spans="1:6" x14ac:dyDescent="0.35">
      <c r="A2093" s="2">
        <f ca="1">IFERROR(__xludf.DUMMYFUNCTION("""COMPUTED_VALUE"""),45041.6666666666)</f>
        <v>45041.666666666599</v>
      </c>
      <c r="B2093" s="1">
        <f ca="1">IFERROR(__xludf.DUMMYFUNCTION("""COMPUTED_VALUE"""),210.82)</f>
        <v>210.82</v>
      </c>
      <c r="C2093" s="1">
        <f ca="1">IFERROR(__xludf.DUMMYFUNCTION("""COMPUTED_VALUE"""),211.26)</f>
        <v>211.26</v>
      </c>
      <c r="D2093" s="1">
        <f ca="1">IFERROR(__xludf.DUMMYFUNCTION("""COMPUTED_VALUE"""),207.13)</f>
        <v>207.13</v>
      </c>
      <c r="E2093" s="1">
        <f ca="1">IFERROR(__xludf.DUMMYFUNCTION("""COMPUTED_VALUE"""),207.55)</f>
        <v>207.55</v>
      </c>
      <c r="F2093" s="1">
        <f ca="1">IFERROR(__xludf.DUMMYFUNCTION("""COMPUTED_VALUE"""),19198175)</f>
        <v>19198175</v>
      </c>
    </row>
    <row r="2094" spans="1:6" x14ac:dyDescent="0.35">
      <c r="A2094" s="2">
        <f ca="1">IFERROR(__xludf.DUMMYFUNCTION("""COMPUTED_VALUE"""),45042.6666666666)</f>
        <v>45042.666666666599</v>
      </c>
      <c r="B2094" s="1">
        <f ca="1">IFERROR(__xludf.DUMMYFUNCTION("""COMPUTED_VALUE"""),212.5)</f>
        <v>212.5</v>
      </c>
      <c r="C2094" s="1">
        <f ca="1">IFERROR(__xludf.DUMMYFUNCTION("""COMPUTED_VALUE"""),214.11)</f>
        <v>214.11</v>
      </c>
      <c r="D2094" s="1">
        <f ca="1">IFERROR(__xludf.DUMMYFUNCTION("""COMPUTED_VALUE"""),208.88)</f>
        <v>208.88</v>
      </c>
      <c r="E2094" s="1">
        <f ca="1">IFERROR(__xludf.DUMMYFUNCTION("""COMPUTED_VALUE"""),209.4)</f>
        <v>209.4</v>
      </c>
      <c r="F2094" s="1">
        <f ca="1">IFERROR(__xludf.DUMMYFUNCTION("""COMPUTED_VALUE"""),41992726)</f>
        <v>41992726</v>
      </c>
    </row>
    <row r="2095" spans="1:6" x14ac:dyDescent="0.35">
      <c r="A2095" s="2">
        <f ca="1">IFERROR(__xludf.DUMMYFUNCTION("""COMPUTED_VALUE"""),45043.6666666666)</f>
        <v>45043.666666666599</v>
      </c>
      <c r="B2095" s="1">
        <f ca="1">IFERROR(__xludf.DUMMYFUNCTION("""COMPUTED_VALUE"""),239.89)</f>
        <v>239.89</v>
      </c>
      <c r="C2095" s="1">
        <f ca="1">IFERROR(__xludf.DUMMYFUNCTION("""COMPUTED_VALUE"""),241.69)</f>
        <v>241.69</v>
      </c>
      <c r="D2095" s="1">
        <f ca="1">IFERROR(__xludf.DUMMYFUNCTION("""COMPUTED_VALUE"""),236.77)</f>
        <v>236.77</v>
      </c>
      <c r="E2095" s="1">
        <f ca="1">IFERROR(__xludf.DUMMYFUNCTION("""COMPUTED_VALUE"""),238.56)</f>
        <v>238.56</v>
      </c>
      <c r="F2095" s="1">
        <f ca="1">IFERROR(__xludf.DUMMYFUNCTION("""COMPUTED_VALUE"""),71196531)</f>
        <v>71196531</v>
      </c>
    </row>
    <row r="2096" spans="1:6" x14ac:dyDescent="0.35">
      <c r="A2096" s="2">
        <f ca="1">IFERROR(__xludf.DUMMYFUNCTION("""COMPUTED_VALUE"""),45044.6666666666)</f>
        <v>45044.666666666599</v>
      </c>
      <c r="B2096" s="1">
        <f ca="1">IFERROR(__xludf.DUMMYFUNCTION("""COMPUTED_VALUE"""),239.01)</f>
        <v>239.01</v>
      </c>
      <c r="C2096" s="1">
        <f ca="1">IFERROR(__xludf.DUMMYFUNCTION("""COMPUTED_VALUE"""),240.43)</f>
        <v>240.43</v>
      </c>
      <c r="D2096" s="1">
        <f ca="1">IFERROR(__xludf.DUMMYFUNCTION("""COMPUTED_VALUE"""),235.75)</f>
        <v>235.75</v>
      </c>
      <c r="E2096" s="1">
        <f ca="1">IFERROR(__xludf.DUMMYFUNCTION("""COMPUTED_VALUE"""),240.32)</f>
        <v>240.32</v>
      </c>
      <c r="F2096" s="1">
        <f ca="1">IFERROR(__xludf.DUMMYFUNCTION("""COMPUTED_VALUE"""),39554036)</f>
        <v>39554036</v>
      </c>
    </row>
    <row r="2097" spans="1:6" x14ac:dyDescent="0.35">
      <c r="A2097" s="2">
        <f ca="1">IFERROR(__xludf.DUMMYFUNCTION("""COMPUTED_VALUE"""),45047.6666666666)</f>
        <v>45047.666666666599</v>
      </c>
      <c r="B2097" s="1">
        <f ca="1">IFERROR(__xludf.DUMMYFUNCTION("""COMPUTED_VALUE"""),238.62)</f>
        <v>238.62</v>
      </c>
      <c r="C2097" s="1">
        <f ca="1">IFERROR(__xludf.DUMMYFUNCTION("""COMPUTED_VALUE"""),244)</f>
        <v>244</v>
      </c>
      <c r="D2097" s="1">
        <f ca="1">IFERROR(__xludf.DUMMYFUNCTION("""COMPUTED_VALUE"""),236.46)</f>
        <v>236.46</v>
      </c>
      <c r="E2097" s="1">
        <f ca="1">IFERROR(__xludf.DUMMYFUNCTION("""COMPUTED_VALUE"""),243.18)</f>
        <v>243.18</v>
      </c>
      <c r="F2097" s="1">
        <f ca="1">IFERROR(__xludf.DUMMYFUNCTION("""COMPUTED_VALUE"""),29143912)</f>
        <v>29143912</v>
      </c>
    </row>
    <row r="2098" spans="1:6" x14ac:dyDescent="0.35">
      <c r="A2098" s="2">
        <f ca="1">IFERROR(__xludf.DUMMYFUNCTION("""COMPUTED_VALUE"""),45048.6666666666)</f>
        <v>45048.666666666599</v>
      </c>
      <c r="B2098" s="1">
        <f ca="1">IFERROR(__xludf.DUMMYFUNCTION("""COMPUTED_VALUE"""),243.18)</f>
        <v>243.18</v>
      </c>
      <c r="C2098" s="1">
        <f ca="1">IFERROR(__xludf.DUMMYFUNCTION("""COMPUTED_VALUE"""),244.92)</f>
        <v>244.92</v>
      </c>
      <c r="D2098" s="1">
        <f ca="1">IFERROR(__xludf.DUMMYFUNCTION("""COMPUTED_VALUE"""),238.99)</f>
        <v>238.99</v>
      </c>
      <c r="E2098" s="1">
        <f ca="1">IFERROR(__xludf.DUMMYFUNCTION("""COMPUTED_VALUE"""),239.24)</f>
        <v>239.24</v>
      </c>
      <c r="F2098" s="1">
        <f ca="1">IFERROR(__xludf.DUMMYFUNCTION("""COMPUTED_VALUE"""),24350149)</f>
        <v>24350149</v>
      </c>
    </row>
    <row r="2099" spans="1:6" x14ac:dyDescent="0.35">
      <c r="A2099" s="2">
        <f ca="1">IFERROR(__xludf.DUMMYFUNCTION("""COMPUTED_VALUE"""),45049.6666666666)</f>
        <v>45049.666666666599</v>
      </c>
      <c r="B2099" s="1">
        <f ca="1">IFERROR(__xludf.DUMMYFUNCTION("""COMPUTED_VALUE"""),239.47)</f>
        <v>239.47</v>
      </c>
      <c r="C2099" s="1">
        <f ca="1">IFERROR(__xludf.DUMMYFUNCTION("""COMPUTED_VALUE"""),241.75)</f>
        <v>241.75</v>
      </c>
      <c r="D2099" s="1">
        <f ca="1">IFERROR(__xludf.DUMMYFUNCTION("""COMPUTED_VALUE"""),232.75)</f>
        <v>232.75</v>
      </c>
      <c r="E2099" s="1">
        <f ca="1">IFERROR(__xludf.DUMMYFUNCTION("""COMPUTED_VALUE"""),237.03)</f>
        <v>237.03</v>
      </c>
      <c r="F2099" s="1">
        <f ca="1">IFERROR(__xludf.DUMMYFUNCTION("""COMPUTED_VALUE"""),34463859)</f>
        <v>34463859</v>
      </c>
    </row>
    <row r="2100" spans="1:6" x14ac:dyDescent="0.35">
      <c r="A2100" s="2">
        <f ca="1">IFERROR(__xludf.DUMMYFUNCTION("""COMPUTED_VALUE"""),45050.6666666666)</f>
        <v>45050.666666666599</v>
      </c>
      <c r="B2100" s="1">
        <f ca="1">IFERROR(__xludf.DUMMYFUNCTION("""COMPUTED_VALUE"""),236.06)</f>
        <v>236.06</v>
      </c>
      <c r="C2100" s="1">
        <f ca="1">IFERROR(__xludf.DUMMYFUNCTION("""COMPUTED_VALUE"""),238.2)</f>
        <v>238.2</v>
      </c>
      <c r="D2100" s="1">
        <f ca="1">IFERROR(__xludf.DUMMYFUNCTION("""COMPUTED_VALUE"""),232.93)</f>
        <v>232.93</v>
      </c>
      <c r="E2100" s="1">
        <f ca="1">IFERROR(__xludf.DUMMYFUNCTION("""COMPUTED_VALUE"""),233.52)</f>
        <v>233.52</v>
      </c>
      <c r="F2100" s="1">
        <f ca="1">IFERROR(__xludf.DUMMYFUNCTION("""COMPUTED_VALUE"""),17889391)</f>
        <v>17889391</v>
      </c>
    </row>
    <row r="2101" spans="1:6" x14ac:dyDescent="0.35">
      <c r="A2101" s="2">
        <f ca="1">IFERROR(__xludf.DUMMYFUNCTION("""COMPUTED_VALUE"""),45051.6666666666)</f>
        <v>45051.666666666599</v>
      </c>
      <c r="B2101" s="1">
        <f ca="1">IFERROR(__xludf.DUMMYFUNCTION("""COMPUTED_VALUE"""),232.24)</f>
        <v>232.24</v>
      </c>
      <c r="C2101" s="1">
        <f ca="1">IFERROR(__xludf.DUMMYFUNCTION("""COMPUTED_VALUE"""),234.68)</f>
        <v>234.68</v>
      </c>
      <c r="D2101" s="1">
        <f ca="1">IFERROR(__xludf.DUMMYFUNCTION("""COMPUTED_VALUE"""),229.85)</f>
        <v>229.85</v>
      </c>
      <c r="E2101" s="1">
        <f ca="1">IFERROR(__xludf.DUMMYFUNCTION("""COMPUTED_VALUE"""),232.78)</f>
        <v>232.78</v>
      </c>
      <c r="F2101" s="1">
        <f ca="1">IFERROR(__xludf.DUMMYFUNCTION("""COMPUTED_VALUE"""),27000480)</f>
        <v>27000480</v>
      </c>
    </row>
    <row r="2102" spans="1:6" x14ac:dyDescent="0.35">
      <c r="A2102" s="2">
        <f ca="1">IFERROR(__xludf.DUMMYFUNCTION("""COMPUTED_VALUE"""),45054.6666666666)</f>
        <v>45054.666666666599</v>
      </c>
      <c r="B2102" s="1">
        <f ca="1">IFERROR(__xludf.DUMMYFUNCTION("""COMPUTED_VALUE"""),231.42)</f>
        <v>231.42</v>
      </c>
      <c r="C2102" s="1">
        <f ca="1">IFERROR(__xludf.DUMMYFUNCTION("""COMPUTED_VALUE"""),235.62)</f>
        <v>235.62</v>
      </c>
      <c r="D2102" s="1">
        <f ca="1">IFERROR(__xludf.DUMMYFUNCTION("""COMPUTED_VALUE"""),230.27)</f>
        <v>230.27</v>
      </c>
      <c r="E2102" s="1">
        <f ca="1">IFERROR(__xludf.DUMMYFUNCTION("""COMPUTED_VALUE"""),233.27)</f>
        <v>233.27</v>
      </c>
      <c r="F2102" s="1">
        <f ca="1">IFERROR(__xludf.DUMMYFUNCTION("""COMPUTED_VALUE"""),16400526)</f>
        <v>16400526</v>
      </c>
    </row>
    <row r="2103" spans="1:6" x14ac:dyDescent="0.35">
      <c r="A2103" s="2">
        <f ca="1">IFERROR(__xludf.DUMMYFUNCTION("""COMPUTED_VALUE"""),45055.6666666666)</f>
        <v>45055.666666666599</v>
      </c>
      <c r="B2103" s="1">
        <f ca="1">IFERROR(__xludf.DUMMYFUNCTION("""COMPUTED_VALUE"""),231.46)</f>
        <v>231.46</v>
      </c>
      <c r="C2103" s="1">
        <f ca="1">IFERROR(__xludf.DUMMYFUNCTION("""COMPUTED_VALUE"""),235.88)</f>
        <v>235.88</v>
      </c>
      <c r="D2103" s="1">
        <f ca="1">IFERROR(__xludf.DUMMYFUNCTION("""COMPUTED_VALUE"""),231.08)</f>
        <v>231.08</v>
      </c>
      <c r="E2103" s="1">
        <f ca="1">IFERROR(__xludf.DUMMYFUNCTION("""COMPUTED_VALUE"""),233.37)</f>
        <v>233.37</v>
      </c>
      <c r="F2103" s="1">
        <f ca="1">IFERROR(__xludf.DUMMYFUNCTION("""COMPUTED_VALUE"""),16865587)</f>
        <v>16865587</v>
      </c>
    </row>
    <row r="2104" spans="1:6" x14ac:dyDescent="0.35">
      <c r="A2104" s="2">
        <f ca="1">IFERROR(__xludf.DUMMYFUNCTION("""COMPUTED_VALUE"""),45056.6666666666)</f>
        <v>45056.666666666599</v>
      </c>
      <c r="B2104" s="1">
        <f ca="1">IFERROR(__xludf.DUMMYFUNCTION("""COMPUTED_VALUE"""),236.17)</f>
        <v>236.17</v>
      </c>
      <c r="C2104" s="1">
        <f ca="1">IFERROR(__xludf.DUMMYFUNCTION("""COMPUTED_VALUE"""),236.75)</f>
        <v>236.75</v>
      </c>
      <c r="D2104" s="1">
        <f ca="1">IFERROR(__xludf.DUMMYFUNCTION("""COMPUTED_VALUE"""),230.72)</f>
        <v>230.72</v>
      </c>
      <c r="E2104" s="1">
        <f ca="1">IFERROR(__xludf.DUMMYFUNCTION("""COMPUTED_VALUE"""),233.08)</f>
        <v>233.08</v>
      </c>
      <c r="F2104" s="1">
        <f ca="1">IFERROR(__xludf.DUMMYFUNCTION("""COMPUTED_VALUE"""),19119007)</f>
        <v>19119007</v>
      </c>
    </row>
    <row r="2105" spans="1:6" x14ac:dyDescent="0.35">
      <c r="A2105" s="2">
        <f ca="1">IFERROR(__xludf.DUMMYFUNCTION("""COMPUTED_VALUE"""),45057.6666666666)</f>
        <v>45057.666666666599</v>
      </c>
      <c r="B2105" s="1">
        <f ca="1">IFERROR(__xludf.DUMMYFUNCTION("""COMPUTED_VALUE"""),233.05)</f>
        <v>233.05</v>
      </c>
      <c r="C2105" s="1">
        <f ca="1">IFERROR(__xludf.DUMMYFUNCTION("""COMPUTED_VALUE"""),238.21)</f>
        <v>238.21</v>
      </c>
      <c r="D2105" s="1">
        <f ca="1">IFERROR(__xludf.DUMMYFUNCTION("""COMPUTED_VALUE"""),232.3)</f>
        <v>232.3</v>
      </c>
      <c r="E2105" s="1">
        <f ca="1">IFERROR(__xludf.DUMMYFUNCTION("""COMPUTED_VALUE"""),235.79)</f>
        <v>235.79</v>
      </c>
      <c r="F2105" s="1">
        <f ca="1">IFERROR(__xludf.DUMMYFUNCTION("""COMPUTED_VALUE"""),20448991)</f>
        <v>20448991</v>
      </c>
    </row>
    <row r="2106" spans="1:6" x14ac:dyDescent="0.35">
      <c r="A2106" s="2">
        <f ca="1">IFERROR(__xludf.DUMMYFUNCTION("""COMPUTED_VALUE"""),45058.6666666666)</f>
        <v>45058.666666666599</v>
      </c>
      <c r="B2106" s="1">
        <f ca="1">IFERROR(__xludf.DUMMYFUNCTION("""COMPUTED_VALUE"""),236.74)</f>
        <v>236.74</v>
      </c>
      <c r="C2106" s="1">
        <f ca="1">IFERROR(__xludf.DUMMYFUNCTION("""COMPUTED_VALUE"""),236.96)</f>
        <v>236.96</v>
      </c>
      <c r="D2106" s="1">
        <f ca="1">IFERROR(__xludf.DUMMYFUNCTION("""COMPUTED_VALUE"""),231.45)</f>
        <v>231.45</v>
      </c>
      <c r="E2106" s="1">
        <f ca="1">IFERROR(__xludf.DUMMYFUNCTION("""COMPUTED_VALUE"""),233.81)</f>
        <v>233.81</v>
      </c>
      <c r="F2106" s="1">
        <f ca="1">IFERROR(__xludf.DUMMYFUNCTION("""COMPUTED_VALUE"""),16161447)</f>
        <v>16161447</v>
      </c>
    </row>
    <row r="2107" spans="1:6" x14ac:dyDescent="0.35">
      <c r="A2107" s="2">
        <f ca="1">IFERROR(__xludf.DUMMYFUNCTION("""COMPUTED_VALUE"""),45061.6666666666)</f>
        <v>45061.666666666599</v>
      </c>
      <c r="B2107" s="1">
        <f ca="1">IFERROR(__xludf.DUMMYFUNCTION("""COMPUTED_VALUE"""),236.92)</f>
        <v>236.92</v>
      </c>
      <c r="C2107" s="1">
        <f ca="1">IFERROR(__xludf.DUMMYFUNCTION("""COMPUTED_VALUE"""),240.26)</f>
        <v>240.26</v>
      </c>
      <c r="D2107" s="1">
        <f ca="1">IFERROR(__xludf.DUMMYFUNCTION("""COMPUTED_VALUE"""),235.33)</f>
        <v>235.33</v>
      </c>
      <c r="E2107" s="1">
        <f ca="1">IFERROR(__xludf.DUMMYFUNCTION("""COMPUTED_VALUE"""),238.86)</f>
        <v>238.86</v>
      </c>
      <c r="F2107" s="1">
        <f ca="1">IFERROR(__xludf.DUMMYFUNCTION("""COMPUTED_VALUE"""),20653229)</f>
        <v>20653229</v>
      </c>
    </row>
    <row r="2108" spans="1:6" x14ac:dyDescent="0.35">
      <c r="A2108" s="2">
        <f ca="1">IFERROR(__xludf.DUMMYFUNCTION("""COMPUTED_VALUE"""),45062.6666666666)</f>
        <v>45062.666666666599</v>
      </c>
      <c r="B2108" s="1">
        <f ca="1">IFERROR(__xludf.DUMMYFUNCTION("""COMPUTED_VALUE"""),235.79)</f>
        <v>235.79</v>
      </c>
      <c r="C2108" s="1">
        <f ca="1">IFERROR(__xludf.DUMMYFUNCTION("""COMPUTED_VALUE"""),239.64)</f>
        <v>239.64</v>
      </c>
      <c r="D2108" s="1">
        <f ca="1">IFERROR(__xludf.DUMMYFUNCTION("""COMPUTED_VALUE"""),235.52)</f>
        <v>235.52</v>
      </c>
      <c r="E2108" s="1">
        <f ca="1">IFERROR(__xludf.DUMMYFUNCTION("""COMPUTED_VALUE"""),238.82)</f>
        <v>238.82</v>
      </c>
      <c r="F2108" s="1">
        <f ca="1">IFERROR(__xludf.DUMMYFUNCTION("""COMPUTED_VALUE"""),18163772)</f>
        <v>18163772</v>
      </c>
    </row>
    <row r="2109" spans="1:6" x14ac:dyDescent="0.35">
      <c r="A2109" s="2">
        <f ca="1">IFERROR(__xludf.DUMMYFUNCTION("""COMPUTED_VALUE"""),45063.6666666666)</f>
        <v>45063.666666666599</v>
      </c>
      <c r="B2109" s="1">
        <f ca="1">IFERROR(__xludf.DUMMYFUNCTION("""COMPUTED_VALUE"""),238.45)</f>
        <v>238.45</v>
      </c>
      <c r="C2109" s="1">
        <f ca="1">IFERROR(__xludf.DUMMYFUNCTION("""COMPUTED_VALUE"""),243.84)</f>
        <v>243.84</v>
      </c>
      <c r="D2109" s="1">
        <f ca="1">IFERROR(__xludf.DUMMYFUNCTION("""COMPUTED_VALUE"""),238.14)</f>
        <v>238.14</v>
      </c>
      <c r="E2109" s="1">
        <f ca="1">IFERROR(__xludf.DUMMYFUNCTION("""COMPUTED_VALUE"""),242.49)</f>
        <v>242.49</v>
      </c>
      <c r="F2109" s="1">
        <f ca="1">IFERROR(__xludf.DUMMYFUNCTION("""COMPUTED_VALUE"""),21193080)</f>
        <v>21193080</v>
      </c>
    </row>
    <row r="2110" spans="1:6" x14ac:dyDescent="0.35">
      <c r="A2110" s="2">
        <f ca="1">IFERROR(__xludf.DUMMYFUNCTION("""COMPUTED_VALUE"""),45064.6666666666)</f>
        <v>45064.666666666599</v>
      </c>
      <c r="B2110" s="1">
        <f ca="1">IFERROR(__xludf.DUMMYFUNCTION("""COMPUTED_VALUE"""),241.3)</f>
        <v>241.3</v>
      </c>
      <c r="C2110" s="1">
        <f ca="1">IFERROR(__xludf.DUMMYFUNCTION("""COMPUTED_VALUE"""),247.09)</f>
        <v>247.09</v>
      </c>
      <c r="D2110" s="1">
        <f ca="1">IFERROR(__xludf.DUMMYFUNCTION("""COMPUTED_VALUE"""),241.19)</f>
        <v>241.19</v>
      </c>
      <c r="E2110" s="1">
        <f ca="1">IFERROR(__xludf.DUMMYFUNCTION("""COMPUTED_VALUE"""),246.85)</f>
        <v>246.85</v>
      </c>
      <c r="F2110" s="1">
        <f ca="1">IFERROR(__xludf.DUMMYFUNCTION("""COMPUTED_VALUE"""),22943297)</f>
        <v>22943297</v>
      </c>
    </row>
    <row r="2111" spans="1:6" x14ac:dyDescent="0.35">
      <c r="A2111" s="2">
        <f ca="1">IFERROR(__xludf.DUMMYFUNCTION("""COMPUTED_VALUE"""),45065.6666666666)</f>
        <v>45065.666666666599</v>
      </c>
      <c r="B2111" s="1">
        <f ca="1">IFERROR(__xludf.DUMMYFUNCTION("""COMPUTED_VALUE"""),247.47)</f>
        <v>247.47</v>
      </c>
      <c r="C2111" s="1">
        <f ca="1">IFERROR(__xludf.DUMMYFUNCTION("""COMPUTED_VALUE"""),248.69)</f>
        <v>248.69</v>
      </c>
      <c r="D2111" s="1">
        <f ca="1">IFERROR(__xludf.DUMMYFUNCTION("""COMPUTED_VALUE"""),243.41)</f>
        <v>243.41</v>
      </c>
      <c r="E2111" s="1">
        <f ca="1">IFERROR(__xludf.DUMMYFUNCTION("""COMPUTED_VALUE"""),245.64)</f>
        <v>245.64</v>
      </c>
      <c r="F2111" s="1">
        <f ca="1">IFERROR(__xludf.DUMMYFUNCTION("""COMPUTED_VALUE"""),21733581)</f>
        <v>21733581</v>
      </c>
    </row>
    <row r="2112" spans="1:6" x14ac:dyDescent="0.35">
      <c r="A2112" s="2">
        <f ca="1">IFERROR(__xludf.DUMMYFUNCTION("""COMPUTED_VALUE"""),45068.6666666666)</f>
        <v>45068.666666666599</v>
      </c>
      <c r="B2112" s="1">
        <f ca="1">IFERROR(__xludf.DUMMYFUNCTION("""COMPUTED_VALUE"""),245.41)</f>
        <v>245.41</v>
      </c>
      <c r="C2112" s="1">
        <f ca="1">IFERROR(__xludf.DUMMYFUNCTION("""COMPUTED_VALUE"""),253.57)</f>
        <v>253.57</v>
      </c>
      <c r="D2112" s="1">
        <f ca="1">IFERROR(__xludf.DUMMYFUNCTION("""COMPUTED_VALUE"""),245.12)</f>
        <v>245.12</v>
      </c>
      <c r="E2112" s="1">
        <f ca="1">IFERROR(__xludf.DUMMYFUNCTION("""COMPUTED_VALUE"""),248.32)</f>
        <v>248.32</v>
      </c>
      <c r="F2112" s="1">
        <f ca="1">IFERROR(__xludf.DUMMYFUNCTION("""COMPUTED_VALUE"""),27738479)</f>
        <v>27738479</v>
      </c>
    </row>
    <row r="2113" spans="1:6" x14ac:dyDescent="0.35">
      <c r="A2113" s="2">
        <f ca="1">IFERROR(__xludf.DUMMYFUNCTION("""COMPUTED_VALUE"""),45069.6666666666)</f>
        <v>45069.666666666599</v>
      </c>
      <c r="B2113" s="1">
        <f ca="1">IFERROR(__xludf.DUMMYFUNCTION("""COMPUTED_VALUE"""),246.81)</f>
        <v>246.81</v>
      </c>
      <c r="C2113" s="1">
        <f ca="1">IFERROR(__xludf.DUMMYFUNCTION("""COMPUTED_VALUE"""),251.61)</f>
        <v>251.61</v>
      </c>
      <c r="D2113" s="1">
        <f ca="1">IFERROR(__xludf.DUMMYFUNCTION("""COMPUTED_VALUE"""),246.65)</f>
        <v>246.65</v>
      </c>
      <c r="E2113" s="1">
        <f ca="1">IFERROR(__xludf.DUMMYFUNCTION("""COMPUTED_VALUE"""),246.74)</f>
        <v>246.74</v>
      </c>
      <c r="F2113" s="1">
        <f ca="1">IFERROR(__xludf.DUMMYFUNCTION("""COMPUTED_VALUE"""),17748115)</f>
        <v>17748115</v>
      </c>
    </row>
    <row r="2114" spans="1:6" x14ac:dyDescent="0.35">
      <c r="A2114" s="2">
        <f ca="1">IFERROR(__xludf.DUMMYFUNCTION("""COMPUTED_VALUE"""),45070.6666666666)</f>
        <v>45070.666666666599</v>
      </c>
      <c r="B2114" s="1">
        <f ca="1">IFERROR(__xludf.DUMMYFUNCTION("""COMPUTED_VALUE"""),245.28)</f>
        <v>245.28</v>
      </c>
      <c r="C2114" s="1">
        <f ca="1">IFERROR(__xludf.DUMMYFUNCTION("""COMPUTED_VALUE"""),249.59)</f>
        <v>249.59</v>
      </c>
      <c r="D2114" s="1">
        <f ca="1">IFERROR(__xludf.DUMMYFUNCTION("""COMPUTED_VALUE"""),244.95)</f>
        <v>244.95</v>
      </c>
      <c r="E2114" s="1">
        <f ca="1">IFERROR(__xludf.DUMMYFUNCTION("""COMPUTED_VALUE"""),249.21)</f>
        <v>249.21</v>
      </c>
      <c r="F2114" s="1">
        <f ca="1">IFERROR(__xludf.DUMMYFUNCTION("""COMPUTED_VALUE"""),17724338)</f>
        <v>17724338</v>
      </c>
    </row>
    <row r="2115" spans="1:6" x14ac:dyDescent="0.35">
      <c r="A2115" s="2">
        <f ca="1">IFERROR(__xludf.DUMMYFUNCTION("""COMPUTED_VALUE"""),45071.6666666666)</f>
        <v>45071.666666666599</v>
      </c>
      <c r="B2115" s="1">
        <f ca="1">IFERROR(__xludf.DUMMYFUNCTION("""COMPUTED_VALUE"""),253.4)</f>
        <v>253.4</v>
      </c>
      <c r="C2115" s="1">
        <f ca="1">IFERROR(__xludf.DUMMYFUNCTION("""COMPUTED_VALUE"""),255.62)</f>
        <v>255.62</v>
      </c>
      <c r="D2115" s="1">
        <f ca="1">IFERROR(__xludf.DUMMYFUNCTION("""COMPUTED_VALUE"""),249.17)</f>
        <v>249.17</v>
      </c>
      <c r="E2115" s="1">
        <f ca="1">IFERROR(__xludf.DUMMYFUNCTION("""COMPUTED_VALUE"""),252.69)</f>
        <v>252.69</v>
      </c>
      <c r="F2115" s="1">
        <f ca="1">IFERROR(__xludf.DUMMYFUNCTION("""COMPUTED_VALUE"""),22371435)</f>
        <v>22371435</v>
      </c>
    </row>
    <row r="2116" spans="1:6" x14ac:dyDescent="0.35">
      <c r="A2116" s="2">
        <f ca="1">IFERROR(__xludf.DUMMYFUNCTION("""COMPUTED_VALUE"""),45072.6666666666)</f>
        <v>45072.666666666599</v>
      </c>
      <c r="B2116" s="1">
        <f ca="1">IFERROR(__xludf.DUMMYFUNCTION("""COMPUTED_VALUE"""),252.93)</f>
        <v>252.93</v>
      </c>
      <c r="C2116" s="1">
        <f ca="1">IFERROR(__xludf.DUMMYFUNCTION("""COMPUTED_VALUE"""),262.31)</f>
        <v>262.31</v>
      </c>
      <c r="D2116" s="1">
        <f ca="1">IFERROR(__xludf.DUMMYFUNCTION("""COMPUTED_VALUE"""),252.71)</f>
        <v>252.71</v>
      </c>
      <c r="E2116" s="1">
        <f ca="1">IFERROR(__xludf.DUMMYFUNCTION("""COMPUTED_VALUE"""),262.04)</f>
        <v>262.04000000000002</v>
      </c>
      <c r="F2116" s="1">
        <f ca="1">IFERROR(__xludf.DUMMYFUNCTION("""COMPUTED_VALUE"""),25768663)</f>
        <v>25768663</v>
      </c>
    </row>
    <row r="2117" spans="1:6" x14ac:dyDescent="0.35">
      <c r="A2117" s="2">
        <f ca="1">IFERROR(__xludf.DUMMYFUNCTION("""COMPUTED_VALUE"""),45076.6666666666)</f>
        <v>45076.666666666599</v>
      </c>
      <c r="B2117" s="1">
        <f ca="1">IFERROR(__xludf.DUMMYFUNCTION("""COMPUTED_VALUE"""),265.25)</f>
        <v>265.25</v>
      </c>
      <c r="C2117" s="1">
        <f ca="1">IFERROR(__xludf.DUMMYFUNCTION("""COMPUTED_VALUE"""),268.65)</f>
        <v>268.64999999999998</v>
      </c>
      <c r="D2117" s="1">
        <f ca="1">IFERROR(__xludf.DUMMYFUNCTION("""COMPUTED_VALUE"""),261.29)</f>
        <v>261.29000000000002</v>
      </c>
      <c r="E2117" s="1">
        <f ca="1">IFERROR(__xludf.DUMMYFUNCTION("""COMPUTED_VALUE"""),262.52)</f>
        <v>262.52</v>
      </c>
      <c r="F2117" s="1">
        <f ca="1">IFERROR(__xludf.DUMMYFUNCTION("""COMPUTED_VALUE"""),23816483)</f>
        <v>23816483</v>
      </c>
    </row>
    <row r="2118" spans="1:6" x14ac:dyDescent="0.35">
      <c r="A2118" s="2">
        <f ca="1">IFERROR(__xludf.DUMMYFUNCTION("""COMPUTED_VALUE"""),45077.6666666666)</f>
        <v>45077.666666666599</v>
      </c>
      <c r="B2118" s="1">
        <f ca="1">IFERROR(__xludf.DUMMYFUNCTION("""COMPUTED_VALUE"""),260)</f>
        <v>260</v>
      </c>
      <c r="C2118" s="1">
        <f ca="1">IFERROR(__xludf.DUMMYFUNCTION("""COMPUTED_VALUE"""),265)</f>
        <v>265</v>
      </c>
      <c r="D2118" s="1">
        <f ca="1">IFERROR(__xludf.DUMMYFUNCTION("""COMPUTED_VALUE"""),258.45)</f>
        <v>258.45</v>
      </c>
      <c r="E2118" s="1">
        <f ca="1">IFERROR(__xludf.DUMMYFUNCTION("""COMPUTED_VALUE"""),264.72)</f>
        <v>264.72000000000003</v>
      </c>
      <c r="F2118" s="1">
        <f ca="1">IFERROR(__xludf.DUMMYFUNCTION("""COMPUTED_VALUE"""),25473690)</f>
        <v>25473690</v>
      </c>
    </row>
    <row r="2119" spans="1:6" x14ac:dyDescent="0.35">
      <c r="A2119" s="2">
        <f ca="1">IFERROR(__xludf.DUMMYFUNCTION("""COMPUTED_VALUE"""),45078.6666666666)</f>
        <v>45078.666666666599</v>
      </c>
      <c r="B2119" s="1">
        <f ca="1">IFERROR(__xludf.DUMMYFUNCTION("""COMPUTED_VALUE"""),265.9)</f>
        <v>265.89999999999998</v>
      </c>
      <c r="C2119" s="1">
        <f ca="1">IFERROR(__xludf.DUMMYFUNCTION("""COMPUTED_VALUE"""),274)</f>
        <v>274</v>
      </c>
      <c r="D2119" s="1">
        <f ca="1">IFERROR(__xludf.DUMMYFUNCTION("""COMPUTED_VALUE"""),265.89)</f>
        <v>265.89</v>
      </c>
      <c r="E2119" s="1">
        <f ca="1">IFERROR(__xludf.DUMMYFUNCTION("""COMPUTED_VALUE"""),272.61)</f>
        <v>272.61</v>
      </c>
      <c r="F2119" s="1">
        <f ca="1">IFERROR(__xludf.DUMMYFUNCTION("""COMPUTED_VALUE"""),25609508)</f>
        <v>25609508</v>
      </c>
    </row>
    <row r="2120" spans="1:6" x14ac:dyDescent="0.35">
      <c r="A2120" s="2">
        <f ca="1">IFERROR(__xludf.DUMMYFUNCTION("""COMPUTED_VALUE"""),45079.6666666666)</f>
        <v>45079.666666666599</v>
      </c>
      <c r="B2120" s="1">
        <f ca="1">IFERROR(__xludf.DUMMYFUNCTION("""COMPUTED_VALUE"""),272.66)</f>
        <v>272.66000000000003</v>
      </c>
      <c r="C2120" s="1">
        <f ca="1">IFERROR(__xludf.DUMMYFUNCTION("""COMPUTED_VALUE"""),275.35)</f>
        <v>275.35000000000002</v>
      </c>
      <c r="D2120" s="1">
        <f ca="1">IFERROR(__xludf.DUMMYFUNCTION("""COMPUTED_VALUE"""),271.12)</f>
        <v>271.12</v>
      </c>
      <c r="E2120" s="1">
        <f ca="1">IFERROR(__xludf.DUMMYFUNCTION("""COMPUTED_VALUE"""),272.61)</f>
        <v>272.61</v>
      </c>
      <c r="F2120" s="1">
        <f ca="1">IFERROR(__xludf.DUMMYFUNCTION("""COMPUTED_VALUE"""),19416930)</f>
        <v>19416930</v>
      </c>
    </row>
    <row r="2121" spans="1:6" x14ac:dyDescent="0.35">
      <c r="A2121" s="2">
        <f ca="1">IFERROR(__xludf.DUMMYFUNCTION("""COMPUTED_VALUE"""),45082.6666666666)</f>
        <v>45082.666666666599</v>
      </c>
      <c r="B2121" s="1">
        <f ca="1">IFERROR(__xludf.DUMMYFUNCTION("""COMPUTED_VALUE"""),270.3)</f>
        <v>270.3</v>
      </c>
      <c r="C2121" s="1">
        <f ca="1">IFERROR(__xludf.DUMMYFUNCTION("""COMPUTED_VALUE"""),275.57)</f>
        <v>275.57</v>
      </c>
      <c r="D2121" s="1">
        <f ca="1">IFERROR(__xludf.DUMMYFUNCTION("""COMPUTED_VALUE"""),269.56)</f>
        <v>269.56</v>
      </c>
      <c r="E2121" s="1">
        <f ca="1">IFERROR(__xludf.DUMMYFUNCTION("""COMPUTED_VALUE"""),271.39)</f>
        <v>271.39</v>
      </c>
      <c r="F2121" s="1">
        <f ca="1">IFERROR(__xludf.DUMMYFUNCTION("""COMPUTED_VALUE"""),20742946)</f>
        <v>20742946</v>
      </c>
    </row>
    <row r="2122" spans="1:6" x14ac:dyDescent="0.35">
      <c r="A2122" s="2">
        <f ca="1">IFERROR(__xludf.DUMMYFUNCTION("""COMPUTED_VALUE"""),45083.6666666666)</f>
        <v>45083.666666666599</v>
      </c>
      <c r="B2122" s="1">
        <f ca="1">IFERROR(__xludf.DUMMYFUNCTION("""COMPUTED_VALUE"""),270.14)</f>
        <v>270.14</v>
      </c>
      <c r="C2122" s="1">
        <f ca="1">IFERROR(__xludf.DUMMYFUNCTION("""COMPUTED_VALUE"""),276.57)</f>
        <v>276.57</v>
      </c>
      <c r="D2122" s="1">
        <f ca="1">IFERROR(__xludf.DUMMYFUNCTION("""COMPUTED_VALUE"""),269.69)</f>
        <v>269.69</v>
      </c>
      <c r="E2122" s="1">
        <f ca="1">IFERROR(__xludf.DUMMYFUNCTION("""COMPUTED_VALUE"""),271.12)</f>
        <v>271.12</v>
      </c>
      <c r="F2122" s="1">
        <f ca="1">IFERROR(__xludf.DUMMYFUNCTION("""COMPUTED_VALUE"""),19419010)</f>
        <v>19419010</v>
      </c>
    </row>
    <row r="2123" spans="1:6" x14ac:dyDescent="0.35">
      <c r="A2123" s="2">
        <f ca="1">IFERROR(__xludf.DUMMYFUNCTION("""COMPUTED_VALUE"""),45084.6666666666)</f>
        <v>45084.666666666599</v>
      </c>
      <c r="B2123" s="1">
        <f ca="1">IFERROR(__xludf.DUMMYFUNCTION("""COMPUTED_VALUE"""),271.67)</f>
        <v>271.67</v>
      </c>
      <c r="C2123" s="1">
        <f ca="1">IFERROR(__xludf.DUMMYFUNCTION("""COMPUTED_VALUE"""),274.25)</f>
        <v>274.25</v>
      </c>
      <c r="D2123" s="1">
        <f ca="1">IFERROR(__xludf.DUMMYFUNCTION("""COMPUTED_VALUE"""),262.8)</f>
        <v>262.8</v>
      </c>
      <c r="E2123" s="1">
        <f ca="1">IFERROR(__xludf.DUMMYFUNCTION("""COMPUTED_VALUE"""),263.6)</f>
        <v>263.60000000000002</v>
      </c>
      <c r="F2123" s="1">
        <f ca="1">IFERROR(__xludf.DUMMYFUNCTION("""COMPUTED_VALUE"""),26163627)</f>
        <v>26163627</v>
      </c>
    </row>
    <row r="2124" spans="1:6" x14ac:dyDescent="0.35">
      <c r="A2124" s="2">
        <f ca="1">IFERROR(__xludf.DUMMYFUNCTION("""COMPUTED_VALUE"""),45085.6666666666)</f>
        <v>45085.666666666599</v>
      </c>
      <c r="B2124" s="1">
        <f ca="1">IFERROR(__xludf.DUMMYFUNCTION("""COMPUTED_VALUE"""),260.62)</f>
        <v>260.62</v>
      </c>
      <c r="C2124" s="1">
        <f ca="1">IFERROR(__xludf.DUMMYFUNCTION("""COMPUTED_VALUE"""),267.65)</f>
        <v>267.64999999999998</v>
      </c>
      <c r="D2124" s="1">
        <f ca="1">IFERROR(__xludf.DUMMYFUNCTION("""COMPUTED_VALUE"""),258.88)</f>
        <v>258.88</v>
      </c>
      <c r="E2124" s="1">
        <f ca="1">IFERROR(__xludf.DUMMYFUNCTION("""COMPUTED_VALUE"""),264.58)</f>
        <v>264.58</v>
      </c>
      <c r="F2124" s="1">
        <f ca="1">IFERROR(__xludf.DUMMYFUNCTION("""COMPUTED_VALUE"""),20899359)</f>
        <v>20899359</v>
      </c>
    </row>
    <row r="2125" spans="1:6" x14ac:dyDescent="0.35">
      <c r="A2125" s="2">
        <f ca="1">IFERROR(__xludf.DUMMYFUNCTION("""COMPUTED_VALUE"""),45086.6666666666)</f>
        <v>45086.666666666599</v>
      </c>
      <c r="B2125" s="1">
        <f ca="1">IFERROR(__xludf.DUMMYFUNCTION("""COMPUTED_VALUE"""),262.48)</f>
        <v>262.48</v>
      </c>
      <c r="C2125" s="1">
        <f ca="1">IFERROR(__xludf.DUMMYFUNCTION("""COMPUTED_VALUE"""),267.95)</f>
        <v>267.95</v>
      </c>
      <c r="D2125" s="1">
        <f ca="1">IFERROR(__xludf.DUMMYFUNCTION("""COMPUTED_VALUE"""),261.7)</f>
        <v>261.7</v>
      </c>
      <c r="E2125" s="1">
        <f ca="1">IFERROR(__xludf.DUMMYFUNCTION("""COMPUTED_VALUE"""),264.95)</f>
        <v>264.95</v>
      </c>
      <c r="F2125" s="1">
        <f ca="1">IFERROR(__xludf.DUMMYFUNCTION("""COMPUTED_VALUE"""),16949794)</f>
        <v>16949794</v>
      </c>
    </row>
    <row r="2126" spans="1:6" x14ac:dyDescent="0.35">
      <c r="A2126" s="2">
        <f ca="1">IFERROR(__xludf.DUMMYFUNCTION("""COMPUTED_VALUE"""),45089.6666666666)</f>
        <v>45089.666666666599</v>
      </c>
      <c r="B2126" s="1">
        <f ca="1">IFERROR(__xludf.DUMMYFUNCTION("""COMPUTED_VALUE"""),267.17)</f>
        <v>267.17</v>
      </c>
      <c r="C2126" s="1">
        <f ca="1">IFERROR(__xludf.DUMMYFUNCTION("""COMPUTED_VALUE"""),271.75)</f>
        <v>271.75</v>
      </c>
      <c r="D2126" s="1">
        <f ca="1">IFERROR(__xludf.DUMMYFUNCTION("""COMPUTED_VALUE"""),265.33)</f>
        <v>265.33</v>
      </c>
      <c r="E2126" s="1">
        <f ca="1">IFERROR(__xludf.DUMMYFUNCTION("""COMPUTED_VALUE"""),271.05)</f>
        <v>271.05</v>
      </c>
      <c r="F2126" s="1">
        <f ca="1">IFERROR(__xludf.DUMMYFUNCTION("""COMPUTED_VALUE"""),15471702)</f>
        <v>15471702</v>
      </c>
    </row>
    <row r="2127" spans="1:6" x14ac:dyDescent="0.35">
      <c r="A2127" s="2">
        <f ca="1">IFERROR(__xludf.DUMMYFUNCTION("""COMPUTED_VALUE"""),45090.6666666666)</f>
        <v>45090.666666666599</v>
      </c>
      <c r="B2127" s="1">
        <f ca="1">IFERROR(__xludf.DUMMYFUNCTION("""COMPUTED_VALUE"""),274.88)</f>
        <v>274.88</v>
      </c>
      <c r="C2127" s="1">
        <f ca="1">IFERROR(__xludf.DUMMYFUNCTION("""COMPUTED_VALUE"""),275.72)</f>
        <v>275.72000000000003</v>
      </c>
      <c r="D2127" s="1">
        <f ca="1">IFERROR(__xludf.DUMMYFUNCTION("""COMPUTED_VALUE"""),269.09)</f>
        <v>269.08999999999997</v>
      </c>
      <c r="E2127" s="1">
        <f ca="1">IFERROR(__xludf.DUMMYFUNCTION("""COMPUTED_VALUE"""),271.32)</f>
        <v>271.32</v>
      </c>
      <c r="F2127" s="1">
        <f ca="1">IFERROR(__xludf.DUMMYFUNCTION("""COMPUTED_VALUE"""),16164024)</f>
        <v>16164024</v>
      </c>
    </row>
    <row r="2128" spans="1:6" x14ac:dyDescent="0.35">
      <c r="A2128" s="2">
        <f ca="1">IFERROR(__xludf.DUMMYFUNCTION("""COMPUTED_VALUE"""),45091.6666666666)</f>
        <v>45091.666666666599</v>
      </c>
      <c r="B2128" s="1">
        <f ca="1">IFERROR(__xludf.DUMMYFUNCTION("""COMPUTED_VALUE"""),271.89)</f>
        <v>271.89</v>
      </c>
      <c r="C2128" s="1">
        <f ca="1">IFERROR(__xludf.DUMMYFUNCTION("""COMPUTED_VALUE"""),274.99)</f>
        <v>274.99</v>
      </c>
      <c r="D2128" s="1">
        <f ca="1">IFERROR(__xludf.DUMMYFUNCTION("""COMPUTED_VALUE"""),268.32)</f>
        <v>268.32</v>
      </c>
      <c r="E2128" s="1">
        <f ca="1">IFERROR(__xludf.DUMMYFUNCTION("""COMPUTED_VALUE"""),273.35)</f>
        <v>273.35000000000002</v>
      </c>
      <c r="F2128" s="1">
        <f ca="1">IFERROR(__xludf.DUMMYFUNCTION("""COMPUTED_VALUE"""),19175066)</f>
        <v>19175066</v>
      </c>
    </row>
    <row r="2129" spans="1:6" x14ac:dyDescent="0.35">
      <c r="A2129" s="2">
        <f ca="1">IFERROR(__xludf.DUMMYFUNCTION("""COMPUTED_VALUE"""),45092.6666666666)</f>
        <v>45092.666666666599</v>
      </c>
      <c r="B2129" s="1">
        <f ca="1">IFERROR(__xludf.DUMMYFUNCTION("""COMPUTED_VALUE"""),272.3)</f>
        <v>272.3</v>
      </c>
      <c r="C2129" s="1">
        <f ca="1">IFERROR(__xludf.DUMMYFUNCTION("""COMPUTED_VALUE"""),283.99)</f>
        <v>283.99</v>
      </c>
      <c r="D2129" s="1">
        <f ca="1">IFERROR(__xludf.DUMMYFUNCTION("""COMPUTED_VALUE"""),271.42)</f>
        <v>271.42</v>
      </c>
      <c r="E2129" s="1">
        <f ca="1">IFERROR(__xludf.DUMMYFUNCTION("""COMPUTED_VALUE"""),281.83)</f>
        <v>281.83</v>
      </c>
      <c r="F2129" s="1">
        <f ca="1">IFERROR(__xludf.DUMMYFUNCTION("""COMPUTED_VALUE"""),25973455)</f>
        <v>25973455</v>
      </c>
    </row>
    <row r="2130" spans="1:6" x14ac:dyDescent="0.35">
      <c r="A2130" s="2">
        <f ca="1">IFERROR(__xludf.DUMMYFUNCTION("""COMPUTED_VALUE"""),45093.6666666666)</f>
        <v>45093.666666666599</v>
      </c>
      <c r="B2130" s="1">
        <f ca="1">IFERROR(__xludf.DUMMYFUNCTION("""COMPUTED_VALUE"""),284.75)</f>
        <v>284.75</v>
      </c>
      <c r="C2130" s="1">
        <f ca="1">IFERROR(__xludf.DUMMYFUNCTION("""COMPUTED_VALUE"""),287.85)</f>
        <v>287.85000000000002</v>
      </c>
      <c r="D2130" s="1">
        <f ca="1">IFERROR(__xludf.DUMMYFUNCTION("""COMPUTED_VALUE"""),280.13)</f>
        <v>280.13</v>
      </c>
      <c r="E2130" s="1">
        <f ca="1">IFERROR(__xludf.DUMMYFUNCTION("""COMPUTED_VALUE"""),281)</f>
        <v>281</v>
      </c>
      <c r="F2130" s="1">
        <f ca="1">IFERROR(__xludf.DUMMYFUNCTION("""COMPUTED_VALUE"""),43127731)</f>
        <v>43127731</v>
      </c>
    </row>
    <row r="2131" spans="1:6" x14ac:dyDescent="0.35">
      <c r="A2131" s="2">
        <f ca="1">IFERROR(__xludf.DUMMYFUNCTION("""COMPUTED_VALUE"""),45097.6666666666)</f>
        <v>45097.666666666599</v>
      </c>
      <c r="B2131" s="1">
        <f ca="1">IFERROR(__xludf.DUMMYFUNCTION("""COMPUTED_VALUE"""),278.73)</f>
        <v>278.73</v>
      </c>
      <c r="C2131" s="1">
        <f ca="1">IFERROR(__xludf.DUMMYFUNCTION("""COMPUTED_VALUE"""),284.8)</f>
        <v>284.8</v>
      </c>
      <c r="D2131" s="1">
        <f ca="1">IFERROR(__xludf.DUMMYFUNCTION("""COMPUTED_VALUE"""),276.22)</f>
        <v>276.22000000000003</v>
      </c>
      <c r="E2131" s="1">
        <f ca="1">IFERROR(__xludf.DUMMYFUNCTION("""COMPUTED_VALUE"""),284.33)</f>
        <v>284.33</v>
      </c>
      <c r="F2131" s="1">
        <f ca="1">IFERROR(__xludf.DUMMYFUNCTION("""COMPUTED_VALUE"""),20701589)</f>
        <v>20701589</v>
      </c>
    </row>
    <row r="2132" spans="1:6" x14ac:dyDescent="0.35">
      <c r="A2132" s="2">
        <f ca="1">IFERROR(__xludf.DUMMYFUNCTION("""COMPUTED_VALUE"""),45098.6666666666)</f>
        <v>45098.666666666599</v>
      </c>
      <c r="B2132" s="1">
        <f ca="1">IFERROR(__xludf.DUMMYFUNCTION("""COMPUTED_VALUE"""),283.53)</f>
        <v>283.52999999999997</v>
      </c>
      <c r="C2132" s="1">
        <f ca="1">IFERROR(__xludf.DUMMYFUNCTION("""COMPUTED_VALUE"""),284)</f>
        <v>284</v>
      </c>
      <c r="D2132" s="1">
        <f ca="1">IFERROR(__xludf.DUMMYFUNCTION("""COMPUTED_VALUE"""),278.36)</f>
        <v>278.36</v>
      </c>
      <c r="E2132" s="1">
        <f ca="1">IFERROR(__xludf.DUMMYFUNCTION("""COMPUTED_VALUE"""),281.64)</f>
        <v>281.64</v>
      </c>
      <c r="F2132" s="1">
        <f ca="1">IFERROR(__xludf.DUMMYFUNCTION("""COMPUTED_VALUE"""),20556170)</f>
        <v>20556170</v>
      </c>
    </row>
    <row r="2133" spans="1:6" x14ac:dyDescent="0.35">
      <c r="A2133" s="2">
        <f ca="1">IFERROR(__xludf.DUMMYFUNCTION("""COMPUTED_VALUE"""),45099.6666666666)</f>
        <v>45099.666666666599</v>
      </c>
      <c r="B2133" s="1">
        <f ca="1">IFERROR(__xludf.DUMMYFUNCTION("""COMPUTED_VALUE"""),279.08)</f>
        <v>279.08</v>
      </c>
      <c r="C2133" s="1">
        <f ca="1">IFERROR(__xludf.DUMMYFUNCTION("""COMPUTED_VALUE"""),285.26)</f>
        <v>285.26</v>
      </c>
      <c r="D2133" s="1">
        <f ca="1">IFERROR(__xludf.DUMMYFUNCTION("""COMPUTED_VALUE"""),277.79)</f>
        <v>277.79000000000002</v>
      </c>
      <c r="E2133" s="1">
        <f ca="1">IFERROR(__xludf.DUMMYFUNCTION("""COMPUTED_VALUE"""),284.88)</f>
        <v>284.88</v>
      </c>
      <c r="F2133" s="1">
        <f ca="1">IFERROR(__xludf.DUMMYFUNCTION("""COMPUTED_VALUE"""),17563061)</f>
        <v>17563061</v>
      </c>
    </row>
    <row r="2134" spans="1:6" x14ac:dyDescent="0.35">
      <c r="A2134" s="2">
        <f ca="1">IFERROR(__xludf.DUMMYFUNCTION("""COMPUTED_VALUE"""),45100.6666666666)</f>
        <v>45100.666666666599</v>
      </c>
      <c r="B2134" s="1">
        <f ca="1">IFERROR(__xludf.DUMMYFUNCTION("""COMPUTED_VALUE"""),281.51)</f>
        <v>281.51</v>
      </c>
      <c r="C2134" s="1">
        <f ca="1">IFERROR(__xludf.DUMMYFUNCTION("""COMPUTED_VALUE"""),289.67)</f>
        <v>289.67</v>
      </c>
      <c r="D2134" s="1">
        <f ca="1">IFERROR(__xludf.DUMMYFUNCTION("""COMPUTED_VALUE"""),278.95)</f>
        <v>278.95</v>
      </c>
      <c r="E2134" s="1">
        <f ca="1">IFERROR(__xludf.DUMMYFUNCTION("""COMPUTED_VALUE"""),288.73)</f>
        <v>288.73</v>
      </c>
      <c r="F2134" s="1">
        <f ca="1">IFERROR(__xludf.DUMMYFUNCTION("""COMPUTED_VALUE"""),51092038)</f>
        <v>51092038</v>
      </c>
    </row>
    <row r="2135" spans="1:6" x14ac:dyDescent="0.35">
      <c r="A2135" s="2">
        <f ca="1">IFERROR(__xludf.DUMMYFUNCTION("""COMPUTED_VALUE"""),45103.6666666666)</f>
        <v>45103.666666666599</v>
      </c>
      <c r="B2135" s="1">
        <f ca="1">IFERROR(__xludf.DUMMYFUNCTION("""COMPUTED_VALUE"""),288.7)</f>
        <v>288.7</v>
      </c>
      <c r="C2135" s="1">
        <f ca="1">IFERROR(__xludf.DUMMYFUNCTION("""COMPUTED_VALUE"""),289.79)</f>
        <v>289.79000000000002</v>
      </c>
      <c r="D2135" s="1">
        <f ca="1">IFERROR(__xludf.DUMMYFUNCTION("""COMPUTED_VALUE"""),277.6)</f>
        <v>277.60000000000002</v>
      </c>
      <c r="E2135" s="1">
        <f ca="1">IFERROR(__xludf.DUMMYFUNCTION("""COMPUTED_VALUE"""),278.47)</f>
        <v>278.47000000000003</v>
      </c>
      <c r="F2135" s="1">
        <f ca="1">IFERROR(__xludf.DUMMYFUNCTION("""COMPUTED_VALUE"""),24232651)</f>
        <v>24232651</v>
      </c>
    </row>
    <row r="2136" spans="1:6" x14ac:dyDescent="0.35">
      <c r="A2136" s="2">
        <f ca="1">IFERROR(__xludf.DUMMYFUNCTION("""COMPUTED_VALUE"""),45104.6666666666)</f>
        <v>45104.666666666599</v>
      </c>
      <c r="B2136" s="1">
        <f ca="1">IFERROR(__xludf.DUMMYFUNCTION("""COMPUTED_VALUE"""),282.01)</f>
        <v>282.01</v>
      </c>
      <c r="C2136" s="1">
        <f ca="1">IFERROR(__xludf.DUMMYFUNCTION("""COMPUTED_VALUE"""),289.35)</f>
        <v>289.35000000000002</v>
      </c>
      <c r="D2136" s="1">
        <f ca="1">IFERROR(__xludf.DUMMYFUNCTION("""COMPUTED_VALUE"""),280.65)</f>
        <v>280.64999999999998</v>
      </c>
      <c r="E2136" s="1">
        <f ca="1">IFERROR(__xludf.DUMMYFUNCTION("""COMPUTED_VALUE"""),287.05)</f>
        <v>287.05</v>
      </c>
      <c r="F2136" s="1">
        <f ca="1">IFERROR(__xludf.DUMMYFUNCTION("""COMPUTED_VALUE"""),26108260)</f>
        <v>26108260</v>
      </c>
    </row>
    <row r="2137" spans="1:6" x14ac:dyDescent="0.35">
      <c r="A2137" s="2">
        <f ca="1">IFERROR(__xludf.DUMMYFUNCTION("""COMPUTED_VALUE"""),45105.6666666666)</f>
        <v>45105.666666666599</v>
      </c>
      <c r="B2137" s="1">
        <f ca="1">IFERROR(__xludf.DUMMYFUNCTION("""COMPUTED_VALUE"""),284.82)</f>
        <v>284.82</v>
      </c>
      <c r="C2137" s="1">
        <f ca="1">IFERROR(__xludf.DUMMYFUNCTION("""COMPUTED_VALUE"""),289.55)</f>
        <v>289.55</v>
      </c>
      <c r="D2137" s="1">
        <f ca="1">IFERROR(__xludf.DUMMYFUNCTION("""COMPUTED_VALUE"""),284.06)</f>
        <v>284.06</v>
      </c>
      <c r="E2137" s="1">
        <f ca="1">IFERROR(__xludf.DUMMYFUNCTION("""COMPUTED_VALUE"""),285.29)</f>
        <v>285.29000000000002</v>
      </c>
      <c r="F2137" s="1">
        <f ca="1">IFERROR(__xludf.DUMMYFUNCTION("""COMPUTED_VALUE"""),16722117)</f>
        <v>16722117</v>
      </c>
    </row>
    <row r="2138" spans="1:6" x14ac:dyDescent="0.35">
      <c r="A2138" s="2">
        <f ca="1">IFERROR(__xludf.DUMMYFUNCTION("""COMPUTED_VALUE"""),45106.6666666666)</f>
        <v>45106.666666666599</v>
      </c>
      <c r="B2138" s="1">
        <f ca="1">IFERROR(__xludf.DUMMYFUNCTION("""COMPUTED_VALUE"""),284.5)</f>
        <v>284.5</v>
      </c>
      <c r="C2138" s="1">
        <f ca="1">IFERROR(__xludf.DUMMYFUNCTION("""COMPUTED_VALUE"""),286.57)</f>
        <v>286.57</v>
      </c>
      <c r="D2138" s="1">
        <f ca="1">IFERROR(__xludf.DUMMYFUNCTION("""COMPUTED_VALUE"""),280.69)</f>
        <v>280.69</v>
      </c>
      <c r="E2138" s="1">
        <f ca="1">IFERROR(__xludf.DUMMYFUNCTION("""COMPUTED_VALUE"""),281.53)</f>
        <v>281.52999999999997</v>
      </c>
      <c r="F2138" s="1">
        <f ca="1">IFERROR(__xludf.DUMMYFUNCTION("""COMPUTED_VALUE"""),15395690)</f>
        <v>15395690</v>
      </c>
    </row>
    <row r="2139" spans="1:6" x14ac:dyDescent="0.35">
      <c r="A2139" s="2">
        <f ca="1">IFERROR(__xludf.DUMMYFUNCTION("""COMPUTED_VALUE"""),45107.6666666666)</f>
        <v>45107.666666666599</v>
      </c>
      <c r="B2139" s="1">
        <f ca="1">IFERROR(__xludf.DUMMYFUNCTION("""COMPUTED_VALUE"""),284.76)</f>
        <v>284.76</v>
      </c>
      <c r="C2139" s="1">
        <f ca="1">IFERROR(__xludf.DUMMYFUNCTION("""COMPUTED_VALUE"""),289.05)</f>
        <v>289.05</v>
      </c>
      <c r="D2139" s="1">
        <f ca="1">IFERROR(__xludf.DUMMYFUNCTION("""COMPUTED_VALUE"""),284.42)</f>
        <v>284.42</v>
      </c>
      <c r="E2139" s="1">
        <f ca="1">IFERROR(__xludf.DUMMYFUNCTION("""COMPUTED_VALUE"""),286.98)</f>
        <v>286.98</v>
      </c>
      <c r="F2139" s="1">
        <f ca="1">IFERROR(__xludf.DUMMYFUNCTION("""COMPUTED_VALUE"""),19694872)</f>
        <v>19694872</v>
      </c>
    </row>
    <row r="2140" spans="1:6" x14ac:dyDescent="0.35">
      <c r="A2140" s="2">
        <f ca="1">IFERROR(__xludf.DUMMYFUNCTION("""COMPUTED_VALUE"""),45110.5451388888)</f>
        <v>45110.545138888803</v>
      </c>
      <c r="B2140" s="1">
        <f ca="1">IFERROR(__xludf.DUMMYFUNCTION("""COMPUTED_VALUE"""),286.7)</f>
        <v>286.7</v>
      </c>
      <c r="C2140" s="1">
        <f ca="1">IFERROR(__xludf.DUMMYFUNCTION("""COMPUTED_VALUE"""),289.4)</f>
        <v>289.39999999999998</v>
      </c>
      <c r="D2140" s="1">
        <f ca="1">IFERROR(__xludf.DUMMYFUNCTION("""COMPUTED_VALUE"""),284.85)</f>
        <v>284.85000000000002</v>
      </c>
      <c r="E2140" s="1">
        <f ca="1">IFERROR(__xludf.DUMMYFUNCTION("""COMPUTED_VALUE"""),286.02)</f>
        <v>286.02</v>
      </c>
      <c r="F2140" s="1">
        <f ca="1">IFERROR(__xludf.DUMMYFUNCTION("""COMPUTED_VALUE"""),8629269)</f>
        <v>8629269</v>
      </c>
    </row>
    <row r="2141" spans="1:6" x14ac:dyDescent="0.35">
      <c r="A2141" s="2">
        <f ca="1">IFERROR(__xludf.DUMMYFUNCTION("""COMPUTED_VALUE"""),45112.6666666666)</f>
        <v>45112.666666666599</v>
      </c>
      <c r="B2141" s="1">
        <f ca="1">IFERROR(__xludf.DUMMYFUNCTION("""COMPUTED_VALUE"""),287.65)</f>
        <v>287.64999999999998</v>
      </c>
      <c r="C2141" s="1">
        <f ca="1">IFERROR(__xludf.DUMMYFUNCTION("""COMPUTED_VALUE"""),298.12)</f>
        <v>298.12</v>
      </c>
      <c r="D2141" s="1">
        <f ca="1">IFERROR(__xludf.DUMMYFUNCTION("""COMPUTED_VALUE"""),286.36)</f>
        <v>286.36</v>
      </c>
      <c r="E2141" s="1">
        <f ca="1">IFERROR(__xludf.DUMMYFUNCTION("""COMPUTED_VALUE"""),294.37)</f>
        <v>294.37</v>
      </c>
      <c r="F2141" s="1">
        <f ca="1">IFERROR(__xludf.DUMMYFUNCTION("""COMPUTED_VALUE"""),33865457)</f>
        <v>33865457</v>
      </c>
    </row>
    <row r="2142" spans="1:6" x14ac:dyDescent="0.35">
      <c r="A2142" s="2">
        <f ca="1">IFERROR(__xludf.DUMMYFUNCTION("""COMPUTED_VALUE"""),45113.6666666666)</f>
        <v>45113.666666666599</v>
      </c>
      <c r="B2142" s="1">
        <f ca="1">IFERROR(__xludf.DUMMYFUNCTION("""COMPUTED_VALUE"""),295.89)</f>
        <v>295.89</v>
      </c>
      <c r="C2142" s="1">
        <f ca="1">IFERROR(__xludf.DUMMYFUNCTION("""COMPUTED_VALUE"""),298.12)</f>
        <v>298.12</v>
      </c>
      <c r="D2142" s="1">
        <f ca="1">IFERROR(__xludf.DUMMYFUNCTION("""COMPUTED_VALUE"""),291.31)</f>
        <v>291.31</v>
      </c>
      <c r="E2142" s="1">
        <f ca="1">IFERROR(__xludf.DUMMYFUNCTION("""COMPUTED_VALUE"""),291.99)</f>
        <v>291.99</v>
      </c>
      <c r="F2142" s="1">
        <f ca="1">IFERROR(__xludf.DUMMYFUNCTION("""COMPUTED_VALUE"""),47733829)</f>
        <v>47733829</v>
      </c>
    </row>
    <row r="2143" spans="1:6" x14ac:dyDescent="0.35">
      <c r="A2143" s="2">
        <f ca="1">IFERROR(__xludf.DUMMYFUNCTION("""COMPUTED_VALUE"""),45114.6666666666)</f>
        <v>45114.666666666599</v>
      </c>
      <c r="B2143" s="1">
        <f ca="1">IFERROR(__xludf.DUMMYFUNCTION("""COMPUTED_VALUE"""),292.18)</f>
        <v>292.18</v>
      </c>
      <c r="C2143" s="1">
        <f ca="1">IFERROR(__xludf.DUMMYFUNCTION("""COMPUTED_VALUE"""),296.2)</f>
        <v>296.2</v>
      </c>
      <c r="D2143" s="1">
        <f ca="1">IFERROR(__xludf.DUMMYFUNCTION("""COMPUTED_VALUE"""),288.66)</f>
        <v>288.66000000000003</v>
      </c>
      <c r="E2143" s="1">
        <f ca="1">IFERROR(__xludf.DUMMYFUNCTION("""COMPUTED_VALUE"""),290.53)</f>
        <v>290.52999999999997</v>
      </c>
      <c r="F2143" s="1">
        <f ca="1">IFERROR(__xludf.DUMMYFUNCTION("""COMPUTED_VALUE"""),25585975)</f>
        <v>25585975</v>
      </c>
    </row>
    <row r="2144" spans="1:6" x14ac:dyDescent="0.35">
      <c r="A2144" s="2">
        <f ca="1">IFERROR(__xludf.DUMMYFUNCTION("""COMPUTED_VALUE"""),45117.6666666666)</f>
        <v>45117.666666666599</v>
      </c>
      <c r="B2144" s="1">
        <f ca="1">IFERROR(__xludf.DUMMYFUNCTION("""COMPUTED_VALUE"""),295.55)</f>
        <v>295.55</v>
      </c>
      <c r="C2144" s="1">
        <f ca="1">IFERROR(__xludf.DUMMYFUNCTION("""COMPUTED_VALUE"""),298.13)</f>
        <v>298.13</v>
      </c>
      <c r="D2144" s="1">
        <f ca="1">IFERROR(__xludf.DUMMYFUNCTION("""COMPUTED_VALUE"""),287.05)</f>
        <v>287.05</v>
      </c>
      <c r="E2144" s="1">
        <f ca="1">IFERROR(__xludf.DUMMYFUNCTION("""COMPUTED_VALUE"""),294.1)</f>
        <v>294.10000000000002</v>
      </c>
      <c r="F2144" s="1">
        <f ca="1">IFERROR(__xludf.DUMMYFUNCTION("""COMPUTED_VALUE"""),37058306)</f>
        <v>37058306</v>
      </c>
    </row>
    <row r="2145" spans="1:6" x14ac:dyDescent="0.35">
      <c r="A2145" s="2">
        <f ca="1">IFERROR(__xludf.DUMMYFUNCTION("""COMPUTED_VALUE"""),45118.6666666666)</f>
        <v>45118.666666666599</v>
      </c>
      <c r="B2145" s="1">
        <f ca="1">IFERROR(__xludf.DUMMYFUNCTION("""COMPUTED_VALUE"""),293.9)</f>
        <v>293.89999999999998</v>
      </c>
      <c r="C2145" s="1">
        <f ca="1">IFERROR(__xludf.DUMMYFUNCTION("""COMPUTED_VALUE"""),300.18)</f>
        <v>300.18</v>
      </c>
      <c r="D2145" s="1">
        <f ca="1">IFERROR(__xludf.DUMMYFUNCTION("""COMPUTED_VALUE"""),291.9)</f>
        <v>291.89999999999998</v>
      </c>
      <c r="E2145" s="1">
        <f ca="1">IFERROR(__xludf.DUMMYFUNCTION("""COMPUTED_VALUE"""),298.29)</f>
        <v>298.29000000000002</v>
      </c>
      <c r="F2145" s="1">
        <f ca="1">IFERROR(__xludf.DUMMYFUNCTION("""COMPUTED_VALUE"""),27585918)</f>
        <v>27585918</v>
      </c>
    </row>
    <row r="2146" spans="1:6" x14ac:dyDescent="0.35">
      <c r="A2146" s="2">
        <f ca="1">IFERROR(__xludf.DUMMYFUNCTION("""COMPUTED_VALUE"""),45119.6666666666)</f>
        <v>45119.666666666599</v>
      </c>
      <c r="B2146" s="1">
        <f ca="1">IFERROR(__xludf.DUMMYFUNCTION("""COMPUTED_VALUE"""),301.75)</f>
        <v>301.75</v>
      </c>
      <c r="C2146" s="1">
        <f ca="1">IFERROR(__xludf.DUMMYFUNCTION("""COMPUTED_VALUE"""),309.45)</f>
        <v>309.45</v>
      </c>
      <c r="D2146" s="1">
        <f ca="1">IFERROR(__xludf.DUMMYFUNCTION("""COMPUTED_VALUE"""),300.1)</f>
        <v>300.10000000000002</v>
      </c>
      <c r="E2146" s="1">
        <f ca="1">IFERROR(__xludf.DUMMYFUNCTION("""COMPUTED_VALUE"""),309.34)</f>
        <v>309.33999999999997</v>
      </c>
      <c r="F2146" s="1">
        <f ca="1">IFERROR(__xludf.DUMMYFUNCTION("""COMPUTED_VALUE"""),36677127)</f>
        <v>36677127</v>
      </c>
    </row>
    <row r="2147" spans="1:6" x14ac:dyDescent="0.35">
      <c r="A2147" s="2">
        <f ca="1">IFERROR(__xludf.DUMMYFUNCTION("""COMPUTED_VALUE"""),45120.6666666666)</f>
        <v>45120.666666666599</v>
      </c>
      <c r="B2147" s="1">
        <f ca="1">IFERROR(__xludf.DUMMYFUNCTION("""COMPUTED_VALUE"""),313.62)</f>
        <v>313.62</v>
      </c>
      <c r="C2147" s="1">
        <f ca="1">IFERROR(__xludf.DUMMYFUNCTION("""COMPUTED_VALUE"""),316.24)</f>
        <v>316.24</v>
      </c>
      <c r="D2147" s="1">
        <f ca="1">IFERROR(__xludf.DUMMYFUNCTION("""COMPUTED_VALUE"""),310.29)</f>
        <v>310.29000000000002</v>
      </c>
      <c r="E2147" s="1">
        <f ca="1">IFERROR(__xludf.DUMMYFUNCTION("""COMPUTED_VALUE"""),313.41)</f>
        <v>313.41000000000003</v>
      </c>
      <c r="F2147" s="1">
        <f ca="1">IFERROR(__xludf.DUMMYFUNCTION("""COMPUTED_VALUE"""),30280972)</f>
        <v>30280972</v>
      </c>
    </row>
    <row r="2148" spans="1:6" x14ac:dyDescent="0.35">
      <c r="A2148" s="2">
        <f ca="1">IFERROR(__xludf.DUMMYFUNCTION("""COMPUTED_VALUE"""),45121.6666666666)</f>
        <v>45121.666666666599</v>
      </c>
      <c r="B2148" s="1">
        <f ca="1">IFERROR(__xludf.DUMMYFUNCTION("""COMPUTED_VALUE"""),311.79)</f>
        <v>311.79000000000002</v>
      </c>
      <c r="C2148" s="1">
        <f ca="1">IFERROR(__xludf.DUMMYFUNCTION("""COMPUTED_VALUE"""),314.88)</f>
        <v>314.88</v>
      </c>
      <c r="D2148" s="1">
        <f ca="1">IFERROR(__xludf.DUMMYFUNCTION("""COMPUTED_VALUE"""),307.36)</f>
        <v>307.36</v>
      </c>
      <c r="E2148" s="1">
        <f ca="1">IFERROR(__xludf.DUMMYFUNCTION("""COMPUTED_VALUE"""),308.87)</f>
        <v>308.87</v>
      </c>
      <c r="F2148" s="1">
        <f ca="1">IFERROR(__xludf.DUMMYFUNCTION("""COMPUTED_VALUE"""),23054108)</f>
        <v>23054108</v>
      </c>
    </row>
    <row r="2149" spans="1:6" x14ac:dyDescent="0.35">
      <c r="A2149" s="2">
        <f ca="1">IFERROR(__xludf.DUMMYFUNCTION("""COMPUTED_VALUE"""),45124.6666666666)</f>
        <v>45124.666666666599</v>
      </c>
      <c r="B2149" s="1">
        <f ca="1">IFERROR(__xludf.DUMMYFUNCTION("""COMPUTED_VALUE"""),307.54)</f>
        <v>307.54000000000002</v>
      </c>
      <c r="C2149" s="1">
        <f ca="1">IFERROR(__xludf.DUMMYFUNCTION("""COMPUTED_VALUE"""),311.71)</f>
        <v>311.70999999999998</v>
      </c>
      <c r="D2149" s="1">
        <f ca="1">IFERROR(__xludf.DUMMYFUNCTION("""COMPUTED_VALUE"""),304.71)</f>
        <v>304.70999999999998</v>
      </c>
      <c r="E2149" s="1">
        <f ca="1">IFERROR(__xludf.DUMMYFUNCTION("""COMPUTED_VALUE"""),310.62)</f>
        <v>310.62</v>
      </c>
      <c r="F2149" s="1">
        <f ca="1">IFERROR(__xludf.DUMMYFUNCTION("""COMPUTED_VALUE"""),25323126)</f>
        <v>25323126</v>
      </c>
    </row>
    <row r="2150" spans="1:6" x14ac:dyDescent="0.35">
      <c r="A2150" s="2">
        <f ca="1">IFERROR(__xludf.DUMMYFUNCTION("""COMPUTED_VALUE"""),45125.6666666666)</f>
        <v>45125.666666666599</v>
      </c>
      <c r="B2150" s="1">
        <f ca="1">IFERROR(__xludf.DUMMYFUNCTION("""COMPUTED_VALUE"""),310.88)</f>
        <v>310.88</v>
      </c>
      <c r="C2150" s="1">
        <f ca="1">IFERROR(__xludf.DUMMYFUNCTION("""COMPUTED_VALUE"""),314.2)</f>
        <v>314.2</v>
      </c>
      <c r="D2150" s="1">
        <f ca="1">IFERROR(__xludf.DUMMYFUNCTION("""COMPUTED_VALUE"""),307.62)</f>
        <v>307.62</v>
      </c>
      <c r="E2150" s="1">
        <f ca="1">IFERROR(__xludf.DUMMYFUNCTION("""COMPUTED_VALUE"""),312.05)</f>
        <v>312.05</v>
      </c>
      <c r="F2150" s="1">
        <f ca="1">IFERROR(__xludf.DUMMYFUNCTION("""COMPUTED_VALUE"""),20764580)</f>
        <v>20764580</v>
      </c>
    </row>
    <row r="2151" spans="1:6" x14ac:dyDescent="0.35">
      <c r="A2151" s="2">
        <f ca="1">IFERROR(__xludf.DUMMYFUNCTION("""COMPUTED_VALUE"""),45126.6666666666)</f>
        <v>45126.666666666599</v>
      </c>
      <c r="B2151" s="1">
        <f ca="1">IFERROR(__xludf.DUMMYFUNCTION("""COMPUTED_VALUE"""),313.03)</f>
        <v>313.02999999999997</v>
      </c>
      <c r="C2151" s="1">
        <f ca="1">IFERROR(__xludf.DUMMYFUNCTION("""COMPUTED_VALUE"""),318.68)</f>
        <v>318.68</v>
      </c>
      <c r="D2151" s="1">
        <f ca="1">IFERROR(__xludf.DUMMYFUNCTION("""COMPUTED_VALUE"""),310.52)</f>
        <v>310.52</v>
      </c>
      <c r="E2151" s="1">
        <f ca="1">IFERROR(__xludf.DUMMYFUNCTION("""COMPUTED_VALUE"""),316.01)</f>
        <v>316.01</v>
      </c>
      <c r="F2151" s="1">
        <f ca="1">IFERROR(__xludf.DUMMYFUNCTION("""COMPUTED_VALUE"""),21763688)</f>
        <v>21763688</v>
      </c>
    </row>
    <row r="2152" spans="1:6" x14ac:dyDescent="0.35">
      <c r="A2152" s="2">
        <f ca="1">IFERROR(__xludf.DUMMYFUNCTION("""COMPUTED_VALUE"""),45127.6666666666)</f>
        <v>45127.666666666599</v>
      </c>
      <c r="B2152" s="1">
        <f ca="1">IFERROR(__xludf.DUMMYFUNCTION("""COMPUTED_VALUE"""),313.5)</f>
        <v>313.5</v>
      </c>
      <c r="C2152" s="1">
        <f ca="1">IFERROR(__xludf.DUMMYFUNCTION("""COMPUTED_VALUE"""),315.54)</f>
        <v>315.54000000000002</v>
      </c>
      <c r="D2152" s="1">
        <f ca="1">IFERROR(__xludf.DUMMYFUNCTION("""COMPUTED_VALUE"""),302.22)</f>
        <v>302.22000000000003</v>
      </c>
      <c r="E2152" s="1">
        <f ca="1">IFERROR(__xludf.DUMMYFUNCTION("""COMPUTED_VALUE"""),302.52)</f>
        <v>302.52</v>
      </c>
      <c r="F2152" s="1">
        <f ca="1">IFERROR(__xludf.DUMMYFUNCTION("""COMPUTED_VALUE"""),23836876)</f>
        <v>23836876</v>
      </c>
    </row>
    <row r="2153" spans="1:6" x14ac:dyDescent="0.35">
      <c r="A2153" s="2">
        <f ca="1">IFERROR(__xludf.DUMMYFUNCTION("""COMPUTED_VALUE"""),45128.6666666666)</f>
        <v>45128.666666666599</v>
      </c>
      <c r="B2153" s="1">
        <f ca="1">IFERROR(__xludf.DUMMYFUNCTION("""COMPUTED_VALUE"""),304.57)</f>
        <v>304.57</v>
      </c>
      <c r="C2153" s="1">
        <f ca="1">IFERROR(__xludf.DUMMYFUNCTION("""COMPUTED_VALUE"""),305.46)</f>
        <v>305.45999999999998</v>
      </c>
      <c r="D2153" s="1">
        <f ca="1">IFERROR(__xludf.DUMMYFUNCTION("""COMPUTED_VALUE"""),291.2)</f>
        <v>291.2</v>
      </c>
      <c r="E2153" s="1">
        <f ca="1">IFERROR(__xludf.DUMMYFUNCTION("""COMPUTED_VALUE"""),294.26)</f>
        <v>294.26</v>
      </c>
      <c r="F2153" s="1">
        <f ca="1">IFERROR(__xludf.DUMMYFUNCTION("""COMPUTED_VALUE"""),42139259)</f>
        <v>42139259</v>
      </c>
    </row>
    <row r="2154" spans="1:6" x14ac:dyDescent="0.35">
      <c r="A2154" s="2">
        <f ca="1">IFERROR(__xludf.DUMMYFUNCTION("""COMPUTED_VALUE"""),45131.6666666666)</f>
        <v>45131.666666666599</v>
      </c>
      <c r="B2154" s="1">
        <f ca="1">IFERROR(__xludf.DUMMYFUNCTION("""COMPUTED_VALUE"""),295.79)</f>
        <v>295.79000000000002</v>
      </c>
      <c r="C2154" s="1">
        <f ca="1">IFERROR(__xludf.DUMMYFUNCTION("""COMPUTED_VALUE"""),297.52)</f>
        <v>297.52</v>
      </c>
      <c r="D2154" s="1">
        <f ca="1">IFERROR(__xludf.DUMMYFUNCTION("""COMPUTED_VALUE"""),288.3)</f>
        <v>288.3</v>
      </c>
      <c r="E2154" s="1">
        <f ca="1">IFERROR(__xludf.DUMMYFUNCTION("""COMPUTED_VALUE"""),291.61)</f>
        <v>291.61</v>
      </c>
      <c r="F2154" s="1">
        <f ca="1">IFERROR(__xludf.DUMMYFUNCTION("""COMPUTED_VALUE"""),24949405)</f>
        <v>24949405</v>
      </c>
    </row>
    <row r="2155" spans="1:6" x14ac:dyDescent="0.35">
      <c r="A2155" s="2">
        <f ca="1">IFERROR(__xludf.DUMMYFUNCTION("""COMPUTED_VALUE"""),45132.6666666666)</f>
        <v>45132.666666666599</v>
      </c>
      <c r="B2155" s="1">
        <f ca="1">IFERROR(__xludf.DUMMYFUNCTION("""COMPUTED_VALUE"""),295.19)</f>
        <v>295.19</v>
      </c>
      <c r="C2155" s="1">
        <f ca="1">IFERROR(__xludf.DUMMYFUNCTION("""COMPUTED_VALUE"""),298.3)</f>
        <v>298.3</v>
      </c>
      <c r="D2155" s="1">
        <f ca="1">IFERROR(__xludf.DUMMYFUNCTION("""COMPUTED_VALUE"""),291.86)</f>
        <v>291.86</v>
      </c>
      <c r="E2155" s="1">
        <f ca="1">IFERROR(__xludf.DUMMYFUNCTION("""COMPUTED_VALUE"""),294.47)</f>
        <v>294.47000000000003</v>
      </c>
      <c r="F2155" s="1">
        <f ca="1">IFERROR(__xludf.DUMMYFUNCTION("""COMPUTED_VALUE"""),19585584)</f>
        <v>19585584</v>
      </c>
    </row>
    <row r="2156" spans="1:6" x14ac:dyDescent="0.35">
      <c r="A2156" s="2">
        <f ca="1">IFERROR(__xludf.DUMMYFUNCTION("""COMPUTED_VALUE"""),45133.6666666666)</f>
        <v>45133.666666666599</v>
      </c>
      <c r="B2156" s="1">
        <f ca="1">IFERROR(__xludf.DUMMYFUNCTION("""COMPUTED_VALUE"""),301.19)</f>
        <v>301.19</v>
      </c>
      <c r="C2156" s="1">
        <f ca="1">IFERROR(__xludf.DUMMYFUNCTION("""COMPUTED_VALUE"""),301.77)</f>
        <v>301.77</v>
      </c>
      <c r="D2156" s="1">
        <f ca="1">IFERROR(__xludf.DUMMYFUNCTION("""COMPUTED_VALUE"""),291.9)</f>
        <v>291.89999999999998</v>
      </c>
      <c r="E2156" s="1">
        <f ca="1">IFERROR(__xludf.DUMMYFUNCTION("""COMPUTED_VALUE"""),298.57)</f>
        <v>298.57</v>
      </c>
      <c r="F2156" s="1">
        <f ca="1">IFERROR(__xludf.DUMMYFUNCTION("""COMPUTED_VALUE"""),47256930)</f>
        <v>47256930</v>
      </c>
    </row>
    <row r="2157" spans="1:6" x14ac:dyDescent="0.35">
      <c r="A2157" s="2">
        <f ca="1">IFERROR(__xludf.DUMMYFUNCTION("""COMPUTED_VALUE"""),45134.6666666666)</f>
        <v>45134.666666666599</v>
      </c>
      <c r="B2157" s="1">
        <f ca="1">IFERROR(__xludf.DUMMYFUNCTION("""COMPUTED_VALUE"""),325.12)</f>
        <v>325.12</v>
      </c>
      <c r="C2157" s="1">
        <f ca="1">IFERROR(__xludf.DUMMYFUNCTION("""COMPUTED_VALUE"""),325.35)</f>
        <v>325.35000000000002</v>
      </c>
      <c r="D2157" s="1">
        <f ca="1">IFERROR(__xludf.DUMMYFUNCTION("""COMPUTED_VALUE"""),309.84)</f>
        <v>309.83999999999997</v>
      </c>
      <c r="E2157" s="1">
        <f ca="1">IFERROR(__xludf.DUMMYFUNCTION("""COMPUTED_VALUE"""),311.71)</f>
        <v>311.70999999999998</v>
      </c>
      <c r="F2157" s="1">
        <f ca="1">IFERROR(__xludf.DUMMYFUNCTION("""COMPUTED_VALUE"""),64229173)</f>
        <v>64229173</v>
      </c>
    </row>
    <row r="2158" spans="1:6" x14ac:dyDescent="0.35">
      <c r="A2158" s="2">
        <f ca="1">IFERROR(__xludf.DUMMYFUNCTION("""COMPUTED_VALUE"""),45135.6666666666)</f>
        <v>45135.666666666599</v>
      </c>
      <c r="B2158" s="1">
        <f ca="1">IFERROR(__xludf.DUMMYFUNCTION("""COMPUTED_VALUE"""),316.88)</f>
        <v>316.88</v>
      </c>
      <c r="C2158" s="1">
        <f ca="1">IFERROR(__xludf.DUMMYFUNCTION("""COMPUTED_VALUE"""),326.2)</f>
        <v>326.2</v>
      </c>
      <c r="D2158" s="1">
        <f ca="1">IFERROR(__xludf.DUMMYFUNCTION("""COMPUTED_VALUE"""),314.25)</f>
        <v>314.25</v>
      </c>
      <c r="E2158" s="1">
        <f ca="1">IFERROR(__xludf.DUMMYFUNCTION("""COMPUTED_VALUE"""),325.48)</f>
        <v>325.48</v>
      </c>
      <c r="F2158" s="1">
        <f ca="1">IFERROR(__xludf.DUMMYFUNCTION("""COMPUTED_VALUE"""),39220270)</f>
        <v>39220270</v>
      </c>
    </row>
    <row r="2159" spans="1:6" x14ac:dyDescent="0.35">
      <c r="A2159" s="2">
        <f ca="1">IFERROR(__xludf.DUMMYFUNCTION("""COMPUTED_VALUE"""),45138.6666666666)</f>
        <v>45138.666666666599</v>
      </c>
      <c r="B2159" s="1">
        <f ca="1">IFERROR(__xludf.DUMMYFUNCTION("""COMPUTED_VALUE"""),323.69)</f>
        <v>323.69</v>
      </c>
      <c r="C2159" s="1">
        <f ca="1">IFERROR(__xludf.DUMMYFUNCTION("""COMPUTED_VALUE"""),325.66)</f>
        <v>325.66000000000003</v>
      </c>
      <c r="D2159" s="1">
        <f ca="1">IFERROR(__xludf.DUMMYFUNCTION("""COMPUTED_VALUE"""),317.59)</f>
        <v>317.58999999999997</v>
      </c>
      <c r="E2159" s="1">
        <f ca="1">IFERROR(__xludf.DUMMYFUNCTION("""COMPUTED_VALUE"""),318.6)</f>
        <v>318.60000000000002</v>
      </c>
      <c r="F2159" s="1">
        <f ca="1">IFERROR(__xludf.DUMMYFUNCTION("""COMPUTED_VALUE"""),25799603)</f>
        <v>25799603</v>
      </c>
    </row>
    <row r="2160" spans="1:6" x14ac:dyDescent="0.35">
      <c r="A2160" s="2">
        <f ca="1">IFERROR(__xludf.DUMMYFUNCTION("""COMPUTED_VALUE"""),45139.6666666666)</f>
        <v>45139.666666666599</v>
      </c>
      <c r="B2160" s="1">
        <f ca="1">IFERROR(__xludf.DUMMYFUNCTION("""COMPUTED_VALUE"""),317.54)</f>
        <v>317.54000000000002</v>
      </c>
      <c r="C2160" s="1">
        <f ca="1">IFERROR(__xludf.DUMMYFUNCTION("""COMPUTED_VALUE"""),324.14)</f>
        <v>324.14</v>
      </c>
      <c r="D2160" s="1">
        <f ca="1">IFERROR(__xludf.DUMMYFUNCTION("""COMPUTED_VALUE"""),314.66)</f>
        <v>314.66000000000003</v>
      </c>
      <c r="E2160" s="1">
        <f ca="1">IFERROR(__xludf.DUMMYFUNCTION("""COMPUTED_VALUE"""),322.71)</f>
        <v>322.70999999999998</v>
      </c>
      <c r="F2160" s="1">
        <f ca="1">IFERROR(__xludf.DUMMYFUNCTION("""COMPUTED_VALUE"""),22889870)</f>
        <v>22889870</v>
      </c>
    </row>
    <row r="2161" spans="1:6" x14ac:dyDescent="0.35">
      <c r="A2161" s="2">
        <f ca="1">IFERROR(__xludf.DUMMYFUNCTION("""COMPUTED_VALUE"""),45140.6666666666)</f>
        <v>45140.666666666599</v>
      </c>
      <c r="B2161" s="1">
        <f ca="1">IFERROR(__xludf.DUMMYFUNCTION("""COMPUTED_VALUE"""),318)</f>
        <v>318</v>
      </c>
      <c r="C2161" s="1">
        <f ca="1">IFERROR(__xludf.DUMMYFUNCTION("""COMPUTED_VALUE"""),318.39)</f>
        <v>318.39</v>
      </c>
      <c r="D2161" s="1">
        <f ca="1">IFERROR(__xludf.DUMMYFUNCTION("""COMPUTED_VALUE"""),310.65)</f>
        <v>310.64999999999998</v>
      </c>
      <c r="E2161" s="1">
        <f ca="1">IFERROR(__xludf.DUMMYFUNCTION("""COMPUTED_VALUE"""),314.31)</f>
        <v>314.31</v>
      </c>
      <c r="F2161" s="1">
        <f ca="1">IFERROR(__xludf.DUMMYFUNCTION("""COMPUTED_VALUE"""),20461094)</f>
        <v>20461094</v>
      </c>
    </row>
    <row r="2162" spans="1:6" x14ac:dyDescent="0.35">
      <c r="A2162" s="2">
        <f ca="1">IFERROR(__xludf.DUMMYFUNCTION("""COMPUTED_VALUE"""),45141.6666666666)</f>
        <v>45141.666666666599</v>
      </c>
      <c r="B2162" s="1">
        <f ca="1">IFERROR(__xludf.DUMMYFUNCTION("""COMPUTED_VALUE"""),309.93)</f>
        <v>309.93</v>
      </c>
      <c r="C2162" s="1">
        <f ca="1">IFERROR(__xludf.DUMMYFUNCTION("""COMPUTED_VALUE"""),315.95)</f>
        <v>315.95</v>
      </c>
      <c r="D2162" s="1">
        <f ca="1">IFERROR(__xludf.DUMMYFUNCTION("""COMPUTED_VALUE"""),309.93)</f>
        <v>309.93</v>
      </c>
      <c r="E2162" s="1">
        <f ca="1">IFERROR(__xludf.DUMMYFUNCTION("""COMPUTED_VALUE"""),313.19)</f>
        <v>313.19</v>
      </c>
      <c r="F2162" s="1">
        <f ca="1">IFERROR(__xludf.DUMMYFUNCTION("""COMPUTED_VALUE"""),15215422)</f>
        <v>15215422</v>
      </c>
    </row>
    <row r="2163" spans="1:6" x14ac:dyDescent="0.35">
      <c r="A2163" s="2">
        <f ca="1">IFERROR(__xludf.DUMMYFUNCTION("""COMPUTED_VALUE"""),45142.6666666666)</f>
        <v>45142.666666666599</v>
      </c>
      <c r="B2163" s="1">
        <f ca="1">IFERROR(__xludf.DUMMYFUNCTION("""COMPUTED_VALUE"""),314.96)</f>
        <v>314.95999999999998</v>
      </c>
      <c r="C2163" s="1">
        <f ca="1">IFERROR(__xludf.DUMMYFUNCTION("""COMPUTED_VALUE"""),318.41)</f>
        <v>318.41000000000003</v>
      </c>
      <c r="D2163" s="1">
        <f ca="1">IFERROR(__xludf.DUMMYFUNCTION("""COMPUTED_VALUE"""),310.2)</f>
        <v>310.2</v>
      </c>
      <c r="E2163" s="1">
        <f ca="1">IFERROR(__xludf.DUMMYFUNCTION("""COMPUTED_VALUE"""),310.73)</f>
        <v>310.73</v>
      </c>
      <c r="F2163" s="1">
        <f ca="1">IFERROR(__xludf.DUMMYFUNCTION("""COMPUTED_VALUE"""),17612762)</f>
        <v>17612762</v>
      </c>
    </row>
    <row r="2164" spans="1:6" x14ac:dyDescent="0.35">
      <c r="A2164" s="2">
        <f ca="1">IFERROR(__xludf.DUMMYFUNCTION("""COMPUTED_VALUE"""),45145.6666666666)</f>
        <v>45145.666666666599</v>
      </c>
      <c r="B2164" s="1">
        <f ca="1">IFERROR(__xludf.DUMMYFUNCTION("""COMPUTED_VALUE"""),313.23)</f>
        <v>313.23</v>
      </c>
      <c r="C2164" s="1">
        <f ca="1">IFERROR(__xludf.DUMMYFUNCTION("""COMPUTED_VALUE"""),317.07)</f>
        <v>317.07</v>
      </c>
      <c r="D2164" s="1">
        <f ca="1">IFERROR(__xludf.DUMMYFUNCTION("""COMPUTED_VALUE"""),310.46)</f>
        <v>310.45999999999998</v>
      </c>
      <c r="E2164" s="1">
        <f ca="1">IFERROR(__xludf.DUMMYFUNCTION("""COMPUTED_VALUE"""),316.56)</f>
        <v>316.56</v>
      </c>
      <c r="F2164" s="1">
        <f ca="1">IFERROR(__xludf.DUMMYFUNCTION("""COMPUTED_VALUE"""),16236504)</f>
        <v>16236504</v>
      </c>
    </row>
    <row r="2165" spans="1:6" x14ac:dyDescent="0.35">
      <c r="A2165" s="2">
        <f ca="1">IFERROR(__xludf.DUMMYFUNCTION("""COMPUTED_VALUE"""),45146.6666666666)</f>
        <v>45146.666666666599</v>
      </c>
      <c r="B2165" s="1">
        <f ca="1">IFERROR(__xludf.DUMMYFUNCTION("""COMPUTED_VALUE"""),314.4)</f>
        <v>314.39999999999998</v>
      </c>
      <c r="C2165" s="1">
        <f ca="1">IFERROR(__xludf.DUMMYFUNCTION("""COMPUTED_VALUE"""),317.89)</f>
        <v>317.89</v>
      </c>
      <c r="D2165" s="1">
        <f ca="1">IFERROR(__xludf.DUMMYFUNCTION("""COMPUTED_VALUE"""),310.11)</f>
        <v>310.11</v>
      </c>
      <c r="E2165" s="1">
        <f ca="1">IFERROR(__xludf.DUMMYFUNCTION("""COMPUTED_VALUE"""),312.64)</f>
        <v>312.64</v>
      </c>
      <c r="F2165" s="1">
        <f ca="1">IFERROR(__xludf.DUMMYFUNCTION("""COMPUTED_VALUE"""),15183532)</f>
        <v>15183532</v>
      </c>
    </row>
    <row r="2166" spans="1:6" x14ac:dyDescent="0.35">
      <c r="A2166" s="2">
        <f ca="1">IFERROR(__xludf.DUMMYFUNCTION("""COMPUTED_VALUE"""),45147.6666666666)</f>
        <v>45147.666666666599</v>
      </c>
      <c r="B2166" s="1">
        <f ca="1">IFERROR(__xludf.DUMMYFUNCTION("""COMPUTED_VALUE"""),312.88)</f>
        <v>312.88</v>
      </c>
      <c r="C2166" s="1">
        <f ca="1">IFERROR(__xludf.DUMMYFUNCTION("""COMPUTED_VALUE"""),313.63)</f>
        <v>313.63</v>
      </c>
      <c r="D2166" s="1">
        <f ca="1">IFERROR(__xludf.DUMMYFUNCTION("""COMPUTED_VALUE"""),302.85)</f>
        <v>302.85000000000002</v>
      </c>
      <c r="E2166" s="1">
        <f ca="1">IFERROR(__xludf.DUMMYFUNCTION("""COMPUTED_VALUE"""),305.21)</f>
        <v>305.20999999999998</v>
      </c>
      <c r="F2166" s="1">
        <f ca="1">IFERROR(__xludf.DUMMYFUNCTION("""COMPUTED_VALUE"""),19955783)</f>
        <v>19955783</v>
      </c>
    </row>
    <row r="2167" spans="1:6" x14ac:dyDescent="0.35">
      <c r="A2167" s="2">
        <f ca="1">IFERROR(__xludf.DUMMYFUNCTION("""COMPUTED_VALUE"""),45148.6666666666)</f>
        <v>45148.666666666599</v>
      </c>
      <c r="B2167" s="1">
        <f ca="1">IFERROR(__xludf.DUMMYFUNCTION("""COMPUTED_VALUE"""),307.94)</f>
        <v>307.94</v>
      </c>
      <c r="C2167" s="1">
        <f ca="1">IFERROR(__xludf.DUMMYFUNCTION("""COMPUTED_VALUE"""),312.34)</f>
        <v>312.33999999999997</v>
      </c>
      <c r="D2167" s="1">
        <f ca="1">IFERROR(__xludf.DUMMYFUNCTION("""COMPUTED_VALUE"""),303.87)</f>
        <v>303.87</v>
      </c>
      <c r="E2167" s="1">
        <f ca="1">IFERROR(__xludf.DUMMYFUNCTION("""COMPUTED_VALUE"""),305.74)</f>
        <v>305.74</v>
      </c>
      <c r="F2167" s="1">
        <f ca="1">IFERROR(__xludf.DUMMYFUNCTION("""COMPUTED_VALUE"""),14358897)</f>
        <v>14358897</v>
      </c>
    </row>
    <row r="2168" spans="1:6" x14ac:dyDescent="0.35">
      <c r="A2168" s="2">
        <f ca="1">IFERROR(__xludf.DUMMYFUNCTION("""COMPUTED_VALUE"""),45149.6666666666)</f>
        <v>45149.666666666599</v>
      </c>
      <c r="B2168" s="1">
        <f ca="1">IFERROR(__xludf.DUMMYFUNCTION("""COMPUTED_VALUE"""),302.57)</f>
        <v>302.57</v>
      </c>
      <c r="C2168" s="1">
        <f ca="1">IFERROR(__xludf.DUMMYFUNCTION("""COMPUTED_VALUE"""),304.72)</f>
        <v>304.72000000000003</v>
      </c>
      <c r="D2168" s="1">
        <f ca="1">IFERROR(__xludf.DUMMYFUNCTION("""COMPUTED_VALUE"""),300.36)</f>
        <v>300.36</v>
      </c>
      <c r="E2168" s="1">
        <f ca="1">IFERROR(__xludf.DUMMYFUNCTION("""COMPUTED_VALUE"""),301.64)</f>
        <v>301.64</v>
      </c>
      <c r="F2168" s="1">
        <f ca="1">IFERROR(__xludf.DUMMYFUNCTION("""COMPUTED_VALUE"""),14046250)</f>
        <v>14046250</v>
      </c>
    </row>
    <row r="2169" spans="1:6" x14ac:dyDescent="0.35">
      <c r="A2169" s="2">
        <f ca="1">IFERROR(__xludf.DUMMYFUNCTION("""COMPUTED_VALUE"""),45152.6666666666)</f>
        <v>45152.666666666599</v>
      </c>
      <c r="B2169" s="1">
        <f ca="1">IFERROR(__xludf.DUMMYFUNCTION("""COMPUTED_VALUE"""),300.98)</f>
        <v>300.98</v>
      </c>
      <c r="C2169" s="1">
        <f ca="1">IFERROR(__xludf.DUMMYFUNCTION("""COMPUTED_VALUE"""),306.21)</f>
        <v>306.20999999999998</v>
      </c>
      <c r="D2169" s="1">
        <f ca="1">IFERROR(__xludf.DUMMYFUNCTION("""COMPUTED_VALUE"""),298.25)</f>
        <v>298.25</v>
      </c>
      <c r="E2169" s="1">
        <f ca="1">IFERROR(__xludf.DUMMYFUNCTION("""COMPUTED_VALUE"""),306.19)</f>
        <v>306.19</v>
      </c>
      <c r="F2169" s="1">
        <f ca="1">IFERROR(__xludf.DUMMYFUNCTION("""COMPUTED_VALUE"""),15641921)</f>
        <v>15641921</v>
      </c>
    </row>
    <row r="2170" spans="1:6" x14ac:dyDescent="0.35">
      <c r="A2170" s="2">
        <f ca="1">IFERROR(__xludf.DUMMYFUNCTION("""COMPUTED_VALUE"""),45153.6666666666)</f>
        <v>45153.666666666599</v>
      </c>
      <c r="B2170" s="1">
        <f ca="1">IFERROR(__xludf.DUMMYFUNCTION("""COMPUTED_VALUE"""),306.14)</f>
        <v>306.14</v>
      </c>
      <c r="C2170" s="1">
        <f ca="1">IFERROR(__xludf.DUMMYFUNCTION("""COMPUTED_VALUE"""),307.23)</f>
        <v>307.23</v>
      </c>
      <c r="D2170" s="1">
        <f ca="1">IFERROR(__xludf.DUMMYFUNCTION("""COMPUTED_VALUE"""),300.03)</f>
        <v>300.02999999999997</v>
      </c>
      <c r="E2170" s="1">
        <f ca="1">IFERROR(__xludf.DUMMYFUNCTION("""COMPUTED_VALUE"""),301.95)</f>
        <v>301.95</v>
      </c>
      <c r="F2170" s="1">
        <f ca="1">IFERROR(__xludf.DUMMYFUNCTION("""COMPUTED_VALUE"""),11623613)</f>
        <v>11623613</v>
      </c>
    </row>
    <row r="2171" spans="1:6" x14ac:dyDescent="0.35">
      <c r="A2171" s="2">
        <f ca="1">IFERROR(__xludf.DUMMYFUNCTION("""COMPUTED_VALUE"""),45154.6666666666)</f>
        <v>45154.666666666599</v>
      </c>
      <c r="B2171" s="1">
        <f ca="1">IFERROR(__xludf.DUMMYFUNCTION("""COMPUTED_VALUE"""),300.2)</f>
        <v>300.2</v>
      </c>
      <c r="C2171" s="1">
        <f ca="1">IFERROR(__xludf.DUMMYFUNCTION("""COMPUTED_VALUE"""),301.08)</f>
        <v>301.08</v>
      </c>
      <c r="D2171" s="1">
        <f ca="1">IFERROR(__xludf.DUMMYFUNCTION("""COMPUTED_VALUE"""),294.28)</f>
        <v>294.27999999999997</v>
      </c>
      <c r="E2171" s="1">
        <f ca="1">IFERROR(__xludf.DUMMYFUNCTION("""COMPUTED_VALUE"""),294.29)</f>
        <v>294.29000000000002</v>
      </c>
      <c r="F2171" s="1">
        <f ca="1">IFERROR(__xludf.DUMMYFUNCTION("""COMPUTED_VALUE"""),18547741)</f>
        <v>18547741</v>
      </c>
    </row>
    <row r="2172" spans="1:6" x14ac:dyDescent="0.35">
      <c r="A2172" s="2">
        <f ca="1">IFERROR(__xludf.DUMMYFUNCTION("""COMPUTED_VALUE"""),45155.6666666666)</f>
        <v>45155.666666666599</v>
      </c>
      <c r="B2172" s="1">
        <f ca="1">IFERROR(__xludf.DUMMYFUNCTION("""COMPUTED_VALUE"""),293.05)</f>
        <v>293.05</v>
      </c>
      <c r="C2172" s="1">
        <f ca="1">IFERROR(__xludf.DUMMYFUNCTION("""COMPUTED_VALUE"""),296.05)</f>
        <v>296.05</v>
      </c>
      <c r="D2172" s="1">
        <f ca="1">IFERROR(__xludf.DUMMYFUNCTION("""COMPUTED_VALUE"""),284.95)</f>
        <v>284.95</v>
      </c>
      <c r="E2172" s="1">
        <f ca="1">IFERROR(__xludf.DUMMYFUNCTION("""COMPUTED_VALUE"""),285.09)</f>
        <v>285.08999999999997</v>
      </c>
      <c r="F2172" s="1">
        <f ca="1">IFERROR(__xludf.DUMMYFUNCTION("""COMPUTED_VALUE"""),23950089)</f>
        <v>23950089</v>
      </c>
    </row>
    <row r="2173" spans="1:6" x14ac:dyDescent="0.35">
      <c r="A2173" s="2">
        <f ca="1">IFERROR(__xludf.DUMMYFUNCTION("""COMPUTED_VALUE"""),45156.6666666666)</f>
        <v>45156.666666666599</v>
      </c>
      <c r="B2173" s="1">
        <f ca="1">IFERROR(__xludf.DUMMYFUNCTION("""COMPUTED_VALUE"""),279.03)</f>
        <v>279.02999999999997</v>
      </c>
      <c r="C2173" s="1">
        <f ca="1">IFERROR(__xludf.DUMMYFUNCTION("""COMPUTED_VALUE"""),285.69)</f>
        <v>285.69</v>
      </c>
      <c r="D2173" s="1">
        <f ca="1">IFERROR(__xludf.DUMMYFUNCTION("""COMPUTED_VALUE"""),274.38)</f>
        <v>274.38</v>
      </c>
      <c r="E2173" s="1">
        <f ca="1">IFERROR(__xludf.DUMMYFUNCTION("""COMPUTED_VALUE"""),283.25)</f>
        <v>283.25</v>
      </c>
      <c r="F2173" s="1">
        <f ca="1">IFERROR(__xludf.DUMMYFUNCTION("""COMPUTED_VALUE"""),35347925)</f>
        <v>35347925</v>
      </c>
    </row>
    <row r="2174" spans="1:6" x14ac:dyDescent="0.35">
      <c r="A2174" s="2">
        <f ca="1">IFERROR(__xludf.DUMMYFUNCTION("""COMPUTED_VALUE"""),45159.6666666666)</f>
        <v>45159.666666666599</v>
      </c>
      <c r="B2174" s="1">
        <f ca="1">IFERROR(__xludf.DUMMYFUNCTION("""COMPUTED_VALUE"""),283.45)</f>
        <v>283.45</v>
      </c>
      <c r="C2174" s="1">
        <f ca="1">IFERROR(__xludf.DUMMYFUNCTION("""COMPUTED_VALUE"""),290.5)</f>
        <v>290.5</v>
      </c>
      <c r="D2174" s="1">
        <f ca="1">IFERROR(__xludf.DUMMYFUNCTION("""COMPUTED_VALUE"""),281.85)</f>
        <v>281.85000000000002</v>
      </c>
      <c r="E2174" s="1">
        <f ca="1">IFERROR(__xludf.DUMMYFUNCTION("""COMPUTED_VALUE"""),289.9)</f>
        <v>289.89999999999998</v>
      </c>
      <c r="F2174" s="1">
        <f ca="1">IFERROR(__xludf.DUMMYFUNCTION("""COMPUTED_VALUE"""),20181475)</f>
        <v>20181475</v>
      </c>
    </row>
    <row r="2175" spans="1:6" x14ac:dyDescent="0.35">
      <c r="A2175" s="2">
        <f ca="1">IFERROR(__xludf.DUMMYFUNCTION("""COMPUTED_VALUE"""),45160.6666666666)</f>
        <v>45160.666666666599</v>
      </c>
      <c r="B2175" s="1">
        <f ca="1">IFERROR(__xludf.DUMMYFUNCTION("""COMPUTED_VALUE"""),292.55)</f>
        <v>292.55</v>
      </c>
      <c r="C2175" s="1">
        <f ca="1">IFERROR(__xludf.DUMMYFUNCTION("""COMPUTED_VALUE"""),292.9)</f>
        <v>292.89999999999998</v>
      </c>
      <c r="D2175" s="1">
        <f ca="1">IFERROR(__xludf.DUMMYFUNCTION("""COMPUTED_VALUE"""),286.75)</f>
        <v>286.75</v>
      </c>
      <c r="E2175" s="1">
        <f ca="1">IFERROR(__xludf.DUMMYFUNCTION("""COMPUTED_VALUE"""),287.6)</f>
        <v>287.60000000000002</v>
      </c>
      <c r="F2175" s="1">
        <f ca="1">IFERROR(__xludf.DUMMYFUNCTION("""COMPUTED_VALUE"""),12999913)</f>
        <v>12999913</v>
      </c>
    </row>
    <row r="2176" spans="1:6" x14ac:dyDescent="0.35">
      <c r="A2176" s="2">
        <f ca="1">IFERROR(__xludf.DUMMYFUNCTION("""COMPUTED_VALUE"""),45161.6666666666)</f>
        <v>45161.666666666599</v>
      </c>
      <c r="B2176" s="1">
        <f ca="1">IFERROR(__xludf.DUMMYFUNCTION("""COMPUTED_VALUE"""),288.5)</f>
        <v>288.5</v>
      </c>
      <c r="C2176" s="1">
        <f ca="1">IFERROR(__xludf.DUMMYFUNCTION("""COMPUTED_VALUE"""),297.4)</f>
        <v>297.39999999999998</v>
      </c>
      <c r="D2176" s="1">
        <f ca="1">IFERROR(__xludf.DUMMYFUNCTION("""COMPUTED_VALUE"""),287.67)</f>
        <v>287.67</v>
      </c>
      <c r="E2176" s="1">
        <f ca="1">IFERROR(__xludf.DUMMYFUNCTION("""COMPUTED_VALUE"""),294.24)</f>
        <v>294.24</v>
      </c>
      <c r="F2176" s="1">
        <f ca="1">IFERROR(__xludf.DUMMYFUNCTION("""COMPUTED_VALUE"""),18287001)</f>
        <v>18287001</v>
      </c>
    </row>
    <row r="2177" spans="1:6" x14ac:dyDescent="0.35">
      <c r="A2177" s="2">
        <f ca="1">IFERROR(__xludf.DUMMYFUNCTION("""COMPUTED_VALUE"""),45162.6666666666)</f>
        <v>45162.666666666599</v>
      </c>
      <c r="B2177" s="1">
        <f ca="1">IFERROR(__xludf.DUMMYFUNCTION("""COMPUTED_VALUE"""),298.5)</f>
        <v>298.5</v>
      </c>
      <c r="C2177" s="1">
        <f ca="1">IFERROR(__xludf.DUMMYFUNCTION("""COMPUTED_VALUE"""),299.46)</f>
        <v>299.45999999999998</v>
      </c>
      <c r="D2177" s="1">
        <f ca="1">IFERROR(__xludf.DUMMYFUNCTION("""COMPUTED_VALUE"""),286.64)</f>
        <v>286.64</v>
      </c>
      <c r="E2177" s="1">
        <f ca="1">IFERROR(__xludf.DUMMYFUNCTION("""COMPUTED_VALUE"""),286.75)</f>
        <v>286.75</v>
      </c>
      <c r="F2177" s="1">
        <f ca="1">IFERROR(__xludf.DUMMYFUNCTION("""COMPUTED_VALUE"""),18360882)</f>
        <v>18360882</v>
      </c>
    </row>
    <row r="2178" spans="1:6" x14ac:dyDescent="0.35">
      <c r="A2178" s="2">
        <f ca="1">IFERROR(__xludf.DUMMYFUNCTION("""COMPUTED_VALUE"""),45163.6666666666)</f>
        <v>45163.666666666599</v>
      </c>
      <c r="B2178" s="1">
        <f ca="1">IFERROR(__xludf.DUMMYFUNCTION("""COMPUTED_VALUE"""),286.13)</f>
        <v>286.13</v>
      </c>
      <c r="C2178" s="1">
        <f ca="1">IFERROR(__xludf.DUMMYFUNCTION("""COMPUTED_VALUE"""),288.39)</f>
        <v>288.39</v>
      </c>
      <c r="D2178" s="1">
        <f ca="1">IFERROR(__xludf.DUMMYFUNCTION("""COMPUTED_VALUE"""),276.03)</f>
        <v>276.02999999999997</v>
      </c>
      <c r="E2178" s="1">
        <f ca="1">IFERROR(__xludf.DUMMYFUNCTION("""COMPUTED_VALUE"""),285.5)</f>
        <v>285.5</v>
      </c>
      <c r="F2178" s="1">
        <f ca="1">IFERROR(__xludf.DUMMYFUNCTION("""COMPUTED_VALUE"""),23701443)</f>
        <v>23701443</v>
      </c>
    </row>
    <row r="2179" spans="1:6" x14ac:dyDescent="0.35">
      <c r="A2179" s="2">
        <f ca="1">IFERROR(__xludf.DUMMYFUNCTION("""COMPUTED_VALUE"""),45166.6666666666)</f>
        <v>45166.666666666599</v>
      </c>
      <c r="B2179" s="1">
        <f ca="1">IFERROR(__xludf.DUMMYFUNCTION("""COMPUTED_VALUE"""),288)</f>
        <v>288</v>
      </c>
      <c r="C2179" s="1">
        <f ca="1">IFERROR(__xludf.DUMMYFUNCTION("""COMPUTED_VALUE"""),291.45)</f>
        <v>291.45</v>
      </c>
      <c r="D2179" s="1">
        <f ca="1">IFERROR(__xludf.DUMMYFUNCTION("""COMPUTED_VALUE"""),285.8)</f>
        <v>285.8</v>
      </c>
      <c r="E2179" s="1">
        <f ca="1">IFERROR(__xludf.DUMMYFUNCTION("""COMPUTED_VALUE"""),290.26)</f>
        <v>290.26</v>
      </c>
      <c r="F2179" s="1">
        <f ca="1">IFERROR(__xludf.DUMMYFUNCTION("""COMPUTED_VALUE"""),14239285)</f>
        <v>14239285</v>
      </c>
    </row>
    <row r="2180" spans="1:6" x14ac:dyDescent="0.35">
      <c r="A2180" s="2">
        <f ca="1">IFERROR(__xludf.DUMMYFUNCTION("""COMPUTED_VALUE"""),45167.6666666666)</f>
        <v>45167.666666666599</v>
      </c>
      <c r="B2180" s="1">
        <f ca="1">IFERROR(__xludf.DUMMYFUNCTION("""COMPUTED_VALUE"""),288.58)</f>
        <v>288.58</v>
      </c>
      <c r="C2180" s="1">
        <f ca="1">IFERROR(__xludf.DUMMYFUNCTION("""COMPUTED_VALUE"""),299.15)</f>
        <v>299.14999999999998</v>
      </c>
      <c r="D2180" s="1">
        <f ca="1">IFERROR(__xludf.DUMMYFUNCTION("""COMPUTED_VALUE"""),288.18)</f>
        <v>288.18</v>
      </c>
      <c r="E2180" s="1">
        <f ca="1">IFERROR(__xludf.DUMMYFUNCTION("""COMPUTED_VALUE"""),297.99)</f>
        <v>297.99</v>
      </c>
      <c r="F2180" s="1">
        <f ca="1">IFERROR(__xludf.DUMMYFUNCTION("""COMPUTED_VALUE"""),20844522)</f>
        <v>20844522</v>
      </c>
    </row>
    <row r="2181" spans="1:6" x14ac:dyDescent="0.35">
      <c r="A2181" s="2">
        <f ca="1">IFERROR(__xludf.DUMMYFUNCTION("""COMPUTED_VALUE"""),45168.6666666666)</f>
        <v>45168.666666666599</v>
      </c>
      <c r="B2181" s="1">
        <f ca="1">IFERROR(__xludf.DUMMYFUNCTION("""COMPUTED_VALUE"""),297.17)</f>
        <v>297.17</v>
      </c>
      <c r="C2181" s="1">
        <f ca="1">IFERROR(__xludf.DUMMYFUNCTION("""COMPUTED_VALUE"""),298.29)</f>
        <v>298.29000000000002</v>
      </c>
      <c r="D2181" s="1">
        <f ca="1">IFERROR(__xludf.DUMMYFUNCTION("""COMPUTED_VALUE"""),293.43)</f>
        <v>293.43</v>
      </c>
      <c r="E2181" s="1">
        <f ca="1">IFERROR(__xludf.DUMMYFUNCTION("""COMPUTED_VALUE"""),295.1)</f>
        <v>295.10000000000002</v>
      </c>
      <c r="F2181" s="1">
        <f ca="1">IFERROR(__xludf.DUMMYFUNCTION("""COMPUTED_VALUE"""),17717024)</f>
        <v>17717024</v>
      </c>
    </row>
    <row r="2182" spans="1:6" x14ac:dyDescent="0.35">
      <c r="A2182" s="2">
        <f ca="1">IFERROR(__xludf.DUMMYFUNCTION("""COMPUTED_VALUE"""),45169.6666666666)</f>
        <v>45169.666666666599</v>
      </c>
      <c r="B2182" s="1">
        <f ca="1">IFERROR(__xludf.DUMMYFUNCTION("""COMPUTED_VALUE"""),295.8)</f>
        <v>295.8</v>
      </c>
      <c r="C2182" s="1">
        <f ca="1">IFERROR(__xludf.DUMMYFUNCTION("""COMPUTED_VALUE"""),301.1)</f>
        <v>301.10000000000002</v>
      </c>
      <c r="D2182" s="1">
        <f ca="1">IFERROR(__xludf.DUMMYFUNCTION("""COMPUTED_VALUE"""),295.66)</f>
        <v>295.66000000000003</v>
      </c>
      <c r="E2182" s="1">
        <f ca="1">IFERROR(__xludf.DUMMYFUNCTION("""COMPUTED_VALUE"""),295.89)</f>
        <v>295.89</v>
      </c>
      <c r="F2182" s="1">
        <f ca="1">IFERROR(__xludf.DUMMYFUNCTION("""COMPUTED_VALUE"""),17229865)</f>
        <v>17229865</v>
      </c>
    </row>
    <row r="2183" spans="1:6" x14ac:dyDescent="0.35">
      <c r="A2183" s="2">
        <f ca="1">IFERROR(__xludf.DUMMYFUNCTION("""COMPUTED_VALUE"""),45170.6666666666)</f>
        <v>45170.666666666599</v>
      </c>
      <c r="B2183" s="1">
        <f ca="1">IFERROR(__xludf.DUMMYFUNCTION("""COMPUTED_VALUE"""),299.37)</f>
        <v>299.37</v>
      </c>
      <c r="C2183" s="1">
        <f ca="1">IFERROR(__xludf.DUMMYFUNCTION("""COMPUTED_VALUE"""),301.74)</f>
        <v>301.74</v>
      </c>
      <c r="D2183" s="1">
        <f ca="1">IFERROR(__xludf.DUMMYFUNCTION("""COMPUTED_VALUE"""),294.47)</f>
        <v>294.47000000000003</v>
      </c>
      <c r="E2183" s="1">
        <f ca="1">IFERROR(__xludf.DUMMYFUNCTION("""COMPUTED_VALUE"""),296.38)</f>
        <v>296.38</v>
      </c>
      <c r="F2183" s="1">
        <f ca="1">IFERROR(__xludf.DUMMYFUNCTION("""COMPUTED_VALUE"""),12842257)</f>
        <v>12842257</v>
      </c>
    </row>
    <row r="2184" spans="1:6" x14ac:dyDescent="0.35">
      <c r="A2184" s="2">
        <f ca="1">IFERROR(__xludf.DUMMYFUNCTION("""COMPUTED_VALUE"""),45174.6666666666)</f>
        <v>45174.666666666599</v>
      </c>
      <c r="B2184" s="1">
        <f ca="1">IFERROR(__xludf.DUMMYFUNCTION("""COMPUTED_VALUE"""),297.02)</f>
        <v>297.02</v>
      </c>
      <c r="C2184" s="1">
        <f ca="1">IFERROR(__xludf.DUMMYFUNCTION("""COMPUTED_VALUE"""),301.39)</f>
        <v>301.39</v>
      </c>
      <c r="D2184" s="1">
        <f ca="1">IFERROR(__xludf.DUMMYFUNCTION("""COMPUTED_VALUE"""),295.51)</f>
        <v>295.51</v>
      </c>
      <c r="E2184" s="1">
        <f ca="1">IFERROR(__xludf.DUMMYFUNCTION("""COMPUTED_VALUE"""),300.15)</f>
        <v>300.14999999999998</v>
      </c>
      <c r="F2184" s="1">
        <f ca="1">IFERROR(__xludf.DUMMYFUNCTION("""COMPUTED_VALUE"""),14955989)</f>
        <v>14955989</v>
      </c>
    </row>
    <row r="2185" spans="1:6" x14ac:dyDescent="0.35">
      <c r="A2185" s="2">
        <f ca="1">IFERROR(__xludf.DUMMYFUNCTION("""COMPUTED_VALUE"""),45175.6666666666)</f>
        <v>45175.666666666599</v>
      </c>
      <c r="B2185" s="1">
        <f ca="1">IFERROR(__xludf.DUMMYFUNCTION("""COMPUTED_VALUE"""),301.71)</f>
        <v>301.70999999999998</v>
      </c>
      <c r="C2185" s="1">
        <f ca="1">IFERROR(__xludf.DUMMYFUNCTION("""COMPUTED_VALUE"""),303.3)</f>
        <v>303.3</v>
      </c>
      <c r="D2185" s="1">
        <f ca="1">IFERROR(__xludf.DUMMYFUNCTION("""COMPUTED_VALUE"""),295.66)</f>
        <v>295.66000000000003</v>
      </c>
      <c r="E2185" s="1">
        <f ca="1">IFERROR(__xludf.DUMMYFUNCTION("""COMPUTED_VALUE"""),299.17)</f>
        <v>299.17</v>
      </c>
      <c r="F2185" s="1">
        <f ca="1">IFERROR(__xludf.DUMMYFUNCTION("""COMPUTED_VALUE"""),15418092)</f>
        <v>15418092</v>
      </c>
    </row>
    <row r="2186" spans="1:6" x14ac:dyDescent="0.35">
      <c r="A2186" s="2">
        <f ca="1">IFERROR(__xludf.DUMMYFUNCTION("""COMPUTED_VALUE"""),45176.6666666666)</f>
        <v>45176.666666666599</v>
      </c>
      <c r="B2186" s="1">
        <f ca="1">IFERROR(__xludf.DUMMYFUNCTION("""COMPUTED_VALUE"""),298)</f>
        <v>298</v>
      </c>
      <c r="C2186" s="1">
        <f ca="1">IFERROR(__xludf.DUMMYFUNCTION("""COMPUTED_VALUE"""),307.05)</f>
        <v>307.05</v>
      </c>
      <c r="D2186" s="1">
        <f ca="1">IFERROR(__xludf.DUMMYFUNCTION("""COMPUTED_VALUE"""),292.22)</f>
        <v>292.22000000000003</v>
      </c>
      <c r="E2186" s="1">
        <f ca="1">IFERROR(__xludf.DUMMYFUNCTION("""COMPUTED_VALUE"""),298.67)</f>
        <v>298.67</v>
      </c>
      <c r="F2186" s="1">
        <f ca="1">IFERROR(__xludf.DUMMYFUNCTION("""COMPUTED_VALUE"""),33748737)</f>
        <v>33748737</v>
      </c>
    </row>
    <row r="2187" spans="1:6" x14ac:dyDescent="0.35">
      <c r="A2187" s="2">
        <f ca="1">IFERROR(__xludf.DUMMYFUNCTION("""COMPUTED_VALUE"""),45177.6666666666)</f>
        <v>45177.666666666599</v>
      </c>
      <c r="B2187" s="1">
        <f ca="1">IFERROR(__xludf.DUMMYFUNCTION("""COMPUTED_VALUE"""),299.22)</f>
        <v>299.22000000000003</v>
      </c>
      <c r="C2187" s="1">
        <f ca="1">IFERROR(__xludf.DUMMYFUNCTION("""COMPUTED_VALUE"""),305.25)</f>
        <v>305.25</v>
      </c>
      <c r="D2187" s="1">
        <f ca="1">IFERROR(__xludf.DUMMYFUNCTION("""COMPUTED_VALUE"""),296.78)</f>
        <v>296.77999999999997</v>
      </c>
      <c r="E2187" s="1">
        <f ca="1">IFERROR(__xludf.DUMMYFUNCTION("""COMPUTED_VALUE"""),297.89)</f>
        <v>297.89</v>
      </c>
      <c r="F2187" s="1">
        <f ca="1">IFERROR(__xludf.DUMMYFUNCTION("""COMPUTED_VALUE"""),17572203)</f>
        <v>17572203</v>
      </c>
    </row>
    <row r="2188" spans="1:6" x14ac:dyDescent="0.35">
      <c r="A2188" s="2">
        <f ca="1">IFERROR(__xludf.DUMMYFUNCTION("""COMPUTED_VALUE"""),45180.6666666666)</f>
        <v>45180.666666666599</v>
      </c>
      <c r="B2188" s="1">
        <f ca="1">IFERROR(__xludf.DUMMYFUNCTION("""COMPUTED_VALUE"""),301.41)</f>
        <v>301.41000000000003</v>
      </c>
      <c r="C2188" s="1">
        <f ca="1">IFERROR(__xludf.DUMMYFUNCTION("""COMPUTED_VALUE"""),309.04)</f>
        <v>309.04000000000002</v>
      </c>
      <c r="D2188" s="1">
        <f ca="1">IFERROR(__xludf.DUMMYFUNCTION("""COMPUTED_VALUE"""),301.28)</f>
        <v>301.27999999999997</v>
      </c>
      <c r="E2188" s="1">
        <f ca="1">IFERROR(__xludf.DUMMYFUNCTION("""COMPUTED_VALUE"""),307.56)</f>
        <v>307.56</v>
      </c>
      <c r="F2188" s="1">
        <f ca="1">IFERROR(__xludf.DUMMYFUNCTION("""COMPUTED_VALUE"""),19489330)</f>
        <v>19489330</v>
      </c>
    </row>
    <row r="2189" spans="1:6" x14ac:dyDescent="0.35">
      <c r="A2189" s="2">
        <f ca="1">IFERROR(__xludf.DUMMYFUNCTION("""COMPUTED_VALUE"""),45181.6666666666)</f>
        <v>45181.666666666599</v>
      </c>
      <c r="B2189" s="1">
        <f ca="1">IFERROR(__xludf.DUMMYFUNCTION("""COMPUTED_VALUE"""),306.33)</f>
        <v>306.33</v>
      </c>
      <c r="C2189" s="1">
        <f ca="1">IFERROR(__xludf.DUMMYFUNCTION("""COMPUTED_VALUE"""),308.66)</f>
        <v>308.66000000000003</v>
      </c>
      <c r="D2189" s="1">
        <f ca="1">IFERROR(__xludf.DUMMYFUNCTION("""COMPUTED_VALUE"""),300.23)</f>
        <v>300.23</v>
      </c>
      <c r="E2189" s="1">
        <f ca="1">IFERROR(__xludf.DUMMYFUNCTION("""COMPUTED_VALUE"""),301.66)</f>
        <v>301.66000000000003</v>
      </c>
      <c r="F2189" s="1">
        <f ca="1">IFERROR(__xludf.DUMMYFUNCTION("""COMPUTED_VALUE"""),13480400)</f>
        <v>13480400</v>
      </c>
    </row>
    <row r="2190" spans="1:6" x14ac:dyDescent="0.35">
      <c r="A2190" s="2">
        <f ca="1">IFERROR(__xludf.DUMMYFUNCTION("""COMPUTED_VALUE"""),45182.6666666666)</f>
        <v>45182.666666666599</v>
      </c>
      <c r="B2190" s="1">
        <f ca="1">IFERROR(__xludf.DUMMYFUNCTION("""COMPUTED_VALUE"""),302.36)</f>
        <v>302.36</v>
      </c>
      <c r="C2190" s="1">
        <f ca="1">IFERROR(__xludf.DUMMYFUNCTION("""COMPUTED_VALUE"""),307.18)</f>
        <v>307.18</v>
      </c>
      <c r="D2190" s="1">
        <f ca="1">IFERROR(__xludf.DUMMYFUNCTION("""COMPUTED_VALUE"""),301.32)</f>
        <v>301.32</v>
      </c>
      <c r="E2190" s="1">
        <f ca="1">IFERROR(__xludf.DUMMYFUNCTION("""COMPUTED_VALUE"""),305.06)</f>
        <v>305.06</v>
      </c>
      <c r="F2190" s="1">
        <f ca="1">IFERROR(__xludf.DUMMYFUNCTION("""COMPUTED_VALUE"""),13210915)</f>
        <v>13210915</v>
      </c>
    </row>
    <row r="2191" spans="1:6" x14ac:dyDescent="0.35">
      <c r="A2191" s="2">
        <f ca="1">IFERROR(__xludf.DUMMYFUNCTION("""COMPUTED_VALUE"""),45183.6666666666)</f>
        <v>45183.666666666599</v>
      </c>
      <c r="B2191" s="1">
        <f ca="1">IFERROR(__xludf.DUMMYFUNCTION("""COMPUTED_VALUE"""),306.74)</f>
        <v>306.74</v>
      </c>
      <c r="C2191" s="1">
        <f ca="1">IFERROR(__xludf.DUMMYFUNCTION("""COMPUTED_VALUE"""),312.87)</f>
        <v>312.87</v>
      </c>
      <c r="D2191" s="1">
        <f ca="1">IFERROR(__xludf.DUMMYFUNCTION("""COMPUTED_VALUE"""),305.03)</f>
        <v>305.02999999999997</v>
      </c>
      <c r="E2191" s="1">
        <f ca="1">IFERROR(__xludf.DUMMYFUNCTION("""COMPUTED_VALUE"""),311.72)</f>
        <v>311.72000000000003</v>
      </c>
      <c r="F2191" s="1">
        <f ca="1">IFERROR(__xludf.DUMMYFUNCTION("""COMPUTED_VALUE"""),19343102)</f>
        <v>19343102</v>
      </c>
    </row>
    <row r="2192" spans="1:6" x14ac:dyDescent="0.35">
      <c r="A2192" s="2">
        <f ca="1">IFERROR(__xludf.DUMMYFUNCTION("""COMPUTED_VALUE"""),45184.6666666666)</f>
        <v>45184.666666666599</v>
      </c>
      <c r="B2192" s="1">
        <f ca="1">IFERROR(__xludf.DUMMYFUNCTION("""COMPUTED_VALUE"""),311.61)</f>
        <v>311.61</v>
      </c>
      <c r="C2192" s="1">
        <f ca="1">IFERROR(__xludf.DUMMYFUNCTION("""COMPUTED_VALUE"""),312)</f>
        <v>312</v>
      </c>
      <c r="D2192" s="1">
        <f ca="1">IFERROR(__xludf.DUMMYFUNCTION("""COMPUTED_VALUE"""),298.75)</f>
        <v>298.75</v>
      </c>
      <c r="E2192" s="1">
        <f ca="1">IFERROR(__xludf.DUMMYFUNCTION("""COMPUTED_VALUE"""),300.31)</f>
        <v>300.31</v>
      </c>
      <c r="F2192" s="1">
        <f ca="1">IFERROR(__xludf.DUMMYFUNCTION("""COMPUTED_VALUE"""),28131140)</f>
        <v>28131140</v>
      </c>
    </row>
    <row r="2193" spans="1:6" x14ac:dyDescent="0.35">
      <c r="A2193" s="2">
        <f ca="1">IFERROR(__xludf.DUMMYFUNCTION("""COMPUTED_VALUE"""),45187.6666666666)</f>
        <v>45187.666666666599</v>
      </c>
      <c r="B2193" s="1">
        <f ca="1">IFERROR(__xludf.DUMMYFUNCTION("""COMPUTED_VALUE"""),298.19)</f>
        <v>298.19</v>
      </c>
      <c r="C2193" s="1">
        <f ca="1">IFERROR(__xludf.DUMMYFUNCTION("""COMPUTED_VALUE"""),303.6)</f>
        <v>303.60000000000002</v>
      </c>
      <c r="D2193" s="1">
        <f ca="1">IFERROR(__xludf.DUMMYFUNCTION("""COMPUTED_VALUE"""),297.8)</f>
        <v>297.8</v>
      </c>
      <c r="E2193" s="1">
        <f ca="1">IFERROR(__xludf.DUMMYFUNCTION("""COMPUTED_VALUE"""),302.55)</f>
        <v>302.55</v>
      </c>
      <c r="F2193" s="1">
        <f ca="1">IFERROR(__xludf.DUMMYFUNCTION("""COMPUTED_VALUE"""),14234158)</f>
        <v>14234158</v>
      </c>
    </row>
    <row r="2194" spans="1:6" x14ac:dyDescent="0.35">
      <c r="A2194" s="2">
        <f ca="1">IFERROR(__xludf.DUMMYFUNCTION("""COMPUTED_VALUE"""),45188.6666666666)</f>
        <v>45188.666666666599</v>
      </c>
      <c r="B2194" s="1">
        <f ca="1">IFERROR(__xludf.DUMMYFUNCTION("""COMPUTED_VALUE"""),302.48)</f>
        <v>302.48</v>
      </c>
      <c r="C2194" s="1">
        <f ca="1">IFERROR(__xludf.DUMMYFUNCTION("""COMPUTED_VALUE"""),306.17)</f>
        <v>306.17</v>
      </c>
      <c r="D2194" s="1">
        <f ca="1">IFERROR(__xludf.DUMMYFUNCTION("""COMPUTED_VALUE"""),299.81)</f>
        <v>299.81</v>
      </c>
      <c r="E2194" s="1">
        <f ca="1">IFERROR(__xludf.DUMMYFUNCTION("""COMPUTED_VALUE"""),305.07)</f>
        <v>305.07</v>
      </c>
      <c r="F2194" s="1">
        <f ca="1">IFERROR(__xludf.DUMMYFUNCTION("""COMPUTED_VALUE"""),15931618)</f>
        <v>15931618</v>
      </c>
    </row>
    <row r="2195" spans="1:6" x14ac:dyDescent="0.35">
      <c r="A2195" s="2">
        <f ca="1">IFERROR(__xludf.DUMMYFUNCTION("""COMPUTED_VALUE"""),45189.6666666666)</f>
        <v>45189.666666666599</v>
      </c>
      <c r="B2195" s="1">
        <f ca="1">IFERROR(__xludf.DUMMYFUNCTION("""COMPUTED_VALUE"""),305.05)</f>
        <v>305.05</v>
      </c>
      <c r="C2195" s="1">
        <f ca="1">IFERROR(__xludf.DUMMYFUNCTION("""COMPUTED_VALUE"""),308.06)</f>
        <v>308.06</v>
      </c>
      <c r="D2195" s="1">
        <f ca="1">IFERROR(__xludf.DUMMYFUNCTION("""COMPUTED_VALUE"""),299.43)</f>
        <v>299.43</v>
      </c>
      <c r="E2195" s="1">
        <f ca="1">IFERROR(__xludf.DUMMYFUNCTION("""COMPUTED_VALUE"""),299.67)</f>
        <v>299.67</v>
      </c>
      <c r="F2195" s="1">
        <f ca="1">IFERROR(__xludf.DUMMYFUNCTION("""COMPUTED_VALUE"""),19379515)</f>
        <v>19379515</v>
      </c>
    </row>
    <row r="2196" spans="1:6" x14ac:dyDescent="0.35">
      <c r="A2196" s="2">
        <f ca="1">IFERROR(__xludf.DUMMYFUNCTION("""COMPUTED_VALUE"""),45190.6666666666)</f>
        <v>45190.666666666599</v>
      </c>
      <c r="B2196" s="1">
        <f ca="1">IFERROR(__xludf.DUMMYFUNCTION("""COMPUTED_VALUE"""),295.7)</f>
        <v>295.7</v>
      </c>
      <c r="C2196" s="1">
        <f ca="1">IFERROR(__xludf.DUMMYFUNCTION("""COMPUTED_VALUE"""),300.26)</f>
        <v>300.26</v>
      </c>
      <c r="D2196" s="1">
        <f ca="1">IFERROR(__xludf.DUMMYFUNCTION("""COMPUTED_VALUE"""),293.27)</f>
        <v>293.27</v>
      </c>
      <c r="E2196" s="1">
        <f ca="1">IFERROR(__xludf.DUMMYFUNCTION("""COMPUTED_VALUE"""),295.73)</f>
        <v>295.73</v>
      </c>
      <c r="F2196" s="1">
        <f ca="1">IFERROR(__xludf.DUMMYFUNCTION("""COMPUTED_VALUE"""),21319582)</f>
        <v>21319582</v>
      </c>
    </row>
    <row r="2197" spans="1:6" x14ac:dyDescent="0.35">
      <c r="A2197" s="2">
        <f ca="1">IFERROR(__xludf.DUMMYFUNCTION("""COMPUTED_VALUE"""),45191.6666666666)</f>
        <v>45191.666666666599</v>
      </c>
      <c r="B2197" s="1">
        <f ca="1">IFERROR(__xludf.DUMMYFUNCTION("""COMPUTED_VALUE"""),299.3)</f>
        <v>299.3</v>
      </c>
      <c r="C2197" s="1">
        <f ca="1">IFERROR(__xludf.DUMMYFUNCTION("""COMPUTED_VALUE"""),305.38)</f>
        <v>305.38</v>
      </c>
      <c r="D2197" s="1">
        <f ca="1">IFERROR(__xludf.DUMMYFUNCTION("""COMPUTED_VALUE"""),298.27)</f>
        <v>298.27</v>
      </c>
      <c r="E2197" s="1">
        <f ca="1">IFERROR(__xludf.DUMMYFUNCTION("""COMPUTED_VALUE"""),299.08)</f>
        <v>299.08</v>
      </c>
      <c r="F2197" s="1">
        <f ca="1">IFERROR(__xludf.DUMMYFUNCTION("""COMPUTED_VALUE"""),25369592)</f>
        <v>25369592</v>
      </c>
    </row>
    <row r="2198" spans="1:6" x14ac:dyDescent="0.35">
      <c r="A2198" s="2">
        <f ca="1">IFERROR(__xludf.DUMMYFUNCTION("""COMPUTED_VALUE"""),45194.6666666666)</f>
        <v>45194.666666666599</v>
      </c>
      <c r="B2198" s="1">
        <f ca="1">IFERROR(__xludf.DUMMYFUNCTION("""COMPUTED_VALUE"""),295.64)</f>
        <v>295.64</v>
      </c>
      <c r="C2198" s="1">
        <f ca="1">IFERROR(__xludf.DUMMYFUNCTION("""COMPUTED_VALUE"""),300.95)</f>
        <v>300.95</v>
      </c>
      <c r="D2198" s="1">
        <f ca="1">IFERROR(__xludf.DUMMYFUNCTION("""COMPUTED_VALUE"""),293.7)</f>
        <v>293.7</v>
      </c>
      <c r="E2198" s="1">
        <f ca="1">IFERROR(__xludf.DUMMYFUNCTION("""COMPUTED_VALUE"""),300.83)</f>
        <v>300.83</v>
      </c>
      <c r="F2198" s="1">
        <f ca="1">IFERROR(__xludf.DUMMYFUNCTION("""COMPUTED_VALUE"""),18987014)</f>
        <v>18987014</v>
      </c>
    </row>
    <row r="2199" spans="1:6" x14ac:dyDescent="0.35">
      <c r="A2199" s="2">
        <f ca="1">IFERROR(__xludf.DUMMYFUNCTION("""COMPUTED_VALUE"""),45195.6666666666)</f>
        <v>45195.666666666599</v>
      </c>
      <c r="B2199" s="1">
        <f ca="1">IFERROR(__xludf.DUMMYFUNCTION("""COMPUTED_VALUE"""),297.66)</f>
        <v>297.66000000000003</v>
      </c>
      <c r="C2199" s="1">
        <f ca="1">IFERROR(__xludf.DUMMYFUNCTION("""COMPUTED_VALUE"""),300.3)</f>
        <v>300.3</v>
      </c>
      <c r="D2199" s="1">
        <f ca="1">IFERROR(__xludf.DUMMYFUNCTION("""COMPUTED_VALUE"""),296.01)</f>
        <v>296.01</v>
      </c>
      <c r="E2199" s="1">
        <f ca="1">IFERROR(__xludf.DUMMYFUNCTION("""COMPUTED_VALUE"""),298.96)</f>
        <v>298.95999999999998</v>
      </c>
      <c r="F2199" s="1">
        <f ca="1">IFERROR(__xludf.DUMMYFUNCTION("""COMPUTED_VALUE"""),19417161)</f>
        <v>19417161</v>
      </c>
    </row>
    <row r="2200" spans="1:6" x14ac:dyDescent="0.35">
      <c r="A2200" s="2">
        <f ca="1">IFERROR(__xludf.DUMMYFUNCTION("""COMPUTED_VALUE"""),45196.6666666666)</f>
        <v>45196.666666666599</v>
      </c>
      <c r="B2200" s="1">
        <f ca="1">IFERROR(__xludf.DUMMYFUNCTION("""COMPUTED_VALUE"""),300.45)</f>
        <v>300.45</v>
      </c>
      <c r="C2200" s="1">
        <f ca="1">IFERROR(__xludf.DUMMYFUNCTION("""COMPUTED_VALUE"""),301.3)</f>
        <v>301.3</v>
      </c>
      <c r="D2200" s="1">
        <f ca="1">IFERROR(__xludf.DUMMYFUNCTION("""COMPUTED_VALUE"""),286.79)</f>
        <v>286.79000000000002</v>
      </c>
      <c r="E2200" s="1">
        <f ca="1">IFERROR(__xludf.DUMMYFUNCTION("""COMPUTED_VALUE"""),297.74)</f>
        <v>297.74</v>
      </c>
      <c r="F2200" s="1">
        <f ca="1">IFERROR(__xludf.DUMMYFUNCTION("""COMPUTED_VALUE"""),36429835)</f>
        <v>36429835</v>
      </c>
    </row>
    <row r="2201" spans="1:6" x14ac:dyDescent="0.35">
      <c r="A2201" s="2">
        <f ca="1">IFERROR(__xludf.DUMMYFUNCTION("""COMPUTED_VALUE"""),45197.6666666666)</f>
        <v>45197.666666666599</v>
      </c>
      <c r="B2201" s="1">
        <f ca="1">IFERROR(__xludf.DUMMYFUNCTION("""COMPUTED_VALUE"""),298.94)</f>
        <v>298.94</v>
      </c>
      <c r="C2201" s="1">
        <f ca="1">IFERROR(__xludf.DUMMYFUNCTION("""COMPUTED_VALUE"""),306.33)</f>
        <v>306.33</v>
      </c>
      <c r="D2201" s="1">
        <f ca="1">IFERROR(__xludf.DUMMYFUNCTION("""COMPUTED_VALUE"""),296.7)</f>
        <v>296.7</v>
      </c>
      <c r="E2201" s="1">
        <f ca="1">IFERROR(__xludf.DUMMYFUNCTION("""COMPUTED_VALUE"""),303.96)</f>
        <v>303.95999999999998</v>
      </c>
      <c r="F2201" s="1">
        <f ca="1">IFERROR(__xludf.DUMMYFUNCTION("""COMPUTED_VALUE"""),22167075)</f>
        <v>22167075</v>
      </c>
    </row>
    <row r="2202" spans="1:6" x14ac:dyDescent="0.35">
      <c r="A2202" s="2">
        <f ca="1">IFERROR(__xludf.DUMMYFUNCTION("""COMPUTED_VALUE"""),45198.6666666666)</f>
        <v>45198.666666666599</v>
      </c>
      <c r="B2202" s="1">
        <f ca="1">IFERROR(__xludf.DUMMYFUNCTION("""COMPUTED_VALUE"""),307.38)</f>
        <v>307.38</v>
      </c>
      <c r="C2202" s="1">
        <f ca="1">IFERROR(__xludf.DUMMYFUNCTION("""COMPUTED_VALUE"""),310.64)</f>
        <v>310.64</v>
      </c>
      <c r="D2202" s="1">
        <f ca="1">IFERROR(__xludf.DUMMYFUNCTION("""COMPUTED_VALUE"""),299.36)</f>
        <v>299.36</v>
      </c>
      <c r="E2202" s="1">
        <f ca="1">IFERROR(__xludf.DUMMYFUNCTION("""COMPUTED_VALUE"""),300.21)</f>
        <v>300.20999999999998</v>
      </c>
      <c r="F2202" s="1">
        <f ca="1">IFERROR(__xludf.DUMMYFUNCTION("""COMPUTED_VALUE"""),25373695)</f>
        <v>25373695</v>
      </c>
    </row>
    <row r="2203" spans="1:6" x14ac:dyDescent="0.35">
      <c r="A2203" s="2">
        <f ca="1">IFERROR(__xludf.DUMMYFUNCTION("""COMPUTED_VALUE"""),45201.6666666666)</f>
        <v>45201.666666666599</v>
      </c>
      <c r="B2203" s="1">
        <f ca="1">IFERROR(__xludf.DUMMYFUNCTION("""COMPUTED_VALUE"""),302.74)</f>
        <v>302.74</v>
      </c>
      <c r="C2203" s="1">
        <f ca="1">IFERROR(__xludf.DUMMYFUNCTION("""COMPUTED_VALUE"""),307.18)</f>
        <v>307.18</v>
      </c>
      <c r="D2203" s="1">
        <f ca="1">IFERROR(__xludf.DUMMYFUNCTION("""COMPUTED_VALUE"""),301.63)</f>
        <v>301.63</v>
      </c>
      <c r="E2203" s="1">
        <f ca="1">IFERROR(__xludf.DUMMYFUNCTION("""COMPUTED_VALUE"""),306.82)</f>
        <v>306.82</v>
      </c>
      <c r="F2203" s="1">
        <f ca="1">IFERROR(__xludf.DUMMYFUNCTION("""COMPUTED_VALUE"""),16265571)</f>
        <v>16265571</v>
      </c>
    </row>
    <row r="2204" spans="1:6" x14ac:dyDescent="0.35">
      <c r="A2204" s="2">
        <f ca="1">IFERROR(__xludf.DUMMYFUNCTION("""COMPUTED_VALUE"""),45202.6666666666)</f>
        <v>45202.666666666599</v>
      </c>
      <c r="B2204" s="1">
        <f ca="1">IFERROR(__xludf.DUMMYFUNCTION("""COMPUTED_VALUE"""),304.26)</f>
        <v>304.26</v>
      </c>
      <c r="C2204" s="1">
        <f ca="1">IFERROR(__xludf.DUMMYFUNCTION("""COMPUTED_VALUE"""),306.77)</f>
        <v>306.77</v>
      </c>
      <c r="D2204" s="1">
        <f ca="1">IFERROR(__xludf.DUMMYFUNCTION("""COMPUTED_VALUE"""),299.64)</f>
        <v>299.64</v>
      </c>
      <c r="E2204" s="1">
        <f ca="1">IFERROR(__xludf.DUMMYFUNCTION("""COMPUTED_VALUE"""),300.94)</f>
        <v>300.94</v>
      </c>
      <c r="F2204" s="1">
        <f ca="1">IFERROR(__xludf.DUMMYFUNCTION("""COMPUTED_VALUE"""),17362250)</f>
        <v>17362250</v>
      </c>
    </row>
    <row r="2205" spans="1:6" x14ac:dyDescent="0.35">
      <c r="A2205" s="2">
        <f ca="1">IFERROR(__xludf.DUMMYFUNCTION("""COMPUTED_VALUE"""),45203.6666666666)</f>
        <v>45203.666666666599</v>
      </c>
      <c r="B2205" s="1">
        <f ca="1">IFERROR(__xludf.DUMMYFUNCTION("""COMPUTED_VALUE"""),298.73)</f>
        <v>298.73</v>
      </c>
      <c r="C2205" s="1">
        <f ca="1">IFERROR(__xludf.DUMMYFUNCTION("""COMPUTED_VALUE"""),306.9)</f>
        <v>306.89999999999998</v>
      </c>
      <c r="D2205" s="1">
        <f ca="1">IFERROR(__xludf.DUMMYFUNCTION("""COMPUTED_VALUE"""),298.5)</f>
        <v>298.5</v>
      </c>
      <c r="E2205" s="1">
        <f ca="1">IFERROR(__xludf.DUMMYFUNCTION("""COMPUTED_VALUE"""),305.58)</f>
        <v>305.58</v>
      </c>
      <c r="F2205" s="1">
        <f ca="1">IFERROR(__xludf.DUMMYFUNCTION("""COMPUTED_VALUE"""),16880484)</f>
        <v>16880484</v>
      </c>
    </row>
    <row r="2206" spans="1:6" x14ac:dyDescent="0.35">
      <c r="A2206" s="2">
        <f ca="1">IFERROR(__xludf.DUMMYFUNCTION("""COMPUTED_VALUE"""),45204.6666666666)</f>
        <v>45204.666666666599</v>
      </c>
      <c r="B2206" s="1">
        <f ca="1">IFERROR(__xludf.DUMMYFUNCTION("""COMPUTED_VALUE"""),304.63)</f>
        <v>304.63</v>
      </c>
      <c r="C2206" s="1">
        <f ca="1">IFERROR(__xludf.DUMMYFUNCTION("""COMPUTED_VALUE"""),306.21)</f>
        <v>306.20999999999998</v>
      </c>
      <c r="D2206" s="1">
        <f ca="1">IFERROR(__xludf.DUMMYFUNCTION("""COMPUTED_VALUE"""),299.5)</f>
        <v>299.5</v>
      </c>
      <c r="E2206" s="1">
        <f ca="1">IFERROR(__xludf.DUMMYFUNCTION("""COMPUTED_VALUE"""),304.79)</f>
        <v>304.79000000000002</v>
      </c>
      <c r="F2206" s="1">
        <f ca="1">IFERROR(__xludf.DUMMYFUNCTION("""COMPUTED_VALUE"""),19129957)</f>
        <v>19129957</v>
      </c>
    </row>
    <row r="2207" spans="1:6" x14ac:dyDescent="0.35">
      <c r="A2207" s="2">
        <f ca="1">IFERROR(__xludf.DUMMYFUNCTION("""COMPUTED_VALUE"""),45205.6666666666)</f>
        <v>45205.666666666599</v>
      </c>
      <c r="B2207" s="1">
        <f ca="1">IFERROR(__xludf.DUMMYFUNCTION("""COMPUTED_VALUE"""),301.44)</f>
        <v>301.44</v>
      </c>
      <c r="C2207" s="1">
        <f ca="1">IFERROR(__xludf.DUMMYFUNCTION("""COMPUTED_VALUE"""),316.31)</f>
        <v>316.31</v>
      </c>
      <c r="D2207" s="1">
        <f ca="1">IFERROR(__xludf.DUMMYFUNCTION("""COMPUTED_VALUE"""),300.91)</f>
        <v>300.91000000000003</v>
      </c>
      <c r="E2207" s="1">
        <f ca="1">IFERROR(__xludf.DUMMYFUNCTION("""COMPUTED_VALUE"""),315.43)</f>
        <v>315.43</v>
      </c>
      <c r="F2207" s="1">
        <f ca="1">IFERROR(__xludf.DUMMYFUNCTION("""COMPUTED_VALUE"""),21803856)</f>
        <v>21803856</v>
      </c>
    </row>
    <row r="2208" spans="1:6" x14ac:dyDescent="0.35">
      <c r="A2208" s="2">
        <f ca="1">IFERROR(__xludf.DUMMYFUNCTION("""COMPUTED_VALUE"""),45208.6666666666)</f>
        <v>45208.666666666599</v>
      </c>
      <c r="B2208" s="1">
        <f ca="1">IFERROR(__xludf.DUMMYFUNCTION("""COMPUTED_VALUE"""),312.5)</f>
        <v>312.5</v>
      </c>
      <c r="C2208" s="1">
        <f ca="1">IFERROR(__xludf.DUMMYFUNCTION("""COMPUTED_VALUE"""),320.33)</f>
        <v>320.33</v>
      </c>
      <c r="D2208" s="1">
        <f ca="1">IFERROR(__xludf.DUMMYFUNCTION("""COMPUTED_VALUE"""),311.82)</f>
        <v>311.82</v>
      </c>
      <c r="E2208" s="1">
        <f ca="1">IFERROR(__xludf.DUMMYFUNCTION("""COMPUTED_VALUE"""),318.36)</f>
        <v>318.36</v>
      </c>
      <c r="F2208" s="1">
        <f ca="1">IFERROR(__xludf.DUMMYFUNCTION("""COMPUTED_VALUE"""),22503662)</f>
        <v>22503662</v>
      </c>
    </row>
    <row r="2209" spans="1:6" x14ac:dyDescent="0.35">
      <c r="A2209" s="2">
        <f ca="1">IFERROR(__xludf.DUMMYFUNCTION("""COMPUTED_VALUE"""),45209.6666666666)</f>
        <v>45209.666666666599</v>
      </c>
      <c r="B2209" s="1">
        <f ca="1">IFERROR(__xludf.DUMMYFUNCTION("""COMPUTED_VALUE"""),319.12)</f>
        <v>319.12</v>
      </c>
      <c r="C2209" s="1">
        <f ca="1">IFERROR(__xludf.DUMMYFUNCTION("""COMPUTED_VALUE"""),324.66)</f>
        <v>324.66000000000003</v>
      </c>
      <c r="D2209" s="1">
        <f ca="1">IFERROR(__xludf.DUMMYFUNCTION("""COMPUTED_VALUE"""),318.16)</f>
        <v>318.16000000000003</v>
      </c>
      <c r="E2209" s="1">
        <f ca="1">IFERROR(__xludf.DUMMYFUNCTION("""COMPUTED_VALUE"""),321.84)</f>
        <v>321.83999999999997</v>
      </c>
      <c r="F2209" s="1">
        <f ca="1">IFERROR(__xludf.DUMMYFUNCTION("""COMPUTED_VALUE"""),19037973)</f>
        <v>19037973</v>
      </c>
    </row>
    <row r="2210" spans="1:6" x14ac:dyDescent="0.35">
      <c r="A2210" s="2">
        <f ca="1">IFERROR(__xludf.DUMMYFUNCTION("""COMPUTED_VALUE"""),45210.6666666666)</f>
        <v>45210.666666666599</v>
      </c>
      <c r="B2210" s="1">
        <f ca="1">IFERROR(__xludf.DUMMYFUNCTION("""COMPUTED_VALUE"""),323.01)</f>
        <v>323.01</v>
      </c>
      <c r="C2210" s="1">
        <f ca="1">IFERROR(__xludf.DUMMYFUNCTION("""COMPUTED_VALUE"""),328.84)</f>
        <v>328.84</v>
      </c>
      <c r="D2210" s="1">
        <f ca="1">IFERROR(__xludf.DUMMYFUNCTION("""COMPUTED_VALUE"""),322.95)</f>
        <v>322.95</v>
      </c>
      <c r="E2210" s="1">
        <f ca="1">IFERROR(__xludf.DUMMYFUNCTION("""COMPUTED_VALUE"""),327.82)</f>
        <v>327.82</v>
      </c>
      <c r="F2210" s="1">
        <f ca="1">IFERROR(__xludf.DUMMYFUNCTION("""COMPUTED_VALUE"""),22036297)</f>
        <v>22036297</v>
      </c>
    </row>
    <row r="2211" spans="1:6" x14ac:dyDescent="0.35">
      <c r="A2211" s="2">
        <f ca="1">IFERROR(__xludf.DUMMYFUNCTION("""COMPUTED_VALUE"""),45211.6666666666)</f>
        <v>45211.666666666599</v>
      </c>
      <c r="B2211" s="1">
        <f ca="1">IFERROR(__xludf.DUMMYFUNCTION("""COMPUTED_VALUE"""),328)</f>
        <v>328</v>
      </c>
      <c r="C2211" s="1">
        <f ca="1">IFERROR(__xludf.DUMMYFUNCTION("""COMPUTED_VALUE"""),330.54)</f>
        <v>330.54</v>
      </c>
      <c r="D2211" s="1">
        <f ca="1">IFERROR(__xludf.DUMMYFUNCTION("""COMPUTED_VALUE"""),322.69)</f>
        <v>322.69</v>
      </c>
      <c r="E2211" s="1">
        <f ca="1">IFERROR(__xludf.DUMMYFUNCTION("""COMPUTED_VALUE"""),324.16)</f>
        <v>324.16000000000003</v>
      </c>
      <c r="F2211" s="1">
        <f ca="1">IFERROR(__xludf.DUMMYFUNCTION("""COMPUTED_VALUE"""),20530518)</f>
        <v>20530518</v>
      </c>
    </row>
    <row r="2212" spans="1:6" x14ac:dyDescent="0.35">
      <c r="A2212" s="2">
        <f ca="1">IFERROR(__xludf.DUMMYFUNCTION("""COMPUTED_VALUE"""),45212.6666666666)</f>
        <v>45212.666666666599</v>
      </c>
      <c r="B2212" s="1">
        <f ca="1">IFERROR(__xludf.DUMMYFUNCTION("""COMPUTED_VALUE"""),323.53)</f>
        <v>323.52999999999997</v>
      </c>
      <c r="C2212" s="1">
        <f ca="1">IFERROR(__xludf.DUMMYFUNCTION("""COMPUTED_VALUE"""),325.05)</f>
        <v>325.05</v>
      </c>
      <c r="D2212" s="1">
        <f ca="1">IFERROR(__xludf.DUMMYFUNCTION("""COMPUTED_VALUE"""),312.37)</f>
        <v>312.37</v>
      </c>
      <c r="E2212" s="1">
        <f ca="1">IFERROR(__xludf.DUMMYFUNCTION("""COMPUTED_VALUE"""),314.69)</f>
        <v>314.69</v>
      </c>
      <c r="F2212" s="1">
        <f ca="1">IFERROR(__xludf.DUMMYFUNCTION("""COMPUTED_VALUE"""),21360790)</f>
        <v>21360790</v>
      </c>
    </row>
    <row r="2213" spans="1:6" x14ac:dyDescent="0.35">
      <c r="A2213" s="2">
        <f ca="1">IFERROR(__xludf.DUMMYFUNCTION("""COMPUTED_VALUE"""),45215.6666666666)</f>
        <v>45215.666666666599</v>
      </c>
      <c r="B2213" s="1">
        <f ca="1">IFERROR(__xludf.DUMMYFUNCTION("""COMPUTED_VALUE"""),318.64)</f>
        <v>318.64</v>
      </c>
      <c r="C2213" s="1">
        <f ca="1">IFERROR(__xludf.DUMMYFUNCTION("""COMPUTED_VALUE"""),321.82)</f>
        <v>321.82</v>
      </c>
      <c r="D2213" s="1">
        <f ca="1">IFERROR(__xludf.DUMMYFUNCTION("""COMPUTED_VALUE"""),315.52)</f>
        <v>315.52</v>
      </c>
      <c r="E2213" s="1">
        <f ca="1">IFERROR(__xludf.DUMMYFUNCTION("""COMPUTED_VALUE"""),321.15)</f>
        <v>321.14999999999998</v>
      </c>
      <c r="F2213" s="1">
        <f ca="1">IFERROR(__xludf.DUMMYFUNCTION("""COMPUTED_VALUE"""),16536114)</f>
        <v>16536114</v>
      </c>
    </row>
    <row r="2214" spans="1:6" x14ac:dyDescent="0.35">
      <c r="A2214" s="2">
        <f ca="1">IFERROR(__xludf.DUMMYFUNCTION("""COMPUTED_VALUE"""),45216.6666666666)</f>
        <v>45216.666666666599</v>
      </c>
      <c r="B2214" s="1">
        <f ca="1">IFERROR(__xludf.DUMMYFUNCTION("""COMPUTED_VALUE"""),318.18)</f>
        <v>318.18</v>
      </c>
      <c r="C2214" s="1">
        <f ca="1">IFERROR(__xludf.DUMMYFUNCTION("""COMPUTED_VALUE"""),324.4)</f>
        <v>324.39999999999998</v>
      </c>
      <c r="D2214" s="1">
        <f ca="1">IFERROR(__xludf.DUMMYFUNCTION("""COMPUTED_VALUE"""),317.3)</f>
        <v>317.3</v>
      </c>
      <c r="E2214" s="1">
        <f ca="1">IFERROR(__xludf.DUMMYFUNCTION("""COMPUTED_VALUE"""),324)</f>
        <v>324</v>
      </c>
      <c r="F2214" s="1">
        <f ca="1">IFERROR(__xludf.DUMMYFUNCTION("""COMPUTED_VALUE"""),16387799)</f>
        <v>16387799</v>
      </c>
    </row>
    <row r="2215" spans="1:6" x14ac:dyDescent="0.35">
      <c r="A2215" s="2">
        <f ca="1">IFERROR(__xludf.DUMMYFUNCTION("""COMPUTED_VALUE"""),45217.6666666666)</f>
        <v>45217.666666666599</v>
      </c>
      <c r="B2215" s="1">
        <f ca="1">IFERROR(__xludf.DUMMYFUNCTION("""COMPUTED_VALUE"""),321.39)</f>
        <v>321.39</v>
      </c>
      <c r="C2215" s="1">
        <f ca="1">IFERROR(__xludf.DUMMYFUNCTION("""COMPUTED_VALUE"""),325.94)</f>
        <v>325.94</v>
      </c>
      <c r="D2215" s="1">
        <f ca="1">IFERROR(__xludf.DUMMYFUNCTION("""COMPUTED_VALUE"""),315.56)</f>
        <v>315.56</v>
      </c>
      <c r="E2215" s="1">
        <f ca="1">IFERROR(__xludf.DUMMYFUNCTION("""COMPUTED_VALUE"""),316.97)</f>
        <v>316.97000000000003</v>
      </c>
      <c r="F2215" s="1">
        <f ca="1">IFERROR(__xludf.DUMMYFUNCTION("""COMPUTED_VALUE"""),16851003)</f>
        <v>16851003</v>
      </c>
    </row>
    <row r="2216" spans="1:6" x14ac:dyDescent="0.35">
      <c r="A2216" s="2">
        <f ca="1">IFERROR(__xludf.DUMMYFUNCTION("""COMPUTED_VALUE"""),45218.6666666666)</f>
        <v>45218.666666666599</v>
      </c>
      <c r="B2216" s="1">
        <f ca="1">IFERROR(__xludf.DUMMYFUNCTION("""COMPUTED_VALUE"""),319.88)</f>
        <v>319.88</v>
      </c>
      <c r="C2216" s="1">
        <f ca="1">IFERROR(__xludf.DUMMYFUNCTION("""COMPUTED_VALUE"""),321.89)</f>
        <v>321.89</v>
      </c>
      <c r="D2216" s="1">
        <f ca="1">IFERROR(__xludf.DUMMYFUNCTION("""COMPUTED_VALUE"""),311.75)</f>
        <v>311.75</v>
      </c>
      <c r="E2216" s="1">
        <f ca="1">IFERROR(__xludf.DUMMYFUNCTION("""COMPUTED_VALUE"""),312.81)</f>
        <v>312.81</v>
      </c>
      <c r="F2216" s="1">
        <f ca="1">IFERROR(__xludf.DUMMYFUNCTION("""COMPUTED_VALUE"""),18709160)</f>
        <v>18709160</v>
      </c>
    </row>
    <row r="2217" spans="1:6" x14ac:dyDescent="0.35">
      <c r="A2217" s="2">
        <f ca="1">IFERROR(__xludf.DUMMYFUNCTION("""COMPUTED_VALUE"""),45219.6666666666)</f>
        <v>45219.666666666599</v>
      </c>
      <c r="B2217" s="1">
        <f ca="1">IFERROR(__xludf.DUMMYFUNCTION("""COMPUTED_VALUE"""),314.14)</f>
        <v>314.14</v>
      </c>
      <c r="C2217" s="1">
        <f ca="1">IFERROR(__xludf.DUMMYFUNCTION("""COMPUTED_VALUE"""),315.3)</f>
        <v>315.3</v>
      </c>
      <c r="D2217" s="1">
        <f ca="1">IFERROR(__xludf.DUMMYFUNCTION("""COMPUTED_VALUE"""),306.47)</f>
        <v>306.47000000000003</v>
      </c>
      <c r="E2217" s="1">
        <f ca="1">IFERROR(__xludf.DUMMYFUNCTION("""COMPUTED_VALUE"""),308.65)</f>
        <v>308.64999999999998</v>
      </c>
      <c r="F2217" s="1">
        <f ca="1">IFERROR(__xludf.DUMMYFUNCTION("""COMPUTED_VALUE"""),22312275)</f>
        <v>22312275</v>
      </c>
    </row>
    <row r="2218" spans="1:6" x14ac:dyDescent="0.35">
      <c r="A2218" s="2">
        <f ca="1">IFERROR(__xludf.DUMMYFUNCTION("""COMPUTED_VALUE"""),45222.6666666666)</f>
        <v>45222.666666666599</v>
      </c>
      <c r="B2218" s="1">
        <f ca="1">IFERROR(__xludf.DUMMYFUNCTION("""COMPUTED_VALUE"""),309.5)</f>
        <v>309.5</v>
      </c>
      <c r="C2218" s="1">
        <f ca="1">IFERROR(__xludf.DUMMYFUNCTION("""COMPUTED_VALUE"""),317.36)</f>
        <v>317.36</v>
      </c>
      <c r="D2218" s="1">
        <f ca="1">IFERROR(__xludf.DUMMYFUNCTION("""COMPUTED_VALUE"""),307.26)</f>
        <v>307.26</v>
      </c>
      <c r="E2218" s="1">
        <f ca="1">IFERROR(__xludf.DUMMYFUNCTION("""COMPUTED_VALUE"""),314.01)</f>
        <v>314.01</v>
      </c>
      <c r="F2218" s="1">
        <f ca="1">IFERROR(__xludf.DUMMYFUNCTION("""COMPUTED_VALUE"""),17796785)</f>
        <v>17796785</v>
      </c>
    </row>
    <row r="2219" spans="1:6" x14ac:dyDescent="0.35">
      <c r="A2219" s="2">
        <f ca="1">IFERROR(__xludf.DUMMYFUNCTION("""COMPUTED_VALUE"""),45223.6666666666)</f>
        <v>45223.666666666599</v>
      </c>
      <c r="B2219" s="1">
        <f ca="1">IFERROR(__xludf.DUMMYFUNCTION("""COMPUTED_VALUE"""),316.78)</f>
        <v>316.77999999999997</v>
      </c>
      <c r="C2219" s="1">
        <f ca="1">IFERROR(__xludf.DUMMYFUNCTION("""COMPUTED_VALUE"""),318.35)</f>
        <v>318.35000000000002</v>
      </c>
      <c r="D2219" s="1">
        <f ca="1">IFERROR(__xludf.DUMMYFUNCTION("""COMPUTED_VALUE"""),310.63)</f>
        <v>310.63</v>
      </c>
      <c r="E2219" s="1">
        <f ca="1">IFERROR(__xludf.DUMMYFUNCTION("""COMPUTED_VALUE"""),312.55)</f>
        <v>312.55</v>
      </c>
      <c r="F2219" s="1">
        <f ca="1">IFERROR(__xludf.DUMMYFUNCTION("""COMPUTED_VALUE"""),19525488)</f>
        <v>19525488</v>
      </c>
    </row>
    <row r="2220" spans="1:6" x14ac:dyDescent="0.35">
      <c r="A2220" s="2">
        <f ca="1">IFERROR(__xludf.DUMMYFUNCTION("""COMPUTED_VALUE"""),45224.6666666666)</f>
        <v>45224.666666666599</v>
      </c>
      <c r="B2220" s="1">
        <f ca="1">IFERROR(__xludf.DUMMYFUNCTION("""COMPUTED_VALUE"""),310)</f>
        <v>310</v>
      </c>
      <c r="C2220" s="1">
        <f ca="1">IFERROR(__xludf.DUMMYFUNCTION("""COMPUTED_VALUE"""),310.88)</f>
        <v>310.88</v>
      </c>
      <c r="D2220" s="1">
        <f ca="1">IFERROR(__xludf.DUMMYFUNCTION("""COMPUTED_VALUE"""),298.84)</f>
        <v>298.83999999999997</v>
      </c>
      <c r="E2220" s="1">
        <f ca="1">IFERROR(__xludf.DUMMYFUNCTION("""COMPUTED_VALUE"""),299.53)</f>
        <v>299.52999999999997</v>
      </c>
      <c r="F2220" s="1">
        <f ca="1">IFERROR(__xludf.DUMMYFUNCTION("""COMPUTED_VALUE"""),42192474)</f>
        <v>42192474</v>
      </c>
    </row>
    <row r="2221" spans="1:6" x14ac:dyDescent="0.35">
      <c r="A2221" s="2">
        <f ca="1">IFERROR(__xludf.DUMMYFUNCTION("""COMPUTED_VALUE"""),45225.6666666666)</f>
        <v>45225.666666666599</v>
      </c>
      <c r="B2221" s="1">
        <f ca="1">IFERROR(__xludf.DUMMYFUNCTION("""COMPUTED_VALUE"""),295)</f>
        <v>295</v>
      </c>
      <c r="C2221" s="1">
        <f ca="1">IFERROR(__xludf.DUMMYFUNCTION("""COMPUTED_VALUE"""),295)</f>
        <v>295</v>
      </c>
      <c r="D2221" s="1">
        <f ca="1">IFERROR(__xludf.DUMMYFUNCTION("""COMPUTED_VALUE"""),279.4)</f>
        <v>279.39999999999998</v>
      </c>
      <c r="E2221" s="1">
        <f ca="1">IFERROR(__xludf.DUMMYFUNCTION("""COMPUTED_VALUE"""),288.35)</f>
        <v>288.35000000000002</v>
      </c>
      <c r="F2221" s="1">
        <f ca="1">IFERROR(__xludf.DUMMYFUNCTION("""COMPUTED_VALUE"""),66684141)</f>
        <v>66684141</v>
      </c>
    </row>
    <row r="2222" spans="1:6" x14ac:dyDescent="0.35">
      <c r="A2222" s="2">
        <f ca="1">IFERROR(__xludf.DUMMYFUNCTION("""COMPUTED_VALUE"""),45226.6666666666)</f>
        <v>45226.666666666599</v>
      </c>
      <c r="B2222" s="1">
        <f ca="1">IFERROR(__xludf.DUMMYFUNCTION("""COMPUTED_VALUE"""),294.48)</f>
        <v>294.48</v>
      </c>
      <c r="C2222" s="1">
        <f ca="1">IFERROR(__xludf.DUMMYFUNCTION("""COMPUTED_VALUE"""),299.31)</f>
        <v>299.31</v>
      </c>
      <c r="D2222" s="1">
        <f ca="1">IFERROR(__xludf.DUMMYFUNCTION("""COMPUTED_VALUE"""),292.97)</f>
        <v>292.97000000000003</v>
      </c>
      <c r="E2222" s="1">
        <f ca="1">IFERROR(__xludf.DUMMYFUNCTION("""COMPUTED_VALUE"""),296.73)</f>
        <v>296.73</v>
      </c>
      <c r="F2222" s="1">
        <f ca="1">IFERROR(__xludf.DUMMYFUNCTION("""COMPUTED_VALUE"""),29596256)</f>
        <v>29596256</v>
      </c>
    </row>
    <row r="2223" spans="1:6" x14ac:dyDescent="0.35">
      <c r="A2223" s="2">
        <f ca="1">IFERROR(__xludf.DUMMYFUNCTION("""COMPUTED_VALUE"""),45229.6666666666)</f>
        <v>45229.666666666599</v>
      </c>
      <c r="B2223" s="1">
        <f ca="1">IFERROR(__xludf.DUMMYFUNCTION("""COMPUTED_VALUE"""),299.09)</f>
        <v>299.08999999999997</v>
      </c>
      <c r="C2223" s="1">
        <f ca="1">IFERROR(__xludf.DUMMYFUNCTION("""COMPUTED_VALUE"""),309.4)</f>
        <v>309.39999999999998</v>
      </c>
      <c r="D2223" s="1">
        <f ca="1">IFERROR(__xludf.DUMMYFUNCTION("""COMPUTED_VALUE"""),299.05)</f>
        <v>299.05</v>
      </c>
      <c r="E2223" s="1">
        <f ca="1">IFERROR(__xludf.DUMMYFUNCTION("""COMPUTED_VALUE"""),302.66)</f>
        <v>302.66000000000003</v>
      </c>
      <c r="F2223" s="1">
        <f ca="1">IFERROR(__xludf.DUMMYFUNCTION("""COMPUTED_VALUE"""),28435053)</f>
        <v>28435053</v>
      </c>
    </row>
    <row r="2224" spans="1:6" x14ac:dyDescent="0.35">
      <c r="A2224" s="2">
        <f ca="1">IFERROR(__xludf.DUMMYFUNCTION("""COMPUTED_VALUE"""),45230.6666666666)</f>
        <v>45230.666666666599</v>
      </c>
      <c r="B2224" s="1">
        <f ca="1">IFERROR(__xludf.DUMMYFUNCTION("""COMPUTED_VALUE"""),303.31)</f>
        <v>303.31</v>
      </c>
      <c r="C2224" s="1">
        <f ca="1">IFERROR(__xludf.DUMMYFUNCTION("""COMPUTED_VALUE"""),303.68)</f>
        <v>303.68</v>
      </c>
      <c r="D2224" s="1">
        <f ca="1">IFERROR(__xludf.DUMMYFUNCTION("""COMPUTED_VALUE"""),296.86)</f>
        <v>296.86</v>
      </c>
      <c r="E2224" s="1">
        <f ca="1">IFERROR(__xludf.DUMMYFUNCTION("""COMPUTED_VALUE"""),301.27)</f>
        <v>301.27</v>
      </c>
      <c r="F2224" s="1">
        <f ca="1">IFERROR(__xludf.DUMMYFUNCTION("""COMPUTED_VALUE"""),19434168)</f>
        <v>19434168</v>
      </c>
    </row>
    <row r="2225" spans="1:6" x14ac:dyDescent="0.35">
      <c r="A2225" s="2">
        <f ca="1">IFERROR(__xludf.DUMMYFUNCTION("""COMPUTED_VALUE"""),45231.6666666666)</f>
        <v>45231.666666666599</v>
      </c>
      <c r="B2225" s="1">
        <f ca="1">IFERROR(__xludf.DUMMYFUNCTION("""COMPUTED_VALUE"""),301.85)</f>
        <v>301.85000000000002</v>
      </c>
      <c r="C2225" s="1">
        <f ca="1">IFERROR(__xludf.DUMMYFUNCTION("""COMPUTED_VALUE"""),312.74)</f>
        <v>312.74</v>
      </c>
      <c r="D2225" s="1">
        <f ca="1">IFERROR(__xludf.DUMMYFUNCTION("""COMPUTED_VALUE"""),301.85)</f>
        <v>301.85000000000002</v>
      </c>
      <c r="E2225" s="1">
        <f ca="1">IFERROR(__xludf.DUMMYFUNCTION("""COMPUTED_VALUE"""),311.85)</f>
        <v>311.85000000000002</v>
      </c>
      <c r="F2225" s="1">
        <f ca="1">IFERROR(__xludf.DUMMYFUNCTION("""COMPUTED_VALUE"""),20434580)</f>
        <v>20434580</v>
      </c>
    </row>
    <row r="2226" spans="1:6" x14ac:dyDescent="0.35">
      <c r="A2226" s="2">
        <f ca="1">IFERROR(__xludf.DUMMYFUNCTION("""COMPUTED_VALUE"""),45232.6666666666)</f>
        <v>45232.666666666599</v>
      </c>
      <c r="B2226" s="1">
        <f ca="1">IFERROR(__xludf.DUMMYFUNCTION("""COMPUTED_VALUE"""),317.3)</f>
        <v>317.3</v>
      </c>
      <c r="C2226" s="1">
        <f ca="1">IFERROR(__xludf.DUMMYFUNCTION("""COMPUTED_VALUE"""),318.82)</f>
        <v>318.82</v>
      </c>
      <c r="D2226" s="1">
        <f ca="1">IFERROR(__xludf.DUMMYFUNCTION("""COMPUTED_VALUE"""),308.33)</f>
        <v>308.33</v>
      </c>
      <c r="E2226" s="1">
        <f ca="1">IFERROR(__xludf.DUMMYFUNCTION("""COMPUTED_VALUE"""),310.87)</f>
        <v>310.87</v>
      </c>
      <c r="F2226" s="1">
        <f ca="1">IFERROR(__xludf.DUMMYFUNCTION("""COMPUTED_VALUE"""),21631820)</f>
        <v>21631820</v>
      </c>
    </row>
    <row r="2227" spans="1:6" x14ac:dyDescent="0.35">
      <c r="A2227" s="2">
        <f ca="1">IFERROR(__xludf.DUMMYFUNCTION("""COMPUTED_VALUE"""),45233.6666666666)</f>
        <v>45233.666666666599</v>
      </c>
      <c r="B2227" s="1">
        <f ca="1">IFERROR(__xludf.DUMMYFUNCTION("""COMPUTED_VALUE"""),312.55)</f>
        <v>312.55</v>
      </c>
      <c r="C2227" s="1">
        <f ca="1">IFERROR(__xludf.DUMMYFUNCTION("""COMPUTED_VALUE"""),315.55)</f>
        <v>315.55</v>
      </c>
      <c r="D2227" s="1">
        <f ca="1">IFERROR(__xludf.DUMMYFUNCTION("""COMPUTED_VALUE"""),311.02)</f>
        <v>311.02</v>
      </c>
      <c r="E2227" s="1">
        <f ca="1">IFERROR(__xludf.DUMMYFUNCTION("""COMPUTED_VALUE"""),314.6)</f>
        <v>314.60000000000002</v>
      </c>
      <c r="F2227" s="1">
        <f ca="1">IFERROR(__xludf.DUMMYFUNCTION("""COMPUTED_VALUE"""),16764315)</f>
        <v>16764315</v>
      </c>
    </row>
    <row r="2228" spans="1:6" x14ac:dyDescent="0.35">
      <c r="A2228" s="2">
        <f ca="1">IFERROR(__xludf.DUMMYFUNCTION("""COMPUTED_VALUE"""),45236.6666666666)</f>
        <v>45236.666666666599</v>
      </c>
      <c r="B2228" s="1">
        <f ca="1">IFERROR(__xludf.DUMMYFUNCTION("""COMPUTED_VALUE"""),315.98)</f>
        <v>315.98</v>
      </c>
      <c r="C2228" s="1">
        <f ca="1">IFERROR(__xludf.DUMMYFUNCTION("""COMPUTED_VALUE"""),318.33)</f>
        <v>318.33</v>
      </c>
      <c r="D2228" s="1">
        <f ca="1">IFERROR(__xludf.DUMMYFUNCTION("""COMPUTED_VALUE"""),314.45)</f>
        <v>314.45</v>
      </c>
      <c r="E2228" s="1">
        <f ca="1">IFERROR(__xludf.DUMMYFUNCTION("""COMPUTED_VALUE"""),315.8)</f>
        <v>315.8</v>
      </c>
      <c r="F2228" s="1">
        <f ca="1">IFERROR(__xludf.DUMMYFUNCTION("""COMPUTED_VALUE"""),12887699)</f>
        <v>12887699</v>
      </c>
    </row>
    <row r="2229" spans="1:6" x14ac:dyDescent="0.35">
      <c r="A2229" s="2">
        <f ca="1">IFERROR(__xludf.DUMMYFUNCTION("""COMPUTED_VALUE"""),45237.6666666666)</f>
        <v>45237.666666666599</v>
      </c>
      <c r="B2229" s="1">
        <f ca="1">IFERROR(__xludf.DUMMYFUNCTION("""COMPUTED_VALUE"""),317.06)</f>
        <v>317.06</v>
      </c>
      <c r="C2229" s="1">
        <f ca="1">IFERROR(__xludf.DUMMYFUNCTION("""COMPUTED_VALUE"""),321)</f>
        <v>321</v>
      </c>
      <c r="D2229" s="1">
        <f ca="1">IFERROR(__xludf.DUMMYFUNCTION("""COMPUTED_VALUE"""),315.12)</f>
        <v>315.12</v>
      </c>
      <c r="E2229" s="1">
        <f ca="1">IFERROR(__xludf.DUMMYFUNCTION("""COMPUTED_VALUE"""),318.82)</f>
        <v>318.82</v>
      </c>
      <c r="F2229" s="1">
        <f ca="1">IFERROR(__xludf.DUMMYFUNCTION("""COMPUTED_VALUE"""),14055614)</f>
        <v>14055614</v>
      </c>
    </row>
    <row r="2230" spans="1:6" x14ac:dyDescent="0.35">
      <c r="A2230" s="2">
        <f ca="1">IFERROR(__xludf.DUMMYFUNCTION("""COMPUTED_VALUE"""),45238.6666666666)</f>
        <v>45238.666666666599</v>
      </c>
      <c r="B2230" s="1">
        <f ca="1">IFERROR(__xludf.DUMMYFUNCTION("""COMPUTED_VALUE"""),318.14)</f>
        <v>318.14</v>
      </c>
      <c r="C2230" s="1">
        <f ca="1">IFERROR(__xludf.DUMMYFUNCTION("""COMPUTED_VALUE"""),321.33)</f>
        <v>321.33</v>
      </c>
      <c r="D2230" s="1">
        <f ca="1">IFERROR(__xludf.DUMMYFUNCTION("""COMPUTED_VALUE"""),314.88)</f>
        <v>314.88</v>
      </c>
      <c r="E2230" s="1">
        <f ca="1">IFERROR(__xludf.DUMMYFUNCTION("""COMPUTED_VALUE"""),319.78)</f>
        <v>319.77999999999997</v>
      </c>
      <c r="F2230" s="1">
        <f ca="1">IFERROR(__xludf.DUMMYFUNCTION("""COMPUTED_VALUE"""),13609704)</f>
        <v>13609704</v>
      </c>
    </row>
    <row r="2231" spans="1:6" x14ac:dyDescent="0.35">
      <c r="A2231" s="2">
        <f ca="1">IFERROR(__xludf.DUMMYFUNCTION("""COMPUTED_VALUE"""),45239.6666666666)</f>
        <v>45239.666666666599</v>
      </c>
      <c r="B2231" s="1">
        <f ca="1">IFERROR(__xludf.DUMMYFUNCTION("""COMPUTED_VALUE"""),319.42)</f>
        <v>319.42</v>
      </c>
      <c r="C2231" s="1">
        <f ca="1">IFERROR(__xludf.DUMMYFUNCTION("""COMPUTED_VALUE"""),324.18)</f>
        <v>324.18</v>
      </c>
      <c r="D2231" s="1">
        <f ca="1">IFERROR(__xludf.DUMMYFUNCTION("""COMPUTED_VALUE"""),318.8)</f>
        <v>318.8</v>
      </c>
      <c r="E2231" s="1">
        <f ca="1">IFERROR(__xludf.DUMMYFUNCTION("""COMPUTED_VALUE"""),320.55)</f>
        <v>320.55</v>
      </c>
      <c r="F2231" s="1">
        <f ca="1">IFERROR(__xludf.DUMMYFUNCTION("""COMPUTED_VALUE"""),16103071)</f>
        <v>16103071</v>
      </c>
    </row>
    <row r="2232" spans="1:6" x14ac:dyDescent="0.35">
      <c r="A2232" s="2">
        <f ca="1">IFERROR(__xludf.DUMMYFUNCTION("""COMPUTED_VALUE"""),45240.6666666666)</f>
        <v>45240.666666666599</v>
      </c>
      <c r="B2232" s="1">
        <f ca="1">IFERROR(__xludf.DUMMYFUNCTION("""COMPUTED_VALUE"""),319.94)</f>
        <v>319.94</v>
      </c>
      <c r="C2232" s="1">
        <f ca="1">IFERROR(__xludf.DUMMYFUNCTION("""COMPUTED_VALUE"""),329.1)</f>
        <v>329.1</v>
      </c>
      <c r="D2232" s="1">
        <f ca="1">IFERROR(__xludf.DUMMYFUNCTION("""COMPUTED_VALUE"""),319.46)</f>
        <v>319.45999999999998</v>
      </c>
      <c r="E2232" s="1">
        <f ca="1">IFERROR(__xludf.DUMMYFUNCTION("""COMPUTED_VALUE"""),328.77)</f>
        <v>328.77</v>
      </c>
      <c r="F2232" s="1">
        <f ca="1">IFERROR(__xludf.DUMMYFUNCTION("""COMPUTED_VALUE"""),19116921)</f>
        <v>19116921</v>
      </c>
    </row>
    <row r="2233" spans="1:6" x14ac:dyDescent="0.35">
      <c r="A2233" s="2">
        <f ca="1">IFERROR(__xludf.DUMMYFUNCTION("""COMPUTED_VALUE"""),45243.6666666666)</f>
        <v>45243.666666666599</v>
      </c>
      <c r="B2233" s="1">
        <f ca="1">IFERROR(__xludf.DUMMYFUNCTION("""COMPUTED_VALUE"""),326.2)</f>
        <v>326.2</v>
      </c>
      <c r="C2233" s="1">
        <f ca="1">IFERROR(__xludf.DUMMYFUNCTION("""COMPUTED_VALUE"""),332.33)</f>
        <v>332.33</v>
      </c>
      <c r="D2233" s="1">
        <f ca="1">IFERROR(__xludf.DUMMYFUNCTION("""COMPUTED_VALUE"""),325.7)</f>
        <v>325.7</v>
      </c>
      <c r="E2233" s="1">
        <f ca="1">IFERROR(__xludf.DUMMYFUNCTION("""COMPUTED_VALUE"""),329.19)</f>
        <v>329.19</v>
      </c>
      <c r="F2233" s="1">
        <f ca="1">IFERROR(__xludf.DUMMYFUNCTION("""COMPUTED_VALUE"""),16908948)</f>
        <v>16908948</v>
      </c>
    </row>
    <row r="2234" spans="1:6" x14ac:dyDescent="0.35">
      <c r="A2234" s="2">
        <f ca="1">IFERROR(__xludf.DUMMYFUNCTION("""COMPUTED_VALUE"""),45244.6666666666)</f>
        <v>45244.666666666599</v>
      </c>
      <c r="B2234" s="1">
        <f ca="1">IFERROR(__xludf.DUMMYFUNCTION("""COMPUTED_VALUE"""),334.54)</f>
        <v>334.54</v>
      </c>
      <c r="C2234" s="1">
        <f ca="1">IFERROR(__xludf.DUMMYFUNCTION("""COMPUTED_VALUE"""),338.1)</f>
        <v>338.1</v>
      </c>
      <c r="D2234" s="1">
        <f ca="1">IFERROR(__xludf.DUMMYFUNCTION("""COMPUTED_VALUE"""),333.33)</f>
        <v>333.33</v>
      </c>
      <c r="E2234" s="1">
        <f ca="1">IFERROR(__xludf.DUMMYFUNCTION("""COMPUTED_VALUE"""),336.31)</f>
        <v>336.31</v>
      </c>
      <c r="F2234" s="1">
        <f ca="1">IFERROR(__xludf.DUMMYFUNCTION("""COMPUTED_VALUE"""),17179403)</f>
        <v>17179403</v>
      </c>
    </row>
    <row r="2235" spans="1:6" x14ac:dyDescent="0.35">
      <c r="A2235" s="2">
        <f ca="1">IFERROR(__xludf.DUMMYFUNCTION("""COMPUTED_VALUE"""),45245.6666666666)</f>
        <v>45245.666666666599</v>
      </c>
      <c r="B2235" s="1">
        <f ca="1">IFERROR(__xludf.DUMMYFUNCTION("""COMPUTED_VALUE"""),337.93)</f>
        <v>337.93</v>
      </c>
      <c r="C2235" s="1">
        <f ca="1">IFERROR(__xludf.DUMMYFUNCTION("""COMPUTED_VALUE"""),338.4)</f>
        <v>338.4</v>
      </c>
      <c r="D2235" s="1">
        <f ca="1">IFERROR(__xludf.DUMMYFUNCTION("""COMPUTED_VALUE"""),330.02)</f>
        <v>330.02</v>
      </c>
      <c r="E2235" s="1">
        <f ca="1">IFERROR(__xludf.DUMMYFUNCTION("""COMPUTED_VALUE"""),332.71)</f>
        <v>332.71</v>
      </c>
      <c r="F2235" s="1">
        <f ca="1">IFERROR(__xludf.DUMMYFUNCTION("""COMPUTED_VALUE"""),14531180)</f>
        <v>14531180</v>
      </c>
    </row>
    <row r="2236" spans="1:6" x14ac:dyDescent="0.35">
      <c r="A2236" s="2">
        <f ca="1">IFERROR(__xludf.DUMMYFUNCTION("""COMPUTED_VALUE"""),45246.6666666666)</f>
        <v>45246.666666666599</v>
      </c>
      <c r="B2236" s="1">
        <f ca="1">IFERROR(__xludf.DUMMYFUNCTION("""COMPUTED_VALUE"""),329.37)</f>
        <v>329.37</v>
      </c>
      <c r="C2236" s="1">
        <f ca="1">IFERROR(__xludf.DUMMYFUNCTION("""COMPUTED_VALUE"""),334.58)</f>
        <v>334.58</v>
      </c>
      <c r="D2236" s="1">
        <f ca="1">IFERROR(__xludf.DUMMYFUNCTION("""COMPUTED_VALUE"""),326.38)</f>
        <v>326.38</v>
      </c>
      <c r="E2236" s="1">
        <f ca="1">IFERROR(__xludf.DUMMYFUNCTION("""COMPUTED_VALUE"""),334.19)</f>
        <v>334.19</v>
      </c>
      <c r="F2236" s="1">
        <f ca="1">IFERROR(__xludf.DUMMYFUNCTION("""COMPUTED_VALUE"""),18932572)</f>
        <v>18932572</v>
      </c>
    </row>
    <row r="2237" spans="1:6" x14ac:dyDescent="0.35">
      <c r="A2237" s="2">
        <f ca="1">IFERROR(__xludf.DUMMYFUNCTION("""COMPUTED_VALUE"""),45247.6666666666)</f>
        <v>45247.666666666599</v>
      </c>
      <c r="B2237" s="1">
        <f ca="1">IFERROR(__xludf.DUMMYFUNCTION("""COMPUTED_VALUE"""),330.26)</f>
        <v>330.26</v>
      </c>
      <c r="C2237" s="1">
        <f ca="1">IFERROR(__xludf.DUMMYFUNCTION("""COMPUTED_VALUE"""),335.5)</f>
        <v>335.5</v>
      </c>
      <c r="D2237" s="1">
        <f ca="1">IFERROR(__xludf.DUMMYFUNCTION("""COMPUTED_VALUE"""),329.35)</f>
        <v>329.35</v>
      </c>
      <c r="E2237" s="1">
        <f ca="1">IFERROR(__xludf.DUMMYFUNCTION("""COMPUTED_VALUE"""),335.04)</f>
        <v>335.04</v>
      </c>
      <c r="F2237" s="1">
        <f ca="1">IFERROR(__xludf.DUMMYFUNCTION("""COMPUTED_VALUE"""),14519213)</f>
        <v>14519213</v>
      </c>
    </row>
    <row r="2238" spans="1:6" x14ac:dyDescent="0.35">
      <c r="A2238" s="2">
        <f ca="1">IFERROR(__xludf.DUMMYFUNCTION("""COMPUTED_VALUE"""),45250.6666666666)</f>
        <v>45250.666666666599</v>
      </c>
      <c r="B2238" s="1">
        <f ca="1">IFERROR(__xludf.DUMMYFUNCTION("""COMPUTED_VALUE"""),334.89)</f>
        <v>334.89</v>
      </c>
      <c r="C2238" s="1">
        <f ca="1">IFERROR(__xludf.DUMMYFUNCTION("""COMPUTED_VALUE"""),341.87)</f>
        <v>341.87</v>
      </c>
      <c r="D2238" s="1">
        <f ca="1">IFERROR(__xludf.DUMMYFUNCTION("""COMPUTED_VALUE"""),334.19)</f>
        <v>334.19</v>
      </c>
      <c r="E2238" s="1">
        <f ca="1">IFERROR(__xludf.DUMMYFUNCTION("""COMPUTED_VALUE"""),339.97)</f>
        <v>339.97</v>
      </c>
      <c r="F2238" s="1">
        <f ca="1">IFERROR(__xludf.DUMMYFUNCTION("""COMPUTED_VALUE"""),16976129)</f>
        <v>16976129</v>
      </c>
    </row>
    <row r="2239" spans="1:6" x14ac:dyDescent="0.35">
      <c r="A2239" s="2">
        <f ca="1">IFERROR(__xludf.DUMMYFUNCTION("""COMPUTED_VALUE"""),45251.6666666666)</f>
        <v>45251.666666666599</v>
      </c>
      <c r="B2239" s="1">
        <f ca="1">IFERROR(__xludf.DUMMYFUNCTION("""COMPUTED_VALUE"""),338.33)</f>
        <v>338.33</v>
      </c>
      <c r="C2239" s="1">
        <f ca="1">IFERROR(__xludf.DUMMYFUNCTION("""COMPUTED_VALUE"""),339.9)</f>
        <v>339.9</v>
      </c>
      <c r="D2239" s="1">
        <f ca="1">IFERROR(__xludf.DUMMYFUNCTION("""COMPUTED_VALUE"""),335.9)</f>
        <v>335.9</v>
      </c>
      <c r="E2239" s="1">
        <f ca="1">IFERROR(__xludf.DUMMYFUNCTION("""COMPUTED_VALUE"""),336.98)</f>
        <v>336.98</v>
      </c>
      <c r="F2239" s="1">
        <f ca="1">IFERROR(__xludf.DUMMYFUNCTION("""COMPUTED_VALUE"""),12027863)</f>
        <v>12027863</v>
      </c>
    </row>
    <row r="2240" spans="1:6" x14ac:dyDescent="0.35">
      <c r="A2240" s="2">
        <f ca="1">IFERROR(__xludf.DUMMYFUNCTION("""COMPUTED_VALUE"""),45252.6666666666)</f>
        <v>45252.666666666599</v>
      </c>
      <c r="B2240" s="1">
        <f ca="1">IFERROR(__xludf.DUMMYFUNCTION("""COMPUTED_VALUE"""),339.21)</f>
        <v>339.21</v>
      </c>
      <c r="C2240" s="1">
        <f ca="1">IFERROR(__xludf.DUMMYFUNCTION("""COMPUTED_VALUE"""),342.92)</f>
        <v>342.92</v>
      </c>
      <c r="D2240" s="1">
        <f ca="1">IFERROR(__xludf.DUMMYFUNCTION("""COMPUTED_VALUE"""),338.58)</f>
        <v>338.58</v>
      </c>
      <c r="E2240" s="1">
        <f ca="1">IFERROR(__xludf.DUMMYFUNCTION("""COMPUTED_VALUE"""),341.49)</f>
        <v>341.49</v>
      </c>
      <c r="F2240" s="1">
        <f ca="1">IFERROR(__xludf.DUMMYFUNCTION("""COMPUTED_VALUE"""),10715177)</f>
        <v>10715177</v>
      </c>
    </row>
    <row r="2241" spans="1:6" x14ac:dyDescent="0.35">
      <c r="A2241" s="2">
        <f ca="1">IFERROR(__xludf.DUMMYFUNCTION("""COMPUTED_VALUE"""),45254.5451388888)</f>
        <v>45254.545138888803</v>
      </c>
      <c r="B2241" s="1">
        <f ca="1">IFERROR(__xludf.DUMMYFUNCTION("""COMPUTED_VALUE"""),340.13)</f>
        <v>340.13</v>
      </c>
      <c r="C2241" s="1">
        <f ca="1">IFERROR(__xludf.DUMMYFUNCTION("""COMPUTED_VALUE"""),341.86)</f>
        <v>341.86</v>
      </c>
      <c r="D2241" s="1">
        <f ca="1">IFERROR(__xludf.DUMMYFUNCTION("""COMPUTED_VALUE"""),336.77)</f>
        <v>336.77</v>
      </c>
      <c r="E2241" s="1">
        <f ca="1">IFERROR(__xludf.DUMMYFUNCTION("""COMPUTED_VALUE"""),338.23)</f>
        <v>338.23</v>
      </c>
      <c r="F2241" s="1">
        <f ca="1">IFERROR(__xludf.DUMMYFUNCTION("""COMPUTED_VALUE"""),5467488)</f>
        <v>5467488</v>
      </c>
    </row>
    <row r="2242" spans="1:6" x14ac:dyDescent="0.35">
      <c r="A2242" s="2">
        <f ca="1">IFERROR(__xludf.DUMMYFUNCTION("""COMPUTED_VALUE"""),45257.6666666666)</f>
        <v>45257.666666666599</v>
      </c>
      <c r="B2242" s="1">
        <f ca="1">IFERROR(__xludf.DUMMYFUNCTION("""COMPUTED_VALUE"""),336.18)</f>
        <v>336.18</v>
      </c>
      <c r="C2242" s="1">
        <f ca="1">IFERROR(__xludf.DUMMYFUNCTION("""COMPUTED_VALUE"""),339.9)</f>
        <v>339.9</v>
      </c>
      <c r="D2242" s="1">
        <f ca="1">IFERROR(__xludf.DUMMYFUNCTION("""COMPUTED_VALUE"""),334.2)</f>
        <v>334.2</v>
      </c>
      <c r="E2242" s="1">
        <f ca="1">IFERROR(__xludf.DUMMYFUNCTION("""COMPUTED_VALUE"""),334.7)</f>
        <v>334.7</v>
      </c>
      <c r="F2242" s="1">
        <f ca="1">IFERROR(__xludf.DUMMYFUNCTION("""COMPUTED_VALUE"""),15684454)</f>
        <v>15684454</v>
      </c>
    </row>
    <row r="2243" spans="1:6" x14ac:dyDescent="0.35">
      <c r="A2243" s="2">
        <f ca="1">IFERROR(__xludf.DUMMYFUNCTION("""COMPUTED_VALUE"""),45258.6666666666)</f>
        <v>45258.666666666599</v>
      </c>
      <c r="B2243" s="1">
        <f ca="1">IFERROR(__xludf.DUMMYFUNCTION("""COMPUTED_VALUE"""),333.4)</f>
        <v>333.4</v>
      </c>
      <c r="C2243" s="1">
        <f ca="1">IFERROR(__xludf.DUMMYFUNCTION("""COMPUTED_VALUE"""),339.38)</f>
        <v>339.38</v>
      </c>
      <c r="D2243" s="1">
        <f ca="1">IFERROR(__xludf.DUMMYFUNCTION("""COMPUTED_VALUE"""),333.4)</f>
        <v>333.4</v>
      </c>
      <c r="E2243" s="1">
        <f ca="1">IFERROR(__xludf.DUMMYFUNCTION("""COMPUTED_VALUE"""),338.99)</f>
        <v>338.99</v>
      </c>
      <c r="F2243" s="1">
        <f ca="1">IFERROR(__xludf.DUMMYFUNCTION("""COMPUTED_VALUE"""),12637245)</f>
        <v>12637245</v>
      </c>
    </row>
    <row r="2244" spans="1:6" x14ac:dyDescent="0.35">
      <c r="A2244" s="2">
        <f ca="1">IFERROR(__xludf.DUMMYFUNCTION("""COMPUTED_VALUE"""),45259.6666666666)</f>
        <v>45259.666666666599</v>
      </c>
      <c r="B2244" s="1">
        <f ca="1">IFERROR(__xludf.DUMMYFUNCTION("""COMPUTED_VALUE"""),339.69)</f>
        <v>339.69</v>
      </c>
      <c r="C2244" s="1">
        <f ca="1">IFERROR(__xludf.DUMMYFUNCTION("""COMPUTED_VALUE"""),339.9)</f>
        <v>339.9</v>
      </c>
      <c r="D2244" s="1">
        <f ca="1">IFERROR(__xludf.DUMMYFUNCTION("""COMPUTED_VALUE"""),330.78)</f>
        <v>330.78</v>
      </c>
      <c r="E2244" s="1">
        <f ca="1">IFERROR(__xludf.DUMMYFUNCTION("""COMPUTED_VALUE"""),332.2)</f>
        <v>332.2</v>
      </c>
      <c r="F2244" s="1">
        <f ca="1">IFERROR(__xludf.DUMMYFUNCTION("""COMPUTED_VALUE"""),16024497)</f>
        <v>16024497</v>
      </c>
    </row>
    <row r="2245" spans="1:6" x14ac:dyDescent="0.35">
      <c r="A2245" s="2">
        <f ca="1">IFERROR(__xludf.DUMMYFUNCTION("""COMPUTED_VALUE"""),45260.6666666666)</f>
        <v>45260.666666666599</v>
      </c>
      <c r="B2245" s="1">
        <f ca="1">IFERROR(__xludf.DUMMYFUNCTION("""COMPUTED_VALUE"""),331.89)</f>
        <v>331.89</v>
      </c>
      <c r="C2245" s="1">
        <f ca="1">IFERROR(__xludf.DUMMYFUNCTION("""COMPUTED_VALUE"""),333.5)</f>
        <v>333.5</v>
      </c>
      <c r="D2245" s="1">
        <f ca="1">IFERROR(__xludf.DUMMYFUNCTION("""COMPUTED_VALUE"""),322.4)</f>
        <v>322.39999999999998</v>
      </c>
      <c r="E2245" s="1">
        <f ca="1">IFERROR(__xludf.DUMMYFUNCTION("""COMPUTED_VALUE"""),327.15)</f>
        <v>327.14999999999998</v>
      </c>
      <c r="F2245" s="1">
        <f ca="1">IFERROR(__xludf.DUMMYFUNCTION("""COMPUTED_VALUE"""),23146387)</f>
        <v>23146387</v>
      </c>
    </row>
    <row r="2246" spans="1:6" x14ac:dyDescent="0.35">
      <c r="A2246" s="2">
        <f ca="1">IFERROR(__xludf.DUMMYFUNCTION("""COMPUTED_VALUE"""),45261.6666666666)</f>
        <v>45261.666666666599</v>
      </c>
      <c r="B2246" s="1">
        <f ca="1">IFERROR(__xludf.DUMMYFUNCTION("""COMPUTED_VALUE"""),325.48)</f>
        <v>325.48</v>
      </c>
      <c r="C2246" s="1">
        <f ca="1">IFERROR(__xludf.DUMMYFUNCTION("""COMPUTED_VALUE"""),326.86)</f>
        <v>326.86</v>
      </c>
      <c r="D2246" s="1">
        <f ca="1">IFERROR(__xludf.DUMMYFUNCTION("""COMPUTED_VALUE"""),320.76)</f>
        <v>320.76</v>
      </c>
      <c r="E2246" s="1">
        <f ca="1">IFERROR(__xludf.DUMMYFUNCTION("""COMPUTED_VALUE"""),324.82)</f>
        <v>324.82</v>
      </c>
      <c r="F2246" s="1">
        <f ca="1">IFERROR(__xludf.DUMMYFUNCTION("""COMPUTED_VALUE"""),15276375)</f>
        <v>15276375</v>
      </c>
    </row>
    <row r="2247" spans="1:6" x14ac:dyDescent="0.35">
      <c r="A2247" s="2">
        <f ca="1">IFERROR(__xludf.DUMMYFUNCTION("""COMPUTED_VALUE"""),45264.6666666666)</f>
        <v>45264.666666666599</v>
      </c>
      <c r="B2247" s="1">
        <f ca="1">IFERROR(__xludf.DUMMYFUNCTION("""COMPUTED_VALUE"""),317.29)</f>
        <v>317.29000000000002</v>
      </c>
      <c r="C2247" s="1">
        <f ca="1">IFERROR(__xludf.DUMMYFUNCTION("""COMPUTED_VALUE"""),320.86)</f>
        <v>320.86</v>
      </c>
      <c r="D2247" s="1">
        <f ca="1">IFERROR(__xludf.DUMMYFUNCTION("""COMPUTED_VALUE"""),313.66)</f>
        <v>313.66000000000003</v>
      </c>
      <c r="E2247" s="1">
        <f ca="1">IFERROR(__xludf.DUMMYFUNCTION("""COMPUTED_VALUE"""),320.02)</f>
        <v>320.02</v>
      </c>
      <c r="F2247" s="1">
        <f ca="1">IFERROR(__xludf.DUMMYFUNCTION("""COMPUTED_VALUE"""),19037080)</f>
        <v>19037080</v>
      </c>
    </row>
    <row r="2248" spans="1:6" x14ac:dyDescent="0.35">
      <c r="A2248" s="2">
        <f ca="1">IFERROR(__xludf.DUMMYFUNCTION("""COMPUTED_VALUE"""),45265.6666666666)</f>
        <v>45265.666666666599</v>
      </c>
      <c r="B2248" s="1">
        <f ca="1">IFERROR(__xludf.DUMMYFUNCTION("""COMPUTED_VALUE"""),318.98)</f>
        <v>318.98</v>
      </c>
      <c r="C2248" s="1">
        <f ca="1">IFERROR(__xludf.DUMMYFUNCTION("""COMPUTED_VALUE"""),321.88)</f>
        <v>321.88</v>
      </c>
      <c r="D2248" s="1">
        <f ca="1">IFERROR(__xludf.DUMMYFUNCTION("""COMPUTED_VALUE"""),315.39)</f>
        <v>315.39</v>
      </c>
      <c r="E2248" s="1">
        <f ca="1">IFERROR(__xludf.DUMMYFUNCTION("""COMPUTED_VALUE"""),318.29)</f>
        <v>318.29000000000002</v>
      </c>
      <c r="F2248" s="1">
        <f ca="1">IFERROR(__xludf.DUMMYFUNCTION("""COMPUTED_VALUE"""),16952128)</f>
        <v>16952128</v>
      </c>
    </row>
    <row r="2249" spans="1:6" x14ac:dyDescent="0.35">
      <c r="A2249" s="2">
        <f ca="1">IFERROR(__xludf.DUMMYFUNCTION("""COMPUTED_VALUE"""),45266.6666666666)</f>
        <v>45266.666666666599</v>
      </c>
      <c r="B2249" s="1">
        <f ca="1">IFERROR(__xludf.DUMMYFUNCTION("""COMPUTED_VALUE"""),321.93)</f>
        <v>321.93</v>
      </c>
      <c r="C2249" s="1">
        <f ca="1">IFERROR(__xludf.DUMMYFUNCTION("""COMPUTED_VALUE"""),322.25)</f>
        <v>322.25</v>
      </c>
      <c r="D2249" s="1">
        <f ca="1">IFERROR(__xludf.DUMMYFUNCTION("""COMPUTED_VALUE"""),317.04)</f>
        <v>317.04000000000002</v>
      </c>
      <c r="E2249" s="1">
        <f ca="1">IFERROR(__xludf.DUMMYFUNCTION("""COMPUTED_VALUE"""),317.45)</f>
        <v>317.45</v>
      </c>
      <c r="F2249" s="1">
        <f ca="1">IFERROR(__xludf.DUMMYFUNCTION("""COMPUTED_VALUE"""),11294337)</f>
        <v>11294337</v>
      </c>
    </row>
    <row r="2250" spans="1:6" x14ac:dyDescent="0.35">
      <c r="A2250" s="2">
        <f ca="1">IFERROR(__xludf.DUMMYFUNCTION("""COMPUTED_VALUE"""),45267.6666666666)</f>
        <v>45267.666666666599</v>
      </c>
      <c r="B2250" s="1">
        <f ca="1">IFERROR(__xludf.DUMMYFUNCTION("""COMPUTED_VALUE"""),317.77)</f>
        <v>317.77</v>
      </c>
      <c r="C2250" s="1">
        <f ca="1">IFERROR(__xludf.DUMMYFUNCTION("""COMPUTED_VALUE"""),328.24)</f>
        <v>328.24</v>
      </c>
      <c r="D2250" s="1">
        <f ca="1">IFERROR(__xludf.DUMMYFUNCTION("""COMPUTED_VALUE"""),317.77)</f>
        <v>317.77</v>
      </c>
      <c r="E2250" s="1">
        <f ca="1">IFERROR(__xludf.DUMMYFUNCTION("""COMPUTED_VALUE"""),326.59)</f>
        <v>326.58999999999997</v>
      </c>
      <c r="F2250" s="1">
        <f ca="1">IFERROR(__xludf.DUMMYFUNCTION("""COMPUTED_VALUE"""),15905079)</f>
        <v>15905079</v>
      </c>
    </row>
    <row r="2251" spans="1:6" x14ac:dyDescent="0.35">
      <c r="A2251" s="2">
        <f ca="1">IFERROR(__xludf.DUMMYFUNCTION("""COMPUTED_VALUE"""),45268.6666666666)</f>
        <v>45268.666666666599</v>
      </c>
      <c r="B2251" s="1">
        <f ca="1">IFERROR(__xludf.DUMMYFUNCTION("""COMPUTED_VALUE"""),323.09)</f>
        <v>323.08999999999997</v>
      </c>
      <c r="C2251" s="1">
        <f ca="1">IFERROR(__xludf.DUMMYFUNCTION("""COMPUTED_VALUE"""),333.17)</f>
        <v>333.17</v>
      </c>
      <c r="D2251" s="1">
        <f ca="1">IFERROR(__xludf.DUMMYFUNCTION("""COMPUTED_VALUE"""),323)</f>
        <v>323</v>
      </c>
      <c r="E2251" s="1">
        <f ca="1">IFERROR(__xludf.DUMMYFUNCTION("""COMPUTED_VALUE"""),332.75)</f>
        <v>332.75</v>
      </c>
      <c r="F2251" s="1">
        <f ca="1">IFERROR(__xludf.DUMMYFUNCTION("""COMPUTED_VALUE"""),14087351)</f>
        <v>14087351</v>
      </c>
    </row>
    <row r="2252" spans="1:6" x14ac:dyDescent="0.35">
      <c r="A2252" s="2">
        <f ca="1">IFERROR(__xludf.DUMMYFUNCTION("""COMPUTED_VALUE"""),45271.6666666666)</f>
        <v>45271.666666666599</v>
      </c>
      <c r="B2252" s="1">
        <f ca="1">IFERROR(__xludf.DUMMYFUNCTION("""COMPUTED_VALUE"""),329.4)</f>
        <v>329.4</v>
      </c>
      <c r="C2252" s="1">
        <f ca="1">IFERROR(__xludf.DUMMYFUNCTION("""COMPUTED_VALUE"""),329.89)</f>
        <v>329.89</v>
      </c>
      <c r="D2252" s="1">
        <f ca="1">IFERROR(__xludf.DUMMYFUNCTION("""COMPUTED_VALUE"""),320)</f>
        <v>320</v>
      </c>
      <c r="E2252" s="1">
        <f ca="1">IFERROR(__xludf.DUMMYFUNCTION("""COMPUTED_VALUE"""),325.28)</f>
        <v>325.27999999999997</v>
      </c>
      <c r="F2252" s="1">
        <f ca="1">IFERROR(__xludf.DUMMYFUNCTION("""COMPUTED_VALUE"""),25802462)</f>
        <v>25802462</v>
      </c>
    </row>
    <row r="2253" spans="1:6" x14ac:dyDescent="0.35">
      <c r="A2253" s="2">
        <f ca="1">IFERROR(__xludf.DUMMYFUNCTION("""COMPUTED_VALUE"""),45272.6666666666)</f>
        <v>45272.666666666599</v>
      </c>
      <c r="B2253" s="1">
        <f ca="1">IFERROR(__xludf.DUMMYFUNCTION("""COMPUTED_VALUE"""),324.6)</f>
        <v>324.60000000000002</v>
      </c>
      <c r="C2253" s="1">
        <f ca="1">IFERROR(__xludf.DUMMYFUNCTION("""COMPUTED_VALUE"""),334.47)</f>
        <v>334.47</v>
      </c>
      <c r="D2253" s="1">
        <f ca="1">IFERROR(__xludf.DUMMYFUNCTION("""COMPUTED_VALUE"""),324.56)</f>
        <v>324.56</v>
      </c>
      <c r="E2253" s="1">
        <f ca="1">IFERROR(__xludf.DUMMYFUNCTION("""COMPUTED_VALUE"""),334.22)</f>
        <v>334.22</v>
      </c>
      <c r="F2253" s="1">
        <f ca="1">IFERROR(__xludf.DUMMYFUNCTION("""COMPUTED_VALUE"""),18485461)</f>
        <v>18485461</v>
      </c>
    </row>
    <row r="2254" spans="1:6" x14ac:dyDescent="0.35">
      <c r="A2254" s="2">
        <f ca="1">IFERROR(__xludf.DUMMYFUNCTION("""COMPUTED_VALUE"""),45273.6666666666)</f>
        <v>45273.666666666599</v>
      </c>
      <c r="B2254" s="1">
        <f ca="1">IFERROR(__xludf.DUMMYFUNCTION("""COMPUTED_VALUE"""),333.93)</f>
        <v>333.93</v>
      </c>
      <c r="C2254" s="1">
        <f ca="1">IFERROR(__xludf.DUMMYFUNCTION("""COMPUTED_VALUE"""),338.37)</f>
        <v>338.37</v>
      </c>
      <c r="D2254" s="1">
        <f ca="1">IFERROR(__xludf.DUMMYFUNCTION("""COMPUTED_VALUE"""),332.64)</f>
        <v>332.64</v>
      </c>
      <c r="E2254" s="1">
        <f ca="1">IFERROR(__xludf.DUMMYFUNCTION("""COMPUTED_VALUE"""),334.74)</f>
        <v>334.74</v>
      </c>
      <c r="F2254" s="1">
        <f ca="1">IFERROR(__xludf.DUMMYFUNCTION("""COMPUTED_VALUE"""),16353321)</f>
        <v>16353321</v>
      </c>
    </row>
    <row r="2255" spans="1:6" x14ac:dyDescent="0.35">
      <c r="A2255" s="2">
        <f ca="1">IFERROR(__xludf.DUMMYFUNCTION("""COMPUTED_VALUE"""),45274.6666666666)</f>
        <v>45274.666666666599</v>
      </c>
      <c r="B2255" s="1">
        <f ca="1">IFERROR(__xludf.DUMMYFUNCTION("""COMPUTED_VALUE"""),333.85)</f>
        <v>333.85</v>
      </c>
      <c r="C2255" s="1">
        <f ca="1">IFERROR(__xludf.DUMMYFUNCTION("""COMPUTED_VALUE"""),334.7)</f>
        <v>334.7</v>
      </c>
      <c r="D2255" s="1">
        <f ca="1">IFERROR(__xludf.DUMMYFUNCTION("""COMPUTED_VALUE"""),328.64)</f>
        <v>328.64</v>
      </c>
      <c r="E2255" s="1">
        <f ca="1">IFERROR(__xludf.DUMMYFUNCTION("""COMPUTED_VALUE"""),333.17)</f>
        <v>333.17</v>
      </c>
      <c r="F2255" s="1">
        <f ca="1">IFERROR(__xludf.DUMMYFUNCTION("""COMPUTED_VALUE"""),19607335)</f>
        <v>19607335</v>
      </c>
    </row>
    <row r="2256" spans="1:6" x14ac:dyDescent="0.35">
      <c r="A2256" s="2">
        <f ca="1">IFERROR(__xludf.DUMMYFUNCTION("""COMPUTED_VALUE"""),45275.6666666666)</f>
        <v>45275.666666666599</v>
      </c>
      <c r="B2256" s="1">
        <f ca="1">IFERROR(__xludf.DUMMYFUNCTION("""COMPUTED_VALUE"""),331.99)</f>
        <v>331.99</v>
      </c>
      <c r="C2256" s="1">
        <f ca="1">IFERROR(__xludf.DUMMYFUNCTION("""COMPUTED_VALUE"""),338.66)</f>
        <v>338.66</v>
      </c>
      <c r="D2256" s="1">
        <f ca="1">IFERROR(__xludf.DUMMYFUNCTION("""COMPUTED_VALUE"""),331.22)</f>
        <v>331.22</v>
      </c>
      <c r="E2256" s="1">
        <f ca="1">IFERROR(__xludf.DUMMYFUNCTION("""COMPUTED_VALUE"""),334.92)</f>
        <v>334.92</v>
      </c>
      <c r="F2256" s="1">
        <f ca="1">IFERROR(__xludf.DUMMYFUNCTION("""COMPUTED_VALUE"""),31776852)</f>
        <v>31776852</v>
      </c>
    </row>
    <row r="2257" spans="1:6" x14ac:dyDescent="0.35">
      <c r="A2257" s="2">
        <f ca="1">IFERROR(__xludf.DUMMYFUNCTION("""COMPUTED_VALUE"""),45278.6666666666)</f>
        <v>45278.666666666599</v>
      </c>
      <c r="B2257" s="1">
        <f ca="1">IFERROR(__xludf.DUMMYFUNCTION("""COMPUTED_VALUE"""),337.48)</f>
        <v>337.48</v>
      </c>
      <c r="C2257" s="1">
        <f ca="1">IFERROR(__xludf.DUMMYFUNCTION("""COMPUTED_VALUE"""),347.56)</f>
        <v>347.56</v>
      </c>
      <c r="D2257" s="1">
        <f ca="1">IFERROR(__xludf.DUMMYFUNCTION("""COMPUTED_VALUE"""),337.02)</f>
        <v>337.02</v>
      </c>
      <c r="E2257" s="1">
        <f ca="1">IFERROR(__xludf.DUMMYFUNCTION("""COMPUTED_VALUE"""),344.62)</f>
        <v>344.62</v>
      </c>
      <c r="F2257" s="1">
        <f ca="1">IFERROR(__xludf.DUMMYFUNCTION("""COMPUTED_VALUE"""),18993852)</f>
        <v>18993852</v>
      </c>
    </row>
    <row r="2258" spans="1:6" x14ac:dyDescent="0.35">
      <c r="A2258" s="2">
        <f ca="1">IFERROR(__xludf.DUMMYFUNCTION("""COMPUTED_VALUE"""),45279.6666666666)</f>
        <v>45279.666666666599</v>
      </c>
      <c r="B2258" s="1">
        <f ca="1">IFERROR(__xludf.DUMMYFUNCTION("""COMPUTED_VALUE"""),345.58)</f>
        <v>345.58</v>
      </c>
      <c r="C2258" s="1">
        <f ca="1">IFERROR(__xludf.DUMMYFUNCTION("""COMPUTED_VALUE"""),353.6)</f>
        <v>353.6</v>
      </c>
      <c r="D2258" s="1">
        <f ca="1">IFERROR(__xludf.DUMMYFUNCTION("""COMPUTED_VALUE"""),345.12)</f>
        <v>345.12</v>
      </c>
      <c r="E2258" s="1">
        <f ca="1">IFERROR(__xludf.DUMMYFUNCTION("""COMPUTED_VALUE"""),350.36)</f>
        <v>350.36</v>
      </c>
      <c r="F2258" s="1">
        <f ca="1">IFERROR(__xludf.DUMMYFUNCTION("""COMPUTED_VALUE"""),17729362)</f>
        <v>17729362</v>
      </c>
    </row>
    <row r="2259" spans="1:6" x14ac:dyDescent="0.35">
      <c r="A2259" s="2">
        <f ca="1">IFERROR(__xludf.DUMMYFUNCTION("""COMPUTED_VALUE"""),45280.6666666666)</f>
        <v>45280.666666666599</v>
      </c>
      <c r="B2259" s="1">
        <f ca="1">IFERROR(__xludf.DUMMYFUNCTION("""COMPUTED_VALUE"""),348.65)</f>
        <v>348.65</v>
      </c>
      <c r="C2259" s="1">
        <f ca="1">IFERROR(__xludf.DUMMYFUNCTION("""COMPUTED_VALUE"""),354.96)</f>
        <v>354.96</v>
      </c>
      <c r="D2259" s="1">
        <f ca="1">IFERROR(__xludf.DUMMYFUNCTION("""COMPUTED_VALUE"""),347.79)</f>
        <v>347.79</v>
      </c>
      <c r="E2259" s="1">
        <f ca="1">IFERROR(__xludf.DUMMYFUNCTION("""COMPUTED_VALUE"""),349.28)</f>
        <v>349.28</v>
      </c>
      <c r="F2259" s="1">
        <f ca="1">IFERROR(__xludf.DUMMYFUNCTION("""COMPUTED_VALUE"""),16369850)</f>
        <v>16369850</v>
      </c>
    </row>
    <row r="2260" spans="1:6" x14ac:dyDescent="0.35">
      <c r="A2260" s="2">
        <f ca="1">IFERROR(__xludf.DUMMYFUNCTION("""COMPUTED_VALUE"""),45281.6666666666)</f>
        <v>45281.666666666599</v>
      </c>
      <c r="B2260" s="1">
        <f ca="1">IFERROR(__xludf.DUMMYFUNCTION("""COMPUTED_VALUE"""),352.98)</f>
        <v>352.98</v>
      </c>
      <c r="C2260" s="1">
        <f ca="1">IFERROR(__xludf.DUMMYFUNCTION("""COMPUTED_VALUE"""),356.41)</f>
        <v>356.41</v>
      </c>
      <c r="D2260" s="1">
        <f ca="1">IFERROR(__xludf.DUMMYFUNCTION("""COMPUTED_VALUE"""),349.21)</f>
        <v>349.21</v>
      </c>
      <c r="E2260" s="1">
        <f ca="1">IFERROR(__xludf.DUMMYFUNCTION("""COMPUTED_VALUE"""),354.09)</f>
        <v>354.09</v>
      </c>
      <c r="F2260" s="1">
        <f ca="1">IFERROR(__xludf.DUMMYFUNCTION("""COMPUTED_VALUE"""),15289556)</f>
        <v>15289556</v>
      </c>
    </row>
    <row r="2261" spans="1:6" x14ac:dyDescent="0.35">
      <c r="A2261" s="2">
        <f ca="1">IFERROR(__xludf.DUMMYFUNCTION("""COMPUTED_VALUE"""),45282.6666666666)</f>
        <v>45282.666666666599</v>
      </c>
      <c r="B2261" s="1">
        <f ca="1">IFERROR(__xludf.DUMMYFUNCTION("""COMPUTED_VALUE"""),355.58)</f>
        <v>355.58</v>
      </c>
      <c r="C2261" s="1">
        <f ca="1">IFERROR(__xludf.DUMMYFUNCTION("""COMPUTED_VALUE"""),357.2)</f>
        <v>357.2</v>
      </c>
      <c r="D2261" s="1">
        <f ca="1">IFERROR(__xludf.DUMMYFUNCTION("""COMPUTED_VALUE"""),351.22)</f>
        <v>351.22</v>
      </c>
      <c r="E2261" s="1">
        <f ca="1">IFERROR(__xludf.DUMMYFUNCTION("""COMPUTED_VALUE"""),353.39)</f>
        <v>353.39</v>
      </c>
      <c r="F2261" s="1">
        <f ca="1">IFERROR(__xludf.DUMMYFUNCTION("""COMPUTED_VALUE"""),11772779)</f>
        <v>11772779</v>
      </c>
    </row>
    <row r="2262" spans="1:6" x14ac:dyDescent="0.35">
      <c r="A2262" s="2">
        <f ca="1">IFERROR(__xludf.DUMMYFUNCTION("""COMPUTED_VALUE"""),45286.6666666666)</f>
        <v>45286.666666666599</v>
      </c>
      <c r="B2262" s="1">
        <f ca="1">IFERROR(__xludf.DUMMYFUNCTION("""COMPUTED_VALUE"""),354.99)</f>
        <v>354.99</v>
      </c>
      <c r="C2262" s="1">
        <f ca="1">IFERROR(__xludf.DUMMYFUNCTION("""COMPUTED_VALUE"""),356.98)</f>
        <v>356.98</v>
      </c>
      <c r="D2262" s="1">
        <f ca="1">IFERROR(__xludf.DUMMYFUNCTION("""COMPUTED_VALUE"""),353.45)</f>
        <v>353.45</v>
      </c>
      <c r="E2262" s="1">
        <f ca="1">IFERROR(__xludf.DUMMYFUNCTION("""COMPUTED_VALUE"""),354.83)</f>
        <v>354.83</v>
      </c>
      <c r="F2262" s="1">
        <f ca="1">IFERROR(__xludf.DUMMYFUNCTION("""COMPUTED_VALUE"""),9898614)</f>
        <v>9898614</v>
      </c>
    </row>
    <row r="2263" spans="1:6" x14ac:dyDescent="0.35">
      <c r="A2263" s="2">
        <f ca="1">IFERROR(__xludf.DUMMYFUNCTION("""COMPUTED_VALUE"""),45287.6666666666)</f>
        <v>45287.666666666599</v>
      </c>
      <c r="B2263" s="1">
        <f ca="1">IFERROR(__xludf.DUMMYFUNCTION("""COMPUTED_VALUE"""),356.07)</f>
        <v>356.07</v>
      </c>
      <c r="C2263" s="1">
        <f ca="1">IFERROR(__xludf.DUMMYFUNCTION("""COMPUTED_VALUE"""),359)</f>
        <v>359</v>
      </c>
      <c r="D2263" s="1">
        <f ca="1">IFERROR(__xludf.DUMMYFUNCTION("""COMPUTED_VALUE"""),355.31)</f>
        <v>355.31</v>
      </c>
      <c r="E2263" s="1">
        <f ca="1">IFERROR(__xludf.DUMMYFUNCTION("""COMPUTED_VALUE"""),357.83)</f>
        <v>357.83</v>
      </c>
      <c r="F2263" s="1">
        <f ca="1">IFERROR(__xludf.DUMMYFUNCTION("""COMPUTED_VALUE"""),13207928)</f>
        <v>13207928</v>
      </c>
    </row>
    <row r="2264" spans="1:6" x14ac:dyDescent="0.35">
      <c r="A2264" s="2">
        <f ca="1">IFERROR(__xludf.DUMMYFUNCTION("""COMPUTED_VALUE"""),45288.6666666666)</f>
        <v>45288.666666666599</v>
      </c>
      <c r="B2264" s="1">
        <f ca="1">IFERROR(__xludf.DUMMYFUNCTION("""COMPUTED_VALUE"""),359.7)</f>
        <v>359.7</v>
      </c>
      <c r="C2264" s="1">
        <f ca="1">IFERROR(__xludf.DUMMYFUNCTION("""COMPUTED_VALUE"""),361.9)</f>
        <v>361.9</v>
      </c>
      <c r="D2264" s="1">
        <f ca="1">IFERROR(__xludf.DUMMYFUNCTION("""COMPUTED_VALUE"""),357.81)</f>
        <v>357.81</v>
      </c>
      <c r="E2264" s="1">
        <f ca="1">IFERROR(__xludf.DUMMYFUNCTION("""COMPUTED_VALUE"""),358.32)</f>
        <v>358.32</v>
      </c>
      <c r="F2264" s="1">
        <f ca="1">IFERROR(__xludf.DUMMYFUNCTION("""COMPUTED_VALUE"""),11798807)</f>
        <v>11798807</v>
      </c>
    </row>
    <row r="2265" spans="1:6" x14ac:dyDescent="0.35">
      <c r="A2265" s="2">
        <f ca="1">IFERROR(__xludf.DUMMYFUNCTION("""COMPUTED_VALUE"""),45289.6666666666)</f>
        <v>45289.666666666599</v>
      </c>
      <c r="B2265" s="1">
        <f ca="1">IFERROR(__xludf.DUMMYFUNCTION("""COMPUTED_VALUE"""),358.99)</f>
        <v>358.99</v>
      </c>
      <c r="C2265" s="1">
        <f ca="1">IFERROR(__xludf.DUMMYFUNCTION("""COMPUTED_VALUE"""),360)</f>
        <v>360</v>
      </c>
      <c r="D2265" s="1">
        <f ca="1">IFERROR(__xludf.DUMMYFUNCTION("""COMPUTED_VALUE"""),351.82)</f>
        <v>351.82</v>
      </c>
      <c r="E2265" s="1">
        <f ca="1">IFERROR(__xludf.DUMMYFUNCTION("""COMPUTED_VALUE"""),353.96)</f>
        <v>353.96</v>
      </c>
      <c r="F2265" s="1">
        <f ca="1">IFERROR(__xludf.DUMMYFUNCTION("""COMPUTED_VALUE"""),14987092)</f>
        <v>14987092</v>
      </c>
    </row>
    <row r="2266" spans="1:6" x14ac:dyDescent="0.35">
      <c r="A2266" s="2">
        <f ca="1">IFERROR(__xludf.DUMMYFUNCTION("""COMPUTED_VALUE"""),45293.6666666666)</f>
        <v>45293.666666666599</v>
      </c>
      <c r="B2266" s="1">
        <f ca="1">IFERROR(__xludf.DUMMYFUNCTION("""COMPUTED_VALUE"""),351.32)</f>
        <v>351.32</v>
      </c>
      <c r="C2266" s="1">
        <f ca="1">IFERROR(__xludf.DUMMYFUNCTION("""COMPUTED_VALUE"""),353.16)</f>
        <v>353.16</v>
      </c>
      <c r="D2266" s="1">
        <f ca="1">IFERROR(__xludf.DUMMYFUNCTION("""COMPUTED_VALUE"""),340.01)</f>
        <v>340.01</v>
      </c>
      <c r="E2266" s="1">
        <f ca="1">IFERROR(__xludf.DUMMYFUNCTION("""COMPUTED_VALUE"""),346.29)</f>
        <v>346.29</v>
      </c>
      <c r="F2266" s="1">
        <f ca="1">IFERROR(__xludf.DUMMYFUNCTION("""COMPUTED_VALUE"""),19042152)</f>
        <v>19042152</v>
      </c>
    </row>
    <row r="2267" spans="1:6" x14ac:dyDescent="0.35">
      <c r="A2267" s="2">
        <f ca="1">IFERROR(__xludf.DUMMYFUNCTION("""COMPUTED_VALUE"""),45294.6666666666)</f>
        <v>45294.666666666599</v>
      </c>
      <c r="B2267" s="1">
        <f ca="1">IFERROR(__xludf.DUMMYFUNCTION("""COMPUTED_VALUE"""),344.98)</f>
        <v>344.98</v>
      </c>
      <c r="C2267" s="1">
        <f ca="1">IFERROR(__xludf.DUMMYFUNCTION("""COMPUTED_VALUE"""),347.95)</f>
        <v>347.95</v>
      </c>
      <c r="D2267" s="1">
        <f ca="1">IFERROR(__xludf.DUMMYFUNCTION("""COMPUTED_VALUE"""),343.18)</f>
        <v>343.18</v>
      </c>
      <c r="E2267" s="1">
        <f ca="1">IFERROR(__xludf.DUMMYFUNCTION("""COMPUTED_VALUE"""),344.47)</f>
        <v>344.47</v>
      </c>
      <c r="F2267" s="1">
        <f ca="1">IFERROR(__xludf.DUMMYFUNCTION("""COMPUTED_VALUE"""),15451133)</f>
        <v>15451133</v>
      </c>
    </row>
    <row r="2268" spans="1:6" x14ac:dyDescent="0.35">
      <c r="A2268" s="2">
        <f ca="1">IFERROR(__xludf.DUMMYFUNCTION("""COMPUTED_VALUE"""),45295.6666666666)</f>
        <v>45295.666666666599</v>
      </c>
      <c r="B2268" s="1">
        <f ca="1">IFERROR(__xludf.DUMMYFUNCTION("""COMPUTED_VALUE"""),344.5)</f>
        <v>344.5</v>
      </c>
      <c r="C2268" s="1">
        <f ca="1">IFERROR(__xludf.DUMMYFUNCTION("""COMPUTED_VALUE"""),348.15)</f>
        <v>348.15</v>
      </c>
      <c r="D2268" s="1">
        <f ca="1">IFERROR(__xludf.DUMMYFUNCTION("""COMPUTED_VALUE"""),343.4)</f>
        <v>343.4</v>
      </c>
      <c r="E2268" s="1">
        <f ca="1">IFERROR(__xludf.DUMMYFUNCTION("""COMPUTED_VALUE"""),347.12)</f>
        <v>347.12</v>
      </c>
      <c r="F2268" s="1">
        <f ca="1">IFERROR(__xludf.DUMMYFUNCTION("""COMPUTED_VALUE"""),12099895)</f>
        <v>12099895</v>
      </c>
    </row>
    <row r="2269" spans="1:6" x14ac:dyDescent="0.35">
      <c r="A2269" s="2">
        <f ca="1">IFERROR(__xludf.DUMMYFUNCTION("""COMPUTED_VALUE"""),45296.6666666666)</f>
        <v>45296.666666666599</v>
      </c>
      <c r="B2269" s="1">
        <f ca="1">IFERROR(__xludf.DUMMYFUNCTION("""COMPUTED_VALUE"""),346.99)</f>
        <v>346.99</v>
      </c>
      <c r="C2269" s="1">
        <f ca="1">IFERROR(__xludf.DUMMYFUNCTION("""COMPUTED_VALUE"""),353.5)</f>
        <v>353.5</v>
      </c>
      <c r="D2269" s="1">
        <f ca="1">IFERROR(__xludf.DUMMYFUNCTION("""COMPUTED_VALUE"""),346.26)</f>
        <v>346.26</v>
      </c>
      <c r="E2269" s="1">
        <f ca="1">IFERROR(__xludf.DUMMYFUNCTION("""COMPUTED_VALUE"""),351.95)</f>
        <v>351.95</v>
      </c>
      <c r="F2269" s="1">
        <f ca="1">IFERROR(__xludf.DUMMYFUNCTION("""COMPUTED_VALUE"""),13750912)</f>
        <v>13750912</v>
      </c>
    </row>
    <row r="2270" spans="1:6" x14ac:dyDescent="0.35">
      <c r="A2270" s="2">
        <f ca="1">IFERROR(__xludf.DUMMYFUNCTION("""COMPUTED_VALUE"""),45299.6666666666)</f>
        <v>45299.666666666599</v>
      </c>
      <c r="B2270" s="1">
        <f ca="1">IFERROR(__xludf.DUMMYFUNCTION("""COMPUTED_VALUE"""),354.7)</f>
        <v>354.7</v>
      </c>
      <c r="C2270" s="1">
        <f ca="1">IFERROR(__xludf.DUMMYFUNCTION("""COMPUTED_VALUE"""),358.98)</f>
        <v>358.98</v>
      </c>
      <c r="D2270" s="1">
        <f ca="1">IFERROR(__xludf.DUMMYFUNCTION("""COMPUTED_VALUE"""),352.05)</f>
        <v>352.05</v>
      </c>
      <c r="E2270" s="1">
        <f ca="1">IFERROR(__xludf.DUMMYFUNCTION("""COMPUTED_VALUE"""),358.66)</f>
        <v>358.66</v>
      </c>
      <c r="F2270" s="1">
        <f ca="1">IFERROR(__xludf.DUMMYFUNCTION("""COMPUTED_VALUE"""),13890222)</f>
        <v>13890222</v>
      </c>
    </row>
    <row r="2271" spans="1:6" x14ac:dyDescent="0.35">
      <c r="A2271" s="2">
        <f ca="1">IFERROR(__xludf.DUMMYFUNCTION("""COMPUTED_VALUE"""),45300.6666666666)</f>
        <v>45300.666666666599</v>
      </c>
      <c r="B2271" s="1">
        <f ca="1">IFERROR(__xludf.DUMMYFUNCTION("""COMPUTED_VALUE"""),356.4)</f>
        <v>356.4</v>
      </c>
      <c r="C2271" s="1">
        <f ca="1">IFERROR(__xludf.DUMMYFUNCTION("""COMPUTED_VALUE"""),360.64)</f>
        <v>360.64</v>
      </c>
      <c r="D2271" s="1">
        <f ca="1">IFERROR(__xludf.DUMMYFUNCTION("""COMPUTED_VALUE"""),355.36)</f>
        <v>355.36</v>
      </c>
      <c r="E2271" s="1">
        <f ca="1">IFERROR(__xludf.DUMMYFUNCTION("""COMPUTED_VALUE"""),357.43)</f>
        <v>357.43</v>
      </c>
      <c r="F2271" s="1">
        <f ca="1">IFERROR(__xludf.DUMMYFUNCTION("""COMPUTED_VALUE"""),13463871)</f>
        <v>13463871</v>
      </c>
    </row>
    <row r="2272" spans="1:6" x14ac:dyDescent="0.35">
      <c r="A2272" s="2">
        <f ca="1">IFERROR(__xludf.DUMMYFUNCTION("""COMPUTED_VALUE"""),45301.6666666666)</f>
        <v>45301.666666666599</v>
      </c>
      <c r="B2272" s="1">
        <f ca="1">IFERROR(__xludf.DUMMYFUNCTION("""COMPUTED_VALUE"""),360.17)</f>
        <v>360.17</v>
      </c>
      <c r="C2272" s="1">
        <f ca="1">IFERROR(__xludf.DUMMYFUNCTION("""COMPUTED_VALUE"""),372.94)</f>
        <v>372.94</v>
      </c>
      <c r="D2272" s="1">
        <f ca="1">IFERROR(__xludf.DUMMYFUNCTION("""COMPUTED_VALUE"""),359.08)</f>
        <v>359.08</v>
      </c>
      <c r="E2272" s="1">
        <f ca="1">IFERROR(__xludf.DUMMYFUNCTION("""COMPUTED_VALUE"""),370.47)</f>
        <v>370.47</v>
      </c>
      <c r="F2272" s="1">
        <f ca="1">IFERROR(__xludf.DUMMYFUNCTION("""COMPUTED_VALUE"""),22117206)</f>
        <v>22117206</v>
      </c>
    </row>
    <row r="2273" spans="1:6" x14ac:dyDescent="0.35">
      <c r="A2273" s="2">
        <f ca="1">IFERROR(__xludf.DUMMYFUNCTION("""COMPUTED_VALUE"""),45302.6666666666)</f>
        <v>45302.666666666599</v>
      </c>
      <c r="B2273" s="1">
        <f ca="1">IFERROR(__xludf.DUMMYFUNCTION("""COMPUTED_VALUE"""),372.13)</f>
        <v>372.13</v>
      </c>
      <c r="C2273" s="1">
        <f ca="1">IFERROR(__xludf.DUMMYFUNCTION("""COMPUTED_VALUE"""),372.78)</f>
        <v>372.78</v>
      </c>
      <c r="D2273" s="1">
        <f ca="1">IFERROR(__xludf.DUMMYFUNCTION("""COMPUTED_VALUE"""),362.93)</f>
        <v>362.93</v>
      </c>
      <c r="E2273" s="1">
        <f ca="1">IFERROR(__xludf.DUMMYFUNCTION("""COMPUTED_VALUE"""),369.67)</f>
        <v>369.67</v>
      </c>
      <c r="F2273" s="1">
        <f ca="1">IFERROR(__xludf.DUMMYFUNCTION("""COMPUTED_VALUE"""),17205385)</f>
        <v>17205385</v>
      </c>
    </row>
    <row r="2274" spans="1:6" x14ac:dyDescent="0.35">
      <c r="A2274" s="2">
        <f ca="1">IFERROR(__xludf.DUMMYFUNCTION("""COMPUTED_VALUE"""),45303.6666666666)</f>
        <v>45303.666666666599</v>
      </c>
      <c r="B2274" s="1">
        <f ca="1">IFERROR(__xludf.DUMMYFUNCTION("""COMPUTED_VALUE"""),370.16)</f>
        <v>370.16</v>
      </c>
      <c r="C2274" s="1">
        <f ca="1">IFERROR(__xludf.DUMMYFUNCTION("""COMPUTED_VALUE"""),377.06)</f>
        <v>377.06</v>
      </c>
      <c r="D2274" s="1">
        <f ca="1">IFERROR(__xludf.DUMMYFUNCTION("""COMPUTED_VALUE"""),369.54)</f>
        <v>369.54</v>
      </c>
      <c r="E2274" s="1">
        <f ca="1">IFERROR(__xludf.DUMMYFUNCTION("""COMPUTED_VALUE"""),374.49)</f>
        <v>374.49</v>
      </c>
      <c r="F2274" s="1">
        <f ca="1">IFERROR(__xludf.DUMMYFUNCTION("""COMPUTED_VALUE"""),19310046)</f>
        <v>19310046</v>
      </c>
    </row>
    <row r="2275" spans="1:6" x14ac:dyDescent="0.35">
      <c r="A2275" s="2">
        <f ca="1">IFERROR(__xludf.DUMMYFUNCTION("""COMPUTED_VALUE"""),45307.6666666666)</f>
        <v>45307.666666666599</v>
      </c>
      <c r="B2275" s="1">
        <f ca="1">IFERROR(__xludf.DUMMYFUNCTION("""COMPUTED_VALUE"""),373.65)</f>
        <v>373.65</v>
      </c>
      <c r="C2275" s="1">
        <f ca="1">IFERROR(__xludf.DUMMYFUNCTION("""COMPUTED_VALUE"""),375.61)</f>
        <v>375.61</v>
      </c>
      <c r="D2275" s="1">
        <f ca="1">IFERROR(__xludf.DUMMYFUNCTION("""COMPUTED_VALUE"""),367.23)</f>
        <v>367.23</v>
      </c>
      <c r="E2275" s="1">
        <f ca="1">IFERROR(__xludf.DUMMYFUNCTION("""COMPUTED_VALUE"""),367.46)</f>
        <v>367.46</v>
      </c>
      <c r="F2275" s="1">
        <f ca="1">IFERROR(__xludf.DUMMYFUNCTION("""COMPUTED_VALUE"""),15306885)</f>
        <v>15306885</v>
      </c>
    </row>
    <row r="2276" spans="1:6" x14ac:dyDescent="0.35">
      <c r="A2276" s="2">
        <f ca="1">IFERROR(__xludf.DUMMYFUNCTION("""COMPUTED_VALUE"""),45308.6666666666)</f>
        <v>45308.666666666599</v>
      </c>
      <c r="B2276" s="1">
        <f ca="1">IFERROR(__xludf.DUMMYFUNCTION("""COMPUTED_VALUE"""),366.3)</f>
        <v>366.3</v>
      </c>
      <c r="C2276" s="1">
        <f ca="1">IFERROR(__xludf.DUMMYFUNCTION("""COMPUTED_VALUE"""),368.54)</f>
        <v>368.54</v>
      </c>
      <c r="D2276" s="1">
        <f ca="1">IFERROR(__xludf.DUMMYFUNCTION("""COMPUTED_VALUE"""),358.61)</f>
        <v>358.61</v>
      </c>
      <c r="E2276" s="1">
        <f ca="1">IFERROR(__xludf.DUMMYFUNCTION("""COMPUTED_VALUE"""),368.37)</f>
        <v>368.37</v>
      </c>
      <c r="F2276" s="1">
        <f ca="1">IFERROR(__xludf.DUMMYFUNCTION("""COMPUTED_VALUE"""),12724779)</f>
        <v>12724779</v>
      </c>
    </row>
    <row r="2277" spans="1:6" x14ac:dyDescent="0.35">
      <c r="A2277" s="2">
        <f ca="1">IFERROR(__xludf.DUMMYFUNCTION("""COMPUTED_VALUE"""),45309.6666666666)</f>
        <v>45309.666666666599</v>
      </c>
      <c r="B2277" s="1">
        <f ca="1">IFERROR(__xludf.DUMMYFUNCTION("""COMPUTED_VALUE"""),371.49)</f>
        <v>371.49</v>
      </c>
      <c r="C2277" s="1">
        <f ca="1">IFERROR(__xludf.DUMMYFUNCTION("""COMPUTED_VALUE"""),376.85)</f>
        <v>376.85</v>
      </c>
      <c r="D2277" s="1">
        <f ca="1">IFERROR(__xludf.DUMMYFUNCTION("""COMPUTED_VALUE"""),370.95)</f>
        <v>370.95</v>
      </c>
      <c r="E2277" s="1">
        <f ca="1">IFERROR(__xludf.DUMMYFUNCTION("""COMPUTED_VALUE"""),376.13)</f>
        <v>376.13</v>
      </c>
      <c r="F2277" s="1">
        <f ca="1">IFERROR(__xludf.DUMMYFUNCTION("""COMPUTED_VALUE"""),16354332)</f>
        <v>16354332</v>
      </c>
    </row>
    <row r="2278" spans="1:6" x14ac:dyDescent="0.35">
      <c r="A2278" s="2">
        <f ca="1">IFERROR(__xludf.DUMMYFUNCTION("""COMPUTED_VALUE"""),45310.6666666666)</f>
        <v>45310.666666666599</v>
      </c>
      <c r="B2278" s="1">
        <f ca="1">IFERROR(__xludf.DUMMYFUNCTION("""COMPUTED_VALUE"""),379)</f>
        <v>379</v>
      </c>
      <c r="C2278" s="1">
        <f ca="1">IFERROR(__xludf.DUMMYFUNCTION("""COMPUTED_VALUE"""),384.36)</f>
        <v>384.36</v>
      </c>
      <c r="D2278" s="1">
        <f ca="1">IFERROR(__xludf.DUMMYFUNCTION("""COMPUTED_VALUE"""),377.97)</f>
        <v>377.97</v>
      </c>
      <c r="E2278" s="1">
        <f ca="1">IFERROR(__xludf.DUMMYFUNCTION("""COMPUTED_VALUE"""),383.45)</f>
        <v>383.45</v>
      </c>
      <c r="F2278" s="1">
        <f ca="1">IFERROR(__xludf.DUMMYFUNCTION("""COMPUTED_VALUE"""),21670806)</f>
        <v>21670806</v>
      </c>
    </row>
    <row r="2279" spans="1:6" x14ac:dyDescent="0.35">
      <c r="A2279" s="2">
        <f ca="1">IFERROR(__xludf.DUMMYFUNCTION("""COMPUTED_VALUE"""),45313.6666666666)</f>
        <v>45313.666666666599</v>
      </c>
      <c r="B2279" s="1">
        <f ca="1">IFERROR(__xludf.DUMMYFUNCTION("""COMPUTED_VALUE"""),387.95)</f>
        <v>387.95</v>
      </c>
      <c r="C2279" s="1">
        <f ca="1">IFERROR(__xludf.DUMMYFUNCTION("""COMPUTED_VALUE"""),390.35)</f>
        <v>390.35</v>
      </c>
      <c r="D2279" s="1">
        <f ca="1">IFERROR(__xludf.DUMMYFUNCTION("""COMPUTED_VALUE"""),381.16)</f>
        <v>381.16</v>
      </c>
      <c r="E2279" s="1">
        <f ca="1">IFERROR(__xludf.DUMMYFUNCTION("""COMPUTED_VALUE"""),381.78)</f>
        <v>381.78</v>
      </c>
      <c r="F2279" s="1">
        <f ca="1">IFERROR(__xludf.DUMMYFUNCTION("""COMPUTED_VALUE"""),17680454)</f>
        <v>17680454</v>
      </c>
    </row>
    <row r="2280" spans="1:6" x14ac:dyDescent="0.35">
      <c r="A2280" s="2">
        <f ca="1">IFERROR(__xludf.DUMMYFUNCTION("""COMPUTED_VALUE"""),45314.6666666666)</f>
        <v>45314.666666666599</v>
      </c>
      <c r="B2280" s="1">
        <f ca="1">IFERROR(__xludf.DUMMYFUNCTION("""COMPUTED_VALUE"""),384.62)</f>
        <v>384.62</v>
      </c>
      <c r="C2280" s="1">
        <f ca="1">IFERROR(__xludf.DUMMYFUNCTION("""COMPUTED_VALUE"""),388.38)</f>
        <v>388.38</v>
      </c>
      <c r="D2280" s="1">
        <f ca="1">IFERROR(__xludf.DUMMYFUNCTION("""COMPUTED_VALUE"""),382.08)</f>
        <v>382.08</v>
      </c>
      <c r="E2280" s="1">
        <f ca="1">IFERROR(__xludf.DUMMYFUNCTION("""COMPUTED_VALUE"""),385.2)</f>
        <v>385.2</v>
      </c>
      <c r="F2280" s="1">
        <f ca="1">IFERROR(__xludf.DUMMYFUNCTION("""COMPUTED_VALUE"""),15506096)</f>
        <v>15506096</v>
      </c>
    </row>
    <row r="2281" spans="1:6" x14ac:dyDescent="0.35">
      <c r="A2281" s="2">
        <f ca="1">IFERROR(__xludf.DUMMYFUNCTION("""COMPUTED_VALUE"""),45315.6666666666)</f>
        <v>45315.666666666599</v>
      </c>
      <c r="B2281" s="1">
        <f ca="1">IFERROR(__xludf.DUMMYFUNCTION("""COMPUTED_VALUE"""),390)</f>
        <v>390</v>
      </c>
      <c r="C2281" s="1">
        <f ca="1">IFERROR(__xludf.DUMMYFUNCTION("""COMPUTED_VALUE"""),396.15)</f>
        <v>396.15</v>
      </c>
      <c r="D2281" s="1">
        <f ca="1">IFERROR(__xludf.DUMMYFUNCTION("""COMPUTED_VALUE"""),387.81)</f>
        <v>387.81</v>
      </c>
      <c r="E2281" s="1">
        <f ca="1">IFERROR(__xludf.DUMMYFUNCTION("""COMPUTED_VALUE"""),390.7)</f>
        <v>390.7</v>
      </c>
      <c r="F2281" s="1">
        <f ca="1">IFERROR(__xludf.DUMMYFUNCTION("""COMPUTED_VALUE"""),15604285)</f>
        <v>15604285</v>
      </c>
    </row>
    <row r="2282" spans="1:6" x14ac:dyDescent="0.35">
      <c r="A2282" s="2">
        <f ca="1">IFERROR(__xludf.DUMMYFUNCTION("""COMPUTED_VALUE"""),45316.6666666666)</f>
        <v>45316.666666666599</v>
      </c>
      <c r="B2282" s="1">
        <f ca="1">IFERROR(__xludf.DUMMYFUNCTION("""COMPUTED_VALUE"""),390.17)</f>
        <v>390.17</v>
      </c>
      <c r="C2282" s="1">
        <f ca="1">IFERROR(__xludf.DUMMYFUNCTION("""COMPUTED_VALUE"""),395.49)</f>
        <v>395.49</v>
      </c>
      <c r="D2282" s="1">
        <f ca="1">IFERROR(__xludf.DUMMYFUNCTION("""COMPUTED_VALUE"""),385.66)</f>
        <v>385.66</v>
      </c>
      <c r="E2282" s="1">
        <f ca="1">IFERROR(__xludf.DUMMYFUNCTION("""COMPUTED_VALUE"""),393.18)</f>
        <v>393.18</v>
      </c>
      <c r="F2282" s="1">
        <f ca="1">IFERROR(__xludf.DUMMYFUNCTION("""COMPUTED_VALUE"""),15091080)</f>
        <v>15091080</v>
      </c>
    </row>
    <row r="2283" spans="1:6" x14ac:dyDescent="0.35">
      <c r="A2283" s="2">
        <f ca="1">IFERROR(__xludf.DUMMYFUNCTION("""COMPUTED_VALUE"""),45317.6666666666)</f>
        <v>45317.666666666599</v>
      </c>
      <c r="B2283" s="1">
        <f ca="1">IFERROR(__xludf.DUMMYFUNCTION("""COMPUTED_VALUE"""),394.35)</f>
        <v>394.35</v>
      </c>
      <c r="C2283" s="1">
        <f ca="1">IFERROR(__xludf.DUMMYFUNCTION("""COMPUTED_VALUE"""),396.79)</f>
        <v>396.79</v>
      </c>
      <c r="D2283" s="1">
        <f ca="1">IFERROR(__xludf.DUMMYFUNCTION("""COMPUTED_VALUE"""),391.59)</f>
        <v>391.59</v>
      </c>
      <c r="E2283" s="1">
        <f ca="1">IFERROR(__xludf.DUMMYFUNCTION("""COMPUTED_VALUE"""),394.14)</f>
        <v>394.14</v>
      </c>
      <c r="F2283" s="1">
        <f ca="1">IFERROR(__xludf.DUMMYFUNCTION("""COMPUTED_VALUE"""),13159290)</f>
        <v>13159290</v>
      </c>
    </row>
    <row r="2284" spans="1:6" x14ac:dyDescent="0.35">
      <c r="A2284" s="2">
        <f ca="1">IFERROR(__xludf.DUMMYFUNCTION("""COMPUTED_VALUE"""),45320.6666666666)</f>
        <v>45320.666666666599</v>
      </c>
      <c r="B2284" s="1">
        <f ca="1">IFERROR(__xludf.DUMMYFUNCTION("""COMPUTED_VALUE"""),394.99)</f>
        <v>394.99</v>
      </c>
      <c r="C2284" s="1">
        <f ca="1">IFERROR(__xludf.DUMMYFUNCTION("""COMPUTED_VALUE"""),402.93)</f>
        <v>402.93</v>
      </c>
      <c r="D2284" s="1">
        <f ca="1">IFERROR(__xludf.DUMMYFUNCTION("""COMPUTED_VALUE"""),393.1)</f>
        <v>393.1</v>
      </c>
      <c r="E2284" s="1">
        <f ca="1">IFERROR(__xludf.DUMMYFUNCTION("""COMPUTED_VALUE"""),401.02)</f>
        <v>401.02</v>
      </c>
      <c r="F2284" s="1">
        <f ca="1">IFERROR(__xludf.DUMMYFUNCTION("""COMPUTED_VALUE"""),18742433)</f>
        <v>18742433</v>
      </c>
    </row>
    <row r="2285" spans="1:6" x14ac:dyDescent="0.35">
      <c r="A2285" s="2">
        <f ca="1">IFERROR(__xludf.DUMMYFUNCTION("""COMPUTED_VALUE"""),45321.6666666666)</f>
        <v>45321.666666666599</v>
      </c>
      <c r="B2285" s="1">
        <f ca="1">IFERROR(__xludf.DUMMYFUNCTION("""COMPUTED_VALUE"""),403.59)</f>
        <v>403.59</v>
      </c>
      <c r="C2285" s="1">
        <f ca="1">IFERROR(__xludf.DUMMYFUNCTION("""COMPUTED_VALUE"""),406.36)</f>
        <v>406.36</v>
      </c>
      <c r="D2285" s="1">
        <f ca="1">IFERROR(__xludf.DUMMYFUNCTION("""COMPUTED_VALUE"""),399.57)</f>
        <v>399.57</v>
      </c>
      <c r="E2285" s="1">
        <f ca="1">IFERROR(__xludf.DUMMYFUNCTION("""COMPUTED_VALUE"""),400.06)</f>
        <v>400.06</v>
      </c>
      <c r="F2285" s="1">
        <f ca="1">IFERROR(__xludf.DUMMYFUNCTION("""COMPUTED_VALUE"""),18614727)</f>
        <v>18614727</v>
      </c>
    </row>
    <row r="2286" spans="1:6" x14ac:dyDescent="0.35">
      <c r="A2286" s="2">
        <f ca="1">IFERROR(__xludf.DUMMYFUNCTION("""COMPUTED_VALUE"""),45322.6666666666)</f>
        <v>45322.666666666599</v>
      </c>
      <c r="B2286" s="1">
        <f ca="1">IFERROR(__xludf.DUMMYFUNCTION("""COMPUTED_VALUE"""),389)</f>
        <v>389</v>
      </c>
      <c r="C2286" s="1">
        <f ca="1">IFERROR(__xludf.DUMMYFUNCTION("""COMPUTED_VALUE"""),398)</f>
        <v>398</v>
      </c>
      <c r="D2286" s="1">
        <f ca="1">IFERROR(__xludf.DUMMYFUNCTION("""COMPUTED_VALUE"""),387.1)</f>
        <v>387.1</v>
      </c>
      <c r="E2286" s="1">
        <f ca="1">IFERROR(__xludf.DUMMYFUNCTION("""COMPUTED_VALUE"""),390.14)</f>
        <v>390.14</v>
      </c>
      <c r="F2286" s="1">
        <f ca="1">IFERROR(__xludf.DUMMYFUNCTION("""COMPUTED_VALUE"""),20180817)</f>
        <v>20180817</v>
      </c>
    </row>
    <row r="2287" spans="1:6" x14ac:dyDescent="0.35">
      <c r="A2287" s="2">
        <f ca="1">IFERROR(__xludf.DUMMYFUNCTION("""COMPUTED_VALUE"""),45323.6666666666)</f>
        <v>45323.666666666599</v>
      </c>
      <c r="B2287" s="1">
        <f ca="1">IFERROR(__xludf.DUMMYFUNCTION("""COMPUTED_VALUE"""),393.94)</f>
        <v>393.94</v>
      </c>
      <c r="C2287" s="1">
        <f ca="1">IFERROR(__xludf.DUMMYFUNCTION("""COMPUTED_VALUE"""),400.5)</f>
        <v>400.5</v>
      </c>
      <c r="D2287" s="1">
        <f ca="1">IFERROR(__xludf.DUMMYFUNCTION("""COMPUTED_VALUE"""),393.05)</f>
        <v>393.05</v>
      </c>
      <c r="E2287" s="1">
        <f ca="1">IFERROR(__xludf.DUMMYFUNCTION("""COMPUTED_VALUE"""),394.78)</f>
        <v>394.78</v>
      </c>
      <c r="F2287" s="1">
        <f ca="1">IFERROR(__xludf.DUMMYFUNCTION("""COMPUTED_VALUE"""),29727051)</f>
        <v>29727051</v>
      </c>
    </row>
    <row r="2288" spans="1:6" x14ac:dyDescent="0.35">
      <c r="A2288" s="2">
        <f ca="1">IFERROR(__xludf.DUMMYFUNCTION("""COMPUTED_VALUE"""),45324.6666666666)</f>
        <v>45324.666666666599</v>
      </c>
      <c r="B2288" s="1">
        <f ca="1">IFERROR(__xludf.DUMMYFUNCTION("""COMPUTED_VALUE"""),459.6)</f>
        <v>459.6</v>
      </c>
      <c r="C2288" s="1">
        <f ca="1">IFERROR(__xludf.DUMMYFUNCTION("""COMPUTED_VALUE"""),485.96)</f>
        <v>485.96</v>
      </c>
      <c r="D2288" s="1">
        <f ca="1">IFERROR(__xludf.DUMMYFUNCTION("""COMPUTED_VALUE"""),453.01)</f>
        <v>453.01</v>
      </c>
      <c r="E2288" s="1">
        <f ca="1">IFERROR(__xludf.DUMMYFUNCTION("""COMPUTED_VALUE"""),474.99)</f>
        <v>474.99</v>
      </c>
      <c r="F2288" s="1">
        <f ca="1">IFERROR(__xludf.DUMMYFUNCTION("""COMPUTED_VALUE"""),84707646)</f>
        <v>84707646</v>
      </c>
    </row>
    <row r="2289" spans="1:6" x14ac:dyDescent="0.35">
      <c r="A2289" s="2">
        <f ca="1">IFERROR(__xludf.DUMMYFUNCTION("""COMPUTED_VALUE"""),45327.6666666666)</f>
        <v>45327.666666666599</v>
      </c>
      <c r="B2289" s="1">
        <f ca="1">IFERROR(__xludf.DUMMYFUNCTION("""COMPUTED_VALUE"""),469.88)</f>
        <v>469.88</v>
      </c>
      <c r="C2289" s="1">
        <f ca="1">IFERROR(__xludf.DUMMYFUNCTION("""COMPUTED_VALUE"""),471.9)</f>
        <v>471.9</v>
      </c>
      <c r="D2289" s="1">
        <f ca="1">IFERROR(__xludf.DUMMYFUNCTION("""COMPUTED_VALUE"""),459.22)</f>
        <v>459.22</v>
      </c>
      <c r="E2289" s="1">
        <f ca="1">IFERROR(__xludf.DUMMYFUNCTION("""COMPUTED_VALUE"""),459.41)</f>
        <v>459.41</v>
      </c>
      <c r="F2289" s="1">
        <f ca="1">IFERROR(__xludf.DUMMYFUNCTION("""COMPUTED_VALUE"""),40832376)</f>
        <v>40832376</v>
      </c>
    </row>
    <row r="2290" spans="1:6" x14ac:dyDescent="0.35">
      <c r="A2290" s="2">
        <f ca="1">IFERROR(__xludf.DUMMYFUNCTION("""COMPUTED_VALUE"""),45328.6666666666)</f>
        <v>45328.666666666599</v>
      </c>
      <c r="B2290" s="1">
        <f ca="1">IFERROR(__xludf.DUMMYFUNCTION("""COMPUTED_VALUE"""),464)</f>
        <v>464</v>
      </c>
      <c r="C2290" s="1">
        <f ca="1">IFERROR(__xludf.DUMMYFUNCTION("""COMPUTED_VALUE"""),467.12)</f>
        <v>467.12</v>
      </c>
      <c r="D2290" s="1">
        <f ca="1">IFERROR(__xludf.DUMMYFUNCTION("""COMPUTED_VALUE"""),453)</f>
        <v>453</v>
      </c>
      <c r="E2290" s="1">
        <f ca="1">IFERROR(__xludf.DUMMYFUNCTION("""COMPUTED_VALUE"""),454.72)</f>
        <v>454.72</v>
      </c>
      <c r="F2290" s="1">
        <f ca="1">IFERROR(__xludf.DUMMYFUNCTION("""COMPUTED_VALUE"""),21655214)</f>
        <v>21655214</v>
      </c>
    </row>
    <row r="2291" spans="1:6" x14ac:dyDescent="0.35">
      <c r="A2291" s="2">
        <f ca="1">IFERROR(__xludf.DUMMYFUNCTION("""COMPUTED_VALUE"""),45329.6666666666)</f>
        <v>45329.666666666599</v>
      </c>
      <c r="B2291" s="1">
        <f ca="1">IFERROR(__xludf.DUMMYFUNCTION("""COMPUTED_VALUE"""),458)</f>
        <v>458</v>
      </c>
      <c r="C2291" s="1">
        <f ca="1">IFERROR(__xludf.DUMMYFUNCTION("""COMPUTED_VALUE"""),471.52)</f>
        <v>471.52</v>
      </c>
      <c r="D2291" s="1">
        <f ca="1">IFERROR(__xludf.DUMMYFUNCTION("""COMPUTED_VALUE"""),456.18)</f>
        <v>456.18</v>
      </c>
      <c r="E2291" s="1">
        <f ca="1">IFERROR(__xludf.DUMMYFUNCTION("""COMPUTED_VALUE"""),469.59)</f>
        <v>469.59</v>
      </c>
      <c r="F2291" s="1">
        <f ca="1">IFERROR(__xludf.DUMMYFUNCTION("""COMPUTED_VALUE"""),23065994)</f>
        <v>23065994</v>
      </c>
    </row>
    <row r="2292" spans="1:6" x14ac:dyDescent="0.35">
      <c r="A2292" s="2">
        <f ca="1">IFERROR(__xludf.DUMMYFUNCTION("""COMPUTED_VALUE"""),45330.6666666666)</f>
        <v>45330.666666666599</v>
      </c>
      <c r="B2292" s="1">
        <f ca="1">IFERROR(__xludf.DUMMYFUNCTION("""COMPUTED_VALUE"""),468.32)</f>
        <v>468.32</v>
      </c>
      <c r="C2292" s="1">
        <f ca="1">IFERROR(__xludf.DUMMYFUNCTION("""COMPUTED_VALUE"""),470.59)</f>
        <v>470.59</v>
      </c>
      <c r="D2292" s="1">
        <f ca="1">IFERROR(__xludf.DUMMYFUNCTION("""COMPUTED_VALUE"""),465.03)</f>
        <v>465.03</v>
      </c>
      <c r="E2292" s="1">
        <f ca="1">IFERROR(__xludf.DUMMYFUNCTION("""COMPUTED_VALUE"""),470)</f>
        <v>470</v>
      </c>
      <c r="F2292" s="1">
        <f ca="1">IFERROR(__xludf.DUMMYFUNCTION("""COMPUTED_VALUE"""),18815097)</f>
        <v>18815097</v>
      </c>
    </row>
    <row r="2293" spans="1:6" x14ac:dyDescent="0.35">
      <c r="A2293" s="2">
        <f ca="1">IFERROR(__xludf.DUMMYFUNCTION("""COMPUTED_VALUE"""),45331.6666666666)</f>
        <v>45331.666666666599</v>
      </c>
      <c r="B2293" s="1">
        <f ca="1">IFERROR(__xludf.DUMMYFUNCTION("""COMPUTED_VALUE"""),472.95)</f>
        <v>472.95</v>
      </c>
      <c r="C2293" s="1">
        <f ca="1">IFERROR(__xludf.DUMMYFUNCTION("""COMPUTED_VALUE"""),473.59)</f>
        <v>473.59</v>
      </c>
      <c r="D2293" s="1">
        <f ca="1">IFERROR(__xludf.DUMMYFUNCTION("""COMPUTED_VALUE"""),467.47)</f>
        <v>467.47</v>
      </c>
      <c r="E2293" s="1">
        <f ca="1">IFERROR(__xludf.DUMMYFUNCTION("""COMPUTED_VALUE"""),468.11)</f>
        <v>468.11</v>
      </c>
      <c r="F2293" s="1">
        <f ca="1">IFERROR(__xludf.DUMMYFUNCTION("""COMPUTED_VALUE"""),18413137)</f>
        <v>18413137</v>
      </c>
    </row>
    <row r="2294" spans="1:6" x14ac:dyDescent="0.35">
      <c r="A2294" s="2">
        <f ca="1">IFERROR(__xludf.DUMMYFUNCTION("""COMPUTED_VALUE"""),45334.6666666666)</f>
        <v>45334.666666666599</v>
      </c>
      <c r="B2294" s="1">
        <f ca="1">IFERROR(__xludf.DUMMYFUNCTION("""COMPUTED_VALUE"""),468.19)</f>
        <v>468.19</v>
      </c>
      <c r="C2294" s="1">
        <f ca="1">IFERROR(__xludf.DUMMYFUNCTION("""COMPUTED_VALUE"""),479.15)</f>
        <v>479.15</v>
      </c>
      <c r="D2294" s="1">
        <f ca="1">IFERROR(__xludf.DUMMYFUNCTION("""COMPUTED_VALUE"""),466.58)</f>
        <v>466.58</v>
      </c>
      <c r="E2294" s="1">
        <f ca="1">IFERROR(__xludf.DUMMYFUNCTION("""COMPUTED_VALUE"""),468.9)</f>
        <v>468.9</v>
      </c>
      <c r="F2294" s="1">
        <f ca="1">IFERROR(__xludf.DUMMYFUNCTION("""COMPUTED_VALUE"""),19381963)</f>
        <v>19381963</v>
      </c>
    </row>
    <row r="2295" spans="1:6" x14ac:dyDescent="0.35">
      <c r="A2295" s="2">
        <f ca="1">IFERROR(__xludf.DUMMYFUNCTION("""COMPUTED_VALUE"""),45335.6666666666)</f>
        <v>45335.666666666599</v>
      </c>
      <c r="B2295" s="1">
        <f ca="1">IFERROR(__xludf.DUMMYFUNCTION("""COMPUTED_VALUE"""),456.87)</f>
        <v>456.87</v>
      </c>
      <c r="C2295" s="1">
        <f ca="1">IFERROR(__xludf.DUMMYFUNCTION("""COMPUTED_VALUE"""),467.89)</f>
        <v>467.89</v>
      </c>
      <c r="D2295" s="1">
        <f ca="1">IFERROR(__xludf.DUMMYFUNCTION("""COMPUTED_VALUE"""),455.09)</f>
        <v>455.09</v>
      </c>
      <c r="E2295" s="1">
        <f ca="1">IFERROR(__xludf.DUMMYFUNCTION("""COMPUTED_VALUE"""),460.12)</f>
        <v>460.12</v>
      </c>
      <c r="F2295" s="1">
        <f ca="1">IFERROR(__xludf.DUMMYFUNCTION("""COMPUTED_VALUE"""),20916602)</f>
        <v>20916602</v>
      </c>
    </row>
    <row r="2296" spans="1:6" x14ac:dyDescent="0.35">
      <c r="A2296" s="2">
        <f ca="1">IFERROR(__xludf.DUMMYFUNCTION("""COMPUTED_VALUE"""),45336.6666666666)</f>
        <v>45336.666666666599</v>
      </c>
      <c r="B2296" s="1">
        <f ca="1">IFERROR(__xludf.DUMMYFUNCTION("""COMPUTED_VALUE"""),467.93)</f>
        <v>467.93</v>
      </c>
      <c r="C2296" s="1">
        <f ca="1">IFERROR(__xludf.DUMMYFUNCTION("""COMPUTED_VALUE"""),474.11)</f>
        <v>474.11</v>
      </c>
      <c r="D2296" s="1">
        <f ca="1">IFERROR(__xludf.DUMMYFUNCTION("""COMPUTED_VALUE"""),466.09)</f>
        <v>466.09</v>
      </c>
      <c r="E2296" s="1">
        <f ca="1">IFERROR(__xludf.DUMMYFUNCTION("""COMPUTED_VALUE"""),473.28)</f>
        <v>473.28</v>
      </c>
      <c r="F2296" s="1">
        <f ca="1">IFERROR(__xludf.DUMMYFUNCTION("""COMPUTED_VALUE"""),16858401)</f>
        <v>16858401</v>
      </c>
    </row>
    <row r="2297" spans="1:6" x14ac:dyDescent="0.35">
      <c r="A2297" s="2">
        <f ca="1">IFERROR(__xludf.DUMMYFUNCTION("""COMPUTED_VALUE"""),45337.6666666666)</f>
        <v>45337.666666666599</v>
      </c>
      <c r="B2297" s="1">
        <f ca="1">IFERROR(__xludf.DUMMYFUNCTION("""COMPUTED_VALUE"""),475.28)</f>
        <v>475.28</v>
      </c>
      <c r="C2297" s="1">
        <f ca="1">IFERROR(__xludf.DUMMYFUNCTION("""COMPUTED_VALUE"""),488.62)</f>
        <v>488.62</v>
      </c>
      <c r="D2297" s="1">
        <f ca="1">IFERROR(__xludf.DUMMYFUNCTION("""COMPUTED_VALUE"""),472.22)</f>
        <v>472.22</v>
      </c>
      <c r="E2297" s="1">
        <f ca="1">IFERROR(__xludf.DUMMYFUNCTION("""COMPUTED_VALUE"""),484.03)</f>
        <v>484.03</v>
      </c>
      <c r="F2297" s="1">
        <f ca="1">IFERROR(__xludf.DUMMYFUNCTION("""COMPUTED_VALUE"""),24212326)</f>
        <v>24212326</v>
      </c>
    </row>
    <row r="2298" spans="1:6" x14ac:dyDescent="0.35">
      <c r="A2298" s="2">
        <f ca="1">IFERROR(__xludf.DUMMYFUNCTION("""COMPUTED_VALUE"""),45338.6666666666)</f>
        <v>45338.666666666599</v>
      </c>
      <c r="B2298" s="1">
        <f ca="1">IFERROR(__xludf.DUMMYFUNCTION("""COMPUTED_VALUE"""),478.11)</f>
        <v>478.11</v>
      </c>
      <c r="C2298" s="1">
        <f ca="1">IFERROR(__xludf.DUMMYFUNCTION("""COMPUTED_VALUE"""),478.96)</f>
        <v>478.96</v>
      </c>
      <c r="D2298" s="1">
        <f ca="1">IFERROR(__xludf.DUMMYFUNCTION("""COMPUTED_VALUE"""),469.21)</f>
        <v>469.21</v>
      </c>
      <c r="E2298" s="1">
        <f ca="1">IFERROR(__xludf.DUMMYFUNCTION("""COMPUTED_VALUE"""),473.32)</f>
        <v>473.32</v>
      </c>
      <c r="F2298" s="1">
        <f ca="1">IFERROR(__xludf.DUMMYFUNCTION("""COMPUTED_VALUE"""),23324620)</f>
        <v>23324620</v>
      </c>
    </row>
    <row r="2299" spans="1:6" x14ac:dyDescent="0.35">
      <c r="A2299" s="2">
        <f ca="1">IFERROR(__xludf.DUMMYFUNCTION("""COMPUTED_VALUE"""),45342.6666666666)</f>
        <v>45342.666666666599</v>
      </c>
      <c r="B2299" s="1">
        <f ca="1">IFERROR(__xludf.DUMMYFUNCTION("""COMPUTED_VALUE"""),469.72)</f>
        <v>469.72</v>
      </c>
      <c r="C2299" s="1">
        <f ca="1">IFERROR(__xludf.DUMMYFUNCTION("""COMPUTED_VALUE"""),476.18)</f>
        <v>476.18</v>
      </c>
      <c r="D2299" s="1">
        <f ca="1">IFERROR(__xludf.DUMMYFUNCTION("""COMPUTED_VALUE"""),466.56)</f>
        <v>466.56</v>
      </c>
      <c r="E2299" s="1">
        <f ca="1">IFERROR(__xludf.DUMMYFUNCTION("""COMPUTED_VALUE"""),471.75)</f>
        <v>471.75</v>
      </c>
      <c r="F2299" s="1">
        <f ca="1">IFERROR(__xludf.DUMMYFUNCTION("""COMPUTED_VALUE"""),18015523)</f>
        <v>18015523</v>
      </c>
    </row>
    <row r="2300" spans="1:6" x14ac:dyDescent="0.35">
      <c r="A2300" s="2">
        <f ca="1">IFERROR(__xludf.DUMMYFUNCTION("""COMPUTED_VALUE"""),45343.6666666666)</f>
        <v>45343.666666666599</v>
      </c>
      <c r="B2300" s="1">
        <f ca="1">IFERROR(__xludf.DUMMYFUNCTION("""COMPUTED_VALUE"""),466.5)</f>
        <v>466.5</v>
      </c>
      <c r="C2300" s="1">
        <f ca="1">IFERROR(__xludf.DUMMYFUNCTION("""COMPUTED_VALUE"""),469)</f>
        <v>469</v>
      </c>
      <c r="D2300" s="1">
        <f ca="1">IFERROR(__xludf.DUMMYFUNCTION("""COMPUTED_VALUE"""),461.79)</f>
        <v>461.79</v>
      </c>
      <c r="E2300" s="1">
        <f ca="1">IFERROR(__xludf.DUMMYFUNCTION("""COMPUTED_VALUE"""),468.03)</f>
        <v>468.03</v>
      </c>
      <c r="F2300" s="1">
        <f ca="1">IFERROR(__xludf.DUMMYFUNCTION("""COMPUTED_VALUE"""),12977050)</f>
        <v>12977050</v>
      </c>
    </row>
    <row r="2301" spans="1:6" x14ac:dyDescent="0.35">
      <c r="A2301" s="2">
        <f ca="1">IFERROR(__xludf.DUMMYFUNCTION("""COMPUTED_VALUE"""),45344.6666666666)</f>
        <v>45344.666666666599</v>
      </c>
      <c r="B2301" s="1">
        <f ca="1">IFERROR(__xludf.DUMMYFUNCTION("""COMPUTED_VALUE"""),480.24)</f>
        <v>480.24</v>
      </c>
      <c r="C2301" s="1">
        <f ca="1">IFERROR(__xludf.DUMMYFUNCTION("""COMPUTED_VALUE"""),489.99)</f>
        <v>489.99</v>
      </c>
      <c r="D2301" s="1">
        <f ca="1">IFERROR(__xludf.DUMMYFUNCTION("""COMPUTED_VALUE"""),476.06)</f>
        <v>476.06</v>
      </c>
      <c r="E2301" s="1">
        <f ca="1">IFERROR(__xludf.DUMMYFUNCTION("""COMPUTED_VALUE"""),486.13)</f>
        <v>486.13</v>
      </c>
      <c r="F2301" s="1">
        <f ca="1">IFERROR(__xludf.DUMMYFUNCTION("""COMPUTED_VALUE"""),21625805)</f>
        <v>21625805</v>
      </c>
    </row>
    <row r="2302" spans="1:6" x14ac:dyDescent="0.35">
      <c r="A2302" s="2">
        <f ca="1">IFERROR(__xludf.DUMMYFUNCTION("""COMPUTED_VALUE"""),45345.6666666666)</f>
        <v>45345.666666666599</v>
      </c>
      <c r="B2302" s="1">
        <f ca="1">IFERROR(__xludf.DUMMYFUNCTION("""COMPUTED_VALUE"""),488.05)</f>
        <v>488.05</v>
      </c>
      <c r="C2302" s="1">
        <f ca="1">IFERROR(__xludf.DUMMYFUNCTION("""COMPUTED_VALUE"""),494.36)</f>
        <v>494.36</v>
      </c>
      <c r="D2302" s="1">
        <f ca="1">IFERROR(__xludf.DUMMYFUNCTION("""COMPUTED_VALUE"""),482.35)</f>
        <v>482.35</v>
      </c>
      <c r="E2302" s="1">
        <f ca="1">IFERROR(__xludf.DUMMYFUNCTION("""COMPUTED_VALUE"""),484.03)</f>
        <v>484.03</v>
      </c>
      <c r="F2302" s="1">
        <f ca="1">IFERROR(__xludf.DUMMYFUNCTION("""COMPUTED_VALUE"""),18374286)</f>
        <v>18374286</v>
      </c>
    </row>
    <row r="2303" spans="1:6" x14ac:dyDescent="0.35">
      <c r="A2303" s="2">
        <f ca="1">IFERROR(__xludf.DUMMYFUNCTION("""COMPUTED_VALUE"""),45348.6666666666)</f>
        <v>45348.666666666599</v>
      </c>
      <c r="B2303" s="1">
        <f ca="1">IFERROR(__xludf.DUMMYFUNCTION("""COMPUTED_VALUE"""),483.47)</f>
        <v>483.47</v>
      </c>
      <c r="C2303" s="1">
        <f ca="1">IFERROR(__xludf.DUMMYFUNCTION("""COMPUTED_VALUE"""),486.14)</f>
        <v>486.14</v>
      </c>
      <c r="D2303" s="1">
        <f ca="1">IFERROR(__xludf.DUMMYFUNCTION("""COMPUTED_VALUE"""),480.6)</f>
        <v>480.6</v>
      </c>
      <c r="E2303" s="1">
        <f ca="1">IFERROR(__xludf.DUMMYFUNCTION("""COMPUTED_VALUE"""),481.74)</f>
        <v>481.74</v>
      </c>
      <c r="F2303" s="1">
        <f ca="1">IFERROR(__xludf.DUMMYFUNCTION("""COMPUTED_VALUE"""),12101415)</f>
        <v>12101415</v>
      </c>
    </row>
    <row r="2304" spans="1:6" x14ac:dyDescent="0.35">
      <c r="A2304" s="2">
        <f ca="1">IFERROR(__xludf.DUMMYFUNCTION("""COMPUTED_VALUE"""),45349.6666666666)</f>
        <v>45349.666666666599</v>
      </c>
      <c r="B2304" s="1">
        <f ca="1">IFERROR(__xludf.DUMMYFUNCTION("""COMPUTED_VALUE"""),479.98)</f>
        <v>479.98</v>
      </c>
      <c r="C2304" s="1">
        <f ca="1">IFERROR(__xludf.DUMMYFUNCTION("""COMPUTED_VALUE"""),487.27)</f>
        <v>487.27</v>
      </c>
      <c r="D2304" s="1">
        <f ca="1">IFERROR(__xludf.DUMMYFUNCTION("""COMPUTED_VALUE"""),479.92)</f>
        <v>479.92</v>
      </c>
      <c r="E2304" s="1">
        <f ca="1">IFERROR(__xludf.DUMMYFUNCTION("""COMPUTED_VALUE"""),487.05)</f>
        <v>487.05</v>
      </c>
      <c r="F2304" s="1">
        <f ca="1">IFERROR(__xludf.DUMMYFUNCTION("""COMPUTED_VALUE"""),10809595)</f>
        <v>10809595</v>
      </c>
    </row>
    <row r="2305" spans="1:6" x14ac:dyDescent="0.35">
      <c r="A2305" s="2">
        <f ca="1">IFERROR(__xludf.DUMMYFUNCTION("""COMPUTED_VALUE"""),45350.6666666666)</f>
        <v>45350.666666666599</v>
      </c>
      <c r="B2305" s="1">
        <f ca="1">IFERROR(__xludf.DUMMYFUNCTION("""COMPUTED_VALUE"""),485)</f>
        <v>485</v>
      </c>
      <c r="C2305" s="1">
        <f ca="1">IFERROR(__xludf.DUMMYFUNCTION("""COMPUTED_VALUE"""),491.05)</f>
        <v>491.05</v>
      </c>
      <c r="D2305" s="1">
        <f ca="1">IFERROR(__xludf.DUMMYFUNCTION("""COMPUTED_VALUE"""),482.75)</f>
        <v>482.75</v>
      </c>
      <c r="E2305" s="1">
        <f ca="1">IFERROR(__xludf.DUMMYFUNCTION("""COMPUTED_VALUE"""),484.02)</f>
        <v>484.02</v>
      </c>
      <c r="F2305" s="1">
        <f ca="1">IFERROR(__xludf.DUMMYFUNCTION("""COMPUTED_VALUE"""),12715486)</f>
        <v>12715486</v>
      </c>
    </row>
    <row r="2306" spans="1:6" x14ac:dyDescent="0.35">
      <c r="A2306" s="2">
        <f ca="1">IFERROR(__xludf.DUMMYFUNCTION("""COMPUTED_VALUE"""),45351.6666666666)</f>
        <v>45351.666666666599</v>
      </c>
      <c r="B2306" s="1">
        <f ca="1">IFERROR(__xludf.DUMMYFUNCTION("""COMPUTED_VALUE"""),488.44)</f>
        <v>488.44</v>
      </c>
      <c r="C2306" s="1">
        <f ca="1">IFERROR(__xludf.DUMMYFUNCTION("""COMPUTED_VALUE"""),491.7)</f>
        <v>491.7</v>
      </c>
      <c r="D2306" s="1">
        <f ca="1">IFERROR(__xludf.DUMMYFUNCTION("""COMPUTED_VALUE"""),482.61)</f>
        <v>482.61</v>
      </c>
      <c r="E2306" s="1">
        <f ca="1">IFERROR(__xludf.DUMMYFUNCTION("""COMPUTED_VALUE"""),490.13)</f>
        <v>490.13</v>
      </c>
      <c r="F2306" s="1">
        <f ca="1">IFERROR(__xludf.DUMMYFUNCTION("""COMPUTED_VALUE"""),17732045)</f>
        <v>17732045</v>
      </c>
    </row>
    <row r="2307" spans="1:6" x14ac:dyDescent="0.35">
      <c r="A2307" s="2">
        <f ca="1">IFERROR(__xludf.DUMMYFUNCTION("""COMPUTED_VALUE"""),45352.6666666666)</f>
        <v>45352.666666666599</v>
      </c>
      <c r="B2307" s="1">
        <f ca="1">IFERROR(__xludf.DUMMYFUNCTION("""COMPUTED_VALUE"""),492.11)</f>
        <v>492.11</v>
      </c>
      <c r="C2307" s="1">
        <f ca="1">IFERROR(__xludf.DUMMYFUNCTION("""COMPUTED_VALUE"""),504.25)</f>
        <v>504.25</v>
      </c>
      <c r="D2307" s="1">
        <f ca="1">IFERROR(__xludf.DUMMYFUNCTION("""COMPUTED_VALUE"""),491.85)</f>
        <v>491.85</v>
      </c>
      <c r="E2307" s="1">
        <f ca="1">IFERROR(__xludf.DUMMYFUNCTION("""COMPUTED_VALUE"""),502.3)</f>
        <v>502.3</v>
      </c>
      <c r="F2307" s="1">
        <f ca="1">IFERROR(__xludf.DUMMYFUNCTION("""COMPUTED_VALUE"""),15884882)</f>
        <v>15884882</v>
      </c>
    </row>
    <row r="2308" spans="1:6" x14ac:dyDescent="0.35">
      <c r="A2308" s="2">
        <f ca="1">IFERROR(__xludf.DUMMYFUNCTION("""COMPUTED_VALUE"""),45355.6666666666)</f>
        <v>45355.666666666599</v>
      </c>
      <c r="B2308" s="1">
        <f ca="1">IFERROR(__xludf.DUMMYFUNCTION("""COMPUTED_VALUE"""),503)</f>
        <v>503</v>
      </c>
      <c r="C2308" s="1">
        <f ca="1">IFERROR(__xludf.DUMMYFUNCTION("""COMPUTED_VALUE"""),504.42)</f>
        <v>504.42</v>
      </c>
      <c r="D2308" s="1">
        <f ca="1">IFERROR(__xludf.DUMMYFUNCTION("""COMPUTED_VALUE"""),496.42)</f>
        <v>496.42</v>
      </c>
      <c r="E2308" s="1">
        <f ca="1">IFERROR(__xludf.DUMMYFUNCTION("""COMPUTED_VALUE"""),498.19)</f>
        <v>498.19</v>
      </c>
      <c r="F2308" s="1">
        <f ca="1">IFERROR(__xludf.DUMMYFUNCTION("""COMPUTED_VALUE"""),12324141)</f>
        <v>12324141</v>
      </c>
    </row>
    <row r="2309" spans="1:6" x14ac:dyDescent="0.35">
      <c r="A2309" s="2">
        <f ca="1">IFERROR(__xludf.DUMMYFUNCTION("""COMPUTED_VALUE"""),45356.6666666666)</f>
        <v>45356.666666666599</v>
      </c>
      <c r="B2309" s="1">
        <f ca="1">IFERROR(__xludf.DUMMYFUNCTION("""COMPUTED_VALUE"""),495)</f>
        <v>495</v>
      </c>
      <c r="C2309" s="1">
        <f ca="1">IFERROR(__xludf.DUMMYFUNCTION("""COMPUTED_VALUE"""),495.58)</f>
        <v>495.58</v>
      </c>
      <c r="D2309" s="1">
        <f ca="1">IFERROR(__xludf.DUMMYFUNCTION("""COMPUTED_VALUE"""),487.89)</f>
        <v>487.89</v>
      </c>
      <c r="E2309" s="1">
        <f ca="1">IFERROR(__xludf.DUMMYFUNCTION("""COMPUTED_VALUE"""),490.22)</f>
        <v>490.22</v>
      </c>
      <c r="F2309" s="1">
        <f ca="1">IFERROR(__xludf.DUMMYFUNCTION("""COMPUTED_VALUE"""),15325299)</f>
        <v>15325299</v>
      </c>
    </row>
    <row r="2310" spans="1:6" x14ac:dyDescent="0.35">
      <c r="A2310" s="2">
        <f ca="1">IFERROR(__xludf.DUMMYFUNCTION("""COMPUTED_VALUE"""),45357.6666666666)</f>
        <v>45357.666666666599</v>
      </c>
      <c r="B2310" s="1">
        <f ca="1">IFERROR(__xludf.DUMMYFUNCTION("""COMPUTED_VALUE"""),497.63)</f>
        <v>497.63</v>
      </c>
      <c r="C2310" s="1">
        <f ca="1">IFERROR(__xludf.DUMMYFUNCTION("""COMPUTED_VALUE"""),502.97)</f>
        <v>502.97</v>
      </c>
      <c r="D2310" s="1">
        <f ca="1">IFERROR(__xludf.DUMMYFUNCTION("""COMPUTED_VALUE"""),494.29)</f>
        <v>494.29</v>
      </c>
      <c r="E2310" s="1">
        <f ca="1">IFERROR(__xludf.DUMMYFUNCTION("""COMPUTED_VALUE"""),496.09)</f>
        <v>496.09</v>
      </c>
      <c r="F2310" s="1">
        <f ca="1">IFERROR(__xludf.DUMMYFUNCTION("""COMPUTED_VALUE"""),11757925)</f>
        <v>11757925</v>
      </c>
    </row>
    <row r="2311" spans="1:6" x14ac:dyDescent="0.35">
      <c r="A2311" s="2">
        <f ca="1">IFERROR(__xludf.DUMMYFUNCTION("""COMPUTED_VALUE"""),45358.6666666666)</f>
        <v>45358.666666666599</v>
      </c>
      <c r="B2311" s="1">
        <f ca="1">IFERROR(__xludf.DUMMYFUNCTION("""COMPUTED_VALUE"""),503.28)</f>
        <v>503.28</v>
      </c>
      <c r="C2311" s="1">
        <f ca="1">IFERROR(__xludf.DUMMYFUNCTION("""COMPUTED_VALUE"""),519.85)</f>
        <v>519.85</v>
      </c>
      <c r="D2311" s="1">
        <f ca="1">IFERROR(__xludf.DUMMYFUNCTION("""COMPUTED_VALUE"""),501.38)</f>
        <v>501.38</v>
      </c>
      <c r="E2311" s="1">
        <f ca="1">IFERROR(__xludf.DUMMYFUNCTION("""COMPUTED_VALUE"""),512.19)</f>
        <v>512.19000000000005</v>
      </c>
      <c r="F2311" s="1">
        <f ca="1">IFERROR(__xludf.DUMMYFUNCTION("""COMPUTED_VALUE"""),18586437)</f>
        <v>18586437</v>
      </c>
    </row>
    <row r="2312" spans="1:6" x14ac:dyDescent="0.35">
      <c r="A2312" s="2">
        <f ca="1">IFERROR(__xludf.DUMMYFUNCTION("""COMPUTED_VALUE"""),45359.6666666666)</f>
        <v>45359.666666666599</v>
      </c>
      <c r="B2312" s="1">
        <f ca="1">IFERROR(__xludf.DUMMYFUNCTION("""COMPUTED_VALUE"""),514.19)</f>
        <v>514.19000000000005</v>
      </c>
      <c r="C2312" s="1">
        <f ca="1">IFERROR(__xludf.DUMMYFUNCTION("""COMPUTED_VALUE"""),523.57)</f>
        <v>523.57000000000005</v>
      </c>
      <c r="D2312" s="1">
        <f ca="1">IFERROR(__xludf.DUMMYFUNCTION("""COMPUTED_VALUE"""),499.35)</f>
        <v>499.35</v>
      </c>
      <c r="E2312" s="1">
        <f ca="1">IFERROR(__xludf.DUMMYFUNCTION("""COMPUTED_VALUE"""),505.95)</f>
        <v>505.95</v>
      </c>
      <c r="F2312" s="1">
        <f ca="1">IFERROR(__xludf.DUMMYFUNCTION("""COMPUTED_VALUE"""),18597059)</f>
        <v>18597059</v>
      </c>
    </row>
    <row r="2313" spans="1:6" x14ac:dyDescent="0.35">
      <c r="A2313" s="2">
        <f ca="1">IFERROR(__xludf.DUMMYFUNCTION("""COMPUTED_VALUE"""),45362.6666666666)</f>
        <v>45362.666666666599</v>
      </c>
      <c r="B2313" s="1">
        <f ca="1">IFERROR(__xludf.DUMMYFUNCTION("""COMPUTED_VALUE"""),497.01)</f>
        <v>497.01</v>
      </c>
      <c r="C2313" s="1">
        <f ca="1">IFERROR(__xludf.DUMMYFUNCTION("""COMPUTED_VALUE"""),497.32)</f>
        <v>497.32</v>
      </c>
      <c r="D2313" s="1">
        <f ca="1">IFERROR(__xludf.DUMMYFUNCTION("""COMPUTED_VALUE"""),476)</f>
        <v>476</v>
      </c>
      <c r="E2313" s="1">
        <f ca="1">IFERROR(__xludf.DUMMYFUNCTION("""COMPUTED_VALUE"""),483.59)</f>
        <v>483.59</v>
      </c>
      <c r="F2313" s="1">
        <f ca="1">IFERROR(__xludf.DUMMYFUNCTION("""COMPUTED_VALUE"""),20428274)</f>
        <v>20428274</v>
      </c>
    </row>
    <row r="2314" spans="1:6" x14ac:dyDescent="0.35">
      <c r="A2314" s="2">
        <f ca="1">IFERROR(__xludf.DUMMYFUNCTION("""COMPUTED_VALUE"""),45363.6666666666)</f>
        <v>45363.666666666599</v>
      </c>
      <c r="B2314" s="1">
        <f ca="1">IFERROR(__xludf.DUMMYFUNCTION("""COMPUTED_VALUE"""),493.26)</f>
        <v>493.26</v>
      </c>
      <c r="C2314" s="1">
        <f ca="1">IFERROR(__xludf.DUMMYFUNCTION("""COMPUTED_VALUE"""),502.31)</f>
        <v>502.31</v>
      </c>
      <c r="D2314" s="1">
        <f ca="1">IFERROR(__xludf.DUMMYFUNCTION("""COMPUTED_VALUE"""),484.73)</f>
        <v>484.73</v>
      </c>
      <c r="E2314" s="1">
        <f ca="1">IFERROR(__xludf.DUMMYFUNCTION("""COMPUTED_VALUE"""),499.75)</f>
        <v>499.75</v>
      </c>
      <c r="F2314" s="1">
        <f ca="1">IFERROR(__xludf.DUMMYFUNCTION("""COMPUTED_VALUE"""),15448232)</f>
        <v>15448232</v>
      </c>
    </row>
    <row r="2315" spans="1:6" x14ac:dyDescent="0.35">
      <c r="A2315" s="2">
        <f ca="1">IFERROR(__xludf.DUMMYFUNCTION("""COMPUTED_VALUE"""),45364.6666666666)</f>
        <v>45364.666666666599</v>
      </c>
      <c r="B2315" s="1">
        <f ca="1">IFERROR(__xludf.DUMMYFUNCTION("""COMPUTED_VALUE"""),495.39)</f>
        <v>495.39</v>
      </c>
      <c r="C2315" s="1">
        <f ca="1">IFERROR(__xludf.DUMMYFUNCTION("""COMPUTED_VALUE"""),500.98)</f>
        <v>500.98</v>
      </c>
      <c r="D2315" s="1">
        <f ca="1">IFERROR(__xludf.DUMMYFUNCTION("""COMPUTED_VALUE"""),491.03)</f>
        <v>491.03</v>
      </c>
      <c r="E2315" s="1">
        <f ca="1">IFERROR(__xludf.DUMMYFUNCTION("""COMPUTED_VALUE"""),495.57)</f>
        <v>495.57</v>
      </c>
      <c r="F2315" s="1">
        <f ca="1">IFERROR(__xludf.DUMMYFUNCTION("""COMPUTED_VALUE"""),12090656)</f>
        <v>12090656</v>
      </c>
    </row>
    <row r="2316" spans="1:6" x14ac:dyDescent="0.35">
      <c r="A2316" s="2">
        <f ca="1">IFERROR(__xludf.DUMMYFUNCTION("""COMPUTED_VALUE"""),45365.6666666666)</f>
        <v>45365.666666666599</v>
      </c>
      <c r="B2316" s="1">
        <f ca="1">IFERROR(__xludf.DUMMYFUNCTION("""COMPUTED_VALUE"""),500.26)</f>
        <v>500.26</v>
      </c>
      <c r="C2316" s="1">
        <f ca="1">IFERROR(__xludf.DUMMYFUNCTION("""COMPUTED_VALUE"""),501.35)</f>
        <v>501.35</v>
      </c>
      <c r="D2316" s="1">
        <f ca="1">IFERROR(__xludf.DUMMYFUNCTION("""COMPUTED_VALUE"""),488.16)</f>
        <v>488.16</v>
      </c>
      <c r="E2316" s="1">
        <f ca="1">IFERROR(__xludf.DUMMYFUNCTION("""COMPUTED_VALUE"""),491.83)</f>
        <v>491.83</v>
      </c>
      <c r="F2316" s="1">
        <f ca="1">IFERROR(__xludf.DUMMYFUNCTION("""COMPUTED_VALUE"""),12620014)</f>
        <v>12620014</v>
      </c>
    </row>
    <row r="2317" spans="1:6" x14ac:dyDescent="0.35">
      <c r="A2317" s="2">
        <f ca="1">IFERROR(__xludf.DUMMYFUNCTION("""COMPUTED_VALUE"""),45366.6666666666)</f>
        <v>45366.666666666599</v>
      </c>
      <c r="B2317" s="1">
        <f ca="1">IFERROR(__xludf.DUMMYFUNCTION("""COMPUTED_VALUE"""),489.01)</f>
        <v>489.01</v>
      </c>
      <c r="C2317" s="1">
        <f ca="1">IFERROR(__xludf.DUMMYFUNCTION("""COMPUTED_VALUE"""),491.83)</f>
        <v>491.83</v>
      </c>
      <c r="D2317" s="1">
        <f ca="1">IFERROR(__xludf.DUMMYFUNCTION("""COMPUTED_VALUE"""),481.3)</f>
        <v>481.3</v>
      </c>
      <c r="E2317" s="1">
        <f ca="1">IFERROR(__xludf.DUMMYFUNCTION("""COMPUTED_VALUE"""),484.1)</f>
        <v>484.1</v>
      </c>
      <c r="F2317" s="1">
        <f ca="1">IFERROR(__xludf.DUMMYFUNCTION("""COMPUTED_VALUE"""),29153576)</f>
        <v>29153576</v>
      </c>
    </row>
    <row r="2318" spans="1:6" x14ac:dyDescent="0.35">
      <c r="A2318" s="2">
        <f ca="1">IFERROR(__xludf.DUMMYFUNCTION("""COMPUTED_VALUE"""),45369.6666666666)</f>
        <v>45369.666666666599</v>
      </c>
      <c r="B2318" s="1">
        <f ca="1">IFERROR(__xludf.DUMMYFUNCTION("""COMPUTED_VALUE"""),491.91)</f>
        <v>491.91</v>
      </c>
      <c r="C2318" s="1">
        <f ca="1">IFERROR(__xludf.DUMMYFUNCTION("""COMPUTED_VALUE"""),497.42)</f>
        <v>497.42</v>
      </c>
      <c r="D2318" s="1">
        <f ca="1">IFERROR(__xludf.DUMMYFUNCTION("""COMPUTED_VALUE"""),486.81)</f>
        <v>486.81</v>
      </c>
      <c r="E2318" s="1">
        <f ca="1">IFERROR(__xludf.DUMMYFUNCTION("""COMPUTED_VALUE"""),496.98)</f>
        <v>496.98</v>
      </c>
      <c r="F2318" s="1">
        <f ca="1">IFERROR(__xludf.DUMMYFUNCTION("""COMPUTED_VALUE"""),11755251)</f>
        <v>11755251</v>
      </c>
    </row>
    <row r="2319" spans="1:6" x14ac:dyDescent="0.35">
      <c r="A2319" s="2">
        <f ca="1">IFERROR(__xludf.DUMMYFUNCTION("""COMPUTED_VALUE"""),45370.6666666666)</f>
        <v>45370.666666666599</v>
      </c>
      <c r="B2319" s="1">
        <f ca="1">IFERROR(__xludf.DUMMYFUNCTION("""COMPUTED_VALUE"""),488.17)</f>
        <v>488.17</v>
      </c>
      <c r="C2319" s="1">
        <f ca="1">IFERROR(__xludf.DUMMYFUNCTION("""COMPUTED_VALUE"""),496.63)</f>
        <v>496.63</v>
      </c>
      <c r="D2319" s="1">
        <f ca="1">IFERROR(__xludf.DUMMYFUNCTION("""COMPUTED_VALUE"""),481.28)</f>
        <v>481.28</v>
      </c>
      <c r="E2319" s="1">
        <f ca="1">IFERROR(__xludf.DUMMYFUNCTION("""COMPUTED_VALUE"""),496.24)</f>
        <v>496.24</v>
      </c>
      <c r="F2319" s="1">
        <f ca="1">IFERROR(__xludf.DUMMYFUNCTION("""COMPUTED_VALUE"""),10903092)</f>
        <v>10903092</v>
      </c>
    </row>
    <row r="2320" spans="1:6" x14ac:dyDescent="0.35">
      <c r="A2320" s="2">
        <f ca="1">IFERROR(__xludf.DUMMYFUNCTION("""COMPUTED_VALUE"""),45371.6666666666)</f>
        <v>45371.666666666599</v>
      </c>
      <c r="B2320" s="1">
        <f ca="1">IFERROR(__xludf.DUMMYFUNCTION("""COMPUTED_VALUE"""),499.5)</f>
        <v>499.5</v>
      </c>
      <c r="C2320" s="1">
        <f ca="1">IFERROR(__xludf.DUMMYFUNCTION("""COMPUTED_VALUE"""),508.2)</f>
        <v>508.2</v>
      </c>
      <c r="D2320" s="1">
        <f ca="1">IFERROR(__xludf.DUMMYFUNCTION("""COMPUTED_VALUE"""),495.17)</f>
        <v>495.17</v>
      </c>
      <c r="E2320" s="1">
        <f ca="1">IFERROR(__xludf.DUMMYFUNCTION("""COMPUTED_VALUE"""),505.52)</f>
        <v>505.52</v>
      </c>
      <c r="F2320" s="1">
        <f ca="1">IFERROR(__xludf.DUMMYFUNCTION("""COMPUTED_VALUE"""),11711100)</f>
        <v>11711100</v>
      </c>
    </row>
    <row r="2321" spans="1:6" x14ac:dyDescent="0.35">
      <c r="A2321" s="2">
        <f ca="1">IFERROR(__xludf.DUMMYFUNCTION("""COMPUTED_VALUE"""),45372.6666666666)</f>
        <v>45372.666666666599</v>
      </c>
      <c r="B2321" s="1">
        <f ca="1">IFERROR(__xludf.DUMMYFUNCTION("""COMPUTED_VALUE"""),514.71)</f>
        <v>514.71</v>
      </c>
      <c r="C2321" s="1">
        <f ca="1">IFERROR(__xludf.DUMMYFUNCTION("""COMPUTED_VALUE"""),515.04)</f>
        <v>515.04</v>
      </c>
      <c r="D2321" s="1">
        <f ca="1">IFERROR(__xludf.DUMMYFUNCTION("""COMPUTED_VALUE"""),506.01)</f>
        <v>506.01</v>
      </c>
      <c r="E2321" s="1">
        <f ca="1">IFERROR(__xludf.DUMMYFUNCTION("""COMPUTED_VALUE"""),507.76)</f>
        <v>507.76</v>
      </c>
      <c r="F2321" s="1">
        <f ca="1">IFERROR(__xludf.DUMMYFUNCTION("""COMPUTED_VALUE"""),9712549)</f>
        <v>9712549</v>
      </c>
    </row>
    <row r="2322" spans="1:6" x14ac:dyDescent="0.35">
      <c r="A2322" s="2">
        <f ca="1">IFERROR(__xludf.DUMMYFUNCTION("""COMPUTED_VALUE"""),45373.6666666666)</f>
        <v>45373.666666666599</v>
      </c>
      <c r="B2322" s="1">
        <f ca="1">IFERROR(__xludf.DUMMYFUNCTION("""COMPUTED_VALUE"""),507)</f>
        <v>507</v>
      </c>
      <c r="C2322" s="1">
        <f ca="1">IFERROR(__xludf.DUMMYFUNCTION("""COMPUTED_VALUE"""),509.97)</f>
        <v>509.97</v>
      </c>
      <c r="D2322" s="1">
        <f ca="1">IFERROR(__xludf.DUMMYFUNCTION("""COMPUTED_VALUE"""),504.34)</f>
        <v>504.34</v>
      </c>
      <c r="E2322" s="1">
        <f ca="1">IFERROR(__xludf.DUMMYFUNCTION("""COMPUTED_VALUE"""),509.58)</f>
        <v>509.58</v>
      </c>
      <c r="F2322" s="1">
        <f ca="1">IFERROR(__xludf.DUMMYFUNCTION("""COMPUTED_VALUE"""),8120593)</f>
        <v>8120593</v>
      </c>
    </row>
    <row r="2323" spans="1:6" x14ac:dyDescent="0.35">
      <c r="A2323" s="2">
        <f ca="1">IFERROR(__xludf.DUMMYFUNCTION("""COMPUTED_VALUE"""),45376.6666666666)</f>
        <v>45376.666666666599</v>
      </c>
      <c r="B2323" s="1">
        <f ca="1">IFERROR(__xludf.DUMMYFUNCTION("""COMPUTED_VALUE"""),505.79)</f>
        <v>505.79</v>
      </c>
      <c r="C2323" s="1">
        <f ca="1">IFERROR(__xludf.DUMMYFUNCTION("""COMPUTED_VALUE"""),507.22)</f>
        <v>507.22</v>
      </c>
      <c r="D2323" s="1">
        <f ca="1">IFERROR(__xludf.DUMMYFUNCTION("""COMPUTED_VALUE"""),500.24)</f>
        <v>500.24</v>
      </c>
      <c r="E2323" s="1">
        <f ca="1">IFERROR(__xludf.DUMMYFUNCTION("""COMPUTED_VALUE"""),503.02)</f>
        <v>503.02</v>
      </c>
      <c r="F2323" s="1">
        <f ca="1">IFERROR(__xludf.DUMMYFUNCTION("""COMPUTED_VALUE"""),8380617)</f>
        <v>8380617</v>
      </c>
    </row>
    <row r="2324" spans="1:6" x14ac:dyDescent="0.35">
      <c r="A2324" s="2">
        <f ca="1">IFERROR(__xludf.DUMMYFUNCTION("""COMPUTED_VALUE"""),45377.6666666666)</f>
        <v>45377.666666666599</v>
      </c>
      <c r="B2324" s="1">
        <f ca="1">IFERROR(__xludf.DUMMYFUNCTION("""COMPUTED_VALUE"""),505.13)</f>
        <v>505.13</v>
      </c>
      <c r="C2324" s="1">
        <f ca="1">IFERROR(__xludf.DUMMYFUNCTION("""COMPUTED_VALUE"""),510)</f>
        <v>510</v>
      </c>
      <c r="D2324" s="1">
        <f ca="1">IFERROR(__xludf.DUMMYFUNCTION("""COMPUTED_VALUE"""),495.21)</f>
        <v>495.21</v>
      </c>
      <c r="E2324" s="1">
        <f ca="1">IFERROR(__xludf.DUMMYFUNCTION("""COMPUTED_VALUE"""),495.89)</f>
        <v>495.89</v>
      </c>
      <c r="F2324" s="1">
        <f ca="1">IFERROR(__xludf.DUMMYFUNCTION("""COMPUTED_VALUE"""),11205382)</f>
        <v>11205382</v>
      </c>
    </row>
    <row r="2325" spans="1:6" x14ac:dyDescent="0.35">
      <c r="A2325" s="2">
        <f ca="1">IFERROR(__xludf.DUMMYFUNCTION("""COMPUTED_VALUE"""),45378.6666666666)</f>
        <v>45378.666666666599</v>
      </c>
      <c r="B2325" s="1">
        <f ca="1">IFERROR(__xludf.DUMMYFUNCTION("""COMPUTED_VALUE"""),499.3)</f>
        <v>499.3</v>
      </c>
      <c r="C2325" s="1">
        <f ca="1">IFERROR(__xludf.DUMMYFUNCTION("""COMPUTED_VALUE"""),499.89)</f>
        <v>499.89</v>
      </c>
      <c r="D2325" s="1">
        <f ca="1">IFERROR(__xludf.DUMMYFUNCTION("""COMPUTED_VALUE"""),488.07)</f>
        <v>488.07</v>
      </c>
      <c r="E2325" s="1">
        <f ca="1">IFERROR(__xludf.DUMMYFUNCTION("""COMPUTED_VALUE"""),493.86)</f>
        <v>493.86</v>
      </c>
      <c r="F2325" s="1">
        <f ca="1">IFERROR(__xludf.DUMMYFUNCTION("""COMPUTED_VALUE"""),9989676)</f>
        <v>9989676</v>
      </c>
    </row>
    <row r="2326" spans="1:6" x14ac:dyDescent="0.35">
      <c r="A2326" s="2">
        <f ca="1">IFERROR(__xludf.DUMMYFUNCTION("""COMPUTED_VALUE"""),45379.6666666666)</f>
        <v>45379.666666666599</v>
      </c>
      <c r="B2326" s="1">
        <f ca="1">IFERROR(__xludf.DUMMYFUNCTION("""COMPUTED_VALUE"""),492.84)</f>
        <v>492.84</v>
      </c>
      <c r="C2326" s="1">
        <f ca="1">IFERROR(__xludf.DUMMYFUNCTION("""COMPUTED_VALUE"""),492.89)</f>
        <v>492.89</v>
      </c>
      <c r="D2326" s="1">
        <f ca="1">IFERROR(__xludf.DUMMYFUNCTION("""COMPUTED_VALUE"""),485.15)</f>
        <v>485.15</v>
      </c>
      <c r="E2326" s="1">
        <f ca="1">IFERROR(__xludf.DUMMYFUNCTION("""COMPUTED_VALUE"""),485.58)</f>
        <v>485.58</v>
      </c>
      <c r="F2326" s="1">
        <f ca="1">IFERROR(__xludf.DUMMYFUNCTION("""COMPUTED_VALUE"""),15212764)</f>
        <v>15212764</v>
      </c>
    </row>
    <row r="2327" spans="1:6" x14ac:dyDescent="0.35">
      <c r="A2327" s="2">
        <f ca="1">IFERROR(__xludf.DUMMYFUNCTION("""COMPUTED_VALUE"""),45383.6666666666)</f>
        <v>45383.666666666599</v>
      </c>
      <c r="B2327" s="1">
        <f ca="1">IFERROR(__xludf.DUMMYFUNCTION("""COMPUTED_VALUE"""),487.2)</f>
        <v>487.2</v>
      </c>
      <c r="C2327" s="1">
        <f ca="1">IFERROR(__xludf.DUMMYFUNCTION("""COMPUTED_VALUE"""),497.43)</f>
        <v>497.43</v>
      </c>
      <c r="D2327" s="1">
        <f ca="1">IFERROR(__xludf.DUMMYFUNCTION("""COMPUTED_VALUE"""),481.78)</f>
        <v>481.78</v>
      </c>
      <c r="E2327" s="1">
        <f ca="1">IFERROR(__xludf.DUMMYFUNCTION("""COMPUTED_VALUE"""),491.35)</f>
        <v>491.35</v>
      </c>
      <c r="F2327" s="1">
        <f ca="1">IFERROR(__xludf.DUMMYFUNCTION("""COMPUTED_VALUE"""),9247007)</f>
        <v>9247007</v>
      </c>
    </row>
    <row r="2328" spans="1:6" x14ac:dyDescent="0.35">
      <c r="A2328" s="2">
        <f ca="1">IFERROR(__xludf.DUMMYFUNCTION("""COMPUTED_VALUE"""),45384.6666666666)</f>
        <v>45384.666666666599</v>
      </c>
      <c r="B2328" s="1">
        <f ca="1">IFERROR(__xludf.DUMMYFUNCTION("""COMPUTED_VALUE"""),485.1)</f>
        <v>485.1</v>
      </c>
      <c r="C2328" s="1">
        <f ca="1">IFERROR(__xludf.DUMMYFUNCTION("""COMPUTED_VALUE"""),497.53)</f>
        <v>497.53</v>
      </c>
      <c r="D2328" s="1">
        <f ca="1">IFERROR(__xludf.DUMMYFUNCTION("""COMPUTED_VALUE"""),484.65)</f>
        <v>484.65</v>
      </c>
      <c r="E2328" s="1">
        <f ca="1">IFERROR(__xludf.DUMMYFUNCTION("""COMPUTED_VALUE"""),497.37)</f>
        <v>497.37</v>
      </c>
      <c r="F2328" s="1">
        <f ca="1">IFERROR(__xludf.DUMMYFUNCTION("""COMPUTED_VALUE"""),11081026)</f>
        <v>11081026</v>
      </c>
    </row>
    <row r="2329" spans="1:6" x14ac:dyDescent="0.35">
      <c r="A2329" s="2">
        <f ca="1">IFERROR(__xludf.DUMMYFUNCTION("""COMPUTED_VALUE"""),45385.6666666666)</f>
        <v>45385.666666666599</v>
      </c>
      <c r="B2329" s="1">
        <f ca="1">IFERROR(__xludf.DUMMYFUNCTION("""COMPUTED_VALUE"""),498.93)</f>
        <v>498.93</v>
      </c>
      <c r="C2329" s="1">
        <f ca="1">IFERROR(__xludf.DUMMYFUNCTION("""COMPUTED_VALUE"""),507.24)</f>
        <v>507.24</v>
      </c>
      <c r="D2329" s="1">
        <f ca="1">IFERROR(__xludf.DUMMYFUNCTION("""COMPUTED_VALUE"""),498.75)</f>
        <v>498.75</v>
      </c>
      <c r="E2329" s="1">
        <f ca="1">IFERROR(__xludf.DUMMYFUNCTION("""COMPUTED_VALUE"""),506.74)</f>
        <v>506.74</v>
      </c>
      <c r="F2329" s="1">
        <f ca="1">IFERROR(__xludf.DUMMYFUNCTION("""COMPUTED_VALUE"""),12099171)</f>
        <v>12099171</v>
      </c>
    </row>
    <row r="2330" spans="1:6" x14ac:dyDescent="0.35">
      <c r="A2330" s="2">
        <f ca="1">IFERROR(__xludf.DUMMYFUNCTION("""COMPUTED_VALUE"""),45386.6666666666)</f>
        <v>45386.666666666599</v>
      </c>
      <c r="B2330" s="1">
        <f ca="1">IFERROR(__xludf.DUMMYFUNCTION("""COMPUTED_VALUE"""),516.42)</f>
        <v>516.41999999999996</v>
      </c>
      <c r="C2330" s="1">
        <f ca="1">IFERROR(__xludf.DUMMYFUNCTION("""COMPUTED_VALUE"""),530)</f>
        <v>530</v>
      </c>
      <c r="D2330" s="1">
        <f ca="1">IFERROR(__xludf.DUMMYFUNCTION("""COMPUTED_VALUE"""),510.58)</f>
        <v>510.58</v>
      </c>
      <c r="E2330" s="1">
        <f ca="1">IFERROR(__xludf.DUMMYFUNCTION("""COMPUTED_VALUE"""),510.92)</f>
        <v>510.92</v>
      </c>
      <c r="F2330" s="1">
        <f ca="1">IFERROR(__xludf.DUMMYFUNCTION("""COMPUTED_VALUE"""),26476253)</f>
        <v>26476253</v>
      </c>
    </row>
    <row r="2331" spans="1:6" x14ac:dyDescent="0.35">
      <c r="A2331" s="2">
        <f ca="1">IFERROR(__xludf.DUMMYFUNCTION("""COMPUTED_VALUE"""),45387.6666666666)</f>
        <v>45387.666666666599</v>
      </c>
      <c r="B2331" s="1">
        <f ca="1">IFERROR(__xludf.DUMMYFUNCTION("""COMPUTED_VALUE"""),516.86)</f>
        <v>516.86</v>
      </c>
      <c r="C2331" s="1">
        <f ca="1">IFERROR(__xludf.DUMMYFUNCTION("""COMPUTED_VALUE"""),530.7)</f>
        <v>530.70000000000005</v>
      </c>
      <c r="D2331" s="1">
        <f ca="1">IFERROR(__xludf.DUMMYFUNCTION("""COMPUTED_VALUE"""),514.41)</f>
        <v>514.41</v>
      </c>
      <c r="E2331" s="1">
        <f ca="1">IFERROR(__xludf.DUMMYFUNCTION("""COMPUTED_VALUE"""),527.34)</f>
        <v>527.34</v>
      </c>
      <c r="F2331" s="1">
        <f ca="1">IFERROR(__xludf.DUMMYFUNCTION("""COMPUTED_VALUE"""),19263265)</f>
        <v>19263265</v>
      </c>
    </row>
    <row r="2332" spans="1:6" x14ac:dyDescent="0.35">
      <c r="A2332" s="2">
        <f ca="1">IFERROR(__xludf.DUMMYFUNCTION("""COMPUTED_VALUE"""),45390.6666666666)</f>
        <v>45390.666666666599</v>
      </c>
      <c r="B2332" s="1">
        <f ca="1">IFERROR(__xludf.DUMMYFUNCTION("""COMPUTED_VALUE"""),529.28)</f>
        <v>529.28</v>
      </c>
      <c r="C2332" s="1">
        <f ca="1">IFERROR(__xludf.DUMMYFUNCTION("""COMPUTED_VALUE"""),531.49)</f>
        <v>531.49</v>
      </c>
      <c r="D2332" s="1">
        <f ca="1">IFERROR(__xludf.DUMMYFUNCTION("""COMPUTED_VALUE"""),518.89)</f>
        <v>518.89</v>
      </c>
      <c r="E2332" s="1">
        <f ca="1">IFERROR(__xludf.DUMMYFUNCTION("""COMPUTED_VALUE"""),519.25)</f>
        <v>519.25</v>
      </c>
      <c r="F2332" s="1">
        <f ca="1">IFERROR(__xludf.DUMMYFUNCTION("""COMPUTED_VALUE"""),13260579)</f>
        <v>13260579</v>
      </c>
    </row>
    <row r="2333" spans="1:6" x14ac:dyDescent="0.35">
      <c r="A2333" s="2">
        <f ca="1">IFERROR(__xludf.DUMMYFUNCTION("""COMPUTED_VALUE"""),45391.6666666666)</f>
        <v>45391.666666666599</v>
      </c>
      <c r="B2333" s="1">
        <f ca="1">IFERROR(__xludf.DUMMYFUNCTION("""COMPUTED_VALUE"""),522.23)</f>
        <v>522.23</v>
      </c>
      <c r="C2333" s="1">
        <f ca="1">IFERROR(__xludf.DUMMYFUNCTION("""COMPUTED_VALUE"""),525.87)</f>
        <v>525.87</v>
      </c>
      <c r="D2333" s="1">
        <f ca="1">IFERROR(__xludf.DUMMYFUNCTION("""COMPUTED_VALUE"""),506.74)</f>
        <v>506.74</v>
      </c>
      <c r="E2333" s="1">
        <f ca="1">IFERROR(__xludf.DUMMYFUNCTION("""COMPUTED_VALUE"""),516.9)</f>
        <v>516.9</v>
      </c>
      <c r="F2333" s="1">
        <f ca="1">IFERROR(__xludf.DUMMYFUNCTION("""COMPUTED_VALUE"""),10881445)</f>
        <v>10881445</v>
      </c>
    </row>
    <row r="2334" spans="1:6" x14ac:dyDescent="0.35">
      <c r="A2334" s="2">
        <f ca="1">IFERROR(__xludf.DUMMYFUNCTION("""COMPUTED_VALUE"""),45392.6666666666)</f>
        <v>45392.666666666599</v>
      </c>
      <c r="B2334" s="1">
        <f ca="1">IFERROR(__xludf.DUMMYFUNCTION("""COMPUTED_VALUE"""),509.29)</f>
        <v>509.29</v>
      </c>
      <c r="C2334" s="1">
        <f ca="1">IFERROR(__xludf.DUMMYFUNCTION("""COMPUTED_VALUE"""),522.56)</f>
        <v>522.55999999999995</v>
      </c>
      <c r="D2334" s="1">
        <f ca="1">IFERROR(__xludf.DUMMYFUNCTION("""COMPUTED_VALUE"""),505.8)</f>
        <v>505.8</v>
      </c>
      <c r="E2334" s="1">
        <f ca="1">IFERROR(__xludf.DUMMYFUNCTION("""COMPUTED_VALUE"""),519.83)</f>
        <v>519.83000000000004</v>
      </c>
      <c r="F2334" s="1">
        <f ca="1">IFERROR(__xludf.DUMMYFUNCTION("""COMPUTED_VALUE"""),11418491)</f>
        <v>11418491</v>
      </c>
    </row>
    <row r="2335" spans="1:6" x14ac:dyDescent="0.35">
      <c r="A2335" s="2">
        <f ca="1">IFERROR(__xludf.DUMMYFUNCTION("""COMPUTED_VALUE"""),45393.6666666666)</f>
        <v>45393.666666666599</v>
      </c>
      <c r="B2335" s="1">
        <f ca="1">IFERROR(__xludf.DUMMYFUNCTION("""COMPUTED_VALUE"""),521.11)</f>
        <v>521.11</v>
      </c>
      <c r="C2335" s="1">
        <f ca="1">IFERROR(__xludf.DUMMYFUNCTION("""COMPUTED_VALUE"""),523.86)</f>
        <v>523.86</v>
      </c>
      <c r="D2335" s="1">
        <f ca="1">IFERROR(__xludf.DUMMYFUNCTION("""COMPUTED_VALUE"""),517.29)</f>
        <v>517.29</v>
      </c>
      <c r="E2335" s="1">
        <f ca="1">IFERROR(__xludf.DUMMYFUNCTION("""COMPUTED_VALUE"""),523.16)</f>
        <v>523.16</v>
      </c>
      <c r="F2335" s="1">
        <f ca="1">IFERROR(__xludf.DUMMYFUNCTION("""COMPUTED_VALUE"""),10369469)</f>
        <v>10369469</v>
      </c>
    </row>
    <row r="2336" spans="1:6" x14ac:dyDescent="0.35">
      <c r="A2336" s="2">
        <f ca="1">IFERROR(__xludf.DUMMYFUNCTION("""COMPUTED_VALUE"""),45394.6666666666)</f>
        <v>45394.666666666599</v>
      </c>
      <c r="B2336" s="1">
        <f ca="1">IFERROR(__xludf.DUMMYFUNCTION("""COMPUTED_VALUE"""),517.75)</f>
        <v>517.75</v>
      </c>
      <c r="C2336" s="1">
        <f ca="1">IFERROR(__xludf.DUMMYFUNCTION("""COMPUTED_VALUE"""),520.19)</f>
        <v>520.19000000000005</v>
      </c>
      <c r="D2336" s="1">
        <f ca="1">IFERROR(__xludf.DUMMYFUNCTION("""COMPUTED_VALUE"""),509.33)</f>
        <v>509.33</v>
      </c>
      <c r="E2336" s="1">
        <f ca="1">IFERROR(__xludf.DUMMYFUNCTION("""COMPUTED_VALUE"""),511.9)</f>
        <v>511.9</v>
      </c>
      <c r="F2336" s="1">
        <f ca="1">IFERROR(__xludf.DUMMYFUNCTION("""COMPUTED_VALUE"""),11984535)</f>
        <v>11984535</v>
      </c>
    </row>
    <row r="2337" spans="1:6" x14ac:dyDescent="0.35">
      <c r="A2337" s="2">
        <f ca="1">IFERROR(__xludf.DUMMYFUNCTION("""COMPUTED_VALUE"""),45397.6666666666)</f>
        <v>45397.666666666599</v>
      </c>
      <c r="B2337" s="1">
        <f ca="1">IFERROR(__xludf.DUMMYFUNCTION("""COMPUTED_VALUE"""),516.72)</f>
        <v>516.72</v>
      </c>
      <c r="C2337" s="1">
        <f ca="1">IFERROR(__xludf.DUMMYFUNCTION("""COMPUTED_VALUE"""),518.53)</f>
        <v>518.53</v>
      </c>
      <c r="D2337" s="1">
        <f ca="1">IFERROR(__xludf.DUMMYFUNCTION("""COMPUTED_VALUE"""),497.28)</f>
        <v>497.28</v>
      </c>
      <c r="E2337" s="1">
        <f ca="1">IFERROR(__xludf.DUMMYFUNCTION("""COMPUTED_VALUE"""),500.23)</f>
        <v>500.23</v>
      </c>
      <c r="F2337" s="1">
        <f ca="1">IFERROR(__xludf.DUMMYFUNCTION("""COMPUTED_VALUE"""),13512893)</f>
        <v>13512893</v>
      </c>
    </row>
    <row r="2338" spans="1:6" x14ac:dyDescent="0.35">
      <c r="A2338" s="2">
        <f ca="1">IFERROR(__xludf.DUMMYFUNCTION("""COMPUTED_VALUE"""),45398.6666666666)</f>
        <v>45398.666666666599</v>
      </c>
      <c r="B2338" s="1">
        <f ca="1">IFERROR(__xludf.DUMMYFUNCTION("""COMPUTED_VALUE"""),498.11)</f>
        <v>498.11</v>
      </c>
      <c r="C2338" s="1">
        <f ca="1">IFERROR(__xludf.DUMMYFUNCTION("""COMPUTED_VALUE"""),504.77)</f>
        <v>504.77</v>
      </c>
      <c r="D2338" s="1">
        <f ca="1">IFERROR(__xludf.DUMMYFUNCTION("""COMPUTED_VALUE"""),497.11)</f>
        <v>497.11</v>
      </c>
      <c r="E2338" s="1">
        <f ca="1">IFERROR(__xludf.DUMMYFUNCTION("""COMPUTED_VALUE"""),499.76)</f>
        <v>499.76</v>
      </c>
      <c r="F2338" s="1">
        <f ca="1">IFERROR(__xludf.DUMMYFUNCTION("""COMPUTED_VALUE"""),9847925)</f>
        <v>9847925</v>
      </c>
    </row>
    <row r="2339" spans="1:6" x14ac:dyDescent="0.35">
      <c r="A2339" s="2">
        <f ca="1">IFERROR(__xludf.DUMMYFUNCTION("""COMPUTED_VALUE"""),45399.6666666666)</f>
        <v>45399.666666666599</v>
      </c>
      <c r="B2339" s="1">
        <f ca="1">IFERROR(__xludf.DUMMYFUNCTION("""COMPUTED_VALUE"""),503.1)</f>
        <v>503.1</v>
      </c>
      <c r="C2339" s="1">
        <f ca="1">IFERROR(__xludf.DUMMYFUNCTION("""COMPUTED_VALUE"""),503.16)</f>
        <v>503.16</v>
      </c>
      <c r="D2339" s="1">
        <f ca="1">IFERROR(__xludf.DUMMYFUNCTION("""COMPUTED_VALUE"""),487.14)</f>
        <v>487.14</v>
      </c>
      <c r="E2339" s="1">
        <f ca="1">IFERROR(__xludf.DUMMYFUNCTION("""COMPUTED_VALUE"""),494.17)</f>
        <v>494.17</v>
      </c>
      <c r="F2339" s="1">
        <f ca="1">IFERROR(__xludf.DUMMYFUNCTION("""COMPUTED_VALUE"""),12193743)</f>
        <v>12193743</v>
      </c>
    </row>
    <row r="2340" spans="1:6" x14ac:dyDescent="0.35">
      <c r="A2340" s="2">
        <f ca="1">IFERROR(__xludf.DUMMYFUNCTION("""COMPUTED_VALUE"""),45400.6666666666)</f>
        <v>45400.666666666599</v>
      </c>
      <c r="B2340" s="1">
        <f ca="1">IFERROR(__xludf.DUMMYFUNCTION("""COMPUTED_VALUE"""),499.82)</f>
        <v>499.82</v>
      </c>
      <c r="C2340" s="1">
        <f ca="1">IFERROR(__xludf.DUMMYFUNCTION("""COMPUTED_VALUE"""),512.21)</f>
        <v>512.21</v>
      </c>
      <c r="D2340" s="1">
        <f ca="1">IFERROR(__xludf.DUMMYFUNCTION("""COMPUTED_VALUE"""),499.04)</f>
        <v>499.04</v>
      </c>
      <c r="E2340" s="1">
        <f ca="1">IFERROR(__xludf.DUMMYFUNCTION("""COMPUTED_VALUE"""),501.8)</f>
        <v>501.8</v>
      </c>
      <c r="F2340" s="1">
        <f ca="1">IFERROR(__xludf.DUMMYFUNCTION("""COMPUTED_VALUE"""),14808670)</f>
        <v>14808670</v>
      </c>
    </row>
    <row r="2341" spans="1:6" x14ac:dyDescent="0.35">
      <c r="A2341" s="2">
        <f ca="1">IFERROR(__xludf.DUMMYFUNCTION("""COMPUTED_VALUE"""),45401.6666666666)</f>
        <v>45401.666666666599</v>
      </c>
      <c r="B2341" s="1">
        <f ca="1">IFERROR(__xludf.DUMMYFUNCTION("""COMPUTED_VALUE"""),502.8)</f>
        <v>502.8</v>
      </c>
      <c r="C2341" s="1">
        <f ca="1">IFERROR(__xludf.DUMMYFUNCTION("""COMPUTED_VALUE"""),502.8)</f>
        <v>502.8</v>
      </c>
      <c r="D2341" s="1">
        <f ca="1">IFERROR(__xludf.DUMMYFUNCTION("""COMPUTED_VALUE"""),475.73)</f>
        <v>475.73</v>
      </c>
      <c r="E2341" s="1">
        <f ca="1">IFERROR(__xludf.DUMMYFUNCTION("""COMPUTED_VALUE"""),481.07)</f>
        <v>481.07</v>
      </c>
      <c r="F2341" s="1">
        <f ca="1">IFERROR(__xludf.DUMMYFUNCTION("""COMPUTED_VALUE"""),25215364)</f>
        <v>25215364</v>
      </c>
    </row>
    <row r="2342" spans="1:6" x14ac:dyDescent="0.35">
      <c r="A2342" s="2">
        <f ca="1">IFERROR(__xludf.DUMMYFUNCTION("""COMPUTED_VALUE"""),45404.6666666666)</f>
        <v>45404.666666666599</v>
      </c>
      <c r="B2342" s="1">
        <f ca="1">IFERROR(__xludf.DUMMYFUNCTION("""COMPUTED_VALUE"""),489.72)</f>
        <v>489.72</v>
      </c>
      <c r="C2342" s="1">
        <f ca="1">IFERROR(__xludf.DUMMYFUNCTION("""COMPUTED_VALUE"""),492.01)</f>
        <v>492.01</v>
      </c>
      <c r="D2342" s="1">
        <f ca="1">IFERROR(__xludf.DUMMYFUNCTION("""COMPUTED_VALUE"""),473.4)</f>
        <v>473.4</v>
      </c>
      <c r="E2342" s="1">
        <f ca="1">IFERROR(__xludf.DUMMYFUNCTION("""COMPUTED_VALUE"""),481.73)</f>
        <v>481.73</v>
      </c>
      <c r="F2342" s="1">
        <f ca="1">IFERROR(__xludf.DUMMYFUNCTION("""COMPUTED_VALUE"""),17271125)</f>
        <v>17271125</v>
      </c>
    </row>
    <row r="2343" spans="1:6" x14ac:dyDescent="0.35">
      <c r="A2343" s="2">
        <f ca="1">IFERROR(__xludf.DUMMYFUNCTION("""COMPUTED_VALUE"""),45405.6666666666)</f>
        <v>45405.666666666599</v>
      </c>
      <c r="B2343" s="1">
        <f ca="1">IFERROR(__xludf.DUMMYFUNCTION("""COMPUTED_VALUE"""),491.25)</f>
        <v>491.25</v>
      </c>
      <c r="C2343" s="1">
        <f ca="1">IFERROR(__xludf.DUMMYFUNCTION("""COMPUTED_VALUE"""),498.76)</f>
        <v>498.76</v>
      </c>
      <c r="D2343" s="1">
        <f ca="1">IFERROR(__xludf.DUMMYFUNCTION("""COMPUTED_VALUE"""),488.97)</f>
        <v>488.97</v>
      </c>
      <c r="E2343" s="1">
        <f ca="1">IFERROR(__xludf.DUMMYFUNCTION("""COMPUTED_VALUE"""),496.1)</f>
        <v>496.1</v>
      </c>
      <c r="F2343" s="1">
        <f ca="1">IFERROR(__xludf.DUMMYFUNCTION("""COMPUTED_VALUE"""),15079196)</f>
        <v>15079196</v>
      </c>
    </row>
    <row r="2344" spans="1:6" x14ac:dyDescent="0.35">
      <c r="A2344" s="2">
        <f ca="1">IFERROR(__xludf.DUMMYFUNCTION("""COMPUTED_VALUE"""),45406.6666666666)</f>
        <v>45406.666666666599</v>
      </c>
      <c r="B2344" s="1">
        <f ca="1">IFERROR(__xludf.DUMMYFUNCTION("""COMPUTED_VALUE"""),508.06)</f>
        <v>508.06</v>
      </c>
      <c r="C2344" s="1">
        <f ca="1">IFERROR(__xludf.DUMMYFUNCTION("""COMPUTED_VALUE"""),510)</f>
        <v>510</v>
      </c>
      <c r="D2344" s="1">
        <f ca="1">IFERROR(__xludf.DUMMYFUNCTION("""COMPUTED_VALUE"""),484.58)</f>
        <v>484.58</v>
      </c>
      <c r="E2344" s="1">
        <f ca="1">IFERROR(__xludf.DUMMYFUNCTION("""COMPUTED_VALUE"""),493.5)</f>
        <v>493.5</v>
      </c>
      <c r="F2344" s="1">
        <f ca="1">IFERROR(__xludf.DUMMYFUNCTION("""COMPUTED_VALUE"""),37772677)</f>
        <v>37772677</v>
      </c>
    </row>
    <row r="2345" spans="1:6" x14ac:dyDescent="0.35">
      <c r="A2345" s="2">
        <f ca="1">IFERROR(__xludf.DUMMYFUNCTION("""COMPUTED_VALUE"""),45407.6666666666)</f>
        <v>45407.666666666599</v>
      </c>
      <c r="B2345" s="1">
        <f ca="1">IFERROR(__xludf.DUMMYFUNCTION("""COMPUTED_VALUE"""),421.4)</f>
        <v>421.4</v>
      </c>
      <c r="C2345" s="1">
        <f ca="1">IFERROR(__xludf.DUMMYFUNCTION("""COMPUTED_VALUE"""),445.77)</f>
        <v>445.77</v>
      </c>
      <c r="D2345" s="1">
        <f ca="1">IFERROR(__xludf.DUMMYFUNCTION("""COMPUTED_VALUE"""),414.5)</f>
        <v>414.5</v>
      </c>
      <c r="E2345" s="1">
        <f ca="1">IFERROR(__xludf.DUMMYFUNCTION("""COMPUTED_VALUE"""),441.38)</f>
        <v>441.38</v>
      </c>
      <c r="F2345" s="1">
        <f ca="1">IFERROR(__xludf.DUMMYFUNCTION("""COMPUTED_VALUE"""),82890741)</f>
        <v>82890741</v>
      </c>
    </row>
    <row r="2346" spans="1:6" x14ac:dyDescent="0.35">
      <c r="A2346" s="2">
        <f ca="1">IFERROR(__xludf.DUMMYFUNCTION("""COMPUTED_VALUE"""),45408.6666666666)</f>
        <v>45408.666666666599</v>
      </c>
      <c r="B2346" s="1">
        <f ca="1">IFERROR(__xludf.DUMMYFUNCTION("""COMPUTED_VALUE"""),441.46)</f>
        <v>441.46</v>
      </c>
      <c r="C2346" s="1">
        <f ca="1">IFERROR(__xludf.DUMMYFUNCTION("""COMPUTED_VALUE"""),446.44)</f>
        <v>446.44</v>
      </c>
      <c r="D2346" s="1">
        <f ca="1">IFERROR(__xludf.DUMMYFUNCTION("""COMPUTED_VALUE"""),431.96)</f>
        <v>431.96</v>
      </c>
      <c r="E2346" s="1">
        <f ca="1">IFERROR(__xludf.DUMMYFUNCTION("""COMPUTED_VALUE"""),443.29)</f>
        <v>443.29</v>
      </c>
      <c r="F2346" s="1">
        <f ca="1">IFERROR(__xludf.DUMMYFUNCTION("""COMPUTED_VALUE"""),32691443)</f>
        <v>32691443</v>
      </c>
    </row>
    <row r="2347" spans="1:6" x14ac:dyDescent="0.35">
      <c r="A2347" s="2">
        <f ca="1">IFERROR(__xludf.DUMMYFUNCTION("""COMPUTED_VALUE"""),45411.6666666666)</f>
        <v>45411.666666666599</v>
      </c>
      <c r="B2347" s="1">
        <f ca="1">IFERROR(__xludf.DUMMYFUNCTION("""COMPUTED_VALUE"""),439.56)</f>
        <v>439.56</v>
      </c>
      <c r="C2347" s="1">
        <f ca="1">IFERROR(__xludf.DUMMYFUNCTION("""COMPUTED_VALUE"""),439.76)</f>
        <v>439.76</v>
      </c>
      <c r="D2347" s="1">
        <f ca="1">IFERROR(__xludf.DUMMYFUNCTION("""COMPUTED_VALUE"""),428.56)</f>
        <v>428.56</v>
      </c>
      <c r="E2347" s="1">
        <f ca="1">IFERROR(__xludf.DUMMYFUNCTION("""COMPUTED_VALUE"""),432.62)</f>
        <v>432.62</v>
      </c>
      <c r="F2347" s="1">
        <f ca="1">IFERROR(__xludf.DUMMYFUNCTION("""COMPUTED_VALUE"""),21502646)</f>
        <v>21502646</v>
      </c>
    </row>
    <row r="2348" spans="1:6" x14ac:dyDescent="0.35">
      <c r="A2348" s="2">
        <f ca="1">IFERROR(__xludf.DUMMYFUNCTION("""COMPUTED_VALUE"""),45412.6666666666)</f>
        <v>45412.666666666599</v>
      </c>
      <c r="B2348" s="1">
        <f ca="1">IFERROR(__xludf.DUMMYFUNCTION("""COMPUTED_VALUE"""),431.05)</f>
        <v>431.05</v>
      </c>
      <c r="C2348" s="1">
        <f ca="1">IFERROR(__xludf.DUMMYFUNCTION("""COMPUTED_VALUE"""),439.62)</f>
        <v>439.62</v>
      </c>
      <c r="D2348" s="1">
        <f ca="1">IFERROR(__xludf.DUMMYFUNCTION("""COMPUTED_VALUE"""),429.72)</f>
        <v>429.72</v>
      </c>
      <c r="E2348" s="1">
        <f ca="1">IFERROR(__xludf.DUMMYFUNCTION("""COMPUTED_VALUE"""),430.17)</f>
        <v>430.17</v>
      </c>
      <c r="F2348" s="1">
        <f ca="1">IFERROR(__xludf.DUMMYFUNCTION("""COMPUTED_VALUE"""),18429496)</f>
        <v>18429496</v>
      </c>
    </row>
    <row r="2349" spans="1:6" x14ac:dyDescent="0.35">
      <c r="A2349" s="2">
        <f ca="1">IFERROR(__xludf.DUMMYFUNCTION("""COMPUTED_VALUE"""),45413.6666666666)</f>
        <v>45413.666666666599</v>
      </c>
      <c r="B2349" s="1">
        <f ca="1">IFERROR(__xludf.DUMMYFUNCTION("""COMPUTED_VALUE"""),428.6)</f>
        <v>428.6</v>
      </c>
      <c r="C2349" s="1">
        <f ca="1">IFERROR(__xludf.DUMMYFUNCTION("""COMPUTED_VALUE"""),449.96)</f>
        <v>449.96</v>
      </c>
      <c r="D2349" s="1">
        <f ca="1">IFERROR(__xludf.DUMMYFUNCTION("""COMPUTED_VALUE"""),427.11)</f>
        <v>427.11</v>
      </c>
      <c r="E2349" s="1">
        <f ca="1">IFERROR(__xludf.DUMMYFUNCTION("""COMPUTED_VALUE"""),439.19)</f>
        <v>439.19</v>
      </c>
      <c r="F2349" s="1">
        <f ca="1">IFERROR(__xludf.DUMMYFUNCTION("""COMPUTED_VALUE"""),20344947)</f>
        <v>20344947</v>
      </c>
    </row>
    <row r="2350" spans="1:6" x14ac:dyDescent="0.35">
      <c r="A2350" s="2">
        <f ca="1">IFERROR(__xludf.DUMMYFUNCTION("""COMPUTED_VALUE"""),45414.6666666666)</f>
        <v>45414.666666666599</v>
      </c>
      <c r="B2350" s="1">
        <f ca="1">IFERROR(__xludf.DUMMYFUNCTION("""COMPUTED_VALUE"""),438.84)</f>
        <v>438.84</v>
      </c>
      <c r="C2350" s="1">
        <f ca="1">IFERROR(__xludf.DUMMYFUNCTION("""COMPUTED_VALUE"""),443.96)</f>
        <v>443.96</v>
      </c>
      <c r="D2350" s="1">
        <f ca="1">IFERROR(__xludf.DUMMYFUNCTION("""COMPUTED_VALUE"""),432.28)</f>
        <v>432.28</v>
      </c>
      <c r="E2350" s="1">
        <f ca="1">IFERROR(__xludf.DUMMYFUNCTION("""COMPUTED_VALUE"""),441.68)</f>
        <v>441.68</v>
      </c>
      <c r="F2350" s="1">
        <f ca="1">IFERROR(__xludf.DUMMYFUNCTION("""COMPUTED_VALUE"""),15221322)</f>
        <v>15221322</v>
      </c>
    </row>
    <row r="2351" spans="1:6" x14ac:dyDescent="0.35">
      <c r="A2351" s="2">
        <f ca="1">IFERROR(__xludf.DUMMYFUNCTION("""COMPUTED_VALUE"""),45415.6666666666)</f>
        <v>45415.666666666599</v>
      </c>
      <c r="B2351" s="1">
        <f ca="1">IFERROR(__xludf.DUMMYFUNCTION("""COMPUTED_VALUE"""),445.93)</f>
        <v>445.93</v>
      </c>
      <c r="C2351" s="1">
        <f ca="1">IFERROR(__xludf.DUMMYFUNCTION("""COMPUTED_VALUE"""),454.17)</f>
        <v>454.17</v>
      </c>
      <c r="D2351" s="1">
        <f ca="1">IFERROR(__xludf.DUMMYFUNCTION("""COMPUTED_VALUE"""),443.85)</f>
        <v>443.85</v>
      </c>
      <c r="E2351" s="1">
        <f ca="1">IFERROR(__xludf.DUMMYFUNCTION("""COMPUTED_VALUE"""),451.96)</f>
        <v>451.96</v>
      </c>
      <c r="F2351" s="1">
        <f ca="1">IFERROR(__xludf.DUMMYFUNCTION("""COMPUTED_VALUE"""),16489057)</f>
        <v>16489057</v>
      </c>
    </row>
    <row r="2352" spans="1:6" x14ac:dyDescent="0.35">
      <c r="A2352" s="2">
        <f ca="1">IFERROR(__xludf.DUMMYFUNCTION("""COMPUTED_VALUE"""),45418.6666666666)</f>
        <v>45418.666666666599</v>
      </c>
      <c r="B2352" s="1">
        <f ca="1">IFERROR(__xludf.DUMMYFUNCTION("""COMPUTED_VALUE"""),455.58)</f>
        <v>455.58</v>
      </c>
      <c r="C2352" s="1">
        <f ca="1">IFERROR(__xludf.DUMMYFUNCTION("""COMPUTED_VALUE"""),466.16)</f>
        <v>466.16</v>
      </c>
      <c r="D2352" s="1">
        <f ca="1">IFERROR(__xludf.DUMMYFUNCTION("""COMPUTED_VALUE"""),453.34)</f>
        <v>453.34</v>
      </c>
      <c r="E2352" s="1">
        <f ca="1">IFERROR(__xludf.DUMMYFUNCTION("""COMPUTED_VALUE"""),465.68)</f>
        <v>465.68</v>
      </c>
      <c r="F2352" s="1">
        <f ca="1">IFERROR(__xludf.DUMMYFUNCTION("""COMPUTED_VALUE"""),15094627)</f>
        <v>15094627</v>
      </c>
    </row>
    <row r="2353" spans="1:6" x14ac:dyDescent="0.35">
      <c r="A2353" s="2">
        <f ca="1">IFERROR(__xludf.DUMMYFUNCTION("""COMPUTED_VALUE"""),45419.6666666666)</f>
        <v>45419.666666666599</v>
      </c>
      <c r="B2353" s="1">
        <f ca="1">IFERROR(__xludf.DUMMYFUNCTION("""COMPUTED_VALUE"""),466.29)</f>
        <v>466.29</v>
      </c>
      <c r="C2353" s="1">
        <f ca="1">IFERROR(__xludf.DUMMYFUNCTION("""COMPUTED_VALUE"""),471.53)</f>
        <v>471.53</v>
      </c>
      <c r="D2353" s="1">
        <f ca="1">IFERROR(__xludf.DUMMYFUNCTION("""COMPUTED_VALUE"""),461.31)</f>
        <v>461.31</v>
      </c>
      <c r="E2353" s="1">
        <f ca="1">IFERROR(__xludf.DUMMYFUNCTION("""COMPUTED_VALUE"""),468.24)</f>
        <v>468.24</v>
      </c>
      <c r="F2353" s="1">
        <f ca="1">IFERROR(__xludf.DUMMYFUNCTION("""COMPUTED_VALUE"""),13406816)</f>
        <v>13406816</v>
      </c>
    </row>
    <row r="2354" spans="1:6" x14ac:dyDescent="0.35">
      <c r="A2354" s="2">
        <f ca="1">IFERROR(__xludf.DUMMYFUNCTION("""COMPUTED_VALUE"""),45420.6666666666)</f>
        <v>45420.666666666599</v>
      </c>
      <c r="B2354" s="1">
        <f ca="1">IFERROR(__xludf.DUMMYFUNCTION("""COMPUTED_VALUE"""),463.5)</f>
        <v>463.5</v>
      </c>
      <c r="C2354" s="1">
        <f ca="1">IFERROR(__xludf.DUMMYFUNCTION("""COMPUTED_VALUE"""),475.58)</f>
        <v>475.58</v>
      </c>
      <c r="D2354" s="1">
        <f ca="1">IFERROR(__xludf.DUMMYFUNCTION("""COMPUTED_VALUE"""),463)</f>
        <v>463</v>
      </c>
      <c r="E2354" s="1">
        <f ca="1">IFERROR(__xludf.DUMMYFUNCTION("""COMPUTED_VALUE"""),472.6)</f>
        <v>472.6</v>
      </c>
      <c r="F2354" s="1">
        <f ca="1">IFERROR(__xludf.DUMMYFUNCTION("""COMPUTED_VALUE"""),11683929)</f>
        <v>11683929</v>
      </c>
    </row>
    <row r="2355" spans="1:6" x14ac:dyDescent="0.35">
      <c r="A2355" s="2">
        <f ca="1">IFERROR(__xludf.DUMMYFUNCTION("""COMPUTED_VALUE"""),45421.6666666666)</f>
        <v>45421.666666666599</v>
      </c>
      <c r="B2355" s="1">
        <f ca="1">IFERROR(__xludf.DUMMYFUNCTION("""COMPUTED_VALUE"""),470)</f>
        <v>470</v>
      </c>
      <c r="C2355" s="1">
        <f ca="1">IFERROR(__xludf.DUMMYFUNCTION("""COMPUTED_VALUE"""),476.08)</f>
        <v>476.08</v>
      </c>
      <c r="D2355" s="1">
        <f ca="1">IFERROR(__xludf.DUMMYFUNCTION("""COMPUTED_VALUE"""),467.63)</f>
        <v>467.63</v>
      </c>
      <c r="E2355" s="1">
        <f ca="1">IFERROR(__xludf.DUMMYFUNCTION("""COMPUTED_VALUE"""),475.42)</f>
        <v>475.42</v>
      </c>
      <c r="F2355" s="1">
        <f ca="1">IFERROR(__xludf.DUMMYFUNCTION("""COMPUTED_VALUE"""),9437651)</f>
        <v>9437651</v>
      </c>
    </row>
    <row r="2356" spans="1:6" x14ac:dyDescent="0.35">
      <c r="A2356" s="2">
        <f ca="1">IFERROR(__xludf.DUMMYFUNCTION("""COMPUTED_VALUE"""),45422.6666666666)</f>
        <v>45422.666666666599</v>
      </c>
      <c r="B2356" s="1">
        <f ca="1">IFERROR(__xludf.DUMMYFUNCTION("""COMPUTED_VALUE"""),477.09)</f>
        <v>477.09</v>
      </c>
      <c r="C2356" s="1">
        <f ca="1">IFERROR(__xludf.DUMMYFUNCTION("""COMPUTED_VALUE"""),477.5)</f>
        <v>477.5</v>
      </c>
      <c r="D2356" s="1">
        <f ca="1">IFERROR(__xludf.DUMMYFUNCTION("""COMPUTED_VALUE"""),469.6)</f>
        <v>469.6</v>
      </c>
      <c r="E2356" s="1">
        <f ca="1">IFERROR(__xludf.DUMMYFUNCTION("""COMPUTED_VALUE"""),476.2)</f>
        <v>476.2</v>
      </c>
      <c r="F2356" s="1">
        <f ca="1">IFERROR(__xludf.DUMMYFUNCTION("""COMPUTED_VALUE"""),10749999)</f>
        <v>10749999</v>
      </c>
    </row>
    <row r="2357" spans="1:6" x14ac:dyDescent="0.35">
      <c r="A2357" s="2">
        <f ca="1">IFERROR(__xludf.DUMMYFUNCTION("""COMPUTED_VALUE"""),45425.6666666666)</f>
        <v>45425.666666666599</v>
      </c>
      <c r="B2357" s="1">
        <f ca="1">IFERROR(__xludf.DUMMYFUNCTION("""COMPUTED_VALUE"""),472.75)</f>
        <v>472.75</v>
      </c>
      <c r="C2357" s="1">
        <f ca="1">IFERROR(__xludf.DUMMYFUNCTION("""COMPUTED_VALUE"""),473.35)</f>
        <v>473.35</v>
      </c>
      <c r="D2357" s="1">
        <f ca="1">IFERROR(__xludf.DUMMYFUNCTION("""COMPUTED_VALUE"""),462.85)</f>
        <v>462.85</v>
      </c>
      <c r="E2357" s="1">
        <f ca="1">IFERROR(__xludf.DUMMYFUNCTION("""COMPUTED_VALUE"""),468.01)</f>
        <v>468.01</v>
      </c>
      <c r="F2357" s="1">
        <f ca="1">IFERROR(__xludf.DUMMYFUNCTION("""COMPUTED_VALUE"""),14668798)</f>
        <v>14668798</v>
      </c>
    </row>
    <row r="2358" spans="1:6" x14ac:dyDescent="0.35">
      <c r="A2358" s="2">
        <f ca="1">IFERROR(__xludf.DUMMYFUNCTION("""COMPUTED_VALUE"""),45426.6666666666)</f>
        <v>45426.666666666599</v>
      </c>
      <c r="B2358" s="1">
        <f ca="1">IFERROR(__xludf.DUMMYFUNCTION("""COMPUTED_VALUE"""),463.37)</f>
        <v>463.37</v>
      </c>
      <c r="C2358" s="1">
        <f ca="1">IFERROR(__xludf.DUMMYFUNCTION("""COMPUTED_VALUE"""),472.54)</f>
        <v>472.54</v>
      </c>
      <c r="D2358" s="1">
        <f ca="1">IFERROR(__xludf.DUMMYFUNCTION("""COMPUTED_VALUE"""),460.08)</f>
        <v>460.08</v>
      </c>
      <c r="E2358" s="1">
        <f ca="1">IFERROR(__xludf.DUMMYFUNCTION("""COMPUTED_VALUE"""),471.85)</f>
        <v>471.85</v>
      </c>
      <c r="F2358" s="1">
        <f ca="1">IFERROR(__xludf.DUMMYFUNCTION("""COMPUTED_VALUE"""),10478553)</f>
        <v>10478553</v>
      </c>
    </row>
    <row r="2359" spans="1:6" x14ac:dyDescent="0.35">
      <c r="A2359" s="2">
        <f ca="1">IFERROR(__xludf.DUMMYFUNCTION("""COMPUTED_VALUE"""),45427.6666666666)</f>
        <v>45427.666666666599</v>
      </c>
      <c r="B2359" s="1">
        <f ca="1">IFERROR(__xludf.DUMMYFUNCTION("""COMPUTED_VALUE"""),474.98)</f>
        <v>474.98</v>
      </c>
      <c r="C2359" s="1">
        <f ca="1">IFERROR(__xludf.DUMMYFUNCTION("""COMPUTED_VALUE"""),482.5)</f>
        <v>482.5</v>
      </c>
      <c r="D2359" s="1">
        <f ca="1">IFERROR(__xludf.DUMMYFUNCTION("""COMPUTED_VALUE"""),471.2)</f>
        <v>471.2</v>
      </c>
      <c r="E2359" s="1">
        <f ca="1">IFERROR(__xludf.DUMMYFUNCTION("""COMPUTED_VALUE"""),481.54)</f>
        <v>481.54</v>
      </c>
      <c r="F2359" s="1">
        <f ca="1">IFERROR(__xludf.DUMMYFUNCTION("""COMPUTED_VALUE"""),13100470)</f>
        <v>13100470</v>
      </c>
    </row>
    <row r="2360" spans="1:6" x14ac:dyDescent="0.35">
      <c r="A2360" s="2">
        <f ca="1">IFERROR(__xludf.DUMMYFUNCTION("""COMPUTED_VALUE"""),45428.6666666666)</f>
        <v>45428.666666666599</v>
      </c>
      <c r="B2360" s="1">
        <f ca="1">IFERROR(__xludf.DUMMYFUNCTION("""COMPUTED_VALUE"""),475)</f>
        <v>475</v>
      </c>
      <c r="C2360" s="1">
        <f ca="1">IFERROR(__xludf.DUMMYFUNCTION("""COMPUTED_VALUE"""),477.69)</f>
        <v>477.69</v>
      </c>
      <c r="D2360" s="1">
        <f ca="1">IFERROR(__xludf.DUMMYFUNCTION("""COMPUTED_VALUE"""),472.75)</f>
        <v>472.75</v>
      </c>
      <c r="E2360" s="1">
        <f ca="1">IFERROR(__xludf.DUMMYFUNCTION("""COMPUTED_VALUE"""),473.23)</f>
        <v>473.23</v>
      </c>
      <c r="F2360" s="1">
        <f ca="1">IFERROR(__xludf.DUMMYFUNCTION("""COMPUTED_VALUE"""),16608179)</f>
        <v>16608179</v>
      </c>
    </row>
    <row r="2361" spans="1:6" x14ac:dyDescent="0.35">
      <c r="A2361" s="2">
        <f ca="1">IFERROR(__xludf.DUMMYFUNCTION("""COMPUTED_VALUE"""),45429.6666666666)</f>
        <v>45429.666666666599</v>
      </c>
      <c r="B2361" s="1">
        <f ca="1">IFERROR(__xludf.DUMMYFUNCTION("""COMPUTED_VALUE"""),470.83)</f>
        <v>470.83</v>
      </c>
      <c r="C2361" s="1">
        <f ca="1">IFERROR(__xludf.DUMMYFUNCTION("""COMPUTED_VALUE"""),472.8)</f>
        <v>472.8</v>
      </c>
      <c r="D2361" s="1">
        <f ca="1">IFERROR(__xludf.DUMMYFUNCTION("""COMPUTED_VALUE"""),468.42)</f>
        <v>468.42</v>
      </c>
      <c r="E2361" s="1">
        <f ca="1">IFERROR(__xludf.DUMMYFUNCTION("""COMPUTED_VALUE"""),471.91)</f>
        <v>471.91</v>
      </c>
      <c r="F2361" s="1">
        <f ca="1">IFERROR(__xludf.DUMMYFUNCTION("""COMPUTED_VALUE"""),10807289)</f>
        <v>10807289</v>
      </c>
    </row>
    <row r="2362" spans="1:6" x14ac:dyDescent="0.35">
      <c r="A2362" s="2">
        <f ca="1">IFERROR(__xludf.DUMMYFUNCTION("""COMPUTED_VALUE"""),45432.6666666666)</f>
        <v>45432.666666666599</v>
      </c>
      <c r="B2362" s="1">
        <f ca="1">IFERROR(__xludf.DUMMYFUNCTION("""COMPUTED_VALUE"""),469.95)</f>
        <v>469.95</v>
      </c>
      <c r="C2362" s="1">
        <f ca="1">IFERROR(__xludf.DUMMYFUNCTION("""COMPUTED_VALUE"""),473.2)</f>
        <v>473.2</v>
      </c>
      <c r="D2362" s="1">
        <f ca="1">IFERROR(__xludf.DUMMYFUNCTION("""COMPUTED_VALUE"""),467.04)</f>
        <v>467.04</v>
      </c>
      <c r="E2362" s="1">
        <f ca="1">IFERROR(__xludf.DUMMYFUNCTION("""COMPUTED_VALUE"""),468.84)</f>
        <v>468.84</v>
      </c>
      <c r="F2362" s="1">
        <f ca="1">IFERROR(__xludf.DUMMYFUNCTION("""COMPUTED_VALUE"""),11745080)</f>
        <v>11745080</v>
      </c>
    </row>
    <row r="2363" spans="1:6" x14ac:dyDescent="0.35">
      <c r="A2363" s="2">
        <f ca="1">IFERROR(__xludf.DUMMYFUNCTION("""COMPUTED_VALUE"""),45433.6666666666)</f>
        <v>45433.666666666599</v>
      </c>
      <c r="B2363" s="1">
        <f ca="1">IFERROR(__xludf.DUMMYFUNCTION("""COMPUTED_VALUE"""),467.12)</f>
        <v>467.12</v>
      </c>
      <c r="C2363" s="1">
        <f ca="1">IFERROR(__xludf.DUMMYFUNCTION("""COMPUTED_VALUE"""),470.7)</f>
        <v>470.7</v>
      </c>
      <c r="D2363" s="1">
        <f ca="1">IFERROR(__xludf.DUMMYFUNCTION("""COMPUTED_VALUE"""),462.27)</f>
        <v>462.27</v>
      </c>
      <c r="E2363" s="1">
        <f ca="1">IFERROR(__xludf.DUMMYFUNCTION("""COMPUTED_VALUE"""),464.63)</f>
        <v>464.63</v>
      </c>
      <c r="F2363" s="1">
        <f ca="1">IFERROR(__xludf.DUMMYFUNCTION("""COMPUTED_VALUE"""),11742189)</f>
        <v>11742189</v>
      </c>
    </row>
    <row r="2364" spans="1:6" x14ac:dyDescent="0.35">
      <c r="A2364" s="2">
        <f ca="1">IFERROR(__xludf.DUMMYFUNCTION("""COMPUTED_VALUE"""),45434.6666666666)</f>
        <v>45434.666666666599</v>
      </c>
      <c r="B2364" s="1">
        <f ca="1">IFERROR(__xludf.DUMMYFUNCTION("""COMPUTED_VALUE"""),467.87)</f>
        <v>467.87</v>
      </c>
      <c r="C2364" s="1">
        <f ca="1">IFERROR(__xludf.DUMMYFUNCTION("""COMPUTED_VALUE"""),473.72)</f>
        <v>473.72</v>
      </c>
      <c r="D2364" s="1">
        <f ca="1">IFERROR(__xludf.DUMMYFUNCTION("""COMPUTED_VALUE"""),465.65)</f>
        <v>465.65</v>
      </c>
      <c r="E2364" s="1">
        <f ca="1">IFERROR(__xludf.DUMMYFUNCTION("""COMPUTED_VALUE"""),467.78)</f>
        <v>467.78</v>
      </c>
      <c r="F2364" s="1">
        <f ca="1">IFERROR(__xludf.DUMMYFUNCTION("""COMPUTED_VALUE"""),10078611)</f>
        <v>10078611</v>
      </c>
    </row>
    <row r="2365" spans="1:6" x14ac:dyDescent="0.35">
      <c r="A2365" s="2">
        <f ca="1">IFERROR(__xludf.DUMMYFUNCTION("""COMPUTED_VALUE"""),45435.6666666666)</f>
        <v>45435.666666666599</v>
      </c>
      <c r="B2365" s="1">
        <f ca="1">IFERROR(__xludf.DUMMYFUNCTION("""COMPUTED_VALUE"""),472.88)</f>
        <v>472.88</v>
      </c>
      <c r="C2365" s="1">
        <f ca="1">IFERROR(__xludf.DUMMYFUNCTION("""COMPUTED_VALUE"""),474.36)</f>
        <v>474.36</v>
      </c>
      <c r="D2365" s="1">
        <f ca="1">IFERROR(__xludf.DUMMYFUNCTION("""COMPUTED_VALUE"""),461.54)</f>
        <v>461.54</v>
      </c>
      <c r="E2365" s="1">
        <f ca="1">IFERROR(__xludf.DUMMYFUNCTION("""COMPUTED_VALUE"""),465.78)</f>
        <v>465.78</v>
      </c>
      <c r="F2365" s="1">
        <f ca="1">IFERROR(__xludf.DUMMYFUNCTION("""COMPUTED_VALUE"""),11747913)</f>
        <v>11747913</v>
      </c>
    </row>
    <row r="2366" spans="1:6" x14ac:dyDescent="0.35">
      <c r="A2366" s="2">
        <f ca="1">IFERROR(__xludf.DUMMYFUNCTION("""COMPUTED_VALUE"""),45436.6666666666)</f>
        <v>45436.666666666599</v>
      </c>
      <c r="B2366" s="1">
        <f ca="1">IFERROR(__xludf.DUMMYFUNCTION("""COMPUTED_VALUE"""),467.62)</f>
        <v>467.62</v>
      </c>
      <c r="C2366" s="1">
        <f ca="1">IFERROR(__xludf.DUMMYFUNCTION("""COMPUTED_VALUE"""),479.85)</f>
        <v>479.85</v>
      </c>
      <c r="D2366" s="1">
        <f ca="1">IFERROR(__xludf.DUMMYFUNCTION("""COMPUTED_VALUE"""),466.3)</f>
        <v>466.3</v>
      </c>
      <c r="E2366" s="1">
        <f ca="1">IFERROR(__xludf.DUMMYFUNCTION("""COMPUTED_VALUE"""),478.22)</f>
        <v>478.22</v>
      </c>
      <c r="F2366" s="1">
        <f ca="1">IFERROR(__xludf.DUMMYFUNCTION("""COMPUTED_VALUE"""),12024254)</f>
        <v>12024254</v>
      </c>
    </row>
    <row r="2367" spans="1:6" x14ac:dyDescent="0.35">
      <c r="A2367" s="2">
        <f ca="1">IFERROR(__xludf.DUMMYFUNCTION("""COMPUTED_VALUE"""),45440.6666666666)</f>
        <v>45440.666666666599</v>
      </c>
      <c r="B2367" s="1">
        <f ca="1">IFERROR(__xludf.DUMMYFUNCTION("""COMPUTED_VALUE"""),476.58)</f>
        <v>476.58</v>
      </c>
      <c r="C2367" s="1">
        <f ca="1">IFERROR(__xludf.DUMMYFUNCTION("""COMPUTED_VALUE"""),480.86)</f>
        <v>480.86</v>
      </c>
      <c r="D2367" s="1">
        <f ca="1">IFERROR(__xludf.DUMMYFUNCTION("""COMPUTED_VALUE"""),474.84)</f>
        <v>474.84</v>
      </c>
      <c r="E2367" s="1">
        <f ca="1">IFERROR(__xludf.DUMMYFUNCTION("""COMPUTED_VALUE"""),479.92)</f>
        <v>479.92</v>
      </c>
      <c r="F2367" s="1">
        <f ca="1">IFERROR(__xludf.DUMMYFUNCTION("""COMPUTED_VALUE"""),10175770)</f>
        <v>10175770</v>
      </c>
    </row>
    <row r="2368" spans="1:6" x14ac:dyDescent="0.35">
      <c r="A2368" s="2">
        <f ca="1">IFERROR(__xludf.DUMMYFUNCTION("""COMPUTED_VALUE"""),45441.6666666666)</f>
        <v>45441.666666666599</v>
      </c>
      <c r="B2368" s="1">
        <f ca="1">IFERROR(__xludf.DUMMYFUNCTION("""COMPUTED_VALUE"""),474.66)</f>
        <v>474.66</v>
      </c>
      <c r="C2368" s="1">
        <f ca="1">IFERROR(__xludf.DUMMYFUNCTION("""COMPUTED_VALUE"""),479.85)</f>
        <v>479.85</v>
      </c>
      <c r="D2368" s="1">
        <f ca="1">IFERROR(__xludf.DUMMYFUNCTION("""COMPUTED_VALUE"""),473.7)</f>
        <v>473.7</v>
      </c>
      <c r="E2368" s="1">
        <f ca="1">IFERROR(__xludf.DUMMYFUNCTION("""COMPUTED_VALUE"""),474.36)</f>
        <v>474.36</v>
      </c>
      <c r="F2368" s="1">
        <f ca="1">IFERROR(__xludf.DUMMYFUNCTION("""COMPUTED_VALUE"""),9226218)</f>
        <v>9226218</v>
      </c>
    </row>
    <row r="2369" spans="1:6" x14ac:dyDescent="0.35">
      <c r="A2369" s="2">
        <f ca="1">IFERROR(__xludf.DUMMYFUNCTION("""COMPUTED_VALUE"""),45442.6666666666)</f>
        <v>45442.666666666599</v>
      </c>
      <c r="B2369" s="1">
        <f ca="1">IFERROR(__xludf.DUMMYFUNCTION("""COMPUTED_VALUE"""),471.67)</f>
        <v>471.67</v>
      </c>
      <c r="C2369" s="1">
        <f ca="1">IFERROR(__xludf.DUMMYFUNCTION("""COMPUTED_VALUE"""),471.73)</f>
        <v>471.73</v>
      </c>
      <c r="D2369" s="1">
        <f ca="1">IFERROR(__xludf.DUMMYFUNCTION("""COMPUTED_VALUE"""),464.71)</f>
        <v>464.71</v>
      </c>
      <c r="E2369" s="1">
        <f ca="1">IFERROR(__xludf.DUMMYFUNCTION("""COMPUTED_VALUE"""),467.05)</f>
        <v>467.05</v>
      </c>
      <c r="F2369" s="1">
        <f ca="1">IFERROR(__xludf.DUMMYFUNCTION("""COMPUTED_VALUE"""),10735226)</f>
        <v>10735226</v>
      </c>
    </row>
    <row r="2370" spans="1:6" x14ac:dyDescent="0.35">
      <c r="A2370" s="2">
        <f ca="1">IFERROR(__xludf.DUMMYFUNCTION("""COMPUTED_VALUE"""),45443.6666666666)</f>
        <v>45443.666666666599</v>
      </c>
      <c r="B2370" s="1">
        <f ca="1">IFERROR(__xludf.DUMMYFUNCTION("""COMPUTED_VALUE"""),465.8)</f>
        <v>465.8</v>
      </c>
      <c r="C2370" s="1">
        <f ca="1">IFERROR(__xludf.DUMMYFUNCTION("""COMPUTED_VALUE"""),469.12)</f>
        <v>469.12</v>
      </c>
      <c r="D2370" s="1">
        <f ca="1">IFERROR(__xludf.DUMMYFUNCTION("""COMPUTED_VALUE"""),454.46)</f>
        <v>454.46</v>
      </c>
      <c r="E2370" s="1">
        <f ca="1">IFERROR(__xludf.DUMMYFUNCTION("""COMPUTED_VALUE"""),466.83)</f>
        <v>466.83</v>
      </c>
      <c r="F2370" s="1">
        <f ca="1">IFERROR(__xludf.DUMMYFUNCTION("""COMPUTED_VALUE"""),16919805)</f>
        <v>16919805</v>
      </c>
    </row>
    <row r="2371" spans="1:6" x14ac:dyDescent="0.35">
      <c r="A2371" s="2">
        <f ca="1">IFERROR(__xludf.DUMMYFUNCTION("""COMPUTED_VALUE"""),45446.6666666666)</f>
        <v>45446.666666666599</v>
      </c>
      <c r="B2371" s="1">
        <f ca="1">IFERROR(__xludf.DUMMYFUNCTION("""COMPUTED_VALUE"""),470.86)</f>
        <v>470.86</v>
      </c>
      <c r="C2371" s="1">
        <f ca="1">IFERROR(__xludf.DUMMYFUNCTION("""COMPUTED_VALUE"""),479.6)</f>
        <v>479.6</v>
      </c>
      <c r="D2371" s="1">
        <f ca="1">IFERROR(__xludf.DUMMYFUNCTION("""COMPUTED_VALUE"""),468.24)</f>
        <v>468.24</v>
      </c>
      <c r="E2371" s="1">
        <f ca="1">IFERROR(__xludf.DUMMYFUNCTION("""COMPUTED_VALUE"""),477.49)</f>
        <v>477.49</v>
      </c>
      <c r="F2371" s="1">
        <f ca="1">IFERROR(__xludf.DUMMYFUNCTION("""COMPUTED_VALUE"""),11279390)</f>
        <v>11279390</v>
      </c>
    </row>
    <row r="2372" spans="1:6" x14ac:dyDescent="0.35">
      <c r="A2372" s="2">
        <f ca="1">IFERROR(__xludf.DUMMYFUNCTION("""COMPUTED_VALUE"""),45447.6666666666)</f>
        <v>45447.666666666599</v>
      </c>
      <c r="B2372" s="1">
        <f ca="1">IFERROR(__xludf.DUMMYFUNCTION("""COMPUTED_VALUE"""),477)</f>
        <v>477</v>
      </c>
      <c r="C2372" s="1">
        <f ca="1">IFERROR(__xludf.DUMMYFUNCTION("""COMPUTED_VALUE"""),478.89)</f>
        <v>478.89</v>
      </c>
      <c r="D2372" s="1">
        <f ca="1">IFERROR(__xludf.DUMMYFUNCTION("""COMPUTED_VALUE"""),473.23)</f>
        <v>473.23</v>
      </c>
      <c r="E2372" s="1">
        <f ca="1">IFERROR(__xludf.DUMMYFUNCTION("""COMPUTED_VALUE"""),476.99)</f>
        <v>476.99</v>
      </c>
      <c r="F2372" s="1">
        <f ca="1">IFERROR(__xludf.DUMMYFUNCTION("""COMPUTED_VALUE"""),7088718)</f>
        <v>7088718</v>
      </c>
    </row>
    <row r="2373" spans="1:6" x14ac:dyDescent="0.35">
      <c r="A2373" s="2">
        <f ca="1">IFERROR(__xludf.DUMMYFUNCTION("""COMPUTED_VALUE"""),45448.6666666666)</f>
        <v>45448.666666666599</v>
      </c>
      <c r="B2373" s="1">
        <f ca="1">IFERROR(__xludf.DUMMYFUNCTION("""COMPUTED_VALUE"""),484.45)</f>
        <v>484.45</v>
      </c>
      <c r="C2373" s="1">
        <f ca="1">IFERROR(__xludf.DUMMYFUNCTION("""COMPUTED_VALUE"""),496.65)</f>
        <v>496.65</v>
      </c>
      <c r="D2373" s="1">
        <f ca="1">IFERROR(__xludf.DUMMYFUNCTION("""COMPUTED_VALUE"""),483.91)</f>
        <v>483.91</v>
      </c>
      <c r="E2373" s="1">
        <f ca="1">IFERROR(__xludf.DUMMYFUNCTION("""COMPUTED_VALUE"""),495.06)</f>
        <v>495.06</v>
      </c>
      <c r="F2373" s="1">
        <f ca="1">IFERROR(__xludf.DUMMYFUNCTION("""COMPUTED_VALUE"""),15690484)</f>
        <v>15690484</v>
      </c>
    </row>
    <row r="2374" spans="1:6" x14ac:dyDescent="0.35">
      <c r="A2374" s="2">
        <f ca="1">IFERROR(__xludf.DUMMYFUNCTION("""COMPUTED_VALUE"""),45449.6666666666)</f>
        <v>45449.666666666599</v>
      </c>
      <c r="B2374" s="1">
        <f ca="1">IFERROR(__xludf.DUMMYFUNCTION("""COMPUTED_VALUE"""),492.98)</f>
        <v>492.98</v>
      </c>
      <c r="C2374" s="1">
        <f ca="1">IFERROR(__xludf.DUMMYFUNCTION("""COMPUTED_VALUE"""),502.82)</f>
        <v>502.82</v>
      </c>
      <c r="D2374" s="1">
        <f ca="1">IFERROR(__xludf.DUMMYFUNCTION("""COMPUTED_VALUE"""),490.89)</f>
        <v>490.89</v>
      </c>
      <c r="E2374" s="1">
        <f ca="1">IFERROR(__xludf.DUMMYFUNCTION("""COMPUTED_VALUE"""),493.76)</f>
        <v>493.76</v>
      </c>
      <c r="F2374" s="1">
        <f ca="1">IFERROR(__xludf.DUMMYFUNCTION("""COMPUTED_VALUE"""),10667339)</f>
        <v>10667339</v>
      </c>
    </row>
    <row r="2375" spans="1:6" x14ac:dyDescent="0.35">
      <c r="A2375" s="2">
        <f ca="1">IFERROR(__xludf.DUMMYFUNCTION("""COMPUTED_VALUE"""),45450.6666666666)</f>
        <v>45450.666666666599</v>
      </c>
      <c r="B2375" s="1">
        <f ca="1">IFERROR(__xludf.DUMMYFUNCTION("""COMPUTED_VALUE"""),495.91)</f>
        <v>495.91</v>
      </c>
      <c r="C2375" s="1">
        <f ca="1">IFERROR(__xludf.DUMMYFUNCTION("""COMPUTED_VALUE"""),498.91)</f>
        <v>498.91</v>
      </c>
      <c r="D2375" s="1">
        <f ca="1">IFERROR(__xludf.DUMMYFUNCTION("""COMPUTED_VALUE"""),490.17)</f>
        <v>490.17</v>
      </c>
      <c r="E2375" s="1">
        <f ca="1">IFERROR(__xludf.DUMMYFUNCTION("""COMPUTED_VALUE"""),492.96)</f>
        <v>492.96</v>
      </c>
      <c r="F2375" s="1">
        <f ca="1">IFERROR(__xludf.DUMMYFUNCTION("""COMPUTED_VALUE"""),9380745)</f>
        <v>9380745</v>
      </c>
    </row>
    <row r="2376" spans="1:6" x14ac:dyDescent="0.35">
      <c r="A2376" s="2">
        <f ca="1">IFERROR(__xludf.DUMMYFUNCTION("""COMPUTED_VALUE"""),45453.6666666666)</f>
        <v>45453.666666666599</v>
      </c>
      <c r="B2376" s="1">
        <f ca="1">IFERROR(__xludf.DUMMYFUNCTION("""COMPUTED_VALUE"""),493.86)</f>
        <v>493.86</v>
      </c>
      <c r="C2376" s="1">
        <f ca="1">IFERROR(__xludf.DUMMYFUNCTION("""COMPUTED_VALUE"""),502.66)</f>
        <v>502.66</v>
      </c>
      <c r="D2376" s="1">
        <f ca="1">IFERROR(__xludf.DUMMYFUNCTION("""COMPUTED_VALUE"""),493.41)</f>
        <v>493.41</v>
      </c>
      <c r="E2376" s="1">
        <f ca="1">IFERROR(__xludf.DUMMYFUNCTION("""COMPUTED_VALUE"""),502.6)</f>
        <v>502.6</v>
      </c>
      <c r="F2376" s="1">
        <f ca="1">IFERROR(__xludf.DUMMYFUNCTION("""COMPUTED_VALUE"""),11236919)</f>
        <v>11236919</v>
      </c>
    </row>
    <row r="2377" spans="1:6" x14ac:dyDescent="0.35">
      <c r="A2377" s="2">
        <f ca="1">IFERROR(__xludf.DUMMYFUNCTION("""COMPUTED_VALUE"""),45454.6666666666)</f>
        <v>45454.666666666599</v>
      </c>
      <c r="B2377" s="1">
        <f ca="1">IFERROR(__xludf.DUMMYFUNCTION("""COMPUTED_VALUE"""),500.16)</f>
        <v>500.16</v>
      </c>
      <c r="C2377" s="1">
        <f ca="1">IFERROR(__xludf.DUMMYFUNCTION("""COMPUTED_VALUE"""),507.6)</f>
        <v>507.6</v>
      </c>
      <c r="D2377" s="1">
        <f ca="1">IFERROR(__xludf.DUMMYFUNCTION("""COMPUTED_VALUE"""),498.27)</f>
        <v>498.27</v>
      </c>
      <c r="E2377" s="1">
        <f ca="1">IFERROR(__xludf.DUMMYFUNCTION("""COMPUTED_VALUE"""),507.47)</f>
        <v>507.47</v>
      </c>
      <c r="F2377" s="1">
        <f ca="1">IFERROR(__xludf.DUMMYFUNCTION("""COMPUTED_VALUE"""),9673715)</f>
        <v>9673715</v>
      </c>
    </row>
    <row r="2378" spans="1:6" x14ac:dyDescent="0.35">
      <c r="A2378" s="2">
        <f ca="1">IFERROR(__xludf.DUMMYFUNCTION("""COMPUTED_VALUE"""),45455.6666666666)</f>
        <v>45455.666666666599</v>
      </c>
      <c r="B2378" s="1">
        <f ca="1">IFERROR(__xludf.DUMMYFUNCTION("""COMPUTED_VALUE"""),513.99)</f>
        <v>513.99</v>
      </c>
      <c r="C2378" s="1">
        <f ca="1">IFERROR(__xludf.DUMMYFUNCTION("""COMPUTED_VALUE"""),514.01)</f>
        <v>514.01</v>
      </c>
      <c r="D2378" s="1">
        <f ca="1">IFERROR(__xludf.DUMMYFUNCTION("""COMPUTED_VALUE"""),504.47)</f>
        <v>504.47</v>
      </c>
      <c r="E2378" s="1">
        <f ca="1">IFERROR(__xludf.DUMMYFUNCTION("""COMPUTED_VALUE"""),508.84)</f>
        <v>508.84</v>
      </c>
      <c r="F2378" s="1">
        <f ca="1">IFERROR(__xludf.DUMMYFUNCTION("""COMPUTED_VALUE"""),11983227)</f>
        <v>11983227</v>
      </c>
    </row>
    <row r="2379" spans="1:6" x14ac:dyDescent="0.35">
      <c r="A2379" s="2">
        <f ca="1">IFERROR(__xludf.DUMMYFUNCTION("""COMPUTED_VALUE"""),45456.6666666666)</f>
        <v>45456.666666666599</v>
      </c>
      <c r="B2379" s="1">
        <f ca="1">IFERROR(__xludf.DUMMYFUNCTION("""COMPUTED_VALUE"""),505.71)</f>
        <v>505.71</v>
      </c>
      <c r="C2379" s="1">
        <f ca="1">IFERROR(__xludf.DUMMYFUNCTION("""COMPUTED_VALUE"""),509.36)</f>
        <v>509.36</v>
      </c>
      <c r="D2379" s="1">
        <f ca="1">IFERROR(__xludf.DUMMYFUNCTION("""COMPUTED_VALUE"""),501.36)</f>
        <v>501.36</v>
      </c>
      <c r="E2379" s="1">
        <f ca="1">IFERROR(__xludf.DUMMYFUNCTION("""COMPUTED_VALUE"""),504.1)</f>
        <v>504.1</v>
      </c>
      <c r="F2379" s="1">
        <f ca="1">IFERROR(__xludf.DUMMYFUNCTION("""COMPUTED_VALUE"""),9954621)</f>
        <v>9954621</v>
      </c>
    </row>
    <row r="2380" spans="1:6" x14ac:dyDescent="0.35">
      <c r="A2380" s="2">
        <f ca="1">IFERROR(__xludf.DUMMYFUNCTION("""COMPUTED_VALUE"""),45457.6666666666)</f>
        <v>45457.666666666599</v>
      </c>
      <c r="B2380" s="1">
        <f ca="1">IFERROR(__xludf.DUMMYFUNCTION("""COMPUTED_VALUE"""),502.65)</f>
        <v>502.65</v>
      </c>
      <c r="C2380" s="1">
        <f ca="1">IFERROR(__xludf.DUMMYFUNCTION("""COMPUTED_VALUE"""),507.15)</f>
        <v>507.15</v>
      </c>
      <c r="D2380" s="1">
        <f ca="1">IFERROR(__xludf.DUMMYFUNCTION("""COMPUTED_VALUE"""),500.75)</f>
        <v>500.75</v>
      </c>
      <c r="E2380" s="1">
        <f ca="1">IFERROR(__xludf.DUMMYFUNCTION("""COMPUTED_VALUE"""),504.16)</f>
        <v>504.16</v>
      </c>
      <c r="F2380" s="1">
        <f ca="1">IFERROR(__xludf.DUMMYFUNCTION("""COMPUTED_VALUE"""),10243347)</f>
        <v>10243347</v>
      </c>
    </row>
    <row r="2381" spans="1:6" x14ac:dyDescent="0.35">
      <c r="A2381" s="2">
        <f ca="1">IFERROR(__xludf.DUMMYFUNCTION("""COMPUTED_VALUE"""),45460.6666666666)</f>
        <v>45460.666666666599</v>
      </c>
      <c r="B2381" s="1">
        <f ca="1">IFERROR(__xludf.DUMMYFUNCTION("""COMPUTED_VALUE"""),501.67)</f>
        <v>501.67</v>
      </c>
      <c r="C2381" s="1">
        <f ca="1">IFERROR(__xludf.DUMMYFUNCTION("""COMPUTED_VALUE"""),510.75)</f>
        <v>510.75</v>
      </c>
      <c r="D2381" s="1">
        <f ca="1">IFERROR(__xludf.DUMMYFUNCTION("""COMPUTED_VALUE"""),496.01)</f>
        <v>496.01</v>
      </c>
      <c r="E2381" s="1">
        <f ca="1">IFERROR(__xludf.DUMMYFUNCTION("""COMPUTED_VALUE"""),506.63)</f>
        <v>506.63</v>
      </c>
      <c r="F2381" s="1">
        <f ca="1">IFERROR(__xludf.DUMMYFUNCTION("""COMPUTED_VALUE"""),11266601)</f>
        <v>11266601</v>
      </c>
    </row>
    <row r="2382" spans="1:6" x14ac:dyDescent="0.35">
      <c r="A2382" s="2">
        <f ca="1">IFERROR(__xludf.DUMMYFUNCTION("""COMPUTED_VALUE"""),45461.6666666666)</f>
        <v>45461.666666666599</v>
      </c>
      <c r="B2382" s="1">
        <f ca="1">IFERROR(__xludf.DUMMYFUNCTION("""COMPUTED_VALUE"""),504.56)</f>
        <v>504.56</v>
      </c>
      <c r="C2382" s="1">
        <f ca="1">IFERROR(__xludf.DUMMYFUNCTION("""COMPUTED_VALUE"""),506)</f>
        <v>506</v>
      </c>
      <c r="D2382" s="1">
        <f ca="1">IFERROR(__xludf.DUMMYFUNCTION("""COMPUTED_VALUE"""),495.02)</f>
        <v>495.02</v>
      </c>
      <c r="E2382" s="1">
        <f ca="1">IFERROR(__xludf.DUMMYFUNCTION("""COMPUTED_VALUE"""),499.49)</f>
        <v>499.49</v>
      </c>
      <c r="F2382" s="1">
        <f ca="1">IFERROR(__xludf.DUMMYFUNCTION("""COMPUTED_VALUE"""),13060425)</f>
        <v>13060425</v>
      </c>
    </row>
    <row r="2383" spans="1:6" x14ac:dyDescent="0.35">
      <c r="A2383" s="2">
        <f ca="1">IFERROR(__xludf.DUMMYFUNCTION("""COMPUTED_VALUE"""),45463.6666666666)</f>
        <v>45463.666666666599</v>
      </c>
      <c r="B2383" s="1">
        <f ca="1">IFERROR(__xludf.DUMMYFUNCTION("""COMPUTED_VALUE"""),502)</f>
        <v>502</v>
      </c>
      <c r="C2383" s="1">
        <f ca="1">IFERROR(__xludf.DUMMYFUNCTION("""COMPUTED_VALUE"""),503.67)</f>
        <v>503.67</v>
      </c>
      <c r="D2383" s="1">
        <f ca="1">IFERROR(__xludf.DUMMYFUNCTION("""COMPUTED_VALUE"""),496.77)</f>
        <v>496.77</v>
      </c>
      <c r="E2383" s="1">
        <f ca="1">IFERROR(__xludf.DUMMYFUNCTION("""COMPUTED_VALUE"""),501.7)</f>
        <v>501.7</v>
      </c>
      <c r="F2383" s="1">
        <f ca="1">IFERROR(__xludf.DUMMYFUNCTION("""COMPUTED_VALUE"""),11801182)</f>
        <v>11801182</v>
      </c>
    </row>
    <row r="2384" spans="1:6" x14ac:dyDescent="0.35">
      <c r="A2384" s="2">
        <f ca="1">IFERROR(__xludf.DUMMYFUNCTION("""COMPUTED_VALUE"""),45464.6666666666)</f>
        <v>45464.666666666599</v>
      </c>
      <c r="B2384" s="1">
        <f ca="1">IFERROR(__xludf.DUMMYFUNCTION("""COMPUTED_VALUE"""),503.45)</f>
        <v>503.45</v>
      </c>
      <c r="C2384" s="1">
        <f ca="1">IFERROR(__xludf.DUMMYFUNCTION("""COMPUTED_VALUE"""),503.45)</f>
        <v>503.45</v>
      </c>
      <c r="D2384" s="1">
        <f ca="1">IFERROR(__xludf.DUMMYFUNCTION("""COMPUTED_VALUE"""),492.39)</f>
        <v>492.39</v>
      </c>
      <c r="E2384" s="1">
        <f ca="1">IFERROR(__xludf.DUMMYFUNCTION("""COMPUTED_VALUE"""),494.78)</f>
        <v>494.78</v>
      </c>
      <c r="F2384" s="1">
        <f ca="1">IFERROR(__xludf.DUMMYFUNCTION("""COMPUTED_VALUE"""),23130732)</f>
        <v>23130732</v>
      </c>
    </row>
    <row r="2385" spans="1:6" x14ac:dyDescent="0.35">
      <c r="A2385" s="2">
        <f ca="1">IFERROR(__xludf.DUMMYFUNCTION("""COMPUTED_VALUE"""),45467.6666666666)</f>
        <v>45467.666666666599</v>
      </c>
      <c r="B2385" s="1">
        <f ca="1">IFERROR(__xludf.DUMMYFUNCTION("""COMPUTED_VALUE"""),499.2)</f>
        <v>499.2</v>
      </c>
      <c r="C2385" s="1">
        <f ca="1">IFERROR(__xludf.DUMMYFUNCTION("""COMPUTED_VALUE"""),507.8)</f>
        <v>507.8</v>
      </c>
      <c r="D2385" s="1">
        <f ca="1">IFERROR(__xludf.DUMMYFUNCTION("""COMPUTED_VALUE"""),494.29)</f>
        <v>494.29</v>
      </c>
      <c r="E2385" s="1">
        <f ca="1">IFERROR(__xludf.DUMMYFUNCTION("""COMPUTED_VALUE"""),498.91)</f>
        <v>498.91</v>
      </c>
      <c r="F2385" s="1">
        <f ca="1">IFERROR(__xludf.DUMMYFUNCTION("""COMPUTED_VALUE"""),13525278)</f>
        <v>13525278</v>
      </c>
    </row>
    <row r="2386" spans="1:6" x14ac:dyDescent="0.35">
      <c r="A2386" s="2">
        <f ca="1">IFERROR(__xludf.DUMMYFUNCTION("""COMPUTED_VALUE"""),45468.6666666666)</f>
        <v>45468.666666666599</v>
      </c>
      <c r="B2386" s="1">
        <f ca="1">IFERROR(__xludf.DUMMYFUNCTION("""COMPUTED_VALUE"""),497.05)</f>
        <v>497.05</v>
      </c>
      <c r="C2386" s="1">
        <f ca="1">IFERROR(__xludf.DUMMYFUNCTION("""COMPUTED_VALUE"""),510.71)</f>
        <v>510.71</v>
      </c>
      <c r="D2386" s="1">
        <f ca="1">IFERROR(__xludf.DUMMYFUNCTION("""COMPUTED_VALUE"""),495.5)</f>
        <v>495.5</v>
      </c>
      <c r="E2386" s="1">
        <f ca="1">IFERROR(__xludf.DUMMYFUNCTION("""COMPUTED_VALUE"""),510.6)</f>
        <v>510.6</v>
      </c>
      <c r="F2386" s="1">
        <f ca="1">IFERROR(__xludf.DUMMYFUNCTION("""COMPUTED_VALUE"""),12109769)</f>
        <v>12109769</v>
      </c>
    </row>
    <row r="2387" spans="1:6" x14ac:dyDescent="0.35">
      <c r="A2387" s="2">
        <f ca="1">IFERROR(__xludf.DUMMYFUNCTION("""COMPUTED_VALUE"""),45469.6666666666)</f>
        <v>45469.666666666599</v>
      </c>
      <c r="B2387" s="1">
        <f ca="1">IFERROR(__xludf.DUMMYFUNCTION("""COMPUTED_VALUE"""),506.65)</f>
        <v>506.65</v>
      </c>
      <c r="C2387" s="1">
        <f ca="1">IFERROR(__xludf.DUMMYFUNCTION("""COMPUTED_VALUE"""),513.81)</f>
        <v>513.80999999999995</v>
      </c>
      <c r="D2387" s="1">
        <f ca="1">IFERROR(__xludf.DUMMYFUNCTION("""COMPUTED_VALUE"""),504.68)</f>
        <v>504.68</v>
      </c>
      <c r="E2387" s="1">
        <f ca="1">IFERROR(__xludf.DUMMYFUNCTION("""COMPUTED_VALUE"""),513.12)</f>
        <v>513.12</v>
      </c>
      <c r="F2387" s="1">
        <f ca="1">IFERROR(__xludf.DUMMYFUNCTION("""COMPUTED_VALUE"""),8882337)</f>
        <v>8882337</v>
      </c>
    </row>
    <row r="2388" spans="1:6" x14ac:dyDescent="0.35">
      <c r="A2388" s="2">
        <f ca="1">IFERROR(__xludf.DUMMYFUNCTION("""COMPUTED_VALUE"""),45470.6666666666)</f>
        <v>45470.666666666599</v>
      </c>
      <c r="B2388" s="1">
        <f ca="1">IFERROR(__xludf.DUMMYFUNCTION("""COMPUTED_VALUE"""),514.25)</f>
        <v>514.25</v>
      </c>
      <c r="C2388" s="1">
        <f ca="1">IFERROR(__xludf.DUMMYFUNCTION("""COMPUTED_VALUE"""),522.88)</f>
        <v>522.88</v>
      </c>
      <c r="D2388" s="1">
        <f ca="1">IFERROR(__xludf.DUMMYFUNCTION("""COMPUTED_VALUE"""),513.9)</f>
        <v>513.9</v>
      </c>
      <c r="E2388" s="1">
        <f ca="1">IFERROR(__xludf.DUMMYFUNCTION("""COMPUTED_VALUE"""),519.56)</f>
        <v>519.55999999999995</v>
      </c>
      <c r="F2388" s="1">
        <f ca="1">IFERROR(__xludf.DUMMYFUNCTION("""COMPUTED_VALUE"""),10121199)</f>
        <v>10121199</v>
      </c>
    </row>
    <row r="2389" spans="1:6" x14ac:dyDescent="0.35">
      <c r="A2389" s="2">
        <f ca="1">IFERROR(__xludf.DUMMYFUNCTION("""COMPUTED_VALUE"""),45471.6666666666)</f>
        <v>45471.666666666599</v>
      </c>
      <c r="B2389" s="1">
        <f ca="1">IFERROR(__xludf.DUMMYFUNCTION("""COMPUTED_VALUE"""),517.15)</f>
        <v>517.15</v>
      </c>
      <c r="C2389" s="1">
        <f ca="1">IFERROR(__xludf.DUMMYFUNCTION("""COMPUTED_VALUE"""),521.88)</f>
        <v>521.88</v>
      </c>
      <c r="D2389" s="1">
        <f ca="1">IFERROR(__xludf.DUMMYFUNCTION("""COMPUTED_VALUE"""),503.84)</f>
        <v>503.84</v>
      </c>
      <c r="E2389" s="1">
        <f ca="1">IFERROR(__xludf.DUMMYFUNCTION("""COMPUTED_VALUE"""),504.22)</f>
        <v>504.22</v>
      </c>
      <c r="F2389" s="1">
        <f ca="1">IFERROR(__xludf.DUMMYFUNCTION("""COMPUTED_VALUE"""),15855137)</f>
        <v>15855137</v>
      </c>
    </row>
    <row r="2390" spans="1:6" x14ac:dyDescent="0.35">
      <c r="A2390" s="2">
        <f ca="1">IFERROR(__xludf.DUMMYFUNCTION("""COMPUTED_VALUE"""),45474.6666666666)</f>
        <v>45474.666666666599</v>
      </c>
      <c r="B2390" s="1">
        <f ca="1">IFERROR(__xludf.DUMMYFUNCTION("""COMPUTED_VALUE"""),504.95)</f>
        <v>504.95</v>
      </c>
      <c r="C2390" s="1">
        <f ca="1">IFERROR(__xludf.DUMMYFUNCTION("""COMPUTED_VALUE"""),506.58)</f>
        <v>506.58</v>
      </c>
      <c r="D2390" s="1">
        <f ca="1">IFERROR(__xludf.DUMMYFUNCTION("""COMPUTED_VALUE"""),493.17)</f>
        <v>493.17</v>
      </c>
      <c r="E2390" s="1">
        <f ca="1">IFERROR(__xludf.DUMMYFUNCTION("""COMPUTED_VALUE"""),504.68)</f>
        <v>504.68</v>
      </c>
      <c r="F2390" s="1">
        <f ca="1">IFERROR(__xludf.DUMMYFUNCTION("""COMPUTED_VALUE"""),10328150)</f>
        <v>10328150</v>
      </c>
    </row>
    <row r="2391" spans="1:6" x14ac:dyDescent="0.35">
      <c r="A2391" s="2">
        <f ca="1">IFERROR(__xludf.DUMMYFUNCTION("""COMPUTED_VALUE"""),45475.6666666666)</f>
        <v>45475.666666666599</v>
      </c>
      <c r="B2391" s="1">
        <f ca="1">IFERROR(__xludf.DUMMYFUNCTION("""COMPUTED_VALUE"""),500.76)</f>
        <v>500.76</v>
      </c>
      <c r="C2391" s="1">
        <f ca="1">IFERROR(__xludf.DUMMYFUNCTION("""COMPUTED_VALUE"""),510.5)</f>
        <v>510.5</v>
      </c>
      <c r="D2391" s="1">
        <f ca="1">IFERROR(__xludf.DUMMYFUNCTION("""COMPUTED_VALUE"""),499.45)</f>
        <v>499.45</v>
      </c>
      <c r="E2391" s="1">
        <f ca="1">IFERROR(__xludf.DUMMYFUNCTION("""COMPUTED_VALUE"""),509.5)</f>
        <v>509.5</v>
      </c>
      <c r="F2391" s="1">
        <f ca="1">IFERROR(__xludf.DUMMYFUNCTION("""COMPUTED_VALUE"""),7739479)</f>
        <v>7739479</v>
      </c>
    </row>
    <row r="2392" spans="1:6" x14ac:dyDescent="0.35">
      <c r="A2392" s="2">
        <f ca="1">IFERROR(__xludf.DUMMYFUNCTION("""COMPUTED_VALUE"""),45476.5451388888)</f>
        <v>45476.545138888803</v>
      </c>
      <c r="B2392" s="1">
        <f ca="1">IFERROR(__xludf.DUMMYFUNCTION("""COMPUTED_VALUE"""),506.37)</f>
        <v>506.37</v>
      </c>
      <c r="C2392" s="1">
        <f ca="1">IFERROR(__xludf.DUMMYFUNCTION("""COMPUTED_VALUE"""),511.28)</f>
        <v>511.28</v>
      </c>
      <c r="D2392" s="1">
        <f ca="1">IFERROR(__xludf.DUMMYFUNCTION("""COMPUTED_VALUE"""),506.02)</f>
        <v>506.02</v>
      </c>
      <c r="E2392" s="1">
        <f ca="1">IFERROR(__xludf.DUMMYFUNCTION("""COMPUTED_VALUE"""),509.96)</f>
        <v>509.96</v>
      </c>
      <c r="F2392" s="1">
        <f ca="1">IFERROR(__xludf.DUMMYFUNCTION("""COMPUTED_VALUE"""),6005615)</f>
        <v>6005615</v>
      </c>
    </row>
    <row r="2393" spans="1:6" x14ac:dyDescent="0.35">
      <c r="A2393" s="2">
        <f ca="1">IFERROR(__xludf.DUMMYFUNCTION("""COMPUTED_VALUE"""),45478.6666666666)</f>
        <v>45478.666666666599</v>
      </c>
      <c r="B2393" s="1">
        <f ca="1">IFERROR(__xludf.DUMMYFUNCTION("""COMPUTED_VALUE"""),511.6)</f>
        <v>511.6</v>
      </c>
      <c r="C2393" s="1">
        <f ca="1">IFERROR(__xludf.DUMMYFUNCTION("""COMPUTED_VALUE"""),540.87)</f>
        <v>540.87</v>
      </c>
      <c r="D2393" s="1">
        <f ca="1">IFERROR(__xludf.DUMMYFUNCTION("""COMPUTED_VALUE"""),511.6)</f>
        <v>511.6</v>
      </c>
      <c r="E2393" s="1">
        <f ca="1">IFERROR(__xludf.DUMMYFUNCTION("""COMPUTED_VALUE"""),539.91)</f>
        <v>539.91</v>
      </c>
      <c r="F2393" s="1">
        <f ca="1">IFERROR(__xludf.DUMMYFUNCTION("""COMPUTED_VALUE"""),21354093)</f>
        <v>21354093</v>
      </c>
    </row>
    <row r="2394" spans="1:6" x14ac:dyDescent="0.35">
      <c r="A2394" s="2">
        <f ca="1">IFERROR(__xludf.DUMMYFUNCTION("""COMPUTED_VALUE"""),45481.6666666666)</f>
        <v>45481.666666666599</v>
      </c>
      <c r="B2394" s="1">
        <f ca="1">IFERROR(__xludf.DUMMYFUNCTION("""COMPUTED_VALUE"""),542.35)</f>
        <v>542.35</v>
      </c>
      <c r="C2394" s="1">
        <f ca="1">IFERROR(__xludf.DUMMYFUNCTION("""COMPUTED_VALUE"""),542.81)</f>
        <v>542.80999999999995</v>
      </c>
      <c r="D2394" s="1">
        <f ca="1">IFERROR(__xludf.DUMMYFUNCTION("""COMPUTED_VALUE"""),526.65)</f>
        <v>526.65</v>
      </c>
      <c r="E2394" s="1">
        <f ca="1">IFERROR(__xludf.DUMMYFUNCTION("""COMPUTED_VALUE"""),529.32)</f>
        <v>529.32000000000005</v>
      </c>
      <c r="F2394" s="1">
        <f ca="1">IFERROR(__xludf.DUMMYFUNCTION("""COMPUTED_VALUE"""),14917495)</f>
        <v>14917495</v>
      </c>
    </row>
    <row r="2395" spans="1:6" x14ac:dyDescent="0.35">
      <c r="A2395" s="2">
        <f ca="1">IFERROR(__xludf.DUMMYFUNCTION("""COMPUTED_VALUE"""),45482.6666666666)</f>
        <v>45482.666666666599</v>
      </c>
      <c r="B2395" s="1">
        <f ca="1">IFERROR(__xludf.DUMMYFUNCTION("""COMPUTED_VALUE"""),533.75)</f>
        <v>533.75</v>
      </c>
      <c r="C2395" s="1">
        <f ca="1">IFERROR(__xludf.DUMMYFUNCTION("""COMPUTED_VALUE"""),537.48)</f>
        <v>537.48</v>
      </c>
      <c r="D2395" s="1">
        <f ca="1">IFERROR(__xludf.DUMMYFUNCTION("""COMPUTED_VALUE"""),528.19)</f>
        <v>528.19000000000005</v>
      </c>
      <c r="E2395" s="1">
        <f ca="1">IFERROR(__xludf.DUMMYFUNCTION("""COMPUTED_VALUE"""),530)</f>
        <v>530</v>
      </c>
      <c r="F2395" s="1">
        <f ca="1">IFERROR(__xludf.DUMMYFUNCTION("""COMPUTED_VALUE"""),8769088)</f>
        <v>8769088</v>
      </c>
    </row>
    <row r="2396" spans="1:6" x14ac:dyDescent="0.35">
      <c r="A2396" s="2">
        <f ca="1">IFERROR(__xludf.DUMMYFUNCTION("""COMPUTED_VALUE"""),45483.6666666666)</f>
        <v>45483.666666666599</v>
      </c>
      <c r="B2396" s="1">
        <f ca="1">IFERROR(__xludf.DUMMYFUNCTION("""COMPUTED_VALUE"""),530.79)</f>
        <v>530.79</v>
      </c>
      <c r="C2396" s="1">
        <f ca="1">IFERROR(__xludf.DUMMYFUNCTION("""COMPUTED_VALUE"""),538.88)</f>
        <v>538.88</v>
      </c>
      <c r="D2396" s="1">
        <f ca="1">IFERROR(__xludf.DUMMYFUNCTION("""COMPUTED_VALUE"""),528.36)</f>
        <v>528.36</v>
      </c>
      <c r="E2396" s="1">
        <f ca="1">IFERROR(__xludf.DUMMYFUNCTION("""COMPUTED_VALUE"""),534.69)</f>
        <v>534.69000000000005</v>
      </c>
      <c r="F2396" s="1">
        <f ca="1">IFERROR(__xludf.DUMMYFUNCTION("""COMPUTED_VALUE"""),10983276)</f>
        <v>10983276</v>
      </c>
    </row>
    <row r="2397" spans="1:6" x14ac:dyDescent="0.35">
      <c r="A2397" s="2">
        <f ca="1">IFERROR(__xludf.DUMMYFUNCTION("""COMPUTED_VALUE"""),45484.6666666666)</f>
        <v>45484.666666666599</v>
      </c>
      <c r="B2397" s="1">
        <f ca="1">IFERROR(__xludf.DUMMYFUNCTION("""COMPUTED_VALUE"""),530.89)</f>
        <v>530.89</v>
      </c>
      <c r="C2397" s="1">
        <f ca="1">IFERROR(__xludf.DUMMYFUNCTION("""COMPUTED_VALUE"""),535.46)</f>
        <v>535.46</v>
      </c>
      <c r="D2397" s="1">
        <f ca="1">IFERROR(__xludf.DUMMYFUNCTION("""COMPUTED_VALUE"""),508.37)</f>
        <v>508.37</v>
      </c>
      <c r="E2397" s="1">
        <f ca="1">IFERROR(__xludf.DUMMYFUNCTION("""COMPUTED_VALUE"""),512.7)</f>
        <v>512.70000000000005</v>
      </c>
      <c r="F2397" s="1">
        <f ca="1">IFERROR(__xludf.DUMMYFUNCTION("""COMPUTED_VALUE"""),16458253)</f>
        <v>16458253</v>
      </c>
    </row>
    <row r="2398" spans="1:6" x14ac:dyDescent="0.35">
      <c r="A2398" s="2">
        <f ca="1">IFERROR(__xludf.DUMMYFUNCTION("""COMPUTED_VALUE"""),45485.6666666666)</f>
        <v>45485.666666666599</v>
      </c>
      <c r="B2398" s="1">
        <f ca="1">IFERROR(__xludf.DUMMYFUNCTION("""COMPUTED_VALUE"""),497.76)</f>
        <v>497.76</v>
      </c>
      <c r="C2398" s="1">
        <f ca="1">IFERROR(__xludf.DUMMYFUNCTION("""COMPUTED_VALUE"""),508.09)</f>
        <v>508.09</v>
      </c>
      <c r="D2398" s="1">
        <f ca="1">IFERROR(__xludf.DUMMYFUNCTION("""COMPUTED_VALUE"""),494.23)</f>
        <v>494.23</v>
      </c>
      <c r="E2398" s="1">
        <f ca="1">IFERROR(__xludf.DUMMYFUNCTION("""COMPUTED_VALUE"""),498.87)</f>
        <v>498.87</v>
      </c>
      <c r="F2398" s="1">
        <f ca="1">IFERROR(__xludf.DUMMYFUNCTION("""COMPUTED_VALUE"""),19750544)</f>
        <v>19750544</v>
      </c>
    </row>
    <row r="2399" spans="1:6" x14ac:dyDescent="0.35">
      <c r="A2399" s="2">
        <f ca="1">IFERROR(__xludf.DUMMYFUNCTION("""COMPUTED_VALUE"""),45488.6666666666)</f>
        <v>45488.666666666599</v>
      </c>
      <c r="B2399" s="1">
        <f ca="1">IFERROR(__xludf.DUMMYFUNCTION("""COMPUTED_VALUE"""),498.63)</f>
        <v>498.63</v>
      </c>
      <c r="C2399" s="1">
        <f ca="1">IFERROR(__xludf.DUMMYFUNCTION("""COMPUTED_VALUE"""),506.68)</f>
        <v>506.68</v>
      </c>
      <c r="D2399" s="1">
        <f ca="1">IFERROR(__xludf.DUMMYFUNCTION("""COMPUTED_VALUE"""),493.37)</f>
        <v>493.37</v>
      </c>
      <c r="E2399" s="1">
        <f ca="1">IFERROR(__xludf.DUMMYFUNCTION("""COMPUTED_VALUE"""),496.16)</f>
        <v>496.16</v>
      </c>
      <c r="F2399" s="1">
        <f ca="1">IFERROR(__xludf.DUMMYFUNCTION("""COMPUTED_VALUE"""),12539163)</f>
        <v>12539163</v>
      </c>
    </row>
    <row r="2400" spans="1:6" x14ac:dyDescent="0.35">
      <c r="A2400" s="2">
        <f ca="1">IFERROR(__xludf.DUMMYFUNCTION("""COMPUTED_VALUE"""),45489.6666666666)</f>
        <v>45489.666666666599</v>
      </c>
      <c r="B2400" s="1">
        <f ca="1">IFERROR(__xludf.DUMMYFUNCTION("""COMPUTED_VALUE"""),501.5)</f>
        <v>501.5</v>
      </c>
      <c r="C2400" s="1">
        <f ca="1">IFERROR(__xludf.DUMMYFUNCTION("""COMPUTED_VALUE"""),503.95)</f>
        <v>503.95</v>
      </c>
      <c r="D2400" s="1">
        <f ca="1">IFERROR(__xludf.DUMMYFUNCTION("""COMPUTED_VALUE"""),485.79)</f>
        <v>485.79</v>
      </c>
      <c r="E2400" s="1">
        <f ca="1">IFERROR(__xludf.DUMMYFUNCTION("""COMPUTED_VALUE"""),489.79)</f>
        <v>489.79</v>
      </c>
      <c r="F2400" s="1">
        <f ca="1">IFERROR(__xludf.DUMMYFUNCTION("""COMPUTED_VALUE"""),14075833)</f>
        <v>14075833</v>
      </c>
    </row>
    <row r="2401" spans="1:6" x14ac:dyDescent="0.35">
      <c r="A2401" s="2">
        <f ca="1">IFERROR(__xludf.DUMMYFUNCTION("""COMPUTED_VALUE"""),45490.6666666666)</f>
        <v>45490.666666666599</v>
      </c>
      <c r="B2401" s="1">
        <f ca="1">IFERROR(__xludf.DUMMYFUNCTION("""COMPUTED_VALUE"""),479.17)</f>
        <v>479.17</v>
      </c>
      <c r="C2401" s="1">
        <f ca="1">IFERROR(__xludf.DUMMYFUNCTION("""COMPUTED_VALUE"""),479.17)</f>
        <v>479.17</v>
      </c>
      <c r="D2401" s="1">
        <f ca="1">IFERROR(__xludf.DUMMYFUNCTION("""COMPUTED_VALUE"""),459.12)</f>
        <v>459.12</v>
      </c>
      <c r="E2401" s="1">
        <f ca="1">IFERROR(__xludf.DUMMYFUNCTION("""COMPUTED_VALUE"""),461.99)</f>
        <v>461.99</v>
      </c>
      <c r="F2401" s="1">
        <f ca="1">IFERROR(__xludf.DUMMYFUNCTION("""COMPUTED_VALUE"""),28076595)</f>
        <v>28076595</v>
      </c>
    </row>
    <row r="2402" spans="1:6" x14ac:dyDescent="0.35">
      <c r="A2402" s="2">
        <f ca="1">IFERROR(__xludf.DUMMYFUNCTION("""COMPUTED_VALUE"""),45491.6666666666)</f>
        <v>45491.666666666599</v>
      </c>
      <c r="B2402" s="1">
        <f ca="1">IFERROR(__xludf.DUMMYFUNCTION("""COMPUTED_VALUE"""),475)</f>
        <v>475</v>
      </c>
      <c r="C2402" s="1">
        <f ca="1">IFERROR(__xludf.DUMMYFUNCTION("""COMPUTED_VALUE"""),479.24)</f>
        <v>479.24</v>
      </c>
      <c r="D2402" s="1">
        <f ca="1">IFERROR(__xludf.DUMMYFUNCTION("""COMPUTED_VALUE"""),464.54)</f>
        <v>464.54</v>
      </c>
      <c r="E2402" s="1">
        <f ca="1">IFERROR(__xludf.DUMMYFUNCTION("""COMPUTED_VALUE"""),475.85)</f>
        <v>475.85</v>
      </c>
      <c r="F2402" s="1">
        <f ca="1">IFERROR(__xludf.DUMMYFUNCTION("""COMPUTED_VALUE"""),19267160)</f>
        <v>19267160</v>
      </c>
    </row>
    <row r="2403" spans="1:6" x14ac:dyDescent="0.35">
      <c r="A2403" s="2">
        <f ca="1">IFERROR(__xludf.DUMMYFUNCTION("""COMPUTED_VALUE"""),45492.6666666666)</f>
        <v>45492.666666666599</v>
      </c>
      <c r="B2403" s="1">
        <f ca="1">IFERROR(__xludf.DUMMYFUNCTION("""COMPUTED_VALUE"""),476.06)</f>
        <v>476.06</v>
      </c>
      <c r="C2403" s="1">
        <f ca="1">IFERROR(__xludf.DUMMYFUNCTION("""COMPUTED_VALUE"""),486.71)</f>
        <v>486.71</v>
      </c>
      <c r="D2403" s="1">
        <f ca="1">IFERROR(__xludf.DUMMYFUNCTION("""COMPUTED_VALUE"""),475.71)</f>
        <v>475.71</v>
      </c>
      <c r="E2403" s="1">
        <f ca="1">IFERROR(__xludf.DUMMYFUNCTION("""COMPUTED_VALUE"""),476.79)</f>
        <v>476.79</v>
      </c>
      <c r="F2403" s="1">
        <f ca="1">IFERROR(__xludf.DUMMYFUNCTION("""COMPUTED_VALUE"""),15149416)</f>
        <v>15149416</v>
      </c>
    </row>
    <row r="2404" spans="1:6" x14ac:dyDescent="0.35">
      <c r="A2404" s="2">
        <f ca="1">IFERROR(__xludf.DUMMYFUNCTION("""COMPUTED_VALUE"""),45495.6666666666)</f>
        <v>45495.666666666599</v>
      </c>
      <c r="B2404" s="1">
        <f ca="1">IFERROR(__xludf.DUMMYFUNCTION("""COMPUTED_VALUE"""),486.58)</f>
        <v>486.58</v>
      </c>
      <c r="C2404" s="1">
        <f ca="1">IFERROR(__xludf.DUMMYFUNCTION("""COMPUTED_VALUE"""),492.06)</f>
        <v>492.06</v>
      </c>
      <c r="D2404" s="1">
        <f ca="1">IFERROR(__xludf.DUMMYFUNCTION("""COMPUTED_VALUE"""),483.9)</f>
        <v>483.9</v>
      </c>
      <c r="E2404" s="1">
        <f ca="1">IFERROR(__xludf.DUMMYFUNCTION("""COMPUTED_VALUE"""),487.4)</f>
        <v>487.4</v>
      </c>
      <c r="F2404" s="1">
        <f ca="1">IFERROR(__xludf.DUMMYFUNCTION("""COMPUTED_VALUE"""),12023088)</f>
        <v>12023088</v>
      </c>
    </row>
    <row r="2405" spans="1:6" x14ac:dyDescent="0.35">
      <c r="A2405" s="2">
        <f ca="1">IFERROR(__xludf.DUMMYFUNCTION("""COMPUTED_VALUE"""),45496.6666666666)</f>
        <v>45496.666666666599</v>
      </c>
      <c r="B2405" s="1">
        <f ca="1">IFERROR(__xludf.DUMMYFUNCTION("""COMPUTED_VALUE"""),489.84)</f>
        <v>489.84</v>
      </c>
      <c r="C2405" s="1">
        <f ca="1">IFERROR(__xludf.DUMMYFUNCTION("""COMPUTED_VALUE"""),495.22)</f>
        <v>495.22</v>
      </c>
      <c r="D2405" s="1">
        <f ca="1">IFERROR(__xludf.DUMMYFUNCTION("""COMPUTED_VALUE"""),487.72)</f>
        <v>487.72</v>
      </c>
      <c r="E2405" s="1">
        <f ca="1">IFERROR(__xludf.DUMMYFUNCTION("""COMPUTED_VALUE"""),488.69)</f>
        <v>488.69</v>
      </c>
      <c r="F2405" s="1">
        <f ca="1">IFERROR(__xludf.DUMMYFUNCTION("""COMPUTED_VALUE"""),9455527)</f>
        <v>9455527</v>
      </c>
    </row>
    <row r="2406" spans="1:6" x14ac:dyDescent="0.35">
      <c r="A2406" s="2">
        <f ca="1">IFERROR(__xludf.DUMMYFUNCTION("""COMPUTED_VALUE"""),45497.6666666666)</f>
        <v>45497.666666666599</v>
      </c>
      <c r="B2406" s="1">
        <f ca="1">IFERROR(__xludf.DUMMYFUNCTION("""COMPUTED_VALUE"""),472.31)</f>
        <v>472.31</v>
      </c>
      <c r="C2406" s="1">
        <f ca="1">IFERROR(__xludf.DUMMYFUNCTION("""COMPUTED_VALUE"""),476.3)</f>
        <v>476.3</v>
      </c>
      <c r="D2406" s="1">
        <f ca="1">IFERROR(__xludf.DUMMYFUNCTION("""COMPUTED_VALUE"""),460.58)</f>
        <v>460.58</v>
      </c>
      <c r="E2406" s="1">
        <f ca="1">IFERROR(__xludf.DUMMYFUNCTION("""COMPUTED_VALUE"""),461.27)</f>
        <v>461.27</v>
      </c>
      <c r="F2406" s="1">
        <f ca="1">IFERROR(__xludf.DUMMYFUNCTION("""COMPUTED_VALUE"""),17649738)</f>
        <v>17649738</v>
      </c>
    </row>
    <row r="2407" spans="1:6" x14ac:dyDescent="0.35">
      <c r="A2407" s="2">
        <f ca="1">IFERROR(__xludf.DUMMYFUNCTION("""COMPUTED_VALUE"""),45498.6666666666)</f>
        <v>45498.666666666599</v>
      </c>
      <c r="B2407" s="1">
        <f ca="1">IFERROR(__xludf.DUMMYFUNCTION("""COMPUTED_VALUE"""),463.26)</f>
        <v>463.26</v>
      </c>
      <c r="C2407" s="1">
        <f ca="1">IFERROR(__xludf.DUMMYFUNCTION("""COMPUTED_VALUE"""),463.55)</f>
        <v>463.55</v>
      </c>
      <c r="D2407" s="1">
        <f ca="1">IFERROR(__xludf.DUMMYFUNCTION("""COMPUTED_VALUE"""),442.65)</f>
        <v>442.65</v>
      </c>
      <c r="E2407" s="1">
        <f ca="1">IFERROR(__xludf.DUMMYFUNCTION("""COMPUTED_VALUE"""),453.41)</f>
        <v>453.41</v>
      </c>
      <c r="F2407" s="1">
        <f ca="1">IFERROR(__xludf.DUMMYFUNCTION("""COMPUTED_VALUE"""),18240489)</f>
        <v>18240489</v>
      </c>
    </row>
    <row r="2408" spans="1:6" x14ac:dyDescent="0.35">
      <c r="A2408" s="2">
        <f ca="1">IFERROR(__xludf.DUMMYFUNCTION("""COMPUTED_VALUE"""),45499.6666666666)</f>
        <v>45499.666666666599</v>
      </c>
      <c r="B2408" s="1">
        <f ca="1">IFERROR(__xludf.DUMMYFUNCTION("""COMPUTED_VALUE"""),464.2)</f>
        <v>464.2</v>
      </c>
      <c r="C2408" s="1">
        <f ca="1">IFERROR(__xludf.DUMMYFUNCTION("""COMPUTED_VALUE"""),469.77)</f>
        <v>469.77</v>
      </c>
      <c r="D2408" s="1">
        <f ca="1">IFERROR(__xludf.DUMMYFUNCTION("""COMPUTED_VALUE"""),459.42)</f>
        <v>459.42</v>
      </c>
      <c r="E2408" s="1">
        <f ca="1">IFERROR(__xludf.DUMMYFUNCTION("""COMPUTED_VALUE"""),465.7)</f>
        <v>465.7</v>
      </c>
      <c r="F2408" s="1">
        <f ca="1">IFERROR(__xludf.DUMMYFUNCTION("""COMPUTED_VALUE"""),14222388)</f>
        <v>14222388</v>
      </c>
    </row>
    <row r="2409" spans="1:6" x14ac:dyDescent="0.35">
      <c r="A2409" s="2">
        <f ca="1">IFERROR(__xludf.DUMMYFUNCTION("""COMPUTED_VALUE"""),45502.6666666666)</f>
        <v>45502.666666666599</v>
      </c>
      <c r="B2409" s="1">
        <f ca="1">IFERROR(__xludf.DUMMYFUNCTION("""COMPUTED_VALUE"""),469.88)</f>
        <v>469.88</v>
      </c>
      <c r="C2409" s="1">
        <f ca="1">IFERROR(__xludf.DUMMYFUNCTION("""COMPUTED_VALUE"""),473.96)</f>
        <v>473.96</v>
      </c>
      <c r="D2409" s="1">
        <f ca="1">IFERROR(__xludf.DUMMYFUNCTION("""COMPUTED_VALUE"""),465.02)</f>
        <v>465.02</v>
      </c>
      <c r="E2409" s="1">
        <f ca="1">IFERROR(__xludf.DUMMYFUNCTION("""COMPUTED_VALUE"""),465.71)</f>
        <v>465.71</v>
      </c>
      <c r="F2409" s="1">
        <f ca="1">IFERROR(__xludf.DUMMYFUNCTION("""COMPUTED_VALUE"""),11339630)</f>
        <v>11339630</v>
      </c>
    </row>
    <row r="2410" spans="1:6" x14ac:dyDescent="0.35">
      <c r="A2410" s="2">
        <f ca="1">IFERROR(__xludf.DUMMYFUNCTION("""COMPUTED_VALUE"""),45503.6666666666)</f>
        <v>45503.666666666599</v>
      </c>
      <c r="B2410" s="1">
        <f ca="1">IFERROR(__xludf.DUMMYFUNCTION("""COMPUTED_VALUE"""),467)</f>
        <v>467</v>
      </c>
      <c r="C2410" s="1">
        <f ca="1">IFERROR(__xludf.DUMMYFUNCTION("""COMPUTED_VALUE"""),472.73)</f>
        <v>472.73</v>
      </c>
      <c r="D2410" s="1">
        <f ca="1">IFERROR(__xludf.DUMMYFUNCTION("""COMPUTED_VALUE"""),456.7)</f>
        <v>456.7</v>
      </c>
      <c r="E2410" s="1">
        <f ca="1">IFERROR(__xludf.DUMMYFUNCTION("""COMPUTED_VALUE"""),463.19)</f>
        <v>463.19</v>
      </c>
      <c r="F2410" s="1">
        <f ca="1">IFERROR(__xludf.DUMMYFUNCTION("""COMPUTED_VALUE"""),11390439)</f>
        <v>11390439</v>
      </c>
    </row>
    <row r="2411" spans="1:6" x14ac:dyDescent="0.35">
      <c r="A2411" s="2">
        <f ca="1">IFERROR(__xludf.DUMMYFUNCTION("""COMPUTED_VALUE"""),45504.6666666666)</f>
        <v>45504.666666666599</v>
      </c>
      <c r="B2411" s="1">
        <f ca="1">IFERROR(__xludf.DUMMYFUNCTION("""COMPUTED_VALUE"""),471.02)</f>
        <v>471.02</v>
      </c>
      <c r="C2411" s="1">
        <f ca="1">IFERROR(__xludf.DUMMYFUNCTION("""COMPUTED_VALUE"""),476.5)</f>
        <v>476.5</v>
      </c>
      <c r="D2411" s="1">
        <f ca="1">IFERROR(__xludf.DUMMYFUNCTION("""COMPUTED_VALUE"""),466.75)</f>
        <v>466.75</v>
      </c>
      <c r="E2411" s="1">
        <f ca="1">IFERROR(__xludf.DUMMYFUNCTION("""COMPUTED_VALUE"""),474.83)</f>
        <v>474.83</v>
      </c>
      <c r="F2411" s="1">
        <f ca="1">IFERROR(__xludf.DUMMYFUNCTION("""COMPUTED_VALUE"""),24285777)</f>
        <v>24285777</v>
      </c>
    </row>
    <row r="2412" spans="1:6" x14ac:dyDescent="0.35">
      <c r="A2412" s="2">
        <f ca="1">IFERROR(__xludf.DUMMYFUNCTION("""COMPUTED_VALUE"""),45505.6666666666)</f>
        <v>45505.666666666599</v>
      </c>
      <c r="B2412" s="1">
        <f ca="1">IFERROR(__xludf.DUMMYFUNCTION("""COMPUTED_VALUE"""),521)</f>
        <v>521</v>
      </c>
      <c r="C2412" s="1">
        <f ca="1">IFERROR(__xludf.DUMMYFUNCTION("""COMPUTED_VALUE"""),527.17)</f>
        <v>527.16999999999996</v>
      </c>
      <c r="D2412" s="1">
        <f ca="1">IFERROR(__xludf.DUMMYFUNCTION("""COMPUTED_VALUE"""),492.1)</f>
        <v>492.1</v>
      </c>
      <c r="E2412" s="1">
        <f ca="1">IFERROR(__xludf.DUMMYFUNCTION("""COMPUTED_VALUE"""),497.74)</f>
        <v>497.74</v>
      </c>
      <c r="F2412" s="1">
        <f ca="1">IFERROR(__xludf.DUMMYFUNCTION("""COMPUTED_VALUE"""),43083082)</f>
        <v>43083082</v>
      </c>
    </row>
    <row r="2413" spans="1:6" x14ac:dyDescent="0.35">
      <c r="A2413" s="2">
        <f ca="1">IFERROR(__xludf.DUMMYFUNCTION("""COMPUTED_VALUE"""),45506.6666666666)</f>
        <v>45506.666666666599</v>
      </c>
      <c r="B2413" s="1">
        <f ca="1">IFERROR(__xludf.DUMMYFUNCTION("""COMPUTED_VALUE"""),489)</f>
        <v>489</v>
      </c>
      <c r="C2413" s="1">
        <f ca="1">IFERROR(__xludf.DUMMYFUNCTION("""COMPUTED_VALUE"""),501.15)</f>
        <v>501.15</v>
      </c>
      <c r="D2413" s="1">
        <f ca="1">IFERROR(__xludf.DUMMYFUNCTION("""COMPUTED_VALUE"""),476.15)</f>
        <v>476.15</v>
      </c>
      <c r="E2413" s="1">
        <f ca="1">IFERROR(__xludf.DUMMYFUNCTION("""COMPUTED_VALUE"""),488.14)</f>
        <v>488.14</v>
      </c>
      <c r="F2413" s="1">
        <f ca="1">IFERROR(__xludf.DUMMYFUNCTION("""COMPUTED_VALUE"""),24044658)</f>
        <v>24044658</v>
      </c>
    </row>
    <row r="2414" spans="1:6" x14ac:dyDescent="0.35">
      <c r="A2414" s="2">
        <f ca="1">IFERROR(__xludf.DUMMYFUNCTION("""COMPUTED_VALUE"""),45509.6666666666)</f>
        <v>45509.666666666599</v>
      </c>
      <c r="B2414" s="1">
        <f ca="1">IFERROR(__xludf.DUMMYFUNCTION("""COMPUTED_VALUE"""),451.35)</f>
        <v>451.35</v>
      </c>
      <c r="C2414" s="1">
        <f ca="1">IFERROR(__xludf.DUMMYFUNCTION("""COMPUTED_VALUE"""),483.48)</f>
        <v>483.48</v>
      </c>
      <c r="D2414" s="1">
        <f ca="1">IFERROR(__xludf.DUMMYFUNCTION("""COMPUTED_VALUE"""),450.8)</f>
        <v>450.8</v>
      </c>
      <c r="E2414" s="1">
        <f ca="1">IFERROR(__xludf.DUMMYFUNCTION("""COMPUTED_VALUE"""),475.73)</f>
        <v>475.73</v>
      </c>
      <c r="F2414" s="1">
        <f ca="1">IFERROR(__xludf.DUMMYFUNCTION("""COMPUTED_VALUE"""),21396191)</f>
        <v>21396191</v>
      </c>
    </row>
    <row r="2415" spans="1:6" x14ac:dyDescent="0.35">
      <c r="A2415" s="2">
        <f ca="1">IFERROR(__xludf.DUMMYFUNCTION("""COMPUTED_VALUE"""),45510.6666666666)</f>
        <v>45510.666666666599</v>
      </c>
      <c r="B2415" s="1">
        <f ca="1">IFERROR(__xludf.DUMMYFUNCTION("""COMPUTED_VALUE"""),479)</f>
        <v>479</v>
      </c>
      <c r="C2415" s="1">
        <f ca="1">IFERROR(__xludf.DUMMYFUNCTION("""COMPUTED_VALUE"""),502.56)</f>
        <v>502.56</v>
      </c>
      <c r="D2415" s="1">
        <f ca="1">IFERROR(__xludf.DUMMYFUNCTION("""COMPUTED_VALUE"""),478.65)</f>
        <v>478.65</v>
      </c>
      <c r="E2415" s="1">
        <f ca="1">IFERROR(__xludf.DUMMYFUNCTION("""COMPUTED_VALUE"""),494.09)</f>
        <v>494.09</v>
      </c>
      <c r="F2415" s="1">
        <f ca="1">IFERROR(__xludf.DUMMYFUNCTION("""COMPUTED_VALUE"""),20954959)</f>
        <v>20954959</v>
      </c>
    </row>
    <row r="2416" spans="1:6" x14ac:dyDescent="0.35">
      <c r="A2416" s="2">
        <f ca="1">IFERROR(__xludf.DUMMYFUNCTION("""COMPUTED_VALUE"""),45511.6666666666)</f>
        <v>45511.666666666599</v>
      </c>
      <c r="B2416" s="1">
        <f ca="1">IFERROR(__xludf.DUMMYFUNCTION("""COMPUTED_VALUE"""),503.13)</f>
        <v>503.13</v>
      </c>
      <c r="C2416" s="1">
        <f ca="1">IFERROR(__xludf.DUMMYFUNCTION("""COMPUTED_VALUE"""),510.15)</f>
        <v>510.15</v>
      </c>
      <c r="D2416" s="1">
        <f ca="1">IFERROR(__xludf.DUMMYFUNCTION("""COMPUTED_VALUE"""),486.86)</f>
        <v>486.86</v>
      </c>
      <c r="E2416" s="1">
        <f ca="1">IFERROR(__xludf.DUMMYFUNCTION("""COMPUTED_VALUE"""),488.92)</f>
        <v>488.92</v>
      </c>
      <c r="F2416" s="1">
        <f ca="1">IFERROR(__xludf.DUMMYFUNCTION("""COMPUTED_VALUE"""),20105307)</f>
        <v>20105307</v>
      </c>
    </row>
    <row r="2417" spans="1:6" x14ac:dyDescent="0.35">
      <c r="A2417" s="2">
        <f ca="1">IFERROR(__xludf.DUMMYFUNCTION("""COMPUTED_VALUE"""),45512.6666666666)</f>
        <v>45512.666666666599</v>
      </c>
      <c r="B2417" s="1">
        <f ca="1">IFERROR(__xludf.DUMMYFUNCTION("""COMPUTED_VALUE"""),497.5)</f>
        <v>497.5</v>
      </c>
      <c r="C2417" s="1">
        <f ca="1">IFERROR(__xludf.DUMMYFUNCTION("""COMPUTED_VALUE"""),509.96)</f>
        <v>509.96</v>
      </c>
      <c r="D2417" s="1">
        <f ca="1">IFERROR(__xludf.DUMMYFUNCTION("""COMPUTED_VALUE"""),494.72)</f>
        <v>494.72</v>
      </c>
      <c r="E2417" s="1">
        <f ca="1">IFERROR(__xludf.DUMMYFUNCTION("""COMPUTED_VALUE"""),509.63)</f>
        <v>509.63</v>
      </c>
      <c r="F2417" s="1">
        <f ca="1">IFERROR(__xludf.DUMMYFUNCTION("""COMPUTED_VALUE"""),16156843)</f>
        <v>16156843</v>
      </c>
    </row>
    <row r="2418" spans="1:6" x14ac:dyDescent="0.35">
      <c r="A2418" s="2">
        <f ca="1">IFERROR(__xludf.DUMMYFUNCTION("""COMPUTED_VALUE"""),45513.6666666666)</f>
        <v>45513.666666666599</v>
      </c>
      <c r="B2418" s="1">
        <f ca="1">IFERROR(__xludf.DUMMYFUNCTION("""COMPUTED_VALUE"""),507.71)</f>
        <v>507.71</v>
      </c>
      <c r="C2418" s="1">
        <f ca="1">IFERROR(__xludf.DUMMYFUNCTION("""COMPUTED_VALUE"""),518.34)</f>
        <v>518.34</v>
      </c>
      <c r="D2418" s="1">
        <f ca="1">IFERROR(__xludf.DUMMYFUNCTION("""COMPUTED_VALUE"""),505.7)</f>
        <v>505.7</v>
      </c>
      <c r="E2418" s="1">
        <f ca="1">IFERROR(__xludf.DUMMYFUNCTION("""COMPUTED_VALUE"""),517.77)</f>
        <v>517.77</v>
      </c>
      <c r="F2418" s="1">
        <f ca="1">IFERROR(__xludf.DUMMYFUNCTION("""COMPUTED_VALUE"""),13696640)</f>
        <v>13696640</v>
      </c>
    </row>
    <row r="2419" spans="1:6" x14ac:dyDescent="0.35">
      <c r="A2419" s="2">
        <f ca="1">IFERROR(__xludf.DUMMYFUNCTION("""COMPUTED_VALUE"""),45516.6666666666)</f>
        <v>45516.666666666599</v>
      </c>
      <c r="B2419" s="1">
        <f ca="1">IFERROR(__xludf.DUMMYFUNCTION("""COMPUTED_VALUE"""),516.86)</f>
        <v>516.86</v>
      </c>
      <c r="C2419" s="1">
        <f ca="1">IFERROR(__xludf.DUMMYFUNCTION("""COMPUTED_VALUE"""),518.02)</f>
        <v>518.02</v>
      </c>
      <c r="D2419" s="1">
        <f ca="1">IFERROR(__xludf.DUMMYFUNCTION("""COMPUTED_VALUE"""),509.1)</f>
        <v>509.1</v>
      </c>
      <c r="E2419" s="1">
        <f ca="1">IFERROR(__xludf.DUMMYFUNCTION("""COMPUTED_VALUE"""),515.95)</f>
        <v>515.95000000000005</v>
      </c>
      <c r="F2419" s="1">
        <f ca="1">IFERROR(__xludf.DUMMYFUNCTION("""COMPUTED_VALUE"""),9767422)</f>
        <v>9767422</v>
      </c>
    </row>
    <row r="2420" spans="1:6" x14ac:dyDescent="0.35">
      <c r="A2420" s="2">
        <f ca="1">IFERROR(__xludf.DUMMYFUNCTION("""COMPUTED_VALUE"""),45517.6666666666)</f>
        <v>45517.666666666599</v>
      </c>
      <c r="B2420" s="1">
        <f ca="1">IFERROR(__xludf.DUMMYFUNCTION("""COMPUTED_VALUE"""),520.01)</f>
        <v>520.01</v>
      </c>
      <c r="C2420" s="1">
        <f ca="1">IFERROR(__xludf.DUMMYFUNCTION("""COMPUTED_VALUE"""),531.5)</f>
        <v>531.5</v>
      </c>
      <c r="D2420" s="1">
        <f ca="1">IFERROR(__xludf.DUMMYFUNCTION("""COMPUTED_VALUE"""),518.15)</f>
        <v>518.15</v>
      </c>
      <c r="E2420" s="1">
        <f ca="1">IFERROR(__xludf.DUMMYFUNCTION("""COMPUTED_VALUE"""),528.54)</f>
        <v>528.54</v>
      </c>
      <c r="F2420" s="1">
        <f ca="1">IFERROR(__xludf.DUMMYFUNCTION("""COMPUTED_VALUE"""),13743839)</f>
        <v>13743839</v>
      </c>
    </row>
    <row r="2421" spans="1:6" x14ac:dyDescent="0.35">
      <c r="A2421" s="2">
        <f ca="1">IFERROR(__xludf.DUMMYFUNCTION("""COMPUTED_VALUE"""),45518.6666666666)</f>
        <v>45518.666666666599</v>
      </c>
      <c r="B2421" s="1">
        <f ca="1">IFERROR(__xludf.DUMMYFUNCTION("""COMPUTED_VALUE"""),528.06)</f>
        <v>528.05999999999995</v>
      </c>
      <c r="C2421" s="1">
        <f ca="1">IFERROR(__xludf.DUMMYFUNCTION("""COMPUTED_VALUE"""),534)</f>
        <v>534</v>
      </c>
      <c r="D2421" s="1">
        <f ca="1">IFERROR(__xludf.DUMMYFUNCTION("""COMPUTED_VALUE"""),523.13)</f>
        <v>523.13</v>
      </c>
      <c r="E2421" s="1">
        <f ca="1">IFERROR(__xludf.DUMMYFUNCTION("""COMPUTED_VALUE"""),526.76)</f>
        <v>526.76</v>
      </c>
      <c r="F2421" s="1">
        <f ca="1">IFERROR(__xludf.DUMMYFUNCTION("""COMPUTED_VALUE"""),11444189)</f>
        <v>11444189</v>
      </c>
    </row>
    <row r="2422" spans="1:6" x14ac:dyDescent="0.35">
      <c r="A2422" s="2">
        <f ca="1">IFERROR(__xludf.DUMMYFUNCTION("""COMPUTED_VALUE"""),45519.6666666666)</f>
        <v>45519.666666666599</v>
      </c>
      <c r="B2422" s="1">
        <f ca="1">IFERROR(__xludf.DUMMYFUNCTION("""COMPUTED_VALUE"""),531.79)</f>
        <v>531.79</v>
      </c>
      <c r="C2422" s="1">
        <f ca="1">IFERROR(__xludf.DUMMYFUNCTION("""COMPUTED_VALUE"""),539.77)</f>
        <v>539.77</v>
      </c>
      <c r="D2422" s="1">
        <f ca="1">IFERROR(__xludf.DUMMYFUNCTION("""COMPUTED_VALUE"""),526.7)</f>
        <v>526.70000000000005</v>
      </c>
      <c r="E2422" s="1">
        <f ca="1">IFERROR(__xludf.DUMMYFUNCTION("""COMPUTED_VALUE"""),537.33)</f>
        <v>537.33000000000004</v>
      </c>
      <c r="F2422" s="1">
        <f ca="1">IFERROR(__xludf.DUMMYFUNCTION("""COMPUTED_VALUE"""),13482141)</f>
        <v>13482141</v>
      </c>
    </row>
    <row r="2423" spans="1:6" x14ac:dyDescent="0.35">
      <c r="A2423" s="2">
        <f ca="1">IFERROR(__xludf.DUMMYFUNCTION("""COMPUTED_VALUE"""),45520.6666666666)</f>
        <v>45520.666666666599</v>
      </c>
      <c r="B2423" s="1">
        <f ca="1">IFERROR(__xludf.DUMMYFUNCTION("""COMPUTED_VALUE"""),531.9)</f>
        <v>531.9</v>
      </c>
      <c r="C2423" s="1">
        <f ca="1">IFERROR(__xludf.DUMMYFUNCTION("""COMPUTED_VALUE"""),533.66)</f>
        <v>533.66</v>
      </c>
      <c r="D2423" s="1">
        <f ca="1">IFERROR(__xludf.DUMMYFUNCTION("""COMPUTED_VALUE"""),524.66)</f>
        <v>524.66</v>
      </c>
      <c r="E2423" s="1">
        <f ca="1">IFERROR(__xludf.DUMMYFUNCTION("""COMPUTED_VALUE"""),527.42)</f>
        <v>527.41999999999996</v>
      </c>
      <c r="F2423" s="1">
        <f ca="1">IFERROR(__xludf.DUMMYFUNCTION("""COMPUTED_VALUE"""),14776684)</f>
        <v>14776684</v>
      </c>
    </row>
    <row r="2424" spans="1:6" x14ac:dyDescent="0.35">
      <c r="A2424" s="2">
        <f ca="1">IFERROR(__xludf.DUMMYFUNCTION("""COMPUTED_VALUE"""),45523.6666666666)</f>
        <v>45523.666666666599</v>
      </c>
      <c r="B2424" s="1">
        <f ca="1">IFERROR(__xludf.DUMMYFUNCTION("""COMPUTED_VALUE"""),526.87)</f>
        <v>526.87</v>
      </c>
      <c r="C2424" s="1">
        <f ca="1">IFERROR(__xludf.DUMMYFUNCTION("""COMPUTED_VALUE"""),531.66)</f>
        <v>531.66</v>
      </c>
      <c r="D2424" s="1">
        <f ca="1">IFERROR(__xludf.DUMMYFUNCTION("""COMPUTED_VALUE"""),522.76)</f>
        <v>522.76</v>
      </c>
      <c r="E2424" s="1">
        <f ca="1">IFERROR(__xludf.DUMMYFUNCTION("""COMPUTED_VALUE"""),529.28)</f>
        <v>529.28</v>
      </c>
      <c r="F2424" s="1">
        <f ca="1">IFERROR(__xludf.DUMMYFUNCTION("""COMPUTED_VALUE"""),9879713)</f>
        <v>9879713</v>
      </c>
    </row>
    <row r="2425" spans="1:6" x14ac:dyDescent="0.35">
      <c r="A2425" s="2">
        <f ca="1">IFERROR(__xludf.DUMMYFUNCTION("""COMPUTED_VALUE"""),45524.6666666666)</f>
        <v>45524.666666666599</v>
      </c>
      <c r="B2425" s="1">
        <f ca="1">IFERROR(__xludf.DUMMYFUNCTION("""COMPUTED_VALUE"""),528.35)</f>
        <v>528.35</v>
      </c>
      <c r="C2425" s="1">
        <f ca="1">IFERROR(__xludf.DUMMYFUNCTION("""COMPUTED_VALUE"""),531.09)</f>
        <v>531.09</v>
      </c>
      <c r="D2425" s="1">
        <f ca="1">IFERROR(__xludf.DUMMYFUNCTION("""COMPUTED_VALUE"""),525.88)</f>
        <v>525.88</v>
      </c>
      <c r="E2425" s="1">
        <f ca="1">IFERROR(__xludf.DUMMYFUNCTION("""COMPUTED_VALUE"""),526.73)</f>
        <v>526.73</v>
      </c>
      <c r="F2425" s="1">
        <f ca="1">IFERROR(__xludf.DUMMYFUNCTION("""COMPUTED_VALUE"""),7944391)</f>
        <v>7944391</v>
      </c>
    </row>
    <row r="2426" spans="1:6" x14ac:dyDescent="0.35">
      <c r="A2426" s="2">
        <f ca="1">IFERROR(__xludf.DUMMYFUNCTION("""COMPUTED_VALUE"""),45525.6666666666)</f>
        <v>45525.666666666599</v>
      </c>
      <c r="B2426" s="1">
        <f ca="1">IFERROR(__xludf.DUMMYFUNCTION("""COMPUTED_VALUE"""),527.15)</f>
        <v>527.15</v>
      </c>
      <c r="C2426" s="1">
        <f ca="1">IFERROR(__xludf.DUMMYFUNCTION("""COMPUTED_VALUE"""),539.4)</f>
        <v>539.4</v>
      </c>
      <c r="D2426" s="1">
        <f ca="1">IFERROR(__xludf.DUMMYFUNCTION("""COMPUTED_VALUE"""),526.93)</f>
        <v>526.92999999999995</v>
      </c>
      <c r="E2426" s="1">
        <f ca="1">IFERROR(__xludf.DUMMYFUNCTION("""COMPUTED_VALUE"""),535.16)</f>
        <v>535.16</v>
      </c>
      <c r="F2426" s="1">
        <f ca="1">IFERROR(__xludf.DUMMYFUNCTION("""COMPUTED_VALUE"""),13423292)</f>
        <v>13423292</v>
      </c>
    </row>
    <row r="2427" spans="1:6" x14ac:dyDescent="0.35">
      <c r="A2427" s="2">
        <f ca="1">IFERROR(__xludf.DUMMYFUNCTION("""COMPUTED_VALUE"""),45526.6666666666)</f>
        <v>45526.666666666599</v>
      </c>
      <c r="B2427" s="1">
        <f ca="1">IFERROR(__xludf.DUMMYFUNCTION("""COMPUTED_VALUE"""),537)</f>
        <v>537</v>
      </c>
      <c r="C2427" s="1">
        <f ca="1">IFERROR(__xludf.DUMMYFUNCTION("""COMPUTED_VALUE"""),544.23)</f>
        <v>544.23</v>
      </c>
      <c r="D2427" s="1">
        <f ca="1">IFERROR(__xludf.DUMMYFUNCTION("""COMPUTED_VALUE"""),528.59)</f>
        <v>528.59</v>
      </c>
      <c r="E2427" s="1">
        <f ca="1">IFERROR(__xludf.DUMMYFUNCTION("""COMPUTED_VALUE"""),531.93)</f>
        <v>531.92999999999995</v>
      </c>
      <c r="F2427" s="1">
        <f ca="1">IFERROR(__xludf.DUMMYFUNCTION("""COMPUTED_VALUE"""),15708292)</f>
        <v>15708292</v>
      </c>
    </row>
    <row r="2428" spans="1:6" x14ac:dyDescent="0.35">
      <c r="A2428" s="2">
        <f ca="1">IFERROR(__xludf.DUMMYFUNCTION("""COMPUTED_VALUE"""),45527.6666666666)</f>
        <v>45527.666666666599</v>
      </c>
      <c r="B2428" s="1">
        <f ca="1">IFERROR(__xludf.DUMMYFUNCTION("""COMPUTED_VALUE"""),536.92)</f>
        <v>536.91999999999996</v>
      </c>
      <c r="C2428" s="1">
        <f ca="1">IFERROR(__xludf.DUMMYFUNCTION("""COMPUTED_VALUE"""),539.87)</f>
        <v>539.87</v>
      </c>
      <c r="D2428" s="1">
        <f ca="1">IFERROR(__xludf.DUMMYFUNCTION("""COMPUTED_VALUE"""),525.06)</f>
        <v>525.05999999999995</v>
      </c>
      <c r="E2428" s="1">
        <f ca="1">IFERROR(__xludf.DUMMYFUNCTION("""COMPUTED_VALUE"""),528)</f>
        <v>528</v>
      </c>
      <c r="F2428" s="1">
        <f ca="1">IFERROR(__xludf.DUMMYFUNCTION("""COMPUTED_VALUE"""),11323936)</f>
        <v>11323936</v>
      </c>
    </row>
    <row r="2429" spans="1:6" x14ac:dyDescent="0.35">
      <c r="A2429" s="2">
        <f ca="1">IFERROR(__xludf.DUMMYFUNCTION("""COMPUTED_VALUE"""),45530.6666666666)</f>
        <v>45530.666666666599</v>
      </c>
      <c r="B2429" s="1">
        <f ca="1">IFERROR(__xludf.DUMMYFUNCTION("""COMPUTED_VALUE"""),527.6)</f>
        <v>527.6</v>
      </c>
      <c r="C2429" s="1">
        <f ca="1">IFERROR(__xludf.DUMMYFUNCTION("""COMPUTED_VALUE"""),528)</f>
        <v>528</v>
      </c>
      <c r="D2429" s="1">
        <f ca="1">IFERROR(__xludf.DUMMYFUNCTION("""COMPUTED_VALUE"""),514.95)</f>
        <v>514.95000000000005</v>
      </c>
      <c r="E2429" s="1">
        <f ca="1">IFERROR(__xludf.DUMMYFUNCTION("""COMPUTED_VALUE"""),521.12)</f>
        <v>521.12</v>
      </c>
      <c r="F2429" s="1">
        <f ca="1">IFERROR(__xludf.DUMMYFUNCTION("""COMPUTED_VALUE"""),9584002)</f>
        <v>9584002</v>
      </c>
    </row>
    <row r="2430" spans="1:6" x14ac:dyDescent="0.35">
      <c r="A2430" s="2">
        <f ca="1">IFERROR(__xludf.DUMMYFUNCTION("""COMPUTED_VALUE"""),45531.6666666666)</f>
        <v>45531.666666666599</v>
      </c>
      <c r="B2430" s="1">
        <f ca="1">IFERROR(__xludf.DUMMYFUNCTION("""COMPUTED_VALUE"""),518.98)</f>
        <v>518.98</v>
      </c>
      <c r="C2430" s="1">
        <f ca="1">IFERROR(__xludf.DUMMYFUNCTION("""COMPUTED_VALUE"""),524.01)</f>
        <v>524.01</v>
      </c>
      <c r="D2430" s="1">
        <f ca="1">IFERROR(__xludf.DUMMYFUNCTION("""COMPUTED_VALUE"""),515.31)</f>
        <v>515.30999999999995</v>
      </c>
      <c r="E2430" s="1">
        <f ca="1">IFERROR(__xludf.DUMMYFUNCTION("""COMPUTED_VALUE"""),519.1)</f>
        <v>519.1</v>
      </c>
      <c r="F2430" s="1">
        <f ca="1">IFERROR(__xludf.DUMMYFUNCTION("""COMPUTED_VALUE"""),6282720)</f>
        <v>6282720</v>
      </c>
    </row>
    <row r="2431" spans="1:6" x14ac:dyDescent="0.35">
      <c r="A2431" s="2">
        <f ca="1">IFERROR(__xludf.DUMMYFUNCTION("""COMPUTED_VALUE"""),45532.6666666666)</f>
        <v>45532.666666666599</v>
      </c>
      <c r="B2431" s="1">
        <f ca="1">IFERROR(__xludf.DUMMYFUNCTION("""COMPUTED_VALUE"""),517.67)</f>
        <v>517.66999999999996</v>
      </c>
      <c r="C2431" s="1">
        <f ca="1">IFERROR(__xludf.DUMMYFUNCTION("""COMPUTED_VALUE"""),521.09)</f>
        <v>521.09</v>
      </c>
      <c r="D2431" s="1">
        <f ca="1">IFERROR(__xludf.DUMMYFUNCTION("""COMPUTED_VALUE"""),512.45)</f>
        <v>512.45000000000005</v>
      </c>
      <c r="E2431" s="1">
        <f ca="1">IFERROR(__xludf.DUMMYFUNCTION("""COMPUTED_VALUE"""),516.78)</f>
        <v>516.78</v>
      </c>
      <c r="F2431" s="1">
        <f ca="1">IFERROR(__xludf.DUMMYFUNCTION("""COMPUTED_VALUE"""),9106077)</f>
        <v>9106077</v>
      </c>
    </row>
    <row r="2432" spans="1:6" x14ac:dyDescent="0.35">
      <c r="A2432" s="2">
        <f ca="1">IFERROR(__xludf.DUMMYFUNCTION("""COMPUTED_VALUE"""),45533.6666666666)</f>
        <v>45533.666666666599</v>
      </c>
      <c r="B2432" s="1">
        <f ca="1">IFERROR(__xludf.DUMMYFUNCTION("""COMPUTED_VALUE"""),519.05)</f>
        <v>519.04999999999995</v>
      </c>
      <c r="C2432" s="1">
        <f ca="1">IFERROR(__xludf.DUMMYFUNCTION("""COMPUTED_VALUE"""),527.2)</f>
        <v>527.20000000000005</v>
      </c>
      <c r="D2432" s="1">
        <f ca="1">IFERROR(__xludf.DUMMYFUNCTION("""COMPUTED_VALUE"""),515.68)</f>
        <v>515.67999999999995</v>
      </c>
      <c r="E2432" s="1">
        <f ca="1">IFERROR(__xludf.DUMMYFUNCTION("""COMPUTED_VALUE"""),518.22)</f>
        <v>518.22</v>
      </c>
      <c r="F2432" s="1">
        <f ca="1">IFERROR(__xludf.DUMMYFUNCTION("""COMPUTED_VALUE"""),8317424)</f>
        <v>8317424</v>
      </c>
    </row>
    <row r="2433" spans="1:6" x14ac:dyDescent="0.35">
      <c r="A2433" s="2">
        <f ca="1">IFERROR(__xludf.DUMMYFUNCTION("""COMPUTED_VALUE"""),45534.6666666666)</f>
        <v>45534.666666666599</v>
      </c>
      <c r="B2433" s="1">
        <f ca="1">IFERROR(__xludf.DUMMYFUNCTION("""COMPUTED_VALUE"""),521.35)</f>
        <v>521.35</v>
      </c>
      <c r="C2433" s="1">
        <f ca="1">IFERROR(__xludf.DUMMYFUNCTION("""COMPUTED_VALUE"""),523.54)</f>
        <v>523.54</v>
      </c>
      <c r="D2433" s="1">
        <f ca="1">IFERROR(__xludf.DUMMYFUNCTION("""COMPUTED_VALUE"""),515.2)</f>
        <v>515.20000000000005</v>
      </c>
      <c r="E2433" s="1">
        <f ca="1">IFERROR(__xludf.DUMMYFUNCTION("""COMPUTED_VALUE"""),521.31)</f>
        <v>521.30999999999995</v>
      </c>
      <c r="F2433" s="1">
        <f ca="1">IFERROR(__xludf.DUMMYFUNCTION("""COMPUTED_VALUE"""),9157541)</f>
        <v>9157541</v>
      </c>
    </row>
    <row r="2434" spans="1:6" x14ac:dyDescent="0.35">
      <c r="A2434" s="2">
        <f ca="1">IFERROR(__xludf.DUMMYFUNCTION("""COMPUTED_VALUE"""),45538.6666666666)</f>
        <v>45538.666666666599</v>
      </c>
      <c r="B2434" s="1">
        <f ca="1">IFERROR(__xludf.DUMMYFUNCTION("""COMPUTED_VALUE"""),519.64)</f>
        <v>519.64</v>
      </c>
      <c r="C2434" s="1">
        <f ca="1">IFERROR(__xludf.DUMMYFUNCTION("""COMPUTED_VALUE"""),525.49)</f>
        <v>525.49</v>
      </c>
      <c r="D2434" s="1">
        <f ca="1">IFERROR(__xludf.DUMMYFUNCTION("""COMPUTED_VALUE"""),508.62)</f>
        <v>508.62</v>
      </c>
      <c r="E2434" s="1">
        <f ca="1">IFERROR(__xludf.DUMMYFUNCTION("""COMPUTED_VALUE"""),511.76)</f>
        <v>511.76</v>
      </c>
      <c r="F2434" s="1">
        <f ca="1">IFERROR(__xludf.DUMMYFUNCTION("""COMPUTED_VALUE"""),12459113)</f>
        <v>12459113</v>
      </c>
    </row>
    <row r="2435" spans="1:6" x14ac:dyDescent="0.35">
      <c r="A2435" s="2">
        <f ca="1">IFERROR(__xludf.DUMMYFUNCTION("""COMPUTED_VALUE"""),45539.6666666666)</f>
        <v>45539.666666666599</v>
      </c>
      <c r="B2435" s="1">
        <f ca="1">IFERROR(__xludf.DUMMYFUNCTION("""COMPUTED_VALUE"""),506.07)</f>
        <v>506.07</v>
      </c>
      <c r="C2435" s="1">
        <f ca="1">IFERROR(__xludf.DUMMYFUNCTION("""COMPUTED_VALUE"""),516.59)</f>
        <v>516.59</v>
      </c>
      <c r="D2435" s="1">
        <f ca="1">IFERROR(__xludf.DUMMYFUNCTION("""COMPUTED_VALUE"""),504.07)</f>
        <v>504.07</v>
      </c>
      <c r="E2435" s="1">
        <f ca="1">IFERROR(__xludf.DUMMYFUNCTION("""COMPUTED_VALUE"""),512.74)</f>
        <v>512.74</v>
      </c>
      <c r="F2435" s="1">
        <f ca="1">IFERROR(__xludf.DUMMYFUNCTION("""COMPUTED_VALUE"""),8335207)</f>
        <v>8335207</v>
      </c>
    </row>
    <row r="2436" spans="1:6" x14ac:dyDescent="0.35">
      <c r="A2436" s="2">
        <f ca="1">IFERROR(__xludf.DUMMYFUNCTION("""COMPUTED_VALUE"""),45540.6666666666)</f>
        <v>45540.666666666599</v>
      </c>
      <c r="B2436" s="1">
        <f ca="1">IFERROR(__xludf.DUMMYFUNCTION("""COMPUTED_VALUE"""),511.72)</f>
        <v>511.72</v>
      </c>
      <c r="C2436" s="1">
        <f ca="1">IFERROR(__xludf.DUMMYFUNCTION("""COMPUTED_VALUE"""),521.63)</f>
        <v>521.63</v>
      </c>
      <c r="D2436" s="1">
        <f ca="1">IFERROR(__xludf.DUMMYFUNCTION("""COMPUTED_VALUE"""),511.15)</f>
        <v>511.15</v>
      </c>
      <c r="E2436" s="1">
        <f ca="1">IFERROR(__xludf.DUMMYFUNCTION("""COMPUTED_VALUE"""),516.86)</f>
        <v>516.86</v>
      </c>
      <c r="F2436" s="1">
        <f ca="1">IFERROR(__xludf.DUMMYFUNCTION("""COMPUTED_VALUE"""),8640888)</f>
        <v>8640888</v>
      </c>
    </row>
    <row r="2437" spans="1:6" x14ac:dyDescent="0.35">
      <c r="A2437" s="2">
        <f ca="1">IFERROR(__xludf.DUMMYFUNCTION("""COMPUTED_VALUE"""),45541.6666666666)</f>
        <v>45541.666666666599</v>
      </c>
      <c r="B2437" s="1">
        <f ca="1">IFERROR(__xludf.DUMMYFUNCTION("""COMPUTED_VALUE"""),521.88)</f>
        <v>521.88</v>
      </c>
      <c r="C2437" s="1">
        <f ca="1">IFERROR(__xludf.DUMMYFUNCTION("""COMPUTED_VALUE"""),524.58)</f>
        <v>524.58000000000004</v>
      </c>
      <c r="D2437" s="1">
        <f ca="1">IFERROR(__xludf.DUMMYFUNCTION("""COMPUTED_VALUE"""),498.25)</f>
        <v>498.25</v>
      </c>
      <c r="E2437" s="1">
        <f ca="1">IFERROR(__xludf.DUMMYFUNCTION("""COMPUTED_VALUE"""),500.27)</f>
        <v>500.27</v>
      </c>
      <c r="F2437" s="1">
        <f ca="1">IFERROR(__xludf.DUMMYFUNCTION("""COMPUTED_VALUE"""),14744521)</f>
        <v>14744521</v>
      </c>
    </row>
    <row r="2438" spans="1:6" x14ac:dyDescent="0.35">
      <c r="A2438" s="2">
        <f ca="1">IFERROR(__xludf.DUMMYFUNCTION("""COMPUTED_VALUE"""),45544.6666666666)</f>
        <v>45544.666666666599</v>
      </c>
      <c r="B2438" s="1">
        <f ca="1">IFERROR(__xludf.DUMMYFUNCTION("""COMPUTED_VALUE"""),506.16)</f>
        <v>506.16</v>
      </c>
      <c r="C2438" s="1">
        <f ca="1">IFERROR(__xludf.DUMMYFUNCTION("""COMPUTED_VALUE"""),511.33)</f>
        <v>511.33</v>
      </c>
      <c r="D2438" s="1">
        <f ca="1">IFERROR(__xludf.DUMMYFUNCTION("""COMPUTED_VALUE"""),502.08)</f>
        <v>502.08</v>
      </c>
      <c r="E2438" s="1">
        <f ca="1">IFERROR(__xludf.DUMMYFUNCTION("""COMPUTED_VALUE"""),504.79)</f>
        <v>504.79</v>
      </c>
      <c r="F2438" s="1">
        <f ca="1">IFERROR(__xludf.DUMMYFUNCTION("""COMPUTED_VALUE"""),11047828)</f>
        <v>11047828</v>
      </c>
    </row>
    <row r="2439" spans="1:6" x14ac:dyDescent="0.35">
      <c r="A2439" s="2">
        <f ca="1">IFERROR(__xludf.DUMMYFUNCTION("""COMPUTED_VALUE"""),45545.6666666666)</f>
        <v>45545.666666666599</v>
      </c>
      <c r="B2439" s="1">
        <f ca="1">IFERROR(__xludf.DUMMYFUNCTION("""COMPUTED_VALUE"""),508.16)</f>
        <v>508.16</v>
      </c>
      <c r="C2439" s="1">
        <f ca="1">IFERROR(__xludf.DUMMYFUNCTION("""COMPUTED_VALUE"""),514.18)</f>
        <v>514.17999999999995</v>
      </c>
      <c r="D2439" s="1">
        <f ca="1">IFERROR(__xludf.DUMMYFUNCTION("""COMPUTED_VALUE"""),500.03)</f>
        <v>500.03</v>
      </c>
      <c r="E2439" s="1">
        <f ca="1">IFERROR(__xludf.DUMMYFUNCTION("""COMPUTED_VALUE"""),504.79)</f>
        <v>504.79</v>
      </c>
      <c r="F2439" s="1">
        <f ca="1">IFERROR(__xludf.DUMMYFUNCTION("""COMPUTED_VALUE"""),9899022)</f>
        <v>9899022</v>
      </c>
    </row>
    <row r="2440" spans="1:6" x14ac:dyDescent="0.35">
      <c r="A2440" s="2">
        <f ca="1">IFERROR(__xludf.DUMMYFUNCTION("""COMPUTED_VALUE"""),45546.6666666666)</f>
        <v>45546.666666666599</v>
      </c>
      <c r="B2440" s="1">
        <f ca="1">IFERROR(__xludf.DUMMYFUNCTION("""COMPUTED_VALUE"""),507.01)</f>
        <v>507.01</v>
      </c>
      <c r="C2440" s="1">
        <f ca="1">IFERROR(__xludf.DUMMYFUNCTION("""COMPUTED_VALUE"""),513.12)</f>
        <v>513.12</v>
      </c>
      <c r="D2440" s="1">
        <f ca="1">IFERROR(__xludf.DUMMYFUNCTION("""COMPUTED_VALUE"""),495.6)</f>
        <v>495.6</v>
      </c>
      <c r="E2440" s="1">
        <f ca="1">IFERROR(__xludf.DUMMYFUNCTION("""COMPUTED_VALUE"""),511.83)</f>
        <v>511.83</v>
      </c>
      <c r="F2440" s="1">
        <f ca="1">IFERROR(__xludf.DUMMYFUNCTION("""COMPUTED_VALUE"""),10782532)</f>
        <v>10782532</v>
      </c>
    </row>
    <row r="2441" spans="1:6" x14ac:dyDescent="0.35">
      <c r="A2441" s="2">
        <f ca="1">IFERROR(__xludf.DUMMYFUNCTION("""COMPUTED_VALUE"""),45547.6666666666)</f>
        <v>45547.666666666599</v>
      </c>
      <c r="B2441" s="1">
        <f ca="1">IFERROR(__xludf.DUMMYFUNCTION("""COMPUTED_VALUE"""),517.05)</f>
        <v>517.04999999999995</v>
      </c>
      <c r="C2441" s="1">
        <f ca="1">IFERROR(__xludf.DUMMYFUNCTION("""COMPUTED_VALUE"""),526.71)</f>
        <v>526.71</v>
      </c>
      <c r="D2441" s="1">
        <f ca="1">IFERROR(__xludf.DUMMYFUNCTION("""COMPUTED_VALUE"""),515.22)</f>
        <v>515.22</v>
      </c>
      <c r="E2441" s="1">
        <f ca="1">IFERROR(__xludf.DUMMYFUNCTION("""COMPUTED_VALUE"""),525.6)</f>
        <v>525.6</v>
      </c>
      <c r="F2441" s="1">
        <f ca="1">IFERROR(__xludf.DUMMYFUNCTION("""COMPUTED_VALUE"""),11993342)</f>
        <v>11993342</v>
      </c>
    </row>
    <row r="2442" spans="1:6" x14ac:dyDescent="0.35">
      <c r="A2442" s="2">
        <f ca="1">IFERROR(__xludf.DUMMYFUNCTION("""COMPUTED_VALUE"""),45548.6666666666)</f>
        <v>45548.666666666599</v>
      </c>
      <c r="B2442" s="1">
        <f ca="1">IFERROR(__xludf.DUMMYFUNCTION("""COMPUTED_VALUE"""),520.34)</f>
        <v>520.34</v>
      </c>
      <c r="C2442" s="1">
        <f ca="1">IFERROR(__xludf.DUMMYFUNCTION("""COMPUTED_VALUE"""),527.58)</f>
        <v>527.58000000000004</v>
      </c>
      <c r="D2442" s="1">
        <f ca="1">IFERROR(__xludf.DUMMYFUNCTION("""COMPUTED_VALUE"""),517.11)</f>
        <v>517.11</v>
      </c>
      <c r="E2442" s="1">
        <f ca="1">IFERROR(__xludf.DUMMYFUNCTION("""COMPUTED_VALUE"""),524.62)</f>
        <v>524.62</v>
      </c>
      <c r="F2442" s="1">
        <f ca="1">IFERROR(__xludf.DUMMYFUNCTION("""COMPUTED_VALUE"""),10321422)</f>
        <v>10321422</v>
      </c>
    </row>
    <row r="2443" spans="1:6" x14ac:dyDescent="0.35">
      <c r="A2443" s="2">
        <f ca="1">IFERROR(__xludf.DUMMYFUNCTION("""COMPUTED_VALUE"""),45551.6666666666)</f>
        <v>45551.666666666599</v>
      </c>
      <c r="B2443" s="1">
        <f ca="1">IFERROR(__xludf.DUMMYFUNCTION("""COMPUTED_VALUE"""),524.54)</f>
        <v>524.54</v>
      </c>
      <c r="C2443" s="1">
        <f ca="1">IFERROR(__xludf.DUMMYFUNCTION("""COMPUTED_VALUE"""),534.1)</f>
        <v>534.1</v>
      </c>
      <c r="D2443" s="1">
        <f ca="1">IFERROR(__xludf.DUMMYFUNCTION("""COMPUTED_VALUE"""),517.4)</f>
        <v>517.4</v>
      </c>
      <c r="E2443" s="1">
        <f ca="1">IFERROR(__xludf.DUMMYFUNCTION("""COMPUTED_VALUE"""),533.28)</f>
        <v>533.28</v>
      </c>
      <c r="F2443" s="1">
        <f ca="1">IFERROR(__xludf.DUMMYFUNCTION("""COMPUTED_VALUE"""),9527646)</f>
        <v>9527646</v>
      </c>
    </row>
    <row r="2444" spans="1:6" x14ac:dyDescent="0.35">
      <c r="A2444" s="2">
        <f ca="1">IFERROR(__xludf.DUMMYFUNCTION("""COMPUTED_VALUE"""),45552.6666666666)</f>
        <v>45552.666666666599</v>
      </c>
      <c r="B2444" s="1">
        <f ca="1">IFERROR(__xludf.DUMMYFUNCTION("""COMPUTED_VALUE"""),537.6)</f>
        <v>537.6</v>
      </c>
      <c r="C2444" s="1">
        <f ca="1">IFERROR(__xludf.DUMMYFUNCTION("""COMPUTED_VALUE"""),542.1)</f>
        <v>542.1</v>
      </c>
      <c r="D2444" s="1">
        <f ca="1">IFERROR(__xludf.DUMMYFUNCTION("""COMPUTED_VALUE"""),530.57)</f>
        <v>530.57000000000005</v>
      </c>
      <c r="E2444" s="1">
        <f ca="1">IFERROR(__xludf.DUMMYFUNCTION("""COMPUTED_VALUE"""),536.32)</f>
        <v>536.32000000000005</v>
      </c>
      <c r="F2444" s="1">
        <f ca="1">IFERROR(__xludf.DUMMYFUNCTION("""COMPUTED_VALUE"""),11690779)</f>
        <v>11690779</v>
      </c>
    </row>
    <row r="2445" spans="1:6" x14ac:dyDescent="0.35">
      <c r="A2445" s="2">
        <f ca="1">IFERROR(__xludf.DUMMYFUNCTION("""COMPUTED_VALUE"""),45553.6666666666)</f>
        <v>45553.666666666599</v>
      </c>
      <c r="B2445" s="1">
        <f ca="1">IFERROR(__xludf.DUMMYFUNCTION("""COMPUTED_VALUE"""),537.07)</f>
        <v>537.07000000000005</v>
      </c>
      <c r="C2445" s="1">
        <f ca="1">IFERROR(__xludf.DUMMYFUNCTION("""COMPUTED_VALUE"""),544.2)</f>
        <v>544.20000000000005</v>
      </c>
      <c r="D2445" s="1">
        <f ca="1">IFERROR(__xludf.DUMMYFUNCTION("""COMPUTED_VALUE"""),533.9)</f>
        <v>533.9</v>
      </c>
      <c r="E2445" s="1">
        <f ca="1">IFERROR(__xludf.DUMMYFUNCTION("""COMPUTED_VALUE"""),537.95)</f>
        <v>537.95000000000005</v>
      </c>
      <c r="F2445" s="1">
        <f ca="1">IFERROR(__xludf.DUMMYFUNCTION("""COMPUTED_VALUE"""),10323537)</f>
        <v>10323537</v>
      </c>
    </row>
    <row r="2446" spans="1:6" x14ac:dyDescent="0.35">
      <c r="A2446" s="2">
        <f ca="1">IFERROR(__xludf.DUMMYFUNCTION("""COMPUTED_VALUE"""),45554.6666666666)</f>
        <v>45554.666666666599</v>
      </c>
      <c r="B2446" s="1">
        <f ca="1">IFERROR(__xludf.DUMMYFUNCTION("""COMPUTED_VALUE"""),550)</f>
        <v>550</v>
      </c>
      <c r="C2446" s="1">
        <f ca="1">IFERROR(__xludf.DUMMYFUNCTION("""COMPUTED_VALUE"""),562.07)</f>
        <v>562.07000000000005</v>
      </c>
      <c r="D2446" s="1">
        <f ca="1">IFERROR(__xludf.DUMMYFUNCTION("""COMPUTED_VALUE"""),546.52)</f>
        <v>546.52</v>
      </c>
      <c r="E2446" s="1">
        <f ca="1">IFERROR(__xludf.DUMMYFUNCTION("""COMPUTED_VALUE"""),559.1)</f>
        <v>559.1</v>
      </c>
      <c r="F2446" s="1">
        <f ca="1">IFERROR(__xludf.DUMMYFUNCTION("""COMPUTED_VALUE"""),15646951)</f>
        <v>15646951</v>
      </c>
    </row>
    <row r="2447" spans="1:6" x14ac:dyDescent="0.35">
      <c r="A2447" s="2">
        <f ca="1">IFERROR(__xludf.DUMMYFUNCTION("""COMPUTED_VALUE"""),45555.6666666666)</f>
        <v>45555.666666666599</v>
      </c>
      <c r="B2447" s="1">
        <f ca="1">IFERROR(__xludf.DUMMYFUNCTION("""COMPUTED_VALUE"""),560)</f>
        <v>560</v>
      </c>
      <c r="C2447" s="1">
        <f ca="1">IFERROR(__xludf.DUMMYFUNCTION("""COMPUTED_VALUE"""),564.5)</f>
        <v>564.5</v>
      </c>
      <c r="D2447" s="1">
        <f ca="1">IFERROR(__xludf.DUMMYFUNCTION("""COMPUTED_VALUE"""),556.3)</f>
        <v>556.29999999999995</v>
      </c>
      <c r="E2447" s="1">
        <f ca="1">IFERROR(__xludf.DUMMYFUNCTION("""COMPUTED_VALUE"""),561.35)</f>
        <v>561.35</v>
      </c>
      <c r="F2447" s="1">
        <f ca="1">IFERROR(__xludf.DUMMYFUNCTION("""COMPUTED_VALUE"""),22066817)</f>
        <v>22066817</v>
      </c>
    </row>
    <row r="2448" spans="1:6" x14ac:dyDescent="0.35">
      <c r="A2448" s="2">
        <f ca="1">IFERROR(__xludf.DUMMYFUNCTION("""COMPUTED_VALUE"""),45558.6666666666)</f>
        <v>45558.666666666599</v>
      </c>
      <c r="B2448" s="1">
        <f ca="1">IFERROR(__xludf.DUMMYFUNCTION("""COMPUTED_VALUE"""),569.5)</f>
        <v>569.5</v>
      </c>
      <c r="C2448" s="1">
        <f ca="1">IFERROR(__xludf.DUMMYFUNCTION("""COMPUTED_VALUE"""),573.98)</f>
        <v>573.98</v>
      </c>
      <c r="D2448" s="1">
        <f ca="1">IFERROR(__xludf.DUMMYFUNCTION("""COMPUTED_VALUE"""),562.41)</f>
        <v>562.41</v>
      </c>
      <c r="E2448" s="1">
        <f ca="1">IFERROR(__xludf.DUMMYFUNCTION("""COMPUTED_VALUE"""),564.41)</f>
        <v>564.41</v>
      </c>
      <c r="F2448" s="1">
        <f ca="1">IFERROR(__xludf.DUMMYFUNCTION("""COMPUTED_VALUE"""),12830669)</f>
        <v>12830669</v>
      </c>
    </row>
    <row r="2449" spans="1:6" x14ac:dyDescent="0.35">
      <c r="A2449" s="2">
        <f ca="1">IFERROR(__xludf.DUMMYFUNCTION("""COMPUTED_VALUE"""),45559.6666666666)</f>
        <v>45559.666666666599</v>
      </c>
      <c r="B2449" s="1">
        <f ca="1">IFERROR(__xludf.DUMMYFUNCTION("""COMPUTED_VALUE"""),566.68)</f>
        <v>566.67999999999995</v>
      </c>
      <c r="C2449" s="1">
        <f ca="1">IFERROR(__xludf.DUMMYFUNCTION("""COMPUTED_VALUE"""),567.75)</f>
        <v>567.75</v>
      </c>
      <c r="D2449" s="1">
        <f ca="1">IFERROR(__xludf.DUMMYFUNCTION("""COMPUTED_VALUE"""),554.19)</f>
        <v>554.19000000000005</v>
      </c>
      <c r="E2449" s="1">
        <f ca="1">IFERROR(__xludf.DUMMYFUNCTION("""COMPUTED_VALUE"""),563.33)</f>
        <v>563.33000000000004</v>
      </c>
      <c r="F2449" s="1">
        <f ca="1">IFERROR(__xludf.DUMMYFUNCTION("""COMPUTED_VALUE"""),12992956)</f>
        <v>12992956</v>
      </c>
    </row>
    <row r="2450" spans="1:6" x14ac:dyDescent="0.35">
      <c r="A2450" s="2">
        <f ca="1">IFERROR(__xludf.DUMMYFUNCTION("""COMPUTED_VALUE"""),45560.6666666666)</f>
        <v>45560.666666666599</v>
      </c>
      <c r="B2450" s="1">
        <f ca="1">IFERROR(__xludf.DUMMYFUNCTION("""COMPUTED_VALUE"""),564.05)</f>
        <v>564.04999999999995</v>
      </c>
      <c r="C2450" s="1">
        <f ca="1">IFERROR(__xludf.DUMMYFUNCTION("""COMPUTED_VALUE"""),576.88)</f>
        <v>576.88</v>
      </c>
      <c r="D2450" s="1">
        <f ca="1">IFERROR(__xludf.DUMMYFUNCTION("""COMPUTED_VALUE"""),563.72)</f>
        <v>563.72</v>
      </c>
      <c r="E2450" s="1">
        <f ca="1">IFERROR(__xludf.DUMMYFUNCTION("""COMPUTED_VALUE"""),568.31)</f>
        <v>568.30999999999995</v>
      </c>
      <c r="F2450" s="1">
        <f ca="1">IFERROR(__xludf.DUMMYFUNCTION("""COMPUTED_VALUE"""),16543350)</f>
        <v>16543350</v>
      </c>
    </row>
    <row r="2451" spans="1:6" x14ac:dyDescent="0.35">
      <c r="A2451" s="2">
        <f ca="1">IFERROR(__xludf.DUMMYFUNCTION("""COMPUTED_VALUE"""),45561.6666666666)</f>
        <v>45561.666666666599</v>
      </c>
      <c r="B2451" s="1">
        <f ca="1">IFERROR(__xludf.DUMMYFUNCTION("""COMPUTED_VALUE"""),575.73)</f>
        <v>575.73</v>
      </c>
      <c r="C2451" s="1">
        <f ca="1">IFERROR(__xludf.DUMMYFUNCTION("""COMPUTED_VALUE"""),577.4)</f>
        <v>577.4</v>
      </c>
      <c r="D2451" s="1">
        <f ca="1">IFERROR(__xludf.DUMMYFUNCTION("""COMPUTED_VALUE"""),562.35)</f>
        <v>562.35</v>
      </c>
      <c r="E2451" s="1">
        <f ca="1">IFERROR(__xludf.DUMMYFUNCTION("""COMPUTED_VALUE"""),567.84)</f>
        <v>567.84</v>
      </c>
      <c r="F2451" s="1">
        <f ca="1">IFERROR(__xludf.DUMMYFUNCTION("""COMPUTED_VALUE"""),14400787)</f>
        <v>14400787</v>
      </c>
    </row>
    <row r="2452" spans="1:6" x14ac:dyDescent="0.35">
      <c r="A2452" s="2">
        <f ca="1">IFERROR(__xludf.DUMMYFUNCTION("""COMPUTED_VALUE"""),45562.6666666666)</f>
        <v>45562.666666666599</v>
      </c>
      <c r="B2452" s="1">
        <f ca="1">IFERROR(__xludf.DUMMYFUNCTION("""COMPUTED_VALUE"""),570.1)</f>
        <v>570.1</v>
      </c>
      <c r="C2452" s="1">
        <f ca="1">IFERROR(__xludf.DUMMYFUNCTION("""COMPUTED_VALUE"""),570.84)</f>
        <v>570.84</v>
      </c>
      <c r="D2452" s="1">
        <f ca="1">IFERROR(__xludf.DUMMYFUNCTION("""COMPUTED_VALUE"""),564.51)</f>
        <v>564.51</v>
      </c>
      <c r="E2452" s="1">
        <f ca="1">IFERROR(__xludf.DUMMYFUNCTION("""COMPUTED_VALUE"""),567.36)</f>
        <v>567.36</v>
      </c>
      <c r="F2452" s="1">
        <f ca="1">IFERROR(__xludf.DUMMYFUNCTION("""COMPUTED_VALUE"""),9398367)</f>
        <v>9398367</v>
      </c>
    </row>
    <row r="2453" spans="1:6" x14ac:dyDescent="0.35">
      <c r="A2453" s="2">
        <f ca="1">IFERROR(__xludf.DUMMYFUNCTION("""COMPUTED_VALUE"""),45565.6666666666)</f>
        <v>45565.666666666599</v>
      </c>
      <c r="B2453" s="1">
        <f ca="1">IFERROR(__xludf.DUMMYFUNCTION("""COMPUTED_VALUE"""),567.7)</f>
        <v>567.70000000000005</v>
      </c>
      <c r="C2453" s="1">
        <f ca="1">IFERROR(__xludf.DUMMYFUNCTION("""COMPUTED_VALUE"""),574.68)</f>
        <v>574.67999999999995</v>
      </c>
      <c r="D2453" s="1">
        <f ca="1">IFERROR(__xludf.DUMMYFUNCTION("""COMPUTED_VALUE"""),564.8)</f>
        <v>564.79999999999995</v>
      </c>
      <c r="E2453" s="1">
        <f ca="1">IFERROR(__xludf.DUMMYFUNCTION("""COMPUTED_VALUE"""),572.44)</f>
        <v>572.44000000000005</v>
      </c>
      <c r="F2453" s="1">
        <f ca="1">IFERROR(__xludf.DUMMYFUNCTION("""COMPUTED_VALUE"""),12807206)</f>
        <v>12807206</v>
      </c>
    </row>
    <row r="2454" spans="1:6" x14ac:dyDescent="0.35">
      <c r="A2454" s="2">
        <f ca="1">IFERROR(__xludf.DUMMYFUNCTION("""COMPUTED_VALUE"""),45566.6666666666)</f>
        <v>45566.666666666599</v>
      </c>
      <c r="B2454" s="1">
        <f ca="1">IFERROR(__xludf.DUMMYFUNCTION("""COMPUTED_VALUE"""),577.98)</f>
        <v>577.98</v>
      </c>
      <c r="C2454" s="1">
        <f ca="1">IFERROR(__xludf.DUMMYFUNCTION("""COMPUTED_VALUE"""),583.04)</f>
        <v>583.04</v>
      </c>
      <c r="D2454" s="1">
        <f ca="1">IFERROR(__xludf.DUMMYFUNCTION("""COMPUTED_VALUE"""),570.1)</f>
        <v>570.1</v>
      </c>
      <c r="E2454" s="1">
        <f ca="1">IFERROR(__xludf.DUMMYFUNCTION("""COMPUTED_VALUE"""),576.47)</f>
        <v>576.47</v>
      </c>
      <c r="F2454" s="1">
        <f ca="1">IFERROR(__xludf.DUMMYFUNCTION("""COMPUTED_VALUE"""),15259274)</f>
        <v>15259274</v>
      </c>
    </row>
    <row r="2455" spans="1:6" x14ac:dyDescent="0.35">
      <c r="A2455" s="2">
        <f ca="1">IFERROR(__xludf.DUMMYFUNCTION("""COMPUTED_VALUE"""),45567.6666666666)</f>
        <v>45567.666666666599</v>
      </c>
      <c r="B2455" s="1">
        <f ca="1">IFERROR(__xludf.DUMMYFUNCTION("""COMPUTED_VALUE"""),574.86)</f>
        <v>574.86</v>
      </c>
      <c r="C2455" s="1">
        <f ca="1">IFERROR(__xludf.DUMMYFUNCTION("""COMPUTED_VALUE"""),576)</f>
        <v>576</v>
      </c>
      <c r="D2455" s="1">
        <f ca="1">IFERROR(__xludf.DUMMYFUNCTION("""COMPUTED_VALUE"""),569.34)</f>
        <v>569.34</v>
      </c>
      <c r="E2455" s="1">
        <f ca="1">IFERROR(__xludf.DUMMYFUNCTION("""COMPUTED_VALUE"""),572.81)</f>
        <v>572.80999999999995</v>
      </c>
      <c r="F2455" s="1">
        <f ca="1">IFERROR(__xludf.DUMMYFUNCTION("""COMPUTED_VALUE"""),6524650)</f>
        <v>6524650</v>
      </c>
    </row>
    <row r="2456" spans="1:6" x14ac:dyDescent="0.35">
      <c r="A2456" s="2">
        <f ca="1">IFERROR(__xludf.DUMMYFUNCTION("""COMPUTED_VALUE"""),45568.6666666666)</f>
        <v>45568.666666666599</v>
      </c>
      <c r="B2456" s="1">
        <f ca="1">IFERROR(__xludf.DUMMYFUNCTION("""COMPUTED_VALUE"""),570.15)</f>
        <v>570.15</v>
      </c>
      <c r="C2456" s="1">
        <f ca="1">IFERROR(__xludf.DUMMYFUNCTION("""COMPUTED_VALUE"""),583.36)</f>
        <v>583.36</v>
      </c>
      <c r="D2456" s="1">
        <f ca="1">IFERROR(__xludf.DUMMYFUNCTION("""COMPUTED_VALUE"""),568.73)</f>
        <v>568.73</v>
      </c>
      <c r="E2456" s="1">
        <f ca="1">IFERROR(__xludf.DUMMYFUNCTION("""COMPUTED_VALUE"""),582.77)</f>
        <v>582.77</v>
      </c>
      <c r="F2456" s="1">
        <f ca="1">IFERROR(__xludf.DUMMYFUNCTION("""COMPUTED_VALUE"""),11580980)</f>
        <v>11580980</v>
      </c>
    </row>
    <row r="2457" spans="1:6" x14ac:dyDescent="0.35">
      <c r="A2457" s="2">
        <f ca="1">IFERROR(__xludf.DUMMYFUNCTION("""COMPUTED_VALUE"""),45569.6666666666)</f>
        <v>45569.666666666599</v>
      </c>
      <c r="B2457" s="1">
        <f ca="1">IFERROR(__xludf.DUMMYFUNCTION("""COMPUTED_VALUE"""),583.73)</f>
        <v>583.73</v>
      </c>
      <c r="C2457" s="1">
        <f ca="1">IFERROR(__xludf.DUMMYFUNCTION("""COMPUTED_VALUE"""),596.85)</f>
        <v>596.85</v>
      </c>
      <c r="D2457" s="1">
        <f ca="1">IFERROR(__xludf.DUMMYFUNCTION("""COMPUTED_VALUE"""),581.43)</f>
        <v>581.42999999999995</v>
      </c>
      <c r="E2457" s="1">
        <f ca="1">IFERROR(__xludf.DUMMYFUNCTION("""COMPUTED_VALUE"""),595.94)</f>
        <v>595.94000000000005</v>
      </c>
      <c r="F2457" s="1">
        <f ca="1">IFERROR(__xludf.DUMMYFUNCTION("""COMPUTED_VALUE"""),14199788)</f>
        <v>14199788</v>
      </c>
    </row>
    <row r="2458" spans="1:6" x14ac:dyDescent="0.35">
      <c r="A2458" s="2">
        <f ca="1">IFERROR(__xludf.DUMMYFUNCTION("""COMPUTED_VALUE"""),45572.6666666666)</f>
        <v>45572.666666666599</v>
      </c>
      <c r="B2458" s="1">
        <f ca="1">IFERROR(__xludf.DUMMYFUNCTION("""COMPUTED_VALUE"""),598.22)</f>
        <v>598.22</v>
      </c>
      <c r="C2458" s="1">
        <f ca="1">IFERROR(__xludf.DUMMYFUNCTION("""COMPUTED_VALUE"""),602.95)</f>
        <v>602.95000000000005</v>
      </c>
      <c r="D2458" s="1">
        <f ca="1">IFERROR(__xludf.DUMMYFUNCTION("""COMPUTED_VALUE"""),584.04)</f>
        <v>584.04</v>
      </c>
      <c r="E2458" s="1">
        <f ca="1">IFERROR(__xludf.DUMMYFUNCTION("""COMPUTED_VALUE"""),584.78)</f>
        <v>584.78</v>
      </c>
      <c r="F2458" s="1">
        <f ca="1">IFERROR(__xludf.DUMMYFUNCTION("""COMPUTED_VALUE"""),12014198)</f>
        <v>12014198</v>
      </c>
    </row>
    <row r="2459" spans="1:6" x14ac:dyDescent="0.35">
      <c r="A2459" s="2">
        <f ca="1">IFERROR(__xludf.DUMMYFUNCTION("""COMPUTED_VALUE"""),45573.6666666666)</f>
        <v>45573.666666666599</v>
      </c>
      <c r="B2459" s="1">
        <f ca="1">IFERROR(__xludf.DUMMYFUNCTION("""COMPUTED_VALUE"""),589.69)</f>
        <v>589.69000000000005</v>
      </c>
      <c r="C2459" s="1">
        <f ca="1">IFERROR(__xludf.DUMMYFUNCTION("""COMPUTED_VALUE"""),593.56)</f>
        <v>593.55999999999995</v>
      </c>
      <c r="D2459" s="1">
        <f ca="1">IFERROR(__xludf.DUMMYFUNCTION("""COMPUTED_VALUE"""),585.97)</f>
        <v>585.97</v>
      </c>
      <c r="E2459" s="1">
        <f ca="1">IFERROR(__xludf.DUMMYFUNCTION("""COMPUTED_VALUE"""),592.89)</f>
        <v>592.89</v>
      </c>
      <c r="F2459" s="1">
        <f ca="1">IFERROR(__xludf.DUMMYFUNCTION("""COMPUTED_VALUE"""),7857377)</f>
        <v>7857377</v>
      </c>
    </row>
    <row r="2460" spans="1:6" x14ac:dyDescent="0.35">
      <c r="A2460" s="2">
        <f ca="1">IFERROR(__xludf.DUMMYFUNCTION("""COMPUTED_VALUE"""),45574.6666666666)</f>
        <v>45574.666666666599</v>
      </c>
      <c r="B2460" s="1">
        <f ca="1">IFERROR(__xludf.DUMMYFUNCTION("""COMPUTED_VALUE"""),593.99)</f>
        <v>593.99</v>
      </c>
      <c r="C2460" s="1">
        <f ca="1">IFERROR(__xludf.DUMMYFUNCTION("""COMPUTED_VALUE"""),594.39)</f>
        <v>594.39</v>
      </c>
      <c r="D2460" s="1">
        <f ca="1">IFERROR(__xludf.DUMMYFUNCTION("""COMPUTED_VALUE"""),581.61)</f>
        <v>581.61</v>
      </c>
      <c r="E2460" s="1">
        <f ca="1">IFERROR(__xludf.DUMMYFUNCTION("""COMPUTED_VALUE"""),590.51)</f>
        <v>590.51</v>
      </c>
      <c r="F2460" s="1">
        <f ca="1">IFERROR(__xludf.DUMMYFUNCTION("""COMPUTED_VALUE"""),9529707)</f>
        <v>9529707</v>
      </c>
    </row>
    <row r="2461" spans="1:6" x14ac:dyDescent="0.35">
      <c r="A2461" s="2">
        <f ca="1">IFERROR(__xludf.DUMMYFUNCTION("""COMPUTED_VALUE"""),45575.6666666666)</f>
        <v>45575.666666666599</v>
      </c>
      <c r="B2461" s="1">
        <f ca="1">IFERROR(__xludf.DUMMYFUNCTION("""COMPUTED_VALUE"""),587.57)</f>
        <v>587.57000000000005</v>
      </c>
      <c r="C2461" s="1">
        <f ca="1">IFERROR(__xludf.DUMMYFUNCTION("""COMPUTED_VALUE"""),590.23)</f>
        <v>590.23</v>
      </c>
      <c r="D2461" s="1">
        <f ca="1">IFERROR(__xludf.DUMMYFUNCTION("""COMPUTED_VALUE"""),582.52)</f>
        <v>582.52</v>
      </c>
      <c r="E2461" s="1">
        <f ca="1">IFERROR(__xludf.DUMMYFUNCTION("""COMPUTED_VALUE"""),583.83)</f>
        <v>583.83000000000004</v>
      </c>
      <c r="F2461" s="1">
        <f ca="1">IFERROR(__xludf.DUMMYFUNCTION("""COMPUTED_VALUE"""),7740449)</f>
        <v>7740449</v>
      </c>
    </row>
    <row r="2462" spans="1:6" x14ac:dyDescent="0.35">
      <c r="A2462" s="2">
        <f ca="1">IFERROR(__xludf.DUMMYFUNCTION("""COMPUTED_VALUE"""),45576.6666666666)</f>
        <v>45576.666666666599</v>
      </c>
      <c r="B2462" s="1">
        <f ca="1">IFERROR(__xludf.DUMMYFUNCTION("""COMPUTED_VALUE"""),584.83)</f>
        <v>584.83000000000004</v>
      </c>
      <c r="C2462" s="1">
        <f ca="1">IFERROR(__xludf.DUMMYFUNCTION("""COMPUTED_VALUE"""),591.21)</f>
        <v>591.21</v>
      </c>
      <c r="D2462" s="1">
        <f ca="1">IFERROR(__xludf.DUMMYFUNCTION("""COMPUTED_VALUE"""),582.71)</f>
        <v>582.71</v>
      </c>
      <c r="E2462" s="1">
        <f ca="1">IFERROR(__xludf.DUMMYFUNCTION("""COMPUTED_VALUE"""),589.95)</f>
        <v>589.95000000000005</v>
      </c>
      <c r="F2462" s="1">
        <f ca="1">IFERROR(__xludf.DUMMYFUNCTION("""COMPUTED_VALUE"""),8587051)</f>
        <v>8587051</v>
      </c>
    </row>
    <row r="2463" spans="1:6" x14ac:dyDescent="0.35">
      <c r="A2463" s="2">
        <f ca="1">IFERROR(__xludf.DUMMYFUNCTION("""COMPUTED_VALUE"""),45579.6666666666)</f>
        <v>45579.666666666599</v>
      </c>
      <c r="B2463" s="1">
        <f ca="1">IFERROR(__xludf.DUMMYFUNCTION("""COMPUTED_VALUE"""),594.22)</f>
        <v>594.22</v>
      </c>
      <c r="C2463" s="1">
        <f ca="1">IFERROR(__xludf.DUMMYFUNCTION("""COMPUTED_VALUE"""),600.1)</f>
        <v>600.1</v>
      </c>
      <c r="D2463" s="1">
        <f ca="1">IFERROR(__xludf.DUMMYFUNCTION("""COMPUTED_VALUE"""),589.96)</f>
        <v>589.96</v>
      </c>
      <c r="E2463" s="1">
        <f ca="1">IFERROR(__xludf.DUMMYFUNCTION("""COMPUTED_VALUE"""),590.42)</f>
        <v>590.41999999999996</v>
      </c>
      <c r="F2463" s="1">
        <f ca="1">IFERROR(__xludf.DUMMYFUNCTION("""COMPUTED_VALUE"""),8251971)</f>
        <v>8251971</v>
      </c>
    </row>
    <row r="2464" spans="1:6" x14ac:dyDescent="0.35">
      <c r="A2464" s="2">
        <f ca="1">IFERROR(__xludf.DUMMYFUNCTION("""COMPUTED_VALUE"""),45580.6666666666)</f>
        <v>45580.666666666599</v>
      </c>
      <c r="B2464" s="1">
        <f ca="1">IFERROR(__xludf.DUMMYFUNCTION("""COMPUTED_VALUE"""),590.16)</f>
        <v>590.16</v>
      </c>
      <c r="C2464" s="1">
        <f ca="1">IFERROR(__xludf.DUMMYFUNCTION("""COMPUTED_VALUE"""),590.61)</f>
        <v>590.61</v>
      </c>
      <c r="D2464" s="1">
        <f ca="1">IFERROR(__xludf.DUMMYFUNCTION("""COMPUTED_VALUE"""),580.14)</f>
        <v>580.14</v>
      </c>
      <c r="E2464" s="1">
        <f ca="1">IFERROR(__xludf.DUMMYFUNCTION("""COMPUTED_VALUE"""),586.27)</f>
        <v>586.27</v>
      </c>
      <c r="F2464" s="1">
        <f ca="1">IFERROR(__xludf.DUMMYFUNCTION("""COMPUTED_VALUE"""),9564236)</f>
        <v>9564236</v>
      </c>
    </row>
    <row r="2465" spans="1:6" x14ac:dyDescent="0.35">
      <c r="A2465" s="2">
        <f ca="1">IFERROR(__xludf.DUMMYFUNCTION("""COMPUTED_VALUE"""),45581.6666666666)</f>
        <v>45581.666666666599</v>
      </c>
      <c r="B2465" s="1">
        <f ca="1">IFERROR(__xludf.DUMMYFUNCTION("""COMPUTED_VALUE"""),581.4)</f>
        <v>581.4</v>
      </c>
      <c r="C2465" s="1">
        <f ca="1">IFERROR(__xludf.DUMMYFUNCTION("""COMPUTED_VALUE"""),582.08)</f>
        <v>582.08000000000004</v>
      </c>
      <c r="D2465" s="1">
        <f ca="1">IFERROR(__xludf.DUMMYFUNCTION("""COMPUTED_VALUE"""),574.03)</f>
        <v>574.03</v>
      </c>
      <c r="E2465" s="1">
        <f ca="1">IFERROR(__xludf.DUMMYFUNCTION("""COMPUTED_VALUE"""),576.79)</f>
        <v>576.79</v>
      </c>
      <c r="F2465" s="1">
        <f ca="1">IFERROR(__xludf.DUMMYFUNCTION("""COMPUTED_VALUE"""),11268384)</f>
        <v>11268384</v>
      </c>
    </row>
    <row r="2466" spans="1:6" x14ac:dyDescent="0.35">
      <c r="A2466" s="2">
        <f ca="1">IFERROR(__xludf.DUMMYFUNCTION("""COMPUTED_VALUE"""),45582.6666666666)</f>
        <v>45582.666666666599</v>
      </c>
      <c r="B2466" s="1">
        <f ca="1">IFERROR(__xludf.DUMMYFUNCTION("""COMPUTED_VALUE"""),583.33)</f>
        <v>583.33000000000004</v>
      </c>
      <c r="C2466" s="1">
        <f ca="1">IFERROR(__xludf.DUMMYFUNCTION("""COMPUTED_VALUE"""),584.97)</f>
        <v>584.97</v>
      </c>
      <c r="D2466" s="1">
        <f ca="1">IFERROR(__xludf.DUMMYFUNCTION("""COMPUTED_VALUE"""),575.2)</f>
        <v>575.20000000000005</v>
      </c>
      <c r="E2466" s="1">
        <f ca="1">IFERROR(__xludf.DUMMYFUNCTION("""COMPUTED_VALUE"""),576.93)</f>
        <v>576.92999999999995</v>
      </c>
      <c r="F2466" s="1">
        <f ca="1">IFERROR(__xludf.DUMMYFUNCTION("""COMPUTED_VALUE"""),8701158)</f>
        <v>8701158</v>
      </c>
    </row>
    <row r="2467" spans="1:6" x14ac:dyDescent="0.35">
      <c r="A2467" s="2">
        <f ca="1">IFERROR(__xludf.DUMMYFUNCTION("""COMPUTED_VALUE"""),45583.6666666666)</f>
        <v>45583.666666666599</v>
      </c>
      <c r="B2467" s="1">
        <f ca="1">IFERROR(__xludf.DUMMYFUNCTION("""COMPUTED_VALUE"""),581.1)</f>
        <v>581.1</v>
      </c>
      <c r="C2467" s="1">
        <f ca="1">IFERROR(__xludf.DUMMYFUNCTION("""COMPUTED_VALUE"""),583.97)</f>
        <v>583.97</v>
      </c>
      <c r="D2467" s="1">
        <f ca="1">IFERROR(__xludf.DUMMYFUNCTION("""COMPUTED_VALUE"""),575.25)</f>
        <v>575.25</v>
      </c>
      <c r="E2467" s="1">
        <f ca="1">IFERROR(__xludf.DUMMYFUNCTION("""COMPUTED_VALUE"""),576.47)</f>
        <v>576.47</v>
      </c>
      <c r="F2467" s="1">
        <f ca="1">IFERROR(__xludf.DUMMYFUNCTION("""COMPUTED_VALUE"""),7694274)</f>
        <v>7694274</v>
      </c>
    </row>
    <row r="2468" spans="1:6" x14ac:dyDescent="0.35">
      <c r="A2468" s="2">
        <f ca="1">IFERROR(__xludf.DUMMYFUNCTION("""COMPUTED_VALUE"""),45586.6666666666)</f>
        <v>45586.666666666599</v>
      </c>
      <c r="B2468" s="1">
        <f ca="1">IFERROR(__xludf.DUMMYFUNCTION("""COMPUTED_VALUE"""),576.03)</f>
        <v>576.03</v>
      </c>
      <c r="C2468" s="1">
        <f ca="1">IFERROR(__xludf.DUMMYFUNCTION("""COMPUTED_VALUE"""),577.24)</f>
        <v>577.24</v>
      </c>
      <c r="D2468" s="1">
        <f ca="1">IFERROR(__xludf.DUMMYFUNCTION("""COMPUTED_VALUE"""),569.11)</f>
        <v>569.11</v>
      </c>
      <c r="E2468" s="1">
        <f ca="1">IFERROR(__xludf.DUMMYFUNCTION("""COMPUTED_VALUE"""),575.16)</f>
        <v>575.16</v>
      </c>
      <c r="F2468" s="1">
        <f ca="1">IFERROR(__xludf.DUMMYFUNCTION("""COMPUTED_VALUE"""),8171879)</f>
        <v>8171879</v>
      </c>
    </row>
    <row r="2469" spans="1:6" x14ac:dyDescent="0.35">
      <c r="A2469" s="2">
        <f ca="1">IFERROR(__xludf.DUMMYFUNCTION("""COMPUTED_VALUE"""),45587.6666666666)</f>
        <v>45587.666666666599</v>
      </c>
      <c r="B2469" s="1">
        <f ca="1">IFERROR(__xludf.DUMMYFUNCTION("""COMPUTED_VALUE"""),574.29)</f>
        <v>574.29</v>
      </c>
      <c r="C2469" s="1">
        <f ca="1">IFERROR(__xludf.DUMMYFUNCTION("""COMPUTED_VALUE"""),583.53)</f>
        <v>583.53</v>
      </c>
      <c r="D2469" s="1">
        <f ca="1">IFERROR(__xludf.DUMMYFUNCTION("""COMPUTED_VALUE"""),572.12)</f>
        <v>572.12</v>
      </c>
      <c r="E2469" s="1">
        <f ca="1">IFERROR(__xludf.DUMMYFUNCTION("""COMPUTED_VALUE"""),582.01)</f>
        <v>582.01</v>
      </c>
      <c r="F2469" s="1">
        <f ca="1">IFERROR(__xludf.DUMMYFUNCTION("""COMPUTED_VALUE"""),8544463)</f>
        <v>8544463</v>
      </c>
    </row>
    <row r="2470" spans="1:6" x14ac:dyDescent="0.35">
      <c r="A2470" s="2">
        <f ca="1">IFERROR(__xludf.DUMMYFUNCTION("""COMPUTED_VALUE"""),45588.6666666666)</f>
        <v>45588.666666666599</v>
      </c>
      <c r="B2470" s="1">
        <f ca="1">IFERROR(__xludf.DUMMYFUNCTION("""COMPUTED_VALUE"""),579.97)</f>
        <v>579.97</v>
      </c>
      <c r="C2470" s="1">
        <f ca="1">IFERROR(__xludf.DUMMYFUNCTION("""COMPUTED_VALUE"""),585)</f>
        <v>585</v>
      </c>
      <c r="D2470" s="1">
        <f ca="1">IFERROR(__xludf.DUMMYFUNCTION("""COMPUTED_VALUE"""),562.5)</f>
        <v>562.5</v>
      </c>
      <c r="E2470" s="1">
        <f ca="1">IFERROR(__xludf.DUMMYFUNCTION("""COMPUTED_VALUE"""),563.69)</f>
        <v>563.69000000000005</v>
      </c>
      <c r="F2470" s="1">
        <f ca="1">IFERROR(__xludf.DUMMYFUNCTION("""COMPUTED_VALUE"""),14248419)</f>
        <v>14248419</v>
      </c>
    </row>
    <row r="2471" spans="1:6" x14ac:dyDescent="0.35">
      <c r="A2471" s="2">
        <f ca="1">IFERROR(__xludf.DUMMYFUNCTION("""COMPUTED_VALUE"""),45589.6666666666)</f>
        <v>45589.666666666599</v>
      </c>
      <c r="B2471" s="1">
        <f ca="1">IFERROR(__xludf.DUMMYFUNCTION("""COMPUTED_VALUE"""),567.13)</f>
        <v>567.13</v>
      </c>
      <c r="C2471" s="1">
        <f ca="1">IFERROR(__xludf.DUMMYFUNCTION("""COMPUTED_VALUE"""),568.88)</f>
        <v>568.88</v>
      </c>
      <c r="D2471" s="1">
        <f ca="1">IFERROR(__xludf.DUMMYFUNCTION("""COMPUTED_VALUE"""),561.52)</f>
        <v>561.52</v>
      </c>
      <c r="E2471" s="1">
        <f ca="1">IFERROR(__xludf.DUMMYFUNCTION("""COMPUTED_VALUE"""),567.78)</f>
        <v>567.78</v>
      </c>
      <c r="F2471" s="1">
        <f ca="1">IFERROR(__xludf.DUMMYFUNCTION("""COMPUTED_VALUE"""),7184651)</f>
        <v>7184651</v>
      </c>
    </row>
    <row r="2472" spans="1:6" x14ac:dyDescent="0.35">
      <c r="A2472" s="2">
        <f ca="1">IFERROR(__xludf.DUMMYFUNCTION("""COMPUTED_VALUE"""),45590.6666666666)</f>
        <v>45590.666666666599</v>
      </c>
      <c r="B2472" s="1">
        <f ca="1">IFERROR(__xludf.DUMMYFUNCTION("""COMPUTED_VALUE"""),573.93)</f>
        <v>573.92999999999995</v>
      </c>
      <c r="C2472" s="1">
        <f ca="1">IFERROR(__xludf.DUMMYFUNCTION("""COMPUTED_VALUE"""),581.29)</f>
        <v>581.29</v>
      </c>
      <c r="D2472" s="1">
        <f ca="1">IFERROR(__xludf.DUMMYFUNCTION("""COMPUTED_VALUE"""),571.72)</f>
        <v>571.72</v>
      </c>
      <c r="E2472" s="1">
        <f ca="1">IFERROR(__xludf.DUMMYFUNCTION("""COMPUTED_VALUE"""),573.25)</f>
        <v>573.25</v>
      </c>
      <c r="F2472" s="1">
        <f ca="1">IFERROR(__xludf.DUMMYFUNCTION("""COMPUTED_VALUE"""),11337874)</f>
        <v>11337874</v>
      </c>
    </row>
    <row r="2473" spans="1:6" x14ac:dyDescent="0.35">
      <c r="A2473" s="2">
        <f ca="1">IFERROR(__xludf.DUMMYFUNCTION("""COMPUTED_VALUE"""),45593.6666666666)</f>
        <v>45593.666666666599</v>
      </c>
      <c r="B2473" s="1">
        <f ca="1">IFERROR(__xludf.DUMMYFUNCTION("""COMPUTED_VALUE"""),582)</f>
        <v>582</v>
      </c>
      <c r="C2473" s="1">
        <f ca="1">IFERROR(__xludf.DUMMYFUNCTION("""COMPUTED_VALUE"""),583.75)</f>
        <v>583.75</v>
      </c>
      <c r="D2473" s="1">
        <f ca="1">IFERROR(__xludf.DUMMYFUNCTION("""COMPUTED_VALUE"""),574.12)</f>
        <v>574.12</v>
      </c>
      <c r="E2473" s="1">
        <f ca="1">IFERROR(__xludf.DUMMYFUNCTION("""COMPUTED_VALUE"""),578.16)</f>
        <v>578.16</v>
      </c>
      <c r="F2473" s="1">
        <f ca="1">IFERROR(__xludf.DUMMYFUNCTION("""COMPUTED_VALUE"""),10925131)</f>
        <v>10925131</v>
      </c>
    </row>
    <row r="2474" spans="1:6" x14ac:dyDescent="0.35">
      <c r="A2474" s="2">
        <f ca="1">IFERROR(__xludf.DUMMYFUNCTION("""COMPUTED_VALUE"""),45594.6666666666)</f>
        <v>45594.666666666599</v>
      </c>
      <c r="B2474" s="1">
        <f ca="1">IFERROR(__xludf.DUMMYFUNCTION("""COMPUTED_VALUE"""),580.15)</f>
        <v>580.15</v>
      </c>
      <c r="C2474" s="1">
        <f ca="1">IFERROR(__xludf.DUMMYFUNCTION("""COMPUTED_VALUE"""),593.67)</f>
        <v>593.66999999999996</v>
      </c>
      <c r="D2474" s="1">
        <f ca="1">IFERROR(__xludf.DUMMYFUNCTION("""COMPUTED_VALUE"""),575.4)</f>
        <v>575.4</v>
      </c>
      <c r="E2474" s="1">
        <f ca="1">IFERROR(__xludf.DUMMYFUNCTION("""COMPUTED_VALUE"""),593.28)</f>
        <v>593.28</v>
      </c>
      <c r="F2474" s="1">
        <f ca="1">IFERROR(__xludf.DUMMYFUNCTION("""COMPUTED_VALUE"""),13019092)</f>
        <v>13019092</v>
      </c>
    </row>
    <row r="2475" spans="1:6" x14ac:dyDescent="0.35">
      <c r="A2475" s="2">
        <f ca="1">IFERROR(__xludf.DUMMYFUNCTION("""COMPUTED_VALUE"""),45595.6666666666)</f>
        <v>45595.666666666599</v>
      </c>
      <c r="B2475" s="1">
        <f ca="1">IFERROR(__xludf.DUMMYFUNCTION("""COMPUTED_VALUE"""),600.98)</f>
        <v>600.98</v>
      </c>
      <c r="C2475" s="1">
        <f ca="1">IFERROR(__xludf.DUMMYFUNCTION("""COMPUTED_VALUE"""),601.2)</f>
        <v>601.20000000000005</v>
      </c>
      <c r="D2475" s="1">
        <f ca="1">IFERROR(__xludf.DUMMYFUNCTION("""COMPUTED_VALUE"""),589.38)</f>
        <v>589.38</v>
      </c>
      <c r="E2475" s="1">
        <f ca="1">IFERROR(__xludf.DUMMYFUNCTION("""COMPUTED_VALUE"""),591.8)</f>
        <v>591.79999999999995</v>
      </c>
      <c r="F2475" s="1">
        <f ca="1">IFERROR(__xludf.DUMMYFUNCTION("""COMPUTED_VALUE"""),26864925)</f>
        <v>26864925</v>
      </c>
    </row>
    <row r="2476" spans="1:6" x14ac:dyDescent="0.35">
      <c r="A2476" s="2">
        <f ca="1">IFERROR(__xludf.DUMMYFUNCTION("""COMPUTED_VALUE"""),45596.6666666666)</f>
        <v>45596.666666666599</v>
      </c>
      <c r="B2476" s="1">
        <f ca="1">IFERROR(__xludf.DUMMYFUNCTION("""COMPUTED_VALUE"""),585)</f>
        <v>585</v>
      </c>
      <c r="C2476" s="1">
        <f ca="1">IFERROR(__xludf.DUMMYFUNCTION("""COMPUTED_VALUE"""),589.9)</f>
        <v>589.9</v>
      </c>
      <c r="D2476" s="1">
        <f ca="1">IFERROR(__xludf.DUMMYFUNCTION("""COMPUTED_VALUE"""),563.01)</f>
        <v>563.01</v>
      </c>
      <c r="E2476" s="1">
        <f ca="1">IFERROR(__xludf.DUMMYFUNCTION("""COMPUTED_VALUE"""),567.58)</f>
        <v>567.58000000000004</v>
      </c>
      <c r="F2476" s="1">
        <f ca="1">IFERROR(__xludf.DUMMYFUNCTION("""COMPUTED_VALUE"""),26838395)</f>
        <v>26838395</v>
      </c>
    </row>
    <row r="2477" spans="1:6" x14ac:dyDescent="0.35">
      <c r="A2477" s="2">
        <f ca="1">IFERROR(__xludf.DUMMYFUNCTION("""COMPUTED_VALUE"""),45597.6666666666)</f>
        <v>45597.666666666599</v>
      </c>
      <c r="B2477" s="1">
        <f ca="1">IFERROR(__xludf.DUMMYFUNCTION("""COMPUTED_VALUE"""),567.61)</f>
        <v>567.61</v>
      </c>
      <c r="C2477" s="1">
        <f ca="1">IFERROR(__xludf.DUMMYFUNCTION("""COMPUTED_VALUE"""),573.67)</f>
        <v>573.66999999999996</v>
      </c>
      <c r="D2477" s="1">
        <f ca="1">IFERROR(__xludf.DUMMYFUNCTION("""COMPUTED_VALUE"""),562.56)</f>
        <v>562.55999999999995</v>
      </c>
      <c r="E2477" s="1">
        <f ca="1">IFERROR(__xludf.DUMMYFUNCTION("""COMPUTED_VALUE"""),567.16)</f>
        <v>567.16</v>
      </c>
      <c r="F2477" s="1">
        <f ca="1">IFERROR(__xludf.DUMMYFUNCTION("""COMPUTED_VALUE"""),15303235)</f>
        <v>15303235</v>
      </c>
    </row>
    <row r="2478" spans="1:6" x14ac:dyDescent="0.35">
      <c r="A2478" s="2">
        <f ca="1">IFERROR(__xludf.DUMMYFUNCTION("""COMPUTED_VALUE"""),45600.6666666666)</f>
        <v>45600.666666666599</v>
      </c>
      <c r="B2478" s="1">
        <f ca="1">IFERROR(__xludf.DUMMYFUNCTION("""COMPUTED_VALUE"""),564.1)</f>
        <v>564.1</v>
      </c>
      <c r="C2478" s="1">
        <f ca="1">IFERROR(__xludf.DUMMYFUNCTION("""COMPUTED_VALUE"""),568.69)</f>
        <v>568.69000000000005</v>
      </c>
      <c r="D2478" s="1">
        <f ca="1">IFERROR(__xludf.DUMMYFUNCTION("""COMPUTED_VALUE"""),557.89)</f>
        <v>557.89</v>
      </c>
      <c r="E2478" s="1">
        <f ca="1">IFERROR(__xludf.DUMMYFUNCTION("""COMPUTED_VALUE"""),560.68)</f>
        <v>560.67999999999995</v>
      </c>
      <c r="F2478" s="1">
        <f ca="1">IFERROR(__xludf.DUMMYFUNCTION("""COMPUTED_VALUE"""),12064601)</f>
        <v>12064601</v>
      </c>
    </row>
    <row r="2479" spans="1:6" x14ac:dyDescent="0.35">
      <c r="A2479" s="2">
        <f ca="1">IFERROR(__xludf.DUMMYFUNCTION("""COMPUTED_VALUE"""),45601.6666666666)</f>
        <v>45601.666666666599</v>
      </c>
      <c r="B2479" s="1">
        <f ca="1">IFERROR(__xludf.DUMMYFUNCTION("""COMPUTED_VALUE"""),567.3)</f>
        <v>567.29999999999995</v>
      </c>
      <c r="C2479" s="1">
        <f ca="1">IFERROR(__xludf.DUMMYFUNCTION("""COMPUTED_VALUE"""),573.48)</f>
        <v>573.48</v>
      </c>
      <c r="D2479" s="1">
        <f ca="1">IFERROR(__xludf.DUMMYFUNCTION("""COMPUTED_VALUE"""),566.67)</f>
        <v>566.66999999999996</v>
      </c>
      <c r="E2479" s="1">
        <f ca="1">IFERROR(__xludf.DUMMYFUNCTION("""COMPUTED_VALUE"""),572.43)</f>
        <v>572.42999999999995</v>
      </c>
      <c r="F2479" s="1">
        <f ca="1">IFERROR(__xludf.DUMMYFUNCTION("""COMPUTED_VALUE"""),9775379)</f>
        <v>9775379</v>
      </c>
    </row>
    <row r="2480" spans="1:6" x14ac:dyDescent="0.35">
      <c r="A2480" s="2">
        <f ca="1">IFERROR(__xludf.DUMMYFUNCTION("""COMPUTED_VALUE"""),45602.6666666666)</f>
        <v>45602.666666666599</v>
      </c>
      <c r="B2480" s="1">
        <f ca="1">IFERROR(__xludf.DUMMYFUNCTION("""COMPUTED_VALUE"""),562.75)</f>
        <v>562.75</v>
      </c>
      <c r="C2480" s="1">
        <f ca="1">IFERROR(__xludf.DUMMYFUNCTION("""COMPUTED_VALUE"""),573)</f>
        <v>573</v>
      </c>
      <c r="D2480" s="1">
        <f ca="1">IFERROR(__xludf.DUMMYFUNCTION("""COMPUTED_VALUE"""),555.17)</f>
        <v>555.16999999999996</v>
      </c>
      <c r="E2480" s="1">
        <f ca="1">IFERROR(__xludf.DUMMYFUNCTION("""COMPUTED_VALUE"""),572.05)</f>
        <v>572.04999999999995</v>
      </c>
      <c r="F2480" s="1">
        <f ca="1">IFERROR(__xludf.DUMMYFUNCTION("""COMPUTED_VALUE"""),18305429)</f>
        <v>18305429</v>
      </c>
    </row>
    <row r="2481" spans="1:6" x14ac:dyDescent="0.35">
      <c r="A2481" s="2">
        <f ca="1">IFERROR(__xludf.DUMMYFUNCTION("""COMPUTED_VALUE"""),45603.6666666666)</f>
        <v>45603.666666666599</v>
      </c>
      <c r="B2481" s="1">
        <f ca="1">IFERROR(__xludf.DUMMYFUNCTION("""COMPUTED_VALUE"""),576.89)</f>
        <v>576.89</v>
      </c>
      <c r="C2481" s="1">
        <f ca="1">IFERROR(__xludf.DUMMYFUNCTION("""COMPUTED_VALUE"""),594.8)</f>
        <v>594.79999999999995</v>
      </c>
      <c r="D2481" s="1">
        <f ca="1">IFERROR(__xludf.DUMMYFUNCTION("""COMPUTED_VALUE"""),575.21)</f>
        <v>575.21</v>
      </c>
      <c r="E2481" s="1">
        <f ca="1">IFERROR(__xludf.DUMMYFUNCTION("""COMPUTED_VALUE"""),591.7)</f>
        <v>591.70000000000005</v>
      </c>
      <c r="F2481" s="1">
        <f ca="1">IFERROR(__xludf.DUMMYFUNCTION("""COMPUTED_VALUE"""),14653708)</f>
        <v>14653708</v>
      </c>
    </row>
    <row r="2482" spans="1:6" x14ac:dyDescent="0.35">
      <c r="A2482" s="2">
        <f ca="1">IFERROR(__xludf.DUMMYFUNCTION("""COMPUTED_VALUE"""),45604.6666666666)</f>
        <v>45604.666666666599</v>
      </c>
      <c r="B2482" s="1">
        <f ca="1">IFERROR(__xludf.DUMMYFUNCTION("""COMPUTED_VALUE"""),591.54)</f>
        <v>591.54</v>
      </c>
      <c r="C2482" s="1">
        <f ca="1">IFERROR(__xludf.DUMMYFUNCTION("""COMPUTED_VALUE"""),593.1)</f>
        <v>593.1</v>
      </c>
      <c r="D2482" s="1">
        <f ca="1">IFERROR(__xludf.DUMMYFUNCTION("""COMPUTED_VALUE"""),584.52)</f>
        <v>584.52</v>
      </c>
      <c r="E2482" s="1">
        <f ca="1">IFERROR(__xludf.DUMMYFUNCTION("""COMPUTED_VALUE"""),589.34)</f>
        <v>589.34</v>
      </c>
      <c r="F2482" s="1">
        <f ca="1">IFERROR(__xludf.DUMMYFUNCTION("""COMPUTED_VALUE"""),9415699)</f>
        <v>9415699</v>
      </c>
    </row>
    <row r="2483" spans="1:6" x14ac:dyDescent="0.35">
      <c r="A2483" s="2">
        <f ca="1">IFERROR(__xludf.DUMMYFUNCTION("""COMPUTED_VALUE"""),45607.6666666666)</f>
        <v>45607.666666666599</v>
      </c>
      <c r="B2483" s="1">
        <f ca="1">IFERROR(__xludf.DUMMYFUNCTION("""COMPUTED_VALUE"""),586.36)</f>
        <v>586.36</v>
      </c>
      <c r="C2483" s="1">
        <f ca="1">IFERROR(__xludf.DUMMYFUNCTION("""COMPUTED_VALUE"""),587)</f>
        <v>587</v>
      </c>
      <c r="D2483" s="1">
        <f ca="1">IFERROR(__xludf.DUMMYFUNCTION("""COMPUTED_VALUE"""),576.51)</f>
        <v>576.51</v>
      </c>
      <c r="E2483" s="1">
        <f ca="1">IFERROR(__xludf.DUMMYFUNCTION("""COMPUTED_VALUE"""),583.17)</f>
        <v>583.16999999999996</v>
      </c>
      <c r="F2483" s="1">
        <f ca="1">IFERROR(__xludf.DUMMYFUNCTION("""COMPUTED_VALUE"""),10209051)</f>
        <v>10209051</v>
      </c>
    </row>
    <row r="2484" spans="1:6" x14ac:dyDescent="0.35">
      <c r="A2484" s="2">
        <f ca="1">IFERROR(__xludf.DUMMYFUNCTION("""COMPUTED_VALUE"""),45608.6666666666)</f>
        <v>45608.666666666599</v>
      </c>
      <c r="B2484" s="1">
        <f ca="1">IFERROR(__xludf.DUMMYFUNCTION("""COMPUTED_VALUE"""),588.54)</f>
        <v>588.54</v>
      </c>
      <c r="C2484" s="1">
        <f ca="1">IFERROR(__xludf.DUMMYFUNCTION("""COMPUTED_VALUE"""),599.66)</f>
        <v>599.66</v>
      </c>
      <c r="D2484" s="1">
        <f ca="1">IFERROR(__xludf.DUMMYFUNCTION("""COMPUTED_VALUE"""),580.38)</f>
        <v>580.38</v>
      </c>
      <c r="E2484" s="1">
        <f ca="1">IFERROR(__xludf.DUMMYFUNCTION("""COMPUTED_VALUE"""),584.82)</f>
        <v>584.82000000000005</v>
      </c>
      <c r="F2484" s="1">
        <f ca="1">IFERROR(__xludf.DUMMYFUNCTION("""COMPUTED_VALUE"""),16287724)</f>
        <v>16287724</v>
      </c>
    </row>
    <row r="2485" spans="1:6" x14ac:dyDescent="0.35">
      <c r="A2485" s="2">
        <f ca="1">IFERROR(__xludf.DUMMYFUNCTION("""COMPUTED_VALUE"""),45609.6666666666)</f>
        <v>45609.666666666599</v>
      </c>
      <c r="B2485" s="1">
        <f ca="1">IFERROR(__xludf.DUMMYFUNCTION("""COMPUTED_VALUE"""),582.61)</f>
        <v>582.61</v>
      </c>
      <c r="C2485" s="1">
        <f ca="1">IFERROR(__xludf.DUMMYFUNCTION("""COMPUTED_VALUE"""),585.64)</f>
        <v>585.64</v>
      </c>
      <c r="D2485" s="1">
        <f ca="1">IFERROR(__xludf.DUMMYFUNCTION("""COMPUTED_VALUE"""),575.17)</f>
        <v>575.16999999999996</v>
      </c>
      <c r="E2485" s="1">
        <f ca="1">IFERROR(__xludf.DUMMYFUNCTION("""COMPUTED_VALUE"""),580)</f>
        <v>580</v>
      </c>
      <c r="F2485" s="1">
        <f ca="1">IFERROR(__xludf.DUMMYFUNCTION("""COMPUTED_VALUE"""),10757583)</f>
        <v>10757583</v>
      </c>
    </row>
    <row r="2486" spans="1:6" x14ac:dyDescent="0.35">
      <c r="A2486" s="2">
        <f ca="1">IFERROR(__xludf.DUMMYFUNCTION("""COMPUTED_VALUE"""),45610.6666666666)</f>
        <v>45610.666666666599</v>
      </c>
      <c r="B2486" s="1">
        <f ca="1">IFERROR(__xludf.DUMMYFUNCTION("""COMPUTED_VALUE"""),577)</f>
        <v>577</v>
      </c>
      <c r="C2486" s="1">
        <f ca="1">IFERROR(__xludf.DUMMYFUNCTION("""COMPUTED_VALUE"""),580.76)</f>
        <v>580.76</v>
      </c>
      <c r="D2486" s="1">
        <f ca="1">IFERROR(__xludf.DUMMYFUNCTION("""COMPUTED_VALUE"""),573.01)</f>
        <v>573.01</v>
      </c>
      <c r="E2486" s="1">
        <f ca="1">IFERROR(__xludf.DUMMYFUNCTION("""COMPUTED_VALUE"""),577.16)</f>
        <v>577.16</v>
      </c>
      <c r="F2486" s="1">
        <f ca="1">IFERROR(__xludf.DUMMYFUNCTION("""COMPUTED_VALUE"""),11053743)</f>
        <v>11053743</v>
      </c>
    </row>
    <row r="2487" spans="1:6" x14ac:dyDescent="0.35">
      <c r="A2487" s="2">
        <f ca="1">IFERROR(__xludf.DUMMYFUNCTION("""COMPUTED_VALUE"""),45611.6666666666)</f>
        <v>45611.666666666599</v>
      </c>
      <c r="B2487" s="1">
        <f ca="1">IFERROR(__xludf.DUMMYFUNCTION("""COMPUTED_VALUE"""),571.22)</f>
        <v>571.22</v>
      </c>
      <c r="C2487" s="1">
        <f ca="1">IFERROR(__xludf.DUMMYFUNCTION("""COMPUTED_VALUE"""),572.57)</f>
        <v>572.57000000000005</v>
      </c>
      <c r="D2487" s="1">
        <f ca="1">IFERROR(__xludf.DUMMYFUNCTION("""COMPUTED_VALUE"""),551.5)</f>
        <v>551.5</v>
      </c>
      <c r="E2487" s="1">
        <f ca="1">IFERROR(__xludf.DUMMYFUNCTION("""COMPUTED_VALUE"""),554.08)</f>
        <v>554.08000000000004</v>
      </c>
      <c r="F2487" s="1">
        <f ca="1">IFERROR(__xludf.DUMMYFUNCTION("""COMPUTED_VALUE"""),17712864)</f>
        <v>17712864</v>
      </c>
    </row>
    <row r="2488" spans="1:6" x14ac:dyDescent="0.35">
      <c r="A2488" s="2">
        <f ca="1">IFERROR(__xludf.DUMMYFUNCTION("""COMPUTED_VALUE"""),45614.6666666666)</f>
        <v>45614.666666666599</v>
      </c>
      <c r="B2488" s="1">
        <f ca="1">IFERROR(__xludf.DUMMYFUNCTION("""COMPUTED_VALUE"""),557.04)</f>
        <v>557.04</v>
      </c>
      <c r="C2488" s="1">
        <f ca="1">IFERROR(__xludf.DUMMYFUNCTION("""COMPUTED_VALUE"""),559.9)</f>
        <v>559.9</v>
      </c>
      <c r="D2488" s="1">
        <f ca="1">IFERROR(__xludf.DUMMYFUNCTION("""COMPUTED_VALUE"""),550.09)</f>
        <v>550.09</v>
      </c>
      <c r="E2488" s="1">
        <f ca="1">IFERROR(__xludf.DUMMYFUNCTION("""COMPUTED_VALUE"""),554.4)</f>
        <v>554.4</v>
      </c>
      <c r="F2488" s="1">
        <f ca="1">IFERROR(__xludf.DUMMYFUNCTION("""COMPUTED_VALUE"""),14346715)</f>
        <v>14346715</v>
      </c>
    </row>
    <row r="2489" spans="1:6" x14ac:dyDescent="0.35">
      <c r="A2489" s="2">
        <f ca="1">IFERROR(__xludf.DUMMYFUNCTION("""COMPUTED_VALUE"""),45615.6666666666)</f>
        <v>45615.666666666599</v>
      </c>
      <c r="B2489" s="1">
        <f ca="1">IFERROR(__xludf.DUMMYFUNCTION("""COMPUTED_VALUE"""),551.86)</f>
        <v>551.86</v>
      </c>
      <c r="C2489" s="1">
        <f ca="1">IFERROR(__xludf.DUMMYFUNCTION("""COMPUTED_VALUE"""),561.43)</f>
        <v>561.42999999999995</v>
      </c>
      <c r="D2489" s="1">
        <f ca="1">IFERROR(__xludf.DUMMYFUNCTION("""COMPUTED_VALUE"""),550.6)</f>
        <v>550.6</v>
      </c>
      <c r="E2489" s="1">
        <f ca="1">IFERROR(__xludf.DUMMYFUNCTION("""COMPUTED_VALUE"""),561.09)</f>
        <v>561.09</v>
      </c>
      <c r="F2489" s="1">
        <f ca="1">IFERROR(__xludf.DUMMYFUNCTION("""COMPUTED_VALUE"""),9522445)</f>
        <v>9522445</v>
      </c>
    </row>
    <row r="2490" spans="1:6" x14ac:dyDescent="0.35">
      <c r="A2490" s="2">
        <f ca="1">IFERROR(__xludf.DUMMYFUNCTION("""COMPUTED_VALUE"""),45616.6666666666)</f>
        <v>45616.666666666599</v>
      </c>
      <c r="B2490" s="1">
        <f ca="1">IFERROR(__xludf.DUMMYFUNCTION("""COMPUTED_VALUE"""),562.93)</f>
        <v>562.92999999999995</v>
      </c>
      <c r="C2490" s="1">
        <f ca="1">IFERROR(__xludf.DUMMYFUNCTION("""COMPUTED_VALUE"""),566.35)</f>
        <v>566.35</v>
      </c>
      <c r="D2490" s="1">
        <f ca="1">IFERROR(__xludf.DUMMYFUNCTION("""COMPUTED_VALUE"""),554.2)</f>
        <v>554.20000000000005</v>
      </c>
      <c r="E2490" s="1">
        <f ca="1">IFERROR(__xludf.DUMMYFUNCTION("""COMPUTED_VALUE"""),565.52)</f>
        <v>565.52</v>
      </c>
      <c r="F2490" s="1">
        <f ca="1">IFERROR(__xludf.DUMMYFUNCTION("""COMPUTED_VALUE"""),9797339)</f>
        <v>9797339</v>
      </c>
    </row>
    <row r="2491" spans="1:6" x14ac:dyDescent="0.35">
      <c r="A2491" s="2">
        <f ca="1">IFERROR(__xludf.DUMMYFUNCTION("""COMPUTED_VALUE"""),45617.6666666666)</f>
        <v>45617.666666666599</v>
      </c>
      <c r="B2491" s="1">
        <f ca="1">IFERROR(__xludf.DUMMYFUNCTION("""COMPUTED_VALUE"""),569.52)</f>
        <v>569.52</v>
      </c>
      <c r="C2491" s="1">
        <f ca="1">IFERROR(__xludf.DUMMYFUNCTION("""COMPUTED_VALUE"""),570)</f>
        <v>570</v>
      </c>
      <c r="D2491" s="1">
        <f ca="1">IFERROR(__xludf.DUMMYFUNCTION("""COMPUTED_VALUE"""),549.05)</f>
        <v>549.04999999999995</v>
      </c>
      <c r="E2491" s="1">
        <f ca="1">IFERROR(__xludf.DUMMYFUNCTION("""COMPUTED_VALUE"""),563.09)</f>
        <v>563.09</v>
      </c>
      <c r="F2491" s="1">
        <f ca="1">IFERROR(__xludf.DUMMYFUNCTION("""COMPUTED_VALUE"""),11154749)</f>
        <v>11154749</v>
      </c>
    </row>
    <row r="2492" spans="1:6" x14ac:dyDescent="0.35">
      <c r="A2492" s="2">
        <f ca="1">IFERROR(__xludf.DUMMYFUNCTION("""COMPUTED_VALUE"""),45618.6666666666)</f>
        <v>45618.666666666599</v>
      </c>
      <c r="B2492" s="1">
        <f ca="1">IFERROR(__xludf.DUMMYFUNCTION("""COMPUTED_VALUE"""),563.55)</f>
        <v>563.54999999999995</v>
      </c>
      <c r="C2492" s="1">
        <f ca="1">IFERROR(__xludf.DUMMYFUNCTION("""COMPUTED_VALUE"""),563.83)</f>
        <v>563.83000000000004</v>
      </c>
      <c r="D2492" s="1">
        <f ca="1">IFERROR(__xludf.DUMMYFUNCTION("""COMPUTED_VALUE"""),554.59)</f>
        <v>554.59</v>
      </c>
      <c r="E2492" s="1">
        <f ca="1">IFERROR(__xludf.DUMMYFUNCTION("""COMPUTED_VALUE"""),559.14)</f>
        <v>559.14</v>
      </c>
      <c r="F2492" s="1">
        <f ca="1">IFERROR(__xludf.DUMMYFUNCTION("""COMPUTED_VALUE"""),9164004)</f>
        <v>9164004</v>
      </c>
    </row>
    <row r="2493" spans="1:6" x14ac:dyDescent="0.35">
      <c r="A2493" s="2">
        <f ca="1">IFERROR(__xludf.DUMMYFUNCTION("""COMPUTED_VALUE"""),45621.6666666666)</f>
        <v>45621.666666666599</v>
      </c>
      <c r="B2493" s="1">
        <f ca="1">IFERROR(__xludf.DUMMYFUNCTION("""COMPUTED_VALUE"""),562.1)</f>
        <v>562.1</v>
      </c>
      <c r="C2493" s="1">
        <f ca="1">IFERROR(__xludf.DUMMYFUNCTION("""COMPUTED_VALUE"""),572.59)</f>
        <v>572.59</v>
      </c>
      <c r="D2493" s="1">
        <f ca="1">IFERROR(__xludf.DUMMYFUNCTION("""COMPUTED_VALUE"""),556.39)</f>
        <v>556.39</v>
      </c>
      <c r="E2493" s="1">
        <f ca="1">IFERROR(__xludf.DUMMYFUNCTION("""COMPUTED_VALUE"""),565.11)</f>
        <v>565.11</v>
      </c>
      <c r="F2493" s="1">
        <f ca="1">IFERROR(__xludf.DUMMYFUNCTION("""COMPUTED_VALUE"""),13599830)</f>
        <v>13599830</v>
      </c>
    </row>
    <row r="2494" spans="1:6" x14ac:dyDescent="0.35">
      <c r="A2494" s="2">
        <f ca="1">IFERROR(__xludf.DUMMYFUNCTION("""COMPUTED_VALUE"""),45622.6666666666)</f>
        <v>45622.666666666599</v>
      </c>
      <c r="B2494" s="1">
        <f ca="1">IFERROR(__xludf.DUMMYFUNCTION("""COMPUTED_VALUE"""),566)</f>
        <v>566</v>
      </c>
      <c r="C2494" s="1">
        <f ca="1">IFERROR(__xludf.DUMMYFUNCTION("""COMPUTED_VALUE"""),577.5)</f>
        <v>577.5</v>
      </c>
      <c r="D2494" s="1">
        <f ca="1">IFERROR(__xludf.DUMMYFUNCTION("""COMPUTED_VALUE"""),565.2)</f>
        <v>565.20000000000005</v>
      </c>
      <c r="E2494" s="1">
        <f ca="1">IFERROR(__xludf.DUMMYFUNCTION("""COMPUTED_VALUE"""),573.54)</f>
        <v>573.54</v>
      </c>
      <c r="F2494" s="1">
        <f ca="1">IFERROR(__xludf.DUMMYFUNCTION("""COMPUTED_VALUE"""),10356550)</f>
        <v>10356550</v>
      </c>
    </row>
    <row r="2495" spans="1:6" x14ac:dyDescent="0.35">
      <c r="A2495" s="2">
        <f ca="1">IFERROR(__xludf.DUMMYFUNCTION("""COMPUTED_VALUE"""),45623.6666666666)</f>
        <v>45623.666666666599</v>
      </c>
      <c r="B2495" s="1">
        <f ca="1">IFERROR(__xludf.DUMMYFUNCTION("""COMPUTED_VALUE"""),574.89)</f>
        <v>574.89</v>
      </c>
      <c r="C2495" s="1">
        <f ca="1">IFERROR(__xludf.DUMMYFUNCTION("""COMPUTED_VALUE"""),574.98)</f>
        <v>574.98</v>
      </c>
      <c r="D2495" s="1">
        <f ca="1">IFERROR(__xludf.DUMMYFUNCTION("""COMPUTED_VALUE"""),564.1)</f>
        <v>564.1</v>
      </c>
      <c r="E2495" s="1">
        <f ca="1">IFERROR(__xludf.DUMMYFUNCTION("""COMPUTED_VALUE"""),569.2)</f>
        <v>569.20000000000005</v>
      </c>
      <c r="F2495" s="1">
        <f ca="1">IFERROR(__xludf.DUMMYFUNCTION("""COMPUTED_VALUE"""),7200228)</f>
        <v>7200228</v>
      </c>
    </row>
    <row r="2496" spans="1:6" x14ac:dyDescent="0.35">
      <c r="A2496" s="2">
        <f ca="1">IFERROR(__xludf.DUMMYFUNCTION("""COMPUTED_VALUE"""),45625.5451388888)</f>
        <v>45625.545138888803</v>
      </c>
      <c r="B2496" s="1">
        <f ca="1">IFERROR(__xludf.DUMMYFUNCTION("""COMPUTED_VALUE"""),569)</f>
        <v>569</v>
      </c>
      <c r="C2496" s="1">
        <f ca="1">IFERROR(__xludf.DUMMYFUNCTION("""COMPUTED_VALUE"""),578.46)</f>
        <v>578.46</v>
      </c>
      <c r="D2496" s="1">
        <f ca="1">IFERROR(__xludf.DUMMYFUNCTION("""COMPUTED_VALUE"""),566.9)</f>
        <v>566.9</v>
      </c>
      <c r="E2496" s="1">
        <f ca="1">IFERROR(__xludf.DUMMYFUNCTION("""COMPUTED_VALUE"""),574.32)</f>
        <v>574.32000000000005</v>
      </c>
      <c r="F2496" s="1">
        <f ca="1">IFERROR(__xludf.DUMMYFUNCTION("""COMPUTED_VALUE"""),7130519)</f>
        <v>7130519</v>
      </c>
    </row>
    <row r="2497" spans="1:6" x14ac:dyDescent="0.35">
      <c r="A2497" s="2">
        <f ca="1">IFERROR(__xludf.DUMMYFUNCTION("""COMPUTED_VALUE"""),45628.6666666666)</f>
        <v>45628.666666666599</v>
      </c>
      <c r="B2497" s="1">
        <f ca="1">IFERROR(__xludf.DUMMYFUNCTION("""COMPUTED_VALUE"""),577.5)</f>
        <v>577.5</v>
      </c>
      <c r="C2497" s="1">
        <f ca="1">IFERROR(__xludf.DUMMYFUNCTION("""COMPUTED_VALUE"""),594.5)</f>
        <v>594.5</v>
      </c>
      <c r="D2497" s="1">
        <f ca="1">IFERROR(__xludf.DUMMYFUNCTION("""COMPUTED_VALUE"""),575.57)</f>
        <v>575.57000000000005</v>
      </c>
      <c r="E2497" s="1">
        <f ca="1">IFERROR(__xludf.DUMMYFUNCTION("""COMPUTED_VALUE"""),592.83)</f>
        <v>592.83000000000004</v>
      </c>
      <c r="F2497" s="1">
        <f ca="1">IFERROR(__xludf.DUMMYFUNCTION("""COMPUTED_VALUE"""),12522371)</f>
        <v>12522371</v>
      </c>
    </row>
    <row r="2498" spans="1:6" x14ac:dyDescent="0.35">
      <c r="A2498" s="2">
        <f ca="1">IFERROR(__xludf.DUMMYFUNCTION("""COMPUTED_VALUE"""),45629.6666666666)</f>
        <v>45629.666666666599</v>
      </c>
      <c r="B2498" s="1">
        <f ca="1">IFERROR(__xludf.DUMMYFUNCTION("""COMPUTED_VALUE"""),595)</f>
        <v>595</v>
      </c>
      <c r="C2498" s="1">
        <f ca="1">IFERROR(__xludf.DUMMYFUNCTION("""COMPUTED_VALUE"""),614.2)</f>
        <v>614.20000000000005</v>
      </c>
      <c r="D2498" s="1">
        <f ca="1">IFERROR(__xludf.DUMMYFUNCTION("""COMPUTED_VALUE"""),591.25)</f>
        <v>591.25</v>
      </c>
      <c r="E2498" s="1">
        <f ca="1">IFERROR(__xludf.DUMMYFUNCTION("""COMPUTED_VALUE"""),613.65)</f>
        <v>613.65</v>
      </c>
      <c r="F2498" s="1">
        <f ca="1">IFERROR(__xludf.DUMMYFUNCTION("""COMPUTED_VALUE"""),14907164)</f>
        <v>14907164</v>
      </c>
    </row>
    <row r="2499" spans="1:6" x14ac:dyDescent="0.35">
      <c r="A2499" s="2">
        <f ca="1">IFERROR(__xludf.DUMMYFUNCTION("""COMPUTED_VALUE"""),45630.6666666666)</f>
        <v>45630.666666666599</v>
      </c>
      <c r="B2499" s="1">
        <f ca="1">IFERROR(__xludf.DUMMYFUNCTION("""COMPUTED_VALUE"""),612.96)</f>
        <v>612.96</v>
      </c>
      <c r="C2499" s="1">
        <f ca="1">IFERROR(__xludf.DUMMYFUNCTION("""COMPUTED_VALUE"""),617.78)</f>
        <v>617.78</v>
      </c>
      <c r="D2499" s="1">
        <f ca="1">IFERROR(__xludf.DUMMYFUNCTION("""COMPUTED_VALUE"""),605.1)</f>
        <v>605.1</v>
      </c>
      <c r="E2499" s="1">
        <f ca="1">IFERROR(__xludf.DUMMYFUNCTION("""COMPUTED_VALUE"""),613.78)</f>
        <v>613.78</v>
      </c>
      <c r="F2499" s="1">
        <f ca="1">IFERROR(__xludf.DUMMYFUNCTION("""COMPUTED_VALUE"""),14697006)</f>
        <v>14697006</v>
      </c>
    </row>
    <row r="2500" spans="1:6" x14ac:dyDescent="0.35">
      <c r="A2500" s="2">
        <f ca="1">IFERROR(__xludf.DUMMYFUNCTION("""COMPUTED_VALUE"""),45631.6666666666)</f>
        <v>45631.666666666599</v>
      </c>
      <c r="B2500" s="1">
        <f ca="1">IFERROR(__xludf.DUMMYFUNCTION("""COMPUTED_VALUE"""),617.08)</f>
        <v>617.08000000000004</v>
      </c>
      <c r="C2500" s="1">
        <f ca="1">IFERROR(__xludf.DUMMYFUNCTION("""COMPUTED_VALUE"""),619.9)</f>
        <v>619.9</v>
      </c>
      <c r="D2500" s="1">
        <f ca="1">IFERROR(__xludf.DUMMYFUNCTION("""COMPUTED_VALUE"""),607.05)</f>
        <v>607.04999999999995</v>
      </c>
      <c r="E2500" s="1">
        <f ca="1">IFERROR(__xludf.DUMMYFUNCTION("""COMPUTED_VALUE"""),608.93)</f>
        <v>608.92999999999995</v>
      </c>
      <c r="F2500" s="1">
        <f ca="1">IFERROR(__xludf.DUMMYFUNCTION("""COMPUTED_VALUE"""),8081212)</f>
        <v>8081212</v>
      </c>
    </row>
    <row r="2501" spans="1:6" x14ac:dyDescent="0.35">
      <c r="A2501" s="2">
        <f ca="1">IFERROR(__xludf.DUMMYFUNCTION("""COMPUTED_VALUE"""),45632.6666666666)</f>
        <v>45632.666666666599</v>
      </c>
      <c r="B2501" s="1">
        <f ca="1">IFERROR(__xludf.DUMMYFUNCTION("""COMPUTED_VALUE"""),610.1)</f>
        <v>610.1</v>
      </c>
      <c r="C2501" s="1">
        <f ca="1">IFERROR(__xludf.DUMMYFUNCTION("""COMPUTED_VALUE"""),629.79)</f>
        <v>629.79</v>
      </c>
      <c r="D2501" s="1">
        <f ca="1">IFERROR(__xludf.DUMMYFUNCTION("""COMPUTED_VALUE"""),608.53)</f>
        <v>608.53</v>
      </c>
      <c r="E2501" s="1">
        <f ca="1">IFERROR(__xludf.DUMMYFUNCTION("""COMPUTED_VALUE"""),623.77)</f>
        <v>623.77</v>
      </c>
      <c r="F2501" s="1">
        <f ca="1">IFERROR(__xludf.DUMMYFUNCTION("""COMPUTED_VALUE"""),16935503)</f>
        <v>16935503</v>
      </c>
    </row>
    <row r="2502" spans="1:6" x14ac:dyDescent="0.35">
      <c r="A2502" s="2">
        <f ca="1">IFERROR(__xludf.DUMMYFUNCTION("""COMPUTED_VALUE"""),45635.6666666666)</f>
        <v>45635.666666666599</v>
      </c>
      <c r="B2502" s="1">
        <f ca="1">IFERROR(__xludf.DUMMYFUNCTION("""COMPUTED_VALUE"""),623.92)</f>
        <v>623.91999999999996</v>
      </c>
      <c r="C2502" s="1">
        <f ca="1">IFERROR(__xludf.DUMMYFUNCTION("""COMPUTED_VALUE"""),626.4)</f>
        <v>626.4</v>
      </c>
      <c r="D2502" s="1">
        <f ca="1">IFERROR(__xludf.DUMMYFUNCTION("""COMPUTED_VALUE"""),606.17)</f>
        <v>606.16999999999996</v>
      </c>
      <c r="E2502" s="1">
        <f ca="1">IFERROR(__xludf.DUMMYFUNCTION("""COMPUTED_VALUE"""),613.57)</f>
        <v>613.57000000000005</v>
      </c>
      <c r="F2502" s="1">
        <f ca="1">IFERROR(__xludf.DUMMYFUNCTION("""COMPUTED_VALUE"""),11426015)</f>
        <v>11426015</v>
      </c>
    </row>
    <row r="2503" spans="1:6" x14ac:dyDescent="0.35">
      <c r="A2503" s="2">
        <f ca="1">IFERROR(__xludf.DUMMYFUNCTION("""COMPUTED_VALUE"""),45636.6666666666)</f>
        <v>45636.666666666599</v>
      </c>
      <c r="B2503" s="1">
        <f ca="1">IFERROR(__xludf.DUMMYFUNCTION("""COMPUTED_VALUE"""),617.56)</f>
        <v>617.55999999999995</v>
      </c>
      <c r="C2503" s="1">
        <f ca="1">IFERROR(__xludf.DUMMYFUNCTION("""COMPUTED_VALUE"""),625.59)</f>
        <v>625.59</v>
      </c>
      <c r="D2503" s="1">
        <f ca="1">IFERROR(__xludf.DUMMYFUNCTION("""COMPUTED_VALUE"""),612.74)</f>
        <v>612.74</v>
      </c>
      <c r="E2503" s="1">
        <f ca="1">IFERROR(__xludf.DUMMYFUNCTION("""COMPUTED_VALUE"""),619.32)</f>
        <v>619.32000000000005</v>
      </c>
      <c r="F2503" s="1">
        <f ca="1">IFERROR(__xludf.DUMMYFUNCTION("""COMPUTED_VALUE"""),10938854)</f>
        <v>10938854</v>
      </c>
    </row>
    <row r="2504" spans="1:6" x14ac:dyDescent="0.35">
      <c r="A2504" s="2">
        <f ca="1">IFERROR(__xludf.DUMMYFUNCTION("""COMPUTED_VALUE"""),45637.6666666666)</f>
        <v>45637.666666666599</v>
      </c>
      <c r="B2504" s="1">
        <f ca="1">IFERROR(__xludf.DUMMYFUNCTION("""COMPUTED_VALUE"""),623.37)</f>
        <v>623.37</v>
      </c>
      <c r="C2504" s="1">
        <f ca="1">IFERROR(__xludf.DUMMYFUNCTION("""COMPUTED_VALUE"""),638.4)</f>
        <v>638.4</v>
      </c>
      <c r="D2504" s="1">
        <f ca="1">IFERROR(__xludf.DUMMYFUNCTION("""COMPUTED_VALUE"""),621.53)</f>
        <v>621.53</v>
      </c>
      <c r="E2504" s="1">
        <f ca="1">IFERROR(__xludf.DUMMYFUNCTION("""COMPUTED_VALUE"""),632.68)</f>
        <v>632.67999999999995</v>
      </c>
      <c r="F2504" s="1">
        <f ca="1">IFERROR(__xludf.DUMMYFUNCTION("""COMPUTED_VALUE"""),10837228)</f>
        <v>10837228</v>
      </c>
    </row>
    <row r="2505" spans="1:6" x14ac:dyDescent="0.35">
      <c r="A2505" s="2">
        <f ca="1">IFERROR(__xludf.DUMMYFUNCTION("""COMPUTED_VALUE"""),45638.6666666666)</f>
        <v>45638.666666666599</v>
      </c>
      <c r="B2505" s="1">
        <f ca="1">IFERROR(__xludf.DUMMYFUNCTION("""COMPUTED_VALUE"""),631.5)</f>
        <v>631.5</v>
      </c>
      <c r="C2505" s="1">
        <f ca="1">IFERROR(__xludf.DUMMYFUNCTION("""COMPUTED_VALUE"""),636.66)</f>
        <v>636.66</v>
      </c>
      <c r="D2505" s="1">
        <f ca="1">IFERROR(__xludf.DUMMYFUNCTION("""COMPUTED_VALUE"""),627.21)</f>
        <v>627.21</v>
      </c>
      <c r="E2505" s="1">
        <f ca="1">IFERROR(__xludf.DUMMYFUNCTION("""COMPUTED_VALUE"""),630.79)</f>
        <v>630.79</v>
      </c>
      <c r="F2505" s="1">
        <f ca="1">IFERROR(__xludf.DUMMYFUNCTION("""COMPUTED_VALUE"""),7474717)</f>
        <v>7474717</v>
      </c>
    </row>
    <row r="2506" spans="1:6" x14ac:dyDescent="0.35">
      <c r="A2506" s="2">
        <f ca="1">IFERROR(__xludf.DUMMYFUNCTION("""COMPUTED_VALUE"""),45639.6666666666)</f>
        <v>45639.666666666599</v>
      </c>
      <c r="B2506" s="1">
        <f ca="1">IFERROR(__xludf.DUMMYFUNCTION("""COMPUTED_VALUE"""),627.22)</f>
        <v>627.22</v>
      </c>
      <c r="C2506" s="1">
        <f ca="1">IFERROR(__xludf.DUMMYFUNCTION("""COMPUTED_VALUE"""),631.08)</f>
        <v>631.08000000000004</v>
      </c>
      <c r="D2506" s="1">
        <f ca="1">IFERROR(__xludf.DUMMYFUNCTION("""COMPUTED_VALUE"""),616.89)</f>
        <v>616.89</v>
      </c>
      <c r="E2506" s="1">
        <f ca="1">IFERROR(__xludf.DUMMYFUNCTION("""COMPUTED_VALUE"""),620.35)</f>
        <v>620.35</v>
      </c>
      <c r="F2506" s="1">
        <f ca="1">IFERROR(__xludf.DUMMYFUNCTION("""COMPUTED_VALUE"""),8453349)</f>
        <v>8453349</v>
      </c>
    </row>
    <row r="2507" spans="1:6" x14ac:dyDescent="0.35">
      <c r="A2507" s="2">
        <f ca="1">IFERROR(__xludf.DUMMYFUNCTION("""COMPUTED_VALUE"""),45642.6666666666)</f>
        <v>45642.666666666599</v>
      </c>
      <c r="B2507" s="1">
        <f ca="1">IFERROR(__xludf.DUMMYFUNCTION("""COMPUTED_VALUE"""),629.98)</f>
        <v>629.98</v>
      </c>
      <c r="C2507" s="1">
        <f ca="1">IFERROR(__xludf.DUMMYFUNCTION("""COMPUTED_VALUE"""),631.15)</f>
        <v>631.15</v>
      </c>
      <c r="D2507" s="1">
        <f ca="1">IFERROR(__xludf.DUMMYFUNCTION("""COMPUTED_VALUE"""),618.58)</f>
        <v>618.58000000000004</v>
      </c>
      <c r="E2507" s="1">
        <f ca="1">IFERROR(__xludf.DUMMYFUNCTION("""COMPUTED_VALUE"""),624.24)</f>
        <v>624.24</v>
      </c>
      <c r="F2507" s="1">
        <f ca="1">IFERROR(__xludf.DUMMYFUNCTION("""COMPUTED_VALUE"""),10885625)</f>
        <v>10885625</v>
      </c>
    </row>
    <row r="2508" spans="1:6" x14ac:dyDescent="0.35">
      <c r="A2508" s="2">
        <f ca="1">IFERROR(__xludf.DUMMYFUNCTION("""COMPUTED_VALUE"""),45643.6666666666)</f>
        <v>45643.666666666599</v>
      </c>
      <c r="B2508" s="1">
        <f ca="1">IFERROR(__xludf.DUMMYFUNCTION("""COMPUTED_VALUE"""),626.17)</f>
        <v>626.16999999999996</v>
      </c>
      <c r="C2508" s="1">
        <f ca="1">IFERROR(__xludf.DUMMYFUNCTION("""COMPUTED_VALUE"""),632.37)</f>
        <v>632.37</v>
      </c>
      <c r="D2508" s="1">
        <f ca="1">IFERROR(__xludf.DUMMYFUNCTION("""COMPUTED_VALUE"""),616.54)</f>
        <v>616.54</v>
      </c>
      <c r="E2508" s="1">
        <f ca="1">IFERROR(__xludf.DUMMYFUNCTION("""COMPUTED_VALUE"""),619.44)</f>
        <v>619.44000000000005</v>
      </c>
      <c r="F2508" s="1">
        <f ca="1">IFERROR(__xludf.DUMMYFUNCTION("""COMPUTED_VALUE"""),12897842)</f>
        <v>12897842</v>
      </c>
    </row>
    <row r="2509" spans="1:6" x14ac:dyDescent="0.35">
      <c r="A2509" s="2">
        <f ca="1">IFERROR(__xludf.DUMMYFUNCTION("""COMPUTED_VALUE"""),45644.6666666666)</f>
        <v>45644.666666666599</v>
      </c>
      <c r="B2509" s="1">
        <f ca="1">IFERROR(__xludf.DUMMYFUNCTION("""COMPUTED_VALUE"""),621)</f>
        <v>621</v>
      </c>
      <c r="C2509" s="1">
        <f ca="1">IFERROR(__xludf.DUMMYFUNCTION("""COMPUTED_VALUE"""),627.36)</f>
        <v>627.36</v>
      </c>
      <c r="D2509" s="1">
        <f ca="1">IFERROR(__xludf.DUMMYFUNCTION("""COMPUTED_VALUE"""),596.32)</f>
        <v>596.32000000000005</v>
      </c>
      <c r="E2509" s="1">
        <f ca="1">IFERROR(__xludf.DUMMYFUNCTION("""COMPUTED_VALUE"""),597.19)</f>
        <v>597.19000000000005</v>
      </c>
      <c r="F2509" s="1">
        <f ca="1">IFERROR(__xludf.DUMMYFUNCTION("""COMPUTED_VALUE"""),17075480)</f>
        <v>17075480</v>
      </c>
    </row>
    <row r="2510" spans="1:6" x14ac:dyDescent="0.35">
      <c r="A2510" s="2">
        <f ca="1">IFERROR(__xludf.DUMMYFUNCTION("""COMPUTED_VALUE"""),45645.6666666666)</f>
        <v>45645.666666666599</v>
      </c>
      <c r="B2510" s="1">
        <f ca="1">IFERROR(__xludf.DUMMYFUNCTION("""COMPUTED_VALUE"""),610.39)</f>
        <v>610.39</v>
      </c>
      <c r="C2510" s="1">
        <f ca="1">IFERROR(__xludf.DUMMYFUNCTION("""COMPUTED_VALUE"""),611.52)</f>
        <v>611.52</v>
      </c>
      <c r="D2510" s="1">
        <f ca="1">IFERROR(__xludf.DUMMYFUNCTION("""COMPUTED_VALUE"""),595)</f>
        <v>595</v>
      </c>
      <c r="E2510" s="1">
        <f ca="1">IFERROR(__xludf.DUMMYFUNCTION("""COMPUTED_VALUE"""),595.57)</f>
        <v>595.57000000000005</v>
      </c>
      <c r="F2510" s="1">
        <f ca="1">IFERROR(__xludf.DUMMYFUNCTION("""COMPUTED_VALUE"""),14958082)</f>
        <v>14958082</v>
      </c>
    </row>
    <row r="2511" spans="1:6" x14ac:dyDescent="0.35">
      <c r="A2511" s="2">
        <f ca="1">IFERROR(__xludf.DUMMYFUNCTION("""COMPUTED_VALUE"""),45646.6666666666)</f>
        <v>45646.666666666599</v>
      </c>
      <c r="B2511" s="1">
        <f ca="1">IFERROR(__xludf.DUMMYFUNCTION("""COMPUTED_VALUE"""),590.58)</f>
        <v>590.58000000000004</v>
      </c>
      <c r="C2511" s="1">
        <f ca="1">IFERROR(__xludf.DUMMYFUNCTION("""COMPUTED_VALUE"""),603.11)</f>
        <v>603.11</v>
      </c>
      <c r="D2511" s="1">
        <f ca="1">IFERROR(__xludf.DUMMYFUNCTION("""COMPUTED_VALUE"""),580)</f>
        <v>580</v>
      </c>
      <c r="E2511" s="1">
        <f ca="1">IFERROR(__xludf.DUMMYFUNCTION("""COMPUTED_VALUE"""),585.25)</f>
        <v>585.25</v>
      </c>
      <c r="F2511" s="1">
        <f ca="1">IFERROR(__xludf.DUMMYFUNCTION("""COMPUTED_VALUE"""),48989390)</f>
        <v>48989390</v>
      </c>
    </row>
    <row r="2512" spans="1:6" x14ac:dyDescent="0.35">
      <c r="A2512" s="2">
        <f ca="1">IFERROR(__xludf.DUMMYFUNCTION("""COMPUTED_VALUE"""),45649.6666666666)</f>
        <v>45649.666666666599</v>
      </c>
      <c r="B2512" s="1">
        <f ca="1">IFERROR(__xludf.DUMMYFUNCTION("""COMPUTED_VALUE"""),589.6)</f>
        <v>589.6</v>
      </c>
      <c r="C2512" s="1">
        <f ca="1">IFERROR(__xludf.DUMMYFUNCTION("""COMPUTED_VALUE"""),601.09)</f>
        <v>601.09</v>
      </c>
      <c r="D2512" s="1">
        <f ca="1">IFERROR(__xludf.DUMMYFUNCTION("""COMPUTED_VALUE"""),586.25)</f>
        <v>586.25</v>
      </c>
      <c r="E2512" s="1">
        <f ca="1">IFERROR(__xludf.DUMMYFUNCTION("""COMPUTED_VALUE"""),599.85)</f>
        <v>599.85</v>
      </c>
      <c r="F2512" s="1">
        <f ca="1">IFERROR(__xludf.DUMMYFUNCTION("""COMPUTED_VALUE"""),10205750)</f>
        <v>10205750</v>
      </c>
    </row>
    <row r="2513" spans="1:6" x14ac:dyDescent="0.35">
      <c r="A2513" s="2">
        <f ca="1">IFERROR(__xludf.DUMMYFUNCTION("""COMPUTED_VALUE"""),45650.5451388888)</f>
        <v>45650.545138888803</v>
      </c>
      <c r="B2513" s="1">
        <f ca="1">IFERROR(__xludf.DUMMYFUNCTION("""COMPUTED_VALUE"""),602.72)</f>
        <v>602.72</v>
      </c>
      <c r="C2513" s="1">
        <f ca="1">IFERROR(__xludf.DUMMYFUNCTION("""COMPUTED_VALUE"""),607.99)</f>
        <v>607.99</v>
      </c>
      <c r="D2513" s="1">
        <f ca="1">IFERROR(__xludf.DUMMYFUNCTION("""COMPUTED_VALUE"""),599.28)</f>
        <v>599.28</v>
      </c>
      <c r="E2513" s="1">
        <f ca="1">IFERROR(__xludf.DUMMYFUNCTION("""COMPUTED_VALUE"""),607.75)</f>
        <v>607.75</v>
      </c>
      <c r="F2513" s="1">
        <f ca="1">IFERROR(__xludf.DUMMYFUNCTION("""COMPUTED_VALUE"""),4726056)</f>
        <v>4726056</v>
      </c>
    </row>
    <row r="2514" spans="1:6" x14ac:dyDescent="0.35">
      <c r="A2514" s="2">
        <f ca="1">IFERROR(__xludf.DUMMYFUNCTION("""COMPUTED_VALUE"""),45652.6666666666)</f>
        <v>45652.666666666599</v>
      </c>
      <c r="B2514" s="1">
        <f ca="1">IFERROR(__xludf.DUMMYFUNCTION("""COMPUTED_VALUE"""),605.48)</f>
        <v>605.48</v>
      </c>
      <c r="C2514" s="1">
        <f ca="1">IFERROR(__xludf.DUMMYFUNCTION("""COMPUTED_VALUE"""),606.3)</f>
        <v>606.29999999999995</v>
      </c>
      <c r="D2514" s="1">
        <f ca="1">IFERROR(__xludf.DUMMYFUNCTION("""COMPUTED_VALUE"""),598.94)</f>
        <v>598.94000000000005</v>
      </c>
      <c r="E2514" s="1">
        <f ca="1">IFERROR(__xludf.DUMMYFUNCTION("""COMPUTED_VALUE"""),603.35)</f>
        <v>603.35</v>
      </c>
      <c r="F2514" s="1">
        <f ca="1">IFERROR(__xludf.DUMMYFUNCTION("""COMPUTED_VALUE"""),6091239)</f>
        <v>6091239</v>
      </c>
    </row>
    <row r="2515" spans="1:6" x14ac:dyDescent="0.35">
      <c r="A2515" s="2">
        <f ca="1">IFERROR(__xludf.DUMMYFUNCTION("""COMPUTED_VALUE"""),45653.6666666666)</f>
        <v>45653.666666666599</v>
      </c>
      <c r="B2515" s="1">
        <f ca="1">IFERROR(__xludf.DUMMYFUNCTION("""COMPUTED_VALUE"""),599.41)</f>
        <v>599.41</v>
      </c>
      <c r="C2515" s="1">
        <f ca="1">IFERROR(__xludf.DUMMYFUNCTION("""COMPUTED_VALUE"""),601.85)</f>
        <v>601.85</v>
      </c>
      <c r="D2515" s="1">
        <f ca="1">IFERROR(__xludf.DUMMYFUNCTION("""COMPUTED_VALUE"""),589.8)</f>
        <v>589.79999999999995</v>
      </c>
      <c r="E2515" s="1">
        <f ca="1">IFERROR(__xludf.DUMMYFUNCTION("""COMPUTED_VALUE"""),599.81)</f>
        <v>599.80999999999995</v>
      </c>
      <c r="F2515" s="1">
        <f ca="1">IFERROR(__xludf.DUMMYFUNCTION("""COMPUTED_VALUE"""),8084229)</f>
        <v>8084229</v>
      </c>
    </row>
    <row r="2516" spans="1:6" x14ac:dyDescent="0.35">
      <c r="A2516" s="2">
        <f ca="1">IFERROR(__xludf.DUMMYFUNCTION("""COMPUTED_VALUE"""),45656.6666666666)</f>
        <v>45656.666666666599</v>
      </c>
      <c r="B2516" s="1">
        <f ca="1">IFERROR(__xludf.DUMMYFUNCTION("""COMPUTED_VALUE"""),588.75)</f>
        <v>588.75</v>
      </c>
      <c r="C2516" s="1">
        <f ca="1">IFERROR(__xludf.DUMMYFUNCTION("""COMPUTED_VALUE"""),596.94)</f>
        <v>596.94000000000005</v>
      </c>
      <c r="D2516" s="1">
        <f ca="1">IFERROR(__xludf.DUMMYFUNCTION("""COMPUTED_VALUE"""),585.58)</f>
        <v>585.58000000000004</v>
      </c>
      <c r="E2516" s="1">
        <f ca="1">IFERROR(__xludf.DUMMYFUNCTION("""COMPUTED_VALUE"""),591.24)</f>
        <v>591.24</v>
      </c>
      <c r="F2516" s="1">
        <f ca="1">IFERROR(__xludf.DUMMYFUNCTION("""COMPUTED_VALUE"""),7025864)</f>
        <v>7025864</v>
      </c>
    </row>
    <row r="2517" spans="1:6" x14ac:dyDescent="0.35">
      <c r="A2517" s="2">
        <f ca="1">IFERROR(__xludf.DUMMYFUNCTION("""COMPUTED_VALUE"""),45657.6666666666)</f>
        <v>45657.666666666599</v>
      </c>
      <c r="B2517" s="1">
        <f ca="1">IFERROR(__xludf.DUMMYFUNCTION("""COMPUTED_VALUE"""),592.27)</f>
        <v>592.27</v>
      </c>
      <c r="C2517" s="1">
        <f ca="1">IFERROR(__xludf.DUMMYFUNCTION("""COMPUTED_VALUE"""),593.97)</f>
        <v>593.97</v>
      </c>
      <c r="D2517" s="1">
        <f ca="1">IFERROR(__xludf.DUMMYFUNCTION("""COMPUTED_VALUE"""),583.85)</f>
        <v>583.85</v>
      </c>
      <c r="E2517" s="1">
        <f ca="1">IFERROR(__xludf.DUMMYFUNCTION("""COMPUTED_VALUE"""),585.51)</f>
        <v>585.51</v>
      </c>
      <c r="F2517" s="1">
        <f ca="1">IFERROR(__xludf.DUMMYFUNCTION("""COMPUTED_VALUE"""),6019520)</f>
        <v>6019520</v>
      </c>
    </row>
    <row r="2518" spans="1:6" x14ac:dyDescent="0.35">
      <c r="A2518" s="2">
        <f ca="1">IFERROR(__xludf.DUMMYFUNCTION("""COMPUTED_VALUE"""),45659.6666666666)</f>
        <v>45659.666666666599</v>
      </c>
      <c r="B2518" s="1">
        <f ca="1">IFERROR(__xludf.DUMMYFUNCTION("""COMPUTED_VALUE"""),589.72)</f>
        <v>589.72</v>
      </c>
      <c r="C2518" s="1">
        <f ca="1">IFERROR(__xludf.DUMMYFUNCTION("""COMPUTED_VALUE"""),604.91)</f>
        <v>604.91</v>
      </c>
      <c r="D2518" s="1">
        <f ca="1">IFERROR(__xludf.DUMMYFUNCTION("""COMPUTED_VALUE"""),587.82)</f>
        <v>587.82000000000005</v>
      </c>
      <c r="E2518" s="1">
        <f ca="1">IFERROR(__xludf.DUMMYFUNCTION("""COMPUTED_VALUE"""),599.24)</f>
        <v>599.24</v>
      </c>
      <c r="F2518" s="1">
        <f ca="1">IFERROR(__xludf.DUMMYFUNCTION("""COMPUTED_VALUE"""),12682269)</f>
        <v>12682269</v>
      </c>
    </row>
    <row r="2519" spans="1:6" x14ac:dyDescent="0.35">
      <c r="A2519" s="2">
        <f ca="1">IFERROR(__xludf.DUMMYFUNCTION("""COMPUTED_VALUE"""),45660.6666666666)</f>
        <v>45660.666666666599</v>
      </c>
      <c r="B2519" s="1">
        <f ca="1">IFERROR(__xludf.DUMMYFUNCTION("""COMPUTED_VALUE"""),604.76)</f>
        <v>604.76</v>
      </c>
      <c r="C2519" s="1">
        <f ca="1">IFERROR(__xludf.DUMMYFUNCTION("""COMPUTED_VALUE"""),609.5)</f>
        <v>609.5</v>
      </c>
      <c r="D2519" s="1">
        <f ca="1">IFERROR(__xludf.DUMMYFUNCTION("""COMPUTED_VALUE"""),596.41)</f>
        <v>596.41</v>
      </c>
      <c r="E2519" s="1">
        <f ca="1">IFERROR(__xludf.DUMMYFUNCTION("""COMPUTED_VALUE"""),604.63)</f>
        <v>604.63</v>
      </c>
      <c r="F2519" s="1">
        <f ca="1">IFERROR(__xludf.DUMMYFUNCTION("""COMPUTED_VALUE"""),11436784)</f>
        <v>11436784</v>
      </c>
    </row>
    <row r="2520" spans="1:6" x14ac:dyDescent="0.35">
      <c r="A2520" s="2">
        <f ca="1">IFERROR(__xludf.DUMMYFUNCTION("""COMPUTED_VALUE"""),45663.6666666666)</f>
        <v>45663.666666666599</v>
      </c>
      <c r="B2520" s="1">
        <f ca="1">IFERROR(__xludf.DUMMYFUNCTION("""COMPUTED_VALUE"""),611.83)</f>
        <v>611.83000000000004</v>
      </c>
      <c r="C2520" s="1">
        <f ca="1">IFERROR(__xludf.DUMMYFUNCTION("""COMPUTED_VALUE"""),630.99)</f>
        <v>630.99</v>
      </c>
      <c r="D2520" s="1">
        <f ca="1">IFERROR(__xludf.DUMMYFUNCTION("""COMPUTED_VALUE"""),605.62)</f>
        <v>605.62</v>
      </c>
      <c r="E2520" s="1">
        <f ca="1">IFERROR(__xludf.DUMMYFUNCTION("""COMPUTED_VALUE"""),630.2)</f>
        <v>630.20000000000005</v>
      </c>
      <c r="F2520" s="1">
        <f ca="1">IFERROR(__xludf.DUMMYFUNCTION("""COMPUTED_VALUE"""),14560754)</f>
        <v>14560754</v>
      </c>
    </row>
    <row r="2521" spans="1:6" x14ac:dyDescent="0.35">
      <c r="A2521" s="2">
        <f ca="1">IFERROR(__xludf.DUMMYFUNCTION("""COMPUTED_VALUE"""),45664.6666666666)</f>
        <v>45664.666666666599</v>
      </c>
      <c r="B2521" s="1">
        <f ca="1">IFERROR(__xludf.DUMMYFUNCTION("""COMPUTED_VALUE"""),631.7)</f>
        <v>631.70000000000005</v>
      </c>
      <c r="C2521" s="1">
        <f ca="1">IFERROR(__xludf.DUMMYFUNCTION("""COMPUTED_VALUE"""),632.1)</f>
        <v>632.1</v>
      </c>
      <c r="D2521" s="1">
        <f ca="1">IFERROR(__xludf.DUMMYFUNCTION("""COMPUTED_VALUE"""),608.23)</f>
        <v>608.23</v>
      </c>
      <c r="E2521" s="1">
        <f ca="1">IFERROR(__xludf.DUMMYFUNCTION("""COMPUTED_VALUE"""),617.89)</f>
        <v>617.89</v>
      </c>
      <c r="F2521" s="1">
        <f ca="1">IFERROR(__xludf.DUMMYFUNCTION("""COMPUTED_VALUE"""),12071479)</f>
        <v>12071479</v>
      </c>
    </row>
    <row r="2522" spans="1:6" x14ac:dyDescent="0.35">
      <c r="A2522" s="2">
        <f ca="1">IFERROR(__xludf.DUMMYFUNCTION("""COMPUTED_VALUE"""),45665.6666666666)</f>
        <v>45665.666666666599</v>
      </c>
      <c r="B2522" s="1">
        <f ca="1">IFERROR(__xludf.DUMMYFUNCTION("""COMPUTED_VALUE"""),613.4)</f>
        <v>613.4</v>
      </c>
      <c r="C2522" s="1">
        <f ca="1">IFERROR(__xludf.DUMMYFUNCTION("""COMPUTED_VALUE"""),616.44)</f>
        <v>616.44000000000005</v>
      </c>
      <c r="D2522" s="1">
        <f ca="1">IFERROR(__xludf.DUMMYFUNCTION("""COMPUTED_VALUE"""),602.79)</f>
        <v>602.79</v>
      </c>
      <c r="E2522" s="1">
        <f ca="1">IFERROR(__xludf.DUMMYFUNCTION("""COMPUTED_VALUE"""),610.72)</f>
        <v>610.72</v>
      </c>
      <c r="F2522" s="1">
        <f ca="1">IFERROR(__xludf.DUMMYFUNCTION("""COMPUTED_VALUE"""),10085846)</f>
        <v>10085846</v>
      </c>
    </row>
    <row r="2523" spans="1:6" x14ac:dyDescent="0.35">
      <c r="A2523" s="2">
        <f ca="1">IFERROR(__xludf.DUMMYFUNCTION("""COMPUTED_VALUE"""),45667.6666666666)</f>
        <v>45667.666666666599</v>
      </c>
      <c r="B2523" s="1">
        <f ca="1">IFERROR(__xludf.DUMMYFUNCTION("""COMPUTED_VALUE"""),610.03)</f>
        <v>610.03</v>
      </c>
      <c r="C2523" s="1">
        <f ca="1">IFERROR(__xludf.DUMMYFUNCTION("""COMPUTED_VALUE"""),629.91)</f>
        <v>629.91</v>
      </c>
      <c r="D2523" s="1">
        <f ca="1">IFERROR(__xludf.DUMMYFUNCTION("""COMPUTED_VALUE"""),597.34)</f>
        <v>597.34</v>
      </c>
      <c r="E2523" s="1">
        <f ca="1">IFERROR(__xludf.DUMMYFUNCTION("""COMPUTED_VALUE"""),615.86)</f>
        <v>615.86</v>
      </c>
      <c r="F2523" s="1">
        <f ca="1">IFERROR(__xludf.DUMMYFUNCTION("""COMPUTED_VALUE"""),19256564)</f>
        <v>19256564</v>
      </c>
    </row>
    <row r="2524" spans="1:6" x14ac:dyDescent="0.35">
      <c r="A2524" s="2">
        <f ca="1">IFERROR(__xludf.DUMMYFUNCTION("""COMPUTED_VALUE"""),45670.6666666666)</f>
        <v>45670.666666666599</v>
      </c>
      <c r="B2524" s="1">
        <f ca="1">IFERROR(__xludf.DUMMYFUNCTION("""COMPUTED_VALUE"""),607.1)</f>
        <v>607.1</v>
      </c>
      <c r="C2524" s="1">
        <f ca="1">IFERROR(__xludf.DUMMYFUNCTION("""COMPUTED_VALUE"""),608.97)</f>
        <v>608.97</v>
      </c>
      <c r="D2524" s="1">
        <f ca="1">IFERROR(__xludf.DUMMYFUNCTION("""COMPUTED_VALUE"""),598.45)</f>
        <v>598.45000000000005</v>
      </c>
      <c r="E2524" s="1">
        <f ca="1">IFERROR(__xludf.DUMMYFUNCTION("""COMPUTED_VALUE"""),608.33)</f>
        <v>608.33000000000004</v>
      </c>
      <c r="F2524" s="1">
        <f ca="1">IFERROR(__xludf.DUMMYFUNCTION("""COMPUTED_VALUE"""),10785031)</f>
        <v>10785031</v>
      </c>
    </row>
    <row r="2525" spans="1:6" x14ac:dyDescent="0.35">
      <c r="A2525" s="2">
        <f ca="1">IFERROR(__xludf.DUMMYFUNCTION("""COMPUTED_VALUE"""),45671.6666666666)</f>
        <v>45671.666666666599</v>
      </c>
      <c r="B2525" s="1">
        <f ca="1">IFERROR(__xludf.DUMMYFUNCTION("""COMPUTED_VALUE"""),605.07)</f>
        <v>605.07000000000005</v>
      </c>
      <c r="C2525" s="1">
        <f ca="1">IFERROR(__xludf.DUMMYFUNCTION("""COMPUTED_VALUE"""),605.49)</f>
        <v>605.49</v>
      </c>
      <c r="D2525" s="1">
        <f ca="1">IFERROR(__xludf.DUMMYFUNCTION("""COMPUTED_VALUE"""),588.55)</f>
        <v>588.54999999999995</v>
      </c>
      <c r="E2525" s="1">
        <f ca="1">IFERROR(__xludf.DUMMYFUNCTION("""COMPUTED_VALUE"""),594.25)</f>
        <v>594.25</v>
      </c>
      <c r="F2525" s="1">
        <f ca="1">IFERROR(__xludf.DUMMYFUNCTION("""COMPUTED_VALUE"""),13597992)</f>
        <v>13597992</v>
      </c>
    </row>
    <row r="2526" spans="1:6" x14ac:dyDescent="0.35">
      <c r="A2526" s="2">
        <f ca="1">IFERROR(__xludf.DUMMYFUNCTION("""COMPUTED_VALUE"""),45672.6666666666)</f>
        <v>45672.666666666599</v>
      </c>
      <c r="B2526" s="1">
        <f ca="1">IFERROR(__xludf.DUMMYFUNCTION("""COMPUTED_VALUE"""),610.21)</f>
        <v>610.21</v>
      </c>
      <c r="C2526" s="1">
        <f ca="1">IFERROR(__xludf.DUMMYFUNCTION("""COMPUTED_VALUE"""),622.46)</f>
        <v>622.46</v>
      </c>
      <c r="D2526" s="1">
        <f ca="1">IFERROR(__xludf.DUMMYFUNCTION("""COMPUTED_VALUE"""),606.5)</f>
        <v>606.5</v>
      </c>
      <c r="E2526" s="1">
        <f ca="1">IFERROR(__xludf.DUMMYFUNCTION("""COMPUTED_VALUE"""),617.12)</f>
        <v>617.12</v>
      </c>
      <c r="F2526" s="1">
        <f ca="1">IFERROR(__xludf.DUMMYFUNCTION("""COMPUTED_VALUE"""),15524302)</f>
        <v>15524302</v>
      </c>
    </row>
    <row r="2527" spans="1:6" x14ac:dyDescent="0.35">
      <c r="A2527" s="2">
        <f ca="1">IFERROR(__xludf.DUMMYFUNCTION("""COMPUTED_VALUE"""),45673.6666666666)</f>
        <v>45673.666666666599</v>
      </c>
      <c r="B2527" s="1">
        <f ca="1">IFERROR(__xludf.DUMMYFUNCTION("""COMPUTED_VALUE"""),611.5)</f>
        <v>611.5</v>
      </c>
      <c r="C2527" s="1">
        <f ca="1">IFERROR(__xludf.DUMMYFUNCTION("""COMPUTED_VALUE"""),616.25)</f>
        <v>616.25</v>
      </c>
      <c r="D2527" s="1">
        <f ca="1">IFERROR(__xludf.DUMMYFUNCTION("""COMPUTED_VALUE"""),609.71)</f>
        <v>609.71</v>
      </c>
      <c r="E2527" s="1">
        <f ca="1">IFERROR(__xludf.DUMMYFUNCTION("""COMPUTED_VALUE"""),611.3)</f>
        <v>611.29999999999995</v>
      </c>
      <c r="F2527" s="1">
        <f ca="1">IFERROR(__xludf.DUMMYFUNCTION("""COMPUTED_VALUE"""),8355349)</f>
        <v>8355349</v>
      </c>
    </row>
    <row r="2528" spans="1:6" x14ac:dyDescent="0.35">
      <c r="A2528" s="2">
        <f ca="1">IFERROR(__xludf.DUMMYFUNCTION("""COMPUTED_VALUE"""),45674.6666666666)</f>
        <v>45674.666666666599</v>
      </c>
      <c r="B2528" s="1">
        <f ca="1">IFERROR(__xludf.DUMMYFUNCTION("""COMPUTED_VALUE"""),624.05)</f>
        <v>624.04999999999995</v>
      </c>
      <c r="C2528" s="1">
        <f ca="1">IFERROR(__xludf.DUMMYFUNCTION("""COMPUTED_VALUE"""),624.97)</f>
        <v>624.97</v>
      </c>
      <c r="D2528" s="1">
        <f ca="1">IFERROR(__xludf.DUMMYFUNCTION("""COMPUTED_VALUE"""),603.67)</f>
        <v>603.66999999999996</v>
      </c>
      <c r="E2528" s="1">
        <f ca="1">IFERROR(__xludf.DUMMYFUNCTION("""COMPUTED_VALUE"""),612.77)</f>
        <v>612.77</v>
      </c>
      <c r="F2528" s="1">
        <f ca="1">IFERROR(__xludf.DUMMYFUNCTION("""COMPUTED_VALUE"""),17280600)</f>
        <v>17280600</v>
      </c>
    </row>
    <row r="2529" spans="1:6" x14ac:dyDescent="0.35">
      <c r="A2529" s="2">
        <f ca="1">IFERROR(__xludf.DUMMYFUNCTION("""COMPUTED_VALUE"""),45678.6666666666)</f>
        <v>45678.666666666599</v>
      </c>
      <c r="B2529" s="1">
        <f ca="1">IFERROR(__xludf.DUMMYFUNCTION("""COMPUTED_VALUE"""),617.83)</f>
        <v>617.83000000000004</v>
      </c>
      <c r="C2529" s="1">
        <f ca="1">IFERROR(__xludf.DUMMYFUNCTION("""COMPUTED_VALUE"""),621.5)</f>
        <v>621.5</v>
      </c>
      <c r="D2529" s="1">
        <f ca="1">IFERROR(__xludf.DUMMYFUNCTION("""COMPUTED_VALUE"""),609.01)</f>
        <v>609.01</v>
      </c>
      <c r="E2529" s="1">
        <f ca="1">IFERROR(__xludf.DUMMYFUNCTION("""COMPUTED_VALUE"""),616.46)</f>
        <v>616.46</v>
      </c>
      <c r="F2529" s="1">
        <f ca="1">IFERROR(__xludf.DUMMYFUNCTION("""COMPUTED_VALUE"""),11674016)</f>
        <v>11674016</v>
      </c>
    </row>
    <row r="2530" spans="1:6" x14ac:dyDescent="0.35">
      <c r="A2530" s="2">
        <f ca="1">IFERROR(__xludf.DUMMYFUNCTION("""COMPUTED_VALUE"""),45679.6666666666)</f>
        <v>45679.666666666599</v>
      </c>
      <c r="B2530" s="1">
        <f ca="1">IFERROR(__xludf.DUMMYFUNCTION("""COMPUTED_VALUE"""),623.3)</f>
        <v>623.29999999999995</v>
      </c>
      <c r="C2530" s="1">
        <f ca="1">IFERROR(__xludf.DUMMYFUNCTION("""COMPUTED_VALUE"""),633.7)</f>
        <v>633.70000000000005</v>
      </c>
      <c r="D2530" s="1">
        <f ca="1">IFERROR(__xludf.DUMMYFUNCTION("""COMPUTED_VALUE"""),619.43)</f>
        <v>619.42999999999995</v>
      </c>
      <c r="E2530" s="1">
        <f ca="1">IFERROR(__xludf.DUMMYFUNCTION("""COMPUTED_VALUE"""),623.5)</f>
        <v>623.5</v>
      </c>
      <c r="F2530" s="1">
        <f ca="1">IFERROR(__xludf.DUMMYFUNCTION("""COMPUTED_VALUE"""),12274011)</f>
        <v>12274011</v>
      </c>
    </row>
    <row r="2531" spans="1:6" x14ac:dyDescent="0.35">
      <c r="A2531" s="2">
        <f ca="1">IFERROR(__xludf.DUMMYFUNCTION("""COMPUTED_VALUE"""),45680.6666666666)</f>
        <v>45680.666666666599</v>
      </c>
      <c r="B2531" s="1">
        <f ca="1">IFERROR(__xludf.DUMMYFUNCTION("""COMPUTED_VALUE"""),627.36)</f>
        <v>627.36</v>
      </c>
      <c r="C2531" s="1">
        <f ca="1">IFERROR(__xludf.DUMMYFUNCTION("""COMPUTED_VALUE"""),636.6)</f>
        <v>636.6</v>
      </c>
      <c r="D2531" s="1">
        <f ca="1">IFERROR(__xludf.DUMMYFUNCTION("""COMPUTED_VALUE"""),621.15)</f>
        <v>621.15</v>
      </c>
      <c r="E2531" s="1">
        <f ca="1">IFERROR(__xludf.DUMMYFUNCTION("""COMPUTED_VALUE"""),636.45)</f>
        <v>636.45000000000005</v>
      </c>
      <c r="F2531" s="1">
        <f ca="1">IFERROR(__xludf.DUMMYFUNCTION("""COMPUTED_VALUE"""),9910163)</f>
        <v>9910163</v>
      </c>
    </row>
    <row r="2532" spans="1:6" x14ac:dyDescent="0.35">
      <c r="A2532" s="2">
        <f ca="1">IFERROR(__xludf.DUMMYFUNCTION("""COMPUTED_VALUE"""),45681.6666666666)</f>
        <v>45681.666666666599</v>
      </c>
      <c r="B2532" s="1">
        <f ca="1">IFERROR(__xludf.DUMMYFUNCTION("""COMPUTED_VALUE"""),636.4)</f>
        <v>636.4</v>
      </c>
      <c r="C2532" s="1">
        <f ca="1">IFERROR(__xludf.DUMMYFUNCTION("""COMPUTED_VALUE"""),652)</f>
        <v>652</v>
      </c>
      <c r="D2532" s="1">
        <f ca="1">IFERROR(__xludf.DUMMYFUNCTION("""COMPUTED_VALUE"""),634.2)</f>
        <v>634.20000000000005</v>
      </c>
      <c r="E2532" s="1">
        <f ca="1">IFERROR(__xludf.DUMMYFUNCTION("""COMPUTED_VALUE"""),647.49)</f>
        <v>647.49</v>
      </c>
      <c r="F2532" s="1">
        <f ca="1">IFERROR(__xludf.DUMMYFUNCTION("""COMPUTED_VALUE"""),19065329)</f>
        <v>19065329</v>
      </c>
    </row>
    <row r="2533" spans="1:6" x14ac:dyDescent="0.35">
      <c r="A2533" s="2">
        <f ca="1">IFERROR(__xludf.DUMMYFUNCTION("""COMPUTED_VALUE"""),45684.6666666666)</f>
        <v>45684.666666666599</v>
      </c>
      <c r="B2533" s="1">
        <f ca="1">IFERROR(__xludf.DUMMYFUNCTION("""COMPUTED_VALUE"""),626.61)</f>
        <v>626.61</v>
      </c>
      <c r="C2533" s="1">
        <f ca="1">IFERROR(__xludf.DUMMYFUNCTION("""COMPUTED_VALUE"""),663.87)</f>
        <v>663.87</v>
      </c>
      <c r="D2533" s="1">
        <f ca="1">IFERROR(__xludf.DUMMYFUNCTION("""COMPUTED_VALUE"""),625.1)</f>
        <v>625.1</v>
      </c>
      <c r="E2533" s="1">
        <f ca="1">IFERROR(__xludf.DUMMYFUNCTION("""COMPUTED_VALUE"""),659.88)</f>
        <v>659.88</v>
      </c>
      <c r="F2533" s="1">
        <f ca="1">IFERROR(__xludf.DUMMYFUNCTION("""COMPUTED_VALUE"""),28399190)</f>
        <v>28399190</v>
      </c>
    </row>
    <row r="2534" spans="1:6" x14ac:dyDescent="0.35">
      <c r="A2534" s="2">
        <f ca="1">IFERROR(__xludf.DUMMYFUNCTION("""COMPUTED_VALUE"""),45685.6666666666)</f>
        <v>45685.666666666599</v>
      </c>
      <c r="B2534" s="1">
        <f ca="1">IFERROR(__xludf.DUMMYFUNCTION("""COMPUTED_VALUE"""),666)</f>
        <v>666</v>
      </c>
      <c r="C2534" s="1">
        <f ca="1">IFERROR(__xludf.DUMMYFUNCTION("""COMPUTED_VALUE"""),682.58)</f>
        <v>682.58</v>
      </c>
      <c r="D2534" s="1">
        <f ca="1">IFERROR(__xludf.DUMMYFUNCTION("""COMPUTED_VALUE"""),659.47)</f>
        <v>659.47</v>
      </c>
      <c r="E2534" s="1">
        <f ca="1">IFERROR(__xludf.DUMMYFUNCTION("""COMPUTED_VALUE"""),674.33)</f>
        <v>674.33</v>
      </c>
      <c r="F2534" s="1">
        <f ca="1">IFERROR(__xludf.DUMMYFUNCTION("""COMPUTED_VALUE"""),20950107)</f>
        <v>20950107</v>
      </c>
    </row>
    <row r="2535" spans="1:6" x14ac:dyDescent="0.35">
      <c r="A2535" s="2">
        <f ca="1">IFERROR(__xludf.DUMMYFUNCTION("""COMPUTED_VALUE"""),45686.6666666666)</f>
        <v>45686.666666666599</v>
      </c>
      <c r="B2535" s="1">
        <f ca="1">IFERROR(__xludf.DUMMYFUNCTION("""COMPUTED_VALUE"""),675)</f>
        <v>675</v>
      </c>
      <c r="C2535" s="1">
        <f ca="1">IFERROR(__xludf.DUMMYFUNCTION("""COMPUTED_VALUE"""),681.05)</f>
        <v>681.05</v>
      </c>
      <c r="D2535" s="1">
        <f ca="1">IFERROR(__xludf.DUMMYFUNCTION("""COMPUTED_VALUE"""),665.67)</f>
        <v>665.67</v>
      </c>
      <c r="E2535" s="1">
        <f ca="1">IFERROR(__xludf.DUMMYFUNCTION("""COMPUTED_VALUE"""),676.49)</f>
        <v>676.49</v>
      </c>
      <c r="F2535" s="1">
        <f ca="1">IFERROR(__xludf.DUMMYFUNCTION("""COMPUTED_VALUE"""),21377820)</f>
        <v>21377820</v>
      </c>
    </row>
    <row r="2536" spans="1:6" x14ac:dyDescent="0.35">
      <c r="A2536" s="2">
        <f ca="1">IFERROR(__xludf.DUMMYFUNCTION("""COMPUTED_VALUE"""),45687.6666666666)</f>
        <v>45687.666666666599</v>
      </c>
      <c r="B2536" s="1">
        <f ca="1">IFERROR(__xludf.DUMMYFUNCTION("""COMPUTED_VALUE"""),696.82)</f>
        <v>696.82</v>
      </c>
      <c r="C2536" s="1">
        <f ca="1">IFERROR(__xludf.DUMMYFUNCTION("""COMPUTED_VALUE"""),710.79)</f>
        <v>710.79</v>
      </c>
      <c r="D2536" s="1">
        <f ca="1">IFERROR(__xludf.DUMMYFUNCTION("""COMPUTED_VALUE"""),676.1)</f>
        <v>676.1</v>
      </c>
      <c r="E2536" s="1">
        <f ca="1">IFERROR(__xludf.DUMMYFUNCTION("""COMPUTED_VALUE"""),687)</f>
        <v>687</v>
      </c>
      <c r="F2536" s="1">
        <f ca="1">IFERROR(__xludf.DUMMYFUNCTION("""COMPUTED_VALUE"""),29322898)</f>
        <v>29322898</v>
      </c>
    </row>
    <row r="2537" spans="1:6" x14ac:dyDescent="0.35">
      <c r="A2537" s="2">
        <f ca="1">IFERROR(__xludf.DUMMYFUNCTION("""COMPUTED_VALUE"""),45688.6666666666)</f>
        <v>45688.666666666599</v>
      </c>
      <c r="B2537" s="1">
        <f ca="1">IFERROR(__xludf.DUMMYFUNCTION("""COMPUTED_VALUE"""),691)</f>
        <v>691</v>
      </c>
      <c r="C2537" s="1">
        <f ca="1">IFERROR(__xludf.DUMMYFUNCTION("""COMPUTED_VALUE"""),705.3)</f>
        <v>705.3</v>
      </c>
      <c r="D2537" s="1">
        <f ca="1">IFERROR(__xludf.DUMMYFUNCTION("""COMPUTED_VALUE"""),685.58)</f>
        <v>685.58</v>
      </c>
      <c r="E2537" s="1">
        <f ca="1">IFERROR(__xludf.DUMMYFUNCTION("""COMPUTED_VALUE"""),689.18)</f>
        <v>689.18</v>
      </c>
      <c r="F2537" s="1">
        <f ca="1">IFERROR(__xludf.DUMMYFUNCTION("""COMPUTED_VALUE"""),19331660)</f>
        <v>19331660</v>
      </c>
    </row>
    <row r="2538" spans="1:6" x14ac:dyDescent="0.35">
      <c r="A2538" s="2">
        <f ca="1">IFERROR(__xludf.DUMMYFUNCTION("""COMPUTED_VALUE"""),45691.6666666666)</f>
        <v>45691.666666666599</v>
      </c>
      <c r="B2538" s="1">
        <f ca="1">IFERROR(__xludf.DUMMYFUNCTION("""COMPUTED_VALUE"""),675.91)</f>
        <v>675.91</v>
      </c>
      <c r="C2538" s="1">
        <f ca="1">IFERROR(__xludf.DUMMYFUNCTION("""COMPUTED_VALUE"""),704)</f>
        <v>704</v>
      </c>
      <c r="D2538" s="1">
        <f ca="1">IFERROR(__xludf.DUMMYFUNCTION("""COMPUTED_VALUE"""),675.25)</f>
        <v>675.25</v>
      </c>
      <c r="E2538" s="1">
        <f ca="1">IFERROR(__xludf.DUMMYFUNCTION("""COMPUTED_VALUE"""),697.46)</f>
        <v>697.46</v>
      </c>
      <c r="F2538" s="1">
        <f ca="1">IFERROR(__xludf.DUMMYFUNCTION("""COMPUTED_VALUE"""),21415739)</f>
        <v>21415739</v>
      </c>
    </row>
    <row r="2539" spans="1:6" x14ac:dyDescent="0.35">
      <c r="A2539" s="2">
        <f ca="1">IFERROR(__xludf.DUMMYFUNCTION("""COMPUTED_VALUE"""),45692.6666666666)</f>
        <v>45692.666666666599</v>
      </c>
      <c r="B2539" s="1">
        <f ca="1">IFERROR(__xludf.DUMMYFUNCTION("""COMPUTED_VALUE"""),702.5)</f>
        <v>702.5</v>
      </c>
      <c r="C2539" s="1">
        <f ca="1">IFERROR(__xludf.DUMMYFUNCTION("""COMPUTED_VALUE"""),707.71)</f>
        <v>707.71</v>
      </c>
      <c r="D2539" s="1">
        <f ca="1">IFERROR(__xludf.DUMMYFUNCTION("""COMPUTED_VALUE"""),691.61)</f>
        <v>691.61</v>
      </c>
      <c r="E2539" s="1">
        <f ca="1">IFERROR(__xludf.DUMMYFUNCTION("""COMPUTED_VALUE"""),704.19)</f>
        <v>704.19</v>
      </c>
      <c r="F2539" s="1">
        <f ca="1">IFERROR(__xludf.DUMMYFUNCTION("""COMPUTED_VALUE"""),13826270)</f>
        <v>13826270</v>
      </c>
    </row>
    <row r="2540" spans="1:6" x14ac:dyDescent="0.35">
      <c r="A2540" s="2">
        <f ca="1">IFERROR(__xludf.DUMMYFUNCTION("""COMPUTED_VALUE"""),45693.6666666666)</f>
        <v>45693.666666666599</v>
      </c>
      <c r="B2540" s="1">
        <f ca="1">IFERROR(__xludf.DUMMYFUNCTION("""COMPUTED_VALUE"""),703.55)</f>
        <v>703.55</v>
      </c>
      <c r="C2540" s="1">
        <f ca="1">IFERROR(__xludf.DUMMYFUNCTION("""COMPUTED_VALUE"""),718.14)</f>
        <v>718.14</v>
      </c>
      <c r="D2540" s="1">
        <f ca="1">IFERROR(__xludf.DUMMYFUNCTION("""COMPUTED_VALUE"""),699.01)</f>
        <v>699.01</v>
      </c>
      <c r="E2540" s="1">
        <f ca="1">IFERROR(__xludf.DUMMYFUNCTION("""COMPUTED_VALUE"""),704.87)</f>
        <v>704.87</v>
      </c>
      <c r="F2540" s="1">
        <f ca="1">IFERROR(__xludf.DUMMYFUNCTION("""COMPUTED_VALUE"""),17793766)</f>
        <v>17793766</v>
      </c>
    </row>
    <row r="2541" spans="1:6" x14ac:dyDescent="0.35">
      <c r="A2541" s="2">
        <f ca="1">IFERROR(__xludf.DUMMYFUNCTION("""COMPUTED_VALUE"""),45694.6666666666)</f>
        <v>45694.666666666599</v>
      </c>
      <c r="B2541" s="1">
        <f ca="1">IFERROR(__xludf.DUMMYFUNCTION("""COMPUTED_VALUE"""),705.88)</f>
        <v>705.88</v>
      </c>
      <c r="C2541" s="1">
        <f ca="1">IFERROR(__xludf.DUMMYFUNCTION("""COMPUTED_VALUE"""),718.9)</f>
        <v>718.9</v>
      </c>
      <c r="D2541" s="1">
        <f ca="1">IFERROR(__xludf.DUMMYFUNCTION("""COMPUTED_VALUE"""),703.5)</f>
        <v>703.5</v>
      </c>
      <c r="E2541" s="1">
        <f ca="1">IFERROR(__xludf.DUMMYFUNCTION("""COMPUTED_VALUE"""),711.99)</f>
        <v>711.99</v>
      </c>
      <c r="F2541" s="1">
        <f ca="1">IFERROR(__xludf.DUMMYFUNCTION("""COMPUTED_VALUE"""),13080690)</f>
        <v>13080690</v>
      </c>
    </row>
    <row r="2542" spans="1:6" x14ac:dyDescent="0.35">
      <c r="A2542" s="2">
        <f ca="1">IFERROR(__xludf.DUMMYFUNCTION("""COMPUTED_VALUE"""),45695.6666666666)</f>
        <v>45695.666666666599</v>
      </c>
      <c r="B2542" s="1">
        <f ca="1">IFERROR(__xludf.DUMMYFUNCTION("""COMPUTED_VALUE"""),716.8)</f>
        <v>716.8</v>
      </c>
      <c r="C2542" s="1">
        <f ca="1">IFERROR(__xludf.DUMMYFUNCTION("""COMPUTED_VALUE"""),725.01)</f>
        <v>725.01</v>
      </c>
      <c r="D2542" s="1">
        <f ca="1">IFERROR(__xludf.DUMMYFUNCTION("""COMPUTED_VALUE"""),711.75)</f>
        <v>711.75</v>
      </c>
      <c r="E2542" s="1">
        <f ca="1">IFERROR(__xludf.DUMMYFUNCTION("""COMPUTED_VALUE"""),714.52)</f>
        <v>714.52</v>
      </c>
      <c r="F2542" s="1">
        <f ca="1">IFERROR(__xludf.DUMMYFUNCTION("""COMPUTED_VALUE"""),16427067)</f>
        <v>16427067</v>
      </c>
    </row>
    <row r="2543" spans="1:6" x14ac:dyDescent="0.35">
      <c r="A2543" s="2">
        <f ca="1">IFERROR(__xludf.DUMMYFUNCTION("""COMPUTED_VALUE"""),45698.6666666666)</f>
        <v>45698.666666666599</v>
      </c>
      <c r="B2543" s="1">
        <f ca="1">IFERROR(__xludf.DUMMYFUNCTION("""COMPUTED_VALUE"""),718.56)</f>
        <v>718.56</v>
      </c>
      <c r="C2543" s="1">
        <f ca="1">IFERROR(__xludf.DUMMYFUNCTION("""COMPUTED_VALUE"""),721.2)</f>
        <v>721.2</v>
      </c>
      <c r="D2543" s="1">
        <f ca="1">IFERROR(__xludf.DUMMYFUNCTION("""COMPUTED_VALUE"""),711.33)</f>
        <v>711.33</v>
      </c>
      <c r="E2543" s="1">
        <f ca="1">IFERROR(__xludf.DUMMYFUNCTION("""COMPUTED_VALUE"""),717.4)</f>
        <v>717.4</v>
      </c>
      <c r="F2543" s="1">
        <f ca="1">IFERROR(__xludf.DUMMYFUNCTION("""COMPUTED_VALUE"""),12904317)</f>
        <v>12904317</v>
      </c>
    </row>
    <row r="2544" spans="1:6" x14ac:dyDescent="0.35">
      <c r="A2544" s="2">
        <f ca="1">IFERROR(__xludf.DUMMYFUNCTION("""COMPUTED_VALUE"""),45699.6666666666)</f>
        <v>45699.666666666599</v>
      </c>
      <c r="B2544" s="1">
        <f ca="1">IFERROR(__xludf.DUMMYFUNCTION("""COMPUTED_VALUE"""),713.32)</f>
        <v>713.32</v>
      </c>
      <c r="C2544" s="1">
        <f ca="1">IFERROR(__xludf.DUMMYFUNCTION("""COMPUTED_VALUE"""),723.66)</f>
        <v>723.66</v>
      </c>
      <c r="D2544" s="1">
        <f ca="1">IFERROR(__xludf.DUMMYFUNCTION("""COMPUTED_VALUE"""),710.04)</f>
        <v>710.04</v>
      </c>
      <c r="E2544" s="1">
        <f ca="1">IFERROR(__xludf.DUMMYFUNCTION("""COMPUTED_VALUE"""),719.8)</f>
        <v>719.8</v>
      </c>
      <c r="F2544" s="1">
        <f ca="1">IFERROR(__xludf.DUMMYFUNCTION("""COMPUTED_VALUE"""),12997959)</f>
        <v>12997959</v>
      </c>
    </row>
    <row r="2545" spans="1:6" x14ac:dyDescent="0.35">
      <c r="A2545" s="2">
        <f ca="1">IFERROR(__xludf.DUMMYFUNCTION("""COMPUTED_VALUE"""),45700.6666666666)</f>
        <v>45700.666666666599</v>
      </c>
      <c r="B2545" s="1">
        <f ca="1">IFERROR(__xludf.DUMMYFUNCTION("""COMPUTED_VALUE"""),715.3)</f>
        <v>715.3</v>
      </c>
      <c r="C2545" s="1">
        <f ca="1">IFERROR(__xludf.DUMMYFUNCTION("""COMPUTED_VALUE"""),727.1)</f>
        <v>727.1</v>
      </c>
      <c r="D2545" s="1">
        <f ca="1">IFERROR(__xludf.DUMMYFUNCTION("""COMPUTED_VALUE"""),712.6)</f>
        <v>712.6</v>
      </c>
      <c r="E2545" s="1">
        <f ca="1">IFERROR(__xludf.DUMMYFUNCTION("""COMPUTED_VALUE"""),725.38)</f>
        <v>725.38</v>
      </c>
      <c r="F2545" s="1">
        <f ca="1">IFERROR(__xludf.DUMMYFUNCTION("""COMPUTED_VALUE"""),12016517)</f>
        <v>12016517</v>
      </c>
    </row>
    <row r="2546" spans="1:6" x14ac:dyDescent="0.35">
      <c r="A2546" s="2">
        <f ca="1">IFERROR(__xludf.DUMMYFUNCTION("""COMPUTED_VALUE"""),45701.6666666666)</f>
        <v>45701.666666666599</v>
      </c>
      <c r="B2546" s="1">
        <f ca="1">IFERROR(__xludf.DUMMYFUNCTION("""COMPUTED_VALUE"""),721.52)</f>
        <v>721.52</v>
      </c>
      <c r="C2546" s="1">
        <f ca="1">IFERROR(__xludf.DUMMYFUNCTION("""COMPUTED_VALUE"""),729)</f>
        <v>729</v>
      </c>
      <c r="D2546" s="1">
        <f ca="1">IFERROR(__xludf.DUMMYFUNCTION("""COMPUTED_VALUE"""),718.04)</f>
        <v>718.04</v>
      </c>
      <c r="E2546" s="1">
        <f ca="1">IFERROR(__xludf.DUMMYFUNCTION("""COMPUTED_VALUE"""),728.56)</f>
        <v>728.56</v>
      </c>
      <c r="F2546" s="1">
        <f ca="1">IFERROR(__xludf.DUMMYFUNCTION("""COMPUTED_VALUE"""),12569064)</f>
        <v>12569064</v>
      </c>
    </row>
    <row r="2547" spans="1:6" x14ac:dyDescent="0.35">
      <c r="A2547" s="2">
        <f ca="1">IFERROR(__xludf.DUMMYFUNCTION("""COMPUTED_VALUE"""),45702.6666666666)</f>
        <v>45702.666666666599</v>
      </c>
      <c r="B2547" s="1">
        <f ca="1">IFERROR(__xludf.DUMMYFUNCTION("""COMPUTED_VALUE"""),726.14)</f>
        <v>726.14</v>
      </c>
      <c r="C2547" s="1">
        <f ca="1">IFERROR(__xludf.DUMMYFUNCTION("""COMPUTED_VALUE"""),740.91)</f>
        <v>740.91</v>
      </c>
      <c r="D2547" s="1">
        <f ca="1">IFERROR(__xludf.DUMMYFUNCTION("""COMPUTED_VALUE"""),725.62)</f>
        <v>725.62</v>
      </c>
      <c r="E2547" s="1">
        <f ca="1">IFERROR(__xludf.DUMMYFUNCTION("""COMPUTED_VALUE"""),736.67)</f>
        <v>736.67</v>
      </c>
      <c r="F2547" s="1">
        <f ca="1">IFERROR(__xludf.DUMMYFUNCTION("""COMPUTED_VALUE"""),16901249)</f>
        <v>16901249</v>
      </c>
    </row>
    <row r="2548" spans="1:6" x14ac:dyDescent="0.35">
      <c r="A2548" s="2">
        <f ca="1">IFERROR(__xludf.DUMMYFUNCTION("""COMPUTED_VALUE"""),45706.6666666666)</f>
        <v>45706.666666666599</v>
      </c>
      <c r="B2548" s="1">
        <f ca="1">IFERROR(__xludf.DUMMYFUNCTION("""COMPUTED_VALUE"""),736)</f>
        <v>736</v>
      </c>
      <c r="C2548" s="1">
        <f ca="1">IFERROR(__xludf.DUMMYFUNCTION("""COMPUTED_VALUE"""),737)</f>
        <v>737</v>
      </c>
      <c r="D2548" s="1">
        <f ca="1">IFERROR(__xludf.DUMMYFUNCTION("""COMPUTED_VALUE"""),706.44)</f>
        <v>706.44</v>
      </c>
      <c r="E2548" s="1">
        <f ca="1">IFERROR(__xludf.DUMMYFUNCTION("""COMPUTED_VALUE"""),716.37)</f>
        <v>716.37</v>
      </c>
      <c r="F2548" s="1">
        <f ca="1">IFERROR(__xludf.DUMMYFUNCTION("""COMPUTED_VALUE"""),21938703)</f>
        <v>21938703</v>
      </c>
    </row>
    <row r="2549" spans="1:6" x14ac:dyDescent="0.35">
      <c r="A2549" s="2">
        <f ca="1">IFERROR(__xludf.DUMMYFUNCTION("""COMPUTED_VALUE"""),45707.6666666666)</f>
        <v>45707.666666666599</v>
      </c>
      <c r="B2549" s="1">
        <f ca="1">IFERROR(__xludf.DUMMYFUNCTION("""COMPUTED_VALUE"""),704.1)</f>
        <v>704.1</v>
      </c>
      <c r="C2549" s="1">
        <f ca="1">IFERROR(__xludf.DUMMYFUNCTION("""COMPUTED_VALUE"""),707)</f>
        <v>707</v>
      </c>
      <c r="D2549" s="1">
        <f ca="1">IFERROR(__xludf.DUMMYFUNCTION("""COMPUTED_VALUE"""),695.39)</f>
        <v>695.39</v>
      </c>
      <c r="E2549" s="1">
        <f ca="1">IFERROR(__xludf.DUMMYFUNCTION("""COMPUTED_VALUE"""),703.77)</f>
        <v>703.77</v>
      </c>
      <c r="F2549" s="1">
        <f ca="1">IFERROR(__xludf.DUMMYFUNCTION("""COMPUTED_VALUE"""),17535480)</f>
        <v>17535480</v>
      </c>
    </row>
    <row r="2550" spans="1:6" x14ac:dyDescent="0.35">
      <c r="A2550" s="2">
        <f ca="1">IFERROR(__xludf.DUMMYFUNCTION("""COMPUTED_VALUE"""),45708.6666666666)</f>
        <v>45708.666666666599</v>
      </c>
      <c r="B2550" s="1">
        <f ca="1">IFERROR(__xludf.DUMMYFUNCTION("""COMPUTED_VALUE"""),697.28)</f>
        <v>697.28</v>
      </c>
      <c r="C2550" s="1">
        <f ca="1">IFERROR(__xludf.DUMMYFUNCTION("""COMPUTED_VALUE"""),705.63)</f>
        <v>705.63</v>
      </c>
      <c r="D2550" s="1">
        <f ca="1">IFERROR(__xludf.DUMMYFUNCTION("""COMPUTED_VALUE"""),693.64)</f>
        <v>693.64</v>
      </c>
      <c r="E2550" s="1">
        <f ca="1">IFERROR(__xludf.DUMMYFUNCTION("""COMPUTED_VALUE"""),694.84)</f>
        <v>694.84</v>
      </c>
      <c r="F2550" s="1">
        <f ca="1">IFERROR(__xludf.DUMMYFUNCTION("""COMPUTED_VALUE"""),12587408)</f>
        <v>12587408</v>
      </c>
    </row>
    <row r="2551" spans="1:6" x14ac:dyDescent="0.35">
      <c r="A2551" s="2">
        <f ca="1">IFERROR(__xludf.DUMMYFUNCTION("""COMPUTED_VALUE"""),45709.6666666666)</f>
        <v>45709.666666666599</v>
      </c>
      <c r="B2551" s="1">
        <f ca="1">IFERROR(__xludf.DUMMYFUNCTION("""COMPUTED_VALUE"""),696.58)</f>
        <v>696.58</v>
      </c>
      <c r="C2551" s="1">
        <f ca="1">IFERROR(__xludf.DUMMYFUNCTION("""COMPUTED_VALUE"""),703.87)</f>
        <v>703.87</v>
      </c>
      <c r="D2551" s="1">
        <f ca="1">IFERROR(__xludf.DUMMYFUNCTION("""COMPUTED_VALUE"""),682.36)</f>
        <v>682.36</v>
      </c>
      <c r="E2551" s="1">
        <f ca="1">IFERROR(__xludf.DUMMYFUNCTION("""COMPUTED_VALUE"""),683.55)</f>
        <v>683.55</v>
      </c>
      <c r="F2551" s="1">
        <f ca="1">IFERROR(__xludf.DUMMYFUNCTION("""COMPUTED_VALUE"""),15660355)</f>
        <v>15660355</v>
      </c>
    </row>
    <row r="2552" spans="1:6" x14ac:dyDescent="0.35">
      <c r="A2552" s="2">
        <f ca="1">IFERROR(__xludf.DUMMYFUNCTION("""COMPUTED_VALUE"""),45712.6666666666)</f>
        <v>45712.666666666599</v>
      </c>
      <c r="B2552" s="1">
        <f ca="1">IFERROR(__xludf.DUMMYFUNCTION("""COMPUTED_VALUE"""),686.28)</f>
        <v>686.28</v>
      </c>
      <c r="C2552" s="1">
        <f ca="1">IFERROR(__xludf.DUMMYFUNCTION("""COMPUTED_VALUE"""),687.27)</f>
        <v>687.27</v>
      </c>
      <c r="D2552" s="1">
        <f ca="1">IFERROR(__xludf.DUMMYFUNCTION("""COMPUTED_VALUE"""),662.45)</f>
        <v>662.45</v>
      </c>
      <c r="E2552" s="1">
        <f ca="1">IFERROR(__xludf.DUMMYFUNCTION("""COMPUTED_VALUE"""),668.13)</f>
        <v>668.13</v>
      </c>
      <c r="F2552" s="1">
        <f ca="1">IFERROR(__xludf.DUMMYFUNCTION("""COMPUTED_VALUE"""),15676994)</f>
        <v>15676994</v>
      </c>
    </row>
    <row r="2553" spans="1:6" x14ac:dyDescent="0.35">
      <c r="A2553" s="2">
        <f ca="1">IFERROR(__xludf.DUMMYFUNCTION("""COMPUTED_VALUE"""),45713.6666666666)</f>
        <v>45713.666666666599</v>
      </c>
      <c r="B2553" s="1">
        <f ca="1">IFERROR(__xludf.DUMMYFUNCTION("""COMPUTED_VALUE"""),665.97)</f>
        <v>665.97</v>
      </c>
      <c r="C2553" s="1">
        <f ca="1">IFERROR(__xludf.DUMMYFUNCTION("""COMPUTED_VALUE"""),668)</f>
        <v>668</v>
      </c>
      <c r="D2553" s="1">
        <f ca="1">IFERROR(__xludf.DUMMYFUNCTION("""COMPUTED_VALUE"""),641.86)</f>
        <v>641.86</v>
      </c>
      <c r="E2553" s="1">
        <f ca="1">IFERROR(__xludf.DUMMYFUNCTION("""COMPUTED_VALUE"""),657.5)</f>
        <v>657.5</v>
      </c>
      <c r="F2553" s="1">
        <f ca="1">IFERROR(__xludf.DUMMYFUNCTION("""COMPUTED_VALUE"""),20579662)</f>
        <v>20579662</v>
      </c>
    </row>
    <row r="2554" spans="1:6" x14ac:dyDescent="0.35">
      <c r="A2554" s="2">
        <f ca="1">IFERROR(__xludf.DUMMYFUNCTION("""COMPUTED_VALUE"""),45714.6666666666)</f>
        <v>45714.666666666599</v>
      </c>
      <c r="B2554" s="1">
        <f ca="1">IFERROR(__xludf.DUMMYFUNCTION("""COMPUTED_VALUE"""),659.65)</f>
        <v>659.65</v>
      </c>
      <c r="C2554" s="1">
        <f ca="1">IFERROR(__xludf.DUMMYFUNCTION("""COMPUTED_VALUE"""),683.01)</f>
        <v>683.01</v>
      </c>
      <c r="D2554" s="1">
        <f ca="1">IFERROR(__xludf.DUMMYFUNCTION("""COMPUTED_VALUE"""),658)</f>
        <v>658</v>
      </c>
      <c r="E2554" s="1">
        <f ca="1">IFERROR(__xludf.DUMMYFUNCTION("""COMPUTED_VALUE"""),673.7)</f>
        <v>673.7</v>
      </c>
      <c r="F2554" s="1">
        <f ca="1">IFERROR(__xludf.DUMMYFUNCTION("""COMPUTED_VALUE"""),14488705)</f>
        <v>14488705</v>
      </c>
    </row>
    <row r="2555" spans="1:6" x14ac:dyDescent="0.35">
      <c r="A2555" s="2">
        <f ca="1">IFERROR(__xludf.DUMMYFUNCTION("""COMPUTED_VALUE"""),45715.6666666666)</f>
        <v>45715.666666666599</v>
      </c>
      <c r="B2555" s="1">
        <f ca="1">IFERROR(__xludf.DUMMYFUNCTION("""COMPUTED_VALUE"""),682.45)</f>
        <v>682.45</v>
      </c>
      <c r="C2555" s="1">
        <f ca="1">IFERROR(__xludf.DUMMYFUNCTION("""COMPUTED_VALUE"""),688.65)</f>
        <v>688.65</v>
      </c>
      <c r="D2555" s="1">
        <f ca="1">IFERROR(__xludf.DUMMYFUNCTION("""COMPUTED_VALUE"""),657.57)</f>
        <v>657.57</v>
      </c>
      <c r="E2555" s="1">
        <f ca="1">IFERROR(__xludf.DUMMYFUNCTION("""COMPUTED_VALUE"""),658.24)</f>
        <v>658.24</v>
      </c>
      <c r="F2555" s="1">
        <f ca="1">IFERROR(__xludf.DUMMYFUNCTION("""COMPUTED_VALUE"""),12500013)</f>
        <v>12500013</v>
      </c>
    </row>
    <row r="2556" spans="1:6" x14ac:dyDescent="0.35">
      <c r="A2556" s="2">
        <f ca="1">IFERROR(__xludf.DUMMYFUNCTION("""COMPUTED_VALUE"""),45716.6666666666)</f>
        <v>45716.666666666599</v>
      </c>
      <c r="B2556" s="1">
        <f ca="1">IFERROR(__xludf.DUMMYFUNCTION("""COMPUTED_VALUE"""),658.04)</f>
        <v>658.04</v>
      </c>
      <c r="C2556" s="1">
        <f ca="1">IFERROR(__xludf.DUMMYFUNCTION("""COMPUTED_VALUE"""),669.63)</f>
        <v>669.63</v>
      </c>
      <c r="D2556" s="1">
        <f ca="1">IFERROR(__xludf.DUMMYFUNCTION("""COMPUTED_VALUE"""),642.6)</f>
        <v>642.6</v>
      </c>
      <c r="E2556" s="1">
        <f ca="1">IFERROR(__xludf.DUMMYFUNCTION("""COMPUTED_VALUE"""),668.2)</f>
        <v>668.2</v>
      </c>
      <c r="F2556" s="1">
        <f ca="1">IFERROR(__xludf.DUMMYFUNCTION("""COMPUTED_VALUE"""),17534168)</f>
        <v>17534168</v>
      </c>
    </row>
    <row r="2557" spans="1:6" x14ac:dyDescent="0.35">
      <c r="A2557" s="2">
        <f ca="1">IFERROR(__xludf.DUMMYFUNCTION("""COMPUTED_VALUE"""),45719.6666666666)</f>
        <v>45719.666666666599</v>
      </c>
      <c r="B2557" s="1">
        <f ca="1">IFERROR(__xludf.DUMMYFUNCTION("""COMPUTED_VALUE"""),673.68)</f>
        <v>673.68</v>
      </c>
      <c r="C2557" s="1">
        <f ca="1">IFERROR(__xludf.DUMMYFUNCTION("""COMPUTED_VALUE"""),681.25)</f>
        <v>681.25</v>
      </c>
      <c r="D2557" s="1">
        <f ca="1">IFERROR(__xludf.DUMMYFUNCTION("""COMPUTED_VALUE"""),650.84)</f>
        <v>650.84</v>
      </c>
      <c r="E2557" s="1">
        <f ca="1">IFERROR(__xludf.DUMMYFUNCTION("""COMPUTED_VALUE"""),655.05)</f>
        <v>655.04999999999995</v>
      </c>
      <c r="F2557" s="1">
        <f ca="1">IFERROR(__xludf.DUMMYFUNCTION("""COMPUTED_VALUE"""),10843763)</f>
        <v>10843763</v>
      </c>
    </row>
    <row r="2558" spans="1:6" x14ac:dyDescent="0.35">
      <c r="A2558" s="2">
        <f ca="1">IFERROR(__xludf.DUMMYFUNCTION("""COMPUTED_VALUE"""),45720.6666666666)</f>
        <v>45720.666666666599</v>
      </c>
      <c r="B2558" s="1">
        <f ca="1">IFERROR(__xludf.DUMMYFUNCTION("""COMPUTED_VALUE"""),645.51)</f>
        <v>645.51</v>
      </c>
      <c r="C2558" s="1">
        <f ca="1">IFERROR(__xludf.DUMMYFUNCTION("""COMPUTED_VALUE"""),649.75)</f>
        <v>649.75</v>
      </c>
      <c r="D2558" s="1">
        <f ca="1">IFERROR(__xludf.DUMMYFUNCTION("""COMPUTED_VALUE"""),623.65)</f>
        <v>623.65</v>
      </c>
      <c r="E2558" s="1">
        <f ca="1">IFERROR(__xludf.DUMMYFUNCTION("""COMPUTED_VALUE"""),640)</f>
        <v>640</v>
      </c>
      <c r="F2558" s="1">
        <f ca="1">IFERROR(__xludf.DUMMYFUNCTION("""COMPUTED_VALUE"""),21495208)</f>
        <v>21495208</v>
      </c>
    </row>
    <row r="2559" spans="1:6" x14ac:dyDescent="0.35">
      <c r="A2559" s="2">
        <f ca="1">IFERROR(__xludf.DUMMYFUNCTION("""COMPUTED_VALUE"""),45721.6666666666)</f>
        <v>45721.666666666599</v>
      </c>
      <c r="B2559" s="1">
        <f ca="1">IFERROR(__xludf.DUMMYFUNCTION("""COMPUTED_VALUE"""),641)</f>
        <v>641</v>
      </c>
      <c r="C2559" s="1">
        <f ca="1">IFERROR(__xludf.DUMMYFUNCTION("""COMPUTED_VALUE"""),659.5)</f>
        <v>659.5</v>
      </c>
      <c r="D2559" s="1">
        <f ca="1">IFERROR(__xludf.DUMMYFUNCTION("""COMPUTED_VALUE"""),637.66)</f>
        <v>637.66</v>
      </c>
      <c r="E2559" s="1">
        <f ca="1">IFERROR(__xludf.DUMMYFUNCTION("""COMPUTED_VALUE"""),656.47)</f>
        <v>656.47</v>
      </c>
      <c r="F2559" s="1">
        <f ca="1">IFERROR(__xludf.DUMMYFUNCTION("""COMPUTED_VALUE"""),13770026)</f>
        <v>13770026</v>
      </c>
    </row>
    <row r="2560" spans="1:6" x14ac:dyDescent="0.35">
      <c r="A2560" s="2">
        <f ca="1">IFERROR(__xludf.DUMMYFUNCTION("""COMPUTED_VALUE"""),45722.6666666666)</f>
        <v>45722.666666666599</v>
      </c>
      <c r="B2560" s="1">
        <f ca="1">IFERROR(__xludf.DUMMYFUNCTION("""COMPUTED_VALUE"""),648)</f>
        <v>648</v>
      </c>
      <c r="C2560" s="1">
        <f ca="1">IFERROR(__xludf.DUMMYFUNCTION("""COMPUTED_VALUE"""),650.56)</f>
        <v>650.55999999999995</v>
      </c>
      <c r="D2560" s="1">
        <f ca="1">IFERROR(__xludf.DUMMYFUNCTION("""COMPUTED_VALUE"""),624.11)</f>
        <v>624.11</v>
      </c>
      <c r="E2560" s="1">
        <f ca="1">IFERROR(__xludf.DUMMYFUNCTION("""COMPUTED_VALUE"""),627.93)</f>
        <v>627.92999999999995</v>
      </c>
      <c r="F2560" s="1">
        <f ca="1">IFERROR(__xludf.DUMMYFUNCTION("""COMPUTED_VALUE"""),13446454)</f>
        <v>13446454</v>
      </c>
    </row>
    <row r="2561" spans="1:6" x14ac:dyDescent="0.35">
      <c r="A2561" s="2">
        <f ca="1">IFERROR(__xludf.DUMMYFUNCTION("""COMPUTED_VALUE"""),45723.6666666666)</f>
        <v>45723.666666666599</v>
      </c>
      <c r="B2561" s="1">
        <f ca="1">IFERROR(__xludf.DUMMYFUNCTION("""COMPUTED_VALUE"""),625.37)</f>
        <v>625.37</v>
      </c>
      <c r="C2561" s="1">
        <f ca="1">IFERROR(__xludf.DUMMYFUNCTION("""COMPUTED_VALUE"""),634.79)</f>
        <v>634.79</v>
      </c>
      <c r="D2561" s="1">
        <f ca="1">IFERROR(__xludf.DUMMYFUNCTION("""COMPUTED_VALUE"""),600.61)</f>
        <v>600.61</v>
      </c>
      <c r="E2561" s="1">
        <f ca="1">IFERROR(__xludf.DUMMYFUNCTION("""COMPUTED_VALUE"""),625.66)</f>
        <v>625.66</v>
      </c>
      <c r="F2561" s="1">
        <f ca="1">IFERROR(__xludf.DUMMYFUNCTION("""COMPUTED_VALUE"""),21375671)</f>
        <v>21375671</v>
      </c>
    </row>
    <row r="2562" spans="1:6" x14ac:dyDescent="0.35">
      <c r="A2562" s="2">
        <f ca="1">IFERROR(__xludf.DUMMYFUNCTION("""COMPUTED_VALUE"""),45726.6666666666)</f>
        <v>45726.666666666599</v>
      </c>
      <c r="B2562" s="1">
        <f ca="1">IFERROR(__xludf.DUMMYFUNCTION("""COMPUTED_VALUE"""),608.07)</f>
        <v>608.07000000000005</v>
      </c>
      <c r="C2562" s="1">
        <f ca="1">IFERROR(__xludf.DUMMYFUNCTION("""COMPUTED_VALUE"""),610.11)</f>
        <v>610.11</v>
      </c>
      <c r="D2562" s="1">
        <f ca="1">IFERROR(__xludf.DUMMYFUNCTION("""COMPUTED_VALUE"""),586.87)</f>
        <v>586.87</v>
      </c>
      <c r="E2562" s="1">
        <f ca="1">IFERROR(__xludf.DUMMYFUNCTION("""COMPUTED_VALUE"""),597.99)</f>
        <v>597.99</v>
      </c>
      <c r="F2562" s="1">
        <f ca="1">IFERROR(__xludf.DUMMYFUNCTION("""COMPUTED_VALUE"""),21999943)</f>
        <v>21999943</v>
      </c>
    </row>
    <row r="2563" spans="1:6" x14ac:dyDescent="0.35">
      <c r="A2563" s="2">
        <f ca="1">IFERROR(__xludf.DUMMYFUNCTION("""COMPUTED_VALUE"""),45727.6666666666)</f>
        <v>45727.666666666599</v>
      </c>
      <c r="B2563" s="1">
        <f ca="1">IFERROR(__xludf.DUMMYFUNCTION("""COMPUTED_VALUE"""),595.05)</f>
        <v>595.04999999999995</v>
      </c>
      <c r="C2563" s="1">
        <f ca="1">IFERROR(__xludf.DUMMYFUNCTION("""COMPUTED_VALUE"""),614.93)</f>
        <v>614.92999999999995</v>
      </c>
      <c r="D2563" s="1">
        <f ca="1">IFERROR(__xludf.DUMMYFUNCTION("""COMPUTED_VALUE"""),593.33)</f>
        <v>593.33000000000004</v>
      </c>
      <c r="E2563" s="1">
        <f ca="1">IFERROR(__xludf.DUMMYFUNCTION("""COMPUTED_VALUE"""),605.71)</f>
        <v>605.71</v>
      </c>
      <c r="F2563" s="1">
        <f ca="1">IFERROR(__xludf.DUMMYFUNCTION("""COMPUTED_VALUE"""),17401469)</f>
        <v>17401469</v>
      </c>
    </row>
    <row r="2564" spans="1:6" x14ac:dyDescent="0.35">
      <c r="A2564" s="2">
        <f ca="1">IFERROR(__xludf.DUMMYFUNCTION("""COMPUTED_VALUE"""),45728.6666666666)</f>
        <v>45728.666666666599</v>
      </c>
      <c r="B2564" s="1">
        <f ca="1">IFERROR(__xludf.DUMMYFUNCTION("""COMPUTED_VALUE"""),629.9)</f>
        <v>629.9</v>
      </c>
      <c r="C2564" s="1">
        <f ca="1">IFERROR(__xludf.DUMMYFUNCTION("""COMPUTED_VALUE"""),633.33)</f>
        <v>633.33000000000004</v>
      </c>
      <c r="D2564" s="1">
        <f ca="1">IFERROR(__xludf.DUMMYFUNCTION("""COMPUTED_VALUE"""),609.35)</f>
        <v>609.35</v>
      </c>
      <c r="E2564" s="1">
        <f ca="1">IFERROR(__xludf.DUMMYFUNCTION("""COMPUTED_VALUE"""),619.56)</f>
        <v>619.55999999999995</v>
      </c>
      <c r="F2564" s="1">
        <f ca="1">IFERROR(__xludf.DUMMYFUNCTION("""COMPUTED_VALUE"""),15746966)</f>
        <v>15746966</v>
      </c>
    </row>
    <row r="2565" spans="1:6" x14ac:dyDescent="0.35">
      <c r="A2565" s="2">
        <f ca="1">IFERROR(__xludf.DUMMYFUNCTION("""COMPUTED_VALUE"""),45729.6666666666)</f>
        <v>45729.666666666599</v>
      </c>
      <c r="B2565" s="1">
        <f ca="1">IFERROR(__xludf.DUMMYFUNCTION("""COMPUTED_VALUE"""),620.25)</f>
        <v>620.25</v>
      </c>
      <c r="C2565" s="1">
        <f ca="1">IFERROR(__xludf.DUMMYFUNCTION("""COMPUTED_VALUE"""),620.5)</f>
        <v>620.5</v>
      </c>
      <c r="D2565" s="1">
        <f ca="1">IFERROR(__xludf.DUMMYFUNCTION("""COMPUTED_VALUE"""),586.51)</f>
        <v>586.51</v>
      </c>
      <c r="E2565" s="1">
        <f ca="1">IFERROR(__xludf.DUMMYFUNCTION("""COMPUTED_VALUE"""),590.64)</f>
        <v>590.64</v>
      </c>
      <c r="F2565" s="1">
        <f ca="1">IFERROR(__xludf.DUMMYFUNCTION("""COMPUTED_VALUE"""),16480324)</f>
        <v>16480324</v>
      </c>
    </row>
    <row r="2566" spans="1:6" x14ac:dyDescent="0.35">
      <c r="A2566" s="2">
        <f ca="1">IFERROR(__xludf.DUMMYFUNCTION("""COMPUTED_VALUE"""),45730.6666666666)</f>
        <v>45730.666666666599</v>
      </c>
      <c r="B2566" s="1">
        <f ca="1">IFERROR(__xludf.DUMMYFUNCTION("""COMPUTED_VALUE"""),602.8)</f>
        <v>602.79999999999995</v>
      </c>
      <c r="C2566" s="1">
        <f ca="1">IFERROR(__xludf.DUMMYFUNCTION("""COMPUTED_VALUE"""),608.86)</f>
        <v>608.86</v>
      </c>
      <c r="D2566" s="1">
        <f ca="1">IFERROR(__xludf.DUMMYFUNCTION("""COMPUTED_VALUE"""),594.78)</f>
        <v>594.78</v>
      </c>
      <c r="E2566" s="1">
        <f ca="1">IFERROR(__xludf.DUMMYFUNCTION("""COMPUTED_VALUE"""),607.6)</f>
        <v>607.6</v>
      </c>
      <c r="F2566" s="1">
        <f ca="1">IFERROR(__xludf.DUMMYFUNCTION("""COMPUTED_VALUE"""),12364505)</f>
        <v>12364505</v>
      </c>
    </row>
    <row r="2567" spans="1:6" x14ac:dyDescent="0.35">
      <c r="A2567" s="2">
        <f ca="1">IFERROR(__xludf.DUMMYFUNCTION("""COMPUTED_VALUE"""),45733.6666666666)</f>
        <v>45733.666666666599</v>
      </c>
      <c r="B2567" s="1">
        <f ca="1">IFERROR(__xludf.DUMMYFUNCTION("""COMPUTED_VALUE"""),607.46)</f>
        <v>607.46</v>
      </c>
      <c r="C2567" s="1">
        <f ca="1">IFERROR(__xludf.DUMMYFUNCTION("""COMPUTED_VALUE"""),613.1)</f>
        <v>613.1</v>
      </c>
      <c r="D2567" s="1">
        <f ca="1">IFERROR(__xludf.DUMMYFUNCTION("""COMPUTED_VALUE"""),598)</f>
        <v>598</v>
      </c>
      <c r="E2567" s="1">
        <f ca="1">IFERROR(__xludf.DUMMYFUNCTION("""COMPUTED_VALUE"""),604.9)</f>
        <v>604.9</v>
      </c>
      <c r="F2567" s="1">
        <f ca="1">IFERROR(__xludf.DUMMYFUNCTION("""COMPUTED_VALUE"""),15473909)</f>
        <v>15473909</v>
      </c>
    </row>
    <row r="2568" spans="1:6" x14ac:dyDescent="0.35">
      <c r="A2568" s="2">
        <f ca="1">IFERROR(__xludf.DUMMYFUNCTION("""COMPUTED_VALUE"""),45734.6666666666)</f>
        <v>45734.666666666599</v>
      </c>
      <c r="B2568" s="1">
        <f ca="1">IFERROR(__xludf.DUMMYFUNCTION("""COMPUTED_VALUE"""),600.05)</f>
        <v>600.04999999999995</v>
      </c>
      <c r="C2568" s="1">
        <f ca="1">IFERROR(__xludf.DUMMYFUNCTION("""COMPUTED_VALUE"""),600.25)</f>
        <v>600.25</v>
      </c>
      <c r="D2568" s="1">
        <f ca="1">IFERROR(__xludf.DUMMYFUNCTION("""COMPUTED_VALUE"""),574.66)</f>
        <v>574.66</v>
      </c>
      <c r="E2568" s="1">
        <f ca="1">IFERROR(__xludf.DUMMYFUNCTION("""COMPUTED_VALUE"""),582.36)</f>
        <v>582.36</v>
      </c>
      <c r="F2568" s="1">
        <f ca="1">IFERROR(__xludf.DUMMYFUNCTION("""COMPUTED_VALUE"""),20297708)</f>
        <v>20297708</v>
      </c>
    </row>
    <row r="2569" spans="1:6" x14ac:dyDescent="0.35">
      <c r="A2569" s="2">
        <f ca="1">IFERROR(__xludf.DUMMYFUNCTION("""COMPUTED_VALUE"""),45735.6666666666)</f>
        <v>45735.666666666599</v>
      </c>
      <c r="B2569" s="1">
        <f ca="1">IFERROR(__xludf.DUMMYFUNCTION("""COMPUTED_VALUE"""),584.28)</f>
        <v>584.28</v>
      </c>
      <c r="C2569" s="1">
        <f ca="1">IFERROR(__xludf.DUMMYFUNCTION("""COMPUTED_VALUE"""),592.32)</f>
        <v>592.32000000000005</v>
      </c>
      <c r="D2569" s="1">
        <f ca="1">IFERROR(__xludf.DUMMYFUNCTION("""COMPUTED_VALUE"""),574.77)</f>
        <v>574.77</v>
      </c>
      <c r="E2569" s="1">
        <f ca="1">IFERROR(__xludf.DUMMYFUNCTION("""COMPUTED_VALUE"""),584.06)</f>
        <v>584.05999999999995</v>
      </c>
      <c r="F2569" s="1">
        <f ca="1">IFERROR(__xludf.DUMMYFUNCTION("""COMPUTED_VALUE"""),20537498)</f>
        <v>20537498</v>
      </c>
    </row>
    <row r="2570" spans="1:6" x14ac:dyDescent="0.35">
      <c r="A2570" s="2">
        <f ca="1">IFERROR(__xludf.DUMMYFUNCTION("""COMPUTED_VALUE"""),45736.6666666666)</f>
        <v>45736.666666666599</v>
      </c>
      <c r="B2570" s="1">
        <f ca="1">IFERROR(__xludf.DUMMYFUNCTION("""COMPUTED_VALUE"""),582.76)</f>
        <v>582.76</v>
      </c>
      <c r="C2570" s="1">
        <f ca="1">IFERROR(__xludf.DUMMYFUNCTION("""COMPUTED_VALUE"""),610.2)</f>
        <v>610.20000000000005</v>
      </c>
      <c r="D2570" s="1">
        <f ca="1">IFERROR(__xludf.DUMMYFUNCTION("""COMPUTED_VALUE"""),579.51)</f>
        <v>579.51</v>
      </c>
      <c r="E2570" s="1">
        <f ca="1">IFERROR(__xludf.DUMMYFUNCTION("""COMPUTED_VALUE"""),586)</f>
        <v>586</v>
      </c>
      <c r="F2570" s="1">
        <f ca="1">IFERROR(__xludf.DUMMYFUNCTION("""COMPUTED_VALUE"""),24336505)</f>
        <v>24336505</v>
      </c>
    </row>
    <row r="2571" spans="1:6" x14ac:dyDescent="0.35">
      <c r="A2571" s="2">
        <f ca="1">IFERROR(__xludf.DUMMYFUNCTION("""COMPUTED_VALUE"""),45737.6666666666)</f>
        <v>45737.666666666599</v>
      </c>
      <c r="B2571" s="1">
        <f ca="1">IFERROR(__xludf.DUMMYFUNCTION("""COMPUTED_VALUE"""),583.42)</f>
        <v>583.41999999999996</v>
      </c>
      <c r="C2571" s="1">
        <f ca="1">IFERROR(__xludf.DUMMYFUNCTION("""COMPUTED_VALUE"""),597.54)</f>
        <v>597.54</v>
      </c>
      <c r="D2571" s="1">
        <f ca="1">IFERROR(__xludf.DUMMYFUNCTION("""COMPUTED_VALUE"""),580.95)</f>
        <v>580.95000000000005</v>
      </c>
      <c r="E2571" s="1">
        <f ca="1">IFERROR(__xludf.DUMMYFUNCTION("""COMPUTED_VALUE"""),596.25)</f>
        <v>596.25</v>
      </c>
      <c r="F2571" s="1">
        <f ca="1">IFERROR(__xludf.DUMMYFUNCTION("""COMPUTED_VALUE"""),25015864)</f>
        <v>25015864</v>
      </c>
    </row>
    <row r="2572" spans="1:6" x14ac:dyDescent="0.35">
      <c r="A2572" s="2">
        <f ca="1">IFERROR(__xludf.DUMMYFUNCTION("""COMPUTED_VALUE"""),45740.6666666666)</f>
        <v>45740.666666666599</v>
      </c>
      <c r="B2572" s="1">
        <f ca="1">IFERROR(__xludf.DUMMYFUNCTION("""COMPUTED_VALUE"""),614.97)</f>
        <v>614.97</v>
      </c>
      <c r="C2572" s="1">
        <f ca="1">IFERROR(__xludf.DUMMYFUNCTION("""COMPUTED_VALUE"""),622.54)</f>
        <v>622.54</v>
      </c>
      <c r="D2572" s="1">
        <f ca="1">IFERROR(__xludf.DUMMYFUNCTION("""COMPUTED_VALUE"""),612.2)</f>
        <v>612.20000000000005</v>
      </c>
      <c r="E2572" s="1">
        <f ca="1">IFERROR(__xludf.DUMMYFUNCTION("""COMPUTED_VALUE"""),618.85)</f>
        <v>618.85</v>
      </c>
      <c r="F2572" s="1">
        <f ca="1">IFERROR(__xludf.DUMMYFUNCTION("""COMPUTED_VALUE"""),15741274)</f>
        <v>15741274</v>
      </c>
    </row>
    <row r="2573" spans="1:6" x14ac:dyDescent="0.35">
      <c r="A2573" s="2">
        <f ca="1">IFERROR(__xludf.DUMMYFUNCTION("""COMPUTED_VALUE"""),45741.6666666666)</f>
        <v>45741.666666666599</v>
      </c>
      <c r="B2573" s="1">
        <f ca="1">IFERROR(__xludf.DUMMYFUNCTION("""COMPUTED_VALUE"""),626.76)</f>
        <v>626.76</v>
      </c>
      <c r="C2573" s="1">
        <f ca="1">IFERROR(__xludf.DUMMYFUNCTION("""COMPUTED_VALUE"""),633.88)</f>
        <v>633.88</v>
      </c>
      <c r="D2573" s="1">
        <f ca="1">IFERROR(__xludf.DUMMYFUNCTION("""COMPUTED_VALUE"""),621.18)</f>
        <v>621.17999999999995</v>
      </c>
      <c r="E2573" s="1">
        <f ca="1">IFERROR(__xludf.DUMMYFUNCTION("""COMPUTED_VALUE"""),626.31)</f>
        <v>626.30999999999995</v>
      </c>
      <c r="F2573" s="1">
        <f ca="1">IFERROR(__xludf.DUMMYFUNCTION("""COMPUTED_VALUE"""),15312540)</f>
        <v>15312540</v>
      </c>
    </row>
    <row r="2574" spans="1:6" x14ac:dyDescent="0.35">
      <c r="A2574" s="2">
        <f ca="1">IFERROR(__xludf.DUMMYFUNCTION("""COMPUTED_VALUE"""),45742.6666666666)</f>
        <v>45742.666666666599</v>
      </c>
      <c r="B2574" s="1">
        <f ca="1">IFERROR(__xludf.DUMMYFUNCTION("""COMPUTED_VALUE"""),624.89)</f>
        <v>624.89</v>
      </c>
      <c r="C2574" s="1">
        <f ca="1">IFERROR(__xludf.DUMMYFUNCTION("""COMPUTED_VALUE"""),626.75)</f>
        <v>626.75</v>
      </c>
      <c r="D2574" s="1">
        <f ca="1">IFERROR(__xludf.DUMMYFUNCTION("""COMPUTED_VALUE"""),606.61)</f>
        <v>606.61</v>
      </c>
      <c r="E2574" s="1">
        <f ca="1">IFERROR(__xludf.DUMMYFUNCTION("""COMPUTED_VALUE"""),610.98)</f>
        <v>610.98</v>
      </c>
      <c r="F2574" s="1">
        <f ca="1">IFERROR(__xludf.DUMMYFUNCTION("""COMPUTED_VALUE"""),12661891)</f>
        <v>12661891</v>
      </c>
    </row>
    <row r="2575" spans="1:6" x14ac:dyDescent="0.35">
      <c r="A2575" s="2">
        <f ca="1">IFERROR(__xludf.DUMMYFUNCTION("""COMPUTED_VALUE"""),45743.6666666666)</f>
        <v>45743.666666666599</v>
      </c>
      <c r="B2575" s="1">
        <f ca="1">IFERROR(__xludf.DUMMYFUNCTION("""COMPUTED_VALUE"""),602)</f>
        <v>602</v>
      </c>
      <c r="C2575" s="1">
        <f ca="1">IFERROR(__xludf.DUMMYFUNCTION("""COMPUTED_VALUE"""),614.25)</f>
        <v>614.25</v>
      </c>
      <c r="D2575" s="1">
        <f ca="1">IFERROR(__xludf.DUMMYFUNCTION("""COMPUTED_VALUE"""),600.1)</f>
        <v>600.1</v>
      </c>
      <c r="E2575" s="1">
        <f ca="1">IFERROR(__xludf.DUMMYFUNCTION("""COMPUTED_VALUE"""),602.58)</f>
        <v>602.58000000000004</v>
      </c>
      <c r="F2575" s="1">
        <f ca="1">IFERROR(__xludf.DUMMYFUNCTION("""COMPUTED_VALUE"""),10436524)</f>
        <v>10436524</v>
      </c>
    </row>
    <row r="2576" spans="1:6" x14ac:dyDescent="0.35">
      <c r="A2576" s="2">
        <f ca="1">IFERROR(__xludf.DUMMYFUNCTION("""COMPUTED_VALUE"""),45744.6666666666)</f>
        <v>45744.666666666599</v>
      </c>
      <c r="B2576" s="1">
        <f ca="1">IFERROR(__xludf.DUMMYFUNCTION("""COMPUTED_VALUE"""),600.31)</f>
        <v>600.30999999999995</v>
      </c>
      <c r="C2576" s="1">
        <f ca="1">IFERROR(__xludf.DUMMYFUNCTION("""COMPUTED_VALUE"""),601.75)</f>
        <v>601.75</v>
      </c>
      <c r="D2576" s="1">
        <f ca="1">IFERROR(__xludf.DUMMYFUNCTION("""COMPUTED_VALUE"""),573.92)</f>
        <v>573.91999999999996</v>
      </c>
      <c r="E2576" s="1">
        <f ca="1">IFERROR(__xludf.DUMMYFUNCTION("""COMPUTED_VALUE"""),576.74)</f>
        <v>576.74</v>
      </c>
      <c r="F2576" s="1">
        <f ca="1">IFERROR(__xludf.DUMMYFUNCTION("""COMPUTED_VALUE"""),17602823)</f>
        <v>17602823</v>
      </c>
    </row>
    <row r="2577" spans="1:6" x14ac:dyDescent="0.35">
      <c r="A2577" s="2">
        <f ca="1">IFERROR(__xludf.DUMMYFUNCTION("""COMPUTED_VALUE"""),45747.6666666666)</f>
        <v>45747.666666666599</v>
      </c>
      <c r="B2577" s="1">
        <f ca="1">IFERROR(__xludf.DUMMYFUNCTION("""COMPUTED_VALUE"""),563.5)</f>
        <v>563.5</v>
      </c>
      <c r="C2577" s="1">
        <f ca="1">IFERROR(__xludf.DUMMYFUNCTION("""COMPUTED_VALUE"""),578.7)</f>
        <v>578.70000000000005</v>
      </c>
      <c r="D2577" s="1">
        <f ca="1">IFERROR(__xludf.DUMMYFUNCTION("""COMPUTED_VALUE"""),553.3)</f>
        <v>553.29999999999995</v>
      </c>
      <c r="E2577" s="1">
        <f ca="1">IFERROR(__xludf.DUMMYFUNCTION("""COMPUTED_VALUE"""),576.36)</f>
        <v>576.36</v>
      </c>
      <c r="F2577" s="1">
        <f ca="1">IFERROR(__xludf.DUMMYFUNCTION("""COMPUTED_VALUE"""),21124677)</f>
        <v>21124677</v>
      </c>
    </row>
    <row r="2578" spans="1:6" x14ac:dyDescent="0.35">
      <c r="A2578" s="2">
        <f ca="1">IFERROR(__xludf.DUMMYFUNCTION("""COMPUTED_VALUE"""),45748.6666666666)</f>
        <v>45748.666666666599</v>
      </c>
      <c r="B2578" s="1">
        <f ca="1">IFERROR(__xludf.DUMMYFUNCTION("""COMPUTED_VALUE"""),570.84)</f>
        <v>570.84</v>
      </c>
      <c r="C2578" s="1">
        <f ca="1">IFERROR(__xludf.DUMMYFUNCTION("""COMPUTED_VALUE"""),589.91)</f>
        <v>589.91</v>
      </c>
      <c r="D2578" s="1">
        <f ca="1">IFERROR(__xludf.DUMMYFUNCTION("""COMPUTED_VALUE"""),570)</f>
        <v>570</v>
      </c>
      <c r="E2578" s="1">
        <f ca="1">IFERROR(__xludf.DUMMYFUNCTION("""COMPUTED_VALUE"""),586)</f>
        <v>586</v>
      </c>
      <c r="F2578" s="1">
        <f ca="1">IFERROR(__xludf.DUMMYFUNCTION("""COMPUTED_VALUE"""),12836574)</f>
        <v>12836574</v>
      </c>
    </row>
    <row r="2579" spans="1:6" x14ac:dyDescent="0.35">
      <c r="A2579" s="2">
        <f ca="1">IFERROR(__xludf.DUMMYFUNCTION("""COMPUTED_VALUE"""),45749.6666666666)</f>
        <v>45749.666666666599</v>
      </c>
      <c r="B2579" s="1">
        <f ca="1">IFERROR(__xludf.DUMMYFUNCTION("""COMPUTED_VALUE"""),574.91)</f>
        <v>574.91</v>
      </c>
      <c r="C2579" s="1">
        <f ca="1">IFERROR(__xludf.DUMMYFUNCTION("""COMPUTED_VALUE"""),592.66)</f>
        <v>592.66</v>
      </c>
      <c r="D2579" s="1">
        <f ca="1">IFERROR(__xludf.DUMMYFUNCTION("""COMPUTED_VALUE"""),573.36)</f>
        <v>573.36</v>
      </c>
      <c r="E2579" s="1">
        <f ca="1">IFERROR(__xludf.DUMMYFUNCTION("""COMPUTED_VALUE"""),583.93)</f>
        <v>583.92999999999995</v>
      </c>
      <c r="F2579" s="1">
        <f ca="1">IFERROR(__xludf.DUMMYFUNCTION("""COMPUTED_VALUE"""),13470778)</f>
        <v>13470778</v>
      </c>
    </row>
    <row r="2580" spans="1:6" x14ac:dyDescent="0.35">
      <c r="A2580" s="2">
        <f ca="1">IFERROR(__xludf.DUMMYFUNCTION("""COMPUTED_VALUE"""),45750.6666666666)</f>
        <v>45750.666666666599</v>
      </c>
      <c r="B2580" s="1">
        <f ca="1">IFERROR(__xludf.DUMMYFUNCTION("""COMPUTED_VALUE"""),546.22)</f>
        <v>546.22</v>
      </c>
      <c r="C2580" s="1">
        <f ca="1">IFERROR(__xludf.DUMMYFUNCTION("""COMPUTED_VALUE"""),552.56)</f>
        <v>552.55999999999995</v>
      </c>
      <c r="D2580" s="1">
        <f ca="1">IFERROR(__xludf.DUMMYFUNCTION("""COMPUTED_VALUE"""),530.3)</f>
        <v>530.29999999999995</v>
      </c>
      <c r="E2580" s="1">
        <f ca="1">IFERROR(__xludf.DUMMYFUNCTION("""COMPUTED_VALUE"""),531.62)</f>
        <v>531.62</v>
      </c>
      <c r="F2580" s="1">
        <f ca="1">IFERROR(__xludf.DUMMYFUNCTION("""COMPUTED_VALUE"""),34777460)</f>
        <v>34777460</v>
      </c>
    </row>
    <row r="2581" spans="1:6" x14ac:dyDescent="0.35">
      <c r="A2581" s="2">
        <f ca="1">IFERROR(__xludf.DUMMYFUNCTION("""COMPUTED_VALUE"""),45751.6666666666)</f>
        <v>45751.666666666599</v>
      </c>
      <c r="B2581" s="1">
        <f ca="1">IFERROR(__xludf.DUMMYFUNCTION("""COMPUTED_VALUE"""),506.62)</f>
        <v>506.62</v>
      </c>
      <c r="C2581" s="1">
        <f ca="1">IFERROR(__xludf.DUMMYFUNCTION("""COMPUTED_VALUE"""),518)</f>
        <v>518</v>
      </c>
      <c r="D2581" s="1">
        <f ca="1">IFERROR(__xludf.DUMMYFUNCTION("""COMPUTED_VALUE"""),494.2)</f>
        <v>494.2</v>
      </c>
      <c r="E2581" s="1">
        <f ca="1">IFERROR(__xludf.DUMMYFUNCTION("""COMPUTED_VALUE"""),504.73)</f>
        <v>504.73</v>
      </c>
      <c r="F2581" s="1">
        <f ca="1">IFERROR(__xludf.DUMMYFUNCTION("""COMPUTED_VALUE"""),38589814)</f>
        <v>38589814</v>
      </c>
    </row>
    <row r="2582" spans="1:6" x14ac:dyDescent="0.35">
      <c r="A2582" s="2">
        <f ca="1">IFERROR(__xludf.DUMMYFUNCTION("""COMPUTED_VALUE"""),45754.6666666666)</f>
        <v>45754.666666666599</v>
      </c>
      <c r="B2582" s="1">
        <f ca="1">IFERROR(__xludf.DUMMYFUNCTION("""COMPUTED_VALUE"""),485.1)</f>
        <v>485.1</v>
      </c>
      <c r="C2582" s="1">
        <f ca="1">IFERROR(__xludf.DUMMYFUNCTION("""COMPUTED_VALUE"""),539.37)</f>
        <v>539.37</v>
      </c>
      <c r="D2582" s="1">
        <f ca="1">IFERROR(__xludf.DUMMYFUNCTION("""COMPUTED_VALUE"""),481.9)</f>
        <v>481.9</v>
      </c>
      <c r="E2582" s="1">
        <f ca="1">IFERROR(__xludf.DUMMYFUNCTION("""COMPUTED_VALUE"""),516.25)</f>
        <v>516.25</v>
      </c>
      <c r="F2582" s="1">
        <f ca="1">IFERROR(__xludf.DUMMYFUNCTION("""COMPUTED_VALUE"""),36606136)</f>
        <v>36606136</v>
      </c>
    </row>
    <row r="2583" spans="1:6" x14ac:dyDescent="0.35">
      <c r="A2583" s="2">
        <f ca="1">IFERROR(__xludf.DUMMYFUNCTION("""COMPUTED_VALUE"""),45755.6666666666)</f>
        <v>45755.666666666599</v>
      </c>
      <c r="B2583" s="1">
        <f ca="1">IFERROR(__xludf.DUMMYFUNCTION("""COMPUTED_VALUE"""),543.25)</f>
        <v>543.25</v>
      </c>
      <c r="C2583" s="1">
        <f ca="1">IFERROR(__xludf.DUMMYFUNCTION("""COMPUTED_VALUE"""),547.43)</f>
        <v>547.42999999999995</v>
      </c>
      <c r="D2583" s="1">
        <f ca="1">IFERROR(__xludf.DUMMYFUNCTION("""COMPUTED_VALUE"""),502.86)</f>
        <v>502.86</v>
      </c>
      <c r="E2583" s="1">
        <f ca="1">IFERROR(__xludf.DUMMYFUNCTION("""COMPUTED_VALUE"""),510.45)</f>
        <v>510.45</v>
      </c>
      <c r="F2583" s="1">
        <f ca="1">IFERROR(__xludf.DUMMYFUNCTION("""COMPUTED_VALUE"""),28034211)</f>
        <v>28034211</v>
      </c>
    </row>
    <row r="2584" spans="1:6" x14ac:dyDescent="0.35">
      <c r="A2584" s="2">
        <f ca="1">IFERROR(__xludf.DUMMYFUNCTION("""COMPUTED_VALUE"""),45756.6666666666)</f>
        <v>45756.666666666599</v>
      </c>
      <c r="B2584" s="1">
        <f ca="1">IFERROR(__xludf.DUMMYFUNCTION("""COMPUTED_VALUE"""),509.27)</f>
        <v>509.27</v>
      </c>
      <c r="C2584" s="1">
        <f ca="1">IFERROR(__xludf.DUMMYFUNCTION("""COMPUTED_VALUE"""),587.89)</f>
        <v>587.89</v>
      </c>
      <c r="D2584" s="1">
        <f ca="1">IFERROR(__xludf.DUMMYFUNCTION("""COMPUTED_VALUE"""),502.11)</f>
        <v>502.11</v>
      </c>
      <c r="E2584" s="1">
        <f ca="1">IFERROR(__xludf.DUMMYFUNCTION("""COMPUTED_VALUE"""),585.77)</f>
        <v>585.77</v>
      </c>
      <c r="F2584" s="1">
        <f ca="1">IFERROR(__xludf.DUMMYFUNCTION("""COMPUTED_VALUE"""),39216578)</f>
        <v>39216578</v>
      </c>
    </row>
    <row r="2585" spans="1:6" x14ac:dyDescent="0.35">
      <c r="A2585" s="2">
        <f ca="1">IFERROR(__xludf.DUMMYFUNCTION("""COMPUTED_VALUE"""),45757.6666666666)</f>
        <v>45757.666666666599</v>
      </c>
      <c r="B2585" s="1">
        <f ca="1">IFERROR(__xludf.DUMMYFUNCTION("""COMPUTED_VALUE"""),575.49)</f>
        <v>575.49</v>
      </c>
      <c r="C2585" s="1">
        <f ca="1">IFERROR(__xludf.DUMMYFUNCTION("""COMPUTED_VALUE"""),581.3)</f>
        <v>581.29999999999995</v>
      </c>
      <c r="D2585" s="1">
        <f ca="1">IFERROR(__xludf.DUMMYFUNCTION("""COMPUTED_VALUE"""),535.3)</f>
        <v>535.29999999999995</v>
      </c>
      <c r="E2585" s="1">
        <f ca="1">IFERROR(__xludf.DUMMYFUNCTION("""COMPUTED_VALUE"""),546.29)</f>
        <v>546.29</v>
      </c>
      <c r="F2585" s="1">
        <f ca="1">IFERROR(__xludf.DUMMYFUNCTION("""COMPUTED_VALUE"""),28173491)</f>
        <v>28173491</v>
      </c>
    </row>
    <row r="2586" spans="1:6" x14ac:dyDescent="0.35">
      <c r="A2586" s="2">
        <f ca="1">IFERROR(__xludf.DUMMYFUNCTION("""COMPUTED_VALUE"""),45758.6666666666)</f>
        <v>45758.666666666599</v>
      </c>
      <c r="B2586" s="1">
        <f ca="1">IFERROR(__xludf.DUMMYFUNCTION("""COMPUTED_VALUE"""),535.51)</f>
        <v>535.51</v>
      </c>
      <c r="C2586" s="1">
        <f ca="1">IFERROR(__xludf.DUMMYFUNCTION("""COMPUTED_VALUE"""),547.4)</f>
        <v>547.4</v>
      </c>
      <c r="D2586" s="1">
        <f ca="1">IFERROR(__xludf.DUMMYFUNCTION("""COMPUTED_VALUE"""),528.59)</f>
        <v>528.59</v>
      </c>
      <c r="E2586" s="1">
        <f ca="1">IFERROR(__xludf.DUMMYFUNCTION("""COMPUTED_VALUE"""),543.57)</f>
        <v>543.57000000000005</v>
      </c>
      <c r="F2586" s="1">
        <f ca="1">IFERROR(__xludf.DUMMYFUNCTION("""COMPUTED_VALUE"""),17642327)</f>
        <v>17642327</v>
      </c>
    </row>
    <row r="2587" spans="1:6" x14ac:dyDescent="0.35">
      <c r="A2587" s="2">
        <f ca="1">IFERROR(__xludf.DUMMYFUNCTION("""COMPUTED_VALUE"""),45761.6666666666)</f>
        <v>45761.666666666599</v>
      </c>
      <c r="B2587" s="1">
        <f ca="1">IFERROR(__xludf.DUMMYFUNCTION("""COMPUTED_VALUE"""),556.17)</f>
        <v>556.16999999999996</v>
      </c>
      <c r="C2587" s="1">
        <f ca="1">IFERROR(__xludf.DUMMYFUNCTION("""COMPUTED_VALUE"""),557.77)</f>
        <v>557.77</v>
      </c>
      <c r="D2587" s="1">
        <f ca="1">IFERROR(__xludf.DUMMYFUNCTION("""COMPUTED_VALUE"""),528.28)</f>
        <v>528.28</v>
      </c>
      <c r="E2587" s="1">
        <f ca="1">IFERROR(__xludf.DUMMYFUNCTION("""COMPUTED_VALUE"""),531.48)</f>
        <v>531.48</v>
      </c>
      <c r="F2587" s="1">
        <f ca="1">IFERROR(__xludf.DUMMYFUNCTION("""COMPUTED_VALUE"""),14130928)</f>
        <v>14130928</v>
      </c>
    </row>
    <row r="2588" spans="1:6" x14ac:dyDescent="0.35">
      <c r="A2588" s="2">
        <f ca="1">IFERROR(__xludf.DUMMYFUNCTION("""COMPUTED_VALUE"""),45762.6666666666)</f>
        <v>45762.666666666599</v>
      </c>
      <c r="B2588" s="1">
        <f ca="1">IFERROR(__xludf.DUMMYFUNCTION("""COMPUTED_VALUE"""),532.11)</f>
        <v>532.11</v>
      </c>
      <c r="C2588" s="1">
        <f ca="1">IFERROR(__xludf.DUMMYFUNCTION("""COMPUTED_VALUE"""),537.94)</f>
        <v>537.94000000000005</v>
      </c>
      <c r="D2588" s="1">
        <f ca="1">IFERROR(__xludf.DUMMYFUNCTION("""COMPUTED_VALUE"""),517.5)</f>
        <v>517.5</v>
      </c>
      <c r="E2588" s="1">
        <f ca="1">IFERROR(__xludf.DUMMYFUNCTION("""COMPUTED_VALUE"""),521.52)</f>
        <v>521.52</v>
      </c>
      <c r="F2588" s="1">
        <f ca="1">IFERROR(__xludf.DUMMYFUNCTION("""COMPUTED_VALUE"""),15558659)</f>
        <v>15558659</v>
      </c>
    </row>
    <row r="2589" spans="1:6" x14ac:dyDescent="0.35">
      <c r="A2589" s="2">
        <f ca="1">IFERROR(__xludf.DUMMYFUNCTION("""COMPUTED_VALUE"""),45763.6666666666)</f>
        <v>45763.666666666599</v>
      </c>
      <c r="B2589" s="1">
        <f ca="1">IFERROR(__xludf.DUMMYFUNCTION("""COMPUTED_VALUE"""),508.51)</f>
        <v>508.51</v>
      </c>
      <c r="C2589" s="1">
        <f ca="1">IFERROR(__xludf.DUMMYFUNCTION("""COMPUTED_VALUE"""),513.37)</f>
        <v>513.37</v>
      </c>
      <c r="D2589" s="1">
        <f ca="1">IFERROR(__xludf.DUMMYFUNCTION("""COMPUTED_VALUE"""),495.63)</f>
        <v>495.63</v>
      </c>
      <c r="E2589" s="1">
        <f ca="1">IFERROR(__xludf.DUMMYFUNCTION("""COMPUTED_VALUE"""),502.31)</f>
        <v>502.31</v>
      </c>
      <c r="F2589" s="1">
        <f ca="1">IFERROR(__xludf.DUMMYFUNCTION("""COMPUTED_VALUE"""),18735075)</f>
        <v>18735075</v>
      </c>
    </row>
    <row r="2590" spans="1:6" x14ac:dyDescent="0.35">
      <c r="A2590" s="2">
        <f ca="1">IFERROR(__xludf.DUMMYFUNCTION("""COMPUTED_VALUE"""),45764.6666666666)</f>
        <v>45764.666666666599</v>
      </c>
      <c r="B2590" s="1">
        <f ca="1">IFERROR(__xludf.DUMMYFUNCTION("""COMPUTED_VALUE"""),505.25)</f>
        <v>505.25</v>
      </c>
      <c r="C2590" s="1">
        <f ca="1">IFERROR(__xludf.DUMMYFUNCTION("""COMPUTED_VALUE"""),507.3)</f>
        <v>507.3</v>
      </c>
      <c r="D2590" s="1">
        <f ca="1">IFERROR(__xludf.DUMMYFUNCTION("""COMPUTED_VALUE"""),498.01)</f>
        <v>498.01</v>
      </c>
      <c r="E2590" s="1">
        <f ca="1">IFERROR(__xludf.DUMMYFUNCTION("""COMPUTED_VALUE"""),501.48)</f>
        <v>501.48</v>
      </c>
      <c r="F2590" s="1">
        <f ca="1">IFERROR(__xludf.DUMMYFUNCTION("""COMPUTED_VALUE"""),14593508)</f>
        <v>14593508</v>
      </c>
    </row>
    <row r="2591" spans="1:6" x14ac:dyDescent="0.35">
      <c r="A2591" s="2">
        <f ca="1">IFERROR(__xludf.DUMMYFUNCTION("""COMPUTED_VALUE"""),45768.6666666666)</f>
        <v>45768.666666666599</v>
      </c>
      <c r="B2591" s="1">
        <f ca="1">IFERROR(__xludf.DUMMYFUNCTION("""COMPUTED_VALUE"""),491.33)</f>
        <v>491.33</v>
      </c>
      <c r="C2591" s="1">
        <f ca="1">IFERROR(__xludf.DUMMYFUNCTION("""COMPUTED_VALUE"""),493.5)</f>
        <v>493.5</v>
      </c>
      <c r="D2591" s="1">
        <f ca="1">IFERROR(__xludf.DUMMYFUNCTION("""COMPUTED_VALUE"""),479.8)</f>
        <v>479.8</v>
      </c>
      <c r="E2591" s="1">
        <f ca="1">IFERROR(__xludf.DUMMYFUNCTION("""COMPUTED_VALUE"""),484.66)</f>
        <v>484.66</v>
      </c>
      <c r="F2591" s="1">
        <f ca="1">IFERROR(__xludf.DUMMYFUNCTION("""COMPUTED_VALUE"""),16165982)</f>
        <v>16165982</v>
      </c>
    </row>
    <row r="2592" spans="1:6" x14ac:dyDescent="0.35">
      <c r="A2592" s="2">
        <f ca="1">IFERROR(__xludf.DUMMYFUNCTION("""COMPUTED_VALUE"""),45769.6666666666)</f>
        <v>45769.666666666599</v>
      </c>
      <c r="B2592" s="1">
        <f ca="1">IFERROR(__xludf.DUMMYFUNCTION("""COMPUTED_VALUE"""),491.87)</f>
        <v>491.87</v>
      </c>
      <c r="C2592" s="1">
        <f ca="1">IFERROR(__xludf.DUMMYFUNCTION("""COMPUTED_VALUE"""),506.88)</f>
        <v>506.88</v>
      </c>
      <c r="D2592" s="1">
        <f ca="1">IFERROR(__xludf.DUMMYFUNCTION("""COMPUTED_VALUE"""),486.36)</f>
        <v>486.36</v>
      </c>
      <c r="E2592" s="1">
        <f ca="1">IFERROR(__xludf.DUMMYFUNCTION("""COMPUTED_VALUE"""),500.28)</f>
        <v>500.28</v>
      </c>
      <c r="F2592" s="1">
        <f ca="1">IFERROR(__xludf.DUMMYFUNCTION("""COMPUTED_VALUE"""),17399408)</f>
        <v>17399408</v>
      </c>
    </row>
    <row r="2593" spans="1:6" x14ac:dyDescent="0.35">
      <c r="A2593" s="2">
        <f ca="1">IFERROR(__xludf.DUMMYFUNCTION("""COMPUTED_VALUE"""),45770.6666666666)</f>
        <v>45770.666666666599</v>
      </c>
      <c r="B2593" s="1">
        <f ca="1">IFERROR(__xludf.DUMMYFUNCTION("""COMPUTED_VALUE"""),528.53)</f>
        <v>528.53</v>
      </c>
      <c r="C2593" s="1">
        <f ca="1">IFERROR(__xludf.DUMMYFUNCTION("""COMPUTED_VALUE"""),535.34)</f>
        <v>535.34</v>
      </c>
      <c r="D2593" s="1">
        <f ca="1">IFERROR(__xludf.DUMMYFUNCTION("""COMPUTED_VALUE"""),516.52)</f>
        <v>516.52</v>
      </c>
      <c r="E2593" s="1">
        <f ca="1">IFERROR(__xludf.DUMMYFUNCTION("""COMPUTED_VALUE"""),520.27)</f>
        <v>520.27</v>
      </c>
      <c r="F2593" s="1">
        <f ca="1">IFERROR(__xludf.DUMMYFUNCTION("""COMPUTED_VALUE"""),18173910)</f>
        <v>18173910</v>
      </c>
    </row>
    <row r="2594" spans="1:6" x14ac:dyDescent="0.35">
      <c r="A2594" s="2">
        <f ca="1">IFERROR(__xludf.DUMMYFUNCTION("""COMPUTED_VALUE"""),45771.6666666666)</f>
        <v>45771.666666666599</v>
      </c>
      <c r="B2594" s="1">
        <f ca="1">IFERROR(__xludf.DUMMYFUNCTION("""COMPUTED_VALUE"""),518.73)</f>
        <v>518.73</v>
      </c>
      <c r="C2594" s="1">
        <f ca="1">IFERROR(__xludf.DUMMYFUNCTION("""COMPUTED_VALUE"""),533.9)</f>
        <v>533.9</v>
      </c>
      <c r="D2594" s="1">
        <f ca="1">IFERROR(__xludf.DUMMYFUNCTION("""COMPUTED_VALUE"""),517.5)</f>
        <v>517.5</v>
      </c>
      <c r="E2594" s="1">
        <f ca="1">IFERROR(__xludf.DUMMYFUNCTION("""COMPUTED_VALUE"""),533.15)</f>
        <v>533.15</v>
      </c>
      <c r="F2594" s="1">
        <f ca="1">IFERROR(__xludf.DUMMYFUNCTION("""COMPUTED_VALUE"""),13910011)</f>
        <v>13910011</v>
      </c>
    </row>
    <row r="2595" spans="1:6" x14ac:dyDescent="0.35">
      <c r="A2595" s="2">
        <f ca="1">IFERROR(__xludf.DUMMYFUNCTION("""COMPUTED_VALUE"""),45772.6666666666)</f>
        <v>45772.666666666599</v>
      </c>
      <c r="B2595" s="1">
        <f ca="1">IFERROR(__xludf.DUMMYFUNCTION("""COMPUTED_VALUE"""),546.8)</f>
        <v>546.79999999999995</v>
      </c>
      <c r="C2595" s="1">
        <f ca="1">IFERROR(__xludf.DUMMYFUNCTION("""COMPUTED_VALUE"""),549.86)</f>
        <v>549.86</v>
      </c>
      <c r="D2595" s="1">
        <f ca="1">IFERROR(__xludf.DUMMYFUNCTION("""COMPUTED_VALUE"""),536.25)</f>
        <v>536.25</v>
      </c>
      <c r="E2595" s="1">
        <f ca="1">IFERROR(__xludf.DUMMYFUNCTION("""COMPUTED_VALUE"""),547.27)</f>
        <v>547.27</v>
      </c>
      <c r="F2595" s="1">
        <f ca="1">IFERROR(__xludf.DUMMYFUNCTION("""COMPUTED_VALUE"""),17098921)</f>
        <v>17098921</v>
      </c>
    </row>
    <row r="2596" spans="1:6" x14ac:dyDescent="0.35">
      <c r="A2596" s="2">
        <f ca="1">IFERROR(__xludf.DUMMYFUNCTION("""COMPUTED_VALUE"""),45775.6666666666)</f>
        <v>45775.666666666599</v>
      </c>
      <c r="B2596" s="1">
        <f ca="1">IFERROR(__xludf.DUMMYFUNCTION("""COMPUTED_VALUE"""),555.64)</f>
        <v>555.64</v>
      </c>
      <c r="C2596" s="1">
        <f ca="1">IFERROR(__xludf.DUMMYFUNCTION("""COMPUTED_VALUE"""),558.49)</f>
        <v>558.49</v>
      </c>
      <c r="D2596" s="1">
        <f ca="1">IFERROR(__xludf.DUMMYFUNCTION("""COMPUTED_VALUE"""),540.59)</f>
        <v>540.59</v>
      </c>
      <c r="E2596" s="1">
        <f ca="1">IFERROR(__xludf.DUMMYFUNCTION("""COMPUTED_VALUE"""),549.74)</f>
        <v>549.74</v>
      </c>
      <c r="F2596" s="1">
        <f ca="1">IFERROR(__xludf.DUMMYFUNCTION("""COMPUTED_VALUE"""),15178995)</f>
        <v>15178995</v>
      </c>
    </row>
    <row r="2597" spans="1:6" x14ac:dyDescent="0.35">
      <c r="A2597" s="2">
        <f ca="1">IFERROR(__xludf.DUMMYFUNCTION("""COMPUTED_VALUE"""),45776.6666666666)</f>
        <v>45776.666666666599</v>
      </c>
      <c r="B2597" s="1">
        <f ca="1">IFERROR(__xludf.DUMMYFUNCTION("""COMPUTED_VALUE"""),546)</f>
        <v>546</v>
      </c>
      <c r="C2597" s="1">
        <f ca="1">IFERROR(__xludf.DUMMYFUNCTION("""COMPUTED_VALUE"""),556.57)</f>
        <v>556.57000000000005</v>
      </c>
      <c r="D2597" s="1">
        <f ca="1">IFERROR(__xludf.DUMMYFUNCTION("""COMPUTED_VALUE"""),544.12)</f>
        <v>544.12</v>
      </c>
      <c r="E2597" s="1">
        <f ca="1">IFERROR(__xludf.DUMMYFUNCTION("""COMPUTED_VALUE"""),554.44)</f>
        <v>554.44000000000005</v>
      </c>
      <c r="F2597" s="1">
        <f ca="1">IFERROR(__xludf.DUMMYFUNCTION("""COMPUTED_VALUE"""),11835036)</f>
        <v>11835036</v>
      </c>
    </row>
    <row r="2598" spans="1:6" x14ac:dyDescent="0.35">
      <c r="A2598" s="2">
        <f ca="1">IFERROR(__xludf.DUMMYFUNCTION("""COMPUTED_VALUE"""),45777.6666666666)</f>
        <v>45777.666666666599</v>
      </c>
      <c r="B2598" s="1">
        <f ca="1">IFERROR(__xludf.DUMMYFUNCTION("""COMPUTED_VALUE"""),538.4)</f>
        <v>538.4</v>
      </c>
      <c r="C2598" s="1">
        <f ca="1">IFERROR(__xludf.DUMMYFUNCTION("""COMPUTED_VALUE"""),549.1)</f>
        <v>549.1</v>
      </c>
      <c r="D2598" s="1">
        <f ca="1">IFERROR(__xludf.DUMMYFUNCTION("""COMPUTED_VALUE"""),529.5)</f>
        <v>529.5</v>
      </c>
      <c r="E2598" s="1">
        <f ca="1">IFERROR(__xludf.DUMMYFUNCTION("""COMPUTED_VALUE"""),549)</f>
        <v>549</v>
      </c>
      <c r="F2598" s="1">
        <f ca="1">IFERROR(__xludf.DUMMYFUNCTION("""COMPUTED_VALUE"""),29243971)</f>
        <v>29243971</v>
      </c>
    </row>
    <row r="2599" spans="1:6" x14ac:dyDescent="0.35">
      <c r="A2599" s="2">
        <f ca="1">IFERROR(__xludf.DUMMYFUNCTION("""COMPUTED_VALUE"""),45778.6666666666)</f>
        <v>45778.666666666599</v>
      </c>
      <c r="B2599" s="1">
        <f ca="1">IFERROR(__xludf.DUMMYFUNCTION("""COMPUTED_VALUE"""),592.08)</f>
        <v>592.08000000000004</v>
      </c>
      <c r="C2599" s="1">
        <f ca="1">IFERROR(__xludf.DUMMYFUNCTION("""COMPUTED_VALUE"""),592.95)</f>
        <v>592.95000000000005</v>
      </c>
      <c r="D2599" s="1">
        <f ca="1">IFERROR(__xludf.DUMMYFUNCTION("""COMPUTED_VALUE"""),570.5)</f>
        <v>570.5</v>
      </c>
      <c r="E2599" s="1">
        <f ca="1">IFERROR(__xludf.DUMMYFUNCTION("""COMPUTED_VALUE"""),572.21)</f>
        <v>572.21</v>
      </c>
      <c r="F2599" s="1">
        <f ca="1">IFERROR(__xludf.DUMMYFUNCTION("""COMPUTED_VALUE"""),31159033)</f>
        <v>31159033</v>
      </c>
    </row>
    <row r="2600" spans="1:6" x14ac:dyDescent="0.35">
      <c r="A2600" s="2">
        <f ca="1">IFERROR(__xludf.DUMMYFUNCTION("""COMPUTED_VALUE"""),45779.6666666666)</f>
        <v>45779.666666666599</v>
      </c>
      <c r="B2600" s="1">
        <f ca="1">IFERROR(__xludf.DUMMYFUNCTION("""COMPUTED_VALUE"""),583.46)</f>
        <v>583.46</v>
      </c>
      <c r="C2600" s="1">
        <f ca="1">IFERROR(__xludf.DUMMYFUNCTION("""COMPUTED_VALUE"""),604.34)</f>
        <v>604.34</v>
      </c>
      <c r="D2600" s="1">
        <f ca="1">IFERROR(__xludf.DUMMYFUNCTION("""COMPUTED_VALUE"""),578.33)</f>
        <v>578.33000000000004</v>
      </c>
      <c r="E2600" s="1">
        <f ca="1">IFERROR(__xludf.DUMMYFUNCTION("""COMPUTED_VALUE"""),597.02)</f>
        <v>597.02</v>
      </c>
      <c r="F2600" s="1">
        <f ca="1">IFERROR(__xludf.DUMMYFUNCTION("""COMPUTED_VALUE"""),24739260)</f>
        <v>24739260</v>
      </c>
    </row>
    <row r="2601" spans="1:6" x14ac:dyDescent="0.35">
      <c r="A2601" s="2">
        <f ca="1">IFERROR(__xludf.DUMMYFUNCTION("""COMPUTED_VALUE"""),45782.6666666666)</f>
        <v>45782.666666666599</v>
      </c>
      <c r="B2601" s="1">
        <f ca="1">IFERROR(__xludf.DUMMYFUNCTION("""COMPUTED_VALUE"""),591.22)</f>
        <v>591.22</v>
      </c>
      <c r="C2601" s="1">
        <f ca="1">IFERROR(__xludf.DUMMYFUNCTION("""COMPUTED_VALUE"""),603.21)</f>
        <v>603.21</v>
      </c>
      <c r="D2601" s="1">
        <f ca="1">IFERROR(__xludf.DUMMYFUNCTION("""COMPUTED_VALUE"""),588.05)</f>
        <v>588.04999999999995</v>
      </c>
      <c r="E2601" s="1">
        <f ca="1">IFERROR(__xludf.DUMMYFUNCTION("""COMPUTED_VALUE"""),599.27)</f>
        <v>599.27</v>
      </c>
      <c r="F2601" s="1">
        <f ca="1">IFERROR(__xludf.DUMMYFUNCTION("""COMPUTED_VALUE"""),13887724)</f>
        <v>13887724</v>
      </c>
    </row>
    <row r="2602" spans="1:6" x14ac:dyDescent="0.35">
      <c r="A2602" s="2">
        <f ca="1">IFERROR(__xludf.DUMMYFUNCTION("""COMPUTED_VALUE"""),45783.6666666666)</f>
        <v>45783.666666666599</v>
      </c>
      <c r="B2602" s="1">
        <f ca="1">IFERROR(__xludf.DUMMYFUNCTION("""COMPUTED_VALUE"""),592.53)</f>
        <v>592.53</v>
      </c>
      <c r="C2602" s="1">
        <f ca="1">IFERROR(__xludf.DUMMYFUNCTION("""COMPUTED_VALUE"""),596.03)</f>
        <v>596.03</v>
      </c>
      <c r="D2602" s="1">
        <f ca="1">IFERROR(__xludf.DUMMYFUNCTION("""COMPUTED_VALUE"""),586.58)</f>
        <v>586.58000000000004</v>
      </c>
      <c r="E2602" s="1">
        <f ca="1">IFERROR(__xludf.DUMMYFUNCTION("""COMPUTED_VALUE"""),587.31)</f>
        <v>587.30999999999995</v>
      </c>
      <c r="F2602" s="1">
        <f ca="1">IFERROR(__xludf.DUMMYFUNCTION("""COMPUTED_VALUE"""),10600650)</f>
        <v>10600650</v>
      </c>
    </row>
    <row r="2603" spans="1:6" x14ac:dyDescent="0.35">
      <c r="A2603" s="2">
        <f ca="1">IFERROR(__xludf.DUMMYFUNCTION("""COMPUTED_VALUE"""),45784.6666666666)</f>
        <v>45784.666666666599</v>
      </c>
      <c r="B2603" s="1">
        <f ca="1">IFERROR(__xludf.DUMMYFUNCTION("""COMPUTED_VALUE"""),590.36)</f>
        <v>590.36</v>
      </c>
      <c r="C2603" s="1">
        <f ca="1">IFERROR(__xludf.DUMMYFUNCTION("""COMPUTED_VALUE"""),603.08)</f>
        <v>603.08000000000004</v>
      </c>
      <c r="D2603" s="1">
        <f ca="1">IFERROR(__xludf.DUMMYFUNCTION("""COMPUTED_VALUE"""),586.67)</f>
        <v>586.66999999999996</v>
      </c>
      <c r="E2603" s="1">
        <f ca="1">IFERROR(__xludf.DUMMYFUNCTION("""COMPUTED_VALUE"""),596.81)</f>
        <v>596.80999999999995</v>
      </c>
      <c r="F2603" s="1">
        <f ca="1">IFERROR(__xludf.DUMMYFUNCTION("""COMPUTED_VALUE"""),13160976)</f>
        <v>13160976</v>
      </c>
    </row>
    <row r="2604" spans="1:6" x14ac:dyDescent="0.35">
      <c r="A2604" s="2">
        <f ca="1">IFERROR(__xludf.DUMMYFUNCTION("""COMPUTED_VALUE"""),45785.6666666666)</f>
        <v>45785.666666666599</v>
      </c>
      <c r="B2604" s="1">
        <f ca="1">IFERROR(__xludf.DUMMYFUNCTION("""COMPUTED_VALUE"""),606.29)</f>
        <v>606.29</v>
      </c>
      <c r="C2604" s="1">
        <f ca="1">IFERROR(__xludf.DUMMYFUNCTION("""COMPUTED_VALUE"""),611.3)</f>
        <v>611.29999999999995</v>
      </c>
      <c r="D2604" s="1">
        <f ca="1">IFERROR(__xludf.DUMMYFUNCTION("""COMPUTED_VALUE"""),596.62)</f>
        <v>596.62</v>
      </c>
      <c r="E2604" s="1">
        <f ca="1">IFERROR(__xludf.DUMMYFUNCTION("""COMPUTED_VALUE"""),598.01)</f>
        <v>598.01</v>
      </c>
      <c r="F2604" s="1">
        <f ca="1">IFERROR(__xludf.DUMMYFUNCTION("""COMPUTED_VALUE"""),14622805)</f>
        <v>14622805</v>
      </c>
    </row>
    <row r="2605" spans="1:6" x14ac:dyDescent="0.35">
      <c r="A2605" s="2">
        <f ca="1">IFERROR(__xludf.DUMMYFUNCTION("""COMPUTED_VALUE"""),45786.6666666666)</f>
        <v>45786.666666666599</v>
      </c>
      <c r="B2605" s="1">
        <f ca="1">IFERROR(__xludf.DUMMYFUNCTION("""COMPUTED_VALUE"""),603.72)</f>
        <v>603.72</v>
      </c>
      <c r="C2605" s="1">
        <f ca="1">IFERROR(__xludf.DUMMYFUNCTION("""COMPUTED_VALUE"""),606.97)</f>
        <v>606.97</v>
      </c>
      <c r="D2605" s="1">
        <f ca="1">IFERROR(__xludf.DUMMYFUNCTION("""COMPUTED_VALUE"""),591.71)</f>
        <v>591.71</v>
      </c>
      <c r="E2605" s="1">
        <f ca="1">IFERROR(__xludf.DUMMYFUNCTION("""COMPUTED_VALUE"""),592.49)</f>
        <v>592.49</v>
      </c>
      <c r="F2605" s="1">
        <f ca="1">IFERROR(__xludf.DUMMYFUNCTION("""COMPUTED_VALUE"""),10427286)</f>
        <v>10427286</v>
      </c>
    </row>
    <row r="2606" spans="1:6" x14ac:dyDescent="0.35">
      <c r="A2606" s="2">
        <f ca="1">IFERROR(__xludf.DUMMYFUNCTION("""COMPUTED_VALUE"""),45789.6666666666)</f>
        <v>45789.666666666599</v>
      </c>
      <c r="B2606" s="1">
        <f ca="1">IFERROR(__xludf.DUMMYFUNCTION("""COMPUTED_VALUE"""),630.92)</f>
        <v>630.91999999999996</v>
      </c>
      <c r="C2606" s="1">
        <f ca="1">IFERROR(__xludf.DUMMYFUNCTION("""COMPUTED_VALUE"""),640.39)</f>
        <v>640.39</v>
      </c>
      <c r="D2606" s="1">
        <f ca="1">IFERROR(__xludf.DUMMYFUNCTION("""COMPUTED_VALUE"""),621.03)</f>
        <v>621.03</v>
      </c>
      <c r="E2606" s="1">
        <f ca="1">IFERROR(__xludf.DUMMYFUNCTION("""COMPUTED_VALUE"""),639.43)</f>
        <v>639.42999999999995</v>
      </c>
      <c r="F2606" s="1">
        <f ca="1">IFERROR(__xludf.DUMMYFUNCTION("""COMPUTED_VALUE"""),21965085)</f>
        <v>21965085</v>
      </c>
    </row>
    <row r="2607" spans="1:6" x14ac:dyDescent="0.35">
      <c r="A2607" s="2">
        <f ca="1">IFERROR(__xludf.DUMMYFUNCTION("""COMPUTED_VALUE"""),45790.6666666666)</f>
        <v>45790.666666666599</v>
      </c>
      <c r="B2607" s="1">
        <f ca="1">IFERROR(__xludf.DUMMYFUNCTION("""COMPUTED_VALUE"""),645.54)</f>
        <v>645.54</v>
      </c>
      <c r="C2607" s="1">
        <f ca="1">IFERROR(__xludf.DUMMYFUNCTION("""COMPUTED_VALUE"""),660.92)</f>
        <v>660.92</v>
      </c>
      <c r="D2607" s="1">
        <f ca="1">IFERROR(__xludf.DUMMYFUNCTION("""COMPUTED_VALUE"""),642.83)</f>
        <v>642.83000000000004</v>
      </c>
      <c r="E2607" s="1">
        <f ca="1">IFERROR(__xludf.DUMMYFUNCTION("""COMPUTED_VALUE"""),656.03)</f>
        <v>656.03</v>
      </c>
      <c r="F2607" s="1">
        <f ca="1">IFERROR(__xludf.DUMMYFUNCTION("""COMPUTED_VALUE"""),18570821)</f>
        <v>18570821</v>
      </c>
    </row>
    <row r="2608" spans="1:6" x14ac:dyDescent="0.35">
      <c r="A2608" s="2">
        <f ca="1">IFERROR(__xludf.DUMMYFUNCTION("""COMPUTED_VALUE"""),45791.6666666666)</f>
        <v>45791.666666666599</v>
      </c>
      <c r="B2608" s="1">
        <f ca="1">IFERROR(__xludf.DUMMYFUNCTION("""COMPUTED_VALUE"""),661.21)</f>
        <v>661.21</v>
      </c>
      <c r="C2608" s="1">
        <f ca="1">IFERROR(__xludf.DUMMYFUNCTION("""COMPUTED_VALUE"""),662.67)</f>
        <v>662.67</v>
      </c>
      <c r="D2608" s="1">
        <f ca="1">IFERROR(__xludf.DUMMYFUNCTION("""COMPUTED_VALUE"""),654.31)</f>
        <v>654.30999999999995</v>
      </c>
      <c r="E2608" s="1">
        <f ca="1">IFERROR(__xludf.DUMMYFUNCTION("""COMPUTED_VALUE"""),659.36)</f>
        <v>659.36</v>
      </c>
      <c r="F2608" s="1">
        <f ca="1">IFERROR(__xludf.DUMMYFUNCTION("""COMPUTED_VALUE"""),12348179)</f>
        <v>12348179</v>
      </c>
    </row>
    <row r="2609" spans="1:6" x14ac:dyDescent="0.35">
      <c r="A2609" s="2">
        <f ca="1">IFERROR(__xludf.DUMMYFUNCTION("""COMPUTED_VALUE"""),45792.6666666666)</f>
        <v>45792.666666666599</v>
      </c>
      <c r="B2609" s="1">
        <f ca="1">IFERROR(__xludf.DUMMYFUNCTION("""COMPUTED_VALUE"""),654.28)</f>
        <v>654.28</v>
      </c>
      <c r="C2609" s="1">
        <f ca="1">IFERROR(__xludf.DUMMYFUNCTION("""COMPUTED_VALUE"""),657.31)</f>
        <v>657.31</v>
      </c>
      <c r="D2609" s="1">
        <f ca="1">IFERROR(__xludf.DUMMYFUNCTION("""COMPUTED_VALUE"""),638.58)</f>
        <v>638.58000000000004</v>
      </c>
      <c r="E2609" s="1">
        <f ca="1">IFERROR(__xludf.DUMMYFUNCTION("""COMPUTED_VALUE"""),643.88)</f>
        <v>643.88</v>
      </c>
      <c r="F2609" s="1">
        <f ca="1">IFERROR(__xludf.DUMMYFUNCTION("""COMPUTED_VALUE"""),14341835)</f>
        <v>14341835</v>
      </c>
    </row>
    <row r="2610" spans="1:6" x14ac:dyDescent="0.35">
      <c r="A2610" s="2">
        <f ca="1">IFERROR(__xludf.DUMMYFUNCTION("""COMPUTED_VALUE"""),45793.6666666666)</f>
        <v>45793.666666666599</v>
      </c>
      <c r="B2610" s="1">
        <f ca="1">IFERROR(__xludf.DUMMYFUNCTION("""COMPUTED_VALUE"""),637.96)</f>
        <v>637.96</v>
      </c>
      <c r="C2610" s="1">
        <f ca="1">IFERROR(__xludf.DUMMYFUNCTION("""COMPUTED_VALUE"""),640.44)</f>
        <v>640.44000000000005</v>
      </c>
      <c r="D2610" s="1">
        <f ca="1">IFERROR(__xludf.DUMMYFUNCTION("""COMPUTED_VALUE"""),626.15)</f>
        <v>626.15</v>
      </c>
      <c r="E2610" s="1">
        <f ca="1">IFERROR(__xludf.DUMMYFUNCTION("""COMPUTED_VALUE"""),640.34)</f>
        <v>640.34</v>
      </c>
      <c r="F2610" s="1">
        <f ca="1">IFERROR(__xludf.DUMMYFUNCTION("""COMPUTED_VALUE"""),18518972)</f>
        <v>18518972</v>
      </c>
    </row>
    <row r="2611" spans="1:6" x14ac:dyDescent="0.35">
      <c r="A2611" s="2">
        <f ca="1">IFERROR(__xludf.DUMMYFUNCTION("""COMPUTED_VALUE"""),45796.6666666666)</f>
        <v>45796.666666666599</v>
      </c>
      <c r="B2611" s="1">
        <f ca="1">IFERROR(__xludf.DUMMYFUNCTION("""COMPUTED_VALUE"""),628.25)</f>
        <v>628.25</v>
      </c>
      <c r="C2611" s="1">
        <f ca="1">IFERROR(__xludf.DUMMYFUNCTION("""COMPUTED_VALUE"""),643)</f>
        <v>643</v>
      </c>
      <c r="D2611" s="1">
        <f ca="1">IFERROR(__xludf.DUMMYFUNCTION("""COMPUTED_VALUE"""),627.8)</f>
        <v>627.79999999999995</v>
      </c>
      <c r="E2611" s="1">
        <f ca="1">IFERROR(__xludf.DUMMYFUNCTION("""COMPUTED_VALUE"""),640.43)</f>
        <v>640.42999999999995</v>
      </c>
      <c r="F2611" s="1">
        <f ca="1">IFERROR(__xludf.DUMMYFUNCTION("""COMPUTED_VALUE"""),9592374)</f>
        <v>9592374</v>
      </c>
    </row>
    <row r="2612" spans="1:6" x14ac:dyDescent="0.35">
      <c r="A2612" s="2">
        <f ca="1">IFERROR(__xludf.DUMMYFUNCTION("""COMPUTED_VALUE"""),45797.6666666666)</f>
        <v>45797.666666666599</v>
      </c>
      <c r="B2612" s="1">
        <f ca="1">IFERROR(__xludf.DUMMYFUNCTION("""COMPUTED_VALUE"""),636.01)</f>
        <v>636.01</v>
      </c>
      <c r="C2612" s="1">
        <f ca="1">IFERROR(__xludf.DUMMYFUNCTION("""COMPUTED_VALUE"""),639.35)</f>
        <v>639.35</v>
      </c>
      <c r="D2612" s="1">
        <f ca="1">IFERROR(__xludf.DUMMYFUNCTION("""COMPUTED_VALUE"""),632.26)</f>
        <v>632.26</v>
      </c>
      <c r="E2612" s="1">
        <f ca="1">IFERROR(__xludf.DUMMYFUNCTION("""COMPUTED_VALUE"""),637.1)</f>
        <v>637.1</v>
      </c>
      <c r="F2612" s="1">
        <f ca="1">IFERROR(__xludf.DUMMYFUNCTION("""COMPUTED_VALUE"""),6743473)</f>
        <v>6743473</v>
      </c>
    </row>
    <row r="2613" spans="1:6" x14ac:dyDescent="0.35">
      <c r="A2613" s="2">
        <f ca="1">IFERROR(__xludf.DUMMYFUNCTION("""COMPUTED_VALUE"""),45798.6666666666)</f>
        <v>45798.666666666599</v>
      </c>
      <c r="B2613" s="1">
        <f ca="1">IFERROR(__xludf.DUMMYFUNCTION("""COMPUTED_VALUE"""),631.79)</f>
        <v>631.79</v>
      </c>
      <c r="C2613" s="1">
        <f ca="1">IFERROR(__xludf.DUMMYFUNCTION("""COMPUTED_VALUE"""),646.61)</f>
        <v>646.61</v>
      </c>
      <c r="D2613" s="1">
        <f ca="1">IFERROR(__xludf.DUMMYFUNCTION("""COMPUTED_VALUE"""),630.17)</f>
        <v>630.16999999999996</v>
      </c>
      <c r="E2613" s="1">
        <f ca="1">IFERROR(__xludf.DUMMYFUNCTION("""COMPUTED_VALUE"""),635.5)</f>
        <v>635.5</v>
      </c>
      <c r="F2613" s="1">
        <f ca="1">IFERROR(__xludf.DUMMYFUNCTION("""COMPUTED_VALUE"""),11464569)</f>
        <v>11464569</v>
      </c>
    </row>
    <row r="2614" spans="1:6" x14ac:dyDescent="0.35">
      <c r="A2614" s="2">
        <f ca="1">IFERROR(__xludf.DUMMYFUNCTION("""COMPUTED_VALUE"""),45799.6666666666)</f>
        <v>45799.666666666599</v>
      </c>
      <c r="B2614" s="1">
        <f ca="1">IFERROR(__xludf.DUMMYFUNCTION("""COMPUTED_VALUE"""),634.05)</f>
        <v>634.04999999999995</v>
      </c>
      <c r="C2614" s="1">
        <f ca="1">IFERROR(__xludf.DUMMYFUNCTION("""COMPUTED_VALUE"""),643.25)</f>
        <v>643.25</v>
      </c>
      <c r="D2614" s="1">
        <f ca="1">IFERROR(__xludf.DUMMYFUNCTION("""COMPUTED_VALUE"""),630.71)</f>
        <v>630.71</v>
      </c>
      <c r="E2614" s="1">
        <f ca="1">IFERROR(__xludf.DUMMYFUNCTION("""COMPUTED_VALUE"""),636.57)</f>
        <v>636.57000000000005</v>
      </c>
      <c r="F2614" s="1">
        <f ca="1">IFERROR(__xludf.DUMMYFUNCTION("""COMPUTED_VALUE"""),8228443)</f>
        <v>8228443</v>
      </c>
    </row>
    <row r="2615" spans="1:6" x14ac:dyDescent="0.35">
      <c r="A2615" s="2">
        <f ca="1">IFERROR(__xludf.DUMMYFUNCTION("""COMPUTED_VALUE"""),45800.6666666666)</f>
        <v>45800.666666666599</v>
      </c>
      <c r="B2615" s="1">
        <f ca="1">IFERROR(__xludf.DUMMYFUNCTION("""COMPUTED_VALUE"""),624)</f>
        <v>624</v>
      </c>
      <c r="C2615" s="1">
        <f ca="1">IFERROR(__xludf.DUMMYFUNCTION("""COMPUTED_VALUE"""),632.45)</f>
        <v>632.45000000000005</v>
      </c>
      <c r="D2615" s="1">
        <f ca="1">IFERROR(__xludf.DUMMYFUNCTION("""COMPUTED_VALUE"""),622.65)</f>
        <v>622.65</v>
      </c>
      <c r="E2615" s="1">
        <f ca="1">IFERROR(__xludf.DUMMYFUNCTION("""COMPUTED_VALUE"""),627.06)</f>
        <v>627.05999999999995</v>
      </c>
      <c r="F2615" s="1">
        <f ca="1">IFERROR(__xludf.DUMMYFUNCTION("""COMPUTED_VALUE"""),8454067)</f>
        <v>8454067</v>
      </c>
    </row>
    <row r="2616" spans="1:6" x14ac:dyDescent="0.35">
      <c r="A2616" s="2">
        <f ca="1">IFERROR(__xludf.DUMMYFUNCTION("""COMPUTED_VALUE"""),45804.6666666666)</f>
        <v>45804.666666666599</v>
      </c>
      <c r="B2616" s="1">
        <f ca="1">IFERROR(__xludf.DUMMYFUNCTION("""COMPUTED_VALUE"""),635.41)</f>
        <v>635.41</v>
      </c>
      <c r="C2616" s="1">
        <f ca="1">IFERROR(__xludf.DUMMYFUNCTION("""COMPUTED_VALUE"""),643.08)</f>
        <v>643.08000000000004</v>
      </c>
      <c r="D2616" s="1">
        <f ca="1">IFERROR(__xludf.DUMMYFUNCTION("""COMPUTED_VALUE"""),632.75)</f>
        <v>632.75</v>
      </c>
      <c r="E2616" s="1">
        <f ca="1">IFERROR(__xludf.DUMMYFUNCTION("""COMPUTED_VALUE"""),642.32)</f>
        <v>642.32000000000005</v>
      </c>
      <c r="F2616" s="1">
        <f ca="1">IFERROR(__xludf.DUMMYFUNCTION("""COMPUTED_VALUE"""),9508367)</f>
        <v>9508367</v>
      </c>
    </row>
    <row r="2617" spans="1:6" x14ac:dyDescent="0.35">
      <c r="A2617" s="2">
        <f ca="1">IFERROR(__xludf.DUMMYFUNCTION("""COMPUTED_VALUE"""),45805.6666666666)</f>
        <v>45805.666666666599</v>
      </c>
      <c r="B2617" s="1">
        <f ca="1">IFERROR(__xludf.DUMMYFUNCTION("""COMPUTED_VALUE"""),642.6)</f>
        <v>642.6</v>
      </c>
      <c r="C2617" s="1">
        <f ca="1">IFERROR(__xludf.DUMMYFUNCTION("""COMPUTED_VALUE"""),650.88)</f>
        <v>650.88</v>
      </c>
      <c r="D2617" s="1">
        <f ca="1">IFERROR(__xludf.DUMMYFUNCTION("""COMPUTED_VALUE"""),642.55)</f>
        <v>642.54999999999995</v>
      </c>
      <c r="E2617" s="1">
        <f ca="1">IFERROR(__xludf.DUMMYFUNCTION("""COMPUTED_VALUE"""),643.58)</f>
        <v>643.58000000000004</v>
      </c>
      <c r="F2617" s="1">
        <f ca="1">IFERROR(__xludf.DUMMYFUNCTION("""COMPUTED_VALUE"""),9042874)</f>
        <v>9042874</v>
      </c>
    </row>
    <row r="2618" spans="1:6" x14ac:dyDescent="0.35">
      <c r="A2618" s="2">
        <f ca="1">IFERROR(__xludf.DUMMYFUNCTION("""COMPUTED_VALUE"""),45806.6666666666)</f>
        <v>45806.666666666599</v>
      </c>
      <c r="B2618" s="1">
        <f ca="1">IFERROR(__xludf.DUMMYFUNCTION("""COMPUTED_VALUE"""),651.65)</f>
        <v>651.65</v>
      </c>
      <c r="C2618" s="1">
        <f ca="1">IFERROR(__xludf.DUMMYFUNCTION("""COMPUTED_VALUE"""),653.32)</f>
        <v>653.32000000000005</v>
      </c>
      <c r="D2618" s="1">
        <f ca="1">IFERROR(__xludf.DUMMYFUNCTION("""COMPUTED_VALUE"""),639.5)</f>
        <v>639.5</v>
      </c>
      <c r="E2618" s="1">
        <f ca="1">IFERROR(__xludf.DUMMYFUNCTION("""COMPUTED_VALUE"""),645.05)</f>
        <v>645.04999999999995</v>
      </c>
      <c r="F2618" s="1">
        <f ca="1">IFERROR(__xludf.DUMMYFUNCTION("""COMPUTED_VALUE"""),8883436)</f>
        <v>8883436</v>
      </c>
    </row>
    <row r="2619" spans="1:6" x14ac:dyDescent="0.35">
      <c r="A2619" s="2">
        <f ca="1">IFERROR(__xludf.DUMMYFUNCTION("""COMPUTED_VALUE"""),45807.6666666666)</f>
        <v>45807.666666666599</v>
      </c>
      <c r="B2619" s="1">
        <f ca="1">IFERROR(__xludf.DUMMYFUNCTION("""COMPUTED_VALUE"""),642.5)</f>
        <v>642.5</v>
      </c>
      <c r="C2619" s="1">
        <f ca="1">IFERROR(__xludf.DUMMYFUNCTION("""COMPUTED_VALUE"""),649.41)</f>
        <v>649.41</v>
      </c>
      <c r="D2619" s="1">
        <f ca="1">IFERROR(__xludf.DUMMYFUNCTION("""COMPUTED_VALUE"""),632.78)</f>
        <v>632.78</v>
      </c>
      <c r="E2619" s="1">
        <f ca="1">IFERROR(__xludf.DUMMYFUNCTION("""COMPUTED_VALUE"""),647.49)</f>
        <v>647.49</v>
      </c>
      <c r="F2619" s="1">
        <f ca="1">IFERROR(__xludf.DUMMYFUNCTION("""COMPUTED_VALUE"""),16240951)</f>
        <v>16240951</v>
      </c>
    </row>
    <row r="2620" spans="1:6" x14ac:dyDescent="0.35">
      <c r="A2620" s="2">
        <f ca="1">IFERROR(__xludf.DUMMYFUNCTION("""COMPUTED_VALUE"""),45810.6666666666)</f>
        <v>45810.666666666599</v>
      </c>
      <c r="B2620" s="1">
        <f ca="1">IFERROR(__xludf.DUMMYFUNCTION("""COMPUTED_VALUE"""),644.39)</f>
        <v>644.39</v>
      </c>
      <c r="C2620" s="1">
        <f ca="1">IFERROR(__xludf.DUMMYFUNCTION("""COMPUTED_VALUE"""),673.26)</f>
        <v>673.26</v>
      </c>
      <c r="D2620" s="1">
        <f ca="1">IFERROR(__xludf.DUMMYFUNCTION("""COMPUTED_VALUE"""),644.26)</f>
        <v>644.26</v>
      </c>
      <c r="E2620" s="1">
        <f ca="1">IFERROR(__xludf.DUMMYFUNCTION("""COMPUTED_VALUE"""),670.9)</f>
        <v>670.9</v>
      </c>
      <c r="F2620" s="1">
        <f ca="1">IFERROR(__xludf.DUMMYFUNCTION("""COMPUTED_VALUE"""),15766258)</f>
        <v>15766258</v>
      </c>
    </row>
    <row r="2621" spans="1:6" x14ac:dyDescent="0.35">
      <c r="A2621" s="2">
        <f ca="1">IFERROR(__xludf.DUMMYFUNCTION("""COMPUTED_VALUE"""),45811.6666666666)</f>
        <v>45811.666666666599</v>
      </c>
      <c r="B2621" s="1">
        <f ca="1">IFERROR(__xludf.DUMMYFUNCTION("""COMPUTED_VALUE"""),671.45)</f>
        <v>671.45</v>
      </c>
      <c r="C2621" s="1">
        <f ca="1">IFERROR(__xludf.DUMMYFUNCTION("""COMPUTED_VALUE"""),675.58)</f>
        <v>675.58</v>
      </c>
      <c r="D2621" s="1">
        <f ca="1">IFERROR(__xludf.DUMMYFUNCTION("""COMPUTED_VALUE"""),665.03)</f>
        <v>665.03</v>
      </c>
      <c r="E2621" s="1">
        <f ca="1">IFERROR(__xludf.DUMMYFUNCTION("""COMPUTED_VALUE"""),666.85)</f>
        <v>666.85</v>
      </c>
      <c r="F2621" s="1">
        <f ca="1">IFERROR(__xludf.DUMMYFUNCTION("""COMPUTED_VALUE"""),11585031)</f>
        <v>11585031</v>
      </c>
    </row>
    <row r="2622" spans="1:6" x14ac:dyDescent="0.35">
      <c r="A2622" s="2">
        <f ca="1">IFERROR(__xludf.DUMMYFUNCTION("""COMPUTED_VALUE"""),45812.6666666666)</f>
        <v>45812.666666666599</v>
      </c>
      <c r="B2622" s="1">
        <f ca="1">IFERROR(__xludf.DUMMYFUNCTION("""COMPUTED_VALUE"""),669.32)</f>
        <v>669.32</v>
      </c>
      <c r="C2622" s="1">
        <f ca="1">IFERROR(__xludf.DUMMYFUNCTION("""COMPUTED_VALUE"""),689)</f>
        <v>689</v>
      </c>
      <c r="D2622" s="1">
        <f ca="1">IFERROR(__xludf.DUMMYFUNCTION("""COMPUTED_VALUE"""),668.57)</f>
        <v>668.57</v>
      </c>
      <c r="E2622" s="1">
        <f ca="1">IFERROR(__xludf.DUMMYFUNCTION("""COMPUTED_VALUE"""),687.95)</f>
        <v>687.95</v>
      </c>
      <c r="F2622" s="1">
        <f ca="1">IFERROR(__xludf.DUMMYFUNCTION("""COMPUTED_VALUE"""),14031931)</f>
        <v>14031931</v>
      </c>
    </row>
    <row r="2623" spans="1:6" x14ac:dyDescent="0.35">
      <c r="A2623" s="2">
        <f ca="1">IFERROR(__xludf.DUMMYFUNCTION("""COMPUTED_VALUE"""),45813.6666666666)</f>
        <v>45813.666666666599</v>
      </c>
      <c r="B2623" s="1">
        <f ca="1">IFERROR(__xludf.DUMMYFUNCTION("""COMPUTED_VALUE"""),691.66)</f>
        <v>691.66</v>
      </c>
      <c r="C2623" s="1">
        <f ca="1">IFERROR(__xludf.DUMMYFUNCTION("""COMPUTED_VALUE"""),694.38)</f>
        <v>694.38</v>
      </c>
      <c r="D2623" s="1">
        <f ca="1">IFERROR(__xludf.DUMMYFUNCTION("""COMPUTED_VALUE"""),682.25)</f>
        <v>682.25</v>
      </c>
      <c r="E2623" s="1">
        <f ca="1">IFERROR(__xludf.DUMMYFUNCTION("""COMPUTED_VALUE"""),684.62)</f>
        <v>684.62</v>
      </c>
      <c r="F2623" s="1">
        <f ca="1">IFERROR(__xludf.DUMMYFUNCTION("""COMPUTED_VALUE"""),13120335)</f>
        <v>13120335</v>
      </c>
    </row>
    <row r="2624" spans="1:6" x14ac:dyDescent="0.35">
      <c r="A2624" s="2">
        <f ca="1">IFERROR(__xludf.DUMMYFUNCTION("""COMPUTED_VALUE"""),45814.6666666666)</f>
        <v>45814.666666666599</v>
      </c>
      <c r="B2624" s="1">
        <f ca="1">IFERROR(__xludf.DUMMYFUNCTION("""COMPUTED_VALUE"""),696.17)</f>
        <v>696.17</v>
      </c>
      <c r="C2624" s="1">
        <f ca="1">IFERROR(__xludf.DUMMYFUNCTION("""COMPUTED_VALUE"""),702.81)</f>
        <v>702.81</v>
      </c>
      <c r="D2624" s="1">
        <f ca="1">IFERROR(__xludf.DUMMYFUNCTION("""COMPUTED_VALUE"""),691.87)</f>
        <v>691.87</v>
      </c>
      <c r="E2624" s="1">
        <f ca="1">IFERROR(__xludf.DUMMYFUNCTION("""COMPUTED_VALUE"""),697.71)</f>
        <v>697.71</v>
      </c>
      <c r="F2624" s="1">
        <f ca="1">IFERROR(__xludf.DUMMYFUNCTION("""COMPUTED_VALUE"""),11727961)</f>
        <v>11727961</v>
      </c>
    </row>
    <row r="2625" spans="1:6" x14ac:dyDescent="0.35">
      <c r="A2625" s="2">
        <f ca="1">IFERROR(__xludf.DUMMYFUNCTION("""COMPUTED_VALUE"""),45817.6666666666)</f>
        <v>45817.666666666599</v>
      </c>
      <c r="B2625" s="1">
        <f ca="1">IFERROR(__xludf.DUMMYFUNCTION("""COMPUTED_VALUE"""),698.46)</f>
        <v>698.46</v>
      </c>
      <c r="C2625" s="1">
        <f ca="1">IFERROR(__xludf.DUMMYFUNCTION("""COMPUTED_VALUE"""),705.19)</f>
        <v>705.19</v>
      </c>
      <c r="D2625" s="1">
        <f ca="1">IFERROR(__xludf.DUMMYFUNCTION("""COMPUTED_VALUE"""),693.94)</f>
        <v>693.94</v>
      </c>
      <c r="E2625" s="1">
        <f ca="1">IFERROR(__xludf.DUMMYFUNCTION("""COMPUTED_VALUE"""),694.06)</f>
        <v>694.06</v>
      </c>
      <c r="F2625" s="1">
        <f ca="1">IFERROR(__xludf.DUMMYFUNCTION("""COMPUTED_VALUE"""),12773221)</f>
        <v>12773221</v>
      </c>
    </row>
    <row r="2626" spans="1:6" x14ac:dyDescent="0.35">
      <c r="A2626" s="2">
        <f ca="1">IFERROR(__xludf.DUMMYFUNCTION("""COMPUTED_VALUE"""),45818.6666666666)</f>
        <v>45818.666666666599</v>
      </c>
      <c r="B2626" s="1">
        <f ca="1">IFERROR(__xludf.DUMMYFUNCTION("""COMPUTED_VALUE"""),701.35)</f>
        <v>701.35</v>
      </c>
      <c r="C2626" s="1">
        <f ca="1">IFERROR(__xludf.DUMMYFUNCTION("""COMPUTED_VALUE"""),703.23)</f>
        <v>703.23</v>
      </c>
      <c r="D2626" s="1">
        <f ca="1">IFERROR(__xludf.DUMMYFUNCTION("""COMPUTED_VALUE"""),691.56)</f>
        <v>691.56</v>
      </c>
      <c r="E2626" s="1">
        <f ca="1">IFERROR(__xludf.DUMMYFUNCTION("""COMPUTED_VALUE"""),702.4)</f>
        <v>702.4</v>
      </c>
      <c r="F2626" s="1">
        <f ca="1">IFERROR(__xludf.DUMMYFUNCTION("""COMPUTED_VALUE"""),10850146)</f>
        <v>10850146</v>
      </c>
    </row>
    <row r="2627" spans="1:6" x14ac:dyDescent="0.35">
      <c r="A2627" s="2">
        <f ca="1">IFERROR(__xludf.DUMMYFUNCTION("""COMPUTED_VALUE"""),45819.6666666666)</f>
        <v>45819.666666666599</v>
      </c>
      <c r="B2627" s="1">
        <f ca="1">IFERROR(__xludf.DUMMYFUNCTION("""COMPUTED_VALUE"""),703.71)</f>
        <v>703.71</v>
      </c>
      <c r="C2627" s="1">
        <f ca="1">IFERROR(__xludf.DUMMYFUNCTION("""COMPUTED_VALUE"""),708.87)</f>
        <v>708.87</v>
      </c>
      <c r="D2627" s="1">
        <f ca="1">IFERROR(__xludf.DUMMYFUNCTION("""COMPUTED_VALUE"""),691.99)</f>
        <v>691.99</v>
      </c>
      <c r="E2627" s="1">
        <f ca="1">IFERROR(__xludf.DUMMYFUNCTION("""COMPUTED_VALUE"""),694.14)</f>
        <v>694.14</v>
      </c>
      <c r="F2627" s="1">
        <f ca="1">IFERROR(__xludf.DUMMYFUNCTION("""COMPUTED_VALUE"""),9582508)</f>
        <v>9582508</v>
      </c>
    </row>
    <row r="2628" spans="1:6" x14ac:dyDescent="0.35">
      <c r="A2628" s="2">
        <f ca="1">IFERROR(__xludf.DUMMYFUNCTION("""COMPUTED_VALUE"""),45820.6666666666)</f>
        <v>45820.666666666599</v>
      </c>
      <c r="B2628" s="1">
        <f ca="1">IFERROR(__xludf.DUMMYFUNCTION("""COMPUTED_VALUE"""),693.3)</f>
        <v>693.3</v>
      </c>
      <c r="C2628" s="1">
        <f ca="1">IFERROR(__xludf.DUMMYFUNCTION("""COMPUTED_VALUE"""),695.38)</f>
        <v>695.38</v>
      </c>
      <c r="D2628" s="1">
        <f ca="1">IFERROR(__xludf.DUMMYFUNCTION("""COMPUTED_VALUE"""),687)</f>
        <v>687</v>
      </c>
      <c r="E2628" s="1">
        <f ca="1">IFERROR(__xludf.DUMMYFUNCTION("""COMPUTED_VALUE"""),693.36)</f>
        <v>693.36</v>
      </c>
      <c r="F2628" s="1">
        <f ca="1">IFERROR(__xludf.DUMMYFUNCTION("""COMPUTED_VALUE"""),7322730)</f>
        <v>7322730</v>
      </c>
    </row>
    <row r="2629" spans="1:6" x14ac:dyDescent="0.35">
      <c r="A2629" s="2">
        <f ca="1">IFERROR(__xludf.DUMMYFUNCTION("""COMPUTED_VALUE"""),45821.6666666666)</f>
        <v>45821.666666666599</v>
      </c>
      <c r="B2629" s="1">
        <f ca="1">IFERROR(__xludf.DUMMYFUNCTION("""COMPUTED_VALUE"""),687.95)</f>
        <v>687.95</v>
      </c>
      <c r="C2629" s="1">
        <f ca="1">IFERROR(__xludf.DUMMYFUNCTION("""COMPUTED_VALUE"""),694.57)</f>
        <v>694.57</v>
      </c>
      <c r="D2629" s="1">
        <f ca="1">IFERROR(__xludf.DUMMYFUNCTION("""COMPUTED_VALUE"""),681.01)</f>
        <v>681.01</v>
      </c>
      <c r="E2629" s="1">
        <f ca="1">IFERROR(__xludf.DUMMYFUNCTION("""COMPUTED_VALUE"""),682.87)</f>
        <v>682.87</v>
      </c>
      <c r="F2629" s="1">
        <f ca="1">IFERROR(__xludf.DUMMYFUNCTION("""COMPUTED_VALUE"""),9274441)</f>
        <v>9274441</v>
      </c>
    </row>
    <row r="2630" spans="1:6" x14ac:dyDescent="0.35">
      <c r="A2630" s="2">
        <f ca="1">IFERROR(__xludf.DUMMYFUNCTION("""COMPUTED_VALUE"""),45824.6666666666)</f>
        <v>45824.666666666599</v>
      </c>
      <c r="B2630" s="1">
        <f ca="1">IFERROR(__xludf.DUMMYFUNCTION("""COMPUTED_VALUE"""),699.33)</f>
        <v>699.33</v>
      </c>
      <c r="C2630" s="1">
        <f ca="1">IFERROR(__xludf.DUMMYFUNCTION("""COMPUTED_VALUE"""),707.15)</f>
        <v>707.15</v>
      </c>
      <c r="D2630" s="1">
        <f ca="1">IFERROR(__xludf.DUMMYFUNCTION("""COMPUTED_VALUE"""),693.51)</f>
        <v>693.51</v>
      </c>
      <c r="E2630" s="1">
        <f ca="1">IFERROR(__xludf.DUMMYFUNCTION("""COMPUTED_VALUE"""),702.12)</f>
        <v>702.12</v>
      </c>
      <c r="F2630" s="1">
        <f ca="1">IFERROR(__xludf.DUMMYFUNCTION("""COMPUTED_VALUE"""),13720288)</f>
        <v>13720288</v>
      </c>
    </row>
    <row r="2631" spans="1:6" x14ac:dyDescent="0.35">
      <c r="A2631" s="2">
        <f ca="1">IFERROR(__xludf.DUMMYFUNCTION("""COMPUTED_VALUE"""),45825.6666666666)</f>
        <v>45825.666666666599</v>
      </c>
      <c r="B2631" s="1">
        <f ca="1">IFERROR(__xludf.DUMMYFUNCTION("""COMPUTED_VALUE"""),702)</f>
        <v>702</v>
      </c>
      <c r="C2631" s="1">
        <f ca="1">IFERROR(__xludf.DUMMYFUNCTION("""COMPUTED_VALUE"""),705.97)</f>
        <v>705.97</v>
      </c>
      <c r="D2631" s="1">
        <f ca="1">IFERROR(__xludf.DUMMYFUNCTION("""COMPUTED_VALUE"""),696.06)</f>
        <v>696.06</v>
      </c>
      <c r="E2631" s="1">
        <f ca="1">IFERROR(__xludf.DUMMYFUNCTION("""COMPUTED_VALUE"""),697.23)</f>
        <v>697.23</v>
      </c>
      <c r="F2631" s="1">
        <f ca="1">IFERROR(__xludf.DUMMYFUNCTION("""COMPUTED_VALUE"""),10066110)</f>
        <v>10066110</v>
      </c>
    </row>
    <row r="2632" spans="1:6" x14ac:dyDescent="0.35">
      <c r="A2632" s="2">
        <f ca="1">IFERROR(__xludf.DUMMYFUNCTION("""COMPUTED_VALUE"""),45826.6666666666)</f>
        <v>45826.666666666599</v>
      </c>
      <c r="B2632" s="1">
        <f ca="1">IFERROR(__xludf.DUMMYFUNCTION("""COMPUTED_VALUE"""),698.18)</f>
        <v>698.18</v>
      </c>
      <c r="C2632" s="1">
        <f ca="1">IFERROR(__xludf.DUMMYFUNCTION("""COMPUTED_VALUE"""),701.59)</f>
        <v>701.59</v>
      </c>
      <c r="D2632" s="1">
        <f ca="1">IFERROR(__xludf.DUMMYFUNCTION("""COMPUTED_VALUE"""),694.9)</f>
        <v>694.9</v>
      </c>
      <c r="E2632" s="1">
        <f ca="1">IFERROR(__xludf.DUMMYFUNCTION("""COMPUTED_VALUE"""),695.77)</f>
        <v>695.77</v>
      </c>
      <c r="F2632" s="1">
        <f ca="1">IFERROR(__xludf.DUMMYFUNCTION("""COMPUTED_VALUE"""),10068255)</f>
        <v>10068255</v>
      </c>
    </row>
    <row r="2633" spans="1:6" x14ac:dyDescent="0.35">
      <c r="A2633" s="2">
        <f ca="1">IFERROR(__xludf.DUMMYFUNCTION("""COMPUTED_VALUE"""),45828.6666666666)</f>
        <v>45828.666666666599</v>
      </c>
      <c r="B2633" s="1">
        <f ca="1">IFERROR(__xludf.DUMMYFUNCTION("""COMPUTED_VALUE"""),700.75)</f>
        <v>700.75</v>
      </c>
      <c r="C2633" s="1">
        <f ca="1">IFERROR(__xludf.DUMMYFUNCTION("""COMPUTED_VALUE"""),701.82)</f>
        <v>701.82</v>
      </c>
      <c r="D2633" s="1">
        <f ca="1">IFERROR(__xludf.DUMMYFUNCTION("""COMPUTED_VALUE"""),678.67)</f>
        <v>678.67</v>
      </c>
      <c r="E2633" s="1">
        <f ca="1">IFERROR(__xludf.DUMMYFUNCTION("""COMPUTED_VALUE"""),682.35)</f>
        <v>682.35</v>
      </c>
      <c r="F2633" s="1">
        <f ca="1">IFERROR(__xludf.DUMMYFUNCTION("""COMPUTED_VALUE"""),22538640)</f>
        <v>22538640</v>
      </c>
    </row>
    <row r="2634" spans="1:6" x14ac:dyDescent="0.35">
      <c r="A2634" s="2">
        <f ca="1">IFERROR(__xludf.DUMMYFUNCTION("""COMPUTED_VALUE"""),45831.6666666666)</f>
        <v>45831.666666666599</v>
      </c>
      <c r="B2634" s="1">
        <f ca="1">IFERROR(__xludf.DUMMYFUNCTION("""COMPUTED_VALUE"""),683.69)</f>
        <v>683.69</v>
      </c>
      <c r="C2634" s="1">
        <f ca="1">IFERROR(__xludf.DUMMYFUNCTION("""COMPUTED_VALUE"""),699.05)</f>
        <v>699.05</v>
      </c>
      <c r="D2634" s="1">
        <f ca="1">IFERROR(__xludf.DUMMYFUNCTION("""COMPUTED_VALUE"""),678.75)</f>
        <v>678.75</v>
      </c>
      <c r="E2634" s="1">
        <f ca="1">IFERROR(__xludf.DUMMYFUNCTION("""COMPUTED_VALUE"""),698.53)</f>
        <v>698.53</v>
      </c>
      <c r="F2634" s="1">
        <f ca="1">IFERROR(__xludf.DUMMYFUNCTION("""COMPUTED_VALUE"""),11080055)</f>
        <v>11080055</v>
      </c>
    </row>
    <row r="2635" spans="1:6" x14ac:dyDescent="0.35">
      <c r="A2635" s="2">
        <f ca="1">IFERROR(__xludf.DUMMYFUNCTION("""COMPUTED_VALUE"""),45832.6666666666)</f>
        <v>45832.666666666599</v>
      </c>
      <c r="B2635" s="1">
        <f ca="1">IFERROR(__xludf.DUMMYFUNCTION("""COMPUTED_VALUE"""),704.89)</f>
        <v>704.89</v>
      </c>
      <c r="C2635" s="1">
        <f ca="1">IFERROR(__xludf.DUMMYFUNCTION("""COMPUTED_VALUE"""),713.19)</f>
        <v>713.19</v>
      </c>
      <c r="D2635" s="1">
        <f ca="1">IFERROR(__xludf.DUMMYFUNCTION("""COMPUTED_VALUE"""),702.11)</f>
        <v>702.11</v>
      </c>
      <c r="E2635" s="1">
        <f ca="1">IFERROR(__xludf.DUMMYFUNCTION("""COMPUTED_VALUE"""),712.2)</f>
        <v>712.2</v>
      </c>
      <c r="F2635" s="1">
        <f ca="1">IFERROR(__xludf.DUMMYFUNCTION("""COMPUTED_VALUE"""),13823180)</f>
        <v>13823180</v>
      </c>
    </row>
    <row r="2636" spans="1:6" x14ac:dyDescent="0.35">
      <c r="A2636" s="2">
        <f ca="1">IFERROR(__xludf.DUMMYFUNCTION("""COMPUTED_VALUE"""),45833.6666666666)</f>
        <v>45833.666666666599</v>
      </c>
      <c r="B2636" s="1">
        <f ca="1">IFERROR(__xludf.DUMMYFUNCTION("""COMPUTED_VALUE"""),713.32)</f>
        <v>713.32</v>
      </c>
      <c r="C2636" s="1">
        <f ca="1">IFERROR(__xludf.DUMMYFUNCTION("""COMPUTED_VALUE"""),716.58)</f>
        <v>716.58</v>
      </c>
      <c r="D2636" s="1">
        <f ca="1">IFERROR(__xludf.DUMMYFUNCTION("""COMPUTED_VALUE"""),705.38)</f>
        <v>705.38</v>
      </c>
      <c r="E2636" s="1">
        <f ca="1">IFERROR(__xludf.DUMMYFUNCTION("""COMPUTED_VALUE"""),708.68)</f>
        <v>708.68</v>
      </c>
      <c r="F2636" s="1">
        <f ca="1">IFERROR(__xludf.DUMMYFUNCTION("""COMPUTED_VALUE"""),9320436)</f>
        <v>9320436</v>
      </c>
    </row>
    <row r="2637" spans="1:6" x14ac:dyDescent="0.35">
      <c r="A2637" s="2">
        <f ca="1">IFERROR(__xludf.DUMMYFUNCTION("""COMPUTED_VALUE"""),45834.6666666666)</f>
        <v>45834.666666666599</v>
      </c>
      <c r="B2637" s="1">
        <f ca="1">IFERROR(__xludf.DUMMYFUNCTION("""COMPUTED_VALUE"""),714.36)</f>
        <v>714.36</v>
      </c>
      <c r="C2637" s="1">
        <f ca="1">IFERROR(__xludf.DUMMYFUNCTION("""COMPUTED_VALUE"""),728.22)</f>
        <v>728.22</v>
      </c>
      <c r="D2637" s="1">
        <f ca="1">IFERROR(__xludf.DUMMYFUNCTION("""COMPUTED_VALUE"""),711.05)</f>
        <v>711.05</v>
      </c>
      <c r="E2637" s="1">
        <f ca="1">IFERROR(__xludf.DUMMYFUNCTION("""COMPUTED_VALUE"""),726.09)</f>
        <v>726.09</v>
      </c>
      <c r="F2637" s="1">
        <f ca="1">IFERROR(__xludf.DUMMYFUNCTION("""COMPUTED_VALUE"""),13964793)</f>
        <v>13964793</v>
      </c>
    </row>
    <row r="2638" spans="1:6" x14ac:dyDescent="0.35">
      <c r="A2638" s="2">
        <f ca="1">IFERROR(__xludf.DUMMYFUNCTION("""COMPUTED_VALUE"""),45835.6666666666)</f>
        <v>45835.666666666599</v>
      </c>
      <c r="B2638" s="1">
        <f ca="1">IFERROR(__xludf.DUMMYFUNCTION("""COMPUTED_VALUE"""),726.52)</f>
        <v>726.52</v>
      </c>
      <c r="C2638" s="1">
        <f ca="1">IFERROR(__xludf.DUMMYFUNCTION("""COMPUTED_VALUE"""),735.43)</f>
        <v>735.43</v>
      </c>
      <c r="D2638" s="1">
        <f ca="1">IFERROR(__xludf.DUMMYFUNCTION("""COMPUTED_VALUE"""),725.86)</f>
        <v>725.86</v>
      </c>
      <c r="E2638" s="1">
        <f ca="1">IFERROR(__xludf.DUMMYFUNCTION("""COMPUTED_VALUE"""),733.63)</f>
        <v>733.63</v>
      </c>
      <c r="F2638" s="1">
        <f ca="1">IFERROR(__xludf.DUMMYFUNCTION("""COMPUTED_VALUE"""),18775735)</f>
        <v>18775735</v>
      </c>
    </row>
    <row r="2639" spans="1:6" x14ac:dyDescent="0.35">
      <c r="A2639" s="2">
        <f ca="1">IFERROR(__xludf.DUMMYFUNCTION("""COMPUTED_VALUE"""),45838.6666666666)</f>
        <v>45838.666666666599</v>
      </c>
      <c r="B2639" s="1">
        <f ca="1">IFERROR(__xludf.DUMMYFUNCTION("""COMPUTED_VALUE"""),744.55)</f>
        <v>744.55</v>
      </c>
      <c r="C2639" s="1">
        <f ca="1">IFERROR(__xludf.DUMMYFUNCTION("""COMPUTED_VALUE"""),747.9)</f>
        <v>747.9</v>
      </c>
      <c r="D2639" s="1">
        <f ca="1">IFERROR(__xludf.DUMMYFUNCTION("""COMPUTED_VALUE"""),734.25)</f>
        <v>734.25</v>
      </c>
      <c r="E2639" s="1">
        <f ca="1">IFERROR(__xludf.DUMMYFUNCTION("""COMPUTED_VALUE"""),738.09)</f>
        <v>738.09</v>
      </c>
      <c r="F2639" s="1">
        <f ca="1">IFERROR(__xludf.DUMMYFUNCTION("""COMPUTED_VALUE"""),15402105)</f>
        <v>15402105</v>
      </c>
    </row>
    <row r="2640" spans="1:6" x14ac:dyDescent="0.35">
      <c r="A2640" s="2">
        <f ca="1">IFERROR(__xludf.DUMMYFUNCTION("""COMPUTED_VALUE"""),45839.6666666666)</f>
        <v>45839.666666666599</v>
      </c>
      <c r="B2640" s="1">
        <f ca="1">IFERROR(__xludf.DUMMYFUNCTION("""COMPUTED_VALUE"""),736.88)</f>
        <v>736.88</v>
      </c>
      <c r="C2640" s="1">
        <f ca="1">IFERROR(__xludf.DUMMYFUNCTION("""COMPUTED_VALUE"""),737.75)</f>
        <v>737.75</v>
      </c>
      <c r="D2640" s="1">
        <f ca="1">IFERROR(__xludf.DUMMYFUNCTION("""COMPUTED_VALUE"""),715.37)</f>
        <v>715.37</v>
      </c>
      <c r="E2640" s="1">
        <f ca="1">IFERROR(__xludf.DUMMYFUNCTION("""COMPUTED_VALUE"""),719.22)</f>
        <v>719.22</v>
      </c>
      <c r="F2640" s="1">
        <f ca="1">IFERROR(__xludf.DUMMYFUNCTION("""COMPUTED_VALUE"""),13431248)</f>
        <v>13431248</v>
      </c>
    </row>
    <row r="2641" spans="1:6" x14ac:dyDescent="0.35">
      <c r="A2641" s="2">
        <f ca="1">IFERROR(__xludf.DUMMYFUNCTION("""COMPUTED_VALUE"""),45840.6666666666)</f>
        <v>45840.666666666599</v>
      </c>
      <c r="B2641" s="1">
        <f ca="1">IFERROR(__xludf.DUMMYFUNCTION("""COMPUTED_VALUE"""),715.33)</f>
        <v>715.33</v>
      </c>
      <c r="C2641" s="1">
        <f ca="1">IFERROR(__xludf.DUMMYFUNCTION("""COMPUTED_VALUE"""),720.3)</f>
        <v>720.3</v>
      </c>
      <c r="D2641" s="1">
        <f ca="1">IFERROR(__xludf.DUMMYFUNCTION("""COMPUTED_VALUE"""),712.8)</f>
        <v>712.8</v>
      </c>
      <c r="E2641" s="1">
        <f ca="1">IFERROR(__xludf.DUMMYFUNCTION("""COMPUTED_VALUE"""),713.57)</f>
        <v>713.57</v>
      </c>
      <c r="F2641" s="1">
        <f ca="1">IFERROR(__xludf.DUMMYFUNCTION("""COMPUTED_VALUE"""),9336740)</f>
        <v>9336740</v>
      </c>
    </row>
    <row r="2642" spans="1:6" x14ac:dyDescent="0.35">
      <c r="A2642" s="2">
        <f ca="1">IFERROR(__xludf.DUMMYFUNCTION("""COMPUTED_VALUE"""),45841.5451388888)</f>
        <v>45841.545138888803</v>
      </c>
      <c r="B2642" s="1">
        <f ca="1">IFERROR(__xludf.DUMMYFUNCTION("""COMPUTED_VALUE"""),726.61)</f>
        <v>726.61</v>
      </c>
      <c r="C2642" s="1">
        <f ca="1">IFERROR(__xludf.DUMMYFUNCTION("""COMPUTED_VALUE"""),729.03)</f>
        <v>729.03</v>
      </c>
      <c r="D2642" s="1">
        <f ca="1">IFERROR(__xludf.DUMMYFUNCTION("""COMPUTED_VALUE"""),714.42)</f>
        <v>714.42</v>
      </c>
      <c r="E2642" s="1">
        <f ca="1">IFERROR(__xludf.DUMMYFUNCTION("""COMPUTED_VALUE"""),719.01)</f>
        <v>719.01</v>
      </c>
      <c r="F2642" s="1">
        <f ca="1">IFERROR(__xludf.DUMMYFUNCTION("""COMPUTED_VALUE"""),8601653)</f>
        <v>8601653</v>
      </c>
    </row>
    <row r="2643" spans="1:6" x14ac:dyDescent="0.35">
      <c r="A2643" s="2">
        <f ca="1">IFERROR(__xludf.DUMMYFUNCTION("""COMPUTED_VALUE"""),45845.6666666666)</f>
        <v>45845.666666666599</v>
      </c>
      <c r="B2643" s="1">
        <f ca="1">IFERROR(__xludf.DUMMYFUNCTION("""COMPUTED_VALUE"""),717.6)</f>
        <v>717.6</v>
      </c>
      <c r="C2643" s="1">
        <f ca="1">IFERROR(__xludf.DUMMYFUNCTION("""COMPUTED_VALUE"""),727)</f>
        <v>727</v>
      </c>
      <c r="D2643" s="1">
        <f ca="1">IFERROR(__xludf.DUMMYFUNCTION("""COMPUTED_VALUE"""),713.51)</f>
        <v>713.51</v>
      </c>
      <c r="E2643" s="1">
        <f ca="1">IFERROR(__xludf.DUMMYFUNCTION("""COMPUTED_VALUE"""),718.35)</f>
        <v>718.35</v>
      </c>
      <c r="F2643" s="1">
        <f ca="1">IFERROR(__xludf.DUMMYFUNCTION("""COMPUTED_VALUE"""),9457080)</f>
        <v>9457080</v>
      </c>
    </row>
    <row r="2644" spans="1:6" x14ac:dyDescent="0.35">
      <c r="A2644" s="2">
        <f ca="1">IFERROR(__xludf.DUMMYFUNCTION("""COMPUTED_VALUE"""),45846.6666666666)</f>
        <v>45846.666666666599</v>
      </c>
      <c r="B2644" s="1">
        <f ca="1">IFERROR(__xludf.DUMMYFUNCTION("""COMPUTED_VALUE"""),721.57)</f>
        <v>721.57</v>
      </c>
      <c r="C2644" s="1">
        <f ca="1">IFERROR(__xludf.DUMMYFUNCTION("""COMPUTED_VALUE"""),722.91)</f>
        <v>722.91</v>
      </c>
      <c r="D2644" s="1">
        <f ca="1">IFERROR(__xludf.DUMMYFUNCTION("""COMPUTED_VALUE"""),714.81)</f>
        <v>714.81</v>
      </c>
      <c r="E2644" s="1">
        <f ca="1">IFERROR(__xludf.DUMMYFUNCTION("""COMPUTED_VALUE"""),720.67)</f>
        <v>720.67</v>
      </c>
      <c r="F2644" s="1">
        <f ca="1">IFERROR(__xludf.DUMMYFUNCTION("""COMPUTED_VALUE"""),7770693)</f>
        <v>7770693</v>
      </c>
    </row>
    <row r="2645" spans="1:6" x14ac:dyDescent="0.35">
      <c r="A2645" s="2">
        <f ca="1">IFERROR(__xludf.DUMMYFUNCTION("""COMPUTED_VALUE"""),45847.6666666666)</f>
        <v>45847.666666666599</v>
      </c>
      <c r="B2645" s="1">
        <f ca="1">IFERROR(__xludf.DUMMYFUNCTION("""COMPUTED_VALUE"""),722.72)</f>
        <v>722.72</v>
      </c>
      <c r="C2645" s="1">
        <f ca="1">IFERROR(__xludf.DUMMYFUNCTION("""COMPUTED_VALUE"""),737.53)</f>
        <v>737.53</v>
      </c>
      <c r="D2645" s="1">
        <f ca="1">IFERROR(__xludf.DUMMYFUNCTION("""COMPUTED_VALUE"""),722.72)</f>
        <v>722.72</v>
      </c>
      <c r="E2645" s="1">
        <f ca="1">IFERROR(__xludf.DUMMYFUNCTION("""COMPUTED_VALUE"""),732.78)</f>
        <v>732.78</v>
      </c>
      <c r="F2645" s="1">
        <f ca="1">IFERROR(__xludf.DUMMYFUNCTION("""COMPUTED_VALUE"""),11417963)</f>
        <v>11417963</v>
      </c>
    </row>
    <row r="2646" spans="1:6" x14ac:dyDescent="0.35">
      <c r="A2646" s="2">
        <f ca="1">IFERROR(__xludf.DUMMYFUNCTION("""COMPUTED_VALUE"""),45848.6666666666)</f>
        <v>45848.666666666599</v>
      </c>
      <c r="B2646" s="1">
        <f ca="1">IFERROR(__xludf.DUMMYFUNCTION("""COMPUTED_VALUE"""),731.55)</f>
        <v>731.55</v>
      </c>
      <c r="C2646" s="1">
        <f ca="1">IFERROR(__xludf.DUMMYFUNCTION("""COMPUTED_VALUE"""),735.8)</f>
        <v>735.8</v>
      </c>
      <c r="D2646" s="1">
        <f ca="1">IFERROR(__xludf.DUMMYFUNCTION("""COMPUTED_VALUE"""),719.6)</f>
        <v>719.6</v>
      </c>
      <c r="E2646" s="1">
        <f ca="1">IFERROR(__xludf.DUMMYFUNCTION("""COMPUTED_VALUE"""),727.24)</f>
        <v>727.24</v>
      </c>
      <c r="F2646" s="1">
        <f ca="1">IFERROR(__xludf.DUMMYFUNCTION("""COMPUTED_VALUE"""),9922249)</f>
        <v>9922249</v>
      </c>
    </row>
    <row r="2647" spans="1:6" x14ac:dyDescent="0.35">
      <c r="A2647" s="2">
        <f ca="1">IFERROR(__xludf.DUMMYFUNCTION("""COMPUTED_VALUE"""),45849.6666666666)</f>
        <v>45849.666666666599</v>
      </c>
      <c r="B2647" s="1">
        <f ca="1">IFERROR(__xludf.DUMMYFUNCTION("""COMPUTED_VALUE"""),722.5)</f>
        <v>722.5</v>
      </c>
      <c r="C2647" s="1">
        <f ca="1">IFERROR(__xludf.DUMMYFUNCTION("""COMPUTED_VALUE"""),725.16)</f>
        <v>725.16</v>
      </c>
      <c r="D2647" s="1">
        <f ca="1">IFERROR(__xludf.DUMMYFUNCTION("""COMPUTED_VALUE"""),709.7)</f>
        <v>709.7</v>
      </c>
      <c r="E2647" s="1">
        <f ca="1">IFERROR(__xludf.DUMMYFUNCTION("""COMPUTED_VALUE"""),717.51)</f>
        <v>717.51</v>
      </c>
      <c r="F2647" s="1">
        <f ca="1">IFERROR(__xludf.DUMMYFUNCTION("""COMPUTED_VALUE"""),10873880)</f>
        <v>10873880</v>
      </c>
    </row>
    <row r="2648" spans="1:6" x14ac:dyDescent="0.35">
      <c r="A2648" s="2">
        <f ca="1">IFERROR(__xludf.DUMMYFUNCTION("""COMPUTED_VALUE"""),45852.6666666666)</f>
        <v>45852.666666666599</v>
      </c>
      <c r="B2648" s="1">
        <f ca="1">IFERROR(__xludf.DUMMYFUNCTION("""COMPUTED_VALUE"""),717.6)</f>
        <v>717.6</v>
      </c>
      <c r="C2648" s="1">
        <f ca="1">IFERROR(__xludf.DUMMYFUNCTION("""COMPUTED_VALUE"""),728)</f>
        <v>728</v>
      </c>
      <c r="D2648" s="1">
        <f ca="1">IFERROR(__xludf.DUMMYFUNCTION("""COMPUTED_VALUE"""),716.55)</f>
        <v>716.55</v>
      </c>
      <c r="E2648" s="1">
        <f ca="1">IFERROR(__xludf.DUMMYFUNCTION("""COMPUTED_VALUE"""),720.92)</f>
        <v>720.92</v>
      </c>
      <c r="F2648" s="1">
        <f ca="1">IFERROR(__xludf.DUMMYFUNCTION("""COMPUTED_VALUE"""),8939399)</f>
        <v>8939399</v>
      </c>
    </row>
    <row r="2649" spans="1:6" x14ac:dyDescent="0.35">
      <c r="A2649" s="2">
        <f ca="1">IFERROR(__xludf.DUMMYFUNCTION("""COMPUTED_VALUE"""),45853.6666666666)</f>
        <v>45853.666666666599</v>
      </c>
      <c r="B2649" s="1">
        <f ca="1">IFERROR(__xludf.DUMMYFUNCTION("""COMPUTED_VALUE"""),723.9)</f>
        <v>723.9</v>
      </c>
      <c r="C2649" s="1">
        <f ca="1">IFERROR(__xludf.DUMMYFUNCTION("""COMPUTED_VALUE"""),724.47)</f>
        <v>724.47</v>
      </c>
      <c r="D2649" s="1">
        <f ca="1">IFERROR(__xludf.DUMMYFUNCTION("""COMPUTED_VALUE"""),709.82)</f>
        <v>709.82</v>
      </c>
      <c r="E2649" s="1">
        <f ca="1">IFERROR(__xludf.DUMMYFUNCTION("""COMPUTED_VALUE"""),710.39)</f>
        <v>710.39</v>
      </c>
      <c r="F2649" s="1">
        <f ca="1">IFERROR(__xludf.DUMMYFUNCTION("""COMPUTED_VALUE"""),11529511)</f>
        <v>11529511</v>
      </c>
    </row>
    <row r="2650" spans="1:6" x14ac:dyDescent="0.35">
      <c r="A2650" s="2">
        <f ca="1">IFERROR(__xludf.DUMMYFUNCTION("""COMPUTED_VALUE"""),45854.6666666666)</f>
        <v>45854.666666666599</v>
      </c>
      <c r="B2650" s="1">
        <f ca="1">IFERROR(__xludf.DUMMYFUNCTION("""COMPUTED_VALUE"""),713.37)</f>
        <v>713.37</v>
      </c>
      <c r="C2650" s="1">
        <f ca="1">IFERROR(__xludf.DUMMYFUNCTION("""COMPUTED_VALUE"""),713.97)</f>
        <v>713.97</v>
      </c>
      <c r="D2650" s="1">
        <f ca="1">IFERROR(__xludf.DUMMYFUNCTION("""COMPUTED_VALUE"""),699.27)</f>
        <v>699.27</v>
      </c>
      <c r="E2650" s="1">
        <f ca="1">IFERROR(__xludf.DUMMYFUNCTION("""COMPUTED_VALUE"""),702.91)</f>
        <v>702.91</v>
      </c>
      <c r="F2650" s="1">
        <f ca="1">IFERROR(__xludf.DUMMYFUNCTION("""COMPUTED_VALUE"""),13067627)</f>
        <v>13067627</v>
      </c>
    </row>
    <row r="2651" spans="1:6" x14ac:dyDescent="0.35">
      <c r="A2651" s="2">
        <f ca="1">IFERROR(__xludf.DUMMYFUNCTION("""COMPUTED_VALUE"""),45855.6666666666)</f>
        <v>45855.666666666599</v>
      </c>
      <c r="B2651" s="1">
        <f ca="1">IFERROR(__xludf.DUMMYFUNCTION("""COMPUTED_VALUE"""),704.39)</f>
        <v>704.39</v>
      </c>
      <c r="C2651" s="1">
        <f ca="1">IFERROR(__xludf.DUMMYFUNCTION("""COMPUTED_VALUE"""),705.9)</f>
        <v>705.9</v>
      </c>
      <c r="D2651" s="1">
        <f ca="1">IFERROR(__xludf.DUMMYFUNCTION("""COMPUTED_VALUE"""),697.11)</f>
        <v>697.11</v>
      </c>
      <c r="E2651" s="1">
        <f ca="1">IFERROR(__xludf.DUMMYFUNCTION("""COMPUTED_VALUE"""),701.41)</f>
        <v>701.41</v>
      </c>
      <c r="F2651" s="1">
        <f ca="1">IFERROR(__xludf.DUMMYFUNCTION("""COMPUTED_VALUE"""),11803264)</f>
        <v>11803264</v>
      </c>
    </row>
    <row r="2652" spans="1:6" x14ac:dyDescent="0.35">
      <c r="A2652" s="2">
        <f ca="1">IFERROR(__xludf.DUMMYFUNCTION("""COMPUTED_VALUE"""),45856.6666666666)</f>
        <v>45856.666666666599</v>
      </c>
      <c r="B2652" s="1">
        <f ca="1">IFERROR(__xludf.DUMMYFUNCTION("""COMPUTED_VALUE"""),702.19)</f>
        <v>702.19</v>
      </c>
      <c r="C2652" s="1">
        <f ca="1">IFERROR(__xludf.DUMMYFUNCTION("""COMPUTED_VALUE"""),704.71)</f>
        <v>704.71</v>
      </c>
      <c r="D2652" s="1">
        <f ca="1">IFERROR(__xludf.DUMMYFUNCTION("""COMPUTED_VALUE"""),691.65)</f>
        <v>691.65</v>
      </c>
      <c r="E2652" s="1">
        <f ca="1">IFERROR(__xludf.DUMMYFUNCTION("""COMPUTED_VALUE"""),704.28)</f>
        <v>704.28</v>
      </c>
      <c r="F2652" s="1">
        <f ca="1">IFERROR(__xludf.DUMMYFUNCTION("""COMPUTED_VALUE"""),12779752)</f>
        <v>12779752</v>
      </c>
    </row>
    <row r="2653" spans="1:6" x14ac:dyDescent="0.35">
      <c r="A2653" s="2">
        <f ca="1">IFERROR(__xludf.DUMMYFUNCTION("""COMPUTED_VALUE"""),45859.6666666666)</f>
        <v>45859.666666666599</v>
      </c>
      <c r="B2653" s="1">
        <f ca="1">IFERROR(__xludf.DUMMYFUNCTION("""COMPUTED_VALUE"""),706.8)</f>
        <v>706.8</v>
      </c>
      <c r="C2653" s="1">
        <f ca="1">IFERROR(__xludf.DUMMYFUNCTION("""COMPUTED_VALUE"""),717)</f>
        <v>717</v>
      </c>
      <c r="D2653" s="1">
        <f ca="1">IFERROR(__xludf.DUMMYFUNCTION("""COMPUTED_VALUE"""),705.76)</f>
        <v>705.76</v>
      </c>
      <c r="E2653" s="1">
        <f ca="1">IFERROR(__xludf.DUMMYFUNCTION("""COMPUTED_VALUE"""),712.97)</f>
        <v>712.97</v>
      </c>
      <c r="F2653" s="1">
        <f ca="1">IFERROR(__xludf.DUMMYFUNCTION("""COMPUTED_VALUE"""),9404391)</f>
        <v>9404391</v>
      </c>
    </row>
    <row r="2654" spans="1:6" x14ac:dyDescent="0.35">
      <c r="A2654" s="2">
        <f ca="1">IFERROR(__xludf.DUMMYFUNCTION("""COMPUTED_VALUE"""),45860.6666666666)</f>
        <v>45860.666666666599</v>
      </c>
      <c r="B2654" s="1">
        <f ca="1">IFERROR(__xludf.DUMMYFUNCTION("""COMPUTED_VALUE"""),716.19)</f>
        <v>716.19</v>
      </c>
      <c r="C2654" s="1">
        <f ca="1">IFERROR(__xludf.DUMMYFUNCTION("""COMPUTED_VALUE"""),716.6)</f>
        <v>716.6</v>
      </c>
      <c r="D2654" s="1">
        <f ca="1">IFERROR(__xludf.DUMMYFUNCTION("""COMPUTED_VALUE"""),701.41)</f>
        <v>701.41</v>
      </c>
      <c r="E2654" s="1">
        <f ca="1">IFERROR(__xludf.DUMMYFUNCTION("""COMPUTED_VALUE"""),704.81)</f>
        <v>704.81</v>
      </c>
      <c r="F2654" s="1">
        <f ca="1">IFERROR(__xludf.DUMMYFUNCTION("""COMPUTED_VALUE"""),8921064)</f>
        <v>8921064</v>
      </c>
    </row>
    <row r="2655" spans="1:6" x14ac:dyDescent="0.35">
      <c r="A2655" s="2">
        <f ca="1">IFERROR(__xludf.DUMMYFUNCTION("""COMPUTED_VALUE"""),45861.6666666666)</f>
        <v>45861.666666666599</v>
      </c>
      <c r="B2655" s="1">
        <f ca="1">IFERROR(__xludf.DUMMYFUNCTION("""COMPUTED_VALUE"""),706.37)</f>
        <v>706.37</v>
      </c>
      <c r="C2655" s="1">
        <f ca="1">IFERROR(__xludf.DUMMYFUNCTION("""COMPUTED_VALUE"""),714.63)</f>
        <v>714.63</v>
      </c>
      <c r="D2655" s="1">
        <f ca="1">IFERROR(__xludf.DUMMYFUNCTION("""COMPUTED_VALUE"""),704.93)</f>
        <v>704.93</v>
      </c>
      <c r="E2655" s="1">
        <f ca="1">IFERROR(__xludf.DUMMYFUNCTION("""COMPUTED_VALUE"""),713.58)</f>
        <v>713.58</v>
      </c>
      <c r="F2655" s="1">
        <f ca="1">IFERROR(__xludf.DUMMYFUNCTION("""COMPUTED_VALUE"""),8771615)</f>
        <v>8771615</v>
      </c>
    </row>
    <row r="2656" spans="1:6" x14ac:dyDescent="0.35">
      <c r="A2656" s="2">
        <f ca="1">IFERROR(__xludf.DUMMYFUNCTION("""COMPUTED_VALUE"""),45862.6666666666)</f>
        <v>45862.666666666599</v>
      </c>
      <c r="B2656" s="1">
        <f ca="1">IFERROR(__xludf.DUMMYFUNCTION("""COMPUTED_VALUE"""),717.05)</f>
        <v>717.05</v>
      </c>
      <c r="C2656" s="1">
        <f ca="1">IFERROR(__xludf.DUMMYFUNCTION("""COMPUTED_VALUE"""),723.62)</f>
        <v>723.62</v>
      </c>
      <c r="D2656" s="1">
        <f ca="1">IFERROR(__xludf.DUMMYFUNCTION("""COMPUTED_VALUE"""),714)</f>
        <v>714</v>
      </c>
      <c r="E2656" s="1">
        <f ca="1">IFERROR(__xludf.DUMMYFUNCTION("""COMPUTED_VALUE"""),714.8)</f>
        <v>714.8</v>
      </c>
      <c r="F2656" s="1">
        <f ca="1">IFERROR(__xludf.DUMMYFUNCTION("""COMPUTED_VALUE"""),10920836)</f>
        <v>10920836</v>
      </c>
    </row>
    <row r="2657" spans="1:6" x14ac:dyDescent="0.35">
      <c r="A2657" s="2">
        <f ca="1">IFERROR(__xludf.DUMMYFUNCTION("""COMPUTED_VALUE"""),45863.6666666666)</f>
        <v>45863.666666666599</v>
      </c>
      <c r="B2657" s="1">
        <f ca="1">IFERROR(__xludf.DUMMYFUNCTION("""COMPUTED_VALUE"""),716.92)</f>
        <v>716.92</v>
      </c>
      <c r="C2657" s="1">
        <f ca="1">IFERROR(__xludf.DUMMYFUNCTION("""COMPUTED_VALUE"""),720.65)</f>
        <v>720.65</v>
      </c>
      <c r="D2657" s="1">
        <f ca="1">IFERROR(__xludf.DUMMYFUNCTION("""COMPUTED_VALUE"""),711.9)</f>
        <v>711.9</v>
      </c>
      <c r="E2657" s="1">
        <f ca="1">IFERROR(__xludf.DUMMYFUNCTION("""COMPUTED_VALUE"""),712.68)</f>
        <v>712.68</v>
      </c>
      <c r="F2657" s="1">
        <f ca="1">IFERROR(__xludf.DUMMYFUNCTION("""COMPUTED_VALUE"""),8271698)</f>
        <v>8271698</v>
      </c>
    </row>
    <row r="2658" spans="1:6" x14ac:dyDescent="0.35">
      <c r="A2658" s="2">
        <f ca="1">IFERROR(__xludf.DUMMYFUNCTION("""COMPUTED_VALUE"""),45866.6666666666)</f>
        <v>45866.666666666599</v>
      </c>
      <c r="B2658" s="1">
        <f ca="1">IFERROR(__xludf.DUMMYFUNCTION("""COMPUTED_VALUE"""),715.2)</f>
        <v>715.2</v>
      </c>
      <c r="C2658" s="1">
        <f ca="1">IFERROR(__xludf.DUMMYFUNCTION("""COMPUTED_VALUE"""),724.74)</f>
        <v>724.74</v>
      </c>
      <c r="D2658" s="1">
        <f ca="1">IFERROR(__xludf.DUMMYFUNCTION("""COMPUTED_VALUE"""),712.68)</f>
        <v>712.68</v>
      </c>
      <c r="E2658" s="1">
        <f ca="1">IFERROR(__xludf.DUMMYFUNCTION("""COMPUTED_VALUE"""),717.63)</f>
        <v>717.63</v>
      </c>
      <c r="F2658" s="1">
        <f ca="1">IFERROR(__xludf.DUMMYFUNCTION("""COMPUTED_VALUE"""),8715743)</f>
        <v>8715743</v>
      </c>
    </row>
    <row r="2659" spans="1:6" x14ac:dyDescent="0.35">
      <c r="A2659" s="2">
        <f ca="1">IFERROR(__xludf.DUMMYFUNCTION("""COMPUTED_VALUE"""),45867.6666666666)</f>
        <v>45867.666666666599</v>
      </c>
      <c r="B2659" s="1">
        <f ca="1">IFERROR(__xludf.DUMMYFUNCTION("""COMPUTED_VALUE"""),720)</f>
        <v>720</v>
      </c>
      <c r="C2659" s="1">
        <f ca="1">IFERROR(__xludf.DUMMYFUNCTION("""COMPUTED_VALUE"""),724.47)</f>
        <v>724.47</v>
      </c>
      <c r="D2659" s="1">
        <f ca="1">IFERROR(__xludf.DUMMYFUNCTION("""COMPUTED_VALUE"""),699.91)</f>
        <v>699.91</v>
      </c>
      <c r="E2659" s="1">
        <f ca="1">IFERROR(__xludf.DUMMYFUNCTION("""COMPUTED_VALUE"""),700)</f>
        <v>700</v>
      </c>
      <c r="F2659" s="1">
        <f ca="1">IFERROR(__xludf.DUMMYFUNCTION("""COMPUTED_VALUE"""),13267032)</f>
        <v>13267032</v>
      </c>
    </row>
    <row r="2660" spans="1:6" x14ac:dyDescent="0.35">
      <c r="A2660" s="2">
        <f ca="1">IFERROR(__xludf.DUMMYFUNCTION("""COMPUTED_VALUE"""),45868.6666666666)</f>
        <v>45868.666666666599</v>
      </c>
      <c r="B2660" s="1">
        <f ca="1">IFERROR(__xludf.DUMMYFUNCTION("""COMPUTED_VALUE"""),708.09)</f>
        <v>708.09</v>
      </c>
      <c r="C2660" s="1">
        <f ca="1">IFERROR(__xludf.DUMMYFUNCTION("""COMPUTED_VALUE"""),708.5)</f>
        <v>708.5</v>
      </c>
      <c r="D2660" s="1">
        <f ca="1">IFERROR(__xludf.DUMMYFUNCTION("""COMPUTED_VALUE"""),691.2)</f>
        <v>691.2</v>
      </c>
      <c r="E2660" s="1">
        <f ca="1">IFERROR(__xludf.DUMMYFUNCTION("""COMPUTED_VALUE"""),695.21)</f>
        <v>695.21</v>
      </c>
      <c r="F2660" s="1">
        <f ca="1">IFERROR(__xludf.DUMMYFUNCTION("""COMPUTED_VALUE"""),27077286)</f>
        <v>27077286</v>
      </c>
    </row>
    <row r="2661" spans="1:6" x14ac:dyDescent="0.35">
      <c r="A2661" s="2">
        <f ca="1">IFERROR(__xludf.DUMMYFUNCTION("""COMPUTED_VALUE"""),45869.6666666666)</f>
        <v>45869.666666666599</v>
      </c>
      <c r="B2661" s="1">
        <f ca="1">IFERROR(__xludf.DUMMYFUNCTION("""COMPUTED_VALUE"""),775.2)</f>
        <v>775.2</v>
      </c>
      <c r="C2661" s="1">
        <f ca="1">IFERROR(__xludf.DUMMYFUNCTION("""COMPUTED_VALUE"""),784.75)</f>
        <v>784.75</v>
      </c>
      <c r="D2661" s="1">
        <f ca="1">IFERROR(__xludf.DUMMYFUNCTION("""COMPUTED_VALUE"""),765.51)</f>
        <v>765.51</v>
      </c>
      <c r="E2661" s="1">
        <f ca="1">IFERROR(__xludf.DUMMYFUNCTION("""COMPUTED_VALUE"""),773.44)</f>
        <v>773.44</v>
      </c>
      <c r="F2661" s="1">
        <f ca="1">IFERROR(__xludf.DUMMYFUNCTION("""COMPUTED_VALUE"""),38831098)</f>
        <v>38831098</v>
      </c>
    </row>
    <row r="2662" spans="1:6" x14ac:dyDescent="0.35">
      <c r="A2662" s="2">
        <f ca="1">IFERROR(__xludf.DUMMYFUNCTION("""COMPUTED_VALUE"""),45870.6666666666)</f>
        <v>45870.666666666599</v>
      </c>
      <c r="B2662" s="1">
        <f ca="1">IFERROR(__xludf.DUMMYFUNCTION("""COMPUTED_VALUE"""),760.73)</f>
        <v>760.73</v>
      </c>
      <c r="C2662" s="1">
        <f ca="1">IFERROR(__xludf.DUMMYFUNCTION("""COMPUTED_VALUE"""),766)</f>
        <v>766</v>
      </c>
      <c r="D2662" s="1">
        <f ca="1">IFERROR(__xludf.DUMMYFUNCTION("""COMPUTED_VALUE"""),745.31)</f>
        <v>745.31</v>
      </c>
      <c r="E2662" s="1">
        <f ca="1">IFERROR(__xludf.DUMMYFUNCTION("""COMPUTED_VALUE"""),750.01)</f>
        <v>750.01</v>
      </c>
      <c r="F2662" s="1">
        <f ca="1">IFERROR(__xludf.DUMMYFUNCTION("""COMPUTED_VALUE"""),19028710)</f>
        <v>19028710</v>
      </c>
    </row>
    <row r="2663" spans="1:6" x14ac:dyDescent="0.35">
      <c r="A2663" s="2">
        <f ca="1">IFERROR(__xludf.DUMMYFUNCTION("""COMPUTED_VALUE"""),45873.6666666666)</f>
        <v>45873.666666666599</v>
      </c>
      <c r="B2663" s="1">
        <f ca="1">IFERROR(__xludf.DUMMYFUNCTION("""COMPUTED_VALUE"""),760)</f>
        <v>760</v>
      </c>
      <c r="C2663" s="1">
        <f ca="1">IFERROR(__xludf.DUMMYFUNCTION("""COMPUTED_VALUE"""),776.85)</f>
        <v>776.85</v>
      </c>
      <c r="D2663" s="1">
        <f ca="1">IFERROR(__xludf.DUMMYFUNCTION("""COMPUTED_VALUE"""),758.41)</f>
        <v>758.41</v>
      </c>
      <c r="E2663" s="1">
        <f ca="1">IFERROR(__xludf.DUMMYFUNCTION("""COMPUTED_VALUE"""),776.37)</f>
        <v>776.37</v>
      </c>
      <c r="F2663" s="1">
        <f ca="1">IFERROR(__xludf.DUMMYFUNCTION("""COMPUTED_VALUE"""),15801727)</f>
        <v>15801727</v>
      </c>
    </row>
    <row r="2664" spans="1:6" x14ac:dyDescent="0.35">
      <c r="A2664" s="2">
        <f ca="1">IFERROR(__xludf.DUMMYFUNCTION("""COMPUTED_VALUE"""),45874.6666666666)</f>
        <v>45874.666666666599</v>
      </c>
      <c r="B2664" s="1">
        <f ca="1">IFERROR(__xludf.DUMMYFUNCTION("""COMPUTED_VALUE"""),776.45)</f>
        <v>776.45</v>
      </c>
      <c r="C2664" s="1">
        <f ca="1">IFERROR(__xludf.DUMMYFUNCTION("""COMPUTED_VALUE"""),783.13)</f>
        <v>783.13</v>
      </c>
      <c r="D2664" s="1">
        <f ca="1">IFERROR(__xludf.DUMMYFUNCTION("""COMPUTED_VALUE"""),763)</f>
        <v>763</v>
      </c>
      <c r="E2664" s="1">
        <f ca="1">IFERROR(__xludf.DUMMYFUNCTION("""COMPUTED_VALUE"""),763.46)</f>
        <v>763.46</v>
      </c>
      <c r="F2664" s="1">
        <f ca="1">IFERROR(__xludf.DUMMYFUNCTION("""COMPUTED_VALUE"""),11640294)</f>
        <v>11640294</v>
      </c>
    </row>
    <row r="2665" spans="1:6" x14ac:dyDescent="0.35">
      <c r="A2665" s="2">
        <f ca="1">IFERROR(__xludf.DUMMYFUNCTION("""COMPUTED_VALUE"""),45875.6666666666)</f>
        <v>45875.666666666599</v>
      </c>
      <c r="B2665" s="1">
        <f ca="1">IFERROR(__xludf.DUMMYFUNCTION("""COMPUTED_VALUE"""),770)</f>
        <v>770</v>
      </c>
      <c r="C2665" s="1">
        <f ca="1">IFERROR(__xludf.DUMMYFUNCTION("""COMPUTED_VALUE"""),773.64)</f>
        <v>773.64</v>
      </c>
      <c r="D2665" s="1">
        <f ca="1">IFERROR(__xludf.DUMMYFUNCTION("""COMPUTED_VALUE"""),760.46)</f>
        <v>760.46</v>
      </c>
      <c r="E2665" s="1">
        <f ca="1">IFERROR(__xludf.DUMMYFUNCTION("""COMPUTED_VALUE"""),771.99)</f>
        <v>771.99</v>
      </c>
      <c r="F2665" s="1">
        <f ca="1">IFERROR(__xludf.DUMMYFUNCTION("""COMPUTED_VALUE"""),9733910)</f>
        <v>9733910</v>
      </c>
    </row>
    <row r="2666" spans="1:6" x14ac:dyDescent="0.35">
      <c r="A2666" s="2">
        <f ca="1">IFERROR(__xludf.DUMMYFUNCTION("""COMPUTED_VALUE"""),45876.6666666666)</f>
        <v>45876.666666666599</v>
      </c>
      <c r="B2666" s="1">
        <f ca="1">IFERROR(__xludf.DUMMYFUNCTION("""COMPUTED_VALUE"""),773.49)</f>
        <v>773.49</v>
      </c>
      <c r="C2666" s="1">
        <f ca="1">IFERROR(__xludf.DUMMYFUNCTION("""COMPUTED_VALUE"""),775)</f>
        <v>775</v>
      </c>
      <c r="D2666" s="1">
        <f ca="1">IFERROR(__xludf.DUMMYFUNCTION("""COMPUTED_VALUE"""),759.55)</f>
        <v>759.55</v>
      </c>
      <c r="E2666" s="1">
        <f ca="1">IFERROR(__xludf.DUMMYFUNCTION("""COMPUTED_VALUE"""),761.83)</f>
        <v>761.83</v>
      </c>
      <c r="F2666" s="1">
        <f ca="1">IFERROR(__xludf.DUMMYFUNCTION("""COMPUTED_VALUE"""),9019691)</f>
        <v>9019691</v>
      </c>
    </row>
    <row r="2667" spans="1:6" x14ac:dyDescent="0.35">
      <c r="A2667" s="2">
        <f ca="1">IFERROR(__xludf.DUMMYFUNCTION("""COMPUTED_VALUE"""),45877.6666666666)</f>
        <v>45877.666666666599</v>
      </c>
      <c r="B2667" s="1">
        <f ca="1">IFERROR(__xludf.DUMMYFUNCTION("""COMPUTED_VALUE"""),762.75)</f>
        <v>762.75</v>
      </c>
      <c r="C2667" s="1">
        <f ca="1">IFERROR(__xludf.DUMMYFUNCTION("""COMPUTED_VALUE"""),769.9)</f>
        <v>769.9</v>
      </c>
      <c r="D2667" s="1">
        <f ca="1">IFERROR(__xludf.DUMMYFUNCTION("""COMPUTED_VALUE"""),758.58)</f>
        <v>758.58</v>
      </c>
      <c r="E2667" s="1">
        <f ca="1">IFERROR(__xludf.DUMMYFUNCTION("""COMPUTED_VALUE"""),769.3)</f>
        <v>769.3</v>
      </c>
      <c r="F2667" s="1">
        <f ca="1">IFERROR(__xludf.DUMMYFUNCTION("""COMPUTED_VALUE"""),7320755)</f>
        <v>7320755</v>
      </c>
    </row>
    <row r="2668" spans="1:6" x14ac:dyDescent="0.35">
      <c r="A2668" s="2">
        <f ca="1">IFERROR(__xludf.DUMMYFUNCTION("""COMPUTED_VALUE"""),45880.6666666666)</f>
        <v>45880.666666666599</v>
      </c>
      <c r="B2668" s="1">
        <f ca="1">IFERROR(__xludf.DUMMYFUNCTION("""COMPUTED_VALUE"""),770.08)</f>
        <v>770.08</v>
      </c>
      <c r="C2668" s="1">
        <f ca="1">IFERROR(__xludf.DUMMYFUNCTION("""COMPUTED_VALUE"""),773.46)</f>
        <v>773.46</v>
      </c>
      <c r="D2668" s="1">
        <f ca="1">IFERROR(__xludf.DUMMYFUNCTION("""COMPUTED_VALUE"""),764.67)</f>
        <v>764.67</v>
      </c>
      <c r="E2668" s="1">
        <f ca="1">IFERROR(__xludf.DUMMYFUNCTION("""COMPUTED_VALUE"""),765.87)</f>
        <v>765.87</v>
      </c>
      <c r="F2668" s="1">
        <f ca="1">IFERROR(__xludf.DUMMYFUNCTION("""COMPUTED_VALUE"""),7611964)</f>
        <v>7611964</v>
      </c>
    </row>
    <row r="2669" spans="1:6" x14ac:dyDescent="0.35">
      <c r="A2669" s="2">
        <f ca="1">IFERROR(__xludf.DUMMYFUNCTION("""COMPUTED_VALUE"""),45881.6666666666)</f>
        <v>45881.666666666599</v>
      </c>
      <c r="B2669" s="1">
        <f ca="1">IFERROR(__xludf.DUMMYFUNCTION("""COMPUTED_VALUE"""),773)</f>
        <v>773</v>
      </c>
      <c r="C2669" s="1">
        <f ca="1">IFERROR(__xludf.DUMMYFUNCTION("""COMPUTED_VALUE"""),793.67)</f>
        <v>793.67</v>
      </c>
      <c r="D2669" s="1">
        <f ca="1">IFERROR(__xludf.DUMMYFUNCTION("""COMPUTED_VALUE"""),772.43)</f>
        <v>772.43</v>
      </c>
      <c r="E2669" s="1">
        <f ca="1">IFERROR(__xludf.DUMMYFUNCTION("""COMPUTED_VALUE"""),790)</f>
        <v>790</v>
      </c>
      <c r="F2669" s="1">
        <f ca="1">IFERROR(__xludf.DUMMYFUNCTION("""COMPUTED_VALUE"""),14579765)</f>
        <v>14579765</v>
      </c>
    </row>
    <row r="2670" spans="1:6" x14ac:dyDescent="0.35">
      <c r="A2670" s="2">
        <f ca="1">IFERROR(__xludf.DUMMYFUNCTION("""COMPUTED_VALUE"""),45882.6666666666)</f>
        <v>45882.666666666599</v>
      </c>
      <c r="B2670" s="1">
        <f ca="1">IFERROR(__xludf.DUMMYFUNCTION("""COMPUTED_VALUE"""),791.15)</f>
        <v>791.15</v>
      </c>
      <c r="C2670" s="1">
        <f ca="1">IFERROR(__xludf.DUMMYFUNCTION("""COMPUTED_VALUE"""),795.46)</f>
        <v>795.46</v>
      </c>
      <c r="D2670" s="1">
        <f ca="1">IFERROR(__xludf.DUMMYFUNCTION("""COMPUTED_VALUE"""),778.23)</f>
        <v>778.23</v>
      </c>
      <c r="E2670" s="1">
        <f ca="1">IFERROR(__xludf.DUMMYFUNCTION("""COMPUTED_VALUE"""),780.08)</f>
        <v>780.08</v>
      </c>
      <c r="F2670" s="1">
        <f ca="1">IFERROR(__xludf.DUMMYFUNCTION("""COMPUTED_VALUE"""),8811750)</f>
        <v>8811750</v>
      </c>
    </row>
    <row r="2671" spans="1:6" x14ac:dyDescent="0.35">
      <c r="A2671" s="2">
        <f ca="1">IFERROR(__xludf.DUMMYFUNCTION("""COMPUTED_VALUE"""),45883.6666666666)</f>
        <v>45883.666666666599</v>
      </c>
      <c r="B2671" s="1">
        <f ca="1">IFERROR(__xludf.DUMMYFUNCTION("""COMPUTED_VALUE"""),777.88)</f>
        <v>777.88</v>
      </c>
      <c r="C2671" s="1">
        <f ca="1">IFERROR(__xludf.DUMMYFUNCTION("""COMPUTED_VALUE"""),787.81)</f>
        <v>787.81</v>
      </c>
      <c r="D2671" s="1">
        <f ca="1">IFERROR(__xludf.DUMMYFUNCTION("""COMPUTED_VALUE"""),772.51)</f>
        <v>772.51</v>
      </c>
      <c r="E2671" s="1">
        <f ca="1">IFERROR(__xludf.DUMMYFUNCTION("""COMPUTED_VALUE"""),782.13)</f>
        <v>782.13</v>
      </c>
      <c r="F2671" s="1">
        <f ca="1">IFERROR(__xludf.DUMMYFUNCTION("""COMPUTED_VALUE"""),8116193)</f>
        <v>8116193</v>
      </c>
    </row>
    <row r="2672" spans="1:6" x14ac:dyDescent="0.35">
      <c r="A2672" s="2">
        <f ca="1">IFERROR(__xludf.DUMMYFUNCTION("""COMPUTED_VALUE"""),45884.6666666666)</f>
        <v>45884.666666666599</v>
      </c>
      <c r="B2672" s="1">
        <f ca="1">IFERROR(__xludf.DUMMYFUNCTION("""COMPUTED_VALUE"""),784.15)</f>
        <v>784.15</v>
      </c>
      <c r="C2672" s="1">
        <f ca="1">IFERROR(__xludf.DUMMYFUNCTION("""COMPUTED_VALUE"""),796.25)</f>
        <v>796.25</v>
      </c>
      <c r="D2672" s="1">
        <f ca="1">IFERROR(__xludf.DUMMYFUNCTION("""COMPUTED_VALUE"""),780.82)</f>
        <v>780.82</v>
      </c>
      <c r="E2672" s="1">
        <f ca="1">IFERROR(__xludf.DUMMYFUNCTION("""COMPUTED_VALUE"""),785.23)</f>
        <v>785.23</v>
      </c>
      <c r="F2672" s="1">
        <f ca="1">IFERROR(__xludf.DUMMYFUNCTION("""COMPUTED_VALUE"""),13375361)</f>
        <v>13375361</v>
      </c>
    </row>
    <row r="2673" spans="1:6" x14ac:dyDescent="0.35">
      <c r="A2673" s="2">
        <f ca="1">IFERROR(__xludf.DUMMYFUNCTION("""COMPUTED_VALUE"""),45887.6666666666)</f>
        <v>45887.666666666599</v>
      </c>
      <c r="B2673" s="1">
        <f ca="1">IFERROR(__xludf.DUMMYFUNCTION("""COMPUTED_VALUE"""),775.09)</f>
        <v>775.09</v>
      </c>
      <c r="C2673" s="1">
        <f ca="1">IFERROR(__xludf.DUMMYFUNCTION("""COMPUTED_VALUE"""),775.81)</f>
        <v>775.81</v>
      </c>
      <c r="D2673" s="1">
        <f ca="1">IFERROR(__xludf.DUMMYFUNCTION("""COMPUTED_VALUE"""),756.56)</f>
        <v>756.56</v>
      </c>
      <c r="E2673" s="1">
        <f ca="1">IFERROR(__xludf.DUMMYFUNCTION("""COMPUTED_VALUE"""),767.37)</f>
        <v>767.37</v>
      </c>
      <c r="F2673" s="1">
        <f ca="1">IFERROR(__xludf.DUMMYFUNCTION("""COMPUTED_VALUE"""),16513737)</f>
        <v>16513737</v>
      </c>
    </row>
    <row r="2674" spans="1:6" x14ac:dyDescent="0.35">
      <c r="A2674" s="2">
        <f ca="1">IFERROR(__xludf.DUMMYFUNCTION("""COMPUTED_VALUE"""),45888.6666666666)</f>
        <v>45888.666666666599</v>
      </c>
      <c r="B2674" s="1">
        <f ca="1">IFERROR(__xludf.DUMMYFUNCTION("""COMPUTED_VALUE"""),767.12)</f>
        <v>767.12</v>
      </c>
      <c r="C2674" s="1">
        <f ca="1">IFERROR(__xludf.DUMMYFUNCTION("""COMPUTED_VALUE"""),767.17)</f>
        <v>767.17</v>
      </c>
      <c r="D2674" s="1">
        <f ca="1">IFERROR(__xludf.DUMMYFUNCTION("""COMPUTED_VALUE"""),749.36)</f>
        <v>749.36</v>
      </c>
      <c r="E2674" s="1">
        <f ca="1">IFERROR(__xludf.DUMMYFUNCTION("""COMPUTED_VALUE"""),751.48)</f>
        <v>751.48</v>
      </c>
      <c r="F2674" s="1">
        <f ca="1">IFERROR(__xludf.DUMMYFUNCTION("""COMPUTED_VALUE"""),12286690)</f>
        <v>12286690</v>
      </c>
    </row>
    <row r="2675" spans="1:6" x14ac:dyDescent="0.35">
      <c r="A2675" s="2">
        <f ca="1">IFERROR(__xludf.DUMMYFUNCTION("""COMPUTED_VALUE"""),45889.6666666666)</f>
        <v>45889.666666666599</v>
      </c>
      <c r="B2675" s="1">
        <f ca="1">IFERROR(__xludf.DUMMYFUNCTION("""COMPUTED_VALUE"""),747.57)</f>
        <v>747.57</v>
      </c>
      <c r="C2675" s="1">
        <f ca="1">IFERROR(__xludf.DUMMYFUNCTION("""COMPUTED_VALUE"""),750.2)</f>
        <v>750.2</v>
      </c>
      <c r="D2675" s="1">
        <f ca="1">IFERROR(__xludf.DUMMYFUNCTION("""COMPUTED_VALUE"""),731)</f>
        <v>731</v>
      </c>
      <c r="E2675" s="1">
        <f ca="1">IFERROR(__xludf.DUMMYFUNCTION("""COMPUTED_VALUE"""),747.72)</f>
        <v>747.72</v>
      </c>
      <c r="F2675" s="1">
        <f ca="1">IFERROR(__xludf.DUMMYFUNCTION("""COMPUTED_VALUE"""),11898190)</f>
        <v>11898190</v>
      </c>
    </row>
    <row r="2676" spans="1:6" x14ac:dyDescent="0.35">
      <c r="A2676" s="2">
        <f ca="1">IFERROR(__xludf.DUMMYFUNCTION("""COMPUTED_VALUE"""),45890.6666666666)</f>
        <v>45890.666666666599</v>
      </c>
      <c r="B2676" s="1">
        <f ca="1">IFERROR(__xludf.DUMMYFUNCTION("""COMPUTED_VALUE"""),744.71)</f>
        <v>744.71</v>
      </c>
      <c r="C2676" s="1">
        <f ca="1">IFERROR(__xludf.DUMMYFUNCTION("""COMPUTED_VALUE"""),745.5)</f>
        <v>745.5</v>
      </c>
      <c r="D2676" s="1">
        <f ca="1">IFERROR(__xludf.DUMMYFUNCTION("""COMPUTED_VALUE"""),733.11)</f>
        <v>733.11</v>
      </c>
      <c r="E2676" s="1">
        <f ca="1">IFERROR(__xludf.DUMMYFUNCTION("""COMPUTED_VALUE"""),739.1)</f>
        <v>739.1</v>
      </c>
      <c r="F2676" s="1">
        <f ca="1">IFERROR(__xludf.DUMMYFUNCTION("""COMPUTED_VALUE"""),8876307)</f>
        <v>8876307</v>
      </c>
    </row>
    <row r="2677" spans="1:6" x14ac:dyDescent="0.35">
      <c r="A2677" s="2">
        <f ca="1">IFERROR(__xludf.DUMMYFUNCTION("""COMPUTED_VALUE"""),45891.6666666666)</f>
        <v>45891.666666666599</v>
      </c>
      <c r="B2677" s="1">
        <f ca="1">IFERROR(__xludf.DUMMYFUNCTION("""COMPUTED_VALUE"""),739.23)</f>
        <v>739.23</v>
      </c>
      <c r="C2677" s="1">
        <f ca="1">IFERROR(__xludf.DUMMYFUNCTION("""COMPUTED_VALUE"""),756.9)</f>
        <v>756.9</v>
      </c>
      <c r="D2677" s="1">
        <f ca="1">IFERROR(__xludf.DUMMYFUNCTION("""COMPUTED_VALUE"""),734.39)</f>
        <v>734.39</v>
      </c>
      <c r="E2677" s="1">
        <f ca="1">IFERROR(__xludf.DUMMYFUNCTION("""COMPUTED_VALUE"""),754.79)</f>
        <v>754.79</v>
      </c>
      <c r="F2677" s="1">
        <f ca="1">IFERROR(__xludf.DUMMYFUNCTION("""COMPUTED_VALUE"""),10612667)</f>
        <v>10612667</v>
      </c>
    </row>
    <row r="2678" spans="1:6" x14ac:dyDescent="0.35">
      <c r="A2678" s="2">
        <f ca="1">IFERROR(__xludf.DUMMYFUNCTION("""COMPUTED_VALUE"""),45894.6666666666)</f>
        <v>45894.666666666599</v>
      </c>
      <c r="B2678" s="1">
        <f ca="1">IFERROR(__xludf.DUMMYFUNCTION("""COMPUTED_VALUE"""),754.82)</f>
        <v>754.82</v>
      </c>
      <c r="C2678" s="1">
        <f ca="1">IFERROR(__xludf.DUMMYFUNCTION("""COMPUTED_VALUE"""),758.88)</f>
        <v>758.88</v>
      </c>
      <c r="D2678" s="1">
        <f ca="1">IFERROR(__xludf.DUMMYFUNCTION("""COMPUTED_VALUE"""),750.13)</f>
        <v>750.13</v>
      </c>
      <c r="E2678" s="1">
        <f ca="1">IFERROR(__xludf.DUMMYFUNCTION("""COMPUTED_VALUE"""),753.3)</f>
        <v>753.3</v>
      </c>
      <c r="F2678" s="1">
        <f ca="1">IFERROR(__xludf.DUMMYFUNCTION("""COMPUTED_VALUE"""),6861158)</f>
        <v>6861158</v>
      </c>
    </row>
    <row r="2679" spans="1:6" x14ac:dyDescent="0.35">
      <c r="A2679" s="2">
        <f ca="1">IFERROR(__xludf.DUMMYFUNCTION("""COMPUTED_VALUE"""),45895.6666666666)</f>
        <v>45895.666666666599</v>
      </c>
      <c r="B2679" s="1">
        <f ca="1">IFERROR(__xludf.DUMMYFUNCTION("""COMPUTED_VALUE"""),750.8)</f>
        <v>750.8</v>
      </c>
      <c r="C2679" s="1">
        <f ca="1">IFERROR(__xludf.DUMMYFUNCTION("""COMPUTED_VALUE"""),754.87)</f>
        <v>754.87</v>
      </c>
      <c r="D2679" s="1">
        <f ca="1">IFERROR(__xludf.DUMMYFUNCTION("""COMPUTED_VALUE"""),747.94)</f>
        <v>747.94</v>
      </c>
      <c r="E2679" s="1">
        <f ca="1">IFERROR(__xludf.DUMMYFUNCTION("""COMPUTED_VALUE"""),754.1)</f>
        <v>754.1</v>
      </c>
      <c r="F2679" s="1">
        <f ca="1">IFERROR(__xludf.DUMMYFUNCTION("""COMPUTED_VALUE"""),7601800)</f>
        <v>7601800</v>
      </c>
    </row>
    <row r="2680" spans="1:6" x14ac:dyDescent="0.35">
      <c r="A2680" s="2">
        <f ca="1">IFERROR(__xludf.DUMMYFUNCTION("""COMPUTED_VALUE"""),45896.6666666666)</f>
        <v>45896.666666666599</v>
      </c>
      <c r="B2680" s="1">
        <f ca="1">IFERROR(__xludf.DUMMYFUNCTION("""COMPUTED_VALUE"""),752.3)</f>
        <v>752.3</v>
      </c>
      <c r="C2680" s="1">
        <f ca="1">IFERROR(__xludf.DUMMYFUNCTION("""COMPUTED_VALUE"""),754.15)</f>
        <v>754.15</v>
      </c>
      <c r="D2680" s="1">
        <f ca="1">IFERROR(__xludf.DUMMYFUNCTION("""COMPUTED_VALUE"""),742.84)</f>
        <v>742.84</v>
      </c>
      <c r="E2680" s="1">
        <f ca="1">IFERROR(__xludf.DUMMYFUNCTION("""COMPUTED_VALUE"""),747.38)</f>
        <v>747.38</v>
      </c>
      <c r="F2680" s="1">
        <f ca="1">IFERROR(__xludf.DUMMYFUNCTION("""COMPUTED_VALUE"""),8315435)</f>
        <v>8315435</v>
      </c>
    </row>
    <row r="2681" spans="1:6" x14ac:dyDescent="0.35">
      <c r="A2681" s="2">
        <f ca="1">IFERROR(__xludf.DUMMYFUNCTION("""COMPUTED_VALUE"""),45897.6666666666)</f>
        <v>45897.666666666599</v>
      </c>
      <c r="B2681" s="1">
        <f ca="1">IFERROR(__xludf.DUMMYFUNCTION("""COMPUTED_VALUE"""),744)</f>
        <v>744</v>
      </c>
      <c r="C2681" s="1">
        <f ca="1">IFERROR(__xludf.DUMMYFUNCTION("""COMPUTED_VALUE"""),753.05)</f>
        <v>753.05</v>
      </c>
      <c r="D2681" s="1">
        <f ca="1">IFERROR(__xludf.DUMMYFUNCTION("""COMPUTED_VALUE"""),740.8)</f>
        <v>740.8</v>
      </c>
      <c r="E2681" s="1">
        <f ca="1">IFERROR(__xludf.DUMMYFUNCTION("""COMPUTED_VALUE"""),751.11)</f>
        <v>751.11</v>
      </c>
      <c r="F2681" s="1">
        <f ca="1">IFERROR(__xludf.DUMMYFUNCTION("""COMPUTED_VALUE"""),7467955)</f>
        <v>7467955</v>
      </c>
    </row>
    <row r="2682" spans="1:6" x14ac:dyDescent="0.35">
      <c r="A2682" s="2">
        <f ca="1">IFERROR(__xludf.DUMMYFUNCTION("""COMPUTED_VALUE"""),45898.6666666666)</f>
        <v>45898.666666666599</v>
      </c>
      <c r="B2682" s="1">
        <f ca="1">IFERROR(__xludf.DUMMYFUNCTION("""COMPUTED_VALUE"""),745.28)</f>
        <v>745.28</v>
      </c>
      <c r="C2682" s="1">
        <f ca="1">IFERROR(__xludf.DUMMYFUNCTION("""COMPUTED_VALUE"""),747.14)</f>
        <v>747.14</v>
      </c>
      <c r="D2682" s="1">
        <f ca="1">IFERROR(__xludf.DUMMYFUNCTION("""COMPUTED_VALUE"""),735.35)</f>
        <v>735.35</v>
      </c>
      <c r="E2682" s="1">
        <f ca="1">IFERROR(__xludf.DUMMYFUNCTION("""COMPUTED_VALUE"""),738.7)</f>
        <v>738.7</v>
      </c>
      <c r="F2682" s="1">
        <f ca="1">IFERROR(__xludf.DUMMYFUNCTION("""COMPUTED_VALUE"""),9070546)</f>
        <v>9070546</v>
      </c>
    </row>
    <row r="2683" spans="1:6" x14ac:dyDescent="0.35">
      <c r="A2683" s="2">
        <f ca="1">IFERROR(__xludf.DUMMYFUNCTION("""COMPUTED_VALUE"""),45902.6666666666)</f>
        <v>45902.666666666599</v>
      </c>
      <c r="B2683" s="1">
        <f ca="1">IFERROR(__xludf.DUMMYFUNCTION("""COMPUTED_VALUE"""),726.04)</f>
        <v>726.04</v>
      </c>
      <c r="C2683" s="1">
        <f ca="1">IFERROR(__xludf.DUMMYFUNCTION("""COMPUTED_VALUE"""),736)</f>
        <v>736</v>
      </c>
      <c r="D2683" s="1">
        <f ca="1">IFERROR(__xludf.DUMMYFUNCTION("""COMPUTED_VALUE"""),721.73)</f>
        <v>721.73</v>
      </c>
      <c r="E2683" s="1">
        <f ca="1">IFERROR(__xludf.DUMMYFUNCTION("""COMPUTED_VALUE"""),735.11)</f>
        <v>735.11</v>
      </c>
      <c r="F2683" s="1">
        <f ca="1">IFERROR(__xludf.DUMMYFUNCTION("""COMPUTED_VALUE"""),9350857)</f>
        <v>9350857</v>
      </c>
    </row>
    <row r="2684" spans="1:6" x14ac:dyDescent="0.35">
      <c r="A2684" s="2">
        <f ca="1">IFERROR(__xludf.DUMMYFUNCTION("""COMPUTED_VALUE"""),45903.6666666666)</f>
        <v>45903.666666666599</v>
      </c>
      <c r="B2684" s="1">
        <f ca="1">IFERROR(__xludf.DUMMYFUNCTION("""COMPUTED_VALUE"""),736)</f>
        <v>736</v>
      </c>
      <c r="C2684" s="1">
        <f ca="1">IFERROR(__xludf.DUMMYFUNCTION("""COMPUTED_VALUE"""),740.25)</f>
        <v>740.25</v>
      </c>
      <c r="D2684" s="1">
        <f ca="1">IFERROR(__xludf.DUMMYFUNCTION("""COMPUTED_VALUE"""),733.99)</f>
        <v>733.99</v>
      </c>
      <c r="E2684" s="1">
        <f ca="1">IFERROR(__xludf.DUMMYFUNCTION("""COMPUTED_VALUE"""),737.05)</f>
        <v>737.05</v>
      </c>
      <c r="F2684" s="1">
        <f ca="1">IFERROR(__xludf.DUMMYFUNCTION("""COMPUTED_VALUE"""),7699332)</f>
        <v>7699332</v>
      </c>
    </row>
    <row r="2685" spans="1:6" x14ac:dyDescent="0.35">
      <c r="A2685" s="2">
        <f ca="1">IFERROR(__xludf.DUMMYFUNCTION("""COMPUTED_VALUE"""),45904.6666666666)</f>
        <v>45904.666666666599</v>
      </c>
      <c r="B2685" s="1">
        <f ca="1">IFERROR(__xludf.DUMMYFUNCTION("""COMPUTED_VALUE"""),748.57)</f>
        <v>748.57</v>
      </c>
      <c r="C2685" s="1">
        <f ca="1">IFERROR(__xludf.DUMMYFUNCTION("""COMPUTED_VALUE"""),761.16)</f>
        <v>761.16</v>
      </c>
      <c r="D2685" s="1">
        <f ca="1">IFERROR(__xludf.DUMMYFUNCTION("""COMPUTED_VALUE"""),745.82)</f>
        <v>745.82</v>
      </c>
      <c r="E2685" s="1">
        <f ca="1">IFERROR(__xludf.DUMMYFUNCTION("""COMPUTED_VALUE"""),748.65)</f>
        <v>748.65</v>
      </c>
      <c r="F2685" s="1">
        <f ca="1">IFERROR(__xludf.DUMMYFUNCTION("""COMPUTED_VALUE"""),11439078)</f>
        <v>11439078</v>
      </c>
    </row>
    <row r="2686" spans="1:6" x14ac:dyDescent="0.35">
      <c r="A2686" s="2">
        <f ca="1">IFERROR(__xludf.DUMMYFUNCTION("""COMPUTED_VALUE"""),45905.6666666666)</f>
        <v>45905.666666666599</v>
      </c>
      <c r="B2686" s="1">
        <f ca="1">IFERROR(__xludf.DUMMYFUNCTION("""COMPUTED_VALUE"""),752.62)</f>
        <v>752.62</v>
      </c>
      <c r="C2686" s="1">
        <f ca="1">IFERROR(__xludf.DUMMYFUNCTION("""COMPUTED_VALUE"""),757.95)</f>
        <v>757.95</v>
      </c>
      <c r="D2686" s="1">
        <f ca="1">IFERROR(__xludf.DUMMYFUNCTION("""COMPUTED_VALUE"""),745.03)</f>
        <v>745.03</v>
      </c>
      <c r="E2686" s="1">
        <f ca="1">IFERROR(__xludf.DUMMYFUNCTION("""COMPUTED_VALUE"""),752.45)</f>
        <v>752.45</v>
      </c>
      <c r="F2686" s="1">
        <f ca="1">IFERROR(__xludf.DUMMYFUNCTION("""COMPUTED_VALUE"""),9663441)</f>
        <v>9663441</v>
      </c>
    </row>
    <row r="2687" spans="1:6" x14ac:dyDescent="0.35">
      <c r="A2687" s="2">
        <f ca="1">IFERROR(__xludf.DUMMYFUNCTION("""COMPUTED_VALUE"""),45908.6666666666)</f>
        <v>45908.666666666599</v>
      </c>
      <c r="B2687" s="1">
        <f ca="1">IFERROR(__xludf.DUMMYFUNCTION("""COMPUTED_VALUE"""),756)</f>
        <v>756</v>
      </c>
      <c r="C2687" s="1">
        <f ca="1">IFERROR(__xludf.DUMMYFUNCTION("""COMPUTED_VALUE"""),766.51)</f>
        <v>766.51</v>
      </c>
      <c r="D2687" s="1">
        <f ca="1">IFERROR(__xludf.DUMMYFUNCTION("""COMPUTED_VALUE"""),752.02)</f>
        <v>752.02</v>
      </c>
      <c r="E2687" s="1">
        <f ca="1">IFERROR(__xludf.DUMMYFUNCTION("""COMPUTED_VALUE"""),752.3)</f>
        <v>752.3</v>
      </c>
      <c r="F2687" s="1">
        <f ca="1">IFERROR(__xludf.DUMMYFUNCTION("""COMPUTED_VALUE"""),13087816)</f>
        <v>13087816</v>
      </c>
    </row>
    <row r="2688" spans="1:6" x14ac:dyDescent="0.35">
      <c r="A2688" s="2">
        <f ca="1">IFERROR(__xludf.DUMMYFUNCTION("""COMPUTED_VALUE"""),45909.6666666666)</f>
        <v>45909.666666666599</v>
      </c>
      <c r="B2688" s="1">
        <f ca="1">IFERROR(__xludf.DUMMYFUNCTION("""COMPUTED_VALUE"""),757.49)</f>
        <v>757.49</v>
      </c>
      <c r="C2688" s="1">
        <f ca="1">IFERROR(__xludf.DUMMYFUNCTION("""COMPUTED_VALUE"""),766.3)</f>
        <v>766.3</v>
      </c>
      <c r="D2688" s="1">
        <f ca="1">IFERROR(__xludf.DUMMYFUNCTION("""COMPUTED_VALUE"""),753.43)</f>
        <v>753.43</v>
      </c>
      <c r="E2688" s="1">
        <f ca="1">IFERROR(__xludf.DUMMYFUNCTION("""COMPUTED_VALUE"""),765.7)</f>
        <v>765.7</v>
      </c>
      <c r="F2688" s="1">
        <f ca="1">IFERROR(__xludf.DUMMYFUNCTION("""COMPUTED_VALUE"""),10999026)</f>
        <v>10999026</v>
      </c>
    </row>
    <row r="2689" spans="1:6" x14ac:dyDescent="0.35">
      <c r="A2689" s="2">
        <f ca="1">IFERROR(__xludf.DUMMYFUNCTION("""COMPUTED_VALUE"""),45910.6666666666)</f>
        <v>45910.666666666599</v>
      </c>
      <c r="B2689" s="1">
        <f ca="1">IFERROR(__xludf.DUMMYFUNCTION("""COMPUTED_VALUE"""),765.13)</f>
        <v>765.13</v>
      </c>
      <c r="C2689" s="1">
        <f ca="1">IFERROR(__xludf.DUMMYFUNCTION("""COMPUTED_VALUE"""),765.7)</f>
        <v>765.7</v>
      </c>
      <c r="D2689" s="1">
        <f ca="1">IFERROR(__xludf.DUMMYFUNCTION("""COMPUTED_VALUE"""),751)</f>
        <v>751</v>
      </c>
      <c r="E2689" s="1">
        <f ca="1">IFERROR(__xludf.DUMMYFUNCTION("""COMPUTED_VALUE"""),751.98)</f>
        <v>751.98</v>
      </c>
      <c r="F2689" s="1">
        <f ca="1">IFERROR(__xludf.DUMMYFUNCTION("""COMPUTED_VALUE"""),12478276)</f>
        <v>12478276</v>
      </c>
    </row>
    <row r="2690" spans="1:6" x14ac:dyDescent="0.35">
      <c r="A2690" s="2">
        <f ca="1">IFERROR(__xludf.DUMMYFUNCTION("""COMPUTED_VALUE"""),45911.6666666666)</f>
        <v>45911.666666666599</v>
      </c>
      <c r="B2690" s="1">
        <f ca="1">IFERROR(__xludf.DUMMYFUNCTION("""COMPUTED_VALUE"""),754.65)</f>
        <v>754.65</v>
      </c>
      <c r="C2690" s="1">
        <f ca="1">IFERROR(__xludf.DUMMYFUNCTION("""COMPUTED_VALUE"""),757.1)</f>
        <v>757.1</v>
      </c>
      <c r="D2690" s="1">
        <f ca="1">IFERROR(__xludf.DUMMYFUNCTION("""COMPUTED_VALUE"""),748.37)</f>
        <v>748.37</v>
      </c>
      <c r="E2690" s="1">
        <f ca="1">IFERROR(__xludf.DUMMYFUNCTION("""COMPUTED_VALUE"""),750.9)</f>
        <v>750.9</v>
      </c>
      <c r="F2690" s="1">
        <f ca="1">IFERROR(__xludf.DUMMYFUNCTION("""COMPUTED_VALUE"""),7923284)</f>
        <v>7923284</v>
      </c>
    </row>
    <row r="2691" spans="1:6" x14ac:dyDescent="0.35">
      <c r="A2691" s="2">
        <f ca="1">IFERROR(__xludf.DUMMYFUNCTION("""COMPUTED_VALUE"""),45912.6666666666)</f>
        <v>45912.666666666599</v>
      </c>
      <c r="B2691" s="1">
        <f ca="1">IFERROR(__xludf.DUMMYFUNCTION("""COMPUTED_VALUE"""),748.73)</f>
        <v>748.73</v>
      </c>
      <c r="C2691" s="1">
        <f ca="1">IFERROR(__xludf.DUMMYFUNCTION("""COMPUTED_VALUE"""),757.57)</f>
        <v>757.57</v>
      </c>
      <c r="D2691" s="1">
        <f ca="1">IFERROR(__xludf.DUMMYFUNCTION("""COMPUTED_VALUE"""),743.76)</f>
        <v>743.76</v>
      </c>
      <c r="E2691" s="1">
        <f ca="1">IFERROR(__xludf.DUMMYFUNCTION("""COMPUTED_VALUE"""),755.59)</f>
        <v>755.59</v>
      </c>
      <c r="F2691" s="1">
        <f ca="1">IFERROR(__xludf.DUMMYFUNCTION("""COMPUTED_VALUE"""),8248557)</f>
        <v>8248557</v>
      </c>
    </row>
    <row r="2692" spans="1:6" x14ac:dyDescent="0.35">
      <c r="A2692" s="2">
        <f ca="1">IFERROR(__xludf.DUMMYFUNCTION("""COMPUTED_VALUE"""),45915.6666666666)</f>
        <v>45915.666666666599</v>
      </c>
      <c r="B2692" s="1">
        <f ca="1">IFERROR(__xludf.DUMMYFUNCTION("""COMPUTED_VALUE"""),757.47)</f>
        <v>757.47</v>
      </c>
      <c r="C2692" s="1">
        <f ca="1">IFERROR(__xludf.DUMMYFUNCTION("""COMPUTED_VALUE"""),774.07)</f>
        <v>774.07</v>
      </c>
      <c r="D2692" s="1">
        <f ca="1">IFERROR(__xludf.DUMMYFUNCTION("""COMPUTED_VALUE"""),751.99)</f>
        <v>751.99</v>
      </c>
      <c r="E2692" s="1">
        <f ca="1">IFERROR(__xludf.DUMMYFUNCTION("""COMPUTED_VALUE"""),764.7)</f>
        <v>764.7</v>
      </c>
      <c r="F2692" s="1">
        <f ca="1">IFERROR(__xludf.DUMMYFUNCTION("""COMPUTED_VALUE"""),10533780)</f>
        <v>10533780</v>
      </c>
    </row>
    <row r="2693" spans="1:6" x14ac:dyDescent="0.35">
      <c r="A2693" s="2">
        <f ca="1">IFERROR(__xludf.DUMMYFUNCTION("""COMPUTED_VALUE"""),45916.6666666666)</f>
        <v>45916.666666666599</v>
      </c>
      <c r="B2693" s="1">
        <f ca="1">IFERROR(__xludf.DUMMYFUNCTION("""COMPUTED_VALUE"""),767)</f>
        <v>767</v>
      </c>
      <c r="C2693" s="1">
        <f ca="1">IFERROR(__xludf.DUMMYFUNCTION("""COMPUTED_VALUE"""),781.36)</f>
        <v>781.36</v>
      </c>
      <c r="D2693" s="1">
        <f ca="1">IFERROR(__xludf.DUMMYFUNCTION("""COMPUTED_VALUE"""),765.1)</f>
        <v>765.1</v>
      </c>
      <c r="E2693" s="1">
        <f ca="1">IFERROR(__xludf.DUMMYFUNCTION("""COMPUTED_VALUE"""),779)</f>
        <v>779</v>
      </c>
      <c r="F2693" s="1">
        <f ca="1">IFERROR(__xludf.DUMMYFUNCTION("""COMPUTED_VALUE"""),11782482)</f>
        <v>11782482</v>
      </c>
    </row>
    <row r="2694" spans="1:6" x14ac:dyDescent="0.35">
      <c r="A2694" s="2">
        <f ca="1">IFERROR(__xludf.DUMMYFUNCTION("""COMPUTED_VALUE"""),45917.6666666666)</f>
        <v>45917.666666666599</v>
      </c>
      <c r="B2694" s="1">
        <f ca="1">IFERROR(__xludf.DUMMYFUNCTION("""COMPUTED_VALUE"""),779.99)</f>
        <v>779.99</v>
      </c>
      <c r="C2694" s="1">
        <f ca="1">IFERROR(__xludf.DUMMYFUNCTION("""COMPUTED_VALUE"""),783.29)</f>
        <v>783.29</v>
      </c>
      <c r="D2694" s="1">
        <f ca="1">IFERROR(__xludf.DUMMYFUNCTION("""COMPUTED_VALUE"""),766.31)</f>
        <v>766.31</v>
      </c>
      <c r="E2694" s="1">
        <f ca="1">IFERROR(__xludf.DUMMYFUNCTION("""COMPUTED_VALUE"""),775.72)</f>
        <v>775.72</v>
      </c>
      <c r="F2694" s="1">
        <f ca="1">IFERROR(__xludf.DUMMYFUNCTION("""COMPUTED_VALUE"""),9400867)</f>
        <v>9400867</v>
      </c>
    </row>
    <row r="2695" spans="1:6" x14ac:dyDescent="0.35">
      <c r="A2695" s="2">
        <f ca="1">IFERROR(__xludf.DUMMYFUNCTION("""COMPUTED_VALUE"""),45918.6666666666)</f>
        <v>45918.666666666599</v>
      </c>
      <c r="B2695" s="1">
        <f ca="1">IFERROR(__xludf.DUMMYFUNCTION("""COMPUTED_VALUE"""),780.75)</f>
        <v>780.75</v>
      </c>
      <c r="C2695" s="1">
        <f ca="1">IFERROR(__xludf.DUMMYFUNCTION("""COMPUTED_VALUE"""),788.78)</f>
        <v>788.78</v>
      </c>
      <c r="D2695" s="1">
        <f ca="1">IFERROR(__xludf.DUMMYFUNCTION("""COMPUTED_VALUE"""),773.36)</f>
        <v>773.36</v>
      </c>
      <c r="E2695" s="1">
        <f ca="1">IFERROR(__xludf.DUMMYFUNCTION("""COMPUTED_VALUE"""),780.25)</f>
        <v>780.25</v>
      </c>
      <c r="F2695" s="1">
        <f ca="1">IFERROR(__xludf.DUMMYFUNCTION("""COMPUTED_VALUE"""),10954950)</f>
        <v>10954950</v>
      </c>
    </row>
    <row r="2696" spans="1:6" x14ac:dyDescent="0.35">
      <c r="A2696" s="2">
        <f ca="1">IFERROR(__xludf.DUMMYFUNCTION("""COMPUTED_VALUE"""),45919.6666666666)</f>
        <v>45919.666666666599</v>
      </c>
      <c r="B2696" s="1">
        <f ca="1">IFERROR(__xludf.DUMMYFUNCTION("""COMPUTED_VALUE"""),786.42)</f>
        <v>786.42</v>
      </c>
      <c r="C2696" s="1">
        <f ca="1">IFERROR(__xludf.DUMMYFUNCTION("""COMPUTED_VALUE"""),790.8)</f>
        <v>790.8</v>
      </c>
      <c r="D2696" s="1">
        <f ca="1">IFERROR(__xludf.DUMMYFUNCTION("""COMPUTED_VALUE"""),769.19)</f>
        <v>769.19</v>
      </c>
      <c r="E2696" s="1">
        <f ca="1">IFERROR(__xludf.DUMMYFUNCTION("""COMPUTED_VALUE"""),778.38)</f>
        <v>778.38</v>
      </c>
      <c r="F2696" s="1">
        <f ca="1">IFERROR(__xludf.DUMMYFUNCTION("""COMPUTED_VALUE"""),23696824)</f>
        <v>23696824</v>
      </c>
    </row>
    <row r="2697" spans="1:6" x14ac:dyDescent="0.35">
      <c r="A2697" s="2">
        <f ca="1">IFERROR(__xludf.DUMMYFUNCTION("""COMPUTED_VALUE"""),45922.6666666666)</f>
        <v>45922.666666666599</v>
      </c>
      <c r="B2697" s="1">
        <f ca="1">IFERROR(__xludf.DUMMYFUNCTION("""COMPUTED_VALUE"""),781.85)</f>
        <v>781.85</v>
      </c>
      <c r="C2697" s="1">
        <f ca="1">IFERROR(__xludf.DUMMYFUNCTION("""COMPUTED_VALUE"""),785.73)</f>
        <v>785.73</v>
      </c>
      <c r="D2697" s="1">
        <f ca="1">IFERROR(__xludf.DUMMYFUNCTION("""COMPUTED_VALUE"""),764.47)</f>
        <v>764.47</v>
      </c>
      <c r="E2697" s="1">
        <f ca="1">IFERROR(__xludf.DUMMYFUNCTION("""COMPUTED_VALUE"""),765.16)</f>
        <v>765.16</v>
      </c>
      <c r="F2697" s="1">
        <f ca="1">IFERROR(__xludf.DUMMYFUNCTION("""COMPUTED_VALUE"""),11706946)</f>
        <v>11706946</v>
      </c>
    </row>
    <row r="2698" spans="1:6" x14ac:dyDescent="0.35">
      <c r="A2698" s="2">
        <f ca="1">IFERROR(__xludf.DUMMYFUNCTION("""COMPUTED_VALUE"""),45923.6666666666)</f>
        <v>45923.666666666599</v>
      </c>
      <c r="B2698" s="1">
        <f ca="1">IFERROR(__xludf.DUMMYFUNCTION("""COMPUTED_VALUE"""),769.25)</f>
        <v>769.25</v>
      </c>
      <c r="C2698" s="1">
        <f ca="1">IFERROR(__xludf.DUMMYFUNCTION("""COMPUTED_VALUE"""),770.6)</f>
        <v>770.6</v>
      </c>
      <c r="D2698" s="1">
        <f ca="1">IFERROR(__xludf.DUMMYFUNCTION("""COMPUTED_VALUE"""),751.07)</f>
        <v>751.07</v>
      </c>
      <c r="E2698" s="1">
        <f ca="1">IFERROR(__xludf.DUMMYFUNCTION("""COMPUTED_VALUE"""),755.4)</f>
        <v>755.4</v>
      </c>
      <c r="F2698" s="1">
        <f ca="1">IFERROR(__xludf.DUMMYFUNCTION("""COMPUTED_VALUE"""),10872592)</f>
        <v>10872592</v>
      </c>
    </row>
    <row r="2699" spans="1:6" x14ac:dyDescent="0.35">
      <c r="A2699" s="2">
        <f ca="1">IFERROR(__xludf.DUMMYFUNCTION("""COMPUTED_VALUE"""),45924.6666666666)</f>
        <v>45924.666666666599</v>
      </c>
      <c r="B2699" s="1">
        <f ca="1">IFERROR(__xludf.DUMMYFUNCTION("""COMPUTED_VALUE"""),757.5)</f>
        <v>757.5</v>
      </c>
      <c r="C2699" s="1">
        <f ca="1">IFERROR(__xludf.DUMMYFUNCTION("""COMPUTED_VALUE"""),761.11)</f>
        <v>761.11</v>
      </c>
      <c r="D2699" s="1">
        <f ca="1">IFERROR(__xludf.DUMMYFUNCTION("""COMPUTED_VALUE"""),752.53)</f>
        <v>752.53</v>
      </c>
      <c r="E2699" s="1">
        <f ca="1">IFERROR(__xludf.DUMMYFUNCTION("""COMPUTED_VALUE"""),760.66)</f>
        <v>760.66</v>
      </c>
      <c r="F2699" s="1">
        <f ca="1">IFERROR(__xludf.DUMMYFUNCTION("""COMPUTED_VALUE"""),8828227)</f>
        <v>8828227</v>
      </c>
    </row>
    <row r="2700" spans="1:6" x14ac:dyDescent="0.35">
      <c r="A2700" s="2">
        <f ca="1">IFERROR(__xludf.DUMMYFUNCTION("""COMPUTED_VALUE"""),45925.6666666666)</f>
        <v>45925.666666666599</v>
      </c>
      <c r="B2700" s="1">
        <f ca="1">IFERROR(__xludf.DUMMYFUNCTION("""COMPUTED_VALUE"""),753.45)</f>
        <v>753.45</v>
      </c>
      <c r="C2700" s="1">
        <f ca="1">IFERROR(__xludf.DUMMYFUNCTION("""COMPUTED_VALUE"""),756.77)</f>
        <v>756.77</v>
      </c>
      <c r="D2700" s="1">
        <f ca="1">IFERROR(__xludf.DUMMYFUNCTION("""COMPUTED_VALUE"""),744.55)</f>
        <v>744.55</v>
      </c>
      <c r="E2700" s="1">
        <f ca="1">IFERROR(__xludf.DUMMYFUNCTION("""COMPUTED_VALUE"""),748.91)</f>
        <v>748.91</v>
      </c>
      <c r="F2700" s="1">
        <f ca="1">IFERROR(__xludf.DUMMYFUNCTION("""COMPUTED_VALUE"""),10591065)</f>
        <v>10591065</v>
      </c>
    </row>
    <row r="2701" spans="1:6" x14ac:dyDescent="0.35">
      <c r="A2701" s="2">
        <f ca="1">IFERROR(__xludf.DUMMYFUNCTION("""COMPUTED_VALUE"""),45926.6666666666)</f>
        <v>45926.666666666599</v>
      </c>
      <c r="B2701" s="1">
        <f ca="1">IFERROR(__xludf.DUMMYFUNCTION("""COMPUTED_VALUE"""),750)</f>
        <v>750</v>
      </c>
      <c r="C2701" s="1">
        <f ca="1">IFERROR(__xludf.DUMMYFUNCTION("""COMPUTED_VALUE"""),751.93)</f>
        <v>751.93</v>
      </c>
      <c r="D2701" s="1">
        <f ca="1">IFERROR(__xludf.DUMMYFUNCTION("""COMPUTED_VALUE"""),737.35)</f>
        <v>737.35</v>
      </c>
      <c r="E2701" s="1">
        <f ca="1">IFERROR(__xludf.DUMMYFUNCTION("""COMPUTED_VALUE"""),743.75)</f>
        <v>743.75</v>
      </c>
      <c r="F2701" s="1">
        <f ca="1">IFERROR(__xludf.DUMMYFUNCTION("""COMPUTED_VALUE"""),9696338)</f>
        <v>9696338</v>
      </c>
    </row>
    <row r="2702" spans="1:6" x14ac:dyDescent="0.35">
      <c r="A2702" s="2">
        <f ca="1">IFERROR(__xludf.DUMMYFUNCTION("""COMPUTED_VALUE"""),45929.6666666666)</f>
        <v>45929.666666666599</v>
      </c>
      <c r="B2702" s="1">
        <f ca="1">IFERROR(__xludf.DUMMYFUNCTION("""COMPUTED_VALUE"""),748.72)</f>
        <v>748.72</v>
      </c>
      <c r="C2702" s="1">
        <f ca="1">IFERROR(__xludf.DUMMYFUNCTION("""COMPUTED_VALUE"""),750.78)</f>
        <v>750.78</v>
      </c>
      <c r="D2702" s="1">
        <f ca="1">IFERROR(__xludf.DUMMYFUNCTION("""COMPUTED_VALUE"""),739.15)</f>
        <v>739.15</v>
      </c>
      <c r="E2702" s="1">
        <f ca="1">IFERROR(__xludf.DUMMYFUNCTION("""COMPUTED_VALUE"""),743.4)</f>
        <v>743.4</v>
      </c>
      <c r="F2702" s="1">
        <f ca="1">IFERROR(__xludf.DUMMYFUNCTION("""COMPUTED_VALUE"""),9246768)</f>
        <v>9246768</v>
      </c>
    </row>
    <row r="2703" spans="1:6" x14ac:dyDescent="0.35">
      <c r="A2703" s="2">
        <f ca="1">IFERROR(__xludf.DUMMYFUNCTION("""COMPUTED_VALUE"""),45930.6666666666)</f>
        <v>45930.666666666599</v>
      </c>
      <c r="B2703" s="1">
        <f ca="1">IFERROR(__xludf.DUMMYFUNCTION("""COMPUTED_VALUE"""),742.25)</f>
        <v>742.25</v>
      </c>
      <c r="C2703" s="1">
        <f ca="1">IFERROR(__xludf.DUMMYFUNCTION("""COMPUTED_VALUE"""),742.97)</f>
        <v>742.97</v>
      </c>
      <c r="D2703" s="1">
        <f ca="1">IFERROR(__xludf.DUMMYFUNCTION("""COMPUTED_VALUE"""),726.3)</f>
        <v>726.3</v>
      </c>
      <c r="E2703" s="1">
        <f ca="1">IFERROR(__xludf.DUMMYFUNCTION("""COMPUTED_VALUE"""),734.38)</f>
        <v>734.38</v>
      </c>
      <c r="F2703" s="1">
        <f ca="1">IFERROR(__xludf.DUMMYFUNCTION("""COMPUTED_VALUE"""),16226750)</f>
        <v>16226750</v>
      </c>
    </row>
    <row r="2704" spans="1:6" x14ac:dyDescent="0.35">
      <c r="A2704" s="2">
        <f ca="1">IFERROR(__xludf.DUMMYFUNCTION("""COMPUTED_VALUE"""),45931.6666666666)</f>
        <v>45931.666666666599</v>
      </c>
      <c r="B2704" s="1">
        <f ca="1">IFERROR(__xludf.DUMMYFUNCTION("""COMPUTED_VALUE"""),721.49)</f>
        <v>721.49</v>
      </c>
      <c r="C2704" s="1">
        <f ca="1">IFERROR(__xludf.DUMMYFUNCTION("""COMPUTED_VALUE"""),721.85)</f>
        <v>721.85</v>
      </c>
      <c r="D2704" s="1">
        <f ca="1">IFERROR(__xludf.DUMMYFUNCTION("""COMPUTED_VALUE"""),710.2)</f>
        <v>710.2</v>
      </c>
      <c r="E2704" s="1">
        <f ca="1">IFERROR(__xludf.DUMMYFUNCTION("""COMPUTED_VALUE"""),717.34)</f>
        <v>717.34</v>
      </c>
      <c r="F2704" s="1">
        <f ca="1">IFERROR(__xludf.DUMMYFUNCTION("""COMPUTED_VALUE"""),20419633)</f>
        <v>20419633</v>
      </c>
    </row>
    <row r="2705" spans="1:6" x14ac:dyDescent="0.35">
      <c r="A2705" s="2">
        <f ca="1">IFERROR(__xludf.DUMMYFUNCTION("""COMPUTED_VALUE"""),45932.6666666666)</f>
        <v>45932.666666666599</v>
      </c>
      <c r="B2705" s="1">
        <f ca="1">IFERROR(__xludf.DUMMYFUNCTION("""COMPUTED_VALUE"""),722.58)</f>
        <v>722.58</v>
      </c>
      <c r="C2705" s="1">
        <f ca="1">IFERROR(__xludf.DUMMYFUNCTION("""COMPUTED_VALUE"""),727.77)</f>
        <v>727.77</v>
      </c>
      <c r="D2705" s="1">
        <f ca="1">IFERROR(__xludf.DUMMYFUNCTION("""COMPUTED_VALUE"""),718.14)</f>
        <v>718.14</v>
      </c>
      <c r="E2705" s="1">
        <f ca="1">IFERROR(__xludf.DUMMYFUNCTION("""COMPUTED_VALUE"""),727.05)</f>
        <v>727.05</v>
      </c>
      <c r="F2705" s="1">
        <f ca="1">IFERROR(__xludf.DUMMYFUNCTION("""COMPUTED_VALUE"""),11415271)</f>
        <v>11415271</v>
      </c>
    </row>
    <row r="2706" spans="1:6" x14ac:dyDescent="0.35">
      <c r="A2706" s="2">
        <f ca="1">IFERROR(__xludf.DUMMYFUNCTION("""COMPUTED_VALUE"""),45933.6666666666)</f>
        <v>45933.666666666599</v>
      </c>
      <c r="B2706" s="1">
        <f ca="1">IFERROR(__xludf.DUMMYFUNCTION("""COMPUTED_VALUE"""),729.63)</f>
        <v>729.63</v>
      </c>
      <c r="C2706" s="1">
        <f ca="1">IFERROR(__xludf.DUMMYFUNCTION("""COMPUTED_VALUE"""),731)</f>
        <v>731</v>
      </c>
      <c r="D2706" s="1">
        <f ca="1">IFERROR(__xludf.DUMMYFUNCTION("""COMPUTED_VALUE"""),710.18)</f>
        <v>710.18</v>
      </c>
      <c r="E2706" s="1">
        <f ca="1">IFERROR(__xludf.DUMMYFUNCTION("""COMPUTED_VALUE"""),710.56)</f>
        <v>710.56</v>
      </c>
      <c r="F2706" s="1">
        <f ca="1">IFERROR(__xludf.DUMMYFUNCTION("""COMPUTED_VALUE"""),16154305)</f>
        <v>16154305</v>
      </c>
    </row>
    <row r="2707" spans="1:6" x14ac:dyDescent="0.35">
      <c r="A2707" s="2">
        <f ca="1">IFERROR(__xludf.DUMMYFUNCTION("""COMPUTED_VALUE"""),45936.6666666666)</f>
        <v>45936.666666666599</v>
      </c>
      <c r="B2707" s="1">
        <f ca="1">IFERROR(__xludf.DUMMYFUNCTION("""COMPUTED_VALUE"""),705.19)</f>
        <v>705.19</v>
      </c>
      <c r="C2707" s="1">
        <f ca="1">IFERROR(__xludf.DUMMYFUNCTION("""COMPUTED_VALUE"""),716.88)</f>
        <v>716.88</v>
      </c>
      <c r="D2707" s="1">
        <f ca="1">IFERROR(__xludf.DUMMYFUNCTION("""COMPUTED_VALUE"""),690.51)</f>
        <v>690.51</v>
      </c>
      <c r="E2707" s="1">
        <f ca="1">IFERROR(__xludf.DUMMYFUNCTION("""COMPUTED_VALUE"""),715.66)</f>
        <v>715.66</v>
      </c>
      <c r="F2707" s="1">
        <f ca="1">IFERROR(__xludf.DUMMYFUNCTION("""COMPUTED_VALUE"""),21654738)</f>
        <v>21654738</v>
      </c>
    </row>
    <row r="2708" spans="1:6" x14ac:dyDescent="0.35">
      <c r="A2708" s="2">
        <f ca="1">IFERROR(__xludf.DUMMYFUNCTION("""COMPUTED_VALUE"""),45937.6666666666)</f>
        <v>45937.666666666599</v>
      </c>
      <c r="B2708" s="1">
        <f ca="1">IFERROR(__xludf.DUMMYFUNCTION("""COMPUTED_VALUE"""),717.72)</f>
        <v>717.72</v>
      </c>
      <c r="C2708" s="1">
        <f ca="1">IFERROR(__xludf.DUMMYFUNCTION("""COMPUTED_VALUE"""),718.5)</f>
        <v>718.5</v>
      </c>
      <c r="D2708" s="1">
        <f ca="1">IFERROR(__xludf.DUMMYFUNCTION("""COMPUTED_VALUE"""),705.75)</f>
        <v>705.75</v>
      </c>
      <c r="E2708" s="1">
        <f ca="1">IFERROR(__xludf.DUMMYFUNCTION("""COMPUTED_VALUE"""),713.08)</f>
        <v>713.08</v>
      </c>
      <c r="F2708" s="1">
        <f ca="1">IFERROR(__xludf.DUMMYFUNCTION("""COMPUTED_VALUE"""),12062928)</f>
        <v>12062928</v>
      </c>
    </row>
    <row r="2709" spans="1:6" x14ac:dyDescent="0.35">
      <c r="A2709" s="2">
        <f ca="1">IFERROR(__xludf.DUMMYFUNCTION("""COMPUTED_VALUE"""),45938.6666666666)</f>
        <v>45938.666666666599</v>
      </c>
      <c r="B2709" s="1">
        <f ca="1">IFERROR(__xludf.DUMMYFUNCTION("""COMPUTED_VALUE"""),713.45)</f>
        <v>713.45</v>
      </c>
      <c r="C2709" s="1">
        <f ca="1">IFERROR(__xludf.DUMMYFUNCTION("""COMPUTED_VALUE"""),719.65)</f>
        <v>719.65</v>
      </c>
      <c r="D2709" s="1">
        <f ca="1">IFERROR(__xludf.DUMMYFUNCTION("""COMPUTED_VALUE"""),707.81)</f>
        <v>707.81</v>
      </c>
      <c r="E2709" s="1">
        <f ca="1">IFERROR(__xludf.DUMMYFUNCTION("""COMPUTED_VALUE"""),717.84)</f>
        <v>717.84</v>
      </c>
      <c r="F2709" s="1">
        <f ca="1">IFERROR(__xludf.DUMMYFUNCTION("""COMPUTED_VALUE"""),10790571)</f>
        <v>10790571</v>
      </c>
    </row>
    <row r="2710" spans="1:6" x14ac:dyDescent="0.35">
      <c r="A2710" s="2">
        <f ca="1">IFERROR(__xludf.DUMMYFUNCTION("""COMPUTED_VALUE"""),45939.6666666666)</f>
        <v>45939.666666666599</v>
      </c>
      <c r="B2710" s="1">
        <f ca="1">IFERROR(__xludf.DUMMYFUNCTION("""COMPUTED_VALUE"""),718.28)</f>
        <v>718.28</v>
      </c>
      <c r="C2710" s="1">
        <f ca="1">IFERROR(__xludf.DUMMYFUNCTION("""COMPUTED_VALUE"""),733.51)</f>
        <v>733.51</v>
      </c>
      <c r="D2710" s="1">
        <f ca="1">IFERROR(__xludf.DUMMYFUNCTION("""COMPUTED_VALUE"""),712.44)</f>
        <v>712.44</v>
      </c>
      <c r="E2710" s="1">
        <f ca="1">IFERROR(__xludf.DUMMYFUNCTION("""COMPUTED_VALUE"""),733.51)</f>
        <v>733.51</v>
      </c>
      <c r="F2710" s="1">
        <f ca="1">IFERROR(__xludf.DUMMYFUNCTION("""COMPUTED_VALUE"""),12717172)</f>
        <v>12717172</v>
      </c>
    </row>
    <row r="2711" spans="1:6" x14ac:dyDescent="0.35">
      <c r="A2711" s="2">
        <f ca="1">IFERROR(__xludf.DUMMYFUNCTION("""COMPUTED_VALUE"""),45940.6666666666)</f>
        <v>45940.666666666599</v>
      </c>
      <c r="B2711" s="1">
        <f ca="1">IFERROR(__xludf.DUMMYFUNCTION("""COMPUTED_VALUE"""),730.92)</f>
        <v>730.92</v>
      </c>
      <c r="C2711" s="1">
        <f ca="1">IFERROR(__xludf.DUMMYFUNCTION("""COMPUTED_VALUE"""),735.27)</f>
        <v>735.27</v>
      </c>
      <c r="D2711" s="1">
        <f ca="1">IFERROR(__xludf.DUMMYFUNCTION("""COMPUTED_VALUE"""),704.51)</f>
        <v>704.51</v>
      </c>
      <c r="E2711" s="1">
        <f ca="1">IFERROR(__xludf.DUMMYFUNCTION("""COMPUTED_VALUE"""),705.3)</f>
        <v>705.3</v>
      </c>
      <c r="F2711" s="1">
        <f ca="1">IFERROR(__xludf.DUMMYFUNCTION("""COMPUTED_VALUE"""),16980091)</f>
        <v>16980091</v>
      </c>
    </row>
    <row r="2712" spans="1:6" x14ac:dyDescent="0.35">
      <c r="A2712" s="2">
        <f ca="1">IFERROR(__xludf.DUMMYFUNCTION("""COMPUTED_VALUE"""),45943.6666666666)</f>
        <v>45943.666666666599</v>
      </c>
      <c r="B2712" s="1">
        <f ca="1">IFERROR(__xludf.DUMMYFUNCTION("""COMPUTED_VALUE"""),713.01)</f>
        <v>713.01</v>
      </c>
      <c r="C2712" s="1">
        <f ca="1">IFERROR(__xludf.DUMMYFUNCTION("""COMPUTED_VALUE"""),719.94)</f>
        <v>719.94</v>
      </c>
      <c r="D2712" s="1">
        <f ca="1">IFERROR(__xludf.DUMMYFUNCTION("""COMPUTED_VALUE"""),707.64)</f>
        <v>707.64</v>
      </c>
      <c r="E2712" s="1">
        <f ca="1">IFERROR(__xludf.DUMMYFUNCTION("""COMPUTED_VALUE"""),715.7)</f>
        <v>715.7</v>
      </c>
      <c r="F2712" s="1">
        <f ca="1">IFERROR(__xludf.DUMMYFUNCTION("""COMPUTED_VALUE"""),9251796)</f>
        <v>9251796</v>
      </c>
    </row>
    <row r="2713" spans="1:6" x14ac:dyDescent="0.35">
      <c r="A2713" s="2">
        <f ca="1">IFERROR(__xludf.DUMMYFUNCTION("""COMPUTED_VALUE"""),45944.6666666666)</f>
        <v>45944.666666666599</v>
      </c>
      <c r="B2713" s="1">
        <f ca="1">IFERROR(__xludf.DUMMYFUNCTION("""COMPUTED_VALUE"""),707.78)</f>
        <v>707.78</v>
      </c>
      <c r="C2713" s="1">
        <f ca="1">IFERROR(__xludf.DUMMYFUNCTION("""COMPUTED_VALUE"""),715.55)</f>
        <v>715.55</v>
      </c>
      <c r="D2713" s="1">
        <f ca="1">IFERROR(__xludf.DUMMYFUNCTION("""COMPUTED_VALUE"""),699.33)</f>
        <v>699.33</v>
      </c>
      <c r="E2713" s="1">
        <f ca="1">IFERROR(__xludf.DUMMYFUNCTION("""COMPUTED_VALUE"""),708.65)</f>
        <v>708.65</v>
      </c>
      <c r="F2713" s="1">
        <f ca="1">IFERROR(__xludf.DUMMYFUNCTION("""COMPUTED_VALUE"""),8829757)</f>
        <v>8829757</v>
      </c>
    </row>
    <row r="2714" spans="1:6" x14ac:dyDescent="0.35">
      <c r="A2714" s="2">
        <f ca="1">IFERROR(__xludf.DUMMYFUNCTION("""COMPUTED_VALUE"""),45945.6666666666)</f>
        <v>45945.666666666599</v>
      </c>
      <c r="B2714" s="1">
        <f ca="1">IFERROR(__xludf.DUMMYFUNCTION("""COMPUTED_VALUE"""),717.06)</f>
        <v>717.06</v>
      </c>
      <c r="C2714" s="1">
        <f ca="1">IFERROR(__xludf.DUMMYFUNCTION("""COMPUTED_VALUE"""),723.9)</f>
        <v>723.9</v>
      </c>
      <c r="D2714" s="1">
        <f ca="1">IFERROR(__xludf.DUMMYFUNCTION("""COMPUTED_VALUE"""),709.51)</f>
        <v>709.51</v>
      </c>
      <c r="E2714" s="1">
        <f ca="1">IFERROR(__xludf.DUMMYFUNCTION("""COMPUTED_VALUE"""),717.55)</f>
        <v>717.55</v>
      </c>
      <c r="F2714" s="1">
        <f ca="1">IFERROR(__xludf.DUMMYFUNCTION("""COMPUTED_VALUE"""),10246766)</f>
        <v>10246766</v>
      </c>
    </row>
    <row r="2715" spans="1:6" x14ac:dyDescent="0.35">
      <c r="A2715" s="2">
        <f ca="1">IFERROR(__xludf.DUMMYFUNCTION("""COMPUTED_VALUE"""),45946.6666666666)</f>
        <v>45946.666666666599</v>
      </c>
      <c r="B2715" s="1">
        <f ca="1">IFERROR(__xludf.DUMMYFUNCTION("""COMPUTED_VALUE"""),717.55)</f>
        <v>717.55</v>
      </c>
      <c r="C2715" s="1">
        <f ca="1">IFERROR(__xludf.DUMMYFUNCTION("""COMPUTED_VALUE"""),725.49)</f>
        <v>725.49</v>
      </c>
      <c r="D2715" s="1">
        <f ca="1">IFERROR(__xludf.DUMMYFUNCTION("""COMPUTED_VALUE"""),703.88)</f>
        <v>703.88</v>
      </c>
      <c r="E2715" s="1">
        <f ca="1">IFERROR(__xludf.DUMMYFUNCTION("""COMPUTED_VALUE"""),712.07)</f>
        <v>712.07</v>
      </c>
      <c r="F2715" s="1">
        <f ca="1">IFERROR(__xludf.DUMMYFUNCTION("""COMPUTED_VALUE"""),9017010)</f>
        <v>9017010</v>
      </c>
    </row>
    <row r="2716" spans="1:6" x14ac:dyDescent="0.35">
      <c r="A2716" s="2">
        <f ca="1">IFERROR(__xludf.DUMMYFUNCTION("""COMPUTED_VALUE"""),45947.6666666666)</f>
        <v>45947.666666666599</v>
      </c>
      <c r="B2716" s="1">
        <f ca="1">IFERROR(__xludf.DUMMYFUNCTION("""COMPUTED_VALUE"""),707.08)</f>
        <v>707.08</v>
      </c>
      <c r="C2716" s="1">
        <f ca="1">IFERROR(__xludf.DUMMYFUNCTION("""COMPUTED_VALUE"""),718.54)</f>
        <v>718.54</v>
      </c>
      <c r="D2716" s="1">
        <f ca="1">IFERROR(__xludf.DUMMYFUNCTION("""COMPUTED_VALUE"""),706.12)</f>
        <v>706.12</v>
      </c>
      <c r="E2716" s="1">
        <f ca="1">IFERROR(__xludf.DUMMYFUNCTION("""COMPUTED_VALUE"""),716.92)</f>
        <v>716.92</v>
      </c>
      <c r="F2716" s="1">
        <f ca="1">IFERROR(__xludf.DUMMYFUNCTION("""COMPUTED_VALUE"""),12232441)</f>
        <v>12232441</v>
      </c>
    </row>
    <row r="2717" spans="1:6" x14ac:dyDescent="0.35">
      <c r="A2717" s="2">
        <f ca="1">IFERROR(__xludf.DUMMYFUNCTION("""COMPUTED_VALUE"""),45950.6666666666)</f>
        <v>45950.666666666599</v>
      </c>
      <c r="B2717" s="1">
        <f ca="1">IFERROR(__xludf.DUMMYFUNCTION("""COMPUTED_VALUE"""),721.19)</f>
        <v>721.19</v>
      </c>
      <c r="C2717" s="1">
        <f ca="1">IFERROR(__xludf.DUMMYFUNCTION("""COMPUTED_VALUE"""),733.77)</f>
        <v>733.77</v>
      </c>
      <c r="D2717" s="1">
        <f ca="1">IFERROR(__xludf.DUMMYFUNCTION("""COMPUTED_VALUE"""),720.18)</f>
        <v>720.18</v>
      </c>
      <c r="E2717" s="1">
        <f ca="1">IFERROR(__xludf.DUMMYFUNCTION("""COMPUTED_VALUE"""),732.17)</f>
        <v>732.17</v>
      </c>
      <c r="F2717" s="1">
        <f ca="1">IFERROR(__xludf.DUMMYFUNCTION("""COMPUTED_VALUE"""),8900204)</f>
        <v>8900204</v>
      </c>
    </row>
    <row r="2718" spans="1:6" x14ac:dyDescent="0.35">
      <c r="A2718" s="2">
        <f ca="1">IFERROR(__xludf.DUMMYFUNCTION("""COMPUTED_VALUE"""),45951.6666666666)</f>
        <v>45951.666666666599</v>
      </c>
      <c r="B2718" s="1">
        <f ca="1">IFERROR(__xludf.DUMMYFUNCTION("""COMPUTED_VALUE"""),736.02)</f>
        <v>736.02</v>
      </c>
      <c r="C2718" s="1">
        <f ca="1">IFERROR(__xludf.DUMMYFUNCTION("""COMPUTED_VALUE"""),738.5)</f>
        <v>738.5</v>
      </c>
      <c r="D2718" s="1">
        <f ca="1">IFERROR(__xludf.DUMMYFUNCTION("""COMPUTED_VALUE"""),728.75)</f>
        <v>728.75</v>
      </c>
      <c r="E2718" s="1">
        <f ca="1">IFERROR(__xludf.DUMMYFUNCTION("""COMPUTED_VALUE"""),733.27)</f>
        <v>733.27</v>
      </c>
      <c r="F2718" s="1">
        <f ca="1">IFERROR(__xludf.DUMMYFUNCTION("""COMPUTED_VALUE"""),7647269)</f>
        <v>7647269</v>
      </c>
    </row>
    <row r="2719" spans="1:6" x14ac:dyDescent="0.35">
      <c r="A2719" s="2">
        <f ca="1">IFERROR(__xludf.DUMMYFUNCTION("""COMPUTED_VALUE"""),45952.6666666666)</f>
        <v>45952.666666666599</v>
      </c>
      <c r="B2719" s="1">
        <f ca="1">IFERROR(__xludf.DUMMYFUNCTION("""COMPUTED_VALUE"""),733.83)</f>
        <v>733.83</v>
      </c>
      <c r="C2719" s="1">
        <f ca="1">IFERROR(__xludf.DUMMYFUNCTION("""COMPUTED_VALUE"""),740.6)</f>
        <v>740.6</v>
      </c>
      <c r="D2719" s="1">
        <f ca="1">IFERROR(__xludf.DUMMYFUNCTION("""COMPUTED_VALUE"""),724.03)</f>
        <v>724.03</v>
      </c>
      <c r="E2719" s="1">
        <f ca="1">IFERROR(__xludf.DUMMYFUNCTION("""COMPUTED_VALUE"""),733.41)</f>
        <v>733.41</v>
      </c>
      <c r="F2719" s="1">
        <f ca="1">IFERROR(__xludf.DUMMYFUNCTION("""COMPUTED_VALUE"""),8734491)</f>
        <v>8734491</v>
      </c>
    </row>
    <row r="2720" spans="1:6" x14ac:dyDescent="0.35">
      <c r="A2720" s="2">
        <f ca="1">IFERROR(__xludf.DUMMYFUNCTION("""COMPUTED_VALUE"""),45953.6666666666)</f>
        <v>45953.666666666599</v>
      </c>
      <c r="B2720" s="1">
        <f ca="1">IFERROR(__xludf.DUMMYFUNCTION("""COMPUTED_VALUE"""),734.7)</f>
        <v>734.7</v>
      </c>
      <c r="C2720" s="1">
        <f ca="1">IFERROR(__xludf.DUMMYFUNCTION("""COMPUTED_VALUE"""),742.41)</f>
        <v>742.41</v>
      </c>
      <c r="D2720" s="1">
        <f ca="1">IFERROR(__xludf.DUMMYFUNCTION("""COMPUTED_VALUE"""),733.1)</f>
        <v>733.1</v>
      </c>
      <c r="E2720" s="1">
        <f ca="1">IFERROR(__xludf.DUMMYFUNCTION("""COMPUTED_VALUE"""),734)</f>
        <v>734</v>
      </c>
      <c r="F2720" s="1">
        <f ca="1">IFERROR(__xludf.DUMMYFUNCTION("""COMPUTED_VALUE"""),9855974)</f>
        <v>9855974</v>
      </c>
    </row>
    <row r="2721" spans="1:6" x14ac:dyDescent="0.35">
      <c r="A2721" s="2">
        <f ca="1">IFERROR(__xludf.DUMMYFUNCTION("""COMPUTED_VALUE"""),45954.6666666666)</f>
        <v>45954.666666666599</v>
      </c>
      <c r="B2721" s="1">
        <f ca="1">IFERROR(__xludf.DUMMYFUNCTION("""COMPUTED_VALUE"""),736.79)</f>
        <v>736.79</v>
      </c>
      <c r="C2721" s="1">
        <f ca="1">IFERROR(__xludf.DUMMYFUNCTION("""COMPUTED_VALUE"""),741.21)</f>
        <v>741.21</v>
      </c>
      <c r="D2721" s="1">
        <f ca="1">IFERROR(__xludf.DUMMYFUNCTION("""COMPUTED_VALUE"""),731.15)</f>
        <v>731.15</v>
      </c>
      <c r="E2721" s="1">
        <f ca="1">IFERROR(__xludf.DUMMYFUNCTION("""COMPUTED_VALUE"""),738.36)</f>
        <v>738.36</v>
      </c>
      <c r="F2721" s="1">
        <f ca="1">IFERROR(__xludf.DUMMYFUNCTION("""COMPUTED_VALUE"""),9151267)</f>
        <v>9151267</v>
      </c>
    </row>
    <row r="2722" spans="1:6" x14ac:dyDescent="0.35">
      <c r="A2722" s="2">
        <f ca="1">IFERROR(__xludf.DUMMYFUNCTION("""COMPUTED_VALUE"""),45957.6666666666)</f>
        <v>45957.666666666599</v>
      </c>
      <c r="B2722" s="1">
        <f ca="1">IFERROR(__xludf.DUMMYFUNCTION("""COMPUTED_VALUE"""),749.73)</f>
        <v>749.73</v>
      </c>
      <c r="C2722" s="1">
        <f ca="1">IFERROR(__xludf.DUMMYFUNCTION("""COMPUTED_VALUE"""),755.75)</f>
        <v>755.75</v>
      </c>
      <c r="D2722" s="1">
        <f ca="1">IFERROR(__xludf.DUMMYFUNCTION("""COMPUTED_VALUE"""),748.01)</f>
        <v>748.01</v>
      </c>
      <c r="E2722" s="1">
        <f ca="1">IFERROR(__xludf.DUMMYFUNCTION("""COMPUTED_VALUE"""),750.82)</f>
        <v>750.82</v>
      </c>
      <c r="F2722" s="1">
        <f ca="1">IFERROR(__xludf.DUMMYFUNCTION("""COMPUTED_VALUE"""),11321080)</f>
        <v>11321080</v>
      </c>
    </row>
    <row r="2723" spans="1:6" x14ac:dyDescent="0.35">
      <c r="A2723" s="2">
        <f ca="1">IFERROR(__xludf.DUMMYFUNCTION("""COMPUTED_VALUE"""),45958.6666666666)</f>
        <v>45958.666666666599</v>
      </c>
      <c r="B2723" s="1">
        <f ca="1">IFERROR(__xludf.DUMMYFUNCTION("""COMPUTED_VALUE"""),752.63)</f>
        <v>752.63</v>
      </c>
      <c r="C2723" s="1">
        <f ca="1">IFERROR(__xludf.DUMMYFUNCTION("""COMPUTED_VALUE"""),758.4)</f>
        <v>758.4</v>
      </c>
      <c r="D2723" s="1">
        <f ca="1">IFERROR(__xludf.DUMMYFUNCTION("""COMPUTED_VALUE"""),745.52)</f>
        <v>745.52</v>
      </c>
      <c r="E2723" s="1">
        <f ca="1">IFERROR(__xludf.DUMMYFUNCTION("""COMPUTED_VALUE"""),751.44)</f>
        <v>751.44</v>
      </c>
      <c r="F2723" s="1">
        <f ca="1">IFERROR(__xludf.DUMMYFUNCTION("""COMPUTED_VALUE"""),12193818)</f>
        <v>12193818</v>
      </c>
    </row>
    <row r="2724" spans="1:6" x14ac:dyDescent="0.35">
      <c r="A2724" s="2">
        <f ca="1">IFERROR(__xludf.DUMMYFUNCTION("""COMPUTED_VALUE"""),45959.6666666666)</f>
        <v>45959.666666666599</v>
      </c>
      <c r="B2724" s="1">
        <f ca="1">IFERROR(__xludf.DUMMYFUNCTION("""COMPUTED_VALUE"""),754.75)</f>
        <v>754.75</v>
      </c>
      <c r="C2724" s="1">
        <f ca="1">IFERROR(__xludf.DUMMYFUNCTION("""COMPUTED_VALUE"""),759.16)</f>
        <v>759.16</v>
      </c>
      <c r="D2724" s="1">
        <f ca="1">IFERROR(__xludf.DUMMYFUNCTION("""COMPUTED_VALUE"""),742.51)</f>
        <v>742.51</v>
      </c>
      <c r="E2724" s="1">
        <f ca="1">IFERROR(__xludf.DUMMYFUNCTION("""COMPUTED_VALUE"""),751.67)</f>
        <v>751.67</v>
      </c>
      <c r="F2724" s="1">
        <f ca="1">IFERROR(__xludf.DUMMYFUNCTION("""COMPUTED_VALUE"""),26818592)</f>
        <v>26818592</v>
      </c>
    </row>
    <row r="2725" spans="1:6" x14ac:dyDescent="0.35">
      <c r="A2725" s="2">
        <f ca="1">IFERROR(__xludf.DUMMYFUNCTION("""COMPUTED_VALUE"""),45960.6666666666)</f>
        <v>45960.666666666599</v>
      </c>
      <c r="B2725" s="1">
        <f ca="1">IFERROR(__xludf.DUMMYFUNCTION("""COMPUTED_VALUE"""),669.15)</f>
        <v>669.15</v>
      </c>
      <c r="C2725" s="1">
        <f ca="1">IFERROR(__xludf.DUMMYFUNCTION("""COMPUTED_VALUE"""),680.96)</f>
        <v>680.96</v>
      </c>
      <c r="D2725" s="1">
        <f ca="1">IFERROR(__xludf.DUMMYFUNCTION("""COMPUTED_VALUE"""),650.17)</f>
        <v>650.16999999999996</v>
      </c>
      <c r="E2725" s="1">
        <f ca="1">IFERROR(__xludf.DUMMYFUNCTION("""COMPUTED_VALUE"""),666.47)</f>
        <v>666.47</v>
      </c>
      <c r="F2725" s="1">
        <f ca="1">IFERROR(__xludf.DUMMYFUNCTION("""COMPUTED_VALUE"""),88440094)</f>
        <v>88440094</v>
      </c>
    </row>
    <row r="2726" spans="1:6" x14ac:dyDescent="0.35">
      <c r="A2726" s="2">
        <f ca="1">IFERROR(__xludf.DUMMYFUNCTION("""COMPUTED_VALUE"""),45961.6666666666)</f>
        <v>45961.666666666599</v>
      </c>
      <c r="B2726" s="1">
        <f ca="1">IFERROR(__xludf.DUMMYFUNCTION("""COMPUTED_VALUE"""),674.51)</f>
        <v>674.51</v>
      </c>
      <c r="C2726" s="1">
        <f ca="1">IFERROR(__xludf.DUMMYFUNCTION("""COMPUTED_VALUE"""),674.89)</f>
        <v>674.89</v>
      </c>
      <c r="D2726" s="1">
        <f ca="1">IFERROR(__xludf.DUMMYFUNCTION("""COMPUTED_VALUE"""),645.57)</f>
        <v>645.57000000000005</v>
      </c>
      <c r="E2726" s="1">
        <f ca="1">IFERROR(__xludf.DUMMYFUNCTION("""COMPUTED_VALUE"""),648.35)</f>
        <v>648.35</v>
      </c>
      <c r="F2726" s="1">
        <f ca="1">IFERROR(__xludf.DUMMYFUNCTION("""COMPUTED_VALUE"""),56953169)</f>
        <v>56953169</v>
      </c>
    </row>
    <row r="2727" spans="1:6" x14ac:dyDescent="0.35">
      <c r="A2727" s="2">
        <f ca="1">IFERROR(__xludf.DUMMYFUNCTION("""COMPUTED_VALUE"""),45964.6666666666)</f>
        <v>45964.666666666599</v>
      </c>
      <c r="B2727" s="1">
        <f ca="1">IFERROR(__xludf.DUMMYFUNCTION("""COMPUTED_VALUE"""),656)</f>
        <v>656</v>
      </c>
      <c r="C2727" s="1">
        <f ca="1">IFERROR(__xludf.DUMMYFUNCTION("""COMPUTED_VALUE"""),659.33)</f>
        <v>659.33</v>
      </c>
      <c r="D2727" s="1">
        <f ca="1">IFERROR(__xludf.DUMMYFUNCTION("""COMPUTED_VALUE"""),636.18)</f>
        <v>636.17999999999995</v>
      </c>
      <c r="E2727" s="1">
        <f ca="1">IFERROR(__xludf.DUMMYFUNCTION("""COMPUTED_VALUE"""),637.71)</f>
        <v>637.71</v>
      </c>
      <c r="F2727" s="1">
        <f ca="1">IFERROR(__xludf.DUMMYFUNCTION("""COMPUTED_VALUE"""),33003599)</f>
        <v>33003599</v>
      </c>
    </row>
    <row r="2728" spans="1:6" x14ac:dyDescent="0.35">
      <c r="A2728" s="2">
        <f ca="1">IFERROR(__xludf.DUMMYFUNCTION("""COMPUTED_VALUE"""),45965.6666666666)</f>
        <v>45965.666666666599</v>
      </c>
      <c r="B2728" s="1">
        <f ca="1">IFERROR(__xludf.DUMMYFUNCTION("""COMPUTED_VALUE"""),628.04)</f>
        <v>628.04</v>
      </c>
      <c r="C2728" s="1">
        <f ca="1">IFERROR(__xludf.DUMMYFUNCTION("""COMPUTED_VALUE"""),641.74)</f>
        <v>641.74</v>
      </c>
      <c r="D2728" s="1">
        <f ca="1">IFERROR(__xludf.DUMMYFUNCTION("""COMPUTED_VALUE"""),626.01)</f>
        <v>626.01</v>
      </c>
      <c r="E2728" s="1">
        <f ca="1">IFERROR(__xludf.DUMMYFUNCTION("""COMPUTED_VALUE"""),627.32)</f>
        <v>627.32000000000005</v>
      </c>
      <c r="F2728" s="1">
        <f ca="1">IFERROR(__xludf.DUMMYFUNCTION("""COMPUTED_VALUE"""),27356553)</f>
        <v>27356553</v>
      </c>
    </row>
    <row r="2729" spans="1:6" x14ac:dyDescent="0.35">
      <c r="A2729" s="2">
        <f ca="1">IFERROR(__xludf.DUMMYFUNCTION("""COMPUTED_VALUE"""),45966.6666666666)</f>
        <v>45966.666666666599</v>
      </c>
      <c r="B2729" s="1">
        <f ca="1">IFERROR(__xludf.DUMMYFUNCTION("""COMPUTED_VALUE"""),632.31)</f>
        <v>632.30999999999995</v>
      </c>
      <c r="C2729" s="1">
        <f ca="1">IFERROR(__xludf.DUMMYFUNCTION("""COMPUTED_VALUE"""),642.23)</f>
        <v>642.23</v>
      </c>
      <c r="D2729" s="1">
        <f ca="1">IFERROR(__xludf.DUMMYFUNCTION("""COMPUTED_VALUE"""),626.54)</f>
        <v>626.54</v>
      </c>
      <c r="E2729" s="1">
        <f ca="1">IFERROR(__xludf.DUMMYFUNCTION("""COMPUTED_VALUE"""),635.95)</f>
        <v>635.95000000000005</v>
      </c>
      <c r="F2729" s="1">
        <f ca="1">IFERROR(__xludf.DUMMYFUNCTION("""COMPUTED_VALUE"""),20219855)</f>
        <v>20219855</v>
      </c>
    </row>
    <row r="2730" spans="1:6" x14ac:dyDescent="0.35">
      <c r="A2730" s="2">
        <f ca="1">IFERROR(__xludf.DUMMYFUNCTION("""COMPUTED_VALUE"""),45967.6666666666)</f>
        <v>45967.666666666599</v>
      </c>
      <c r="B2730" s="1">
        <f ca="1">IFERROR(__xludf.DUMMYFUNCTION("""COMPUTED_VALUE"""),635.85)</f>
        <v>635.85</v>
      </c>
      <c r="C2730" s="1">
        <f ca="1">IFERROR(__xludf.DUMMYFUNCTION("""COMPUTED_VALUE"""),636)</f>
        <v>636</v>
      </c>
      <c r="D2730" s="1">
        <f ca="1">IFERROR(__xludf.DUMMYFUNCTION("""COMPUTED_VALUE"""),618)</f>
        <v>618</v>
      </c>
      <c r="E2730" s="1">
        <f ca="1">IFERROR(__xludf.DUMMYFUNCTION("""COMPUTED_VALUE"""),618.94)</f>
        <v>618.94000000000005</v>
      </c>
      <c r="F2730" s="1">
        <f ca="1">IFERROR(__xludf.DUMMYFUNCTION("""COMPUTED_VALUE"""),23628750)</f>
        <v>23628750</v>
      </c>
    </row>
    <row r="2731" spans="1:6" x14ac:dyDescent="0.35">
      <c r="A2731" s="2">
        <f ca="1">IFERROR(__xludf.DUMMYFUNCTION("""COMPUTED_VALUE"""),45968.6666666666)</f>
        <v>45968.666666666599</v>
      </c>
      <c r="B2731" s="1">
        <f ca="1">IFERROR(__xludf.DUMMYFUNCTION("""COMPUTED_VALUE"""),616.49)</f>
        <v>616.49</v>
      </c>
      <c r="C2731" s="1">
        <f ca="1">IFERROR(__xludf.DUMMYFUNCTION("""COMPUTED_VALUE"""),622.13)</f>
        <v>622.13</v>
      </c>
      <c r="D2731" s="1">
        <f ca="1">IFERROR(__xludf.DUMMYFUNCTION("""COMPUTED_VALUE"""),601.2)</f>
        <v>601.20000000000005</v>
      </c>
      <c r="E2731" s="1">
        <f ca="1">IFERROR(__xludf.DUMMYFUNCTION("""COMPUTED_VALUE"""),621.71)</f>
        <v>621.71</v>
      </c>
      <c r="F2731" s="1">
        <f ca="1">IFERROR(__xludf.DUMMYFUNCTION("""COMPUTED_VALUE"""),29946826)</f>
        <v>29946826</v>
      </c>
    </row>
    <row r="2732" spans="1:6" x14ac:dyDescent="0.35">
      <c r="A2732" s="2">
        <f ca="1">IFERROR(__xludf.DUMMYFUNCTION("""COMPUTED_VALUE"""),45971.6666666666)</f>
        <v>45971.666666666599</v>
      </c>
      <c r="B2732" s="1">
        <f ca="1">IFERROR(__xludf.DUMMYFUNCTION("""COMPUTED_VALUE"""),631.09)</f>
        <v>631.09</v>
      </c>
      <c r="C2732" s="1">
        <f ca="1">IFERROR(__xludf.DUMMYFUNCTION("""COMPUTED_VALUE"""),635)</f>
        <v>635</v>
      </c>
      <c r="D2732" s="1">
        <f ca="1">IFERROR(__xludf.DUMMYFUNCTION("""COMPUTED_VALUE"""),618.11)</f>
        <v>618.11</v>
      </c>
      <c r="E2732" s="1">
        <f ca="1">IFERROR(__xludf.DUMMYFUNCTION("""COMPUTED_VALUE"""),631.76)</f>
        <v>631.76</v>
      </c>
      <c r="F2732" s="1">
        <f ca="1">IFERROR(__xludf.DUMMYFUNCTION("""COMPUTED_VALUE"""),19245000)</f>
        <v>19245000</v>
      </c>
    </row>
    <row r="2733" spans="1:6" x14ac:dyDescent="0.35">
      <c r="A2733" s="2">
        <f ca="1">IFERROR(__xludf.DUMMYFUNCTION("""COMPUTED_VALUE"""),45972.6666666666)</f>
        <v>45972.666666666599</v>
      </c>
      <c r="B2733" s="1">
        <f ca="1">IFERROR(__xludf.DUMMYFUNCTION("""COMPUTED_VALUE"""),628)</f>
        <v>628</v>
      </c>
      <c r="C2733" s="1">
        <f ca="1">IFERROR(__xludf.DUMMYFUNCTION("""COMPUTED_VALUE"""),629.56)</f>
        <v>629.55999999999995</v>
      </c>
      <c r="D2733" s="1">
        <f ca="1">IFERROR(__xludf.DUMMYFUNCTION("""COMPUTED_VALUE"""),619.39)</f>
        <v>619.39</v>
      </c>
      <c r="E2733" s="1">
        <f ca="1">IFERROR(__xludf.DUMMYFUNCTION("""COMPUTED_VALUE"""),627.08)</f>
        <v>627.08000000000004</v>
      </c>
      <c r="F2733" s="1">
        <f ca="1">IFERROR(__xludf.DUMMYFUNCTION("""COMPUTED_VALUE"""),13302187)</f>
        <v>13302187</v>
      </c>
    </row>
    <row r="2734" spans="1:6" x14ac:dyDescent="0.35">
      <c r="A2734" s="2">
        <f ca="1">IFERROR(__xludf.DUMMYFUNCTION("""COMPUTED_VALUE"""),45973.6666666666)</f>
        <v>45973.666666666599</v>
      </c>
      <c r="B2734" s="1">
        <f ca="1">IFERROR(__xludf.DUMMYFUNCTION("""COMPUTED_VALUE"""),628.13)</f>
        <v>628.13</v>
      </c>
      <c r="C2734" s="1">
        <f ca="1">IFERROR(__xludf.DUMMYFUNCTION("""COMPUTED_VALUE"""),628.99)</f>
        <v>628.99</v>
      </c>
      <c r="D2734" s="1">
        <f ca="1">IFERROR(__xludf.DUMMYFUNCTION("""COMPUTED_VALUE"""),607.77)</f>
        <v>607.77</v>
      </c>
      <c r="E2734" s="1">
        <f ca="1">IFERROR(__xludf.DUMMYFUNCTION("""COMPUTED_VALUE"""),609.01)</f>
        <v>609.01</v>
      </c>
      <c r="F2734" s="1">
        <f ca="1">IFERROR(__xludf.DUMMYFUNCTION("""COMPUTED_VALUE"""),24493272)</f>
        <v>24493272</v>
      </c>
    </row>
    <row r="2735" spans="1:6" x14ac:dyDescent="0.35">
      <c r="A2735" s="2">
        <f ca="1">IFERROR(__xludf.DUMMYFUNCTION("""COMPUTED_VALUE"""),45974.6666666666)</f>
        <v>45974.666666666599</v>
      </c>
      <c r="B2735" s="1">
        <f ca="1">IFERROR(__xludf.DUMMYFUNCTION("""COMPUTED_VALUE"""),613.07)</f>
        <v>613.07000000000005</v>
      </c>
      <c r="C2735" s="1">
        <f ca="1">IFERROR(__xludf.DUMMYFUNCTION("""COMPUTED_VALUE"""),617.65)</f>
        <v>617.65</v>
      </c>
      <c r="D2735" s="1">
        <f ca="1">IFERROR(__xludf.DUMMYFUNCTION("""COMPUTED_VALUE"""),603)</f>
        <v>603</v>
      </c>
      <c r="E2735" s="1">
        <f ca="1">IFERROR(__xludf.DUMMYFUNCTION("""COMPUTED_VALUE"""),609.89)</f>
        <v>609.89</v>
      </c>
      <c r="F2735" s="1">
        <f ca="1">IFERROR(__xludf.DUMMYFUNCTION("""COMPUTED_VALUE"""),20973845)</f>
        <v>20973845</v>
      </c>
    </row>
    <row r="2736" spans="1:6" x14ac:dyDescent="0.35">
      <c r="A2736" s="2">
        <f ca="1">IFERROR(__xludf.DUMMYFUNCTION("""COMPUTED_VALUE"""),45975.6666666666)</f>
        <v>45975.666666666599</v>
      </c>
      <c r="B2736" s="1">
        <f ca="1">IFERROR(__xludf.DUMMYFUNCTION("""COMPUTED_VALUE"""),601.79)</f>
        <v>601.79</v>
      </c>
      <c r="C2736" s="1">
        <f ca="1">IFERROR(__xludf.DUMMYFUNCTION("""COMPUTED_VALUE"""),613.68)</f>
        <v>613.67999999999995</v>
      </c>
      <c r="D2736" s="1">
        <f ca="1">IFERROR(__xludf.DUMMYFUNCTION("""COMPUTED_VALUE"""),595.2)</f>
        <v>595.20000000000005</v>
      </c>
      <c r="E2736" s="1">
        <f ca="1">IFERROR(__xludf.DUMMYFUNCTION("""COMPUTED_VALUE"""),609.46)</f>
        <v>609.46</v>
      </c>
      <c r="F2736" s="1">
        <f ca="1">IFERROR(__xludf.DUMMYFUNCTION("""COMPUTED_VALUE"""),20724146)</f>
        <v>20724146</v>
      </c>
    </row>
    <row r="2737" spans="1:6" x14ac:dyDescent="0.35">
      <c r="A2737" s="2">
        <f ca="1">IFERROR(__xludf.DUMMYFUNCTION("""COMPUTED_VALUE"""),45978.6666666666)</f>
        <v>45978.666666666599</v>
      </c>
      <c r="B2737" s="1">
        <f ca="1">IFERROR(__xludf.DUMMYFUNCTION("""COMPUTED_VALUE"""),609.04)</f>
        <v>609.04</v>
      </c>
      <c r="C2737" s="1">
        <f ca="1">IFERROR(__xludf.DUMMYFUNCTION("""COMPUTED_VALUE"""),611.69)</f>
        <v>611.69000000000005</v>
      </c>
      <c r="D2737" s="1">
        <f ca="1">IFERROR(__xludf.DUMMYFUNCTION("""COMPUTED_VALUE"""),595.4)</f>
        <v>595.4</v>
      </c>
      <c r="E2737" s="1">
        <f ca="1">IFERROR(__xludf.DUMMYFUNCTION("""COMPUTED_VALUE"""),602.01)</f>
        <v>602.01</v>
      </c>
      <c r="F2737" s="1">
        <f ca="1">IFERROR(__xludf.DUMMYFUNCTION("""COMPUTED_VALUE"""),16501331)</f>
        <v>16501331</v>
      </c>
    </row>
    <row r="2738" spans="1:6" x14ac:dyDescent="0.35">
      <c r="A2738" s="2">
        <f ca="1">IFERROR(__xludf.DUMMYFUNCTION("""COMPUTED_VALUE"""),45979.6666666666)</f>
        <v>45979.666666666599</v>
      </c>
      <c r="B2738" s="1">
        <f ca="1">IFERROR(__xludf.DUMMYFUNCTION("""COMPUTED_VALUE"""),591.6)</f>
        <v>591.6</v>
      </c>
      <c r="C2738" s="1">
        <f ca="1">IFERROR(__xludf.DUMMYFUNCTION("""COMPUTED_VALUE"""),603.66)</f>
        <v>603.66</v>
      </c>
      <c r="D2738" s="1">
        <f ca="1">IFERROR(__xludf.DUMMYFUNCTION("""COMPUTED_VALUE"""),583.78)</f>
        <v>583.78</v>
      </c>
      <c r="E2738" s="1">
        <f ca="1">IFERROR(__xludf.DUMMYFUNCTION("""COMPUTED_VALUE"""),597.69)</f>
        <v>597.69000000000005</v>
      </c>
      <c r="F2738" s="1">
        <f ca="1">IFERROR(__xludf.DUMMYFUNCTION("""COMPUTED_VALUE"""),25500647)</f>
        <v>25500647</v>
      </c>
    </row>
    <row r="2739" spans="1:6" x14ac:dyDescent="0.35">
      <c r="A2739" s="2">
        <f ca="1">IFERROR(__xludf.DUMMYFUNCTION("""COMPUTED_VALUE"""),45980.6666666666)</f>
        <v>45980.666666666599</v>
      </c>
      <c r="B2739" s="1">
        <f ca="1">IFERROR(__xludf.DUMMYFUNCTION("""COMPUTED_VALUE"""),593.72)</f>
        <v>593.72</v>
      </c>
      <c r="C2739" s="1">
        <f ca="1">IFERROR(__xludf.DUMMYFUNCTION("""COMPUTED_VALUE"""),595.33)</f>
        <v>595.33000000000004</v>
      </c>
      <c r="D2739" s="1">
        <f ca="1">IFERROR(__xludf.DUMMYFUNCTION("""COMPUTED_VALUE"""),581.25)</f>
        <v>581.25</v>
      </c>
      <c r="E2739" s="1">
        <f ca="1">IFERROR(__xludf.DUMMYFUNCTION("""COMPUTED_VALUE"""),590.32)</f>
        <v>590.32000000000005</v>
      </c>
      <c r="F2739" s="1">
        <f ca="1">IFERROR(__xludf.DUMMYFUNCTION("""COMPUTED_VALUE"""),24744703)</f>
        <v>24744703</v>
      </c>
    </row>
    <row r="2740" spans="1:6" x14ac:dyDescent="0.35">
      <c r="A2740" s="2">
        <f ca="1">IFERROR(__xludf.DUMMYFUNCTION("""COMPUTED_VALUE"""),45981.6666666666)</f>
        <v>45981.666666666599</v>
      </c>
      <c r="B2740" s="1">
        <f ca="1">IFERROR(__xludf.DUMMYFUNCTION("""COMPUTED_VALUE"""),603.5)</f>
        <v>603.5</v>
      </c>
      <c r="C2740" s="1">
        <f ca="1">IFERROR(__xludf.DUMMYFUNCTION("""COMPUTED_VALUE"""),606.72)</f>
        <v>606.72</v>
      </c>
      <c r="D2740" s="1">
        <f ca="1">IFERROR(__xludf.DUMMYFUNCTION("""COMPUTED_VALUE"""),583.35)</f>
        <v>583.35</v>
      </c>
      <c r="E2740" s="1">
        <f ca="1">IFERROR(__xludf.DUMMYFUNCTION("""COMPUTED_VALUE"""),589.15)</f>
        <v>589.15</v>
      </c>
      <c r="F2740" s="1">
        <f ca="1">IFERROR(__xludf.DUMMYFUNCTION("""COMPUTED_VALUE"""),20603024)</f>
        <v>20603024</v>
      </c>
    </row>
    <row r="2741" spans="1:6" x14ac:dyDescent="0.35">
      <c r="A2741" s="2">
        <f ca="1">IFERROR(__xludf.DUMMYFUNCTION("""COMPUTED_VALUE"""),45982.6666666666)</f>
        <v>45982.666666666599</v>
      </c>
      <c r="B2741" s="1">
        <f ca="1">IFERROR(__xludf.DUMMYFUNCTION("""COMPUTED_VALUE"""),588.5)</f>
        <v>588.5</v>
      </c>
      <c r="C2741" s="1">
        <f ca="1">IFERROR(__xludf.DUMMYFUNCTION("""COMPUTED_VALUE"""),598.12)</f>
        <v>598.12</v>
      </c>
      <c r="D2741" s="1">
        <f ca="1">IFERROR(__xludf.DUMMYFUNCTION("""COMPUTED_VALUE"""),581.86)</f>
        <v>581.86</v>
      </c>
      <c r="E2741" s="1">
        <f ca="1">IFERROR(__xludf.DUMMYFUNCTION("""COMPUTED_VALUE"""),594.25)</f>
        <v>594.25</v>
      </c>
      <c r="F2741" s="1">
        <f ca="1">IFERROR(__xludf.DUMMYFUNCTION("""COMPUTED_VALUE"""),21052624)</f>
        <v>21052624</v>
      </c>
    </row>
    <row r="2742" spans="1:6" x14ac:dyDescent="0.35">
      <c r="A2742" s="2">
        <f ca="1">IFERROR(__xludf.DUMMYFUNCTION("""COMPUTED_VALUE"""),45985.6666666666)</f>
        <v>45985.666666666599</v>
      </c>
      <c r="B2742" s="1">
        <f ca="1">IFERROR(__xludf.DUMMYFUNCTION("""COMPUTED_VALUE"""),598.72)</f>
        <v>598.72</v>
      </c>
      <c r="C2742" s="1">
        <f ca="1">IFERROR(__xludf.DUMMYFUNCTION("""COMPUTED_VALUE"""),616.7)</f>
        <v>616.70000000000005</v>
      </c>
      <c r="D2742" s="1">
        <f ca="1">IFERROR(__xludf.DUMMYFUNCTION("""COMPUTED_VALUE"""),597.63)</f>
        <v>597.63</v>
      </c>
      <c r="E2742" s="1">
        <f ca="1">IFERROR(__xludf.DUMMYFUNCTION("""COMPUTED_VALUE"""),613.05)</f>
        <v>613.04999999999995</v>
      </c>
      <c r="F2742" s="1">
        <f ca="1">IFERROR(__xludf.DUMMYFUNCTION("""COMPUTED_VALUE"""),23241482)</f>
        <v>23241482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740"/>
  <sheetViews>
    <sheetView workbookViewId="0"/>
  </sheetViews>
  <sheetFormatPr defaultColWidth="12.59765625" defaultRowHeight="15.75" customHeight="1" x14ac:dyDescent="0.35"/>
  <cols>
    <col min="1" max="1" width="18.33203125" bestFit="1" customWidth="1"/>
  </cols>
  <sheetData>
    <row r="1" spans="1:6" x14ac:dyDescent="0.35">
      <c r="A1" s="1" t="str">
        <f ca="1">IFERROR(__xludf.DUMMYFUNCTION("GOOGLEFINANCE(""MSFT"",""all"",DATE(2015,1,1),TODAY())"),"Date")</f>
        <v>Date</v>
      </c>
      <c r="B1" s="1" t="str">
        <f ca="1">IFERROR(__xludf.DUMMYFUNCTION("""COMPUTED_VALUE"""),"Open")</f>
        <v>Open</v>
      </c>
      <c r="C1" s="1" t="str">
        <f ca="1">IFERROR(__xludf.DUMMYFUNCTION("""COMPUTED_VALUE"""),"High")</f>
        <v>High</v>
      </c>
      <c r="D1" s="1" t="str">
        <f ca="1">IFERROR(__xludf.DUMMYFUNCTION("""COMPUTED_VALUE"""),"Low")</f>
        <v>Low</v>
      </c>
      <c r="E1" s="1" t="str">
        <f ca="1">IFERROR(__xludf.DUMMYFUNCTION("""COMPUTED_VALUE"""),"Close")</f>
        <v>Close</v>
      </c>
      <c r="F1" s="1" t="str">
        <f ca="1">IFERROR(__xludf.DUMMYFUNCTION("""COMPUTED_VALUE"""),"Volume")</f>
        <v>Volume</v>
      </c>
    </row>
    <row r="2" spans="1:6" x14ac:dyDescent="0.35">
      <c r="A2" s="2">
        <f ca="1">IFERROR(__xludf.DUMMYFUNCTION("""COMPUTED_VALUE"""),42006.6666666666)</f>
        <v>42006.666666666599</v>
      </c>
      <c r="B2" s="1">
        <f ca="1">IFERROR(__xludf.DUMMYFUNCTION("""COMPUTED_VALUE"""),46.66)</f>
        <v>46.66</v>
      </c>
      <c r="C2" s="1">
        <f ca="1">IFERROR(__xludf.DUMMYFUNCTION("""COMPUTED_VALUE"""),47.42)</f>
        <v>47.42</v>
      </c>
      <c r="D2" s="1">
        <f ca="1">IFERROR(__xludf.DUMMYFUNCTION("""COMPUTED_VALUE"""),46.54)</f>
        <v>46.54</v>
      </c>
      <c r="E2" s="1">
        <f ca="1">IFERROR(__xludf.DUMMYFUNCTION("""COMPUTED_VALUE"""),46.76)</f>
        <v>46.76</v>
      </c>
      <c r="F2" s="1">
        <f ca="1">IFERROR(__xludf.DUMMYFUNCTION("""COMPUTED_VALUE"""),27913852)</f>
        <v>27913852</v>
      </c>
    </row>
    <row r="3" spans="1:6" x14ac:dyDescent="0.35">
      <c r="A3" s="2">
        <f ca="1">IFERROR(__xludf.DUMMYFUNCTION("""COMPUTED_VALUE"""),42009.6666666666)</f>
        <v>42009.666666666599</v>
      </c>
      <c r="B3" s="1">
        <f ca="1">IFERROR(__xludf.DUMMYFUNCTION("""COMPUTED_VALUE"""),46.39)</f>
        <v>46.39</v>
      </c>
      <c r="C3" s="1">
        <f ca="1">IFERROR(__xludf.DUMMYFUNCTION("""COMPUTED_VALUE"""),46.73)</f>
        <v>46.73</v>
      </c>
      <c r="D3" s="1">
        <f ca="1">IFERROR(__xludf.DUMMYFUNCTION("""COMPUTED_VALUE"""),46.25)</f>
        <v>46.25</v>
      </c>
      <c r="E3" s="1">
        <f ca="1">IFERROR(__xludf.DUMMYFUNCTION("""COMPUTED_VALUE"""),46.33)</f>
        <v>46.33</v>
      </c>
      <c r="F3" s="1">
        <f ca="1">IFERROR(__xludf.DUMMYFUNCTION("""COMPUTED_VALUE"""),39673865)</f>
        <v>39673865</v>
      </c>
    </row>
    <row r="4" spans="1:6" x14ac:dyDescent="0.35">
      <c r="A4" s="2">
        <f ca="1">IFERROR(__xludf.DUMMYFUNCTION("""COMPUTED_VALUE"""),42010.6666666666)</f>
        <v>42010.666666666599</v>
      </c>
      <c r="B4" s="1">
        <f ca="1">IFERROR(__xludf.DUMMYFUNCTION("""COMPUTED_VALUE"""),46.38)</f>
        <v>46.38</v>
      </c>
      <c r="C4" s="1">
        <f ca="1">IFERROR(__xludf.DUMMYFUNCTION("""COMPUTED_VALUE"""),46.75)</f>
        <v>46.75</v>
      </c>
      <c r="D4" s="1">
        <f ca="1">IFERROR(__xludf.DUMMYFUNCTION("""COMPUTED_VALUE"""),45.54)</f>
        <v>45.54</v>
      </c>
      <c r="E4" s="1">
        <f ca="1">IFERROR(__xludf.DUMMYFUNCTION("""COMPUTED_VALUE"""),45.65)</f>
        <v>45.65</v>
      </c>
      <c r="F4" s="1">
        <f ca="1">IFERROR(__xludf.DUMMYFUNCTION("""COMPUTED_VALUE"""),36447854)</f>
        <v>36447854</v>
      </c>
    </row>
    <row r="5" spans="1:6" x14ac:dyDescent="0.35">
      <c r="A5" s="2">
        <f ca="1">IFERROR(__xludf.DUMMYFUNCTION("""COMPUTED_VALUE"""),42011.6666666666)</f>
        <v>42011.666666666599</v>
      </c>
      <c r="B5" s="1">
        <f ca="1">IFERROR(__xludf.DUMMYFUNCTION("""COMPUTED_VALUE"""),45.98)</f>
        <v>45.98</v>
      </c>
      <c r="C5" s="1">
        <f ca="1">IFERROR(__xludf.DUMMYFUNCTION("""COMPUTED_VALUE"""),46.46)</f>
        <v>46.46</v>
      </c>
      <c r="D5" s="1">
        <f ca="1">IFERROR(__xludf.DUMMYFUNCTION("""COMPUTED_VALUE"""),45.49)</f>
        <v>45.49</v>
      </c>
      <c r="E5" s="1">
        <f ca="1">IFERROR(__xludf.DUMMYFUNCTION("""COMPUTED_VALUE"""),46.23)</f>
        <v>46.23</v>
      </c>
      <c r="F5" s="1">
        <f ca="1">IFERROR(__xludf.DUMMYFUNCTION("""COMPUTED_VALUE"""),29114061)</f>
        <v>29114061</v>
      </c>
    </row>
    <row r="6" spans="1:6" x14ac:dyDescent="0.35">
      <c r="A6" s="2">
        <f ca="1">IFERROR(__xludf.DUMMYFUNCTION("""COMPUTED_VALUE"""),42012.6666666666)</f>
        <v>42012.666666666599</v>
      </c>
      <c r="B6" s="1">
        <f ca="1">IFERROR(__xludf.DUMMYFUNCTION("""COMPUTED_VALUE"""),46.75)</f>
        <v>46.75</v>
      </c>
      <c r="C6" s="1">
        <f ca="1">IFERROR(__xludf.DUMMYFUNCTION("""COMPUTED_VALUE"""),47.75)</f>
        <v>47.75</v>
      </c>
      <c r="D6" s="1">
        <f ca="1">IFERROR(__xludf.DUMMYFUNCTION("""COMPUTED_VALUE"""),46.72)</f>
        <v>46.72</v>
      </c>
      <c r="E6" s="1">
        <f ca="1">IFERROR(__xludf.DUMMYFUNCTION("""COMPUTED_VALUE"""),47.59)</f>
        <v>47.59</v>
      </c>
      <c r="F6" s="1">
        <f ca="1">IFERROR(__xludf.DUMMYFUNCTION("""COMPUTED_VALUE"""),29645202)</f>
        <v>29645202</v>
      </c>
    </row>
    <row r="7" spans="1:6" x14ac:dyDescent="0.35">
      <c r="A7" s="2">
        <f ca="1">IFERROR(__xludf.DUMMYFUNCTION("""COMPUTED_VALUE"""),42013.6666666666)</f>
        <v>42013.666666666599</v>
      </c>
      <c r="B7" s="1">
        <f ca="1">IFERROR(__xludf.DUMMYFUNCTION("""COMPUTED_VALUE"""),47.61)</f>
        <v>47.61</v>
      </c>
      <c r="C7" s="1">
        <f ca="1">IFERROR(__xludf.DUMMYFUNCTION("""COMPUTED_VALUE"""),47.82)</f>
        <v>47.82</v>
      </c>
      <c r="D7" s="1">
        <f ca="1">IFERROR(__xludf.DUMMYFUNCTION("""COMPUTED_VALUE"""),46.9)</f>
        <v>46.9</v>
      </c>
      <c r="E7" s="1">
        <f ca="1">IFERROR(__xludf.DUMMYFUNCTION("""COMPUTED_VALUE"""),47.19)</f>
        <v>47.19</v>
      </c>
      <c r="F7" s="1">
        <f ca="1">IFERROR(__xludf.DUMMYFUNCTION("""COMPUTED_VALUE"""),23944181)</f>
        <v>23944181</v>
      </c>
    </row>
    <row r="8" spans="1:6" x14ac:dyDescent="0.35">
      <c r="A8" s="2">
        <f ca="1">IFERROR(__xludf.DUMMYFUNCTION("""COMPUTED_VALUE"""),42016.6666666666)</f>
        <v>42016.666666666599</v>
      </c>
      <c r="B8" s="1">
        <f ca="1">IFERROR(__xludf.DUMMYFUNCTION("""COMPUTED_VALUE"""),47.4)</f>
        <v>47.4</v>
      </c>
      <c r="C8" s="1">
        <f ca="1">IFERROR(__xludf.DUMMYFUNCTION("""COMPUTED_VALUE"""),47.54)</f>
        <v>47.54</v>
      </c>
      <c r="D8" s="1">
        <f ca="1">IFERROR(__xludf.DUMMYFUNCTION("""COMPUTED_VALUE"""),46.36)</f>
        <v>46.36</v>
      </c>
      <c r="E8" s="1">
        <f ca="1">IFERROR(__xludf.DUMMYFUNCTION("""COMPUTED_VALUE"""),46.6)</f>
        <v>46.6</v>
      </c>
      <c r="F8" s="1">
        <f ca="1">IFERROR(__xludf.DUMMYFUNCTION("""COMPUTED_VALUE"""),23651887)</f>
        <v>23651887</v>
      </c>
    </row>
    <row r="9" spans="1:6" x14ac:dyDescent="0.35">
      <c r="A9" s="2">
        <f ca="1">IFERROR(__xludf.DUMMYFUNCTION("""COMPUTED_VALUE"""),42017.6666666666)</f>
        <v>42017.666666666599</v>
      </c>
      <c r="B9" s="1">
        <f ca="1">IFERROR(__xludf.DUMMYFUNCTION("""COMPUTED_VALUE"""),46.97)</f>
        <v>46.97</v>
      </c>
      <c r="C9" s="1">
        <f ca="1">IFERROR(__xludf.DUMMYFUNCTION("""COMPUTED_VALUE"""),47.91)</f>
        <v>47.91</v>
      </c>
      <c r="D9" s="1">
        <f ca="1">IFERROR(__xludf.DUMMYFUNCTION("""COMPUTED_VALUE"""),46.06)</f>
        <v>46.06</v>
      </c>
      <c r="E9" s="1">
        <f ca="1">IFERROR(__xludf.DUMMYFUNCTION("""COMPUTED_VALUE"""),46.36)</f>
        <v>46.36</v>
      </c>
      <c r="F9" s="1">
        <f ca="1">IFERROR(__xludf.DUMMYFUNCTION("""COMPUTED_VALUE"""),35270601)</f>
        <v>35270601</v>
      </c>
    </row>
    <row r="10" spans="1:6" x14ac:dyDescent="0.35">
      <c r="A10" s="2">
        <f ca="1">IFERROR(__xludf.DUMMYFUNCTION("""COMPUTED_VALUE"""),42018.6666666666)</f>
        <v>42018.666666666599</v>
      </c>
      <c r="B10" s="1">
        <f ca="1">IFERROR(__xludf.DUMMYFUNCTION("""COMPUTED_VALUE"""),45.96)</f>
        <v>45.96</v>
      </c>
      <c r="C10" s="1">
        <f ca="1">IFERROR(__xludf.DUMMYFUNCTION("""COMPUTED_VALUE"""),46.24)</f>
        <v>46.24</v>
      </c>
      <c r="D10" s="1">
        <f ca="1">IFERROR(__xludf.DUMMYFUNCTION("""COMPUTED_VALUE"""),45.62)</f>
        <v>45.62</v>
      </c>
      <c r="E10" s="1">
        <f ca="1">IFERROR(__xludf.DUMMYFUNCTION("""COMPUTED_VALUE"""),45.96)</f>
        <v>45.96</v>
      </c>
      <c r="F10" s="1">
        <f ca="1">IFERROR(__xludf.DUMMYFUNCTION("""COMPUTED_VALUE"""),29719580)</f>
        <v>29719580</v>
      </c>
    </row>
    <row r="11" spans="1:6" x14ac:dyDescent="0.35">
      <c r="A11" s="2">
        <f ca="1">IFERROR(__xludf.DUMMYFUNCTION("""COMPUTED_VALUE"""),42019.6666666666)</f>
        <v>42019.666666666599</v>
      </c>
      <c r="B11" s="1">
        <f ca="1">IFERROR(__xludf.DUMMYFUNCTION("""COMPUTED_VALUE"""),46.23)</f>
        <v>46.23</v>
      </c>
      <c r="C11" s="1">
        <f ca="1">IFERROR(__xludf.DUMMYFUNCTION("""COMPUTED_VALUE"""),46.38)</f>
        <v>46.38</v>
      </c>
      <c r="D11" s="1">
        <f ca="1">IFERROR(__xludf.DUMMYFUNCTION("""COMPUTED_VALUE"""),45.41)</f>
        <v>45.41</v>
      </c>
      <c r="E11" s="1">
        <f ca="1">IFERROR(__xludf.DUMMYFUNCTION("""COMPUTED_VALUE"""),45.48)</f>
        <v>45.48</v>
      </c>
      <c r="F11" s="1">
        <f ca="1">IFERROR(__xludf.DUMMYFUNCTION("""COMPUTED_VALUE"""),32750779)</f>
        <v>32750779</v>
      </c>
    </row>
    <row r="12" spans="1:6" x14ac:dyDescent="0.35">
      <c r="A12" s="2">
        <f ca="1">IFERROR(__xludf.DUMMYFUNCTION("""COMPUTED_VALUE"""),42020.6666666666)</f>
        <v>42020.666666666599</v>
      </c>
      <c r="B12" s="1">
        <f ca="1">IFERROR(__xludf.DUMMYFUNCTION("""COMPUTED_VALUE"""),45.31)</f>
        <v>45.31</v>
      </c>
      <c r="C12" s="1">
        <f ca="1">IFERROR(__xludf.DUMMYFUNCTION("""COMPUTED_VALUE"""),46.28)</f>
        <v>46.28</v>
      </c>
      <c r="D12" s="1">
        <f ca="1">IFERROR(__xludf.DUMMYFUNCTION("""COMPUTED_VALUE"""),45.17)</f>
        <v>45.17</v>
      </c>
      <c r="E12" s="1">
        <f ca="1">IFERROR(__xludf.DUMMYFUNCTION("""COMPUTED_VALUE"""),46.24)</f>
        <v>46.24</v>
      </c>
      <c r="F12" s="1">
        <f ca="1">IFERROR(__xludf.DUMMYFUNCTION("""COMPUTED_VALUE"""),35695289)</f>
        <v>35695289</v>
      </c>
    </row>
    <row r="13" spans="1:6" x14ac:dyDescent="0.35">
      <c r="A13" s="2">
        <f ca="1">IFERROR(__xludf.DUMMYFUNCTION("""COMPUTED_VALUE"""),42024.6666666666)</f>
        <v>42024.666666666599</v>
      </c>
      <c r="B13" s="1">
        <f ca="1">IFERROR(__xludf.DUMMYFUNCTION("""COMPUTED_VALUE"""),46.3)</f>
        <v>46.3</v>
      </c>
      <c r="C13" s="1">
        <f ca="1">IFERROR(__xludf.DUMMYFUNCTION("""COMPUTED_VALUE"""),46.65)</f>
        <v>46.65</v>
      </c>
      <c r="D13" s="1">
        <f ca="1">IFERROR(__xludf.DUMMYFUNCTION("""COMPUTED_VALUE"""),45.57)</f>
        <v>45.57</v>
      </c>
      <c r="E13" s="1">
        <f ca="1">IFERROR(__xludf.DUMMYFUNCTION("""COMPUTED_VALUE"""),46.39)</f>
        <v>46.39</v>
      </c>
      <c r="F13" s="1">
        <f ca="1">IFERROR(__xludf.DUMMYFUNCTION("""COMPUTED_VALUE"""),36161860)</f>
        <v>36161860</v>
      </c>
    </row>
    <row r="14" spans="1:6" x14ac:dyDescent="0.35">
      <c r="A14" s="2">
        <f ca="1">IFERROR(__xludf.DUMMYFUNCTION("""COMPUTED_VALUE"""),42025.6666666666)</f>
        <v>42025.666666666599</v>
      </c>
      <c r="B14" s="1">
        <f ca="1">IFERROR(__xludf.DUMMYFUNCTION("""COMPUTED_VALUE"""),45.94)</f>
        <v>45.94</v>
      </c>
      <c r="C14" s="1">
        <f ca="1">IFERROR(__xludf.DUMMYFUNCTION("""COMPUTED_VALUE"""),46.14)</f>
        <v>46.14</v>
      </c>
      <c r="D14" s="1">
        <f ca="1">IFERROR(__xludf.DUMMYFUNCTION("""COMPUTED_VALUE"""),45.48)</f>
        <v>45.48</v>
      </c>
      <c r="E14" s="1">
        <f ca="1">IFERROR(__xludf.DUMMYFUNCTION("""COMPUTED_VALUE"""),45.92)</f>
        <v>45.92</v>
      </c>
      <c r="F14" s="1">
        <f ca="1">IFERROR(__xludf.DUMMYFUNCTION("""COMPUTED_VALUE"""),39081143)</f>
        <v>39081143</v>
      </c>
    </row>
    <row r="15" spans="1:6" x14ac:dyDescent="0.35">
      <c r="A15" s="2">
        <f ca="1">IFERROR(__xludf.DUMMYFUNCTION("""COMPUTED_VALUE"""),42026.6666666666)</f>
        <v>42026.666666666599</v>
      </c>
      <c r="B15" s="1">
        <f ca="1">IFERROR(__xludf.DUMMYFUNCTION("""COMPUTED_VALUE"""),46.38)</f>
        <v>46.38</v>
      </c>
      <c r="C15" s="1">
        <f ca="1">IFERROR(__xludf.DUMMYFUNCTION("""COMPUTED_VALUE"""),47.14)</f>
        <v>47.14</v>
      </c>
      <c r="D15" s="1">
        <f ca="1">IFERROR(__xludf.DUMMYFUNCTION("""COMPUTED_VALUE"""),46.08)</f>
        <v>46.08</v>
      </c>
      <c r="E15" s="1">
        <f ca="1">IFERROR(__xludf.DUMMYFUNCTION("""COMPUTED_VALUE"""),47.13)</f>
        <v>47.13</v>
      </c>
      <c r="F15" s="1">
        <f ca="1">IFERROR(__xludf.DUMMYFUNCTION("""COMPUTED_VALUE"""),35898035)</f>
        <v>35898035</v>
      </c>
    </row>
    <row r="16" spans="1:6" x14ac:dyDescent="0.35">
      <c r="A16" s="2">
        <f ca="1">IFERROR(__xludf.DUMMYFUNCTION("""COMPUTED_VALUE"""),42027.6666666666)</f>
        <v>42027.666666666599</v>
      </c>
      <c r="B16" s="1">
        <f ca="1">IFERROR(__xludf.DUMMYFUNCTION("""COMPUTED_VALUE"""),47.36)</f>
        <v>47.36</v>
      </c>
      <c r="C16" s="1">
        <f ca="1">IFERROR(__xludf.DUMMYFUNCTION("""COMPUTED_VALUE"""),47.39)</f>
        <v>47.39</v>
      </c>
      <c r="D16" s="1">
        <f ca="1">IFERROR(__xludf.DUMMYFUNCTION("""COMPUTED_VALUE"""),46.8)</f>
        <v>46.8</v>
      </c>
      <c r="E16" s="1">
        <f ca="1">IFERROR(__xludf.DUMMYFUNCTION("""COMPUTED_VALUE"""),47.18)</f>
        <v>47.18</v>
      </c>
      <c r="F16" s="1">
        <f ca="1">IFERROR(__xludf.DUMMYFUNCTION("""COMPUTED_VALUE"""),26211594)</f>
        <v>26211594</v>
      </c>
    </row>
    <row r="17" spans="1:6" x14ac:dyDescent="0.35">
      <c r="A17" s="2">
        <f ca="1">IFERROR(__xludf.DUMMYFUNCTION("""COMPUTED_VALUE"""),42030.6666666666)</f>
        <v>42030.666666666599</v>
      </c>
      <c r="B17" s="1">
        <f ca="1">IFERROR(__xludf.DUMMYFUNCTION("""COMPUTED_VALUE"""),47)</f>
        <v>47</v>
      </c>
      <c r="C17" s="1">
        <f ca="1">IFERROR(__xludf.DUMMYFUNCTION("""COMPUTED_VALUE"""),47.13)</f>
        <v>47.13</v>
      </c>
      <c r="D17" s="1">
        <f ca="1">IFERROR(__xludf.DUMMYFUNCTION("""COMPUTED_VALUE"""),46.24)</f>
        <v>46.24</v>
      </c>
      <c r="E17" s="1">
        <f ca="1">IFERROR(__xludf.DUMMYFUNCTION("""COMPUTED_VALUE"""),47.01)</f>
        <v>47.01</v>
      </c>
      <c r="F17" s="1">
        <f ca="1">IFERROR(__xludf.DUMMYFUNCTION("""COMPUTED_VALUE"""),42525530)</f>
        <v>42525530</v>
      </c>
    </row>
    <row r="18" spans="1:6" x14ac:dyDescent="0.35">
      <c r="A18" s="2">
        <f ca="1">IFERROR(__xludf.DUMMYFUNCTION("""COMPUTED_VALUE"""),42031.6666666666)</f>
        <v>42031.666666666599</v>
      </c>
      <c r="B18" s="1">
        <f ca="1">IFERROR(__xludf.DUMMYFUNCTION("""COMPUTED_VALUE"""),42.95)</f>
        <v>42.95</v>
      </c>
      <c r="C18" s="1">
        <f ca="1">IFERROR(__xludf.DUMMYFUNCTION("""COMPUTED_VALUE"""),43.2)</f>
        <v>43.2</v>
      </c>
      <c r="D18" s="1">
        <f ca="1">IFERROR(__xludf.DUMMYFUNCTION("""COMPUTED_VALUE"""),42.11)</f>
        <v>42.11</v>
      </c>
      <c r="E18" s="1">
        <f ca="1">IFERROR(__xludf.DUMMYFUNCTION("""COMPUTED_VALUE"""),42.66)</f>
        <v>42.66</v>
      </c>
      <c r="F18" s="1">
        <f ca="1">IFERROR(__xludf.DUMMYFUNCTION("""COMPUTED_VALUE"""),169163953)</f>
        <v>169163953</v>
      </c>
    </row>
    <row r="19" spans="1:6" x14ac:dyDescent="0.35">
      <c r="A19" s="2">
        <f ca="1">IFERROR(__xludf.DUMMYFUNCTION("""COMPUTED_VALUE"""),42032.6666666666)</f>
        <v>42032.666666666599</v>
      </c>
      <c r="B19" s="1">
        <f ca="1">IFERROR(__xludf.DUMMYFUNCTION("""COMPUTED_VALUE"""),42.74)</f>
        <v>42.74</v>
      </c>
      <c r="C19" s="1">
        <f ca="1">IFERROR(__xludf.DUMMYFUNCTION("""COMPUTED_VALUE"""),42.79)</f>
        <v>42.79</v>
      </c>
      <c r="D19" s="1">
        <f ca="1">IFERROR(__xludf.DUMMYFUNCTION("""COMPUTED_VALUE"""),41.16)</f>
        <v>41.16</v>
      </c>
      <c r="E19" s="1">
        <f ca="1">IFERROR(__xludf.DUMMYFUNCTION("""COMPUTED_VALUE"""),41.19)</f>
        <v>41.19</v>
      </c>
      <c r="F19" s="1">
        <f ca="1">IFERROR(__xludf.DUMMYFUNCTION("""COMPUTED_VALUE"""),84507078)</f>
        <v>84507078</v>
      </c>
    </row>
    <row r="20" spans="1:6" x14ac:dyDescent="0.35">
      <c r="A20" s="2">
        <f ca="1">IFERROR(__xludf.DUMMYFUNCTION("""COMPUTED_VALUE"""),42033.6666666666)</f>
        <v>42033.666666666599</v>
      </c>
      <c r="B20" s="1">
        <f ca="1">IFERROR(__xludf.DUMMYFUNCTION("""COMPUTED_VALUE"""),40.93)</f>
        <v>40.93</v>
      </c>
      <c r="C20" s="1">
        <f ca="1">IFERROR(__xludf.DUMMYFUNCTION("""COMPUTED_VALUE"""),42.12)</f>
        <v>42.12</v>
      </c>
      <c r="D20" s="1">
        <f ca="1">IFERROR(__xludf.DUMMYFUNCTION("""COMPUTED_VALUE"""),40.79)</f>
        <v>40.79</v>
      </c>
      <c r="E20" s="1">
        <f ca="1">IFERROR(__xludf.DUMMYFUNCTION("""COMPUTED_VALUE"""),42.01)</f>
        <v>42.01</v>
      </c>
      <c r="F20" s="1">
        <f ca="1">IFERROR(__xludf.DUMMYFUNCTION("""COMPUTED_VALUE"""),63585273)</f>
        <v>63585273</v>
      </c>
    </row>
    <row r="21" spans="1:6" x14ac:dyDescent="0.35">
      <c r="A21" s="2">
        <f ca="1">IFERROR(__xludf.DUMMYFUNCTION("""COMPUTED_VALUE"""),42034.6666666666)</f>
        <v>42034.666666666599</v>
      </c>
      <c r="B21" s="1">
        <f ca="1">IFERROR(__xludf.DUMMYFUNCTION("""COMPUTED_VALUE"""),41.55)</f>
        <v>41.55</v>
      </c>
      <c r="C21" s="1">
        <f ca="1">IFERROR(__xludf.DUMMYFUNCTION("""COMPUTED_VALUE"""),41.58)</f>
        <v>41.58</v>
      </c>
      <c r="D21" s="1">
        <f ca="1">IFERROR(__xludf.DUMMYFUNCTION("""COMPUTED_VALUE"""),40.35)</f>
        <v>40.35</v>
      </c>
      <c r="E21" s="1">
        <f ca="1">IFERROR(__xludf.DUMMYFUNCTION("""COMPUTED_VALUE"""),40.4)</f>
        <v>40.4</v>
      </c>
      <c r="F21" s="1">
        <f ca="1">IFERROR(__xludf.DUMMYFUNCTION("""COMPUTED_VALUE"""),78004944)</f>
        <v>78004944</v>
      </c>
    </row>
    <row r="22" spans="1:6" x14ac:dyDescent="0.35">
      <c r="A22" s="2">
        <f ca="1">IFERROR(__xludf.DUMMYFUNCTION("""COMPUTED_VALUE"""),42037.6666666666)</f>
        <v>42037.666666666599</v>
      </c>
      <c r="B22" s="1">
        <f ca="1">IFERROR(__xludf.DUMMYFUNCTION("""COMPUTED_VALUE"""),40.59)</f>
        <v>40.590000000000003</v>
      </c>
      <c r="C22" s="1">
        <f ca="1">IFERROR(__xludf.DUMMYFUNCTION("""COMPUTED_VALUE"""),41.37)</f>
        <v>41.37</v>
      </c>
      <c r="D22" s="1">
        <f ca="1">IFERROR(__xludf.DUMMYFUNCTION("""COMPUTED_VALUE"""),40.23)</f>
        <v>40.229999999999997</v>
      </c>
      <c r="E22" s="1">
        <f ca="1">IFERROR(__xludf.DUMMYFUNCTION("""COMPUTED_VALUE"""),41.28)</f>
        <v>41.28</v>
      </c>
      <c r="F22" s="1">
        <f ca="1">IFERROR(__xludf.DUMMYFUNCTION("""COMPUTED_VALUE"""),50352532)</f>
        <v>50352532</v>
      </c>
    </row>
    <row r="23" spans="1:6" x14ac:dyDescent="0.35">
      <c r="A23" s="2">
        <f ca="1">IFERROR(__xludf.DUMMYFUNCTION("""COMPUTED_VALUE"""),42038.6666666666)</f>
        <v>42038.666666666599</v>
      </c>
      <c r="B23" s="1">
        <f ca="1">IFERROR(__xludf.DUMMYFUNCTION("""COMPUTED_VALUE"""),41.63)</f>
        <v>41.63</v>
      </c>
      <c r="C23" s="1">
        <f ca="1">IFERROR(__xludf.DUMMYFUNCTION("""COMPUTED_VALUE"""),41.93)</f>
        <v>41.93</v>
      </c>
      <c r="D23" s="1">
        <f ca="1">IFERROR(__xludf.DUMMYFUNCTION("""COMPUTED_VALUE"""),41.05)</f>
        <v>41.05</v>
      </c>
      <c r="E23" s="1">
        <f ca="1">IFERROR(__xludf.DUMMYFUNCTION("""COMPUTED_VALUE"""),41.6)</f>
        <v>41.6</v>
      </c>
      <c r="F23" s="1">
        <f ca="1">IFERROR(__xludf.DUMMYFUNCTION("""COMPUTED_VALUE"""),52082448)</f>
        <v>52082448</v>
      </c>
    </row>
    <row r="24" spans="1:6" x14ac:dyDescent="0.35">
      <c r="A24" s="2">
        <f ca="1">IFERROR(__xludf.DUMMYFUNCTION("""COMPUTED_VALUE"""),42039.6666666666)</f>
        <v>42039.666666666599</v>
      </c>
      <c r="B24" s="1">
        <f ca="1">IFERROR(__xludf.DUMMYFUNCTION("""COMPUTED_VALUE"""),41.94)</f>
        <v>41.94</v>
      </c>
      <c r="C24" s="1">
        <f ca="1">IFERROR(__xludf.DUMMYFUNCTION("""COMPUTED_VALUE"""),42.21)</f>
        <v>42.21</v>
      </c>
      <c r="D24" s="1">
        <f ca="1">IFERROR(__xludf.DUMMYFUNCTION("""COMPUTED_VALUE"""),41.36)</f>
        <v>41.36</v>
      </c>
      <c r="E24" s="1">
        <f ca="1">IFERROR(__xludf.DUMMYFUNCTION("""COMPUTED_VALUE"""),41.84)</f>
        <v>41.84</v>
      </c>
      <c r="F24" s="1">
        <f ca="1">IFERROR(__xludf.DUMMYFUNCTION("""COMPUTED_VALUE"""),41614812)</f>
        <v>41614812</v>
      </c>
    </row>
    <row r="25" spans="1:6" x14ac:dyDescent="0.35">
      <c r="A25" s="2">
        <f ca="1">IFERROR(__xludf.DUMMYFUNCTION("""COMPUTED_VALUE"""),42040.6666666666)</f>
        <v>42040.666666666599</v>
      </c>
      <c r="B25" s="1">
        <f ca="1">IFERROR(__xludf.DUMMYFUNCTION("""COMPUTED_VALUE"""),42.22)</f>
        <v>42.22</v>
      </c>
      <c r="C25" s="1">
        <f ca="1">IFERROR(__xludf.DUMMYFUNCTION("""COMPUTED_VALUE"""),42.64)</f>
        <v>42.64</v>
      </c>
      <c r="D25" s="1">
        <f ca="1">IFERROR(__xludf.DUMMYFUNCTION("""COMPUTED_VALUE"""),41.86)</f>
        <v>41.86</v>
      </c>
      <c r="E25" s="1">
        <f ca="1">IFERROR(__xludf.DUMMYFUNCTION("""COMPUTED_VALUE"""),42.45)</f>
        <v>42.45</v>
      </c>
      <c r="F25" s="1">
        <f ca="1">IFERROR(__xludf.DUMMYFUNCTION("""COMPUTED_VALUE"""),36548168)</f>
        <v>36548168</v>
      </c>
    </row>
    <row r="26" spans="1:6" x14ac:dyDescent="0.35">
      <c r="A26" s="2">
        <f ca="1">IFERROR(__xludf.DUMMYFUNCTION("""COMPUTED_VALUE"""),42041.6666666666)</f>
        <v>42041.666666666599</v>
      </c>
      <c r="B26" s="1">
        <f ca="1">IFERROR(__xludf.DUMMYFUNCTION("""COMPUTED_VALUE"""),42.68)</f>
        <v>42.68</v>
      </c>
      <c r="C26" s="1">
        <f ca="1">IFERROR(__xludf.DUMMYFUNCTION("""COMPUTED_VALUE"""),42.79)</f>
        <v>42.79</v>
      </c>
      <c r="D26" s="1">
        <f ca="1">IFERROR(__xludf.DUMMYFUNCTION("""COMPUTED_VALUE"""),42.15)</f>
        <v>42.15</v>
      </c>
      <c r="E26" s="1">
        <f ca="1">IFERROR(__xludf.DUMMYFUNCTION("""COMPUTED_VALUE"""),42.41)</f>
        <v>42.41</v>
      </c>
      <c r="F26" s="1">
        <f ca="1">IFERROR(__xludf.DUMMYFUNCTION("""COMPUTED_VALUE"""),34616554)</f>
        <v>34616554</v>
      </c>
    </row>
    <row r="27" spans="1:6" x14ac:dyDescent="0.35">
      <c r="A27" s="2">
        <f ca="1">IFERROR(__xludf.DUMMYFUNCTION("""COMPUTED_VALUE"""),42044.6666666666)</f>
        <v>42044.666666666599</v>
      </c>
      <c r="B27" s="1">
        <f ca="1">IFERROR(__xludf.DUMMYFUNCTION("""COMPUTED_VALUE"""),42.24)</f>
        <v>42.24</v>
      </c>
      <c r="C27" s="1">
        <f ca="1">IFERROR(__xludf.DUMMYFUNCTION("""COMPUTED_VALUE"""),42.74)</f>
        <v>42.74</v>
      </c>
      <c r="D27" s="1">
        <f ca="1">IFERROR(__xludf.DUMMYFUNCTION("""COMPUTED_VALUE"""),42.21)</f>
        <v>42.21</v>
      </c>
      <c r="E27" s="1">
        <f ca="1">IFERROR(__xludf.DUMMYFUNCTION("""COMPUTED_VALUE"""),42.36)</f>
        <v>42.36</v>
      </c>
      <c r="F27" s="1">
        <f ca="1">IFERROR(__xludf.DUMMYFUNCTION("""COMPUTED_VALUE"""),31381061)</f>
        <v>31381061</v>
      </c>
    </row>
    <row r="28" spans="1:6" x14ac:dyDescent="0.35">
      <c r="A28" s="2">
        <f ca="1">IFERROR(__xludf.DUMMYFUNCTION("""COMPUTED_VALUE"""),42045.6666666666)</f>
        <v>42045.666666666599</v>
      </c>
      <c r="B28" s="1">
        <f ca="1">IFERROR(__xludf.DUMMYFUNCTION("""COMPUTED_VALUE"""),42.74)</f>
        <v>42.74</v>
      </c>
      <c r="C28" s="1">
        <f ca="1">IFERROR(__xludf.DUMMYFUNCTION("""COMPUTED_VALUE"""),42.77)</f>
        <v>42.77</v>
      </c>
      <c r="D28" s="1">
        <f ca="1">IFERROR(__xludf.DUMMYFUNCTION("""COMPUTED_VALUE"""),42.18)</f>
        <v>42.18</v>
      </c>
      <c r="E28" s="1">
        <f ca="1">IFERROR(__xludf.DUMMYFUNCTION("""COMPUTED_VALUE"""),42.6)</f>
        <v>42.6</v>
      </c>
      <c r="F28" s="1">
        <f ca="1">IFERROR(__xludf.DUMMYFUNCTION("""COMPUTED_VALUE"""),29670676)</f>
        <v>29670676</v>
      </c>
    </row>
    <row r="29" spans="1:6" x14ac:dyDescent="0.35">
      <c r="A29" s="2">
        <f ca="1">IFERROR(__xludf.DUMMYFUNCTION("""COMPUTED_VALUE"""),42046.6666666666)</f>
        <v>42046.666666666599</v>
      </c>
      <c r="B29" s="1">
        <f ca="1">IFERROR(__xludf.DUMMYFUNCTION("""COMPUTED_VALUE"""),42.65)</f>
        <v>42.65</v>
      </c>
      <c r="C29" s="1">
        <f ca="1">IFERROR(__xludf.DUMMYFUNCTION("""COMPUTED_VALUE"""),42.65)</f>
        <v>42.65</v>
      </c>
      <c r="D29" s="1">
        <f ca="1">IFERROR(__xludf.DUMMYFUNCTION("""COMPUTED_VALUE"""),42.21)</f>
        <v>42.21</v>
      </c>
      <c r="E29" s="1">
        <f ca="1">IFERROR(__xludf.DUMMYFUNCTION("""COMPUTED_VALUE"""),42.38)</f>
        <v>42.38</v>
      </c>
      <c r="F29" s="1">
        <f ca="1">IFERROR(__xludf.DUMMYFUNCTION("""COMPUTED_VALUE"""),38262509)</f>
        <v>38262509</v>
      </c>
    </row>
    <row r="30" spans="1:6" x14ac:dyDescent="0.35">
      <c r="A30" s="2">
        <f ca="1">IFERROR(__xludf.DUMMYFUNCTION("""COMPUTED_VALUE"""),42047.6666666666)</f>
        <v>42047.666666666599</v>
      </c>
      <c r="B30" s="1">
        <f ca="1">IFERROR(__xludf.DUMMYFUNCTION("""COMPUTED_VALUE"""),42.66)</f>
        <v>42.66</v>
      </c>
      <c r="C30" s="1">
        <f ca="1">IFERROR(__xludf.DUMMYFUNCTION("""COMPUTED_VALUE"""),43.09)</f>
        <v>43.09</v>
      </c>
      <c r="D30" s="1">
        <f ca="1">IFERROR(__xludf.DUMMYFUNCTION("""COMPUTED_VALUE"""),42.51)</f>
        <v>42.51</v>
      </c>
      <c r="E30" s="1">
        <f ca="1">IFERROR(__xludf.DUMMYFUNCTION("""COMPUTED_VALUE"""),43.09)</f>
        <v>43.09</v>
      </c>
      <c r="F30" s="1">
        <f ca="1">IFERROR(__xludf.DUMMYFUNCTION("""COMPUTED_VALUE"""),33268831)</f>
        <v>33268831</v>
      </c>
    </row>
    <row r="31" spans="1:6" x14ac:dyDescent="0.35">
      <c r="A31" s="2">
        <f ca="1">IFERROR(__xludf.DUMMYFUNCTION("""COMPUTED_VALUE"""),42048.6666666666)</f>
        <v>42048.666666666599</v>
      </c>
      <c r="B31" s="1">
        <f ca="1">IFERROR(__xludf.DUMMYFUNCTION("""COMPUTED_VALUE"""),43.38)</f>
        <v>43.38</v>
      </c>
      <c r="C31" s="1">
        <f ca="1">IFERROR(__xludf.DUMMYFUNCTION("""COMPUTED_VALUE"""),43.87)</f>
        <v>43.87</v>
      </c>
      <c r="D31" s="1">
        <f ca="1">IFERROR(__xludf.DUMMYFUNCTION("""COMPUTED_VALUE"""),43.15)</f>
        <v>43.15</v>
      </c>
      <c r="E31" s="1">
        <f ca="1">IFERROR(__xludf.DUMMYFUNCTION("""COMPUTED_VALUE"""),43.87)</f>
        <v>43.87</v>
      </c>
      <c r="F31" s="1">
        <f ca="1">IFERROR(__xludf.DUMMYFUNCTION("""COMPUTED_VALUE"""),40264887)</f>
        <v>40264887</v>
      </c>
    </row>
    <row r="32" spans="1:6" x14ac:dyDescent="0.35">
      <c r="A32" s="2">
        <f ca="1">IFERROR(__xludf.DUMMYFUNCTION("""COMPUTED_VALUE"""),42052.6666666666)</f>
        <v>42052.666666666599</v>
      </c>
      <c r="B32" s="1">
        <f ca="1">IFERROR(__xludf.DUMMYFUNCTION("""COMPUTED_VALUE"""),43.27)</f>
        <v>43.27</v>
      </c>
      <c r="C32" s="1">
        <f ca="1">IFERROR(__xludf.DUMMYFUNCTION("""COMPUTED_VALUE"""),44)</f>
        <v>44</v>
      </c>
      <c r="D32" s="1">
        <f ca="1">IFERROR(__xludf.DUMMYFUNCTION("""COMPUTED_VALUE"""),43.19)</f>
        <v>43.19</v>
      </c>
      <c r="E32" s="1">
        <f ca="1">IFERROR(__xludf.DUMMYFUNCTION("""COMPUTED_VALUE"""),43.58)</f>
        <v>43.58</v>
      </c>
      <c r="F32" s="1">
        <f ca="1">IFERROR(__xludf.DUMMYFUNCTION("""COMPUTED_VALUE"""),33695749)</f>
        <v>33695749</v>
      </c>
    </row>
    <row r="33" spans="1:6" x14ac:dyDescent="0.35">
      <c r="A33" s="2">
        <f ca="1">IFERROR(__xludf.DUMMYFUNCTION("""COMPUTED_VALUE"""),42053.6666666666)</f>
        <v>42053.666666666599</v>
      </c>
      <c r="B33" s="1">
        <f ca="1">IFERROR(__xludf.DUMMYFUNCTION("""COMPUTED_VALUE"""),43.63)</f>
        <v>43.63</v>
      </c>
      <c r="C33" s="1">
        <f ca="1">IFERROR(__xludf.DUMMYFUNCTION("""COMPUTED_VALUE"""),43.7)</f>
        <v>43.7</v>
      </c>
      <c r="D33" s="1">
        <f ca="1">IFERROR(__xludf.DUMMYFUNCTION("""COMPUTED_VALUE"""),43.39)</f>
        <v>43.39</v>
      </c>
      <c r="E33" s="1">
        <f ca="1">IFERROR(__xludf.DUMMYFUNCTION("""COMPUTED_VALUE"""),43.53)</f>
        <v>43.53</v>
      </c>
      <c r="F33" s="1">
        <f ca="1">IFERROR(__xludf.DUMMYFUNCTION("""COMPUTED_VALUE"""),27111657)</f>
        <v>27111657</v>
      </c>
    </row>
    <row r="34" spans="1:6" x14ac:dyDescent="0.35">
      <c r="A34" s="2">
        <f ca="1">IFERROR(__xludf.DUMMYFUNCTION("""COMPUTED_VALUE"""),42054.6666666666)</f>
        <v>42054.666666666599</v>
      </c>
      <c r="B34" s="1">
        <f ca="1">IFERROR(__xludf.DUMMYFUNCTION("""COMPUTED_VALUE"""),43.18)</f>
        <v>43.18</v>
      </c>
      <c r="C34" s="1">
        <f ca="1">IFERROR(__xludf.DUMMYFUNCTION("""COMPUTED_VALUE"""),43.53)</f>
        <v>43.53</v>
      </c>
      <c r="D34" s="1">
        <f ca="1">IFERROR(__xludf.DUMMYFUNCTION("""COMPUTED_VALUE"""),43.05)</f>
        <v>43.05</v>
      </c>
      <c r="E34" s="1">
        <f ca="1">IFERROR(__xludf.DUMMYFUNCTION("""COMPUTED_VALUE"""),43.5)</f>
        <v>43.5</v>
      </c>
      <c r="F34" s="1">
        <f ca="1">IFERROR(__xludf.DUMMYFUNCTION("""COMPUTED_VALUE"""),27603420)</f>
        <v>27603420</v>
      </c>
    </row>
    <row r="35" spans="1:6" x14ac:dyDescent="0.35">
      <c r="A35" s="2">
        <f ca="1">IFERROR(__xludf.DUMMYFUNCTION("""COMPUTED_VALUE"""),42055.6666666666)</f>
        <v>42055.666666666599</v>
      </c>
      <c r="B35" s="1">
        <f ca="1">IFERROR(__xludf.DUMMYFUNCTION("""COMPUTED_VALUE"""),43.5)</f>
        <v>43.5</v>
      </c>
      <c r="C35" s="1">
        <f ca="1">IFERROR(__xludf.DUMMYFUNCTION("""COMPUTED_VALUE"""),43.88)</f>
        <v>43.88</v>
      </c>
      <c r="D35" s="1">
        <f ca="1">IFERROR(__xludf.DUMMYFUNCTION("""COMPUTED_VALUE"""),43.29)</f>
        <v>43.29</v>
      </c>
      <c r="E35" s="1">
        <f ca="1">IFERROR(__xludf.DUMMYFUNCTION("""COMPUTED_VALUE"""),43.86)</f>
        <v>43.86</v>
      </c>
      <c r="F35" s="1">
        <f ca="1">IFERROR(__xludf.DUMMYFUNCTION("""COMPUTED_VALUE"""),29721133)</f>
        <v>29721133</v>
      </c>
    </row>
    <row r="36" spans="1:6" x14ac:dyDescent="0.35">
      <c r="A36" s="2">
        <f ca="1">IFERROR(__xludf.DUMMYFUNCTION("""COMPUTED_VALUE"""),42058.6666666666)</f>
        <v>42058.666666666599</v>
      </c>
      <c r="B36" s="1">
        <f ca="1">IFERROR(__xludf.DUMMYFUNCTION("""COMPUTED_VALUE"""),43.7)</f>
        <v>43.7</v>
      </c>
      <c r="C36" s="1">
        <f ca="1">IFERROR(__xludf.DUMMYFUNCTION("""COMPUTED_VALUE"""),44.19)</f>
        <v>44.19</v>
      </c>
      <c r="D36" s="1">
        <f ca="1">IFERROR(__xludf.DUMMYFUNCTION("""COMPUTED_VALUE"""),43.65)</f>
        <v>43.65</v>
      </c>
      <c r="E36" s="1">
        <f ca="1">IFERROR(__xludf.DUMMYFUNCTION("""COMPUTED_VALUE"""),44.15)</f>
        <v>44.15</v>
      </c>
      <c r="F36" s="1">
        <f ca="1">IFERROR(__xludf.DUMMYFUNCTION("""COMPUTED_VALUE"""),32518754)</f>
        <v>32518754</v>
      </c>
    </row>
    <row r="37" spans="1:6" x14ac:dyDescent="0.35">
      <c r="A37" s="2">
        <f ca="1">IFERROR(__xludf.DUMMYFUNCTION("""COMPUTED_VALUE"""),42059.6666666666)</f>
        <v>42059.666666666599</v>
      </c>
      <c r="B37" s="1">
        <f ca="1">IFERROR(__xludf.DUMMYFUNCTION("""COMPUTED_VALUE"""),44.15)</f>
        <v>44.15</v>
      </c>
      <c r="C37" s="1">
        <f ca="1">IFERROR(__xludf.DUMMYFUNCTION("""COMPUTED_VALUE"""),44.3)</f>
        <v>44.3</v>
      </c>
      <c r="D37" s="1">
        <f ca="1">IFERROR(__xludf.DUMMYFUNCTION("""COMPUTED_VALUE"""),43.92)</f>
        <v>43.92</v>
      </c>
      <c r="E37" s="1">
        <f ca="1">IFERROR(__xludf.DUMMYFUNCTION("""COMPUTED_VALUE"""),44.09)</f>
        <v>44.09</v>
      </c>
      <c r="F37" s="1">
        <f ca="1">IFERROR(__xludf.DUMMYFUNCTION("""COMPUTED_VALUE"""),25271747)</f>
        <v>25271747</v>
      </c>
    </row>
    <row r="38" spans="1:6" x14ac:dyDescent="0.35">
      <c r="A38" s="2">
        <f ca="1">IFERROR(__xludf.DUMMYFUNCTION("""COMPUTED_VALUE"""),42060.6666666666)</f>
        <v>42060.666666666599</v>
      </c>
      <c r="B38" s="1">
        <f ca="1">IFERROR(__xludf.DUMMYFUNCTION("""COMPUTED_VALUE"""),43.95)</f>
        <v>43.95</v>
      </c>
      <c r="C38" s="1">
        <f ca="1">IFERROR(__xludf.DUMMYFUNCTION("""COMPUTED_VALUE"""),44.09)</f>
        <v>44.09</v>
      </c>
      <c r="D38" s="1">
        <f ca="1">IFERROR(__xludf.DUMMYFUNCTION("""COMPUTED_VALUE"""),43.8)</f>
        <v>43.8</v>
      </c>
      <c r="E38" s="1">
        <f ca="1">IFERROR(__xludf.DUMMYFUNCTION("""COMPUTED_VALUE"""),43.99)</f>
        <v>43.99</v>
      </c>
      <c r="F38" s="1">
        <f ca="1">IFERROR(__xludf.DUMMYFUNCTION("""COMPUTED_VALUE"""),29759820)</f>
        <v>29759820</v>
      </c>
    </row>
    <row r="39" spans="1:6" x14ac:dyDescent="0.35">
      <c r="A39" s="2">
        <f ca="1">IFERROR(__xludf.DUMMYFUNCTION("""COMPUTED_VALUE"""),42061.6666666666)</f>
        <v>42061.666666666599</v>
      </c>
      <c r="B39" s="1">
        <f ca="1">IFERROR(__xludf.DUMMYFUNCTION("""COMPUTED_VALUE"""),43.99)</f>
        <v>43.99</v>
      </c>
      <c r="C39" s="1">
        <f ca="1">IFERROR(__xludf.DUMMYFUNCTION("""COMPUTED_VALUE"""),44.23)</f>
        <v>44.23</v>
      </c>
      <c r="D39" s="1">
        <f ca="1">IFERROR(__xludf.DUMMYFUNCTION("""COMPUTED_VALUE"""),43.89)</f>
        <v>43.89</v>
      </c>
      <c r="E39" s="1">
        <f ca="1">IFERROR(__xludf.DUMMYFUNCTION("""COMPUTED_VALUE"""),44.06)</f>
        <v>44.06</v>
      </c>
      <c r="F39" s="1">
        <f ca="1">IFERROR(__xludf.DUMMYFUNCTION("""COMPUTED_VALUE"""),28957329)</f>
        <v>28957329</v>
      </c>
    </row>
    <row r="40" spans="1:6" x14ac:dyDescent="0.35">
      <c r="A40" s="2">
        <f ca="1">IFERROR(__xludf.DUMMYFUNCTION("""COMPUTED_VALUE"""),42062.6666666666)</f>
        <v>42062.666666666599</v>
      </c>
      <c r="B40" s="1">
        <f ca="1">IFERROR(__xludf.DUMMYFUNCTION("""COMPUTED_VALUE"""),44.13)</f>
        <v>44.13</v>
      </c>
      <c r="C40" s="1">
        <f ca="1">IFERROR(__xludf.DUMMYFUNCTION("""COMPUTED_VALUE"""),44.2)</f>
        <v>44.2</v>
      </c>
      <c r="D40" s="1">
        <f ca="1">IFERROR(__xludf.DUMMYFUNCTION("""COMPUTED_VALUE"""),43.66)</f>
        <v>43.66</v>
      </c>
      <c r="E40" s="1">
        <f ca="1">IFERROR(__xludf.DUMMYFUNCTION("""COMPUTED_VALUE"""),43.85)</f>
        <v>43.85</v>
      </c>
      <c r="F40" s="1">
        <f ca="1">IFERROR(__xludf.DUMMYFUNCTION("""COMPUTED_VALUE"""),33807740)</f>
        <v>33807740</v>
      </c>
    </row>
    <row r="41" spans="1:6" x14ac:dyDescent="0.35">
      <c r="A41" s="2">
        <f ca="1">IFERROR(__xludf.DUMMYFUNCTION("""COMPUTED_VALUE"""),42065.6666666666)</f>
        <v>42065.666666666599</v>
      </c>
      <c r="B41" s="1">
        <f ca="1">IFERROR(__xludf.DUMMYFUNCTION("""COMPUTED_VALUE"""),43.67)</f>
        <v>43.67</v>
      </c>
      <c r="C41" s="1">
        <f ca="1">IFERROR(__xludf.DUMMYFUNCTION("""COMPUTED_VALUE"""),44.19)</f>
        <v>44.19</v>
      </c>
      <c r="D41" s="1">
        <f ca="1">IFERROR(__xludf.DUMMYFUNCTION("""COMPUTED_VALUE"""),43.55)</f>
        <v>43.55</v>
      </c>
      <c r="E41" s="1">
        <f ca="1">IFERROR(__xludf.DUMMYFUNCTION("""COMPUTED_VALUE"""),43.88)</f>
        <v>43.88</v>
      </c>
      <c r="F41" s="1">
        <f ca="1">IFERROR(__xludf.DUMMYFUNCTION("""COMPUTED_VALUE"""),31924049)</f>
        <v>31924049</v>
      </c>
    </row>
    <row r="42" spans="1:6" x14ac:dyDescent="0.35">
      <c r="A42" s="2">
        <f ca="1">IFERROR(__xludf.DUMMYFUNCTION("""COMPUTED_VALUE"""),42066.6666666666)</f>
        <v>42066.666666666599</v>
      </c>
      <c r="B42" s="1">
        <f ca="1">IFERROR(__xludf.DUMMYFUNCTION("""COMPUTED_VALUE"""),43.56)</f>
        <v>43.56</v>
      </c>
      <c r="C42" s="1">
        <f ca="1">IFERROR(__xludf.DUMMYFUNCTION("""COMPUTED_VALUE"""),43.83)</f>
        <v>43.83</v>
      </c>
      <c r="D42" s="1">
        <f ca="1">IFERROR(__xludf.DUMMYFUNCTION("""COMPUTED_VALUE"""),43.09)</f>
        <v>43.09</v>
      </c>
      <c r="E42" s="1">
        <f ca="1">IFERROR(__xludf.DUMMYFUNCTION("""COMPUTED_VALUE"""),43.28)</f>
        <v>43.28</v>
      </c>
      <c r="F42" s="1">
        <f ca="1">IFERROR(__xludf.DUMMYFUNCTION("""COMPUTED_VALUE"""),31748648)</f>
        <v>31748648</v>
      </c>
    </row>
    <row r="43" spans="1:6" x14ac:dyDescent="0.35">
      <c r="A43" s="2">
        <f ca="1">IFERROR(__xludf.DUMMYFUNCTION("""COMPUTED_VALUE"""),42067.6666666666)</f>
        <v>42067.666666666599</v>
      </c>
      <c r="B43" s="1">
        <f ca="1">IFERROR(__xludf.DUMMYFUNCTION("""COMPUTED_VALUE"""),43.01)</f>
        <v>43.01</v>
      </c>
      <c r="C43" s="1">
        <f ca="1">IFERROR(__xludf.DUMMYFUNCTION("""COMPUTED_VALUE"""),43.21)</f>
        <v>43.21</v>
      </c>
      <c r="D43" s="1">
        <f ca="1">IFERROR(__xludf.DUMMYFUNCTION("""COMPUTED_VALUE"""),42.88)</f>
        <v>42.88</v>
      </c>
      <c r="E43" s="1">
        <f ca="1">IFERROR(__xludf.DUMMYFUNCTION("""COMPUTED_VALUE"""),43.06)</f>
        <v>43.06</v>
      </c>
      <c r="F43" s="1">
        <f ca="1">IFERROR(__xludf.DUMMYFUNCTION("""COMPUTED_VALUE"""),25748692)</f>
        <v>25748692</v>
      </c>
    </row>
    <row r="44" spans="1:6" x14ac:dyDescent="0.35">
      <c r="A44" s="2">
        <f ca="1">IFERROR(__xludf.DUMMYFUNCTION("""COMPUTED_VALUE"""),42068.6666666666)</f>
        <v>42068.666666666599</v>
      </c>
      <c r="B44" s="1">
        <f ca="1">IFERROR(__xludf.DUMMYFUNCTION("""COMPUTED_VALUE"""),43.07)</f>
        <v>43.07</v>
      </c>
      <c r="C44" s="1">
        <f ca="1">IFERROR(__xludf.DUMMYFUNCTION("""COMPUTED_VALUE"""),43.24)</f>
        <v>43.24</v>
      </c>
      <c r="D44" s="1">
        <f ca="1">IFERROR(__xludf.DUMMYFUNCTION("""COMPUTED_VALUE"""),42.82)</f>
        <v>42.82</v>
      </c>
      <c r="E44" s="1">
        <f ca="1">IFERROR(__xludf.DUMMYFUNCTION("""COMPUTED_VALUE"""),43.11)</f>
        <v>43.11</v>
      </c>
      <c r="F44" s="1">
        <f ca="1">IFERROR(__xludf.DUMMYFUNCTION("""COMPUTED_VALUE"""),23193541)</f>
        <v>23193541</v>
      </c>
    </row>
    <row r="45" spans="1:6" x14ac:dyDescent="0.35">
      <c r="A45" s="2">
        <f ca="1">IFERROR(__xludf.DUMMYFUNCTION("""COMPUTED_VALUE"""),42069.6666666666)</f>
        <v>42069.666666666599</v>
      </c>
      <c r="B45" s="1">
        <f ca="1">IFERROR(__xludf.DUMMYFUNCTION("""COMPUTED_VALUE"""),43)</f>
        <v>43</v>
      </c>
      <c r="C45" s="1">
        <f ca="1">IFERROR(__xludf.DUMMYFUNCTION("""COMPUTED_VALUE"""),43.11)</f>
        <v>43.11</v>
      </c>
      <c r="D45" s="1">
        <f ca="1">IFERROR(__xludf.DUMMYFUNCTION("""COMPUTED_VALUE"""),42.15)</f>
        <v>42.15</v>
      </c>
      <c r="E45" s="1">
        <f ca="1">IFERROR(__xludf.DUMMYFUNCTION("""COMPUTED_VALUE"""),42.36)</f>
        <v>42.36</v>
      </c>
      <c r="F45" s="1">
        <f ca="1">IFERROR(__xludf.DUMMYFUNCTION("""COMPUTED_VALUE"""),36248785)</f>
        <v>36248785</v>
      </c>
    </row>
    <row r="46" spans="1:6" x14ac:dyDescent="0.35">
      <c r="A46" s="2">
        <f ca="1">IFERROR(__xludf.DUMMYFUNCTION("""COMPUTED_VALUE"""),42072.6666666666)</f>
        <v>42072.666666666599</v>
      </c>
      <c r="B46" s="1">
        <f ca="1">IFERROR(__xludf.DUMMYFUNCTION("""COMPUTED_VALUE"""),42.19)</f>
        <v>42.19</v>
      </c>
      <c r="C46" s="1">
        <f ca="1">IFERROR(__xludf.DUMMYFUNCTION("""COMPUTED_VALUE"""),43.13)</f>
        <v>43.13</v>
      </c>
      <c r="D46" s="1">
        <f ca="1">IFERROR(__xludf.DUMMYFUNCTION("""COMPUTED_VALUE"""),42.19)</f>
        <v>42.19</v>
      </c>
      <c r="E46" s="1">
        <f ca="1">IFERROR(__xludf.DUMMYFUNCTION("""COMPUTED_VALUE"""),42.85)</f>
        <v>42.85</v>
      </c>
      <c r="F46" s="1">
        <f ca="1">IFERROR(__xludf.DUMMYFUNCTION("""COMPUTED_VALUE"""),32107957)</f>
        <v>32107957</v>
      </c>
    </row>
    <row r="47" spans="1:6" x14ac:dyDescent="0.35">
      <c r="A47" s="2">
        <f ca="1">IFERROR(__xludf.DUMMYFUNCTION("""COMPUTED_VALUE"""),42073.6666666666)</f>
        <v>42073.666666666599</v>
      </c>
      <c r="B47" s="1">
        <f ca="1">IFERROR(__xludf.DUMMYFUNCTION("""COMPUTED_VALUE"""),42.35)</f>
        <v>42.35</v>
      </c>
      <c r="C47" s="1">
        <f ca="1">IFERROR(__xludf.DUMMYFUNCTION("""COMPUTED_VALUE"""),42.71)</f>
        <v>42.71</v>
      </c>
      <c r="D47" s="1">
        <f ca="1">IFERROR(__xludf.DUMMYFUNCTION("""COMPUTED_VALUE"""),42.03)</f>
        <v>42.03</v>
      </c>
      <c r="E47" s="1">
        <f ca="1">IFERROR(__xludf.DUMMYFUNCTION("""COMPUTED_VALUE"""),42.03)</f>
        <v>42.03</v>
      </c>
      <c r="F47" s="1">
        <f ca="1">IFERROR(__xludf.DUMMYFUNCTION("""COMPUTED_VALUE"""),39159730)</f>
        <v>39159730</v>
      </c>
    </row>
    <row r="48" spans="1:6" x14ac:dyDescent="0.35">
      <c r="A48" s="2">
        <f ca="1">IFERROR(__xludf.DUMMYFUNCTION("""COMPUTED_VALUE"""),42074.6666666666)</f>
        <v>42074.666666666599</v>
      </c>
      <c r="B48" s="1">
        <f ca="1">IFERROR(__xludf.DUMMYFUNCTION("""COMPUTED_VALUE"""),42.31)</f>
        <v>42.31</v>
      </c>
      <c r="C48" s="1">
        <f ca="1">IFERROR(__xludf.DUMMYFUNCTION("""COMPUTED_VALUE"""),42.37)</f>
        <v>42.37</v>
      </c>
      <c r="D48" s="1">
        <f ca="1">IFERROR(__xludf.DUMMYFUNCTION("""COMPUTED_VALUE"""),41.84)</f>
        <v>41.84</v>
      </c>
      <c r="E48" s="1">
        <f ca="1">IFERROR(__xludf.DUMMYFUNCTION("""COMPUTED_VALUE"""),41.98)</f>
        <v>41.98</v>
      </c>
      <c r="F48" s="1">
        <f ca="1">IFERROR(__xludf.DUMMYFUNCTION("""COMPUTED_VALUE"""),32215314)</f>
        <v>32215314</v>
      </c>
    </row>
    <row r="49" spans="1:6" x14ac:dyDescent="0.35">
      <c r="A49" s="2">
        <f ca="1">IFERROR(__xludf.DUMMYFUNCTION("""COMPUTED_VALUE"""),42075.6666666666)</f>
        <v>42075.666666666599</v>
      </c>
      <c r="B49" s="1">
        <f ca="1">IFERROR(__xludf.DUMMYFUNCTION("""COMPUTED_VALUE"""),41.33)</f>
        <v>41.33</v>
      </c>
      <c r="C49" s="1">
        <f ca="1">IFERROR(__xludf.DUMMYFUNCTION("""COMPUTED_VALUE"""),41.65)</f>
        <v>41.65</v>
      </c>
      <c r="D49" s="1">
        <f ca="1">IFERROR(__xludf.DUMMYFUNCTION("""COMPUTED_VALUE"""),40.86)</f>
        <v>40.86</v>
      </c>
      <c r="E49" s="1">
        <f ca="1">IFERROR(__xludf.DUMMYFUNCTION("""COMPUTED_VALUE"""),41.02)</f>
        <v>41.02</v>
      </c>
      <c r="F49" s="1">
        <f ca="1">IFERROR(__xludf.DUMMYFUNCTION("""COMPUTED_VALUE"""),59992502)</f>
        <v>59992502</v>
      </c>
    </row>
    <row r="50" spans="1:6" x14ac:dyDescent="0.35">
      <c r="A50" s="2">
        <f ca="1">IFERROR(__xludf.DUMMYFUNCTION("""COMPUTED_VALUE"""),42076.6666666666)</f>
        <v>42076.666666666599</v>
      </c>
      <c r="B50" s="1">
        <f ca="1">IFERROR(__xludf.DUMMYFUNCTION("""COMPUTED_VALUE"""),40.7)</f>
        <v>40.700000000000003</v>
      </c>
      <c r="C50" s="1">
        <f ca="1">IFERROR(__xludf.DUMMYFUNCTION("""COMPUTED_VALUE"""),41.47)</f>
        <v>41.47</v>
      </c>
      <c r="D50" s="1">
        <f ca="1">IFERROR(__xludf.DUMMYFUNCTION("""COMPUTED_VALUE"""),40.61)</f>
        <v>40.61</v>
      </c>
      <c r="E50" s="1">
        <f ca="1">IFERROR(__xludf.DUMMYFUNCTION("""COMPUTED_VALUE"""),41.38)</f>
        <v>41.38</v>
      </c>
      <c r="F50" s="1">
        <f ca="1">IFERROR(__xludf.DUMMYFUNCTION("""COMPUTED_VALUE"""),58007705)</f>
        <v>58007705</v>
      </c>
    </row>
    <row r="51" spans="1:6" x14ac:dyDescent="0.35">
      <c r="A51" s="2">
        <f ca="1">IFERROR(__xludf.DUMMYFUNCTION("""COMPUTED_VALUE"""),42079.6666666666)</f>
        <v>42079.666666666599</v>
      </c>
      <c r="B51" s="1">
        <f ca="1">IFERROR(__xludf.DUMMYFUNCTION("""COMPUTED_VALUE"""),41.47)</f>
        <v>41.47</v>
      </c>
      <c r="C51" s="1">
        <f ca="1">IFERROR(__xludf.DUMMYFUNCTION("""COMPUTED_VALUE"""),41.64)</f>
        <v>41.64</v>
      </c>
      <c r="D51" s="1">
        <f ca="1">IFERROR(__xludf.DUMMYFUNCTION("""COMPUTED_VALUE"""),41.28)</f>
        <v>41.28</v>
      </c>
      <c r="E51" s="1">
        <f ca="1">IFERROR(__xludf.DUMMYFUNCTION("""COMPUTED_VALUE"""),41.56)</f>
        <v>41.56</v>
      </c>
      <c r="F51" s="1">
        <f ca="1">IFERROR(__xludf.DUMMYFUNCTION("""COMPUTED_VALUE"""),35273452)</f>
        <v>35273452</v>
      </c>
    </row>
    <row r="52" spans="1:6" x14ac:dyDescent="0.35">
      <c r="A52" s="2">
        <f ca="1">IFERROR(__xludf.DUMMYFUNCTION("""COMPUTED_VALUE"""),42080.6666666666)</f>
        <v>42080.666666666599</v>
      </c>
      <c r="B52" s="1">
        <f ca="1">IFERROR(__xludf.DUMMYFUNCTION("""COMPUTED_VALUE"""),41.38)</f>
        <v>41.38</v>
      </c>
      <c r="C52" s="1">
        <f ca="1">IFERROR(__xludf.DUMMYFUNCTION("""COMPUTED_VALUE"""),41.83)</f>
        <v>41.83</v>
      </c>
      <c r="D52" s="1">
        <f ca="1">IFERROR(__xludf.DUMMYFUNCTION("""COMPUTED_VALUE"""),41.15)</f>
        <v>41.15</v>
      </c>
      <c r="E52" s="1">
        <f ca="1">IFERROR(__xludf.DUMMYFUNCTION("""COMPUTED_VALUE"""),41.7)</f>
        <v>41.7</v>
      </c>
      <c r="F52" s="1">
        <f ca="1">IFERROR(__xludf.DUMMYFUNCTION("""COMPUTED_VALUE"""),31673448)</f>
        <v>31673448</v>
      </c>
    </row>
    <row r="53" spans="1:6" x14ac:dyDescent="0.35">
      <c r="A53" s="2">
        <f ca="1">IFERROR(__xludf.DUMMYFUNCTION("""COMPUTED_VALUE"""),42081.6666666666)</f>
        <v>42081.666666666599</v>
      </c>
      <c r="B53" s="1">
        <f ca="1">IFERROR(__xludf.DUMMYFUNCTION("""COMPUTED_VALUE"""),41.43)</f>
        <v>41.43</v>
      </c>
      <c r="C53" s="1">
        <f ca="1">IFERROR(__xludf.DUMMYFUNCTION("""COMPUTED_VALUE"""),42.83)</f>
        <v>42.83</v>
      </c>
      <c r="D53" s="1">
        <f ca="1">IFERROR(__xludf.DUMMYFUNCTION("""COMPUTED_VALUE"""),41.33)</f>
        <v>41.33</v>
      </c>
      <c r="E53" s="1">
        <f ca="1">IFERROR(__xludf.DUMMYFUNCTION("""COMPUTED_VALUE"""),42.5)</f>
        <v>42.5</v>
      </c>
      <c r="F53" s="1">
        <f ca="1">IFERROR(__xludf.DUMMYFUNCTION("""COMPUTED_VALUE"""),44194771)</f>
        <v>44194771</v>
      </c>
    </row>
    <row r="54" spans="1:6" x14ac:dyDescent="0.35">
      <c r="A54" s="2">
        <f ca="1">IFERROR(__xludf.DUMMYFUNCTION("""COMPUTED_VALUE"""),42082.6666666666)</f>
        <v>42082.666666666599</v>
      </c>
      <c r="B54" s="1">
        <f ca="1">IFERROR(__xludf.DUMMYFUNCTION("""COMPUTED_VALUE"""),42.25)</f>
        <v>42.25</v>
      </c>
      <c r="C54" s="1">
        <f ca="1">IFERROR(__xludf.DUMMYFUNCTION("""COMPUTED_VALUE"""),42.59)</f>
        <v>42.59</v>
      </c>
      <c r="D54" s="1">
        <f ca="1">IFERROR(__xludf.DUMMYFUNCTION("""COMPUTED_VALUE"""),42.22)</f>
        <v>42.22</v>
      </c>
      <c r="E54" s="1">
        <f ca="1">IFERROR(__xludf.DUMMYFUNCTION("""COMPUTED_VALUE"""),42.29)</f>
        <v>42.29</v>
      </c>
      <c r="F54" s="1">
        <f ca="1">IFERROR(__xludf.DUMMYFUNCTION("""COMPUTED_VALUE"""),33879066)</f>
        <v>33879066</v>
      </c>
    </row>
    <row r="55" spans="1:6" x14ac:dyDescent="0.35">
      <c r="A55" s="2">
        <f ca="1">IFERROR(__xludf.DUMMYFUNCTION("""COMPUTED_VALUE"""),42083.6666666666)</f>
        <v>42083.666666666599</v>
      </c>
      <c r="B55" s="1">
        <f ca="1">IFERROR(__xludf.DUMMYFUNCTION("""COMPUTED_VALUE"""),42.56)</f>
        <v>42.56</v>
      </c>
      <c r="C55" s="1">
        <f ca="1">IFERROR(__xludf.DUMMYFUNCTION("""COMPUTED_VALUE"""),42.98)</f>
        <v>42.98</v>
      </c>
      <c r="D55" s="1">
        <f ca="1">IFERROR(__xludf.DUMMYFUNCTION("""COMPUTED_VALUE"""),42.49)</f>
        <v>42.49</v>
      </c>
      <c r="E55" s="1">
        <f ca="1">IFERROR(__xludf.DUMMYFUNCTION("""COMPUTED_VALUE"""),42.88)</f>
        <v>42.88</v>
      </c>
      <c r="F55" s="1">
        <f ca="1">IFERROR(__xludf.DUMMYFUNCTION("""COMPUTED_VALUE"""),71904529)</f>
        <v>71904529</v>
      </c>
    </row>
    <row r="56" spans="1:6" x14ac:dyDescent="0.35">
      <c r="A56" s="2">
        <f ca="1">IFERROR(__xludf.DUMMYFUNCTION("""COMPUTED_VALUE"""),42086.6666666666)</f>
        <v>42086.666666666599</v>
      </c>
      <c r="B56" s="1">
        <f ca="1">IFERROR(__xludf.DUMMYFUNCTION("""COMPUTED_VALUE"""),42.9)</f>
        <v>42.9</v>
      </c>
      <c r="C56" s="1">
        <f ca="1">IFERROR(__xludf.DUMMYFUNCTION("""COMPUTED_VALUE"""),43.13)</f>
        <v>43.13</v>
      </c>
      <c r="D56" s="1">
        <f ca="1">IFERROR(__xludf.DUMMYFUNCTION("""COMPUTED_VALUE"""),42.78)</f>
        <v>42.78</v>
      </c>
      <c r="E56" s="1">
        <f ca="1">IFERROR(__xludf.DUMMYFUNCTION("""COMPUTED_VALUE"""),42.86)</f>
        <v>42.86</v>
      </c>
      <c r="F56" s="1">
        <f ca="1">IFERROR(__xludf.DUMMYFUNCTION("""COMPUTED_VALUE"""),26246086)</f>
        <v>26246086</v>
      </c>
    </row>
    <row r="57" spans="1:6" x14ac:dyDescent="0.35">
      <c r="A57" s="2">
        <f ca="1">IFERROR(__xludf.DUMMYFUNCTION("""COMPUTED_VALUE"""),42087.6666666666)</f>
        <v>42087.666666666599</v>
      </c>
      <c r="B57" s="1">
        <f ca="1">IFERROR(__xludf.DUMMYFUNCTION("""COMPUTED_VALUE"""),42.78)</f>
        <v>42.78</v>
      </c>
      <c r="C57" s="1">
        <f ca="1">IFERROR(__xludf.DUMMYFUNCTION("""COMPUTED_VALUE"""),43.17)</f>
        <v>43.17</v>
      </c>
      <c r="D57" s="1">
        <f ca="1">IFERROR(__xludf.DUMMYFUNCTION("""COMPUTED_VALUE"""),42.75)</f>
        <v>42.75</v>
      </c>
      <c r="E57" s="1">
        <f ca="1">IFERROR(__xludf.DUMMYFUNCTION("""COMPUTED_VALUE"""),42.9)</f>
        <v>42.9</v>
      </c>
      <c r="F57" s="1">
        <f ca="1">IFERROR(__xludf.DUMMYFUNCTION("""COMPUTED_VALUE"""),25513252)</f>
        <v>25513252</v>
      </c>
    </row>
    <row r="58" spans="1:6" x14ac:dyDescent="0.35">
      <c r="A58" s="2">
        <f ca="1">IFERROR(__xludf.DUMMYFUNCTION("""COMPUTED_VALUE"""),42088.6666666666)</f>
        <v>42088.666666666599</v>
      </c>
      <c r="B58" s="1">
        <f ca="1">IFERROR(__xludf.DUMMYFUNCTION("""COMPUTED_VALUE"""),42.9)</f>
        <v>42.9</v>
      </c>
      <c r="C58" s="1">
        <f ca="1">IFERROR(__xludf.DUMMYFUNCTION("""COMPUTED_VALUE"""),42.93)</f>
        <v>42.93</v>
      </c>
      <c r="D58" s="1">
        <f ca="1">IFERROR(__xludf.DUMMYFUNCTION("""COMPUTED_VALUE"""),41.44)</f>
        <v>41.44</v>
      </c>
      <c r="E58" s="1">
        <f ca="1">IFERROR(__xludf.DUMMYFUNCTION("""COMPUTED_VALUE"""),41.46)</f>
        <v>41.46</v>
      </c>
      <c r="F58" s="1">
        <f ca="1">IFERROR(__xludf.DUMMYFUNCTION("""COMPUTED_VALUE"""),43469907)</f>
        <v>43469907</v>
      </c>
    </row>
    <row r="59" spans="1:6" x14ac:dyDescent="0.35">
      <c r="A59" s="2">
        <f ca="1">IFERROR(__xludf.DUMMYFUNCTION("""COMPUTED_VALUE"""),42089.6666666666)</f>
        <v>42089.666666666599</v>
      </c>
      <c r="B59" s="1">
        <f ca="1">IFERROR(__xludf.DUMMYFUNCTION("""COMPUTED_VALUE"""),41.22)</f>
        <v>41.22</v>
      </c>
      <c r="C59" s="1">
        <f ca="1">IFERROR(__xludf.DUMMYFUNCTION("""COMPUTED_VALUE"""),41.61)</f>
        <v>41.61</v>
      </c>
      <c r="D59" s="1">
        <f ca="1">IFERROR(__xludf.DUMMYFUNCTION("""COMPUTED_VALUE"""),40.92)</f>
        <v>40.92</v>
      </c>
      <c r="E59" s="1">
        <f ca="1">IFERROR(__xludf.DUMMYFUNCTION("""COMPUTED_VALUE"""),41.21)</f>
        <v>41.21</v>
      </c>
      <c r="F59" s="1">
        <f ca="1">IFERROR(__xludf.DUMMYFUNCTION("""COMPUTED_VALUE"""),37495627)</f>
        <v>37495627</v>
      </c>
    </row>
    <row r="60" spans="1:6" x14ac:dyDescent="0.35">
      <c r="A60" s="2">
        <f ca="1">IFERROR(__xludf.DUMMYFUNCTION("""COMPUTED_VALUE"""),42090.6666666666)</f>
        <v>42090.666666666599</v>
      </c>
      <c r="B60" s="1">
        <f ca="1">IFERROR(__xludf.DUMMYFUNCTION("""COMPUTED_VALUE"""),41.12)</f>
        <v>41.12</v>
      </c>
      <c r="C60" s="1">
        <f ca="1">IFERROR(__xludf.DUMMYFUNCTION("""COMPUTED_VALUE"""),41.43)</f>
        <v>41.43</v>
      </c>
      <c r="D60" s="1">
        <f ca="1">IFERROR(__xludf.DUMMYFUNCTION("""COMPUTED_VALUE"""),40.83)</f>
        <v>40.83</v>
      </c>
      <c r="E60" s="1">
        <f ca="1">IFERROR(__xludf.DUMMYFUNCTION("""COMPUTED_VALUE"""),40.97)</f>
        <v>40.97</v>
      </c>
      <c r="F60" s="1">
        <f ca="1">IFERROR(__xludf.DUMMYFUNCTION("""COMPUTED_VALUE"""),34401398)</f>
        <v>34401398</v>
      </c>
    </row>
    <row r="61" spans="1:6" x14ac:dyDescent="0.35">
      <c r="A61" s="2">
        <f ca="1">IFERROR(__xludf.DUMMYFUNCTION("""COMPUTED_VALUE"""),42093.6666666666)</f>
        <v>42093.666666666599</v>
      </c>
      <c r="B61" s="1">
        <f ca="1">IFERROR(__xludf.DUMMYFUNCTION("""COMPUTED_VALUE"""),41.23)</f>
        <v>41.23</v>
      </c>
      <c r="C61" s="1">
        <f ca="1">IFERROR(__xludf.DUMMYFUNCTION("""COMPUTED_VALUE"""),41.54)</f>
        <v>41.54</v>
      </c>
      <c r="D61" s="1">
        <f ca="1">IFERROR(__xludf.DUMMYFUNCTION("""COMPUTED_VALUE"""),40.91)</f>
        <v>40.909999999999997</v>
      </c>
      <c r="E61" s="1">
        <f ca="1">IFERROR(__xludf.DUMMYFUNCTION("""COMPUTED_VALUE"""),40.96)</f>
        <v>40.96</v>
      </c>
      <c r="F61" s="1">
        <f ca="1">IFERROR(__xludf.DUMMYFUNCTION("""COMPUTED_VALUE"""),35049662)</f>
        <v>35049662</v>
      </c>
    </row>
    <row r="62" spans="1:6" x14ac:dyDescent="0.35">
      <c r="A62" s="2">
        <f ca="1">IFERROR(__xludf.DUMMYFUNCTION("""COMPUTED_VALUE"""),42094.6666666666)</f>
        <v>42094.666666666599</v>
      </c>
      <c r="B62" s="1">
        <f ca="1">IFERROR(__xludf.DUMMYFUNCTION("""COMPUTED_VALUE"""),40.78)</f>
        <v>40.78</v>
      </c>
      <c r="C62" s="1">
        <f ca="1">IFERROR(__xludf.DUMMYFUNCTION("""COMPUTED_VALUE"""),41.03)</f>
        <v>41.03</v>
      </c>
      <c r="D62" s="1">
        <f ca="1">IFERROR(__xludf.DUMMYFUNCTION("""COMPUTED_VALUE"""),40.54)</f>
        <v>40.54</v>
      </c>
      <c r="E62" s="1">
        <f ca="1">IFERROR(__xludf.DUMMYFUNCTION("""COMPUTED_VALUE"""),40.66)</f>
        <v>40.659999999999997</v>
      </c>
      <c r="F62" s="1">
        <f ca="1">IFERROR(__xludf.DUMMYFUNCTION("""COMPUTED_VALUE"""),34887219)</f>
        <v>34887219</v>
      </c>
    </row>
    <row r="63" spans="1:6" x14ac:dyDescent="0.35">
      <c r="A63" s="2">
        <f ca="1">IFERROR(__xludf.DUMMYFUNCTION("""COMPUTED_VALUE"""),42095.6666666666)</f>
        <v>42095.666666666599</v>
      </c>
      <c r="B63" s="1">
        <f ca="1">IFERROR(__xludf.DUMMYFUNCTION("""COMPUTED_VALUE"""),40.6)</f>
        <v>40.6</v>
      </c>
      <c r="C63" s="1">
        <f ca="1">IFERROR(__xludf.DUMMYFUNCTION("""COMPUTED_VALUE"""),40.76)</f>
        <v>40.76</v>
      </c>
      <c r="D63" s="1">
        <f ca="1">IFERROR(__xludf.DUMMYFUNCTION("""COMPUTED_VALUE"""),40.31)</f>
        <v>40.31</v>
      </c>
      <c r="E63" s="1">
        <f ca="1">IFERROR(__xludf.DUMMYFUNCTION("""COMPUTED_VALUE"""),40.72)</f>
        <v>40.72</v>
      </c>
      <c r="F63" s="1">
        <f ca="1">IFERROR(__xludf.DUMMYFUNCTION("""COMPUTED_VALUE"""),36865322)</f>
        <v>36865322</v>
      </c>
    </row>
    <row r="64" spans="1:6" x14ac:dyDescent="0.35">
      <c r="A64" s="2">
        <f ca="1">IFERROR(__xludf.DUMMYFUNCTION("""COMPUTED_VALUE"""),42096.6666666666)</f>
        <v>42096.666666666599</v>
      </c>
      <c r="B64" s="1">
        <f ca="1">IFERROR(__xludf.DUMMYFUNCTION("""COMPUTED_VALUE"""),40.66)</f>
        <v>40.659999999999997</v>
      </c>
      <c r="C64" s="1">
        <f ca="1">IFERROR(__xludf.DUMMYFUNCTION("""COMPUTED_VALUE"""),40.74)</f>
        <v>40.74</v>
      </c>
      <c r="D64" s="1">
        <f ca="1">IFERROR(__xludf.DUMMYFUNCTION("""COMPUTED_VALUE"""),40.12)</f>
        <v>40.119999999999997</v>
      </c>
      <c r="E64" s="1">
        <f ca="1">IFERROR(__xludf.DUMMYFUNCTION("""COMPUTED_VALUE"""),40.29)</f>
        <v>40.29</v>
      </c>
      <c r="F64" s="1">
        <f ca="1">IFERROR(__xludf.DUMMYFUNCTION("""COMPUTED_VALUE"""),37487476)</f>
        <v>37487476</v>
      </c>
    </row>
    <row r="65" spans="1:6" x14ac:dyDescent="0.35">
      <c r="A65" s="2">
        <f ca="1">IFERROR(__xludf.DUMMYFUNCTION("""COMPUTED_VALUE"""),42100.6666666666)</f>
        <v>42100.666666666599</v>
      </c>
      <c r="B65" s="1">
        <f ca="1">IFERROR(__xludf.DUMMYFUNCTION("""COMPUTED_VALUE"""),40.34)</f>
        <v>40.340000000000003</v>
      </c>
      <c r="C65" s="1">
        <f ca="1">IFERROR(__xludf.DUMMYFUNCTION("""COMPUTED_VALUE"""),41.78)</f>
        <v>41.78</v>
      </c>
      <c r="D65" s="1">
        <f ca="1">IFERROR(__xludf.DUMMYFUNCTION("""COMPUTED_VALUE"""),40.18)</f>
        <v>40.18</v>
      </c>
      <c r="E65" s="1">
        <f ca="1">IFERROR(__xludf.DUMMYFUNCTION("""COMPUTED_VALUE"""),41.55)</f>
        <v>41.55</v>
      </c>
      <c r="F65" s="1">
        <f ca="1">IFERROR(__xludf.DUMMYFUNCTION("""COMPUTED_VALUE"""),39223692)</f>
        <v>39223692</v>
      </c>
    </row>
    <row r="66" spans="1:6" x14ac:dyDescent="0.35">
      <c r="A66" s="2">
        <f ca="1">IFERROR(__xludf.DUMMYFUNCTION("""COMPUTED_VALUE"""),42101.6666666666)</f>
        <v>42101.666666666599</v>
      </c>
      <c r="B66" s="1">
        <f ca="1">IFERROR(__xludf.DUMMYFUNCTION("""COMPUTED_VALUE"""),41.61)</f>
        <v>41.61</v>
      </c>
      <c r="C66" s="1">
        <f ca="1">IFERROR(__xludf.DUMMYFUNCTION("""COMPUTED_VALUE"""),41.91)</f>
        <v>41.91</v>
      </c>
      <c r="D66" s="1">
        <f ca="1">IFERROR(__xludf.DUMMYFUNCTION("""COMPUTED_VALUE"""),41.31)</f>
        <v>41.31</v>
      </c>
      <c r="E66" s="1">
        <f ca="1">IFERROR(__xludf.DUMMYFUNCTION("""COMPUTED_VALUE"""),41.53)</f>
        <v>41.53</v>
      </c>
      <c r="F66" s="1">
        <f ca="1">IFERROR(__xludf.DUMMYFUNCTION("""COMPUTED_VALUE"""),28809375)</f>
        <v>28809375</v>
      </c>
    </row>
    <row r="67" spans="1:6" x14ac:dyDescent="0.35">
      <c r="A67" s="2">
        <f ca="1">IFERROR(__xludf.DUMMYFUNCTION("""COMPUTED_VALUE"""),42102.6666666666)</f>
        <v>42102.666666666599</v>
      </c>
      <c r="B67" s="1">
        <f ca="1">IFERROR(__xludf.DUMMYFUNCTION("""COMPUTED_VALUE"""),41.48)</f>
        <v>41.48</v>
      </c>
      <c r="C67" s="1">
        <f ca="1">IFERROR(__xludf.DUMMYFUNCTION("""COMPUTED_VALUE"""),41.69)</f>
        <v>41.69</v>
      </c>
      <c r="D67" s="1">
        <f ca="1">IFERROR(__xludf.DUMMYFUNCTION("""COMPUTED_VALUE"""),41.04)</f>
        <v>41.04</v>
      </c>
      <c r="E67" s="1">
        <f ca="1">IFERROR(__xludf.DUMMYFUNCTION("""COMPUTED_VALUE"""),41.42)</f>
        <v>41.42</v>
      </c>
      <c r="F67" s="1">
        <f ca="1">IFERROR(__xludf.DUMMYFUNCTION("""COMPUTED_VALUE"""),24753438)</f>
        <v>24753438</v>
      </c>
    </row>
    <row r="68" spans="1:6" x14ac:dyDescent="0.35">
      <c r="A68" s="2">
        <f ca="1">IFERROR(__xludf.DUMMYFUNCTION("""COMPUTED_VALUE"""),42103.6666666666)</f>
        <v>42103.666666666599</v>
      </c>
      <c r="B68" s="1">
        <f ca="1">IFERROR(__xludf.DUMMYFUNCTION("""COMPUTED_VALUE"""),41.25)</f>
        <v>41.25</v>
      </c>
      <c r="C68" s="1">
        <f ca="1">IFERROR(__xludf.DUMMYFUNCTION("""COMPUTED_VALUE"""),41.62)</f>
        <v>41.62</v>
      </c>
      <c r="D68" s="1">
        <f ca="1">IFERROR(__xludf.DUMMYFUNCTION("""COMPUTED_VALUE"""),41.25)</f>
        <v>41.25</v>
      </c>
      <c r="E68" s="1">
        <f ca="1">IFERROR(__xludf.DUMMYFUNCTION("""COMPUTED_VALUE"""),41.48)</f>
        <v>41.48</v>
      </c>
      <c r="F68" s="1">
        <f ca="1">IFERROR(__xludf.DUMMYFUNCTION("""COMPUTED_VALUE"""),25723861)</f>
        <v>25723861</v>
      </c>
    </row>
    <row r="69" spans="1:6" x14ac:dyDescent="0.35">
      <c r="A69" s="2">
        <f ca="1">IFERROR(__xludf.DUMMYFUNCTION("""COMPUTED_VALUE"""),42104.6666666666)</f>
        <v>42104.666666666599</v>
      </c>
      <c r="B69" s="1">
        <f ca="1">IFERROR(__xludf.DUMMYFUNCTION("""COMPUTED_VALUE"""),41.63)</f>
        <v>41.63</v>
      </c>
      <c r="C69" s="1">
        <f ca="1">IFERROR(__xludf.DUMMYFUNCTION("""COMPUTED_VALUE"""),41.95)</f>
        <v>41.95</v>
      </c>
      <c r="D69" s="1">
        <f ca="1">IFERROR(__xludf.DUMMYFUNCTION("""COMPUTED_VALUE"""),41.41)</f>
        <v>41.41</v>
      </c>
      <c r="E69" s="1">
        <f ca="1">IFERROR(__xludf.DUMMYFUNCTION("""COMPUTED_VALUE"""),41.72)</f>
        <v>41.72</v>
      </c>
      <c r="F69" s="1">
        <f ca="1">IFERROR(__xludf.DUMMYFUNCTION("""COMPUTED_VALUE"""),28022002)</f>
        <v>28022002</v>
      </c>
    </row>
    <row r="70" spans="1:6" x14ac:dyDescent="0.35">
      <c r="A70" s="2">
        <f ca="1">IFERROR(__xludf.DUMMYFUNCTION("""COMPUTED_VALUE"""),42107.6666666666)</f>
        <v>42107.666666666599</v>
      </c>
      <c r="B70" s="1">
        <f ca="1">IFERROR(__xludf.DUMMYFUNCTION("""COMPUTED_VALUE"""),41.4)</f>
        <v>41.4</v>
      </c>
      <c r="C70" s="1">
        <f ca="1">IFERROR(__xludf.DUMMYFUNCTION("""COMPUTED_VALUE"""),42.06)</f>
        <v>42.06</v>
      </c>
      <c r="D70" s="1">
        <f ca="1">IFERROR(__xludf.DUMMYFUNCTION("""COMPUTED_VALUE"""),41.39)</f>
        <v>41.39</v>
      </c>
      <c r="E70" s="1">
        <f ca="1">IFERROR(__xludf.DUMMYFUNCTION("""COMPUTED_VALUE"""),41.76)</f>
        <v>41.76</v>
      </c>
      <c r="F70" s="1">
        <f ca="1">IFERROR(__xludf.DUMMYFUNCTION("""COMPUTED_VALUE"""),30276692)</f>
        <v>30276692</v>
      </c>
    </row>
    <row r="71" spans="1:6" x14ac:dyDescent="0.35">
      <c r="A71" s="2">
        <f ca="1">IFERROR(__xludf.DUMMYFUNCTION("""COMPUTED_VALUE"""),42108.6666666666)</f>
        <v>42108.666666666599</v>
      </c>
      <c r="B71" s="1">
        <f ca="1">IFERROR(__xludf.DUMMYFUNCTION("""COMPUTED_VALUE"""),41.8)</f>
        <v>41.8</v>
      </c>
      <c r="C71" s="1">
        <f ca="1">IFERROR(__xludf.DUMMYFUNCTION("""COMPUTED_VALUE"""),42.03)</f>
        <v>42.03</v>
      </c>
      <c r="D71" s="1">
        <f ca="1">IFERROR(__xludf.DUMMYFUNCTION("""COMPUTED_VALUE"""),41.39)</f>
        <v>41.39</v>
      </c>
      <c r="E71" s="1">
        <f ca="1">IFERROR(__xludf.DUMMYFUNCTION("""COMPUTED_VALUE"""),41.65)</f>
        <v>41.65</v>
      </c>
      <c r="F71" s="1">
        <f ca="1">IFERROR(__xludf.DUMMYFUNCTION("""COMPUTED_VALUE"""),24244382)</f>
        <v>24244382</v>
      </c>
    </row>
    <row r="72" spans="1:6" x14ac:dyDescent="0.35">
      <c r="A72" s="2">
        <f ca="1">IFERROR(__xludf.DUMMYFUNCTION("""COMPUTED_VALUE"""),42109.6666666666)</f>
        <v>42109.666666666599</v>
      </c>
      <c r="B72" s="1">
        <f ca="1">IFERROR(__xludf.DUMMYFUNCTION("""COMPUTED_VALUE"""),41.76)</f>
        <v>41.76</v>
      </c>
      <c r="C72" s="1">
        <f ca="1">IFERROR(__xludf.DUMMYFUNCTION("""COMPUTED_VALUE"""),42.46)</f>
        <v>42.46</v>
      </c>
      <c r="D72" s="1">
        <f ca="1">IFERROR(__xludf.DUMMYFUNCTION("""COMPUTED_VALUE"""),41.68)</f>
        <v>41.68</v>
      </c>
      <c r="E72" s="1">
        <f ca="1">IFERROR(__xludf.DUMMYFUNCTION("""COMPUTED_VALUE"""),42.26)</f>
        <v>42.26</v>
      </c>
      <c r="F72" s="1">
        <f ca="1">IFERROR(__xludf.DUMMYFUNCTION("""COMPUTED_VALUE"""),27343581)</f>
        <v>27343581</v>
      </c>
    </row>
    <row r="73" spans="1:6" x14ac:dyDescent="0.35">
      <c r="A73" s="2">
        <f ca="1">IFERROR(__xludf.DUMMYFUNCTION("""COMPUTED_VALUE"""),42110.6666666666)</f>
        <v>42110.666666666599</v>
      </c>
      <c r="B73" s="1">
        <f ca="1">IFERROR(__xludf.DUMMYFUNCTION("""COMPUTED_VALUE"""),41.95)</f>
        <v>41.95</v>
      </c>
      <c r="C73" s="1">
        <f ca="1">IFERROR(__xludf.DUMMYFUNCTION("""COMPUTED_VALUE"""),42.34)</f>
        <v>42.34</v>
      </c>
      <c r="D73" s="1">
        <f ca="1">IFERROR(__xludf.DUMMYFUNCTION("""COMPUTED_VALUE"""),41.82)</f>
        <v>41.82</v>
      </c>
      <c r="E73" s="1">
        <f ca="1">IFERROR(__xludf.DUMMYFUNCTION("""COMPUTED_VALUE"""),42.16)</f>
        <v>42.16</v>
      </c>
      <c r="F73" s="1">
        <f ca="1">IFERROR(__xludf.DUMMYFUNCTION("""COMPUTED_VALUE"""),22509652)</f>
        <v>22509652</v>
      </c>
    </row>
    <row r="74" spans="1:6" x14ac:dyDescent="0.35">
      <c r="A74" s="2">
        <f ca="1">IFERROR(__xludf.DUMMYFUNCTION("""COMPUTED_VALUE"""),42111.6666666666)</f>
        <v>42111.666666666599</v>
      </c>
      <c r="B74" s="1">
        <f ca="1">IFERROR(__xludf.DUMMYFUNCTION("""COMPUTED_VALUE"""),41.67)</f>
        <v>41.67</v>
      </c>
      <c r="C74" s="1">
        <f ca="1">IFERROR(__xludf.DUMMYFUNCTION("""COMPUTED_VALUE"""),41.74)</f>
        <v>41.74</v>
      </c>
      <c r="D74" s="1">
        <f ca="1">IFERROR(__xludf.DUMMYFUNCTION("""COMPUTED_VALUE"""),41.16)</f>
        <v>41.16</v>
      </c>
      <c r="E74" s="1">
        <f ca="1">IFERROR(__xludf.DUMMYFUNCTION("""COMPUTED_VALUE"""),41.62)</f>
        <v>41.62</v>
      </c>
      <c r="F74" s="1">
        <f ca="1">IFERROR(__xludf.DUMMYFUNCTION("""COMPUTED_VALUE"""),42387608)</f>
        <v>42387608</v>
      </c>
    </row>
    <row r="75" spans="1:6" x14ac:dyDescent="0.35">
      <c r="A75" s="2">
        <f ca="1">IFERROR(__xludf.DUMMYFUNCTION("""COMPUTED_VALUE"""),42114.6666666666)</f>
        <v>42114.666666666599</v>
      </c>
      <c r="B75" s="1">
        <f ca="1">IFERROR(__xludf.DUMMYFUNCTION("""COMPUTED_VALUE"""),41.73)</f>
        <v>41.73</v>
      </c>
      <c r="C75" s="1">
        <f ca="1">IFERROR(__xludf.DUMMYFUNCTION("""COMPUTED_VALUE"""),43.17)</f>
        <v>43.17</v>
      </c>
      <c r="D75" s="1">
        <f ca="1">IFERROR(__xludf.DUMMYFUNCTION("""COMPUTED_VALUE"""),41.68)</f>
        <v>41.68</v>
      </c>
      <c r="E75" s="1">
        <f ca="1">IFERROR(__xludf.DUMMYFUNCTION("""COMPUTED_VALUE"""),42.91)</f>
        <v>42.91</v>
      </c>
      <c r="F75" s="1">
        <f ca="1">IFERROR(__xludf.DUMMYFUNCTION("""COMPUTED_VALUE"""),46057733)</f>
        <v>46057733</v>
      </c>
    </row>
    <row r="76" spans="1:6" x14ac:dyDescent="0.35">
      <c r="A76" s="2">
        <f ca="1">IFERROR(__xludf.DUMMYFUNCTION("""COMPUTED_VALUE"""),42115.6666666666)</f>
        <v>42115.666666666599</v>
      </c>
      <c r="B76" s="1">
        <f ca="1">IFERROR(__xludf.DUMMYFUNCTION("""COMPUTED_VALUE"""),43)</f>
        <v>43</v>
      </c>
      <c r="C76" s="1">
        <f ca="1">IFERROR(__xludf.DUMMYFUNCTION("""COMPUTED_VALUE"""),43.15)</f>
        <v>43.15</v>
      </c>
      <c r="D76" s="1">
        <f ca="1">IFERROR(__xludf.DUMMYFUNCTION("""COMPUTED_VALUE"""),42.53)</f>
        <v>42.53</v>
      </c>
      <c r="E76" s="1">
        <f ca="1">IFERROR(__xludf.DUMMYFUNCTION("""COMPUTED_VALUE"""),42.64)</f>
        <v>42.64</v>
      </c>
      <c r="F76" s="1">
        <f ca="1">IFERROR(__xludf.DUMMYFUNCTION("""COMPUTED_VALUE"""),26013844)</f>
        <v>26013844</v>
      </c>
    </row>
    <row r="77" spans="1:6" x14ac:dyDescent="0.35">
      <c r="A77" s="2">
        <f ca="1">IFERROR(__xludf.DUMMYFUNCTION("""COMPUTED_VALUE"""),42116.6666666666)</f>
        <v>42116.666666666599</v>
      </c>
      <c r="B77" s="1">
        <f ca="1">IFERROR(__xludf.DUMMYFUNCTION("""COMPUTED_VALUE"""),42.67)</f>
        <v>42.67</v>
      </c>
      <c r="C77" s="1">
        <f ca="1">IFERROR(__xludf.DUMMYFUNCTION("""COMPUTED_VALUE"""),43.13)</f>
        <v>43.13</v>
      </c>
      <c r="D77" s="1">
        <f ca="1">IFERROR(__xludf.DUMMYFUNCTION("""COMPUTED_VALUE"""),42.55)</f>
        <v>42.55</v>
      </c>
      <c r="E77" s="1">
        <f ca="1">IFERROR(__xludf.DUMMYFUNCTION("""COMPUTED_VALUE"""),42.99)</f>
        <v>42.99</v>
      </c>
      <c r="F77" s="1">
        <f ca="1">IFERROR(__xludf.DUMMYFUNCTION("""COMPUTED_VALUE"""),25064273)</f>
        <v>25064273</v>
      </c>
    </row>
    <row r="78" spans="1:6" x14ac:dyDescent="0.35">
      <c r="A78" s="2">
        <f ca="1">IFERROR(__xludf.DUMMYFUNCTION("""COMPUTED_VALUE"""),42117.6666666666)</f>
        <v>42117.666666666599</v>
      </c>
      <c r="B78" s="1">
        <f ca="1">IFERROR(__xludf.DUMMYFUNCTION("""COMPUTED_VALUE"""),42.85)</f>
        <v>42.85</v>
      </c>
      <c r="C78" s="1">
        <f ca="1">IFERROR(__xludf.DUMMYFUNCTION("""COMPUTED_VALUE"""),43.61)</f>
        <v>43.61</v>
      </c>
      <c r="D78" s="1">
        <f ca="1">IFERROR(__xludf.DUMMYFUNCTION("""COMPUTED_VALUE"""),42.8)</f>
        <v>42.8</v>
      </c>
      <c r="E78" s="1">
        <f ca="1">IFERROR(__xludf.DUMMYFUNCTION("""COMPUTED_VALUE"""),43.34)</f>
        <v>43.34</v>
      </c>
      <c r="F78" s="1">
        <f ca="1">IFERROR(__xludf.DUMMYFUNCTION("""COMPUTED_VALUE"""),46309530)</f>
        <v>46309530</v>
      </c>
    </row>
    <row r="79" spans="1:6" x14ac:dyDescent="0.35">
      <c r="A79" s="2">
        <f ca="1">IFERROR(__xludf.DUMMYFUNCTION("""COMPUTED_VALUE"""),42118.6666666666)</f>
        <v>42118.666666666599</v>
      </c>
      <c r="B79" s="1">
        <f ca="1">IFERROR(__xludf.DUMMYFUNCTION("""COMPUTED_VALUE"""),45.66)</f>
        <v>45.66</v>
      </c>
      <c r="C79" s="1">
        <f ca="1">IFERROR(__xludf.DUMMYFUNCTION("""COMPUTED_VALUE"""),48.14)</f>
        <v>48.14</v>
      </c>
      <c r="D79" s="1">
        <f ca="1">IFERROR(__xludf.DUMMYFUNCTION("""COMPUTED_VALUE"""),45.65)</f>
        <v>45.65</v>
      </c>
      <c r="E79" s="1">
        <f ca="1">IFERROR(__xludf.DUMMYFUNCTION("""COMPUTED_VALUE"""),47.87)</f>
        <v>47.87</v>
      </c>
      <c r="F79" s="1">
        <f ca="1">IFERROR(__xludf.DUMMYFUNCTION("""COMPUTED_VALUE"""),130933665)</f>
        <v>130933665</v>
      </c>
    </row>
    <row r="80" spans="1:6" x14ac:dyDescent="0.35">
      <c r="A80" s="2">
        <f ca="1">IFERROR(__xludf.DUMMYFUNCTION("""COMPUTED_VALUE"""),42121.6666666666)</f>
        <v>42121.666666666599</v>
      </c>
      <c r="B80" s="1">
        <f ca="1">IFERROR(__xludf.DUMMYFUNCTION("""COMPUTED_VALUE"""),47.23)</f>
        <v>47.23</v>
      </c>
      <c r="C80" s="1">
        <f ca="1">IFERROR(__xludf.DUMMYFUNCTION("""COMPUTED_VALUE"""),48.13)</f>
        <v>48.13</v>
      </c>
      <c r="D80" s="1">
        <f ca="1">IFERROR(__xludf.DUMMYFUNCTION("""COMPUTED_VALUE"""),47.22)</f>
        <v>47.22</v>
      </c>
      <c r="E80" s="1">
        <f ca="1">IFERROR(__xludf.DUMMYFUNCTION("""COMPUTED_VALUE"""),48.03)</f>
        <v>48.03</v>
      </c>
      <c r="F80" s="1">
        <f ca="1">IFERROR(__xludf.DUMMYFUNCTION("""COMPUTED_VALUE"""),59248172)</f>
        <v>59248172</v>
      </c>
    </row>
    <row r="81" spans="1:6" x14ac:dyDescent="0.35">
      <c r="A81" s="2">
        <f ca="1">IFERROR(__xludf.DUMMYFUNCTION("""COMPUTED_VALUE"""),42122.6666666666)</f>
        <v>42122.666666666599</v>
      </c>
      <c r="B81" s="1">
        <f ca="1">IFERROR(__xludf.DUMMYFUNCTION("""COMPUTED_VALUE"""),47.78)</f>
        <v>47.78</v>
      </c>
      <c r="C81" s="1">
        <f ca="1">IFERROR(__xludf.DUMMYFUNCTION("""COMPUTED_VALUE"""),49.21)</f>
        <v>49.21</v>
      </c>
      <c r="D81" s="1">
        <f ca="1">IFERROR(__xludf.DUMMYFUNCTION("""COMPUTED_VALUE"""),47.7)</f>
        <v>47.7</v>
      </c>
      <c r="E81" s="1">
        <f ca="1">IFERROR(__xludf.DUMMYFUNCTION("""COMPUTED_VALUE"""),49.16)</f>
        <v>49.16</v>
      </c>
      <c r="F81" s="1">
        <f ca="1">IFERROR(__xludf.DUMMYFUNCTION("""COMPUTED_VALUE"""),60730778)</f>
        <v>60730778</v>
      </c>
    </row>
    <row r="82" spans="1:6" x14ac:dyDescent="0.35">
      <c r="A82" s="2">
        <f ca="1">IFERROR(__xludf.DUMMYFUNCTION("""COMPUTED_VALUE"""),42123.6666666666)</f>
        <v>42123.666666666599</v>
      </c>
      <c r="B82" s="1">
        <f ca="1">IFERROR(__xludf.DUMMYFUNCTION("""COMPUTED_VALUE"""),48.72)</f>
        <v>48.72</v>
      </c>
      <c r="C82" s="1">
        <f ca="1">IFERROR(__xludf.DUMMYFUNCTION("""COMPUTED_VALUE"""),49.31)</f>
        <v>49.31</v>
      </c>
      <c r="D82" s="1">
        <f ca="1">IFERROR(__xludf.DUMMYFUNCTION("""COMPUTED_VALUE"""),48.5)</f>
        <v>48.5</v>
      </c>
      <c r="E82" s="1">
        <f ca="1">IFERROR(__xludf.DUMMYFUNCTION("""COMPUTED_VALUE"""),49.06)</f>
        <v>49.06</v>
      </c>
      <c r="F82" s="1">
        <f ca="1">IFERROR(__xludf.DUMMYFUNCTION("""COMPUTED_VALUE"""),47804562)</f>
        <v>47804562</v>
      </c>
    </row>
    <row r="83" spans="1:6" x14ac:dyDescent="0.35">
      <c r="A83" s="2">
        <f ca="1">IFERROR(__xludf.DUMMYFUNCTION("""COMPUTED_VALUE"""),42124.6666666666)</f>
        <v>42124.666666666599</v>
      </c>
      <c r="B83" s="1">
        <f ca="1">IFERROR(__xludf.DUMMYFUNCTION("""COMPUTED_VALUE"""),48.7)</f>
        <v>48.7</v>
      </c>
      <c r="C83" s="1">
        <f ca="1">IFERROR(__xludf.DUMMYFUNCTION("""COMPUTED_VALUE"""),49.54)</f>
        <v>49.54</v>
      </c>
      <c r="D83" s="1">
        <f ca="1">IFERROR(__xludf.DUMMYFUNCTION("""COMPUTED_VALUE"""),48.6)</f>
        <v>48.6</v>
      </c>
      <c r="E83" s="1">
        <f ca="1">IFERROR(__xludf.DUMMYFUNCTION("""COMPUTED_VALUE"""),48.64)</f>
        <v>48.64</v>
      </c>
      <c r="F83" s="1">
        <f ca="1">IFERROR(__xludf.DUMMYFUNCTION("""COMPUTED_VALUE"""),64725457)</f>
        <v>64725457</v>
      </c>
    </row>
    <row r="84" spans="1:6" x14ac:dyDescent="0.35">
      <c r="A84" s="2">
        <f ca="1">IFERROR(__xludf.DUMMYFUNCTION("""COMPUTED_VALUE"""),42125.6666666666)</f>
        <v>42125.666666666599</v>
      </c>
      <c r="B84" s="1">
        <f ca="1">IFERROR(__xludf.DUMMYFUNCTION("""COMPUTED_VALUE"""),48.58)</f>
        <v>48.58</v>
      </c>
      <c r="C84" s="1">
        <f ca="1">IFERROR(__xludf.DUMMYFUNCTION("""COMPUTED_VALUE"""),48.88)</f>
        <v>48.88</v>
      </c>
      <c r="D84" s="1">
        <f ca="1">IFERROR(__xludf.DUMMYFUNCTION("""COMPUTED_VALUE"""),48.4)</f>
        <v>48.4</v>
      </c>
      <c r="E84" s="1">
        <f ca="1">IFERROR(__xludf.DUMMYFUNCTION("""COMPUTED_VALUE"""),48.66)</f>
        <v>48.66</v>
      </c>
      <c r="F84" s="1">
        <f ca="1">IFERROR(__xludf.DUMMYFUNCTION("""COMPUTED_VALUE"""),38937336)</f>
        <v>38937336</v>
      </c>
    </row>
    <row r="85" spans="1:6" x14ac:dyDescent="0.35">
      <c r="A85" s="2">
        <f ca="1">IFERROR(__xludf.DUMMYFUNCTION("""COMPUTED_VALUE"""),42128.6666666666)</f>
        <v>42128.666666666599</v>
      </c>
      <c r="B85" s="1">
        <f ca="1">IFERROR(__xludf.DUMMYFUNCTION("""COMPUTED_VALUE"""),48.37)</f>
        <v>48.37</v>
      </c>
      <c r="C85" s="1">
        <f ca="1">IFERROR(__xludf.DUMMYFUNCTION("""COMPUTED_VALUE"""),48.87)</f>
        <v>48.87</v>
      </c>
      <c r="D85" s="1">
        <f ca="1">IFERROR(__xludf.DUMMYFUNCTION("""COMPUTED_VALUE"""),48.18)</f>
        <v>48.18</v>
      </c>
      <c r="E85" s="1">
        <f ca="1">IFERROR(__xludf.DUMMYFUNCTION("""COMPUTED_VALUE"""),48.24)</f>
        <v>48.24</v>
      </c>
      <c r="F85" s="1">
        <f ca="1">IFERROR(__xludf.DUMMYFUNCTION("""COMPUTED_VALUE"""),34039485)</f>
        <v>34039485</v>
      </c>
    </row>
    <row r="86" spans="1:6" x14ac:dyDescent="0.35">
      <c r="A86" s="2">
        <f ca="1">IFERROR(__xludf.DUMMYFUNCTION("""COMPUTED_VALUE"""),42129.6666666666)</f>
        <v>42129.666666666599</v>
      </c>
      <c r="B86" s="1">
        <f ca="1">IFERROR(__xludf.DUMMYFUNCTION("""COMPUTED_VALUE"""),47.82)</f>
        <v>47.82</v>
      </c>
      <c r="C86" s="1">
        <f ca="1">IFERROR(__xludf.DUMMYFUNCTION("""COMPUTED_VALUE"""),48.16)</f>
        <v>48.16</v>
      </c>
      <c r="D86" s="1">
        <f ca="1">IFERROR(__xludf.DUMMYFUNCTION("""COMPUTED_VALUE"""),47.31)</f>
        <v>47.31</v>
      </c>
      <c r="E86" s="1">
        <f ca="1">IFERROR(__xludf.DUMMYFUNCTION("""COMPUTED_VALUE"""),47.6)</f>
        <v>47.6</v>
      </c>
      <c r="F86" s="1">
        <f ca="1">IFERROR(__xludf.DUMMYFUNCTION("""COMPUTED_VALUE"""),50369191)</f>
        <v>50369191</v>
      </c>
    </row>
    <row r="87" spans="1:6" x14ac:dyDescent="0.35">
      <c r="A87" s="2">
        <f ca="1">IFERROR(__xludf.DUMMYFUNCTION("""COMPUTED_VALUE"""),42130.6666666666)</f>
        <v>42130.666666666599</v>
      </c>
      <c r="B87" s="1">
        <f ca="1">IFERROR(__xludf.DUMMYFUNCTION("""COMPUTED_VALUE"""),47.57)</f>
        <v>47.57</v>
      </c>
      <c r="C87" s="1">
        <f ca="1">IFERROR(__xludf.DUMMYFUNCTION("""COMPUTED_VALUE"""),47.77)</f>
        <v>47.77</v>
      </c>
      <c r="D87" s="1">
        <f ca="1">IFERROR(__xludf.DUMMYFUNCTION("""COMPUTED_VALUE"""),46.02)</f>
        <v>46.02</v>
      </c>
      <c r="E87" s="1">
        <f ca="1">IFERROR(__xludf.DUMMYFUNCTION("""COMPUTED_VALUE"""),46.28)</f>
        <v>46.28</v>
      </c>
      <c r="F87" s="1">
        <f ca="1">IFERROR(__xludf.DUMMYFUNCTION("""COMPUTED_VALUE"""),52433020)</f>
        <v>52433020</v>
      </c>
    </row>
    <row r="88" spans="1:6" x14ac:dyDescent="0.35">
      <c r="A88" s="2">
        <f ca="1">IFERROR(__xludf.DUMMYFUNCTION("""COMPUTED_VALUE"""),42131.6666666666)</f>
        <v>42131.666666666599</v>
      </c>
      <c r="B88" s="1">
        <f ca="1">IFERROR(__xludf.DUMMYFUNCTION("""COMPUTED_VALUE"""),46.27)</f>
        <v>46.27</v>
      </c>
      <c r="C88" s="1">
        <f ca="1">IFERROR(__xludf.DUMMYFUNCTION("""COMPUTED_VALUE"""),47.09)</f>
        <v>47.09</v>
      </c>
      <c r="D88" s="1">
        <f ca="1">IFERROR(__xludf.DUMMYFUNCTION("""COMPUTED_VALUE"""),46.16)</f>
        <v>46.16</v>
      </c>
      <c r="E88" s="1">
        <f ca="1">IFERROR(__xludf.DUMMYFUNCTION("""COMPUTED_VALUE"""),46.7)</f>
        <v>46.7</v>
      </c>
      <c r="F88" s="1">
        <f ca="1">IFERROR(__xludf.DUMMYFUNCTION("""COMPUTED_VALUE"""),32971654)</f>
        <v>32971654</v>
      </c>
    </row>
    <row r="89" spans="1:6" x14ac:dyDescent="0.35">
      <c r="A89" s="2">
        <f ca="1">IFERROR(__xludf.DUMMYFUNCTION("""COMPUTED_VALUE"""),42132.6666666666)</f>
        <v>42132.666666666599</v>
      </c>
      <c r="B89" s="1">
        <f ca="1">IFERROR(__xludf.DUMMYFUNCTION("""COMPUTED_VALUE"""),47.55)</f>
        <v>47.55</v>
      </c>
      <c r="C89" s="1">
        <f ca="1">IFERROR(__xludf.DUMMYFUNCTION("""COMPUTED_VALUE"""),47.98)</f>
        <v>47.98</v>
      </c>
      <c r="D89" s="1">
        <f ca="1">IFERROR(__xludf.DUMMYFUNCTION("""COMPUTED_VALUE"""),47.52)</f>
        <v>47.52</v>
      </c>
      <c r="E89" s="1">
        <f ca="1">IFERROR(__xludf.DUMMYFUNCTION("""COMPUTED_VALUE"""),47.75)</f>
        <v>47.75</v>
      </c>
      <c r="F89" s="1">
        <f ca="1">IFERROR(__xludf.DUMMYFUNCTION("""COMPUTED_VALUE"""),35364911)</f>
        <v>35364911</v>
      </c>
    </row>
    <row r="90" spans="1:6" x14ac:dyDescent="0.35">
      <c r="A90" s="2">
        <f ca="1">IFERROR(__xludf.DUMMYFUNCTION("""COMPUTED_VALUE"""),42135.6666666666)</f>
        <v>42135.666666666599</v>
      </c>
      <c r="B90" s="1">
        <f ca="1">IFERROR(__xludf.DUMMYFUNCTION("""COMPUTED_VALUE"""),47.55)</f>
        <v>47.55</v>
      </c>
      <c r="C90" s="1">
        <f ca="1">IFERROR(__xludf.DUMMYFUNCTION("""COMPUTED_VALUE"""),47.91)</f>
        <v>47.91</v>
      </c>
      <c r="D90" s="1">
        <f ca="1">IFERROR(__xludf.DUMMYFUNCTION("""COMPUTED_VALUE"""),47.37)</f>
        <v>47.37</v>
      </c>
      <c r="E90" s="1">
        <f ca="1">IFERROR(__xludf.DUMMYFUNCTION("""COMPUTED_VALUE"""),47.37)</f>
        <v>47.37</v>
      </c>
      <c r="F90" s="1">
        <f ca="1">IFERROR(__xludf.DUMMYFUNCTION("""COMPUTED_VALUE"""),24609416)</f>
        <v>24609416</v>
      </c>
    </row>
    <row r="91" spans="1:6" x14ac:dyDescent="0.35">
      <c r="A91" s="2">
        <f ca="1">IFERROR(__xludf.DUMMYFUNCTION("""COMPUTED_VALUE"""),42136.6666666666)</f>
        <v>42136.666666666599</v>
      </c>
      <c r="B91" s="1">
        <f ca="1">IFERROR(__xludf.DUMMYFUNCTION("""COMPUTED_VALUE"""),46.85)</f>
        <v>46.85</v>
      </c>
      <c r="C91" s="1">
        <f ca="1">IFERROR(__xludf.DUMMYFUNCTION("""COMPUTED_VALUE"""),47.68)</f>
        <v>47.68</v>
      </c>
      <c r="D91" s="1">
        <f ca="1">IFERROR(__xludf.DUMMYFUNCTION("""COMPUTED_VALUE"""),46.42)</f>
        <v>46.42</v>
      </c>
      <c r="E91" s="1">
        <f ca="1">IFERROR(__xludf.DUMMYFUNCTION("""COMPUTED_VALUE"""),47.35)</f>
        <v>47.35</v>
      </c>
      <c r="F91" s="1">
        <f ca="1">IFERROR(__xludf.DUMMYFUNCTION("""COMPUTED_VALUE"""),29928264)</f>
        <v>29928264</v>
      </c>
    </row>
    <row r="92" spans="1:6" x14ac:dyDescent="0.35">
      <c r="A92" s="2">
        <f ca="1">IFERROR(__xludf.DUMMYFUNCTION("""COMPUTED_VALUE"""),42137.6666666666)</f>
        <v>42137.666666666599</v>
      </c>
      <c r="B92" s="1">
        <f ca="1">IFERROR(__xludf.DUMMYFUNCTION("""COMPUTED_VALUE"""),48.19)</f>
        <v>48.19</v>
      </c>
      <c r="C92" s="1">
        <f ca="1">IFERROR(__xludf.DUMMYFUNCTION("""COMPUTED_VALUE"""),48.32)</f>
        <v>48.32</v>
      </c>
      <c r="D92" s="1">
        <f ca="1">IFERROR(__xludf.DUMMYFUNCTION("""COMPUTED_VALUE"""),47.57)</f>
        <v>47.57</v>
      </c>
      <c r="E92" s="1">
        <f ca="1">IFERROR(__xludf.DUMMYFUNCTION("""COMPUTED_VALUE"""),47.63)</f>
        <v>47.63</v>
      </c>
      <c r="F92" s="1">
        <f ca="1">IFERROR(__xludf.DUMMYFUNCTION("""COMPUTED_VALUE"""),34184613)</f>
        <v>34184613</v>
      </c>
    </row>
    <row r="93" spans="1:6" x14ac:dyDescent="0.35">
      <c r="A93" s="2">
        <f ca="1">IFERROR(__xludf.DUMMYFUNCTION("""COMPUTED_VALUE"""),42138.6666666666)</f>
        <v>42138.666666666599</v>
      </c>
      <c r="B93" s="1">
        <f ca="1">IFERROR(__xludf.DUMMYFUNCTION("""COMPUTED_VALUE"""),48.03)</f>
        <v>48.03</v>
      </c>
      <c r="C93" s="1">
        <f ca="1">IFERROR(__xludf.DUMMYFUNCTION("""COMPUTED_VALUE"""),48.82)</f>
        <v>48.82</v>
      </c>
      <c r="D93" s="1">
        <f ca="1">IFERROR(__xludf.DUMMYFUNCTION("""COMPUTED_VALUE"""),48.03)</f>
        <v>48.03</v>
      </c>
      <c r="E93" s="1">
        <f ca="1">IFERROR(__xludf.DUMMYFUNCTION("""COMPUTED_VALUE"""),48.72)</f>
        <v>48.72</v>
      </c>
      <c r="F93" s="1">
        <f ca="1">IFERROR(__xludf.DUMMYFUNCTION("""COMPUTED_VALUE"""),32980892)</f>
        <v>32980892</v>
      </c>
    </row>
    <row r="94" spans="1:6" x14ac:dyDescent="0.35">
      <c r="A94" s="2">
        <f ca="1">IFERROR(__xludf.DUMMYFUNCTION("""COMPUTED_VALUE"""),42139.6666666666)</f>
        <v>42139.666666666599</v>
      </c>
      <c r="B94" s="1">
        <f ca="1">IFERROR(__xludf.DUMMYFUNCTION("""COMPUTED_VALUE"""),48.87)</f>
        <v>48.87</v>
      </c>
      <c r="C94" s="1">
        <f ca="1">IFERROR(__xludf.DUMMYFUNCTION("""COMPUTED_VALUE"""),48.91)</f>
        <v>48.91</v>
      </c>
      <c r="D94" s="1">
        <f ca="1">IFERROR(__xludf.DUMMYFUNCTION("""COMPUTED_VALUE"""),48.05)</f>
        <v>48.05</v>
      </c>
      <c r="E94" s="1">
        <f ca="1">IFERROR(__xludf.DUMMYFUNCTION("""COMPUTED_VALUE"""),48.3)</f>
        <v>48.3</v>
      </c>
      <c r="F94" s="1">
        <f ca="1">IFERROR(__xludf.DUMMYFUNCTION("""COMPUTED_VALUE"""),28642694)</f>
        <v>28642694</v>
      </c>
    </row>
    <row r="95" spans="1:6" x14ac:dyDescent="0.35">
      <c r="A95" s="2">
        <f ca="1">IFERROR(__xludf.DUMMYFUNCTION("""COMPUTED_VALUE"""),42142.6666666666)</f>
        <v>42142.666666666599</v>
      </c>
      <c r="B95" s="1">
        <f ca="1">IFERROR(__xludf.DUMMYFUNCTION("""COMPUTED_VALUE"""),47.98)</f>
        <v>47.98</v>
      </c>
      <c r="C95" s="1">
        <f ca="1">IFERROR(__xludf.DUMMYFUNCTION("""COMPUTED_VALUE"""),48.22)</f>
        <v>48.22</v>
      </c>
      <c r="D95" s="1">
        <f ca="1">IFERROR(__xludf.DUMMYFUNCTION("""COMPUTED_VALUE"""),47.61)</f>
        <v>47.61</v>
      </c>
      <c r="E95" s="1">
        <f ca="1">IFERROR(__xludf.DUMMYFUNCTION("""COMPUTED_VALUE"""),48.01)</f>
        <v>48.01</v>
      </c>
      <c r="F95" s="1">
        <f ca="1">IFERROR(__xludf.DUMMYFUNCTION("""COMPUTED_VALUE"""),24136502)</f>
        <v>24136502</v>
      </c>
    </row>
    <row r="96" spans="1:6" x14ac:dyDescent="0.35">
      <c r="A96" s="2">
        <f ca="1">IFERROR(__xludf.DUMMYFUNCTION("""COMPUTED_VALUE"""),42143.6666666666)</f>
        <v>42143.666666666599</v>
      </c>
      <c r="B96" s="1">
        <f ca="1">IFERROR(__xludf.DUMMYFUNCTION("""COMPUTED_VALUE"""),47.62)</f>
        <v>47.62</v>
      </c>
      <c r="C96" s="1">
        <f ca="1">IFERROR(__xludf.DUMMYFUNCTION("""COMPUTED_VALUE"""),47.81)</f>
        <v>47.81</v>
      </c>
      <c r="D96" s="1">
        <f ca="1">IFERROR(__xludf.DUMMYFUNCTION("""COMPUTED_VALUE"""),47.18)</f>
        <v>47.18</v>
      </c>
      <c r="E96" s="1">
        <f ca="1">IFERROR(__xludf.DUMMYFUNCTION("""COMPUTED_VALUE"""),47.58)</f>
        <v>47.58</v>
      </c>
      <c r="F96" s="1">
        <f ca="1">IFERROR(__xludf.DUMMYFUNCTION("""COMPUTED_VALUE"""),28574813)</f>
        <v>28574813</v>
      </c>
    </row>
    <row r="97" spans="1:6" x14ac:dyDescent="0.35">
      <c r="A97" s="2">
        <f ca="1">IFERROR(__xludf.DUMMYFUNCTION("""COMPUTED_VALUE"""),42144.6666666666)</f>
        <v>42144.666666666599</v>
      </c>
      <c r="B97" s="1">
        <f ca="1">IFERROR(__xludf.DUMMYFUNCTION("""COMPUTED_VALUE"""),47.39)</f>
        <v>47.39</v>
      </c>
      <c r="C97" s="1">
        <f ca="1">IFERROR(__xludf.DUMMYFUNCTION("""COMPUTED_VALUE"""),47.93)</f>
        <v>47.93</v>
      </c>
      <c r="D97" s="1">
        <f ca="1">IFERROR(__xludf.DUMMYFUNCTION("""COMPUTED_VALUE"""),47.27)</f>
        <v>47.27</v>
      </c>
      <c r="E97" s="1">
        <f ca="1">IFERROR(__xludf.DUMMYFUNCTION("""COMPUTED_VALUE"""),47.58)</f>
        <v>47.58</v>
      </c>
      <c r="F97" s="1">
        <f ca="1">IFERROR(__xludf.DUMMYFUNCTION("""COMPUTED_VALUE"""),25047919)</f>
        <v>25047919</v>
      </c>
    </row>
    <row r="98" spans="1:6" x14ac:dyDescent="0.35">
      <c r="A98" s="2">
        <f ca="1">IFERROR(__xludf.DUMMYFUNCTION("""COMPUTED_VALUE"""),42145.6666666666)</f>
        <v>42145.666666666599</v>
      </c>
      <c r="B98" s="1">
        <f ca="1">IFERROR(__xludf.DUMMYFUNCTION("""COMPUTED_VALUE"""),47.28)</f>
        <v>47.28</v>
      </c>
      <c r="C98" s="1">
        <f ca="1">IFERROR(__xludf.DUMMYFUNCTION("""COMPUTED_VALUE"""),47.6)</f>
        <v>47.6</v>
      </c>
      <c r="D98" s="1">
        <f ca="1">IFERROR(__xludf.DUMMYFUNCTION("""COMPUTED_VALUE"""),47.01)</f>
        <v>47.01</v>
      </c>
      <c r="E98" s="1">
        <f ca="1">IFERROR(__xludf.DUMMYFUNCTION("""COMPUTED_VALUE"""),47.42)</f>
        <v>47.42</v>
      </c>
      <c r="F98" s="1">
        <f ca="1">IFERROR(__xludf.DUMMYFUNCTION("""COMPUTED_VALUE"""),22410698)</f>
        <v>22410698</v>
      </c>
    </row>
    <row r="99" spans="1:6" x14ac:dyDescent="0.35">
      <c r="A99" s="2">
        <f ca="1">IFERROR(__xludf.DUMMYFUNCTION("""COMPUTED_VALUE"""),42146.6666666666)</f>
        <v>42146.666666666599</v>
      </c>
      <c r="B99" s="1">
        <f ca="1">IFERROR(__xludf.DUMMYFUNCTION("""COMPUTED_VALUE"""),47.3)</f>
        <v>47.3</v>
      </c>
      <c r="C99" s="1">
        <f ca="1">IFERROR(__xludf.DUMMYFUNCTION("""COMPUTED_VALUE"""),47.35)</f>
        <v>47.35</v>
      </c>
      <c r="D99" s="1">
        <f ca="1">IFERROR(__xludf.DUMMYFUNCTION("""COMPUTED_VALUE"""),46.82)</f>
        <v>46.82</v>
      </c>
      <c r="E99" s="1">
        <f ca="1">IFERROR(__xludf.DUMMYFUNCTION("""COMPUTED_VALUE"""),46.9)</f>
        <v>46.9</v>
      </c>
      <c r="F99" s="1">
        <f ca="1">IFERROR(__xludf.DUMMYFUNCTION("""COMPUTED_VALUE"""),25720583)</f>
        <v>25720583</v>
      </c>
    </row>
    <row r="100" spans="1:6" x14ac:dyDescent="0.35">
      <c r="A100" s="2">
        <f ca="1">IFERROR(__xludf.DUMMYFUNCTION("""COMPUTED_VALUE"""),42150.6666666666)</f>
        <v>42150.666666666599</v>
      </c>
      <c r="B100" s="1">
        <f ca="1">IFERROR(__xludf.DUMMYFUNCTION("""COMPUTED_VALUE"""),46.83)</f>
        <v>46.83</v>
      </c>
      <c r="C100" s="1">
        <f ca="1">IFERROR(__xludf.DUMMYFUNCTION("""COMPUTED_VALUE"""),46.88)</f>
        <v>46.88</v>
      </c>
      <c r="D100" s="1">
        <f ca="1">IFERROR(__xludf.DUMMYFUNCTION("""COMPUTED_VALUE"""),46.19)</f>
        <v>46.19</v>
      </c>
      <c r="E100" s="1">
        <f ca="1">IFERROR(__xludf.DUMMYFUNCTION("""COMPUTED_VALUE"""),46.59)</f>
        <v>46.59</v>
      </c>
      <c r="F100" s="1">
        <f ca="1">IFERROR(__xludf.DUMMYFUNCTION("""COMPUTED_VALUE"""),29581860)</f>
        <v>29581860</v>
      </c>
    </row>
    <row r="101" spans="1:6" x14ac:dyDescent="0.35">
      <c r="A101" s="2">
        <f ca="1">IFERROR(__xludf.DUMMYFUNCTION("""COMPUTED_VALUE"""),42151.6666666666)</f>
        <v>42151.666666666599</v>
      </c>
      <c r="B101" s="1">
        <f ca="1">IFERROR(__xludf.DUMMYFUNCTION("""COMPUTED_VALUE"""),46.82)</f>
        <v>46.82</v>
      </c>
      <c r="C101" s="1">
        <f ca="1">IFERROR(__xludf.DUMMYFUNCTION("""COMPUTED_VALUE"""),47.77)</f>
        <v>47.77</v>
      </c>
      <c r="D101" s="1">
        <f ca="1">IFERROR(__xludf.DUMMYFUNCTION("""COMPUTED_VALUE"""),46.62)</f>
        <v>46.62</v>
      </c>
      <c r="E101" s="1">
        <f ca="1">IFERROR(__xludf.DUMMYFUNCTION("""COMPUTED_VALUE"""),47.61)</f>
        <v>47.61</v>
      </c>
      <c r="F101" s="1">
        <f ca="1">IFERROR(__xludf.DUMMYFUNCTION("""COMPUTED_VALUE"""),27335639)</f>
        <v>27335639</v>
      </c>
    </row>
    <row r="102" spans="1:6" x14ac:dyDescent="0.35">
      <c r="A102" s="2">
        <f ca="1">IFERROR(__xludf.DUMMYFUNCTION("""COMPUTED_VALUE"""),42152.6666666666)</f>
        <v>42152.666666666599</v>
      </c>
      <c r="B102" s="1">
        <f ca="1">IFERROR(__xludf.DUMMYFUNCTION("""COMPUTED_VALUE"""),47.5)</f>
        <v>47.5</v>
      </c>
      <c r="C102" s="1">
        <f ca="1">IFERROR(__xludf.DUMMYFUNCTION("""COMPUTED_VALUE"""),48.02)</f>
        <v>48.02</v>
      </c>
      <c r="D102" s="1">
        <f ca="1">IFERROR(__xludf.DUMMYFUNCTION("""COMPUTED_VALUE"""),47.39)</f>
        <v>47.39</v>
      </c>
      <c r="E102" s="1">
        <f ca="1">IFERROR(__xludf.DUMMYFUNCTION("""COMPUTED_VALUE"""),47.45)</f>
        <v>47.45</v>
      </c>
      <c r="F102" s="1">
        <f ca="1">IFERROR(__xludf.DUMMYFUNCTION("""COMPUTED_VALUE"""),19283666)</f>
        <v>19283666</v>
      </c>
    </row>
    <row r="103" spans="1:6" x14ac:dyDescent="0.35">
      <c r="A103" s="2">
        <f ca="1">IFERROR(__xludf.DUMMYFUNCTION("""COMPUTED_VALUE"""),42153.6666666666)</f>
        <v>42153.666666666599</v>
      </c>
      <c r="B103" s="1">
        <f ca="1">IFERROR(__xludf.DUMMYFUNCTION("""COMPUTED_VALUE"""),47.43)</f>
        <v>47.43</v>
      </c>
      <c r="C103" s="1">
        <f ca="1">IFERROR(__xludf.DUMMYFUNCTION("""COMPUTED_VALUE"""),47.57)</f>
        <v>47.57</v>
      </c>
      <c r="D103" s="1">
        <f ca="1">IFERROR(__xludf.DUMMYFUNCTION("""COMPUTED_VALUE"""),46.59)</f>
        <v>46.59</v>
      </c>
      <c r="E103" s="1">
        <f ca="1">IFERROR(__xludf.DUMMYFUNCTION("""COMPUTED_VALUE"""),46.86)</f>
        <v>46.86</v>
      </c>
      <c r="F103" s="1">
        <f ca="1">IFERROR(__xludf.DUMMYFUNCTION("""COMPUTED_VALUE"""),36519594)</f>
        <v>36519594</v>
      </c>
    </row>
    <row r="104" spans="1:6" x14ac:dyDescent="0.35">
      <c r="A104" s="2">
        <f ca="1">IFERROR(__xludf.DUMMYFUNCTION("""COMPUTED_VALUE"""),42156.6666666666)</f>
        <v>42156.666666666599</v>
      </c>
      <c r="B104" s="1">
        <f ca="1">IFERROR(__xludf.DUMMYFUNCTION("""COMPUTED_VALUE"""),47.06)</f>
        <v>47.06</v>
      </c>
      <c r="C104" s="1">
        <f ca="1">IFERROR(__xludf.DUMMYFUNCTION("""COMPUTED_VALUE"""),47.77)</f>
        <v>47.77</v>
      </c>
      <c r="D104" s="1">
        <f ca="1">IFERROR(__xludf.DUMMYFUNCTION("""COMPUTED_VALUE"""),46.62)</f>
        <v>46.62</v>
      </c>
      <c r="E104" s="1">
        <f ca="1">IFERROR(__xludf.DUMMYFUNCTION("""COMPUTED_VALUE"""),47.23)</f>
        <v>47.23</v>
      </c>
      <c r="F104" s="1">
        <f ca="1">IFERROR(__xludf.DUMMYFUNCTION("""COMPUTED_VALUE"""),28837332)</f>
        <v>28837332</v>
      </c>
    </row>
    <row r="105" spans="1:6" x14ac:dyDescent="0.35">
      <c r="A105" s="2">
        <f ca="1">IFERROR(__xludf.DUMMYFUNCTION("""COMPUTED_VALUE"""),42157.6666666666)</f>
        <v>42157.666666666599</v>
      </c>
      <c r="B105" s="1">
        <f ca="1">IFERROR(__xludf.DUMMYFUNCTION("""COMPUTED_VALUE"""),46.95)</f>
        <v>46.95</v>
      </c>
      <c r="C105" s="1">
        <f ca="1">IFERROR(__xludf.DUMMYFUNCTION("""COMPUTED_VALUE"""),47.35)</f>
        <v>47.35</v>
      </c>
      <c r="D105" s="1">
        <f ca="1">IFERROR(__xludf.DUMMYFUNCTION("""COMPUTED_VALUE"""),46.62)</f>
        <v>46.62</v>
      </c>
      <c r="E105" s="1">
        <f ca="1">IFERROR(__xludf.DUMMYFUNCTION("""COMPUTED_VALUE"""),46.92)</f>
        <v>46.92</v>
      </c>
      <c r="F105" s="1">
        <f ca="1">IFERROR(__xludf.DUMMYFUNCTION("""COMPUTED_VALUE"""),21498326)</f>
        <v>21498326</v>
      </c>
    </row>
    <row r="106" spans="1:6" x14ac:dyDescent="0.35">
      <c r="A106" s="2">
        <f ca="1">IFERROR(__xludf.DUMMYFUNCTION("""COMPUTED_VALUE"""),42158.6666666666)</f>
        <v>42158.666666666599</v>
      </c>
      <c r="B106" s="1">
        <f ca="1">IFERROR(__xludf.DUMMYFUNCTION("""COMPUTED_VALUE"""),47.37)</f>
        <v>47.37</v>
      </c>
      <c r="C106" s="1">
        <f ca="1">IFERROR(__xludf.DUMMYFUNCTION("""COMPUTED_VALUE"""),47.74)</f>
        <v>47.74</v>
      </c>
      <c r="D106" s="1">
        <f ca="1">IFERROR(__xludf.DUMMYFUNCTION("""COMPUTED_VALUE"""),46.82)</f>
        <v>46.82</v>
      </c>
      <c r="E106" s="1">
        <f ca="1">IFERROR(__xludf.DUMMYFUNCTION("""COMPUTED_VALUE"""),46.85)</f>
        <v>46.85</v>
      </c>
      <c r="F106" s="1">
        <f ca="1">IFERROR(__xludf.DUMMYFUNCTION("""COMPUTED_VALUE"""),28002154)</f>
        <v>28002154</v>
      </c>
    </row>
    <row r="107" spans="1:6" x14ac:dyDescent="0.35">
      <c r="A107" s="2">
        <f ca="1">IFERROR(__xludf.DUMMYFUNCTION("""COMPUTED_VALUE"""),42159.6666666666)</f>
        <v>42159.666666666599</v>
      </c>
      <c r="B107" s="1">
        <f ca="1">IFERROR(__xludf.DUMMYFUNCTION("""COMPUTED_VALUE"""),46.79)</f>
        <v>46.79</v>
      </c>
      <c r="C107" s="1">
        <f ca="1">IFERROR(__xludf.DUMMYFUNCTION("""COMPUTED_VALUE"""),47.16)</f>
        <v>47.16</v>
      </c>
      <c r="D107" s="1">
        <f ca="1">IFERROR(__xludf.DUMMYFUNCTION("""COMPUTED_VALUE"""),46.2)</f>
        <v>46.2</v>
      </c>
      <c r="E107" s="1">
        <f ca="1">IFERROR(__xludf.DUMMYFUNCTION("""COMPUTED_VALUE"""),46.36)</f>
        <v>46.36</v>
      </c>
      <c r="F107" s="1">
        <f ca="1">IFERROR(__xludf.DUMMYFUNCTION("""COMPUTED_VALUE"""),27745512)</f>
        <v>27745512</v>
      </c>
    </row>
    <row r="108" spans="1:6" x14ac:dyDescent="0.35">
      <c r="A108" s="2">
        <f ca="1">IFERROR(__xludf.DUMMYFUNCTION("""COMPUTED_VALUE"""),42160.6666666666)</f>
        <v>42160.666666666599</v>
      </c>
      <c r="B108" s="1">
        <f ca="1">IFERROR(__xludf.DUMMYFUNCTION("""COMPUTED_VALUE"""),46.31)</f>
        <v>46.31</v>
      </c>
      <c r="C108" s="1">
        <f ca="1">IFERROR(__xludf.DUMMYFUNCTION("""COMPUTED_VALUE"""),46.52)</f>
        <v>46.52</v>
      </c>
      <c r="D108" s="1">
        <f ca="1">IFERROR(__xludf.DUMMYFUNCTION("""COMPUTED_VALUE"""),45.84)</f>
        <v>45.84</v>
      </c>
      <c r="E108" s="1">
        <f ca="1">IFERROR(__xludf.DUMMYFUNCTION("""COMPUTED_VALUE"""),46.14)</f>
        <v>46.14</v>
      </c>
      <c r="F108" s="1">
        <f ca="1">IFERROR(__xludf.DUMMYFUNCTION("""COMPUTED_VALUE"""),25438086)</f>
        <v>25438086</v>
      </c>
    </row>
    <row r="109" spans="1:6" x14ac:dyDescent="0.35">
      <c r="A109" s="2">
        <f ca="1">IFERROR(__xludf.DUMMYFUNCTION("""COMPUTED_VALUE"""),42163.6666666666)</f>
        <v>42163.666666666599</v>
      </c>
      <c r="B109" s="1">
        <f ca="1">IFERROR(__xludf.DUMMYFUNCTION("""COMPUTED_VALUE"""),46.3)</f>
        <v>46.3</v>
      </c>
      <c r="C109" s="1">
        <f ca="1">IFERROR(__xludf.DUMMYFUNCTION("""COMPUTED_VALUE"""),46.43)</f>
        <v>46.43</v>
      </c>
      <c r="D109" s="1">
        <f ca="1">IFERROR(__xludf.DUMMYFUNCTION("""COMPUTED_VALUE"""),45.67)</f>
        <v>45.67</v>
      </c>
      <c r="E109" s="1">
        <f ca="1">IFERROR(__xludf.DUMMYFUNCTION("""COMPUTED_VALUE"""),45.73)</f>
        <v>45.73</v>
      </c>
      <c r="F109" s="1">
        <f ca="1">IFERROR(__xludf.DUMMYFUNCTION("""COMPUTED_VALUE"""),22121634)</f>
        <v>22121634</v>
      </c>
    </row>
    <row r="110" spans="1:6" x14ac:dyDescent="0.35">
      <c r="A110" s="2">
        <f ca="1">IFERROR(__xludf.DUMMYFUNCTION("""COMPUTED_VALUE"""),42164.6666666666)</f>
        <v>42164.666666666599</v>
      </c>
      <c r="B110" s="1">
        <f ca="1">IFERROR(__xludf.DUMMYFUNCTION("""COMPUTED_VALUE"""),45.76)</f>
        <v>45.76</v>
      </c>
      <c r="C110" s="1">
        <f ca="1">IFERROR(__xludf.DUMMYFUNCTION("""COMPUTED_VALUE"""),45.94)</f>
        <v>45.94</v>
      </c>
      <c r="D110" s="1">
        <f ca="1">IFERROR(__xludf.DUMMYFUNCTION("""COMPUTED_VALUE"""),45.46)</f>
        <v>45.46</v>
      </c>
      <c r="E110" s="1">
        <f ca="1">IFERROR(__xludf.DUMMYFUNCTION("""COMPUTED_VALUE"""),45.65)</f>
        <v>45.65</v>
      </c>
      <c r="F110" s="1">
        <f ca="1">IFERROR(__xludf.DUMMYFUNCTION("""COMPUTED_VALUE"""),24406057)</f>
        <v>24406057</v>
      </c>
    </row>
    <row r="111" spans="1:6" x14ac:dyDescent="0.35">
      <c r="A111" s="2">
        <f ca="1">IFERROR(__xludf.DUMMYFUNCTION("""COMPUTED_VALUE"""),42165.6666666666)</f>
        <v>42165.666666666599</v>
      </c>
      <c r="B111" s="1">
        <f ca="1">IFERROR(__xludf.DUMMYFUNCTION("""COMPUTED_VALUE"""),45.79)</f>
        <v>45.79</v>
      </c>
      <c r="C111" s="1">
        <f ca="1">IFERROR(__xludf.DUMMYFUNCTION("""COMPUTED_VALUE"""),46.83)</f>
        <v>46.83</v>
      </c>
      <c r="D111" s="1">
        <f ca="1">IFERROR(__xludf.DUMMYFUNCTION("""COMPUTED_VALUE"""),45.69)</f>
        <v>45.69</v>
      </c>
      <c r="E111" s="1">
        <f ca="1">IFERROR(__xludf.DUMMYFUNCTION("""COMPUTED_VALUE"""),46.61)</f>
        <v>46.61</v>
      </c>
      <c r="F111" s="1">
        <f ca="1">IFERROR(__xludf.DUMMYFUNCTION("""COMPUTED_VALUE"""),28417405)</f>
        <v>28417405</v>
      </c>
    </row>
    <row r="112" spans="1:6" x14ac:dyDescent="0.35">
      <c r="A112" s="2">
        <f ca="1">IFERROR(__xludf.DUMMYFUNCTION("""COMPUTED_VALUE"""),42166.6666666666)</f>
        <v>42166.666666666599</v>
      </c>
      <c r="B112" s="1">
        <f ca="1">IFERROR(__xludf.DUMMYFUNCTION("""COMPUTED_VALUE"""),46.66)</f>
        <v>46.66</v>
      </c>
      <c r="C112" s="1">
        <f ca="1">IFERROR(__xludf.DUMMYFUNCTION("""COMPUTED_VALUE"""),46.92)</f>
        <v>46.92</v>
      </c>
      <c r="D112" s="1">
        <f ca="1">IFERROR(__xludf.DUMMYFUNCTION("""COMPUTED_VALUE"""),46.13)</f>
        <v>46.13</v>
      </c>
      <c r="E112" s="1">
        <f ca="1">IFERROR(__xludf.DUMMYFUNCTION("""COMPUTED_VALUE"""),46.44)</f>
        <v>46.44</v>
      </c>
      <c r="F112" s="1">
        <f ca="1">IFERROR(__xludf.DUMMYFUNCTION("""COMPUTED_VALUE"""),27347758)</f>
        <v>27347758</v>
      </c>
    </row>
    <row r="113" spans="1:6" x14ac:dyDescent="0.35">
      <c r="A113" s="2">
        <f ca="1">IFERROR(__xludf.DUMMYFUNCTION("""COMPUTED_VALUE"""),42167.6666666666)</f>
        <v>42167.666666666599</v>
      </c>
      <c r="B113" s="1">
        <f ca="1">IFERROR(__xludf.DUMMYFUNCTION("""COMPUTED_VALUE"""),46.2)</f>
        <v>46.2</v>
      </c>
      <c r="C113" s="1">
        <f ca="1">IFERROR(__xludf.DUMMYFUNCTION("""COMPUTED_VALUE"""),46.47)</f>
        <v>46.47</v>
      </c>
      <c r="D113" s="1">
        <f ca="1">IFERROR(__xludf.DUMMYFUNCTION("""COMPUTED_VALUE"""),45.9)</f>
        <v>45.9</v>
      </c>
      <c r="E113" s="1">
        <f ca="1">IFERROR(__xludf.DUMMYFUNCTION("""COMPUTED_VALUE"""),45.97)</f>
        <v>45.97</v>
      </c>
      <c r="F113" s="1">
        <f ca="1">IFERROR(__xludf.DUMMYFUNCTION("""COMPUTED_VALUE"""),23930972)</f>
        <v>23930972</v>
      </c>
    </row>
    <row r="114" spans="1:6" x14ac:dyDescent="0.35">
      <c r="A114" s="2">
        <f ca="1">IFERROR(__xludf.DUMMYFUNCTION("""COMPUTED_VALUE"""),42170.6666666666)</f>
        <v>42170.666666666599</v>
      </c>
      <c r="B114" s="1">
        <f ca="1">IFERROR(__xludf.DUMMYFUNCTION("""COMPUTED_VALUE"""),45.45)</f>
        <v>45.45</v>
      </c>
      <c r="C114" s="1">
        <f ca="1">IFERROR(__xludf.DUMMYFUNCTION("""COMPUTED_VALUE"""),45.65)</f>
        <v>45.65</v>
      </c>
      <c r="D114" s="1">
        <f ca="1">IFERROR(__xludf.DUMMYFUNCTION("""COMPUTED_VALUE"""),45.02)</f>
        <v>45.02</v>
      </c>
      <c r="E114" s="1">
        <f ca="1">IFERROR(__xludf.DUMMYFUNCTION("""COMPUTED_VALUE"""),45.48)</f>
        <v>45.48</v>
      </c>
      <c r="F114" s="1">
        <f ca="1">IFERROR(__xludf.DUMMYFUNCTION("""COMPUTED_VALUE"""),33254517)</f>
        <v>33254517</v>
      </c>
    </row>
    <row r="115" spans="1:6" x14ac:dyDescent="0.35">
      <c r="A115" s="2">
        <f ca="1">IFERROR(__xludf.DUMMYFUNCTION("""COMPUTED_VALUE"""),42171.6666666666)</f>
        <v>42171.666666666599</v>
      </c>
      <c r="B115" s="1">
        <f ca="1">IFERROR(__xludf.DUMMYFUNCTION("""COMPUTED_VALUE"""),45.35)</f>
        <v>45.35</v>
      </c>
      <c r="C115" s="1">
        <f ca="1">IFERROR(__xludf.DUMMYFUNCTION("""COMPUTED_VALUE"""),46.24)</f>
        <v>46.24</v>
      </c>
      <c r="D115" s="1">
        <f ca="1">IFERROR(__xludf.DUMMYFUNCTION("""COMPUTED_VALUE"""),45.3)</f>
        <v>45.3</v>
      </c>
      <c r="E115" s="1">
        <f ca="1">IFERROR(__xludf.DUMMYFUNCTION("""COMPUTED_VALUE"""),45.83)</f>
        <v>45.83</v>
      </c>
      <c r="F115" s="1">
        <f ca="1">IFERROR(__xludf.DUMMYFUNCTION("""COMPUTED_VALUE"""),27070306)</f>
        <v>27070306</v>
      </c>
    </row>
    <row r="116" spans="1:6" x14ac:dyDescent="0.35">
      <c r="A116" s="2">
        <f ca="1">IFERROR(__xludf.DUMMYFUNCTION("""COMPUTED_VALUE"""),42172.6666666666)</f>
        <v>42172.666666666599</v>
      </c>
      <c r="B116" s="1">
        <f ca="1">IFERROR(__xludf.DUMMYFUNCTION("""COMPUTED_VALUE"""),45.73)</f>
        <v>45.73</v>
      </c>
      <c r="C116" s="1">
        <f ca="1">IFERROR(__xludf.DUMMYFUNCTION("""COMPUTED_VALUE"""),46.07)</f>
        <v>46.07</v>
      </c>
      <c r="D116" s="1">
        <f ca="1">IFERROR(__xludf.DUMMYFUNCTION("""COMPUTED_VALUE"""),45.36)</f>
        <v>45.36</v>
      </c>
      <c r="E116" s="1">
        <f ca="1">IFERROR(__xludf.DUMMYFUNCTION("""COMPUTED_VALUE"""),45.97)</f>
        <v>45.97</v>
      </c>
      <c r="F116" s="1">
        <f ca="1">IFERROR(__xludf.DUMMYFUNCTION("""COMPUTED_VALUE"""),28704061)</f>
        <v>28704061</v>
      </c>
    </row>
    <row r="117" spans="1:6" x14ac:dyDescent="0.35">
      <c r="A117" s="2">
        <f ca="1">IFERROR(__xludf.DUMMYFUNCTION("""COMPUTED_VALUE"""),42173.6666666666)</f>
        <v>42173.666666666599</v>
      </c>
      <c r="B117" s="1">
        <f ca="1">IFERROR(__xludf.DUMMYFUNCTION("""COMPUTED_VALUE"""),46.22)</f>
        <v>46.22</v>
      </c>
      <c r="C117" s="1">
        <f ca="1">IFERROR(__xludf.DUMMYFUNCTION("""COMPUTED_VALUE"""),46.8)</f>
        <v>46.8</v>
      </c>
      <c r="D117" s="1">
        <f ca="1">IFERROR(__xludf.DUMMYFUNCTION("""COMPUTED_VALUE"""),46.17)</f>
        <v>46.17</v>
      </c>
      <c r="E117" s="1">
        <f ca="1">IFERROR(__xludf.DUMMYFUNCTION("""COMPUTED_VALUE"""),46.72)</f>
        <v>46.72</v>
      </c>
      <c r="F117" s="1">
        <f ca="1">IFERROR(__xludf.DUMMYFUNCTION("""COMPUTED_VALUE"""),32658343)</f>
        <v>32658343</v>
      </c>
    </row>
    <row r="118" spans="1:6" x14ac:dyDescent="0.35">
      <c r="A118" s="2">
        <f ca="1">IFERROR(__xludf.DUMMYFUNCTION("""COMPUTED_VALUE"""),42174.6666666666)</f>
        <v>42174.666666666599</v>
      </c>
      <c r="B118" s="1">
        <f ca="1">IFERROR(__xludf.DUMMYFUNCTION("""COMPUTED_VALUE"""),46.79)</f>
        <v>46.79</v>
      </c>
      <c r="C118" s="1">
        <f ca="1">IFERROR(__xludf.DUMMYFUNCTION("""COMPUTED_VALUE"""),46.83)</f>
        <v>46.83</v>
      </c>
      <c r="D118" s="1">
        <f ca="1">IFERROR(__xludf.DUMMYFUNCTION("""COMPUTED_VALUE"""),45.99)</f>
        <v>45.99</v>
      </c>
      <c r="E118" s="1">
        <f ca="1">IFERROR(__xludf.DUMMYFUNCTION("""COMPUTED_VALUE"""),46.1)</f>
        <v>46.1</v>
      </c>
      <c r="F118" s="1">
        <f ca="1">IFERROR(__xludf.DUMMYFUNCTION("""COMPUTED_VALUE"""),63837036)</f>
        <v>63837036</v>
      </c>
    </row>
    <row r="119" spans="1:6" x14ac:dyDescent="0.35">
      <c r="A119" s="2">
        <f ca="1">IFERROR(__xludf.DUMMYFUNCTION("""COMPUTED_VALUE"""),42177.6666666666)</f>
        <v>42177.666666666599</v>
      </c>
      <c r="B119" s="1">
        <f ca="1">IFERROR(__xludf.DUMMYFUNCTION("""COMPUTED_VALUE"""),46.33)</f>
        <v>46.33</v>
      </c>
      <c r="C119" s="1">
        <f ca="1">IFERROR(__xludf.DUMMYFUNCTION("""COMPUTED_VALUE"""),46.72)</f>
        <v>46.72</v>
      </c>
      <c r="D119" s="1">
        <f ca="1">IFERROR(__xludf.DUMMYFUNCTION("""COMPUTED_VALUE"""),46.16)</f>
        <v>46.16</v>
      </c>
      <c r="E119" s="1">
        <f ca="1">IFERROR(__xludf.DUMMYFUNCTION("""COMPUTED_VALUE"""),46.23)</f>
        <v>46.23</v>
      </c>
      <c r="F119" s="1">
        <f ca="1">IFERROR(__xludf.DUMMYFUNCTION("""COMPUTED_VALUE"""),20318055)</f>
        <v>20318055</v>
      </c>
    </row>
    <row r="120" spans="1:6" x14ac:dyDescent="0.35">
      <c r="A120" s="2">
        <f ca="1">IFERROR(__xludf.DUMMYFUNCTION("""COMPUTED_VALUE"""),42178.6666666666)</f>
        <v>42178.666666666599</v>
      </c>
      <c r="B120" s="1">
        <f ca="1">IFERROR(__xludf.DUMMYFUNCTION("""COMPUTED_VALUE"""),46.13)</f>
        <v>46.13</v>
      </c>
      <c r="C120" s="1">
        <f ca="1">IFERROR(__xludf.DUMMYFUNCTION("""COMPUTED_VALUE"""),46.28)</f>
        <v>46.28</v>
      </c>
      <c r="D120" s="1">
        <f ca="1">IFERROR(__xludf.DUMMYFUNCTION("""COMPUTED_VALUE"""),45.62)</f>
        <v>45.62</v>
      </c>
      <c r="E120" s="1">
        <f ca="1">IFERROR(__xludf.DUMMYFUNCTION("""COMPUTED_VALUE"""),45.91)</f>
        <v>45.91</v>
      </c>
      <c r="F120" s="1">
        <f ca="1">IFERROR(__xludf.DUMMYFUNCTION("""COMPUTED_VALUE"""),25896473)</f>
        <v>25896473</v>
      </c>
    </row>
    <row r="121" spans="1:6" x14ac:dyDescent="0.35">
      <c r="A121" s="2">
        <f ca="1">IFERROR(__xludf.DUMMYFUNCTION("""COMPUTED_VALUE"""),42179.6666666666)</f>
        <v>42179.666666666599</v>
      </c>
      <c r="B121" s="1">
        <f ca="1">IFERROR(__xludf.DUMMYFUNCTION("""COMPUTED_VALUE"""),45.68)</f>
        <v>45.68</v>
      </c>
      <c r="C121" s="1">
        <f ca="1">IFERROR(__xludf.DUMMYFUNCTION("""COMPUTED_VALUE"""),46.25)</f>
        <v>46.25</v>
      </c>
      <c r="D121" s="1">
        <f ca="1">IFERROR(__xludf.DUMMYFUNCTION("""COMPUTED_VALUE"""),45.55)</f>
        <v>45.55</v>
      </c>
      <c r="E121" s="1">
        <f ca="1">IFERROR(__xludf.DUMMYFUNCTION("""COMPUTED_VALUE"""),45.64)</f>
        <v>45.64</v>
      </c>
      <c r="F121" s="1">
        <f ca="1">IFERROR(__xludf.DUMMYFUNCTION("""COMPUTED_VALUE"""),34890901)</f>
        <v>34890901</v>
      </c>
    </row>
    <row r="122" spans="1:6" x14ac:dyDescent="0.35">
      <c r="A122" s="2">
        <f ca="1">IFERROR(__xludf.DUMMYFUNCTION("""COMPUTED_VALUE"""),42180.6666666666)</f>
        <v>42180.666666666599</v>
      </c>
      <c r="B122" s="1">
        <f ca="1">IFERROR(__xludf.DUMMYFUNCTION("""COMPUTED_VALUE"""),46.03)</f>
        <v>46.03</v>
      </c>
      <c r="C122" s="1">
        <f ca="1">IFERROR(__xludf.DUMMYFUNCTION("""COMPUTED_VALUE"""),46.06)</f>
        <v>46.06</v>
      </c>
      <c r="D122" s="1">
        <f ca="1">IFERROR(__xludf.DUMMYFUNCTION("""COMPUTED_VALUE"""),45.5)</f>
        <v>45.5</v>
      </c>
      <c r="E122" s="1">
        <f ca="1">IFERROR(__xludf.DUMMYFUNCTION("""COMPUTED_VALUE"""),45.65)</f>
        <v>45.65</v>
      </c>
      <c r="F122" s="1">
        <f ca="1">IFERROR(__xludf.DUMMYFUNCTION("""COMPUTED_VALUE"""),20615995)</f>
        <v>20615995</v>
      </c>
    </row>
    <row r="123" spans="1:6" x14ac:dyDescent="0.35">
      <c r="A123" s="2">
        <f ca="1">IFERROR(__xludf.DUMMYFUNCTION("""COMPUTED_VALUE"""),42181.6666666666)</f>
        <v>42181.666666666599</v>
      </c>
      <c r="B123" s="1">
        <f ca="1">IFERROR(__xludf.DUMMYFUNCTION("""COMPUTED_VALUE"""),45.65)</f>
        <v>45.65</v>
      </c>
      <c r="C123" s="1">
        <f ca="1">IFERROR(__xludf.DUMMYFUNCTION("""COMPUTED_VALUE"""),46.28)</f>
        <v>46.28</v>
      </c>
      <c r="D123" s="1">
        <f ca="1">IFERROR(__xludf.DUMMYFUNCTION("""COMPUTED_VALUE"""),45.03)</f>
        <v>45.03</v>
      </c>
      <c r="E123" s="1">
        <f ca="1">IFERROR(__xludf.DUMMYFUNCTION("""COMPUTED_VALUE"""),45.26)</f>
        <v>45.26</v>
      </c>
      <c r="F123" s="1">
        <f ca="1">IFERROR(__xludf.DUMMYFUNCTION("""COMPUTED_VALUE"""),49835287)</f>
        <v>49835287</v>
      </c>
    </row>
    <row r="124" spans="1:6" x14ac:dyDescent="0.35">
      <c r="A124" s="2">
        <f ca="1">IFERROR(__xludf.DUMMYFUNCTION("""COMPUTED_VALUE"""),42184.6666666666)</f>
        <v>42184.666666666599</v>
      </c>
      <c r="B124" s="1">
        <f ca="1">IFERROR(__xludf.DUMMYFUNCTION("""COMPUTED_VALUE"""),45.04)</f>
        <v>45.04</v>
      </c>
      <c r="C124" s="1">
        <f ca="1">IFERROR(__xludf.DUMMYFUNCTION("""COMPUTED_VALUE"""),45.23)</f>
        <v>45.23</v>
      </c>
      <c r="D124" s="1">
        <f ca="1">IFERROR(__xludf.DUMMYFUNCTION("""COMPUTED_VALUE"""),44.36)</f>
        <v>44.36</v>
      </c>
      <c r="E124" s="1">
        <f ca="1">IFERROR(__xludf.DUMMYFUNCTION("""COMPUTED_VALUE"""),44.37)</f>
        <v>44.37</v>
      </c>
      <c r="F124" s="1">
        <f ca="1">IFERROR(__xludf.DUMMYFUNCTION("""COMPUTED_VALUE"""),34081746)</f>
        <v>34081746</v>
      </c>
    </row>
    <row r="125" spans="1:6" x14ac:dyDescent="0.35">
      <c r="A125" s="2">
        <f ca="1">IFERROR(__xludf.DUMMYFUNCTION("""COMPUTED_VALUE"""),42185.6666666666)</f>
        <v>42185.666666666599</v>
      </c>
      <c r="B125" s="1">
        <f ca="1">IFERROR(__xludf.DUMMYFUNCTION("""COMPUTED_VALUE"""),44.71)</f>
        <v>44.71</v>
      </c>
      <c r="C125" s="1">
        <f ca="1">IFERROR(__xludf.DUMMYFUNCTION("""COMPUTED_VALUE"""),44.72)</f>
        <v>44.72</v>
      </c>
      <c r="D125" s="1">
        <f ca="1">IFERROR(__xludf.DUMMYFUNCTION("""COMPUTED_VALUE"""),43.94)</f>
        <v>43.94</v>
      </c>
      <c r="E125" s="1">
        <f ca="1">IFERROR(__xludf.DUMMYFUNCTION("""COMPUTED_VALUE"""),44.15)</f>
        <v>44.15</v>
      </c>
      <c r="F125" s="1">
        <f ca="1">IFERROR(__xludf.DUMMYFUNCTION("""COMPUTED_VALUE"""),35945384)</f>
        <v>35945384</v>
      </c>
    </row>
    <row r="126" spans="1:6" x14ac:dyDescent="0.35">
      <c r="A126" s="2">
        <f ca="1">IFERROR(__xludf.DUMMYFUNCTION("""COMPUTED_VALUE"""),42186.6666666666)</f>
        <v>42186.666666666599</v>
      </c>
      <c r="B126" s="1">
        <f ca="1">IFERROR(__xludf.DUMMYFUNCTION("""COMPUTED_VALUE"""),44.49)</f>
        <v>44.49</v>
      </c>
      <c r="C126" s="1">
        <f ca="1">IFERROR(__xludf.DUMMYFUNCTION("""COMPUTED_VALUE"""),45.23)</f>
        <v>45.23</v>
      </c>
      <c r="D126" s="1">
        <f ca="1">IFERROR(__xludf.DUMMYFUNCTION("""COMPUTED_VALUE"""),44.1)</f>
        <v>44.1</v>
      </c>
      <c r="E126" s="1">
        <f ca="1">IFERROR(__xludf.DUMMYFUNCTION("""COMPUTED_VALUE"""),44.45)</f>
        <v>44.45</v>
      </c>
      <c r="F126" s="1">
        <f ca="1">IFERROR(__xludf.DUMMYFUNCTION("""COMPUTED_VALUE"""),28343907)</f>
        <v>28343907</v>
      </c>
    </row>
    <row r="127" spans="1:6" x14ac:dyDescent="0.35">
      <c r="A127" s="2">
        <f ca="1">IFERROR(__xludf.DUMMYFUNCTION("""COMPUTED_VALUE"""),42187.6666666666)</f>
        <v>42187.666666666599</v>
      </c>
      <c r="B127" s="1">
        <f ca="1">IFERROR(__xludf.DUMMYFUNCTION("""COMPUTED_VALUE"""),44.48)</f>
        <v>44.48</v>
      </c>
      <c r="C127" s="1">
        <f ca="1">IFERROR(__xludf.DUMMYFUNCTION("""COMPUTED_VALUE"""),44.75)</f>
        <v>44.75</v>
      </c>
      <c r="D127" s="1">
        <f ca="1">IFERROR(__xludf.DUMMYFUNCTION("""COMPUTED_VALUE"""),44.06)</f>
        <v>44.06</v>
      </c>
      <c r="E127" s="1">
        <f ca="1">IFERROR(__xludf.DUMMYFUNCTION("""COMPUTED_VALUE"""),44.4)</f>
        <v>44.4</v>
      </c>
      <c r="F127" s="1">
        <f ca="1">IFERROR(__xludf.DUMMYFUNCTION("""COMPUTED_VALUE"""),21752013)</f>
        <v>21752013</v>
      </c>
    </row>
    <row r="128" spans="1:6" x14ac:dyDescent="0.35">
      <c r="A128" s="2">
        <f ca="1">IFERROR(__xludf.DUMMYFUNCTION("""COMPUTED_VALUE"""),42191.6666666666)</f>
        <v>42191.666666666599</v>
      </c>
      <c r="B128" s="1">
        <f ca="1">IFERROR(__xludf.DUMMYFUNCTION("""COMPUTED_VALUE"""),43.96)</f>
        <v>43.96</v>
      </c>
      <c r="C128" s="1">
        <f ca="1">IFERROR(__xludf.DUMMYFUNCTION("""COMPUTED_VALUE"""),44.48)</f>
        <v>44.48</v>
      </c>
      <c r="D128" s="1">
        <f ca="1">IFERROR(__xludf.DUMMYFUNCTION("""COMPUTED_VALUE"""),43.95)</f>
        <v>43.95</v>
      </c>
      <c r="E128" s="1">
        <f ca="1">IFERROR(__xludf.DUMMYFUNCTION("""COMPUTED_VALUE"""),44.39)</f>
        <v>44.39</v>
      </c>
      <c r="F128" s="1">
        <f ca="1">IFERROR(__xludf.DUMMYFUNCTION("""COMPUTED_VALUE"""),23033961)</f>
        <v>23033961</v>
      </c>
    </row>
    <row r="129" spans="1:6" x14ac:dyDescent="0.35">
      <c r="A129" s="2">
        <f ca="1">IFERROR(__xludf.DUMMYFUNCTION("""COMPUTED_VALUE"""),42192.6666666666)</f>
        <v>42192.666666666599</v>
      </c>
      <c r="B129" s="1">
        <f ca="1">IFERROR(__xludf.DUMMYFUNCTION("""COMPUTED_VALUE"""),44.34)</f>
        <v>44.34</v>
      </c>
      <c r="C129" s="1">
        <f ca="1">IFERROR(__xludf.DUMMYFUNCTION("""COMPUTED_VALUE"""),44.49)</f>
        <v>44.49</v>
      </c>
      <c r="D129" s="1">
        <f ca="1">IFERROR(__xludf.DUMMYFUNCTION("""COMPUTED_VALUE"""),43.32)</f>
        <v>43.32</v>
      </c>
      <c r="E129" s="1">
        <f ca="1">IFERROR(__xludf.DUMMYFUNCTION("""COMPUTED_VALUE"""),44.3)</f>
        <v>44.3</v>
      </c>
      <c r="F129" s="1">
        <f ca="1">IFERROR(__xludf.DUMMYFUNCTION("""COMPUTED_VALUE"""),36435827)</f>
        <v>36435827</v>
      </c>
    </row>
    <row r="130" spans="1:6" x14ac:dyDescent="0.35">
      <c r="A130" s="2">
        <f ca="1">IFERROR(__xludf.DUMMYFUNCTION("""COMPUTED_VALUE"""),42193.6666666666)</f>
        <v>42193.666666666599</v>
      </c>
      <c r="B130" s="1">
        <f ca="1">IFERROR(__xludf.DUMMYFUNCTION("""COMPUTED_VALUE"""),44.44)</f>
        <v>44.44</v>
      </c>
      <c r="C130" s="1">
        <f ca="1">IFERROR(__xludf.DUMMYFUNCTION("""COMPUTED_VALUE"""),44.9)</f>
        <v>44.9</v>
      </c>
      <c r="D130" s="1">
        <f ca="1">IFERROR(__xludf.DUMMYFUNCTION("""COMPUTED_VALUE"""),44.03)</f>
        <v>44.03</v>
      </c>
      <c r="E130" s="1">
        <f ca="1">IFERROR(__xludf.DUMMYFUNCTION("""COMPUTED_VALUE"""),44.24)</f>
        <v>44.24</v>
      </c>
      <c r="F130" s="1">
        <f ca="1">IFERROR(__xludf.DUMMYFUNCTION("""COMPUTED_VALUE"""),39785901)</f>
        <v>39785901</v>
      </c>
    </row>
    <row r="131" spans="1:6" x14ac:dyDescent="0.35">
      <c r="A131" s="2">
        <f ca="1">IFERROR(__xludf.DUMMYFUNCTION("""COMPUTED_VALUE"""),42194.6666666666)</f>
        <v>42194.666666666599</v>
      </c>
      <c r="B131" s="1">
        <f ca="1">IFERROR(__xludf.DUMMYFUNCTION("""COMPUTED_VALUE"""),44.75)</f>
        <v>44.75</v>
      </c>
      <c r="C131" s="1">
        <f ca="1">IFERROR(__xludf.DUMMYFUNCTION("""COMPUTED_VALUE"""),45.22)</f>
        <v>45.22</v>
      </c>
      <c r="D131" s="1">
        <f ca="1">IFERROR(__xludf.DUMMYFUNCTION("""COMPUTED_VALUE"""),44.5)</f>
        <v>44.5</v>
      </c>
      <c r="E131" s="1">
        <f ca="1">IFERROR(__xludf.DUMMYFUNCTION("""COMPUTED_VALUE"""),44.52)</f>
        <v>44.52</v>
      </c>
      <c r="F131" s="1">
        <f ca="1">IFERROR(__xludf.DUMMYFUNCTION("""COMPUTED_VALUE"""),32424672)</f>
        <v>32424672</v>
      </c>
    </row>
    <row r="132" spans="1:6" x14ac:dyDescent="0.35">
      <c r="A132" s="2">
        <f ca="1">IFERROR(__xludf.DUMMYFUNCTION("""COMPUTED_VALUE"""),42195.6666666666)</f>
        <v>42195.666666666599</v>
      </c>
      <c r="B132" s="1">
        <f ca="1">IFERROR(__xludf.DUMMYFUNCTION("""COMPUTED_VALUE"""),45.01)</f>
        <v>45.01</v>
      </c>
      <c r="C132" s="1">
        <f ca="1">IFERROR(__xludf.DUMMYFUNCTION("""COMPUTED_VALUE"""),45.14)</f>
        <v>45.14</v>
      </c>
      <c r="D132" s="1">
        <f ca="1">IFERROR(__xludf.DUMMYFUNCTION("""COMPUTED_VALUE"""),44.57)</f>
        <v>44.57</v>
      </c>
      <c r="E132" s="1">
        <f ca="1">IFERROR(__xludf.DUMMYFUNCTION("""COMPUTED_VALUE"""),44.61)</f>
        <v>44.61</v>
      </c>
      <c r="F132" s="1">
        <f ca="1">IFERROR(__xludf.DUMMYFUNCTION("""COMPUTED_VALUE"""),25465757)</f>
        <v>25465757</v>
      </c>
    </row>
    <row r="133" spans="1:6" x14ac:dyDescent="0.35">
      <c r="A133" s="2">
        <f ca="1">IFERROR(__xludf.DUMMYFUNCTION("""COMPUTED_VALUE"""),42198.6666666666)</f>
        <v>42198.666666666599</v>
      </c>
      <c r="B133" s="1">
        <f ca="1">IFERROR(__xludf.DUMMYFUNCTION("""COMPUTED_VALUE"""),44.98)</f>
        <v>44.98</v>
      </c>
      <c r="C133" s="1">
        <f ca="1">IFERROR(__xludf.DUMMYFUNCTION("""COMPUTED_VALUE"""),45.62)</f>
        <v>45.62</v>
      </c>
      <c r="D133" s="1">
        <f ca="1">IFERROR(__xludf.DUMMYFUNCTION("""COMPUTED_VALUE"""),44.95)</f>
        <v>44.95</v>
      </c>
      <c r="E133" s="1">
        <f ca="1">IFERROR(__xludf.DUMMYFUNCTION("""COMPUTED_VALUE"""),45.54)</f>
        <v>45.54</v>
      </c>
      <c r="F133" s="1">
        <f ca="1">IFERROR(__xludf.DUMMYFUNCTION("""COMPUTED_VALUE"""),28178329)</f>
        <v>28178329</v>
      </c>
    </row>
    <row r="134" spans="1:6" x14ac:dyDescent="0.35">
      <c r="A134" s="2">
        <f ca="1">IFERROR(__xludf.DUMMYFUNCTION("""COMPUTED_VALUE"""),42199.6666666666)</f>
        <v>42199.666666666599</v>
      </c>
      <c r="B134" s="1">
        <f ca="1">IFERROR(__xludf.DUMMYFUNCTION("""COMPUTED_VALUE"""),45.45)</f>
        <v>45.45</v>
      </c>
      <c r="C134" s="1">
        <f ca="1">IFERROR(__xludf.DUMMYFUNCTION("""COMPUTED_VALUE"""),45.96)</f>
        <v>45.96</v>
      </c>
      <c r="D134" s="1">
        <f ca="1">IFERROR(__xludf.DUMMYFUNCTION("""COMPUTED_VALUE"""),45.31)</f>
        <v>45.31</v>
      </c>
      <c r="E134" s="1">
        <f ca="1">IFERROR(__xludf.DUMMYFUNCTION("""COMPUTED_VALUE"""),45.62)</f>
        <v>45.62</v>
      </c>
      <c r="F134" s="1">
        <f ca="1">IFERROR(__xludf.DUMMYFUNCTION("""COMPUTED_VALUE"""),22880260)</f>
        <v>22880260</v>
      </c>
    </row>
    <row r="135" spans="1:6" x14ac:dyDescent="0.35">
      <c r="A135" s="2">
        <f ca="1">IFERROR(__xludf.DUMMYFUNCTION("""COMPUTED_VALUE"""),42200.6666666666)</f>
        <v>42200.666666666599</v>
      </c>
      <c r="B135" s="1">
        <f ca="1">IFERROR(__xludf.DUMMYFUNCTION("""COMPUTED_VALUE"""),45.68)</f>
        <v>45.68</v>
      </c>
      <c r="C135" s="1">
        <f ca="1">IFERROR(__xludf.DUMMYFUNCTION("""COMPUTED_VALUE"""),45.89)</f>
        <v>45.89</v>
      </c>
      <c r="D135" s="1">
        <f ca="1">IFERROR(__xludf.DUMMYFUNCTION("""COMPUTED_VALUE"""),45.43)</f>
        <v>45.43</v>
      </c>
      <c r="E135" s="1">
        <f ca="1">IFERROR(__xludf.DUMMYFUNCTION("""COMPUTED_VALUE"""),45.76)</f>
        <v>45.76</v>
      </c>
      <c r="F135" s="1">
        <f ca="1">IFERROR(__xludf.DUMMYFUNCTION("""COMPUTED_VALUE"""),26629615)</f>
        <v>26629615</v>
      </c>
    </row>
    <row r="136" spans="1:6" x14ac:dyDescent="0.35">
      <c r="A136" s="2">
        <f ca="1">IFERROR(__xludf.DUMMYFUNCTION("""COMPUTED_VALUE"""),42201.6666666666)</f>
        <v>42201.666666666599</v>
      </c>
      <c r="B136" s="1">
        <f ca="1">IFERROR(__xludf.DUMMYFUNCTION("""COMPUTED_VALUE"""),46.01)</f>
        <v>46.01</v>
      </c>
      <c r="C136" s="1">
        <f ca="1">IFERROR(__xludf.DUMMYFUNCTION("""COMPUTED_VALUE"""),46.69)</f>
        <v>46.69</v>
      </c>
      <c r="D136" s="1">
        <f ca="1">IFERROR(__xludf.DUMMYFUNCTION("""COMPUTED_VALUE"""),45.97)</f>
        <v>45.97</v>
      </c>
      <c r="E136" s="1">
        <f ca="1">IFERROR(__xludf.DUMMYFUNCTION("""COMPUTED_VALUE"""),46.66)</f>
        <v>46.66</v>
      </c>
      <c r="F136" s="1">
        <f ca="1">IFERROR(__xludf.DUMMYFUNCTION("""COMPUTED_VALUE"""),26271673)</f>
        <v>26271673</v>
      </c>
    </row>
    <row r="137" spans="1:6" x14ac:dyDescent="0.35">
      <c r="A137" s="2">
        <f ca="1">IFERROR(__xludf.DUMMYFUNCTION("""COMPUTED_VALUE"""),42202.6666666666)</f>
        <v>42202.666666666599</v>
      </c>
      <c r="B137" s="1">
        <f ca="1">IFERROR(__xludf.DUMMYFUNCTION("""COMPUTED_VALUE"""),46.55)</f>
        <v>46.55</v>
      </c>
      <c r="C137" s="1">
        <f ca="1">IFERROR(__xludf.DUMMYFUNCTION("""COMPUTED_VALUE"""),46.78)</f>
        <v>46.78</v>
      </c>
      <c r="D137" s="1">
        <f ca="1">IFERROR(__xludf.DUMMYFUNCTION("""COMPUTED_VALUE"""),46.26)</f>
        <v>46.26</v>
      </c>
      <c r="E137" s="1">
        <f ca="1">IFERROR(__xludf.DUMMYFUNCTION("""COMPUTED_VALUE"""),46.62)</f>
        <v>46.62</v>
      </c>
      <c r="F137" s="1">
        <f ca="1">IFERROR(__xludf.DUMMYFUNCTION("""COMPUTED_VALUE"""),29467107)</f>
        <v>29467107</v>
      </c>
    </row>
    <row r="138" spans="1:6" x14ac:dyDescent="0.35">
      <c r="A138" s="2">
        <f ca="1">IFERROR(__xludf.DUMMYFUNCTION("""COMPUTED_VALUE"""),42205.6666666666)</f>
        <v>42205.666666666599</v>
      </c>
      <c r="B138" s="1">
        <f ca="1">IFERROR(__xludf.DUMMYFUNCTION("""COMPUTED_VALUE"""),46.65)</f>
        <v>46.65</v>
      </c>
      <c r="C138" s="1">
        <f ca="1">IFERROR(__xludf.DUMMYFUNCTION("""COMPUTED_VALUE"""),47.13)</f>
        <v>47.13</v>
      </c>
      <c r="D138" s="1">
        <f ca="1">IFERROR(__xludf.DUMMYFUNCTION("""COMPUTED_VALUE"""),46.44)</f>
        <v>46.44</v>
      </c>
      <c r="E138" s="1">
        <f ca="1">IFERROR(__xludf.DUMMYFUNCTION("""COMPUTED_VALUE"""),46.92)</f>
        <v>46.92</v>
      </c>
      <c r="F138" s="1">
        <f ca="1">IFERROR(__xludf.DUMMYFUNCTION("""COMPUTED_VALUE"""),30631905)</f>
        <v>30631905</v>
      </c>
    </row>
    <row r="139" spans="1:6" x14ac:dyDescent="0.35">
      <c r="A139" s="2">
        <f ca="1">IFERROR(__xludf.DUMMYFUNCTION("""COMPUTED_VALUE"""),42206.6666666666)</f>
        <v>42206.666666666599</v>
      </c>
      <c r="B139" s="1">
        <f ca="1">IFERROR(__xludf.DUMMYFUNCTION("""COMPUTED_VALUE"""),46.78)</f>
        <v>46.78</v>
      </c>
      <c r="C139" s="1">
        <f ca="1">IFERROR(__xludf.DUMMYFUNCTION("""COMPUTED_VALUE"""),47.33)</f>
        <v>47.33</v>
      </c>
      <c r="D139" s="1">
        <f ca="1">IFERROR(__xludf.DUMMYFUNCTION("""COMPUTED_VALUE"""),46.48)</f>
        <v>46.48</v>
      </c>
      <c r="E139" s="1">
        <f ca="1">IFERROR(__xludf.DUMMYFUNCTION("""COMPUTED_VALUE"""),47.28)</f>
        <v>47.28</v>
      </c>
      <c r="F139" s="1">
        <f ca="1">IFERROR(__xludf.DUMMYFUNCTION("""COMPUTED_VALUE"""),42781899)</f>
        <v>42781899</v>
      </c>
    </row>
    <row r="140" spans="1:6" x14ac:dyDescent="0.35">
      <c r="A140" s="2">
        <f ca="1">IFERROR(__xludf.DUMMYFUNCTION("""COMPUTED_VALUE"""),42207.6666666666)</f>
        <v>42207.666666666599</v>
      </c>
      <c r="B140" s="1">
        <f ca="1">IFERROR(__xludf.DUMMYFUNCTION("""COMPUTED_VALUE"""),45.44)</f>
        <v>45.44</v>
      </c>
      <c r="C140" s="1">
        <f ca="1">IFERROR(__xludf.DUMMYFUNCTION("""COMPUTED_VALUE"""),46.93)</f>
        <v>46.93</v>
      </c>
      <c r="D140" s="1">
        <f ca="1">IFERROR(__xludf.DUMMYFUNCTION("""COMPUTED_VALUE"""),45.2)</f>
        <v>45.2</v>
      </c>
      <c r="E140" s="1">
        <f ca="1">IFERROR(__xludf.DUMMYFUNCTION("""COMPUTED_VALUE"""),45.54)</f>
        <v>45.54</v>
      </c>
      <c r="F140" s="1">
        <f ca="1">IFERROR(__xludf.DUMMYFUNCTION("""COMPUTED_VALUE"""),59152427)</f>
        <v>59152427</v>
      </c>
    </row>
    <row r="141" spans="1:6" x14ac:dyDescent="0.35">
      <c r="A141" s="2">
        <f ca="1">IFERROR(__xludf.DUMMYFUNCTION("""COMPUTED_VALUE"""),42208.6666666666)</f>
        <v>42208.666666666599</v>
      </c>
      <c r="B141" s="1">
        <f ca="1">IFERROR(__xludf.DUMMYFUNCTION("""COMPUTED_VALUE"""),45.27)</f>
        <v>45.27</v>
      </c>
      <c r="C141" s="1">
        <f ca="1">IFERROR(__xludf.DUMMYFUNCTION("""COMPUTED_VALUE"""),46.23)</f>
        <v>46.23</v>
      </c>
      <c r="D141" s="1">
        <f ca="1">IFERROR(__xludf.DUMMYFUNCTION("""COMPUTED_VALUE"""),45.1)</f>
        <v>45.1</v>
      </c>
      <c r="E141" s="1">
        <f ca="1">IFERROR(__xludf.DUMMYFUNCTION("""COMPUTED_VALUE"""),46.11)</f>
        <v>46.11</v>
      </c>
      <c r="F141" s="1">
        <f ca="1">IFERROR(__xludf.DUMMYFUNCTION("""COMPUTED_VALUE"""),33934010)</f>
        <v>33934010</v>
      </c>
    </row>
    <row r="142" spans="1:6" x14ac:dyDescent="0.35">
      <c r="A142" s="2">
        <f ca="1">IFERROR(__xludf.DUMMYFUNCTION("""COMPUTED_VALUE"""),42209.6666666666)</f>
        <v>42209.666666666599</v>
      </c>
      <c r="B142" s="1">
        <f ca="1">IFERROR(__xludf.DUMMYFUNCTION("""COMPUTED_VALUE"""),45.91)</f>
        <v>45.91</v>
      </c>
      <c r="C142" s="1">
        <f ca="1">IFERROR(__xludf.DUMMYFUNCTION("""COMPUTED_VALUE"""),46.32)</f>
        <v>46.32</v>
      </c>
      <c r="D142" s="1">
        <f ca="1">IFERROR(__xludf.DUMMYFUNCTION("""COMPUTED_VALUE"""),45.8)</f>
        <v>45.8</v>
      </c>
      <c r="E142" s="1">
        <f ca="1">IFERROR(__xludf.DUMMYFUNCTION("""COMPUTED_VALUE"""),45.94)</f>
        <v>45.94</v>
      </c>
      <c r="F142" s="1">
        <f ca="1">IFERROR(__xludf.DUMMYFUNCTION("""COMPUTED_VALUE"""),32333244)</f>
        <v>32333244</v>
      </c>
    </row>
    <row r="143" spans="1:6" x14ac:dyDescent="0.35">
      <c r="A143" s="2">
        <f ca="1">IFERROR(__xludf.DUMMYFUNCTION("""COMPUTED_VALUE"""),42212.6666666666)</f>
        <v>42212.666666666599</v>
      </c>
      <c r="B143" s="1">
        <f ca="1">IFERROR(__xludf.DUMMYFUNCTION("""COMPUTED_VALUE"""),45.94)</f>
        <v>45.94</v>
      </c>
      <c r="C143" s="1">
        <f ca="1">IFERROR(__xludf.DUMMYFUNCTION("""COMPUTED_VALUE"""),46.01)</f>
        <v>46.01</v>
      </c>
      <c r="D143" s="1">
        <f ca="1">IFERROR(__xludf.DUMMYFUNCTION("""COMPUTED_VALUE"""),45.25)</f>
        <v>45.25</v>
      </c>
      <c r="E143" s="1">
        <f ca="1">IFERROR(__xludf.DUMMYFUNCTION("""COMPUTED_VALUE"""),45.35)</f>
        <v>45.35</v>
      </c>
      <c r="F143" s="1">
        <f ca="1">IFERROR(__xludf.DUMMYFUNCTION("""COMPUTED_VALUE"""),39701420)</f>
        <v>39701420</v>
      </c>
    </row>
    <row r="144" spans="1:6" x14ac:dyDescent="0.35">
      <c r="A144" s="2">
        <f ca="1">IFERROR(__xludf.DUMMYFUNCTION("""COMPUTED_VALUE"""),42213.6666666666)</f>
        <v>42213.666666666599</v>
      </c>
      <c r="B144" s="1">
        <f ca="1">IFERROR(__xludf.DUMMYFUNCTION("""COMPUTED_VALUE"""),45.58)</f>
        <v>45.58</v>
      </c>
      <c r="C144" s="1">
        <f ca="1">IFERROR(__xludf.DUMMYFUNCTION("""COMPUTED_VALUE"""),45.64)</f>
        <v>45.64</v>
      </c>
      <c r="D144" s="1">
        <f ca="1">IFERROR(__xludf.DUMMYFUNCTION("""COMPUTED_VALUE"""),44.79)</f>
        <v>44.79</v>
      </c>
      <c r="E144" s="1">
        <f ca="1">IFERROR(__xludf.DUMMYFUNCTION("""COMPUTED_VALUE"""),45.34)</f>
        <v>45.34</v>
      </c>
      <c r="F144" s="1">
        <f ca="1">IFERROR(__xludf.DUMMYFUNCTION("""COMPUTED_VALUE"""),34328948)</f>
        <v>34328948</v>
      </c>
    </row>
    <row r="145" spans="1:6" x14ac:dyDescent="0.35">
      <c r="A145" s="2">
        <f ca="1">IFERROR(__xludf.DUMMYFUNCTION("""COMPUTED_VALUE"""),42214.6666666666)</f>
        <v>42214.666666666599</v>
      </c>
      <c r="B145" s="1">
        <f ca="1">IFERROR(__xludf.DUMMYFUNCTION("""COMPUTED_VALUE"""),45.4)</f>
        <v>45.4</v>
      </c>
      <c r="C145" s="1">
        <f ca="1">IFERROR(__xludf.DUMMYFUNCTION("""COMPUTED_VALUE"""),46.78)</f>
        <v>46.78</v>
      </c>
      <c r="D145" s="1">
        <f ca="1">IFERROR(__xludf.DUMMYFUNCTION("""COMPUTED_VALUE"""),45.26)</f>
        <v>45.26</v>
      </c>
      <c r="E145" s="1">
        <f ca="1">IFERROR(__xludf.DUMMYFUNCTION("""COMPUTED_VALUE"""),46.29)</f>
        <v>46.29</v>
      </c>
      <c r="F145" s="1">
        <f ca="1">IFERROR(__xludf.DUMMYFUNCTION("""COMPUTED_VALUE"""),40945864)</f>
        <v>40945864</v>
      </c>
    </row>
    <row r="146" spans="1:6" x14ac:dyDescent="0.35">
      <c r="A146" s="2">
        <f ca="1">IFERROR(__xludf.DUMMYFUNCTION("""COMPUTED_VALUE"""),42215.6666666666)</f>
        <v>42215.666666666599</v>
      </c>
      <c r="B146" s="1">
        <f ca="1">IFERROR(__xludf.DUMMYFUNCTION("""COMPUTED_VALUE"""),46.26)</f>
        <v>46.26</v>
      </c>
      <c r="C146" s="1">
        <f ca="1">IFERROR(__xludf.DUMMYFUNCTION("""COMPUTED_VALUE"""),47.4)</f>
        <v>47.4</v>
      </c>
      <c r="D146" s="1">
        <f ca="1">IFERROR(__xludf.DUMMYFUNCTION("""COMPUTED_VALUE"""),45.93)</f>
        <v>45.93</v>
      </c>
      <c r="E146" s="1">
        <f ca="1">IFERROR(__xludf.DUMMYFUNCTION("""COMPUTED_VALUE"""),46.88)</f>
        <v>46.88</v>
      </c>
      <c r="F146" s="1">
        <f ca="1">IFERROR(__xludf.DUMMYFUNCTION("""COMPUTED_VALUE"""),39777883)</f>
        <v>39777883</v>
      </c>
    </row>
    <row r="147" spans="1:6" x14ac:dyDescent="0.35">
      <c r="A147" s="2">
        <f ca="1">IFERROR(__xludf.DUMMYFUNCTION("""COMPUTED_VALUE"""),42216.6666666666)</f>
        <v>42216.666666666599</v>
      </c>
      <c r="B147" s="1">
        <f ca="1">IFERROR(__xludf.DUMMYFUNCTION("""COMPUTED_VALUE"""),47.29)</f>
        <v>47.29</v>
      </c>
      <c r="C147" s="1">
        <f ca="1">IFERROR(__xludf.DUMMYFUNCTION("""COMPUTED_VALUE"""),47.37)</f>
        <v>47.37</v>
      </c>
      <c r="D147" s="1">
        <f ca="1">IFERROR(__xludf.DUMMYFUNCTION("""COMPUTED_VALUE"""),46.5)</f>
        <v>46.5</v>
      </c>
      <c r="E147" s="1">
        <f ca="1">IFERROR(__xludf.DUMMYFUNCTION("""COMPUTED_VALUE"""),46.7)</f>
        <v>46.7</v>
      </c>
      <c r="F147" s="1">
        <f ca="1">IFERROR(__xludf.DUMMYFUNCTION("""COMPUTED_VALUE"""),31201480)</f>
        <v>31201480</v>
      </c>
    </row>
    <row r="148" spans="1:6" x14ac:dyDescent="0.35">
      <c r="A148" s="2">
        <f ca="1">IFERROR(__xludf.DUMMYFUNCTION("""COMPUTED_VALUE"""),42219.6666666666)</f>
        <v>42219.666666666599</v>
      </c>
      <c r="B148" s="1">
        <f ca="1">IFERROR(__xludf.DUMMYFUNCTION("""COMPUTED_VALUE"""),46.98)</f>
        <v>46.98</v>
      </c>
      <c r="C148" s="1">
        <f ca="1">IFERROR(__xludf.DUMMYFUNCTION("""COMPUTED_VALUE"""),47)</f>
        <v>47</v>
      </c>
      <c r="D148" s="1">
        <f ca="1">IFERROR(__xludf.DUMMYFUNCTION("""COMPUTED_VALUE"""),46.45)</f>
        <v>46.45</v>
      </c>
      <c r="E148" s="1">
        <f ca="1">IFERROR(__xludf.DUMMYFUNCTION("""COMPUTED_VALUE"""),46.81)</f>
        <v>46.81</v>
      </c>
      <c r="F148" s="1">
        <f ca="1">IFERROR(__xludf.DUMMYFUNCTION("""COMPUTED_VALUE"""),24125886)</f>
        <v>24125886</v>
      </c>
    </row>
    <row r="149" spans="1:6" x14ac:dyDescent="0.35">
      <c r="A149" s="2">
        <f ca="1">IFERROR(__xludf.DUMMYFUNCTION("""COMPUTED_VALUE"""),42220.6666666666)</f>
        <v>42220.666666666599</v>
      </c>
      <c r="B149" s="1">
        <f ca="1">IFERROR(__xludf.DUMMYFUNCTION("""COMPUTED_VALUE"""),46.75)</f>
        <v>46.75</v>
      </c>
      <c r="C149" s="1">
        <f ca="1">IFERROR(__xludf.DUMMYFUNCTION("""COMPUTED_VALUE"""),47.71)</f>
        <v>47.71</v>
      </c>
      <c r="D149" s="1">
        <f ca="1">IFERROR(__xludf.DUMMYFUNCTION("""COMPUTED_VALUE"""),46.68)</f>
        <v>46.68</v>
      </c>
      <c r="E149" s="1">
        <f ca="1">IFERROR(__xludf.DUMMYFUNCTION("""COMPUTED_VALUE"""),47.54)</f>
        <v>47.54</v>
      </c>
      <c r="F149" s="1">
        <f ca="1">IFERROR(__xludf.DUMMYFUNCTION("""COMPUTED_VALUE"""),33403916)</f>
        <v>33403916</v>
      </c>
    </row>
    <row r="150" spans="1:6" x14ac:dyDescent="0.35">
      <c r="A150" s="2">
        <f ca="1">IFERROR(__xludf.DUMMYFUNCTION("""COMPUTED_VALUE"""),42221.6666666666)</f>
        <v>42221.666666666599</v>
      </c>
      <c r="B150" s="1">
        <f ca="1">IFERROR(__xludf.DUMMYFUNCTION("""COMPUTED_VALUE"""),47.98)</f>
        <v>47.98</v>
      </c>
      <c r="C150" s="1">
        <f ca="1">IFERROR(__xludf.DUMMYFUNCTION("""COMPUTED_VALUE"""),48.41)</f>
        <v>48.41</v>
      </c>
      <c r="D150" s="1">
        <f ca="1">IFERROR(__xludf.DUMMYFUNCTION("""COMPUTED_VALUE"""),47.54)</f>
        <v>47.54</v>
      </c>
      <c r="E150" s="1">
        <f ca="1">IFERROR(__xludf.DUMMYFUNCTION("""COMPUTED_VALUE"""),47.58)</f>
        <v>47.58</v>
      </c>
      <c r="F150" s="1">
        <f ca="1">IFERROR(__xludf.DUMMYFUNCTION("""COMPUTED_VALUE"""),26959655)</f>
        <v>26959655</v>
      </c>
    </row>
    <row r="151" spans="1:6" x14ac:dyDescent="0.35">
      <c r="A151" s="2">
        <f ca="1">IFERROR(__xludf.DUMMYFUNCTION("""COMPUTED_VALUE"""),42222.6666666666)</f>
        <v>42222.666666666599</v>
      </c>
      <c r="B151" s="1">
        <f ca="1">IFERROR(__xludf.DUMMYFUNCTION("""COMPUTED_VALUE"""),47.71)</f>
        <v>47.71</v>
      </c>
      <c r="C151" s="1">
        <f ca="1">IFERROR(__xludf.DUMMYFUNCTION("""COMPUTED_VALUE"""),47.77)</f>
        <v>47.77</v>
      </c>
      <c r="D151" s="1">
        <f ca="1">IFERROR(__xludf.DUMMYFUNCTION("""COMPUTED_VALUE"""),46.33)</f>
        <v>46.33</v>
      </c>
      <c r="E151" s="1">
        <f ca="1">IFERROR(__xludf.DUMMYFUNCTION("""COMPUTED_VALUE"""),46.62)</f>
        <v>46.62</v>
      </c>
      <c r="F151" s="1">
        <f ca="1">IFERROR(__xludf.DUMMYFUNCTION("""COMPUTED_VALUE"""),27368000)</f>
        <v>27368000</v>
      </c>
    </row>
    <row r="152" spans="1:6" x14ac:dyDescent="0.35">
      <c r="A152" s="2">
        <f ca="1">IFERROR(__xludf.DUMMYFUNCTION("""COMPUTED_VALUE"""),42223.6666666666)</f>
        <v>42223.666666666599</v>
      </c>
      <c r="B152" s="1">
        <f ca="1">IFERROR(__xludf.DUMMYFUNCTION("""COMPUTED_VALUE"""),46.39)</f>
        <v>46.39</v>
      </c>
      <c r="C152" s="1">
        <f ca="1">IFERROR(__xludf.DUMMYFUNCTION("""COMPUTED_VALUE"""),46.78)</f>
        <v>46.78</v>
      </c>
      <c r="D152" s="1">
        <f ca="1">IFERROR(__xludf.DUMMYFUNCTION("""COMPUTED_VALUE"""),46.26)</f>
        <v>46.26</v>
      </c>
      <c r="E152" s="1">
        <f ca="1">IFERROR(__xludf.DUMMYFUNCTION("""COMPUTED_VALUE"""),46.74)</f>
        <v>46.74</v>
      </c>
      <c r="F152" s="1">
        <f ca="1">IFERROR(__xludf.DUMMYFUNCTION("""COMPUTED_VALUE"""),19163038)</f>
        <v>19163038</v>
      </c>
    </row>
    <row r="153" spans="1:6" x14ac:dyDescent="0.35">
      <c r="A153" s="2">
        <f ca="1">IFERROR(__xludf.DUMMYFUNCTION("""COMPUTED_VALUE"""),42226.6666666666)</f>
        <v>42226.666666666599</v>
      </c>
      <c r="B153" s="1">
        <f ca="1">IFERROR(__xludf.DUMMYFUNCTION("""COMPUTED_VALUE"""),46.95)</f>
        <v>46.95</v>
      </c>
      <c r="C153" s="1">
        <f ca="1">IFERROR(__xludf.DUMMYFUNCTION("""COMPUTED_VALUE"""),47.49)</f>
        <v>47.49</v>
      </c>
      <c r="D153" s="1">
        <f ca="1">IFERROR(__xludf.DUMMYFUNCTION("""COMPUTED_VALUE"""),46.84)</f>
        <v>46.84</v>
      </c>
      <c r="E153" s="1">
        <f ca="1">IFERROR(__xludf.DUMMYFUNCTION("""COMPUTED_VALUE"""),47.33)</f>
        <v>47.33</v>
      </c>
      <c r="F153" s="1">
        <f ca="1">IFERROR(__xludf.DUMMYFUNCTION("""COMPUTED_VALUE"""),23079870)</f>
        <v>23079870</v>
      </c>
    </row>
    <row r="154" spans="1:6" x14ac:dyDescent="0.35">
      <c r="A154" s="2">
        <f ca="1">IFERROR(__xludf.DUMMYFUNCTION("""COMPUTED_VALUE"""),42227.6666666666)</f>
        <v>42227.666666666599</v>
      </c>
      <c r="B154" s="1">
        <f ca="1">IFERROR(__xludf.DUMMYFUNCTION("""COMPUTED_VALUE"""),46.82)</f>
        <v>46.82</v>
      </c>
      <c r="C154" s="1">
        <f ca="1">IFERROR(__xludf.DUMMYFUNCTION("""COMPUTED_VALUE"""),46.94)</f>
        <v>46.94</v>
      </c>
      <c r="D154" s="1">
        <f ca="1">IFERROR(__xludf.DUMMYFUNCTION("""COMPUTED_VALUE"""),45.9)</f>
        <v>45.9</v>
      </c>
      <c r="E154" s="1">
        <f ca="1">IFERROR(__xludf.DUMMYFUNCTION("""COMPUTED_VALUE"""),46.41)</f>
        <v>46.41</v>
      </c>
      <c r="F154" s="1">
        <f ca="1">IFERROR(__xludf.DUMMYFUNCTION("""COMPUTED_VALUE"""),29237402)</f>
        <v>29237402</v>
      </c>
    </row>
    <row r="155" spans="1:6" x14ac:dyDescent="0.35">
      <c r="A155" s="2">
        <f ca="1">IFERROR(__xludf.DUMMYFUNCTION("""COMPUTED_VALUE"""),42228.6666666666)</f>
        <v>42228.666666666599</v>
      </c>
      <c r="B155" s="1">
        <f ca="1">IFERROR(__xludf.DUMMYFUNCTION("""COMPUTED_VALUE"""),46.19)</f>
        <v>46.19</v>
      </c>
      <c r="C155" s="1">
        <f ca="1">IFERROR(__xludf.DUMMYFUNCTION("""COMPUTED_VALUE"""),46.9)</f>
        <v>46.9</v>
      </c>
      <c r="D155" s="1">
        <f ca="1">IFERROR(__xludf.DUMMYFUNCTION("""COMPUTED_VALUE"""),45.71)</f>
        <v>45.71</v>
      </c>
      <c r="E155" s="1">
        <f ca="1">IFERROR(__xludf.DUMMYFUNCTION("""COMPUTED_VALUE"""),46.74)</f>
        <v>46.74</v>
      </c>
      <c r="F155" s="1">
        <f ca="1">IFERROR(__xludf.DUMMYFUNCTION("""COMPUTED_VALUE"""),30198532)</f>
        <v>30198532</v>
      </c>
    </row>
    <row r="156" spans="1:6" x14ac:dyDescent="0.35">
      <c r="A156" s="2">
        <f ca="1">IFERROR(__xludf.DUMMYFUNCTION("""COMPUTED_VALUE"""),42229.6666666666)</f>
        <v>42229.666666666599</v>
      </c>
      <c r="B156" s="1">
        <f ca="1">IFERROR(__xludf.DUMMYFUNCTION("""COMPUTED_VALUE"""),47.06)</f>
        <v>47.06</v>
      </c>
      <c r="C156" s="1">
        <f ca="1">IFERROR(__xludf.DUMMYFUNCTION("""COMPUTED_VALUE"""),47.1)</f>
        <v>47.1</v>
      </c>
      <c r="D156" s="1">
        <f ca="1">IFERROR(__xludf.DUMMYFUNCTION("""COMPUTED_VALUE"""),46.49)</f>
        <v>46.49</v>
      </c>
      <c r="E156" s="1">
        <f ca="1">IFERROR(__xludf.DUMMYFUNCTION("""COMPUTED_VALUE"""),46.73)</f>
        <v>46.73</v>
      </c>
      <c r="F156" s="1">
        <f ca="1">IFERROR(__xludf.DUMMYFUNCTION("""COMPUTED_VALUE"""),22627241)</f>
        <v>22627241</v>
      </c>
    </row>
    <row r="157" spans="1:6" x14ac:dyDescent="0.35">
      <c r="A157" s="2">
        <f ca="1">IFERROR(__xludf.DUMMYFUNCTION("""COMPUTED_VALUE"""),42230.6666666666)</f>
        <v>42230.666666666599</v>
      </c>
      <c r="B157" s="1">
        <f ca="1">IFERROR(__xludf.DUMMYFUNCTION("""COMPUTED_VALUE"""),46.53)</f>
        <v>46.53</v>
      </c>
      <c r="C157" s="1">
        <f ca="1">IFERROR(__xludf.DUMMYFUNCTION("""COMPUTED_VALUE"""),47.1)</f>
        <v>47.1</v>
      </c>
      <c r="D157" s="1">
        <f ca="1">IFERROR(__xludf.DUMMYFUNCTION("""COMPUTED_VALUE"""),46.52)</f>
        <v>46.52</v>
      </c>
      <c r="E157" s="1">
        <f ca="1">IFERROR(__xludf.DUMMYFUNCTION("""COMPUTED_VALUE"""),47)</f>
        <v>47</v>
      </c>
      <c r="F157" s="1">
        <f ca="1">IFERROR(__xludf.DUMMYFUNCTION("""COMPUTED_VALUE"""),21473402)</f>
        <v>21473402</v>
      </c>
    </row>
    <row r="158" spans="1:6" x14ac:dyDescent="0.35">
      <c r="A158" s="2">
        <f ca="1">IFERROR(__xludf.DUMMYFUNCTION("""COMPUTED_VALUE"""),42233.6666666666)</f>
        <v>42233.666666666599</v>
      </c>
      <c r="B158" s="1">
        <f ca="1">IFERROR(__xludf.DUMMYFUNCTION("""COMPUTED_VALUE"""),46.81)</f>
        <v>46.81</v>
      </c>
      <c r="C158" s="1">
        <f ca="1">IFERROR(__xludf.DUMMYFUNCTION("""COMPUTED_VALUE"""),47.45)</f>
        <v>47.45</v>
      </c>
      <c r="D158" s="1">
        <f ca="1">IFERROR(__xludf.DUMMYFUNCTION("""COMPUTED_VALUE"""),46.57)</f>
        <v>46.57</v>
      </c>
      <c r="E158" s="1">
        <f ca="1">IFERROR(__xludf.DUMMYFUNCTION("""COMPUTED_VALUE"""),47.32)</f>
        <v>47.32</v>
      </c>
      <c r="F158" s="1">
        <f ca="1">IFERROR(__xludf.DUMMYFUNCTION("""COMPUTED_VALUE"""),21099746)</f>
        <v>21099746</v>
      </c>
    </row>
    <row r="159" spans="1:6" x14ac:dyDescent="0.35">
      <c r="A159" s="2">
        <f ca="1">IFERROR(__xludf.DUMMYFUNCTION("""COMPUTED_VALUE"""),42234.6666666666)</f>
        <v>42234.666666666599</v>
      </c>
      <c r="B159" s="1">
        <f ca="1">IFERROR(__xludf.DUMMYFUNCTION("""COMPUTED_VALUE"""),46.84)</f>
        <v>46.84</v>
      </c>
      <c r="C159" s="1">
        <f ca="1">IFERROR(__xludf.DUMMYFUNCTION("""COMPUTED_VALUE"""),47.43)</f>
        <v>47.43</v>
      </c>
      <c r="D159" s="1">
        <f ca="1">IFERROR(__xludf.DUMMYFUNCTION("""COMPUTED_VALUE"""),46.7)</f>
        <v>46.7</v>
      </c>
      <c r="E159" s="1">
        <f ca="1">IFERROR(__xludf.DUMMYFUNCTION("""COMPUTED_VALUE"""),47.27)</f>
        <v>47.27</v>
      </c>
      <c r="F159" s="1">
        <f ca="1">IFERROR(__xludf.DUMMYFUNCTION("""COMPUTED_VALUE"""),23574104)</f>
        <v>23574104</v>
      </c>
    </row>
    <row r="160" spans="1:6" x14ac:dyDescent="0.35">
      <c r="A160" s="2">
        <f ca="1">IFERROR(__xludf.DUMMYFUNCTION("""COMPUTED_VALUE"""),42235.6666666666)</f>
        <v>42235.666666666599</v>
      </c>
      <c r="B160" s="1">
        <f ca="1">IFERROR(__xludf.DUMMYFUNCTION("""COMPUTED_VALUE"""),46.78)</f>
        <v>46.78</v>
      </c>
      <c r="C160" s="1">
        <f ca="1">IFERROR(__xludf.DUMMYFUNCTION("""COMPUTED_VALUE"""),47.08)</f>
        <v>47.08</v>
      </c>
      <c r="D160" s="1">
        <f ca="1">IFERROR(__xludf.DUMMYFUNCTION("""COMPUTED_VALUE"""),46.3)</f>
        <v>46.3</v>
      </c>
      <c r="E160" s="1">
        <f ca="1">IFERROR(__xludf.DUMMYFUNCTION("""COMPUTED_VALUE"""),46.61)</f>
        <v>46.61</v>
      </c>
      <c r="F160" s="1">
        <f ca="1">IFERROR(__xludf.DUMMYFUNCTION("""COMPUTED_VALUE"""),31485511)</f>
        <v>31485511</v>
      </c>
    </row>
    <row r="161" spans="1:6" x14ac:dyDescent="0.35">
      <c r="A161" s="2">
        <f ca="1">IFERROR(__xludf.DUMMYFUNCTION("""COMPUTED_VALUE"""),42236.6666666666)</f>
        <v>42236.666666666599</v>
      </c>
      <c r="B161" s="1">
        <f ca="1">IFERROR(__xludf.DUMMYFUNCTION("""COMPUTED_VALUE"""),46.07)</f>
        <v>46.07</v>
      </c>
      <c r="C161" s="1">
        <f ca="1">IFERROR(__xludf.DUMMYFUNCTION("""COMPUTED_VALUE"""),46.47)</f>
        <v>46.47</v>
      </c>
      <c r="D161" s="1">
        <f ca="1">IFERROR(__xludf.DUMMYFUNCTION("""COMPUTED_VALUE"""),45.66)</f>
        <v>45.66</v>
      </c>
      <c r="E161" s="1">
        <f ca="1">IFERROR(__xludf.DUMMYFUNCTION("""COMPUTED_VALUE"""),45.66)</f>
        <v>45.66</v>
      </c>
      <c r="F161" s="1">
        <f ca="1">IFERROR(__xludf.DUMMYFUNCTION("""COMPUTED_VALUE"""),36238227)</f>
        <v>36238227</v>
      </c>
    </row>
    <row r="162" spans="1:6" x14ac:dyDescent="0.35">
      <c r="A162" s="2">
        <f ca="1">IFERROR(__xludf.DUMMYFUNCTION("""COMPUTED_VALUE"""),42237.6666666666)</f>
        <v>42237.666666666599</v>
      </c>
      <c r="B162" s="1">
        <f ca="1">IFERROR(__xludf.DUMMYFUNCTION("""COMPUTED_VALUE"""),45.3)</f>
        <v>45.3</v>
      </c>
      <c r="C162" s="1">
        <f ca="1">IFERROR(__xludf.DUMMYFUNCTION("""COMPUTED_VALUE"""),45.48)</f>
        <v>45.48</v>
      </c>
      <c r="D162" s="1">
        <f ca="1">IFERROR(__xludf.DUMMYFUNCTION("""COMPUTED_VALUE"""),43.07)</f>
        <v>43.07</v>
      </c>
      <c r="E162" s="1">
        <f ca="1">IFERROR(__xludf.DUMMYFUNCTION("""COMPUTED_VALUE"""),43.07)</f>
        <v>43.07</v>
      </c>
      <c r="F162" s="1">
        <f ca="1">IFERROR(__xludf.DUMMYFUNCTION("""COMPUTED_VALUE"""),70053084)</f>
        <v>70053084</v>
      </c>
    </row>
    <row r="163" spans="1:6" x14ac:dyDescent="0.35">
      <c r="A163" s="2">
        <f ca="1">IFERROR(__xludf.DUMMYFUNCTION("""COMPUTED_VALUE"""),42240.6666666666)</f>
        <v>42240.666666666599</v>
      </c>
      <c r="B163" s="1">
        <f ca="1">IFERROR(__xludf.DUMMYFUNCTION("""COMPUTED_VALUE"""),40.45)</f>
        <v>40.450000000000003</v>
      </c>
      <c r="C163" s="1">
        <f ca="1">IFERROR(__xludf.DUMMYFUNCTION("""COMPUTED_VALUE"""),43.31)</f>
        <v>43.31</v>
      </c>
      <c r="D163" s="1">
        <f ca="1">IFERROR(__xludf.DUMMYFUNCTION("""COMPUTED_VALUE"""),39.72)</f>
        <v>39.72</v>
      </c>
      <c r="E163" s="1">
        <f ca="1">IFERROR(__xludf.DUMMYFUNCTION("""COMPUTED_VALUE"""),41.68)</f>
        <v>41.68</v>
      </c>
      <c r="F163" s="1">
        <f ca="1">IFERROR(__xludf.DUMMYFUNCTION("""COMPUTED_VALUE"""),88753660)</f>
        <v>88753660</v>
      </c>
    </row>
    <row r="164" spans="1:6" x14ac:dyDescent="0.35">
      <c r="A164" s="2">
        <f ca="1">IFERROR(__xludf.DUMMYFUNCTION("""COMPUTED_VALUE"""),42241.6666666666)</f>
        <v>42241.666666666599</v>
      </c>
      <c r="B164" s="1">
        <f ca="1">IFERROR(__xludf.DUMMYFUNCTION("""COMPUTED_VALUE"""),42.57)</f>
        <v>42.57</v>
      </c>
      <c r="C164" s="1">
        <f ca="1">IFERROR(__xludf.DUMMYFUNCTION("""COMPUTED_VALUE"""),43.24)</f>
        <v>43.24</v>
      </c>
      <c r="D164" s="1">
        <f ca="1">IFERROR(__xludf.DUMMYFUNCTION("""COMPUTED_VALUE"""),40.39)</f>
        <v>40.39</v>
      </c>
      <c r="E164" s="1">
        <f ca="1">IFERROR(__xludf.DUMMYFUNCTION("""COMPUTED_VALUE"""),40.47)</f>
        <v>40.47</v>
      </c>
      <c r="F164" s="1">
        <f ca="1">IFERROR(__xludf.DUMMYFUNCTION("""COMPUTED_VALUE"""),70616597)</f>
        <v>70616597</v>
      </c>
    </row>
    <row r="165" spans="1:6" x14ac:dyDescent="0.35">
      <c r="A165" s="2">
        <f ca="1">IFERROR(__xludf.DUMMYFUNCTION("""COMPUTED_VALUE"""),42242.6666666666)</f>
        <v>42242.666666666599</v>
      </c>
      <c r="B165" s="1">
        <f ca="1">IFERROR(__xludf.DUMMYFUNCTION("""COMPUTED_VALUE"""),42.01)</f>
        <v>42.01</v>
      </c>
      <c r="C165" s="1">
        <f ca="1">IFERROR(__xludf.DUMMYFUNCTION("""COMPUTED_VALUE"""),42.84)</f>
        <v>42.84</v>
      </c>
      <c r="D165" s="1">
        <f ca="1">IFERROR(__xludf.DUMMYFUNCTION("""COMPUTED_VALUE"""),41.06)</f>
        <v>41.06</v>
      </c>
      <c r="E165" s="1">
        <f ca="1">IFERROR(__xludf.DUMMYFUNCTION("""COMPUTED_VALUE"""),42.71)</f>
        <v>42.71</v>
      </c>
      <c r="F165" s="1">
        <f ca="1">IFERROR(__xludf.DUMMYFUNCTION("""COMPUTED_VALUE"""),63407996)</f>
        <v>63407996</v>
      </c>
    </row>
    <row r="166" spans="1:6" x14ac:dyDescent="0.35">
      <c r="A166" s="2">
        <f ca="1">IFERROR(__xludf.DUMMYFUNCTION("""COMPUTED_VALUE"""),42243.6666666666)</f>
        <v>42243.666666666599</v>
      </c>
      <c r="B166" s="1">
        <f ca="1">IFERROR(__xludf.DUMMYFUNCTION("""COMPUTED_VALUE"""),43.23)</f>
        <v>43.23</v>
      </c>
      <c r="C166" s="1">
        <f ca="1">IFERROR(__xludf.DUMMYFUNCTION("""COMPUTED_VALUE"""),43.95)</f>
        <v>43.95</v>
      </c>
      <c r="D166" s="1">
        <f ca="1">IFERROR(__xludf.DUMMYFUNCTION("""COMPUTED_VALUE"""),42.93)</f>
        <v>42.93</v>
      </c>
      <c r="E166" s="1">
        <f ca="1">IFERROR(__xludf.DUMMYFUNCTION("""COMPUTED_VALUE"""),43.9)</f>
        <v>43.9</v>
      </c>
      <c r="F166" s="1">
        <f ca="1">IFERROR(__xludf.DUMMYFUNCTION("""COMPUTED_VALUE"""),50943211)</f>
        <v>50943211</v>
      </c>
    </row>
    <row r="167" spans="1:6" x14ac:dyDescent="0.35">
      <c r="A167" s="2">
        <f ca="1">IFERROR(__xludf.DUMMYFUNCTION("""COMPUTED_VALUE"""),42244.6666666666)</f>
        <v>42244.666666666599</v>
      </c>
      <c r="B167" s="1">
        <f ca="1">IFERROR(__xludf.DUMMYFUNCTION("""COMPUTED_VALUE"""),43.4)</f>
        <v>43.4</v>
      </c>
      <c r="C167" s="1">
        <f ca="1">IFERROR(__xludf.DUMMYFUNCTION("""COMPUTED_VALUE"""),44.15)</f>
        <v>44.15</v>
      </c>
      <c r="D167" s="1">
        <f ca="1">IFERROR(__xludf.DUMMYFUNCTION("""COMPUTED_VALUE"""),43.39)</f>
        <v>43.39</v>
      </c>
      <c r="E167" s="1">
        <f ca="1">IFERROR(__xludf.DUMMYFUNCTION("""COMPUTED_VALUE"""),43.93)</f>
        <v>43.93</v>
      </c>
      <c r="F167" s="1">
        <f ca="1">IFERROR(__xludf.DUMMYFUNCTION("""COMPUTED_VALUE"""),28246725)</f>
        <v>28246725</v>
      </c>
    </row>
    <row r="168" spans="1:6" x14ac:dyDescent="0.35">
      <c r="A168" s="2">
        <f ca="1">IFERROR(__xludf.DUMMYFUNCTION("""COMPUTED_VALUE"""),42247.6666666666)</f>
        <v>42247.666666666599</v>
      </c>
      <c r="B168" s="1">
        <f ca="1">IFERROR(__xludf.DUMMYFUNCTION("""COMPUTED_VALUE"""),43.56)</f>
        <v>43.56</v>
      </c>
      <c r="C168" s="1">
        <f ca="1">IFERROR(__xludf.DUMMYFUNCTION("""COMPUTED_VALUE"""),43.93)</f>
        <v>43.93</v>
      </c>
      <c r="D168" s="1">
        <f ca="1">IFERROR(__xludf.DUMMYFUNCTION("""COMPUTED_VALUE"""),43.1)</f>
        <v>43.1</v>
      </c>
      <c r="E168" s="1">
        <f ca="1">IFERROR(__xludf.DUMMYFUNCTION("""COMPUTED_VALUE"""),43.52)</f>
        <v>43.52</v>
      </c>
      <c r="F168" s="1">
        <f ca="1">IFERROR(__xludf.DUMMYFUNCTION("""COMPUTED_VALUE"""),34441662)</f>
        <v>34441662</v>
      </c>
    </row>
    <row r="169" spans="1:6" x14ac:dyDescent="0.35">
      <c r="A169" s="2">
        <f ca="1">IFERROR(__xludf.DUMMYFUNCTION("""COMPUTED_VALUE"""),42248.6666666666)</f>
        <v>42248.666666666599</v>
      </c>
      <c r="B169" s="1">
        <f ca="1">IFERROR(__xludf.DUMMYFUNCTION("""COMPUTED_VALUE"""),42.17)</f>
        <v>42.17</v>
      </c>
      <c r="C169" s="1">
        <f ca="1">IFERROR(__xludf.DUMMYFUNCTION("""COMPUTED_VALUE"""),42.59)</f>
        <v>42.59</v>
      </c>
      <c r="D169" s="1">
        <f ca="1">IFERROR(__xludf.DUMMYFUNCTION("""COMPUTED_VALUE"""),41.66)</f>
        <v>41.66</v>
      </c>
      <c r="E169" s="1">
        <f ca="1">IFERROR(__xludf.DUMMYFUNCTION("""COMPUTED_VALUE"""),41.82)</f>
        <v>41.82</v>
      </c>
      <c r="F169" s="1">
        <f ca="1">IFERROR(__xludf.DUMMYFUNCTION("""COMPUTED_VALUE"""),49688896)</f>
        <v>49688896</v>
      </c>
    </row>
    <row r="170" spans="1:6" x14ac:dyDescent="0.35">
      <c r="A170" s="2">
        <f ca="1">IFERROR(__xludf.DUMMYFUNCTION("""COMPUTED_VALUE"""),42249.6666666666)</f>
        <v>42249.666666666599</v>
      </c>
      <c r="B170" s="1">
        <f ca="1">IFERROR(__xludf.DUMMYFUNCTION("""COMPUTED_VALUE"""),42.36)</f>
        <v>42.36</v>
      </c>
      <c r="C170" s="1">
        <f ca="1">IFERROR(__xludf.DUMMYFUNCTION("""COMPUTED_VALUE"""),43.38)</f>
        <v>43.38</v>
      </c>
      <c r="D170" s="1">
        <f ca="1">IFERROR(__xludf.DUMMYFUNCTION("""COMPUTED_VALUE"""),41.88)</f>
        <v>41.88</v>
      </c>
      <c r="E170" s="1">
        <f ca="1">IFERROR(__xludf.DUMMYFUNCTION("""COMPUTED_VALUE"""),43.36)</f>
        <v>43.36</v>
      </c>
      <c r="F170" s="1">
        <f ca="1">IFERROR(__xludf.DUMMYFUNCTION("""COMPUTED_VALUE"""),37671518)</f>
        <v>37671518</v>
      </c>
    </row>
    <row r="171" spans="1:6" x14ac:dyDescent="0.35">
      <c r="A171" s="2">
        <f ca="1">IFERROR(__xludf.DUMMYFUNCTION("""COMPUTED_VALUE"""),42250.6666666666)</f>
        <v>42250.666666666599</v>
      </c>
      <c r="B171" s="1">
        <f ca="1">IFERROR(__xludf.DUMMYFUNCTION("""COMPUTED_VALUE"""),43.41)</f>
        <v>43.41</v>
      </c>
      <c r="C171" s="1">
        <f ca="1">IFERROR(__xludf.DUMMYFUNCTION("""COMPUTED_VALUE"""),43.98)</f>
        <v>43.98</v>
      </c>
      <c r="D171" s="1">
        <f ca="1">IFERROR(__xludf.DUMMYFUNCTION("""COMPUTED_VALUE"""),43.28)</f>
        <v>43.28</v>
      </c>
      <c r="E171" s="1">
        <f ca="1">IFERROR(__xludf.DUMMYFUNCTION("""COMPUTED_VALUE"""),43.5)</f>
        <v>43.5</v>
      </c>
      <c r="F171" s="1">
        <f ca="1">IFERROR(__xludf.DUMMYFUNCTION("""COMPUTED_VALUE"""),28285205)</f>
        <v>28285205</v>
      </c>
    </row>
    <row r="172" spans="1:6" x14ac:dyDescent="0.35">
      <c r="A172" s="2">
        <f ca="1">IFERROR(__xludf.DUMMYFUNCTION("""COMPUTED_VALUE"""),42251.6666666666)</f>
        <v>42251.666666666599</v>
      </c>
      <c r="B172" s="1">
        <f ca="1">IFERROR(__xludf.DUMMYFUNCTION("""COMPUTED_VALUE"""),42.81)</f>
        <v>42.81</v>
      </c>
      <c r="C172" s="1">
        <f ca="1">IFERROR(__xludf.DUMMYFUNCTION("""COMPUTED_VALUE"""),43.04)</f>
        <v>43.04</v>
      </c>
      <c r="D172" s="1">
        <f ca="1">IFERROR(__xludf.DUMMYFUNCTION("""COMPUTED_VALUE"""),42.2)</f>
        <v>42.2</v>
      </c>
      <c r="E172" s="1">
        <f ca="1">IFERROR(__xludf.DUMMYFUNCTION("""COMPUTED_VALUE"""),42.61)</f>
        <v>42.61</v>
      </c>
      <c r="F172" s="1">
        <f ca="1">IFERROR(__xludf.DUMMYFUNCTION("""COMPUTED_VALUE"""),37138775)</f>
        <v>37138775</v>
      </c>
    </row>
    <row r="173" spans="1:6" x14ac:dyDescent="0.35">
      <c r="A173" s="2">
        <f ca="1">IFERROR(__xludf.DUMMYFUNCTION("""COMPUTED_VALUE"""),42255.6666666666)</f>
        <v>42255.666666666599</v>
      </c>
      <c r="B173" s="1">
        <f ca="1">IFERROR(__xludf.DUMMYFUNCTION("""COMPUTED_VALUE"""),43.3)</f>
        <v>43.3</v>
      </c>
      <c r="C173" s="1">
        <f ca="1">IFERROR(__xludf.DUMMYFUNCTION("""COMPUTED_VALUE"""),44)</f>
        <v>44</v>
      </c>
      <c r="D173" s="1">
        <f ca="1">IFERROR(__xludf.DUMMYFUNCTION("""COMPUTED_VALUE"""),43.2)</f>
        <v>43.2</v>
      </c>
      <c r="E173" s="1">
        <f ca="1">IFERROR(__xludf.DUMMYFUNCTION("""COMPUTED_VALUE"""),43.89)</f>
        <v>43.89</v>
      </c>
      <c r="F173" s="1">
        <f ca="1">IFERROR(__xludf.DUMMYFUNCTION("""COMPUTED_VALUE"""),32469766)</f>
        <v>32469766</v>
      </c>
    </row>
    <row r="174" spans="1:6" x14ac:dyDescent="0.35">
      <c r="A174" s="2">
        <f ca="1">IFERROR(__xludf.DUMMYFUNCTION("""COMPUTED_VALUE"""),42256.6666666666)</f>
        <v>42256.666666666599</v>
      </c>
      <c r="B174" s="1">
        <f ca="1">IFERROR(__xludf.DUMMYFUNCTION("""COMPUTED_VALUE"""),44.21)</f>
        <v>44.21</v>
      </c>
      <c r="C174" s="1">
        <f ca="1">IFERROR(__xludf.DUMMYFUNCTION("""COMPUTED_VALUE"""),44.4)</f>
        <v>44.4</v>
      </c>
      <c r="D174" s="1">
        <f ca="1">IFERROR(__xludf.DUMMYFUNCTION("""COMPUTED_VALUE"""),42.91)</f>
        <v>42.91</v>
      </c>
      <c r="E174" s="1">
        <f ca="1">IFERROR(__xludf.DUMMYFUNCTION("""COMPUTED_VALUE"""),43.07)</f>
        <v>43.07</v>
      </c>
      <c r="F174" s="1">
        <f ca="1">IFERROR(__xludf.DUMMYFUNCTION("""COMPUTED_VALUE"""),33469485)</f>
        <v>33469485</v>
      </c>
    </row>
    <row r="175" spans="1:6" x14ac:dyDescent="0.35">
      <c r="A175" s="2">
        <f ca="1">IFERROR(__xludf.DUMMYFUNCTION("""COMPUTED_VALUE"""),42257.6666666666)</f>
        <v>42257.666666666599</v>
      </c>
      <c r="B175" s="1">
        <f ca="1">IFERROR(__xludf.DUMMYFUNCTION("""COMPUTED_VALUE"""),43.12)</f>
        <v>43.12</v>
      </c>
      <c r="C175" s="1">
        <f ca="1">IFERROR(__xludf.DUMMYFUNCTION("""COMPUTED_VALUE"""),43.79)</f>
        <v>43.79</v>
      </c>
      <c r="D175" s="1">
        <f ca="1">IFERROR(__xludf.DUMMYFUNCTION("""COMPUTED_VALUE"""),42.75)</f>
        <v>42.75</v>
      </c>
      <c r="E175" s="1">
        <f ca="1">IFERROR(__xludf.DUMMYFUNCTION("""COMPUTED_VALUE"""),43.29)</f>
        <v>43.29</v>
      </c>
      <c r="F175" s="1">
        <f ca="1">IFERROR(__xludf.DUMMYFUNCTION("""COMPUTED_VALUE"""),31366630)</f>
        <v>31366630</v>
      </c>
    </row>
    <row r="176" spans="1:6" x14ac:dyDescent="0.35">
      <c r="A176" s="2">
        <f ca="1">IFERROR(__xludf.DUMMYFUNCTION("""COMPUTED_VALUE"""),42258.6666666666)</f>
        <v>42258.666666666599</v>
      </c>
      <c r="B176" s="1">
        <f ca="1">IFERROR(__xludf.DUMMYFUNCTION("""COMPUTED_VALUE"""),43.14)</f>
        <v>43.14</v>
      </c>
      <c r="C176" s="1">
        <f ca="1">IFERROR(__xludf.DUMMYFUNCTION("""COMPUTED_VALUE"""),43.59)</f>
        <v>43.59</v>
      </c>
      <c r="D176" s="1">
        <f ca="1">IFERROR(__xludf.DUMMYFUNCTION("""COMPUTED_VALUE"""),42.94)</f>
        <v>42.94</v>
      </c>
      <c r="E176" s="1">
        <f ca="1">IFERROR(__xludf.DUMMYFUNCTION("""COMPUTED_VALUE"""),43.48)</f>
        <v>43.48</v>
      </c>
      <c r="F176" s="1">
        <f ca="1">IFERROR(__xludf.DUMMYFUNCTION("""COMPUTED_VALUE"""),27132527)</f>
        <v>27132527</v>
      </c>
    </row>
    <row r="177" spans="1:6" x14ac:dyDescent="0.35">
      <c r="A177" s="2">
        <f ca="1">IFERROR(__xludf.DUMMYFUNCTION("""COMPUTED_VALUE"""),42261.6666666666)</f>
        <v>42261.666666666599</v>
      </c>
      <c r="B177" s="1">
        <f ca="1">IFERROR(__xludf.DUMMYFUNCTION("""COMPUTED_VALUE"""),43.43)</f>
        <v>43.43</v>
      </c>
      <c r="C177" s="1">
        <f ca="1">IFERROR(__xludf.DUMMYFUNCTION("""COMPUTED_VALUE"""),43.44)</f>
        <v>43.44</v>
      </c>
      <c r="D177" s="1">
        <f ca="1">IFERROR(__xludf.DUMMYFUNCTION("""COMPUTED_VALUE"""),42.86)</f>
        <v>42.86</v>
      </c>
      <c r="E177" s="1">
        <f ca="1">IFERROR(__xludf.DUMMYFUNCTION("""COMPUTED_VALUE"""),43.04)</f>
        <v>43.04</v>
      </c>
      <c r="F177" s="1">
        <f ca="1">IFERROR(__xludf.DUMMYFUNCTION("""COMPUTED_VALUE"""),23656048)</f>
        <v>23656048</v>
      </c>
    </row>
    <row r="178" spans="1:6" x14ac:dyDescent="0.35">
      <c r="A178" s="2">
        <f ca="1">IFERROR(__xludf.DUMMYFUNCTION("""COMPUTED_VALUE"""),42262.6666666666)</f>
        <v>42262.666666666599</v>
      </c>
      <c r="B178" s="1">
        <f ca="1">IFERROR(__xludf.DUMMYFUNCTION("""COMPUTED_VALUE"""),43.19)</f>
        <v>43.19</v>
      </c>
      <c r="C178" s="1">
        <f ca="1">IFERROR(__xludf.DUMMYFUNCTION("""COMPUTED_VALUE"""),44.29)</f>
        <v>44.29</v>
      </c>
      <c r="D178" s="1">
        <f ca="1">IFERROR(__xludf.DUMMYFUNCTION("""COMPUTED_VALUE"""),43.08)</f>
        <v>43.08</v>
      </c>
      <c r="E178" s="1">
        <f ca="1">IFERROR(__xludf.DUMMYFUNCTION("""COMPUTED_VALUE"""),43.98)</f>
        <v>43.98</v>
      </c>
      <c r="F178" s="1">
        <f ca="1">IFERROR(__xludf.DUMMYFUNCTION("""COMPUTED_VALUE"""),28882206)</f>
        <v>28882206</v>
      </c>
    </row>
    <row r="179" spans="1:6" x14ac:dyDescent="0.35">
      <c r="A179" s="2">
        <f ca="1">IFERROR(__xludf.DUMMYFUNCTION("""COMPUTED_VALUE"""),42263.6666666666)</f>
        <v>42263.666666666599</v>
      </c>
      <c r="B179" s="1">
        <f ca="1">IFERROR(__xludf.DUMMYFUNCTION("""COMPUTED_VALUE"""),43.97)</f>
        <v>43.97</v>
      </c>
      <c r="C179" s="1">
        <f ca="1">IFERROR(__xludf.DUMMYFUNCTION("""COMPUTED_VALUE"""),44.38)</f>
        <v>44.38</v>
      </c>
      <c r="D179" s="1">
        <f ca="1">IFERROR(__xludf.DUMMYFUNCTION("""COMPUTED_VALUE"""),43.84)</f>
        <v>43.84</v>
      </c>
      <c r="E179" s="1">
        <f ca="1">IFERROR(__xludf.DUMMYFUNCTION("""COMPUTED_VALUE"""),44.3)</f>
        <v>44.3</v>
      </c>
      <c r="F179" s="1">
        <f ca="1">IFERROR(__xludf.DUMMYFUNCTION("""COMPUTED_VALUE"""),23372162)</f>
        <v>23372162</v>
      </c>
    </row>
    <row r="180" spans="1:6" x14ac:dyDescent="0.35">
      <c r="A180" s="2">
        <f ca="1">IFERROR(__xludf.DUMMYFUNCTION("""COMPUTED_VALUE"""),42264.6666666666)</f>
        <v>42264.666666666599</v>
      </c>
      <c r="B180" s="1">
        <f ca="1">IFERROR(__xludf.DUMMYFUNCTION("""COMPUTED_VALUE"""),44.29)</f>
        <v>44.29</v>
      </c>
      <c r="C180" s="1">
        <f ca="1">IFERROR(__xludf.DUMMYFUNCTION("""COMPUTED_VALUE"""),45)</f>
        <v>45</v>
      </c>
      <c r="D180" s="1">
        <f ca="1">IFERROR(__xludf.DUMMYFUNCTION("""COMPUTED_VALUE"""),44.08)</f>
        <v>44.08</v>
      </c>
      <c r="E180" s="1">
        <f ca="1">IFERROR(__xludf.DUMMYFUNCTION("""COMPUTED_VALUE"""),44.25)</f>
        <v>44.25</v>
      </c>
      <c r="F180" s="1">
        <f ca="1">IFERROR(__xludf.DUMMYFUNCTION("""COMPUTED_VALUE"""),32768161)</f>
        <v>32768161</v>
      </c>
    </row>
    <row r="181" spans="1:6" x14ac:dyDescent="0.35">
      <c r="A181" s="2">
        <f ca="1">IFERROR(__xludf.DUMMYFUNCTION("""COMPUTED_VALUE"""),42265.6666666666)</f>
        <v>42265.666666666599</v>
      </c>
      <c r="B181" s="1">
        <f ca="1">IFERROR(__xludf.DUMMYFUNCTION("""COMPUTED_VALUE"""),43.5)</f>
        <v>43.5</v>
      </c>
      <c r="C181" s="1">
        <f ca="1">IFERROR(__xludf.DUMMYFUNCTION("""COMPUTED_VALUE"""),43.99)</f>
        <v>43.99</v>
      </c>
      <c r="D181" s="1">
        <f ca="1">IFERROR(__xludf.DUMMYFUNCTION("""COMPUTED_VALUE"""),43.33)</f>
        <v>43.33</v>
      </c>
      <c r="E181" s="1">
        <f ca="1">IFERROR(__xludf.DUMMYFUNCTION("""COMPUTED_VALUE"""),43.48)</f>
        <v>43.48</v>
      </c>
      <c r="F181" s="1">
        <f ca="1">IFERROR(__xludf.DUMMYFUNCTION("""COMPUTED_VALUE"""),63143684)</f>
        <v>63143684</v>
      </c>
    </row>
    <row r="182" spans="1:6" x14ac:dyDescent="0.35">
      <c r="A182" s="2">
        <f ca="1">IFERROR(__xludf.DUMMYFUNCTION("""COMPUTED_VALUE"""),42268.6666666666)</f>
        <v>42268.666666666599</v>
      </c>
      <c r="B182" s="1">
        <f ca="1">IFERROR(__xludf.DUMMYFUNCTION("""COMPUTED_VALUE"""),43.62)</f>
        <v>43.62</v>
      </c>
      <c r="C182" s="1">
        <f ca="1">IFERROR(__xludf.DUMMYFUNCTION("""COMPUTED_VALUE"""),44.47)</f>
        <v>44.47</v>
      </c>
      <c r="D182" s="1">
        <f ca="1">IFERROR(__xludf.DUMMYFUNCTION("""COMPUTED_VALUE"""),43.6)</f>
        <v>43.6</v>
      </c>
      <c r="E182" s="1">
        <f ca="1">IFERROR(__xludf.DUMMYFUNCTION("""COMPUTED_VALUE"""),44.11)</f>
        <v>44.11</v>
      </c>
      <c r="F182" s="1">
        <f ca="1">IFERROR(__xludf.DUMMYFUNCTION("""COMPUTED_VALUE"""),26177224)</f>
        <v>26177224</v>
      </c>
    </row>
    <row r="183" spans="1:6" x14ac:dyDescent="0.35">
      <c r="A183" s="2">
        <f ca="1">IFERROR(__xludf.DUMMYFUNCTION("""COMPUTED_VALUE"""),42269.6666666666)</f>
        <v>42269.666666666599</v>
      </c>
      <c r="B183" s="1">
        <f ca="1">IFERROR(__xludf.DUMMYFUNCTION("""COMPUTED_VALUE"""),43.38)</f>
        <v>43.38</v>
      </c>
      <c r="C183" s="1">
        <f ca="1">IFERROR(__xludf.DUMMYFUNCTION("""COMPUTED_VALUE"""),44.05)</f>
        <v>44.05</v>
      </c>
      <c r="D183" s="1">
        <f ca="1">IFERROR(__xludf.DUMMYFUNCTION("""COMPUTED_VALUE"""),43.31)</f>
        <v>43.31</v>
      </c>
      <c r="E183" s="1">
        <f ca="1">IFERROR(__xludf.DUMMYFUNCTION("""COMPUTED_VALUE"""),43.9)</f>
        <v>43.9</v>
      </c>
      <c r="F183" s="1">
        <f ca="1">IFERROR(__xludf.DUMMYFUNCTION("""COMPUTED_VALUE"""),28085903)</f>
        <v>28085903</v>
      </c>
    </row>
    <row r="184" spans="1:6" x14ac:dyDescent="0.35">
      <c r="A184" s="2">
        <f ca="1">IFERROR(__xludf.DUMMYFUNCTION("""COMPUTED_VALUE"""),42270.6666666666)</f>
        <v>42270.666666666599</v>
      </c>
      <c r="B184" s="1">
        <f ca="1">IFERROR(__xludf.DUMMYFUNCTION("""COMPUTED_VALUE"""),43.93)</f>
        <v>43.93</v>
      </c>
      <c r="C184" s="1">
        <f ca="1">IFERROR(__xludf.DUMMYFUNCTION("""COMPUTED_VALUE"""),44.17)</f>
        <v>44.17</v>
      </c>
      <c r="D184" s="1">
        <f ca="1">IFERROR(__xludf.DUMMYFUNCTION("""COMPUTED_VALUE"""),43.51)</f>
        <v>43.51</v>
      </c>
      <c r="E184" s="1">
        <f ca="1">IFERROR(__xludf.DUMMYFUNCTION("""COMPUTED_VALUE"""),43.87)</f>
        <v>43.87</v>
      </c>
      <c r="F184" s="1">
        <f ca="1">IFERROR(__xludf.DUMMYFUNCTION("""COMPUTED_VALUE"""),17145238)</f>
        <v>17145238</v>
      </c>
    </row>
    <row r="185" spans="1:6" x14ac:dyDescent="0.35">
      <c r="A185" s="2">
        <f ca="1">IFERROR(__xludf.DUMMYFUNCTION("""COMPUTED_VALUE"""),42271.6666666666)</f>
        <v>42271.666666666599</v>
      </c>
      <c r="B185" s="1">
        <f ca="1">IFERROR(__xludf.DUMMYFUNCTION("""COMPUTED_VALUE"""),43.45)</f>
        <v>43.45</v>
      </c>
      <c r="C185" s="1">
        <f ca="1">IFERROR(__xludf.DUMMYFUNCTION("""COMPUTED_VALUE"""),44.13)</f>
        <v>44.13</v>
      </c>
      <c r="D185" s="1">
        <f ca="1">IFERROR(__xludf.DUMMYFUNCTION("""COMPUTED_VALUE"""),43.27)</f>
        <v>43.27</v>
      </c>
      <c r="E185" s="1">
        <f ca="1">IFERROR(__xludf.DUMMYFUNCTION("""COMPUTED_VALUE"""),43.91)</f>
        <v>43.91</v>
      </c>
      <c r="F185" s="1">
        <f ca="1">IFERROR(__xludf.DUMMYFUNCTION("""COMPUTED_VALUE"""),27905607)</f>
        <v>27905607</v>
      </c>
    </row>
    <row r="186" spans="1:6" x14ac:dyDescent="0.35">
      <c r="A186" s="2">
        <f ca="1">IFERROR(__xludf.DUMMYFUNCTION("""COMPUTED_VALUE"""),42272.6666666666)</f>
        <v>42272.666666666599</v>
      </c>
      <c r="B186" s="1">
        <f ca="1">IFERROR(__xludf.DUMMYFUNCTION("""COMPUTED_VALUE"""),44.48)</f>
        <v>44.48</v>
      </c>
      <c r="C186" s="1">
        <f ca="1">IFERROR(__xludf.DUMMYFUNCTION("""COMPUTED_VALUE"""),44.73)</f>
        <v>44.73</v>
      </c>
      <c r="D186" s="1">
        <f ca="1">IFERROR(__xludf.DUMMYFUNCTION("""COMPUTED_VALUE"""),43.76)</f>
        <v>43.76</v>
      </c>
      <c r="E186" s="1">
        <f ca="1">IFERROR(__xludf.DUMMYFUNCTION("""COMPUTED_VALUE"""),43.94)</f>
        <v>43.94</v>
      </c>
      <c r="F186" s="1">
        <f ca="1">IFERROR(__xludf.DUMMYFUNCTION("""COMPUTED_VALUE"""),29384601)</f>
        <v>29384601</v>
      </c>
    </row>
    <row r="187" spans="1:6" x14ac:dyDescent="0.35">
      <c r="A187" s="2">
        <f ca="1">IFERROR(__xludf.DUMMYFUNCTION("""COMPUTED_VALUE"""),42275.6666666666)</f>
        <v>42275.666666666599</v>
      </c>
      <c r="B187" s="1">
        <f ca="1">IFERROR(__xludf.DUMMYFUNCTION("""COMPUTED_VALUE"""),43.83)</f>
        <v>43.83</v>
      </c>
      <c r="C187" s="1">
        <f ca="1">IFERROR(__xludf.DUMMYFUNCTION("""COMPUTED_VALUE"""),44.09)</f>
        <v>44.09</v>
      </c>
      <c r="D187" s="1">
        <f ca="1">IFERROR(__xludf.DUMMYFUNCTION("""COMPUTED_VALUE"""),43.21)</f>
        <v>43.21</v>
      </c>
      <c r="E187" s="1">
        <f ca="1">IFERROR(__xludf.DUMMYFUNCTION("""COMPUTED_VALUE"""),43.29)</f>
        <v>43.29</v>
      </c>
      <c r="F187" s="1">
        <f ca="1">IFERROR(__xludf.DUMMYFUNCTION("""COMPUTED_VALUE"""),27613785)</f>
        <v>27613785</v>
      </c>
    </row>
    <row r="188" spans="1:6" x14ac:dyDescent="0.35">
      <c r="A188" s="2">
        <f ca="1">IFERROR(__xludf.DUMMYFUNCTION("""COMPUTED_VALUE"""),42276.6666666666)</f>
        <v>42276.666666666599</v>
      </c>
      <c r="B188" s="1">
        <f ca="1">IFERROR(__xludf.DUMMYFUNCTION("""COMPUTED_VALUE"""),43.37)</f>
        <v>43.37</v>
      </c>
      <c r="C188" s="1">
        <f ca="1">IFERROR(__xludf.DUMMYFUNCTION("""COMPUTED_VALUE"""),43.57)</f>
        <v>43.57</v>
      </c>
      <c r="D188" s="1">
        <f ca="1">IFERROR(__xludf.DUMMYFUNCTION("""COMPUTED_VALUE"""),43.05)</f>
        <v>43.05</v>
      </c>
      <c r="E188" s="1">
        <f ca="1">IFERROR(__xludf.DUMMYFUNCTION("""COMPUTED_VALUE"""),43.44)</f>
        <v>43.44</v>
      </c>
      <c r="F188" s="1">
        <f ca="1">IFERROR(__xludf.DUMMYFUNCTION("""COMPUTED_VALUE"""),32763557)</f>
        <v>32763557</v>
      </c>
    </row>
    <row r="189" spans="1:6" x14ac:dyDescent="0.35">
      <c r="A189" s="2">
        <f ca="1">IFERROR(__xludf.DUMMYFUNCTION("""COMPUTED_VALUE"""),42277.6666666666)</f>
        <v>42277.666666666599</v>
      </c>
      <c r="B189" s="1">
        <f ca="1">IFERROR(__xludf.DUMMYFUNCTION("""COMPUTED_VALUE"""),43.88)</f>
        <v>43.88</v>
      </c>
      <c r="C189" s="1">
        <f ca="1">IFERROR(__xludf.DUMMYFUNCTION("""COMPUTED_VALUE"""),44.3)</f>
        <v>44.3</v>
      </c>
      <c r="D189" s="1">
        <f ca="1">IFERROR(__xludf.DUMMYFUNCTION("""COMPUTED_VALUE"""),43.66)</f>
        <v>43.66</v>
      </c>
      <c r="E189" s="1">
        <f ca="1">IFERROR(__xludf.DUMMYFUNCTION("""COMPUTED_VALUE"""),44.26)</f>
        <v>44.26</v>
      </c>
      <c r="F189" s="1">
        <f ca="1">IFERROR(__xludf.DUMMYFUNCTION("""COMPUTED_VALUE"""),34958880)</f>
        <v>34958880</v>
      </c>
    </row>
    <row r="190" spans="1:6" x14ac:dyDescent="0.35">
      <c r="A190" s="2">
        <f ca="1">IFERROR(__xludf.DUMMYFUNCTION("""COMPUTED_VALUE"""),42278.6666666666)</f>
        <v>42278.666666666599</v>
      </c>
      <c r="B190" s="1">
        <f ca="1">IFERROR(__xludf.DUMMYFUNCTION("""COMPUTED_VALUE"""),44.75)</f>
        <v>44.75</v>
      </c>
      <c r="C190" s="1">
        <f ca="1">IFERROR(__xludf.DUMMYFUNCTION("""COMPUTED_VALUE"""),44.75)</f>
        <v>44.75</v>
      </c>
      <c r="D190" s="1">
        <f ca="1">IFERROR(__xludf.DUMMYFUNCTION("""COMPUTED_VALUE"""),43.75)</f>
        <v>43.75</v>
      </c>
      <c r="E190" s="1">
        <f ca="1">IFERROR(__xludf.DUMMYFUNCTION("""COMPUTED_VALUE"""),44.61)</f>
        <v>44.61</v>
      </c>
      <c r="F190" s="1">
        <f ca="1">IFERROR(__xludf.DUMMYFUNCTION("""COMPUTED_VALUE"""),28657859)</f>
        <v>28657859</v>
      </c>
    </row>
    <row r="191" spans="1:6" x14ac:dyDescent="0.35">
      <c r="A191" s="2">
        <f ca="1">IFERROR(__xludf.DUMMYFUNCTION("""COMPUTED_VALUE"""),42279.6666666666)</f>
        <v>42279.666666666599</v>
      </c>
      <c r="B191" s="1">
        <f ca="1">IFERROR(__xludf.DUMMYFUNCTION("""COMPUTED_VALUE"""),44.27)</f>
        <v>44.27</v>
      </c>
      <c r="C191" s="1">
        <f ca="1">IFERROR(__xludf.DUMMYFUNCTION("""COMPUTED_VALUE"""),45.57)</f>
        <v>45.57</v>
      </c>
      <c r="D191" s="1">
        <f ca="1">IFERROR(__xludf.DUMMYFUNCTION("""COMPUTED_VALUE"""),43.92)</f>
        <v>43.92</v>
      </c>
      <c r="E191" s="1">
        <f ca="1">IFERROR(__xludf.DUMMYFUNCTION("""COMPUTED_VALUE"""),45.57)</f>
        <v>45.57</v>
      </c>
      <c r="F191" s="1">
        <f ca="1">IFERROR(__xludf.DUMMYFUNCTION("""COMPUTED_VALUE"""),41839035)</f>
        <v>41839035</v>
      </c>
    </row>
    <row r="192" spans="1:6" x14ac:dyDescent="0.35">
      <c r="A192" s="2">
        <f ca="1">IFERROR(__xludf.DUMMYFUNCTION("""COMPUTED_VALUE"""),42282.6666666666)</f>
        <v>42282.666666666599</v>
      </c>
      <c r="B192" s="1">
        <f ca="1">IFERROR(__xludf.DUMMYFUNCTION("""COMPUTED_VALUE"""),45.75)</f>
        <v>45.75</v>
      </c>
      <c r="C192" s="1">
        <f ca="1">IFERROR(__xludf.DUMMYFUNCTION("""COMPUTED_VALUE"""),46.89)</f>
        <v>46.89</v>
      </c>
      <c r="D192" s="1">
        <f ca="1">IFERROR(__xludf.DUMMYFUNCTION("""COMPUTED_VALUE"""),45.7)</f>
        <v>45.7</v>
      </c>
      <c r="E192" s="1">
        <f ca="1">IFERROR(__xludf.DUMMYFUNCTION("""COMPUTED_VALUE"""),46.63)</f>
        <v>46.63</v>
      </c>
      <c r="F192" s="1">
        <f ca="1">IFERROR(__xludf.DUMMYFUNCTION("""COMPUTED_VALUE"""),34369286)</f>
        <v>34369286</v>
      </c>
    </row>
    <row r="193" spans="1:6" x14ac:dyDescent="0.35">
      <c r="A193" s="2">
        <f ca="1">IFERROR(__xludf.DUMMYFUNCTION("""COMPUTED_VALUE"""),42283.6666666666)</f>
        <v>42283.666666666599</v>
      </c>
      <c r="B193" s="1">
        <f ca="1">IFERROR(__xludf.DUMMYFUNCTION("""COMPUTED_VALUE"""),46.33)</f>
        <v>46.33</v>
      </c>
      <c r="C193" s="1">
        <f ca="1">IFERROR(__xludf.DUMMYFUNCTION("""COMPUTED_VALUE"""),47.18)</f>
        <v>47.18</v>
      </c>
      <c r="D193" s="1">
        <f ca="1">IFERROR(__xludf.DUMMYFUNCTION("""COMPUTED_VALUE"""),46.22)</f>
        <v>46.22</v>
      </c>
      <c r="E193" s="1">
        <f ca="1">IFERROR(__xludf.DUMMYFUNCTION("""COMPUTED_VALUE"""),46.75)</f>
        <v>46.75</v>
      </c>
      <c r="F193" s="1">
        <f ca="1">IFERROR(__xludf.DUMMYFUNCTION("""COMPUTED_VALUE"""),27510808)</f>
        <v>27510808</v>
      </c>
    </row>
    <row r="194" spans="1:6" x14ac:dyDescent="0.35">
      <c r="A194" s="2">
        <f ca="1">IFERROR(__xludf.DUMMYFUNCTION("""COMPUTED_VALUE"""),42284.6666666666)</f>
        <v>42284.666666666599</v>
      </c>
      <c r="B194" s="1">
        <f ca="1">IFERROR(__xludf.DUMMYFUNCTION("""COMPUTED_VALUE"""),47.1)</f>
        <v>47.1</v>
      </c>
      <c r="C194" s="1">
        <f ca="1">IFERROR(__xludf.DUMMYFUNCTION("""COMPUTED_VALUE"""),47.35)</f>
        <v>47.35</v>
      </c>
      <c r="D194" s="1">
        <f ca="1">IFERROR(__xludf.DUMMYFUNCTION("""COMPUTED_VALUE"""),45.95)</f>
        <v>45.95</v>
      </c>
      <c r="E194" s="1">
        <f ca="1">IFERROR(__xludf.DUMMYFUNCTION("""COMPUTED_VALUE"""),46.8)</f>
        <v>46.8</v>
      </c>
      <c r="F194" s="1">
        <f ca="1">IFERROR(__xludf.DUMMYFUNCTION("""COMPUTED_VALUE"""),27711492)</f>
        <v>27711492</v>
      </c>
    </row>
    <row r="195" spans="1:6" x14ac:dyDescent="0.35">
      <c r="A195" s="2">
        <f ca="1">IFERROR(__xludf.DUMMYFUNCTION("""COMPUTED_VALUE"""),42285.6666666666)</f>
        <v>42285.666666666599</v>
      </c>
      <c r="B195" s="1">
        <f ca="1">IFERROR(__xludf.DUMMYFUNCTION("""COMPUTED_VALUE"""),46.56)</f>
        <v>46.56</v>
      </c>
      <c r="C195" s="1">
        <f ca="1">IFERROR(__xludf.DUMMYFUNCTION("""COMPUTED_VALUE"""),47.52)</f>
        <v>47.52</v>
      </c>
      <c r="D195" s="1">
        <f ca="1">IFERROR(__xludf.DUMMYFUNCTION("""COMPUTED_VALUE"""),46.5)</f>
        <v>46.5</v>
      </c>
      <c r="E195" s="1">
        <f ca="1">IFERROR(__xludf.DUMMYFUNCTION("""COMPUTED_VALUE"""),47.45)</f>
        <v>47.45</v>
      </c>
      <c r="F195" s="1">
        <f ca="1">IFERROR(__xludf.DUMMYFUNCTION("""COMPUTED_VALUE"""),33772709)</f>
        <v>33772709</v>
      </c>
    </row>
    <row r="196" spans="1:6" x14ac:dyDescent="0.35">
      <c r="A196" s="2">
        <f ca="1">IFERROR(__xludf.DUMMYFUNCTION("""COMPUTED_VALUE"""),42286.6666666666)</f>
        <v>42286.666666666599</v>
      </c>
      <c r="B196" s="1">
        <f ca="1">IFERROR(__xludf.DUMMYFUNCTION("""COMPUTED_VALUE"""),47.45)</f>
        <v>47.45</v>
      </c>
      <c r="C196" s="1">
        <f ca="1">IFERROR(__xludf.DUMMYFUNCTION("""COMPUTED_VALUE"""),47.54)</f>
        <v>47.54</v>
      </c>
      <c r="D196" s="1">
        <f ca="1">IFERROR(__xludf.DUMMYFUNCTION("""COMPUTED_VALUE"""),46.92)</f>
        <v>46.92</v>
      </c>
      <c r="E196" s="1">
        <f ca="1">IFERROR(__xludf.DUMMYFUNCTION("""COMPUTED_VALUE"""),47.11)</f>
        <v>47.11</v>
      </c>
      <c r="F196" s="1">
        <f ca="1">IFERROR(__xludf.DUMMYFUNCTION("""COMPUTED_VALUE"""),28600632)</f>
        <v>28600632</v>
      </c>
    </row>
    <row r="197" spans="1:6" x14ac:dyDescent="0.35">
      <c r="A197" s="2">
        <f ca="1">IFERROR(__xludf.DUMMYFUNCTION("""COMPUTED_VALUE"""),42289.6666666666)</f>
        <v>42289.666666666599</v>
      </c>
      <c r="B197" s="1">
        <f ca="1">IFERROR(__xludf.DUMMYFUNCTION("""COMPUTED_VALUE"""),46.98)</f>
        <v>46.98</v>
      </c>
      <c r="C197" s="1">
        <f ca="1">IFERROR(__xludf.DUMMYFUNCTION("""COMPUTED_VALUE"""),47.07)</f>
        <v>47.07</v>
      </c>
      <c r="D197" s="1">
        <f ca="1">IFERROR(__xludf.DUMMYFUNCTION("""COMPUTED_VALUE"""),46.5)</f>
        <v>46.5</v>
      </c>
      <c r="E197" s="1">
        <f ca="1">IFERROR(__xludf.DUMMYFUNCTION("""COMPUTED_VALUE"""),47)</f>
        <v>47</v>
      </c>
      <c r="F197" s="1">
        <f ca="1">IFERROR(__xludf.DUMMYFUNCTION("""COMPUTED_VALUE"""),19769066)</f>
        <v>19769066</v>
      </c>
    </row>
    <row r="198" spans="1:6" x14ac:dyDescent="0.35">
      <c r="A198" s="2">
        <f ca="1">IFERROR(__xludf.DUMMYFUNCTION("""COMPUTED_VALUE"""),42290.6666666666)</f>
        <v>42290.666666666599</v>
      </c>
      <c r="B198" s="1">
        <f ca="1">IFERROR(__xludf.DUMMYFUNCTION("""COMPUTED_VALUE"""),46.56)</f>
        <v>46.56</v>
      </c>
      <c r="C198" s="1">
        <f ca="1">IFERROR(__xludf.DUMMYFUNCTION("""COMPUTED_VALUE"""),47.13)</f>
        <v>47.13</v>
      </c>
      <c r="D198" s="1">
        <f ca="1">IFERROR(__xludf.DUMMYFUNCTION("""COMPUTED_VALUE"""),46.56)</f>
        <v>46.56</v>
      </c>
      <c r="E198" s="1">
        <f ca="1">IFERROR(__xludf.DUMMYFUNCTION("""COMPUTED_VALUE"""),46.89)</f>
        <v>46.89</v>
      </c>
      <c r="F198" s="1">
        <f ca="1">IFERROR(__xludf.DUMMYFUNCTION("""COMPUTED_VALUE"""),19987816)</f>
        <v>19987816</v>
      </c>
    </row>
    <row r="199" spans="1:6" x14ac:dyDescent="0.35">
      <c r="A199" s="2">
        <f ca="1">IFERROR(__xludf.DUMMYFUNCTION("""COMPUTED_VALUE"""),42291.6666666666)</f>
        <v>42291.666666666599</v>
      </c>
      <c r="B199" s="1">
        <f ca="1">IFERROR(__xludf.DUMMYFUNCTION("""COMPUTED_VALUE"""),46.65)</f>
        <v>46.65</v>
      </c>
      <c r="C199" s="1">
        <f ca="1">IFERROR(__xludf.DUMMYFUNCTION("""COMPUTED_VALUE"""),47.1)</f>
        <v>47.1</v>
      </c>
      <c r="D199" s="1">
        <f ca="1">IFERROR(__xludf.DUMMYFUNCTION("""COMPUTED_VALUE"""),46.53)</f>
        <v>46.53</v>
      </c>
      <c r="E199" s="1">
        <f ca="1">IFERROR(__xludf.DUMMYFUNCTION("""COMPUTED_VALUE"""),46.68)</f>
        <v>46.68</v>
      </c>
      <c r="F199" s="1">
        <f ca="1">IFERROR(__xludf.DUMMYFUNCTION("""COMPUTED_VALUE"""),24697766)</f>
        <v>24697766</v>
      </c>
    </row>
    <row r="200" spans="1:6" x14ac:dyDescent="0.35">
      <c r="A200" s="2">
        <f ca="1">IFERROR(__xludf.DUMMYFUNCTION("""COMPUTED_VALUE"""),42292.6666666666)</f>
        <v>42292.666666666599</v>
      </c>
      <c r="B200" s="1">
        <f ca="1">IFERROR(__xludf.DUMMYFUNCTION("""COMPUTED_VALUE"""),47.01)</f>
        <v>47.01</v>
      </c>
      <c r="C200" s="1">
        <f ca="1">IFERROR(__xludf.DUMMYFUNCTION("""COMPUTED_VALUE"""),47.03)</f>
        <v>47.03</v>
      </c>
      <c r="D200" s="1">
        <f ca="1">IFERROR(__xludf.DUMMYFUNCTION("""COMPUTED_VALUE"""),46.53)</f>
        <v>46.53</v>
      </c>
      <c r="E200" s="1">
        <f ca="1">IFERROR(__xludf.DUMMYFUNCTION("""COMPUTED_VALUE"""),47.01)</f>
        <v>47.01</v>
      </c>
      <c r="F200" s="1">
        <f ca="1">IFERROR(__xludf.DUMMYFUNCTION("""COMPUTED_VALUE"""),27189370)</f>
        <v>27189370</v>
      </c>
    </row>
    <row r="201" spans="1:6" x14ac:dyDescent="0.35">
      <c r="A201" s="2">
        <f ca="1">IFERROR(__xludf.DUMMYFUNCTION("""COMPUTED_VALUE"""),42293.6666666666)</f>
        <v>42293.666666666599</v>
      </c>
      <c r="B201" s="1">
        <f ca="1">IFERROR(__xludf.DUMMYFUNCTION("""COMPUTED_VALUE"""),47.02)</f>
        <v>47.02</v>
      </c>
      <c r="C201" s="1">
        <f ca="1">IFERROR(__xludf.DUMMYFUNCTION("""COMPUTED_VALUE"""),47.54)</f>
        <v>47.54</v>
      </c>
      <c r="D201" s="1">
        <f ca="1">IFERROR(__xludf.DUMMYFUNCTION("""COMPUTED_VALUE"""),46.9)</f>
        <v>46.9</v>
      </c>
      <c r="E201" s="1">
        <f ca="1">IFERROR(__xludf.DUMMYFUNCTION("""COMPUTED_VALUE"""),47.51)</f>
        <v>47.51</v>
      </c>
      <c r="F201" s="1">
        <f ca="1">IFERROR(__xludf.DUMMYFUNCTION("""COMPUTED_VALUE"""),26450334)</f>
        <v>26450334</v>
      </c>
    </row>
    <row r="202" spans="1:6" x14ac:dyDescent="0.35">
      <c r="A202" s="2">
        <f ca="1">IFERROR(__xludf.DUMMYFUNCTION("""COMPUTED_VALUE"""),42296.6666666666)</f>
        <v>42296.666666666599</v>
      </c>
      <c r="B202" s="1">
        <f ca="1">IFERROR(__xludf.DUMMYFUNCTION("""COMPUTED_VALUE"""),47.42)</f>
        <v>47.42</v>
      </c>
      <c r="C202" s="1">
        <f ca="1">IFERROR(__xludf.DUMMYFUNCTION("""COMPUTED_VALUE"""),47.88)</f>
        <v>47.88</v>
      </c>
      <c r="D202" s="1">
        <f ca="1">IFERROR(__xludf.DUMMYFUNCTION("""COMPUTED_VALUE"""),47.02)</f>
        <v>47.02</v>
      </c>
      <c r="E202" s="1">
        <f ca="1">IFERROR(__xludf.DUMMYFUNCTION("""COMPUTED_VALUE"""),47.62)</f>
        <v>47.62</v>
      </c>
      <c r="F202" s="1">
        <f ca="1">IFERROR(__xludf.DUMMYFUNCTION("""COMPUTED_VALUE"""),29387581)</f>
        <v>29387581</v>
      </c>
    </row>
    <row r="203" spans="1:6" x14ac:dyDescent="0.35">
      <c r="A203" s="2">
        <f ca="1">IFERROR(__xludf.DUMMYFUNCTION("""COMPUTED_VALUE"""),42297.6666666666)</f>
        <v>42297.666666666599</v>
      </c>
      <c r="B203" s="1">
        <f ca="1">IFERROR(__xludf.DUMMYFUNCTION("""COMPUTED_VALUE"""),47.44)</f>
        <v>47.44</v>
      </c>
      <c r="C203" s="1">
        <f ca="1">IFERROR(__xludf.DUMMYFUNCTION("""COMPUTED_VALUE"""),47.81)</f>
        <v>47.81</v>
      </c>
      <c r="D203" s="1">
        <f ca="1">IFERROR(__xludf.DUMMYFUNCTION("""COMPUTED_VALUE"""),47.02)</f>
        <v>47.02</v>
      </c>
      <c r="E203" s="1">
        <f ca="1">IFERROR(__xludf.DUMMYFUNCTION("""COMPUTED_VALUE"""),47.77)</f>
        <v>47.77</v>
      </c>
      <c r="F203" s="1">
        <f ca="1">IFERROR(__xludf.DUMMYFUNCTION("""COMPUTED_VALUE"""),30802235)</f>
        <v>30802235</v>
      </c>
    </row>
    <row r="204" spans="1:6" x14ac:dyDescent="0.35">
      <c r="A204" s="2">
        <f ca="1">IFERROR(__xludf.DUMMYFUNCTION("""COMPUTED_VALUE"""),42298.6666666666)</f>
        <v>42298.666666666599</v>
      </c>
      <c r="B204" s="1">
        <f ca="1">IFERROR(__xludf.DUMMYFUNCTION("""COMPUTED_VALUE"""),47.92)</f>
        <v>47.92</v>
      </c>
      <c r="C204" s="1">
        <f ca="1">IFERROR(__xludf.DUMMYFUNCTION("""COMPUTED_VALUE"""),47.99)</f>
        <v>47.99</v>
      </c>
      <c r="D204" s="1">
        <f ca="1">IFERROR(__xludf.DUMMYFUNCTION("""COMPUTED_VALUE"""),47.11)</f>
        <v>47.11</v>
      </c>
      <c r="E204" s="1">
        <f ca="1">IFERROR(__xludf.DUMMYFUNCTION("""COMPUTED_VALUE"""),47.2)</f>
        <v>47.2</v>
      </c>
      <c r="F204" s="1">
        <f ca="1">IFERROR(__xludf.DUMMYFUNCTION("""COMPUTED_VALUE"""),25264710)</f>
        <v>25264710</v>
      </c>
    </row>
    <row r="205" spans="1:6" x14ac:dyDescent="0.35">
      <c r="A205" s="2">
        <f ca="1">IFERROR(__xludf.DUMMYFUNCTION("""COMPUTED_VALUE"""),42299.6666666666)</f>
        <v>42299.666666666599</v>
      </c>
      <c r="B205" s="1">
        <f ca="1">IFERROR(__xludf.DUMMYFUNCTION("""COMPUTED_VALUE"""),47.53)</f>
        <v>47.53</v>
      </c>
      <c r="C205" s="1">
        <f ca="1">IFERROR(__xludf.DUMMYFUNCTION("""COMPUTED_VALUE"""),48.95)</f>
        <v>48.95</v>
      </c>
      <c r="D205" s="1">
        <f ca="1">IFERROR(__xludf.DUMMYFUNCTION("""COMPUTED_VALUE"""),47.09)</f>
        <v>47.09</v>
      </c>
      <c r="E205" s="1">
        <f ca="1">IFERROR(__xludf.DUMMYFUNCTION("""COMPUTED_VALUE"""),48.03)</f>
        <v>48.03</v>
      </c>
      <c r="F205" s="1">
        <f ca="1">IFERROR(__xludf.DUMMYFUNCTION("""COMPUTED_VALUE"""),56637074)</f>
        <v>56637074</v>
      </c>
    </row>
    <row r="206" spans="1:6" x14ac:dyDescent="0.35">
      <c r="A206" s="2">
        <f ca="1">IFERROR(__xludf.DUMMYFUNCTION("""COMPUTED_VALUE"""),42300.6666666666)</f>
        <v>42300.666666666599</v>
      </c>
      <c r="B206" s="1">
        <f ca="1">IFERROR(__xludf.DUMMYFUNCTION("""COMPUTED_VALUE"""),52.3)</f>
        <v>52.3</v>
      </c>
      <c r="C206" s="1">
        <f ca="1">IFERROR(__xludf.DUMMYFUNCTION("""COMPUTED_VALUE"""),54.07)</f>
        <v>54.07</v>
      </c>
      <c r="D206" s="1">
        <f ca="1">IFERROR(__xludf.DUMMYFUNCTION("""COMPUTED_VALUE"""),52.25)</f>
        <v>52.25</v>
      </c>
      <c r="E206" s="1">
        <f ca="1">IFERROR(__xludf.DUMMYFUNCTION("""COMPUTED_VALUE"""),52.87)</f>
        <v>52.87</v>
      </c>
      <c r="F206" s="1">
        <f ca="1">IFERROR(__xludf.DUMMYFUNCTION("""COMPUTED_VALUE"""),135227059)</f>
        <v>135227059</v>
      </c>
    </row>
    <row r="207" spans="1:6" x14ac:dyDescent="0.35">
      <c r="A207" s="2">
        <f ca="1">IFERROR(__xludf.DUMMYFUNCTION("""COMPUTED_VALUE"""),42303.6666666666)</f>
        <v>42303.666666666599</v>
      </c>
      <c r="B207" s="1">
        <f ca="1">IFERROR(__xludf.DUMMYFUNCTION("""COMPUTED_VALUE"""),52.53)</f>
        <v>52.53</v>
      </c>
      <c r="C207" s="1">
        <f ca="1">IFERROR(__xludf.DUMMYFUNCTION("""COMPUTED_VALUE"""),54.32)</f>
        <v>54.32</v>
      </c>
      <c r="D207" s="1">
        <f ca="1">IFERROR(__xludf.DUMMYFUNCTION("""COMPUTED_VALUE"""),52.5)</f>
        <v>52.5</v>
      </c>
      <c r="E207" s="1">
        <f ca="1">IFERROR(__xludf.DUMMYFUNCTION("""COMPUTED_VALUE"""),54.25)</f>
        <v>54.25</v>
      </c>
      <c r="F207" s="1">
        <f ca="1">IFERROR(__xludf.DUMMYFUNCTION("""COMPUTED_VALUE"""),64633324)</f>
        <v>64633324</v>
      </c>
    </row>
    <row r="208" spans="1:6" x14ac:dyDescent="0.35">
      <c r="A208" s="2">
        <f ca="1">IFERROR(__xludf.DUMMYFUNCTION("""COMPUTED_VALUE"""),42304.6666666666)</f>
        <v>42304.666666666599</v>
      </c>
      <c r="B208" s="1">
        <f ca="1">IFERROR(__xludf.DUMMYFUNCTION("""COMPUTED_VALUE"""),53.99)</f>
        <v>53.99</v>
      </c>
      <c r="C208" s="1">
        <f ca="1">IFERROR(__xludf.DUMMYFUNCTION("""COMPUTED_VALUE"""),54.37)</f>
        <v>54.37</v>
      </c>
      <c r="D208" s="1">
        <f ca="1">IFERROR(__xludf.DUMMYFUNCTION("""COMPUTED_VALUE"""),53.58)</f>
        <v>53.58</v>
      </c>
      <c r="E208" s="1">
        <f ca="1">IFERROR(__xludf.DUMMYFUNCTION("""COMPUTED_VALUE"""),53.69)</f>
        <v>53.69</v>
      </c>
      <c r="F208" s="1">
        <f ca="1">IFERROR(__xludf.DUMMYFUNCTION("""COMPUTED_VALUE"""),50999907)</f>
        <v>50999907</v>
      </c>
    </row>
    <row r="209" spans="1:6" x14ac:dyDescent="0.35">
      <c r="A209" s="2">
        <f ca="1">IFERROR(__xludf.DUMMYFUNCTION("""COMPUTED_VALUE"""),42305.6666666666)</f>
        <v>42305.666666666599</v>
      </c>
      <c r="B209" s="1">
        <f ca="1">IFERROR(__xludf.DUMMYFUNCTION("""COMPUTED_VALUE"""),53.54)</f>
        <v>53.54</v>
      </c>
      <c r="C209" s="1">
        <f ca="1">IFERROR(__xludf.DUMMYFUNCTION("""COMPUTED_VALUE"""),53.98)</f>
        <v>53.98</v>
      </c>
      <c r="D209" s="1">
        <f ca="1">IFERROR(__xludf.DUMMYFUNCTION("""COMPUTED_VALUE"""),52.86)</f>
        <v>52.86</v>
      </c>
      <c r="E209" s="1">
        <f ca="1">IFERROR(__xludf.DUMMYFUNCTION("""COMPUTED_VALUE"""),53.98)</f>
        <v>53.98</v>
      </c>
      <c r="F209" s="1">
        <f ca="1">IFERROR(__xludf.DUMMYFUNCTION("""COMPUTED_VALUE"""),47000753)</f>
        <v>47000753</v>
      </c>
    </row>
    <row r="210" spans="1:6" x14ac:dyDescent="0.35">
      <c r="A210" s="2">
        <f ca="1">IFERROR(__xludf.DUMMYFUNCTION("""COMPUTED_VALUE"""),42306.6666666666)</f>
        <v>42306.666666666599</v>
      </c>
      <c r="B210" s="1">
        <f ca="1">IFERROR(__xludf.DUMMYFUNCTION("""COMPUTED_VALUE"""),53.54)</f>
        <v>53.54</v>
      </c>
      <c r="C210" s="1">
        <f ca="1">IFERROR(__xludf.DUMMYFUNCTION("""COMPUTED_VALUE"""),53.83)</f>
        <v>53.83</v>
      </c>
      <c r="D210" s="1">
        <f ca="1">IFERROR(__xludf.DUMMYFUNCTION("""COMPUTED_VALUE"""),53.22)</f>
        <v>53.22</v>
      </c>
      <c r="E210" s="1">
        <f ca="1">IFERROR(__xludf.DUMMYFUNCTION("""COMPUTED_VALUE"""),53.36)</f>
        <v>53.36</v>
      </c>
      <c r="F210" s="1">
        <f ca="1">IFERROR(__xludf.DUMMYFUNCTION("""COMPUTED_VALUE"""),30202078)</f>
        <v>30202078</v>
      </c>
    </row>
    <row r="211" spans="1:6" x14ac:dyDescent="0.35">
      <c r="A211" s="2">
        <f ca="1">IFERROR(__xludf.DUMMYFUNCTION("""COMPUTED_VALUE"""),42307.6666666666)</f>
        <v>42307.666666666599</v>
      </c>
      <c r="B211" s="1">
        <f ca="1">IFERROR(__xludf.DUMMYFUNCTION("""COMPUTED_VALUE"""),53.32)</f>
        <v>53.32</v>
      </c>
      <c r="C211" s="1">
        <f ca="1">IFERROR(__xludf.DUMMYFUNCTION("""COMPUTED_VALUE"""),53.99)</f>
        <v>53.99</v>
      </c>
      <c r="D211" s="1">
        <f ca="1">IFERROR(__xludf.DUMMYFUNCTION("""COMPUTED_VALUE"""),52.62)</f>
        <v>52.62</v>
      </c>
      <c r="E211" s="1">
        <f ca="1">IFERROR(__xludf.DUMMYFUNCTION("""COMPUTED_VALUE"""),52.64)</f>
        <v>52.64</v>
      </c>
      <c r="F211" s="1">
        <f ca="1">IFERROR(__xludf.DUMMYFUNCTION("""COMPUTED_VALUE"""),46619761)</f>
        <v>46619761</v>
      </c>
    </row>
    <row r="212" spans="1:6" x14ac:dyDescent="0.35">
      <c r="A212" s="2">
        <f ca="1">IFERROR(__xludf.DUMMYFUNCTION("""COMPUTED_VALUE"""),42310.6666666666)</f>
        <v>42310.666666666599</v>
      </c>
      <c r="B212" s="1">
        <f ca="1">IFERROR(__xludf.DUMMYFUNCTION("""COMPUTED_VALUE"""),52.85)</f>
        <v>52.85</v>
      </c>
      <c r="C212" s="1">
        <f ca="1">IFERROR(__xludf.DUMMYFUNCTION("""COMPUTED_VALUE"""),53.36)</f>
        <v>53.36</v>
      </c>
      <c r="D212" s="1">
        <f ca="1">IFERROR(__xludf.DUMMYFUNCTION("""COMPUTED_VALUE"""),52.62)</f>
        <v>52.62</v>
      </c>
      <c r="E212" s="1">
        <f ca="1">IFERROR(__xludf.DUMMYFUNCTION("""COMPUTED_VALUE"""),53.24)</f>
        <v>53.24</v>
      </c>
      <c r="F212" s="1">
        <f ca="1">IFERROR(__xludf.DUMMYFUNCTION("""COMPUTED_VALUE"""),30284982)</f>
        <v>30284982</v>
      </c>
    </row>
    <row r="213" spans="1:6" x14ac:dyDescent="0.35">
      <c r="A213" s="2">
        <f ca="1">IFERROR(__xludf.DUMMYFUNCTION("""COMPUTED_VALUE"""),42311.6666666666)</f>
        <v>42311.666666666599</v>
      </c>
      <c r="B213" s="1">
        <f ca="1">IFERROR(__xludf.DUMMYFUNCTION("""COMPUTED_VALUE"""),52.93)</f>
        <v>52.93</v>
      </c>
      <c r="C213" s="1">
        <f ca="1">IFERROR(__xludf.DUMMYFUNCTION("""COMPUTED_VALUE"""),54.39)</f>
        <v>54.39</v>
      </c>
      <c r="D213" s="1">
        <f ca="1">IFERROR(__xludf.DUMMYFUNCTION("""COMPUTED_VALUE"""),52.9)</f>
        <v>52.9</v>
      </c>
      <c r="E213" s="1">
        <f ca="1">IFERROR(__xludf.DUMMYFUNCTION("""COMPUTED_VALUE"""),54.15)</f>
        <v>54.15</v>
      </c>
      <c r="F213" s="1">
        <f ca="1">IFERROR(__xludf.DUMMYFUNCTION("""COMPUTED_VALUE"""),36596931)</f>
        <v>36596931</v>
      </c>
    </row>
    <row r="214" spans="1:6" x14ac:dyDescent="0.35">
      <c r="A214" s="2">
        <f ca="1">IFERROR(__xludf.DUMMYFUNCTION("""COMPUTED_VALUE"""),42312.6666666666)</f>
        <v>42312.666666666599</v>
      </c>
      <c r="B214" s="1">
        <f ca="1">IFERROR(__xludf.DUMMYFUNCTION("""COMPUTED_VALUE"""),54.18)</f>
        <v>54.18</v>
      </c>
      <c r="C214" s="1">
        <f ca="1">IFERROR(__xludf.DUMMYFUNCTION("""COMPUTED_VALUE"""),54.88)</f>
        <v>54.88</v>
      </c>
      <c r="D214" s="1">
        <f ca="1">IFERROR(__xludf.DUMMYFUNCTION("""COMPUTED_VALUE"""),54.06)</f>
        <v>54.06</v>
      </c>
      <c r="E214" s="1">
        <f ca="1">IFERROR(__xludf.DUMMYFUNCTION("""COMPUTED_VALUE"""),54.4)</f>
        <v>54.4</v>
      </c>
      <c r="F214" s="1">
        <f ca="1">IFERROR(__xludf.DUMMYFUNCTION("""COMPUTED_VALUE"""),37087849)</f>
        <v>37087849</v>
      </c>
    </row>
    <row r="215" spans="1:6" x14ac:dyDescent="0.35">
      <c r="A215" s="2">
        <f ca="1">IFERROR(__xludf.DUMMYFUNCTION("""COMPUTED_VALUE"""),42313.6666666666)</f>
        <v>42313.666666666599</v>
      </c>
      <c r="B215" s="1">
        <f ca="1">IFERROR(__xludf.DUMMYFUNCTION("""COMPUTED_VALUE"""),54.49)</f>
        <v>54.49</v>
      </c>
      <c r="C215" s="1">
        <f ca="1">IFERROR(__xludf.DUMMYFUNCTION("""COMPUTED_VALUE"""),54.7)</f>
        <v>54.7</v>
      </c>
      <c r="D215" s="1">
        <f ca="1">IFERROR(__xludf.DUMMYFUNCTION("""COMPUTED_VALUE"""),54)</f>
        <v>54</v>
      </c>
      <c r="E215" s="1">
        <f ca="1">IFERROR(__xludf.DUMMYFUNCTION("""COMPUTED_VALUE"""),54.38)</f>
        <v>54.38</v>
      </c>
      <c r="F215" s="1">
        <f ca="1">IFERROR(__xludf.DUMMYFUNCTION("""COMPUTED_VALUE"""),31468485)</f>
        <v>31468485</v>
      </c>
    </row>
    <row r="216" spans="1:6" x14ac:dyDescent="0.35">
      <c r="A216" s="2">
        <f ca="1">IFERROR(__xludf.DUMMYFUNCTION("""COMPUTED_VALUE"""),42314.6666666666)</f>
        <v>42314.666666666599</v>
      </c>
      <c r="B216" s="1">
        <f ca="1">IFERROR(__xludf.DUMMYFUNCTION("""COMPUTED_VALUE"""),54.09)</f>
        <v>54.09</v>
      </c>
      <c r="C216" s="1">
        <f ca="1">IFERROR(__xludf.DUMMYFUNCTION("""COMPUTED_VALUE"""),54.98)</f>
        <v>54.98</v>
      </c>
      <c r="D216" s="1">
        <f ca="1">IFERROR(__xludf.DUMMYFUNCTION("""COMPUTED_VALUE"""),53.96)</f>
        <v>53.96</v>
      </c>
      <c r="E216" s="1">
        <f ca="1">IFERROR(__xludf.DUMMYFUNCTION("""COMPUTED_VALUE"""),54.92)</f>
        <v>54.92</v>
      </c>
      <c r="F216" s="1">
        <f ca="1">IFERROR(__xludf.DUMMYFUNCTION("""COMPUTED_VALUE"""),32851204)</f>
        <v>32851204</v>
      </c>
    </row>
    <row r="217" spans="1:6" x14ac:dyDescent="0.35">
      <c r="A217" s="2">
        <f ca="1">IFERROR(__xludf.DUMMYFUNCTION("""COMPUTED_VALUE"""),42317.6666666666)</f>
        <v>42317.666666666599</v>
      </c>
      <c r="B217" s="1">
        <f ca="1">IFERROR(__xludf.DUMMYFUNCTION("""COMPUTED_VALUE"""),54.55)</f>
        <v>54.55</v>
      </c>
      <c r="C217" s="1">
        <f ca="1">IFERROR(__xludf.DUMMYFUNCTION("""COMPUTED_VALUE"""),54.87)</f>
        <v>54.87</v>
      </c>
      <c r="D217" s="1">
        <f ca="1">IFERROR(__xludf.DUMMYFUNCTION("""COMPUTED_VALUE"""),53.56)</f>
        <v>53.56</v>
      </c>
      <c r="E217" s="1">
        <f ca="1">IFERROR(__xludf.DUMMYFUNCTION("""COMPUTED_VALUE"""),54.16)</f>
        <v>54.16</v>
      </c>
      <c r="F217" s="1">
        <f ca="1">IFERROR(__xludf.DUMMYFUNCTION("""COMPUTED_VALUE"""),32513067)</f>
        <v>32513067</v>
      </c>
    </row>
    <row r="218" spans="1:6" x14ac:dyDescent="0.35">
      <c r="A218" s="2">
        <f ca="1">IFERROR(__xludf.DUMMYFUNCTION("""COMPUTED_VALUE"""),42318.6666666666)</f>
        <v>42318.666666666599</v>
      </c>
      <c r="B218" s="1">
        <f ca="1">IFERROR(__xludf.DUMMYFUNCTION("""COMPUTED_VALUE"""),54.01)</f>
        <v>54.01</v>
      </c>
      <c r="C218" s="1">
        <f ca="1">IFERROR(__xludf.DUMMYFUNCTION("""COMPUTED_VALUE"""),54.13)</f>
        <v>54.13</v>
      </c>
      <c r="D218" s="1">
        <f ca="1">IFERROR(__xludf.DUMMYFUNCTION("""COMPUTED_VALUE"""),53.27)</f>
        <v>53.27</v>
      </c>
      <c r="E218" s="1">
        <f ca="1">IFERROR(__xludf.DUMMYFUNCTION("""COMPUTED_VALUE"""),53.51)</f>
        <v>53.51</v>
      </c>
      <c r="F218" s="1">
        <f ca="1">IFERROR(__xludf.DUMMYFUNCTION("""COMPUTED_VALUE"""),55283697)</f>
        <v>55283697</v>
      </c>
    </row>
    <row r="219" spans="1:6" x14ac:dyDescent="0.35">
      <c r="A219" s="2">
        <f ca="1">IFERROR(__xludf.DUMMYFUNCTION("""COMPUTED_VALUE"""),42319.6666666666)</f>
        <v>42319.666666666599</v>
      </c>
      <c r="B219" s="1">
        <f ca="1">IFERROR(__xludf.DUMMYFUNCTION("""COMPUTED_VALUE"""),53.7)</f>
        <v>53.7</v>
      </c>
      <c r="C219" s="1">
        <f ca="1">IFERROR(__xludf.DUMMYFUNCTION("""COMPUTED_VALUE"""),54.2)</f>
        <v>54.2</v>
      </c>
      <c r="D219" s="1">
        <f ca="1">IFERROR(__xludf.DUMMYFUNCTION("""COMPUTED_VALUE"""),53.46)</f>
        <v>53.46</v>
      </c>
      <c r="E219" s="1">
        <f ca="1">IFERROR(__xludf.DUMMYFUNCTION("""COMPUTED_VALUE"""),53.65)</f>
        <v>53.65</v>
      </c>
      <c r="F219" s="1">
        <f ca="1">IFERROR(__xludf.DUMMYFUNCTION("""COMPUTED_VALUE"""),36516260)</f>
        <v>36516260</v>
      </c>
    </row>
    <row r="220" spans="1:6" x14ac:dyDescent="0.35">
      <c r="A220" s="2">
        <f ca="1">IFERROR(__xludf.DUMMYFUNCTION("""COMPUTED_VALUE"""),42320.6666666666)</f>
        <v>42320.666666666599</v>
      </c>
      <c r="B220" s="1">
        <f ca="1">IFERROR(__xludf.DUMMYFUNCTION("""COMPUTED_VALUE"""),53.48)</f>
        <v>53.48</v>
      </c>
      <c r="C220" s="1">
        <f ca="1">IFERROR(__xludf.DUMMYFUNCTION("""COMPUTED_VALUE"""),53.98)</f>
        <v>53.98</v>
      </c>
      <c r="D220" s="1">
        <f ca="1">IFERROR(__xludf.DUMMYFUNCTION("""COMPUTED_VALUE"""),53.19)</f>
        <v>53.19</v>
      </c>
      <c r="E220" s="1">
        <f ca="1">IFERROR(__xludf.DUMMYFUNCTION("""COMPUTED_VALUE"""),53.32)</f>
        <v>53.32</v>
      </c>
      <c r="F220" s="1">
        <f ca="1">IFERROR(__xludf.DUMMYFUNCTION("""COMPUTED_VALUE"""),35361095)</f>
        <v>35361095</v>
      </c>
    </row>
    <row r="221" spans="1:6" x14ac:dyDescent="0.35">
      <c r="A221" s="2">
        <f ca="1">IFERROR(__xludf.DUMMYFUNCTION("""COMPUTED_VALUE"""),42321.6666666666)</f>
        <v>42321.666666666599</v>
      </c>
      <c r="B221" s="1">
        <f ca="1">IFERROR(__xludf.DUMMYFUNCTION("""COMPUTED_VALUE"""),53.07)</f>
        <v>53.07</v>
      </c>
      <c r="C221" s="1">
        <f ca="1">IFERROR(__xludf.DUMMYFUNCTION("""COMPUTED_VALUE"""),53.29)</f>
        <v>53.29</v>
      </c>
      <c r="D221" s="1">
        <f ca="1">IFERROR(__xludf.DUMMYFUNCTION("""COMPUTED_VALUE"""),52.53)</f>
        <v>52.53</v>
      </c>
      <c r="E221" s="1">
        <f ca="1">IFERROR(__xludf.DUMMYFUNCTION("""COMPUTED_VALUE"""),52.84)</f>
        <v>52.84</v>
      </c>
      <c r="F221" s="1">
        <f ca="1">IFERROR(__xludf.DUMMYFUNCTION("""COMPUTED_VALUE"""),36848175)</f>
        <v>36848175</v>
      </c>
    </row>
    <row r="222" spans="1:6" x14ac:dyDescent="0.35">
      <c r="A222" s="2">
        <f ca="1">IFERROR(__xludf.DUMMYFUNCTION("""COMPUTED_VALUE"""),42324.6666666666)</f>
        <v>42324.666666666599</v>
      </c>
      <c r="B222" s="1">
        <f ca="1">IFERROR(__xludf.DUMMYFUNCTION("""COMPUTED_VALUE"""),53.08)</f>
        <v>53.08</v>
      </c>
      <c r="C222" s="1">
        <f ca="1">IFERROR(__xludf.DUMMYFUNCTION("""COMPUTED_VALUE"""),53.89)</f>
        <v>53.89</v>
      </c>
      <c r="D222" s="1">
        <f ca="1">IFERROR(__xludf.DUMMYFUNCTION("""COMPUTED_VALUE"""),52.85)</f>
        <v>52.85</v>
      </c>
      <c r="E222" s="1">
        <f ca="1">IFERROR(__xludf.DUMMYFUNCTION("""COMPUTED_VALUE"""),53.77)</f>
        <v>53.77</v>
      </c>
      <c r="F222" s="1">
        <f ca="1">IFERROR(__xludf.DUMMYFUNCTION("""COMPUTED_VALUE"""),32165198)</f>
        <v>32165198</v>
      </c>
    </row>
    <row r="223" spans="1:6" x14ac:dyDescent="0.35">
      <c r="A223" s="2">
        <f ca="1">IFERROR(__xludf.DUMMYFUNCTION("""COMPUTED_VALUE"""),42325.6666666666)</f>
        <v>42325.666666666599</v>
      </c>
      <c r="B223" s="1">
        <f ca="1">IFERROR(__xludf.DUMMYFUNCTION("""COMPUTED_VALUE"""),53.17)</f>
        <v>53.17</v>
      </c>
      <c r="C223" s="1">
        <f ca="1">IFERROR(__xludf.DUMMYFUNCTION("""COMPUTED_VALUE"""),53.53)</f>
        <v>53.53</v>
      </c>
      <c r="D223" s="1">
        <f ca="1">IFERROR(__xludf.DUMMYFUNCTION("""COMPUTED_VALUE"""),52.85)</f>
        <v>52.85</v>
      </c>
      <c r="E223" s="1">
        <f ca="1">IFERROR(__xludf.DUMMYFUNCTION("""COMPUTED_VALUE"""),52.97)</f>
        <v>52.97</v>
      </c>
      <c r="F223" s="1">
        <f ca="1">IFERROR(__xludf.DUMMYFUNCTION("""COMPUTED_VALUE"""),31551255)</f>
        <v>31551255</v>
      </c>
    </row>
    <row r="224" spans="1:6" x14ac:dyDescent="0.35">
      <c r="A224" s="2">
        <f ca="1">IFERROR(__xludf.DUMMYFUNCTION("""COMPUTED_VALUE"""),42326.6666666666)</f>
        <v>42326.666666666599</v>
      </c>
      <c r="B224" s="1">
        <f ca="1">IFERROR(__xludf.DUMMYFUNCTION("""COMPUTED_VALUE"""),53)</f>
        <v>53</v>
      </c>
      <c r="C224" s="1">
        <f ca="1">IFERROR(__xludf.DUMMYFUNCTION("""COMPUTED_VALUE"""),53.98)</f>
        <v>53.98</v>
      </c>
      <c r="D224" s="1">
        <f ca="1">IFERROR(__xludf.DUMMYFUNCTION("""COMPUTED_VALUE"""),52.98)</f>
        <v>52.98</v>
      </c>
      <c r="E224" s="1">
        <f ca="1">IFERROR(__xludf.DUMMYFUNCTION("""COMPUTED_VALUE"""),53.85)</f>
        <v>53.85</v>
      </c>
      <c r="F224" s="1">
        <f ca="1">IFERROR(__xludf.DUMMYFUNCTION("""COMPUTED_VALUE"""),29710030)</f>
        <v>29710030</v>
      </c>
    </row>
    <row r="225" spans="1:6" x14ac:dyDescent="0.35">
      <c r="A225" s="2">
        <f ca="1">IFERROR(__xludf.DUMMYFUNCTION("""COMPUTED_VALUE"""),42327.6666666666)</f>
        <v>42327.666666666599</v>
      </c>
      <c r="B225" s="1">
        <f ca="1">IFERROR(__xludf.DUMMYFUNCTION("""COMPUTED_VALUE"""),53.99)</f>
        <v>53.99</v>
      </c>
      <c r="C225" s="1">
        <f ca="1">IFERROR(__xludf.DUMMYFUNCTION("""COMPUTED_VALUE"""),54.66)</f>
        <v>54.66</v>
      </c>
      <c r="D225" s="1">
        <f ca="1">IFERROR(__xludf.DUMMYFUNCTION("""COMPUTED_VALUE"""),53.78)</f>
        <v>53.78</v>
      </c>
      <c r="E225" s="1">
        <f ca="1">IFERROR(__xludf.DUMMYFUNCTION("""COMPUTED_VALUE"""),53.94)</f>
        <v>53.94</v>
      </c>
      <c r="F225" s="1">
        <f ca="1">IFERROR(__xludf.DUMMYFUNCTION("""COMPUTED_VALUE"""),28149228)</f>
        <v>28149228</v>
      </c>
    </row>
    <row r="226" spans="1:6" x14ac:dyDescent="0.35">
      <c r="A226" s="2">
        <f ca="1">IFERROR(__xludf.DUMMYFUNCTION("""COMPUTED_VALUE"""),42328.6666666666)</f>
        <v>42328.666666666599</v>
      </c>
      <c r="B226" s="1">
        <f ca="1">IFERROR(__xludf.DUMMYFUNCTION("""COMPUTED_VALUE"""),54.25)</f>
        <v>54.25</v>
      </c>
      <c r="C226" s="1">
        <f ca="1">IFERROR(__xludf.DUMMYFUNCTION("""COMPUTED_VALUE"""),54.3)</f>
        <v>54.3</v>
      </c>
      <c r="D226" s="1">
        <f ca="1">IFERROR(__xludf.DUMMYFUNCTION("""COMPUTED_VALUE"""),53.27)</f>
        <v>53.27</v>
      </c>
      <c r="E226" s="1">
        <f ca="1">IFERROR(__xludf.DUMMYFUNCTION("""COMPUTED_VALUE"""),54.19)</f>
        <v>54.19</v>
      </c>
      <c r="F226" s="1">
        <f ca="1">IFERROR(__xludf.DUMMYFUNCTION("""COMPUTED_VALUE"""),37147608)</f>
        <v>37147608</v>
      </c>
    </row>
    <row r="227" spans="1:6" x14ac:dyDescent="0.35">
      <c r="A227" s="2">
        <f ca="1">IFERROR(__xludf.DUMMYFUNCTION("""COMPUTED_VALUE"""),42331.6666666666)</f>
        <v>42331.666666666599</v>
      </c>
      <c r="B227" s="1">
        <f ca="1">IFERROR(__xludf.DUMMYFUNCTION("""COMPUTED_VALUE"""),54.25)</f>
        <v>54.25</v>
      </c>
      <c r="C227" s="1">
        <f ca="1">IFERROR(__xludf.DUMMYFUNCTION("""COMPUTED_VALUE"""),54.46)</f>
        <v>54.46</v>
      </c>
      <c r="D227" s="1">
        <f ca="1">IFERROR(__xludf.DUMMYFUNCTION("""COMPUTED_VALUE"""),53.75)</f>
        <v>53.75</v>
      </c>
      <c r="E227" s="1">
        <f ca="1">IFERROR(__xludf.DUMMYFUNCTION("""COMPUTED_VALUE"""),54.19)</f>
        <v>54.19</v>
      </c>
      <c r="F227" s="1">
        <f ca="1">IFERROR(__xludf.DUMMYFUNCTION("""COMPUTED_VALUE"""),28235918)</f>
        <v>28235918</v>
      </c>
    </row>
    <row r="228" spans="1:6" x14ac:dyDescent="0.35">
      <c r="A228" s="2">
        <f ca="1">IFERROR(__xludf.DUMMYFUNCTION("""COMPUTED_VALUE"""),42332.6666666666)</f>
        <v>42332.666666666599</v>
      </c>
      <c r="B228" s="1">
        <f ca="1">IFERROR(__xludf.DUMMYFUNCTION("""COMPUTED_VALUE"""),53.92)</f>
        <v>53.92</v>
      </c>
      <c r="C228" s="1">
        <f ca="1">IFERROR(__xludf.DUMMYFUNCTION("""COMPUTED_VALUE"""),54.44)</f>
        <v>54.44</v>
      </c>
      <c r="D228" s="1">
        <f ca="1">IFERROR(__xludf.DUMMYFUNCTION("""COMPUTED_VALUE"""),53.58)</f>
        <v>53.58</v>
      </c>
      <c r="E228" s="1">
        <f ca="1">IFERROR(__xludf.DUMMYFUNCTION("""COMPUTED_VALUE"""),54.25)</f>
        <v>54.25</v>
      </c>
      <c r="F228" s="1">
        <f ca="1">IFERROR(__xludf.DUMMYFUNCTION("""COMPUTED_VALUE"""),24600043)</f>
        <v>24600043</v>
      </c>
    </row>
    <row r="229" spans="1:6" x14ac:dyDescent="0.35">
      <c r="A229" s="2">
        <f ca="1">IFERROR(__xludf.DUMMYFUNCTION("""COMPUTED_VALUE"""),42333.6666666666)</f>
        <v>42333.666666666599</v>
      </c>
      <c r="B229" s="1">
        <f ca="1">IFERROR(__xludf.DUMMYFUNCTION("""COMPUTED_VALUE"""),54.09)</f>
        <v>54.09</v>
      </c>
      <c r="C229" s="1">
        <f ca="1">IFERROR(__xludf.DUMMYFUNCTION("""COMPUTED_VALUE"""),54.23)</f>
        <v>54.23</v>
      </c>
      <c r="D229" s="1">
        <f ca="1">IFERROR(__xludf.DUMMYFUNCTION("""COMPUTED_VALUE"""),53.69)</f>
        <v>53.69</v>
      </c>
      <c r="E229" s="1">
        <f ca="1">IFERROR(__xludf.DUMMYFUNCTION("""COMPUTED_VALUE"""),53.69)</f>
        <v>53.69</v>
      </c>
      <c r="F229" s="1">
        <f ca="1">IFERROR(__xludf.DUMMYFUNCTION("""COMPUTED_VALUE"""),21005147)</f>
        <v>21005147</v>
      </c>
    </row>
    <row r="230" spans="1:6" x14ac:dyDescent="0.35">
      <c r="A230" s="2">
        <f ca="1">IFERROR(__xludf.DUMMYFUNCTION("""COMPUTED_VALUE"""),42335.6666666666)</f>
        <v>42335.666666666599</v>
      </c>
      <c r="B230" s="1">
        <f ca="1">IFERROR(__xludf.DUMMYFUNCTION("""COMPUTED_VALUE"""),53.8)</f>
        <v>53.8</v>
      </c>
      <c r="C230" s="1">
        <f ca="1">IFERROR(__xludf.DUMMYFUNCTION("""COMPUTED_VALUE"""),54.08)</f>
        <v>54.08</v>
      </c>
      <c r="D230" s="1">
        <f ca="1">IFERROR(__xludf.DUMMYFUNCTION("""COMPUTED_VALUE"""),53.79)</f>
        <v>53.79</v>
      </c>
      <c r="E230" s="1">
        <f ca="1">IFERROR(__xludf.DUMMYFUNCTION("""COMPUTED_VALUE"""),53.93)</f>
        <v>53.93</v>
      </c>
      <c r="F230" s="1">
        <f ca="1">IFERROR(__xludf.DUMMYFUNCTION("""COMPUTED_VALUE"""),9009132)</f>
        <v>9009132</v>
      </c>
    </row>
    <row r="231" spans="1:6" x14ac:dyDescent="0.35">
      <c r="A231" s="2">
        <f ca="1">IFERROR(__xludf.DUMMYFUNCTION("""COMPUTED_VALUE"""),42338.6666666666)</f>
        <v>42338.666666666599</v>
      </c>
      <c r="B231" s="1">
        <f ca="1">IFERROR(__xludf.DUMMYFUNCTION("""COMPUTED_VALUE"""),54.54)</f>
        <v>54.54</v>
      </c>
      <c r="C231" s="1">
        <f ca="1">IFERROR(__xludf.DUMMYFUNCTION("""COMPUTED_VALUE"""),54.96)</f>
        <v>54.96</v>
      </c>
      <c r="D231" s="1">
        <f ca="1">IFERROR(__xludf.DUMMYFUNCTION("""COMPUTED_VALUE"""),54)</f>
        <v>54</v>
      </c>
      <c r="E231" s="1">
        <f ca="1">IFERROR(__xludf.DUMMYFUNCTION("""COMPUTED_VALUE"""),54.35)</f>
        <v>54.35</v>
      </c>
      <c r="F231" s="1">
        <f ca="1">IFERROR(__xludf.DUMMYFUNCTION("""COMPUTED_VALUE"""),56241417)</f>
        <v>56241417</v>
      </c>
    </row>
    <row r="232" spans="1:6" x14ac:dyDescent="0.35">
      <c r="A232" s="2">
        <f ca="1">IFERROR(__xludf.DUMMYFUNCTION("""COMPUTED_VALUE"""),42339.6666666666)</f>
        <v>42339.666666666599</v>
      </c>
      <c r="B232" s="1">
        <f ca="1">IFERROR(__xludf.DUMMYFUNCTION("""COMPUTED_VALUE"""),54.41)</f>
        <v>54.41</v>
      </c>
      <c r="C232" s="1">
        <f ca="1">IFERROR(__xludf.DUMMYFUNCTION("""COMPUTED_VALUE"""),55.23)</f>
        <v>55.23</v>
      </c>
      <c r="D232" s="1">
        <f ca="1">IFERROR(__xludf.DUMMYFUNCTION("""COMPUTED_VALUE"""),54.3)</f>
        <v>54.3</v>
      </c>
      <c r="E232" s="1">
        <f ca="1">IFERROR(__xludf.DUMMYFUNCTION("""COMPUTED_VALUE"""),55.22)</f>
        <v>55.22</v>
      </c>
      <c r="F232" s="1">
        <f ca="1">IFERROR(__xludf.DUMMYFUNCTION("""COMPUTED_VALUE"""),39952779)</f>
        <v>39952779</v>
      </c>
    </row>
    <row r="233" spans="1:6" x14ac:dyDescent="0.35">
      <c r="A233" s="2">
        <f ca="1">IFERROR(__xludf.DUMMYFUNCTION("""COMPUTED_VALUE"""),42340.6666666666)</f>
        <v>42340.666666666599</v>
      </c>
      <c r="B233" s="1">
        <f ca="1">IFERROR(__xludf.DUMMYFUNCTION("""COMPUTED_VALUE"""),55.32)</f>
        <v>55.32</v>
      </c>
      <c r="C233" s="1">
        <f ca="1">IFERROR(__xludf.DUMMYFUNCTION("""COMPUTED_VALUE"""),55.96)</f>
        <v>55.96</v>
      </c>
      <c r="D233" s="1">
        <f ca="1">IFERROR(__xludf.DUMMYFUNCTION("""COMPUTED_VALUE"""),55.06)</f>
        <v>55.06</v>
      </c>
      <c r="E233" s="1">
        <f ca="1">IFERROR(__xludf.DUMMYFUNCTION("""COMPUTED_VALUE"""),55.21)</f>
        <v>55.21</v>
      </c>
      <c r="F233" s="1">
        <f ca="1">IFERROR(__xludf.DUMMYFUNCTION("""COMPUTED_VALUE"""),47274879)</f>
        <v>47274879</v>
      </c>
    </row>
    <row r="234" spans="1:6" x14ac:dyDescent="0.35">
      <c r="A234" s="2">
        <f ca="1">IFERROR(__xludf.DUMMYFUNCTION("""COMPUTED_VALUE"""),42341.6666666666)</f>
        <v>42341.666666666599</v>
      </c>
      <c r="B234" s="1">
        <f ca="1">IFERROR(__xludf.DUMMYFUNCTION("""COMPUTED_VALUE"""),55.49)</f>
        <v>55.49</v>
      </c>
      <c r="C234" s="1">
        <f ca="1">IFERROR(__xludf.DUMMYFUNCTION("""COMPUTED_VALUE"""),55.77)</f>
        <v>55.77</v>
      </c>
      <c r="D234" s="1">
        <f ca="1">IFERROR(__xludf.DUMMYFUNCTION("""COMPUTED_VALUE"""),53.93)</f>
        <v>53.93</v>
      </c>
      <c r="E234" s="1">
        <f ca="1">IFERROR(__xludf.DUMMYFUNCTION("""COMPUTED_VALUE"""),54.2)</f>
        <v>54.2</v>
      </c>
      <c r="F234" s="1">
        <f ca="1">IFERROR(__xludf.DUMMYFUNCTION("""COMPUTED_VALUE"""),38627835)</f>
        <v>38627835</v>
      </c>
    </row>
    <row r="235" spans="1:6" x14ac:dyDescent="0.35">
      <c r="A235" s="2">
        <f ca="1">IFERROR(__xludf.DUMMYFUNCTION("""COMPUTED_VALUE"""),42342.6666666666)</f>
        <v>42342.666666666599</v>
      </c>
      <c r="B235" s="1">
        <f ca="1">IFERROR(__xludf.DUMMYFUNCTION("""COMPUTED_VALUE"""),54.12)</f>
        <v>54.12</v>
      </c>
      <c r="C235" s="1">
        <f ca="1">IFERROR(__xludf.DUMMYFUNCTION("""COMPUTED_VALUE"""),56.23)</f>
        <v>56.23</v>
      </c>
      <c r="D235" s="1">
        <f ca="1">IFERROR(__xludf.DUMMYFUNCTION("""COMPUTED_VALUE"""),54.1)</f>
        <v>54.1</v>
      </c>
      <c r="E235" s="1">
        <f ca="1">IFERROR(__xludf.DUMMYFUNCTION("""COMPUTED_VALUE"""),55.91)</f>
        <v>55.91</v>
      </c>
      <c r="F235" s="1">
        <f ca="1">IFERROR(__xludf.DUMMYFUNCTION("""COMPUTED_VALUE"""),43963662)</f>
        <v>43963662</v>
      </c>
    </row>
    <row r="236" spans="1:6" x14ac:dyDescent="0.35">
      <c r="A236" s="2">
        <f ca="1">IFERROR(__xludf.DUMMYFUNCTION("""COMPUTED_VALUE"""),42345.6666666666)</f>
        <v>42345.666666666599</v>
      </c>
      <c r="B236" s="1">
        <f ca="1">IFERROR(__xludf.DUMMYFUNCTION("""COMPUTED_VALUE"""),55.79)</f>
        <v>55.79</v>
      </c>
      <c r="C236" s="1">
        <f ca="1">IFERROR(__xludf.DUMMYFUNCTION("""COMPUTED_VALUE"""),55.97)</f>
        <v>55.97</v>
      </c>
      <c r="D236" s="1">
        <f ca="1">IFERROR(__xludf.DUMMYFUNCTION("""COMPUTED_VALUE"""),55.29)</f>
        <v>55.29</v>
      </c>
      <c r="E236" s="1">
        <f ca="1">IFERROR(__xludf.DUMMYFUNCTION("""COMPUTED_VALUE"""),55.81)</f>
        <v>55.81</v>
      </c>
      <c r="F236" s="1">
        <f ca="1">IFERROR(__xludf.DUMMYFUNCTION("""COMPUTED_VALUE"""),30709765)</f>
        <v>30709765</v>
      </c>
    </row>
    <row r="237" spans="1:6" x14ac:dyDescent="0.35">
      <c r="A237" s="2">
        <f ca="1">IFERROR(__xludf.DUMMYFUNCTION("""COMPUTED_VALUE"""),42346.6666666666)</f>
        <v>42346.666666666599</v>
      </c>
      <c r="B237" s="1">
        <f ca="1">IFERROR(__xludf.DUMMYFUNCTION("""COMPUTED_VALUE"""),55.47)</f>
        <v>55.47</v>
      </c>
      <c r="C237" s="1">
        <f ca="1">IFERROR(__xludf.DUMMYFUNCTION("""COMPUTED_VALUE"""),56.1)</f>
        <v>56.1</v>
      </c>
      <c r="D237" s="1">
        <f ca="1">IFERROR(__xludf.DUMMYFUNCTION("""COMPUTED_VALUE"""),54.99)</f>
        <v>54.99</v>
      </c>
      <c r="E237" s="1">
        <f ca="1">IFERROR(__xludf.DUMMYFUNCTION("""COMPUTED_VALUE"""),55.79)</f>
        <v>55.79</v>
      </c>
      <c r="F237" s="1">
        <f ca="1">IFERROR(__xludf.DUMMYFUNCTION("""COMPUTED_VALUE"""),32878026)</f>
        <v>32878026</v>
      </c>
    </row>
    <row r="238" spans="1:6" x14ac:dyDescent="0.35">
      <c r="A238" s="2">
        <f ca="1">IFERROR(__xludf.DUMMYFUNCTION("""COMPUTED_VALUE"""),42347.6666666666)</f>
        <v>42347.666666666599</v>
      </c>
      <c r="B238" s="1">
        <f ca="1">IFERROR(__xludf.DUMMYFUNCTION("""COMPUTED_VALUE"""),55.37)</f>
        <v>55.37</v>
      </c>
      <c r="C238" s="1">
        <f ca="1">IFERROR(__xludf.DUMMYFUNCTION("""COMPUTED_VALUE"""),55.87)</f>
        <v>55.87</v>
      </c>
      <c r="D238" s="1">
        <f ca="1">IFERROR(__xludf.DUMMYFUNCTION("""COMPUTED_VALUE"""),54.51)</f>
        <v>54.51</v>
      </c>
      <c r="E238" s="1">
        <f ca="1">IFERROR(__xludf.DUMMYFUNCTION("""COMPUTED_VALUE"""),54.98)</f>
        <v>54.98</v>
      </c>
      <c r="F238" s="1">
        <f ca="1">IFERROR(__xludf.DUMMYFUNCTION("""COMPUTED_VALUE"""),36373209)</f>
        <v>36373209</v>
      </c>
    </row>
    <row r="239" spans="1:6" x14ac:dyDescent="0.35">
      <c r="A239" s="2">
        <f ca="1">IFERROR(__xludf.DUMMYFUNCTION("""COMPUTED_VALUE"""),42348.6666666666)</f>
        <v>42348.666666666599</v>
      </c>
      <c r="B239" s="1">
        <f ca="1">IFERROR(__xludf.DUMMYFUNCTION("""COMPUTED_VALUE"""),55.39)</f>
        <v>55.39</v>
      </c>
      <c r="C239" s="1">
        <f ca="1">IFERROR(__xludf.DUMMYFUNCTION("""COMPUTED_VALUE"""),55.66)</f>
        <v>55.66</v>
      </c>
      <c r="D239" s="1">
        <f ca="1">IFERROR(__xludf.DUMMYFUNCTION("""COMPUTED_VALUE"""),55.01)</f>
        <v>55.01</v>
      </c>
      <c r="E239" s="1">
        <f ca="1">IFERROR(__xludf.DUMMYFUNCTION("""COMPUTED_VALUE"""),55.27)</f>
        <v>55.27</v>
      </c>
      <c r="F239" s="1">
        <f ca="1">IFERROR(__xludf.DUMMYFUNCTION("""COMPUTED_VALUE"""),31775826)</f>
        <v>31775826</v>
      </c>
    </row>
    <row r="240" spans="1:6" x14ac:dyDescent="0.35">
      <c r="A240" s="2">
        <f ca="1">IFERROR(__xludf.DUMMYFUNCTION("""COMPUTED_VALUE"""),42349.6666666666)</f>
        <v>42349.666666666599</v>
      </c>
      <c r="B240" s="1">
        <f ca="1">IFERROR(__xludf.DUMMYFUNCTION("""COMPUTED_VALUE"""),54.71)</f>
        <v>54.71</v>
      </c>
      <c r="C240" s="1">
        <f ca="1">IFERROR(__xludf.DUMMYFUNCTION("""COMPUTED_VALUE"""),55.1)</f>
        <v>55.1</v>
      </c>
      <c r="D240" s="1">
        <f ca="1">IFERROR(__xludf.DUMMYFUNCTION("""COMPUTED_VALUE"""),54.01)</f>
        <v>54.01</v>
      </c>
      <c r="E240" s="1">
        <f ca="1">IFERROR(__xludf.DUMMYFUNCTION("""COMPUTED_VALUE"""),54.06)</f>
        <v>54.06</v>
      </c>
      <c r="F240" s="1">
        <f ca="1">IFERROR(__xludf.DUMMYFUNCTION("""COMPUTED_VALUE"""),39549497)</f>
        <v>39549497</v>
      </c>
    </row>
    <row r="241" spans="1:6" x14ac:dyDescent="0.35">
      <c r="A241" s="2">
        <f ca="1">IFERROR(__xludf.DUMMYFUNCTION("""COMPUTED_VALUE"""),42352.6666666666)</f>
        <v>42352.666666666599</v>
      </c>
      <c r="B241" s="1">
        <f ca="1">IFERROR(__xludf.DUMMYFUNCTION("""COMPUTED_VALUE"""),54.33)</f>
        <v>54.33</v>
      </c>
      <c r="C241" s="1">
        <f ca="1">IFERROR(__xludf.DUMMYFUNCTION("""COMPUTED_VALUE"""),55.21)</f>
        <v>55.21</v>
      </c>
      <c r="D241" s="1">
        <f ca="1">IFERROR(__xludf.DUMMYFUNCTION("""COMPUTED_VALUE"""),53.68)</f>
        <v>53.68</v>
      </c>
      <c r="E241" s="1">
        <f ca="1">IFERROR(__xludf.DUMMYFUNCTION("""COMPUTED_VALUE"""),55.14)</f>
        <v>55.14</v>
      </c>
      <c r="F241" s="1">
        <f ca="1">IFERROR(__xludf.DUMMYFUNCTION("""COMPUTED_VALUE"""),47006491)</f>
        <v>47006491</v>
      </c>
    </row>
    <row r="242" spans="1:6" x14ac:dyDescent="0.35">
      <c r="A242" s="2">
        <f ca="1">IFERROR(__xludf.DUMMYFUNCTION("""COMPUTED_VALUE"""),42353.6666666666)</f>
        <v>42353.666666666599</v>
      </c>
      <c r="B242" s="1">
        <f ca="1">IFERROR(__xludf.DUMMYFUNCTION("""COMPUTED_VALUE"""),55.66)</f>
        <v>55.66</v>
      </c>
      <c r="C242" s="1">
        <f ca="1">IFERROR(__xludf.DUMMYFUNCTION("""COMPUTED_VALUE"""),55.9)</f>
        <v>55.9</v>
      </c>
      <c r="D242" s="1">
        <f ca="1">IFERROR(__xludf.DUMMYFUNCTION("""COMPUTED_VALUE"""),55.09)</f>
        <v>55.09</v>
      </c>
      <c r="E242" s="1">
        <f ca="1">IFERROR(__xludf.DUMMYFUNCTION("""COMPUTED_VALUE"""),55.2)</f>
        <v>55.2</v>
      </c>
      <c r="F242" s="1">
        <f ca="1">IFERROR(__xludf.DUMMYFUNCTION("""COMPUTED_VALUE"""),39842998)</f>
        <v>39842998</v>
      </c>
    </row>
    <row r="243" spans="1:6" x14ac:dyDescent="0.35">
      <c r="A243" s="2">
        <f ca="1">IFERROR(__xludf.DUMMYFUNCTION("""COMPUTED_VALUE"""),42354.6666666666)</f>
        <v>42354.666666666599</v>
      </c>
      <c r="B243" s="1">
        <f ca="1">IFERROR(__xludf.DUMMYFUNCTION("""COMPUTED_VALUE"""),55.54)</f>
        <v>55.54</v>
      </c>
      <c r="C243" s="1">
        <f ca="1">IFERROR(__xludf.DUMMYFUNCTION("""COMPUTED_VALUE"""),56.25)</f>
        <v>56.25</v>
      </c>
      <c r="D243" s="1">
        <f ca="1">IFERROR(__xludf.DUMMYFUNCTION("""COMPUTED_VALUE"""),54.76)</f>
        <v>54.76</v>
      </c>
      <c r="E243" s="1">
        <f ca="1">IFERROR(__xludf.DUMMYFUNCTION("""COMPUTED_VALUE"""),56.13)</f>
        <v>56.13</v>
      </c>
      <c r="F243" s="1">
        <f ca="1">IFERROR(__xludf.DUMMYFUNCTION("""COMPUTED_VALUE"""),37503300)</f>
        <v>37503300</v>
      </c>
    </row>
    <row r="244" spans="1:6" x14ac:dyDescent="0.35">
      <c r="A244" s="2">
        <f ca="1">IFERROR(__xludf.DUMMYFUNCTION("""COMPUTED_VALUE"""),42355.6666666666)</f>
        <v>42355.666666666599</v>
      </c>
      <c r="B244" s="1">
        <f ca="1">IFERROR(__xludf.DUMMYFUNCTION("""COMPUTED_VALUE"""),56.36)</f>
        <v>56.36</v>
      </c>
      <c r="C244" s="1">
        <f ca="1">IFERROR(__xludf.DUMMYFUNCTION("""COMPUTED_VALUE"""),56.79)</f>
        <v>56.79</v>
      </c>
      <c r="D244" s="1">
        <f ca="1">IFERROR(__xludf.DUMMYFUNCTION("""COMPUTED_VALUE"""),55.53)</f>
        <v>55.53</v>
      </c>
      <c r="E244" s="1">
        <f ca="1">IFERROR(__xludf.DUMMYFUNCTION("""COMPUTED_VALUE"""),55.7)</f>
        <v>55.7</v>
      </c>
      <c r="F244" s="1">
        <f ca="1">IFERROR(__xludf.DUMMYFUNCTION("""COMPUTED_VALUE"""),41280907)</f>
        <v>41280907</v>
      </c>
    </row>
    <row r="245" spans="1:6" x14ac:dyDescent="0.35">
      <c r="A245" s="2">
        <f ca="1">IFERROR(__xludf.DUMMYFUNCTION("""COMPUTED_VALUE"""),42356.6666666666)</f>
        <v>42356.666666666599</v>
      </c>
      <c r="B245" s="1">
        <f ca="1">IFERROR(__xludf.DUMMYFUNCTION("""COMPUTED_VALUE"""),55.77)</f>
        <v>55.77</v>
      </c>
      <c r="C245" s="1">
        <f ca="1">IFERROR(__xludf.DUMMYFUNCTION("""COMPUTED_VALUE"""),56)</f>
        <v>56</v>
      </c>
      <c r="D245" s="1">
        <f ca="1">IFERROR(__xludf.DUMMYFUNCTION("""COMPUTED_VALUE"""),54.03)</f>
        <v>54.03</v>
      </c>
      <c r="E245" s="1">
        <f ca="1">IFERROR(__xludf.DUMMYFUNCTION("""COMPUTED_VALUE"""),54.13)</f>
        <v>54.13</v>
      </c>
      <c r="F245" s="1">
        <f ca="1">IFERROR(__xludf.DUMMYFUNCTION("""COMPUTED_VALUE"""),84684164)</f>
        <v>84684164</v>
      </c>
    </row>
    <row r="246" spans="1:6" x14ac:dyDescent="0.35">
      <c r="A246" s="2">
        <f ca="1">IFERROR(__xludf.DUMMYFUNCTION("""COMPUTED_VALUE"""),42359.6666666666)</f>
        <v>42359.666666666599</v>
      </c>
      <c r="B246" s="1">
        <f ca="1">IFERROR(__xludf.DUMMYFUNCTION("""COMPUTED_VALUE"""),54.88)</f>
        <v>54.88</v>
      </c>
      <c r="C246" s="1">
        <f ca="1">IFERROR(__xludf.DUMMYFUNCTION("""COMPUTED_VALUE"""),55.35)</f>
        <v>55.35</v>
      </c>
      <c r="D246" s="1">
        <f ca="1">IFERROR(__xludf.DUMMYFUNCTION("""COMPUTED_VALUE"""),54.23)</f>
        <v>54.23</v>
      </c>
      <c r="E246" s="1">
        <f ca="1">IFERROR(__xludf.DUMMYFUNCTION("""COMPUTED_VALUE"""),54.83)</f>
        <v>54.83</v>
      </c>
      <c r="F246" s="1">
        <f ca="1">IFERROR(__xludf.DUMMYFUNCTION("""COMPUTED_VALUE"""),37246325)</f>
        <v>37246325</v>
      </c>
    </row>
    <row r="247" spans="1:6" x14ac:dyDescent="0.35">
      <c r="A247" s="2">
        <f ca="1">IFERROR(__xludf.DUMMYFUNCTION("""COMPUTED_VALUE"""),42360.6666666666)</f>
        <v>42360.666666666599</v>
      </c>
      <c r="B247" s="1">
        <f ca="1">IFERROR(__xludf.DUMMYFUNCTION("""COMPUTED_VALUE"""),54.99)</f>
        <v>54.99</v>
      </c>
      <c r="C247" s="1">
        <f ca="1">IFERROR(__xludf.DUMMYFUNCTION("""COMPUTED_VALUE"""),55.48)</f>
        <v>55.48</v>
      </c>
      <c r="D247" s="1">
        <f ca="1">IFERROR(__xludf.DUMMYFUNCTION("""COMPUTED_VALUE"""),54.5)</f>
        <v>54.5</v>
      </c>
      <c r="E247" s="1">
        <f ca="1">IFERROR(__xludf.DUMMYFUNCTION("""COMPUTED_VALUE"""),55.35)</f>
        <v>55.35</v>
      </c>
      <c r="F247" s="1">
        <f ca="1">IFERROR(__xludf.DUMMYFUNCTION("""COMPUTED_VALUE"""),28322241)</f>
        <v>28322241</v>
      </c>
    </row>
    <row r="248" spans="1:6" x14ac:dyDescent="0.35">
      <c r="A248" s="2">
        <f ca="1">IFERROR(__xludf.DUMMYFUNCTION("""COMPUTED_VALUE"""),42361.6666666666)</f>
        <v>42361.666666666599</v>
      </c>
      <c r="B248" s="1">
        <f ca="1">IFERROR(__xludf.DUMMYFUNCTION("""COMPUTED_VALUE"""),55.7)</f>
        <v>55.7</v>
      </c>
      <c r="C248" s="1">
        <f ca="1">IFERROR(__xludf.DUMMYFUNCTION("""COMPUTED_VALUE"""),55.88)</f>
        <v>55.88</v>
      </c>
      <c r="D248" s="1">
        <f ca="1">IFERROR(__xludf.DUMMYFUNCTION("""COMPUTED_VALUE"""),55.44)</f>
        <v>55.44</v>
      </c>
      <c r="E248" s="1">
        <f ca="1">IFERROR(__xludf.DUMMYFUNCTION("""COMPUTED_VALUE"""),55.82)</f>
        <v>55.82</v>
      </c>
      <c r="F248" s="1">
        <f ca="1">IFERROR(__xludf.DUMMYFUNCTION("""COMPUTED_VALUE"""),27279832)</f>
        <v>27279832</v>
      </c>
    </row>
    <row r="249" spans="1:6" x14ac:dyDescent="0.35">
      <c r="A249" s="2">
        <f ca="1">IFERROR(__xludf.DUMMYFUNCTION("""COMPUTED_VALUE"""),42362.6666666666)</f>
        <v>42362.666666666599</v>
      </c>
      <c r="B249" s="1">
        <f ca="1">IFERROR(__xludf.DUMMYFUNCTION("""COMPUTED_VALUE"""),55.86)</f>
        <v>55.86</v>
      </c>
      <c r="C249" s="1">
        <f ca="1">IFERROR(__xludf.DUMMYFUNCTION("""COMPUTED_VALUE"""),55.96)</f>
        <v>55.96</v>
      </c>
      <c r="D249" s="1">
        <f ca="1">IFERROR(__xludf.DUMMYFUNCTION("""COMPUTED_VALUE"""),55.43)</f>
        <v>55.43</v>
      </c>
      <c r="E249" s="1">
        <f ca="1">IFERROR(__xludf.DUMMYFUNCTION("""COMPUTED_VALUE"""),55.67)</f>
        <v>55.67</v>
      </c>
      <c r="F249" s="1">
        <f ca="1">IFERROR(__xludf.DUMMYFUNCTION("""COMPUTED_VALUE"""),9570002)</f>
        <v>9570002</v>
      </c>
    </row>
    <row r="250" spans="1:6" x14ac:dyDescent="0.35">
      <c r="A250" s="2">
        <f ca="1">IFERROR(__xludf.DUMMYFUNCTION("""COMPUTED_VALUE"""),42366.6666666666)</f>
        <v>42366.666666666599</v>
      </c>
      <c r="B250" s="1">
        <f ca="1">IFERROR(__xludf.DUMMYFUNCTION("""COMPUTED_VALUE"""),55.35)</f>
        <v>55.35</v>
      </c>
      <c r="C250" s="1">
        <f ca="1">IFERROR(__xludf.DUMMYFUNCTION("""COMPUTED_VALUE"""),55.95)</f>
        <v>55.95</v>
      </c>
      <c r="D250" s="1">
        <f ca="1">IFERROR(__xludf.DUMMYFUNCTION("""COMPUTED_VALUE"""),54.98)</f>
        <v>54.98</v>
      </c>
      <c r="E250" s="1">
        <f ca="1">IFERROR(__xludf.DUMMYFUNCTION("""COMPUTED_VALUE"""),55.95)</f>
        <v>55.95</v>
      </c>
      <c r="F250" s="1">
        <f ca="1">IFERROR(__xludf.DUMMYFUNCTION("""COMPUTED_VALUE"""),22458293)</f>
        <v>22458293</v>
      </c>
    </row>
    <row r="251" spans="1:6" x14ac:dyDescent="0.35">
      <c r="A251" s="2">
        <f ca="1">IFERROR(__xludf.DUMMYFUNCTION("""COMPUTED_VALUE"""),42367.6666666666)</f>
        <v>42367.666666666599</v>
      </c>
      <c r="B251" s="1">
        <f ca="1">IFERROR(__xludf.DUMMYFUNCTION("""COMPUTED_VALUE"""),56.29)</f>
        <v>56.29</v>
      </c>
      <c r="C251" s="1">
        <f ca="1">IFERROR(__xludf.DUMMYFUNCTION("""COMPUTED_VALUE"""),56.85)</f>
        <v>56.85</v>
      </c>
      <c r="D251" s="1">
        <f ca="1">IFERROR(__xludf.DUMMYFUNCTION("""COMPUTED_VALUE"""),56.06)</f>
        <v>56.06</v>
      </c>
      <c r="E251" s="1">
        <f ca="1">IFERROR(__xludf.DUMMYFUNCTION("""COMPUTED_VALUE"""),56.55)</f>
        <v>56.55</v>
      </c>
      <c r="F251" s="1">
        <f ca="1">IFERROR(__xludf.DUMMYFUNCTION("""COMPUTED_VALUE"""),27731403)</f>
        <v>27731403</v>
      </c>
    </row>
    <row r="252" spans="1:6" x14ac:dyDescent="0.35">
      <c r="A252" s="2">
        <f ca="1">IFERROR(__xludf.DUMMYFUNCTION("""COMPUTED_VALUE"""),42368.6666666666)</f>
        <v>42368.666666666599</v>
      </c>
      <c r="B252" s="1">
        <f ca="1">IFERROR(__xludf.DUMMYFUNCTION("""COMPUTED_VALUE"""),56.47)</f>
        <v>56.47</v>
      </c>
      <c r="C252" s="1">
        <f ca="1">IFERROR(__xludf.DUMMYFUNCTION("""COMPUTED_VALUE"""),56.78)</f>
        <v>56.78</v>
      </c>
      <c r="D252" s="1">
        <f ca="1">IFERROR(__xludf.DUMMYFUNCTION("""COMPUTED_VALUE"""),56.29)</f>
        <v>56.29</v>
      </c>
      <c r="E252" s="1">
        <f ca="1">IFERROR(__xludf.DUMMYFUNCTION("""COMPUTED_VALUE"""),56.31)</f>
        <v>56.31</v>
      </c>
      <c r="F252" s="1">
        <f ca="1">IFERROR(__xludf.DUMMYFUNCTION("""COMPUTED_VALUE"""),21704505)</f>
        <v>21704505</v>
      </c>
    </row>
    <row r="253" spans="1:6" x14ac:dyDescent="0.35">
      <c r="A253" s="2">
        <f ca="1">IFERROR(__xludf.DUMMYFUNCTION("""COMPUTED_VALUE"""),42369.6666666666)</f>
        <v>42369.666666666599</v>
      </c>
      <c r="B253" s="1">
        <f ca="1">IFERROR(__xludf.DUMMYFUNCTION("""COMPUTED_VALUE"""),56.04)</f>
        <v>56.04</v>
      </c>
      <c r="C253" s="1">
        <f ca="1">IFERROR(__xludf.DUMMYFUNCTION("""COMPUTED_VALUE"""),56.19)</f>
        <v>56.19</v>
      </c>
      <c r="D253" s="1">
        <f ca="1">IFERROR(__xludf.DUMMYFUNCTION("""COMPUTED_VALUE"""),55.42)</f>
        <v>55.42</v>
      </c>
      <c r="E253" s="1">
        <f ca="1">IFERROR(__xludf.DUMMYFUNCTION("""COMPUTED_VALUE"""),55.48)</f>
        <v>55.48</v>
      </c>
      <c r="F253" s="1">
        <f ca="1">IFERROR(__xludf.DUMMYFUNCTION("""COMPUTED_VALUE"""),27334061)</f>
        <v>27334061</v>
      </c>
    </row>
    <row r="254" spans="1:6" x14ac:dyDescent="0.35">
      <c r="A254" s="2">
        <f ca="1">IFERROR(__xludf.DUMMYFUNCTION("""COMPUTED_VALUE"""),42373.6666666666)</f>
        <v>42373.666666666599</v>
      </c>
      <c r="B254" s="1">
        <f ca="1">IFERROR(__xludf.DUMMYFUNCTION("""COMPUTED_VALUE"""),54.32)</f>
        <v>54.32</v>
      </c>
      <c r="C254" s="1">
        <f ca="1">IFERROR(__xludf.DUMMYFUNCTION("""COMPUTED_VALUE"""),54.8)</f>
        <v>54.8</v>
      </c>
      <c r="D254" s="1">
        <f ca="1">IFERROR(__xludf.DUMMYFUNCTION("""COMPUTED_VALUE"""),53.39)</f>
        <v>53.39</v>
      </c>
      <c r="E254" s="1">
        <f ca="1">IFERROR(__xludf.DUMMYFUNCTION("""COMPUTED_VALUE"""),54.8)</f>
        <v>54.8</v>
      </c>
      <c r="F254" s="1">
        <f ca="1">IFERROR(__xludf.DUMMYFUNCTION("""COMPUTED_VALUE"""),53777963)</f>
        <v>53777963</v>
      </c>
    </row>
    <row r="255" spans="1:6" x14ac:dyDescent="0.35">
      <c r="A255" s="2">
        <f ca="1">IFERROR(__xludf.DUMMYFUNCTION("""COMPUTED_VALUE"""),42374.6666666666)</f>
        <v>42374.666666666599</v>
      </c>
      <c r="B255" s="1">
        <f ca="1">IFERROR(__xludf.DUMMYFUNCTION("""COMPUTED_VALUE"""),54.93)</f>
        <v>54.93</v>
      </c>
      <c r="C255" s="1">
        <f ca="1">IFERROR(__xludf.DUMMYFUNCTION("""COMPUTED_VALUE"""),55.39)</f>
        <v>55.39</v>
      </c>
      <c r="D255" s="1">
        <f ca="1">IFERROR(__xludf.DUMMYFUNCTION("""COMPUTED_VALUE"""),54.54)</f>
        <v>54.54</v>
      </c>
      <c r="E255" s="1">
        <f ca="1">IFERROR(__xludf.DUMMYFUNCTION("""COMPUTED_VALUE"""),55.05)</f>
        <v>55.05</v>
      </c>
      <c r="F255" s="1">
        <f ca="1">IFERROR(__xludf.DUMMYFUNCTION("""COMPUTED_VALUE"""),34079674)</f>
        <v>34079674</v>
      </c>
    </row>
    <row r="256" spans="1:6" x14ac:dyDescent="0.35">
      <c r="A256" s="2">
        <f ca="1">IFERROR(__xludf.DUMMYFUNCTION("""COMPUTED_VALUE"""),42375.6666666666)</f>
        <v>42375.666666666599</v>
      </c>
      <c r="B256" s="1">
        <f ca="1">IFERROR(__xludf.DUMMYFUNCTION("""COMPUTED_VALUE"""),54.32)</f>
        <v>54.32</v>
      </c>
      <c r="C256" s="1">
        <f ca="1">IFERROR(__xludf.DUMMYFUNCTION("""COMPUTED_VALUE"""),54.4)</f>
        <v>54.4</v>
      </c>
      <c r="D256" s="1">
        <f ca="1">IFERROR(__xludf.DUMMYFUNCTION("""COMPUTED_VALUE"""),53.64)</f>
        <v>53.64</v>
      </c>
      <c r="E256" s="1">
        <f ca="1">IFERROR(__xludf.DUMMYFUNCTION("""COMPUTED_VALUE"""),54.05)</f>
        <v>54.05</v>
      </c>
      <c r="F256" s="1">
        <f ca="1">IFERROR(__xludf.DUMMYFUNCTION("""COMPUTED_VALUE"""),39518863)</f>
        <v>39518863</v>
      </c>
    </row>
    <row r="257" spans="1:6" x14ac:dyDescent="0.35">
      <c r="A257" s="2">
        <f ca="1">IFERROR(__xludf.DUMMYFUNCTION("""COMPUTED_VALUE"""),42376.6666666666)</f>
        <v>42376.666666666599</v>
      </c>
      <c r="B257" s="1">
        <f ca="1">IFERROR(__xludf.DUMMYFUNCTION("""COMPUTED_VALUE"""),52.7)</f>
        <v>52.7</v>
      </c>
      <c r="C257" s="1">
        <f ca="1">IFERROR(__xludf.DUMMYFUNCTION("""COMPUTED_VALUE"""),53.49)</f>
        <v>53.49</v>
      </c>
      <c r="D257" s="1">
        <f ca="1">IFERROR(__xludf.DUMMYFUNCTION("""COMPUTED_VALUE"""),52.07)</f>
        <v>52.07</v>
      </c>
      <c r="E257" s="1">
        <f ca="1">IFERROR(__xludf.DUMMYFUNCTION("""COMPUTED_VALUE"""),52.17)</f>
        <v>52.17</v>
      </c>
      <c r="F257" s="1">
        <f ca="1">IFERROR(__xludf.DUMMYFUNCTION("""COMPUTED_VALUE"""),56564852)</f>
        <v>56564852</v>
      </c>
    </row>
    <row r="258" spans="1:6" x14ac:dyDescent="0.35">
      <c r="A258" s="2">
        <f ca="1">IFERROR(__xludf.DUMMYFUNCTION("""COMPUTED_VALUE"""),42377.6666666666)</f>
        <v>42377.666666666599</v>
      </c>
      <c r="B258" s="1">
        <f ca="1">IFERROR(__xludf.DUMMYFUNCTION("""COMPUTED_VALUE"""),52.37)</f>
        <v>52.37</v>
      </c>
      <c r="C258" s="1">
        <f ca="1">IFERROR(__xludf.DUMMYFUNCTION("""COMPUTED_VALUE"""),53.28)</f>
        <v>53.28</v>
      </c>
      <c r="D258" s="1">
        <f ca="1">IFERROR(__xludf.DUMMYFUNCTION("""COMPUTED_VALUE"""),52.15)</f>
        <v>52.15</v>
      </c>
      <c r="E258" s="1">
        <f ca="1">IFERROR(__xludf.DUMMYFUNCTION("""COMPUTED_VALUE"""),52.33)</f>
        <v>52.33</v>
      </c>
      <c r="F258" s="1">
        <f ca="1">IFERROR(__xludf.DUMMYFUNCTION("""COMPUTED_VALUE"""),48753969)</f>
        <v>48753969</v>
      </c>
    </row>
    <row r="259" spans="1:6" x14ac:dyDescent="0.35">
      <c r="A259" s="2">
        <f ca="1">IFERROR(__xludf.DUMMYFUNCTION("""COMPUTED_VALUE"""),42380.6666666666)</f>
        <v>42380.666666666599</v>
      </c>
      <c r="B259" s="1">
        <f ca="1">IFERROR(__xludf.DUMMYFUNCTION("""COMPUTED_VALUE"""),52.51)</f>
        <v>52.51</v>
      </c>
      <c r="C259" s="1">
        <f ca="1">IFERROR(__xludf.DUMMYFUNCTION("""COMPUTED_VALUE"""),52.85)</f>
        <v>52.85</v>
      </c>
      <c r="D259" s="1">
        <f ca="1">IFERROR(__xludf.DUMMYFUNCTION("""COMPUTED_VALUE"""),51.46)</f>
        <v>51.46</v>
      </c>
      <c r="E259" s="1">
        <f ca="1">IFERROR(__xludf.DUMMYFUNCTION("""COMPUTED_VALUE"""),52.3)</f>
        <v>52.3</v>
      </c>
      <c r="F259" s="1">
        <f ca="1">IFERROR(__xludf.DUMMYFUNCTION("""COMPUTED_VALUE"""),36943756)</f>
        <v>36943756</v>
      </c>
    </row>
    <row r="260" spans="1:6" x14ac:dyDescent="0.35">
      <c r="A260" s="2">
        <f ca="1">IFERROR(__xludf.DUMMYFUNCTION("""COMPUTED_VALUE"""),42381.6666666666)</f>
        <v>42381.666666666599</v>
      </c>
      <c r="B260" s="1">
        <f ca="1">IFERROR(__xludf.DUMMYFUNCTION("""COMPUTED_VALUE"""),52.76)</f>
        <v>52.76</v>
      </c>
      <c r="C260" s="1">
        <f ca="1">IFERROR(__xludf.DUMMYFUNCTION("""COMPUTED_VALUE"""),53.1)</f>
        <v>53.1</v>
      </c>
      <c r="D260" s="1">
        <f ca="1">IFERROR(__xludf.DUMMYFUNCTION("""COMPUTED_VALUE"""),52.06)</f>
        <v>52.06</v>
      </c>
      <c r="E260" s="1">
        <f ca="1">IFERROR(__xludf.DUMMYFUNCTION("""COMPUTED_VALUE"""),52.78)</f>
        <v>52.78</v>
      </c>
      <c r="F260" s="1">
        <f ca="1">IFERROR(__xludf.DUMMYFUNCTION("""COMPUTED_VALUE"""),36095539)</f>
        <v>36095539</v>
      </c>
    </row>
    <row r="261" spans="1:6" x14ac:dyDescent="0.35">
      <c r="A261" s="2">
        <f ca="1">IFERROR(__xludf.DUMMYFUNCTION("""COMPUTED_VALUE"""),42382.6666666666)</f>
        <v>42382.666666666599</v>
      </c>
      <c r="B261" s="1">
        <f ca="1">IFERROR(__xludf.DUMMYFUNCTION("""COMPUTED_VALUE"""),53.8)</f>
        <v>53.8</v>
      </c>
      <c r="C261" s="1">
        <f ca="1">IFERROR(__xludf.DUMMYFUNCTION("""COMPUTED_VALUE"""),54.07)</f>
        <v>54.07</v>
      </c>
      <c r="D261" s="1">
        <f ca="1">IFERROR(__xludf.DUMMYFUNCTION("""COMPUTED_VALUE"""),51.3)</f>
        <v>51.3</v>
      </c>
      <c r="E261" s="1">
        <f ca="1">IFERROR(__xludf.DUMMYFUNCTION("""COMPUTED_VALUE"""),51.64)</f>
        <v>51.64</v>
      </c>
      <c r="F261" s="1">
        <f ca="1">IFERROR(__xludf.DUMMYFUNCTION("""COMPUTED_VALUE"""),66883571)</f>
        <v>66883571</v>
      </c>
    </row>
    <row r="262" spans="1:6" x14ac:dyDescent="0.35">
      <c r="A262" s="2">
        <f ca="1">IFERROR(__xludf.DUMMYFUNCTION("""COMPUTED_VALUE"""),42383.6666666666)</f>
        <v>42383.666666666599</v>
      </c>
      <c r="B262" s="1">
        <f ca="1">IFERROR(__xludf.DUMMYFUNCTION("""COMPUTED_VALUE"""),52)</f>
        <v>52</v>
      </c>
      <c r="C262" s="1">
        <f ca="1">IFERROR(__xludf.DUMMYFUNCTION("""COMPUTED_VALUE"""),53.42)</f>
        <v>53.42</v>
      </c>
      <c r="D262" s="1">
        <f ca="1">IFERROR(__xludf.DUMMYFUNCTION("""COMPUTED_VALUE"""),51.57)</f>
        <v>51.57</v>
      </c>
      <c r="E262" s="1">
        <f ca="1">IFERROR(__xludf.DUMMYFUNCTION("""COMPUTED_VALUE"""),53.11)</f>
        <v>53.11</v>
      </c>
      <c r="F262" s="1">
        <f ca="1">IFERROR(__xludf.DUMMYFUNCTION("""COMPUTED_VALUE"""),52381918)</f>
        <v>52381918</v>
      </c>
    </row>
    <row r="263" spans="1:6" x14ac:dyDescent="0.35">
      <c r="A263" s="2">
        <f ca="1">IFERROR(__xludf.DUMMYFUNCTION("""COMPUTED_VALUE"""),42384.6666666666)</f>
        <v>42384.666666666599</v>
      </c>
      <c r="B263" s="1">
        <f ca="1">IFERROR(__xludf.DUMMYFUNCTION("""COMPUTED_VALUE"""),51.31)</f>
        <v>51.31</v>
      </c>
      <c r="C263" s="1">
        <f ca="1">IFERROR(__xludf.DUMMYFUNCTION("""COMPUTED_VALUE"""),51.97)</f>
        <v>51.97</v>
      </c>
      <c r="D263" s="1">
        <f ca="1">IFERROR(__xludf.DUMMYFUNCTION("""COMPUTED_VALUE"""),50.34)</f>
        <v>50.34</v>
      </c>
      <c r="E263" s="1">
        <f ca="1">IFERROR(__xludf.DUMMYFUNCTION("""COMPUTED_VALUE"""),50.99)</f>
        <v>50.99</v>
      </c>
      <c r="F263" s="1">
        <f ca="1">IFERROR(__xludf.DUMMYFUNCTION("""COMPUTED_VALUE"""),71820697)</f>
        <v>71820697</v>
      </c>
    </row>
    <row r="264" spans="1:6" x14ac:dyDescent="0.35">
      <c r="A264" s="2">
        <f ca="1">IFERROR(__xludf.DUMMYFUNCTION("""COMPUTED_VALUE"""),42388.6666666666)</f>
        <v>42388.666666666599</v>
      </c>
      <c r="B264" s="1">
        <f ca="1">IFERROR(__xludf.DUMMYFUNCTION("""COMPUTED_VALUE"""),51.48)</f>
        <v>51.48</v>
      </c>
      <c r="C264" s="1">
        <f ca="1">IFERROR(__xludf.DUMMYFUNCTION("""COMPUTED_VALUE"""),51.68)</f>
        <v>51.68</v>
      </c>
      <c r="D264" s="1">
        <f ca="1">IFERROR(__xludf.DUMMYFUNCTION("""COMPUTED_VALUE"""),50.06)</f>
        <v>50.06</v>
      </c>
      <c r="E264" s="1">
        <f ca="1">IFERROR(__xludf.DUMMYFUNCTION("""COMPUTED_VALUE"""),50.56)</f>
        <v>50.56</v>
      </c>
      <c r="F264" s="1">
        <f ca="1">IFERROR(__xludf.DUMMYFUNCTION("""COMPUTED_VALUE"""),43564538)</f>
        <v>43564538</v>
      </c>
    </row>
    <row r="265" spans="1:6" x14ac:dyDescent="0.35">
      <c r="A265" s="2">
        <f ca="1">IFERROR(__xludf.DUMMYFUNCTION("""COMPUTED_VALUE"""),42389.6666666666)</f>
        <v>42389.666666666599</v>
      </c>
      <c r="B265" s="1">
        <f ca="1">IFERROR(__xludf.DUMMYFUNCTION("""COMPUTED_VALUE"""),49.98)</f>
        <v>49.98</v>
      </c>
      <c r="C265" s="1">
        <f ca="1">IFERROR(__xludf.DUMMYFUNCTION("""COMPUTED_VALUE"""),51.38)</f>
        <v>51.38</v>
      </c>
      <c r="D265" s="1">
        <f ca="1">IFERROR(__xludf.DUMMYFUNCTION("""COMPUTED_VALUE"""),49.1)</f>
        <v>49.1</v>
      </c>
      <c r="E265" s="1">
        <f ca="1">IFERROR(__xludf.DUMMYFUNCTION("""COMPUTED_VALUE"""),50.79)</f>
        <v>50.79</v>
      </c>
      <c r="F265" s="1">
        <f ca="1">IFERROR(__xludf.DUMMYFUNCTION("""COMPUTED_VALUE"""),63272993)</f>
        <v>63272993</v>
      </c>
    </row>
    <row r="266" spans="1:6" x14ac:dyDescent="0.35">
      <c r="A266" s="2">
        <f ca="1">IFERROR(__xludf.DUMMYFUNCTION("""COMPUTED_VALUE"""),42390.6666666666)</f>
        <v>42390.666666666599</v>
      </c>
      <c r="B266" s="1">
        <f ca="1">IFERROR(__xludf.DUMMYFUNCTION("""COMPUTED_VALUE"""),51)</f>
        <v>51</v>
      </c>
      <c r="C266" s="1">
        <f ca="1">IFERROR(__xludf.DUMMYFUNCTION("""COMPUTED_VALUE"""),51.58)</f>
        <v>51.58</v>
      </c>
      <c r="D266" s="1">
        <f ca="1">IFERROR(__xludf.DUMMYFUNCTION("""COMPUTED_VALUE"""),50.3)</f>
        <v>50.3</v>
      </c>
      <c r="E266" s="1">
        <f ca="1">IFERROR(__xludf.DUMMYFUNCTION("""COMPUTED_VALUE"""),50.48)</f>
        <v>50.48</v>
      </c>
      <c r="F266" s="1">
        <f ca="1">IFERROR(__xludf.DUMMYFUNCTION("""COMPUTED_VALUE"""),40191157)</f>
        <v>40191157</v>
      </c>
    </row>
    <row r="267" spans="1:6" x14ac:dyDescent="0.35">
      <c r="A267" s="2">
        <f ca="1">IFERROR(__xludf.DUMMYFUNCTION("""COMPUTED_VALUE"""),42391.6666666666)</f>
        <v>42391.666666666599</v>
      </c>
      <c r="B267" s="1">
        <f ca="1">IFERROR(__xludf.DUMMYFUNCTION("""COMPUTED_VALUE"""),51.41)</f>
        <v>51.41</v>
      </c>
      <c r="C267" s="1">
        <f ca="1">IFERROR(__xludf.DUMMYFUNCTION("""COMPUTED_VALUE"""),52.33)</f>
        <v>52.33</v>
      </c>
      <c r="D267" s="1">
        <f ca="1">IFERROR(__xludf.DUMMYFUNCTION("""COMPUTED_VALUE"""),51.26)</f>
        <v>51.26</v>
      </c>
      <c r="E267" s="1">
        <f ca="1">IFERROR(__xludf.DUMMYFUNCTION("""COMPUTED_VALUE"""),52.29)</f>
        <v>52.29</v>
      </c>
      <c r="F267" s="1">
        <f ca="1">IFERROR(__xludf.DUMMYFUNCTION("""COMPUTED_VALUE"""),37555789)</f>
        <v>37555789</v>
      </c>
    </row>
    <row r="268" spans="1:6" x14ac:dyDescent="0.35">
      <c r="A268" s="2">
        <f ca="1">IFERROR(__xludf.DUMMYFUNCTION("""COMPUTED_VALUE"""),42394.6666666666)</f>
        <v>42394.666666666599</v>
      </c>
      <c r="B268" s="1">
        <f ca="1">IFERROR(__xludf.DUMMYFUNCTION("""COMPUTED_VALUE"""),51.94)</f>
        <v>51.94</v>
      </c>
      <c r="C268" s="1">
        <f ca="1">IFERROR(__xludf.DUMMYFUNCTION("""COMPUTED_VALUE"""),52.65)</f>
        <v>52.65</v>
      </c>
      <c r="D268" s="1">
        <f ca="1">IFERROR(__xludf.DUMMYFUNCTION("""COMPUTED_VALUE"""),51.65)</f>
        <v>51.65</v>
      </c>
      <c r="E268" s="1">
        <f ca="1">IFERROR(__xludf.DUMMYFUNCTION("""COMPUTED_VALUE"""),51.79)</f>
        <v>51.79</v>
      </c>
      <c r="F268" s="1">
        <f ca="1">IFERROR(__xludf.DUMMYFUNCTION("""COMPUTED_VALUE"""),34707717)</f>
        <v>34707717</v>
      </c>
    </row>
    <row r="269" spans="1:6" x14ac:dyDescent="0.35">
      <c r="A269" s="2">
        <f ca="1">IFERROR(__xludf.DUMMYFUNCTION("""COMPUTED_VALUE"""),42395.6666666666)</f>
        <v>42395.666666666599</v>
      </c>
      <c r="B269" s="1">
        <f ca="1">IFERROR(__xludf.DUMMYFUNCTION("""COMPUTED_VALUE"""),51.79)</f>
        <v>51.79</v>
      </c>
      <c r="C269" s="1">
        <f ca="1">IFERROR(__xludf.DUMMYFUNCTION("""COMPUTED_VALUE"""),52.44)</f>
        <v>52.44</v>
      </c>
      <c r="D269" s="1">
        <f ca="1">IFERROR(__xludf.DUMMYFUNCTION("""COMPUTED_VALUE"""),51.55)</f>
        <v>51.55</v>
      </c>
      <c r="E269" s="1">
        <f ca="1">IFERROR(__xludf.DUMMYFUNCTION("""COMPUTED_VALUE"""),52.17)</f>
        <v>52.17</v>
      </c>
      <c r="F269" s="1">
        <f ca="1">IFERROR(__xludf.DUMMYFUNCTION("""COMPUTED_VALUE"""),28900820)</f>
        <v>28900820</v>
      </c>
    </row>
    <row r="270" spans="1:6" x14ac:dyDescent="0.35">
      <c r="A270" s="2">
        <f ca="1">IFERROR(__xludf.DUMMYFUNCTION("""COMPUTED_VALUE"""),42396.6666666666)</f>
        <v>42396.666666666599</v>
      </c>
      <c r="B270" s="1">
        <f ca="1">IFERROR(__xludf.DUMMYFUNCTION("""COMPUTED_VALUE"""),52.01)</f>
        <v>52.01</v>
      </c>
      <c r="C270" s="1">
        <f ca="1">IFERROR(__xludf.DUMMYFUNCTION("""COMPUTED_VALUE"""),52.2)</f>
        <v>52.2</v>
      </c>
      <c r="D270" s="1">
        <f ca="1">IFERROR(__xludf.DUMMYFUNCTION("""COMPUTED_VALUE"""),51.02)</f>
        <v>51.02</v>
      </c>
      <c r="E270" s="1">
        <f ca="1">IFERROR(__xludf.DUMMYFUNCTION("""COMPUTED_VALUE"""),51.22)</f>
        <v>51.22</v>
      </c>
      <c r="F270" s="1">
        <f ca="1">IFERROR(__xludf.DUMMYFUNCTION("""COMPUTED_VALUE"""),36775194)</f>
        <v>36775194</v>
      </c>
    </row>
    <row r="271" spans="1:6" x14ac:dyDescent="0.35">
      <c r="A271" s="2">
        <f ca="1">IFERROR(__xludf.DUMMYFUNCTION("""COMPUTED_VALUE"""),42397.6666666666)</f>
        <v>42397.666666666599</v>
      </c>
      <c r="B271" s="1">
        <f ca="1">IFERROR(__xludf.DUMMYFUNCTION("""COMPUTED_VALUE"""),51.86)</f>
        <v>51.86</v>
      </c>
      <c r="C271" s="1">
        <f ca="1">IFERROR(__xludf.DUMMYFUNCTION("""COMPUTED_VALUE"""),52.21)</f>
        <v>52.21</v>
      </c>
      <c r="D271" s="1">
        <f ca="1">IFERROR(__xludf.DUMMYFUNCTION("""COMPUTED_VALUE"""),51.25)</f>
        <v>51.25</v>
      </c>
      <c r="E271" s="1">
        <f ca="1">IFERROR(__xludf.DUMMYFUNCTION("""COMPUTED_VALUE"""),52.06)</f>
        <v>52.06</v>
      </c>
      <c r="F271" s="1">
        <f ca="1">IFERROR(__xludf.DUMMYFUNCTION("""COMPUTED_VALUE"""),62513789)</f>
        <v>62513789</v>
      </c>
    </row>
    <row r="272" spans="1:6" x14ac:dyDescent="0.35">
      <c r="A272" s="2">
        <f ca="1">IFERROR(__xludf.DUMMYFUNCTION("""COMPUTED_VALUE"""),42398.6666666666)</f>
        <v>42398.666666666599</v>
      </c>
      <c r="B272" s="1">
        <f ca="1">IFERROR(__xludf.DUMMYFUNCTION("""COMPUTED_VALUE"""),54.73)</f>
        <v>54.73</v>
      </c>
      <c r="C272" s="1">
        <f ca="1">IFERROR(__xludf.DUMMYFUNCTION("""COMPUTED_VALUE"""),55.09)</f>
        <v>55.09</v>
      </c>
      <c r="D272" s="1">
        <f ca="1">IFERROR(__xludf.DUMMYFUNCTION("""COMPUTED_VALUE"""),54)</f>
        <v>54</v>
      </c>
      <c r="E272" s="1">
        <f ca="1">IFERROR(__xludf.DUMMYFUNCTION("""COMPUTED_VALUE"""),55.09)</f>
        <v>55.09</v>
      </c>
      <c r="F272" s="1">
        <f ca="1">IFERROR(__xludf.DUMMYFUNCTION("""COMPUTED_VALUE"""),83611686)</f>
        <v>83611686</v>
      </c>
    </row>
    <row r="273" spans="1:6" x14ac:dyDescent="0.35">
      <c r="A273" s="2">
        <f ca="1">IFERROR(__xludf.DUMMYFUNCTION("""COMPUTED_VALUE"""),42401.6666666666)</f>
        <v>42401.666666666599</v>
      </c>
      <c r="B273" s="1">
        <f ca="1">IFERROR(__xludf.DUMMYFUNCTION("""COMPUTED_VALUE"""),54.88)</f>
        <v>54.88</v>
      </c>
      <c r="C273" s="1">
        <f ca="1">IFERROR(__xludf.DUMMYFUNCTION("""COMPUTED_VALUE"""),55.09)</f>
        <v>55.09</v>
      </c>
      <c r="D273" s="1">
        <f ca="1">IFERROR(__xludf.DUMMYFUNCTION("""COMPUTED_VALUE"""),54.5)</f>
        <v>54.5</v>
      </c>
      <c r="E273" s="1">
        <f ca="1">IFERROR(__xludf.DUMMYFUNCTION("""COMPUTED_VALUE"""),54.71)</f>
        <v>54.71</v>
      </c>
      <c r="F273" s="1">
        <f ca="1">IFERROR(__xludf.DUMMYFUNCTION("""COMPUTED_VALUE"""),44208542)</f>
        <v>44208542</v>
      </c>
    </row>
    <row r="274" spans="1:6" x14ac:dyDescent="0.35">
      <c r="A274" s="2">
        <f ca="1">IFERROR(__xludf.DUMMYFUNCTION("""COMPUTED_VALUE"""),42402.6666666666)</f>
        <v>42402.666666666599</v>
      </c>
      <c r="B274" s="1">
        <f ca="1">IFERROR(__xludf.DUMMYFUNCTION("""COMPUTED_VALUE"""),54.17)</f>
        <v>54.17</v>
      </c>
      <c r="C274" s="1">
        <f ca="1">IFERROR(__xludf.DUMMYFUNCTION("""COMPUTED_VALUE"""),54.26)</f>
        <v>54.26</v>
      </c>
      <c r="D274" s="1">
        <f ca="1">IFERROR(__xludf.DUMMYFUNCTION("""COMPUTED_VALUE"""),52.65)</f>
        <v>52.65</v>
      </c>
      <c r="E274" s="1">
        <f ca="1">IFERROR(__xludf.DUMMYFUNCTION("""COMPUTED_VALUE"""),53)</f>
        <v>53</v>
      </c>
      <c r="F274" s="1">
        <f ca="1">IFERROR(__xludf.DUMMYFUNCTION("""COMPUTED_VALUE"""),56313753)</f>
        <v>56313753</v>
      </c>
    </row>
    <row r="275" spans="1:6" x14ac:dyDescent="0.35">
      <c r="A275" s="2">
        <f ca="1">IFERROR(__xludf.DUMMYFUNCTION("""COMPUTED_VALUE"""),42403.6666666666)</f>
        <v>42403.666666666599</v>
      </c>
      <c r="B275" s="1">
        <f ca="1">IFERROR(__xludf.DUMMYFUNCTION("""COMPUTED_VALUE"""),53.25)</f>
        <v>53.25</v>
      </c>
      <c r="C275" s="1">
        <f ca="1">IFERROR(__xludf.DUMMYFUNCTION("""COMPUTED_VALUE"""),53.39)</f>
        <v>53.39</v>
      </c>
      <c r="D275" s="1">
        <f ca="1">IFERROR(__xludf.DUMMYFUNCTION("""COMPUTED_VALUE"""),51.26)</f>
        <v>51.26</v>
      </c>
      <c r="E275" s="1">
        <f ca="1">IFERROR(__xludf.DUMMYFUNCTION("""COMPUTED_VALUE"""),52.16)</f>
        <v>52.16</v>
      </c>
      <c r="F275" s="1">
        <f ca="1">IFERROR(__xludf.DUMMYFUNCTION("""COMPUTED_VALUE"""),57559814)</f>
        <v>57559814</v>
      </c>
    </row>
    <row r="276" spans="1:6" x14ac:dyDescent="0.35">
      <c r="A276" s="2">
        <f ca="1">IFERROR(__xludf.DUMMYFUNCTION("""COMPUTED_VALUE"""),42404.6666666666)</f>
        <v>42404.666666666599</v>
      </c>
      <c r="B276" s="1">
        <f ca="1">IFERROR(__xludf.DUMMYFUNCTION("""COMPUTED_VALUE"""),52.1)</f>
        <v>52.1</v>
      </c>
      <c r="C276" s="1">
        <f ca="1">IFERROR(__xludf.DUMMYFUNCTION("""COMPUTED_VALUE"""),52.81)</f>
        <v>52.81</v>
      </c>
      <c r="D276" s="1">
        <f ca="1">IFERROR(__xludf.DUMMYFUNCTION("""COMPUTED_VALUE"""),51.37)</f>
        <v>51.37</v>
      </c>
      <c r="E276" s="1">
        <f ca="1">IFERROR(__xludf.DUMMYFUNCTION("""COMPUTED_VALUE"""),52)</f>
        <v>52</v>
      </c>
      <c r="F276" s="1">
        <f ca="1">IFERROR(__xludf.DUMMYFUNCTION("""COMPUTED_VALUE"""),46987123)</f>
        <v>46987123</v>
      </c>
    </row>
    <row r="277" spans="1:6" x14ac:dyDescent="0.35">
      <c r="A277" s="2">
        <f ca="1">IFERROR(__xludf.DUMMYFUNCTION("""COMPUTED_VALUE"""),42405.6666666666)</f>
        <v>42405.666666666599</v>
      </c>
      <c r="B277" s="1">
        <f ca="1">IFERROR(__xludf.DUMMYFUNCTION("""COMPUTED_VALUE"""),51.94)</f>
        <v>51.94</v>
      </c>
      <c r="C277" s="1">
        <f ca="1">IFERROR(__xludf.DUMMYFUNCTION("""COMPUTED_VALUE"""),52)</f>
        <v>52</v>
      </c>
      <c r="D277" s="1">
        <f ca="1">IFERROR(__xludf.DUMMYFUNCTION("""COMPUTED_VALUE"""),49.56)</f>
        <v>49.56</v>
      </c>
      <c r="E277" s="1">
        <f ca="1">IFERROR(__xludf.DUMMYFUNCTION("""COMPUTED_VALUE"""),50.16)</f>
        <v>50.16</v>
      </c>
      <c r="F277" s="1">
        <f ca="1">IFERROR(__xludf.DUMMYFUNCTION("""COMPUTED_VALUE"""),62008994)</f>
        <v>62008994</v>
      </c>
    </row>
    <row r="278" spans="1:6" x14ac:dyDescent="0.35">
      <c r="A278" s="2">
        <f ca="1">IFERROR(__xludf.DUMMYFUNCTION("""COMPUTED_VALUE"""),42408.6666666666)</f>
        <v>42408.666666666599</v>
      </c>
      <c r="B278" s="1">
        <f ca="1">IFERROR(__xludf.DUMMYFUNCTION("""COMPUTED_VALUE"""),49.55)</f>
        <v>49.55</v>
      </c>
      <c r="C278" s="1">
        <f ca="1">IFERROR(__xludf.DUMMYFUNCTION("""COMPUTED_VALUE"""),49.57)</f>
        <v>49.57</v>
      </c>
      <c r="D278" s="1">
        <f ca="1">IFERROR(__xludf.DUMMYFUNCTION("""COMPUTED_VALUE"""),48.19)</f>
        <v>48.19</v>
      </c>
      <c r="E278" s="1">
        <f ca="1">IFERROR(__xludf.DUMMYFUNCTION("""COMPUTED_VALUE"""),49.41)</f>
        <v>49.41</v>
      </c>
      <c r="F278" s="1">
        <f ca="1">IFERROR(__xludf.DUMMYFUNCTION("""COMPUTED_VALUE"""),59290497)</f>
        <v>59290497</v>
      </c>
    </row>
    <row r="279" spans="1:6" x14ac:dyDescent="0.35">
      <c r="A279" s="2">
        <f ca="1">IFERROR(__xludf.DUMMYFUNCTION("""COMPUTED_VALUE"""),42409.6666666666)</f>
        <v>42409.666666666599</v>
      </c>
      <c r="B279" s="1">
        <f ca="1">IFERROR(__xludf.DUMMYFUNCTION("""COMPUTED_VALUE"""),49.02)</f>
        <v>49.02</v>
      </c>
      <c r="C279" s="1">
        <f ca="1">IFERROR(__xludf.DUMMYFUNCTION("""COMPUTED_VALUE"""),50.24)</f>
        <v>50.24</v>
      </c>
      <c r="D279" s="1">
        <f ca="1">IFERROR(__xludf.DUMMYFUNCTION("""COMPUTED_VALUE"""),48.67)</f>
        <v>48.67</v>
      </c>
      <c r="E279" s="1">
        <f ca="1">IFERROR(__xludf.DUMMYFUNCTION("""COMPUTED_VALUE"""),49.28)</f>
        <v>49.28</v>
      </c>
      <c r="F279" s="1">
        <f ca="1">IFERROR(__xludf.DUMMYFUNCTION("""COMPUTED_VALUE"""),46740474)</f>
        <v>46740474</v>
      </c>
    </row>
    <row r="280" spans="1:6" x14ac:dyDescent="0.35">
      <c r="A280" s="2">
        <f ca="1">IFERROR(__xludf.DUMMYFUNCTION("""COMPUTED_VALUE"""),42410.6666666666)</f>
        <v>42410.666666666599</v>
      </c>
      <c r="B280" s="1">
        <f ca="1">IFERROR(__xludf.DUMMYFUNCTION("""COMPUTED_VALUE"""),49.89)</f>
        <v>49.89</v>
      </c>
      <c r="C280" s="1">
        <f ca="1">IFERROR(__xludf.DUMMYFUNCTION("""COMPUTED_VALUE"""),50.39)</f>
        <v>50.39</v>
      </c>
      <c r="D280" s="1">
        <f ca="1">IFERROR(__xludf.DUMMYFUNCTION("""COMPUTED_VALUE"""),49.52)</f>
        <v>49.52</v>
      </c>
      <c r="E280" s="1">
        <f ca="1">IFERROR(__xludf.DUMMYFUNCTION("""COMPUTED_VALUE"""),49.71)</f>
        <v>49.71</v>
      </c>
      <c r="F280" s="1">
        <f ca="1">IFERROR(__xludf.DUMMYFUNCTION("""COMPUTED_VALUE"""),38236954)</f>
        <v>38236954</v>
      </c>
    </row>
    <row r="281" spans="1:6" x14ac:dyDescent="0.35">
      <c r="A281" s="2">
        <f ca="1">IFERROR(__xludf.DUMMYFUNCTION("""COMPUTED_VALUE"""),42411.6666666666)</f>
        <v>42411.666666666599</v>
      </c>
      <c r="B281" s="1">
        <f ca="1">IFERROR(__xludf.DUMMYFUNCTION("""COMPUTED_VALUE"""),48.68)</f>
        <v>48.68</v>
      </c>
      <c r="C281" s="1">
        <f ca="1">IFERROR(__xludf.DUMMYFUNCTION("""COMPUTED_VALUE"""),50.11)</f>
        <v>50.11</v>
      </c>
      <c r="D281" s="1">
        <f ca="1">IFERROR(__xludf.DUMMYFUNCTION("""COMPUTED_VALUE"""),48.51)</f>
        <v>48.51</v>
      </c>
      <c r="E281" s="1">
        <f ca="1">IFERROR(__xludf.DUMMYFUNCTION("""COMPUTED_VALUE"""),49.69)</f>
        <v>49.69</v>
      </c>
      <c r="F281" s="1">
        <f ca="1">IFERROR(__xludf.DUMMYFUNCTION("""COMPUTED_VALUE"""),48878571)</f>
        <v>48878571</v>
      </c>
    </row>
    <row r="282" spans="1:6" x14ac:dyDescent="0.35">
      <c r="A282" s="2">
        <f ca="1">IFERROR(__xludf.DUMMYFUNCTION("""COMPUTED_VALUE"""),42412.6666666666)</f>
        <v>42412.666666666599</v>
      </c>
      <c r="B282" s="1">
        <f ca="1">IFERROR(__xludf.DUMMYFUNCTION("""COMPUTED_VALUE"""),50.25)</f>
        <v>50.25</v>
      </c>
      <c r="C282" s="1">
        <f ca="1">IFERROR(__xludf.DUMMYFUNCTION("""COMPUTED_VALUE"""),50.68)</f>
        <v>50.68</v>
      </c>
      <c r="D282" s="1">
        <f ca="1">IFERROR(__xludf.DUMMYFUNCTION("""COMPUTED_VALUE"""),49.75)</f>
        <v>49.75</v>
      </c>
      <c r="E282" s="1">
        <f ca="1">IFERROR(__xludf.DUMMYFUNCTION("""COMPUTED_VALUE"""),50.5)</f>
        <v>50.5</v>
      </c>
      <c r="F282" s="1">
        <f ca="1">IFERROR(__xludf.DUMMYFUNCTION("""COMPUTED_VALUE"""),34243324)</f>
        <v>34243324</v>
      </c>
    </row>
    <row r="283" spans="1:6" x14ac:dyDescent="0.35">
      <c r="A283" s="2">
        <f ca="1">IFERROR(__xludf.DUMMYFUNCTION("""COMPUTED_VALUE"""),42416.6666666666)</f>
        <v>42416.666666666599</v>
      </c>
      <c r="B283" s="1">
        <f ca="1">IFERROR(__xludf.DUMMYFUNCTION("""COMPUTED_VALUE"""),50.9)</f>
        <v>50.9</v>
      </c>
      <c r="C283" s="1">
        <f ca="1">IFERROR(__xludf.DUMMYFUNCTION("""COMPUTED_VALUE"""),51.09)</f>
        <v>51.09</v>
      </c>
      <c r="D283" s="1">
        <f ca="1">IFERROR(__xludf.DUMMYFUNCTION("""COMPUTED_VALUE"""),50.13)</f>
        <v>50.13</v>
      </c>
      <c r="E283" s="1">
        <f ca="1">IFERROR(__xludf.DUMMYFUNCTION("""COMPUTED_VALUE"""),51.09)</f>
        <v>51.09</v>
      </c>
      <c r="F283" s="1">
        <f ca="1">IFERROR(__xludf.DUMMYFUNCTION("""COMPUTED_VALUE"""),37291208)</f>
        <v>37291208</v>
      </c>
    </row>
    <row r="284" spans="1:6" x14ac:dyDescent="0.35">
      <c r="A284" s="2">
        <f ca="1">IFERROR(__xludf.DUMMYFUNCTION("""COMPUTED_VALUE"""),42417.6666666666)</f>
        <v>42417.666666666599</v>
      </c>
      <c r="B284" s="1">
        <f ca="1">IFERROR(__xludf.DUMMYFUNCTION("""COMPUTED_VALUE"""),51.49)</f>
        <v>51.49</v>
      </c>
      <c r="C284" s="1">
        <f ca="1">IFERROR(__xludf.DUMMYFUNCTION("""COMPUTED_VALUE"""),52.77)</f>
        <v>52.77</v>
      </c>
      <c r="D284" s="1">
        <f ca="1">IFERROR(__xludf.DUMMYFUNCTION("""COMPUTED_VALUE"""),51.45)</f>
        <v>51.45</v>
      </c>
      <c r="E284" s="1">
        <f ca="1">IFERROR(__xludf.DUMMYFUNCTION("""COMPUTED_VALUE"""),52.42)</f>
        <v>52.42</v>
      </c>
      <c r="F284" s="1">
        <f ca="1">IFERROR(__xludf.DUMMYFUNCTION("""COMPUTED_VALUE"""),40788968)</f>
        <v>40788968</v>
      </c>
    </row>
    <row r="285" spans="1:6" x14ac:dyDescent="0.35">
      <c r="A285" s="2">
        <f ca="1">IFERROR(__xludf.DUMMYFUNCTION("""COMPUTED_VALUE"""),42418.6666666666)</f>
        <v>42418.666666666599</v>
      </c>
      <c r="B285" s="1">
        <f ca="1">IFERROR(__xludf.DUMMYFUNCTION("""COMPUTED_VALUE"""),52.33)</f>
        <v>52.33</v>
      </c>
      <c r="C285" s="1">
        <f ca="1">IFERROR(__xludf.DUMMYFUNCTION("""COMPUTED_VALUE"""),52.95)</f>
        <v>52.95</v>
      </c>
      <c r="D285" s="1">
        <f ca="1">IFERROR(__xludf.DUMMYFUNCTION("""COMPUTED_VALUE"""),52.1)</f>
        <v>52.1</v>
      </c>
      <c r="E285" s="1">
        <f ca="1">IFERROR(__xludf.DUMMYFUNCTION("""COMPUTED_VALUE"""),52.19)</f>
        <v>52.19</v>
      </c>
      <c r="F285" s="1">
        <f ca="1">IFERROR(__xludf.DUMMYFUNCTION("""COMPUTED_VALUE"""),27176035)</f>
        <v>27176035</v>
      </c>
    </row>
    <row r="286" spans="1:6" x14ac:dyDescent="0.35">
      <c r="A286" s="2">
        <f ca="1">IFERROR(__xludf.DUMMYFUNCTION("""COMPUTED_VALUE"""),42419.6666666666)</f>
        <v>42419.666666666599</v>
      </c>
      <c r="B286" s="1">
        <f ca="1">IFERROR(__xludf.DUMMYFUNCTION("""COMPUTED_VALUE"""),51.97)</f>
        <v>51.97</v>
      </c>
      <c r="C286" s="1">
        <f ca="1">IFERROR(__xludf.DUMMYFUNCTION("""COMPUTED_VALUE"""),52.28)</f>
        <v>52.28</v>
      </c>
      <c r="D286" s="1">
        <f ca="1">IFERROR(__xludf.DUMMYFUNCTION("""COMPUTED_VALUE"""),51.53)</f>
        <v>51.53</v>
      </c>
      <c r="E286" s="1">
        <f ca="1">IFERROR(__xludf.DUMMYFUNCTION("""COMPUTED_VALUE"""),51.82)</f>
        <v>51.82</v>
      </c>
      <c r="F286" s="1">
        <f ca="1">IFERROR(__xludf.DUMMYFUNCTION("""COMPUTED_VALUE"""),33559073)</f>
        <v>33559073</v>
      </c>
    </row>
    <row r="287" spans="1:6" x14ac:dyDescent="0.35">
      <c r="A287" s="2">
        <f ca="1">IFERROR(__xludf.DUMMYFUNCTION("""COMPUTED_VALUE"""),42422.6666666666)</f>
        <v>42422.666666666599</v>
      </c>
      <c r="B287" s="1">
        <f ca="1">IFERROR(__xludf.DUMMYFUNCTION("""COMPUTED_VALUE"""),52.28)</f>
        <v>52.28</v>
      </c>
      <c r="C287" s="1">
        <f ca="1">IFERROR(__xludf.DUMMYFUNCTION("""COMPUTED_VALUE"""),53)</f>
        <v>53</v>
      </c>
      <c r="D287" s="1">
        <f ca="1">IFERROR(__xludf.DUMMYFUNCTION("""COMPUTED_VALUE"""),52.28)</f>
        <v>52.28</v>
      </c>
      <c r="E287" s="1">
        <f ca="1">IFERROR(__xludf.DUMMYFUNCTION("""COMPUTED_VALUE"""),52.65)</f>
        <v>52.65</v>
      </c>
      <c r="F287" s="1">
        <f ca="1">IFERROR(__xludf.DUMMYFUNCTION("""COMPUTED_VALUE"""),25008291)</f>
        <v>25008291</v>
      </c>
    </row>
    <row r="288" spans="1:6" x14ac:dyDescent="0.35">
      <c r="A288" s="2">
        <f ca="1">IFERROR(__xludf.DUMMYFUNCTION("""COMPUTED_VALUE"""),42423.6666666666)</f>
        <v>42423.666666666599</v>
      </c>
      <c r="B288" s="1">
        <f ca="1">IFERROR(__xludf.DUMMYFUNCTION("""COMPUTED_VALUE"""),52.34)</f>
        <v>52.34</v>
      </c>
      <c r="C288" s="1">
        <f ca="1">IFERROR(__xludf.DUMMYFUNCTION("""COMPUTED_VALUE"""),52.37)</f>
        <v>52.37</v>
      </c>
      <c r="D288" s="1">
        <f ca="1">IFERROR(__xludf.DUMMYFUNCTION("""COMPUTED_VALUE"""),50.98)</f>
        <v>50.98</v>
      </c>
      <c r="E288" s="1">
        <f ca="1">IFERROR(__xludf.DUMMYFUNCTION("""COMPUTED_VALUE"""),51.18)</f>
        <v>51.18</v>
      </c>
      <c r="F288" s="1">
        <f ca="1">IFERROR(__xludf.DUMMYFUNCTION("""COMPUTED_VALUE"""),28895274)</f>
        <v>28895274</v>
      </c>
    </row>
    <row r="289" spans="1:6" x14ac:dyDescent="0.35">
      <c r="A289" s="2">
        <f ca="1">IFERROR(__xludf.DUMMYFUNCTION("""COMPUTED_VALUE"""),42424.6666666666)</f>
        <v>42424.666666666599</v>
      </c>
      <c r="B289" s="1">
        <f ca="1">IFERROR(__xludf.DUMMYFUNCTION("""COMPUTED_VALUE"""),50.69)</f>
        <v>50.69</v>
      </c>
      <c r="C289" s="1">
        <f ca="1">IFERROR(__xludf.DUMMYFUNCTION("""COMPUTED_VALUE"""),51.5)</f>
        <v>51.5</v>
      </c>
      <c r="D289" s="1">
        <f ca="1">IFERROR(__xludf.DUMMYFUNCTION("""COMPUTED_VALUE"""),50.2)</f>
        <v>50.2</v>
      </c>
      <c r="E289" s="1">
        <f ca="1">IFERROR(__xludf.DUMMYFUNCTION("""COMPUTED_VALUE"""),51.36)</f>
        <v>51.36</v>
      </c>
      <c r="F289" s="1">
        <f ca="1">IFERROR(__xludf.DUMMYFUNCTION("""COMPUTED_VALUE"""),33014457)</f>
        <v>33014457</v>
      </c>
    </row>
    <row r="290" spans="1:6" x14ac:dyDescent="0.35">
      <c r="A290" s="2">
        <f ca="1">IFERROR(__xludf.DUMMYFUNCTION("""COMPUTED_VALUE"""),42425.6666666666)</f>
        <v>42425.666666666599</v>
      </c>
      <c r="B290" s="1">
        <f ca="1">IFERROR(__xludf.DUMMYFUNCTION("""COMPUTED_VALUE"""),51.73)</f>
        <v>51.73</v>
      </c>
      <c r="C290" s="1">
        <f ca="1">IFERROR(__xludf.DUMMYFUNCTION("""COMPUTED_VALUE"""),52.1)</f>
        <v>52.1</v>
      </c>
      <c r="D290" s="1">
        <f ca="1">IFERROR(__xludf.DUMMYFUNCTION("""COMPUTED_VALUE"""),50.61)</f>
        <v>50.61</v>
      </c>
      <c r="E290" s="1">
        <f ca="1">IFERROR(__xludf.DUMMYFUNCTION("""COMPUTED_VALUE"""),52.1)</f>
        <v>52.1</v>
      </c>
      <c r="F290" s="1">
        <f ca="1">IFERROR(__xludf.DUMMYFUNCTION("""COMPUTED_VALUE"""),26939467)</f>
        <v>26939467</v>
      </c>
    </row>
    <row r="291" spans="1:6" x14ac:dyDescent="0.35">
      <c r="A291" s="2">
        <f ca="1">IFERROR(__xludf.DUMMYFUNCTION("""COMPUTED_VALUE"""),42426.6666666666)</f>
        <v>42426.666666666599</v>
      </c>
      <c r="B291" s="1">
        <f ca="1">IFERROR(__xludf.DUMMYFUNCTION("""COMPUTED_VALUE"""),52.6)</f>
        <v>52.6</v>
      </c>
      <c r="C291" s="1">
        <f ca="1">IFERROR(__xludf.DUMMYFUNCTION("""COMPUTED_VALUE"""),52.68)</f>
        <v>52.68</v>
      </c>
      <c r="D291" s="1">
        <f ca="1">IFERROR(__xludf.DUMMYFUNCTION("""COMPUTED_VALUE"""),51.1)</f>
        <v>51.1</v>
      </c>
      <c r="E291" s="1">
        <f ca="1">IFERROR(__xludf.DUMMYFUNCTION("""COMPUTED_VALUE"""),51.3)</f>
        <v>51.3</v>
      </c>
      <c r="F291" s="1">
        <f ca="1">IFERROR(__xludf.DUMMYFUNCTION("""COMPUTED_VALUE"""),35975925)</f>
        <v>35975925</v>
      </c>
    </row>
    <row r="292" spans="1:6" x14ac:dyDescent="0.35">
      <c r="A292" s="2">
        <f ca="1">IFERROR(__xludf.DUMMYFUNCTION("""COMPUTED_VALUE"""),42429.6666666666)</f>
        <v>42429.666666666599</v>
      </c>
      <c r="B292" s="1">
        <f ca="1">IFERROR(__xludf.DUMMYFUNCTION("""COMPUTED_VALUE"""),51.35)</f>
        <v>51.35</v>
      </c>
      <c r="C292" s="1">
        <f ca="1">IFERROR(__xludf.DUMMYFUNCTION("""COMPUTED_VALUE"""),51.65)</f>
        <v>51.65</v>
      </c>
      <c r="D292" s="1">
        <f ca="1">IFERROR(__xludf.DUMMYFUNCTION("""COMPUTED_VALUE"""),50.66)</f>
        <v>50.66</v>
      </c>
      <c r="E292" s="1">
        <f ca="1">IFERROR(__xludf.DUMMYFUNCTION("""COMPUTED_VALUE"""),50.88)</f>
        <v>50.88</v>
      </c>
      <c r="F292" s="1">
        <f ca="1">IFERROR(__xludf.DUMMYFUNCTION("""COMPUTED_VALUE"""),31654036)</f>
        <v>31654036</v>
      </c>
    </row>
    <row r="293" spans="1:6" x14ac:dyDescent="0.35">
      <c r="A293" s="2">
        <f ca="1">IFERROR(__xludf.DUMMYFUNCTION("""COMPUTED_VALUE"""),42430.6666666666)</f>
        <v>42430.666666666599</v>
      </c>
      <c r="B293" s="1">
        <f ca="1">IFERROR(__xludf.DUMMYFUNCTION("""COMPUTED_VALUE"""),50.97)</f>
        <v>50.97</v>
      </c>
      <c r="C293" s="1">
        <f ca="1">IFERROR(__xludf.DUMMYFUNCTION("""COMPUTED_VALUE"""),52.59)</f>
        <v>52.59</v>
      </c>
      <c r="D293" s="1">
        <f ca="1">IFERROR(__xludf.DUMMYFUNCTION("""COMPUTED_VALUE"""),50.92)</f>
        <v>50.92</v>
      </c>
      <c r="E293" s="1">
        <f ca="1">IFERROR(__xludf.DUMMYFUNCTION("""COMPUTED_VALUE"""),52.58)</f>
        <v>52.58</v>
      </c>
      <c r="F293" s="1">
        <f ca="1">IFERROR(__xludf.DUMMYFUNCTION("""COMPUTED_VALUE"""),33024535)</f>
        <v>33024535</v>
      </c>
    </row>
    <row r="294" spans="1:6" x14ac:dyDescent="0.35">
      <c r="A294" s="2">
        <f ca="1">IFERROR(__xludf.DUMMYFUNCTION("""COMPUTED_VALUE"""),42431.6666666666)</f>
        <v>42431.666666666599</v>
      </c>
      <c r="B294" s="1">
        <f ca="1">IFERROR(__xludf.DUMMYFUNCTION("""COMPUTED_VALUE"""),52.41)</f>
        <v>52.41</v>
      </c>
      <c r="C294" s="1">
        <f ca="1">IFERROR(__xludf.DUMMYFUNCTION("""COMPUTED_VALUE"""),52.96)</f>
        <v>52.96</v>
      </c>
      <c r="D294" s="1">
        <f ca="1">IFERROR(__xludf.DUMMYFUNCTION("""COMPUTED_VALUE"""),52.16)</f>
        <v>52.16</v>
      </c>
      <c r="E294" s="1">
        <f ca="1">IFERROR(__xludf.DUMMYFUNCTION("""COMPUTED_VALUE"""),52.95)</f>
        <v>52.95</v>
      </c>
      <c r="F294" s="1">
        <f ca="1">IFERROR(__xludf.DUMMYFUNCTION("""COMPUTED_VALUE"""),29289884)</f>
        <v>29289884</v>
      </c>
    </row>
    <row r="295" spans="1:6" x14ac:dyDescent="0.35">
      <c r="A295" s="2">
        <f ca="1">IFERROR(__xludf.DUMMYFUNCTION("""COMPUTED_VALUE"""),42432.6666666666)</f>
        <v>42432.666666666599</v>
      </c>
      <c r="B295" s="1">
        <f ca="1">IFERROR(__xludf.DUMMYFUNCTION("""COMPUTED_VALUE"""),52.97)</f>
        <v>52.97</v>
      </c>
      <c r="C295" s="1">
        <f ca="1">IFERROR(__xludf.DUMMYFUNCTION("""COMPUTED_VALUE"""),52.97)</f>
        <v>52.97</v>
      </c>
      <c r="D295" s="1">
        <f ca="1">IFERROR(__xludf.DUMMYFUNCTION("""COMPUTED_VALUE"""),51.78)</f>
        <v>51.78</v>
      </c>
      <c r="E295" s="1">
        <f ca="1">IFERROR(__xludf.DUMMYFUNCTION("""COMPUTED_VALUE"""),52.35)</f>
        <v>52.35</v>
      </c>
      <c r="F295" s="1">
        <f ca="1">IFERROR(__xludf.DUMMYFUNCTION("""COMPUTED_VALUE"""),24427813)</f>
        <v>24427813</v>
      </c>
    </row>
    <row r="296" spans="1:6" x14ac:dyDescent="0.35">
      <c r="A296" s="2">
        <f ca="1">IFERROR(__xludf.DUMMYFUNCTION("""COMPUTED_VALUE"""),42433.6666666666)</f>
        <v>42433.666666666599</v>
      </c>
      <c r="B296" s="1">
        <f ca="1">IFERROR(__xludf.DUMMYFUNCTION("""COMPUTED_VALUE"""),52.4)</f>
        <v>52.4</v>
      </c>
      <c r="C296" s="1">
        <f ca="1">IFERROR(__xludf.DUMMYFUNCTION("""COMPUTED_VALUE"""),52.45)</f>
        <v>52.45</v>
      </c>
      <c r="D296" s="1">
        <f ca="1">IFERROR(__xludf.DUMMYFUNCTION("""COMPUTED_VALUE"""),51.71)</f>
        <v>51.71</v>
      </c>
      <c r="E296" s="1">
        <f ca="1">IFERROR(__xludf.DUMMYFUNCTION("""COMPUTED_VALUE"""),52.03)</f>
        <v>52.03</v>
      </c>
      <c r="F296" s="1">
        <f ca="1">IFERROR(__xludf.DUMMYFUNCTION("""COMPUTED_VALUE"""),33034150)</f>
        <v>33034150</v>
      </c>
    </row>
    <row r="297" spans="1:6" x14ac:dyDescent="0.35">
      <c r="A297" s="2">
        <f ca="1">IFERROR(__xludf.DUMMYFUNCTION("""COMPUTED_VALUE"""),42436.6666666666)</f>
        <v>42436.666666666599</v>
      </c>
      <c r="B297" s="1">
        <f ca="1">IFERROR(__xludf.DUMMYFUNCTION("""COMPUTED_VALUE"""),51.56)</f>
        <v>51.56</v>
      </c>
      <c r="C297" s="1">
        <f ca="1">IFERROR(__xludf.DUMMYFUNCTION("""COMPUTED_VALUE"""),51.8)</f>
        <v>51.8</v>
      </c>
      <c r="D297" s="1">
        <f ca="1">IFERROR(__xludf.DUMMYFUNCTION("""COMPUTED_VALUE"""),50.58)</f>
        <v>50.58</v>
      </c>
      <c r="E297" s="1">
        <f ca="1">IFERROR(__xludf.DUMMYFUNCTION("""COMPUTED_VALUE"""),51.03)</f>
        <v>51.03</v>
      </c>
      <c r="F297" s="1">
        <f ca="1">IFERROR(__xludf.DUMMYFUNCTION("""COMPUTED_VALUE"""),38428816)</f>
        <v>38428816</v>
      </c>
    </row>
    <row r="298" spans="1:6" x14ac:dyDescent="0.35">
      <c r="A298" s="2">
        <f ca="1">IFERROR(__xludf.DUMMYFUNCTION("""COMPUTED_VALUE"""),42437.6666666666)</f>
        <v>42437.666666666599</v>
      </c>
      <c r="B298" s="1">
        <f ca="1">IFERROR(__xludf.DUMMYFUNCTION("""COMPUTED_VALUE"""),50.8)</f>
        <v>50.8</v>
      </c>
      <c r="C298" s="1">
        <f ca="1">IFERROR(__xludf.DUMMYFUNCTION("""COMPUTED_VALUE"""),52.13)</f>
        <v>52.13</v>
      </c>
      <c r="D298" s="1">
        <f ca="1">IFERROR(__xludf.DUMMYFUNCTION("""COMPUTED_VALUE"""),50.6)</f>
        <v>50.6</v>
      </c>
      <c r="E298" s="1">
        <f ca="1">IFERROR(__xludf.DUMMYFUNCTION("""COMPUTED_VALUE"""),51.65)</f>
        <v>51.65</v>
      </c>
      <c r="F298" s="1">
        <f ca="1">IFERROR(__xludf.DUMMYFUNCTION("""COMPUTED_VALUE"""),33835119)</f>
        <v>33835119</v>
      </c>
    </row>
    <row r="299" spans="1:6" x14ac:dyDescent="0.35">
      <c r="A299" s="2">
        <f ca="1">IFERROR(__xludf.DUMMYFUNCTION("""COMPUTED_VALUE"""),42438.6666666666)</f>
        <v>42438.666666666599</v>
      </c>
      <c r="B299" s="1">
        <f ca="1">IFERROR(__xludf.DUMMYFUNCTION("""COMPUTED_VALUE"""),51.89)</f>
        <v>51.89</v>
      </c>
      <c r="C299" s="1">
        <f ca="1">IFERROR(__xludf.DUMMYFUNCTION("""COMPUTED_VALUE"""),52.85)</f>
        <v>52.85</v>
      </c>
      <c r="D299" s="1">
        <f ca="1">IFERROR(__xludf.DUMMYFUNCTION("""COMPUTED_VALUE"""),51.86)</f>
        <v>51.86</v>
      </c>
      <c r="E299" s="1">
        <f ca="1">IFERROR(__xludf.DUMMYFUNCTION("""COMPUTED_VALUE"""),52.84)</f>
        <v>52.84</v>
      </c>
      <c r="F299" s="1">
        <f ca="1">IFERROR(__xludf.DUMMYFUNCTION("""COMPUTED_VALUE"""),28251588)</f>
        <v>28251588</v>
      </c>
    </row>
    <row r="300" spans="1:6" x14ac:dyDescent="0.35">
      <c r="A300" s="2">
        <f ca="1">IFERROR(__xludf.DUMMYFUNCTION("""COMPUTED_VALUE"""),42439.6666666666)</f>
        <v>42439.666666666599</v>
      </c>
      <c r="B300" s="1">
        <f ca="1">IFERROR(__xludf.DUMMYFUNCTION("""COMPUTED_VALUE"""),52.93)</f>
        <v>52.93</v>
      </c>
      <c r="C300" s="1">
        <f ca="1">IFERROR(__xludf.DUMMYFUNCTION("""COMPUTED_VALUE"""),52.94)</f>
        <v>52.94</v>
      </c>
      <c r="D300" s="1">
        <f ca="1">IFERROR(__xludf.DUMMYFUNCTION("""COMPUTED_VALUE"""),51.16)</f>
        <v>51.16</v>
      </c>
      <c r="E300" s="1">
        <f ca="1">IFERROR(__xludf.DUMMYFUNCTION("""COMPUTED_VALUE"""),52.05)</f>
        <v>52.05</v>
      </c>
      <c r="F300" s="1">
        <f ca="1">IFERROR(__xludf.DUMMYFUNCTION("""COMPUTED_VALUE"""),38387804)</f>
        <v>38387804</v>
      </c>
    </row>
    <row r="301" spans="1:6" x14ac:dyDescent="0.35">
      <c r="A301" s="2">
        <f ca="1">IFERROR(__xludf.DUMMYFUNCTION("""COMPUTED_VALUE"""),42440.6666666666)</f>
        <v>42440.666666666599</v>
      </c>
      <c r="B301" s="1">
        <f ca="1">IFERROR(__xludf.DUMMYFUNCTION("""COMPUTED_VALUE"""),53)</f>
        <v>53</v>
      </c>
      <c r="C301" s="1">
        <f ca="1">IFERROR(__xludf.DUMMYFUNCTION("""COMPUTED_VALUE"""),53.07)</f>
        <v>53.07</v>
      </c>
      <c r="D301" s="1">
        <f ca="1">IFERROR(__xludf.DUMMYFUNCTION("""COMPUTED_VALUE"""),52.38)</f>
        <v>52.38</v>
      </c>
      <c r="E301" s="1">
        <f ca="1">IFERROR(__xludf.DUMMYFUNCTION("""COMPUTED_VALUE"""),53.07)</f>
        <v>53.07</v>
      </c>
      <c r="F301" s="1">
        <f ca="1">IFERROR(__xludf.DUMMYFUNCTION("""COMPUTED_VALUE"""),32275677)</f>
        <v>32275677</v>
      </c>
    </row>
    <row r="302" spans="1:6" x14ac:dyDescent="0.35">
      <c r="A302" s="2">
        <f ca="1">IFERROR(__xludf.DUMMYFUNCTION("""COMPUTED_VALUE"""),42443.6666666666)</f>
        <v>42443.666666666599</v>
      </c>
      <c r="B302" s="1">
        <f ca="1">IFERROR(__xludf.DUMMYFUNCTION("""COMPUTED_VALUE"""),52.71)</f>
        <v>52.71</v>
      </c>
      <c r="C302" s="1">
        <f ca="1">IFERROR(__xludf.DUMMYFUNCTION("""COMPUTED_VALUE"""),53.59)</f>
        <v>53.59</v>
      </c>
      <c r="D302" s="1">
        <f ca="1">IFERROR(__xludf.DUMMYFUNCTION("""COMPUTED_VALUE"""),52.63)</f>
        <v>52.63</v>
      </c>
      <c r="E302" s="1">
        <f ca="1">IFERROR(__xludf.DUMMYFUNCTION("""COMPUTED_VALUE"""),53.17)</f>
        <v>53.17</v>
      </c>
      <c r="F302" s="1">
        <f ca="1">IFERROR(__xludf.DUMMYFUNCTION("""COMPUTED_VALUE"""),24083616)</f>
        <v>24083616</v>
      </c>
    </row>
    <row r="303" spans="1:6" x14ac:dyDescent="0.35">
      <c r="A303" s="2">
        <f ca="1">IFERROR(__xludf.DUMMYFUNCTION("""COMPUTED_VALUE"""),42444.6666666666)</f>
        <v>42444.666666666599</v>
      </c>
      <c r="B303" s="1">
        <f ca="1">IFERROR(__xludf.DUMMYFUNCTION("""COMPUTED_VALUE"""),52.75)</f>
        <v>52.75</v>
      </c>
      <c r="C303" s="1">
        <f ca="1">IFERROR(__xludf.DUMMYFUNCTION("""COMPUTED_VALUE"""),53.59)</f>
        <v>53.59</v>
      </c>
      <c r="D303" s="1">
        <f ca="1">IFERROR(__xludf.DUMMYFUNCTION("""COMPUTED_VALUE"""),52.74)</f>
        <v>52.74</v>
      </c>
      <c r="E303" s="1">
        <f ca="1">IFERROR(__xludf.DUMMYFUNCTION("""COMPUTED_VALUE"""),53.59)</f>
        <v>53.59</v>
      </c>
      <c r="F303" s="1">
        <f ca="1">IFERROR(__xludf.DUMMYFUNCTION("""COMPUTED_VALUE"""),21104763)</f>
        <v>21104763</v>
      </c>
    </row>
    <row r="304" spans="1:6" x14ac:dyDescent="0.35">
      <c r="A304" s="2">
        <f ca="1">IFERROR(__xludf.DUMMYFUNCTION("""COMPUTED_VALUE"""),42445.6666666666)</f>
        <v>42445.666666666599</v>
      </c>
      <c r="B304" s="1">
        <f ca="1">IFERROR(__xludf.DUMMYFUNCTION("""COMPUTED_VALUE"""),53.45)</f>
        <v>53.45</v>
      </c>
      <c r="C304" s="1">
        <f ca="1">IFERROR(__xludf.DUMMYFUNCTION("""COMPUTED_VALUE"""),54.6)</f>
        <v>54.6</v>
      </c>
      <c r="D304" s="1">
        <f ca="1">IFERROR(__xludf.DUMMYFUNCTION("""COMPUTED_VALUE"""),53.4)</f>
        <v>53.4</v>
      </c>
      <c r="E304" s="1">
        <f ca="1">IFERROR(__xludf.DUMMYFUNCTION("""COMPUTED_VALUE"""),54.35)</f>
        <v>54.35</v>
      </c>
      <c r="F304" s="1">
        <f ca="1">IFERROR(__xludf.DUMMYFUNCTION("""COMPUTED_VALUE"""),31691742)</f>
        <v>31691742</v>
      </c>
    </row>
    <row r="305" spans="1:6" x14ac:dyDescent="0.35">
      <c r="A305" s="2">
        <f ca="1">IFERROR(__xludf.DUMMYFUNCTION("""COMPUTED_VALUE"""),42446.6666666666)</f>
        <v>42446.666666666599</v>
      </c>
      <c r="B305" s="1">
        <f ca="1">IFERROR(__xludf.DUMMYFUNCTION("""COMPUTED_VALUE"""),54.21)</f>
        <v>54.21</v>
      </c>
      <c r="C305" s="1">
        <f ca="1">IFERROR(__xludf.DUMMYFUNCTION("""COMPUTED_VALUE"""),55)</f>
        <v>55</v>
      </c>
      <c r="D305" s="1">
        <f ca="1">IFERROR(__xludf.DUMMYFUNCTION("""COMPUTED_VALUE"""),54)</f>
        <v>54</v>
      </c>
      <c r="E305" s="1">
        <f ca="1">IFERROR(__xludf.DUMMYFUNCTION("""COMPUTED_VALUE"""),54.66)</f>
        <v>54.66</v>
      </c>
      <c r="F305" s="1">
        <f ca="1">IFERROR(__xludf.DUMMYFUNCTION("""COMPUTED_VALUE"""),20539771)</f>
        <v>20539771</v>
      </c>
    </row>
    <row r="306" spans="1:6" x14ac:dyDescent="0.35">
      <c r="A306" s="2">
        <f ca="1">IFERROR(__xludf.DUMMYFUNCTION("""COMPUTED_VALUE"""),42447.6666666666)</f>
        <v>42447.666666666599</v>
      </c>
      <c r="B306" s="1">
        <f ca="1">IFERROR(__xludf.DUMMYFUNCTION("""COMPUTED_VALUE"""),54.92)</f>
        <v>54.92</v>
      </c>
      <c r="C306" s="1">
        <f ca="1">IFERROR(__xludf.DUMMYFUNCTION("""COMPUTED_VALUE"""),54.97)</f>
        <v>54.97</v>
      </c>
      <c r="D306" s="1">
        <f ca="1">IFERROR(__xludf.DUMMYFUNCTION("""COMPUTED_VALUE"""),53.45)</f>
        <v>53.45</v>
      </c>
      <c r="E306" s="1">
        <f ca="1">IFERROR(__xludf.DUMMYFUNCTION("""COMPUTED_VALUE"""),53.49)</f>
        <v>53.49</v>
      </c>
      <c r="F306" s="1">
        <f ca="1">IFERROR(__xludf.DUMMYFUNCTION("""COMPUTED_VALUE"""),67625518)</f>
        <v>67625518</v>
      </c>
    </row>
    <row r="307" spans="1:6" x14ac:dyDescent="0.35">
      <c r="A307" s="2">
        <f ca="1">IFERROR(__xludf.DUMMYFUNCTION("""COMPUTED_VALUE"""),42450.6666666666)</f>
        <v>42450.666666666599</v>
      </c>
      <c r="B307" s="1">
        <f ca="1">IFERROR(__xludf.DUMMYFUNCTION("""COMPUTED_VALUE"""),53.25)</f>
        <v>53.25</v>
      </c>
      <c r="C307" s="1">
        <f ca="1">IFERROR(__xludf.DUMMYFUNCTION("""COMPUTED_VALUE"""),53.93)</f>
        <v>53.93</v>
      </c>
      <c r="D307" s="1">
        <f ca="1">IFERROR(__xludf.DUMMYFUNCTION("""COMPUTED_VALUE"""),52.93)</f>
        <v>52.93</v>
      </c>
      <c r="E307" s="1">
        <f ca="1">IFERROR(__xludf.DUMMYFUNCTION("""COMPUTED_VALUE"""),53.86)</f>
        <v>53.86</v>
      </c>
      <c r="F307" s="1">
        <f ca="1">IFERROR(__xludf.DUMMYFUNCTION("""COMPUTED_VALUE"""),23925716)</f>
        <v>23925716</v>
      </c>
    </row>
    <row r="308" spans="1:6" x14ac:dyDescent="0.35">
      <c r="A308" s="2">
        <f ca="1">IFERROR(__xludf.DUMMYFUNCTION("""COMPUTED_VALUE"""),42451.6666666666)</f>
        <v>42451.666666666599</v>
      </c>
      <c r="B308" s="1">
        <f ca="1">IFERROR(__xludf.DUMMYFUNCTION("""COMPUTED_VALUE"""),53.61)</f>
        <v>53.61</v>
      </c>
      <c r="C308" s="1">
        <f ca="1">IFERROR(__xludf.DUMMYFUNCTION("""COMPUTED_VALUE"""),54.25)</f>
        <v>54.25</v>
      </c>
      <c r="D308" s="1">
        <f ca="1">IFERROR(__xludf.DUMMYFUNCTION("""COMPUTED_VALUE"""),53.46)</f>
        <v>53.46</v>
      </c>
      <c r="E308" s="1">
        <f ca="1">IFERROR(__xludf.DUMMYFUNCTION("""COMPUTED_VALUE"""),54.07)</f>
        <v>54.07</v>
      </c>
      <c r="F308" s="1">
        <f ca="1">IFERROR(__xludf.DUMMYFUNCTION("""COMPUTED_VALUE"""),23124143)</f>
        <v>23124143</v>
      </c>
    </row>
    <row r="309" spans="1:6" x14ac:dyDescent="0.35">
      <c r="A309" s="2">
        <f ca="1">IFERROR(__xludf.DUMMYFUNCTION("""COMPUTED_VALUE"""),42452.6666666666)</f>
        <v>42452.666666666599</v>
      </c>
      <c r="B309" s="1">
        <f ca="1">IFERROR(__xludf.DUMMYFUNCTION("""COMPUTED_VALUE"""),54.11)</f>
        <v>54.11</v>
      </c>
      <c r="C309" s="1">
        <f ca="1">IFERROR(__xludf.DUMMYFUNCTION("""COMPUTED_VALUE"""),54.24)</f>
        <v>54.24</v>
      </c>
      <c r="D309" s="1">
        <f ca="1">IFERROR(__xludf.DUMMYFUNCTION("""COMPUTED_VALUE"""),53.74)</f>
        <v>53.74</v>
      </c>
      <c r="E309" s="1">
        <f ca="1">IFERROR(__xludf.DUMMYFUNCTION("""COMPUTED_VALUE"""),53.97)</f>
        <v>53.97</v>
      </c>
      <c r="F309" s="1">
        <f ca="1">IFERROR(__xludf.DUMMYFUNCTION("""COMPUTED_VALUE"""),20129015)</f>
        <v>20129015</v>
      </c>
    </row>
    <row r="310" spans="1:6" x14ac:dyDescent="0.35">
      <c r="A310" s="2">
        <f ca="1">IFERROR(__xludf.DUMMYFUNCTION("""COMPUTED_VALUE"""),42453.6666666666)</f>
        <v>42453.666666666599</v>
      </c>
      <c r="B310" s="1">
        <f ca="1">IFERROR(__xludf.DUMMYFUNCTION("""COMPUTED_VALUE"""),53.84)</f>
        <v>53.84</v>
      </c>
      <c r="C310" s="1">
        <f ca="1">IFERROR(__xludf.DUMMYFUNCTION("""COMPUTED_VALUE"""),54.33)</f>
        <v>54.33</v>
      </c>
      <c r="D310" s="1">
        <f ca="1">IFERROR(__xludf.DUMMYFUNCTION("""COMPUTED_VALUE"""),53.73)</f>
        <v>53.73</v>
      </c>
      <c r="E310" s="1">
        <f ca="1">IFERROR(__xludf.DUMMYFUNCTION("""COMPUTED_VALUE"""),54.21)</f>
        <v>54.21</v>
      </c>
      <c r="F310" s="1">
        <f ca="1">IFERROR(__xludf.DUMMYFUNCTION("""COMPUTED_VALUE"""),19949972)</f>
        <v>19949972</v>
      </c>
    </row>
    <row r="311" spans="1:6" x14ac:dyDescent="0.35">
      <c r="A311" s="2">
        <f ca="1">IFERROR(__xludf.DUMMYFUNCTION("""COMPUTED_VALUE"""),42457.6666666666)</f>
        <v>42457.666666666599</v>
      </c>
      <c r="B311" s="1">
        <f ca="1">IFERROR(__xludf.DUMMYFUNCTION("""COMPUTED_VALUE"""),54.21)</f>
        <v>54.21</v>
      </c>
      <c r="C311" s="1">
        <f ca="1">IFERROR(__xludf.DUMMYFUNCTION("""COMPUTED_VALUE"""),54.29)</f>
        <v>54.29</v>
      </c>
      <c r="D311" s="1">
        <f ca="1">IFERROR(__xludf.DUMMYFUNCTION("""COMPUTED_VALUE"""),53.33)</f>
        <v>53.33</v>
      </c>
      <c r="E311" s="1">
        <f ca="1">IFERROR(__xludf.DUMMYFUNCTION("""COMPUTED_VALUE"""),53.54)</f>
        <v>53.54</v>
      </c>
      <c r="F311" s="1">
        <f ca="1">IFERROR(__xludf.DUMMYFUNCTION("""COMPUTED_VALUE"""),17025050)</f>
        <v>17025050</v>
      </c>
    </row>
    <row r="312" spans="1:6" x14ac:dyDescent="0.35">
      <c r="A312" s="2">
        <f ca="1">IFERROR(__xludf.DUMMYFUNCTION("""COMPUTED_VALUE"""),42458.6666666666)</f>
        <v>42458.666666666599</v>
      </c>
      <c r="B312" s="1">
        <f ca="1">IFERROR(__xludf.DUMMYFUNCTION("""COMPUTED_VALUE"""),53.66)</f>
        <v>53.66</v>
      </c>
      <c r="C312" s="1">
        <f ca="1">IFERROR(__xludf.DUMMYFUNCTION("""COMPUTED_VALUE"""),54.86)</f>
        <v>54.86</v>
      </c>
      <c r="D312" s="1">
        <f ca="1">IFERROR(__xludf.DUMMYFUNCTION("""COMPUTED_VALUE"""),53.45)</f>
        <v>53.45</v>
      </c>
      <c r="E312" s="1">
        <f ca="1">IFERROR(__xludf.DUMMYFUNCTION("""COMPUTED_VALUE"""),54.71)</f>
        <v>54.71</v>
      </c>
      <c r="F312" s="1">
        <f ca="1">IFERROR(__xludf.DUMMYFUNCTION("""COMPUTED_VALUE"""),23924329)</f>
        <v>23924329</v>
      </c>
    </row>
    <row r="313" spans="1:6" x14ac:dyDescent="0.35">
      <c r="A313" s="2">
        <f ca="1">IFERROR(__xludf.DUMMYFUNCTION("""COMPUTED_VALUE"""),42459.6666666666)</f>
        <v>42459.666666666599</v>
      </c>
      <c r="B313" s="1">
        <f ca="1">IFERROR(__xludf.DUMMYFUNCTION("""COMPUTED_VALUE"""),54.93)</f>
        <v>54.93</v>
      </c>
      <c r="C313" s="1">
        <f ca="1">IFERROR(__xludf.DUMMYFUNCTION("""COMPUTED_VALUE"""),55.64)</f>
        <v>55.64</v>
      </c>
      <c r="D313" s="1">
        <f ca="1">IFERROR(__xludf.DUMMYFUNCTION("""COMPUTED_VALUE"""),54.9)</f>
        <v>54.9</v>
      </c>
      <c r="E313" s="1">
        <f ca="1">IFERROR(__xludf.DUMMYFUNCTION("""COMPUTED_VALUE"""),55.05)</f>
        <v>55.05</v>
      </c>
      <c r="F313" s="1">
        <f ca="1">IFERROR(__xludf.DUMMYFUNCTION("""COMPUTED_VALUE"""),23008260)</f>
        <v>23008260</v>
      </c>
    </row>
    <row r="314" spans="1:6" x14ac:dyDescent="0.35">
      <c r="A314" s="2">
        <f ca="1">IFERROR(__xludf.DUMMYFUNCTION("""COMPUTED_VALUE"""),42460.6666666666)</f>
        <v>42460.666666666599</v>
      </c>
      <c r="B314" s="1">
        <f ca="1">IFERROR(__xludf.DUMMYFUNCTION("""COMPUTED_VALUE"""),54.95)</f>
        <v>54.95</v>
      </c>
      <c r="C314" s="1">
        <f ca="1">IFERROR(__xludf.DUMMYFUNCTION("""COMPUTED_VALUE"""),55.59)</f>
        <v>55.59</v>
      </c>
      <c r="D314" s="1">
        <f ca="1">IFERROR(__xludf.DUMMYFUNCTION("""COMPUTED_VALUE"""),54.86)</f>
        <v>54.86</v>
      </c>
      <c r="E314" s="1">
        <f ca="1">IFERROR(__xludf.DUMMYFUNCTION("""COMPUTED_VALUE"""),55.23)</f>
        <v>55.23</v>
      </c>
      <c r="F314" s="1">
        <f ca="1">IFERROR(__xludf.DUMMYFUNCTION("""COMPUTED_VALUE"""),26360495)</f>
        <v>26360495</v>
      </c>
    </row>
    <row r="315" spans="1:6" x14ac:dyDescent="0.35">
      <c r="A315" s="2">
        <f ca="1">IFERROR(__xludf.DUMMYFUNCTION("""COMPUTED_VALUE"""),42461.6666666666)</f>
        <v>42461.666666666599</v>
      </c>
      <c r="B315" s="1">
        <f ca="1">IFERROR(__xludf.DUMMYFUNCTION("""COMPUTED_VALUE"""),55.05)</f>
        <v>55.05</v>
      </c>
      <c r="C315" s="1">
        <f ca="1">IFERROR(__xludf.DUMMYFUNCTION("""COMPUTED_VALUE"""),55.61)</f>
        <v>55.61</v>
      </c>
      <c r="D315" s="1">
        <f ca="1">IFERROR(__xludf.DUMMYFUNCTION("""COMPUTED_VALUE"""),54.57)</f>
        <v>54.57</v>
      </c>
      <c r="E315" s="1">
        <f ca="1">IFERROR(__xludf.DUMMYFUNCTION("""COMPUTED_VALUE"""),55.57)</f>
        <v>55.57</v>
      </c>
      <c r="F315" s="1">
        <f ca="1">IFERROR(__xludf.DUMMYFUNCTION("""COMPUTED_VALUE"""),24399193)</f>
        <v>24399193</v>
      </c>
    </row>
    <row r="316" spans="1:6" x14ac:dyDescent="0.35">
      <c r="A316" s="2">
        <f ca="1">IFERROR(__xludf.DUMMYFUNCTION("""COMPUTED_VALUE"""),42464.6666666666)</f>
        <v>42464.666666666599</v>
      </c>
      <c r="B316" s="1">
        <f ca="1">IFERROR(__xludf.DUMMYFUNCTION("""COMPUTED_VALUE"""),55.43)</f>
        <v>55.43</v>
      </c>
      <c r="C316" s="1">
        <f ca="1">IFERROR(__xludf.DUMMYFUNCTION("""COMPUTED_VALUE"""),55.66)</f>
        <v>55.66</v>
      </c>
      <c r="D316" s="1">
        <f ca="1">IFERROR(__xludf.DUMMYFUNCTION("""COMPUTED_VALUE"""),55)</f>
        <v>55</v>
      </c>
      <c r="E316" s="1">
        <f ca="1">IFERROR(__xludf.DUMMYFUNCTION("""COMPUTED_VALUE"""),55.43)</f>
        <v>55.43</v>
      </c>
      <c r="F316" s="1">
        <f ca="1">IFERROR(__xludf.DUMMYFUNCTION("""COMPUTED_VALUE"""),18928810)</f>
        <v>18928810</v>
      </c>
    </row>
    <row r="317" spans="1:6" x14ac:dyDescent="0.35">
      <c r="A317" s="2">
        <f ca="1">IFERROR(__xludf.DUMMYFUNCTION("""COMPUTED_VALUE"""),42465.6666666666)</f>
        <v>42465.666666666599</v>
      </c>
      <c r="B317" s="1">
        <f ca="1">IFERROR(__xludf.DUMMYFUNCTION("""COMPUTED_VALUE"""),55.19)</f>
        <v>55.19</v>
      </c>
      <c r="C317" s="1">
        <f ca="1">IFERROR(__xludf.DUMMYFUNCTION("""COMPUTED_VALUE"""),55.3)</f>
        <v>55.3</v>
      </c>
      <c r="D317" s="1">
        <f ca="1">IFERROR(__xludf.DUMMYFUNCTION("""COMPUTED_VALUE"""),54.46)</f>
        <v>54.46</v>
      </c>
      <c r="E317" s="1">
        <f ca="1">IFERROR(__xludf.DUMMYFUNCTION("""COMPUTED_VALUE"""),54.56)</f>
        <v>54.56</v>
      </c>
      <c r="F317" s="1">
        <f ca="1">IFERROR(__xludf.DUMMYFUNCTION("""COMPUTED_VALUE"""),19272255)</f>
        <v>19272255</v>
      </c>
    </row>
    <row r="318" spans="1:6" x14ac:dyDescent="0.35">
      <c r="A318" s="2">
        <f ca="1">IFERROR(__xludf.DUMMYFUNCTION("""COMPUTED_VALUE"""),42466.6666666666)</f>
        <v>42466.666666666599</v>
      </c>
      <c r="B318" s="1">
        <f ca="1">IFERROR(__xludf.DUMMYFUNCTION("""COMPUTED_VALUE"""),54.36)</f>
        <v>54.36</v>
      </c>
      <c r="C318" s="1">
        <f ca="1">IFERROR(__xludf.DUMMYFUNCTION("""COMPUTED_VALUE"""),55.2)</f>
        <v>55.2</v>
      </c>
      <c r="D318" s="1">
        <f ca="1">IFERROR(__xludf.DUMMYFUNCTION("""COMPUTED_VALUE"""),54.21)</f>
        <v>54.21</v>
      </c>
      <c r="E318" s="1">
        <f ca="1">IFERROR(__xludf.DUMMYFUNCTION("""COMPUTED_VALUE"""),55.12)</f>
        <v>55.12</v>
      </c>
      <c r="F318" s="1">
        <f ca="1">IFERROR(__xludf.DUMMYFUNCTION("""COMPUTED_VALUE"""),21188682)</f>
        <v>21188682</v>
      </c>
    </row>
    <row r="319" spans="1:6" x14ac:dyDescent="0.35">
      <c r="A319" s="2">
        <f ca="1">IFERROR(__xludf.DUMMYFUNCTION("""COMPUTED_VALUE"""),42467.6666666666)</f>
        <v>42467.666666666599</v>
      </c>
      <c r="B319" s="1">
        <f ca="1">IFERROR(__xludf.DUMMYFUNCTION("""COMPUTED_VALUE"""),54.87)</f>
        <v>54.87</v>
      </c>
      <c r="C319" s="1">
        <f ca="1">IFERROR(__xludf.DUMMYFUNCTION("""COMPUTED_VALUE"""),54.91)</f>
        <v>54.91</v>
      </c>
      <c r="D319" s="1">
        <f ca="1">IFERROR(__xludf.DUMMYFUNCTION("""COMPUTED_VALUE"""),54.23)</f>
        <v>54.23</v>
      </c>
      <c r="E319" s="1">
        <f ca="1">IFERROR(__xludf.DUMMYFUNCTION("""COMPUTED_VALUE"""),54.46)</f>
        <v>54.46</v>
      </c>
      <c r="F319" s="1">
        <f ca="1">IFERROR(__xludf.DUMMYFUNCTION("""COMPUTED_VALUE"""),19225092)</f>
        <v>19225092</v>
      </c>
    </row>
    <row r="320" spans="1:6" x14ac:dyDescent="0.35">
      <c r="A320" s="2">
        <f ca="1">IFERROR(__xludf.DUMMYFUNCTION("""COMPUTED_VALUE"""),42468.6666666666)</f>
        <v>42468.666666666599</v>
      </c>
      <c r="B320" s="1">
        <f ca="1">IFERROR(__xludf.DUMMYFUNCTION("""COMPUTED_VALUE"""),54.67)</f>
        <v>54.67</v>
      </c>
      <c r="C320" s="1">
        <f ca="1">IFERROR(__xludf.DUMMYFUNCTION("""COMPUTED_VALUE"""),55.28)</f>
        <v>55.28</v>
      </c>
      <c r="D320" s="1">
        <f ca="1">IFERROR(__xludf.DUMMYFUNCTION("""COMPUTED_VALUE"""),54.32)</f>
        <v>54.32</v>
      </c>
      <c r="E320" s="1">
        <f ca="1">IFERROR(__xludf.DUMMYFUNCTION("""COMPUTED_VALUE"""),54.42)</f>
        <v>54.42</v>
      </c>
      <c r="F320" s="1">
        <f ca="1">IFERROR(__xludf.DUMMYFUNCTION("""COMPUTED_VALUE"""),22167223)</f>
        <v>22167223</v>
      </c>
    </row>
    <row r="321" spans="1:6" x14ac:dyDescent="0.35">
      <c r="A321" s="2">
        <f ca="1">IFERROR(__xludf.DUMMYFUNCTION("""COMPUTED_VALUE"""),42471.6666666666)</f>
        <v>42471.666666666599</v>
      </c>
      <c r="B321" s="1">
        <f ca="1">IFERROR(__xludf.DUMMYFUNCTION("""COMPUTED_VALUE"""),54.49)</f>
        <v>54.49</v>
      </c>
      <c r="C321" s="1">
        <f ca="1">IFERROR(__xludf.DUMMYFUNCTION("""COMPUTED_VALUE"""),55.15)</f>
        <v>55.15</v>
      </c>
      <c r="D321" s="1">
        <f ca="1">IFERROR(__xludf.DUMMYFUNCTION("""COMPUTED_VALUE"""),54.3)</f>
        <v>54.3</v>
      </c>
      <c r="E321" s="1">
        <f ca="1">IFERROR(__xludf.DUMMYFUNCTION("""COMPUTED_VALUE"""),54.31)</f>
        <v>54.31</v>
      </c>
      <c r="F321" s="1">
        <f ca="1">IFERROR(__xludf.DUMMYFUNCTION("""COMPUTED_VALUE"""),21414227)</f>
        <v>21414227</v>
      </c>
    </row>
    <row r="322" spans="1:6" x14ac:dyDescent="0.35">
      <c r="A322" s="2">
        <f ca="1">IFERROR(__xludf.DUMMYFUNCTION("""COMPUTED_VALUE"""),42472.6666666666)</f>
        <v>42472.666666666599</v>
      </c>
      <c r="B322" s="1">
        <f ca="1">IFERROR(__xludf.DUMMYFUNCTION("""COMPUTED_VALUE"""),54.37)</f>
        <v>54.37</v>
      </c>
      <c r="C322" s="1">
        <f ca="1">IFERROR(__xludf.DUMMYFUNCTION("""COMPUTED_VALUE"""),54.78)</f>
        <v>54.78</v>
      </c>
      <c r="D322" s="1">
        <f ca="1">IFERROR(__xludf.DUMMYFUNCTION("""COMPUTED_VALUE"""),53.76)</f>
        <v>53.76</v>
      </c>
      <c r="E322" s="1">
        <f ca="1">IFERROR(__xludf.DUMMYFUNCTION("""COMPUTED_VALUE"""),54.65)</f>
        <v>54.65</v>
      </c>
      <c r="F322" s="1">
        <f ca="1">IFERROR(__xludf.DUMMYFUNCTION("""COMPUTED_VALUE"""),24944288)</f>
        <v>24944288</v>
      </c>
    </row>
    <row r="323" spans="1:6" x14ac:dyDescent="0.35">
      <c r="A323" s="2">
        <f ca="1">IFERROR(__xludf.DUMMYFUNCTION("""COMPUTED_VALUE"""),42473.6666666666)</f>
        <v>42473.666666666599</v>
      </c>
      <c r="B323" s="1">
        <f ca="1">IFERROR(__xludf.DUMMYFUNCTION("""COMPUTED_VALUE"""),55.12)</f>
        <v>55.12</v>
      </c>
      <c r="C323" s="1">
        <f ca="1">IFERROR(__xludf.DUMMYFUNCTION("""COMPUTED_VALUE"""),55.44)</f>
        <v>55.44</v>
      </c>
      <c r="D323" s="1">
        <f ca="1">IFERROR(__xludf.DUMMYFUNCTION("""COMPUTED_VALUE"""),54.89)</f>
        <v>54.89</v>
      </c>
      <c r="E323" s="1">
        <f ca="1">IFERROR(__xludf.DUMMYFUNCTION("""COMPUTED_VALUE"""),55.35)</f>
        <v>55.35</v>
      </c>
      <c r="F323" s="1">
        <f ca="1">IFERROR(__xludf.DUMMYFUNCTION("""COMPUTED_VALUE"""),20817961)</f>
        <v>20817961</v>
      </c>
    </row>
    <row r="324" spans="1:6" x14ac:dyDescent="0.35">
      <c r="A324" s="2">
        <f ca="1">IFERROR(__xludf.DUMMYFUNCTION("""COMPUTED_VALUE"""),42474.6666666666)</f>
        <v>42474.666666666599</v>
      </c>
      <c r="B324" s="1">
        <f ca="1">IFERROR(__xludf.DUMMYFUNCTION("""COMPUTED_VALUE"""),55.22)</f>
        <v>55.22</v>
      </c>
      <c r="C324" s="1">
        <f ca="1">IFERROR(__xludf.DUMMYFUNCTION("""COMPUTED_VALUE"""),55.58)</f>
        <v>55.58</v>
      </c>
      <c r="D324" s="1">
        <f ca="1">IFERROR(__xludf.DUMMYFUNCTION("""COMPUTED_VALUE"""),55.07)</f>
        <v>55.07</v>
      </c>
      <c r="E324" s="1">
        <f ca="1">IFERROR(__xludf.DUMMYFUNCTION("""COMPUTED_VALUE"""),55.36)</f>
        <v>55.36</v>
      </c>
      <c r="F324" s="1">
        <f ca="1">IFERROR(__xludf.DUMMYFUNCTION("""COMPUTED_VALUE"""),20877108)</f>
        <v>20877108</v>
      </c>
    </row>
    <row r="325" spans="1:6" x14ac:dyDescent="0.35">
      <c r="A325" s="2">
        <f ca="1">IFERROR(__xludf.DUMMYFUNCTION("""COMPUTED_VALUE"""),42475.6666666666)</f>
        <v>42475.666666666599</v>
      </c>
      <c r="B325" s="1">
        <f ca="1">IFERROR(__xludf.DUMMYFUNCTION("""COMPUTED_VALUE"""),55.3)</f>
        <v>55.3</v>
      </c>
      <c r="C325" s="1">
        <f ca="1">IFERROR(__xludf.DUMMYFUNCTION("""COMPUTED_VALUE"""),55.92)</f>
        <v>55.92</v>
      </c>
      <c r="D325" s="1">
        <f ca="1">IFERROR(__xludf.DUMMYFUNCTION("""COMPUTED_VALUE"""),55.11)</f>
        <v>55.11</v>
      </c>
      <c r="E325" s="1">
        <f ca="1">IFERROR(__xludf.DUMMYFUNCTION("""COMPUTED_VALUE"""),55.65)</f>
        <v>55.65</v>
      </c>
      <c r="F325" s="1">
        <f ca="1">IFERROR(__xludf.DUMMYFUNCTION("""COMPUTED_VALUE"""),28793753)</f>
        <v>28793753</v>
      </c>
    </row>
    <row r="326" spans="1:6" x14ac:dyDescent="0.35">
      <c r="A326" s="2">
        <f ca="1">IFERROR(__xludf.DUMMYFUNCTION("""COMPUTED_VALUE"""),42478.6666666666)</f>
        <v>42478.666666666599</v>
      </c>
      <c r="B326" s="1">
        <f ca="1">IFERROR(__xludf.DUMMYFUNCTION("""COMPUTED_VALUE"""),55.49)</f>
        <v>55.49</v>
      </c>
      <c r="C326" s="1">
        <f ca="1">IFERROR(__xludf.DUMMYFUNCTION("""COMPUTED_VALUE"""),56.59)</f>
        <v>56.59</v>
      </c>
      <c r="D326" s="1">
        <f ca="1">IFERROR(__xludf.DUMMYFUNCTION("""COMPUTED_VALUE"""),55.21)</f>
        <v>55.21</v>
      </c>
      <c r="E326" s="1">
        <f ca="1">IFERROR(__xludf.DUMMYFUNCTION("""COMPUTED_VALUE"""),56.46)</f>
        <v>56.46</v>
      </c>
      <c r="F326" s="1">
        <f ca="1">IFERROR(__xludf.DUMMYFUNCTION("""COMPUTED_VALUE"""),23785950)</f>
        <v>23785950</v>
      </c>
    </row>
    <row r="327" spans="1:6" x14ac:dyDescent="0.35">
      <c r="A327" s="2">
        <f ca="1">IFERROR(__xludf.DUMMYFUNCTION("""COMPUTED_VALUE"""),42479.6666666666)</f>
        <v>42479.666666666599</v>
      </c>
      <c r="B327" s="1">
        <f ca="1">IFERROR(__xludf.DUMMYFUNCTION("""COMPUTED_VALUE"""),56.63)</f>
        <v>56.63</v>
      </c>
      <c r="C327" s="1">
        <f ca="1">IFERROR(__xludf.DUMMYFUNCTION("""COMPUTED_VALUE"""),56.77)</f>
        <v>56.77</v>
      </c>
      <c r="D327" s="1">
        <f ca="1">IFERROR(__xludf.DUMMYFUNCTION("""COMPUTED_VALUE"""),55.68)</f>
        <v>55.68</v>
      </c>
      <c r="E327" s="1">
        <f ca="1">IFERROR(__xludf.DUMMYFUNCTION("""COMPUTED_VALUE"""),56.39)</f>
        <v>56.39</v>
      </c>
      <c r="F327" s="1">
        <f ca="1">IFERROR(__xludf.DUMMYFUNCTION("""COMPUTED_VALUE"""),29596827)</f>
        <v>29596827</v>
      </c>
    </row>
    <row r="328" spans="1:6" x14ac:dyDescent="0.35">
      <c r="A328" s="2">
        <f ca="1">IFERROR(__xludf.DUMMYFUNCTION("""COMPUTED_VALUE"""),42480.6666666666)</f>
        <v>42480.666666666599</v>
      </c>
      <c r="B328" s="1">
        <f ca="1">IFERROR(__xludf.DUMMYFUNCTION("""COMPUTED_VALUE"""),56.29)</f>
        <v>56.29</v>
      </c>
      <c r="C328" s="1">
        <f ca="1">IFERROR(__xludf.DUMMYFUNCTION("""COMPUTED_VALUE"""),56.5)</f>
        <v>56.5</v>
      </c>
      <c r="D328" s="1">
        <f ca="1">IFERROR(__xludf.DUMMYFUNCTION("""COMPUTED_VALUE"""),55.49)</f>
        <v>55.49</v>
      </c>
      <c r="E328" s="1">
        <f ca="1">IFERROR(__xludf.DUMMYFUNCTION("""COMPUTED_VALUE"""),55.59)</f>
        <v>55.59</v>
      </c>
      <c r="F328" s="1">
        <f ca="1">IFERROR(__xludf.DUMMYFUNCTION("""COMPUTED_VALUE"""),36195714)</f>
        <v>36195714</v>
      </c>
    </row>
    <row r="329" spans="1:6" x14ac:dyDescent="0.35">
      <c r="A329" s="2">
        <f ca="1">IFERROR(__xludf.DUMMYFUNCTION("""COMPUTED_VALUE"""),42481.6666666666)</f>
        <v>42481.666666666599</v>
      </c>
      <c r="B329" s="1">
        <f ca="1">IFERROR(__xludf.DUMMYFUNCTION("""COMPUTED_VALUE"""),55.8)</f>
        <v>55.8</v>
      </c>
      <c r="C329" s="1">
        <f ca="1">IFERROR(__xludf.DUMMYFUNCTION("""COMPUTED_VALUE"""),56.23)</f>
        <v>56.23</v>
      </c>
      <c r="D329" s="1">
        <f ca="1">IFERROR(__xludf.DUMMYFUNCTION("""COMPUTED_VALUE"""),55.42)</f>
        <v>55.42</v>
      </c>
      <c r="E329" s="1">
        <f ca="1">IFERROR(__xludf.DUMMYFUNCTION("""COMPUTED_VALUE"""),55.78)</f>
        <v>55.78</v>
      </c>
      <c r="F329" s="1">
        <f ca="1">IFERROR(__xludf.DUMMYFUNCTION("""COMPUTED_VALUE"""),38909096)</f>
        <v>38909096</v>
      </c>
    </row>
    <row r="330" spans="1:6" x14ac:dyDescent="0.35">
      <c r="A330" s="2">
        <f ca="1">IFERROR(__xludf.DUMMYFUNCTION("""COMPUTED_VALUE"""),42482.6666666666)</f>
        <v>42482.666666666599</v>
      </c>
      <c r="B330" s="1">
        <f ca="1">IFERROR(__xludf.DUMMYFUNCTION("""COMPUTED_VALUE"""),51.91)</f>
        <v>51.91</v>
      </c>
      <c r="C330" s="1">
        <f ca="1">IFERROR(__xludf.DUMMYFUNCTION("""COMPUTED_VALUE"""),52.43)</f>
        <v>52.43</v>
      </c>
      <c r="D330" s="1">
        <f ca="1">IFERROR(__xludf.DUMMYFUNCTION("""COMPUTED_VALUE"""),50.77)</f>
        <v>50.77</v>
      </c>
      <c r="E330" s="1">
        <f ca="1">IFERROR(__xludf.DUMMYFUNCTION("""COMPUTED_VALUE"""),51.78)</f>
        <v>51.78</v>
      </c>
      <c r="F330" s="1">
        <f ca="1">IFERROR(__xludf.DUMMYFUNCTION("""COMPUTED_VALUE"""),126834091)</f>
        <v>126834091</v>
      </c>
    </row>
    <row r="331" spans="1:6" x14ac:dyDescent="0.35">
      <c r="A331" s="2">
        <f ca="1">IFERROR(__xludf.DUMMYFUNCTION("""COMPUTED_VALUE"""),42485.6666666666)</f>
        <v>42485.666666666599</v>
      </c>
      <c r="B331" s="1">
        <f ca="1">IFERROR(__xludf.DUMMYFUNCTION("""COMPUTED_VALUE"""),51.78)</f>
        <v>51.78</v>
      </c>
      <c r="C331" s="1">
        <f ca="1">IFERROR(__xludf.DUMMYFUNCTION("""COMPUTED_VALUE"""),52.13)</f>
        <v>52.13</v>
      </c>
      <c r="D331" s="1">
        <f ca="1">IFERROR(__xludf.DUMMYFUNCTION("""COMPUTED_VALUE"""),51.63)</f>
        <v>51.63</v>
      </c>
      <c r="E331" s="1">
        <f ca="1">IFERROR(__xludf.DUMMYFUNCTION("""COMPUTED_VALUE"""),52.11)</f>
        <v>52.11</v>
      </c>
      <c r="F331" s="1">
        <f ca="1">IFERROR(__xludf.DUMMYFUNCTION("""COMPUTED_VALUE"""),33226948)</f>
        <v>33226948</v>
      </c>
    </row>
    <row r="332" spans="1:6" x14ac:dyDescent="0.35">
      <c r="A332" s="2">
        <f ca="1">IFERROR(__xludf.DUMMYFUNCTION("""COMPUTED_VALUE"""),42486.6666666666)</f>
        <v>42486.666666666599</v>
      </c>
      <c r="B332" s="1">
        <f ca="1">IFERROR(__xludf.DUMMYFUNCTION("""COMPUTED_VALUE"""),52.26)</f>
        <v>52.26</v>
      </c>
      <c r="C332" s="1">
        <f ca="1">IFERROR(__xludf.DUMMYFUNCTION("""COMPUTED_VALUE"""),52.35)</f>
        <v>52.35</v>
      </c>
      <c r="D332" s="1">
        <f ca="1">IFERROR(__xludf.DUMMYFUNCTION("""COMPUTED_VALUE"""),51.09)</f>
        <v>51.09</v>
      </c>
      <c r="E332" s="1">
        <f ca="1">IFERROR(__xludf.DUMMYFUNCTION("""COMPUTED_VALUE"""),51.44)</f>
        <v>51.44</v>
      </c>
      <c r="F332" s="1">
        <f ca="1">IFERROR(__xludf.DUMMYFUNCTION("""COMPUTED_VALUE"""),33532636)</f>
        <v>33532636</v>
      </c>
    </row>
    <row r="333" spans="1:6" x14ac:dyDescent="0.35">
      <c r="A333" s="2">
        <f ca="1">IFERROR(__xludf.DUMMYFUNCTION("""COMPUTED_VALUE"""),42487.6666666666)</f>
        <v>42487.666666666599</v>
      </c>
      <c r="B333" s="1">
        <f ca="1">IFERROR(__xludf.DUMMYFUNCTION("""COMPUTED_VALUE"""),51.48)</f>
        <v>51.48</v>
      </c>
      <c r="C333" s="1">
        <f ca="1">IFERROR(__xludf.DUMMYFUNCTION("""COMPUTED_VALUE"""),51.5)</f>
        <v>51.5</v>
      </c>
      <c r="D333" s="1">
        <f ca="1">IFERROR(__xludf.DUMMYFUNCTION("""COMPUTED_VALUE"""),50.55)</f>
        <v>50.55</v>
      </c>
      <c r="E333" s="1">
        <f ca="1">IFERROR(__xludf.DUMMYFUNCTION("""COMPUTED_VALUE"""),50.94)</f>
        <v>50.94</v>
      </c>
      <c r="F333" s="1">
        <f ca="1">IFERROR(__xludf.DUMMYFUNCTION("""COMPUTED_VALUE"""),43369256)</f>
        <v>43369256</v>
      </c>
    </row>
    <row r="334" spans="1:6" x14ac:dyDescent="0.35">
      <c r="A334" s="2">
        <f ca="1">IFERROR(__xludf.DUMMYFUNCTION("""COMPUTED_VALUE"""),42488.6666666666)</f>
        <v>42488.666666666599</v>
      </c>
      <c r="B334" s="1">
        <f ca="1">IFERROR(__xludf.DUMMYFUNCTION("""COMPUTED_VALUE"""),50.62)</f>
        <v>50.62</v>
      </c>
      <c r="C334" s="1">
        <f ca="1">IFERROR(__xludf.DUMMYFUNCTION("""COMPUTED_VALUE"""),50.77)</f>
        <v>50.77</v>
      </c>
      <c r="D334" s="1">
        <f ca="1">IFERROR(__xludf.DUMMYFUNCTION("""COMPUTED_VALUE"""),49.56)</f>
        <v>49.56</v>
      </c>
      <c r="E334" s="1">
        <f ca="1">IFERROR(__xludf.DUMMYFUNCTION("""COMPUTED_VALUE"""),49.9)</f>
        <v>49.9</v>
      </c>
      <c r="F334" s="1">
        <f ca="1">IFERROR(__xludf.DUMMYFUNCTION("""COMPUTED_VALUE"""),43134846)</f>
        <v>43134846</v>
      </c>
    </row>
    <row r="335" spans="1:6" x14ac:dyDescent="0.35">
      <c r="A335" s="2">
        <f ca="1">IFERROR(__xludf.DUMMYFUNCTION("""COMPUTED_VALUE"""),42489.6666666666)</f>
        <v>42489.666666666599</v>
      </c>
      <c r="B335" s="1">
        <f ca="1">IFERROR(__xludf.DUMMYFUNCTION("""COMPUTED_VALUE"""),49.35)</f>
        <v>49.35</v>
      </c>
      <c r="C335" s="1">
        <f ca="1">IFERROR(__xludf.DUMMYFUNCTION("""COMPUTED_VALUE"""),50.25)</f>
        <v>50.25</v>
      </c>
      <c r="D335" s="1">
        <f ca="1">IFERROR(__xludf.DUMMYFUNCTION("""COMPUTED_VALUE"""),49.35)</f>
        <v>49.35</v>
      </c>
      <c r="E335" s="1">
        <f ca="1">IFERROR(__xludf.DUMMYFUNCTION("""COMPUTED_VALUE"""),49.87)</f>
        <v>49.87</v>
      </c>
      <c r="F335" s="1">
        <f ca="1">IFERROR(__xludf.DUMMYFUNCTION("""COMPUTED_VALUE"""),48411684)</f>
        <v>48411684</v>
      </c>
    </row>
    <row r="336" spans="1:6" x14ac:dyDescent="0.35">
      <c r="A336" s="2">
        <f ca="1">IFERROR(__xludf.DUMMYFUNCTION("""COMPUTED_VALUE"""),42492.6666666666)</f>
        <v>42492.666666666599</v>
      </c>
      <c r="B336" s="1">
        <f ca="1">IFERROR(__xludf.DUMMYFUNCTION("""COMPUTED_VALUE"""),50)</f>
        <v>50</v>
      </c>
      <c r="C336" s="1">
        <f ca="1">IFERROR(__xludf.DUMMYFUNCTION("""COMPUTED_VALUE"""),50.75)</f>
        <v>50.75</v>
      </c>
      <c r="D336" s="1">
        <f ca="1">IFERROR(__xludf.DUMMYFUNCTION("""COMPUTED_VALUE"""),49.78)</f>
        <v>49.78</v>
      </c>
      <c r="E336" s="1">
        <f ca="1">IFERROR(__xludf.DUMMYFUNCTION("""COMPUTED_VALUE"""),50.61)</f>
        <v>50.61</v>
      </c>
      <c r="F336" s="1">
        <f ca="1">IFERROR(__xludf.DUMMYFUNCTION("""COMPUTED_VALUE"""),33114539)</f>
        <v>33114539</v>
      </c>
    </row>
    <row r="337" spans="1:6" x14ac:dyDescent="0.35">
      <c r="A337" s="2">
        <f ca="1">IFERROR(__xludf.DUMMYFUNCTION("""COMPUTED_VALUE"""),42493.6666666666)</f>
        <v>42493.666666666599</v>
      </c>
      <c r="B337" s="1">
        <f ca="1">IFERROR(__xludf.DUMMYFUNCTION("""COMPUTED_VALUE"""),50.34)</f>
        <v>50.34</v>
      </c>
      <c r="C337" s="1">
        <f ca="1">IFERROR(__xludf.DUMMYFUNCTION("""COMPUTED_VALUE"""),50.41)</f>
        <v>50.41</v>
      </c>
      <c r="D337" s="1">
        <f ca="1">IFERROR(__xludf.DUMMYFUNCTION("""COMPUTED_VALUE"""),49.6)</f>
        <v>49.6</v>
      </c>
      <c r="E337" s="1">
        <f ca="1">IFERROR(__xludf.DUMMYFUNCTION("""COMPUTED_VALUE"""),49.78)</f>
        <v>49.78</v>
      </c>
      <c r="F337" s="1">
        <f ca="1">IFERROR(__xludf.DUMMYFUNCTION("""COMPUTED_VALUE"""),26460244)</f>
        <v>26460244</v>
      </c>
    </row>
    <row r="338" spans="1:6" x14ac:dyDescent="0.35">
      <c r="A338" s="2">
        <f ca="1">IFERROR(__xludf.DUMMYFUNCTION("""COMPUTED_VALUE"""),42494.6666666666)</f>
        <v>42494.666666666599</v>
      </c>
      <c r="B338" s="1">
        <f ca="1">IFERROR(__xludf.DUMMYFUNCTION("""COMPUTED_VALUE"""),49.84)</f>
        <v>49.84</v>
      </c>
      <c r="C338" s="1">
        <f ca="1">IFERROR(__xludf.DUMMYFUNCTION("""COMPUTED_VALUE"""),50.06)</f>
        <v>50.06</v>
      </c>
      <c r="D338" s="1">
        <f ca="1">IFERROR(__xludf.DUMMYFUNCTION("""COMPUTED_VALUE"""),49.46)</f>
        <v>49.46</v>
      </c>
      <c r="E338" s="1">
        <f ca="1">IFERROR(__xludf.DUMMYFUNCTION("""COMPUTED_VALUE"""),49.87)</f>
        <v>49.87</v>
      </c>
      <c r="F338" s="1">
        <f ca="1">IFERROR(__xludf.DUMMYFUNCTION("""COMPUTED_VALUE"""),24257556)</f>
        <v>24257556</v>
      </c>
    </row>
    <row r="339" spans="1:6" x14ac:dyDescent="0.35">
      <c r="A339" s="2">
        <f ca="1">IFERROR(__xludf.DUMMYFUNCTION("""COMPUTED_VALUE"""),42495.6666666666)</f>
        <v>42495.666666666599</v>
      </c>
      <c r="B339" s="1">
        <f ca="1">IFERROR(__xludf.DUMMYFUNCTION("""COMPUTED_VALUE"""),49.87)</f>
        <v>49.87</v>
      </c>
      <c r="C339" s="1">
        <f ca="1">IFERROR(__xludf.DUMMYFUNCTION("""COMPUTED_VALUE"""),50.3)</f>
        <v>50.3</v>
      </c>
      <c r="D339" s="1">
        <f ca="1">IFERROR(__xludf.DUMMYFUNCTION("""COMPUTED_VALUE"""),49.73)</f>
        <v>49.73</v>
      </c>
      <c r="E339" s="1">
        <f ca="1">IFERROR(__xludf.DUMMYFUNCTION("""COMPUTED_VALUE"""),49.94)</f>
        <v>49.94</v>
      </c>
      <c r="F339" s="1">
        <f ca="1">IFERROR(__xludf.DUMMYFUNCTION("""COMPUTED_VALUE"""),25390718)</f>
        <v>25390718</v>
      </c>
    </row>
    <row r="340" spans="1:6" x14ac:dyDescent="0.35">
      <c r="A340" s="2">
        <f ca="1">IFERROR(__xludf.DUMMYFUNCTION("""COMPUTED_VALUE"""),42496.6666666666)</f>
        <v>42496.666666666599</v>
      </c>
      <c r="B340" s="1">
        <f ca="1">IFERROR(__xludf.DUMMYFUNCTION("""COMPUTED_VALUE"""),49.92)</f>
        <v>49.92</v>
      </c>
      <c r="C340" s="1">
        <f ca="1">IFERROR(__xludf.DUMMYFUNCTION("""COMPUTED_VALUE"""),50.39)</f>
        <v>50.39</v>
      </c>
      <c r="D340" s="1">
        <f ca="1">IFERROR(__xludf.DUMMYFUNCTION("""COMPUTED_VALUE"""),49.66)</f>
        <v>49.66</v>
      </c>
      <c r="E340" s="1">
        <f ca="1">IFERROR(__xludf.DUMMYFUNCTION("""COMPUTED_VALUE"""),50.39)</f>
        <v>50.39</v>
      </c>
      <c r="F340" s="1">
        <f ca="1">IFERROR(__xludf.DUMMYFUNCTION("""COMPUTED_VALUE"""),24787301)</f>
        <v>24787301</v>
      </c>
    </row>
    <row r="341" spans="1:6" x14ac:dyDescent="0.35">
      <c r="A341" s="2">
        <f ca="1">IFERROR(__xludf.DUMMYFUNCTION("""COMPUTED_VALUE"""),42499.6666666666)</f>
        <v>42499.666666666599</v>
      </c>
      <c r="B341" s="1">
        <f ca="1">IFERROR(__xludf.DUMMYFUNCTION("""COMPUTED_VALUE"""),50.49)</f>
        <v>50.49</v>
      </c>
      <c r="C341" s="1">
        <f ca="1">IFERROR(__xludf.DUMMYFUNCTION("""COMPUTED_VALUE"""),50.59)</f>
        <v>50.59</v>
      </c>
      <c r="D341" s="1">
        <f ca="1">IFERROR(__xludf.DUMMYFUNCTION("""COMPUTED_VALUE"""),50)</f>
        <v>50</v>
      </c>
      <c r="E341" s="1">
        <f ca="1">IFERROR(__xludf.DUMMYFUNCTION("""COMPUTED_VALUE"""),50.07)</f>
        <v>50.07</v>
      </c>
      <c r="F341" s="1">
        <f ca="1">IFERROR(__xludf.DUMMYFUNCTION("""COMPUTED_VALUE"""),17951598)</f>
        <v>17951598</v>
      </c>
    </row>
    <row r="342" spans="1:6" x14ac:dyDescent="0.35">
      <c r="A342" s="2">
        <f ca="1">IFERROR(__xludf.DUMMYFUNCTION("""COMPUTED_VALUE"""),42500.6666666666)</f>
        <v>42500.666666666599</v>
      </c>
      <c r="B342" s="1">
        <f ca="1">IFERROR(__xludf.DUMMYFUNCTION("""COMPUTED_VALUE"""),50.33)</f>
        <v>50.33</v>
      </c>
      <c r="C342" s="1">
        <f ca="1">IFERROR(__xludf.DUMMYFUNCTION("""COMPUTED_VALUE"""),51.1)</f>
        <v>51.1</v>
      </c>
      <c r="D342" s="1">
        <f ca="1">IFERROR(__xludf.DUMMYFUNCTION("""COMPUTED_VALUE"""),50.19)</f>
        <v>50.19</v>
      </c>
      <c r="E342" s="1">
        <f ca="1">IFERROR(__xludf.DUMMYFUNCTION("""COMPUTED_VALUE"""),51.02)</f>
        <v>51.02</v>
      </c>
      <c r="F342" s="1">
        <f ca="1">IFERROR(__xludf.DUMMYFUNCTION("""COMPUTED_VALUE"""),22890966)</f>
        <v>22890966</v>
      </c>
    </row>
    <row r="343" spans="1:6" x14ac:dyDescent="0.35">
      <c r="A343" s="2">
        <f ca="1">IFERROR(__xludf.DUMMYFUNCTION("""COMPUTED_VALUE"""),42501.6666666666)</f>
        <v>42501.666666666599</v>
      </c>
      <c r="B343" s="1">
        <f ca="1">IFERROR(__xludf.DUMMYFUNCTION("""COMPUTED_VALUE"""),51.13)</f>
        <v>51.13</v>
      </c>
      <c r="C343" s="1">
        <f ca="1">IFERROR(__xludf.DUMMYFUNCTION("""COMPUTED_VALUE"""),51.78)</f>
        <v>51.78</v>
      </c>
      <c r="D343" s="1">
        <f ca="1">IFERROR(__xludf.DUMMYFUNCTION("""COMPUTED_VALUE"""),51)</f>
        <v>51</v>
      </c>
      <c r="E343" s="1">
        <f ca="1">IFERROR(__xludf.DUMMYFUNCTION("""COMPUTED_VALUE"""),51.05)</f>
        <v>51.05</v>
      </c>
      <c r="F343" s="1">
        <f ca="1">IFERROR(__xludf.DUMMYFUNCTION("""COMPUTED_VALUE"""),24039140)</f>
        <v>24039140</v>
      </c>
    </row>
    <row r="344" spans="1:6" x14ac:dyDescent="0.35">
      <c r="A344" s="2">
        <f ca="1">IFERROR(__xludf.DUMMYFUNCTION("""COMPUTED_VALUE"""),42502.6666666666)</f>
        <v>42502.666666666599</v>
      </c>
      <c r="B344" s="1">
        <f ca="1">IFERROR(__xludf.DUMMYFUNCTION("""COMPUTED_VALUE"""),51.2)</f>
        <v>51.2</v>
      </c>
      <c r="C344" s="1">
        <f ca="1">IFERROR(__xludf.DUMMYFUNCTION("""COMPUTED_VALUE"""),51.81)</f>
        <v>51.81</v>
      </c>
      <c r="D344" s="1">
        <f ca="1">IFERROR(__xludf.DUMMYFUNCTION("""COMPUTED_VALUE"""),50.92)</f>
        <v>50.92</v>
      </c>
      <c r="E344" s="1">
        <f ca="1">IFERROR(__xludf.DUMMYFUNCTION("""COMPUTED_VALUE"""),51.51)</f>
        <v>51.51</v>
      </c>
      <c r="F344" s="1">
        <f ca="1">IFERROR(__xludf.DUMMYFUNCTION("""COMPUTED_VALUE"""),24102781)</f>
        <v>24102781</v>
      </c>
    </row>
    <row r="345" spans="1:6" x14ac:dyDescent="0.35">
      <c r="A345" s="2">
        <f ca="1">IFERROR(__xludf.DUMMYFUNCTION("""COMPUTED_VALUE"""),42503.6666666666)</f>
        <v>42503.666666666599</v>
      </c>
      <c r="B345" s="1">
        <f ca="1">IFERROR(__xludf.DUMMYFUNCTION("""COMPUTED_VALUE"""),51.44)</f>
        <v>51.44</v>
      </c>
      <c r="C345" s="1">
        <f ca="1">IFERROR(__xludf.DUMMYFUNCTION("""COMPUTED_VALUE"""),51.9)</f>
        <v>51.9</v>
      </c>
      <c r="D345" s="1">
        <f ca="1">IFERROR(__xludf.DUMMYFUNCTION("""COMPUTED_VALUE"""),51.04)</f>
        <v>51.04</v>
      </c>
      <c r="E345" s="1">
        <f ca="1">IFERROR(__xludf.DUMMYFUNCTION("""COMPUTED_VALUE"""),51.08)</f>
        <v>51.08</v>
      </c>
      <c r="F345" s="1">
        <f ca="1">IFERROR(__xludf.DUMMYFUNCTION("""COMPUTED_VALUE"""),22592342)</f>
        <v>22592342</v>
      </c>
    </row>
    <row r="346" spans="1:6" x14ac:dyDescent="0.35">
      <c r="A346" s="2">
        <f ca="1">IFERROR(__xludf.DUMMYFUNCTION("""COMPUTED_VALUE"""),42506.6666666666)</f>
        <v>42506.666666666599</v>
      </c>
      <c r="B346" s="1">
        <f ca="1">IFERROR(__xludf.DUMMYFUNCTION("""COMPUTED_VALUE"""),50.8)</f>
        <v>50.8</v>
      </c>
      <c r="C346" s="1">
        <f ca="1">IFERROR(__xludf.DUMMYFUNCTION("""COMPUTED_VALUE"""),51.96)</f>
        <v>51.96</v>
      </c>
      <c r="D346" s="1">
        <f ca="1">IFERROR(__xludf.DUMMYFUNCTION("""COMPUTED_VALUE"""),50.75)</f>
        <v>50.75</v>
      </c>
      <c r="E346" s="1">
        <f ca="1">IFERROR(__xludf.DUMMYFUNCTION("""COMPUTED_VALUE"""),51.83)</f>
        <v>51.83</v>
      </c>
      <c r="F346" s="1">
        <f ca="1">IFERROR(__xludf.DUMMYFUNCTION("""COMPUTED_VALUE"""),20032017)</f>
        <v>20032017</v>
      </c>
    </row>
    <row r="347" spans="1:6" x14ac:dyDescent="0.35">
      <c r="A347" s="2">
        <f ca="1">IFERROR(__xludf.DUMMYFUNCTION("""COMPUTED_VALUE"""),42507.6666666666)</f>
        <v>42507.666666666599</v>
      </c>
      <c r="B347" s="1">
        <f ca="1">IFERROR(__xludf.DUMMYFUNCTION("""COMPUTED_VALUE"""),51.72)</f>
        <v>51.72</v>
      </c>
      <c r="C347" s="1">
        <f ca="1">IFERROR(__xludf.DUMMYFUNCTION("""COMPUTED_VALUE"""),51.73)</f>
        <v>51.73</v>
      </c>
      <c r="D347" s="1">
        <f ca="1">IFERROR(__xludf.DUMMYFUNCTION("""COMPUTED_VALUE"""),50.36)</f>
        <v>50.36</v>
      </c>
      <c r="E347" s="1">
        <f ca="1">IFERROR(__xludf.DUMMYFUNCTION("""COMPUTED_VALUE"""),50.51)</f>
        <v>50.51</v>
      </c>
      <c r="F347" s="1">
        <f ca="1">IFERROR(__xludf.DUMMYFUNCTION("""COMPUTED_VALUE"""),27803514)</f>
        <v>27803514</v>
      </c>
    </row>
    <row r="348" spans="1:6" x14ac:dyDescent="0.35">
      <c r="A348" s="2">
        <f ca="1">IFERROR(__xludf.DUMMYFUNCTION("""COMPUTED_VALUE"""),42508.6666666666)</f>
        <v>42508.666666666599</v>
      </c>
      <c r="B348" s="1">
        <f ca="1">IFERROR(__xludf.DUMMYFUNCTION("""COMPUTED_VALUE"""),50.48)</f>
        <v>50.48</v>
      </c>
      <c r="C348" s="1">
        <f ca="1">IFERROR(__xludf.DUMMYFUNCTION("""COMPUTED_VALUE"""),51.14)</f>
        <v>51.14</v>
      </c>
      <c r="D348" s="1">
        <f ca="1">IFERROR(__xludf.DUMMYFUNCTION("""COMPUTED_VALUE"""),50.3)</f>
        <v>50.3</v>
      </c>
      <c r="E348" s="1">
        <f ca="1">IFERROR(__xludf.DUMMYFUNCTION("""COMPUTED_VALUE"""),50.81)</f>
        <v>50.81</v>
      </c>
      <c r="F348" s="1">
        <f ca="1">IFERROR(__xludf.DUMMYFUNCTION("""COMPUTED_VALUE"""),24907532)</f>
        <v>24907532</v>
      </c>
    </row>
    <row r="349" spans="1:6" x14ac:dyDescent="0.35">
      <c r="A349" s="2">
        <f ca="1">IFERROR(__xludf.DUMMYFUNCTION("""COMPUTED_VALUE"""),42509.6666666666)</f>
        <v>42509.666666666599</v>
      </c>
      <c r="B349" s="1">
        <f ca="1">IFERROR(__xludf.DUMMYFUNCTION("""COMPUTED_VALUE"""),50.47)</f>
        <v>50.47</v>
      </c>
      <c r="C349" s="1">
        <f ca="1">IFERROR(__xludf.DUMMYFUNCTION("""COMPUTED_VALUE"""),50.62)</f>
        <v>50.62</v>
      </c>
      <c r="D349" s="1">
        <f ca="1">IFERROR(__xludf.DUMMYFUNCTION("""COMPUTED_VALUE"""),49.82)</f>
        <v>49.82</v>
      </c>
      <c r="E349" s="1">
        <f ca="1">IFERROR(__xludf.DUMMYFUNCTION("""COMPUTED_VALUE"""),50.32)</f>
        <v>50.32</v>
      </c>
      <c r="F349" s="1">
        <f ca="1">IFERROR(__xludf.DUMMYFUNCTION("""COMPUTED_VALUE"""),23842358)</f>
        <v>23842358</v>
      </c>
    </row>
    <row r="350" spans="1:6" x14ac:dyDescent="0.35">
      <c r="A350" s="2">
        <f ca="1">IFERROR(__xludf.DUMMYFUNCTION("""COMPUTED_VALUE"""),42510.6666666666)</f>
        <v>42510.666666666599</v>
      </c>
      <c r="B350" s="1">
        <f ca="1">IFERROR(__xludf.DUMMYFUNCTION("""COMPUTED_VALUE"""),50.48)</f>
        <v>50.48</v>
      </c>
      <c r="C350" s="1">
        <f ca="1">IFERROR(__xludf.DUMMYFUNCTION("""COMPUTED_VALUE"""),51.22)</f>
        <v>51.22</v>
      </c>
      <c r="D350" s="1">
        <f ca="1">IFERROR(__xludf.DUMMYFUNCTION("""COMPUTED_VALUE"""),50.4)</f>
        <v>50.4</v>
      </c>
      <c r="E350" s="1">
        <f ca="1">IFERROR(__xludf.DUMMYFUNCTION("""COMPUTED_VALUE"""),50.62)</f>
        <v>50.62</v>
      </c>
      <c r="F350" s="1">
        <f ca="1">IFERROR(__xludf.DUMMYFUNCTION("""COMPUTED_VALUE"""),23905769)</f>
        <v>23905769</v>
      </c>
    </row>
    <row r="351" spans="1:6" x14ac:dyDescent="0.35">
      <c r="A351" s="2">
        <f ca="1">IFERROR(__xludf.DUMMYFUNCTION("""COMPUTED_VALUE"""),42513.6666666666)</f>
        <v>42513.666666666599</v>
      </c>
      <c r="B351" s="1">
        <f ca="1">IFERROR(__xludf.DUMMYFUNCTION("""COMPUTED_VALUE"""),50.6)</f>
        <v>50.6</v>
      </c>
      <c r="C351" s="1">
        <f ca="1">IFERROR(__xludf.DUMMYFUNCTION("""COMPUTED_VALUE"""),50.68)</f>
        <v>50.68</v>
      </c>
      <c r="D351" s="1">
        <f ca="1">IFERROR(__xludf.DUMMYFUNCTION("""COMPUTED_VALUE"""),49.98)</f>
        <v>49.98</v>
      </c>
      <c r="E351" s="1">
        <f ca="1">IFERROR(__xludf.DUMMYFUNCTION("""COMPUTED_VALUE"""),50.03)</f>
        <v>50.03</v>
      </c>
      <c r="F351" s="1">
        <f ca="1">IFERROR(__xludf.DUMMYFUNCTION("""COMPUTED_VALUE"""),26118720)</f>
        <v>26118720</v>
      </c>
    </row>
    <row r="352" spans="1:6" x14ac:dyDescent="0.35">
      <c r="A352" s="2">
        <f ca="1">IFERROR(__xludf.DUMMYFUNCTION("""COMPUTED_VALUE"""),42514.6666666666)</f>
        <v>42514.666666666599</v>
      </c>
      <c r="B352" s="1">
        <f ca="1">IFERROR(__xludf.DUMMYFUNCTION("""COMPUTED_VALUE"""),50.7)</f>
        <v>50.7</v>
      </c>
      <c r="C352" s="1">
        <f ca="1">IFERROR(__xludf.DUMMYFUNCTION("""COMPUTED_VALUE"""),51.71)</f>
        <v>51.71</v>
      </c>
      <c r="D352" s="1">
        <f ca="1">IFERROR(__xludf.DUMMYFUNCTION("""COMPUTED_VALUE"""),50.4)</f>
        <v>50.4</v>
      </c>
      <c r="E352" s="1">
        <f ca="1">IFERROR(__xludf.DUMMYFUNCTION("""COMPUTED_VALUE"""),51.59)</f>
        <v>51.59</v>
      </c>
      <c r="F352" s="1">
        <f ca="1">IFERROR(__xludf.DUMMYFUNCTION("""COMPUTED_VALUE"""),34757944)</f>
        <v>34757944</v>
      </c>
    </row>
    <row r="353" spans="1:6" x14ac:dyDescent="0.35">
      <c r="A353" s="2">
        <f ca="1">IFERROR(__xludf.DUMMYFUNCTION("""COMPUTED_VALUE"""),42515.6666666666)</f>
        <v>42515.666666666599</v>
      </c>
      <c r="B353" s="1">
        <f ca="1">IFERROR(__xludf.DUMMYFUNCTION("""COMPUTED_VALUE"""),51.92)</f>
        <v>51.92</v>
      </c>
      <c r="C353" s="1">
        <f ca="1">IFERROR(__xludf.DUMMYFUNCTION("""COMPUTED_VALUE"""),52.49)</f>
        <v>52.49</v>
      </c>
      <c r="D353" s="1">
        <f ca="1">IFERROR(__xludf.DUMMYFUNCTION("""COMPUTED_VALUE"""),51.79)</f>
        <v>51.79</v>
      </c>
      <c r="E353" s="1">
        <f ca="1">IFERROR(__xludf.DUMMYFUNCTION("""COMPUTED_VALUE"""),52.12)</f>
        <v>52.12</v>
      </c>
      <c r="F353" s="1">
        <f ca="1">IFERROR(__xludf.DUMMYFUNCTION("""COMPUTED_VALUE"""),24204566)</f>
        <v>24204566</v>
      </c>
    </row>
    <row r="354" spans="1:6" x14ac:dyDescent="0.35">
      <c r="A354" s="2">
        <f ca="1">IFERROR(__xludf.DUMMYFUNCTION("""COMPUTED_VALUE"""),42516.6666666666)</f>
        <v>42516.666666666599</v>
      </c>
      <c r="B354" s="1">
        <f ca="1">IFERROR(__xludf.DUMMYFUNCTION("""COMPUTED_VALUE"""),51.93)</f>
        <v>51.93</v>
      </c>
      <c r="C354" s="1">
        <f ca="1">IFERROR(__xludf.DUMMYFUNCTION("""COMPUTED_VALUE"""),51.98)</f>
        <v>51.98</v>
      </c>
      <c r="D354" s="1">
        <f ca="1">IFERROR(__xludf.DUMMYFUNCTION("""COMPUTED_VALUE"""),51.36)</f>
        <v>51.36</v>
      </c>
      <c r="E354" s="1">
        <f ca="1">IFERROR(__xludf.DUMMYFUNCTION("""COMPUTED_VALUE"""),51.89)</f>
        <v>51.89</v>
      </c>
      <c r="F354" s="1">
        <f ca="1">IFERROR(__xludf.DUMMYFUNCTION("""COMPUTED_VALUE"""),24335223)</f>
        <v>24335223</v>
      </c>
    </row>
    <row r="355" spans="1:6" x14ac:dyDescent="0.35">
      <c r="A355" s="2">
        <f ca="1">IFERROR(__xludf.DUMMYFUNCTION("""COMPUTED_VALUE"""),42517.6666666666)</f>
        <v>42517.666666666599</v>
      </c>
      <c r="B355" s="1">
        <f ca="1">IFERROR(__xludf.DUMMYFUNCTION("""COMPUTED_VALUE"""),51.92)</f>
        <v>51.92</v>
      </c>
      <c r="C355" s="1">
        <f ca="1">IFERROR(__xludf.DUMMYFUNCTION("""COMPUTED_VALUE"""),52.32)</f>
        <v>52.32</v>
      </c>
      <c r="D355" s="1">
        <f ca="1">IFERROR(__xludf.DUMMYFUNCTION("""COMPUTED_VALUE"""),51.77)</f>
        <v>51.77</v>
      </c>
      <c r="E355" s="1">
        <f ca="1">IFERROR(__xludf.DUMMYFUNCTION("""COMPUTED_VALUE"""),52.32)</f>
        <v>52.32</v>
      </c>
      <c r="F355" s="1">
        <f ca="1">IFERROR(__xludf.DUMMYFUNCTION("""COMPUTED_VALUE"""),17721438)</f>
        <v>17721438</v>
      </c>
    </row>
    <row r="356" spans="1:6" x14ac:dyDescent="0.35">
      <c r="A356" s="2">
        <f ca="1">IFERROR(__xludf.DUMMYFUNCTION("""COMPUTED_VALUE"""),42521.6666666666)</f>
        <v>42521.666666666599</v>
      </c>
      <c r="B356" s="1">
        <f ca="1">IFERROR(__xludf.DUMMYFUNCTION("""COMPUTED_VALUE"""),52.26)</f>
        <v>52.26</v>
      </c>
      <c r="C356" s="1">
        <f ca="1">IFERROR(__xludf.DUMMYFUNCTION("""COMPUTED_VALUE"""),53)</f>
        <v>53</v>
      </c>
      <c r="D356" s="1">
        <f ca="1">IFERROR(__xludf.DUMMYFUNCTION("""COMPUTED_VALUE"""),52.08)</f>
        <v>52.08</v>
      </c>
      <c r="E356" s="1">
        <f ca="1">IFERROR(__xludf.DUMMYFUNCTION("""COMPUTED_VALUE"""),53)</f>
        <v>53</v>
      </c>
      <c r="F356" s="1">
        <f ca="1">IFERROR(__xludf.DUMMYFUNCTION("""COMPUTED_VALUE"""),37653081)</f>
        <v>37653081</v>
      </c>
    </row>
    <row r="357" spans="1:6" x14ac:dyDescent="0.35">
      <c r="A357" s="2">
        <f ca="1">IFERROR(__xludf.DUMMYFUNCTION("""COMPUTED_VALUE"""),42522.6666666666)</f>
        <v>42522.666666666599</v>
      </c>
      <c r="B357" s="1">
        <f ca="1">IFERROR(__xludf.DUMMYFUNCTION("""COMPUTED_VALUE"""),52.44)</f>
        <v>52.44</v>
      </c>
      <c r="C357" s="1">
        <f ca="1">IFERROR(__xludf.DUMMYFUNCTION("""COMPUTED_VALUE"""),52.95)</f>
        <v>52.95</v>
      </c>
      <c r="D357" s="1">
        <f ca="1">IFERROR(__xludf.DUMMYFUNCTION("""COMPUTED_VALUE"""),52.44)</f>
        <v>52.44</v>
      </c>
      <c r="E357" s="1">
        <f ca="1">IFERROR(__xludf.DUMMYFUNCTION("""COMPUTED_VALUE"""),52.85)</f>
        <v>52.85</v>
      </c>
      <c r="F357" s="1">
        <f ca="1">IFERROR(__xludf.DUMMYFUNCTION("""COMPUTED_VALUE"""),25324828)</f>
        <v>25324828</v>
      </c>
    </row>
    <row r="358" spans="1:6" x14ac:dyDescent="0.35">
      <c r="A358" s="2">
        <f ca="1">IFERROR(__xludf.DUMMYFUNCTION("""COMPUTED_VALUE"""),42523.6666666666)</f>
        <v>42523.666666666599</v>
      </c>
      <c r="B358" s="1">
        <f ca="1">IFERROR(__xludf.DUMMYFUNCTION("""COMPUTED_VALUE"""),52.64)</f>
        <v>52.64</v>
      </c>
      <c r="C358" s="1">
        <f ca="1">IFERROR(__xludf.DUMMYFUNCTION("""COMPUTED_VALUE"""),52.74)</f>
        <v>52.74</v>
      </c>
      <c r="D358" s="1">
        <f ca="1">IFERROR(__xludf.DUMMYFUNCTION("""COMPUTED_VALUE"""),51.84)</f>
        <v>51.84</v>
      </c>
      <c r="E358" s="1">
        <f ca="1">IFERROR(__xludf.DUMMYFUNCTION("""COMPUTED_VALUE"""),52.48)</f>
        <v>52.48</v>
      </c>
      <c r="F358" s="1">
        <f ca="1">IFERROR(__xludf.DUMMYFUNCTION("""COMPUTED_VALUE"""),22840779)</f>
        <v>22840779</v>
      </c>
    </row>
    <row r="359" spans="1:6" x14ac:dyDescent="0.35">
      <c r="A359" s="2">
        <f ca="1">IFERROR(__xludf.DUMMYFUNCTION("""COMPUTED_VALUE"""),42524.6666666666)</f>
        <v>42524.666666666599</v>
      </c>
      <c r="B359" s="1">
        <f ca="1">IFERROR(__xludf.DUMMYFUNCTION("""COMPUTED_VALUE"""),52.38)</f>
        <v>52.38</v>
      </c>
      <c r="C359" s="1">
        <f ca="1">IFERROR(__xludf.DUMMYFUNCTION("""COMPUTED_VALUE"""),52.42)</f>
        <v>52.42</v>
      </c>
      <c r="D359" s="1">
        <f ca="1">IFERROR(__xludf.DUMMYFUNCTION("""COMPUTED_VALUE"""),51.6)</f>
        <v>51.6</v>
      </c>
      <c r="E359" s="1">
        <f ca="1">IFERROR(__xludf.DUMMYFUNCTION("""COMPUTED_VALUE"""),51.79)</f>
        <v>51.79</v>
      </c>
      <c r="F359" s="1">
        <f ca="1">IFERROR(__xludf.DUMMYFUNCTION("""COMPUTED_VALUE"""),23368291)</f>
        <v>23368291</v>
      </c>
    </row>
    <row r="360" spans="1:6" x14ac:dyDescent="0.35">
      <c r="A360" s="2">
        <f ca="1">IFERROR(__xludf.DUMMYFUNCTION("""COMPUTED_VALUE"""),42527.6666666666)</f>
        <v>42527.666666666599</v>
      </c>
      <c r="B360" s="1">
        <f ca="1">IFERROR(__xludf.DUMMYFUNCTION("""COMPUTED_VALUE"""),51.99)</f>
        <v>51.99</v>
      </c>
      <c r="C360" s="1">
        <f ca="1">IFERROR(__xludf.DUMMYFUNCTION("""COMPUTED_VALUE"""),52.35)</f>
        <v>52.35</v>
      </c>
      <c r="D360" s="1">
        <f ca="1">IFERROR(__xludf.DUMMYFUNCTION("""COMPUTED_VALUE"""),51.89)</f>
        <v>51.89</v>
      </c>
      <c r="E360" s="1">
        <f ca="1">IFERROR(__xludf.DUMMYFUNCTION("""COMPUTED_VALUE"""),52.13)</f>
        <v>52.13</v>
      </c>
      <c r="F360" s="1">
        <f ca="1">IFERROR(__xludf.DUMMYFUNCTION("""COMPUTED_VALUE"""),18243271)</f>
        <v>18243271</v>
      </c>
    </row>
    <row r="361" spans="1:6" x14ac:dyDescent="0.35">
      <c r="A361" s="2">
        <f ca="1">IFERROR(__xludf.DUMMYFUNCTION("""COMPUTED_VALUE"""),42528.6666666666)</f>
        <v>42528.666666666599</v>
      </c>
      <c r="B361" s="1">
        <f ca="1">IFERROR(__xludf.DUMMYFUNCTION("""COMPUTED_VALUE"""),52.24)</f>
        <v>52.24</v>
      </c>
      <c r="C361" s="1">
        <f ca="1">IFERROR(__xludf.DUMMYFUNCTION("""COMPUTED_VALUE"""),52.73)</f>
        <v>52.73</v>
      </c>
      <c r="D361" s="1">
        <f ca="1">IFERROR(__xludf.DUMMYFUNCTION("""COMPUTED_VALUE"""),52.1)</f>
        <v>52.1</v>
      </c>
      <c r="E361" s="1">
        <f ca="1">IFERROR(__xludf.DUMMYFUNCTION("""COMPUTED_VALUE"""),52.1)</f>
        <v>52.1</v>
      </c>
      <c r="F361" s="1">
        <f ca="1">IFERROR(__xludf.DUMMYFUNCTION("""COMPUTED_VALUE"""),20866770)</f>
        <v>20866770</v>
      </c>
    </row>
    <row r="362" spans="1:6" x14ac:dyDescent="0.35">
      <c r="A362" s="2">
        <f ca="1">IFERROR(__xludf.DUMMYFUNCTION("""COMPUTED_VALUE"""),42529.6666666666)</f>
        <v>42529.666666666599</v>
      </c>
      <c r="B362" s="1">
        <f ca="1">IFERROR(__xludf.DUMMYFUNCTION("""COMPUTED_VALUE"""),52.02)</f>
        <v>52.02</v>
      </c>
      <c r="C362" s="1">
        <f ca="1">IFERROR(__xludf.DUMMYFUNCTION("""COMPUTED_VALUE"""),52.44)</f>
        <v>52.44</v>
      </c>
      <c r="D362" s="1">
        <f ca="1">IFERROR(__xludf.DUMMYFUNCTION("""COMPUTED_VALUE"""),51.87)</f>
        <v>51.87</v>
      </c>
      <c r="E362" s="1">
        <f ca="1">IFERROR(__xludf.DUMMYFUNCTION("""COMPUTED_VALUE"""),52.04)</f>
        <v>52.04</v>
      </c>
      <c r="F362" s="1">
        <f ca="1">IFERROR(__xludf.DUMMYFUNCTION("""COMPUTED_VALUE"""),21149438)</f>
        <v>21149438</v>
      </c>
    </row>
    <row r="363" spans="1:6" x14ac:dyDescent="0.35">
      <c r="A363" s="2">
        <f ca="1">IFERROR(__xludf.DUMMYFUNCTION("""COMPUTED_VALUE"""),42530.6666666666)</f>
        <v>42530.666666666599</v>
      </c>
      <c r="B363" s="1">
        <f ca="1">IFERROR(__xludf.DUMMYFUNCTION("""COMPUTED_VALUE"""),52)</f>
        <v>52</v>
      </c>
      <c r="C363" s="1">
        <f ca="1">IFERROR(__xludf.DUMMYFUNCTION("""COMPUTED_VALUE"""),52)</f>
        <v>52</v>
      </c>
      <c r="D363" s="1">
        <f ca="1">IFERROR(__xludf.DUMMYFUNCTION("""COMPUTED_VALUE"""),51.49)</f>
        <v>51.49</v>
      </c>
      <c r="E363" s="1">
        <f ca="1">IFERROR(__xludf.DUMMYFUNCTION("""COMPUTED_VALUE"""),51.62)</f>
        <v>51.62</v>
      </c>
      <c r="F363" s="1">
        <f ca="1">IFERROR(__xludf.DUMMYFUNCTION("""COMPUTED_VALUE"""),20305664)</f>
        <v>20305664</v>
      </c>
    </row>
    <row r="364" spans="1:6" x14ac:dyDescent="0.35">
      <c r="A364" s="2">
        <f ca="1">IFERROR(__xludf.DUMMYFUNCTION("""COMPUTED_VALUE"""),42531.6666666666)</f>
        <v>42531.666666666599</v>
      </c>
      <c r="B364" s="1">
        <f ca="1">IFERROR(__xludf.DUMMYFUNCTION("""COMPUTED_VALUE"""),51.05)</f>
        <v>51.05</v>
      </c>
      <c r="C364" s="1">
        <f ca="1">IFERROR(__xludf.DUMMYFUNCTION("""COMPUTED_VALUE"""),52.05)</f>
        <v>52.05</v>
      </c>
      <c r="D364" s="1">
        <f ca="1">IFERROR(__xludf.DUMMYFUNCTION("""COMPUTED_VALUE"""),51.04)</f>
        <v>51.04</v>
      </c>
      <c r="E364" s="1">
        <f ca="1">IFERROR(__xludf.DUMMYFUNCTION("""COMPUTED_VALUE"""),51.48)</f>
        <v>51.48</v>
      </c>
      <c r="F364" s="1">
        <f ca="1">IFERROR(__xludf.DUMMYFUNCTION("""COMPUTED_VALUE"""),25833151)</f>
        <v>25833151</v>
      </c>
    </row>
    <row r="365" spans="1:6" x14ac:dyDescent="0.35">
      <c r="A365" s="2">
        <f ca="1">IFERROR(__xludf.DUMMYFUNCTION("""COMPUTED_VALUE"""),42534.6666666666)</f>
        <v>42534.666666666599</v>
      </c>
      <c r="B365" s="1">
        <f ca="1">IFERROR(__xludf.DUMMYFUNCTION("""COMPUTED_VALUE"""),49.58)</f>
        <v>49.58</v>
      </c>
      <c r="C365" s="1">
        <f ca="1">IFERROR(__xludf.DUMMYFUNCTION("""COMPUTED_VALUE"""),50.72)</f>
        <v>50.72</v>
      </c>
      <c r="D365" s="1">
        <f ca="1">IFERROR(__xludf.DUMMYFUNCTION("""COMPUTED_VALUE"""),49.06)</f>
        <v>49.06</v>
      </c>
      <c r="E365" s="1">
        <f ca="1">IFERROR(__xludf.DUMMYFUNCTION("""COMPUTED_VALUE"""),50.14)</f>
        <v>50.14</v>
      </c>
      <c r="F365" s="1">
        <f ca="1">IFERROR(__xludf.DUMMYFUNCTION("""COMPUTED_VALUE"""),83217844)</f>
        <v>83217844</v>
      </c>
    </row>
    <row r="366" spans="1:6" x14ac:dyDescent="0.35">
      <c r="A366" s="2">
        <f ca="1">IFERROR(__xludf.DUMMYFUNCTION("""COMPUTED_VALUE"""),42535.6666666666)</f>
        <v>42535.666666666599</v>
      </c>
      <c r="B366" s="1">
        <f ca="1">IFERROR(__xludf.DUMMYFUNCTION("""COMPUTED_VALUE"""),49.9)</f>
        <v>49.9</v>
      </c>
      <c r="C366" s="1">
        <f ca="1">IFERROR(__xludf.DUMMYFUNCTION("""COMPUTED_VALUE"""),50.1)</f>
        <v>50.1</v>
      </c>
      <c r="D366" s="1">
        <f ca="1">IFERROR(__xludf.DUMMYFUNCTION("""COMPUTED_VALUE"""),49.57)</f>
        <v>49.57</v>
      </c>
      <c r="E366" s="1">
        <f ca="1">IFERROR(__xludf.DUMMYFUNCTION("""COMPUTED_VALUE"""),49.83)</f>
        <v>49.83</v>
      </c>
      <c r="F366" s="1">
        <f ca="1">IFERROR(__xludf.DUMMYFUNCTION("""COMPUTED_VALUE"""),42577106)</f>
        <v>42577106</v>
      </c>
    </row>
    <row r="367" spans="1:6" x14ac:dyDescent="0.35">
      <c r="A367" s="2">
        <f ca="1">IFERROR(__xludf.DUMMYFUNCTION("""COMPUTED_VALUE"""),42536.6666666666)</f>
        <v>42536.666666666599</v>
      </c>
      <c r="B367" s="1">
        <f ca="1">IFERROR(__xludf.DUMMYFUNCTION("""COMPUTED_VALUE"""),49.78)</f>
        <v>49.78</v>
      </c>
      <c r="C367" s="1">
        <f ca="1">IFERROR(__xludf.DUMMYFUNCTION("""COMPUTED_VALUE"""),50.12)</f>
        <v>50.12</v>
      </c>
      <c r="D367" s="1">
        <f ca="1">IFERROR(__xludf.DUMMYFUNCTION("""COMPUTED_VALUE"""),49.69)</f>
        <v>49.69</v>
      </c>
      <c r="E367" s="1">
        <f ca="1">IFERROR(__xludf.DUMMYFUNCTION("""COMPUTED_VALUE"""),49.69)</f>
        <v>49.69</v>
      </c>
      <c r="F367" s="1">
        <f ca="1">IFERROR(__xludf.DUMMYFUNCTION("""COMPUTED_VALUE"""),33757639)</f>
        <v>33757639</v>
      </c>
    </row>
    <row r="368" spans="1:6" x14ac:dyDescent="0.35">
      <c r="A368" s="2">
        <f ca="1">IFERROR(__xludf.DUMMYFUNCTION("""COMPUTED_VALUE"""),42537.6666666666)</f>
        <v>42537.666666666599</v>
      </c>
      <c r="B368" s="1">
        <f ca="1">IFERROR(__xludf.DUMMYFUNCTION("""COMPUTED_VALUE"""),49.52)</f>
        <v>49.52</v>
      </c>
      <c r="C368" s="1">
        <f ca="1">IFERROR(__xludf.DUMMYFUNCTION("""COMPUTED_VALUE"""),50.47)</f>
        <v>50.47</v>
      </c>
      <c r="D368" s="1">
        <f ca="1">IFERROR(__xludf.DUMMYFUNCTION("""COMPUTED_VALUE"""),49.51)</f>
        <v>49.51</v>
      </c>
      <c r="E368" s="1">
        <f ca="1">IFERROR(__xludf.DUMMYFUNCTION("""COMPUTED_VALUE"""),50.39)</f>
        <v>50.39</v>
      </c>
      <c r="F368" s="1">
        <f ca="1">IFERROR(__xludf.DUMMYFUNCTION("""COMPUTED_VALUE"""),31188605)</f>
        <v>31188605</v>
      </c>
    </row>
    <row r="369" spans="1:6" x14ac:dyDescent="0.35">
      <c r="A369" s="2">
        <f ca="1">IFERROR(__xludf.DUMMYFUNCTION("""COMPUTED_VALUE"""),42538.6666666666)</f>
        <v>42538.666666666599</v>
      </c>
      <c r="B369" s="1">
        <f ca="1">IFERROR(__xludf.DUMMYFUNCTION("""COMPUTED_VALUE"""),50.41)</f>
        <v>50.41</v>
      </c>
      <c r="C369" s="1">
        <f ca="1">IFERROR(__xludf.DUMMYFUNCTION("""COMPUTED_VALUE"""),50.43)</f>
        <v>50.43</v>
      </c>
      <c r="D369" s="1">
        <f ca="1">IFERROR(__xludf.DUMMYFUNCTION("""COMPUTED_VALUE"""),49.82)</f>
        <v>49.82</v>
      </c>
      <c r="E369" s="1">
        <f ca="1">IFERROR(__xludf.DUMMYFUNCTION("""COMPUTED_VALUE"""),50.13)</f>
        <v>50.13</v>
      </c>
      <c r="F369" s="1">
        <f ca="1">IFERROR(__xludf.DUMMYFUNCTION("""COMPUTED_VALUE"""),45710516)</f>
        <v>45710516</v>
      </c>
    </row>
    <row r="370" spans="1:6" x14ac:dyDescent="0.35">
      <c r="A370" s="2">
        <f ca="1">IFERROR(__xludf.DUMMYFUNCTION("""COMPUTED_VALUE"""),42541.6666666666)</f>
        <v>42541.666666666599</v>
      </c>
      <c r="B370" s="1">
        <f ca="1">IFERROR(__xludf.DUMMYFUNCTION("""COMPUTED_VALUE"""),50.64)</f>
        <v>50.64</v>
      </c>
      <c r="C370" s="1">
        <f ca="1">IFERROR(__xludf.DUMMYFUNCTION("""COMPUTED_VALUE"""),50.83)</f>
        <v>50.83</v>
      </c>
      <c r="D370" s="1">
        <f ca="1">IFERROR(__xludf.DUMMYFUNCTION("""COMPUTED_VALUE"""),50.03)</f>
        <v>50.03</v>
      </c>
      <c r="E370" s="1">
        <f ca="1">IFERROR(__xludf.DUMMYFUNCTION("""COMPUTED_VALUE"""),50.07)</f>
        <v>50.07</v>
      </c>
      <c r="F370" s="1">
        <f ca="1">IFERROR(__xludf.DUMMYFUNCTION("""COMPUTED_VALUE"""),35607946)</f>
        <v>35607946</v>
      </c>
    </row>
    <row r="371" spans="1:6" x14ac:dyDescent="0.35">
      <c r="A371" s="2">
        <f ca="1">IFERROR(__xludf.DUMMYFUNCTION("""COMPUTED_VALUE"""),42542.6666666666)</f>
        <v>42542.666666666599</v>
      </c>
      <c r="B371" s="1">
        <f ca="1">IFERROR(__xludf.DUMMYFUNCTION("""COMPUTED_VALUE"""),50.2)</f>
        <v>50.2</v>
      </c>
      <c r="C371" s="1">
        <f ca="1">IFERROR(__xludf.DUMMYFUNCTION("""COMPUTED_VALUE"""),51.43)</f>
        <v>51.43</v>
      </c>
      <c r="D371" s="1">
        <f ca="1">IFERROR(__xludf.DUMMYFUNCTION("""COMPUTED_VALUE"""),50.16)</f>
        <v>50.16</v>
      </c>
      <c r="E371" s="1">
        <f ca="1">IFERROR(__xludf.DUMMYFUNCTION("""COMPUTED_VALUE"""),51.19)</f>
        <v>51.19</v>
      </c>
      <c r="F371" s="1">
        <f ca="1">IFERROR(__xludf.DUMMYFUNCTION("""COMPUTED_VALUE"""),34097825)</f>
        <v>34097825</v>
      </c>
    </row>
    <row r="372" spans="1:6" x14ac:dyDescent="0.35">
      <c r="A372" s="2">
        <f ca="1">IFERROR(__xludf.DUMMYFUNCTION("""COMPUTED_VALUE"""),42543.6666666666)</f>
        <v>42543.666666666599</v>
      </c>
      <c r="B372" s="1">
        <f ca="1">IFERROR(__xludf.DUMMYFUNCTION("""COMPUTED_VALUE"""),51.08)</f>
        <v>51.08</v>
      </c>
      <c r="C372" s="1">
        <f ca="1">IFERROR(__xludf.DUMMYFUNCTION("""COMPUTED_VALUE"""),51.46)</f>
        <v>51.46</v>
      </c>
      <c r="D372" s="1">
        <f ca="1">IFERROR(__xludf.DUMMYFUNCTION("""COMPUTED_VALUE"""),50.95)</f>
        <v>50.95</v>
      </c>
      <c r="E372" s="1">
        <f ca="1">IFERROR(__xludf.DUMMYFUNCTION("""COMPUTED_VALUE"""),50.99)</f>
        <v>50.99</v>
      </c>
      <c r="F372" s="1">
        <f ca="1">IFERROR(__xludf.DUMMYFUNCTION("""COMPUTED_VALUE"""),28816848)</f>
        <v>28816848</v>
      </c>
    </row>
    <row r="373" spans="1:6" x14ac:dyDescent="0.35">
      <c r="A373" s="2">
        <f ca="1">IFERROR(__xludf.DUMMYFUNCTION("""COMPUTED_VALUE"""),42544.6666666666)</f>
        <v>42544.666666666599</v>
      </c>
      <c r="B373" s="1">
        <f ca="1">IFERROR(__xludf.DUMMYFUNCTION("""COMPUTED_VALUE"""),51.28)</f>
        <v>51.28</v>
      </c>
      <c r="C373" s="1">
        <f ca="1">IFERROR(__xludf.DUMMYFUNCTION("""COMPUTED_VALUE"""),52.06)</f>
        <v>52.06</v>
      </c>
      <c r="D373" s="1">
        <f ca="1">IFERROR(__xludf.DUMMYFUNCTION("""COMPUTED_VALUE"""),51.15)</f>
        <v>51.15</v>
      </c>
      <c r="E373" s="1">
        <f ca="1">IFERROR(__xludf.DUMMYFUNCTION("""COMPUTED_VALUE"""),51.91)</f>
        <v>51.91</v>
      </c>
      <c r="F373" s="1">
        <f ca="1">IFERROR(__xludf.DUMMYFUNCTION("""COMPUTED_VALUE"""),29028833)</f>
        <v>29028833</v>
      </c>
    </row>
    <row r="374" spans="1:6" x14ac:dyDescent="0.35">
      <c r="A374" s="2">
        <f ca="1">IFERROR(__xludf.DUMMYFUNCTION("""COMPUTED_VALUE"""),42545.6666666666)</f>
        <v>42545.666666666599</v>
      </c>
      <c r="B374" s="1">
        <f ca="1">IFERROR(__xludf.DUMMYFUNCTION("""COMPUTED_VALUE"""),49.81)</f>
        <v>49.81</v>
      </c>
      <c r="C374" s="1">
        <f ca="1">IFERROR(__xludf.DUMMYFUNCTION("""COMPUTED_VALUE"""),50.94)</f>
        <v>50.94</v>
      </c>
      <c r="D374" s="1">
        <f ca="1">IFERROR(__xludf.DUMMYFUNCTION("""COMPUTED_VALUE"""),49.52)</f>
        <v>49.52</v>
      </c>
      <c r="E374" s="1">
        <f ca="1">IFERROR(__xludf.DUMMYFUNCTION("""COMPUTED_VALUE"""),49.83)</f>
        <v>49.83</v>
      </c>
      <c r="F374" s="1">
        <f ca="1">IFERROR(__xludf.DUMMYFUNCTION("""COMPUTED_VALUE"""),133502985)</f>
        <v>133502985</v>
      </c>
    </row>
    <row r="375" spans="1:6" x14ac:dyDescent="0.35">
      <c r="A375" s="2">
        <f ca="1">IFERROR(__xludf.DUMMYFUNCTION("""COMPUTED_VALUE"""),42548.6666666666)</f>
        <v>42548.666666666599</v>
      </c>
      <c r="B375" s="1">
        <f ca="1">IFERROR(__xludf.DUMMYFUNCTION("""COMPUTED_VALUE"""),49.1)</f>
        <v>49.1</v>
      </c>
      <c r="C375" s="1">
        <f ca="1">IFERROR(__xludf.DUMMYFUNCTION("""COMPUTED_VALUE"""),49.15)</f>
        <v>49.15</v>
      </c>
      <c r="D375" s="1">
        <f ca="1">IFERROR(__xludf.DUMMYFUNCTION("""COMPUTED_VALUE"""),48.04)</f>
        <v>48.04</v>
      </c>
      <c r="E375" s="1">
        <f ca="1">IFERROR(__xludf.DUMMYFUNCTION("""COMPUTED_VALUE"""),48.43)</f>
        <v>48.43</v>
      </c>
      <c r="F375" s="1">
        <f ca="1">IFERROR(__xludf.DUMMYFUNCTION("""COMPUTED_VALUE"""),50576699)</f>
        <v>50576699</v>
      </c>
    </row>
    <row r="376" spans="1:6" x14ac:dyDescent="0.35">
      <c r="A376" s="2">
        <f ca="1">IFERROR(__xludf.DUMMYFUNCTION("""COMPUTED_VALUE"""),42549.6666666666)</f>
        <v>42549.666666666599</v>
      </c>
      <c r="B376" s="1">
        <f ca="1">IFERROR(__xludf.DUMMYFUNCTION("""COMPUTED_VALUE"""),48.92)</f>
        <v>48.92</v>
      </c>
      <c r="C376" s="1">
        <f ca="1">IFERROR(__xludf.DUMMYFUNCTION("""COMPUTED_VALUE"""),49.47)</f>
        <v>49.47</v>
      </c>
      <c r="D376" s="1">
        <f ca="1">IFERROR(__xludf.DUMMYFUNCTION("""COMPUTED_VALUE"""),48.67)</f>
        <v>48.67</v>
      </c>
      <c r="E376" s="1">
        <f ca="1">IFERROR(__xludf.DUMMYFUNCTION("""COMPUTED_VALUE"""),49.44)</f>
        <v>49.44</v>
      </c>
      <c r="F376" s="1">
        <f ca="1">IFERROR(__xludf.DUMMYFUNCTION("""COMPUTED_VALUE"""),38140658)</f>
        <v>38140658</v>
      </c>
    </row>
    <row r="377" spans="1:6" x14ac:dyDescent="0.35">
      <c r="A377" s="2">
        <f ca="1">IFERROR(__xludf.DUMMYFUNCTION("""COMPUTED_VALUE"""),42550.6666666666)</f>
        <v>42550.666666666599</v>
      </c>
      <c r="B377" s="1">
        <f ca="1">IFERROR(__xludf.DUMMYFUNCTION("""COMPUTED_VALUE"""),49.91)</f>
        <v>49.91</v>
      </c>
      <c r="C377" s="1">
        <f ca="1">IFERROR(__xludf.DUMMYFUNCTION("""COMPUTED_VALUE"""),50.72)</f>
        <v>50.72</v>
      </c>
      <c r="D377" s="1">
        <f ca="1">IFERROR(__xludf.DUMMYFUNCTION("""COMPUTED_VALUE"""),49.8)</f>
        <v>49.8</v>
      </c>
      <c r="E377" s="1">
        <f ca="1">IFERROR(__xludf.DUMMYFUNCTION("""COMPUTED_VALUE"""),50.54)</f>
        <v>50.54</v>
      </c>
      <c r="F377" s="1">
        <f ca="1">IFERROR(__xludf.DUMMYFUNCTION("""COMPUTED_VALUE"""),31304021)</f>
        <v>31304021</v>
      </c>
    </row>
    <row r="378" spans="1:6" x14ac:dyDescent="0.35">
      <c r="A378" s="2">
        <f ca="1">IFERROR(__xludf.DUMMYFUNCTION("""COMPUTED_VALUE"""),42551.6666666666)</f>
        <v>42551.666666666599</v>
      </c>
      <c r="B378" s="1">
        <f ca="1">IFERROR(__xludf.DUMMYFUNCTION("""COMPUTED_VALUE"""),50.72)</f>
        <v>50.72</v>
      </c>
      <c r="C378" s="1">
        <f ca="1">IFERROR(__xludf.DUMMYFUNCTION("""COMPUTED_VALUE"""),51.3)</f>
        <v>51.3</v>
      </c>
      <c r="D378" s="1">
        <f ca="1">IFERROR(__xludf.DUMMYFUNCTION("""COMPUTED_VALUE"""),50.5)</f>
        <v>50.5</v>
      </c>
      <c r="E378" s="1">
        <f ca="1">IFERROR(__xludf.DUMMYFUNCTION("""COMPUTED_VALUE"""),51.17)</f>
        <v>51.17</v>
      </c>
      <c r="F378" s="1">
        <f ca="1">IFERROR(__xludf.DUMMYFUNCTION("""COMPUTED_VALUE"""),28527781)</f>
        <v>28527781</v>
      </c>
    </row>
    <row r="379" spans="1:6" x14ac:dyDescent="0.35">
      <c r="A379" s="2">
        <f ca="1">IFERROR(__xludf.DUMMYFUNCTION("""COMPUTED_VALUE"""),42552.6666666666)</f>
        <v>42552.666666666599</v>
      </c>
      <c r="B379" s="1">
        <f ca="1">IFERROR(__xludf.DUMMYFUNCTION("""COMPUTED_VALUE"""),51.13)</f>
        <v>51.13</v>
      </c>
      <c r="C379" s="1">
        <f ca="1">IFERROR(__xludf.DUMMYFUNCTION("""COMPUTED_VALUE"""),51.72)</f>
        <v>51.72</v>
      </c>
      <c r="D379" s="1">
        <f ca="1">IFERROR(__xludf.DUMMYFUNCTION("""COMPUTED_VALUE"""),51.07)</f>
        <v>51.07</v>
      </c>
      <c r="E379" s="1">
        <f ca="1">IFERROR(__xludf.DUMMYFUNCTION("""COMPUTED_VALUE"""),51.16)</f>
        <v>51.16</v>
      </c>
      <c r="F379" s="1">
        <f ca="1">IFERROR(__xludf.DUMMYFUNCTION("""COMPUTED_VALUE"""),21400392)</f>
        <v>21400392</v>
      </c>
    </row>
    <row r="380" spans="1:6" x14ac:dyDescent="0.35">
      <c r="A380" s="2">
        <f ca="1">IFERROR(__xludf.DUMMYFUNCTION("""COMPUTED_VALUE"""),42556.6666666666)</f>
        <v>42556.666666666599</v>
      </c>
      <c r="B380" s="1">
        <f ca="1">IFERROR(__xludf.DUMMYFUNCTION("""COMPUTED_VALUE"""),50.83)</f>
        <v>50.83</v>
      </c>
      <c r="C380" s="1">
        <f ca="1">IFERROR(__xludf.DUMMYFUNCTION("""COMPUTED_VALUE"""),51.28)</f>
        <v>51.28</v>
      </c>
      <c r="D380" s="1">
        <f ca="1">IFERROR(__xludf.DUMMYFUNCTION("""COMPUTED_VALUE"""),50.74)</f>
        <v>50.74</v>
      </c>
      <c r="E380" s="1">
        <f ca="1">IFERROR(__xludf.DUMMYFUNCTION("""COMPUTED_VALUE"""),51.17)</f>
        <v>51.17</v>
      </c>
      <c r="F380" s="1">
        <f ca="1">IFERROR(__xludf.DUMMYFUNCTION("""COMPUTED_VALUE"""),24806351)</f>
        <v>24806351</v>
      </c>
    </row>
    <row r="381" spans="1:6" x14ac:dyDescent="0.35">
      <c r="A381" s="2">
        <f ca="1">IFERROR(__xludf.DUMMYFUNCTION("""COMPUTED_VALUE"""),42557.6666666666)</f>
        <v>42557.666666666599</v>
      </c>
      <c r="B381" s="1">
        <f ca="1">IFERROR(__xludf.DUMMYFUNCTION("""COMPUTED_VALUE"""),50.78)</f>
        <v>50.78</v>
      </c>
      <c r="C381" s="1">
        <f ca="1">IFERROR(__xludf.DUMMYFUNCTION("""COMPUTED_VALUE"""),51.54)</f>
        <v>51.54</v>
      </c>
      <c r="D381" s="1">
        <f ca="1">IFERROR(__xludf.DUMMYFUNCTION("""COMPUTED_VALUE"""),50.39)</f>
        <v>50.39</v>
      </c>
      <c r="E381" s="1">
        <f ca="1">IFERROR(__xludf.DUMMYFUNCTION("""COMPUTED_VALUE"""),51.38)</f>
        <v>51.38</v>
      </c>
      <c r="F381" s="1">
        <f ca="1">IFERROR(__xludf.DUMMYFUNCTION("""COMPUTED_VALUE"""),28167461)</f>
        <v>28167461</v>
      </c>
    </row>
    <row r="382" spans="1:6" x14ac:dyDescent="0.35">
      <c r="A382" s="2">
        <f ca="1">IFERROR(__xludf.DUMMYFUNCTION("""COMPUTED_VALUE"""),42558.6666666666)</f>
        <v>42558.666666666599</v>
      </c>
      <c r="B382" s="1">
        <f ca="1">IFERROR(__xludf.DUMMYFUNCTION("""COMPUTED_VALUE"""),51.42)</f>
        <v>51.42</v>
      </c>
      <c r="C382" s="1">
        <f ca="1">IFERROR(__xludf.DUMMYFUNCTION("""COMPUTED_VALUE"""),51.61)</f>
        <v>51.61</v>
      </c>
      <c r="D382" s="1">
        <f ca="1">IFERROR(__xludf.DUMMYFUNCTION("""COMPUTED_VALUE"""),51.07)</f>
        <v>51.07</v>
      </c>
      <c r="E382" s="1">
        <f ca="1">IFERROR(__xludf.DUMMYFUNCTION("""COMPUTED_VALUE"""),51.38)</f>
        <v>51.38</v>
      </c>
      <c r="F382" s="1">
        <f ca="1">IFERROR(__xludf.DUMMYFUNCTION("""COMPUTED_VALUE"""),19585194)</f>
        <v>19585194</v>
      </c>
    </row>
    <row r="383" spans="1:6" x14ac:dyDescent="0.35">
      <c r="A383" s="2">
        <f ca="1">IFERROR(__xludf.DUMMYFUNCTION("""COMPUTED_VALUE"""),42559.6666666666)</f>
        <v>42559.666666666599</v>
      </c>
      <c r="B383" s="1">
        <f ca="1">IFERROR(__xludf.DUMMYFUNCTION("""COMPUTED_VALUE"""),51.73)</f>
        <v>51.73</v>
      </c>
      <c r="C383" s="1">
        <f ca="1">IFERROR(__xludf.DUMMYFUNCTION("""COMPUTED_VALUE"""),52.36)</f>
        <v>52.36</v>
      </c>
      <c r="D383" s="1">
        <f ca="1">IFERROR(__xludf.DUMMYFUNCTION("""COMPUTED_VALUE"""),51.55)</f>
        <v>51.55</v>
      </c>
      <c r="E383" s="1">
        <f ca="1">IFERROR(__xludf.DUMMYFUNCTION("""COMPUTED_VALUE"""),52.3)</f>
        <v>52.3</v>
      </c>
      <c r="F383" s="1">
        <f ca="1">IFERROR(__xludf.DUMMYFUNCTION("""COMPUTED_VALUE"""),28391026)</f>
        <v>28391026</v>
      </c>
    </row>
    <row r="384" spans="1:6" x14ac:dyDescent="0.35">
      <c r="A384" s="2">
        <f ca="1">IFERROR(__xludf.DUMMYFUNCTION("""COMPUTED_VALUE"""),42562.6666666666)</f>
        <v>42562.666666666599</v>
      </c>
      <c r="B384" s="1">
        <f ca="1">IFERROR(__xludf.DUMMYFUNCTION("""COMPUTED_VALUE"""),52.5)</f>
        <v>52.5</v>
      </c>
      <c r="C384" s="1">
        <f ca="1">IFERROR(__xludf.DUMMYFUNCTION("""COMPUTED_VALUE"""),52.83)</f>
        <v>52.83</v>
      </c>
      <c r="D384" s="1">
        <f ca="1">IFERROR(__xludf.DUMMYFUNCTION("""COMPUTED_VALUE"""),52.47)</f>
        <v>52.47</v>
      </c>
      <c r="E384" s="1">
        <f ca="1">IFERROR(__xludf.DUMMYFUNCTION("""COMPUTED_VALUE"""),52.59)</f>
        <v>52.59</v>
      </c>
      <c r="F384" s="1">
        <f ca="1">IFERROR(__xludf.DUMMYFUNCTION("""COMPUTED_VALUE"""),22269203)</f>
        <v>22269203</v>
      </c>
    </row>
    <row r="385" spans="1:6" x14ac:dyDescent="0.35">
      <c r="A385" s="2">
        <f ca="1">IFERROR(__xludf.DUMMYFUNCTION("""COMPUTED_VALUE"""),42563.6666666666)</f>
        <v>42563.666666666599</v>
      </c>
      <c r="B385" s="1">
        <f ca="1">IFERROR(__xludf.DUMMYFUNCTION("""COMPUTED_VALUE"""),52.94)</f>
        <v>52.94</v>
      </c>
      <c r="C385" s="1">
        <f ca="1">IFERROR(__xludf.DUMMYFUNCTION("""COMPUTED_VALUE"""),53.4)</f>
        <v>53.4</v>
      </c>
      <c r="D385" s="1">
        <f ca="1">IFERROR(__xludf.DUMMYFUNCTION("""COMPUTED_VALUE"""),52.79)</f>
        <v>52.79</v>
      </c>
      <c r="E385" s="1">
        <f ca="1">IFERROR(__xludf.DUMMYFUNCTION("""COMPUTED_VALUE"""),53.21)</f>
        <v>53.21</v>
      </c>
      <c r="F385" s="1">
        <f ca="1">IFERROR(__xludf.DUMMYFUNCTION("""COMPUTED_VALUE"""),27317555)</f>
        <v>27317555</v>
      </c>
    </row>
    <row r="386" spans="1:6" x14ac:dyDescent="0.35">
      <c r="A386" s="2">
        <f ca="1">IFERROR(__xludf.DUMMYFUNCTION("""COMPUTED_VALUE"""),42564.6666666666)</f>
        <v>42564.666666666599</v>
      </c>
      <c r="B386" s="1">
        <f ca="1">IFERROR(__xludf.DUMMYFUNCTION("""COMPUTED_VALUE"""),53.56)</f>
        <v>53.56</v>
      </c>
      <c r="C386" s="1">
        <f ca="1">IFERROR(__xludf.DUMMYFUNCTION("""COMPUTED_VALUE"""),53.86)</f>
        <v>53.86</v>
      </c>
      <c r="D386" s="1">
        <f ca="1">IFERROR(__xludf.DUMMYFUNCTION("""COMPUTED_VALUE"""),53.18)</f>
        <v>53.18</v>
      </c>
      <c r="E386" s="1">
        <f ca="1">IFERROR(__xludf.DUMMYFUNCTION("""COMPUTED_VALUE"""),53.51)</f>
        <v>53.51</v>
      </c>
      <c r="F386" s="1">
        <f ca="1">IFERROR(__xludf.DUMMYFUNCTION("""COMPUTED_VALUE"""),25356841)</f>
        <v>25356841</v>
      </c>
    </row>
    <row r="387" spans="1:6" x14ac:dyDescent="0.35">
      <c r="A387" s="2">
        <f ca="1">IFERROR(__xludf.DUMMYFUNCTION("""COMPUTED_VALUE"""),42565.6666666666)</f>
        <v>42565.666666666599</v>
      </c>
      <c r="B387" s="1">
        <f ca="1">IFERROR(__xludf.DUMMYFUNCTION("""COMPUTED_VALUE"""),53.84)</f>
        <v>53.84</v>
      </c>
      <c r="C387" s="1">
        <f ca="1">IFERROR(__xludf.DUMMYFUNCTION("""COMPUTED_VALUE"""),53.99)</f>
        <v>53.99</v>
      </c>
      <c r="D387" s="1">
        <f ca="1">IFERROR(__xludf.DUMMYFUNCTION("""COMPUTED_VALUE"""),53.58)</f>
        <v>53.58</v>
      </c>
      <c r="E387" s="1">
        <f ca="1">IFERROR(__xludf.DUMMYFUNCTION("""COMPUTED_VALUE"""),53.74)</f>
        <v>53.74</v>
      </c>
      <c r="F387" s="1">
        <f ca="1">IFERROR(__xludf.DUMMYFUNCTION("""COMPUTED_VALUE"""),24545520)</f>
        <v>24545520</v>
      </c>
    </row>
    <row r="388" spans="1:6" x14ac:dyDescent="0.35">
      <c r="A388" s="2">
        <f ca="1">IFERROR(__xludf.DUMMYFUNCTION("""COMPUTED_VALUE"""),42566.6666666666)</f>
        <v>42566.666666666599</v>
      </c>
      <c r="B388" s="1">
        <f ca="1">IFERROR(__xludf.DUMMYFUNCTION("""COMPUTED_VALUE"""),53.95)</f>
        <v>53.95</v>
      </c>
      <c r="C388" s="1">
        <f ca="1">IFERROR(__xludf.DUMMYFUNCTION("""COMPUTED_VALUE"""),54)</f>
        <v>54</v>
      </c>
      <c r="D388" s="1">
        <f ca="1">IFERROR(__xludf.DUMMYFUNCTION("""COMPUTED_VALUE"""),53.21)</f>
        <v>53.21</v>
      </c>
      <c r="E388" s="1">
        <f ca="1">IFERROR(__xludf.DUMMYFUNCTION("""COMPUTED_VALUE"""),53.7)</f>
        <v>53.7</v>
      </c>
      <c r="F388" s="1">
        <f ca="1">IFERROR(__xludf.DUMMYFUNCTION("""COMPUTED_VALUE"""),32024385)</f>
        <v>32024385</v>
      </c>
    </row>
    <row r="389" spans="1:6" x14ac:dyDescent="0.35">
      <c r="A389" s="2">
        <f ca="1">IFERROR(__xludf.DUMMYFUNCTION("""COMPUTED_VALUE"""),42569.6666666666)</f>
        <v>42569.666666666599</v>
      </c>
      <c r="B389" s="1">
        <f ca="1">IFERROR(__xludf.DUMMYFUNCTION("""COMPUTED_VALUE"""),53.7)</f>
        <v>53.7</v>
      </c>
      <c r="C389" s="1">
        <f ca="1">IFERROR(__xludf.DUMMYFUNCTION("""COMPUTED_VALUE"""),54.34)</f>
        <v>54.34</v>
      </c>
      <c r="D389" s="1">
        <f ca="1">IFERROR(__xludf.DUMMYFUNCTION("""COMPUTED_VALUE"""),53.55)</f>
        <v>53.55</v>
      </c>
      <c r="E389" s="1">
        <f ca="1">IFERROR(__xludf.DUMMYFUNCTION("""COMPUTED_VALUE"""),53.96)</f>
        <v>53.96</v>
      </c>
      <c r="F389" s="1">
        <f ca="1">IFERROR(__xludf.DUMMYFUNCTION("""COMPUTED_VALUE"""),31433864)</f>
        <v>31433864</v>
      </c>
    </row>
    <row r="390" spans="1:6" x14ac:dyDescent="0.35">
      <c r="A390" s="2">
        <f ca="1">IFERROR(__xludf.DUMMYFUNCTION("""COMPUTED_VALUE"""),42570.6666666666)</f>
        <v>42570.666666666599</v>
      </c>
      <c r="B390" s="1">
        <f ca="1">IFERROR(__xludf.DUMMYFUNCTION("""COMPUTED_VALUE"""),53.71)</f>
        <v>53.71</v>
      </c>
      <c r="C390" s="1">
        <f ca="1">IFERROR(__xludf.DUMMYFUNCTION("""COMPUTED_VALUE"""),53.9)</f>
        <v>53.9</v>
      </c>
      <c r="D390" s="1">
        <f ca="1">IFERROR(__xludf.DUMMYFUNCTION("""COMPUTED_VALUE"""),52.93)</f>
        <v>52.93</v>
      </c>
      <c r="E390" s="1">
        <f ca="1">IFERROR(__xludf.DUMMYFUNCTION("""COMPUTED_VALUE"""),53.09)</f>
        <v>53.09</v>
      </c>
      <c r="F390" s="1">
        <f ca="1">IFERROR(__xludf.DUMMYFUNCTION("""COMPUTED_VALUE"""),53336533)</f>
        <v>53336533</v>
      </c>
    </row>
    <row r="391" spans="1:6" x14ac:dyDescent="0.35">
      <c r="A391" s="2">
        <f ca="1">IFERROR(__xludf.DUMMYFUNCTION("""COMPUTED_VALUE"""),42571.6666666666)</f>
        <v>42571.666666666599</v>
      </c>
      <c r="B391" s="1">
        <f ca="1">IFERROR(__xludf.DUMMYFUNCTION("""COMPUTED_VALUE"""),56.15)</f>
        <v>56.15</v>
      </c>
      <c r="C391" s="1">
        <f ca="1">IFERROR(__xludf.DUMMYFUNCTION("""COMPUTED_VALUE"""),56.84)</f>
        <v>56.84</v>
      </c>
      <c r="D391" s="1">
        <f ca="1">IFERROR(__xludf.DUMMYFUNCTION("""COMPUTED_VALUE"""),55.53)</f>
        <v>55.53</v>
      </c>
      <c r="E391" s="1">
        <f ca="1">IFERROR(__xludf.DUMMYFUNCTION("""COMPUTED_VALUE"""),55.91)</f>
        <v>55.91</v>
      </c>
      <c r="F391" s="1">
        <f ca="1">IFERROR(__xludf.DUMMYFUNCTION("""COMPUTED_VALUE"""),89893301)</f>
        <v>89893301</v>
      </c>
    </row>
    <row r="392" spans="1:6" x14ac:dyDescent="0.35">
      <c r="A392" s="2">
        <f ca="1">IFERROR(__xludf.DUMMYFUNCTION("""COMPUTED_VALUE"""),42572.6666666666)</f>
        <v>42572.666666666599</v>
      </c>
      <c r="B392" s="1">
        <f ca="1">IFERROR(__xludf.DUMMYFUNCTION("""COMPUTED_VALUE"""),55.98)</f>
        <v>55.98</v>
      </c>
      <c r="C392" s="1">
        <f ca="1">IFERROR(__xludf.DUMMYFUNCTION("""COMPUTED_VALUE"""),56.23)</f>
        <v>56.23</v>
      </c>
      <c r="D392" s="1">
        <f ca="1">IFERROR(__xludf.DUMMYFUNCTION("""COMPUTED_VALUE"""),55.76)</f>
        <v>55.76</v>
      </c>
      <c r="E392" s="1">
        <f ca="1">IFERROR(__xludf.DUMMYFUNCTION("""COMPUTED_VALUE"""),55.8)</f>
        <v>55.8</v>
      </c>
      <c r="F392" s="1">
        <f ca="1">IFERROR(__xludf.DUMMYFUNCTION("""COMPUTED_VALUE"""),32776653)</f>
        <v>32776653</v>
      </c>
    </row>
    <row r="393" spans="1:6" x14ac:dyDescent="0.35">
      <c r="A393" s="2">
        <f ca="1">IFERROR(__xludf.DUMMYFUNCTION("""COMPUTED_VALUE"""),42573.6666666666)</f>
        <v>42573.666666666599</v>
      </c>
      <c r="B393" s="1">
        <f ca="1">IFERROR(__xludf.DUMMYFUNCTION("""COMPUTED_VALUE"""),56.08)</f>
        <v>56.08</v>
      </c>
      <c r="C393" s="1">
        <f ca="1">IFERROR(__xludf.DUMMYFUNCTION("""COMPUTED_VALUE"""),56.63)</f>
        <v>56.63</v>
      </c>
      <c r="D393" s="1">
        <f ca="1">IFERROR(__xludf.DUMMYFUNCTION("""COMPUTED_VALUE"""),55.78)</f>
        <v>55.78</v>
      </c>
      <c r="E393" s="1">
        <f ca="1">IFERROR(__xludf.DUMMYFUNCTION("""COMPUTED_VALUE"""),56.57)</f>
        <v>56.57</v>
      </c>
      <c r="F393" s="1">
        <f ca="1">IFERROR(__xludf.DUMMYFUNCTION("""COMPUTED_VALUE"""),32157167)</f>
        <v>32157167</v>
      </c>
    </row>
    <row r="394" spans="1:6" x14ac:dyDescent="0.35">
      <c r="A394" s="2">
        <f ca="1">IFERROR(__xludf.DUMMYFUNCTION("""COMPUTED_VALUE"""),42576.6666666666)</f>
        <v>42576.666666666599</v>
      </c>
      <c r="B394" s="1">
        <f ca="1">IFERROR(__xludf.DUMMYFUNCTION("""COMPUTED_VALUE"""),56.47)</f>
        <v>56.47</v>
      </c>
      <c r="C394" s="1">
        <f ca="1">IFERROR(__xludf.DUMMYFUNCTION("""COMPUTED_VALUE"""),56.74)</f>
        <v>56.74</v>
      </c>
      <c r="D394" s="1">
        <f ca="1">IFERROR(__xludf.DUMMYFUNCTION("""COMPUTED_VALUE"""),56.26)</f>
        <v>56.26</v>
      </c>
      <c r="E394" s="1">
        <f ca="1">IFERROR(__xludf.DUMMYFUNCTION("""COMPUTED_VALUE"""),56.73)</f>
        <v>56.73</v>
      </c>
      <c r="F394" s="1">
        <f ca="1">IFERROR(__xludf.DUMMYFUNCTION("""COMPUTED_VALUE"""),25610587)</f>
        <v>25610587</v>
      </c>
    </row>
    <row r="395" spans="1:6" x14ac:dyDescent="0.35">
      <c r="A395" s="2">
        <f ca="1">IFERROR(__xludf.DUMMYFUNCTION("""COMPUTED_VALUE"""),42577.6666666666)</f>
        <v>42577.666666666599</v>
      </c>
      <c r="B395" s="1">
        <f ca="1">IFERROR(__xludf.DUMMYFUNCTION("""COMPUTED_VALUE"""),56.52)</f>
        <v>56.52</v>
      </c>
      <c r="C395" s="1">
        <f ca="1">IFERROR(__xludf.DUMMYFUNCTION("""COMPUTED_VALUE"""),57.29)</f>
        <v>57.29</v>
      </c>
      <c r="D395" s="1">
        <f ca="1">IFERROR(__xludf.DUMMYFUNCTION("""COMPUTED_VALUE"""),56.51)</f>
        <v>56.51</v>
      </c>
      <c r="E395" s="1">
        <f ca="1">IFERROR(__xludf.DUMMYFUNCTION("""COMPUTED_VALUE"""),56.76)</f>
        <v>56.76</v>
      </c>
      <c r="F395" s="1">
        <f ca="1">IFERROR(__xludf.DUMMYFUNCTION("""COMPUTED_VALUE"""),28078995)</f>
        <v>28078995</v>
      </c>
    </row>
    <row r="396" spans="1:6" x14ac:dyDescent="0.35">
      <c r="A396" s="2">
        <f ca="1">IFERROR(__xludf.DUMMYFUNCTION("""COMPUTED_VALUE"""),42578.6666666666)</f>
        <v>42578.666666666599</v>
      </c>
      <c r="B396" s="1">
        <f ca="1">IFERROR(__xludf.DUMMYFUNCTION("""COMPUTED_VALUE"""),56.61)</f>
        <v>56.61</v>
      </c>
      <c r="C396" s="1">
        <f ca="1">IFERROR(__xludf.DUMMYFUNCTION("""COMPUTED_VALUE"""),56.8)</f>
        <v>56.8</v>
      </c>
      <c r="D396" s="1">
        <f ca="1">IFERROR(__xludf.DUMMYFUNCTION("""COMPUTED_VALUE"""),56.11)</f>
        <v>56.11</v>
      </c>
      <c r="E396" s="1">
        <f ca="1">IFERROR(__xludf.DUMMYFUNCTION("""COMPUTED_VALUE"""),56.19)</f>
        <v>56.19</v>
      </c>
      <c r="F396" s="1">
        <f ca="1">IFERROR(__xludf.DUMMYFUNCTION("""COMPUTED_VALUE"""),32327477)</f>
        <v>32327477</v>
      </c>
    </row>
    <row r="397" spans="1:6" x14ac:dyDescent="0.35">
      <c r="A397" s="2">
        <f ca="1">IFERROR(__xludf.DUMMYFUNCTION("""COMPUTED_VALUE"""),42579.6666666666)</f>
        <v>42579.666666666599</v>
      </c>
      <c r="B397" s="1">
        <f ca="1">IFERROR(__xludf.DUMMYFUNCTION("""COMPUTED_VALUE"""),56)</f>
        <v>56</v>
      </c>
      <c r="C397" s="1">
        <f ca="1">IFERROR(__xludf.DUMMYFUNCTION("""COMPUTED_VALUE"""),56.37)</f>
        <v>56.37</v>
      </c>
      <c r="D397" s="1">
        <f ca="1">IFERROR(__xludf.DUMMYFUNCTION("""COMPUTED_VALUE"""),55.72)</f>
        <v>55.72</v>
      </c>
      <c r="E397" s="1">
        <f ca="1">IFERROR(__xludf.DUMMYFUNCTION("""COMPUTED_VALUE"""),56.21)</f>
        <v>56.21</v>
      </c>
      <c r="F397" s="1">
        <f ca="1">IFERROR(__xludf.DUMMYFUNCTION("""COMPUTED_VALUE"""),37550411)</f>
        <v>37550411</v>
      </c>
    </row>
    <row r="398" spans="1:6" x14ac:dyDescent="0.35">
      <c r="A398" s="2">
        <f ca="1">IFERROR(__xludf.DUMMYFUNCTION("""COMPUTED_VALUE"""),42580.6666666666)</f>
        <v>42580.666666666599</v>
      </c>
      <c r="B398" s="1">
        <f ca="1">IFERROR(__xludf.DUMMYFUNCTION("""COMPUTED_VALUE"""),56.26)</f>
        <v>56.26</v>
      </c>
      <c r="C398" s="1">
        <f ca="1">IFERROR(__xludf.DUMMYFUNCTION("""COMPUTED_VALUE"""),56.76)</f>
        <v>56.76</v>
      </c>
      <c r="D398" s="1">
        <f ca="1">IFERROR(__xludf.DUMMYFUNCTION("""COMPUTED_VALUE"""),56.05)</f>
        <v>56.05</v>
      </c>
      <c r="E398" s="1">
        <f ca="1">IFERROR(__xludf.DUMMYFUNCTION("""COMPUTED_VALUE"""),56.68)</f>
        <v>56.68</v>
      </c>
      <c r="F398" s="1">
        <f ca="1">IFERROR(__xludf.DUMMYFUNCTION("""COMPUTED_VALUE"""),30558718)</f>
        <v>30558718</v>
      </c>
    </row>
    <row r="399" spans="1:6" x14ac:dyDescent="0.35">
      <c r="A399" s="2">
        <f ca="1">IFERROR(__xludf.DUMMYFUNCTION("""COMPUTED_VALUE"""),42583.6666666666)</f>
        <v>42583.666666666599</v>
      </c>
      <c r="B399" s="1">
        <f ca="1">IFERROR(__xludf.DUMMYFUNCTION("""COMPUTED_VALUE"""),56.6)</f>
        <v>56.6</v>
      </c>
      <c r="C399" s="1">
        <f ca="1">IFERROR(__xludf.DUMMYFUNCTION("""COMPUTED_VALUE"""),56.75)</f>
        <v>56.75</v>
      </c>
      <c r="D399" s="1">
        <f ca="1">IFERROR(__xludf.DUMMYFUNCTION("""COMPUTED_VALUE"""),56.14)</f>
        <v>56.14</v>
      </c>
      <c r="E399" s="1">
        <f ca="1">IFERROR(__xludf.DUMMYFUNCTION("""COMPUTED_VALUE"""),56.58)</f>
        <v>56.58</v>
      </c>
      <c r="F399" s="1">
        <f ca="1">IFERROR(__xludf.DUMMYFUNCTION("""COMPUTED_VALUE"""),26003419)</f>
        <v>26003419</v>
      </c>
    </row>
    <row r="400" spans="1:6" x14ac:dyDescent="0.35">
      <c r="A400" s="2">
        <f ca="1">IFERROR(__xludf.DUMMYFUNCTION("""COMPUTED_VALUE"""),42584.6666666666)</f>
        <v>42584.666666666599</v>
      </c>
      <c r="B400" s="1">
        <f ca="1">IFERROR(__xludf.DUMMYFUNCTION("""COMPUTED_VALUE"""),56.85)</f>
        <v>56.85</v>
      </c>
      <c r="C400" s="1">
        <f ca="1">IFERROR(__xludf.DUMMYFUNCTION("""COMPUTED_VALUE"""),56.9)</f>
        <v>56.9</v>
      </c>
      <c r="D400" s="1">
        <f ca="1">IFERROR(__xludf.DUMMYFUNCTION("""COMPUTED_VALUE"""),56.31)</f>
        <v>56.31</v>
      </c>
      <c r="E400" s="1">
        <f ca="1">IFERROR(__xludf.DUMMYFUNCTION("""COMPUTED_VALUE"""),56.58)</f>
        <v>56.58</v>
      </c>
      <c r="F400" s="1">
        <f ca="1">IFERROR(__xludf.DUMMYFUNCTION("""COMPUTED_VALUE"""),35121958)</f>
        <v>35121958</v>
      </c>
    </row>
    <row r="401" spans="1:6" x14ac:dyDescent="0.35">
      <c r="A401" s="2">
        <f ca="1">IFERROR(__xludf.DUMMYFUNCTION("""COMPUTED_VALUE"""),42585.6666666666)</f>
        <v>42585.666666666599</v>
      </c>
      <c r="B401" s="1">
        <f ca="1">IFERROR(__xludf.DUMMYFUNCTION("""COMPUTED_VALUE"""),56.68)</f>
        <v>56.68</v>
      </c>
      <c r="C401" s="1">
        <f ca="1">IFERROR(__xludf.DUMMYFUNCTION("""COMPUTED_VALUE"""),57.11)</f>
        <v>57.11</v>
      </c>
      <c r="D401" s="1">
        <f ca="1">IFERROR(__xludf.DUMMYFUNCTION("""COMPUTED_VALUE"""),56.49)</f>
        <v>56.49</v>
      </c>
      <c r="E401" s="1">
        <f ca="1">IFERROR(__xludf.DUMMYFUNCTION("""COMPUTED_VALUE"""),56.97)</f>
        <v>56.97</v>
      </c>
      <c r="F401" s="1">
        <f ca="1">IFERROR(__xludf.DUMMYFUNCTION("""COMPUTED_VALUE"""),22075616)</f>
        <v>22075616</v>
      </c>
    </row>
    <row r="402" spans="1:6" x14ac:dyDescent="0.35">
      <c r="A402" s="2">
        <f ca="1">IFERROR(__xludf.DUMMYFUNCTION("""COMPUTED_VALUE"""),42586.6666666666)</f>
        <v>42586.666666666599</v>
      </c>
      <c r="B402" s="1">
        <f ca="1">IFERROR(__xludf.DUMMYFUNCTION("""COMPUTED_VALUE"""),56.8)</f>
        <v>56.8</v>
      </c>
      <c r="C402" s="1">
        <f ca="1">IFERROR(__xludf.DUMMYFUNCTION("""COMPUTED_VALUE"""),57.52)</f>
        <v>57.52</v>
      </c>
      <c r="D402" s="1">
        <f ca="1">IFERROR(__xludf.DUMMYFUNCTION("""COMPUTED_VALUE"""),56.67)</f>
        <v>56.67</v>
      </c>
      <c r="E402" s="1">
        <f ca="1">IFERROR(__xludf.DUMMYFUNCTION("""COMPUTED_VALUE"""),57.39)</f>
        <v>57.39</v>
      </c>
      <c r="F402" s="1">
        <f ca="1">IFERROR(__xludf.DUMMYFUNCTION("""COMPUTED_VALUE"""),26587749)</f>
        <v>26587749</v>
      </c>
    </row>
    <row r="403" spans="1:6" x14ac:dyDescent="0.35">
      <c r="A403" s="2">
        <f ca="1">IFERROR(__xludf.DUMMYFUNCTION("""COMPUTED_VALUE"""),42587.6666666666)</f>
        <v>42587.666666666599</v>
      </c>
      <c r="B403" s="1">
        <f ca="1">IFERROR(__xludf.DUMMYFUNCTION("""COMPUTED_VALUE"""),57.65)</f>
        <v>57.65</v>
      </c>
      <c r="C403" s="1">
        <f ca="1">IFERROR(__xludf.DUMMYFUNCTION("""COMPUTED_VALUE"""),58.21)</f>
        <v>58.21</v>
      </c>
      <c r="D403" s="1">
        <f ca="1">IFERROR(__xludf.DUMMYFUNCTION("""COMPUTED_VALUE"""),57.45)</f>
        <v>57.45</v>
      </c>
      <c r="E403" s="1">
        <f ca="1">IFERROR(__xludf.DUMMYFUNCTION("""COMPUTED_VALUE"""),57.96)</f>
        <v>57.96</v>
      </c>
      <c r="F403" s="1">
        <f ca="1">IFERROR(__xludf.DUMMYFUNCTION("""COMPUTED_VALUE"""),29335221)</f>
        <v>29335221</v>
      </c>
    </row>
    <row r="404" spans="1:6" x14ac:dyDescent="0.35">
      <c r="A404" s="2">
        <f ca="1">IFERROR(__xludf.DUMMYFUNCTION("""COMPUTED_VALUE"""),42590.6666666666)</f>
        <v>42590.666666666599</v>
      </c>
      <c r="B404" s="1">
        <f ca="1">IFERROR(__xludf.DUMMYFUNCTION("""COMPUTED_VALUE"""),58.06)</f>
        <v>58.06</v>
      </c>
      <c r="C404" s="1">
        <f ca="1">IFERROR(__xludf.DUMMYFUNCTION("""COMPUTED_VALUE"""),58.09)</f>
        <v>58.09</v>
      </c>
      <c r="D404" s="1">
        <f ca="1">IFERROR(__xludf.DUMMYFUNCTION("""COMPUTED_VALUE"""),57.78)</f>
        <v>57.78</v>
      </c>
      <c r="E404" s="1">
        <f ca="1">IFERROR(__xludf.DUMMYFUNCTION("""COMPUTED_VALUE"""),58.06)</f>
        <v>58.06</v>
      </c>
      <c r="F404" s="1">
        <f ca="1">IFERROR(__xludf.DUMMYFUNCTION("""COMPUTED_VALUE"""),19473499)</f>
        <v>19473499</v>
      </c>
    </row>
    <row r="405" spans="1:6" x14ac:dyDescent="0.35">
      <c r="A405" s="2">
        <f ca="1">IFERROR(__xludf.DUMMYFUNCTION("""COMPUTED_VALUE"""),42591.6666666666)</f>
        <v>42591.666666666599</v>
      </c>
      <c r="B405" s="1">
        <f ca="1">IFERROR(__xludf.DUMMYFUNCTION("""COMPUTED_VALUE"""),58.17)</f>
        <v>58.17</v>
      </c>
      <c r="C405" s="1">
        <f ca="1">IFERROR(__xludf.DUMMYFUNCTION("""COMPUTED_VALUE"""),58.5)</f>
        <v>58.5</v>
      </c>
      <c r="D405" s="1">
        <f ca="1">IFERROR(__xludf.DUMMYFUNCTION("""COMPUTED_VALUE"""),58.02)</f>
        <v>58.02</v>
      </c>
      <c r="E405" s="1">
        <f ca="1">IFERROR(__xludf.DUMMYFUNCTION("""COMPUTED_VALUE"""),58.2)</f>
        <v>58.2</v>
      </c>
      <c r="F405" s="1">
        <f ca="1">IFERROR(__xludf.DUMMYFUNCTION("""COMPUTED_VALUE"""),16920721)</f>
        <v>16920721</v>
      </c>
    </row>
    <row r="406" spans="1:6" x14ac:dyDescent="0.35">
      <c r="A406" s="2">
        <f ca="1">IFERROR(__xludf.DUMMYFUNCTION("""COMPUTED_VALUE"""),42592.6666666666)</f>
        <v>42592.666666666599</v>
      </c>
      <c r="B406" s="1">
        <f ca="1">IFERROR(__xludf.DUMMYFUNCTION("""COMPUTED_VALUE"""),58.16)</f>
        <v>58.16</v>
      </c>
      <c r="C406" s="1">
        <f ca="1">IFERROR(__xludf.DUMMYFUNCTION("""COMPUTED_VALUE"""),58.32)</f>
        <v>58.32</v>
      </c>
      <c r="D406" s="1">
        <f ca="1">IFERROR(__xludf.DUMMYFUNCTION("""COMPUTED_VALUE"""),57.82)</f>
        <v>57.82</v>
      </c>
      <c r="E406" s="1">
        <f ca="1">IFERROR(__xludf.DUMMYFUNCTION("""COMPUTED_VALUE"""),58.02)</f>
        <v>58.02</v>
      </c>
      <c r="F406" s="1">
        <f ca="1">IFERROR(__xludf.DUMMYFUNCTION("""COMPUTED_VALUE"""),15756913)</f>
        <v>15756913</v>
      </c>
    </row>
    <row r="407" spans="1:6" x14ac:dyDescent="0.35">
      <c r="A407" s="2">
        <f ca="1">IFERROR(__xludf.DUMMYFUNCTION("""COMPUTED_VALUE"""),42593.6666666666)</f>
        <v>42593.666666666599</v>
      </c>
      <c r="B407" s="1">
        <f ca="1">IFERROR(__xludf.DUMMYFUNCTION("""COMPUTED_VALUE"""),58.03)</f>
        <v>58.03</v>
      </c>
      <c r="C407" s="1">
        <f ca="1">IFERROR(__xludf.DUMMYFUNCTION("""COMPUTED_VALUE"""),58.45)</f>
        <v>58.45</v>
      </c>
      <c r="D407" s="1">
        <f ca="1">IFERROR(__xludf.DUMMYFUNCTION("""COMPUTED_VALUE"""),58.03)</f>
        <v>58.03</v>
      </c>
      <c r="E407" s="1">
        <f ca="1">IFERROR(__xludf.DUMMYFUNCTION("""COMPUTED_VALUE"""),58.3)</f>
        <v>58.3</v>
      </c>
      <c r="F407" s="1">
        <f ca="1">IFERROR(__xludf.DUMMYFUNCTION("""COMPUTED_VALUE"""),18162301)</f>
        <v>18162301</v>
      </c>
    </row>
    <row r="408" spans="1:6" x14ac:dyDescent="0.35">
      <c r="A408" s="2">
        <f ca="1">IFERROR(__xludf.DUMMYFUNCTION("""COMPUTED_VALUE"""),42594.6666666666)</f>
        <v>42594.666666666599</v>
      </c>
      <c r="B408" s="1">
        <f ca="1">IFERROR(__xludf.DUMMYFUNCTION("""COMPUTED_VALUE"""),58.03)</f>
        <v>58.03</v>
      </c>
      <c r="C408" s="1">
        <f ca="1">IFERROR(__xludf.DUMMYFUNCTION("""COMPUTED_VALUE"""),58.19)</f>
        <v>58.19</v>
      </c>
      <c r="D408" s="1">
        <f ca="1">IFERROR(__xludf.DUMMYFUNCTION("""COMPUTED_VALUE"""),57.62)</f>
        <v>57.62</v>
      </c>
      <c r="E408" s="1">
        <f ca="1">IFERROR(__xludf.DUMMYFUNCTION("""COMPUTED_VALUE"""),57.94)</f>
        <v>57.94</v>
      </c>
      <c r="F408" s="1">
        <f ca="1">IFERROR(__xludf.DUMMYFUNCTION("""COMPUTED_VALUE"""),21655161)</f>
        <v>21655161</v>
      </c>
    </row>
    <row r="409" spans="1:6" x14ac:dyDescent="0.35">
      <c r="A409" s="2">
        <f ca="1">IFERROR(__xludf.DUMMYFUNCTION("""COMPUTED_VALUE"""),42597.6666666666)</f>
        <v>42597.666666666599</v>
      </c>
      <c r="B409" s="1">
        <f ca="1">IFERROR(__xludf.DUMMYFUNCTION("""COMPUTED_VALUE"""),58.01)</f>
        <v>58.01</v>
      </c>
      <c r="C409" s="1">
        <f ca="1">IFERROR(__xludf.DUMMYFUNCTION("""COMPUTED_VALUE"""),58.5)</f>
        <v>58.5</v>
      </c>
      <c r="D409" s="1">
        <f ca="1">IFERROR(__xludf.DUMMYFUNCTION("""COMPUTED_VALUE"""),57.96)</f>
        <v>57.96</v>
      </c>
      <c r="E409" s="1">
        <f ca="1">IFERROR(__xludf.DUMMYFUNCTION("""COMPUTED_VALUE"""),58.12)</f>
        <v>58.12</v>
      </c>
      <c r="F409" s="1">
        <f ca="1">IFERROR(__xludf.DUMMYFUNCTION("""COMPUTED_VALUE"""),19283902)</f>
        <v>19283902</v>
      </c>
    </row>
    <row r="410" spans="1:6" x14ac:dyDescent="0.35">
      <c r="A410" s="2">
        <f ca="1">IFERROR(__xludf.DUMMYFUNCTION("""COMPUTED_VALUE"""),42598.6666666666)</f>
        <v>42598.666666666599</v>
      </c>
      <c r="B410" s="1">
        <f ca="1">IFERROR(__xludf.DUMMYFUNCTION("""COMPUTED_VALUE"""),57.61)</f>
        <v>57.61</v>
      </c>
      <c r="C410" s="1">
        <f ca="1">IFERROR(__xludf.DUMMYFUNCTION("""COMPUTED_VALUE"""),57.62)</f>
        <v>57.62</v>
      </c>
      <c r="D410" s="1">
        <f ca="1">IFERROR(__xludf.DUMMYFUNCTION("""COMPUTED_VALUE"""),57.27)</f>
        <v>57.27</v>
      </c>
      <c r="E410" s="1">
        <f ca="1">IFERROR(__xludf.DUMMYFUNCTION("""COMPUTED_VALUE"""),57.44)</f>
        <v>57.44</v>
      </c>
      <c r="F410" s="1">
        <f ca="1">IFERROR(__xludf.DUMMYFUNCTION("""COMPUTED_VALUE"""),20523493)</f>
        <v>20523493</v>
      </c>
    </row>
    <row r="411" spans="1:6" x14ac:dyDescent="0.35">
      <c r="A411" s="2">
        <f ca="1">IFERROR(__xludf.DUMMYFUNCTION("""COMPUTED_VALUE"""),42599.6666666666)</f>
        <v>42599.666666666599</v>
      </c>
      <c r="B411" s="1">
        <f ca="1">IFERROR(__xludf.DUMMYFUNCTION("""COMPUTED_VALUE"""),57.54)</f>
        <v>57.54</v>
      </c>
      <c r="C411" s="1">
        <f ca="1">IFERROR(__xludf.DUMMYFUNCTION("""COMPUTED_VALUE"""),57.68)</f>
        <v>57.68</v>
      </c>
      <c r="D411" s="1">
        <f ca="1">IFERROR(__xludf.DUMMYFUNCTION("""COMPUTED_VALUE"""),57.23)</f>
        <v>57.23</v>
      </c>
      <c r="E411" s="1">
        <f ca="1">IFERROR(__xludf.DUMMYFUNCTION("""COMPUTED_VALUE"""),57.56)</f>
        <v>57.56</v>
      </c>
      <c r="F411" s="1">
        <f ca="1">IFERROR(__xludf.DUMMYFUNCTION("""COMPUTED_VALUE"""),18856423)</f>
        <v>18856423</v>
      </c>
    </row>
    <row r="412" spans="1:6" x14ac:dyDescent="0.35">
      <c r="A412" s="2">
        <f ca="1">IFERROR(__xludf.DUMMYFUNCTION("""COMPUTED_VALUE"""),42600.6666666666)</f>
        <v>42600.666666666599</v>
      </c>
      <c r="B412" s="1">
        <f ca="1">IFERROR(__xludf.DUMMYFUNCTION("""COMPUTED_VALUE"""),57.42)</f>
        <v>57.42</v>
      </c>
      <c r="C412" s="1">
        <f ca="1">IFERROR(__xludf.DUMMYFUNCTION("""COMPUTED_VALUE"""),57.7)</f>
        <v>57.7</v>
      </c>
      <c r="D412" s="1">
        <f ca="1">IFERROR(__xludf.DUMMYFUNCTION("""COMPUTED_VALUE"""),57.27)</f>
        <v>57.27</v>
      </c>
      <c r="E412" s="1">
        <f ca="1">IFERROR(__xludf.DUMMYFUNCTION("""COMPUTED_VALUE"""),57.6)</f>
        <v>57.6</v>
      </c>
      <c r="F412" s="1">
        <f ca="1">IFERROR(__xludf.DUMMYFUNCTION("""COMPUTED_VALUE"""),14214341)</f>
        <v>14214341</v>
      </c>
    </row>
    <row r="413" spans="1:6" x14ac:dyDescent="0.35">
      <c r="A413" s="2">
        <f ca="1">IFERROR(__xludf.DUMMYFUNCTION("""COMPUTED_VALUE"""),42601.6666666666)</f>
        <v>42601.666666666599</v>
      </c>
      <c r="B413" s="1">
        <f ca="1">IFERROR(__xludf.DUMMYFUNCTION("""COMPUTED_VALUE"""),57.43)</f>
        <v>57.43</v>
      </c>
      <c r="C413" s="1">
        <f ca="1">IFERROR(__xludf.DUMMYFUNCTION("""COMPUTED_VALUE"""),57.73)</f>
        <v>57.73</v>
      </c>
      <c r="D413" s="1">
        <f ca="1">IFERROR(__xludf.DUMMYFUNCTION("""COMPUTED_VALUE"""),57.2)</f>
        <v>57.2</v>
      </c>
      <c r="E413" s="1">
        <f ca="1">IFERROR(__xludf.DUMMYFUNCTION("""COMPUTED_VALUE"""),57.62)</f>
        <v>57.62</v>
      </c>
      <c r="F413" s="1">
        <f ca="1">IFERROR(__xludf.DUMMYFUNCTION("""COMPUTED_VALUE"""),17271044)</f>
        <v>17271044</v>
      </c>
    </row>
    <row r="414" spans="1:6" x14ac:dyDescent="0.35">
      <c r="A414" s="2">
        <f ca="1">IFERROR(__xludf.DUMMYFUNCTION("""COMPUTED_VALUE"""),42604.6666666666)</f>
        <v>42604.666666666599</v>
      </c>
      <c r="B414" s="1">
        <f ca="1">IFERROR(__xludf.DUMMYFUNCTION("""COMPUTED_VALUE"""),57.6)</f>
        <v>57.6</v>
      </c>
      <c r="C414" s="1">
        <f ca="1">IFERROR(__xludf.DUMMYFUNCTION("""COMPUTED_VALUE"""),57.75)</f>
        <v>57.75</v>
      </c>
      <c r="D414" s="1">
        <f ca="1">IFERROR(__xludf.DUMMYFUNCTION("""COMPUTED_VALUE"""),57.26)</f>
        <v>57.26</v>
      </c>
      <c r="E414" s="1">
        <f ca="1">IFERROR(__xludf.DUMMYFUNCTION("""COMPUTED_VALUE"""),57.67)</f>
        <v>57.67</v>
      </c>
      <c r="F414" s="1">
        <f ca="1">IFERROR(__xludf.DUMMYFUNCTION("""COMPUTED_VALUE"""),15221922)</f>
        <v>15221922</v>
      </c>
    </row>
    <row r="415" spans="1:6" x14ac:dyDescent="0.35">
      <c r="A415" s="2">
        <f ca="1">IFERROR(__xludf.DUMMYFUNCTION("""COMPUTED_VALUE"""),42605.6666666666)</f>
        <v>42605.666666666599</v>
      </c>
      <c r="B415" s="1">
        <f ca="1">IFERROR(__xludf.DUMMYFUNCTION("""COMPUTED_VALUE"""),57.9)</f>
        <v>57.9</v>
      </c>
      <c r="C415" s="1">
        <f ca="1">IFERROR(__xludf.DUMMYFUNCTION("""COMPUTED_VALUE"""),58.18)</f>
        <v>58.18</v>
      </c>
      <c r="D415" s="1">
        <f ca="1">IFERROR(__xludf.DUMMYFUNCTION("""COMPUTED_VALUE"""),57.85)</f>
        <v>57.85</v>
      </c>
      <c r="E415" s="1">
        <f ca="1">IFERROR(__xludf.DUMMYFUNCTION("""COMPUTED_VALUE"""),57.89)</f>
        <v>57.89</v>
      </c>
      <c r="F415" s="1">
        <f ca="1">IFERROR(__xludf.DUMMYFUNCTION("""COMPUTED_VALUE"""),18732373)</f>
        <v>18732373</v>
      </c>
    </row>
    <row r="416" spans="1:6" x14ac:dyDescent="0.35">
      <c r="A416" s="2">
        <f ca="1">IFERROR(__xludf.DUMMYFUNCTION("""COMPUTED_VALUE"""),42606.6666666666)</f>
        <v>42606.666666666599</v>
      </c>
      <c r="B416" s="1">
        <f ca="1">IFERROR(__xludf.DUMMYFUNCTION("""COMPUTED_VALUE"""),57.8)</f>
        <v>57.8</v>
      </c>
      <c r="C416" s="1">
        <f ca="1">IFERROR(__xludf.DUMMYFUNCTION("""COMPUTED_VALUE"""),58.04)</f>
        <v>58.04</v>
      </c>
      <c r="D416" s="1">
        <f ca="1">IFERROR(__xludf.DUMMYFUNCTION("""COMPUTED_VALUE"""),57.72)</f>
        <v>57.72</v>
      </c>
      <c r="E416" s="1">
        <f ca="1">IFERROR(__xludf.DUMMYFUNCTION("""COMPUTED_VALUE"""),57.95)</f>
        <v>57.95</v>
      </c>
      <c r="F416" s="1">
        <f ca="1">IFERROR(__xludf.DUMMYFUNCTION("""COMPUTED_VALUE"""),18151506)</f>
        <v>18151506</v>
      </c>
    </row>
    <row r="417" spans="1:6" x14ac:dyDescent="0.35">
      <c r="A417" s="2">
        <f ca="1">IFERROR(__xludf.DUMMYFUNCTION("""COMPUTED_VALUE"""),42607.6666666666)</f>
        <v>42607.666666666599</v>
      </c>
      <c r="B417" s="1">
        <f ca="1">IFERROR(__xludf.DUMMYFUNCTION("""COMPUTED_VALUE"""),57.88)</f>
        <v>57.88</v>
      </c>
      <c r="C417" s="1">
        <f ca="1">IFERROR(__xludf.DUMMYFUNCTION("""COMPUTED_VALUE"""),58.29)</f>
        <v>58.29</v>
      </c>
      <c r="D417" s="1">
        <f ca="1">IFERROR(__xludf.DUMMYFUNCTION("""COMPUTED_VALUE"""),57.78)</f>
        <v>57.78</v>
      </c>
      <c r="E417" s="1">
        <f ca="1">IFERROR(__xludf.DUMMYFUNCTION("""COMPUTED_VALUE"""),58.17)</f>
        <v>58.17</v>
      </c>
      <c r="F417" s="1">
        <f ca="1">IFERROR(__xludf.DUMMYFUNCTION("""COMPUTED_VALUE"""),18552579)</f>
        <v>18552579</v>
      </c>
    </row>
    <row r="418" spans="1:6" x14ac:dyDescent="0.35">
      <c r="A418" s="2">
        <f ca="1">IFERROR(__xludf.DUMMYFUNCTION("""COMPUTED_VALUE"""),42608.6666666666)</f>
        <v>42608.666666666599</v>
      </c>
      <c r="B418" s="1">
        <f ca="1">IFERROR(__xludf.DUMMYFUNCTION("""COMPUTED_VALUE"""),58.28)</f>
        <v>58.28</v>
      </c>
      <c r="C418" s="1">
        <f ca="1">IFERROR(__xludf.DUMMYFUNCTION("""COMPUTED_VALUE"""),58.7)</f>
        <v>58.7</v>
      </c>
      <c r="D418" s="1">
        <f ca="1">IFERROR(__xludf.DUMMYFUNCTION("""COMPUTED_VALUE"""),57.69)</f>
        <v>57.69</v>
      </c>
      <c r="E418" s="1">
        <f ca="1">IFERROR(__xludf.DUMMYFUNCTION("""COMPUTED_VALUE"""),58.03)</f>
        <v>58.03</v>
      </c>
      <c r="F418" s="1">
        <f ca="1">IFERROR(__xludf.DUMMYFUNCTION("""COMPUTED_VALUE"""),20971202)</f>
        <v>20971202</v>
      </c>
    </row>
    <row r="419" spans="1:6" x14ac:dyDescent="0.35">
      <c r="A419" s="2">
        <f ca="1">IFERROR(__xludf.DUMMYFUNCTION("""COMPUTED_VALUE"""),42611.6666666666)</f>
        <v>42611.666666666599</v>
      </c>
      <c r="B419" s="1">
        <f ca="1">IFERROR(__xludf.DUMMYFUNCTION("""COMPUTED_VALUE"""),58.18)</f>
        <v>58.18</v>
      </c>
      <c r="C419" s="1">
        <f ca="1">IFERROR(__xludf.DUMMYFUNCTION("""COMPUTED_VALUE"""),58.6)</f>
        <v>58.6</v>
      </c>
      <c r="D419" s="1">
        <f ca="1">IFERROR(__xludf.DUMMYFUNCTION("""COMPUTED_VALUE"""),58.1)</f>
        <v>58.1</v>
      </c>
      <c r="E419" s="1">
        <f ca="1">IFERROR(__xludf.DUMMYFUNCTION("""COMPUTED_VALUE"""),58.1)</f>
        <v>58.1</v>
      </c>
      <c r="F419" s="1">
        <f ca="1">IFERROR(__xludf.DUMMYFUNCTION("""COMPUTED_VALUE"""),16417207)</f>
        <v>16417207</v>
      </c>
    </row>
    <row r="420" spans="1:6" x14ac:dyDescent="0.35">
      <c r="A420" s="2">
        <f ca="1">IFERROR(__xludf.DUMMYFUNCTION("""COMPUTED_VALUE"""),42612.6666666666)</f>
        <v>42612.666666666599</v>
      </c>
      <c r="B420" s="1">
        <f ca="1">IFERROR(__xludf.DUMMYFUNCTION("""COMPUTED_VALUE"""),57.98)</f>
        <v>57.98</v>
      </c>
      <c r="C420" s="1">
        <f ca="1">IFERROR(__xludf.DUMMYFUNCTION("""COMPUTED_VALUE"""),58.19)</f>
        <v>58.19</v>
      </c>
      <c r="D420" s="1">
        <f ca="1">IFERROR(__xludf.DUMMYFUNCTION("""COMPUTED_VALUE"""),57.61)</f>
        <v>57.61</v>
      </c>
      <c r="E420" s="1">
        <f ca="1">IFERROR(__xludf.DUMMYFUNCTION("""COMPUTED_VALUE"""),57.89)</f>
        <v>57.89</v>
      </c>
      <c r="F420" s="1">
        <f ca="1">IFERROR(__xludf.DUMMYFUNCTION("""COMPUTED_VALUE"""),16930185)</f>
        <v>16930185</v>
      </c>
    </row>
    <row r="421" spans="1:6" x14ac:dyDescent="0.35">
      <c r="A421" s="2">
        <f ca="1">IFERROR(__xludf.DUMMYFUNCTION("""COMPUTED_VALUE"""),42613.6666666666)</f>
        <v>42613.666666666599</v>
      </c>
      <c r="B421" s="1">
        <f ca="1">IFERROR(__xludf.DUMMYFUNCTION("""COMPUTED_VALUE"""),57.65)</f>
        <v>57.65</v>
      </c>
      <c r="C421" s="1">
        <f ca="1">IFERROR(__xludf.DUMMYFUNCTION("""COMPUTED_VALUE"""),57.8)</f>
        <v>57.8</v>
      </c>
      <c r="D421" s="1">
        <f ca="1">IFERROR(__xludf.DUMMYFUNCTION("""COMPUTED_VALUE"""),57.3)</f>
        <v>57.3</v>
      </c>
      <c r="E421" s="1">
        <f ca="1">IFERROR(__xludf.DUMMYFUNCTION("""COMPUTED_VALUE"""),57.46)</f>
        <v>57.46</v>
      </c>
      <c r="F421" s="1">
        <f ca="1">IFERROR(__xludf.DUMMYFUNCTION("""COMPUTED_VALUE"""),20860269)</f>
        <v>20860269</v>
      </c>
    </row>
    <row r="422" spans="1:6" x14ac:dyDescent="0.35">
      <c r="A422" s="2">
        <f ca="1">IFERROR(__xludf.DUMMYFUNCTION("""COMPUTED_VALUE"""),42614.6666666666)</f>
        <v>42614.666666666599</v>
      </c>
      <c r="B422" s="1">
        <f ca="1">IFERROR(__xludf.DUMMYFUNCTION("""COMPUTED_VALUE"""),57.01)</f>
        <v>57.01</v>
      </c>
      <c r="C422" s="1">
        <f ca="1">IFERROR(__xludf.DUMMYFUNCTION("""COMPUTED_VALUE"""),57.82)</f>
        <v>57.82</v>
      </c>
      <c r="D422" s="1">
        <f ca="1">IFERROR(__xludf.DUMMYFUNCTION("""COMPUTED_VALUE"""),57.01)</f>
        <v>57.01</v>
      </c>
      <c r="E422" s="1">
        <f ca="1">IFERROR(__xludf.DUMMYFUNCTION("""COMPUTED_VALUE"""),57.59)</f>
        <v>57.59</v>
      </c>
      <c r="F422" s="1">
        <f ca="1">IFERROR(__xludf.DUMMYFUNCTION("""COMPUTED_VALUE"""),26075363)</f>
        <v>26075363</v>
      </c>
    </row>
    <row r="423" spans="1:6" x14ac:dyDescent="0.35">
      <c r="A423" s="2">
        <f ca="1">IFERROR(__xludf.DUMMYFUNCTION("""COMPUTED_VALUE"""),42615.6666666666)</f>
        <v>42615.666666666599</v>
      </c>
      <c r="B423" s="1">
        <f ca="1">IFERROR(__xludf.DUMMYFUNCTION("""COMPUTED_VALUE"""),57.67)</f>
        <v>57.67</v>
      </c>
      <c r="C423" s="1">
        <f ca="1">IFERROR(__xludf.DUMMYFUNCTION("""COMPUTED_VALUE"""),58.19)</f>
        <v>58.19</v>
      </c>
      <c r="D423" s="1">
        <f ca="1">IFERROR(__xludf.DUMMYFUNCTION("""COMPUTED_VALUE"""),57.42)</f>
        <v>57.42</v>
      </c>
      <c r="E423" s="1">
        <f ca="1">IFERROR(__xludf.DUMMYFUNCTION("""COMPUTED_VALUE"""),57.67)</f>
        <v>57.67</v>
      </c>
      <c r="F423" s="1">
        <f ca="1">IFERROR(__xludf.DUMMYFUNCTION("""COMPUTED_VALUE"""),18900489)</f>
        <v>18900489</v>
      </c>
    </row>
    <row r="424" spans="1:6" x14ac:dyDescent="0.35">
      <c r="A424" s="2">
        <f ca="1">IFERROR(__xludf.DUMMYFUNCTION("""COMPUTED_VALUE"""),42619.6666666666)</f>
        <v>42619.666666666599</v>
      </c>
      <c r="B424" s="1">
        <f ca="1">IFERROR(__xludf.DUMMYFUNCTION("""COMPUTED_VALUE"""),57.78)</f>
        <v>57.78</v>
      </c>
      <c r="C424" s="1">
        <f ca="1">IFERROR(__xludf.DUMMYFUNCTION("""COMPUTED_VALUE"""),57.8)</f>
        <v>57.8</v>
      </c>
      <c r="D424" s="1">
        <f ca="1">IFERROR(__xludf.DUMMYFUNCTION("""COMPUTED_VALUE"""),57.21)</f>
        <v>57.21</v>
      </c>
      <c r="E424" s="1">
        <f ca="1">IFERROR(__xludf.DUMMYFUNCTION("""COMPUTED_VALUE"""),57.61)</f>
        <v>57.61</v>
      </c>
      <c r="F424" s="1">
        <f ca="1">IFERROR(__xludf.DUMMYFUNCTION("""COMPUTED_VALUE"""),16278416)</f>
        <v>16278416</v>
      </c>
    </row>
    <row r="425" spans="1:6" x14ac:dyDescent="0.35">
      <c r="A425" s="2">
        <f ca="1">IFERROR(__xludf.DUMMYFUNCTION("""COMPUTED_VALUE"""),42620.6666666666)</f>
        <v>42620.666666666599</v>
      </c>
      <c r="B425" s="1">
        <f ca="1">IFERROR(__xludf.DUMMYFUNCTION("""COMPUTED_VALUE"""),57.47)</f>
        <v>57.47</v>
      </c>
      <c r="C425" s="1">
        <f ca="1">IFERROR(__xludf.DUMMYFUNCTION("""COMPUTED_VALUE"""),57.84)</f>
        <v>57.84</v>
      </c>
      <c r="D425" s="1">
        <f ca="1">IFERROR(__xludf.DUMMYFUNCTION("""COMPUTED_VALUE"""),57.41)</f>
        <v>57.41</v>
      </c>
      <c r="E425" s="1">
        <f ca="1">IFERROR(__xludf.DUMMYFUNCTION("""COMPUTED_VALUE"""),57.66)</f>
        <v>57.66</v>
      </c>
      <c r="F425" s="1">
        <f ca="1">IFERROR(__xludf.DUMMYFUNCTION("""COMPUTED_VALUE"""),17493359)</f>
        <v>17493359</v>
      </c>
    </row>
    <row r="426" spans="1:6" x14ac:dyDescent="0.35">
      <c r="A426" s="2">
        <f ca="1">IFERROR(__xludf.DUMMYFUNCTION("""COMPUTED_VALUE"""),42621.6666666666)</f>
        <v>42621.666666666599</v>
      </c>
      <c r="B426" s="1">
        <f ca="1">IFERROR(__xludf.DUMMYFUNCTION("""COMPUTED_VALUE"""),57.63)</f>
        <v>57.63</v>
      </c>
      <c r="C426" s="1">
        <f ca="1">IFERROR(__xludf.DUMMYFUNCTION("""COMPUTED_VALUE"""),57.79)</f>
        <v>57.79</v>
      </c>
      <c r="D426" s="1">
        <f ca="1">IFERROR(__xludf.DUMMYFUNCTION("""COMPUTED_VALUE"""),57.18)</f>
        <v>57.18</v>
      </c>
      <c r="E426" s="1">
        <f ca="1">IFERROR(__xludf.DUMMYFUNCTION("""COMPUTED_VALUE"""),57.43)</f>
        <v>57.43</v>
      </c>
      <c r="F426" s="1">
        <f ca="1">IFERROR(__xludf.DUMMYFUNCTION("""COMPUTED_VALUE"""),20146083)</f>
        <v>20146083</v>
      </c>
    </row>
    <row r="427" spans="1:6" x14ac:dyDescent="0.35">
      <c r="A427" s="2">
        <f ca="1">IFERROR(__xludf.DUMMYFUNCTION("""COMPUTED_VALUE"""),42622.6666666666)</f>
        <v>42622.666666666599</v>
      </c>
      <c r="B427" s="1">
        <f ca="1">IFERROR(__xludf.DUMMYFUNCTION("""COMPUTED_VALUE"""),56.79)</f>
        <v>56.79</v>
      </c>
      <c r="C427" s="1">
        <f ca="1">IFERROR(__xludf.DUMMYFUNCTION("""COMPUTED_VALUE"""),57.52)</f>
        <v>57.52</v>
      </c>
      <c r="D427" s="1">
        <f ca="1">IFERROR(__xludf.DUMMYFUNCTION("""COMPUTED_VALUE"""),56.21)</f>
        <v>56.21</v>
      </c>
      <c r="E427" s="1">
        <f ca="1">IFERROR(__xludf.DUMMYFUNCTION("""COMPUTED_VALUE"""),56.21)</f>
        <v>56.21</v>
      </c>
      <c r="F427" s="1">
        <f ca="1">IFERROR(__xludf.DUMMYFUNCTION("""COMPUTED_VALUE"""),35113934)</f>
        <v>35113934</v>
      </c>
    </row>
    <row r="428" spans="1:6" x14ac:dyDescent="0.35">
      <c r="A428" s="2">
        <f ca="1">IFERROR(__xludf.DUMMYFUNCTION("""COMPUTED_VALUE"""),42625.6666666666)</f>
        <v>42625.666666666599</v>
      </c>
      <c r="B428" s="1">
        <f ca="1">IFERROR(__xludf.DUMMYFUNCTION("""COMPUTED_VALUE"""),56)</f>
        <v>56</v>
      </c>
      <c r="C428" s="1">
        <f ca="1">IFERROR(__xludf.DUMMYFUNCTION("""COMPUTED_VALUE"""),57.21)</f>
        <v>57.21</v>
      </c>
      <c r="D428" s="1">
        <f ca="1">IFERROR(__xludf.DUMMYFUNCTION("""COMPUTED_VALUE"""),55.61)</f>
        <v>55.61</v>
      </c>
      <c r="E428" s="1">
        <f ca="1">IFERROR(__xludf.DUMMYFUNCTION("""COMPUTED_VALUE"""),57.05)</f>
        <v>57.05</v>
      </c>
      <c r="F428" s="1">
        <f ca="1">IFERROR(__xludf.DUMMYFUNCTION("""COMPUTED_VALUE"""),29302962)</f>
        <v>29302962</v>
      </c>
    </row>
    <row r="429" spans="1:6" x14ac:dyDescent="0.35">
      <c r="A429" s="2">
        <f ca="1">IFERROR(__xludf.DUMMYFUNCTION("""COMPUTED_VALUE"""),42626.6666666666)</f>
        <v>42626.666666666599</v>
      </c>
      <c r="B429" s="1">
        <f ca="1">IFERROR(__xludf.DUMMYFUNCTION("""COMPUTED_VALUE"""),56.5)</f>
        <v>56.5</v>
      </c>
      <c r="C429" s="1">
        <f ca="1">IFERROR(__xludf.DUMMYFUNCTION("""COMPUTED_VALUE"""),56.65)</f>
        <v>56.65</v>
      </c>
      <c r="D429" s="1">
        <f ca="1">IFERROR(__xludf.DUMMYFUNCTION("""COMPUTED_VALUE"""),56.05)</f>
        <v>56.05</v>
      </c>
      <c r="E429" s="1">
        <f ca="1">IFERROR(__xludf.DUMMYFUNCTION("""COMPUTED_VALUE"""),56.53)</f>
        <v>56.53</v>
      </c>
      <c r="F429" s="1">
        <f ca="1">IFERROR(__xludf.DUMMYFUNCTION("""COMPUTED_VALUE"""),30130213)</f>
        <v>30130213</v>
      </c>
    </row>
    <row r="430" spans="1:6" x14ac:dyDescent="0.35">
      <c r="A430" s="2">
        <f ca="1">IFERROR(__xludf.DUMMYFUNCTION("""COMPUTED_VALUE"""),42627.6666666666)</f>
        <v>42627.666666666599</v>
      </c>
      <c r="B430" s="1">
        <f ca="1">IFERROR(__xludf.DUMMYFUNCTION("""COMPUTED_VALUE"""),56.39)</f>
        <v>56.39</v>
      </c>
      <c r="C430" s="1">
        <f ca="1">IFERROR(__xludf.DUMMYFUNCTION("""COMPUTED_VALUE"""),56.63)</f>
        <v>56.63</v>
      </c>
      <c r="D430" s="1">
        <f ca="1">IFERROR(__xludf.DUMMYFUNCTION("""COMPUTED_VALUE"""),56.03)</f>
        <v>56.03</v>
      </c>
      <c r="E430" s="1">
        <f ca="1">IFERROR(__xludf.DUMMYFUNCTION("""COMPUTED_VALUE"""),56.26)</f>
        <v>56.26</v>
      </c>
      <c r="F430" s="1">
        <f ca="1">IFERROR(__xludf.DUMMYFUNCTION("""COMPUTED_VALUE"""),24274273)</f>
        <v>24274273</v>
      </c>
    </row>
    <row r="431" spans="1:6" x14ac:dyDescent="0.35">
      <c r="A431" s="2">
        <f ca="1">IFERROR(__xludf.DUMMYFUNCTION("""COMPUTED_VALUE"""),42628.6666666666)</f>
        <v>42628.666666666599</v>
      </c>
      <c r="B431" s="1">
        <f ca="1">IFERROR(__xludf.DUMMYFUNCTION("""COMPUTED_VALUE"""),56.15)</f>
        <v>56.15</v>
      </c>
      <c r="C431" s="1">
        <f ca="1">IFERROR(__xludf.DUMMYFUNCTION("""COMPUTED_VALUE"""),57.35)</f>
        <v>57.35</v>
      </c>
      <c r="D431" s="1">
        <f ca="1">IFERROR(__xludf.DUMMYFUNCTION("""COMPUTED_VALUE"""),55.98)</f>
        <v>55.98</v>
      </c>
      <c r="E431" s="1">
        <f ca="1">IFERROR(__xludf.DUMMYFUNCTION("""COMPUTED_VALUE"""),57.19)</f>
        <v>57.19</v>
      </c>
      <c r="F431" s="1">
        <f ca="1">IFERROR(__xludf.DUMMYFUNCTION("""COMPUTED_VALUE"""),27062614)</f>
        <v>27062614</v>
      </c>
    </row>
    <row r="432" spans="1:6" x14ac:dyDescent="0.35">
      <c r="A432" s="2">
        <f ca="1">IFERROR(__xludf.DUMMYFUNCTION("""COMPUTED_VALUE"""),42629.6666666666)</f>
        <v>42629.666666666599</v>
      </c>
      <c r="B432" s="1">
        <f ca="1">IFERROR(__xludf.DUMMYFUNCTION("""COMPUTED_VALUE"""),57.63)</f>
        <v>57.63</v>
      </c>
      <c r="C432" s="1">
        <f ca="1">IFERROR(__xludf.DUMMYFUNCTION("""COMPUTED_VALUE"""),57.63)</f>
        <v>57.63</v>
      </c>
      <c r="D432" s="1">
        <f ca="1">IFERROR(__xludf.DUMMYFUNCTION("""COMPUTED_VALUE"""),56.75)</f>
        <v>56.75</v>
      </c>
      <c r="E432" s="1">
        <f ca="1">IFERROR(__xludf.DUMMYFUNCTION("""COMPUTED_VALUE"""),57.25)</f>
        <v>57.25</v>
      </c>
      <c r="F432" s="1">
        <f ca="1">IFERROR(__xludf.DUMMYFUNCTION("""COMPUTED_VALUE"""),44606965)</f>
        <v>44606965</v>
      </c>
    </row>
    <row r="433" spans="1:6" x14ac:dyDescent="0.35">
      <c r="A433" s="2">
        <f ca="1">IFERROR(__xludf.DUMMYFUNCTION("""COMPUTED_VALUE"""),42632.6666666666)</f>
        <v>42632.666666666599</v>
      </c>
      <c r="B433" s="1">
        <f ca="1">IFERROR(__xludf.DUMMYFUNCTION("""COMPUTED_VALUE"""),57.27)</f>
        <v>57.27</v>
      </c>
      <c r="C433" s="1">
        <f ca="1">IFERROR(__xludf.DUMMYFUNCTION("""COMPUTED_VALUE"""),57.75)</f>
        <v>57.75</v>
      </c>
      <c r="D433" s="1">
        <f ca="1">IFERROR(__xludf.DUMMYFUNCTION("""COMPUTED_VALUE"""),56.85)</f>
        <v>56.85</v>
      </c>
      <c r="E433" s="1">
        <f ca="1">IFERROR(__xludf.DUMMYFUNCTION("""COMPUTED_VALUE"""),56.93)</f>
        <v>56.93</v>
      </c>
      <c r="F433" s="1">
        <f ca="1">IFERROR(__xludf.DUMMYFUNCTION("""COMPUTED_VALUE"""),20937104)</f>
        <v>20937104</v>
      </c>
    </row>
    <row r="434" spans="1:6" x14ac:dyDescent="0.35">
      <c r="A434" s="2">
        <f ca="1">IFERROR(__xludf.DUMMYFUNCTION("""COMPUTED_VALUE"""),42633.6666666666)</f>
        <v>42633.666666666599</v>
      </c>
      <c r="B434" s="1">
        <f ca="1">IFERROR(__xludf.DUMMYFUNCTION("""COMPUTED_VALUE"""),57.35)</f>
        <v>57.35</v>
      </c>
      <c r="C434" s="1">
        <f ca="1">IFERROR(__xludf.DUMMYFUNCTION("""COMPUTED_VALUE"""),57.35)</f>
        <v>57.35</v>
      </c>
      <c r="D434" s="1">
        <f ca="1">IFERROR(__xludf.DUMMYFUNCTION("""COMPUTED_VALUE"""),56.75)</f>
        <v>56.75</v>
      </c>
      <c r="E434" s="1">
        <f ca="1">IFERROR(__xludf.DUMMYFUNCTION("""COMPUTED_VALUE"""),56.81)</f>
        <v>56.81</v>
      </c>
      <c r="F434" s="1">
        <f ca="1">IFERROR(__xludf.DUMMYFUNCTION("""COMPUTED_VALUE"""),17383982)</f>
        <v>17383982</v>
      </c>
    </row>
    <row r="435" spans="1:6" x14ac:dyDescent="0.35">
      <c r="A435" s="2">
        <f ca="1">IFERROR(__xludf.DUMMYFUNCTION("""COMPUTED_VALUE"""),42634.6666666666)</f>
        <v>42634.666666666599</v>
      </c>
      <c r="B435" s="1">
        <f ca="1">IFERROR(__xludf.DUMMYFUNCTION("""COMPUTED_VALUE"""),57.51)</f>
        <v>57.51</v>
      </c>
      <c r="C435" s="1">
        <f ca="1">IFERROR(__xludf.DUMMYFUNCTION("""COMPUTED_VALUE"""),57.85)</f>
        <v>57.85</v>
      </c>
      <c r="D435" s="1">
        <f ca="1">IFERROR(__xludf.DUMMYFUNCTION("""COMPUTED_VALUE"""),57.08)</f>
        <v>57.08</v>
      </c>
      <c r="E435" s="1">
        <f ca="1">IFERROR(__xludf.DUMMYFUNCTION("""COMPUTED_VALUE"""),57.76)</f>
        <v>57.76</v>
      </c>
      <c r="F435" s="1">
        <f ca="1">IFERROR(__xludf.DUMMYFUNCTION("""COMPUTED_VALUE"""),33707272)</f>
        <v>33707272</v>
      </c>
    </row>
    <row r="436" spans="1:6" x14ac:dyDescent="0.35">
      <c r="A436" s="2">
        <f ca="1">IFERROR(__xludf.DUMMYFUNCTION("""COMPUTED_VALUE"""),42635.6666666666)</f>
        <v>42635.666666666599</v>
      </c>
      <c r="B436" s="1">
        <f ca="1">IFERROR(__xludf.DUMMYFUNCTION("""COMPUTED_VALUE"""),57.92)</f>
        <v>57.92</v>
      </c>
      <c r="C436" s="1">
        <f ca="1">IFERROR(__xludf.DUMMYFUNCTION("""COMPUTED_VALUE"""),58)</f>
        <v>58</v>
      </c>
      <c r="D436" s="1">
        <f ca="1">IFERROR(__xludf.DUMMYFUNCTION("""COMPUTED_VALUE"""),57.63)</f>
        <v>57.63</v>
      </c>
      <c r="E436" s="1">
        <f ca="1">IFERROR(__xludf.DUMMYFUNCTION("""COMPUTED_VALUE"""),57.82)</f>
        <v>57.82</v>
      </c>
      <c r="F436" s="1">
        <f ca="1">IFERROR(__xludf.DUMMYFUNCTION("""COMPUTED_VALUE"""),19822203)</f>
        <v>19822203</v>
      </c>
    </row>
    <row r="437" spans="1:6" x14ac:dyDescent="0.35">
      <c r="A437" s="2">
        <f ca="1">IFERROR(__xludf.DUMMYFUNCTION("""COMPUTED_VALUE"""),42636.6666666666)</f>
        <v>42636.666666666599</v>
      </c>
      <c r="B437" s="1">
        <f ca="1">IFERROR(__xludf.DUMMYFUNCTION("""COMPUTED_VALUE"""),57.87)</f>
        <v>57.87</v>
      </c>
      <c r="C437" s="1">
        <f ca="1">IFERROR(__xludf.DUMMYFUNCTION("""COMPUTED_VALUE"""),57.91)</f>
        <v>57.91</v>
      </c>
      <c r="D437" s="1">
        <f ca="1">IFERROR(__xludf.DUMMYFUNCTION("""COMPUTED_VALUE"""),57.38)</f>
        <v>57.38</v>
      </c>
      <c r="E437" s="1">
        <f ca="1">IFERROR(__xludf.DUMMYFUNCTION("""COMPUTED_VALUE"""),57.43)</f>
        <v>57.43</v>
      </c>
      <c r="F437" s="1">
        <f ca="1">IFERROR(__xludf.DUMMYFUNCTION("""COMPUTED_VALUE"""),19955336)</f>
        <v>19955336</v>
      </c>
    </row>
    <row r="438" spans="1:6" x14ac:dyDescent="0.35">
      <c r="A438" s="2">
        <f ca="1">IFERROR(__xludf.DUMMYFUNCTION("""COMPUTED_VALUE"""),42639.6666666666)</f>
        <v>42639.666666666599</v>
      </c>
      <c r="B438" s="1">
        <f ca="1">IFERROR(__xludf.DUMMYFUNCTION("""COMPUTED_VALUE"""),57.08)</f>
        <v>57.08</v>
      </c>
      <c r="C438" s="1">
        <f ca="1">IFERROR(__xludf.DUMMYFUNCTION("""COMPUTED_VALUE"""),57.14)</f>
        <v>57.14</v>
      </c>
      <c r="D438" s="1">
        <f ca="1">IFERROR(__xludf.DUMMYFUNCTION("""COMPUTED_VALUE"""),56.83)</f>
        <v>56.83</v>
      </c>
      <c r="E438" s="1">
        <f ca="1">IFERROR(__xludf.DUMMYFUNCTION("""COMPUTED_VALUE"""),56.9)</f>
        <v>56.9</v>
      </c>
      <c r="F438" s="1">
        <f ca="1">IFERROR(__xludf.DUMMYFUNCTION("""COMPUTED_VALUE"""),21688720)</f>
        <v>21688720</v>
      </c>
    </row>
    <row r="439" spans="1:6" x14ac:dyDescent="0.35">
      <c r="A439" s="2">
        <f ca="1">IFERROR(__xludf.DUMMYFUNCTION("""COMPUTED_VALUE"""),42640.6666666666)</f>
        <v>42640.666666666599</v>
      </c>
      <c r="B439" s="1">
        <f ca="1">IFERROR(__xludf.DUMMYFUNCTION("""COMPUTED_VALUE"""),56.93)</f>
        <v>56.93</v>
      </c>
      <c r="C439" s="1">
        <f ca="1">IFERROR(__xludf.DUMMYFUNCTION("""COMPUTED_VALUE"""),58.06)</f>
        <v>58.06</v>
      </c>
      <c r="D439" s="1">
        <f ca="1">IFERROR(__xludf.DUMMYFUNCTION("""COMPUTED_VALUE"""),56.68)</f>
        <v>56.68</v>
      </c>
      <c r="E439" s="1">
        <f ca="1">IFERROR(__xludf.DUMMYFUNCTION("""COMPUTED_VALUE"""),57.95)</f>
        <v>57.95</v>
      </c>
      <c r="F439" s="1">
        <f ca="1">IFERROR(__xludf.DUMMYFUNCTION("""COMPUTED_VALUE"""),28065071)</f>
        <v>28065071</v>
      </c>
    </row>
    <row r="440" spans="1:6" x14ac:dyDescent="0.35">
      <c r="A440" s="2">
        <f ca="1">IFERROR(__xludf.DUMMYFUNCTION("""COMPUTED_VALUE"""),42641.6666666666)</f>
        <v>42641.666666666599</v>
      </c>
      <c r="B440" s="1">
        <f ca="1">IFERROR(__xludf.DUMMYFUNCTION("""COMPUTED_VALUE"""),57.88)</f>
        <v>57.88</v>
      </c>
      <c r="C440" s="1">
        <f ca="1">IFERROR(__xludf.DUMMYFUNCTION("""COMPUTED_VALUE"""),58.06)</f>
        <v>58.06</v>
      </c>
      <c r="D440" s="1">
        <f ca="1">IFERROR(__xludf.DUMMYFUNCTION("""COMPUTED_VALUE"""),57.67)</f>
        <v>57.67</v>
      </c>
      <c r="E440" s="1">
        <f ca="1">IFERROR(__xludf.DUMMYFUNCTION("""COMPUTED_VALUE"""),58.03)</f>
        <v>58.03</v>
      </c>
      <c r="F440" s="1">
        <f ca="1">IFERROR(__xludf.DUMMYFUNCTION("""COMPUTED_VALUE"""),20536400)</f>
        <v>20536400</v>
      </c>
    </row>
    <row r="441" spans="1:6" x14ac:dyDescent="0.35">
      <c r="A441" s="2">
        <f ca="1">IFERROR(__xludf.DUMMYFUNCTION("""COMPUTED_VALUE"""),42642.6666666666)</f>
        <v>42642.666666666599</v>
      </c>
      <c r="B441" s="1">
        <f ca="1">IFERROR(__xludf.DUMMYFUNCTION("""COMPUTED_VALUE"""),57.81)</f>
        <v>57.81</v>
      </c>
      <c r="C441" s="1">
        <f ca="1">IFERROR(__xludf.DUMMYFUNCTION("""COMPUTED_VALUE"""),58.17)</f>
        <v>58.17</v>
      </c>
      <c r="D441" s="1">
        <f ca="1">IFERROR(__xludf.DUMMYFUNCTION("""COMPUTED_VALUE"""),57.21)</f>
        <v>57.21</v>
      </c>
      <c r="E441" s="1">
        <f ca="1">IFERROR(__xludf.DUMMYFUNCTION("""COMPUTED_VALUE"""),57.4)</f>
        <v>57.4</v>
      </c>
      <c r="F441" s="1">
        <f ca="1">IFERROR(__xludf.DUMMYFUNCTION("""COMPUTED_VALUE"""),25463536)</f>
        <v>25463536</v>
      </c>
    </row>
    <row r="442" spans="1:6" x14ac:dyDescent="0.35">
      <c r="A442" s="2">
        <f ca="1">IFERROR(__xludf.DUMMYFUNCTION("""COMPUTED_VALUE"""),42643.6666666666)</f>
        <v>42643.666666666599</v>
      </c>
      <c r="B442" s="1">
        <f ca="1">IFERROR(__xludf.DUMMYFUNCTION("""COMPUTED_VALUE"""),57.57)</f>
        <v>57.57</v>
      </c>
      <c r="C442" s="1">
        <f ca="1">IFERROR(__xludf.DUMMYFUNCTION("""COMPUTED_VALUE"""),57.77)</f>
        <v>57.77</v>
      </c>
      <c r="D442" s="1">
        <f ca="1">IFERROR(__xludf.DUMMYFUNCTION("""COMPUTED_VALUE"""),57.34)</f>
        <v>57.34</v>
      </c>
      <c r="E442" s="1">
        <f ca="1">IFERROR(__xludf.DUMMYFUNCTION("""COMPUTED_VALUE"""),57.6)</f>
        <v>57.6</v>
      </c>
      <c r="F442" s="1">
        <f ca="1">IFERROR(__xludf.DUMMYFUNCTION("""COMPUTED_VALUE"""),29910788)</f>
        <v>29910788</v>
      </c>
    </row>
    <row r="443" spans="1:6" x14ac:dyDescent="0.35">
      <c r="A443" s="2">
        <f ca="1">IFERROR(__xludf.DUMMYFUNCTION("""COMPUTED_VALUE"""),42646.6666666666)</f>
        <v>42646.666666666599</v>
      </c>
      <c r="B443" s="1">
        <f ca="1">IFERROR(__xludf.DUMMYFUNCTION("""COMPUTED_VALUE"""),57.41)</f>
        <v>57.41</v>
      </c>
      <c r="C443" s="1">
        <f ca="1">IFERROR(__xludf.DUMMYFUNCTION("""COMPUTED_VALUE"""),57.55)</f>
        <v>57.55</v>
      </c>
      <c r="D443" s="1">
        <f ca="1">IFERROR(__xludf.DUMMYFUNCTION("""COMPUTED_VALUE"""),57.06)</f>
        <v>57.06</v>
      </c>
      <c r="E443" s="1">
        <f ca="1">IFERROR(__xludf.DUMMYFUNCTION("""COMPUTED_VALUE"""),57.42)</f>
        <v>57.42</v>
      </c>
      <c r="F443" s="1">
        <f ca="1">IFERROR(__xludf.DUMMYFUNCTION("""COMPUTED_VALUE"""),19189515)</f>
        <v>19189515</v>
      </c>
    </row>
    <row r="444" spans="1:6" x14ac:dyDescent="0.35">
      <c r="A444" s="2">
        <f ca="1">IFERROR(__xludf.DUMMYFUNCTION("""COMPUTED_VALUE"""),42647.6666666666)</f>
        <v>42647.666666666599</v>
      </c>
      <c r="B444" s="1">
        <f ca="1">IFERROR(__xludf.DUMMYFUNCTION("""COMPUTED_VALUE"""),57.27)</f>
        <v>57.27</v>
      </c>
      <c r="C444" s="1">
        <f ca="1">IFERROR(__xludf.DUMMYFUNCTION("""COMPUTED_VALUE"""),57.6)</f>
        <v>57.6</v>
      </c>
      <c r="D444" s="1">
        <f ca="1">IFERROR(__xludf.DUMMYFUNCTION("""COMPUTED_VALUE"""),56.97)</f>
        <v>56.97</v>
      </c>
      <c r="E444" s="1">
        <f ca="1">IFERROR(__xludf.DUMMYFUNCTION("""COMPUTED_VALUE"""),57.24)</f>
        <v>57.24</v>
      </c>
      <c r="F444" s="1">
        <f ca="1">IFERROR(__xludf.DUMMYFUNCTION("""COMPUTED_VALUE"""),20085874)</f>
        <v>20085874</v>
      </c>
    </row>
    <row r="445" spans="1:6" x14ac:dyDescent="0.35">
      <c r="A445" s="2">
        <f ca="1">IFERROR(__xludf.DUMMYFUNCTION("""COMPUTED_VALUE"""),42648.6666666666)</f>
        <v>42648.666666666599</v>
      </c>
      <c r="B445" s="1">
        <f ca="1">IFERROR(__xludf.DUMMYFUNCTION("""COMPUTED_VALUE"""),57.29)</f>
        <v>57.29</v>
      </c>
      <c r="C445" s="1">
        <f ca="1">IFERROR(__xludf.DUMMYFUNCTION("""COMPUTED_VALUE"""),57.96)</f>
        <v>57.96</v>
      </c>
      <c r="D445" s="1">
        <f ca="1">IFERROR(__xludf.DUMMYFUNCTION("""COMPUTED_VALUE"""),57.26)</f>
        <v>57.26</v>
      </c>
      <c r="E445" s="1">
        <f ca="1">IFERROR(__xludf.DUMMYFUNCTION("""COMPUTED_VALUE"""),57.64)</f>
        <v>57.64</v>
      </c>
      <c r="F445" s="1">
        <f ca="1">IFERROR(__xludf.DUMMYFUNCTION("""COMPUTED_VALUE"""),16726411)</f>
        <v>16726411</v>
      </c>
    </row>
    <row r="446" spans="1:6" x14ac:dyDescent="0.35">
      <c r="A446" s="2">
        <f ca="1">IFERROR(__xludf.DUMMYFUNCTION("""COMPUTED_VALUE"""),42649.6666666666)</f>
        <v>42649.666666666599</v>
      </c>
      <c r="B446" s="1">
        <f ca="1">IFERROR(__xludf.DUMMYFUNCTION("""COMPUTED_VALUE"""),57.74)</f>
        <v>57.74</v>
      </c>
      <c r="C446" s="1">
        <f ca="1">IFERROR(__xludf.DUMMYFUNCTION("""COMPUTED_VALUE"""),57.86)</f>
        <v>57.86</v>
      </c>
      <c r="D446" s="1">
        <f ca="1">IFERROR(__xludf.DUMMYFUNCTION("""COMPUTED_VALUE"""),57.28)</f>
        <v>57.28</v>
      </c>
      <c r="E446" s="1">
        <f ca="1">IFERROR(__xludf.DUMMYFUNCTION("""COMPUTED_VALUE"""),57.74)</f>
        <v>57.74</v>
      </c>
      <c r="F446" s="1">
        <f ca="1">IFERROR(__xludf.DUMMYFUNCTION("""COMPUTED_VALUE"""),16212611)</f>
        <v>16212611</v>
      </c>
    </row>
    <row r="447" spans="1:6" x14ac:dyDescent="0.35">
      <c r="A447" s="2">
        <f ca="1">IFERROR(__xludf.DUMMYFUNCTION("""COMPUTED_VALUE"""),42650.6666666666)</f>
        <v>42650.666666666599</v>
      </c>
      <c r="B447" s="1">
        <f ca="1">IFERROR(__xludf.DUMMYFUNCTION("""COMPUTED_VALUE"""),57.85)</f>
        <v>57.85</v>
      </c>
      <c r="C447" s="1">
        <f ca="1">IFERROR(__xludf.DUMMYFUNCTION("""COMPUTED_VALUE"""),57.98)</f>
        <v>57.98</v>
      </c>
      <c r="D447" s="1">
        <f ca="1">IFERROR(__xludf.DUMMYFUNCTION("""COMPUTED_VALUE"""),57.42)</f>
        <v>57.42</v>
      </c>
      <c r="E447" s="1">
        <f ca="1">IFERROR(__xludf.DUMMYFUNCTION("""COMPUTED_VALUE"""),57.8)</f>
        <v>57.8</v>
      </c>
      <c r="F447" s="1">
        <f ca="1">IFERROR(__xludf.DUMMYFUNCTION("""COMPUTED_VALUE"""),20089020)</f>
        <v>20089020</v>
      </c>
    </row>
    <row r="448" spans="1:6" x14ac:dyDescent="0.35">
      <c r="A448" s="2">
        <f ca="1">IFERROR(__xludf.DUMMYFUNCTION("""COMPUTED_VALUE"""),42653.6666666666)</f>
        <v>42653.666666666599</v>
      </c>
      <c r="B448" s="1">
        <f ca="1">IFERROR(__xludf.DUMMYFUNCTION("""COMPUTED_VALUE"""),57.91)</f>
        <v>57.91</v>
      </c>
      <c r="C448" s="1">
        <f ca="1">IFERROR(__xludf.DUMMYFUNCTION("""COMPUTED_VALUE"""),58.39)</f>
        <v>58.39</v>
      </c>
      <c r="D448" s="1">
        <f ca="1">IFERROR(__xludf.DUMMYFUNCTION("""COMPUTED_VALUE"""),57.87)</f>
        <v>57.87</v>
      </c>
      <c r="E448" s="1">
        <f ca="1">IFERROR(__xludf.DUMMYFUNCTION("""COMPUTED_VALUE"""),58.04)</f>
        <v>58.04</v>
      </c>
      <c r="F448" s="1">
        <f ca="1">IFERROR(__xludf.DUMMYFUNCTION("""COMPUTED_VALUE"""),18196509)</f>
        <v>18196509</v>
      </c>
    </row>
    <row r="449" spans="1:6" x14ac:dyDescent="0.35">
      <c r="A449" s="2">
        <f ca="1">IFERROR(__xludf.DUMMYFUNCTION("""COMPUTED_VALUE"""),42654.6666666666)</f>
        <v>42654.666666666599</v>
      </c>
      <c r="B449" s="1">
        <f ca="1">IFERROR(__xludf.DUMMYFUNCTION("""COMPUTED_VALUE"""),57.89)</f>
        <v>57.89</v>
      </c>
      <c r="C449" s="1">
        <f ca="1">IFERROR(__xludf.DUMMYFUNCTION("""COMPUTED_VALUE"""),58.02)</f>
        <v>58.02</v>
      </c>
      <c r="D449" s="1">
        <f ca="1">IFERROR(__xludf.DUMMYFUNCTION("""COMPUTED_VALUE"""),56.89)</f>
        <v>56.89</v>
      </c>
      <c r="E449" s="1">
        <f ca="1">IFERROR(__xludf.DUMMYFUNCTION("""COMPUTED_VALUE"""),57.19)</f>
        <v>57.19</v>
      </c>
      <c r="F449" s="1">
        <f ca="1">IFERROR(__xludf.DUMMYFUNCTION("""COMPUTED_VALUE"""),26497418)</f>
        <v>26497418</v>
      </c>
    </row>
    <row r="450" spans="1:6" x14ac:dyDescent="0.35">
      <c r="A450" s="2">
        <f ca="1">IFERROR(__xludf.DUMMYFUNCTION("""COMPUTED_VALUE"""),42655.6666666666)</f>
        <v>42655.666666666599</v>
      </c>
      <c r="B450" s="1">
        <f ca="1">IFERROR(__xludf.DUMMYFUNCTION("""COMPUTED_VALUE"""),57.11)</f>
        <v>57.11</v>
      </c>
      <c r="C450" s="1">
        <f ca="1">IFERROR(__xludf.DUMMYFUNCTION("""COMPUTED_VALUE"""),57.27)</f>
        <v>57.27</v>
      </c>
      <c r="D450" s="1">
        <f ca="1">IFERROR(__xludf.DUMMYFUNCTION("""COMPUTED_VALUE"""),56.4)</f>
        <v>56.4</v>
      </c>
      <c r="E450" s="1">
        <f ca="1">IFERROR(__xludf.DUMMYFUNCTION("""COMPUTED_VALUE"""),57.11)</f>
        <v>57.11</v>
      </c>
      <c r="F450" s="1">
        <f ca="1">IFERROR(__xludf.DUMMYFUNCTION("""COMPUTED_VALUE"""),22177464)</f>
        <v>22177464</v>
      </c>
    </row>
    <row r="451" spans="1:6" x14ac:dyDescent="0.35">
      <c r="A451" s="2">
        <f ca="1">IFERROR(__xludf.DUMMYFUNCTION("""COMPUTED_VALUE"""),42656.6666666666)</f>
        <v>42656.666666666599</v>
      </c>
      <c r="B451" s="1">
        <f ca="1">IFERROR(__xludf.DUMMYFUNCTION("""COMPUTED_VALUE"""),56.7)</f>
        <v>56.7</v>
      </c>
      <c r="C451" s="1">
        <f ca="1">IFERROR(__xludf.DUMMYFUNCTION("""COMPUTED_VALUE"""),57.3)</f>
        <v>57.3</v>
      </c>
      <c r="D451" s="1">
        <f ca="1">IFERROR(__xludf.DUMMYFUNCTION("""COMPUTED_VALUE"""),56.32)</f>
        <v>56.32</v>
      </c>
      <c r="E451" s="1">
        <f ca="1">IFERROR(__xludf.DUMMYFUNCTION("""COMPUTED_VALUE"""),56.92)</f>
        <v>56.92</v>
      </c>
      <c r="F451" s="1">
        <f ca="1">IFERROR(__xludf.DUMMYFUNCTION("""COMPUTED_VALUE"""),25313748)</f>
        <v>25313748</v>
      </c>
    </row>
    <row r="452" spans="1:6" x14ac:dyDescent="0.35">
      <c r="A452" s="2">
        <f ca="1">IFERROR(__xludf.DUMMYFUNCTION("""COMPUTED_VALUE"""),42657.6666666666)</f>
        <v>42657.666666666599</v>
      </c>
      <c r="B452" s="1">
        <f ca="1">IFERROR(__xludf.DUMMYFUNCTION("""COMPUTED_VALUE"""),57.12)</f>
        <v>57.12</v>
      </c>
      <c r="C452" s="1">
        <f ca="1">IFERROR(__xludf.DUMMYFUNCTION("""COMPUTED_VALUE"""),57.74)</f>
        <v>57.74</v>
      </c>
      <c r="D452" s="1">
        <f ca="1">IFERROR(__xludf.DUMMYFUNCTION("""COMPUTED_VALUE"""),57.12)</f>
        <v>57.12</v>
      </c>
      <c r="E452" s="1">
        <f ca="1">IFERROR(__xludf.DUMMYFUNCTION("""COMPUTED_VALUE"""),57.42)</f>
        <v>57.42</v>
      </c>
      <c r="F452" s="1">
        <f ca="1">IFERROR(__xludf.DUMMYFUNCTION("""COMPUTED_VALUE"""),27402451)</f>
        <v>27402451</v>
      </c>
    </row>
    <row r="453" spans="1:6" x14ac:dyDescent="0.35">
      <c r="A453" s="2">
        <f ca="1">IFERROR(__xludf.DUMMYFUNCTION("""COMPUTED_VALUE"""),42660.6666666666)</f>
        <v>42660.666666666599</v>
      </c>
      <c r="B453" s="1">
        <f ca="1">IFERROR(__xludf.DUMMYFUNCTION("""COMPUTED_VALUE"""),57.36)</f>
        <v>57.36</v>
      </c>
      <c r="C453" s="1">
        <f ca="1">IFERROR(__xludf.DUMMYFUNCTION("""COMPUTED_VALUE"""),57.46)</f>
        <v>57.46</v>
      </c>
      <c r="D453" s="1">
        <f ca="1">IFERROR(__xludf.DUMMYFUNCTION("""COMPUTED_VALUE"""),56.87)</f>
        <v>56.87</v>
      </c>
      <c r="E453" s="1">
        <f ca="1">IFERROR(__xludf.DUMMYFUNCTION("""COMPUTED_VALUE"""),57.22)</f>
        <v>57.22</v>
      </c>
      <c r="F453" s="1">
        <f ca="1">IFERROR(__xludf.DUMMYFUNCTION("""COMPUTED_VALUE"""),23830014)</f>
        <v>23830014</v>
      </c>
    </row>
    <row r="454" spans="1:6" x14ac:dyDescent="0.35">
      <c r="A454" s="2">
        <f ca="1">IFERROR(__xludf.DUMMYFUNCTION("""COMPUTED_VALUE"""),42661.6666666666)</f>
        <v>42661.666666666599</v>
      </c>
      <c r="B454" s="1">
        <f ca="1">IFERROR(__xludf.DUMMYFUNCTION("""COMPUTED_VALUE"""),57.53)</f>
        <v>57.53</v>
      </c>
      <c r="C454" s="1">
        <f ca="1">IFERROR(__xludf.DUMMYFUNCTION("""COMPUTED_VALUE"""),57.95)</f>
        <v>57.95</v>
      </c>
      <c r="D454" s="1">
        <f ca="1">IFERROR(__xludf.DUMMYFUNCTION("""COMPUTED_VALUE"""),57.41)</f>
        <v>57.41</v>
      </c>
      <c r="E454" s="1">
        <f ca="1">IFERROR(__xludf.DUMMYFUNCTION("""COMPUTED_VALUE"""),57.66)</f>
        <v>57.66</v>
      </c>
      <c r="F454" s="1">
        <f ca="1">IFERROR(__xludf.DUMMYFUNCTION("""COMPUTED_VALUE"""),19149538)</f>
        <v>19149538</v>
      </c>
    </row>
    <row r="455" spans="1:6" x14ac:dyDescent="0.35">
      <c r="A455" s="2">
        <f ca="1">IFERROR(__xludf.DUMMYFUNCTION("""COMPUTED_VALUE"""),42662.6666666666)</f>
        <v>42662.666666666599</v>
      </c>
      <c r="B455" s="1">
        <f ca="1">IFERROR(__xludf.DUMMYFUNCTION("""COMPUTED_VALUE"""),57.47)</f>
        <v>57.47</v>
      </c>
      <c r="C455" s="1">
        <f ca="1">IFERROR(__xludf.DUMMYFUNCTION("""COMPUTED_VALUE"""),57.84)</f>
        <v>57.84</v>
      </c>
      <c r="D455" s="1">
        <f ca="1">IFERROR(__xludf.DUMMYFUNCTION("""COMPUTED_VALUE"""),57.4)</f>
        <v>57.4</v>
      </c>
      <c r="E455" s="1">
        <f ca="1">IFERROR(__xludf.DUMMYFUNCTION("""COMPUTED_VALUE"""),57.53)</f>
        <v>57.53</v>
      </c>
      <c r="F455" s="1">
        <f ca="1">IFERROR(__xludf.DUMMYFUNCTION("""COMPUTED_VALUE"""),22878397)</f>
        <v>22878397</v>
      </c>
    </row>
    <row r="456" spans="1:6" x14ac:dyDescent="0.35">
      <c r="A456" s="2">
        <f ca="1">IFERROR(__xludf.DUMMYFUNCTION("""COMPUTED_VALUE"""),42663.6666666666)</f>
        <v>42663.666666666599</v>
      </c>
      <c r="B456" s="1">
        <f ca="1">IFERROR(__xludf.DUMMYFUNCTION("""COMPUTED_VALUE"""),57.5)</f>
        <v>57.5</v>
      </c>
      <c r="C456" s="1">
        <f ca="1">IFERROR(__xludf.DUMMYFUNCTION("""COMPUTED_VALUE"""),57.52)</f>
        <v>57.52</v>
      </c>
      <c r="D456" s="1">
        <f ca="1">IFERROR(__xludf.DUMMYFUNCTION("""COMPUTED_VALUE"""),56.66)</f>
        <v>56.66</v>
      </c>
      <c r="E456" s="1">
        <f ca="1">IFERROR(__xludf.DUMMYFUNCTION("""COMPUTED_VALUE"""),57.25)</f>
        <v>57.25</v>
      </c>
      <c r="F456" s="1">
        <f ca="1">IFERROR(__xludf.DUMMYFUNCTION("""COMPUTED_VALUE"""),49455612)</f>
        <v>49455612</v>
      </c>
    </row>
    <row r="457" spans="1:6" x14ac:dyDescent="0.35">
      <c r="A457" s="2">
        <f ca="1">IFERROR(__xludf.DUMMYFUNCTION("""COMPUTED_VALUE"""),42664.6666666666)</f>
        <v>42664.666666666599</v>
      </c>
      <c r="B457" s="1">
        <f ca="1">IFERROR(__xludf.DUMMYFUNCTION("""COMPUTED_VALUE"""),60.28)</f>
        <v>60.28</v>
      </c>
      <c r="C457" s="1">
        <f ca="1">IFERROR(__xludf.DUMMYFUNCTION("""COMPUTED_VALUE"""),60.45)</f>
        <v>60.45</v>
      </c>
      <c r="D457" s="1">
        <f ca="1">IFERROR(__xludf.DUMMYFUNCTION("""COMPUTED_VALUE"""),59.49)</f>
        <v>59.49</v>
      </c>
      <c r="E457" s="1">
        <f ca="1">IFERROR(__xludf.DUMMYFUNCTION("""COMPUTED_VALUE"""),59.66)</f>
        <v>59.66</v>
      </c>
      <c r="F457" s="1">
        <f ca="1">IFERROR(__xludf.DUMMYFUNCTION("""COMPUTED_VALUE"""),80032206)</f>
        <v>80032206</v>
      </c>
    </row>
    <row r="458" spans="1:6" x14ac:dyDescent="0.35">
      <c r="A458" s="2">
        <f ca="1">IFERROR(__xludf.DUMMYFUNCTION("""COMPUTED_VALUE"""),42667.6666666666)</f>
        <v>42667.666666666599</v>
      </c>
      <c r="B458" s="1">
        <f ca="1">IFERROR(__xludf.DUMMYFUNCTION("""COMPUTED_VALUE"""),59.94)</f>
        <v>59.94</v>
      </c>
      <c r="C458" s="1">
        <f ca="1">IFERROR(__xludf.DUMMYFUNCTION("""COMPUTED_VALUE"""),61)</f>
        <v>61</v>
      </c>
      <c r="D458" s="1">
        <f ca="1">IFERROR(__xludf.DUMMYFUNCTION("""COMPUTED_VALUE"""),59.93)</f>
        <v>59.93</v>
      </c>
      <c r="E458" s="1">
        <f ca="1">IFERROR(__xludf.DUMMYFUNCTION("""COMPUTED_VALUE"""),61)</f>
        <v>61</v>
      </c>
      <c r="F458" s="1">
        <f ca="1">IFERROR(__xludf.DUMMYFUNCTION("""COMPUTED_VALUE"""),54066978)</f>
        <v>54066978</v>
      </c>
    </row>
    <row r="459" spans="1:6" x14ac:dyDescent="0.35">
      <c r="A459" s="2">
        <f ca="1">IFERROR(__xludf.DUMMYFUNCTION("""COMPUTED_VALUE"""),42668.6666666666)</f>
        <v>42668.666666666599</v>
      </c>
      <c r="B459" s="1">
        <f ca="1">IFERROR(__xludf.DUMMYFUNCTION("""COMPUTED_VALUE"""),60.85)</f>
        <v>60.85</v>
      </c>
      <c r="C459" s="1">
        <f ca="1">IFERROR(__xludf.DUMMYFUNCTION("""COMPUTED_VALUE"""),61.37)</f>
        <v>61.37</v>
      </c>
      <c r="D459" s="1">
        <f ca="1">IFERROR(__xludf.DUMMYFUNCTION("""COMPUTED_VALUE"""),60.8)</f>
        <v>60.8</v>
      </c>
      <c r="E459" s="1">
        <f ca="1">IFERROR(__xludf.DUMMYFUNCTION("""COMPUTED_VALUE"""),60.99)</f>
        <v>60.99</v>
      </c>
      <c r="F459" s="1">
        <f ca="1">IFERROR(__xludf.DUMMYFUNCTION("""COMPUTED_VALUE"""),35137164)</f>
        <v>35137164</v>
      </c>
    </row>
    <row r="460" spans="1:6" x14ac:dyDescent="0.35">
      <c r="A460" s="2">
        <f ca="1">IFERROR(__xludf.DUMMYFUNCTION("""COMPUTED_VALUE"""),42669.6666666666)</f>
        <v>42669.666666666599</v>
      </c>
      <c r="B460" s="1">
        <f ca="1">IFERROR(__xludf.DUMMYFUNCTION("""COMPUTED_VALUE"""),60.81)</f>
        <v>60.81</v>
      </c>
      <c r="C460" s="1">
        <f ca="1">IFERROR(__xludf.DUMMYFUNCTION("""COMPUTED_VALUE"""),61.2)</f>
        <v>61.2</v>
      </c>
      <c r="D460" s="1">
        <f ca="1">IFERROR(__xludf.DUMMYFUNCTION("""COMPUTED_VALUE"""),60.47)</f>
        <v>60.47</v>
      </c>
      <c r="E460" s="1">
        <f ca="1">IFERROR(__xludf.DUMMYFUNCTION("""COMPUTED_VALUE"""),60.63)</f>
        <v>60.63</v>
      </c>
      <c r="F460" s="1">
        <f ca="1">IFERROR(__xludf.DUMMYFUNCTION("""COMPUTED_VALUE"""),29911608)</f>
        <v>29911608</v>
      </c>
    </row>
    <row r="461" spans="1:6" x14ac:dyDescent="0.35">
      <c r="A461" s="2">
        <f ca="1">IFERROR(__xludf.DUMMYFUNCTION("""COMPUTED_VALUE"""),42670.6666666666)</f>
        <v>42670.666666666599</v>
      </c>
      <c r="B461" s="1">
        <f ca="1">IFERROR(__xludf.DUMMYFUNCTION("""COMPUTED_VALUE"""),60.61)</f>
        <v>60.61</v>
      </c>
      <c r="C461" s="1">
        <f ca="1">IFERROR(__xludf.DUMMYFUNCTION("""COMPUTED_VALUE"""),60.83)</f>
        <v>60.83</v>
      </c>
      <c r="D461" s="1">
        <f ca="1">IFERROR(__xludf.DUMMYFUNCTION("""COMPUTED_VALUE"""),60.09)</f>
        <v>60.09</v>
      </c>
      <c r="E461" s="1">
        <f ca="1">IFERROR(__xludf.DUMMYFUNCTION("""COMPUTED_VALUE"""),60.1)</f>
        <v>60.1</v>
      </c>
      <c r="F461" s="1">
        <f ca="1">IFERROR(__xludf.DUMMYFUNCTION("""COMPUTED_VALUE"""),28479856)</f>
        <v>28479856</v>
      </c>
    </row>
    <row r="462" spans="1:6" x14ac:dyDescent="0.35">
      <c r="A462" s="2">
        <f ca="1">IFERROR(__xludf.DUMMYFUNCTION("""COMPUTED_VALUE"""),42671.6666666666)</f>
        <v>42671.666666666599</v>
      </c>
      <c r="B462" s="1">
        <f ca="1">IFERROR(__xludf.DUMMYFUNCTION("""COMPUTED_VALUE"""),60.01)</f>
        <v>60.01</v>
      </c>
      <c r="C462" s="1">
        <f ca="1">IFERROR(__xludf.DUMMYFUNCTION("""COMPUTED_VALUE"""),60.52)</f>
        <v>60.52</v>
      </c>
      <c r="D462" s="1">
        <f ca="1">IFERROR(__xludf.DUMMYFUNCTION("""COMPUTED_VALUE"""),59.58)</f>
        <v>59.58</v>
      </c>
      <c r="E462" s="1">
        <f ca="1">IFERROR(__xludf.DUMMYFUNCTION("""COMPUTED_VALUE"""),59.87)</f>
        <v>59.87</v>
      </c>
      <c r="F462" s="1">
        <f ca="1">IFERROR(__xludf.DUMMYFUNCTION("""COMPUTED_VALUE"""),33574684)</f>
        <v>33574684</v>
      </c>
    </row>
    <row r="463" spans="1:6" x14ac:dyDescent="0.35">
      <c r="A463" s="2">
        <f ca="1">IFERROR(__xludf.DUMMYFUNCTION("""COMPUTED_VALUE"""),42674.6666666666)</f>
        <v>42674.666666666599</v>
      </c>
      <c r="B463" s="1">
        <f ca="1">IFERROR(__xludf.DUMMYFUNCTION("""COMPUTED_VALUE"""),60.16)</f>
        <v>60.16</v>
      </c>
      <c r="C463" s="1">
        <f ca="1">IFERROR(__xludf.DUMMYFUNCTION("""COMPUTED_VALUE"""),60.42)</f>
        <v>60.42</v>
      </c>
      <c r="D463" s="1">
        <f ca="1">IFERROR(__xludf.DUMMYFUNCTION("""COMPUTED_VALUE"""),59.92)</f>
        <v>59.92</v>
      </c>
      <c r="E463" s="1">
        <f ca="1">IFERROR(__xludf.DUMMYFUNCTION("""COMPUTED_VALUE"""),59.92)</f>
        <v>59.92</v>
      </c>
      <c r="F463" s="1">
        <f ca="1">IFERROR(__xludf.DUMMYFUNCTION("""COMPUTED_VALUE"""),26434697)</f>
        <v>26434697</v>
      </c>
    </row>
    <row r="464" spans="1:6" x14ac:dyDescent="0.35">
      <c r="A464" s="2">
        <f ca="1">IFERROR(__xludf.DUMMYFUNCTION("""COMPUTED_VALUE"""),42675.6666666666)</f>
        <v>42675.666666666599</v>
      </c>
      <c r="B464" s="1">
        <f ca="1">IFERROR(__xludf.DUMMYFUNCTION("""COMPUTED_VALUE"""),59.97)</f>
        <v>59.97</v>
      </c>
      <c r="C464" s="1">
        <f ca="1">IFERROR(__xludf.DUMMYFUNCTION("""COMPUTED_VALUE"""),60.02)</f>
        <v>60.02</v>
      </c>
      <c r="D464" s="1">
        <f ca="1">IFERROR(__xludf.DUMMYFUNCTION("""COMPUTED_VALUE"""),59.25)</f>
        <v>59.25</v>
      </c>
      <c r="E464" s="1">
        <f ca="1">IFERROR(__xludf.DUMMYFUNCTION("""COMPUTED_VALUE"""),59.8)</f>
        <v>59.8</v>
      </c>
      <c r="F464" s="1">
        <f ca="1">IFERROR(__xludf.DUMMYFUNCTION("""COMPUTED_VALUE"""),24532986)</f>
        <v>24532986</v>
      </c>
    </row>
    <row r="465" spans="1:6" x14ac:dyDescent="0.35">
      <c r="A465" s="2">
        <f ca="1">IFERROR(__xludf.DUMMYFUNCTION("""COMPUTED_VALUE"""),42676.6666666666)</f>
        <v>42676.666666666599</v>
      </c>
      <c r="B465" s="1">
        <f ca="1">IFERROR(__xludf.DUMMYFUNCTION("""COMPUTED_VALUE"""),59.82)</f>
        <v>59.82</v>
      </c>
      <c r="C465" s="1">
        <f ca="1">IFERROR(__xludf.DUMMYFUNCTION("""COMPUTED_VALUE"""),59.93)</f>
        <v>59.93</v>
      </c>
      <c r="D465" s="1">
        <f ca="1">IFERROR(__xludf.DUMMYFUNCTION("""COMPUTED_VALUE"""),59.3)</f>
        <v>59.3</v>
      </c>
      <c r="E465" s="1">
        <f ca="1">IFERROR(__xludf.DUMMYFUNCTION("""COMPUTED_VALUE"""),59.43)</f>
        <v>59.43</v>
      </c>
      <c r="F465" s="1">
        <f ca="1">IFERROR(__xludf.DUMMYFUNCTION("""COMPUTED_VALUE"""),22147005)</f>
        <v>22147005</v>
      </c>
    </row>
    <row r="466" spans="1:6" x14ac:dyDescent="0.35">
      <c r="A466" s="2">
        <f ca="1">IFERROR(__xludf.DUMMYFUNCTION("""COMPUTED_VALUE"""),42677.6666666666)</f>
        <v>42677.666666666599</v>
      </c>
      <c r="B466" s="1">
        <f ca="1">IFERROR(__xludf.DUMMYFUNCTION("""COMPUTED_VALUE"""),59.53)</f>
        <v>59.53</v>
      </c>
      <c r="C466" s="1">
        <f ca="1">IFERROR(__xludf.DUMMYFUNCTION("""COMPUTED_VALUE"""),59.64)</f>
        <v>59.64</v>
      </c>
      <c r="D466" s="1">
        <f ca="1">IFERROR(__xludf.DUMMYFUNCTION("""COMPUTED_VALUE"""),59.11)</f>
        <v>59.11</v>
      </c>
      <c r="E466" s="1">
        <f ca="1">IFERROR(__xludf.DUMMYFUNCTION("""COMPUTED_VALUE"""),59.21)</f>
        <v>59.21</v>
      </c>
      <c r="F466" s="1">
        <f ca="1">IFERROR(__xludf.DUMMYFUNCTION("""COMPUTED_VALUE"""),21600427)</f>
        <v>21600427</v>
      </c>
    </row>
    <row r="467" spans="1:6" x14ac:dyDescent="0.35">
      <c r="A467" s="2">
        <f ca="1">IFERROR(__xludf.DUMMYFUNCTION("""COMPUTED_VALUE"""),42678.6666666666)</f>
        <v>42678.666666666599</v>
      </c>
      <c r="B467" s="1">
        <f ca="1">IFERROR(__xludf.DUMMYFUNCTION("""COMPUTED_VALUE"""),58.65)</f>
        <v>58.65</v>
      </c>
      <c r="C467" s="1">
        <f ca="1">IFERROR(__xludf.DUMMYFUNCTION("""COMPUTED_VALUE"""),59.28)</f>
        <v>59.28</v>
      </c>
      <c r="D467" s="1">
        <f ca="1">IFERROR(__xludf.DUMMYFUNCTION("""COMPUTED_VALUE"""),58.52)</f>
        <v>58.52</v>
      </c>
      <c r="E467" s="1">
        <f ca="1">IFERROR(__xludf.DUMMYFUNCTION("""COMPUTED_VALUE"""),58.71)</f>
        <v>58.71</v>
      </c>
      <c r="F467" s="1">
        <f ca="1">IFERROR(__xludf.DUMMYFUNCTION("""COMPUTED_VALUE"""),28697016)</f>
        <v>28697016</v>
      </c>
    </row>
    <row r="468" spans="1:6" x14ac:dyDescent="0.35">
      <c r="A468" s="2">
        <f ca="1">IFERROR(__xludf.DUMMYFUNCTION("""COMPUTED_VALUE"""),42681.6666666666)</f>
        <v>42681.666666666599</v>
      </c>
      <c r="B468" s="1">
        <f ca="1">IFERROR(__xludf.DUMMYFUNCTION("""COMPUTED_VALUE"""),59.78)</f>
        <v>59.78</v>
      </c>
      <c r="C468" s="1">
        <f ca="1">IFERROR(__xludf.DUMMYFUNCTION("""COMPUTED_VALUE"""),60.52)</f>
        <v>60.52</v>
      </c>
      <c r="D468" s="1">
        <f ca="1">IFERROR(__xludf.DUMMYFUNCTION("""COMPUTED_VALUE"""),59.78)</f>
        <v>59.78</v>
      </c>
      <c r="E468" s="1">
        <f ca="1">IFERROR(__xludf.DUMMYFUNCTION("""COMPUTED_VALUE"""),60.42)</f>
        <v>60.42</v>
      </c>
      <c r="F468" s="1">
        <f ca="1">IFERROR(__xludf.DUMMYFUNCTION("""COMPUTED_VALUE"""),31664798)</f>
        <v>31664798</v>
      </c>
    </row>
    <row r="469" spans="1:6" x14ac:dyDescent="0.35">
      <c r="A469" s="2">
        <f ca="1">IFERROR(__xludf.DUMMYFUNCTION("""COMPUTED_VALUE"""),42682.6666666666)</f>
        <v>42682.666666666599</v>
      </c>
      <c r="B469" s="1">
        <f ca="1">IFERROR(__xludf.DUMMYFUNCTION("""COMPUTED_VALUE"""),60.55)</f>
        <v>60.55</v>
      </c>
      <c r="C469" s="1">
        <f ca="1">IFERROR(__xludf.DUMMYFUNCTION("""COMPUTED_VALUE"""),60.78)</f>
        <v>60.78</v>
      </c>
      <c r="D469" s="1">
        <f ca="1">IFERROR(__xludf.DUMMYFUNCTION("""COMPUTED_VALUE"""),60.15)</f>
        <v>60.15</v>
      </c>
      <c r="E469" s="1">
        <f ca="1">IFERROR(__xludf.DUMMYFUNCTION("""COMPUTED_VALUE"""),60.47)</f>
        <v>60.47</v>
      </c>
      <c r="F469" s="1">
        <f ca="1">IFERROR(__xludf.DUMMYFUNCTION("""COMPUTED_VALUE"""),22935355)</f>
        <v>22935355</v>
      </c>
    </row>
    <row r="470" spans="1:6" x14ac:dyDescent="0.35">
      <c r="A470" s="2">
        <f ca="1">IFERROR(__xludf.DUMMYFUNCTION("""COMPUTED_VALUE"""),42683.6666666666)</f>
        <v>42683.666666666599</v>
      </c>
      <c r="B470" s="1">
        <f ca="1">IFERROR(__xludf.DUMMYFUNCTION("""COMPUTED_VALUE"""),60)</f>
        <v>60</v>
      </c>
      <c r="C470" s="1">
        <f ca="1">IFERROR(__xludf.DUMMYFUNCTION("""COMPUTED_VALUE"""),60.59)</f>
        <v>60.59</v>
      </c>
      <c r="D470" s="1">
        <f ca="1">IFERROR(__xludf.DUMMYFUNCTION("""COMPUTED_VALUE"""),59.2)</f>
        <v>59.2</v>
      </c>
      <c r="E470" s="1">
        <f ca="1">IFERROR(__xludf.DUMMYFUNCTION("""COMPUTED_VALUE"""),60.17)</f>
        <v>60.17</v>
      </c>
      <c r="F470" s="1">
        <f ca="1">IFERROR(__xludf.DUMMYFUNCTION("""COMPUTED_VALUE"""),49632479)</f>
        <v>49632479</v>
      </c>
    </row>
    <row r="471" spans="1:6" x14ac:dyDescent="0.35">
      <c r="A471" s="2">
        <f ca="1">IFERROR(__xludf.DUMMYFUNCTION("""COMPUTED_VALUE"""),42684.6666666666)</f>
        <v>42684.666666666599</v>
      </c>
      <c r="B471" s="1">
        <f ca="1">IFERROR(__xludf.DUMMYFUNCTION("""COMPUTED_VALUE"""),60.48)</f>
        <v>60.48</v>
      </c>
      <c r="C471" s="1">
        <f ca="1">IFERROR(__xludf.DUMMYFUNCTION("""COMPUTED_VALUE"""),60.49)</f>
        <v>60.49</v>
      </c>
      <c r="D471" s="1">
        <f ca="1">IFERROR(__xludf.DUMMYFUNCTION("""COMPUTED_VALUE"""),57.63)</f>
        <v>57.63</v>
      </c>
      <c r="E471" s="1">
        <f ca="1">IFERROR(__xludf.DUMMYFUNCTION("""COMPUTED_VALUE"""),58.7)</f>
        <v>58.7</v>
      </c>
      <c r="F471" s="1">
        <f ca="1">IFERROR(__xludf.DUMMYFUNCTION("""COMPUTED_VALUE"""),57822394)</f>
        <v>57822394</v>
      </c>
    </row>
    <row r="472" spans="1:6" x14ac:dyDescent="0.35">
      <c r="A472" s="2">
        <f ca="1">IFERROR(__xludf.DUMMYFUNCTION("""COMPUTED_VALUE"""),42685.6666666666)</f>
        <v>42685.666666666599</v>
      </c>
      <c r="B472" s="1">
        <f ca="1">IFERROR(__xludf.DUMMYFUNCTION("""COMPUTED_VALUE"""),58.23)</f>
        <v>58.23</v>
      </c>
      <c r="C472" s="1">
        <f ca="1">IFERROR(__xludf.DUMMYFUNCTION("""COMPUTED_VALUE"""),59.12)</f>
        <v>59.12</v>
      </c>
      <c r="D472" s="1">
        <f ca="1">IFERROR(__xludf.DUMMYFUNCTION("""COMPUTED_VALUE"""),58.01)</f>
        <v>58.01</v>
      </c>
      <c r="E472" s="1">
        <f ca="1">IFERROR(__xludf.DUMMYFUNCTION("""COMPUTED_VALUE"""),59.02)</f>
        <v>59.02</v>
      </c>
      <c r="F472" s="1">
        <f ca="1">IFERROR(__xludf.DUMMYFUNCTION("""COMPUTED_VALUE"""),38767843)</f>
        <v>38767843</v>
      </c>
    </row>
    <row r="473" spans="1:6" x14ac:dyDescent="0.35">
      <c r="A473" s="2">
        <f ca="1">IFERROR(__xludf.DUMMYFUNCTION("""COMPUTED_VALUE"""),42688.6666666666)</f>
        <v>42688.666666666599</v>
      </c>
      <c r="B473" s="1">
        <f ca="1">IFERROR(__xludf.DUMMYFUNCTION("""COMPUTED_VALUE"""),59.02)</f>
        <v>59.02</v>
      </c>
      <c r="C473" s="1">
        <f ca="1">IFERROR(__xludf.DUMMYFUNCTION("""COMPUTED_VALUE"""),59.08)</f>
        <v>59.08</v>
      </c>
      <c r="D473" s="1">
        <f ca="1">IFERROR(__xludf.DUMMYFUNCTION("""COMPUTED_VALUE"""),57.28)</f>
        <v>57.28</v>
      </c>
      <c r="E473" s="1">
        <f ca="1">IFERROR(__xludf.DUMMYFUNCTION("""COMPUTED_VALUE"""),58.12)</f>
        <v>58.12</v>
      </c>
      <c r="F473" s="1">
        <f ca="1">IFERROR(__xludf.DUMMYFUNCTION("""COMPUTED_VALUE"""),41328422)</f>
        <v>41328422</v>
      </c>
    </row>
    <row r="474" spans="1:6" x14ac:dyDescent="0.35">
      <c r="A474" s="2">
        <f ca="1">IFERROR(__xludf.DUMMYFUNCTION("""COMPUTED_VALUE"""),42689.6666666666)</f>
        <v>42689.666666666599</v>
      </c>
      <c r="B474" s="1">
        <f ca="1">IFERROR(__xludf.DUMMYFUNCTION("""COMPUTED_VALUE"""),58.33)</f>
        <v>58.33</v>
      </c>
      <c r="C474" s="1">
        <f ca="1">IFERROR(__xludf.DUMMYFUNCTION("""COMPUTED_VALUE"""),59.49)</f>
        <v>59.49</v>
      </c>
      <c r="D474" s="1">
        <f ca="1">IFERROR(__xludf.DUMMYFUNCTION("""COMPUTED_VALUE"""),58.32)</f>
        <v>58.32</v>
      </c>
      <c r="E474" s="1">
        <f ca="1">IFERROR(__xludf.DUMMYFUNCTION("""COMPUTED_VALUE"""),58.87)</f>
        <v>58.87</v>
      </c>
      <c r="F474" s="1">
        <f ca="1">IFERROR(__xludf.DUMMYFUNCTION("""COMPUTED_VALUE"""),35904126)</f>
        <v>35904126</v>
      </c>
    </row>
    <row r="475" spans="1:6" x14ac:dyDescent="0.35">
      <c r="A475" s="2">
        <f ca="1">IFERROR(__xludf.DUMMYFUNCTION("""COMPUTED_VALUE"""),42690.6666666666)</f>
        <v>42690.666666666599</v>
      </c>
      <c r="B475" s="1">
        <f ca="1">IFERROR(__xludf.DUMMYFUNCTION("""COMPUTED_VALUE"""),58.94)</f>
        <v>58.94</v>
      </c>
      <c r="C475" s="1">
        <f ca="1">IFERROR(__xludf.DUMMYFUNCTION("""COMPUTED_VALUE"""),59.66)</f>
        <v>59.66</v>
      </c>
      <c r="D475" s="1">
        <f ca="1">IFERROR(__xludf.DUMMYFUNCTION("""COMPUTED_VALUE"""),58.81)</f>
        <v>58.81</v>
      </c>
      <c r="E475" s="1">
        <f ca="1">IFERROR(__xludf.DUMMYFUNCTION("""COMPUTED_VALUE"""),59.65)</f>
        <v>59.65</v>
      </c>
      <c r="F475" s="1">
        <f ca="1">IFERROR(__xludf.DUMMYFUNCTION("""COMPUTED_VALUE"""),27332475)</f>
        <v>27332475</v>
      </c>
    </row>
    <row r="476" spans="1:6" x14ac:dyDescent="0.35">
      <c r="A476" s="2">
        <f ca="1">IFERROR(__xludf.DUMMYFUNCTION("""COMPUTED_VALUE"""),42691.6666666666)</f>
        <v>42691.666666666599</v>
      </c>
      <c r="B476" s="1">
        <f ca="1">IFERROR(__xludf.DUMMYFUNCTION("""COMPUTED_VALUE"""),60.41)</f>
        <v>60.41</v>
      </c>
      <c r="C476" s="1">
        <f ca="1">IFERROR(__xludf.DUMMYFUNCTION("""COMPUTED_VALUE"""),60.95)</f>
        <v>60.95</v>
      </c>
      <c r="D476" s="1">
        <f ca="1">IFERROR(__xludf.DUMMYFUNCTION("""COMPUTED_VALUE"""),59.97)</f>
        <v>59.97</v>
      </c>
      <c r="E476" s="1">
        <f ca="1">IFERROR(__xludf.DUMMYFUNCTION("""COMPUTED_VALUE"""),60.64)</f>
        <v>60.64</v>
      </c>
      <c r="F476" s="1">
        <f ca="1">IFERROR(__xludf.DUMMYFUNCTION("""COMPUTED_VALUE"""),32132728)</f>
        <v>32132728</v>
      </c>
    </row>
    <row r="477" spans="1:6" x14ac:dyDescent="0.35">
      <c r="A477" s="2">
        <f ca="1">IFERROR(__xludf.DUMMYFUNCTION("""COMPUTED_VALUE"""),42692.6666666666)</f>
        <v>42692.666666666599</v>
      </c>
      <c r="B477" s="1">
        <f ca="1">IFERROR(__xludf.DUMMYFUNCTION("""COMPUTED_VALUE"""),60.78)</f>
        <v>60.78</v>
      </c>
      <c r="C477" s="1">
        <f ca="1">IFERROR(__xludf.DUMMYFUNCTION("""COMPUTED_VALUE"""),61.14)</f>
        <v>61.14</v>
      </c>
      <c r="D477" s="1">
        <f ca="1">IFERROR(__xludf.DUMMYFUNCTION("""COMPUTED_VALUE"""),60.3)</f>
        <v>60.3</v>
      </c>
      <c r="E477" s="1">
        <f ca="1">IFERROR(__xludf.DUMMYFUNCTION("""COMPUTED_VALUE"""),60.35)</f>
        <v>60.35</v>
      </c>
      <c r="F477" s="1">
        <f ca="1">IFERROR(__xludf.DUMMYFUNCTION("""COMPUTED_VALUE"""),27686311)</f>
        <v>27686311</v>
      </c>
    </row>
    <row r="478" spans="1:6" x14ac:dyDescent="0.35">
      <c r="A478" s="2">
        <f ca="1">IFERROR(__xludf.DUMMYFUNCTION("""COMPUTED_VALUE"""),42695.6666666666)</f>
        <v>42695.666666666599</v>
      </c>
      <c r="B478" s="1">
        <f ca="1">IFERROR(__xludf.DUMMYFUNCTION("""COMPUTED_VALUE"""),60.5)</f>
        <v>60.5</v>
      </c>
      <c r="C478" s="1">
        <f ca="1">IFERROR(__xludf.DUMMYFUNCTION("""COMPUTED_VALUE"""),60.97)</f>
        <v>60.97</v>
      </c>
      <c r="D478" s="1">
        <f ca="1">IFERROR(__xludf.DUMMYFUNCTION("""COMPUTED_VALUE"""),60.42)</f>
        <v>60.42</v>
      </c>
      <c r="E478" s="1">
        <f ca="1">IFERROR(__xludf.DUMMYFUNCTION("""COMPUTED_VALUE"""),60.86)</f>
        <v>60.86</v>
      </c>
      <c r="F478" s="1">
        <f ca="1">IFERROR(__xludf.DUMMYFUNCTION("""COMPUTED_VALUE"""),19652595)</f>
        <v>19652595</v>
      </c>
    </row>
    <row r="479" spans="1:6" x14ac:dyDescent="0.35">
      <c r="A479" s="2">
        <f ca="1">IFERROR(__xludf.DUMMYFUNCTION("""COMPUTED_VALUE"""),42696.6666666666)</f>
        <v>42696.666666666599</v>
      </c>
      <c r="B479" s="1">
        <f ca="1">IFERROR(__xludf.DUMMYFUNCTION("""COMPUTED_VALUE"""),60.98)</f>
        <v>60.98</v>
      </c>
      <c r="C479" s="1">
        <f ca="1">IFERROR(__xludf.DUMMYFUNCTION("""COMPUTED_VALUE"""),61.26)</f>
        <v>61.26</v>
      </c>
      <c r="D479" s="1">
        <f ca="1">IFERROR(__xludf.DUMMYFUNCTION("""COMPUTED_VALUE"""),60.81)</f>
        <v>60.81</v>
      </c>
      <c r="E479" s="1">
        <f ca="1">IFERROR(__xludf.DUMMYFUNCTION("""COMPUTED_VALUE"""),61.12)</f>
        <v>61.12</v>
      </c>
      <c r="F479" s="1">
        <f ca="1">IFERROR(__xludf.DUMMYFUNCTION("""COMPUTED_VALUE"""),23206700)</f>
        <v>23206700</v>
      </c>
    </row>
    <row r="480" spans="1:6" x14ac:dyDescent="0.35">
      <c r="A480" s="2">
        <f ca="1">IFERROR(__xludf.DUMMYFUNCTION("""COMPUTED_VALUE"""),42697.6666666666)</f>
        <v>42697.666666666599</v>
      </c>
      <c r="B480" s="1">
        <f ca="1">IFERROR(__xludf.DUMMYFUNCTION("""COMPUTED_VALUE"""),61.01)</f>
        <v>61.01</v>
      </c>
      <c r="C480" s="1">
        <f ca="1">IFERROR(__xludf.DUMMYFUNCTION("""COMPUTED_VALUE"""),61.1)</f>
        <v>61.1</v>
      </c>
      <c r="D480" s="1">
        <f ca="1">IFERROR(__xludf.DUMMYFUNCTION("""COMPUTED_VALUE"""),60.25)</f>
        <v>60.25</v>
      </c>
      <c r="E480" s="1">
        <f ca="1">IFERROR(__xludf.DUMMYFUNCTION("""COMPUTED_VALUE"""),60.4)</f>
        <v>60.4</v>
      </c>
      <c r="F480" s="1">
        <f ca="1">IFERROR(__xludf.DUMMYFUNCTION("""COMPUTED_VALUE"""),21848913)</f>
        <v>21848913</v>
      </c>
    </row>
    <row r="481" spans="1:6" x14ac:dyDescent="0.35">
      <c r="A481" s="2">
        <f ca="1">IFERROR(__xludf.DUMMYFUNCTION("""COMPUTED_VALUE"""),42699.6666666666)</f>
        <v>42699.666666666599</v>
      </c>
      <c r="B481" s="1">
        <f ca="1">IFERROR(__xludf.DUMMYFUNCTION("""COMPUTED_VALUE"""),60.3)</f>
        <v>60.3</v>
      </c>
      <c r="C481" s="1">
        <f ca="1">IFERROR(__xludf.DUMMYFUNCTION("""COMPUTED_VALUE"""),60.53)</f>
        <v>60.53</v>
      </c>
      <c r="D481" s="1">
        <f ca="1">IFERROR(__xludf.DUMMYFUNCTION("""COMPUTED_VALUE"""),60.13)</f>
        <v>60.13</v>
      </c>
      <c r="E481" s="1">
        <f ca="1">IFERROR(__xludf.DUMMYFUNCTION("""COMPUTED_VALUE"""),60.53)</f>
        <v>60.53</v>
      </c>
      <c r="F481" s="1">
        <f ca="1">IFERROR(__xludf.DUMMYFUNCTION("""COMPUTED_VALUE"""),8409616)</f>
        <v>8409616</v>
      </c>
    </row>
    <row r="482" spans="1:6" x14ac:dyDescent="0.35">
      <c r="A482" s="2">
        <f ca="1">IFERROR(__xludf.DUMMYFUNCTION("""COMPUTED_VALUE"""),42702.6666666666)</f>
        <v>42702.666666666599</v>
      </c>
      <c r="B482" s="1">
        <f ca="1">IFERROR(__xludf.DUMMYFUNCTION("""COMPUTED_VALUE"""),60.34)</f>
        <v>60.34</v>
      </c>
      <c r="C482" s="1">
        <f ca="1">IFERROR(__xludf.DUMMYFUNCTION("""COMPUTED_VALUE"""),61.02)</f>
        <v>61.02</v>
      </c>
      <c r="D482" s="1">
        <f ca="1">IFERROR(__xludf.DUMMYFUNCTION("""COMPUTED_VALUE"""),60.21)</f>
        <v>60.21</v>
      </c>
      <c r="E482" s="1">
        <f ca="1">IFERROR(__xludf.DUMMYFUNCTION("""COMPUTED_VALUE"""),60.61)</f>
        <v>60.61</v>
      </c>
      <c r="F482" s="1">
        <f ca="1">IFERROR(__xludf.DUMMYFUNCTION("""COMPUTED_VALUE"""),20732619)</f>
        <v>20732619</v>
      </c>
    </row>
    <row r="483" spans="1:6" x14ac:dyDescent="0.35">
      <c r="A483" s="2">
        <f ca="1">IFERROR(__xludf.DUMMYFUNCTION("""COMPUTED_VALUE"""),42703.6666666666)</f>
        <v>42703.666666666599</v>
      </c>
      <c r="B483" s="1">
        <f ca="1">IFERROR(__xludf.DUMMYFUNCTION("""COMPUTED_VALUE"""),60.65)</f>
        <v>60.65</v>
      </c>
      <c r="C483" s="1">
        <f ca="1">IFERROR(__xludf.DUMMYFUNCTION("""COMPUTED_VALUE"""),61.41)</f>
        <v>61.41</v>
      </c>
      <c r="D483" s="1">
        <f ca="1">IFERROR(__xludf.DUMMYFUNCTION("""COMPUTED_VALUE"""),60.52)</f>
        <v>60.52</v>
      </c>
      <c r="E483" s="1">
        <f ca="1">IFERROR(__xludf.DUMMYFUNCTION("""COMPUTED_VALUE"""),61.09)</f>
        <v>61.09</v>
      </c>
      <c r="F483" s="1">
        <f ca="1">IFERROR(__xludf.DUMMYFUNCTION("""COMPUTED_VALUE"""),22366721)</f>
        <v>22366721</v>
      </c>
    </row>
    <row r="484" spans="1:6" x14ac:dyDescent="0.35">
      <c r="A484" s="2">
        <f ca="1">IFERROR(__xludf.DUMMYFUNCTION("""COMPUTED_VALUE"""),42704.6666666666)</f>
        <v>42704.666666666599</v>
      </c>
      <c r="B484" s="1">
        <f ca="1">IFERROR(__xludf.DUMMYFUNCTION("""COMPUTED_VALUE"""),60.86)</f>
        <v>60.86</v>
      </c>
      <c r="C484" s="1">
        <f ca="1">IFERROR(__xludf.DUMMYFUNCTION("""COMPUTED_VALUE"""),61.18)</f>
        <v>61.18</v>
      </c>
      <c r="D484" s="1">
        <f ca="1">IFERROR(__xludf.DUMMYFUNCTION("""COMPUTED_VALUE"""),60.22)</f>
        <v>60.22</v>
      </c>
      <c r="E484" s="1">
        <f ca="1">IFERROR(__xludf.DUMMYFUNCTION("""COMPUTED_VALUE"""),60.26)</f>
        <v>60.26</v>
      </c>
      <c r="F484" s="1">
        <f ca="1">IFERROR(__xludf.DUMMYFUNCTION("""COMPUTED_VALUE"""),34655435)</f>
        <v>34655435</v>
      </c>
    </row>
    <row r="485" spans="1:6" x14ac:dyDescent="0.35">
      <c r="A485" s="2">
        <f ca="1">IFERROR(__xludf.DUMMYFUNCTION("""COMPUTED_VALUE"""),42705.6666666666)</f>
        <v>42705.666666666599</v>
      </c>
      <c r="B485" s="1">
        <f ca="1">IFERROR(__xludf.DUMMYFUNCTION("""COMPUTED_VALUE"""),60.11)</f>
        <v>60.11</v>
      </c>
      <c r="C485" s="1">
        <f ca="1">IFERROR(__xludf.DUMMYFUNCTION("""COMPUTED_VALUE"""),60.15)</f>
        <v>60.15</v>
      </c>
      <c r="D485" s="1">
        <f ca="1">IFERROR(__xludf.DUMMYFUNCTION("""COMPUTED_VALUE"""),58.94)</f>
        <v>58.94</v>
      </c>
      <c r="E485" s="1">
        <f ca="1">IFERROR(__xludf.DUMMYFUNCTION("""COMPUTED_VALUE"""),59.2)</f>
        <v>59.2</v>
      </c>
      <c r="F485" s="1">
        <f ca="1">IFERROR(__xludf.DUMMYFUNCTION("""COMPUTED_VALUE"""),34542121)</f>
        <v>34542121</v>
      </c>
    </row>
    <row r="486" spans="1:6" x14ac:dyDescent="0.35">
      <c r="A486" s="2">
        <f ca="1">IFERROR(__xludf.DUMMYFUNCTION("""COMPUTED_VALUE"""),42706.6666666666)</f>
        <v>42706.666666666599</v>
      </c>
      <c r="B486" s="1">
        <f ca="1">IFERROR(__xludf.DUMMYFUNCTION("""COMPUTED_VALUE"""),59.08)</f>
        <v>59.08</v>
      </c>
      <c r="C486" s="1">
        <f ca="1">IFERROR(__xludf.DUMMYFUNCTION("""COMPUTED_VALUE"""),59.47)</f>
        <v>59.47</v>
      </c>
      <c r="D486" s="1">
        <f ca="1">IFERROR(__xludf.DUMMYFUNCTION("""COMPUTED_VALUE"""),58.8)</f>
        <v>58.8</v>
      </c>
      <c r="E486" s="1">
        <f ca="1">IFERROR(__xludf.DUMMYFUNCTION("""COMPUTED_VALUE"""),59.25)</f>
        <v>59.25</v>
      </c>
      <c r="F486" s="1">
        <f ca="1">IFERROR(__xludf.DUMMYFUNCTION("""COMPUTED_VALUE"""),25515665)</f>
        <v>25515665</v>
      </c>
    </row>
    <row r="487" spans="1:6" x14ac:dyDescent="0.35">
      <c r="A487" s="2">
        <f ca="1">IFERROR(__xludf.DUMMYFUNCTION("""COMPUTED_VALUE"""),42709.6666666666)</f>
        <v>42709.666666666599</v>
      </c>
      <c r="B487" s="1">
        <f ca="1">IFERROR(__xludf.DUMMYFUNCTION("""COMPUTED_VALUE"""),59.7)</f>
        <v>59.7</v>
      </c>
      <c r="C487" s="1">
        <f ca="1">IFERROR(__xludf.DUMMYFUNCTION("""COMPUTED_VALUE"""),60.59)</f>
        <v>60.59</v>
      </c>
      <c r="D487" s="1">
        <f ca="1">IFERROR(__xludf.DUMMYFUNCTION("""COMPUTED_VALUE"""),59.56)</f>
        <v>59.56</v>
      </c>
      <c r="E487" s="1">
        <f ca="1">IFERROR(__xludf.DUMMYFUNCTION("""COMPUTED_VALUE"""),60.22)</f>
        <v>60.22</v>
      </c>
      <c r="F487" s="1">
        <f ca="1">IFERROR(__xludf.DUMMYFUNCTION("""COMPUTED_VALUE"""),23552658)</f>
        <v>23552658</v>
      </c>
    </row>
    <row r="488" spans="1:6" x14ac:dyDescent="0.35">
      <c r="A488" s="2">
        <f ca="1">IFERROR(__xludf.DUMMYFUNCTION("""COMPUTED_VALUE"""),42710.6666666666)</f>
        <v>42710.666666666599</v>
      </c>
      <c r="B488" s="1">
        <f ca="1">IFERROR(__xludf.DUMMYFUNCTION("""COMPUTED_VALUE"""),60.43)</f>
        <v>60.43</v>
      </c>
      <c r="C488" s="1">
        <f ca="1">IFERROR(__xludf.DUMMYFUNCTION("""COMPUTED_VALUE"""),60.46)</f>
        <v>60.46</v>
      </c>
      <c r="D488" s="1">
        <f ca="1">IFERROR(__xludf.DUMMYFUNCTION("""COMPUTED_VALUE"""),59.8)</f>
        <v>59.8</v>
      </c>
      <c r="E488" s="1">
        <f ca="1">IFERROR(__xludf.DUMMYFUNCTION("""COMPUTED_VALUE"""),59.95)</f>
        <v>59.95</v>
      </c>
      <c r="F488" s="1">
        <f ca="1">IFERROR(__xludf.DUMMYFUNCTION("""COMPUTED_VALUE"""),19907035)</f>
        <v>19907035</v>
      </c>
    </row>
    <row r="489" spans="1:6" x14ac:dyDescent="0.35">
      <c r="A489" s="2">
        <f ca="1">IFERROR(__xludf.DUMMYFUNCTION("""COMPUTED_VALUE"""),42711.6666666666)</f>
        <v>42711.666666666599</v>
      </c>
      <c r="B489" s="1">
        <f ca="1">IFERROR(__xludf.DUMMYFUNCTION("""COMPUTED_VALUE"""),60.01)</f>
        <v>60.01</v>
      </c>
      <c r="C489" s="1">
        <f ca="1">IFERROR(__xludf.DUMMYFUNCTION("""COMPUTED_VALUE"""),61.38)</f>
        <v>61.38</v>
      </c>
      <c r="D489" s="1">
        <f ca="1">IFERROR(__xludf.DUMMYFUNCTION("""COMPUTED_VALUE"""),59.8)</f>
        <v>59.8</v>
      </c>
      <c r="E489" s="1">
        <f ca="1">IFERROR(__xludf.DUMMYFUNCTION("""COMPUTED_VALUE"""),61.37)</f>
        <v>61.37</v>
      </c>
      <c r="F489" s="1">
        <f ca="1">IFERROR(__xludf.DUMMYFUNCTION("""COMPUTED_VALUE"""),30808969)</f>
        <v>30808969</v>
      </c>
    </row>
    <row r="490" spans="1:6" x14ac:dyDescent="0.35">
      <c r="A490" s="2">
        <f ca="1">IFERROR(__xludf.DUMMYFUNCTION("""COMPUTED_VALUE"""),42712.6666666666)</f>
        <v>42712.666666666599</v>
      </c>
      <c r="B490" s="1">
        <f ca="1">IFERROR(__xludf.DUMMYFUNCTION("""COMPUTED_VALUE"""),61.3)</f>
        <v>61.3</v>
      </c>
      <c r="C490" s="1">
        <f ca="1">IFERROR(__xludf.DUMMYFUNCTION("""COMPUTED_VALUE"""),61.58)</f>
        <v>61.58</v>
      </c>
      <c r="D490" s="1">
        <f ca="1">IFERROR(__xludf.DUMMYFUNCTION("""COMPUTED_VALUE"""),60.84)</f>
        <v>60.84</v>
      </c>
      <c r="E490" s="1">
        <f ca="1">IFERROR(__xludf.DUMMYFUNCTION("""COMPUTED_VALUE"""),61.01)</f>
        <v>61.01</v>
      </c>
      <c r="F490" s="1">
        <f ca="1">IFERROR(__xludf.DUMMYFUNCTION("""COMPUTED_VALUE"""),21220753)</f>
        <v>21220753</v>
      </c>
    </row>
    <row r="491" spans="1:6" x14ac:dyDescent="0.35">
      <c r="A491" s="2">
        <f ca="1">IFERROR(__xludf.DUMMYFUNCTION("""COMPUTED_VALUE"""),42713.6666666666)</f>
        <v>42713.666666666599</v>
      </c>
      <c r="B491" s="1">
        <f ca="1">IFERROR(__xludf.DUMMYFUNCTION("""COMPUTED_VALUE"""),61.18)</f>
        <v>61.18</v>
      </c>
      <c r="C491" s="1">
        <f ca="1">IFERROR(__xludf.DUMMYFUNCTION("""COMPUTED_VALUE"""),61.99)</f>
        <v>61.99</v>
      </c>
      <c r="D491" s="1">
        <f ca="1">IFERROR(__xludf.DUMMYFUNCTION("""COMPUTED_VALUE"""),61.13)</f>
        <v>61.13</v>
      </c>
      <c r="E491" s="1">
        <f ca="1">IFERROR(__xludf.DUMMYFUNCTION("""COMPUTED_VALUE"""),61.97)</f>
        <v>61.97</v>
      </c>
      <c r="F491" s="1">
        <f ca="1">IFERROR(__xludf.DUMMYFUNCTION("""COMPUTED_VALUE"""),27349356)</f>
        <v>27349356</v>
      </c>
    </row>
    <row r="492" spans="1:6" x14ac:dyDescent="0.35">
      <c r="A492" s="2">
        <f ca="1">IFERROR(__xludf.DUMMYFUNCTION("""COMPUTED_VALUE"""),42716.6666666666)</f>
        <v>42716.666666666599</v>
      </c>
      <c r="B492" s="1">
        <f ca="1">IFERROR(__xludf.DUMMYFUNCTION("""COMPUTED_VALUE"""),61.82)</f>
        <v>61.82</v>
      </c>
      <c r="C492" s="1">
        <f ca="1">IFERROR(__xludf.DUMMYFUNCTION("""COMPUTED_VALUE"""),62.3)</f>
        <v>62.3</v>
      </c>
      <c r="D492" s="1">
        <f ca="1">IFERROR(__xludf.DUMMYFUNCTION("""COMPUTED_VALUE"""),61.72)</f>
        <v>61.72</v>
      </c>
      <c r="E492" s="1">
        <f ca="1">IFERROR(__xludf.DUMMYFUNCTION("""COMPUTED_VALUE"""),62.17)</f>
        <v>62.17</v>
      </c>
      <c r="F492" s="1">
        <f ca="1">IFERROR(__xludf.DUMMYFUNCTION("""COMPUTED_VALUE"""),20198081)</f>
        <v>20198081</v>
      </c>
    </row>
    <row r="493" spans="1:6" x14ac:dyDescent="0.35">
      <c r="A493" s="2">
        <f ca="1">IFERROR(__xludf.DUMMYFUNCTION("""COMPUTED_VALUE"""),42717.6666666666)</f>
        <v>42717.666666666599</v>
      </c>
      <c r="B493" s="1">
        <f ca="1">IFERROR(__xludf.DUMMYFUNCTION("""COMPUTED_VALUE"""),62.5)</f>
        <v>62.5</v>
      </c>
      <c r="C493" s="1">
        <f ca="1">IFERROR(__xludf.DUMMYFUNCTION("""COMPUTED_VALUE"""),63.42)</f>
        <v>63.42</v>
      </c>
      <c r="D493" s="1">
        <f ca="1">IFERROR(__xludf.DUMMYFUNCTION("""COMPUTED_VALUE"""),62.24)</f>
        <v>62.24</v>
      </c>
      <c r="E493" s="1">
        <f ca="1">IFERROR(__xludf.DUMMYFUNCTION("""COMPUTED_VALUE"""),62.98)</f>
        <v>62.98</v>
      </c>
      <c r="F493" s="1">
        <f ca="1">IFERROR(__xludf.DUMMYFUNCTION("""COMPUTED_VALUE"""),35718868)</f>
        <v>35718868</v>
      </c>
    </row>
    <row r="494" spans="1:6" x14ac:dyDescent="0.35">
      <c r="A494" s="2">
        <f ca="1">IFERROR(__xludf.DUMMYFUNCTION("""COMPUTED_VALUE"""),42718.6666666666)</f>
        <v>42718.666666666599</v>
      </c>
      <c r="B494" s="1">
        <f ca="1">IFERROR(__xludf.DUMMYFUNCTION("""COMPUTED_VALUE"""),63)</f>
        <v>63</v>
      </c>
      <c r="C494" s="1">
        <f ca="1">IFERROR(__xludf.DUMMYFUNCTION("""COMPUTED_VALUE"""),63.45)</f>
        <v>63.45</v>
      </c>
      <c r="D494" s="1">
        <f ca="1">IFERROR(__xludf.DUMMYFUNCTION("""COMPUTED_VALUE"""),62.53)</f>
        <v>62.53</v>
      </c>
      <c r="E494" s="1">
        <f ca="1">IFERROR(__xludf.DUMMYFUNCTION("""COMPUTED_VALUE"""),62.68)</f>
        <v>62.68</v>
      </c>
      <c r="F494" s="1">
        <f ca="1">IFERROR(__xludf.DUMMYFUNCTION("""COMPUTED_VALUE"""),30352654)</f>
        <v>30352654</v>
      </c>
    </row>
    <row r="495" spans="1:6" x14ac:dyDescent="0.35">
      <c r="A495" s="2">
        <f ca="1">IFERROR(__xludf.DUMMYFUNCTION("""COMPUTED_VALUE"""),42719.6666666666)</f>
        <v>42719.666666666599</v>
      </c>
      <c r="B495" s="1">
        <f ca="1">IFERROR(__xludf.DUMMYFUNCTION("""COMPUTED_VALUE"""),62.7)</f>
        <v>62.7</v>
      </c>
      <c r="C495" s="1">
        <f ca="1">IFERROR(__xludf.DUMMYFUNCTION("""COMPUTED_VALUE"""),63.15)</f>
        <v>63.15</v>
      </c>
      <c r="D495" s="1">
        <f ca="1">IFERROR(__xludf.DUMMYFUNCTION("""COMPUTED_VALUE"""),62.3)</f>
        <v>62.3</v>
      </c>
      <c r="E495" s="1">
        <f ca="1">IFERROR(__xludf.DUMMYFUNCTION("""COMPUTED_VALUE"""),62.58)</f>
        <v>62.58</v>
      </c>
      <c r="F495" s="1">
        <f ca="1">IFERROR(__xludf.DUMMYFUNCTION("""COMPUTED_VALUE"""),27669868)</f>
        <v>27669868</v>
      </c>
    </row>
    <row r="496" spans="1:6" x14ac:dyDescent="0.35">
      <c r="A496" s="2">
        <f ca="1">IFERROR(__xludf.DUMMYFUNCTION("""COMPUTED_VALUE"""),42720.6666666666)</f>
        <v>42720.666666666599</v>
      </c>
      <c r="B496" s="1">
        <f ca="1">IFERROR(__xludf.DUMMYFUNCTION("""COMPUTED_VALUE"""),62.95)</f>
        <v>62.95</v>
      </c>
      <c r="C496" s="1">
        <f ca="1">IFERROR(__xludf.DUMMYFUNCTION("""COMPUTED_VALUE"""),62.95)</f>
        <v>62.95</v>
      </c>
      <c r="D496" s="1">
        <f ca="1">IFERROR(__xludf.DUMMYFUNCTION("""COMPUTED_VALUE"""),62.12)</f>
        <v>62.12</v>
      </c>
      <c r="E496" s="1">
        <f ca="1">IFERROR(__xludf.DUMMYFUNCTION("""COMPUTED_VALUE"""),62.3)</f>
        <v>62.3</v>
      </c>
      <c r="F496" s="1">
        <f ca="1">IFERROR(__xludf.DUMMYFUNCTION("""COMPUTED_VALUE"""),42453083)</f>
        <v>42453083</v>
      </c>
    </row>
    <row r="497" spans="1:6" x14ac:dyDescent="0.35">
      <c r="A497" s="2">
        <f ca="1">IFERROR(__xludf.DUMMYFUNCTION("""COMPUTED_VALUE"""),42723.6666666666)</f>
        <v>42723.666666666599</v>
      </c>
      <c r="B497" s="1">
        <f ca="1">IFERROR(__xludf.DUMMYFUNCTION("""COMPUTED_VALUE"""),62.56)</f>
        <v>62.56</v>
      </c>
      <c r="C497" s="1">
        <f ca="1">IFERROR(__xludf.DUMMYFUNCTION("""COMPUTED_VALUE"""),63.77)</f>
        <v>63.77</v>
      </c>
      <c r="D497" s="1">
        <f ca="1">IFERROR(__xludf.DUMMYFUNCTION("""COMPUTED_VALUE"""),62.42)</f>
        <v>62.42</v>
      </c>
      <c r="E497" s="1">
        <f ca="1">IFERROR(__xludf.DUMMYFUNCTION("""COMPUTED_VALUE"""),63.62)</f>
        <v>63.62</v>
      </c>
      <c r="F497" s="1">
        <f ca="1">IFERROR(__xludf.DUMMYFUNCTION("""COMPUTED_VALUE"""),34338219)</f>
        <v>34338219</v>
      </c>
    </row>
    <row r="498" spans="1:6" x14ac:dyDescent="0.35">
      <c r="A498" s="2">
        <f ca="1">IFERROR(__xludf.DUMMYFUNCTION("""COMPUTED_VALUE"""),42724.6666666666)</f>
        <v>42724.666666666599</v>
      </c>
      <c r="B498" s="1">
        <f ca="1">IFERROR(__xludf.DUMMYFUNCTION("""COMPUTED_VALUE"""),63.69)</f>
        <v>63.69</v>
      </c>
      <c r="C498" s="1">
        <f ca="1">IFERROR(__xludf.DUMMYFUNCTION("""COMPUTED_VALUE"""),63.8)</f>
        <v>63.8</v>
      </c>
      <c r="D498" s="1">
        <f ca="1">IFERROR(__xludf.DUMMYFUNCTION("""COMPUTED_VALUE"""),63.03)</f>
        <v>63.03</v>
      </c>
      <c r="E498" s="1">
        <f ca="1">IFERROR(__xludf.DUMMYFUNCTION("""COMPUTED_VALUE"""),63.54)</f>
        <v>63.54</v>
      </c>
      <c r="F498" s="1">
        <f ca="1">IFERROR(__xludf.DUMMYFUNCTION("""COMPUTED_VALUE"""),26028379)</f>
        <v>26028379</v>
      </c>
    </row>
    <row r="499" spans="1:6" x14ac:dyDescent="0.35">
      <c r="A499" s="2">
        <f ca="1">IFERROR(__xludf.DUMMYFUNCTION("""COMPUTED_VALUE"""),42725.6666666666)</f>
        <v>42725.666666666599</v>
      </c>
      <c r="B499" s="1">
        <f ca="1">IFERROR(__xludf.DUMMYFUNCTION("""COMPUTED_VALUE"""),63.43)</f>
        <v>63.43</v>
      </c>
      <c r="C499" s="1">
        <f ca="1">IFERROR(__xludf.DUMMYFUNCTION("""COMPUTED_VALUE"""),63.7)</f>
        <v>63.7</v>
      </c>
      <c r="D499" s="1">
        <f ca="1">IFERROR(__xludf.DUMMYFUNCTION("""COMPUTED_VALUE"""),63.12)</f>
        <v>63.12</v>
      </c>
      <c r="E499" s="1">
        <f ca="1">IFERROR(__xludf.DUMMYFUNCTION("""COMPUTED_VALUE"""),63.54)</f>
        <v>63.54</v>
      </c>
      <c r="F499" s="1">
        <f ca="1">IFERROR(__xludf.DUMMYFUNCTION("""COMPUTED_VALUE"""),17096304)</f>
        <v>17096304</v>
      </c>
    </row>
    <row r="500" spans="1:6" x14ac:dyDescent="0.35">
      <c r="A500" s="2">
        <f ca="1">IFERROR(__xludf.DUMMYFUNCTION("""COMPUTED_VALUE"""),42726.6666666666)</f>
        <v>42726.666666666599</v>
      </c>
      <c r="B500" s="1">
        <f ca="1">IFERROR(__xludf.DUMMYFUNCTION("""COMPUTED_VALUE"""),63.84)</f>
        <v>63.84</v>
      </c>
      <c r="C500" s="1">
        <f ca="1">IFERROR(__xludf.DUMMYFUNCTION("""COMPUTED_VALUE"""),64.1)</f>
        <v>64.099999999999994</v>
      </c>
      <c r="D500" s="1">
        <f ca="1">IFERROR(__xludf.DUMMYFUNCTION("""COMPUTED_VALUE"""),63.41)</f>
        <v>63.41</v>
      </c>
      <c r="E500" s="1">
        <f ca="1">IFERROR(__xludf.DUMMYFUNCTION("""COMPUTED_VALUE"""),63.55)</f>
        <v>63.55</v>
      </c>
      <c r="F500" s="1">
        <f ca="1">IFERROR(__xludf.DUMMYFUNCTION("""COMPUTED_VALUE"""),22176585)</f>
        <v>22176585</v>
      </c>
    </row>
    <row r="501" spans="1:6" x14ac:dyDescent="0.35">
      <c r="A501" s="2">
        <f ca="1">IFERROR(__xludf.DUMMYFUNCTION("""COMPUTED_VALUE"""),42727.6666666666)</f>
        <v>42727.666666666599</v>
      </c>
      <c r="B501" s="1">
        <f ca="1">IFERROR(__xludf.DUMMYFUNCTION("""COMPUTED_VALUE"""),63.45)</f>
        <v>63.45</v>
      </c>
      <c r="C501" s="1">
        <f ca="1">IFERROR(__xludf.DUMMYFUNCTION("""COMPUTED_VALUE"""),63.54)</f>
        <v>63.54</v>
      </c>
      <c r="D501" s="1">
        <f ca="1">IFERROR(__xludf.DUMMYFUNCTION("""COMPUTED_VALUE"""),62.8)</f>
        <v>62.8</v>
      </c>
      <c r="E501" s="1">
        <f ca="1">IFERROR(__xludf.DUMMYFUNCTION("""COMPUTED_VALUE"""),63.24)</f>
        <v>63.24</v>
      </c>
      <c r="F501" s="1">
        <f ca="1">IFERROR(__xludf.DUMMYFUNCTION("""COMPUTED_VALUE"""),12403819)</f>
        <v>12403819</v>
      </c>
    </row>
    <row r="502" spans="1:6" x14ac:dyDescent="0.35">
      <c r="A502" s="2">
        <f ca="1">IFERROR(__xludf.DUMMYFUNCTION("""COMPUTED_VALUE"""),42731.6666666666)</f>
        <v>42731.666666666599</v>
      </c>
      <c r="B502" s="1">
        <f ca="1">IFERROR(__xludf.DUMMYFUNCTION("""COMPUTED_VALUE"""),63.21)</f>
        <v>63.21</v>
      </c>
      <c r="C502" s="1">
        <f ca="1">IFERROR(__xludf.DUMMYFUNCTION("""COMPUTED_VALUE"""),64.07)</f>
        <v>64.069999999999993</v>
      </c>
      <c r="D502" s="1">
        <f ca="1">IFERROR(__xludf.DUMMYFUNCTION("""COMPUTED_VALUE"""),63.21)</f>
        <v>63.21</v>
      </c>
      <c r="E502" s="1">
        <f ca="1">IFERROR(__xludf.DUMMYFUNCTION("""COMPUTED_VALUE"""),63.28)</f>
        <v>63.28</v>
      </c>
      <c r="F502" s="1">
        <f ca="1">IFERROR(__xludf.DUMMYFUNCTION("""COMPUTED_VALUE"""),11763173)</f>
        <v>11763173</v>
      </c>
    </row>
    <row r="503" spans="1:6" x14ac:dyDescent="0.35">
      <c r="A503" s="2">
        <f ca="1">IFERROR(__xludf.DUMMYFUNCTION("""COMPUTED_VALUE"""),42732.6666666666)</f>
        <v>42732.666666666599</v>
      </c>
      <c r="B503" s="1">
        <f ca="1">IFERROR(__xludf.DUMMYFUNCTION("""COMPUTED_VALUE"""),63.4)</f>
        <v>63.4</v>
      </c>
      <c r="C503" s="1">
        <f ca="1">IFERROR(__xludf.DUMMYFUNCTION("""COMPUTED_VALUE"""),63.4)</f>
        <v>63.4</v>
      </c>
      <c r="D503" s="1">
        <f ca="1">IFERROR(__xludf.DUMMYFUNCTION("""COMPUTED_VALUE"""),62.83)</f>
        <v>62.83</v>
      </c>
      <c r="E503" s="1">
        <f ca="1">IFERROR(__xludf.DUMMYFUNCTION("""COMPUTED_VALUE"""),62.99)</f>
        <v>62.99</v>
      </c>
      <c r="F503" s="1">
        <f ca="1">IFERROR(__xludf.DUMMYFUNCTION("""COMPUTED_VALUE"""),14653348)</f>
        <v>14653348</v>
      </c>
    </row>
    <row r="504" spans="1:6" x14ac:dyDescent="0.35">
      <c r="A504" s="2">
        <f ca="1">IFERROR(__xludf.DUMMYFUNCTION("""COMPUTED_VALUE"""),42733.6666666666)</f>
        <v>42733.666666666599</v>
      </c>
      <c r="B504" s="1">
        <f ca="1">IFERROR(__xludf.DUMMYFUNCTION("""COMPUTED_VALUE"""),62.86)</f>
        <v>62.86</v>
      </c>
      <c r="C504" s="1">
        <f ca="1">IFERROR(__xludf.DUMMYFUNCTION("""COMPUTED_VALUE"""),63.2)</f>
        <v>63.2</v>
      </c>
      <c r="D504" s="1">
        <f ca="1">IFERROR(__xludf.DUMMYFUNCTION("""COMPUTED_VALUE"""),62.73)</f>
        <v>62.73</v>
      </c>
      <c r="E504" s="1">
        <f ca="1">IFERROR(__xludf.DUMMYFUNCTION("""COMPUTED_VALUE"""),62.9)</f>
        <v>62.9</v>
      </c>
      <c r="F504" s="1">
        <f ca="1">IFERROR(__xludf.DUMMYFUNCTION("""COMPUTED_VALUE"""),10250582)</f>
        <v>10250582</v>
      </c>
    </row>
    <row r="505" spans="1:6" x14ac:dyDescent="0.35">
      <c r="A505" s="2">
        <f ca="1">IFERROR(__xludf.DUMMYFUNCTION("""COMPUTED_VALUE"""),42734.6666666666)</f>
        <v>42734.666666666599</v>
      </c>
      <c r="B505" s="1">
        <f ca="1">IFERROR(__xludf.DUMMYFUNCTION("""COMPUTED_VALUE"""),62.96)</f>
        <v>62.96</v>
      </c>
      <c r="C505" s="1">
        <f ca="1">IFERROR(__xludf.DUMMYFUNCTION("""COMPUTED_VALUE"""),62.99)</f>
        <v>62.99</v>
      </c>
      <c r="D505" s="1">
        <f ca="1">IFERROR(__xludf.DUMMYFUNCTION("""COMPUTED_VALUE"""),62.03)</f>
        <v>62.03</v>
      </c>
      <c r="E505" s="1">
        <f ca="1">IFERROR(__xludf.DUMMYFUNCTION("""COMPUTED_VALUE"""),62.14)</f>
        <v>62.14</v>
      </c>
      <c r="F505" s="1">
        <f ca="1">IFERROR(__xludf.DUMMYFUNCTION("""COMPUTED_VALUE"""),25579908)</f>
        <v>25579908</v>
      </c>
    </row>
    <row r="506" spans="1:6" x14ac:dyDescent="0.35">
      <c r="A506" s="2">
        <f ca="1">IFERROR(__xludf.DUMMYFUNCTION("""COMPUTED_VALUE"""),42738.6666666666)</f>
        <v>42738.666666666599</v>
      </c>
      <c r="B506" s="1">
        <f ca="1">IFERROR(__xludf.DUMMYFUNCTION("""COMPUTED_VALUE"""),62.79)</f>
        <v>62.79</v>
      </c>
      <c r="C506" s="1">
        <f ca="1">IFERROR(__xludf.DUMMYFUNCTION("""COMPUTED_VALUE"""),62.84)</f>
        <v>62.84</v>
      </c>
      <c r="D506" s="1">
        <f ca="1">IFERROR(__xludf.DUMMYFUNCTION("""COMPUTED_VALUE"""),62.13)</f>
        <v>62.13</v>
      </c>
      <c r="E506" s="1">
        <f ca="1">IFERROR(__xludf.DUMMYFUNCTION("""COMPUTED_VALUE"""),62.58)</f>
        <v>62.58</v>
      </c>
      <c r="F506" s="1">
        <f ca="1">IFERROR(__xludf.DUMMYFUNCTION("""COMPUTED_VALUE"""),20694101)</f>
        <v>20694101</v>
      </c>
    </row>
    <row r="507" spans="1:6" x14ac:dyDescent="0.35">
      <c r="A507" s="2">
        <f ca="1">IFERROR(__xludf.DUMMYFUNCTION("""COMPUTED_VALUE"""),42739.6666666666)</f>
        <v>42739.666666666599</v>
      </c>
      <c r="B507" s="1">
        <f ca="1">IFERROR(__xludf.DUMMYFUNCTION("""COMPUTED_VALUE"""),62.48)</f>
        <v>62.48</v>
      </c>
      <c r="C507" s="1">
        <f ca="1">IFERROR(__xludf.DUMMYFUNCTION("""COMPUTED_VALUE"""),62.75)</f>
        <v>62.75</v>
      </c>
      <c r="D507" s="1">
        <f ca="1">IFERROR(__xludf.DUMMYFUNCTION("""COMPUTED_VALUE"""),62.12)</f>
        <v>62.12</v>
      </c>
      <c r="E507" s="1">
        <f ca="1">IFERROR(__xludf.DUMMYFUNCTION("""COMPUTED_VALUE"""),62.3)</f>
        <v>62.3</v>
      </c>
      <c r="F507" s="1">
        <f ca="1">IFERROR(__xludf.DUMMYFUNCTION("""COMPUTED_VALUE"""),21339969)</f>
        <v>21339969</v>
      </c>
    </row>
    <row r="508" spans="1:6" x14ac:dyDescent="0.35">
      <c r="A508" s="2">
        <f ca="1">IFERROR(__xludf.DUMMYFUNCTION("""COMPUTED_VALUE"""),42740.6666666666)</f>
        <v>42740.666666666599</v>
      </c>
      <c r="B508" s="1">
        <f ca="1">IFERROR(__xludf.DUMMYFUNCTION("""COMPUTED_VALUE"""),62.19)</f>
        <v>62.19</v>
      </c>
      <c r="C508" s="1">
        <f ca="1">IFERROR(__xludf.DUMMYFUNCTION("""COMPUTED_VALUE"""),62.66)</f>
        <v>62.66</v>
      </c>
      <c r="D508" s="1">
        <f ca="1">IFERROR(__xludf.DUMMYFUNCTION("""COMPUTED_VALUE"""),62.03)</f>
        <v>62.03</v>
      </c>
      <c r="E508" s="1">
        <f ca="1">IFERROR(__xludf.DUMMYFUNCTION("""COMPUTED_VALUE"""),62.3)</f>
        <v>62.3</v>
      </c>
      <c r="F508" s="1">
        <f ca="1">IFERROR(__xludf.DUMMYFUNCTION("""COMPUTED_VALUE"""),24875968)</f>
        <v>24875968</v>
      </c>
    </row>
    <row r="509" spans="1:6" x14ac:dyDescent="0.35">
      <c r="A509" s="2">
        <f ca="1">IFERROR(__xludf.DUMMYFUNCTION("""COMPUTED_VALUE"""),42741.6666666666)</f>
        <v>42741.666666666599</v>
      </c>
      <c r="B509" s="1">
        <f ca="1">IFERROR(__xludf.DUMMYFUNCTION("""COMPUTED_VALUE"""),62.3)</f>
        <v>62.3</v>
      </c>
      <c r="C509" s="1">
        <f ca="1">IFERROR(__xludf.DUMMYFUNCTION("""COMPUTED_VALUE"""),63.15)</f>
        <v>63.15</v>
      </c>
      <c r="D509" s="1">
        <f ca="1">IFERROR(__xludf.DUMMYFUNCTION("""COMPUTED_VALUE"""),62.04)</f>
        <v>62.04</v>
      </c>
      <c r="E509" s="1">
        <f ca="1">IFERROR(__xludf.DUMMYFUNCTION("""COMPUTED_VALUE"""),62.84)</f>
        <v>62.84</v>
      </c>
      <c r="F509" s="1">
        <f ca="1">IFERROR(__xludf.DUMMYFUNCTION("""COMPUTED_VALUE"""),19922919)</f>
        <v>19922919</v>
      </c>
    </row>
    <row r="510" spans="1:6" x14ac:dyDescent="0.35">
      <c r="A510" s="2">
        <f ca="1">IFERROR(__xludf.DUMMYFUNCTION("""COMPUTED_VALUE"""),42744.6666666666)</f>
        <v>42744.666666666599</v>
      </c>
      <c r="B510" s="1">
        <f ca="1">IFERROR(__xludf.DUMMYFUNCTION("""COMPUTED_VALUE"""),62.76)</f>
        <v>62.76</v>
      </c>
      <c r="C510" s="1">
        <f ca="1">IFERROR(__xludf.DUMMYFUNCTION("""COMPUTED_VALUE"""),63.08)</f>
        <v>63.08</v>
      </c>
      <c r="D510" s="1">
        <f ca="1">IFERROR(__xludf.DUMMYFUNCTION("""COMPUTED_VALUE"""),62.54)</f>
        <v>62.54</v>
      </c>
      <c r="E510" s="1">
        <f ca="1">IFERROR(__xludf.DUMMYFUNCTION("""COMPUTED_VALUE"""),62.64)</f>
        <v>62.64</v>
      </c>
      <c r="F510" s="1">
        <f ca="1">IFERROR(__xludf.DUMMYFUNCTION("""COMPUTED_VALUE"""),20382730)</f>
        <v>20382730</v>
      </c>
    </row>
    <row r="511" spans="1:6" x14ac:dyDescent="0.35">
      <c r="A511" s="2">
        <f ca="1">IFERROR(__xludf.DUMMYFUNCTION("""COMPUTED_VALUE"""),42745.6666666666)</f>
        <v>42745.666666666599</v>
      </c>
      <c r="B511" s="1">
        <f ca="1">IFERROR(__xludf.DUMMYFUNCTION("""COMPUTED_VALUE"""),62.73)</f>
        <v>62.73</v>
      </c>
      <c r="C511" s="1">
        <f ca="1">IFERROR(__xludf.DUMMYFUNCTION("""COMPUTED_VALUE"""),63.07)</f>
        <v>63.07</v>
      </c>
      <c r="D511" s="1">
        <f ca="1">IFERROR(__xludf.DUMMYFUNCTION("""COMPUTED_VALUE"""),62.28)</f>
        <v>62.28</v>
      </c>
      <c r="E511" s="1">
        <f ca="1">IFERROR(__xludf.DUMMYFUNCTION("""COMPUTED_VALUE"""),62.62)</f>
        <v>62.62</v>
      </c>
      <c r="F511" s="1">
        <f ca="1">IFERROR(__xludf.DUMMYFUNCTION("""COMPUTED_VALUE"""),18593004)</f>
        <v>18593004</v>
      </c>
    </row>
    <row r="512" spans="1:6" x14ac:dyDescent="0.35">
      <c r="A512" s="2">
        <f ca="1">IFERROR(__xludf.DUMMYFUNCTION("""COMPUTED_VALUE"""),42746.6666666666)</f>
        <v>42746.666666666599</v>
      </c>
      <c r="B512" s="1">
        <f ca="1">IFERROR(__xludf.DUMMYFUNCTION("""COMPUTED_VALUE"""),62.61)</f>
        <v>62.61</v>
      </c>
      <c r="C512" s="1">
        <f ca="1">IFERROR(__xludf.DUMMYFUNCTION("""COMPUTED_VALUE"""),63.23)</f>
        <v>63.23</v>
      </c>
      <c r="D512" s="1">
        <f ca="1">IFERROR(__xludf.DUMMYFUNCTION("""COMPUTED_VALUE"""),62.43)</f>
        <v>62.43</v>
      </c>
      <c r="E512" s="1">
        <f ca="1">IFERROR(__xludf.DUMMYFUNCTION("""COMPUTED_VALUE"""),63.19)</f>
        <v>63.19</v>
      </c>
      <c r="F512" s="1">
        <f ca="1">IFERROR(__xludf.DUMMYFUNCTION("""COMPUTED_VALUE"""),21517335)</f>
        <v>21517335</v>
      </c>
    </row>
    <row r="513" spans="1:6" x14ac:dyDescent="0.35">
      <c r="A513" s="2">
        <f ca="1">IFERROR(__xludf.DUMMYFUNCTION("""COMPUTED_VALUE"""),42747.6666666666)</f>
        <v>42747.666666666599</v>
      </c>
      <c r="B513" s="1">
        <f ca="1">IFERROR(__xludf.DUMMYFUNCTION("""COMPUTED_VALUE"""),63.06)</f>
        <v>63.06</v>
      </c>
      <c r="C513" s="1">
        <f ca="1">IFERROR(__xludf.DUMMYFUNCTION("""COMPUTED_VALUE"""),63.4)</f>
        <v>63.4</v>
      </c>
      <c r="D513" s="1">
        <f ca="1">IFERROR(__xludf.DUMMYFUNCTION("""COMPUTED_VALUE"""),61.95)</f>
        <v>61.95</v>
      </c>
      <c r="E513" s="1">
        <f ca="1">IFERROR(__xludf.DUMMYFUNCTION("""COMPUTED_VALUE"""),62.61)</f>
        <v>62.61</v>
      </c>
      <c r="F513" s="1">
        <f ca="1">IFERROR(__xludf.DUMMYFUNCTION("""COMPUTED_VALUE"""),20968223)</f>
        <v>20968223</v>
      </c>
    </row>
    <row r="514" spans="1:6" x14ac:dyDescent="0.35">
      <c r="A514" s="2">
        <f ca="1">IFERROR(__xludf.DUMMYFUNCTION("""COMPUTED_VALUE"""),42748.6666666666)</f>
        <v>42748.666666666599</v>
      </c>
      <c r="B514" s="1">
        <f ca="1">IFERROR(__xludf.DUMMYFUNCTION("""COMPUTED_VALUE"""),62.62)</f>
        <v>62.62</v>
      </c>
      <c r="C514" s="1">
        <f ca="1">IFERROR(__xludf.DUMMYFUNCTION("""COMPUTED_VALUE"""),62.87)</f>
        <v>62.87</v>
      </c>
      <c r="D514" s="1">
        <f ca="1">IFERROR(__xludf.DUMMYFUNCTION("""COMPUTED_VALUE"""),62.35)</f>
        <v>62.35</v>
      </c>
      <c r="E514" s="1">
        <f ca="1">IFERROR(__xludf.DUMMYFUNCTION("""COMPUTED_VALUE"""),62.7)</f>
        <v>62.7</v>
      </c>
      <c r="F514" s="1">
        <f ca="1">IFERROR(__xludf.DUMMYFUNCTION("""COMPUTED_VALUE"""),19422310)</f>
        <v>19422310</v>
      </c>
    </row>
    <row r="515" spans="1:6" x14ac:dyDescent="0.35">
      <c r="A515" s="2">
        <f ca="1">IFERROR(__xludf.DUMMYFUNCTION("""COMPUTED_VALUE"""),42752.6666666666)</f>
        <v>42752.666666666599</v>
      </c>
      <c r="B515" s="1">
        <f ca="1">IFERROR(__xludf.DUMMYFUNCTION("""COMPUTED_VALUE"""),62.68)</f>
        <v>62.68</v>
      </c>
      <c r="C515" s="1">
        <f ca="1">IFERROR(__xludf.DUMMYFUNCTION("""COMPUTED_VALUE"""),62.7)</f>
        <v>62.7</v>
      </c>
      <c r="D515" s="1">
        <f ca="1">IFERROR(__xludf.DUMMYFUNCTION("""COMPUTED_VALUE"""),62.03)</f>
        <v>62.03</v>
      </c>
      <c r="E515" s="1">
        <f ca="1">IFERROR(__xludf.DUMMYFUNCTION("""COMPUTED_VALUE"""),62.53)</f>
        <v>62.53</v>
      </c>
      <c r="F515" s="1">
        <f ca="1">IFERROR(__xludf.DUMMYFUNCTION("""COMPUTED_VALUE"""),20663983)</f>
        <v>20663983</v>
      </c>
    </row>
    <row r="516" spans="1:6" x14ac:dyDescent="0.35">
      <c r="A516" s="2">
        <f ca="1">IFERROR(__xludf.DUMMYFUNCTION("""COMPUTED_VALUE"""),42753.6666666666)</f>
        <v>42753.666666666599</v>
      </c>
      <c r="B516" s="1">
        <f ca="1">IFERROR(__xludf.DUMMYFUNCTION("""COMPUTED_VALUE"""),62.67)</f>
        <v>62.67</v>
      </c>
      <c r="C516" s="1">
        <f ca="1">IFERROR(__xludf.DUMMYFUNCTION("""COMPUTED_VALUE"""),62.7)</f>
        <v>62.7</v>
      </c>
      <c r="D516" s="1">
        <f ca="1">IFERROR(__xludf.DUMMYFUNCTION("""COMPUTED_VALUE"""),62.12)</f>
        <v>62.12</v>
      </c>
      <c r="E516" s="1">
        <f ca="1">IFERROR(__xludf.DUMMYFUNCTION("""COMPUTED_VALUE"""),62.5)</f>
        <v>62.5</v>
      </c>
      <c r="F516" s="1">
        <f ca="1">IFERROR(__xludf.DUMMYFUNCTION("""COMPUTED_VALUE"""),19670102)</f>
        <v>19670102</v>
      </c>
    </row>
    <row r="517" spans="1:6" x14ac:dyDescent="0.35">
      <c r="A517" s="2">
        <f ca="1">IFERROR(__xludf.DUMMYFUNCTION("""COMPUTED_VALUE"""),42754.6666666666)</f>
        <v>42754.666666666599</v>
      </c>
      <c r="B517" s="1">
        <f ca="1">IFERROR(__xludf.DUMMYFUNCTION("""COMPUTED_VALUE"""),62.24)</f>
        <v>62.24</v>
      </c>
      <c r="C517" s="1">
        <f ca="1">IFERROR(__xludf.DUMMYFUNCTION("""COMPUTED_VALUE"""),62.98)</f>
        <v>62.98</v>
      </c>
      <c r="D517" s="1">
        <f ca="1">IFERROR(__xludf.DUMMYFUNCTION("""COMPUTED_VALUE"""),62.2)</f>
        <v>62.2</v>
      </c>
      <c r="E517" s="1">
        <f ca="1">IFERROR(__xludf.DUMMYFUNCTION("""COMPUTED_VALUE"""),62.3)</f>
        <v>62.3</v>
      </c>
      <c r="F517" s="1">
        <f ca="1">IFERROR(__xludf.DUMMYFUNCTION("""COMPUTED_VALUE"""),18451655)</f>
        <v>18451655</v>
      </c>
    </row>
    <row r="518" spans="1:6" x14ac:dyDescent="0.35">
      <c r="A518" s="2">
        <f ca="1">IFERROR(__xludf.DUMMYFUNCTION("""COMPUTED_VALUE"""),42755.6666666666)</f>
        <v>42755.666666666599</v>
      </c>
      <c r="B518" s="1">
        <f ca="1">IFERROR(__xludf.DUMMYFUNCTION("""COMPUTED_VALUE"""),62.67)</f>
        <v>62.67</v>
      </c>
      <c r="C518" s="1">
        <f ca="1">IFERROR(__xludf.DUMMYFUNCTION("""COMPUTED_VALUE"""),62.82)</f>
        <v>62.82</v>
      </c>
      <c r="D518" s="1">
        <f ca="1">IFERROR(__xludf.DUMMYFUNCTION("""COMPUTED_VALUE"""),62.37)</f>
        <v>62.37</v>
      </c>
      <c r="E518" s="1">
        <f ca="1">IFERROR(__xludf.DUMMYFUNCTION("""COMPUTED_VALUE"""),62.74)</f>
        <v>62.74</v>
      </c>
      <c r="F518" s="1">
        <f ca="1">IFERROR(__xludf.DUMMYFUNCTION("""COMPUTED_VALUE"""),30213462)</f>
        <v>30213462</v>
      </c>
    </row>
    <row r="519" spans="1:6" x14ac:dyDescent="0.35">
      <c r="A519" s="2">
        <f ca="1">IFERROR(__xludf.DUMMYFUNCTION("""COMPUTED_VALUE"""),42758.6666666666)</f>
        <v>42758.666666666599</v>
      </c>
      <c r="B519" s="1">
        <f ca="1">IFERROR(__xludf.DUMMYFUNCTION("""COMPUTED_VALUE"""),62.7)</f>
        <v>62.7</v>
      </c>
      <c r="C519" s="1">
        <f ca="1">IFERROR(__xludf.DUMMYFUNCTION("""COMPUTED_VALUE"""),63.12)</f>
        <v>63.12</v>
      </c>
      <c r="D519" s="1">
        <f ca="1">IFERROR(__xludf.DUMMYFUNCTION("""COMPUTED_VALUE"""),62.57)</f>
        <v>62.57</v>
      </c>
      <c r="E519" s="1">
        <f ca="1">IFERROR(__xludf.DUMMYFUNCTION("""COMPUTED_VALUE"""),62.96)</f>
        <v>62.96</v>
      </c>
      <c r="F519" s="1">
        <f ca="1">IFERROR(__xludf.DUMMYFUNCTION("""COMPUTED_VALUE"""),23097581)</f>
        <v>23097581</v>
      </c>
    </row>
    <row r="520" spans="1:6" x14ac:dyDescent="0.35">
      <c r="A520" s="2">
        <f ca="1">IFERROR(__xludf.DUMMYFUNCTION("""COMPUTED_VALUE"""),42759.6666666666)</f>
        <v>42759.666666666599</v>
      </c>
      <c r="B520" s="1">
        <f ca="1">IFERROR(__xludf.DUMMYFUNCTION("""COMPUTED_VALUE"""),63.2)</f>
        <v>63.2</v>
      </c>
      <c r="C520" s="1">
        <f ca="1">IFERROR(__xludf.DUMMYFUNCTION("""COMPUTED_VALUE"""),63.74)</f>
        <v>63.74</v>
      </c>
      <c r="D520" s="1">
        <f ca="1">IFERROR(__xludf.DUMMYFUNCTION("""COMPUTED_VALUE"""),62.94)</f>
        <v>62.94</v>
      </c>
      <c r="E520" s="1">
        <f ca="1">IFERROR(__xludf.DUMMYFUNCTION("""COMPUTED_VALUE"""),63.52)</f>
        <v>63.52</v>
      </c>
      <c r="F520" s="1">
        <f ca="1">IFERROR(__xludf.DUMMYFUNCTION("""COMPUTED_VALUE"""),24672940)</f>
        <v>24672940</v>
      </c>
    </row>
    <row r="521" spans="1:6" x14ac:dyDescent="0.35">
      <c r="A521" s="2">
        <f ca="1">IFERROR(__xludf.DUMMYFUNCTION("""COMPUTED_VALUE"""),42760.6666666666)</f>
        <v>42760.666666666599</v>
      </c>
      <c r="B521" s="1">
        <f ca="1">IFERROR(__xludf.DUMMYFUNCTION("""COMPUTED_VALUE"""),63.95)</f>
        <v>63.95</v>
      </c>
      <c r="C521" s="1">
        <f ca="1">IFERROR(__xludf.DUMMYFUNCTION("""COMPUTED_VALUE"""),64.1)</f>
        <v>64.099999999999994</v>
      </c>
      <c r="D521" s="1">
        <f ca="1">IFERROR(__xludf.DUMMYFUNCTION("""COMPUTED_VALUE"""),63.45)</f>
        <v>63.45</v>
      </c>
      <c r="E521" s="1">
        <f ca="1">IFERROR(__xludf.DUMMYFUNCTION("""COMPUTED_VALUE"""),63.68)</f>
        <v>63.68</v>
      </c>
      <c r="F521" s="1">
        <f ca="1">IFERROR(__xludf.DUMMYFUNCTION("""COMPUTED_VALUE"""),24654933)</f>
        <v>24654933</v>
      </c>
    </row>
    <row r="522" spans="1:6" x14ac:dyDescent="0.35">
      <c r="A522" s="2">
        <f ca="1">IFERROR(__xludf.DUMMYFUNCTION("""COMPUTED_VALUE"""),42761.6666666666)</f>
        <v>42761.666666666599</v>
      </c>
      <c r="B522" s="1">
        <f ca="1">IFERROR(__xludf.DUMMYFUNCTION("""COMPUTED_VALUE"""),64.12)</f>
        <v>64.12</v>
      </c>
      <c r="C522" s="1">
        <f ca="1">IFERROR(__xludf.DUMMYFUNCTION("""COMPUTED_VALUE"""),64.54)</f>
        <v>64.540000000000006</v>
      </c>
      <c r="D522" s="1">
        <f ca="1">IFERROR(__xludf.DUMMYFUNCTION("""COMPUTED_VALUE"""),63.55)</f>
        <v>63.55</v>
      </c>
      <c r="E522" s="1">
        <f ca="1">IFERROR(__xludf.DUMMYFUNCTION("""COMPUTED_VALUE"""),64.27)</f>
        <v>64.27</v>
      </c>
      <c r="F522" s="1">
        <f ca="1">IFERROR(__xludf.DUMMYFUNCTION("""COMPUTED_VALUE"""),43554645)</f>
        <v>43554645</v>
      </c>
    </row>
    <row r="523" spans="1:6" x14ac:dyDescent="0.35">
      <c r="A523" s="2">
        <f ca="1">IFERROR(__xludf.DUMMYFUNCTION("""COMPUTED_VALUE"""),42762.6666666666)</f>
        <v>42762.666666666599</v>
      </c>
      <c r="B523" s="1">
        <f ca="1">IFERROR(__xludf.DUMMYFUNCTION("""COMPUTED_VALUE"""),65.39)</f>
        <v>65.39</v>
      </c>
      <c r="C523" s="1">
        <f ca="1">IFERROR(__xludf.DUMMYFUNCTION("""COMPUTED_VALUE"""),65.91)</f>
        <v>65.91</v>
      </c>
      <c r="D523" s="1">
        <f ca="1">IFERROR(__xludf.DUMMYFUNCTION("""COMPUTED_VALUE"""),64.89)</f>
        <v>64.89</v>
      </c>
      <c r="E523" s="1">
        <f ca="1">IFERROR(__xludf.DUMMYFUNCTION("""COMPUTED_VALUE"""),65.78)</f>
        <v>65.78</v>
      </c>
      <c r="F523" s="1">
        <f ca="1">IFERROR(__xludf.DUMMYFUNCTION("""COMPUTED_VALUE"""),44817972)</f>
        <v>44817972</v>
      </c>
    </row>
    <row r="524" spans="1:6" x14ac:dyDescent="0.35">
      <c r="A524" s="2">
        <f ca="1">IFERROR(__xludf.DUMMYFUNCTION("""COMPUTED_VALUE"""),42765.6666666666)</f>
        <v>42765.666666666599</v>
      </c>
      <c r="B524" s="1">
        <f ca="1">IFERROR(__xludf.DUMMYFUNCTION("""COMPUTED_VALUE"""),65.69)</f>
        <v>65.69</v>
      </c>
      <c r="C524" s="1">
        <f ca="1">IFERROR(__xludf.DUMMYFUNCTION("""COMPUTED_VALUE"""),65.79)</f>
        <v>65.790000000000006</v>
      </c>
      <c r="D524" s="1">
        <f ca="1">IFERROR(__xludf.DUMMYFUNCTION("""COMPUTED_VALUE"""),64.8)</f>
        <v>64.8</v>
      </c>
      <c r="E524" s="1">
        <f ca="1">IFERROR(__xludf.DUMMYFUNCTION("""COMPUTED_VALUE"""),65.13)</f>
        <v>65.13</v>
      </c>
      <c r="F524" s="1">
        <f ca="1">IFERROR(__xludf.DUMMYFUNCTION("""COMPUTED_VALUE"""),31651445)</f>
        <v>31651445</v>
      </c>
    </row>
    <row r="525" spans="1:6" x14ac:dyDescent="0.35">
      <c r="A525" s="2">
        <f ca="1">IFERROR(__xludf.DUMMYFUNCTION("""COMPUTED_VALUE"""),42766.6666666666)</f>
        <v>42766.666666666599</v>
      </c>
      <c r="B525" s="1">
        <f ca="1">IFERROR(__xludf.DUMMYFUNCTION("""COMPUTED_VALUE"""),64.86)</f>
        <v>64.86</v>
      </c>
      <c r="C525" s="1">
        <f ca="1">IFERROR(__xludf.DUMMYFUNCTION("""COMPUTED_VALUE"""),65.15)</f>
        <v>65.150000000000006</v>
      </c>
      <c r="D525" s="1">
        <f ca="1">IFERROR(__xludf.DUMMYFUNCTION("""COMPUTED_VALUE"""),64.26)</f>
        <v>64.260000000000005</v>
      </c>
      <c r="E525" s="1">
        <f ca="1">IFERROR(__xludf.DUMMYFUNCTION("""COMPUTED_VALUE"""),64.65)</f>
        <v>64.650000000000006</v>
      </c>
      <c r="F525" s="1">
        <f ca="1">IFERROR(__xludf.DUMMYFUNCTION("""COMPUTED_VALUE"""),25270549)</f>
        <v>25270549</v>
      </c>
    </row>
    <row r="526" spans="1:6" x14ac:dyDescent="0.35">
      <c r="A526" s="2">
        <f ca="1">IFERROR(__xludf.DUMMYFUNCTION("""COMPUTED_VALUE"""),42767.6666666666)</f>
        <v>42767.666666666599</v>
      </c>
      <c r="B526" s="1">
        <f ca="1">IFERROR(__xludf.DUMMYFUNCTION("""COMPUTED_VALUE"""),64.36)</f>
        <v>64.36</v>
      </c>
      <c r="C526" s="1">
        <f ca="1">IFERROR(__xludf.DUMMYFUNCTION("""COMPUTED_VALUE"""),64.62)</f>
        <v>64.62</v>
      </c>
      <c r="D526" s="1">
        <f ca="1">IFERROR(__xludf.DUMMYFUNCTION("""COMPUTED_VALUE"""),63.47)</f>
        <v>63.47</v>
      </c>
      <c r="E526" s="1">
        <f ca="1">IFERROR(__xludf.DUMMYFUNCTION("""COMPUTED_VALUE"""),63.58)</f>
        <v>63.58</v>
      </c>
      <c r="F526" s="1">
        <f ca="1">IFERROR(__xludf.DUMMYFUNCTION("""COMPUTED_VALUE"""),39671528)</f>
        <v>39671528</v>
      </c>
    </row>
    <row r="527" spans="1:6" x14ac:dyDescent="0.35">
      <c r="A527" s="2">
        <f ca="1">IFERROR(__xludf.DUMMYFUNCTION("""COMPUTED_VALUE"""),42768.6666666666)</f>
        <v>42768.666666666599</v>
      </c>
      <c r="B527" s="1">
        <f ca="1">IFERROR(__xludf.DUMMYFUNCTION("""COMPUTED_VALUE"""),63.25)</f>
        <v>63.25</v>
      </c>
      <c r="C527" s="1">
        <f ca="1">IFERROR(__xludf.DUMMYFUNCTION("""COMPUTED_VALUE"""),63.41)</f>
        <v>63.41</v>
      </c>
      <c r="D527" s="1">
        <f ca="1">IFERROR(__xludf.DUMMYFUNCTION("""COMPUTED_VALUE"""),62.75)</f>
        <v>62.75</v>
      </c>
      <c r="E527" s="1">
        <f ca="1">IFERROR(__xludf.DUMMYFUNCTION("""COMPUTED_VALUE"""),63.17)</f>
        <v>63.17</v>
      </c>
      <c r="F527" s="1">
        <f ca="1">IFERROR(__xludf.DUMMYFUNCTION("""COMPUTED_VALUE"""),45827013)</f>
        <v>45827013</v>
      </c>
    </row>
    <row r="528" spans="1:6" x14ac:dyDescent="0.35">
      <c r="A528" s="2">
        <f ca="1">IFERROR(__xludf.DUMMYFUNCTION("""COMPUTED_VALUE"""),42769.6666666666)</f>
        <v>42769.666666666599</v>
      </c>
      <c r="B528" s="1">
        <f ca="1">IFERROR(__xludf.DUMMYFUNCTION("""COMPUTED_VALUE"""),63.5)</f>
        <v>63.5</v>
      </c>
      <c r="C528" s="1">
        <f ca="1">IFERROR(__xludf.DUMMYFUNCTION("""COMPUTED_VALUE"""),63.7)</f>
        <v>63.7</v>
      </c>
      <c r="D528" s="1">
        <f ca="1">IFERROR(__xludf.DUMMYFUNCTION("""COMPUTED_VALUE"""),63.07)</f>
        <v>63.07</v>
      </c>
      <c r="E528" s="1">
        <f ca="1">IFERROR(__xludf.DUMMYFUNCTION("""COMPUTED_VALUE"""),63.68)</f>
        <v>63.68</v>
      </c>
      <c r="F528" s="1">
        <f ca="1">IFERROR(__xludf.DUMMYFUNCTION("""COMPUTED_VALUE"""),30301759)</f>
        <v>30301759</v>
      </c>
    </row>
    <row r="529" spans="1:6" x14ac:dyDescent="0.35">
      <c r="A529" s="2">
        <f ca="1">IFERROR(__xludf.DUMMYFUNCTION("""COMPUTED_VALUE"""),42772.6666666666)</f>
        <v>42772.666666666599</v>
      </c>
      <c r="B529" s="1">
        <f ca="1">IFERROR(__xludf.DUMMYFUNCTION("""COMPUTED_VALUE"""),63.5)</f>
        <v>63.5</v>
      </c>
      <c r="C529" s="1">
        <f ca="1">IFERROR(__xludf.DUMMYFUNCTION("""COMPUTED_VALUE"""),63.65)</f>
        <v>63.65</v>
      </c>
      <c r="D529" s="1">
        <f ca="1">IFERROR(__xludf.DUMMYFUNCTION("""COMPUTED_VALUE"""),63.14)</f>
        <v>63.14</v>
      </c>
      <c r="E529" s="1">
        <f ca="1">IFERROR(__xludf.DUMMYFUNCTION("""COMPUTED_VALUE"""),63.64)</f>
        <v>63.64</v>
      </c>
      <c r="F529" s="1">
        <f ca="1">IFERROR(__xludf.DUMMYFUNCTION("""COMPUTED_VALUE"""),19796360)</f>
        <v>19796360</v>
      </c>
    </row>
    <row r="530" spans="1:6" x14ac:dyDescent="0.35">
      <c r="A530" s="2">
        <f ca="1">IFERROR(__xludf.DUMMYFUNCTION("""COMPUTED_VALUE"""),42773.6666666666)</f>
        <v>42773.666666666599</v>
      </c>
      <c r="B530" s="1">
        <f ca="1">IFERROR(__xludf.DUMMYFUNCTION("""COMPUTED_VALUE"""),63.74)</f>
        <v>63.74</v>
      </c>
      <c r="C530" s="1">
        <f ca="1">IFERROR(__xludf.DUMMYFUNCTION("""COMPUTED_VALUE"""),63.78)</f>
        <v>63.78</v>
      </c>
      <c r="D530" s="1">
        <f ca="1">IFERROR(__xludf.DUMMYFUNCTION("""COMPUTED_VALUE"""),63.23)</f>
        <v>63.23</v>
      </c>
      <c r="E530" s="1">
        <f ca="1">IFERROR(__xludf.DUMMYFUNCTION("""COMPUTED_VALUE"""),63.43)</f>
        <v>63.43</v>
      </c>
      <c r="F530" s="1">
        <f ca="1">IFERROR(__xludf.DUMMYFUNCTION("""COMPUTED_VALUE"""),20277226)</f>
        <v>20277226</v>
      </c>
    </row>
    <row r="531" spans="1:6" x14ac:dyDescent="0.35">
      <c r="A531" s="2">
        <f ca="1">IFERROR(__xludf.DUMMYFUNCTION("""COMPUTED_VALUE"""),42774.6666666666)</f>
        <v>42774.666666666599</v>
      </c>
      <c r="B531" s="1">
        <f ca="1">IFERROR(__xludf.DUMMYFUNCTION("""COMPUTED_VALUE"""),63.57)</f>
        <v>63.57</v>
      </c>
      <c r="C531" s="1">
        <f ca="1">IFERROR(__xludf.DUMMYFUNCTION("""COMPUTED_VALUE"""),63.81)</f>
        <v>63.81</v>
      </c>
      <c r="D531" s="1">
        <f ca="1">IFERROR(__xludf.DUMMYFUNCTION("""COMPUTED_VALUE"""),63.22)</f>
        <v>63.22</v>
      </c>
      <c r="E531" s="1">
        <f ca="1">IFERROR(__xludf.DUMMYFUNCTION("""COMPUTED_VALUE"""),63.34)</f>
        <v>63.34</v>
      </c>
      <c r="F531" s="1">
        <f ca="1">IFERROR(__xludf.DUMMYFUNCTION("""COMPUTED_VALUE"""),18096358)</f>
        <v>18096358</v>
      </c>
    </row>
    <row r="532" spans="1:6" x14ac:dyDescent="0.35">
      <c r="A532" s="2">
        <f ca="1">IFERROR(__xludf.DUMMYFUNCTION("""COMPUTED_VALUE"""),42775.6666666666)</f>
        <v>42775.666666666599</v>
      </c>
      <c r="B532" s="1">
        <f ca="1">IFERROR(__xludf.DUMMYFUNCTION("""COMPUTED_VALUE"""),63.52)</f>
        <v>63.52</v>
      </c>
      <c r="C532" s="1">
        <f ca="1">IFERROR(__xludf.DUMMYFUNCTION("""COMPUTED_VALUE"""),64.44)</f>
        <v>64.44</v>
      </c>
      <c r="D532" s="1">
        <f ca="1">IFERROR(__xludf.DUMMYFUNCTION("""COMPUTED_VALUE"""),63.32)</f>
        <v>63.32</v>
      </c>
      <c r="E532" s="1">
        <f ca="1">IFERROR(__xludf.DUMMYFUNCTION("""COMPUTED_VALUE"""),64.06)</f>
        <v>64.06</v>
      </c>
      <c r="F532" s="1">
        <f ca="1">IFERROR(__xludf.DUMMYFUNCTION("""COMPUTED_VALUE"""),22644443)</f>
        <v>22644443</v>
      </c>
    </row>
    <row r="533" spans="1:6" x14ac:dyDescent="0.35">
      <c r="A533" s="2">
        <f ca="1">IFERROR(__xludf.DUMMYFUNCTION("""COMPUTED_VALUE"""),42776.6666666666)</f>
        <v>42776.666666666599</v>
      </c>
      <c r="B533" s="1">
        <f ca="1">IFERROR(__xludf.DUMMYFUNCTION("""COMPUTED_VALUE"""),64.25)</f>
        <v>64.25</v>
      </c>
      <c r="C533" s="1">
        <f ca="1">IFERROR(__xludf.DUMMYFUNCTION("""COMPUTED_VALUE"""),64.3)</f>
        <v>64.3</v>
      </c>
      <c r="D533" s="1">
        <f ca="1">IFERROR(__xludf.DUMMYFUNCTION("""COMPUTED_VALUE"""),63.98)</f>
        <v>63.98</v>
      </c>
      <c r="E533" s="1">
        <f ca="1">IFERROR(__xludf.DUMMYFUNCTION("""COMPUTED_VALUE"""),64)</f>
        <v>64</v>
      </c>
      <c r="F533" s="1">
        <f ca="1">IFERROR(__xludf.DUMMYFUNCTION("""COMPUTED_VALUE"""),18170729)</f>
        <v>18170729</v>
      </c>
    </row>
    <row r="534" spans="1:6" x14ac:dyDescent="0.35">
      <c r="A534" s="2">
        <f ca="1">IFERROR(__xludf.DUMMYFUNCTION("""COMPUTED_VALUE"""),42779.6666666666)</f>
        <v>42779.666666666599</v>
      </c>
      <c r="B534" s="1">
        <f ca="1">IFERROR(__xludf.DUMMYFUNCTION("""COMPUTED_VALUE"""),64.24)</f>
        <v>64.239999999999995</v>
      </c>
      <c r="C534" s="1">
        <f ca="1">IFERROR(__xludf.DUMMYFUNCTION("""COMPUTED_VALUE"""),64.86)</f>
        <v>64.86</v>
      </c>
      <c r="D534" s="1">
        <f ca="1">IFERROR(__xludf.DUMMYFUNCTION("""COMPUTED_VALUE"""),64.13)</f>
        <v>64.13</v>
      </c>
      <c r="E534" s="1">
        <f ca="1">IFERROR(__xludf.DUMMYFUNCTION("""COMPUTED_VALUE"""),64.72)</f>
        <v>64.72</v>
      </c>
      <c r="F534" s="1">
        <f ca="1">IFERROR(__xludf.DUMMYFUNCTION("""COMPUTED_VALUE"""),22920101)</f>
        <v>22920101</v>
      </c>
    </row>
    <row r="535" spans="1:6" x14ac:dyDescent="0.35">
      <c r="A535" s="2">
        <f ca="1">IFERROR(__xludf.DUMMYFUNCTION("""COMPUTED_VALUE"""),42780.6666666666)</f>
        <v>42780.666666666599</v>
      </c>
      <c r="B535" s="1">
        <f ca="1">IFERROR(__xludf.DUMMYFUNCTION("""COMPUTED_VALUE"""),64.41)</f>
        <v>64.41</v>
      </c>
      <c r="C535" s="1">
        <f ca="1">IFERROR(__xludf.DUMMYFUNCTION("""COMPUTED_VALUE"""),64.72)</f>
        <v>64.72</v>
      </c>
      <c r="D535" s="1">
        <f ca="1">IFERROR(__xludf.DUMMYFUNCTION("""COMPUTED_VALUE"""),64.02)</f>
        <v>64.02</v>
      </c>
      <c r="E535" s="1">
        <f ca="1">IFERROR(__xludf.DUMMYFUNCTION("""COMPUTED_VALUE"""),64.57)</f>
        <v>64.569999999999993</v>
      </c>
      <c r="F535" s="1">
        <f ca="1">IFERROR(__xludf.DUMMYFUNCTION("""COMPUTED_VALUE"""),23108426)</f>
        <v>23108426</v>
      </c>
    </row>
    <row r="536" spans="1:6" x14ac:dyDescent="0.35">
      <c r="A536" s="2">
        <f ca="1">IFERROR(__xludf.DUMMYFUNCTION("""COMPUTED_VALUE"""),42781.6666666666)</f>
        <v>42781.666666666599</v>
      </c>
      <c r="B536" s="1">
        <f ca="1">IFERROR(__xludf.DUMMYFUNCTION("""COMPUTED_VALUE"""),64.5)</f>
        <v>64.5</v>
      </c>
      <c r="C536" s="1">
        <f ca="1">IFERROR(__xludf.DUMMYFUNCTION("""COMPUTED_VALUE"""),64.57)</f>
        <v>64.569999999999993</v>
      </c>
      <c r="D536" s="1">
        <f ca="1">IFERROR(__xludf.DUMMYFUNCTION("""COMPUTED_VALUE"""),64.16)</f>
        <v>64.16</v>
      </c>
      <c r="E536" s="1">
        <f ca="1">IFERROR(__xludf.DUMMYFUNCTION("""COMPUTED_VALUE"""),64.53)</f>
        <v>64.53</v>
      </c>
      <c r="F536" s="1">
        <f ca="1">IFERROR(__xludf.DUMMYFUNCTION("""COMPUTED_VALUE"""),17005157)</f>
        <v>17005157</v>
      </c>
    </row>
    <row r="537" spans="1:6" x14ac:dyDescent="0.35">
      <c r="A537" s="2">
        <f ca="1">IFERROR(__xludf.DUMMYFUNCTION("""COMPUTED_VALUE"""),42782.6666666666)</f>
        <v>42782.666666666599</v>
      </c>
      <c r="B537" s="1">
        <f ca="1">IFERROR(__xludf.DUMMYFUNCTION("""COMPUTED_VALUE"""),64.74)</f>
        <v>64.739999999999995</v>
      </c>
      <c r="C537" s="1">
        <f ca="1">IFERROR(__xludf.DUMMYFUNCTION("""COMPUTED_VALUE"""),65.24)</f>
        <v>65.239999999999995</v>
      </c>
      <c r="D537" s="1">
        <f ca="1">IFERROR(__xludf.DUMMYFUNCTION("""COMPUTED_VALUE"""),64.44)</f>
        <v>64.44</v>
      </c>
      <c r="E537" s="1">
        <f ca="1">IFERROR(__xludf.DUMMYFUNCTION("""COMPUTED_VALUE"""),64.52)</f>
        <v>64.52</v>
      </c>
      <c r="F537" s="1">
        <f ca="1">IFERROR(__xludf.DUMMYFUNCTION("""COMPUTED_VALUE"""),20546345)</f>
        <v>20546345</v>
      </c>
    </row>
    <row r="538" spans="1:6" x14ac:dyDescent="0.35">
      <c r="A538" s="2">
        <f ca="1">IFERROR(__xludf.DUMMYFUNCTION("""COMPUTED_VALUE"""),42783.6666666666)</f>
        <v>42783.666666666599</v>
      </c>
      <c r="B538" s="1">
        <f ca="1">IFERROR(__xludf.DUMMYFUNCTION("""COMPUTED_VALUE"""),64.47)</f>
        <v>64.47</v>
      </c>
      <c r="C538" s="1">
        <f ca="1">IFERROR(__xludf.DUMMYFUNCTION("""COMPUTED_VALUE"""),64.69)</f>
        <v>64.69</v>
      </c>
      <c r="D538" s="1">
        <f ca="1">IFERROR(__xludf.DUMMYFUNCTION("""COMPUTED_VALUE"""),64.3)</f>
        <v>64.3</v>
      </c>
      <c r="E538" s="1">
        <f ca="1">IFERROR(__xludf.DUMMYFUNCTION("""COMPUTED_VALUE"""),64.62)</f>
        <v>64.62</v>
      </c>
      <c r="F538" s="1">
        <f ca="1">IFERROR(__xludf.DUMMYFUNCTION("""COMPUTED_VALUE"""),21248818)</f>
        <v>21248818</v>
      </c>
    </row>
    <row r="539" spans="1:6" x14ac:dyDescent="0.35">
      <c r="A539" s="2">
        <f ca="1">IFERROR(__xludf.DUMMYFUNCTION("""COMPUTED_VALUE"""),42787.6666666666)</f>
        <v>42787.666666666599</v>
      </c>
      <c r="B539" s="1">
        <f ca="1">IFERROR(__xludf.DUMMYFUNCTION("""COMPUTED_VALUE"""),64.61)</f>
        <v>64.61</v>
      </c>
      <c r="C539" s="1">
        <f ca="1">IFERROR(__xludf.DUMMYFUNCTION("""COMPUTED_VALUE"""),64.95)</f>
        <v>64.95</v>
      </c>
      <c r="D539" s="1">
        <f ca="1">IFERROR(__xludf.DUMMYFUNCTION("""COMPUTED_VALUE"""),64.45)</f>
        <v>64.45</v>
      </c>
      <c r="E539" s="1">
        <f ca="1">IFERROR(__xludf.DUMMYFUNCTION("""COMPUTED_VALUE"""),64.49)</f>
        <v>64.489999999999995</v>
      </c>
      <c r="F539" s="1">
        <f ca="1">IFERROR(__xludf.DUMMYFUNCTION("""COMPUTED_VALUE"""),20655869)</f>
        <v>20655869</v>
      </c>
    </row>
    <row r="540" spans="1:6" x14ac:dyDescent="0.35">
      <c r="A540" s="2">
        <f ca="1">IFERROR(__xludf.DUMMYFUNCTION("""COMPUTED_VALUE"""),42788.6666666666)</f>
        <v>42788.666666666599</v>
      </c>
      <c r="B540" s="1">
        <f ca="1">IFERROR(__xludf.DUMMYFUNCTION("""COMPUTED_VALUE"""),64.33)</f>
        <v>64.33</v>
      </c>
      <c r="C540" s="1">
        <f ca="1">IFERROR(__xludf.DUMMYFUNCTION("""COMPUTED_VALUE"""),64.39)</f>
        <v>64.39</v>
      </c>
      <c r="D540" s="1">
        <f ca="1">IFERROR(__xludf.DUMMYFUNCTION("""COMPUTED_VALUE"""),64.05)</f>
        <v>64.05</v>
      </c>
      <c r="E540" s="1">
        <f ca="1">IFERROR(__xludf.DUMMYFUNCTION("""COMPUTED_VALUE"""),64.36)</f>
        <v>64.36</v>
      </c>
      <c r="F540" s="1">
        <f ca="1">IFERROR(__xludf.DUMMYFUNCTION("""COMPUTED_VALUE"""),19292651)</f>
        <v>19292651</v>
      </c>
    </row>
    <row r="541" spans="1:6" x14ac:dyDescent="0.35">
      <c r="A541" s="2">
        <f ca="1">IFERROR(__xludf.DUMMYFUNCTION("""COMPUTED_VALUE"""),42789.6666666666)</f>
        <v>42789.666666666599</v>
      </c>
      <c r="B541" s="1">
        <f ca="1">IFERROR(__xludf.DUMMYFUNCTION("""COMPUTED_VALUE"""),64.42)</f>
        <v>64.42</v>
      </c>
      <c r="C541" s="1">
        <f ca="1">IFERROR(__xludf.DUMMYFUNCTION("""COMPUTED_VALUE"""),64.73)</f>
        <v>64.73</v>
      </c>
      <c r="D541" s="1">
        <f ca="1">IFERROR(__xludf.DUMMYFUNCTION("""COMPUTED_VALUE"""),64.19)</f>
        <v>64.19</v>
      </c>
      <c r="E541" s="1">
        <f ca="1">IFERROR(__xludf.DUMMYFUNCTION("""COMPUTED_VALUE"""),64.62)</f>
        <v>64.62</v>
      </c>
      <c r="F541" s="1">
        <f ca="1">IFERROR(__xludf.DUMMYFUNCTION("""COMPUTED_VALUE"""),20273128)</f>
        <v>20273128</v>
      </c>
    </row>
    <row r="542" spans="1:6" x14ac:dyDescent="0.35">
      <c r="A542" s="2">
        <f ca="1">IFERROR(__xludf.DUMMYFUNCTION("""COMPUTED_VALUE"""),42790.6666666666)</f>
        <v>42790.666666666599</v>
      </c>
      <c r="B542" s="1">
        <f ca="1">IFERROR(__xludf.DUMMYFUNCTION("""COMPUTED_VALUE"""),64.53)</f>
        <v>64.53</v>
      </c>
      <c r="C542" s="1">
        <f ca="1">IFERROR(__xludf.DUMMYFUNCTION("""COMPUTED_VALUE"""),64.8)</f>
        <v>64.8</v>
      </c>
      <c r="D542" s="1">
        <f ca="1">IFERROR(__xludf.DUMMYFUNCTION("""COMPUTED_VALUE"""),64.14)</f>
        <v>64.14</v>
      </c>
      <c r="E542" s="1">
        <f ca="1">IFERROR(__xludf.DUMMYFUNCTION("""COMPUTED_VALUE"""),64.62)</f>
        <v>64.62</v>
      </c>
      <c r="F542" s="1">
        <f ca="1">IFERROR(__xludf.DUMMYFUNCTION("""COMPUTED_VALUE"""),21796800)</f>
        <v>21796800</v>
      </c>
    </row>
    <row r="543" spans="1:6" x14ac:dyDescent="0.35">
      <c r="A543" s="2">
        <f ca="1">IFERROR(__xludf.DUMMYFUNCTION("""COMPUTED_VALUE"""),42793.6666666666)</f>
        <v>42793.666666666599</v>
      </c>
      <c r="B543" s="1">
        <f ca="1">IFERROR(__xludf.DUMMYFUNCTION("""COMPUTED_VALUE"""),64.54)</f>
        <v>64.540000000000006</v>
      </c>
      <c r="C543" s="1">
        <f ca="1">IFERROR(__xludf.DUMMYFUNCTION("""COMPUTED_VALUE"""),64.54)</f>
        <v>64.540000000000006</v>
      </c>
      <c r="D543" s="1">
        <f ca="1">IFERROR(__xludf.DUMMYFUNCTION("""COMPUTED_VALUE"""),64.05)</f>
        <v>64.05</v>
      </c>
      <c r="E543" s="1">
        <f ca="1">IFERROR(__xludf.DUMMYFUNCTION("""COMPUTED_VALUE"""),64.23)</f>
        <v>64.23</v>
      </c>
      <c r="F543" s="1">
        <f ca="1">IFERROR(__xludf.DUMMYFUNCTION("""COMPUTED_VALUE"""),15871507)</f>
        <v>15871507</v>
      </c>
    </row>
    <row r="544" spans="1:6" x14ac:dyDescent="0.35">
      <c r="A544" s="2">
        <f ca="1">IFERROR(__xludf.DUMMYFUNCTION("""COMPUTED_VALUE"""),42794.6666666666)</f>
        <v>42794.666666666599</v>
      </c>
      <c r="B544" s="1">
        <f ca="1">IFERROR(__xludf.DUMMYFUNCTION("""COMPUTED_VALUE"""),64.08)</f>
        <v>64.08</v>
      </c>
      <c r="C544" s="1">
        <f ca="1">IFERROR(__xludf.DUMMYFUNCTION("""COMPUTED_VALUE"""),64.2)</f>
        <v>64.2</v>
      </c>
      <c r="D544" s="1">
        <f ca="1">IFERROR(__xludf.DUMMYFUNCTION("""COMPUTED_VALUE"""),63.76)</f>
        <v>63.76</v>
      </c>
      <c r="E544" s="1">
        <f ca="1">IFERROR(__xludf.DUMMYFUNCTION("""COMPUTED_VALUE"""),63.98)</f>
        <v>63.98</v>
      </c>
      <c r="F544" s="1">
        <f ca="1">IFERROR(__xludf.DUMMYFUNCTION("""COMPUTED_VALUE"""),23239825)</f>
        <v>23239825</v>
      </c>
    </row>
    <row r="545" spans="1:6" x14ac:dyDescent="0.35">
      <c r="A545" s="2">
        <f ca="1">IFERROR(__xludf.DUMMYFUNCTION("""COMPUTED_VALUE"""),42795.6666666666)</f>
        <v>42795.666666666599</v>
      </c>
      <c r="B545" s="1">
        <f ca="1">IFERROR(__xludf.DUMMYFUNCTION("""COMPUTED_VALUE"""),64.13)</f>
        <v>64.13</v>
      </c>
      <c r="C545" s="1">
        <f ca="1">IFERROR(__xludf.DUMMYFUNCTION("""COMPUTED_VALUE"""),64.99)</f>
        <v>64.989999999999995</v>
      </c>
      <c r="D545" s="1">
        <f ca="1">IFERROR(__xludf.DUMMYFUNCTION("""COMPUTED_VALUE"""),64.02)</f>
        <v>64.02</v>
      </c>
      <c r="E545" s="1">
        <f ca="1">IFERROR(__xludf.DUMMYFUNCTION("""COMPUTED_VALUE"""),64.94)</f>
        <v>64.94</v>
      </c>
      <c r="F545" s="1">
        <f ca="1">IFERROR(__xludf.DUMMYFUNCTION("""COMPUTED_VALUE"""),26937459)</f>
        <v>26937459</v>
      </c>
    </row>
    <row r="546" spans="1:6" x14ac:dyDescent="0.35">
      <c r="A546" s="2">
        <f ca="1">IFERROR(__xludf.DUMMYFUNCTION("""COMPUTED_VALUE"""),42796.6666666666)</f>
        <v>42796.666666666599</v>
      </c>
      <c r="B546" s="1">
        <f ca="1">IFERROR(__xludf.DUMMYFUNCTION("""COMPUTED_VALUE"""),64.69)</f>
        <v>64.69</v>
      </c>
      <c r="C546" s="1">
        <f ca="1">IFERROR(__xludf.DUMMYFUNCTION("""COMPUTED_VALUE"""),64.75)</f>
        <v>64.75</v>
      </c>
      <c r="D546" s="1">
        <f ca="1">IFERROR(__xludf.DUMMYFUNCTION("""COMPUTED_VALUE"""),63.88)</f>
        <v>63.88</v>
      </c>
      <c r="E546" s="1">
        <f ca="1">IFERROR(__xludf.DUMMYFUNCTION("""COMPUTED_VALUE"""),64.01)</f>
        <v>64.010000000000005</v>
      </c>
      <c r="F546" s="1">
        <f ca="1">IFERROR(__xludf.DUMMYFUNCTION("""COMPUTED_VALUE"""),24539597)</f>
        <v>24539597</v>
      </c>
    </row>
    <row r="547" spans="1:6" x14ac:dyDescent="0.35">
      <c r="A547" s="2">
        <f ca="1">IFERROR(__xludf.DUMMYFUNCTION("""COMPUTED_VALUE"""),42797.6666666666)</f>
        <v>42797.666666666599</v>
      </c>
      <c r="B547" s="1">
        <f ca="1">IFERROR(__xludf.DUMMYFUNCTION("""COMPUTED_VALUE"""),63.99)</f>
        <v>63.99</v>
      </c>
      <c r="C547" s="1">
        <f ca="1">IFERROR(__xludf.DUMMYFUNCTION("""COMPUTED_VALUE"""),64.28)</f>
        <v>64.28</v>
      </c>
      <c r="D547" s="1">
        <f ca="1">IFERROR(__xludf.DUMMYFUNCTION("""COMPUTED_VALUE"""),63.62)</f>
        <v>63.62</v>
      </c>
      <c r="E547" s="1">
        <f ca="1">IFERROR(__xludf.DUMMYFUNCTION("""COMPUTED_VALUE"""),64.25)</f>
        <v>64.25</v>
      </c>
      <c r="F547" s="1">
        <f ca="1">IFERROR(__xludf.DUMMYFUNCTION("""COMPUTED_VALUE"""),18139405)</f>
        <v>18139405</v>
      </c>
    </row>
    <row r="548" spans="1:6" x14ac:dyDescent="0.35">
      <c r="A548" s="2">
        <f ca="1">IFERROR(__xludf.DUMMYFUNCTION("""COMPUTED_VALUE"""),42800.6666666666)</f>
        <v>42800.666666666599</v>
      </c>
      <c r="B548" s="1">
        <f ca="1">IFERROR(__xludf.DUMMYFUNCTION("""COMPUTED_VALUE"""),63.97)</f>
        <v>63.97</v>
      </c>
      <c r="C548" s="1">
        <f ca="1">IFERROR(__xludf.DUMMYFUNCTION("""COMPUTED_VALUE"""),64.56)</f>
        <v>64.56</v>
      </c>
      <c r="D548" s="1">
        <f ca="1">IFERROR(__xludf.DUMMYFUNCTION("""COMPUTED_VALUE"""),63.81)</f>
        <v>63.81</v>
      </c>
      <c r="E548" s="1">
        <f ca="1">IFERROR(__xludf.DUMMYFUNCTION("""COMPUTED_VALUE"""),64.27)</f>
        <v>64.27</v>
      </c>
      <c r="F548" s="1">
        <f ca="1">IFERROR(__xludf.DUMMYFUNCTION("""COMPUTED_VALUE"""),18750255)</f>
        <v>18750255</v>
      </c>
    </row>
    <row r="549" spans="1:6" x14ac:dyDescent="0.35">
      <c r="A549" s="2">
        <f ca="1">IFERROR(__xludf.DUMMYFUNCTION("""COMPUTED_VALUE"""),42801.6666666666)</f>
        <v>42801.666666666599</v>
      </c>
      <c r="B549" s="1">
        <f ca="1">IFERROR(__xludf.DUMMYFUNCTION("""COMPUTED_VALUE"""),64.19)</f>
        <v>64.19</v>
      </c>
      <c r="C549" s="1">
        <f ca="1">IFERROR(__xludf.DUMMYFUNCTION("""COMPUTED_VALUE"""),64.78)</f>
        <v>64.78</v>
      </c>
      <c r="D549" s="1">
        <f ca="1">IFERROR(__xludf.DUMMYFUNCTION("""COMPUTED_VALUE"""),64.19)</f>
        <v>64.19</v>
      </c>
      <c r="E549" s="1">
        <f ca="1">IFERROR(__xludf.DUMMYFUNCTION("""COMPUTED_VALUE"""),64.4)</f>
        <v>64.400000000000006</v>
      </c>
      <c r="F549" s="1">
        <f ca="1">IFERROR(__xludf.DUMMYFUNCTION("""COMPUTED_VALUE"""),18520987)</f>
        <v>18520987</v>
      </c>
    </row>
    <row r="550" spans="1:6" x14ac:dyDescent="0.35">
      <c r="A550" s="2">
        <f ca="1">IFERROR(__xludf.DUMMYFUNCTION("""COMPUTED_VALUE"""),42802.6666666666)</f>
        <v>42802.666666666599</v>
      </c>
      <c r="B550" s="1">
        <f ca="1">IFERROR(__xludf.DUMMYFUNCTION("""COMPUTED_VALUE"""),64.26)</f>
        <v>64.260000000000005</v>
      </c>
      <c r="C550" s="1">
        <f ca="1">IFERROR(__xludf.DUMMYFUNCTION("""COMPUTED_VALUE"""),65.08)</f>
        <v>65.08</v>
      </c>
      <c r="D550" s="1">
        <f ca="1">IFERROR(__xludf.DUMMYFUNCTION("""COMPUTED_VALUE"""),64.25)</f>
        <v>64.25</v>
      </c>
      <c r="E550" s="1">
        <f ca="1">IFERROR(__xludf.DUMMYFUNCTION("""COMPUTED_VALUE"""),64.99)</f>
        <v>64.989999999999995</v>
      </c>
      <c r="F550" s="1">
        <f ca="1">IFERROR(__xludf.DUMMYFUNCTION("""COMPUTED_VALUE"""),21510907)</f>
        <v>21510907</v>
      </c>
    </row>
    <row r="551" spans="1:6" x14ac:dyDescent="0.35">
      <c r="A551" s="2">
        <f ca="1">IFERROR(__xludf.DUMMYFUNCTION("""COMPUTED_VALUE"""),42803.6666666666)</f>
        <v>42803.666666666599</v>
      </c>
      <c r="B551" s="1">
        <f ca="1">IFERROR(__xludf.DUMMYFUNCTION("""COMPUTED_VALUE"""),65.19)</f>
        <v>65.19</v>
      </c>
      <c r="C551" s="1">
        <f ca="1">IFERROR(__xludf.DUMMYFUNCTION("""COMPUTED_VALUE"""),65.2)</f>
        <v>65.2</v>
      </c>
      <c r="D551" s="1">
        <f ca="1">IFERROR(__xludf.DUMMYFUNCTION("""COMPUTED_VALUE"""),64.48)</f>
        <v>64.48</v>
      </c>
      <c r="E551" s="1">
        <f ca="1">IFERROR(__xludf.DUMMYFUNCTION("""COMPUTED_VALUE"""),64.73)</f>
        <v>64.73</v>
      </c>
      <c r="F551" s="1">
        <f ca="1">IFERROR(__xludf.DUMMYFUNCTION("""COMPUTED_VALUE"""),19846832)</f>
        <v>19846832</v>
      </c>
    </row>
    <row r="552" spans="1:6" x14ac:dyDescent="0.35">
      <c r="A552" s="2">
        <f ca="1">IFERROR(__xludf.DUMMYFUNCTION("""COMPUTED_VALUE"""),42804.6666666666)</f>
        <v>42804.666666666599</v>
      </c>
      <c r="B552" s="1">
        <f ca="1">IFERROR(__xludf.DUMMYFUNCTION("""COMPUTED_VALUE"""),65.11)</f>
        <v>65.11</v>
      </c>
      <c r="C552" s="1">
        <f ca="1">IFERROR(__xludf.DUMMYFUNCTION("""COMPUTED_VALUE"""),65.26)</f>
        <v>65.260000000000005</v>
      </c>
      <c r="D552" s="1">
        <f ca="1">IFERROR(__xludf.DUMMYFUNCTION("""COMPUTED_VALUE"""),64.75)</f>
        <v>64.75</v>
      </c>
      <c r="E552" s="1">
        <f ca="1">IFERROR(__xludf.DUMMYFUNCTION("""COMPUTED_VALUE"""),64.93)</f>
        <v>64.930000000000007</v>
      </c>
      <c r="F552" s="1">
        <f ca="1">IFERROR(__xludf.DUMMYFUNCTION("""COMPUTED_VALUE"""),19538245)</f>
        <v>19538245</v>
      </c>
    </row>
    <row r="553" spans="1:6" x14ac:dyDescent="0.35">
      <c r="A553" s="2">
        <f ca="1">IFERROR(__xludf.DUMMYFUNCTION("""COMPUTED_VALUE"""),42807.6666666666)</f>
        <v>42807.666666666599</v>
      </c>
      <c r="B553" s="1">
        <f ca="1">IFERROR(__xludf.DUMMYFUNCTION("""COMPUTED_VALUE"""),65.14)</f>
        <v>65.14</v>
      </c>
      <c r="C553" s="1">
        <f ca="1">IFERROR(__xludf.DUMMYFUNCTION("""COMPUTED_VALUE"""),65.19)</f>
        <v>65.19</v>
      </c>
      <c r="D553" s="1">
        <f ca="1">IFERROR(__xludf.DUMMYFUNCTION("""COMPUTED_VALUE"""),64.57)</f>
        <v>64.569999999999993</v>
      </c>
      <c r="E553" s="1">
        <f ca="1">IFERROR(__xludf.DUMMYFUNCTION("""COMPUTED_VALUE"""),64.71)</f>
        <v>64.709999999999994</v>
      </c>
      <c r="F553" s="1">
        <f ca="1">IFERROR(__xludf.DUMMYFUNCTION("""COMPUTED_VALUE"""),20100035)</f>
        <v>20100035</v>
      </c>
    </row>
    <row r="554" spans="1:6" x14ac:dyDescent="0.35">
      <c r="A554" s="2">
        <f ca="1">IFERROR(__xludf.DUMMYFUNCTION("""COMPUTED_VALUE"""),42808.6666666666)</f>
        <v>42808.666666666599</v>
      </c>
      <c r="B554" s="1">
        <f ca="1">IFERROR(__xludf.DUMMYFUNCTION("""COMPUTED_VALUE"""),64.53)</f>
        <v>64.53</v>
      </c>
      <c r="C554" s="1">
        <f ca="1">IFERROR(__xludf.DUMMYFUNCTION("""COMPUTED_VALUE"""),64.55)</f>
        <v>64.55</v>
      </c>
      <c r="D554" s="1">
        <f ca="1">IFERROR(__xludf.DUMMYFUNCTION("""COMPUTED_VALUE"""),64.15)</f>
        <v>64.150000000000006</v>
      </c>
      <c r="E554" s="1">
        <f ca="1">IFERROR(__xludf.DUMMYFUNCTION("""COMPUTED_VALUE"""),64.41)</f>
        <v>64.41</v>
      </c>
      <c r="F554" s="1">
        <f ca="1">IFERROR(__xludf.DUMMYFUNCTION("""COMPUTED_VALUE"""),14280202)</f>
        <v>14280202</v>
      </c>
    </row>
    <row r="555" spans="1:6" x14ac:dyDescent="0.35">
      <c r="A555" s="2">
        <f ca="1">IFERROR(__xludf.DUMMYFUNCTION("""COMPUTED_VALUE"""),42809.6666666666)</f>
        <v>42809.666666666599</v>
      </c>
      <c r="B555" s="1">
        <f ca="1">IFERROR(__xludf.DUMMYFUNCTION("""COMPUTED_VALUE"""),64.55)</f>
        <v>64.55</v>
      </c>
      <c r="C555" s="1">
        <f ca="1">IFERROR(__xludf.DUMMYFUNCTION("""COMPUTED_VALUE"""),64.92)</f>
        <v>64.92</v>
      </c>
      <c r="D555" s="1">
        <f ca="1">IFERROR(__xludf.DUMMYFUNCTION("""COMPUTED_VALUE"""),64.25)</f>
        <v>64.25</v>
      </c>
      <c r="E555" s="1">
        <f ca="1">IFERROR(__xludf.DUMMYFUNCTION("""COMPUTED_VALUE"""),64.75)</f>
        <v>64.75</v>
      </c>
      <c r="F555" s="1">
        <f ca="1">IFERROR(__xludf.DUMMYFUNCTION("""COMPUTED_VALUE"""),24833810)</f>
        <v>24833810</v>
      </c>
    </row>
    <row r="556" spans="1:6" x14ac:dyDescent="0.35">
      <c r="A556" s="2">
        <f ca="1">IFERROR(__xludf.DUMMYFUNCTION("""COMPUTED_VALUE"""),42810.6666666666)</f>
        <v>42810.666666666599</v>
      </c>
      <c r="B556" s="1">
        <f ca="1">IFERROR(__xludf.DUMMYFUNCTION("""COMPUTED_VALUE"""),64.75)</f>
        <v>64.75</v>
      </c>
      <c r="C556" s="1">
        <f ca="1">IFERROR(__xludf.DUMMYFUNCTION("""COMPUTED_VALUE"""),64.76)</f>
        <v>64.760000000000005</v>
      </c>
      <c r="D556" s="1">
        <f ca="1">IFERROR(__xludf.DUMMYFUNCTION("""COMPUTED_VALUE"""),64.3)</f>
        <v>64.3</v>
      </c>
      <c r="E556" s="1">
        <f ca="1">IFERROR(__xludf.DUMMYFUNCTION("""COMPUTED_VALUE"""),64.64)</f>
        <v>64.64</v>
      </c>
      <c r="F556" s="1">
        <f ca="1">IFERROR(__xludf.DUMMYFUNCTION("""COMPUTED_VALUE"""),20674296)</f>
        <v>20674296</v>
      </c>
    </row>
    <row r="557" spans="1:6" x14ac:dyDescent="0.35">
      <c r="A557" s="2">
        <f ca="1">IFERROR(__xludf.DUMMYFUNCTION("""COMPUTED_VALUE"""),42811.6666666666)</f>
        <v>42811.666666666599</v>
      </c>
      <c r="B557" s="1">
        <f ca="1">IFERROR(__xludf.DUMMYFUNCTION("""COMPUTED_VALUE"""),64.91)</f>
        <v>64.91</v>
      </c>
      <c r="C557" s="1">
        <f ca="1">IFERROR(__xludf.DUMMYFUNCTION("""COMPUTED_VALUE"""),65.24)</f>
        <v>65.239999999999995</v>
      </c>
      <c r="D557" s="1">
        <f ca="1">IFERROR(__xludf.DUMMYFUNCTION("""COMPUTED_VALUE"""),64.68)</f>
        <v>64.680000000000007</v>
      </c>
      <c r="E557" s="1">
        <f ca="1">IFERROR(__xludf.DUMMYFUNCTION("""COMPUTED_VALUE"""),64.87)</f>
        <v>64.87</v>
      </c>
      <c r="F557" s="1">
        <f ca="1">IFERROR(__xludf.DUMMYFUNCTION("""COMPUTED_VALUE"""),49219686)</f>
        <v>49219686</v>
      </c>
    </row>
    <row r="558" spans="1:6" x14ac:dyDescent="0.35">
      <c r="A558" s="2">
        <f ca="1">IFERROR(__xludf.DUMMYFUNCTION("""COMPUTED_VALUE"""),42814.6666666666)</f>
        <v>42814.666666666599</v>
      </c>
      <c r="B558" s="1">
        <f ca="1">IFERROR(__xludf.DUMMYFUNCTION("""COMPUTED_VALUE"""),64.91)</f>
        <v>64.91</v>
      </c>
      <c r="C558" s="1">
        <f ca="1">IFERROR(__xludf.DUMMYFUNCTION("""COMPUTED_VALUE"""),65.18)</f>
        <v>65.180000000000007</v>
      </c>
      <c r="D558" s="1">
        <f ca="1">IFERROR(__xludf.DUMMYFUNCTION("""COMPUTED_VALUE"""),64.72)</f>
        <v>64.72</v>
      </c>
      <c r="E558" s="1">
        <f ca="1">IFERROR(__xludf.DUMMYFUNCTION("""COMPUTED_VALUE"""),64.93)</f>
        <v>64.930000000000007</v>
      </c>
      <c r="F558" s="1">
        <f ca="1">IFERROR(__xludf.DUMMYFUNCTION("""COMPUTED_VALUE"""),14598083)</f>
        <v>14598083</v>
      </c>
    </row>
    <row r="559" spans="1:6" x14ac:dyDescent="0.35">
      <c r="A559" s="2">
        <f ca="1">IFERROR(__xludf.DUMMYFUNCTION("""COMPUTED_VALUE"""),42815.6666666666)</f>
        <v>42815.666666666599</v>
      </c>
      <c r="B559" s="1">
        <f ca="1">IFERROR(__xludf.DUMMYFUNCTION("""COMPUTED_VALUE"""),65.19)</f>
        <v>65.19</v>
      </c>
      <c r="C559" s="1">
        <f ca="1">IFERROR(__xludf.DUMMYFUNCTION("""COMPUTED_VALUE"""),65.5)</f>
        <v>65.5</v>
      </c>
      <c r="D559" s="1">
        <f ca="1">IFERROR(__xludf.DUMMYFUNCTION("""COMPUTED_VALUE"""),64.13)</f>
        <v>64.13</v>
      </c>
      <c r="E559" s="1">
        <f ca="1">IFERROR(__xludf.DUMMYFUNCTION("""COMPUTED_VALUE"""),64.21)</f>
        <v>64.209999999999994</v>
      </c>
      <c r="F559" s="1">
        <f ca="1">IFERROR(__xludf.DUMMYFUNCTION("""COMPUTED_VALUE"""),26640480)</f>
        <v>26640480</v>
      </c>
    </row>
    <row r="560" spans="1:6" x14ac:dyDescent="0.35">
      <c r="A560" s="2">
        <f ca="1">IFERROR(__xludf.DUMMYFUNCTION("""COMPUTED_VALUE"""),42816.6666666666)</f>
        <v>42816.666666666599</v>
      </c>
      <c r="B560" s="1">
        <f ca="1">IFERROR(__xludf.DUMMYFUNCTION("""COMPUTED_VALUE"""),64.12)</f>
        <v>64.12</v>
      </c>
      <c r="C560" s="1">
        <f ca="1">IFERROR(__xludf.DUMMYFUNCTION("""COMPUTED_VALUE"""),65.14)</f>
        <v>65.14</v>
      </c>
      <c r="D560" s="1">
        <f ca="1">IFERROR(__xludf.DUMMYFUNCTION("""COMPUTED_VALUE"""),64.12)</f>
        <v>64.12</v>
      </c>
      <c r="E560" s="1">
        <f ca="1">IFERROR(__xludf.DUMMYFUNCTION("""COMPUTED_VALUE"""),65.03)</f>
        <v>65.03</v>
      </c>
      <c r="F560" s="1">
        <f ca="1">IFERROR(__xludf.DUMMYFUNCTION("""COMPUTED_VALUE"""),20680015)</f>
        <v>20680015</v>
      </c>
    </row>
    <row r="561" spans="1:6" x14ac:dyDescent="0.35">
      <c r="A561" s="2">
        <f ca="1">IFERROR(__xludf.DUMMYFUNCTION("""COMPUTED_VALUE"""),42817.6666666666)</f>
        <v>42817.666666666599</v>
      </c>
      <c r="B561" s="1">
        <f ca="1">IFERROR(__xludf.DUMMYFUNCTION("""COMPUTED_VALUE"""),64.94)</f>
        <v>64.94</v>
      </c>
      <c r="C561" s="1">
        <f ca="1">IFERROR(__xludf.DUMMYFUNCTION("""COMPUTED_VALUE"""),65.24)</f>
        <v>65.239999999999995</v>
      </c>
      <c r="D561" s="1">
        <f ca="1">IFERROR(__xludf.DUMMYFUNCTION("""COMPUTED_VALUE"""),64.77)</f>
        <v>64.77</v>
      </c>
      <c r="E561" s="1">
        <f ca="1">IFERROR(__xludf.DUMMYFUNCTION("""COMPUTED_VALUE"""),64.87)</f>
        <v>64.87</v>
      </c>
      <c r="F561" s="1">
        <f ca="1">IFERROR(__xludf.DUMMYFUNCTION("""COMPUTED_VALUE"""),19269203)</f>
        <v>19269203</v>
      </c>
    </row>
    <row r="562" spans="1:6" x14ac:dyDescent="0.35">
      <c r="A562" s="2">
        <f ca="1">IFERROR(__xludf.DUMMYFUNCTION("""COMPUTED_VALUE"""),42818.6666666666)</f>
        <v>42818.666666666599</v>
      </c>
      <c r="B562" s="1">
        <f ca="1">IFERROR(__xludf.DUMMYFUNCTION("""COMPUTED_VALUE"""),65.12)</f>
        <v>65.12</v>
      </c>
      <c r="C562" s="1">
        <f ca="1">IFERROR(__xludf.DUMMYFUNCTION("""COMPUTED_VALUE"""),65.45)</f>
        <v>65.45</v>
      </c>
      <c r="D562" s="1">
        <f ca="1">IFERROR(__xludf.DUMMYFUNCTION("""COMPUTED_VALUE"""),64.76)</f>
        <v>64.760000000000005</v>
      </c>
      <c r="E562" s="1">
        <f ca="1">IFERROR(__xludf.DUMMYFUNCTION("""COMPUTED_VALUE"""),64.98)</f>
        <v>64.98</v>
      </c>
      <c r="F562" s="1">
        <f ca="1">IFERROR(__xludf.DUMMYFUNCTION("""COMPUTED_VALUE"""),22617105)</f>
        <v>22617105</v>
      </c>
    </row>
    <row r="563" spans="1:6" x14ac:dyDescent="0.35">
      <c r="A563" s="2">
        <f ca="1">IFERROR(__xludf.DUMMYFUNCTION("""COMPUTED_VALUE"""),42821.6666666666)</f>
        <v>42821.666666666599</v>
      </c>
      <c r="B563" s="1">
        <f ca="1">IFERROR(__xludf.DUMMYFUNCTION("""COMPUTED_VALUE"""),64.63)</f>
        <v>64.63</v>
      </c>
      <c r="C563" s="1">
        <f ca="1">IFERROR(__xludf.DUMMYFUNCTION("""COMPUTED_VALUE"""),65.22)</f>
        <v>65.22</v>
      </c>
      <c r="D563" s="1">
        <f ca="1">IFERROR(__xludf.DUMMYFUNCTION("""COMPUTED_VALUE"""),64.35)</f>
        <v>64.349999999999994</v>
      </c>
      <c r="E563" s="1">
        <f ca="1">IFERROR(__xludf.DUMMYFUNCTION("""COMPUTED_VALUE"""),65.1)</f>
        <v>65.099999999999994</v>
      </c>
      <c r="F563" s="1">
        <f ca="1">IFERROR(__xludf.DUMMYFUNCTION("""COMPUTED_VALUE"""),18614662)</f>
        <v>18614662</v>
      </c>
    </row>
    <row r="564" spans="1:6" x14ac:dyDescent="0.35">
      <c r="A564" s="2">
        <f ca="1">IFERROR(__xludf.DUMMYFUNCTION("""COMPUTED_VALUE"""),42822.6666666666)</f>
        <v>42822.666666666599</v>
      </c>
      <c r="B564" s="1">
        <f ca="1">IFERROR(__xludf.DUMMYFUNCTION("""COMPUTED_VALUE"""),64.96)</f>
        <v>64.959999999999994</v>
      </c>
      <c r="C564" s="1">
        <f ca="1">IFERROR(__xludf.DUMMYFUNCTION("""COMPUTED_VALUE"""),65.47)</f>
        <v>65.47</v>
      </c>
      <c r="D564" s="1">
        <f ca="1">IFERROR(__xludf.DUMMYFUNCTION("""COMPUTED_VALUE"""),64.65)</f>
        <v>64.650000000000006</v>
      </c>
      <c r="E564" s="1">
        <f ca="1">IFERROR(__xludf.DUMMYFUNCTION("""COMPUTED_VALUE"""),65.29)</f>
        <v>65.290000000000006</v>
      </c>
      <c r="F564" s="1">
        <f ca="1">IFERROR(__xludf.DUMMYFUNCTION("""COMPUTED_VALUE"""),20080358)</f>
        <v>20080358</v>
      </c>
    </row>
    <row r="565" spans="1:6" x14ac:dyDescent="0.35">
      <c r="A565" s="2">
        <f ca="1">IFERROR(__xludf.DUMMYFUNCTION("""COMPUTED_VALUE"""),42823.6666666666)</f>
        <v>42823.666666666599</v>
      </c>
      <c r="B565" s="1">
        <f ca="1">IFERROR(__xludf.DUMMYFUNCTION("""COMPUTED_VALUE"""),65.12)</f>
        <v>65.12</v>
      </c>
      <c r="C565" s="1">
        <f ca="1">IFERROR(__xludf.DUMMYFUNCTION("""COMPUTED_VALUE"""),65.5)</f>
        <v>65.5</v>
      </c>
      <c r="D565" s="1">
        <f ca="1">IFERROR(__xludf.DUMMYFUNCTION("""COMPUTED_VALUE"""),64.95)</f>
        <v>64.95</v>
      </c>
      <c r="E565" s="1">
        <f ca="1">IFERROR(__xludf.DUMMYFUNCTION("""COMPUTED_VALUE"""),65.47)</f>
        <v>65.47</v>
      </c>
      <c r="F565" s="1">
        <f ca="1">IFERROR(__xludf.DUMMYFUNCTION("""COMPUTED_VALUE"""),13618424)</f>
        <v>13618424</v>
      </c>
    </row>
    <row r="566" spans="1:6" x14ac:dyDescent="0.35">
      <c r="A566" s="2">
        <f ca="1">IFERROR(__xludf.DUMMYFUNCTION("""COMPUTED_VALUE"""),42824.6666666666)</f>
        <v>42824.666666666599</v>
      </c>
      <c r="B566" s="1">
        <f ca="1">IFERROR(__xludf.DUMMYFUNCTION("""COMPUTED_VALUE"""),65.42)</f>
        <v>65.42</v>
      </c>
      <c r="C566" s="1">
        <f ca="1">IFERROR(__xludf.DUMMYFUNCTION("""COMPUTED_VALUE"""),65.98)</f>
        <v>65.98</v>
      </c>
      <c r="D566" s="1">
        <f ca="1">IFERROR(__xludf.DUMMYFUNCTION("""COMPUTED_VALUE"""),65.36)</f>
        <v>65.36</v>
      </c>
      <c r="E566" s="1">
        <f ca="1">IFERROR(__xludf.DUMMYFUNCTION("""COMPUTED_VALUE"""),65.71)</f>
        <v>65.709999999999994</v>
      </c>
      <c r="F566" s="1">
        <f ca="1">IFERROR(__xludf.DUMMYFUNCTION("""COMPUTED_VALUE"""),15122823)</f>
        <v>15122823</v>
      </c>
    </row>
    <row r="567" spans="1:6" x14ac:dyDescent="0.35">
      <c r="A567" s="2">
        <f ca="1">IFERROR(__xludf.DUMMYFUNCTION("""COMPUTED_VALUE"""),42825.6666666666)</f>
        <v>42825.666666666599</v>
      </c>
      <c r="B567" s="1">
        <f ca="1">IFERROR(__xludf.DUMMYFUNCTION("""COMPUTED_VALUE"""),65.65)</f>
        <v>65.650000000000006</v>
      </c>
      <c r="C567" s="1">
        <f ca="1">IFERROR(__xludf.DUMMYFUNCTION("""COMPUTED_VALUE"""),66.19)</f>
        <v>66.19</v>
      </c>
      <c r="D567" s="1">
        <f ca="1">IFERROR(__xludf.DUMMYFUNCTION("""COMPUTED_VALUE"""),65.45)</f>
        <v>65.45</v>
      </c>
      <c r="E567" s="1">
        <f ca="1">IFERROR(__xludf.DUMMYFUNCTION("""COMPUTED_VALUE"""),65.86)</f>
        <v>65.86</v>
      </c>
      <c r="F567" s="1">
        <f ca="1">IFERROR(__xludf.DUMMYFUNCTION("""COMPUTED_VALUE"""),21040331)</f>
        <v>21040331</v>
      </c>
    </row>
    <row r="568" spans="1:6" x14ac:dyDescent="0.35">
      <c r="A568" s="2">
        <f ca="1">IFERROR(__xludf.DUMMYFUNCTION("""COMPUTED_VALUE"""),42828.6666666666)</f>
        <v>42828.666666666599</v>
      </c>
      <c r="B568" s="1">
        <f ca="1">IFERROR(__xludf.DUMMYFUNCTION("""COMPUTED_VALUE"""),65.81)</f>
        <v>65.81</v>
      </c>
      <c r="C568" s="1">
        <f ca="1">IFERROR(__xludf.DUMMYFUNCTION("""COMPUTED_VALUE"""),65.94)</f>
        <v>65.94</v>
      </c>
      <c r="D568" s="1">
        <f ca="1">IFERROR(__xludf.DUMMYFUNCTION("""COMPUTED_VALUE"""),65.19)</f>
        <v>65.19</v>
      </c>
      <c r="E568" s="1">
        <f ca="1">IFERROR(__xludf.DUMMYFUNCTION("""COMPUTED_VALUE"""),65.55)</f>
        <v>65.55</v>
      </c>
      <c r="F568" s="1">
        <f ca="1">IFERROR(__xludf.DUMMYFUNCTION("""COMPUTED_VALUE"""),20400871)</f>
        <v>20400871</v>
      </c>
    </row>
    <row r="569" spans="1:6" x14ac:dyDescent="0.35">
      <c r="A569" s="2">
        <f ca="1">IFERROR(__xludf.DUMMYFUNCTION("""COMPUTED_VALUE"""),42829.6666666666)</f>
        <v>42829.666666666599</v>
      </c>
      <c r="B569" s="1">
        <f ca="1">IFERROR(__xludf.DUMMYFUNCTION("""COMPUTED_VALUE"""),65.39)</f>
        <v>65.39</v>
      </c>
      <c r="C569" s="1">
        <f ca="1">IFERROR(__xludf.DUMMYFUNCTION("""COMPUTED_VALUE"""),65.81)</f>
        <v>65.81</v>
      </c>
      <c r="D569" s="1">
        <f ca="1">IFERROR(__xludf.DUMMYFUNCTION("""COMPUTED_VALUE"""),65.28)</f>
        <v>65.28</v>
      </c>
      <c r="E569" s="1">
        <f ca="1">IFERROR(__xludf.DUMMYFUNCTION("""COMPUTED_VALUE"""),65.73)</f>
        <v>65.73</v>
      </c>
      <c r="F569" s="1">
        <f ca="1">IFERROR(__xludf.DUMMYFUNCTION("""COMPUTED_VALUE"""),12997449)</f>
        <v>12997449</v>
      </c>
    </row>
    <row r="570" spans="1:6" x14ac:dyDescent="0.35">
      <c r="A570" s="2">
        <f ca="1">IFERROR(__xludf.DUMMYFUNCTION("""COMPUTED_VALUE"""),42830.6666666666)</f>
        <v>42830.666666666599</v>
      </c>
      <c r="B570" s="1">
        <f ca="1">IFERROR(__xludf.DUMMYFUNCTION("""COMPUTED_VALUE"""),66.3)</f>
        <v>66.3</v>
      </c>
      <c r="C570" s="1">
        <f ca="1">IFERROR(__xludf.DUMMYFUNCTION("""COMPUTED_VALUE"""),66.35)</f>
        <v>66.349999999999994</v>
      </c>
      <c r="D570" s="1">
        <f ca="1">IFERROR(__xludf.DUMMYFUNCTION("""COMPUTED_VALUE"""),65.44)</f>
        <v>65.44</v>
      </c>
      <c r="E570" s="1">
        <f ca="1">IFERROR(__xludf.DUMMYFUNCTION("""COMPUTED_VALUE"""),65.56)</f>
        <v>65.56</v>
      </c>
      <c r="F570" s="1">
        <f ca="1">IFERROR(__xludf.DUMMYFUNCTION("""COMPUTED_VALUE"""),21448594)</f>
        <v>21448594</v>
      </c>
    </row>
    <row r="571" spans="1:6" x14ac:dyDescent="0.35">
      <c r="A571" s="2">
        <f ca="1">IFERROR(__xludf.DUMMYFUNCTION("""COMPUTED_VALUE"""),42831.6666666666)</f>
        <v>42831.666666666599</v>
      </c>
      <c r="B571" s="1">
        <f ca="1">IFERROR(__xludf.DUMMYFUNCTION("""COMPUTED_VALUE"""),65.6)</f>
        <v>65.599999999999994</v>
      </c>
      <c r="C571" s="1">
        <f ca="1">IFERROR(__xludf.DUMMYFUNCTION("""COMPUTED_VALUE"""),66.06)</f>
        <v>66.06</v>
      </c>
      <c r="D571" s="1">
        <f ca="1">IFERROR(__xludf.DUMMYFUNCTION("""COMPUTED_VALUE"""),65.48)</f>
        <v>65.48</v>
      </c>
      <c r="E571" s="1">
        <f ca="1">IFERROR(__xludf.DUMMYFUNCTION("""COMPUTED_VALUE"""),65.73)</f>
        <v>65.73</v>
      </c>
      <c r="F571" s="1">
        <f ca="1">IFERROR(__xludf.DUMMYFUNCTION("""COMPUTED_VALUE"""),18103453)</f>
        <v>18103453</v>
      </c>
    </row>
    <row r="572" spans="1:6" x14ac:dyDescent="0.35">
      <c r="A572" s="2">
        <f ca="1">IFERROR(__xludf.DUMMYFUNCTION("""COMPUTED_VALUE"""),42832.6666666666)</f>
        <v>42832.666666666599</v>
      </c>
      <c r="B572" s="1">
        <f ca="1">IFERROR(__xludf.DUMMYFUNCTION("""COMPUTED_VALUE"""),65.85)</f>
        <v>65.849999999999994</v>
      </c>
      <c r="C572" s="1">
        <f ca="1">IFERROR(__xludf.DUMMYFUNCTION("""COMPUTED_VALUE"""),65.96)</f>
        <v>65.959999999999994</v>
      </c>
      <c r="D572" s="1">
        <f ca="1">IFERROR(__xludf.DUMMYFUNCTION("""COMPUTED_VALUE"""),65.44)</f>
        <v>65.44</v>
      </c>
      <c r="E572" s="1">
        <f ca="1">IFERROR(__xludf.DUMMYFUNCTION("""COMPUTED_VALUE"""),65.68)</f>
        <v>65.680000000000007</v>
      </c>
      <c r="F572" s="1">
        <f ca="1">IFERROR(__xludf.DUMMYFUNCTION("""COMPUTED_VALUE"""),14108533)</f>
        <v>14108533</v>
      </c>
    </row>
    <row r="573" spans="1:6" x14ac:dyDescent="0.35">
      <c r="A573" s="2">
        <f ca="1">IFERROR(__xludf.DUMMYFUNCTION("""COMPUTED_VALUE"""),42835.6666666666)</f>
        <v>42835.666666666599</v>
      </c>
      <c r="B573" s="1">
        <f ca="1">IFERROR(__xludf.DUMMYFUNCTION("""COMPUTED_VALUE"""),65.61)</f>
        <v>65.61</v>
      </c>
      <c r="C573" s="1">
        <f ca="1">IFERROR(__xludf.DUMMYFUNCTION("""COMPUTED_VALUE"""),65.82)</f>
        <v>65.819999999999993</v>
      </c>
      <c r="D573" s="1">
        <f ca="1">IFERROR(__xludf.DUMMYFUNCTION("""COMPUTED_VALUE"""),65.36)</f>
        <v>65.36</v>
      </c>
      <c r="E573" s="1">
        <f ca="1">IFERROR(__xludf.DUMMYFUNCTION("""COMPUTED_VALUE"""),65.53)</f>
        <v>65.53</v>
      </c>
      <c r="F573" s="1">
        <f ca="1">IFERROR(__xludf.DUMMYFUNCTION("""COMPUTED_VALUE"""),17952742)</f>
        <v>17952742</v>
      </c>
    </row>
    <row r="574" spans="1:6" x14ac:dyDescent="0.35">
      <c r="A574" s="2">
        <f ca="1">IFERROR(__xludf.DUMMYFUNCTION("""COMPUTED_VALUE"""),42836.6666666666)</f>
        <v>42836.666666666599</v>
      </c>
      <c r="B574" s="1">
        <f ca="1">IFERROR(__xludf.DUMMYFUNCTION("""COMPUTED_VALUE"""),65.6)</f>
        <v>65.599999999999994</v>
      </c>
      <c r="C574" s="1">
        <f ca="1">IFERROR(__xludf.DUMMYFUNCTION("""COMPUTED_VALUE"""),65.61)</f>
        <v>65.61</v>
      </c>
      <c r="D574" s="1">
        <f ca="1">IFERROR(__xludf.DUMMYFUNCTION("""COMPUTED_VALUE"""),64.85)</f>
        <v>64.849999999999994</v>
      </c>
      <c r="E574" s="1">
        <f ca="1">IFERROR(__xludf.DUMMYFUNCTION("""COMPUTED_VALUE"""),65.48)</f>
        <v>65.48</v>
      </c>
      <c r="F574" s="1">
        <f ca="1">IFERROR(__xludf.DUMMYFUNCTION("""COMPUTED_VALUE"""),18791533)</f>
        <v>18791533</v>
      </c>
    </row>
    <row r="575" spans="1:6" x14ac:dyDescent="0.35">
      <c r="A575" s="2">
        <f ca="1">IFERROR(__xludf.DUMMYFUNCTION("""COMPUTED_VALUE"""),42837.6666666666)</f>
        <v>42837.666666666599</v>
      </c>
      <c r="B575" s="1">
        <f ca="1">IFERROR(__xludf.DUMMYFUNCTION("""COMPUTED_VALUE"""),65.42)</f>
        <v>65.42</v>
      </c>
      <c r="C575" s="1">
        <f ca="1">IFERROR(__xludf.DUMMYFUNCTION("""COMPUTED_VALUE"""),65.51)</f>
        <v>65.510000000000005</v>
      </c>
      <c r="D575" s="1">
        <f ca="1">IFERROR(__xludf.DUMMYFUNCTION("""COMPUTED_VALUE"""),65.11)</f>
        <v>65.11</v>
      </c>
      <c r="E575" s="1">
        <f ca="1">IFERROR(__xludf.DUMMYFUNCTION("""COMPUTED_VALUE"""),65.23)</f>
        <v>65.23</v>
      </c>
      <c r="F575" s="1">
        <f ca="1">IFERROR(__xludf.DUMMYFUNCTION("""COMPUTED_VALUE"""),17108513)</f>
        <v>17108513</v>
      </c>
    </row>
    <row r="576" spans="1:6" x14ac:dyDescent="0.35">
      <c r="A576" s="2">
        <f ca="1">IFERROR(__xludf.DUMMYFUNCTION("""COMPUTED_VALUE"""),42838.6666666666)</f>
        <v>42838.666666666599</v>
      </c>
      <c r="B576" s="1">
        <f ca="1">IFERROR(__xludf.DUMMYFUNCTION("""COMPUTED_VALUE"""),65.29)</f>
        <v>65.290000000000006</v>
      </c>
      <c r="C576" s="1">
        <f ca="1">IFERROR(__xludf.DUMMYFUNCTION("""COMPUTED_VALUE"""),65.86)</f>
        <v>65.86</v>
      </c>
      <c r="D576" s="1">
        <f ca="1">IFERROR(__xludf.DUMMYFUNCTION("""COMPUTED_VALUE"""),64.95)</f>
        <v>64.95</v>
      </c>
      <c r="E576" s="1">
        <f ca="1">IFERROR(__xludf.DUMMYFUNCTION("""COMPUTED_VALUE"""),64.95)</f>
        <v>64.95</v>
      </c>
      <c r="F576" s="1">
        <f ca="1">IFERROR(__xludf.DUMMYFUNCTION("""COMPUTED_VALUE"""),17896483)</f>
        <v>17896483</v>
      </c>
    </row>
    <row r="577" spans="1:6" x14ac:dyDescent="0.35">
      <c r="A577" s="2">
        <f ca="1">IFERROR(__xludf.DUMMYFUNCTION("""COMPUTED_VALUE"""),42842.6666666666)</f>
        <v>42842.666666666599</v>
      </c>
      <c r="B577" s="1">
        <f ca="1">IFERROR(__xludf.DUMMYFUNCTION("""COMPUTED_VALUE"""),65.04)</f>
        <v>65.040000000000006</v>
      </c>
      <c r="C577" s="1">
        <f ca="1">IFERROR(__xludf.DUMMYFUNCTION("""COMPUTED_VALUE"""),65.49)</f>
        <v>65.489999999999995</v>
      </c>
      <c r="D577" s="1">
        <f ca="1">IFERROR(__xludf.DUMMYFUNCTION("""COMPUTED_VALUE"""),65.01)</f>
        <v>65.010000000000005</v>
      </c>
      <c r="E577" s="1">
        <f ca="1">IFERROR(__xludf.DUMMYFUNCTION("""COMPUTED_VALUE"""),65.48)</f>
        <v>65.48</v>
      </c>
      <c r="F577" s="1">
        <f ca="1">IFERROR(__xludf.DUMMYFUNCTION("""COMPUTED_VALUE"""),16689265)</f>
        <v>16689265</v>
      </c>
    </row>
    <row r="578" spans="1:6" x14ac:dyDescent="0.35">
      <c r="A578" s="2">
        <f ca="1">IFERROR(__xludf.DUMMYFUNCTION("""COMPUTED_VALUE"""),42843.6666666666)</f>
        <v>42843.666666666599</v>
      </c>
      <c r="B578" s="1">
        <f ca="1">IFERROR(__xludf.DUMMYFUNCTION("""COMPUTED_VALUE"""),65.33)</f>
        <v>65.33</v>
      </c>
      <c r="C578" s="1">
        <f ca="1">IFERROR(__xludf.DUMMYFUNCTION("""COMPUTED_VALUE"""),65.71)</f>
        <v>65.709999999999994</v>
      </c>
      <c r="D578" s="1">
        <f ca="1">IFERROR(__xludf.DUMMYFUNCTION("""COMPUTED_VALUE"""),65.16)</f>
        <v>65.16</v>
      </c>
      <c r="E578" s="1">
        <f ca="1">IFERROR(__xludf.DUMMYFUNCTION("""COMPUTED_VALUE"""),65.39)</f>
        <v>65.39</v>
      </c>
      <c r="F578" s="1">
        <f ca="1">IFERROR(__xludf.DUMMYFUNCTION("""COMPUTED_VALUE"""),15155611)</f>
        <v>15155611</v>
      </c>
    </row>
    <row r="579" spans="1:6" x14ac:dyDescent="0.35">
      <c r="A579" s="2">
        <f ca="1">IFERROR(__xludf.DUMMYFUNCTION("""COMPUTED_VALUE"""),42844.6666666666)</f>
        <v>42844.666666666599</v>
      </c>
      <c r="B579" s="1">
        <f ca="1">IFERROR(__xludf.DUMMYFUNCTION("""COMPUTED_VALUE"""),65.65)</f>
        <v>65.650000000000006</v>
      </c>
      <c r="C579" s="1">
        <f ca="1">IFERROR(__xludf.DUMMYFUNCTION("""COMPUTED_VALUE"""),65.75)</f>
        <v>65.75</v>
      </c>
      <c r="D579" s="1">
        <f ca="1">IFERROR(__xludf.DUMMYFUNCTION("""COMPUTED_VALUE"""),64.89)</f>
        <v>64.89</v>
      </c>
      <c r="E579" s="1">
        <f ca="1">IFERROR(__xludf.DUMMYFUNCTION("""COMPUTED_VALUE"""),65.04)</f>
        <v>65.040000000000006</v>
      </c>
      <c r="F579" s="1">
        <f ca="1">IFERROR(__xludf.DUMMYFUNCTION("""COMPUTED_VALUE"""),26992771)</f>
        <v>26992771</v>
      </c>
    </row>
    <row r="580" spans="1:6" x14ac:dyDescent="0.35">
      <c r="A580" s="2">
        <f ca="1">IFERROR(__xludf.DUMMYFUNCTION("""COMPUTED_VALUE"""),42845.6666666666)</f>
        <v>42845.666666666599</v>
      </c>
      <c r="B580" s="1">
        <f ca="1">IFERROR(__xludf.DUMMYFUNCTION("""COMPUTED_VALUE"""),65.46)</f>
        <v>65.459999999999994</v>
      </c>
      <c r="C580" s="1">
        <f ca="1">IFERROR(__xludf.DUMMYFUNCTION("""COMPUTED_VALUE"""),65.75)</f>
        <v>65.75</v>
      </c>
      <c r="D580" s="1">
        <f ca="1">IFERROR(__xludf.DUMMYFUNCTION("""COMPUTED_VALUE"""),65.14)</f>
        <v>65.14</v>
      </c>
      <c r="E580" s="1">
        <f ca="1">IFERROR(__xludf.DUMMYFUNCTION("""COMPUTED_VALUE"""),65.5)</f>
        <v>65.5</v>
      </c>
      <c r="F580" s="1">
        <f ca="1">IFERROR(__xludf.DUMMYFUNCTION("""COMPUTED_VALUE"""),22299477)</f>
        <v>22299477</v>
      </c>
    </row>
    <row r="581" spans="1:6" x14ac:dyDescent="0.35">
      <c r="A581" s="2">
        <f ca="1">IFERROR(__xludf.DUMMYFUNCTION("""COMPUTED_VALUE"""),42846.6666666666)</f>
        <v>42846.666666666599</v>
      </c>
      <c r="B581" s="1">
        <f ca="1">IFERROR(__xludf.DUMMYFUNCTION("""COMPUTED_VALUE"""),65.67)</f>
        <v>65.67</v>
      </c>
      <c r="C581" s="1">
        <f ca="1">IFERROR(__xludf.DUMMYFUNCTION("""COMPUTED_VALUE"""),66.7)</f>
        <v>66.7</v>
      </c>
      <c r="D581" s="1">
        <f ca="1">IFERROR(__xludf.DUMMYFUNCTION("""COMPUTED_VALUE"""),65.45)</f>
        <v>65.45</v>
      </c>
      <c r="E581" s="1">
        <f ca="1">IFERROR(__xludf.DUMMYFUNCTION("""COMPUTED_VALUE"""),66.4)</f>
        <v>66.400000000000006</v>
      </c>
      <c r="F581" s="1">
        <f ca="1">IFERROR(__xludf.DUMMYFUNCTION("""COMPUTED_VALUE"""),32522645)</f>
        <v>32522645</v>
      </c>
    </row>
    <row r="582" spans="1:6" x14ac:dyDescent="0.35">
      <c r="A582" s="2">
        <f ca="1">IFERROR(__xludf.DUMMYFUNCTION("""COMPUTED_VALUE"""),42849.6666666666)</f>
        <v>42849.666666666599</v>
      </c>
      <c r="B582" s="1">
        <f ca="1">IFERROR(__xludf.DUMMYFUNCTION("""COMPUTED_VALUE"""),67.48)</f>
        <v>67.48</v>
      </c>
      <c r="C582" s="1">
        <f ca="1">IFERROR(__xludf.DUMMYFUNCTION("""COMPUTED_VALUE"""),67.66)</f>
        <v>67.66</v>
      </c>
      <c r="D582" s="1">
        <f ca="1">IFERROR(__xludf.DUMMYFUNCTION("""COMPUTED_VALUE"""),67.1)</f>
        <v>67.099999999999994</v>
      </c>
      <c r="E582" s="1">
        <f ca="1">IFERROR(__xludf.DUMMYFUNCTION("""COMPUTED_VALUE"""),67.53)</f>
        <v>67.53</v>
      </c>
      <c r="F582" s="1">
        <f ca="1">IFERROR(__xludf.DUMMYFUNCTION("""COMPUTED_VALUE"""),29769976)</f>
        <v>29769976</v>
      </c>
    </row>
    <row r="583" spans="1:6" x14ac:dyDescent="0.35">
      <c r="A583" s="2">
        <f ca="1">IFERROR(__xludf.DUMMYFUNCTION("""COMPUTED_VALUE"""),42850.6666666666)</f>
        <v>42850.666666666599</v>
      </c>
      <c r="B583" s="1">
        <f ca="1">IFERROR(__xludf.DUMMYFUNCTION("""COMPUTED_VALUE"""),67.9)</f>
        <v>67.900000000000006</v>
      </c>
      <c r="C583" s="1">
        <f ca="1">IFERROR(__xludf.DUMMYFUNCTION("""COMPUTED_VALUE"""),68.04)</f>
        <v>68.040000000000006</v>
      </c>
      <c r="D583" s="1">
        <f ca="1">IFERROR(__xludf.DUMMYFUNCTION("""COMPUTED_VALUE"""),67.6)</f>
        <v>67.599999999999994</v>
      </c>
      <c r="E583" s="1">
        <f ca="1">IFERROR(__xludf.DUMMYFUNCTION("""COMPUTED_VALUE"""),67.92)</f>
        <v>67.92</v>
      </c>
      <c r="F583" s="1">
        <f ca="1">IFERROR(__xludf.DUMMYFUNCTION("""COMPUTED_VALUE"""),30242730)</f>
        <v>30242730</v>
      </c>
    </row>
    <row r="584" spans="1:6" x14ac:dyDescent="0.35">
      <c r="A584" s="2">
        <f ca="1">IFERROR(__xludf.DUMMYFUNCTION("""COMPUTED_VALUE"""),42851.6666666666)</f>
        <v>42851.666666666599</v>
      </c>
      <c r="B584" s="1">
        <f ca="1">IFERROR(__xludf.DUMMYFUNCTION("""COMPUTED_VALUE"""),68.08)</f>
        <v>68.08</v>
      </c>
      <c r="C584" s="1">
        <f ca="1">IFERROR(__xludf.DUMMYFUNCTION("""COMPUTED_VALUE"""),68.31)</f>
        <v>68.31</v>
      </c>
      <c r="D584" s="1">
        <f ca="1">IFERROR(__xludf.DUMMYFUNCTION("""COMPUTED_VALUE"""),67.62)</f>
        <v>67.62</v>
      </c>
      <c r="E584" s="1">
        <f ca="1">IFERROR(__xludf.DUMMYFUNCTION("""COMPUTED_VALUE"""),67.83)</f>
        <v>67.83</v>
      </c>
      <c r="F584" s="1">
        <f ca="1">IFERROR(__xludf.DUMMYFUNCTION("""COMPUTED_VALUE"""),26190770)</f>
        <v>26190770</v>
      </c>
    </row>
    <row r="585" spans="1:6" x14ac:dyDescent="0.35">
      <c r="A585" s="2">
        <f ca="1">IFERROR(__xludf.DUMMYFUNCTION("""COMPUTED_VALUE"""),42852.6666666666)</f>
        <v>42852.666666666599</v>
      </c>
      <c r="B585" s="1">
        <f ca="1">IFERROR(__xludf.DUMMYFUNCTION("""COMPUTED_VALUE"""),68.15)</f>
        <v>68.150000000000006</v>
      </c>
      <c r="C585" s="1">
        <f ca="1">IFERROR(__xludf.DUMMYFUNCTION("""COMPUTED_VALUE"""),68.38)</f>
        <v>68.38</v>
      </c>
      <c r="D585" s="1">
        <f ca="1">IFERROR(__xludf.DUMMYFUNCTION("""COMPUTED_VALUE"""),67.58)</f>
        <v>67.58</v>
      </c>
      <c r="E585" s="1">
        <f ca="1">IFERROR(__xludf.DUMMYFUNCTION("""COMPUTED_VALUE"""),68.27)</f>
        <v>68.27</v>
      </c>
      <c r="F585" s="1">
        <f ca="1">IFERROR(__xludf.DUMMYFUNCTION("""COMPUTED_VALUE"""),34970953)</f>
        <v>34970953</v>
      </c>
    </row>
    <row r="586" spans="1:6" x14ac:dyDescent="0.35">
      <c r="A586" s="2">
        <f ca="1">IFERROR(__xludf.DUMMYFUNCTION("""COMPUTED_VALUE"""),42853.6666666666)</f>
        <v>42853.666666666599</v>
      </c>
      <c r="B586" s="1">
        <f ca="1">IFERROR(__xludf.DUMMYFUNCTION("""COMPUTED_VALUE"""),68.91)</f>
        <v>68.91</v>
      </c>
      <c r="C586" s="1">
        <f ca="1">IFERROR(__xludf.DUMMYFUNCTION("""COMPUTED_VALUE"""),69.14)</f>
        <v>69.14</v>
      </c>
      <c r="D586" s="1">
        <f ca="1">IFERROR(__xludf.DUMMYFUNCTION("""COMPUTED_VALUE"""),67.69)</f>
        <v>67.69</v>
      </c>
      <c r="E586" s="1">
        <f ca="1">IFERROR(__xludf.DUMMYFUNCTION("""COMPUTED_VALUE"""),68.46)</f>
        <v>68.459999999999994</v>
      </c>
      <c r="F586" s="1">
        <f ca="1">IFERROR(__xludf.DUMMYFUNCTION("""COMPUTED_VALUE"""),39548818)</f>
        <v>39548818</v>
      </c>
    </row>
    <row r="587" spans="1:6" x14ac:dyDescent="0.35">
      <c r="A587" s="2">
        <f ca="1">IFERROR(__xludf.DUMMYFUNCTION("""COMPUTED_VALUE"""),42856.6666666666)</f>
        <v>42856.666666666599</v>
      </c>
      <c r="B587" s="1">
        <f ca="1">IFERROR(__xludf.DUMMYFUNCTION("""COMPUTED_VALUE"""),68.68)</f>
        <v>68.680000000000007</v>
      </c>
      <c r="C587" s="1">
        <f ca="1">IFERROR(__xludf.DUMMYFUNCTION("""COMPUTED_VALUE"""),69.55)</f>
        <v>69.55</v>
      </c>
      <c r="D587" s="1">
        <f ca="1">IFERROR(__xludf.DUMMYFUNCTION("""COMPUTED_VALUE"""),68.5)</f>
        <v>68.5</v>
      </c>
      <c r="E587" s="1">
        <f ca="1">IFERROR(__xludf.DUMMYFUNCTION("""COMPUTED_VALUE"""),69.41)</f>
        <v>69.41</v>
      </c>
      <c r="F587" s="1">
        <f ca="1">IFERROR(__xludf.DUMMYFUNCTION("""COMPUTED_VALUE"""),31954362)</f>
        <v>31954362</v>
      </c>
    </row>
    <row r="588" spans="1:6" x14ac:dyDescent="0.35">
      <c r="A588" s="2">
        <f ca="1">IFERROR(__xludf.DUMMYFUNCTION("""COMPUTED_VALUE"""),42857.6666666666)</f>
        <v>42857.666666666599</v>
      </c>
      <c r="B588" s="1">
        <f ca="1">IFERROR(__xludf.DUMMYFUNCTION("""COMPUTED_VALUE"""),69.71)</f>
        <v>69.709999999999994</v>
      </c>
      <c r="C588" s="1">
        <f ca="1">IFERROR(__xludf.DUMMYFUNCTION("""COMPUTED_VALUE"""),69.71)</f>
        <v>69.709999999999994</v>
      </c>
      <c r="D588" s="1">
        <f ca="1">IFERROR(__xludf.DUMMYFUNCTION("""COMPUTED_VALUE"""),69.13)</f>
        <v>69.13</v>
      </c>
      <c r="E588" s="1">
        <f ca="1">IFERROR(__xludf.DUMMYFUNCTION("""COMPUTED_VALUE"""),69.3)</f>
        <v>69.3</v>
      </c>
      <c r="F588" s="1">
        <f ca="1">IFERROR(__xludf.DUMMYFUNCTION("""COMPUTED_VALUE"""),23906119)</f>
        <v>23906119</v>
      </c>
    </row>
    <row r="589" spans="1:6" x14ac:dyDescent="0.35">
      <c r="A589" s="2">
        <f ca="1">IFERROR(__xludf.DUMMYFUNCTION("""COMPUTED_VALUE"""),42858.6666666666)</f>
        <v>42858.666666666599</v>
      </c>
      <c r="B589" s="1">
        <f ca="1">IFERROR(__xludf.DUMMYFUNCTION("""COMPUTED_VALUE"""),69.38)</f>
        <v>69.38</v>
      </c>
      <c r="C589" s="1">
        <f ca="1">IFERROR(__xludf.DUMMYFUNCTION("""COMPUTED_VALUE"""),69.38)</f>
        <v>69.38</v>
      </c>
      <c r="D589" s="1">
        <f ca="1">IFERROR(__xludf.DUMMYFUNCTION("""COMPUTED_VALUE"""),68.71)</f>
        <v>68.709999999999994</v>
      </c>
      <c r="E589" s="1">
        <f ca="1">IFERROR(__xludf.DUMMYFUNCTION("""COMPUTED_VALUE"""),69.08)</f>
        <v>69.08</v>
      </c>
      <c r="F589" s="1">
        <f ca="1">IFERROR(__xludf.DUMMYFUNCTION("""COMPUTED_VALUE"""),28927973)</f>
        <v>28927973</v>
      </c>
    </row>
    <row r="590" spans="1:6" x14ac:dyDescent="0.35">
      <c r="A590" s="2">
        <f ca="1">IFERROR(__xludf.DUMMYFUNCTION("""COMPUTED_VALUE"""),42859.6666666666)</f>
        <v>42859.666666666599</v>
      </c>
      <c r="B590" s="1">
        <f ca="1">IFERROR(__xludf.DUMMYFUNCTION("""COMPUTED_VALUE"""),69.03)</f>
        <v>69.03</v>
      </c>
      <c r="C590" s="1">
        <f ca="1">IFERROR(__xludf.DUMMYFUNCTION("""COMPUTED_VALUE"""),69.08)</f>
        <v>69.08</v>
      </c>
      <c r="D590" s="1">
        <f ca="1">IFERROR(__xludf.DUMMYFUNCTION("""COMPUTED_VALUE"""),68.64)</f>
        <v>68.64</v>
      </c>
      <c r="E590" s="1">
        <f ca="1">IFERROR(__xludf.DUMMYFUNCTION("""COMPUTED_VALUE"""),68.81)</f>
        <v>68.81</v>
      </c>
      <c r="F590" s="1">
        <f ca="1">IFERROR(__xludf.DUMMYFUNCTION("""COMPUTED_VALUE"""),21749409)</f>
        <v>21749409</v>
      </c>
    </row>
    <row r="591" spans="1:6" x14ac:dyDescent="0.35">
      <c r="A591" s="2">
        <f ca="1">IFERROR(__xludf.DUMMYFUNCTION("""COMPUTED_VALUE"""),42860.6666666666)</f>
        <v>42860.666666666599</v>
      </c>
      <c r="B591" s="1">
        <f ca="1">IFERROR(__xludf.DUMMYFUNCTION("""COMPUTED_VALUE"""),68.9)</f>
        <v>68.900000000000006</v>
      </c>
      <c r="C591" s="1">
        <f ca="1">IFERROR(__xludf.DUMMYFUNCTION("""COMPUTED_VALUE"""),69.03)</f>
        <v>69.03</v>
      </c>
      <c r="D591" s="1">
        <f ca="1">IFERROR(__xludf.DUMMYFUNCTION("""COMPUTED_VALUE"""),68.49)</f>
        <v>68.489999999999995</v>
      </c>
      <c r="E591" s="1">
        <f ca="1">IFERROR(__xludf.DUMMYFUNCTION("""COMPUTED_VALUE"""),69)</f>
        <v>69</v>
      </c>
      <c r="F591" s="1">
        <f ca="1">IFERROR(__xludf.DUMMYFUNCTION("""COMPUTED_VALUE"""),19128782)</f>
        <v>19128782</v>
      </c>
    </row>
    <row r="592" spans="1:6" x14ac:dyDescent="0.35">
      <c r="A592" s="2">
        <f ca="1">IFERROR(__xludf.DUMMYFUNCTION("""COMPUTED_VALUE"""),42863.6666666666)</f>
        <v>42863.666666666599</v>
      </c>
      <c r="B592" s="1">
        <f ca="1">IFERROR(__xludf.DUMMYFUNCTION("""COMPUTED_VALUE"""),68.97)</f>
        <v>68.97</v>
      </c>
      <c r="C592" s="1">
        <f ca="1">IFERROR(__xludf.DUMMYFUNCTION("""COMPUTED_VALUE"""),69.05)</f>
        <v>69.05</v>
      </c>
      <c r="D592" s="1">
        <f ca="1">IFERROR(__xludf.DUMMYFUNCTION("""COMPUTED_VALUE"""),68.42)</f>
        <v>68.42</v>
      </c>
      <c r="E592" s="1">
        <f ca="1">IFERROR(__xludf.DUMMYFUNCTION("""COMPUTED_VALUE"""),68.94)</f>
        <v>68.94</v>
      </c>
      <c r="F592" s="1">
        <f ca="1">IFERROR(__xludf.DUMMYFUNCTION("""COMPUTED_VALUE"""),18566087)</f>
        <v>18566087</v>
      </c>
    </row>
    <row r="593" spans="1:6" x14ac:dyDescent="0.35">
      <c r="A593" s="2">
        <f ca="1">IFERROR(__xludf.DUMMYFUNCTION("""COMPUTED_VALUE"""),42864.6666666666)</f>
        <v>42864.666666666599</v>
      </c>
      <c r="B593" s="1">
        <f ca="1">IFERROR(__xludf.DUMMYFUNCTION("""COMPUTED_VALUE"""),68.86)</f>
        <v>68.86</v>
      </c>
      <c r="C593" s="1">
        <f ca="1">IFERROR(__xludf.DUMMYFUNCTION("""COMPUTED_VALUE"""),69.28)</f>
        <v>69.28</v>
      </c>
      <c r="D593" s="1">
        <f ca="1">IFERROR(__xludf.DUMMYFUNCTION("""COMPUTED_VALUE"""),68.68)</f>
        <v>68.680000000000007</v>
      </c>
      <c r="E593" s="1">
        <f ca="1">IFERROR(__xludf.DUMMYFUNCTION("""COMPUTED_VALUE"""),69.04)</f>
        <v>69.040000000000006</v>
      </c>
      <c r="F593" s="1">
        <f ca="1">IFERROR(__xludf.DUMMYFUNCTION("""COMPUTED_VALUE"""),22858414)</f>
        <v>22858414</v>
      </c>
    </row>
    <row r="594" spans="1:6" x14ac:dyDescent="0.35">
      <c r="A594" s="2">
        <f ca="1">IFERROR(__xludf.DUMMYFUNCTION("""COMPUTED_VALUE"""),42865.6666666666)</f>
        <v>42865.666666666599</v>
      </c>
      <c r="B594" s="1">
        <f ca="1">IFERROR(__xludf.DUMMYFUNCTION("""COMPUTED_VALUE"""),68.99)</f>
        <v>68.989999999999995</v>
      </c>
      <c r="C594" s="1">
        <f ca="1">IFERROR(__xludf.DUMMYFUNCTION("""COMPUTED_VALUE"""),69.56)</f>
        <v>69.56</v>
      </c>
      <c r="D594" s="1">
        <f ca="1">IFERROR(__xludf.DUMMYFUNCTION("""COMPUTED_VALUE"""),68.92)</f>
        <v>68.92</v>
      </c>
      <c r="E594" s="1">
        <f ca="1">IFERROR(__xludf.DUMMYFUNCTION("""COMPUTED_VALUE"""),69.31)</f>
        <v>69.31</v>
      </c>
      <c r="F594" s="1">
        <f ca="1">IFERROR(__xludf.DUMMYFUNCTION("""COMPUTED_VALUE"""),17977830)</f>
        <v>17977830</v>
      </c>
    </row>
    <row r="595" spans="1:6" x14ac:dyDescent="0.35">
      <c r="A595" s="2">
        <f ca="1">IFERROR(__xludf.DUMMYFUNCTION("""COMPUTED_VALUE"""),42866.6666666666)</f>
        <v>42866.666666666599</v>
      </c>
      <c r="B595" s="1">
        <f ca="1">IFERROR(__xludf.DUMMYFUNCTION("""COMPUTED_VALUE"""),68.36)</f>
        <v>68.36</v>
      </c>
      <c r="C595" s="1">
        <f ca="1">IFERROR(__xludf.DUMMYFUNCTION("""COMPUTED_VALUE"""),68.73)</f>
        <v>68.73</v>
      </c>
      <c r="D595" s="1">
        <f ca="1">IFERROR(__xludf.DUMMYFUNCTION("""COMPUTED_VALUE"""),68.12)</f>
        <v>68.12</v>
      </c>
      <c r="E595" s="1">
        <f ca="1">IFERROR(__xludf.DUMMYFUNCTION("""COMPUTED_VALUE"""),68.46)</f>
        <v>68.459999999999994</v>
      </c>
      <c r="F595" s="1">
        <f ca="1">IFERROR(__xludf.DUMMYFUNCTION("""COMPUTED_VALUE"""),28789413)</f>
        <v>28789413</v>
      </c>
    </row>
    <row r="596" spans="1:6" x14ac:dyDescent="0.35">
      <c r="A596" s="2">
        <f ca="1">IFERROR(__xludf.DUMMYFUNCTION("""COMPUTED_VALUE"""),42867.6666666666)</f>
        <v>42867.666666666599</v>
      </c>
      <c r="B596" s="1">
        <f ca="1">IFERROR(__xludf.DUMMYFUNCTION("""COMPUTED_VALUE"""),68.61)</f>
        <v>68.61</v>
      </c>
      <c r="C596" s="1">
        <f ca="1">IFERROR(__xludf.DUMMYFUNCTION("""COMPUTED_VALUE"""),68.61)</f>
        <v>68.61</v>
      </c>
      <c r="D596" s="1">
        <f ca="1">IFERROR(__xludf.DUMMYFUNCTION("""COMPUTED_VALUE"""),68.04)</f>
        <v>68.040000000000006</v>
      </c>
      <c r="E596" s="1">
        <f ca="1">IFERROR(__xludf.DUMMYFUNCTION("""COMPUTED_VALUE"""),68.38)</f>
        <v>68.38</v>
      </c>
      <c r="F596" s="1">
        <f ca="1">IFERROR(__xludf.DUMMYFUNCTION("""COMPUTED_VALUE"""),18714123)</f>
        <v>18714123</v>
      </c>
    </row>
    <row r="597" spans="1:6" x14ac:dyDescent="0.35">
      <c r="A597" s="2">
        <f ca="1">IFERROR(__xludf.DUMMYFUNCTION("""COMPUTED_VALUE"""),42870.6666666666)</f>
        <v>42870.666666666599</v>
      </c>
      <c r="B597" s="1">
        <f ca="1">IFERROR(__xludf.DUMMYFUNCTION("""COMPUTED_VALUE"""),68.14)</f>
        <v>68.14</v>
      </c>
      <c r="C597" s="1">
        <f ca="1">IFERROR(__xludf.DUMMYFUNCTION("""COMPUTED_VALUE"""),68.48)</f>
        <v>68.48</v>
      </c>
      <c r="D597" s="1">
        <f ca="1">IFERROR(__xludf.DUMMYFUNCTION("""COMPUTED_VALUE"""),67.57)</f>
        <v>67.569999999999993</v>
      </c>
      <c r="E597" s="1">
        <f ca="1">IFERROR(__xludf.DUMMYFUNCTION("""COMPUTED_VALUE"""),68.43)</f>
        <v>68.430000000000007</v>
      </c>
      <c r="F597" s="1">
        <f ca="1">IFERROR(__xludf.DUMMYFUNCTION("""COMPUTED_VALUE"""),31530301)</f>
        <v>31530301</v>
      </c>
    </row>
    <row r="598" spans="1:6" x14ac:dyDescent="0.35">
      <c r="A598" s="2">
        <f ca="1">IFERROR(__xludf.DUMMYFUNCTION("""COMPUTED_VALUE"""),42871.6666666666)</f>
        <v>42871.666666666599</v>
      </c>
      <c r="B598" s="1">
        <f ca="1">IFERROR(__xludf.DUMMYFUNCTION("""COMPUTED_VALUE"""),68.23)</f>
        <v>68.23</v>
      </c>
      <c r="C598" s="1">
        <f ca="1">IFERROR(__xludf.DUMMYFUNCTION("""COMPUTED_VALUE"""),69.44)</f>
        <v>69.44</v>
      </c>
      <c r="D598" s="1">
        <f ca="1">IFERROR(__xludf.DUMMYFUNCTION("""COMPUTED_VALUE"""),68.16)</f>
        <v>68.16</v>
      </c>
      <c r="E598" s="1">
        <f ca="1">IFERROR(__xludf.DUMMYFUNCTION("""COMPUTED_VALUE"""),69.41)</f>
        <v>69.41</v>
      </c>
      <c r="F598" s="1">
        <f ca="1">IFERROR(__xludf.DUMMYFUNCTION("""COMPUTED_VALUE"""),34956038)</f>
        <v>34956038</v>
      </c>
    </row>
    <row r="599" spans="1:6" x14ac:dyDescent="0.35">
      <c r="A599" s="2">
        <f ca="1">IFERROR(__xludf.DUMMYFUNCTION("""COMPUTED_VALUE"""),42872.6666666666)</f>
        <v>42872.666666666599</v>
      </c>
      <c r="B599" s="1">
        <f ca="1">IFERROR(__xludf.DUMMYFUNCTION("""COMPUTED_VALUE"""),68.89)</f>
        <v>68.89</v>
      </c>
      <c r="C599" s="1">
        <f ca="1">IFERROR(__xludf.DUMMYFUNCTION("""COMPUTED_VALUE"""),69.1)</f>
        <v>69.099999999999994</v>
      </c>
      <c r="D599" s="1">
        <f ca="1">IFERROR(__xludf.DUMMYFUNCTION("""COMPUTED_VALUE"""),67.43)</f>
        <v>67.430000000000007</v>
      </c>
      <c r="E599" s="1">
        <f ca="1">IFERROR(__xludf.DUMMYFUNCTION("""COMPUTED_VALUE"""),67.48)</f>
        <v>67.48</v>
      </c>
      <c r="F599" s="1">
        <f ca="1">IFERROR(__xludf.DUMMYFUNCTION("""COMPUTED_VALUE"""),30548781)</f>
        <v>30548781</v>
      </c>
    </row>
    <row r="600" spans="1:6" x14ac:dyDescent="0.35">
      <c r="A600" s="2">
        <f ca="1">IFERROR(__xludf.DUMMYFUNCTION("""COMPUTED_VALUE"""),42873.6666666666)</f>
        <v>42873.666666666599</v>
      </c>
      <c r="B600" s="1">
        <f ca="1">IFERROR(__xludf.DUMMYFUNCTION("""COMPUTED_VALUE"""),67.4)</f>
        <v>67.400000000000006</v>
      </c>
      <c r="C600" s="1">
        <f ca="1">IFERROR(__xludf.DUMMYFUNCTION("""COMPUTED_VALUE"""),68.13)</f>
        <v>68.13</v>
      </c>
      <c r="D600" s="1">
        <f ca="1">IFERROR(__xludf.DUMMYFUNCTION("""COMPUTED_VALUE"""),67.14)</f>
        <v>67.14</v>
      </c>
      <c r="E600" s="1">
        <f ca="1">IFERROR(__xludf.DUMMYFUNCTION("""COMPUTED_VALUE"""),67.71)</f>
        <v>67.709999999999994</v>
      </c>
      <c r="F600" s="1">
        <f ca="1">IFERROR(__xludf.DUMMYFUNCTION("""COMPUTED_VALUE"""),25201274)</f>
        <v>25201274</v>
      </c>
    </row>
    <row r="601" spans="1:6" x14ac:dyDescent="0.35">
      <c r="A601" s="2">
        <f ca="1">IFERROR(__xludf.DUMMYFUNCTION("""COMPUTED_VALUE"""),42874.6666666666)</f>
        <v>42874.666666666599</v>
      </c>
      <c r="B601" s="1">
        <f ca="1">IFERROR(__xludf.DUMMYFUNCTION("""COMPUTED_VALUE"""),67.5)</f>
        <v>67.5</v>
      </c>
      <c r="C601" s="1">
        <f ca="1">IFERROR(__xludf.DUMMYFUNCTION("""COMPUTED_VALUE"""),68.1)</f>
        <v>68.099999999999994</v>
      </c>
      <c r="D601" s="1">
        <f ca="1">IFERROR(__xludf.DUMMYFUNCTION("""COMPUTED_VALUE"""),67.43)</f>
        <v>67.430000000000007</v>
      </c>
      <c r="E601" s="1">
        <f ca="1">IFERROR(__xludf.DUMMYFUNCTION("""COMPUTED_VALUE"""),67.69)</f>
        <v>67.69</v>
      </c>
      <c r="F601" s="1">
        <f ca="1">IFERROR(__xludf.DUMMYFUNCTION("""COMPUTED_VALUE"""),26961119)</f>
        <v>26961119</v>
      </c>
    </row>
    <row r="602" spans="1:6" x14ac:dyDescent="0.35">
      <c r="A602" s="2">
        <f ca="1">IFERROR(__xludf.DUMMYFUNCTION("""COMPUTED_VALUE"""),42877.6666666666)</f>
        <v>42877.666666666599</v>
      </c>
      <c r="B602" s="1">
        <f ca="1">IFERROR(__xludf.DUMMYFUNCTION("""COMPUTED_VALUE"""),67.89)</f>
        <v>67.89</v>
      </c>
      <c r="C602" s="1">
        <f ca="1">IFERROR(__xludf.DUMMYFUNCTION("""COMPUTED_VALUE"""),68.5)</f>
        <v>68.5</v>
      </c>
      <c r="D602" s="1">
        <f ca="1">IFERROR(__xludf.DUMMYFUNCTION("""COMPUTED_VALUE"""),67.5)</f>
        <v>67.5</v>
      </c>
      <c r="E602" s="1">
        <f ca="1">IFERROR(__xludf.DUMMYFUNCTION("""COMPUTED_VALUE"""),68.45)</f>
        <v>68.45</v>
      </c>
      <c r="F602" s="1">
        <f ca="1">IFERROR(__xludf.DUMMYFUNCTION("""COMPUTED_VALUE"""),16237550)</f>
        <v>16237550</v>
      </c>
    </row>
    <row r="603" spans="1:6" x14ac:dyDescent="0.35">
      <c r="A603" s="2">
        <f ca="1">IFERROR(__xludf.DUMMYFUNCTION("""COMPUTED_VALUE"""),42878.6666666666)</f>
        <v>42878.666666666599</v>
      </c>
      <c r="B603" s="1">
        <f ca="1">IFERROR(__xludf.DUMMYFUNCTION("""COMPUTED_VALUE"""),68.72)</f>
        <v>68.72</v>
      </c>
      <c r="C603" s="1">
        <f ca="1">IFERROR(__xludf.DUMMYFUNCTION("""COMPUTED_VALUE"""),68.75)</f>
        <v>68.75</v>
      </c>
      <c r="D603" s="1">
        <f ca="1">IFERROR(__xludf.DUMMYFUNCTION("""COMPUTED_VALUE"""),68.38)</f>
        <v>68.38</v>
      </c>
      <c r="E603" s="1">
        <f ca="1">IFERROR(__xludf.DUMMYFUNCTION("""COMPUTED_VALUE"""),68.68)</f>
        <v>68.680000000000007</v>
      </c>
      <c r="F603" s="1">
        <f ca="1">IFERROR(__xludf.DUMMYFUNCTION("""COMPUTED_VALUE"""),15425824)</f>
        <v>15425824</v>
      </c>
    </row>
    <row r="604" spans="1:6" x14ac:dyDescent="0.35">
      <c r="A604" s="2">
        <f ca="1">IFERROR(__xludf.DUMMYFUNCTION("""COMPUTED_VALUE"""),42879.6666666666)</f>
        <v>42879.666666666599</v>
      </c>
      <c r="B604" s="1">
        <f ca="1">IFERROR(__xludf.DUMMYFUNCTION("""COMPUTED_VALUE"""),68.87)</f>
        <v>68.87</v>
      </c>
      <c r="C604" s="1">
        <f ca="1">IFERROR(__xludf.DUMMYFUNCTION("""COMPUTED_VALUE"""),68.88)</f>
        <v>68.88</v>
      </c>
      <c r="D604" s="1">
        <f ca="1">IFERROR(__xludf.DUMMYFUNCTION("""COMPUTED_VALUE"""),68.45)</f>
        <v>68.45</v>
      </c>
      <c r="E604" s="1">
        <f ca="1">IFERROR(__xludf.DUMMYFUNCTION("""COMPUTED_VALUE"""),68.77)</f>
        <v>68.77</v>
      </c>
      <c r="F604" s="1">
        <f ca="1">IFERROR(__xludf.DUMMYFUNCTION("""COMPUTED_VALUE"""),14666865)</f>
        <v>14666865</v>
      </c>
    </row>
    <row r="605" spans="1:6" x14ac:dyDescent="0.35">
      <c r="A605" s="2">
        <f ca="1">IFERROR(__xludf.DUMMYFUNCTION("""COMPUTED_VALUE"""),42880.6666666666)</f>
        <v>42880.666666666599</v>
      </c>
      <c r="B605" s="1">
        <f ca="1">IFERROR(__xludf.DUMMYFUNCTION("""COMPUTED_VALUE"""),68.97)</f>
        <v>68.97</v>
      </c>
      <c r="C605" s="1">
        <f ca="1">IFERROR(__xludf.DUMMYFUNCTION("""COMPUTED_VALUE"""),69.88)</f>
        <v>69.88</v>
      </c>
      <c r="D605" s="1">
        <f ca="1">IFERROR(__xludf.DUMMYFUNCTION("""COMPUTED_VALUE"""),68.91)</f>
        <v>68.91</v>
      </c>
      <c r="E605" s="1">
        <f ca="1">IFERROR(__xludf.DUMMYFUNCTION("""COMPUTED_VALUE"""),69.62)</f>
        <v>69.62</v>
      </c>
      <c r="F605" s="1">
        <f ca="1">IFERROR(__xludf.DUMMYFUNCTION("""COMPUTED_VALUE"""),21854095)</f>
        <v>21854095</v>
      </c>
    </row>
    <row r="606" spans="1:6" x14ac:dyDescent="0.35">
      <c r="A606" s="2">
        <f ca="1">IFERROR(__xludf.DUMMYFUNCTION("""COMPUTED_VALUE"""),42881.6666666666)</f>
        <v>42881.666666666599</v>
      </c>
      <c r="B606" s="1">
        <f ca="1">IFERROR(__xludf.DUMMYFUNCTION("""COMPUTED_VALUE"""),69.8)</f>
        <v>69.8</v>
      </c>
      <c r="C606" s="1">
        <f ca="1">IFERROR(__xludf.DUMMYFUNCTION("""COMPUTED_VALUE"""),70.22)</f>
        <v>70.22</v>
      </c>
      <c r="D606" s="1">
        <f ca="1">IFERROR(__xludf.DUMMYFUNCTION("""COMPUTED_VALUE"""),69.52)</f>
        <v>69.52</v>
      </c>
      <c r="E606" s="1">
        <f ca="1">IFERROR(__xludf.DUMMYFUNCTION("""COMPUTED_VALUE"""),69.96)</f>
        <v>69.959999999999994</v>
      </c>
      <c r="F606" s="1">
        <f ca="1">IFERROR(__xludf.DUMMYFUNCTION("""COMPUTED_VALUE"""),19827923)</f>
        <v>19827923</v>
      </c>
    </row>
    <row r="607" spans="1:6" x14ac:dyDescent="0.35">
      <c r="A607" s="2">
        <f ca="1">IFERROR(__xludf.DUMMYFUNCTION("""COMPUTED_VALUE"""),42885.6666666666)</f>
        <v>42885.666666666599</v>
      </c>
      <c r="B607" s="1">
        <f ca="1">IFERROR(__xludf.DUMMYFUNCTION("""COMPUTED_VALUE"""),69.79)</f>
        <v>69.790000000000006</v>
      </c>
      <c r="C607" s="1">
        <f ca="1">IFERROR(__xludf.DUMMYFUNCTION("""COMPUTED_VALUE"""),70.41)</f>
        <v>70.41</v>
      </c>
      <c r="D607" s="1">
        <f ca="1">IFERROR(__xludf.DUMMYFUNCTION("""COMPUTED_VALUE"""),69.77)</f>
        <v>69.77</v>
      </c>
      <c r="E607" s="1">
        <f ca="1">IFERROR(__xludf.DUMMYFUNCTION("""COMPUTED_VALUE"""),70.41)</f>
        <v>70.41</v>
      </c>
      <c r="F607" s="1">
        <f ca="1">IFERROR(__xludf.DUMMYFUNCTION("""COMPUTED_VALUE"""),17072838)</f>
        <v>17072838</v>
      </c>
    </row>
    <row r="608" spans="1:6" x14ac:dyDescent="0.35">
      <c r="A608" s="2">
        <f ca="1">IFERROR(__xludf.DUMMYFUNCTION("""COMPUTED_VALUE"""),42886.6666666666)</f>
        <v>42886.666666666599</v>
      </c>
      <c r="B608" s="1">
        <f ca="1">IFERROR(__xludf.DUMMYFUNCTION("""COMPUTED_VALUE"""),70.53)</f>
        <v>70.53</v>
      </c>
      <c r="C608" s="1">
        <f ca="1">IFERROR(__xludf.DUMMYFUNCTION("""COMPUTED_VALUE"""),70.74)</f>
        <v>70.739999999999995</v>
      </c>
      <c r="D608" s="1">
        <f ca="1">IFERROR(__xludf.DUMMYFUNCTION("""COMPUTED_VALUE"""),69.81)</f>
        <v>69.81</v>
      </c>
      <c r="E608" s="1">
        <f ca="1">IFERROR(__xludf.DUMMYFUNCTION("""COMPUTED_VALUE"""),69.84)</f>
        <v>69.84</v>
      </c>
      <c r="F608" s="1">
        <f ca="1">IFERROR(__xludf.DUMMYFUNCTION("""COMPUTED_VALUE"""),30436364)</f>
        <v>30436364</v>
      </c>
    </row>
    <row r="609" spans="1:6" x14ac:dyDescent="0.35">
      <c r="A609" s="2">
        <f ca="1">IFERROR(__xludf.DUMMYFUNCTION("""COMPUTED_VALUE"""),42887.6666666666)</f>
        <v>42887.666666666599</v>
      </c>
      <c r="B609" s="1">
        <f ca="1">IFERROR(__xludf.DUMMYFUNCTION("""COMPUTED_VALUE"""),70.24)</f>
        <v>70.239999999999995</v>
      </c>
      <c r="C609" s="1">
        <f ca="1">IFERROR(__xludf.DUMMYFUNCTION("""COMPUTED_VALUE"""),70.61)</f>
        <v>70.61</v>
      </c>
      <c r="D609" s="1">
        <f ca="1">IFERROR(__xludf.DUMMYFUNCTION("""COMPUTED_VALUE"""),69.45)</f>
        <v>69.45</v>
      </c>
      <c r="E609" s="1">
        <f ca="1">IFERROR(__xludf.DUMMYFUNCTION("""COMPUTED_VALUE"""),70.1)</f>
        <v>70.099999999999994</v>
      </c>
      <c r="F609" s="1">
        <f ca="1">IFERROR(__xludf.DUMMYFUNCTION("""COMPUTED_VALUE"""),21603601)</f>
        <v>21603601</v>
      </c>
    </row>
    <row r="610" spans="1:6" x14ac:dyDescent="0.35">
      <c r="A610" s="2">
        <f ca="1">IFERROR(__xludf.DUMMYFUNCTION("""COMPUTED_VALUE"""),42888.6666666666)</f>
        <v>42888.666666666599</v>
      </c>
      <c r="B610" s="1">
        <f ca="1">IFERROR(__xludf.DUMMYFUNCTION("""COMPUTED_VALUE"""),70.44)</f>
        <v>70.44</v>
      </c>
      <c r="C610" s="1">
        <f ca="1">IFERROR(__xludf.DUMMYFUNCTION("""COMPUTED_VALUE"""),71.86)</f>
        <v>71.86</v>
      </c>
      <c r="D610" s="1">
        <f ca="1">IFERROR(__xludf.DUMMYFUNCTION("""COMPUTED_VALUE"""),70.24)</f>
        <v>70.239999999999995</v>
      </c>
      <c r="E610" s="1">
        <f ca="1">IFERROR(__xludf.DUMMYFUNCTION("""COMPUTED_VALUE"""),71.76)</f>
        <v>71.760000000000005</v>
      </c>
      <c r="F610" s="1">
        <f ca="1">IFERROR(__xludf.DUMMYFUNCTION("""COMPUTED_VALUE"""),34770261)</f>
        <v>34770261</v>
      </c>
    </row>
    <row r="611" spans="1:6" x14ac:dyDescent="0.35">
      <c r="A611" s="2">
        <f ca="1">IFERROR(__xludf.DUMMYFUNCTION("""COMPUTED_VALUE"""),42891.6666666666)</f>
        <v>42891.666666666599</v>
      </c>
      <c r="B611" s="1">
        <f ca="1">IFERROR(__xludf.DUMMYFUNCTION("""COMPUTED_VALUE"""),71.97)</f>
        <v>71.97</v>
      </c>
      <c r="C611" s="1">
        <f ca="1">IFERROR(__xludf.DUMMYFUNCTION("""COMPUTED_VALUE"""),72.89)</f>
        <v>72.89</v>
      </c>
      <c r="D611" s="1">
        <f ca="1">IFERROR(__xludf.DUMMYFUNCTION("""COMPUTED_VALUE"""),71.81)</f>
        <v>71.81</v>
      </c>
      <c r="E611" s="1">
        <f ca="1">IFERROR(__xludf.DUMMYFUNCTION("""COMPUTED_VALUE"""),72.28)</f>
        <v>72.28</v>
      </c>
      <c r="F611" s="1">
        <f ca="1">IFERROR(__xludf.DUMMYFUNCTION("""COMPUTED_VALUE"""),33316760)</f>
        <v>33316760</v>
      </c>
    </row>
    <row r="612" spans="1:6" x14ac:dyDescent="0.35">
      <c r="A612" s="2">
        <f ca="1">IFERROR(__xludf.DUMMYFUNCTION("""COMPUTED_VALUE"""),42892.6666666666)</f>
        <v>42892.666666666599</v>
      </c>
      <c r="B612" s="1">
        <f ca="1">IFERROR(__xludf.DUMMYFUNCTION("""COMPUTED_VALUE"""),72.3)</f>
        <v>72.3</v>
      </c>
      <c r="C612" s="1">
        <f ca="1">IFERROR(__xludf.DUMMYFUNCTION("""COMPUTED_VALUE"""),72.62)</f>
        <v>72.62</v>
      </c>
      <c r="D612" s="1">
        <f ca="1">IFERROR(__xludf.DUMMYFUNCTION("""COMPUTED_VALUE"""),72.27)</f>
        <v>72.27</v>
      </c>
      <c r="E612" s="1">
        <f ca="1">IFERROR(__xludf.DUMMYFUNCTION("""COMPUTED_VALUE"""),72.52)</f>
        <v>72.52</v>
      </c>
      <c r="F612" s="1">
        <f ca="1">IFERROR(__xludf.DUMMYFUNCTION("""COMPUTED_VALUE"""),31511065)</f>
        <v>31511065</v>
      </c>
    </row>
    <row r="613" spans="1:6" x14ac:dyDescent="0.35">
      <c r="A613" s="2">
        <f ca="1">IFERROR(__xludf.DUMMYFUNCTION("""COMPUTED_VALUE"""),42893.6666666666)</f>
        <v>42893.666666666599</v>
      </c>
      <c r="B613" s="1">
        <f ca="1">IFERROR(__xludf.DUMMYFUNCTION("""COMPUTED_VALUE"""),72.64)</f>
        <v>72.64</v>
      </c>
      <c r="C613" s="1">
        <f ca="1">IFERROR(__xludf.DUMMYFUNCTION("""COMPUTED_VALUE"""),72.77)</f>
        <v>72.77</v>
      </c>
      <c r="D613" s="1">
        <f ca="1">IFERROR(__xludf.DUMMYFUNCTION("""COMPUTED_VALUE"""),71.95)</f>
        <v>71.95</v>
      </c>
      <c r="E613" s="1">
        <f ca="1">IFERROR(__xludf.DUMMYFUNCTION("""COMPUTED_VALUE"""),72.39)</f>
        <v>72.39</v>
      </c>
      <c r="F613" s="1">
        <f ca="1">IFERROR(__xludf.DUMMYFUNCTION("""COMPUTED_VALUE"""),22301765)</f>
        <v>22301765</v>
      </c>
    </row>
    <row r="614" spans="1:6" x14ac:dyDescent="0.35">
      <c r="A614" s="2">
        <f ca="1">IFERROR(__xludf.DUMMYFUNCTION("""COMPUTED_VALUE"""),42894.6666666666)</f>
        <v>42894.666666666599</v>
      </c>
      <c r="B614" s="1">
        <f ca="1">IFERROR(__xludf.DUMMYFUNCTION("""COMPUTED_VALUE"""),72.51)</f>
        <v>72.510000000000005</v>
      </c>
      <c r="C614" s="1">
        <f ca="1">IFERROR(__xludf.DUMMYFUNCTION("""COMPUTED_VALUE"""),72.52)</f>
        <v>72.52</v>
      </c>
      <c r="D614" s="1">
        <f ca="1">IFERROR(__xludf.DUMMYFUNCTION("""COMPUTED_VALUE"""),71.5)</f>
        <v>71.5</v>
      </c>
      <c r="E614" s="1">
        <f ca="1">IFERROR(__xludf.DUMMYFUNCTION("""COMPUTED_VALUE"""),71.95)</f>
        <v>71.95</v>
      </c>
      <c r="F614" s="1">
        <f ca="1">IFERROR(__xludf.DUMMYFUNCTION("""COMPUTED_VALUE"""),24588270)</f>
        <v>24588270</v>
      </c>
    </row>
    <row r="615" spans="1:6" x14ac:dyDescent="0.35">
      <c r="A615" s="2">
        <f ca="1">IFERROR(__xludf.DUMMYFUNCTION("""COMPUTED_VALUE"""),42895.6666666666)</f>
        <v>42895.666666666599</v>
      </c>
      <c r="B615" s="1">
        <f ca="1">IFERROR(__xludf.DUMMYFUNCTION("""COMPUTED_VALUE"""),72.04)</f>
        <v>72.040000000000006</v>
      </c>
      <c r="C615" s="1">
        <f ca="1">IFERROR(__xludf.DUMMYFUNCTION("""COMPUTED_VALUE"""),72.08)</f>
        <v>72.08</v>
      </c>
      <c r="D615" s="1">
        <f ca="1">IFERROR(__xludf.DUMMYFUNCTION("""COMPUTED_VALUE"""),68.59)</f>
        <v>68.59</v>
      </c>
      <c r="E615" s="1">
        <f ca="1">IFERROR(__xludf.DUMMYFUNCTION("""COMPUTED_VALUE"""),70.32)</f>
        <v>70.319999999999993</v>
      </c>
      <c r="F615" s="1">
        <f ca="1">IFERROR(__xludf.DUMMYFUNCTION("""COMPUTED_VALUE"""),49187396)</f>
        <v>49187396</v>
      </c>
    </row>
    <row r="616" spans="1:6" x14ac:dyDescent="0.35">
      <c r="A616" s="2">
        <f ca="1">IFERROR(__xludf.DUMMYFUNCTION("""COMPUTED_VALUE"""),42898.6666666666)</f>
        <v>42898.666666666599</v>
      </c>
      <c r="B616" s="1">
        <f ca="1">IFERROR(__xludf.DUMMYFUNCTION("""COMPUTED_VALUE"""),69.25)</f>
        <v>69.25</v>
      </c>
      <c r="C616" s="1">
        <f ca="1">IFERROR(__xludf.DUMMYFUNCTION("""COMPUTED_VALUE"""),69.94)</f>
        <v>69.94</v>
      </c>
      <c r="D616" s="1">
        <f ca="1">IFERROR(__xludf.DUMMYFUNCTION("""COMPUTED_VALUE"""),68.13)</f>
        <v>68.13</v>
      </c>
      <c r="E616" s="1">
        <f ca="1">IFERROR(__xludf.DUMMYFUNCTION("""COMPUTED_VALUE"""),69.78)</f>
        <v>69.78</v>
      </c>
      <c r="F616" s="1">
        <f ca="1">IFERROR(__xludf.DUMMYFUNCTION("""COMPUTED_VALUE"""),47761743)</f>
        <v>47761743</v>
      </c>
    </row>
    <row r="617" spans="1:6" x14ac:dyDescent="0.35">
      <c r="A617" s="2">
        <f ca="1">IFERROR(__xludf.DUMMYFUNCTION("""COMPUTED_VALUE"""),42899.6666666666)</f>
        <v>42899.666666666599</v>
      </c>
      <c r="B617" s="1">
        <f ca="1">IFERROR(__xludf.DUMMYFUNCTION("""COMPUTED_VALUE"""),70.02)</f>
        <v>70.02</v>
      </c>
      <c r="C617" s="1">
        <f ca="1">IFERROR(__xludf.DUMMYFUNCTION("""COMPUTED_VALUE"""),70.82)</f>
        <v>70.819999999999993</v>
      </c>
      <c r="D617" s="1">
        <f ca="1">IFERROR(__xludf.DUMMYFUNCTION("""COMPUTED_VALUE"""),69.96)</f>
        <v>69.959999999999994</v>
      </c>
      <c r="E617" s="1">
        <f ca="1">IFERROR(__xludf.DUMMYFUNCTION("""COMPUTED_VALUE"""),70.65)</f>
        <v>70.650000000000006</v>
      </c>
      <c r="F617" s="1">
        <f ca="1">IFERROR(__xludf.DUMMYFUNCTION("""COMPUTED_VALUE"""),25258614)</f>
        <v>25258614</v>
      </c>
    </row>
    <row r="618" spans="1:6" x14ac:dyDescent="0.35">
      <c r="A618" s="2">
        <f ca="1">IFERROR(__xludf.DUMMYFUNCTION("""COMPUTED_VALUE"""),42900.6666666666)</f>
        <v>42900.666666666599</v>
      </c>
      <c r="B618" s="1">
        <f ca="1">IFERROR(__xludf.DUMMYFUNCTION("""COMPUTED_VALUE"""),70.91)</f>
        <v>70.91</v>
      </c>
      <c r="C618" s="1">
        <f ca="1">IFERROR(__xludf.DUMMYFUNCTION("""COMPUTED_VALUE"""),71.1)</f>
        <v>71.099999999999994</v>
      </c>
      <c r="D618" s="1">
        <f ca="1">IFERROR(__xludf.DUMMYFUNCTION("""COMPUTED_VALUE"""),69.43)</f>
        <v>69.430000000000007</v>
      </c>
      <c r="E618" s="1">
        <f ca="1">IFERROR(__xludf.DUMMYFUNCTION("""COMPUTED_VALUE"""),70.27)</f>
        <v>70.27</v>
      </c>
      <c r="F618" s="1">
        <f ca="1">IFERROR(__xludf.DUMMYFUNCTION("""COMPUTED_VALUE"""),25510685)</f>
        <v>25510685</v>
      </c>
    </row>
    <row r="619" spans="1:6" x14ac:dyDescent="0.35">
      <c r="A619" s="2">
        <f ca="1">IFERROR(__xludf.DUMMYFUNCTION("""COMPUTED_VALUE"""),42901.6666666666)</f>
        <v>42901.666666666599</v>
      </c>
      <c r="B619" s="1">
        <f ca="1">IFERROR(__xludf.DUMMYFUNCTION("""COMPUTED_VALUE"""),69.27)</f>
        <v>69.27</v>
      </c>
      <c r="C619" s="1">
        <f ca="1">IFERROR(__xludf.DUMMYFUNCTION("""COMPUTED_VALUE"""),70.21)</f>
        <v>70.209999999999994</v>
      </c>
      <c r="D619" s="1">
        <f ca="1">IFERROR(__xludf.DUMMYFUNCTION("""COMPUTED_VALUE"""),68.8)</f>
        <v>68.8</v>
      </c>
      <c r="E619" s="1">
        <f ca="1">IFERROR(__xludf.DUMMYFUNCTION("""COMPUTED_VALUE"""),69.9)</f>
        <v>69.900000000000006</v>
      </c>
      <c r="F619" s="1">
        <f ca="1">IFERROR(__xludf.DUMMYFUNCTION("""COMPUTED_VALUE"""),26068709)</f>
        <v>26068709</v>
      </c>
    </row>
    <row r="620" spans="1:6" x14ac:dyDescent="0.35">
      <c r="A620" s="2">
        <f ca="1">IFERROR(__xludf.DUMMYFUNCTION("""COMPUTED_VALUE"""),42902.6666666666)</f>
        <v>42902.666666666599</v>
      </c>
      <c r="B620" s="1">
        <f ca="1">IFERROR(__xludf.DUMMYFUNCTION("""COMPUTED_VALUE"""),69.73)</f>
        <v>69.73</v>
      </c>
      <c r="C620" s="1">
        <f ca="1">IFERROR(__xludf.DUMMYFUNCTION("""COMPUTED_VALUE"""),70.03)</f>
        <v>70.03</v>
      </c>
      <c r="D620" s="1">
        <f ca="1">IFERROR(__xludf.DUMMYFUNCTION("""COMPUTED_VALUE"""),69.22)</f>
        <v>69.22</v>
      </c>
      <c r="E620" s="1">
        <f ca="1">IFERROR(__xludf.DUMMYFUNCTION("""COMPUTED_VALUE"""),70)</f>
        <v>70</v>
      </c>
      <c r="F620" s="1">
        <f ca="1">IFERROR(__xludf.DUMMYFUNCTION("""COMPUTED_VALUE"""),48345085)</f>
        <v>48345085</v>
      </c>
    </row>
    <row r="621" spans="1:6" x14ac:dyDescent="0.35">
      <c r="A621" s="2">
        <f ca="1">IFERROR(__xludf.DUMMYFUNCTION("""COMPUTED_VALUE"""),42905.6666666666)</f>
        <v>42905.666666666599</v>
      </c>
      <c r="B621" s="1">
        <f ca="1">IFERROR(__xludf.DUMMYFUNCTION("""COMPUTED_VALUE"""),70.5)</f>
        <v>70.5</v>
      </c>
      <c r="C621" s="1">
        <f ca="1">IFERROR(__xludf.DUMMYFUNCTION("""COMPUTED_VALUE"""),70.94)</f>
        <v>70.94</v>
      </c>
      <c r="D621" s="1">
        <f ca="1">IFERROR(__xludf.DUMMYFUNCTION("""COMPUTED_VALUE"""),70.35)</f>
        <v>70.349999999999994</v>
      </c>
      <c r="E621" s="1">
        <f ca="1">IFERROR(__xludf.DUMMYFUNCTION("""COMPUTED_VALUE"""),70.87)</f>
        <v>70.87</v>
      </c>
      <c r="F621" s="1">
        <f ca="1">IFERROR(__xludf.DUMMYFUNCTION("""COMPUTED_VALUE"""),23798268)</f>
        <v>23798268</v>
      </c>
    </row>
    <row r="622" spans="1:6" x14ac:dyDescent="0.35">
      <c r="A622" s="2">
        <f ca="1">IFERROR(__xludf.DUMMYFUNCTION("""COMPUTED_VALUE"""),42906.6666666666)</f>
        <v>42906.666666666599</v>
      </c>
      <c r="B622" s="1">
        <f ca="1">IFERROR(__xludf.DUMMYFUNCTION("""COMPUTED_VALUE"""),70.82)</f>
        <v>70.819999999999993</v>
      </c>
      <c r="C622" s="1">
        <f ca="1">IFERROR(__xludf.DUMMYFUNCTION("""COMPUTED_VALUE"""),70.87)</f>
        <v>70.87</v>
      </c>
      <c r="D622" s="1">
        <f ca="1">IFERROR(__xludf.DUMMYFUNCTION("""COMPUTED_VALUE"""),69.87)</f>
        <v>69.87</v>
      </c>
      <c r="E622" s="1">
        <f ca="1">IFERROR(__xludf.DUMMYFUNCTION("""COMPUTED_VALUE"""),69.91)</f>
        <v>69.91</v>
      </c>
      <c r="F622" s="1">
        <f ca="1">IFERROR(__xludf.DUMMYFUNCTION("""COMPUTED_VALUE"""),21512231)</f>
        <v>21512231</v>
      </c>
    </row>
    <row r="623" spans="1:6" x14ac:dyDescent="0.35">
      <c r="A623" s="2">
        <f ca="1">IFERROR(__xludf.DUMMYFUNCTION("""COMPUTED_VALUE"""),42907.6666666666)</f>
        <v>42907.666666666599</v>
      </c>
      <c r="B623" s="1">
        <f ca="1">IFERROR(__xludf.DUMMYFUNCTION("""COMPUTED_VALUE"""),70.21)</f>
        <v>70.209999999999994</v>
      </c>
      <c r="C623" s="1">
        <f ca="1">IFERROR(__xludf.DUMMYFUNCTION("""COMPUTED_VALUE"""),70.62)</f>
        <v>70.62</v>
      </c>
      <c r="D623" s="1">
        <f ca="1">IFERROR(__xludf.DUMMYFUNCTION("""COMPUTED_VALUE"""),69.94)</f>
        <v>69.94</v>
      </c>
      <c r="E623" s="1">
        <f ca="1">IFERROR(__xludf.DUMMYFUNCTION("""COMPUTED_VALUE"""),70.27)</f>
        <v>70.27</v>
      </c>
      <c r="F623" s="1">
        <f ca="1">IFERROR(__xludf.DUMMYFUNCTION("""COMPUTED_VALUE"""),19891051)</f>
        <v>19891051</v>
      </c>
    </row>
    <row r="624" spans="1:6" x14ac:dyDescent="0.35">
      <c r="A624" s="2">
        <f ca="1">IFERROR(__xludf.DUMMYFUNCTION("""COMPUTED_VALUE"""),42908.6666666666)</f>
        <v>42908.666666666599</v>
      </c>
      <c r="B624" s="1">
        <f ca="1">IFERROR(__xludf.DUMMYFUNCTION("""COMPUTED_VALUE"""),70.54)</f>
        <v>70.540000000000006</v>
      </c>
      <c r="C624" s="1">
        <f ca="1">IFERROR(__xludf.DUMMYFUNCTION("""COMPUTED_VALUE"""),70.59)</f>
        <v>70.59</v>
      </c>
      <c r="D624" s="1">
        <f ca="1">IFERROR(__xludf.DUMMYFUNCTION("""COMPUTED_VALUE"""),69.71)</f>
        <v>69.709999999999994</v>
      </c>
      <c r="E624" s="1">
        <f ca="1">IFERROR(__xludf.DUMMYFUNCTION("""COMPUTED_VALUE"""),70.26)</f>
        <v>70.260000000000005</v>
      </c>
      <c r="F624" s="1">
        <f ca="1">IFERROR(__xludf.DUMMYFUNCTION("""COMPUTED_VALUE"""),22965738)</f>
        <v>22965738</v>
      </c>
    </row>
    <row r="625" spans="1:6" x14ac:dyDescent="0.35">
      <c r="A625" s="2">
        <f ca="1">IFERROR(__xludf.DUMMYFUNCTION("""COMPUTED_VALUE"""),42909.6666666666)</f>
        <v>42909.666666666599</v>
      </c>
      <c r="B625" s="1">
        <f ca="1">IFERROR(__xludf.DUMMYFUNCTION("""COMPUTED_VALUE"""),70.09)</f>
        <v>70.09</v>
      </c>
      <c r="C625" s="1">
        <f ca="1">IFERROR(__xludf.DUMMYFUNCTION("""COMPUTED_VALUE"""),71.25)</f>
        <v>71.25</v>
      </c>
      <c r="D625" s="1">
        <f ca="1">IFERROR(__xludf.DUMMYFUNCTION("""COMPUTED_VALUE"""),69.92)</f>
        <v>69.92</v>
      </c>
      <c r="E625" s="1">
        <f ca="1">IFERROR(__xludf.DUMMYFUNCTION("""COMPUTED_VALUE"""),71.21)</f>
        <v>71.209999999999994</v>
      </c>
      <c r="F625" s="1">
        <f ca="1">IFERROR(__xludf.DUMMYFUNCTION("""COMPUTED_VALUE"""),27617291)</f>
        <v>27617291</v>
      </c>
    </row>
    <row r="626" spans="1:6" x14ac:dyDescent="0.35">
      <c r="A626" s="2">
        <f ca="1">IFERROR(__xludf.DUMMYFUNCTION("""COMPUTED_VALUE"""),42912.6666666666)</f>
        <v>42912.666666666599</v>
      </c>
      <c r="B626" s="1">
        <f ca="1">IFERROR(__xludf.DUMMYFUNCTION("""COMPUTED_VALUE"""),71.4)</f>
        <v>71.400000000000006</v>
      </c>
      <c r="C626" s="1">
        <f ca="1">IFERROR(__xludf.DUMMYFUNCTION("""COMPUTED_VALUE"""),71.71)</f>
        <v>71.709999999999994</v>
      </c>
      <c r="D626" s="1">
        <f ca="1">IFERROR(__xludf.DUMMYFUNCTION("""COMPUTED_VALUE"""),70.44)</f>
        <v>70.44</v>
      </c>
      <c r="E626" s="1">
        <f ca="1">IFERROR(__xludf.DUMMYFUNCTION("""COMPUTED_VALUE"""),70.53)</f>
        <v>70.53</v>
      </c>
      <c r="F626" s="1">
        <f ca="1">IFERROR(__xludf.DUMMYFUNCTION("""COMPUTED_VALUE"""),19606974)</f>
        <v>19606974</v>
      </c>
    </row>
    <row r="627" spans="1:6" x14ac:dyDescent="0.35">
      <c r="A627" s="2">
        <f ca="1">IFERROR(__xludf.DUMMYFUNCTION("""COMPUTED_VALUE"""),42913.6666666666)</f>
        <v>42913.666666666599</v>
      </c>
      <c r="B627" s="1">
        <f ca="1">IFERROR(__xludf.DUMMYFUNCTION("""COMPUTED_VALUE"""),70.11)</f>
        <v>70.11</v>
      </c>
      <c r="C627" s="1">
        <f ca="1">IFERROR(__xludf.DUMMYFUNCTION("""COMPUTED_VALUE"""),70.18)</f>
        <v>70.180000000000007</v>
      </c>
      <c r="D627" s="1">
        <f ca="1">IFERROR(__xludf.DUMMYFUNCTION("""COMPUTED_VALUE"""),69.18)</f>
        <v>69.180000000000007</v>
      </c>
      <c r="E627" s="1">
        <f ca="1">IFERROR(__xludf.DUMMYFUNCTION("""COMPUTED_VALUE"""),69.21)</f>
        <v>69.209999999999994</v>
      </c>
      <c r="F627" s="1">
        <f ca="1">IFERROR(__xludf.DUMMYFUNCTION("""COMPUTED_VALUE"""),25215128)</f>
        <v>25215128</v>
      </c>
    </row>
    <row r="628" spans="1:6" x14ac:dyDescent="0.35">
      <c r="A628" s="2">
        <f ca="1">IFERROR(__xludf.DUMMYFUNCTION("""COMPUTED_VALUE"""),42914.6666666666)</f>
        <v>42914.666666666599</v>
      </c>
      <c r="B628" s="1">
        <f ca="1">IFERROR(__xludf.DUMMYFUNCTION("""COMPUTED_VALUE"""),69.21)</f>
        <v>69.209999999999994</v>
      </c>
      <c r="C628" s="1">
        <f ca="1">IFERROR(__xludf.DUMMYFUNCTION("""COMPUTED_VALUE"""),69.84)</f>
        <v>69.84</v>
      </c>
      <c r="D628" s="1">
        <f ca="1">IFERROR(__xludf.DUMMYFUNCTION("""COMPUTED_VALUE"""),68.79)</f>
        <v>68.790000000000006</v>
      </c>
      <c r="E628" s="1">
        <f ca="1">IFERROR(__xludf.DUMMYFUNCTION("""COMPUTED_VALUE"""),69.8)</f>
        <v>69.8</v>
      </c>
      <c r="F628" s="1">
        <f ca="1">IFERROR(__xludf.DUMMYFUNCTION("""COMPUTED_VALUE"""),25806200)</f>
        <v>25806200</v>
      </c>
    </row>
    <row r="629" spans="1:6" x14ac:dyDescent="0.35">
      <c r="A629" s="2">
        <f ca="1">IFERROR(__xludf.DUMMYFUNCTION("""COMPUTED_VALUE"""),42915.6666666666)</f>
        <v>42915.666666666599</v>
      </c>
      <c r="B629" s="1">
        <f ca="1">IFERROR(__xludf.DUMMYFUNCTION("""COMPUTED_VALUE"""),69.38)</f>
        <v>69.38</v>
      </c>
      <c r="C629" s="1">
        <f ca="1">IFERROR(__xludf.DUMMYFUNCTION("""COMPUTED_VALUE"""),69.49)</f>
        <v>69.489999999999995</v>
      </c>
      <c r="D629" s="1">
        <f ca="1">IFERROR(__xludf.DUMMYFUNCTION("""COMPUTED_VALUE"""),68.09)</f>
        <v>68.09</v>
      </c>
      <c r="E629" s="1">
        <f ca="1">IFERROR(__xludf.DUMMYFUNCTION("""COMPUTED_VALUE"""),68.49)</f>
        <v>68.489999999999995</v>
      </c>
      <c r="F629" s="1">
        <f ca="1">IFERROR(__xludf.DUMMYFUNCTION("""COMPUTED_VALUE"""),28918715)</f>
        <v>28918715</v>
      </c>
    </row>
    <row r="630" spans="1:6" x14ac:dyDescent="0.35">
      <c r="A630" s="2">
        <f ca="1">IFERROR(__xludf.DUMMYFUNCTION("""COMPUTED_VALUE"""),42916.6666666666)</f>
        <v>42916.666666666599</v>
      </c>
      <c r="B630" s="1">
        <f ca="1">IFERROR(__xludf.DUMMYFUNCTION("""COMPUTED_VALUE"""),68.78)</f>
        <v>68.78</v>
      </c>
      <c r="C630" s="1">
        <f ca="1">IFERROR(__xludf.DUMMYFUNCTION("""COMPUTED_VALUE"""),69.38)</f>
        <v>69.38</v>
      </c>
      <c r="D630" s="1">
        <f ca="1">IFERROR(__xludf.DUMMYFUNCTION("""COMPUTED_VALUE"""),68.74)</f>
        <v>68.739999999999995</v>
      </c>
      <c r="E630" s="1">
        <f ca="1">IFERROR(__xludf.DUMMYFUNCTION("""COMPUTED_VALUE"""),68.93)</f>
        <v>68.930000000000007</v>
      </c>
      <c r="F630" s="1">
        <f ca="1">IFERROR(__xludf.DUMMYFUNCTION("""COMPUTED_VALUE"""),24161068)</f>
        <v>24161068</v>
      </c>
    </row>
    <row r="631" spans="1:6" x14ac:dyDescent="0.35">
      <c r="A631" s="2">
        <f ca="1">IFERROR(__xludf.DUMMYFUNCTION("""COMPUTED_VALUE"""),42919.6666666666)</f>
        <v>42919.666666666599</v>
      </c>
      <c r="B631" s="1">
        <f ca="1">IFERROR(__xludf.DUMMYFUNCTION("""COMPUTED_VALUE"""),69.33)</f>
        <v>69.33</v>
      </c>
      <c r="C631" s="1">
        <f ca="1">IFERROR(__xludf.DUMMYFUNCTION("""COMPUTED_VALUE"""),69.6)</f>
        <v>69.599999999999994</v>
      </c>
      <c r="D631" s="1">
        <f ca="1">IFERROR(__xludf.DUMMYFUNCTION("""COMPUTED_VALUE"""),68.02)</f>
        <v>68.02</v>
      </c>
      <c r="E631" s="1">
        <f ca="1">IFERROR(__xludf.DUMMYFUNCTION("""COMPUTED_VALUE"""),68.17)</f>
        <v>68.17</v>
      </c>
      <c r="F631" s="1">
        <f ca="1">IFERROR(__xludf.DUMMYFUNCTION("""COMPUTED_VALUE"""),16165538)</f>
        <v>16165538</v>
      </c>
    </row>
    <row r="632" spans="1:6" x14ac:dyDescent="0.35">
      <c r="A632" s="2">
        <f ca="1">IFERROR(__xludf.DUMMYFUNCTION("""COMPUTED_VALUE"""),42921.6666666666)</f>
        <v>42921.666666666599</v>
      </c>
      <c r="B632" s="1">
        <f ca="1">IFERROR(__xludf.DUMMYFUNCTION("""COMPUTED_VALUE"""),68.26)</f>
        <v>68.260000000000005</v>
      </c>
      <c r="C632" s="1">
        <f ca="1">IFERROR(__xludf.DUMMYFUNCTION("""COMPUTED_VALUE"""),69.44)</f>
        <v>69.44</v>
      </c>
      <c r="D632" s="1">
        <f ca="1">IFERROR(__xludf.DUMMYFUNCTION("""COMPUTED_VALUE"""),68.22)</f>
        <v>68.22</v>
      </c>
      <c r="E632" s="1">
        <f ca="1">IFERROR(__xludf.DUMMYFUNCTION("""COMPUTED_VALUE"""),69.08)</f>
        <v>69.08</v>
      </c>
      <c r="F632" s="1">
        <f ca="1">IFERROR(__xludf.DUMMYFUNCTION("""COMPUTED_VALUE"""),21176272)</f>
        <v>21176272</v>
      </c>
    </row>
    <row r="633" spans="1:6" x14ac:dyDescent="0.35">
      <c r="A633" s="2">
        <f ca="1">IFERROR(__xludf.DUMMYFUNCTION("""COMPUTED_VALUE"""),42922.6666666666)</f>
        <v>42922.666666666599</v>
      </c>
      <c r="B633" s="1">
        <f ca="1">IFERROR(__xludf.DUMMYFUNCTION("""COMPUTED_VALUE"""),68.27)</f>
        <v>68.27</v>
      </c>
      <c r="C633" s="1">
        <f ca="1">IFERROR(__xludf.DUMMYFUNCTION("""COMPUTED_VALUE"""),68.78)</f>
        <v>68.78</v>
      </c>
      <c r="D633" s="1">
        <f ca="1">IFERROR(__xludf.DUMMYFUNCTION("""COMPUTED_VALUE"""),68.12)</f>
        <v>68.12</v>
      </c>
      <c r="E633" s="1">
        <f ca="1">IFERROR(__xludf.DUMMYFUNCTION("""COMPUTED_VALUE"""),68.57)</f>
        <v>68.569999999999993</v>
      </c>
      <c r="F633" s="1">
        <f ca="1">IFERROR(__xludf.DUMMYFUNCTION("""COMPUTED_VALUE"""),21117572)</f>
        <v>21117572</v>
      </c>
    </row>
    <row r="634" spans="1:6" x14ac:dyDescent="0.35">
      <c r="A634" s="2">
        <f ca="1">IFERROR(__xludf.DUMMYFUNCTION("""COMPUTED_VALUE"""),42923.6666666666)</f>
        <v>42923.666666666599</v>
      </c>
      <c r="B634" s="1">
        <f ca="1">IFERROR(__xludf.DUMMYFUNCTION("""COMPUTED_VALUE"""),68.7)</f>
        <v>68.7</v>
      </c>
      <c r="C634" s="1">
        <f ca="1">IFERROR(__xludf.DUMMYFUNCTION("""COMPUTED_VALUE"""),69.84)</f>
        <v>69.84</v>
      </c>
      <c r="D634" s="1">
        <f ca="1">IFERROR(__xludf.DUMMYFUNCTION("""COMPUTED_VALUE"""),68.7)</f>
        <v>68.7</v>
      </c>
      <c r="E634" s="1">
        <f ca="1">IFERROR(__xludf.DUMMYFUNCTION("""COMPUTED_VALUE"""),69.46)</f>
        <v>69.459999999999994</v>
      </c>
      <c r="F634" s="1">
        <f ca="1">IFERROR(__xludf.DUMMYFUNCTION("""COMPUTED_VALUE"""),16878317)</f>
        <v>16878317</v>
      </c>
    </row>
    <row r="635" spans="1:6" x14ac:dyDescent="0.35">
      <c r="A635" s="2">
        <f ca="1">IFERROR(__xludf.DUMMYFUNCTION("""COMPUTED_VALUE"""),42926.6666666666)</f>
        <v>42926.666666666599</v>
      </c>
      <c r="B635" s="1">
        <f ca="1">IFERROR(__xludf.DUMMYFUNCTION("""COMPUTED_VALUE"""),69.46)</f>
        <v>69.459999999999994</v>
      </c>
      <c r="C635" s="1">
        <f ca="1">IFERROR(__xludf.DUMMYFUNCTION("""COMPUTED_VALUE"""),70.25)</f>
        <v>70.25</v>
      </c>
      <c r="D635" s="1">
        <f ca="1">IFERROR(__xludf.DUMMYFUNCTION("""COMPUTED_VALUE"""),69.2)</f>
        <v>69.2</v>
      </c>
      <c r="E635" s="1">
        <f ca="1">IFERROR(__xludf.DUMMYFUNCTION("""COMPUTED_VALUE"""),69.98)</f>
        <v>69.98</v>
      </c>
      <c r="F635" s="1">
        <f ca="1">IFERROR(__xludf.DUMMYFUNCTION("""COMPUTED_VALUE"""),15014503)</f>
        <v>15014503</v>
      </c>
    </row>
    <row r="636" spans="1:6" x14ac:dyDescent="0.35">
      <c r="A636" s="2">
        <f ca="1">IFERROR(__xludf.DUMMYFUNCTION("""COMPUTED_VALUE"""),42927.6666666666)</f>
        <v>42927.666666666599</v>
      </c>
      <c r="B636" s="1">
        <f ca="1">IFERROR(__xludf.DUMMYFUNCTION("""COMPUTED_VALUE"""),70)</f>
        <v>70</v>
      </c>
      <c r="C636" s="1">
        <f ca="1">IFERROR(__xludf.DUMMYFUNCTION("""COMPUTED_VALUE"""),70.68)</f>
        <v>70.680000000000007</v>
      </c>
      <c r="D636" s="1">
        <f ca="1">IFERROR(__xludf.DUMMYFUNCTION("""COMPUTED_VALUE"""),69.75)</f>
        <v>69.75</v>
      </c>
      <c r="E636" s="1">
        <f ca="1">IFERROR(__xludf.DUMMYFUNCTION("""COMPUTED_VALUE"""),69.99)</f>
        <v>69.989999999999995</v>
      </c>
      <c r="F636" s="1">
        <f ca="1">IFERROR(__xludf.DUMMYFUNCTION("""COMPUTED_VALUE"""),17460022)</f>
        <v>17460022</v>
      </c>
    </row>
    <row r="637" spans="1:6" x14ac:dyDescent="0.35">
      <c r="A637" s="2">
        <f ca="1">IFERROR(__xludf.DUMMYFUNCTION("""COMPUTED_VALUE"""),42928.6666666666)</f>
        <v>42928.666666666599</v>
      </c>
      <c r="B637" s="1">
        <f ca="1">IFERROR(__xludf.DUMMYFUNCTION("""COMPUTED_VALUE"""),70.69)</f>
        <v>70.69</v>
      </c>
      <c r="C637" s="1">
        <f ca="1">IFERROR(__xludf.DUMMYFUNCTION("""COMPUTED_VALUE"""),71.28)</f>
        <v>71.28</v>
      </c>
      <c r="D637" s="1">
        <f ca="1">IFERROR(__xludf.DUMMYFUNCTION("""COMPUTED_VALUE"""),70.55)</f>
        <v>70.55</v>
      </c>
      <c r="E637" s="1">
        <f ca="1">IFERROR(__xludf.DUMMYFUNCTION("""COMPUTED_VALUE"""),71.15)</f>
        <v>71.150000000000006</v>
      </c>
      <c r="F637" s="1">
        <f ca="1">IFERROR(__xludf.DUMMYFUNCTION("""COMPUTED_VALUE"""),17750925)</f>
        <v>17750925</v>
      </c>
    </row>
    <row r="638" spans="1:6" x14ac:dyDescent="0.35">
      <c r="A638" s="2">
        <f ca="1">IFERROR(__xludf.DUMMYFUNCTION("""COMPUTED_VALUE"""),42929.6666666666)</f>
        <v>42929.666666666599</v>
      </c>
      <c r="B638" s="1">
        <f ca="1">IFERROR(__xludf.DUMMYFUNCTION("""COMPUTED_VALUE"""),71.5)</f>
        <v>71.5</v>
      </c>
      <c r="C638" s="1">
        <f ca="1">IFERROR(__xludf.DUMMYFUNCTION("""COMPUTED_VALUE"""),72.04)</f>
        <v>72.040000000000006</v>
      </c>
      <c r="D638" s="1">
        <f ca="1">IFERROR(__xludf.DUMMYFUNCTION("""COMPUTED_VALUE"""),71.31)</f>
        <v>71.31</v>
      </c>
      <c r="E638" s="1">
        <f ca="1">IFERROR(__xludf.DUMMYFUNCTION("""COMPUTED_VALUE"""),71.77)</f>
        <v>71.77</v>
      </c>
      <c r="F638" s="1">
        <f ca="1">IFERROR(__xludf.DUMMYFUNCTION("""COMPUTED_VALUE"""),20269816)</f>
        <v>20269816</v>
      </c>
    </row>
    <row r="639" spans="1:6" x14ac:dyDescent="0.35">
      <c r="A639" s="2">
        <f ca="1">IFERROR(__xludf.DUMMYFUNCTION("""COMPUTED_VALUE"""),42930.6666666666)</f>
        <v>42930.666666666599</v>
      </c>
      <c r="B639" s="1">
        <f ca="1">IFERROR(__xludf.DUMMYFUNCTION("""COMPUTED_VALUE"""),72.24)</f>
        <v>72.239999999999995</v>
      </c>
      <c r="C639" s="1">
        <f ca="1">IFERROR(__xludf.DUMMYFUNCTION("""COMPUTED_VALUE"""),73.27)</f>
        <v>73.27</v>
      </c>
      <c r="D639" s="1">
        <f ca="1">IFERROR(__xludf.DUMMYFUNCTION("""COMPUTED_VALUE"""),71.96)</f>
        <v>71.959999999999994</v>
      </c>
      <c r="E639" s="1">
        <f ca="1">IFERROR(__xludf.DUMMYFUNCTION("""COMPUTED_VALUE"""),72.78)</f>
        <v>72.78</v>
      </c>
      <c r="F639" s="1">
        <f ca="1">IFERROR(__xludf.DUMMYFUNCTION("""COMPUTED_VALUE"""),25868086)</f>
        <v>25868086</v>
      </c>
    </row>
    <row r="640" spans="1:6" x14ac:dyDescent="0.35">
      <c r="A640" s="2">
        <f ca="1">IFERROR(__xludf.DUMMYFUNCTION("""COMPUTED_VALUE"""),42933.6666666666)</f>
        <v>42933.666666666599</v>
      </c>
      <c r="B640" s="1">
        <f ca="1">IFERROR(__xludf.DUMMYFUNCTION("""COMPUTED_VALUE"""),72.8)</f>
        <v>72.8</v>
      </c>
      <c r="C640" s="1">
        <f ca="1">IFERROR(__xludf.DUMMYFUNCTION("""COMPUTED_VALUE"""),73.45)</f>
        <v>73.45</v>
      </c>
      <c r="D640" s="1">
        <f ca="1">IFERROR(__xludf.DUMMYFUNCTION("""COMPUTED_VALUE"""),72.72)</f>
        <v>72.72</v>
      </c>
      <c r="E640" s="1">
        <f ca="1">IFERROR(__xludf.DUMMYFUNCTION("""COMPUTED_VALUE"""),73.35)</f>
        <v>73.349999999999994</v>
      </c>
      <c r="F640" s="1">
        <f ca="1">IFERROR(__xludf.DUMMYFUNCTION("""COMPUTED_VALUE"""),21803907)</f>
        <v>21803907</v>
      </c>
    </row>
    <row r="641" spans="1:6" x14ac:dyDescent="0.35">
      <c r="A641" s="2">
        <f ca="1">IFERROR(__xludf.DUMMYFUNCTION("""COMPUTED_VALUE"""),42934.6666666666)</f>
        <v>42934.666666666599</v>
      </c>
      <c r="B641" s="1">
        <f ca="1">IFERROR(__xludf.DUMMYFUNCTION("""COMPUTED_VALUE"""),73.09)</f>
        <v>73.09</v>
      </c>
      <c r="C641" s="1">
        <f ca="1">IFERROR(__xludf.DUMMYFUNCTION("""COMPUTED_VALUE"""),73.39)</f>
        <v>73.39</v>
      </c>
      <c r="D641" s="1">
        <f ca="1">IFERROR(__xludf.DUMMYFUNCTION("""COMPUTED_VALUE"""),72.66)</f>
        <v>72.66</v>
      </c>
      <c r="E641" s="1">
        <f ca="1">IFERROR(__xludf.DUMMYFUNCTION("""COMPUTED_VALUE"""),73.3)</f>
        <v>73.3</v>
      </c>
      <c r="F641" s="1">
        <f ca="1">IFERROR(__xludf.DUMMYFUNCTION("""COMPUTED_VALUE"""),26435296)</f>
        <v>26435296</v>
      </c>
    </row>
    <row r="642" spans="1:6" x14ac:dyDescent="0.35">
      <c r="A642" s="2">
        <f ca="1">IFERROR(__xludf.DUMMYFUNCTION("""COMPUTED_VALUE"""),42935.6666666666)</f>
        <v>42935.666666666599</v>
      </c>
      <c r="B642" s="1">
        <f ca="1">IFERROR(__xludf.DUMMYFUNCTION("""COMPUTED_VALUE"""),73.5)</f>
        <v>73.5</v>
      </c>
      <c r="C642" s="1">
        <f ca="1">IFERROR(__xludf.DUMMYFUNCTION("""COMPUTED_VALUE"""),74.04)</f>
        <v>74.040000000000006</v>
      </c>
      <c r="D642" s="1">
        <f ca="1">IFERROR(__xludf.DUMMYFUNCTION("""COMPUTED_VALUE"""),73.45)</f>
        <v>73.45</v>
      </c>
      <c r="E642" s="1">
        <f ca="1">IFERROR(__xludf.DUMMYFUNCTION("""COMPUTED_VALUE"""),73.86)</f>
        <v>73.86</v>
      </c>
      <c r="F642" s="1">
        <f ca="1">IFERROR(__xludf.DUMMYFUNCTION("""COMPUTED_VALUE"""),22416222)</f>
        <v>22416222</v>
      </c>
    </row>
    <row r="643" spans="1:6" x14ac:dyDescent="0.35">
      <c r="A643" s="2">
        <f ca="1">IFERROR(__xludf.DUMMYFUNCTION("""COMPUTED_VALUE"""),42936.6666666666)</f>
        <v>42936.666666666599</v>
      </c>
      <c r="B643" s="1">
        <f ca="1">IFERROR(__xludf.DUMMYFUNCTION("""COMPUTED_VALUE"""),74.18)</f>
        <v>74.180000000000007</v>
      </c>
      <c r="C643" s="1">
        <f ca="1">IFERROR(__xludf.DUMMYFUNCTION("""COMPUTED_VALUE"""),74.3)</f>
        <v>74.3</v>
      </c>
      <c r="D643" s="1">
        <f ca="1">IFERROR(__xludf.DUMMYFUNCTION("""COMPUTED_VALUE"""),73.28)</f>
        <v>73.28</v>
      </c>
      <c r="E643" s="1">
        <f ca="1">IFERROR(__xludf.DUMMYFUNCTION("""COMPUTED_VALUE"""),74.22)</f>
        <v>74.22</v>
      </c>
      <c r="F643" s="1">
        <f ca="1">IFERROR(__xludf.DUMMYFUNCTION("""COMPUTED_VALUE"""),42361025)</f>
        <v>42361025</v>
      </c>
    </row>
    <row r="644" spans="1:6" x14ac:dyDescent="0.35">
      <c r="A644" s="2">
        <f ca="1">IFERROR(__xludf.DUMMYFUNCTION("""COMPUTED_VALUE"""),42937.6666666666)</f>
        <v>42937.666666666599</v>
      </c>
      <c r="B644" s="1">
        <f ca="1">IFERROR(__xludf.DUMMYFUNCTION("""COMPUTED_VALUE"""),73.45)</f>
        <v>73.45</v>
      </c>
      <c r="C644" s="1">
        <f ca="1">IFERROR(__xludf.DUMMYFUNCTION("""COMPUTED_VALUE"""),74.29)</f>
        <v>74.290000000000006</v>
      </c>
      <c r="D644" s="1">
        <f ca="1">IFERROR(__xludf.DUMMYFUNCTION("""COMPUTED_VALUE"""),73.17)</f>
        <v>73.17</v>
      </c>
      <c r="E644" s="1">
        <f ca="1">IFERROR(__xludf.DUMMYFUNCTION("""COMPUTED_VALUE"""),73.79)</f>
        <v>73.790000000000006</v>
      </c>
      <c r="F644" s="1">
        <f ca="1">IFERROR(__xludf.DUMMYFUNCTION("""COMPUTED_VALUE"""),46717082)</f>
        <v>46717082</v>
      </c>
    </row>
    <row r="645" spans="1:6" x14ac:dyDescent="0.35">
      <c r="A645" s="2">
        <f ca="1">IFERROR(__xludf.DUMMYFUNCTION("""COMPUTED_VALUE"""),42940.6666666666)</f>
        <v>42940.666666666599</v>
      </c>
      <c r="B645" s="1">
        <f ca="1">IFERROR(__xludf.DUMMYFUNCTION("""COMPUTED_VALUE"""),73.53)</f>
        <v>73.53</v>
      </c>
      <c r="C645" s="1">
        <f ca="1">IFERROR(__xludf.DUMMYFUNCTION("""COMPUTED_VALUE"""),73.75)</f>
        <v>73.75</v>
      </c>
      <c r="D645" s="1">
        <f ca="1">IFERROR(__xludf.DUMMYFUNCTION("""COMPUTED_VALUE"""),73.13)</f>
        <v>73.13</v>
      </c>
      <c r="E645" s="1">
        <f ca="1">IFERROR(__xludf.DUMMYFUNCTION("""COMPUTED_VALUE"""),73.6)</f>
        <v>73.599999999999994</v>
      </c>
      <c r="F645" s="1">
        <f ca="1">IFERROR(__xludf.DUMMYFUNCTION("""COMPUTED_VALUE"""),21394826)</f>
        <v>21394826</v>
      </c>
    </row>
    <row r="646" spans="1:6" x14ac:dyDescent="0.35">
      <c r="A646" s="2">
        <f ca="1">IFERROR(__xludf.DUMMYFUNCTION("""COMPUTED_VALUE"""),42941.6666666666)</f>
        <v>42941.666666666599</v>
      </c>
      <c r="B646" s="1">
        <f ca="1">IFERROR(__xludf.DUMMYFUNCTION("""COMPUTED_VALUE"""),73.8)</f>
        <v>73.8</v>
      </c>
      <c r="C646" s="1">
        <f ca="1">IFERROR(__xludf.DUMMYFUNCTION("""COMPUTED_VALUE"""),74.31)</f>
        <v>74.31</v>
      </c>
      <c r="D646" s="1">
        <f ca="1">IFERROR(__xludf.DUMMYFUNCTION("""COMPUTED_VALUE"""),73.5)</f>
        <v>73.5</v>
      </c>
      <c r="E646" s="1">
        <f ca="1">IFERROR(__xludf.DUMMYFUNCTION("""COMPUTED_VALUE"""),74.19)</f>
        <v>74.19</v>
      </c>
      <c r="F646" s="1">
        <f ca="1">IFERROR(__xludf.DUMMYFUNCTION("""COMPUTED_VALUE"""),22018681)</f>
        <v>22018681</v>
      </c>
    </row>
    <row r="647" spans="1:6" x14ac:dyDescent="0.35">
      <c r="A647" s="2">
        <f ca="1">IFERROR(__xludf.DUMMYFUNCTION("""COMPUTED_VALUE"""),42942.6666666666)</f>
        <v>42942.666666666599</v>
      </c>
      <c r="B647" s="1">
        <f ca="1">IFERROR(__xludf.DUMMYFUNCTION("""COMPUTED_VALUE"""),74.34)</f>
        <v>74.34</v>
      </c>
      <c r="C647" s="1">
        <f ca="1">IFERROR(__xludf.DUMMYFUNCTION("""COMPUTED_VALUE"""),74.38)</f>
        <v>74.38</v>
      </c>
      <c r="D647" s="1">
        <f ca="1">IFERROR(__xludf.DUMMYFUNCTION("""COMPUTED_VALUE"""),73.81)</f>
        <v>73.81</v>
      </c>
      <c r="E647" s="1">
        <f ca="1">IFERROR(__xludf.DUMMYFUNCTION("""COMPUTED_VALUE"""),74.05)</f>
        <v>74.05</v>
      </c>
      <c r="F647" s="1">
        <f ca="1">IFERROR(__xludf.DUMMYFUNCTION("""COMPUTED_VALUE"""),16252233)</f>
        <v>16252233</v>
      </c>
    </row>
    <row r="648" spans="1:6" x14ac:dyDescent="0.35">
      <c r="A648" s="2">
        <f ca="1">IFERROR(__xludf.DUMMYFUNCTION("""COMPUTED_VALUE"""),42943.6666666666)</f>
        <v>42943.666666666599</v>
      </c>
      <c r="B648" s="1">
        <f ca="1">IFERROR(__xludf.DUMMYFUNCTION("""COMPUTED_VALUE"""),73.76)</f>
        <v>73.760000000000005</v>
      </c>
      <c r="C648" s="1">
        <f ca="1">IFERROR(__xludf.DUMMYFUNCTION("""COMPUTED_VALUE"""),74.42)</f>
        <v>74.42</v>
      </c>
      <c r="D648" s="1">
        <f ca="1">IFERROR(__xludf.DUMMYFUNCTION("""COMPUTED_VALUE"""),72.32)</f>
        <v>72.319999999999993</v>
      </c>
      <c r="E648" s="1">
        <f ca="1">IFERROR(__xludf.DUMMYFUNCTION("""COMPUTED_VALUE"""),73.16)</f>
        <v>73.16</v>
      </c>
      <c r="F648" s="1">
        <f ca="1">IFERROR(__xludf.DUMMYFUNCTION("""COMPUTED_VALUE"""),36844220)</f>
        <v>36844220</v>
      </c>
    </row>
    <row r="649" spans="1:6" x14ac:dyDescent="0.35">
      <c r="A649" s="2">
        <f ca="1">IFERROR(__xludf.DUMMYFUNCTION("""COMPUTED_VALUE"""),42944.6666666666)</f>
        <v>42944.666666666599</v>
      </c>
      <c r="B649" s="1">
        <f ca="1">IFERROR(__xludf.DUMMYFUNCTION("""COMPUTED_VALUE"""),72.67)</f>
        <v>72.67</v>
      </c>
      <c r="C649" s="1">
        <f ca="1">IFERROR(__xludf.DUMMYFUNCTION("""COMPUTED_VALUE"""),73.31)</f>
        <v>73.31</v>
      </c>
      <c r="D649" s="1">
        <f ca="1">IFERROR(__xludf.DUMMYFUNCTION("""COMPUTED_VALUE"""),72.54)</f>
        <v>72.540000000000006</v>
      </c>
      <c r="E649" s="1">
        <f ca="1">IFERROR(__xludf.DUMMYFUNCTION("""COMPUTED_VALUE"""),73.04)</f>
        <v>73.040000000000006</v>
      </c>
      <c r="F649" s="1">
        <f ca="1">IFERROR(__xludf.DUMMYFUNCTION("""COMPUTED_VALUE"""),18306680)</f>
        <v>18306680</v>
      </c>
    </row>
    <row r="650" spans="1:6" x14ac:dyDescent="0.35">
      <c r="A650" s="2">
        <f ca="1">IFERROR(__xludf.DUMMYFUNCTION("""COMPUTED_VALUE"""),42947.6666666666)</f>
        <v>42947.666666666599</v>
      </c>
      <c r="B650" s="1">
        <f ca="1">IFERROR(__xludf.DUMMYFUNCTION("""COMPUTED_VALUE"""),73.3)</f>
        <v>73.3</v>
      </c>
      <c r="C650" s="1">
        <f ca="1">IFERROR(__xludf.DUMMYFUNCTION("""COMPUTED_VALUE"""),73.44)</f>
        <v>73.44</v>
      </c>
      <c r="D650" s="1">
        <f ca="1">IFERROR(__xludf.DUMMYFUNCTION("""COMPUTED_VALUE"""),72.41)</f>
        <v>72.41</v>
      </c>
      <c r="E650" s="1">
        <f ca="1">IFERROR(__xludf.DUMMYFUNCTION("""COMPUTED_VALUE"""),72.7)</f>
        <v>72.7</v>
      </c>
      <c r="F650" s="1">
        <f ca="1">IFERROR(__xludf.DUMMYFUNCTION("""COMPUTED_VALUE"""),23600054)</f>
        <v>23600054</v>
      </c>
    </row>
    <row r="651" spans="1:6" x14ac:dyDescent="0.35">
      <c r="A651" s="2">
        <f ca="1">IFERROR(__xludf.DUMMYFUNCTION("""COMPUTED_VALUE"""),42948.6666666666)</f>
        <v>42948.666666666599</v>
      </c>
      <c r="B651" s="1">
        <f ca="1">IFERROR(__xludf.DUMMYFUNCTION("""COMPUTED_VALUE"""),73.1)</f>
        <v>73.099999999999994</v>
      </c>
      <c r="C651" s="1">
        <f ca="1">IFERROR(__xludf.DUMMYFUNCTION("""COMPUTED_VALUE"""),73.42)</f>
        <v>73.42</v>
      </c>
      <c r="D651" s="1">
        <f ca="1">IFERROR(__xludf.DUMMYFUNCTION("""COMPUTED_VALUE"""),72.49)</f>
        <v>72.489999999999995</v>
      </c>
      <c r="E651" s="1">
        <f ca="1">IFERROR(__xludf.DUMMYFUNCTION("""COMPUTED_VALUE"""),72.58)</f>
        <v>72.58</v>
      </c>
      <c r="F651" s="1">
        <f ca="1">IFERROR(__xludf.DUMMYFUNCTION("""COMPUTED_VALUE"""),20823890)</f>
        <v>20823890</v>
      </c>
    </row>
    <row r="652" spans="1:6" x14ac:dyDescent="0.35">
      <c r="A652" s="2">
        <f ca="1">IFERROR(__xludf.DUMMYFUNCTION("""COMPUTED_VALUE"""),42949.6666666666)</f>
        <v>42949.666666666599</v>
      </c>
      <c r="B652" s="1">
        <f ca="1">IFERROR(__xludf.DUMMYFUNCTION("""COMPUTED_VALUE"""),72.55)</f>
        <v>72.55</v>
      </c>
      <c r="C652" s="1">
        <f ca="1">IFERROR(__xludf.DUMMYFUNCTION("""COMPUTED_VALUE"""),72.56)</f>
        <v>72.56</v>
      </c>
      <c r="D652" s="1">
        <f ca="1">IFERROR(__xludf.DUMMYFUNCTION("""COMPUTED_VALUE"""),71.44)</f>
        <v>71.44</v>
      </c>
      <c r="E652" s="1">
        <f ca="1">IFERROR(__xludf.DUMMYFUNCTION("""COMPUTED_VALUE"""),72.26)</f>
        <v>72.260000000000005</v>
      </c>
      <c r="F652" s="1">
        <f ca="1">IFERROR(__xludf.DUMMYFUNCTION("""COMPUTED_VALUE"""),26499158)</f>
        <v>26499158</v>
      </c>
    </row>
    <row r="653" spans="1:6" x14ac:dyDescent="0.35">
      <c r="A653" s="2">
        <f ca="1">IFERROR(__xludf.DUMMYFUNCTION("""COMPUTED_VALUE"""),42950.6666666666)</f>
        <v>42950.666666666599</v>
      </c>
      <c r="B653" s="1">
        <f ca="1">IFERROR(__xludf.DUMMYFUNCTION("""COMPUTED_VALUE"""),72.19)</f>
        <v>72.19</v>
      </c>
      <c r="C653" s="1">
        <f ca="1">IFERROR(__xludf.DUMMYFUNCTION("""COMPUTED_VALUE"""),72.44)</f>
        <v>72.44</v>
      </c>
      <c r="D653" s="1">
        <f ca="1">IFERROR(__xludf.DUMMYFUNCTION("""COMPUTED_VALUE"""),71.85)</f>
        <v>71.849999999999994</v>
      </c>
      <c r="E653" s="1">
        <f ca="1">IFERROR(__xludf.DUMMYFUNCTION("""COMPUTED_VALUE"""),72.15)</f>
        <v>72.150000000000006</v>
      </c>
      <c r="F653" s="1">
        <f ca="1">IFERROR(__xludf.DUMMYFUNCTION("""COMPUTED_VALUE"""),18214424)</f>
        <v>18214424</v>
      </c>
    </row>
    <row r="654" spans="1:6" x14ac:dyDescent="0.35">
      <c r="A654" s="2">
        <f ca="1">IFERROR(__xludf.DUMMYFUNCTION("""COMPUTED_VALUE"""),42951.6666666666)</f>
        <v>42951.666666666599</v>
      </c>
      <c r="B654" s="1">
        <f ca="1">IFERROR(__xludf.DUMMYFUNCTION("""COMPUTED_VALUE"""),72.4)</f>
        <v>72.400000000000006</v>
      </c>
      <c r="C654" s="1">
        <f ca="1">IFERROR(__xludf.DUMMYFUNCTION("""COMPUTED_VALUE"""),73.04)</f>
        <v>73.040000000000006</v>
      </c>
      <c r="D654" s="1">
        <f ca="1">IFERROR(__xludf.DUMMYFUNCTION("""COMPUTED_VALUE"""),72.24)</f>
        <v>72.239999999999995</v>
      </c>
      <c r="E654" s="1">
        <f ca="1">IFERROR(__xludf.DUMMYFUNCTION("""COMPUTED_VALUE"""),72.68)</f>
        <v>72.680000000000007</v>
      </c>
      <c r="F654" s="1">
        <f ca="1">IFERROR(__xludf.DUMMYFUNCTION("""COMPUTED_VALUE"""),22578952)</f>
        <v>22578952</v>
      </c>
    </row>
    <row r="655" spans="1:6" x14ac:dyDescent="0.35">
      <c r="A655" s="2">
        <f ca="1">IFERROR(__xludf.DUMMYFUNCTION("""COMPUTED_VALUE"""),42954.6666666666)</f>
        <v>42954.666666666599</v>
      </c>
      <c r="B655" s="1">
        <f ca="1">IFERROR(__xludf.DUMMYFUNCTION("""COMPUTED_VALUE"""),72.8)</f>
        <v>72.8</v>
      </c>
      <c r="C655" s="1">
        <f ca="1">IFERROR(__xludf.DUMMYFUNCTION("""COMPUTED_VALUE"""),72.9)</f>
        <v>72.900000000000006</v>
      </c>
      <c r="D655" s="1">
        <f ca="1">IFERROR(__xludf.DUMMYFUNCTION("""COMPUTED_VALUE"""),72.26)</f>
        <v>72.260000000000005</v>
      </c>
      <c r="E655" s="1">
        <f ca="1">IFERROR(__xludf.DUMMYFUNCTION("""COMPUTED_VALUE"""),72.4)</f>
        <v>72.400000000000006</v>
      </c>
      <c r="F655" s="1">
        <f ca="1">IFERROR(__xludf.DUMMYFUNCTION("""COMPUTED_VALUE"""),18705681)</f>
        <v>18705681</v>
      </c>
    </row>
    <row r="656" spans="1:6" x14ac:dyDescent="0.35">
      <c r="A656" s="2">
        <f ca="1">IFERROR(__xludf.DUMMYFUNCTION("""COMPUTED_VALUE"""),42955.6666666666)</f>
        <v>42955.666666666599</v>
      </c>
      <c r="B656" s="1">
        <f ca="1">IFERROR(__xludf.DUMMYFUNCTION("""COMPUTED_VALUE"""),72.09)</f>
        <v>72.09</v>
      </c>
      <c r="C656" s="1">
        <f ca="1">IFERROR(__xludf.DUMMYFUNCTION("""COMPUTED_VALUE"""),73.13)</f>
        <v>73.13</v>
      </c>
      <c r="D656" s="1">
        <f ca="1">IFERROR(__xludf.DUMMYFUNCTION("""COMPUTED_VALUE"""),71.75)</f>
        <v>71.75</v>
      </c>
      <c r="E656" s="1">
        <f ca="1">IFERROR(__xludf.DUMMYFUNCTION("""COMPUTED_VALUE"""),72.79)</f>
        <v>72.790000000000006</v>
      </c>
      <c r="F656" s="1">
        <f ca="1">IFERROR(__xludf.DUMMYFUNCTION("""COMPUTED_VALUE"""),22044587)</f>
        <v>22044587</v>
      </c>
    </row>
    <row r="657" spans="1:6" x14ac:dyDescent="0.35">
      <c r="A657" s="2">
        <f ca="1">IFERROR(__xludf.DUMMYFUNCTION("""COMPUTED_VALUE"""),42956.6666666666)</f>
        <v>42956.666666666599</v>
      </c>
      <c r="B657" s="1">
        <f ca="1">IFERROR(__xludf.DUMMYFUNCTION("""COMPUTED_VALUE"""),72.25)</f>
        <v>72.25</v>
      </c>
      <c r="C657" s="1">
        <f ca="1">IFERROR(__xludf.DUMMYFUNCTION("""COMPUTED_VALUE"""),72.51)</f>
        <v>72.510000000000005</v>
      </c>
      <c r="D657" s="1">
        <f ca="1">IFERROR(__xludf.DUMMYFUNCTION("""COMPUTED_VALUE"""),72.05)</f>
        <v>72.05</v>
      </c>
      <c r="E657" s="1">
        <f ca="1">IFERROR(__xludf.DUMMYFUNCTION("""COMPUTED_VALUE"""),72.47)</f>
        <v>72.47</v>
      </c>
      <c r="F657" s="1">
        <f ca="1">IFERROR(__xludf.DUMMYFUNCTION("""COMPUTED_VALUE"""),22213410)</f>
        <v>22213410</v>
      </c>
    </row>
    <row r="658" spans="1:6" x14ac:dyDescent="0.35">
      <c r="A658" s="2">
        <f ca="1">IFERROR(__xludf.DUMMYFUNCTION("""COMPUTED_VALUE"""),42957.6666666666)</f>
        <v>42957.666666666599</v>
      </c>
      <c r="B658" s="1">
        <f ca="1">IFERROR(__xludf.DUMMYFUNCTION("""COMPUTED_VALUE"""),71.9)</f>
        <v>71.900000000000006</v>
      </c>
      <c r="C658" s="1">
        <f ca="1">IFERROR(__xludf.DUMMYFUNCTION("""COMPUTED_VALUE"""),72.19)</f>
        <v>72.19</v>
      </c>
      <c r="D658" s="1">
        <f ca="1">IFERROR(__xludf.DUMMYFUNCTION("""COMPUTED_VALUE"""),71.35)</f>
        <v>71.349999999999994</v>
      </c>
      <c r="E658" s="1">
        <f ca="1">IFERROR(__xludf.DUMMYFUNCTION("""COMPUTED_VALUE"""),71.41)</f>
        <v>71.41</v>
      </c>
      <c r="F658" s="1">
        <f ca="1">IFERROR(__xludf.DUMMYFUNCTION("""COMPUTED_VALUE"""),24734461)</f>
        <v>24734461</v>
      </c>
    </row>
    <row r="659" spans="1:6" x14ac:dyDescent="0.35">
      <c r="A659" s="2">
        <f ca="1">IFERROR(__xludf.DUMMYFUNCTION("""COMPUTED_VALUE"""),42958.6666666666)</f>
        <v>42958.666666666599</v>
      </c>
      <c r="B659" s="1">
        <f ca="1">IFERROR(__xludf.DUMMYFUNCTION("""COMPUTED_VALUE"""),71.61)</f>
        <v>71.61</v>
      </c>
      <c r="C659" s="1">
        <f ca="1">IFERROR(__xludf.DUMMYFUNCTION("""COMPUTED_VALUE"""),72.7)</f>
        <v>72.7</v>
      </c>
      <c r="D659" s="1">
        <f ca="1">IFERROR(__xludf.DUMMYFUNCTION("""COMPUTED_VALUE"""),71.28)</f>
        <v>71.28</v>
      </c>
      <c r="E659" s="1">
        <f ca="1">IFERROR(__xludf.DUMMYFUNCTION("""COMPUTED_VALUE"""),72.5)</f>
        <v>72.5</v>
      </c>
      <c r="F659" s="1">
        <f ca="1">IFERROR(__xludf.DUMMYFUNCTION("""COMPUTED_VALUE"""),21443675)</f>
        <v>21443675</v>
      </c>
    </row>
    <row r="660" spans="1:6" x14ac:dyDescent="0.35">
      <c r="A660" s="2">
        <f ca="1">IFERROR(__xludf.DUMMYFUNCTION("""COMPUTED_VALUE"""),42961.6666666666)</f>
        <v>42961.666666666599</v>
      </c>
      <c r="B660" s="1">
        <f ca="1">IFERROR(__xludf.DUMMYFUNCTION("""COMPUTED_VALUE"""),73.06)</f>
        <v>73.06</v>
      </c>
      <c r="C660" s="1">
        <f ca="1">IFERROR(__xludf.DUMMYFUNCTION("""COMPUTED_VALUE"""),73.72)</f>
        <v>73.72</v>
      </c>
      <c r="D660" s="1">
        <f ca="1">IFERROR(__xludf.DUMMYFUNCTION("""COMPUTED_VALUE"""),72.95)</f>
        <v>72.95</v>
      </c>
      <c r="E660" s="1">
        <f ca="1">IFERROR(__xludf.DUMMYFUNCTION("""COMPUTED_VALUE"""),73.59)</f>
        <v>73.59</v>
      </c>
      <c r="F660" s="1">
        <f ca="1">IFERROR(__xludf.DUMMYFUNCTION("""COMPUTED_VALUE"""),20096592)</f>
        <v>20096592</v>
      </c>
    </row>
    <row r="661" spans="1:6" x14ac:dyDescent="0.35">
      <c r="A661" s="2">
        <f ca="1">IFERROR(__xludf.DUMMYFUNCTION("""COMPUTED_VALUE"""),42962.6666666666)</f>
        <v>42962.666666666599</v>
      </c>
      <c r="B661" s="1">
        <f ca="1">IFERROR(__xludf.DUMMYFUNCTION("""COMPUTED_VALUE"""),73.59)</f>
        <v>73.59</v>
      </c>
      <c r="C661" s="1">
        <f ca="1">IFERROR(__xludf.DUMMYFUNCTION("""COMPUTED_VALUE"""),73.59)</f>
        <v>73.59</v>
      </c>
      <c r="D661" s="1">
        <f ca="1">IFERROR(__xludf.DUMMYFUNCTION("""COMPUTED_VALUE"""),73.04)</f>
        <v>73.040000000000006</v>
      </c>
      <c r="E661" s="1">
        <f ca="1">IFERROR(__xludf.DUMMYFUNCTION("""COMPUTED_VALUE"""),73.22)</f>
        <v>73.22</v>
      </c>
      <c r="F661" s="1">
        <f ca="1">IFERROR(__xludf.DUMMYFUNCTION("""COMPUTED_VALUE"""),19181402)</f>
        <v>19181402</v>
      </c>
    </row>
    <row r="662" spans="1:6" x14ac:dyDescent="0.35">
      <c r="A662" s="2">
        <f ca="1">IFERROR(__xludf.DUMMYFUNCTION("""COMPUTED_VALUE"""),42963.6666666666)</f>
        <v>42963.666666666599</v>
      </c>
      <c r="B662" s="1">
        <f ca="1">IFERROR(__xludf.DUMMYFUNCTION("""COMPUTED_VALUE"""),73.34)</f>
        <v>73.34</v>
      </c>
      <c r="C662" s="1">
        <f ca="1">IFERROR(__xludf.DUMMYFUNCTION("""COMPUTED_VALUE"""),74.1)</f>
        <v>74.099999999999994</v>
      </c>
      <c r="D662" s="1">
        <f ca="1">IFERROR(__xludf.DUMMYFUNCTION("""COMPUTED_VALUE"""),73.17)</f>
        <v>73.17</v>
      </c>
      <c r="E662" s="1">
        <f ca="1">IFERROR(__xludf.DUMMYFUNCTION("""COMPUTED_VALUE"""),73.65)</f>
        <v>73.650000000000006</v>
      </c>
      <c r="F662" s="1">
        <f ca="1">IFERROR(__xludf.DUMMYFUNCTION("""COMPUTED_VALUE"""),18150402)</f>
        <v>18150402</v>
      </c>
    </row>
    <row r="663" spans="1:6" x14ac:dyDescent="0.35">
      <c r="A663" s="2">
        <f ca="1">IFERROR(__xludf.DUMMYFUNCTION("""COMPUTED_VALUE"""),42964.6666666666)</f>
        <v>42964.666666666599</v>
      </c>
      <c r="B663" s="1">
        <f ca="1">IFERROR(__xludf.DUMMYFUNCTION("""COMPUTED_VALUE"""),73.58)</f>
        <v>73.58</v>
      </c>
      <c r="C663" s="1">
        <f ca="1">IFERROR(__xludf.DUMMYFUNCTION("""COMPUTED_VALUE"""),73.87)</f>
        <v>73.87</v>
      </c>
      <c r="D663" s="1">
        <f ca="1">IFERROR(__xludf.DUMMYFUNCTION("""COMPUTED_VALUE"""),72.4)</f>
        <v>72.400000000000006</v>
      </c>
      <c r="E663" s="1">
        <f ca="1">IFERROR(__xludf.DUMMYFUNCTION("""COMPUTED_VALUE"""),72.4)</f>
        <v>72.400000000000006</v>
      </c>
      <c r="F663" s="1">
        <f ca="1">IFERROR(__xludf.DUMMYFUNCTION("""COMPUTED_VALUE"""),22977519)</f>
        <v>22977519</v>
      </c>
    </row>
    <row r="664" spans="1:6" x14ac:dyDescent="0.35">
      <c r="A664" s="2">
        <f ca="1">IFERROR(__xludf.DUMMYFUNCTION("""COMPUTED_VALUE"""),42965.6666666666)</f>
        <v>42965.666666666599</v>
      </c>
      <c r="B664" s="1">
        <f ca="1">IFERROR(__xludf.DUMMYFUNCTION("""COMPUTED_VALUE"""),72.27)</f>
        <v>72.27</v>
      </c>
      <c r="C664" s="1">
        <f ca="1">IFERROR(__xludf.DUMMYFUNCTION("""COMPUTED_VALUE"""),72.84)</f>
        <v>72.84</v>
      </c>
      <c r="D664" s="1">
        <f ca="1">IFERROR(__xludf.DUMMYFUNCTION("""COMPUTED_VALUE"""),71.93)</f>
        <v>71.930000000000007</v>
      </c>
      <c r="E664" s="1">
        <f ca="1">IFERROR(__xludf.DUMMYFUNCTION("""COMPUTED_VALUE"""),72.49)</f>
        <v>72.489999999999995</v>
      </c>
      <c r="F664" s="1">
        <f ca="1">IFERROR(__xludf.DUMMYFUNCTION("""COMPUTED_VALUE"""),18761491)</f>
        <v>18761491</v>
      </c>
    </row>
    <row r="665" spans="1:6" x14ac:dyDescent="0.35">
      <c r="A665" s="2">
        <f ca="1">IFERROR(__xludf.DUMMYFUNCTION("""COMPUTED_VALUE"""),42968.6666666666)</f>
        <v>42968.666666666599</v>
      </c>
      <c r="B665" s="1">
        <f ca="1">IFERROR(__xludf.DUMMYFUNCTION("""COMPUTED_VALUE"""),72.47)</f>
        <v>72.47</v>
      </c>
      <c r="C665" s="1">
        <f ca="1">IFERROR(__xludf.DUMMYFUNCTION("""COMPUTED_VALUE"""),72.48)</f>
        <v>72.48</v>
      </c>
      <c r="D665" s="1">
        <f ca="1">IFERROR(__xludf.DUMMYFUNCTION("""COMPUTED_VALUE"""),71.7)</f>
        <v>71.7</v>
      </c>
      <c r="E665" s="1">
        <f ca="1">IFERROR(__xludf.DUMMYFUNCTION("""COMPUTED_VALUE"""),72.15)</f>
        <v>72.150000000000006</v>
      </c>
      <c r="F665" s="1">
        <f ca="1">IFERROR(__xludf.DUMMYFUNCTION("""COMPUTED_VALUE"""),17734767)</f>
        <v>17734767</v>
      </c>
    </row>
    <row r="666" spans="1:6" x14ac:dyDescent="0.35">
      <c r="A666" s="2">
        <f ca="1">IFERROR(__xludf.DUMMYFUNCTION("""COMPUTED_VALUE"""),42969.6666666666)</f>
        <v>42969.666666666599</v>
      </c>
      <c r="B666" s="1">
        <f ca="1">IFERROR(__xludf.DUMMYFUNCTION("""COMPUTED_VALUE"""),72.35)</f>
        <v>72.349999999999994</v>
      </c>
      <c r="C666" s="1">
        <f ca="1">IFERROR(__xludf.DUMMYFUNCTION("""COMPUTED_VALUE"""),73.24)</f>
        <v>73.239999999999995</v>
      </c>
      <c r="D666" s="1">
        <f ca="1">IFERROR(__xludf.DUMMYFUNCTION("""COMPUTED_VALUE"""),72.35)</f>
        <v>72.349999999999994</v>
      </c>
      <c r="E666" s="1">
        <f ca="1">IFERROR(__xludf.DUMMYFUNCTION("""COMPUTED_VALUE"""),73.16)</f>
        <v>73.16</v>
      </c>
      <c r="F666" s="1">
        <f ca="1">IFERROR(__xludf.DUMMYFUNCTION("""COMPUTED_VALUE"""),14343674)</f>
        <v>14343674</v>
      </c>
    </row>
    <row r="667" spans="1:6" x14ac:dyDescent="0.35">
      <c r="A667" s="2">
        <f ca="1">IFERROR(__xludf.DUMMYFUNCTION("""COMPUTED_VALUE"""),42970.6666666666)</f>
        <v>42970.666666666599</v>
      </c>
      <c r="B667" s="1">
        <f ca="1">IFERROR(__xludf.DUMMYFUNCTION("""COMPUTED_VALUE"""),72.96)</f>
        <v>72.959999999999994</v>
      </c>
      <c r="C667" s="1">
        <f ca="1">IFERROR(__xludf.DUMMYFUNCTION("""COMPUTED_VALUE"""),73.15)</f>
        <v>73.150000000000006</v>
      </c>
      <c r="D667" s="1">
        <f ca="1">IFERROR(__xludf.DUMMYFUNCTION("""COMPUTED_VALUE"""),72.53)</f>
        <v>72.53</v>
      </c>
      <c r="E667" s="1">
        <f ca="1">IFERROR(__xludf.DUMMYFUNCTION("""COMPUTED_VALUE"""),72.72)</f>
        <v>72.72</v>
      </c>
      <c r="F667" s="1">
        <f ca="1">IFERROR(__xludf.DUMMYFUNCTION("""COMPUTED_VALUE"""),13766507)</f>
        <v>13766507</v>
      </c>
    </row>
    <row r="668" spans="1:6" x14ac:dyDescent="0.35">
      <c r="A668" s="2">
        <f ca="1">IFERROR(__xludf.DUMMYFUNCTION("""COMPUTED_VALUE"""),42971.6666666666)</f>
        <v>42971.666666666599</v>
      </c>
      <c r="B668" s="1">
        <f ca="1">IFERROR(__xludf.DUMMYFUNCTION("""COMPUTED_VALUE"""),72.74)</f>
        <v>72.739999999999995</v>
      </c>
      <c r="C668" s="1">
        <f ca="1">IFERROR(__xludf.DUMMYFUNCTION("""COMPUTED_VALUE"""),72.86)</f>
        <v>72.86</v>
      </c>
      <c r="D668" s="1">
        <f ca="1">IFERROR(__xludf.DUMMYFUNCTION("""COMPUTED_VALUE"""),72.07)</f>
        <v>72.069999999999993</v>
      </c>
      <c r="E668" s="1">
        <f ca="1">IFERROR(__xludf.DUMMYFUNCTION("""COMPUTED_VALUE"""),72.69)</f>
        <v>72.69</v>
      </c>
      <c r="F668" s="1">
        <f ca="1">IFERROR(__xludf.DUMMYFUNCTION("""COMPUTED_VALUE"""),17098282)</f>
        <v>17098282</v>
      </c>
    </row>
    <row r="669" spans="1:6" x14ac:dyDescent="0.35">
      <c r="A669" s="2">
        <f ca="1">IFERROR(__xludf.DUMMYFUNCTION("""COMPUTED_VALUE"""),42972.6666666666)</f>
        <v>42972.666666666599</v>
      </c>
      <c r="B669" s="1">
        <f ca="1">IFERROR(__xludf.DUMMYFUNCTION("""COMPUTED_VALUE"""),72.86)</f>
        <v>72.86</v>
      </c>
      <c r="C669" s="1">
        <f ca="1">IFERROR(__xludf.DUMMYFUNCTION("""COMPUTED_VALUE"""),73.35)</f>
        <v>73.349999999999994</v>
      </c>
      <c r="D669" s="1">
        <f ca="1">IFERROR(__xludf.DUMMYFUNCTION("""COMPUTED_VALUE"""),72.48)</f>
        <v>72.48</v>
      </c>
      <c r="E669" s="1">
        <f ca="1">IFERROR(__xludf.DUMMYFUNCTION("""COMPUTED_VALUE"""),72.82)</f>
        <v>72.819999999999993</v>
      </c>
      <c r="F669" s="1">
        <f ca="1">IFERROR(__xludf.DUMMYFUNCTION("""COMPUTED_VALUE"""),12794301)</f>
        <v>12794301</v>
      </c>
    </row>
    <row r="670" spans="1:6" x14ac:dyDescent="0.35">
      <c r="A670" s="2">
        <f ca="1">IFERROR(__xludf.DUMMYFUNCTION("""COMPUTED_VALUE"""),42975.6666666666)</f>
        <v>42975.666666666599</v>
      </c>
      <c r="B670" s="1">
        <f ca="1">IFERROR(__xludf.DUMMYFUNCTION("""COMPUTED_VALUE"""),73.06)</f>
        <v>73.06</v>
      </c>
      <c r="C670" s="1">
        <f ca="1">IFERROR(__xludf.DUMMYFUNCTION("""COMPUTED_VALUE"""),73.09)</f>
        <v>73.09</v>
      </c>
      <c r="D670" s="1">
        <f ca="1">IFERROR(__xludf.DUMMYFUNCTION("""COMPUTED_VALUE"""),72.55)</f>
        <v>72.55</v>
      </c>
      <c r="E670" s="1">
        <f ca="1">IFERROR(__xludf.DUMMYFUNCTION("""COMPUTED_VALUE"""),72.83)</f>
        <v>72.83</v>
      </c>
      <c r="F670" s="1">
        <f ca="1">IFERROR(__xludf.DUMMYFUNCTION("""COMPUTED_VALUE"""),14569715)</f>
        <v>14569715</v>
      </c>
    </row>
    <row r="671" spans="1:6" x14ac:dyDescent="0.35">
      <c r="A671" s="2">
        <f ca="1">IFERROR(__xludf.DUMMYFUNCTION("""COMPUTED_VALUE"""),42976.6666666666)</f>
        <v>42976.666666666599</v>
      </c>
      <c r="B671" s="1">
        <f ca="1">IFERROR(__xludf.DUMMYFUNCTION("""COMPUTED_VALUE"""),72.25)</f>
        <v>72.25</v>
      </c>
      <c r="C671" s="1">
        <f ca="1">IFERROR(__xludf.DUMMYFUNCTION("""COMPUTED_VALUE"""),73.16)</f>
        <v>73.16</v>
      </c>
      <c r="D671" s="1">
        <f ca="1">IFERROR(__xludf.DUMMYFUNCTION("""COMPUTED_VALUE"""),72.05)</f>
        <v>72.05</v>
      </c>
      <c r="E671" s="1">
        <f ca="1">IFERROR(__xludf.DUMMYFUNCTION("""COMPUTED_VALUE"""),73.05)</f>
        <v>73.05</v>
      </c>
      <c r="F671" s="1">
        <f ca="1">IFERROR(__xludf.DUMMYFUNCTION("""COMPUTED_VALUE"""),11478382)</f>
        <v>11478382</v>
      </c>
    </row>
    <row r="672" spans="1:6" x14ac:dyDescent="0.35">
      <c r="A672" s="2">
        <f ca="1">IFERROR(__xludf.DUMMYFUNCTION("""COMPUTED_VALUE"""),42977.6666666666)</f>
        <v>42977.666666666599</v>
      </c>
      <c r="B672" s="1">
        <f ca="1">IFERROR(__xludf.DUMMYFUNCTION("""COMPUTED_VALUE"""),73.01)</f>
        <v>73.010000000000005</v>
      </c>
      <c r="C672" s="1">
        <f ca="1">IFERROR(__xludf.DUMMYFUNCTION("""COMPUTED_VALUE"""),74.21)</f>
        <v>74.209999999999994</v>
      </c>
      <c r="D672" s="1">
        <f ca="1">IFERROR(__xludf.DUMMYFUNCTION("""COMPUTED_VALUE"""),72.83)</f>
        <v>72.83</v>
      </c>
      <c r="E672" s="1">
        <f ca="1">IFERROR(__xludf.DUMMYFUNCTION("""COMPUTED_VALUE"""),74.01)</f>
        <v>74.010000000000005</v>
      </c>
      <c r="F672" s="1">
        <f ca="1">IFERROR(__xludf.DUMMYFUNCTION("""COMPUTED_VALUE"""),16897801)</f>
        <v>16897801</v>
      </c>
    </row>
    <row r="673" spans="1:6" x14ac:dyDescent="0.35">
      <c r="A673" s="2">
        <f ca="1">IFERROR(__xludf.DUMMYFUNCTION("""COMPUTED_VALUE"""),42978.6666666666)</f>
        <v>42978.666666666599</v>
      </c>
      <c r="B673" s="1">
        <f ca="1">IFERROR(__xludf.DUMMYFUNCTION("""COMPUTED_VALUE"""),74.03)</f>
        <v>74.03</v>
      </c>
      <c r="C673" s="1">
        <f ca="1">IFERROR(__xludf.DUMMYFUNCTION("""COMPUTED_VALUE"""),74.96)</f>
        <v>74.959999999999994</v>
      </c>
      <c r="D673" s="1">
        <f ca="1">IFERROR(__xludf.DUMMYFUNCTION("""COMPUTED_VALUE"""),73.8)</f>
        <v>73.8</v>
      </c>
      <c r="E673" s="1">
        <f ca="1">IFERROR(__xludf.DUMMYFUNCTION("""COMPUTED_VALUE"""),74.77)</f>
        <v>74.77</v>
      </c>
      <c r="F673" s="1">
        <f ca="1">IFERROR(__xludf.DUMMYFUNCTION("""COMPUTED_VALUE"""),27652811)</f>
        <v>27652811</v>
      </c>
    </row>
    <row r="674" spans="1:6" x14ac:dyDescent="0.35">
      <c r="A674" s="2">
        <f ca="1">IFERROR(__xludf.DUMMYFUNCTION("""COMPUTED_VALUE"""),42979.6666666666)</f>
        <v>42979.666666666599</v>
      </c>
      <c r="B674" s="1">
        <f ca="1">IFERROR(__xludf.DUMMYFUNCTION("""COMPUTED_VALUE"""),74.71)</f>
        <v>74.709999999999994</v>
      </c>
      <c r="C674" s="1">
        <f ca="1">IFERROR(__xludf.DUMMYFUNCTION("""COMPUTED_VALUE"""),74.74)</f>
        <v>74.739999999999995</v>
      </c>
      <c r="D674" s="1">
        <f ca="1">IFERROR(__xludf.DUMMYFUNCTION("""COMPUTED_VALUE"""),73.64)</f>
        <v>73.64</v>
      </c>
      <c r="E674" s="1">
        <f ca="1">IFERROR(__xludf.DUMMYFUNCTION("""COMPUTED_VALUE"""),73.94)</f>
        <v>73.94</v>
      </c>
      <c r="F674" s="1">
        <f ca="1">IFERROR(__xludf.DUMMYFUNCTION("""COMPUTED_VALUE"""),21736161)</f>
        <v>21736161</v>
      </c>
    </row>
    <row r="675" spans="1:6" x14ac:dyDescent="0.35">
      <c r="A675" s="2">
        <f ca="1">IFERROR(__xludf.DUMMYFUNCTION("""COMPUTED_VALUE"""),42983.6666666666)</f>
        <v>42983.666666666599</v>
      </c>
      <c r="B675" s="1">
        <f ca="1">IFERROR(__xludf.DUMMYFUNCTION("""COMPUTED_VALUE"""),73.34)</f>
        <v>73.34</v>
      </c>
      <c r="C675" s="1">
        <f ca="1">IFERROR(__xludf.DUMMYFUNCTION("""COMPUTED_VALUE"""),73.89)</f>
        <v>73.89</v>
      </c>
      <c r="D675" s="1">
        <f ca="1">IFERROR(__xludf.DUMMYFUNCTION("""COMPUTED_VALUE"""),72.98)</f>
        <v>72.98</v>
      </c>
      <c r="E675" s="1">
        <f ca="1">IFERROR(__xludf.DUMMYFUNCTION("""COMPUTED_VALUE"""),73.61)</f>
        <v>73.61</v>
      </c>
      <c r="F675" s="1">
        <f ca="1">IFERROR(__xludf.DUMMYFUNCTION("""COMPUTED_VALUE"""),22242384)</f>
        <v>22242384</v>
      </c>
    </row>
    <row r="676" spans="1:6" x14ac:dyDescent="0.35">
      <c r="A676" s="2">
        <f ca="1">IFERROR(__xludf.DUMMYFUNCTION("""COMPUTED_VALUE"""),42984.6666666666)</f>
        <v>42984.666666666599</v>
      </c>
      <c r="B676" s="1">
        <f ca="1">IFERROR(__xludf.DUMMYFUNCTION("""COMPUTED_VALUE"""),73.74)</f>
        <v>73.739999999999995</v>
      </c>
      <c r="C676" s="1">
        <f ca="1">IFERROR(__xludf.DUMMYFUNCTION("""COMPUTED_VALUE"""),74.04)</f>
        <v>74.040000000000006</v>
      </c>
      <c r="D676" s="1">
        <f ca="1">IFERROR(__xludf.DUMMYFUNCTION("""COMPUTED_VALUE"""),73.35)</f>
        <v>73.349999999999994</v>
      </c>
      <c r="E676" s="1">
        <f ca="1">IFERROR(__xludf.DUMMYFUNCTION("""COMPUTED_VALUE"""),73.4)</f>
        <v>73.400000000000006</v>
      </c>
      <c r="F676" s="1">
        <f ca="1">IFERROR(__xludf.DUMMYFUNCTION("""COMPUTED_VALUE"""),16535785)</f>
        <v>16535785</v>
      </c>
    </row>
    <row r="677" spans="1:6" x14ac:dyDescent="0.35">
      <c r="A677" s="2">
        <f ca="1">IFERROR(__xludf.DUMMYFUNCTION("""COMPUTED_VALUE"""),42985.6666666666)</f>
        <v>42985.666666666599</v>
      </c>
      <c r="B677" s="1">
        <f ca="1">IFERROR(__xludf.DUMMYFUNCTION("""COMPUTED_VALUE"""),73.68)</f>
        <v>73.680000000000007</v>
      </c>
      <c r="C677" s="1">
        <f ca="1">IFERROR(__xludf.DUMMYFUNCTION("""COMPUTED_VALUE"""),74.6)</f>
        <v>74.599999999999994</v>
      </c>
      <c r="D677" s="1">
        <f ca="1">IFERROR(__xludf.DUMMYFUNCTION("""COMPUTED_VALUE"""),73.6)</f>
        <v>73.599999999999994</v>
      </c>
      <c r="E677" s="1">
        <f ca="1">IFERROR(__xludf.DUMMYFUNCTION("""COMPUTED_VALUE"""),74.34)</f>
        <v>74.34</v>
      </c>
      <c r="F677" s="1">
        <f ca="1">IFERROR(__xludf.DUMMYFUNCTION("""COMPUTED_VALUE"""),17471200)</f>
        <v>17471200</v>
      </c>
    </row>
    <row r="678" spans="1:6" x14ac:dyDescent="0.35">
      <c r="A678" s="2">
        <f ca="1">IFERROR(__xludf.DUMMYFUNCTION("""COMPUTED_VALUE"""),42986.6666666666)</f>
        <v>42986.666666666599</v>
      </c>
      <c r="B678" s="1">
        <f ca="1">IFERROR(__xludf.DUMMYFUNCTION("""COMPUTED_VALUE"""),74.33)</f>
        <v>74.33</v>
      </c>
      <c r="C678" s="1">
        <f ca="1">IFERROR(__xludf.DUMMYFUNCTION("""COMPUTED_VALUE"""),74.44)</f>
        <v>74.44</v>
      </c>
      <c r="D678" s="1">
        <f ca="1">IFERROR(__xludf.DUMMYFUNCTION("""COMPUTED_VALUE"""),73.84)</f>
        <v>73.84</v>
      </c>
      <c r="E678" s="1">
        <f ca="1">IFERROR(__xludf.DUMMYFUNCTION("""COMPUTED_VALUE"""),73.98)</f>
        <v>73.98</v>
      </c>
      <c r="F678" s="1">
        <f ca="1">IFERROR(__xludf.DUMMYFUNCTION("""COMPUTED_VALUE"""),14703816)</f>
        <v>14703816</v>
      </c>
    </row>
    <row r="679" spans="1:6" x14ac:dyDescent="0.35">
      <c r="A679" s="2">
        <f ca="1">IFERROR(__xludf.DUMMYFUNCTION("""COMPUTED_VALUE"""),42989.6666666666)</f>
        <v>42989.666666666599</v>
      </c>
      <c r="B679" s="1">
        <f ca="1">IFERROR(__xludf.DUMMYFUNCTION("""COMPUTED_VALUE"""),74.31)</f>
        <v>74.31</v>
      </c>
      <c r="C679" s="1">
        <f ca="1">IFERROR(__xludf.DUMMYFUNCTION("""COMPUTED_VALUE"""),74.94)</f>
        <v>74.94</v>
      </c>
      <c r="D679" s="1">
        <f ca="1">IFERROR(__xludf.DUMMYFUNCTION("""COMPUTED_VALUE"""),74.31)</f>
        <v>74.31</v>
      </c>
      <c r="E679" s="1">
        <f ca="1">IFERROR(__xludf.DUMMYFUNCTION("""COMPUTED_VALUE"""),74.76)</f>
        <v>74.760000000000005</v>
      </c>
      <c r="F679" s="1">
        <f ca="1">IFERROR(__xludf.DUMMYFUNCTION("""COMPUTED_VALUE"""),17910383)</f>
        <v>17910383</v>
      </c>
    </row>
    <row r="680" spans="1:6" x14ac:dyDescent="0.35">
      <c r="A680" s="2">
        <f ca="1">IFERROR(__xludf.DUMMYFUNCTION("""COMPUTED_VALUE"""),42990.6666666666)</f>
        <v>42990.666666666599</v>
      </c>
      <c r="B680" s="1">
        <f ca="1">IFERROR(__xludf.DUMMYFUNCTION("""COMPUTED_VALUE"""),74.76)</f>
        <v>74.760000000000005</v>
      </c>
      <c r="C680" s="1">
        <f ca="1">IFERROR(__xludf.DUMMYFUNCTION("""COMPUTED_VALUE"""),75.24)</f>
        <v>75.239999999999995</v>
      </c>
      <c r="D680" s="1">
        <f ca="1">IFERROR(__xludf.DUMMYFUNCTION("""COMPUTED_VALUE"""),74.37)</f>
        <v>74.37</v>
      </c>
      <c r="E680" s="1">
        <f ca="1">IFERROR(__xludf.DUMMYFUNCTION("""COMPUTED_VALUE"""),74.68)</f>
        <v>74.680000000000007</v>
      </c>
      <c r="F680" s="1">
        <f ca="1">IFERROR(__xludf.DUMMYFUNCTION("""COMPUTED_VALUE"""),14394850)</f>
        <v>14394850</v>
      </c>
    </row>
    <row r="681" spans="1:6" x14ac:dyDescent="0.35">
      <c r="A681" s="2">
        <f ca="1">IFERROR(__xludf.DUMMYFUNCTION("""COMPUTED_VALUE"""),42991.6666666666)</f>
        <v>42991.666666666599</v>
      </c>
      <c r="B681" s="1">
        <f ca="1">IFERROR(__xludf.DUMMYFUNCTION("""COMPUTED_VALUE"""),74.93)</f>
        <v>74.930000000000007</v>
      </c>
      <c r="C681" s="1">
        <f ca="1">IFERROR(__xludf.DUMMYFUNCTION("""COMPUTED_VALUE"""),75.23)</f>
        <v>75.23</v>
      </c>
      <c r="D681" s="1">
        <f ca="1">IFERROR(__xludf.DUMMYFUNCTION("""COMPUTED_VALUE"""),74.55)</f>
        <v>74.55</v>
      </c>
      <c r="E681" s="1">
        <f ca="1">IFERROR(__xludf.DUMMYFUNCTION("""COMPUTED_VALUE"""),75.21)</f>
        <v>75.209999999999994</v>
      </c>
      <c r="F681" s="1">
        <f ca="1">IFERROR(__xludf.DUMMYFUNCTION("""COMPUTED_VALUE"""),13380802)</f>
        <v>13380802</v>
      </c>
    </row>
    <row r="682" spans="1:6" x14ac:dyDescent="0.35">
      <c r="A682" s="2">
        <f ca="1">IFERROR(__xludf.DUMMYFUNCTION("""COMPUTED_VALUE"""),42992.6666666666)</f>
        <v>42992.666666666599</v>
      </c>
      <c r="B682" s="1">
        <f ca="1">IFERROR(__xludf.DUMMYFUNCTION("""COMPUTED_VALUE"""),75)</f>
        <v>75</v>
      </c>
      <c r="C682" s="1">
        <f ca="1">IFERROR(__xludf.DUMMYFUNCTION("""COMPUTED_VALUE"""),75.49)</f>
        <v>75.489999999999995</v>
      </c>
      <c r="D682" s="1">
        <f ca="1">IFERROR(__xludf.DUMMYFUNCTION("""COMPUTED_VALUE"""),74.52)</f>
        <v>74.52</v>
      </c>
      <c r="E682" s="1">
        <f ca="1">IFERROR(__xludf.DUMMYFUNCTION("""COMPUTED_VALUE"""),74.77)</f>
        <v>74.77</v>
      </c>
      <c r="F682" s="1">
        <f ca="1">IFERROR(__xludf.DUMMYFUNCTION("""COMPUTED_VALUE"""),15733914)</f>
        <v>15733914</v>
      </c>
    </row>
    <row r="683" spans="1:6" x14ac:dyDescent="0.35">
      <c r="A683" s="2">
        <f ca="1">IFERROR(__xludf.DUMMYFUNCTION("""COMPUTED_VALUE"""),42993.6666666666)</f>
        <v>42993.666666666599</v>
      </c>
      <c r="B683" s="1">
        <f ca="1">IFERROR(__xludf.DUMMYFUNCTION("""COMPUTED_VALUE"""),74.83)</f>
        <v>74.83</v>
      </c>
      <c r="C683" s="1">
        <f ca="1">IFERROR(__xludf.DUMMYFUNCTION("""COMPUTED_VALUE"""),75.39)</f>
        <v>75.39</v>
      </c>
      <c r="D683" s="1">
        <f ca="1">IFERROR(__xludf.DUMMYFUNCTION("""COMPUTED_VALUE"""),74.07)</f>
        <v>74.069999999999993</v>
      </c>
      <c r="E683" s="1">
        <f ca="1">IFERROR(__xludf.DUMMYFUNCTION("""COMPUTED_VALUE"""),75.31)</f>
        <v>75.31</v>
      </c>
      <c r="F683" s="1">
        <f ca="1">IFERROR(__xludf.DUMMYFUNCTION("""COMPUTED_VALUE"""),38578441)</f>
        <v>38578441</v>
      </c>
    </row>
    <row r="684" spans="1:6" x14ac:dyDescent="0.35">
      <c r="A684" s="2">
        <f ca="1">IFERROR(__xludf.DUMMYFUNCTION("""COMPUTED_VALUE"""),42996.6666666666)</f>
        <v>42996.666666666599</v>
      </c>
      <c r="B684" s="1">
        <f ca="1">IFERROR(__xludf.DUMMYFUNCTION("""COMPUTED_VALUE"""),75.23)</f>
        <v>75.23</v>
      </c>
      <c r="C684" s="1">
        <f ca="1">IFERROR(__xludf.DUMMYFUNCTION("""COMPUTED_VALUE"""),75.97)</f>
        <v>75.97</v>
      </c>
      <c r="D684" s="1">
        <f ca="1">IFERROR(__xludf.DUMMYFUNCTION("""COMPUTED_VALUE"""),75.04)</f>
        <v>75.040000000000006</v>
      </c>
      <c r="E684" s="1">
        <f ca="1">IFERROR(__xludf.DUMMYFUNCTION("""COMPUTED_VALUE"""),75.16)</f>
        <v>75.16</v>
      </c>
      <c r="F684" s="1">
        <f ca="1">IFERROR(__xludf.DUMMYFUNCTION("""COMPUTED_VALUE"""),23306959)</f>
        <v>23306959</v>
      </c>
    </row>
    <row r="685" spans="1:6" x14ac:dyDescent="0.35">
      <c r="A685" s="2">
        <f ca="1">IFERROR(__xludf.DUMMYFUNCTION("""COMPUTED_VALUE"""),42997.6666666666)</f>
        <v>42997.666666666599</v>
      </c>
      <c r="B685" s="1">
        <f ca="1">IFERROR(__xludf.DUMMYFUNCTION("""COMPUTED_VALUE"""),75.21)</f>
        <v>75.209999999999994</v>
      </c>
      <c r="C685" s="1">
        <f ca="1">IFERROR(__xludf.DUMMYFUNCTION("""COMPUTED_VALUE"""),75.71)</f>
        <v>75.709999999999994</v>
      </c>
      <c r="D685" s="1">
        <f ca="1">IFERROR(__xludf.DUMMYFUNCTION("""COMPUTED_VALUE"""),75.01)</f>
        <v>75.010000000000005</v>
      </c>
      <c r="E685" s="1">
        <f ca="1">IFERROR(__xludf.DUMMYFUNCTION("""COMPUTED_VALUE"""),75.44)</f>
        <v>75.44</v>
      </c>
      <c r="F685" s="1">
        <f ca="1">IFERROR(__xludf.DUMMYFUNCTION("""COMPUTED_VALUE"""),16093344)</f>
        <v>16093344</v>
      </c>
    </row>
    <row r="686" spans="1:6" x14ac:dyDescent="0.35">
      <c r="A686" s="2">
        <f ca="1">IFERROR(__xludf.DUMMYFUNCTION("""COMPUTED_VALUE"""),42998.6666666666)</f>
        <v>42998.666666666599</v>
      </c>
      <c r="B686" s="1">
        <f ca="1">IFERROR(__xludf.DUMMYFUNCTION("""COMPUTED_VALUE"""),75.35)</f>
        <v>75.349999999999994</v>
      </c>
      <c r="C686" s="1">
        <f ca="1">IFERROR(__xludf.DUMMYFUNCTION("""COMPUTED_VALUE"""),75.55)</f>
        <v>75.55</v>
      </c>
      <c r="D686" s="1">
        <f ca="1">IFERROR(__xludf.DUMMYFUNCTION("""COMPUTED_VALUE"""),74.31)</f>
        <v>74.31</v>
      </c>
      <c r="E686" s="1">
        <f ca="1">IFERROR(__xludf.DUMMYFUNCTION("""COMPUTED_VALUE"""),74.94)</f>
        <v>74.94</v>
      </c>
      <c r="F686" s="1">
        <f ca="1">IFERROR(__xludf.DUMMYFUNCTION("""COMPUTED_VALUE"""),21587878)</f>
        <v>21587878</v>
      </c>
    </row>
    <row r="687" spans="1:6" x14ac:dyDescent="0.35">
      <c r="A687" s="2">
        <f ca="1">IFERROR(__xludf.DUMMYFUNCTION("""COMPUTED_VALUE"""),42999.6666666666)</f>
        <v>42999.666666666599</v>
      </c>
      <c r="B687" s="1">
        <f ca="1">IFERROR(__xludf.DUMMYFUNCTION("""COMPUTED_VALUE"""),75.11)</f>
        <v>75.11</v>
      </c>
      <c r="C687" s="1">
        <f ca="1">IFERROR(__xludf.DUMMYFUNCTION("""COMPUTED_VALUE"""),75.24)</f>
        <v>75.239999999999995</v>
      </c>
      <c r="D687" s="1">
        <f ca="1">IFERROR(__xludf.DUMMYFUNCTION("""COMPUTED_VALUE"""),74.11)</f>
        <v>74.11</v>
      </c>
      <c r="E687" s="1">
        <f ca="1">IFERROR(__xludf.DUMMYFUNCTION("""COMPUTED_VALUE"""),74.21)</f>
        <v>74.209999999999994</v>
      </c>
      <c r="F687" s="1">
        <f ca="1">IFERROR(__xludf.DUMMYFUNCTION("""COMPUTED_VALUE"""),19186140)</f>
        <v>19186140</v>
      </c>
    </row>
    <row r="688" spans="1:6" x14ac:dyDescent="0.35">
      <c r="A688" s="2">
        <f ca="1">IFERROR(__xludf.DUMMYFUNCTION("""COMPUTED_VALUE"""),43000.6666666666)</f>
        <v>43000.666666666599</v>
      </c>
      <c r="B688" s="1">
        <f ca="1">IFERROR(__xludf.DUMMYFUNCTION("""COMPUTED_VALUE"""),73.99)</f>
        <v>73.989999999999995</v>
      </c>
      <c r="C688" s="1">
        <f ca="1">IFERROR(__xludf.DUMMYFUNCTION("""COMPUTED_VALUE"""),74.51)</f>
        <v>74.510000000000005</v>
      </c>
      <c r="D688" s="1">
        <f ca="1">IFERROR(__xludf.DUMMYFUNCTION("""COMPUTED_VALUE"""),73.85)</f>
        <v>73.849999999999994</v>
      </c>
      <c r="E688" s="1">
        <f ca="1">IFERROR(__xludf.DUMMYFUNCTION("""COMPUTED_VALUE"""),74.41)</f>
        <v>74.41</v>
      </c>
      <c r="F688" s="1">
        <f ca="1">IFERROR(__xludf.DUMMYFUNCTION("""COMPUTED_VALUE"""),14111365)</f>
        <v>14111365</v>
      </c>
    </row>
    <row r="689" spans="1:6" x14ac:dyDescent="0.35">
      <c r="A689" s="2">
        <f ca="1">IFERROR(__xludf.DUMMYFUNCTION("""COMPUTED_VALUE"""),43003.6666666666)</f>
        <v>43003.666666666599</v>
      </c>
      <c r="B689" s="1">
        <f ca="1">IFERROR(__xludf.DUMMYFUNCTION("""COMPUTED_VALUE"""),74.09)</f>
        <v>74.09</v>
      </c>
      <c r="C689" s="1">
        <f ca="1">IFERROR(__xludf.DUMMYFUNCTION("""COMPUTED_VALUE"""),74.25)</f>
        <v>74.25</v>
      </c>
      <c r="D689" s="1">
        <f ca="1">IFERROR(__xludf.DUMMYFUNCTION("""COMPUTED_VALUE"""),72.92)</f>
        <v>72.92</v>
      </c>
      <c r="E689" s="1">
        <f ca="1">IFERROR(__xludf.DUMMYFUNCTION("""COMPUTED_VALUE"""),73.26)</f>
        <v>73.260000000000005</v>
      </c>
      <c r="F689" s="1">
        <f ca="1">IFERROR(__xludf.DUMMYFUNCTION("""COMPUTED_VALUE"""),24149163)</f>
        <v>24149163</v>
      </c>
    </row>
    <row r="690" spans="1:6" x14ac:dyDescent="0.35">
      <c r="A690" s="2">
        <f ca="1">IFERROR(__xludf.DUMMYFUNCTION("""COMPUTED_VALUE"""),43004.6666666666)</f>
        <v>43004.666666666599</v>
      </c>
      <c r="B690" s="1">
        <f ca="1">IFERROR(__xludf.DUMMYFUNCTION("""COMPUTED_VALUE"""),73.67)</f>
        <v>73.67</v>
      </c>
      <c r="C690" s="1">
        <f ca="1">IFERROR(__xludf.DUMMYFUNCTION("""COMPUTED_VALUE"""),73.81)</f>
        <v>73.81</v>
      </c>
      <c r="D690" s="1">
        <f ca="1">IFERROR(__xludf.DUMMYFUNCTION("""COMPUTED_VALUE"""),72.99)</f>
        <v>72.989999999999995</v>
      </c>
      <c r="E690" s="1">
        <f ca="1">IFERROR(__xludf.DUMMYFUNCTION("""COMPUTED_VALUE"""),73.26)</f>
        <v>73.260000000000005</v>
      </c>
      <c r="F690" s="1">
        <f ca="1">IFERROR(__xludf.DUMMYFUNCTION("""COMPUTED_VALUE"""),18019577)</f>
        <v>18019577</v>
      </c>
    </row>
    <row r="691" spans="1:6" x14ac:dyDescent="0.35">
      <c r="A691" s="2">
        <f ca="1">IFERROR(__xludf.DUMMYFUNCTION("""COMPUTED_VALUE"""),43005.6666666666)</f>
        <v>43005.666666666599</v>
      </c>
      <c r="B691" s="1">
        <f ca="1">IFERROR(__xludf.DUMMYFUNCTION("""COMPUTED_VALUE"""),73.55)</f>
        <v>73.55</v>
      </c>
      <c r="C691" s="1">
        <f ca="1">IFERROR(__xludf.DUMMYFUNCTION("""COMPUTED_VALUE"""),74.17)</f>
        <v>74.17</v>
      </c>
      <c r="D691" s="1">
        <f ca="1">IFERROR(__xludf.DUMMYFUNCTION("""COMPUTED_VALUE"""),73.17)</f>
        <v>73.17</v>
      </c>
      <c r="E691" s="1">
        <f ca="1">IFERROR(__xludf.DUMMYFUNCTION("""COMPUTED_VALUE"""),73.85)</f>
        <v>73.849999999999994</v>
      </c>
      <c r="F691" s="1">
        <f ca="1">IFERROR(__xludf.DUMMYFUNCTION("""COMPUTED_VALUE"""),19565135)</f>
        <v>19565135</v>
      </c>
    </row>
    <row r="692" spans="1:6" x14ac:dyDescent="0.35">
      <c r="A692" s="2">
        <f ca="1">IFERROR(__xludf.DUMMYFUNCTION("""COMPUTED_VALUE"""),43006.6666666666)</f>
        <v>43006.666666666599</v>
      </c>
      <c r="B692" s="1">
        <f ca="1">IFERROR(__xludf.DUMMYFUNCTION("""COMPUTED_VALUE"""),73.54)</f>
        <v>73.540000000000006</v>
      </c>
      <c r="C692" s="1">
        <f ca="1">IFERROR(__xludf.DUMMYFUNCTION("""COMPUTED_VALUE"""),73.97)</f>
        <v>73.97</v>
      </c>
      <c r="D692" s="1">
        <f ca="1">IFERROR(__xludf.DUMMYFUNCTION("""COMPUTED_VALUE"""),73.31)</f>
        <v>73.31</v>
      </c>
      <c r="E692" s="1">
        <f ca="1">IFERROR(__xludf.DUMMYFUNCTION("""COMPUTED_VALUE"""),73.87)</f>
        <v>73.87</v>
      </c>
      <c r="F692" s="1">
        <f ca="1">IFERROR(__xludf.DUMMYFUNCTION("""COMPUTED_VALUE"""),10883787)</f>
        <v>10883787</v>
      </c>
    </row>
    <row r="693" spans="1:6" x14ac:dyDescent="0.35">
      <c r="A693" s="2">
        <f ca="1">IFERROR(__xludf.DUMMYFUNCTION("""COMPUTED_VALUE"""),43007.6666666666)</f>
        <v>43007.666666666599</v>
      </c>
      <c r="B693" s="1">
        <f ca="1">IFERROR(__xludf.DUMMYFUNCTION("""COMPUTED_VALUE"""),73.94)</f>
        <v>73.94</v>
      </c>
      <c r="C693" s="1">
        <f ca="1">IFERROR(__xludf.DUMMYFUNCTION("""COMPUTED_VALUE"""),74.54)</f>
        <v>74.540000000000006</v>
      </c>
      <c r="D693" s="1">
        <f ca="1">IFERROR(__xludf.DUMMYFUNCTION("""COMPUTED_VALUE"""),73.88)</f>
        <v>73.88</v>
      </c>
      <c r="E693" s="1">
        <f ca="1">IFERROR(__xludf.DUMMYFUNCTION("""COMPUTED_VALUE"""),74.49)</f>
        <v>74.489999999999995</v>
      </c>
      <c r="F693" s="1">
        <f ca="1">IFERROR(__xludf.DUMMYFUNCTION("""COMPUTED_VALUE"""),17079114)</f>
        <v>17079114</v>
      </c>
    </row>
    <row r="694" spans="1:6" x14ac:dyDescent="0.35">
      <c r="A694" s="2">
        <f ca="1">IFERROR(__xludf.DUMMYFUNCTION("""COMPUTED_VALUE"""),43010.6666666666)</f>
        <v>43010.666666666599</v>
      </c>
      <c r="B694" s="1">
        <f ca="1">IFERROR(__xludf.DUMMYFUNCTION("""COMPUTED_VALUE"""),74.71)</f>
        <v>74.709999999999994</v>
      </c>
      <c r="C694" s="1">
        <f ca="1">IFERROR(__xludf.DUMMYFUNCTION("""COMPUTED_VALUE"""),75.01)</f>
        <v>75.010000000000005</v>
      </c>
      <c r="D694" s="1">
        <f ca="1">IFERROR(__xludf.DUMMYFUNCTION("""COMPUTED_VALUE"""),74.3)</f>
        <v>74.3</v>
      </c>
      <c r="E694" s="1">
        <f ca="1">IFERROR(__xludf.DUMMYFUNCTION("""COMPUTED_VALUE"""),74.61)</f>
        <v>74.61</v>
      </c>
      <c r="F694" s="1">
        <f ca="1">IFERROR(__xludf.DUMMYFUNCTION("""COMPUTED_VALUE"""),15304762)</f>
        <v>15304762</v>
      </c>
    </row>
    <row r="695" spans="1:6" x14ac:dyDescent="0.35">
      <c r="A695" s="2">
        <f ca="1">IFERROR(__xludf.DUMMYFUNCTION("""COMPUTED_VALUE"""),43011.6666666666)</f>
        <v>43011.666666666599</v>
      </c>
      <c r="B695" s="1">
        <f ca="1">IFERROR(__xludf.DUMMYFUNCTION("""COMPUTED_VALUE"""),74.67)</f>
        <v>74.67</v>
      </c>
      <c r="C695" s="1">
        <f ca="1">IFERROR(__xludf.DUMMYFUNCTION("""COMPUTED_VALUE"""),74.88)</f>
        <v>74.88</v>
      </c>
      <c r="D695" s="1">
        <f ca="1">IFERROR(__xludf.DUMMYFUNCTION("""COMPUTED_VALUE"""),74.19)</f>
        <v>74.19</v>
      </c>
      <c r="E695" s="1">
        <f ca="1">IFERROR(__xludf.DUMMYFUNCTION("""COMPUTED_VALUE"""),74.26)</f>
        <v>74.260000000000005</v>
      </c>
      <c r="F695" s="1">
        <f ca="1">IFERROR(__xludf.DUMMYFUNCTION("""COMPUTED_VALUE"""),12190403)</f>
        <v>12190403</v>
      </c>
    </row>
    <row r="696" spans="1:6" x14ac:dyDescent="0.35">
      <c r="A696" s="2">
        <f ca="1">IFERROR(__xludf.DUMMYFUNCTION("""COMPUTED_VALUE"""),43012.6666666666)</f>
        <v>43012.666666666599</v>
      </c>
      <c r="B696" s="1">
        <f ca="1">IFERROR(__xludf.DUMMYFUNCTION("""COMPUTED_VALUE"""),74)</f>
        <v>74</v>
      </c>
      <c r="C696" s="1">
        <f ca="1">IFERROR(__xludf.DUMMYFUNCTION("""COMPUTED_VALUE"""),74.72)</f>
        <v>74.72</v>
      </c>
      <c r="D696" s="1">
        <f ca="1">IFERROR(__xludf.DUMMYFUNCTION("""COMPUTED_VALUE"""),73.71)</f>
        <v>73.709999999999994</v>
      </c>
      <c r="E696" s="1">
        <f ca="1">IFERROR(__xludf.DUMMYFUNCTION("""COMPUTED_VALUE"""),74.69)</f>
        <v>74.69</v>
      </c>
      <c r="F696" s="1">
        <f ca="1">IFERROR(__xludf.DUMMYFUNCTION("""COMPUTED_VALUE"""),13317681)</f>
        <v>13317681</v>
      </c>
    </row>
    <row r="697" spans="1:6" x14ac:dyDescent="0.35">
      <c r="A697" s="2">
        <f ca="1">IFERROR(__xludf.DUMMYFUNCTION("""COMPUTED_VALUE"""),43013.6666666666)</f>
        <v>43013.666666666599</v>
      </c>
      <c r="B697" s="1">
        <f ca="1">IFERROR(__xludf.DUMMYFUNCTION("""COMPUTED_VALUE"""),75.22)</f>
        <v>75.22</v>
      </c>
      <c r="C697" s="1">
        <f ca="1">IFERROR(__xludf.DUMMYFUNCTION("""COMPUTED_VALUE"""),76.12)</f>
        <v>76.12</v>
      </c>
      <c r="D697" s="1">
        <f ca="1">IFERROR(__xludf.DUMMYFUNCTION("""COMPUTED_VALUE"""),74.96)</f>
        <v>74.959999999999994</v>
      </c>
      <c r="E697" s="1">
        <f ca="1">IFERROR(__xludf.DUMMYFUNCTION("""COMPUTED_VALUE"""),75.97)</f>
        <v>75.97</v>
      </c>
      <c r="F697" s="1">
        <f ca="1">IFERROR(__xludf.DUMMYFUNCTION("""COMPUTED_VALUE"""),21195261)</f>
        <v>21195261</v>
      </c>
    </row>
    <row r="698" spans="1:6" x14ac:dyDescent="0.35">
      <c r="A698" s="2">
        <f ca="1">IFERROR(__xludf.DUMMYFUNCTION("""COMPUTED_VALUE"""),43014.6666666666)</f>
        <v>43014.666666666599</v>
      </c>
      <c r="B698" s="1">
        <f ca="1">IFERROR(__xludf.DUMMYFUNCTION("""COMPUTED_VALUE"""),75.67)</f>
        <v>75.67</v>
      </c>
      <c r="C698" s="1">
        <f ca="1">IFERROR(__xludf.DUMMYFUNCTION("""COMPUTED_VALUE"""),76.03)</f>
        <v>76.03</v>
      </c>
      <c r="D698" s="1">
        <f ca="1">IFERROR(__xludf.DUMMYFUNCTION("""COMPUTED_VALUE"""),75.54)</f>
        <v>75.540000000000006</v>
      </c>
      <c r="E698" s="1">
        <f ca="1">IFERROR(__xludf.DUMMYFUNCTION("""COMPUTED_VALUE"""),76)</f>
        <v>76</v>
      </c>
      <c r="F698" s="1">
        <f ca="1">IFERROR(__xludf.DUMMYFUNCTION("""COMPUTED_VALUE"""),13959814)</f>
        <v>13959814</v>
      </c>
    </row>
    <row r="699" spans="1:6" x14ac:dyDescent="0.35">
      <c r="A699" s="2">
        <f ca="1">IFERROR(__xludf.DUMMYFUNCTION("""COMPUTED_VALUE"""),43017.6666666666)</f>
        <v>43017.666666666599</v>
      </c>
      <c r="B699" s="1">
        <f ca="1">IFERROR(__xludf.DUMMYFUNCTION("""COMPUTED_VALUE"""),75.97)</f>
        <v>75.97</v>
      </c>
      <c r="C699" s="1">
        <f ca="1">IFERROR(__xludf.DUMMYFUNCTION("""COMPUTED_VALUE"""),76.55)</f>
        <v>76.55</v>
      </c>
      <c r="D699" s="1">
        <f ca="1">IFERROR(__xludf.DUMMYFUNCTION("""COMPUTED_VALUE"""),75.86)</f>
        <v>75.86</v>
      </c>
      <c r="E699" s="1">
        <f ca="1">IFERROR(__xludf.DUMMYFUNCTION("""COMPUTED_VALUE"""),76.29)</f>
        <v>76.290000000000006</v>
      </c>
      <c r="F699" s="1">
        <f ca="1">IFERROR(__xludf.DUMMYFUNCTION("""COMPUTED_VALUE"""),11386502)</f>
        <v>11386502</v>
      </c>
    </row>
    <row r="700" spans="1:6" x14ac:dyDescent="0.35">
      <c r="A700" s="2">
        <f ca="1">IFERROR(__xludf.DUMMYFUNCTION("""COMPUTED_VALUE"""),43018.6666666666)</f>
        <v>43018.666666666599</v>
      </c>
      <c r="B700" s="1">
        <f ca="1">IFERROR(__xludf.DUMMYFUNCTION("""COMPUTED_VALUE"""),76.33)</f>
        <v>76.33</v>
      </c>
      <c r="C700" s="1">
        <f ca="1">IFERROR(__xludf.DUMMYFUNCTION("""COMPUTED_VALUE"""),76.63)</f>
        <v>76.63</v>
      </c>
      <c r="D700" s="1">
        <f ca="1">IFERROR(__xludf.DUMMYFUNCTION("""COMPUTED_VALUE"""),76.14)</f>
        <v>76.14</v>
      </c>
      <c r="E700" s="1">
        <f ca="1">IFERROR(__xludf.DUMMYFUNCTION("""COMPUTED_VALUE"""),76.29)</f>
        <v>76.290000000000006</v>
      </c>
      <c r="F700" s="1">
        <f ca="1">IFERROR(__xludf.DUMMYFUNCTION("""COMPUTED_VALUE"""),13944545)</f>
        <v>13944545</v>
      </c>
    </row>
    <row r="701" spans="1:6" x14ac:dyDescent="0.35">
      <c r="A701" s="2">
        <f ca="1">IFERROR(__xludf.DUMMYFUNCTION("""COMPUTED_VALUE"""),43019.6666666666)</f>
        <v>43019.666666666599</v>
      </c>
      <c r="B701" s="1">
        <f ca="1">IFERROR(__xludf.DUMMYFUNCTION("""COMPUTED_VALUE"""),76.36)</f>
        <v>76.36</v>
      </c>
      <c r="C701" s="1">
        <f ca="1">IFERROR(__xludf.DUMMYFUNCTION("""COMPUTED_VALUE"""),76.46)</f>
        <v>76.459999999999994</v>
      </c>
      <c r="D701" s="1">
        <f ca="1">IFERROR(__xludf.DUMMYFUNCTION("""COMPUTED_VALUE"""),75.95)</f>
        <v>75.95</v>
      </c>
      <c r="E701" s="1">
        <f ca="1">IFERROR(__xludf.DUMMYFUNCTION("""COMPUTED_VALUE"""),76.42)</f>
        <v>76.42</v>
      </c>
      <c r="F701" s="1">
        <f ca="1">IFERROR(__xludf.DUMMYFUNCTION("""COMPUTED_VALUE"""),15388898)</f>
        <v>15388898</v>
      </c>
    </row>
    <row r="702" spans="1:6" x14ac:dyDescent="0.35">
      <c r="A702" s="2">
        <f ca="1">IFERROR(__xludf.DUMMYFUNCTION("""COMPUTED_VALUE"""),43020.6666666666)</f>
        <v>43020.666666666599</v>
      </c>
      <c r="B702" s="1">
        <f ca="1">IFERROR(__xludf.DUMMYFUNCTION("""COMPUTED_VALUE"""),76.49)</f>
        <v>76.489999999999995</v>
      </c>
      <c r="C702" s="1">
        <f ca="1">IFERROR(__xludf.DUMMYFUNCTION("""COMPUTED_VALUE"""),77.29)</f>
        <v>77.290000000000006</v>
      </c>
      <c r="D702" s="1">
        <f ca="1">IFERROR(__xludf.DUMMYFUNCTION("""COMPUTED_VALUE"""),76.37)</f>
        <v>76.37</v>
      </c>
      <c r="E702" s="1">
        <f ca="1">IFERROR(__xludf.DUMMYFUNCTION("""COMPUTED_VALUE"""),77.12)</f>
        <v>77.12</v>
      </c>
      <c r="F702" s="1">
        <f ca="1">IFERROR(__xludf.DUMMYFUNCTION("""COMPUTED_VALUE"""),16876538)</f>
        <v>16876538</v>
      </c>
    </row>
    <row r="703" spans="1:6" x14ac:dyDescent="0.35">
      <c r="A703" s="2">
        <f ca="1">IFERROR(__xludf.DUMMYFUNCTION("""COMPUTED_VALUE"""),43021.6666666666)</f>
        <v>43021.666666666599</v>
      </c>
      <c r="B703" s="1">
        <f ca="1">IFERROR(__xludf.DUMMYFUNCTION("""COMPUTED_VALUE"""),77.59)</f>
        <v>77.59</v>
      </c>
      <c r="C703" s="1">
        <f ca="1">IFERROR(__xludf.DUMMYFUNCTION("""COMPUTED_VALUE"""),77.87)</f>
        <v>77.87</v>
      </c>
      <c r="D703" s="1">
        <f ca="1">IFERROR(__xludf.DUMMYFUNCTION("""COMPUTED_VALUE"""),77.29)</f>
        <v>77.290000000000006</v>
      </c>
      <c r="E703" s="1">
        <f ca="1">IFERROR(__xludf.DUMMYFUNCTION("""COMPUTED_VALUE"""),77.49)</f>
        <v>77.489999999999995</v>
      </c>
      <c r="F703" s="1">
        <f ca="1">IFERROR(__xludf.DUMMYFUNCTION("""COMPUTED_VALUE"""),15335742)</f>
        <v>15335742</v>
      </c>
    </row>
    <row r="704" spans="1:6" x14ac:dyDescent="0.35">
      <c r="A704" s="2">
        <f ca="1">IFERROR(__xludf.DUMMYFUNCTION("""COMPUTED_VALUE"""),43024.6666666666)</f>
        <v>43024.666666666599</v>
      </c>
      <c r="B704" s="1">
        <f ca="1">IFERROR(__xludf.DUMMYFUNCTION("""COMPUTED_VALUE"""),77.42)</f>
        <v>77.42</v>
      </c>
      <c r="C704" s="1">
        <f ca="1">IFERROR(__xludf.DUMMYFUNCTION("""COMPUTED_VALUE"""),77.81)</f>
        <v>77.81</v>
      </c>
      <c r="D704" s="1">
        <f ca="1">IFERROR(__xludf.DUMMYFUNCTION("""COMPUTED_VALUE"""),77.35)</f>
        <v>77.349999999999994</v>
      </c>
      <c r="E704" s="1">
        <f ca="1">IFERROR(__xludf.DUMMYFUNCTION("""COMPUTED_VALUE"""),77.65)</f>
        <v>77.650000000000006</v>
      </c>
      <c r="F704" s="1">
        <f ca="1">IFERROR(__xludf.DUMMYFUNCTION("""COMPUTED_VALUE"""),12380093)</f>
        <v>12380093</v>
      </c>
    </row>
    <row r="705" spans="1:6" x14ac:dyDescent="0.35">
      <c r="A705" s="2">
        <f ca="1">IFERROR(__xludf.DUMMYFUNCTION("""COMPUTED_VALUE"""),43025.6666666666)</f>
        <v>43025.666666666599</v>
      </c>
      <c r="B705" s="1">
        <f ca="1">IFERROR(__xludf.DUMMYFUNCTION("""COMPUTED_VALUE"""),77.47)</f>
        <v>77.47</v>
      </c>
      <c r="C705" s="1">
        <f ca="1">IFERROR(__xludf.DUMMYFUNCTION("""COMPUTED_VALUE"""),77.62)</f>
        <v>77.62</v>
      </c>
      <c r="D705" s="1">
        <f ca="1">IFERROR(__xludf.DUMMYFUNCTION("""COMPUTED_VALUE"""),77.25)</f>
        <v>77.25</v>
      </c>
      <c r="E705" s="1">
        <f ca="1">IFERROR(__xludf.DUMMYFUNCTION("""COMPUTED_VALUE"""),77.59)</f>
        <v>77.59</v>
      </c>
      <c r="F705" s="1">
        <f ca="1">IFERROR(__xludf.DUMMYFUNCTION("""COMPUTED_VALUE"""),16823989)</f>
        <v>16823989</v>
      </c>
    </row>
    <row r="706" spans="1:6" x14ac:dyDescent="0.35">
      <c r="A706" s="2">
        <f ca="1">IFERROR(__xludf.DUMMYFUNCTION("""COMPUTED_VALUE"""),43026.6666666666)</f>
        <v>43026.666666666599</v>
      </c>
      <c r="B706" s="1">
        <f ca="1">IFERROR(__xludf.DUMMYFUNCTION("""COMPUTED_VALUE"""),77.67)</f>
        <v>77.67</v>
      </c>
      <c r="C706" s="1">
        <f ca="1">IFERROR(__xludf.DUMMYFUNCTION("""COMPUTED_VALUE"""),77.85)</f>
        <v>77.849999999999994</v>
      </c>
      <c r="D706" s="1">
        <f ca="1">IFERROR(__xludf.DUMMYFUNCTION("""COMPUTED_VALUE"""),77.37)</f>
        <v>77.37</v>
      </c>
      <c r="E706" s="1">
        <f ca="1">IFERROR(__xludf.DUMMYFUNCTION("""COMPUTED_VALUE"""),77.61)</f>
        <v>77.61</v>
      </c>
      <c r="F706" s="1">
        <f ca="1">IFERROR(__xludf.DUMMYFUNCTION("""COMPUTED_VALUE"""),13300701)</f>
        <v>13300701</v>
      </c>
    </row>
    <row r="707" spans="1:6" x14ac:dyDescent="0.35">
      <c r="A707" s="2">
        <f ca="1">IFERROR(__xludf.DUMMYFUNCTION("""COMPUTED_VALUE"""),43027.6666666666)</f>
        <v>43027.666666666599</v>
      </c>
      <c r="B707" s="1">
        <f ca="1">IFERROR(__xludf.DUMMYFUNCTION("""COMPUTED_VALUE"""),77.57)</f>
        <v>77.569999999999993</v>
      </c>
      <c r="C707" s="1">
        <f ca="1">IFERROR(__xludf.DUMMYFUNCTION("""COMPUTED_VALUE"""),77.93)</f>
        <v>77.930000000000007</v>
      </c>
      <c r="D707" s="1">
        <f ca="1">IFERROR(__xludf.DUMMYFUNCTION("""COMPUTED_VALUE"""),77.35)</f>
        <v>77.349999999999994</v>
      </c>
      <c r="E707" s="1">
        <f ca="1">IFERROR(__xludf.DUMMYFUNCTION("""COMPUTED_VALUE"""),77.91)</f>
        <v>77.91</v>
      </c>
      <c r="F707" s="1">
        <f ca="1">IFERROR(__xludf.DUMMYFUNCTION("""COMPUTED_VALUE"""),15092758)</f>
        <v>15092758</v>
      </c>
    </row>
    <row r="708" spans="1:6" x14ac:dyDescent="0.35">
      <c r="A708" s="2">
        <f ca="1">IFERROR(__xludf.DUMMYFUNCTION("""COMPUTED_VALUE"""),43028.6666666666)</f>
        <v>43028.666666666599</v>
      </c>
      <c r="B708" s="1">
        <f ca="1">IFERROR(__xludf.DUMMYFUNCTION("""COMPUTED_VALUE"""),78.32)</f>
        <v>78.319999999999993</v>
      </c>
      <c r="C708" s="1">
        <f ca="1">IFERROR(__xludf.DUMMYFUNCTION("""COMPUTED_VALUE"""),78.97)</f>
        <v>78.97</v>
      </c>
      <c r="D708" s="1">
        <f ca="1">IFERROR(__xludf.DUMMYFUNCTION("""COMPUTED_VALUE"""),78.22)</f>
        <v>78.22</v>
      </c>
      <c r="E708" s="1">
        <f ca="1">IFERROR(__xludf.DUMMYFUNCTION("""COMPUTED_VALUE"""),78.81)</f>
        <v>78.81</v>
      </c>
      <c r="F708" s="1">
        <f ca="1">IFERROR(__xludf.DUMMYFUNCTION("""COMPUTED_VALUE"""),22866426)</f>
        <v>22866426</v>
      </c>
    </row>
    <row r="709" spans="1:6" x14ac:dyDescent="0.35">
      <c r="A709" s="2">
        <f ca="1">IFERROR(__xludf.DUMMYFUNCTION("""COMPUTED_VALUE"""),43031.6666666666)</f>
        <v>43031.666666666599</v>
      </c>
      <c r="B709" s="1">
        <f ca="1">IFERROR(__xludf.DUMMYFUNCTION("""COMPUTED_VALUE"""),78.99)</f>
        <v>78.989999999999995</v>
      </c>
      <c r="C709" s="1">
        <f ca="1">IFERROR(__xludf.DUMMYFUNCTION("""COMPUTED_VALUE"""),79.34)</f>
        <v>79.34</v>
      </c>
      <c r="D709" s="1">
        <f ca="1">IFERROR(__xludf.DUMMYFUNCTION("""COMPUTED_VALUE"""),78.76)</f>
        <v>78.760000000000005</v>
      </c>
      <c r="E709" s="1">
        <f ca="1">IFERROR(__xludf.DUMMYFUNCTION("""COMPUTED_VALUE"""),78.83)</f>
        <v>78.83</v>
      </c>
      <c r="F709" s="1">
        <f ca="1">IFERROR(__xludf.DUMMYFUNCTION("""COMPUTED_VALUE"""),20627173)</f>
        <v>20627173</v>
      </c>
    </row>
    <row r="710" spans="1:6" x14ac:dyDescent="0.35">
      <c r="A710" s="2">
        <f ca="1">IFERROR(__xludf.DUMMYFUNCTION("""COMPUTED_VALUE"""),43032.6666666666)</f>
        <v>43032.666666666599</v>
      </c>
      <c r="B710" s="1">
        <f ca="1">IFERROR(__xludf.DUMMYFUNCTION("""COMPUTED_VALUE"""),78.9)</f>
        <v>78.900000000000006</v>
      </c>
      <c r="C710" s="1">
        <f ca="1">IFERROR(__xludf.DUMMYFUNCTION("""COMPUTED_VALUE"""),79.2)</f>
        <v>79.2</v>
      </c>
      <c r="D710" s="1">
        <f ca="1">IFERROR(__xludf.DUMMYFUNCTION("""COMPUTED_VALUE"""),78.46)</f>
        <v>78.459999999999994</v>
      </c>
      <c r="E710" s="1">
        <f ca="1">IFERROR(__xludf.DUMMYFUNCTION("""COMPUTED_VALUE"""),78.86)</f>
        <v>78.86</v>
      </c>
      <c r="F710" s="1">
        <f ca="1">IFERROR(__xludf.DUMMYFUNCTION("""COMPUTED_VALUE"""),17517182)</f>
        <v>17517182</v>
      </c>
    </row>
    <row r="711" spans="1:6" x14ac:dyDescent="0.35">
      <c r="A711" s="2">
        <f ca="1">IFERROR(__xludf.DUMMYFUNCTION("""COMPUTED_VALUE"""),43033.6666666666)</f>
        <v>43033.666666666599</v>
      </c>
      <c r="B711" s="1">
        <f ca="1">IFERROR(__xludf.DUMMYFUNCTION("""COMPUTED_VALUE"""),78.58)</f>
        <v>78.58</v>
      </c>
      <c r="C711" s="1">
        <f ca="1">IFERROR(__xludf.DUMMYFUNCTION("""COMPUTED_VALUE"""),79.1)</f>
        <v>79.099999999999994</v>
      </c>
      <c r="D711" s="1">
        <f ca="1">IFERROR(__xludf.DUMMYFUNCTION("""COMPUTED_VALUE"""),78.01)</f>
        <v>78.010000000000005</v>
      </c>
      <c r="E711" s="1">
        <f ca="1">IFERROR(__xludf.DUMMYFUNCTION("""COMPUTED_VALUE"""),78.63)</f>
        <v>78.63</v>
      </c>
      <c r="F711" s="1">
        <f ca="1">IFERROR(__xludf.DUMMYFUNCTION("""COMPUTED_VALUE"""),20410808)</f>
        <v>20410808</v>
      </c>
    </row>
    <row r="712" spans="1:6" x14ac:dyDescent="0.35">
      <c r="A712" s="2">
        <f ca="1">IFERROR(__xludf.DUMMYFUNCTION("""COMPUTED_VALUE"""),43034.6666666666)</f>
        <v>43034.666666666599</v>
      </c>
      <c r="B712" s="1">
        <f ca="1">IFERROR(__xludf.DUMMYFUNCTION("""COMPUTED_VALUE"""),79.2)</f>
        <v>79.2</v>
      </c>
      <c r="C712" s="1">
        <f ca="1">IFERROR(__xludf.DUMMYFUNCTION("""COMPUTED_VALUE"""),79.42)</f>
        <v>79.42</v>
      </c>
      <c r="D712" s="1">
        <f ca="1">IFERROR(__xludf.DUMMYFUNCTION("""COMPUTED_VALUE"""),78.75)</f>
        <v>78.75</v>
      </c>
      <c r="E712" s="1">
        <f ca="1">IFERROR(__xludf.DUMMYFUNCTION("""COMPUTED_VALUE"""),78.76)</f>
        <v>78.760000000000005</v>
      </c>
      <c r="F712" s="1">
        <f ca="1">IFERROR(__xludf.DUMMYFUNCTION("""COMPUTED_VALUE"""),32120717)</f>
        <v>32120717</v>
      </c>
    </row>
    <row r="713" spans="1:6" x14ac:dyDescent="0.35">
      <c r="A713" s="2">
        <f ca="1">IFERROR(__xludf.DUMMYFUNCTION("""COMPUTED_VALUE"""),43035.6666666666)</f>
        <v>43035.666666666599</v>
      </c>
      <c r="B713" s="1">
        <f ca="1">IFERROR(__xludf.DUMMYFUNCTION("""COMPUTED_VALUE"""),84.37)</f>
        <v>84.37</v>
      </c>
      <c r="C713" s="1">
        <f ca="1">IFERROR(__xludf.DUMMYFUNCTION("""COMPUTED_VALUE"""),86.2)</f>
        <v>86.2</v>
      </c>
      <c r="D713" s="1">
        <f ca="1">IFERROR(__xludf.DUMMYFUNCTION("""COMPUTED_VALUE"""),83.61)</f>
        <v>83.61</v>
      </c>
      <c r="E713" s="1">
        <f ca="1">IFERROR(__xludf.DUMMYFUNCTION("""COMPUTED_VALUE"""),83.81)</f>
        <v>83.81</v>
      </c>
      <c r="F713" s="1">
        <f ca="1">IFERROR(__xludf.DUMMYFUNCTION("""COMPUTED_VALUE"""),71066729)</f>
        <v>71066729</v>
      </c>
    </row>
    <row r="714" spans="1:6" x14ac:dyDescent="0.35">
      <c r="A714" s="2">
        <f ca="1">IFERROR(__xludf.DUMMYFUNCTION("""COMPUTED_VALUE"""),43038.6666666666)</f>
        <v>43038.666666666599</v>
      </c>
      <c r="B714" s="1">
        <f ca="1">IFERROR(__xludf.DUMMYFUNCTION("""COMPUTED_VALUE"""),83.7)</f>
        <v>83.7</v>
      </c>
      <c r="C714" s="1">
        <f ca="1">IFERROR(__xludf.DUMMYFUNCTION("""COMPUTED_VALUE"""),84.33)</f>
        <v>84.33</v>
      </c>
      <c r="D714" s="1">
        <f ca="1">IFERROR(__xludf.DUMMYFUNCTION("""COMPUTED_VALUE"""),83.11)</f>
        <v>83.11</v>
      </c>
      <c r="E714" s="1">
        <f ca="1">IFERROR(__xludf.DUMMYFUNCTION("""COMPUTED_VALUE"""),83.89)</f>
        <v>83.89</v>
      </c>
      <c r="F714" s="1">
        <f ca="1">IFERROR(__xludf.DUMMYFUNCTION("""COMPUTED_VALUE"""),31756653)</f>
        <v>31756653</v>
      </c>
    </row>
    <row r="715" spans="1:6" x14ac:dyDescent="0.35">
      <c r="A715" s="2">
        <f ca="1">IFERROR(__xludf.DUMMYFUNCTION("""COMPUTED_VALUE"""),43039.6666666666)</f>
        <v>43039.666666666599</v>
      </c>
      <c r="B715" s="1">
        <f ca="1">IFERROR(__xludf.DUMMYFUNCTION("""COMPUTED_VALUE"""),84.36)</f>
        <v>84.36</v>
      </c>
      <c r="C715" s="1">
        <f ca="1">IFERROR(__xludf.DUMMYFUNCTION("""COMPUTED_VALUE"""),84.36)</f>
        <v>84.36</v>
      </c>
      <c r="D715" s="1">
        <f ca="1">IFERROR(__xludf.DUMMYFUNCTION("""COMPUTED_VALUE"""),83.11)</f>
        <v>83.11</v>
      </c>
      <c r="E715" s="1">
        <f ca="1">IFERROR(__xludf.DUMMYFUNCTION("""COMPUTED_VALUE"""),83.18)</f>
        <v>83.18</v>
      </c>
      <c r="F715" s="1">
        <f ca="1">IFERROR(__xludf.DUMMYFUNCTION("""COMPUTED_VALUE"""),27086575)</f>
        <v>27086575</v>
      </c>
    </row>
    <row r="716" spans="1:6" x14ac:dyDescent="0.35">
      <c r="A716" s="2">
        <f ca="1">IFERROR(__xludf.DUMMYFUNCTION("""COMPUTED_VALUE"""),43040.6666666666)</f>
        <v>43040.666666666599</v>
      </c>
      <c r="B716" s="1">
        <f ca="1">IFERROR(__xludf.DUMMYFUNCTION("""COMPUTED_VALUE"""),83.68)</f>
        <v>83.68</v>
      </c>
      <c r="C716" s="1">
        <f ca="1">IFERROR(__xludf.DUMMYFUNCTION("""COMPUTED_VALUE"""),83.76)</f>
        <v>83.76</v>
      </c>
      <c r="D716" s="1">
        <f ca="1">IFERROR(__xludf.DUMMYFUNCTION("""COMPUTED_VALUE"""),82.88)</f>
        <v>82.88</v>
      </c>
      <c r="E716" s="1">
        <f ca="1">IFERROR(__xludf.DUMMYFUNCTION("""COMPUTED_VALUE"""),83.18)</f>
        <v>83.18</v>
      </c>
      <c r="F716" s="1">
        <f ca="1">IFERROR(__xludf.DUMMYFUNCTION("""COMPUTED_VALUE"""),22307371)</f>
        <v>22307371</v>
      </c>
    </row>
    <row r="717" spans="1:6" x14ac:dyDescent="0.35">
      <c r="A717" s="2">
        <f ca="1">IFERROR(__xludf.DUMMYFUNCTION("""COMPUTED_VALUE"""),43041.6666666666)</f>
        <v>43041.666666666599</v>
      </c>
      <c r="B717" s="1">
        <f ca="1">IFERROR(__xludf.DUMMYFUNCTION("""COMPUTED_VALUE"""),83.35)</f>
        <v>83.35</v>
      </c>
      <c r="C717" s="1">
        <f ca="1">IFERROR(__xludf.DUMMYFUNCTION("""COMPUTED_VALUE"""),84.46)</f>
        <v>84.46</v>
      </c>
      <c r="D717" s="1">
        <f ca="1">IFERROR(__xludf.DUMMYFUNCTION("""COMPUTED_VALUE"""),83.12)</f>
        <v>83.12</v>
      </c>
      <c r="E717" s="1">
        <f ca="1">IFERROR(__xludf.DUMMYFUNCTION("""COMPUTED_VALUE"""),84.05)</f>
        <v>84.05</v>
      </c>
      <c r="F717" s="1">
        <f ca="1">IFERROR(__xludf.DUMMYFUNCTION("""COMPUTED_VALUE"""),23992945)</f>
        <v>23992945</v>
      </c>
    </row>
    <row r="718" spans="1:6" x14ac:dyDescent="0.35">
      <c r="A718" s="2">
        <f ca="1">IFERROR(__xludf.DUMMYFUNCTION("""COMPUTED_VALUE"""),43042.6666666666)</f>
        <v>43042.666666666599</v>
      </c>
      <c r="B718" s="1">
        <f ca="1">IFERROR(__xludf.DUMMYFUNCTION("""COMPUTED_VALUE"""),84.08)</f>
        <v>84.08</v>
      </c>
      <c r="C718" s="1">
        <f ca="1">IFERROR(__xludf.DUMMYFUNCTION("""COMPUTED_VALUE"""),84.54)</f>
        <v>84.54</v>
      </c>
      <c r="D718" s="1">
        <f ca="1">IFERROR(__xludf.DUMMYFUNCTION("""COMPUTED_VALUE"""),83.4)</f>
        <v>83.4</v>
      </c>
      <c r="E718" s="1">
        <f ca="1">IFERROR(__xludf.DUMMYFUNCTION("""COMPUTED_VALUE"""),84.14)</f>
        <v>84.14</v>
      </c>
      <c r="F718" s="1">
        <f ca="1">IFERROR(__xludf.DUMMYFUNCTION("""COMPUTED_VALUE"""),17633543)</f>
        <v>17633543</v>
      </c>
    </row>
    <row r="719" spans="1:6" x14ac:dyDescent="0.35">
      <c r="A719" s="2">
        <f ca="1">IFERROR(__xludf.DUMMYFUNCTION("""COMPUTED_VALUE"""),43045.6666666666)</f>
        <v>43045.666666666599</v>
      </c>
      <c r="B719" s="1">
        <f ca="1">IFERROR(__xludf.DUMMYFUNCTION("""COMPUTED_VALUE"""),84.2)</f>
        <v>84.2</v>
      </c>
      <c r="C719" s="1">
        <f ca="1">IFERROR(__xludf.DUMMYFUNCTION("""COMPUTED_VALUE"""),84.7)</f>
        <v>84.7</v>
      </c>
      <c r="D719" s="1">
        <f ca="1">IFERROR(__xludf.DUMMYFUNCTION("""COMPUTED_VALUE"""),84.08)</f>
        <v>84.08</v>
      </c>
      <c r="E719" s="1">
        <f ca="1">IFERROR(__xludf.DUMMYFUNCTION("""COMPUTED_VALUE"""),84.47)</f>
        <v>84.47</v>
      </c>
      <c r="F719" s="1">
        <f ca="1">IFERROR(__xludf.DUMMYFUNCTION("""COMPUTED_VALUE"""),19860852)</f>
        <v>19860852</v>
      </c>
    </row>
    <row r="720" spans="1:6" x14ac:dyDescent="0.35">
      <c r="A720" s="2">
        <f ca="1">IFERROR(__xludf.DUMMYFUNCTION("""COMPUTED_VALUE"""),43046.6666666666)</f>
        <v>43046.666666666599</v>
      </c>
      <c r="B720" s="1">
        <f ca="1">IFERROR(__xludf.DUMMYFUNCTION("""COMPUTED_VALUE"""),84.77)</f>
        <v>84.77</v>
      </c>
      <c r="C720" s="1">
        <f ca="1">IFERROR(__xludf.DUMMYFUNCTION("""COMPUTED_VALUE"""),84.9)</f>
        <v>84.9</v>
      </c>
      <c r="D720" s="1">
        <f ca="1">IFERROR(__xludf.DUMMYFUNCTION("""COMPUTED_VALUE"""),83.93)</f>
        <v>83.93</v>
      </c>
      <c r="E720" s="1">
        <f ca="1">IFERROR(__xludf.DUMMYFUNCTION("""COMPUTED_VALUE"""),84.27)</f>
        <v>84.27</v>
      </c>
      <c r="F720" s="1">
        <f ca="1">IFERROR(__xludf.DUMMYFUNCTION("""COMPUTED_VALUE"""),17939727)</f>
        <v>17939727</v>
      </c>
    </row>
    <row r="721" spans="1:6" x14ac:dyDescent="0.35">
      <c r="A721" s="2">
        <f ca="1">IFERROR(__xludf.DUMMYFUNCTION("""COMPUTED_VALUE"""),43047.6666666666)</f>
        <v>43047.666666666599</v>
      </c>
      <c r="B721" s="1">
        <f ca="1">IFERROR(__xludf.DUMMYFUNCTION("""COMPUTED_VALUE"""),84.14)</f>
        <v>84.14</v>
      </c>
      <c r="C721" s="1">
        <f ca="1">IFERROR(__xludf.DUMMYFUNCTION("""COMPUTED_VALUE"""),84.61)</f>
        <v>84.61</v>
      </c>
      <c r="D721" s="1">
        <f ca="1">IFERROR(__xludf.DUMMYFUNCTION("""COMPUTED_VALUE"""),83.83)</f>
        <v>83.83</v>
      </c>
      <c r="E721" s="1">
        <f ca="1">IFERROR(__xludf.DUMMYFUNCTION("""COMPUTED_VALUE"""),84.56)</f>
        <v>84.56</v>
      </c>
      <c r="F721" s="1">
        <f ca="1">IFERROR(__xludf.DUMMYFUNCTION("""COMPUTED_VALUE"""),18034170)</f>
        <v>18034170</v>
      </c>
    </row>
    <row r="722" spans="1:6" x14ac:dyDescent="0.35">
      <c r="A722" s="2">
        <f ca="1">IFERROR(__xludf.DUMMYFUNCTION("""COMPUTED_VALUE"""),43048.6666666666)</f>
        <v>43048.666666666599</v>
      </c>
      <c r="B722" s="1">
        <f ca="1">IFERROR(__xludf.DUMMYFUNCTION("""COMPUTED_VALUE"""),84.11)</f>
        <v>84.11</v>
      </c>
      <c r="C722" s="1">
        <f ca="1">IFERROR(__xludf.DUMMYFUNCTION("""COMPUTED_VALUE"""),84.27)</f>
        <v>84.27</v>
      </c>
      <c r="D722" s="1">
        <f ca="1">IFERROR(__xludf.DUMMYFUNCTION("""COMPUTED_VALUE"""),82.9)</f>
        <v>82.9</v>
      </c>
      <c r="E722" s="1">
        <f ca="1">IFERROR(__xludf.DUMMYFUNCTION("""COMPUTED_VALUE"""),84.09)</f>
        <v>84.09</v>
      </c>
      <c r="F722" s="1">
        <f ca="1">IFERROR(__xludf.DUMMYFUNCTION("""COMPUTED_VALUE"""),21178356)</f>
        <v>21178356</v>
      </c>
    </row>
    <row r="723" spans="1:6" x14ac:dyDescent="0.35">
      <c r="A723" s="2">
        <f ca="1">IFERROR(__xludf.DUMMYFUNCTION("""COMPUTED_VALUE"""),43049.6666666666)</f>
        <v>43049.666666666599</v>
      </c>
      <c r="B723" s="1">
        <f ca="1">IFERROR(__xludf.DUMMYFUNCTION("""COMPUTED_VALUE"""),83.79)</f>
        <v>83.79</v>
      </c>
      <c r="C723" s="1">
        <f ca="1">IFERROR(__xludf.DUMMYFUNCTION("""COMPUTED_VALUE"""),84.1)</f>
        <v>84.1</v>
      </c>
      <c r="D723" s="1">
        <f ca="1">IFERROR(__xludf.DUMMYFUNCTION("""COMPUTED_VALUE"""),83.23)</f>
        <v>83.23</v>
      </c>
      <c r="E723" s="1">
        <f ca="1">IFERROR(__xludf.DUMMYFUNCTION("""COMPUTED_VALUE"""),83.87)</f>
        <v>83.87</v>
      </c>
      <c r="F723" s="1">
        <f ca="1">IFERROR(__xludf.DUMMYFUNCTION("""COMPUTED_VALUE"""),19397793)</f>
        <v>19397793</v>
      </c>
    </row>
    <row r="724" spans="1:6" x14ac:dyDescent="0.35">
      <c r="A724" s="2">
        <f ca="1">IFERROR(__xludf.DUMMYFUNCTION("""COMPUTED_VALUE"""),43052.6666666666)</f>
        <v>43052.666666666599</v>
      </c>
      <c r="B724" s="1">
        <f ca="1">IFERROR(__xludf.DUMMYFUNCTION("""COMPUTED_VALUE"""),83.66)</f>
        <v>83.66</v>
      </c>
      <c r="C724" s="1">
        <f ca="1">IFERROR(__xludf.DUMMYFUNCTION("""COMPUTED_VALUE"""),83.94)</f>
        <v>83.94</v>
      </c>
      <c r="D724" s="1">
        <f ca="1">IFERROR(__xludf.DUMMYFUNCTION("""COMPUTED_VALUE"""),83.46)</f>
        <v>83.46</v>
      </c>
      <c r="E724" s="1">
        <f ca="1">IFERROR(__xludf.DUMMYFUNCTION("""COMPUTED_VALUE"""),83.93)</f>
        <v>83.93</v>
      </c>
      <c r="F724" s="1">
        <f ca="1">IFERROR(__xludf.DUMMYFUNCTION("""COMPUTED_VALUE"""),14196896)</f>
        <v>14196896</v>
      </c>
    </row>
    <row r="725" spans="1:6" x14ac:dyDescent="0.35">
      <c r="A725" s="2">
        <f ca="1">IFERROR(__xludf.DUMMYFUNCTION("""COMPUTED_VALUE"""),43053.6666666666)</f>
        <v>43053.666666666599</v>
      </c>
      <c r="B725" s="1">
        <f ca="1">IFERROR(__xludf.DUMMYFUNCTION("""COMPUTED_VALUE"""),83.5)</f>
        <v>83.5</v>
      </c>
      <c r="C725" s="1">
        <f ca="1">IFERROR(__xludf.DUMMYFUNCTION("""COMPUTED_VALUE"""),84.1)</f>
        <v>84.1</v>
      </c>
      <c r="D725" s="1">
        <f ca="1">IFERROR(__xludf.DUMMYFUNCTION("""COMPUTED_VALUE"""),82.98)</f>
        <v>82.98</v>
      </c>
      <c r="E725" s="1">
        <f ca="1">IFERROR(__xludf.DUMMYFUNCTION("""COMPUTED_VALUE"""),84.05)</f>
        <v>84.05</v>
      </c>
      <c r="F725" s="1">
        <f ca="1">IFERROR(__xludf.DUMMYFUNCTION("""COMPUTED_VALUE"""),18801280)</f>
        <v>18801280</v>
      </c>
    </row>
    <row r="726" spans="1:6" x14ac:dyDescent="0.35">
      <c r="A726" s="2">
        <f ca="1">IFERROR(__xludf.DUMMYFUNCTION("""COMPUTED_VALUE"""),43054.6666666666)</f>
        <v>43054.666666666599</v>
      </c>
      <c r="B726" s="1">
        <f ca="1">IFERROR(__xludf.DUMMYFUNCTION("""COMPUTED_VALUE"""),83.47)</f>
        <v>83.47</v>
      </c>
      <c r="C726" s="1">
        <f ca="1">IFERROR(__xludf.DUMMYFUNCTION("""COMPUTED_VALUE"""),83.69)</f>
        <v>83.69</v>
      </c>
      <c r="D726" s="1">
        <f ca="1">IFERROR(__xludf.DUMMYFUNCTION("""COMPUTED_VALUE"""),82.69)</f>
        <v>82.69</v>
      </c>
      <c r="E726" s="1">
        <f ca="1">IFERROR(__xludf.DUMMYFUNCTION("""COMPUTED_VALUE"""),82.98)</f>
        <v>82.98</v>
      </c>
      <c r="F726" s="1">
        <f ca="1">IFERROR(__xludf.DUMMYFUNCTION("""COMPUTED_VALUE"""),19383102)</f>
        <v>19383102</v>
      </c>
    </row>
    <row r="727" spans="1:6" x14ac:dyDescent="0.35">
      <c r="A727" s="2">
        <f ca="1">IFERROR(__xludf.DUMMYFUNCTION("""COMPUTED_VALUE"""),43055.6666666666)</f>
        <v>43055.666666666599</v>
      </c>
      <c r="B727" s="1">
        <f ca="1">IFERROR(__xludf.DUMMYFUNCTION("""COMPUTED_VALUE"""),83.1)</f>
        <v>83.1</v>
      </c>
      <c r="C727" s="1">
        <f ca="1">IFERROR(__xludf.DUMMYFUNCTION("""COMPUTED_VALUE"""),83.42)</f>
        <v>83.42</v>
      </c>
      <c r="D727" s="1">
        <f ca="1">IFERROR(__xludf.DUMMYFUNCTION("""COMPUTED_VALUE"""),82.94)</f>
        <v>82.94</v>
      </c>
      <c r="E727" s="1">
        <f ca="1">IFERROR(__xludf.DUMMYFUNCTION("""COMPUTED_VALUE"""),83.2)</f>
        <v>83.2</v>
      </c>
      <c r="F727" s="1">
        <f ca="1">IFERROR(__xludf.DUMMYFUNCTION("""COMPUTED_VALUE"""),20962750)</f>
        <v>20962750</v>
      </c>
    </row>
    <row r="728" spans="1:6" x14ac:dyDescent="0.35">
      <c r="A728" s="2">
        <f ca="1">IFERROR(__xludf.DUMMYFUNCTION("""COMPUTED_VALUE"""),43056.6666666666)</f>
        <v>43056.666666666599</v>
      </c>
      <c r="B728" s="1">
        <f ca="1">IFERROR(__xludf.DUMMYFUNCTION("""COMPUTED_VALUE"""),83.12)</f>
        <v>83.12</v>
      </c>
      <c r="C728" s="1">
        <f ca="1">IFERROR(__xludf.DUMMYFUNCTION("""COMPUTED_VALUE"""),83.12)</f>
        <v>83.12</v>
      </c>
      <c r="D728" s="1">
        <f ca="1">IFERROR(__xludf.DUMMYFUNCTION("""COMPUTED_VALUE"""),82.24)</f>
        <v>82.24</v>
      </c>
      <c r="E728" s="1">
        <f ca="1">IFERROR(__xludf.DUMMYFUNCTION("""COMPUTED_VALUE"""),82.4)</f>
        <v>82.4</v>
      </c>
      <c r="F728" s="1">
        <f ca="1">IFERROR(__xludf.DUMMYFUNCTION("""COMPUTED_VALUE"""),22078993)</f>
        <v>22078993</v>
      </c>
    </row>
    <row r="729" spans="1:6" x14ac:dyDescent="0.35">
      <c r="A729" s="2">
        <f ca="1">IFERROR(__xludf.DUMMYFUNCTION("""COMPUTED_VALUE"""),43059.6666666666)</f>
        <v>43059.666666666599</v>
      </c>
      <c r="B729" s="1">
        <f ca="1">IFERROR(__xludf.DUMMYFUNCTION("""COMPUTED_VALUE"""),82.4)</f>
        <v>82.4</v>
      </c>
      <c r="C729" s="1">
        <f ca="1">IFERROR(__xludf.DUMMYFUNCTION("""COMPUTED_VALUE"""),82.59)</f>
        <v>82.59</v>
      </c>
      <c r="D729" s="1">
        <f ca="1">IFERROR(__xludf.DUMMYFUNCTION("""COMPUTED_VALUE"""),82.25)</f>
        <v>82.25</v>
      </c>
      <c r="E729" s="1">
        <f ca="1">IFERROR(__xludf.DUMMYFUNCTION("""COMPUTED_VALUE"""),82.53)</f>
        <v>82.53</v>
      </c>
      <c r="F729" s="1">
        <f ca="1">IFERROR(__xludf.DUMMYFUNCTION("""COMPUTED_VALUE"""),16314978)</f>
        <v>16314978</v>
      </c>
    </row>
    <row r="730" spans="1:6" x14ac:dyDescent="0.35">
      <c r="A730" s="2">
        <f ca="1">IFERROR(__xludf.DUMMYFUNCTION("""COMPUTED_VALUE"""),43060.6666666666)</f>
        <v>43060.666666666599</v>
      </c>
      <c r="B730" s="1">
        <f ca="1">IFERROR(__xludf.DUMMYFUNCTION("""COMPUTED_VALUE"""),82.74)</f>
        <v>82.74</v>
      </c>
      <c r="C730" s="1">
        <f ca="1">IFERROR(__xludf.DUMMYFUNCTION("""COMPUTED_VALUE"""),83.84)</f>
        <v>83.84</v>
      </c>
      <c r="D730" s="1">
        <f ca="1">IFERROR(__xludf.DUMMYFUNCTION("""COMPUTED_VALUE"""),82.74)</f>
        <v>82.74</v>
      </c>
      <c r="E730" s="1">
        <f ca="1">IFERROR(__xludf.DUMMYFUNCTION("""COMPUTED_VALUE"""),83.72)</f>
        <v>83.72</v>
      </c>
      <c r="F730" s="1">
        <f ca="1">IFERROR(__xludf.DUMMYFUNCTION("""COMPUTED_VALUE"""),21237454)</f>
        <v>21237454</v>
      </c>
    </row>
    <row r="731" spans="1:6" x14ac:dyDescent="0.35">
      <c r="A731" s="2">
        <f ca="1">IFERROR(__xludf.DUMMYFUNCTION("""COMPUTED_VALUE"""),43061.6666666666)</f>
        <v>43061.666666666599</v>
      </c>
      <c r="B731" s="1">
        <f ca="1">IFERROR(__xludf.DUMMYFUNCTION("""COMPUTED_VALUE"""),83.83)</f>
        <v>83.83</v>
      </c>
      <c r="C731" s="1">
        <f ca="1">IFERROR(__xludf.DUMMYFUNCTION("""COMPUTED_VALUE"""),83.9)</f>
        <v>83.9</v>
      </c>
      <c r="D731" s="1">
        <f ca="1">IFERROR(__xludf.DUMMYFUNCTION("""COMPUTED_VALUE"""),83.04)</f>
        <v>83.04</v>
      </c>
      <c r="E731" s="1">
        <f ca="1">IFERROR(__xludf.DUMMYFUNCTION("""COMPUTED_VALUE"""),83.11)</f>
        <v>83.11</v>
      </c>
      <c r="F731" s="1">
        <f ca="1">IFERROR(__xludf.DUMMYFUNCTION("""COMPUTED_VALUE"""),20553089)</f>
        <v>20553089</v>
      </c>
    </row>
    <row r="732" spans="1:6" x14ac:dyDescent="0.35">
      <c r="A732" s="2">
        <f ca="1">IFERROR(__xludf.DUMMYFUNCTION("""COMPUTED_VALUE"""),43063.5416666666)</f>
        <v>43063.541666666599</v>
      </c>
      <c r="B732" s="1">
        <f ca="1">IFERROR(__xludf.DUMMYFUNCTION("""COMPUTED_VALUE"""),83.01)</f>
        <v>83.01</v>
      </c>
      <c r="C732" s="1">
        <f ca="1">IFERROR(__xludf.DUMMYFUNCTION("""COMPUTED_VALUE"""),83.43)</f>
        <v>83.43</v>
      </c>
      <c r="D732" s="1">
        <f ca="1">IFERROR(__xludf.DUMMYFUNCTION("""COMPUTED_VALUE"""),82.78)</f>
        <v>82.78</v>
      </c>
      <c r="E732" s="1">
        <f ca="1">IFERROR(__xludf.DUMMYFUNCTION("""COMPUTED_VALUE"""),83.26)</f>
        <v>83.26</v>
      </c>
      <c r="F732" s="1">
        <f ca="1">IFERROR(__xludf.DUMMYFUNCTION("""COMPUTED_VALUE"""),7425603)</f>
        <v>7425603</v>
      </c>
    </row>
    <row r="733" spans="1:6" x14ac:dyDescent="0.35">
      <c r="A733" s="2">
        <f ca="1">IFERROR(__xludf.DUMMYFUNCTION("""COMPUTED_VALUE"""),43066.6666666666)</f>
        <v>43066.666666666599</v>
      </c>
      <c r="B733" s="1">
        <f ca="1">IFERROR(__xludf.DUMMYFUNCTION("""COMPUTED_VALUE"""),83.31)</f>
        <v>83.31</v>
      </c>
      <c r="C733" s="1">
        <f ca="1">IFERROR(__xludf.DUMMYFUNCTION("""COMPUTED_VALUE"""),83.98)</f>
        <v>83.98</v>
      </c>
      <c r="D733" s="1">
        <f ca="1">IFERROR(__xludf.DUMMYFUNCTION("""COMPUTED_VALUE"""),83.3)</f>
        <v>83.3</v>
      </c>
      <c r="E733" s="1">
        <f ca="1">IFERROR(__xludf.DUMMYFUNCTION("""COMPUTED_VALUE"""),83.87)</f>
        <v>83.87</v>
      </c>
      <c r="F733" s="1">
        <f ca="1">IFERROR(__xludf.DUMMYFUNCTION("""COMPUTED_VALUE"""),18265242)</f>
        <v>18265242</v>
      </c>
    </row>
    <row r="734" spans="1:6" x14ac:dyDescent="0.35">
      <c r="A734" s="2">
        <f ca="1">IFERROR(__xludf.DUMMYFUNCTION("""COMPUTED_VALUE"""),43067.6666666666)</f>
        <v>43067.666666666599</v>
      </c>
      <c r="B734" s="1">
        <f ca="1">IFERROR(__xludf.DUMMYFUNCTION("""COMPUTED_VALUE"""),84.07)</f>
        <v>84.07</v>
      </c>
      <c r="C734" s="1">
        <f ca="1">IFERROR(__xludf.DUMMYFUNCTION("""COMPUTED_VALUE"""),85.06)</f>
        <v>85.06</v>
      </c>
      <c r="D734" s="1">
        <f ca="1">IFERROR(__xludf.DUMMYFUNCTION("""COMPUTED_VALUE"""),84.02)</f>
        <v>84.02</v>
      </c>
      <c r="E734" s="1">
        <f ca="1">IFERROR(__xludf.DUMMYFUNCTION("""COMPUTED_VALUE"""),84.88)</f>
        <v>84.88</v>
      </c>
      <c r="F734" s="1">
        <f ca="1">IFERROR(__xludf.DUMMYFUNCTION("""COMPUTED_VALUE"""),21925959)</f>
        <v>21925959</v>
      </c>
    </row>
    <row r="735" spans="1:6" x14ac:dyDescent="0.35">
      <c r="A735" s="2">
        <f ca="1">IFERROR(__xludf.DUMMYFUNCTION("""COMPUTED_VALUE"""),43068.6666666666)</f>
        <v>43068.666666666599</v>
      </c>
      <c r="B735" s="1">
        <f ca="1">IFERROR(__xludf.DUMMYFUNCTION("""COMPUTED_VALUE"""),84.71)</f>
        <v>84.71</v>
      </c>
      <c r="C735" s="1">
        <f ca="1">IFERROR(__xludf.DUMMYFUNCTION("""COMPUTED_VALUE"""),84.92)</f>
        <v>84.92</v>
      </c>
      <c r="D735" s="1">
        <f ca="1">IFERROR(__xludf.DUMMYFUNCTION("""COMPUTED_VALUE"""),83.18)</f>
        <v>83.18</v>
      </c>
      <c r="E735" s="1">
        <f ca="1">IFERROR(__xludf.DUMMYFUNCTION("""COMPUTED_VALUE"""),83.34)</f>
        <v>83.34</v>
      </c>
      <c r="F735" s="1">
        <f ca="1">IFERROR(__xludf.DUMMYFUNCTION("""COMPUTED_VALUE"""),27381109)</f>
        <v>27381109</v>
      </c>
    </row>
    <row r="736" spans="1:6" x14ac:dyDescent="0.35">
      <c r="A736" s="2">
        <f ca="1">IFERROR(__xludf.DUMMYFUNCTION("""COMPUTED_VALUE"""),43069.6666666666)</f>
        <v>43069.666666666599</v>
      </c>
      <c r="B736" s="1">
        <f ca="1">IFERROR(__xludf.DUMMYFUNCTION("""COMPUTED_VALUE"""),83.51)</f>
        <v>83.51</v>
      </c>
      <c r="C736" s="1">
        <f ca="1">IFERROR(__xludf.DUMMYFUNCTION("""COMPUTED_VALUE"""),84.52)</f>
        <v>84.52</v>
      </c>
      <c r="D736" s="1">
        <f ca="1">IFERROR(__xludf.DUMMYFUNCTION("""COMPUTED_VALUE"""),83.34)</f>
        <v>83.34</v>
      </c>
      <c r="E736" s="1">
        <f ca="1">IFERROR(__xludf.DUMMYFUNCTION("""COMPUTED_VALUE"""),84.17)</f>
        <v>84.17</v>
      </c>
      <c r="F736" s="1">
        <f ca="1">IFERROR(__xludf.DUMMYFUNCTION("""COMPUTED_VALUE"""),33054647)</f>
        <v>33054647</v>
      </c>
    </row>
    <row r="737" spans="1:6" x14ac:dyDescent="0.35">
      <c r="A737" s="2">
        <f ca="1">IFERROR(__xludf.DUMMYFUNCTION("""COMPUTED_VALUE"""),43070.6666666666)</f>
        <v>43070.666666666599</v>
      </c>
      <c r="B737" s="1">
        <f ca="1">IFERROR(__xludf.DUMMYFUNCTION("""COMPUTED_VALUE"""),83.6)</f>
        <v>83.6</v>
      </c>
      <c r="C737" s="1">
        <f ca="1">IFERROR(__xludf.DUMMYFUNCTION("""COMPUTED_VALUE"""),84.81)</f>
        <v>84.81</v>
      </c>
      <c r="D737" s="1">
        <f ca="1">IFERROR(__xludf.DUMMYFUNCTION("""COMPUTED_VALUE"""),83.22)</f>
        <v>83.22</v>
      </c>
      <c r="E737" s="1">
        <f ca="1">IFERROR(__xludf.DUMMYFUNCTION("""COMPUTED_VALUE"""),84.26)</f>
        <v>84.26</v>
      </c>
      <c r="F737" s="1">
        <f ca="1">IFERROR(__xludf.DUMMYFUNCTION("""COMPUTED_VALUE"""),29532132)</f>
        <v>29532132</v>
      </c>
    </row>
    <row r="738" spans="1:6" x14ac:dyDescent="0.35">
      <c r="A738" s="2">
        <f ca="1">IFERROR(__xludf.DUMMYFUNCTION("""COMPUTED_VALUE"""),43073.6666666666)</f>
        <v>43073.666666666599</v>
      </c>
      <c r="B738" s="1">
        <f ca="1">IFERROR(__xludf.DUMMYFUNCTION("""COMPUTED_VALUE"""),84.42)</f>
        <v>84.42</v>
      </c>
      <c r="C738" s="1">
        <f ca="1">IFERROR(__xludf.DUMMYFUNCTION("""COMPUTED_VALUE"""),84.43)</f>
        <v>84.43</v>
      </c>
      <c r="D738" s="1">
        <f ca="1">IFERROR(__xludf.DUMMYFUNCTION("""COMPUTED_VALUE"""),80.7)</f>
        <v>80.7</v>
      </c>
      <c r="E738" s="1">
        <f ca="1">IFERROR(__xludf.DUMMYFUNCTION("""COMPUTED_VALUE"""),81.08)</f>
        <v>81.08</v>
      </c>
      <c r="F738" s="1">
        <f ca="1">IFERROR(__xludf.DUMMYFUNCTION("""COMPUTED_VALUE"""),39094880)</f>
        <v>39094880</v>
      </c>
    </row>
    <row r="739" spans="1:6" x14ac:dyDescent="0.35">
      <c r="A739" s="2">
        <f ca="1">IFERROR(__xludf.DUMMYFUNCTION("""COMPUTED_VALUE"""),43074.6666666666)</f>
        <v>43074.666666666599</v>
      </c>
      <c r="B739" s="1">
        <f ca="1">IFERROR(__xludf.DUMMYFUNCTION("""COMPUTED_VALUE"""),81.34)</f>
        <v>81.34</v>
      </c>
      <c r="C739" s="1">
        <f ca="1">IFERROR(__xludf.DUMMYFUNCTION("""COMPUTED_VALUE"""),82.68)</f>
        <v>82.68</v>
      </c>
      <c r="D739" s="1">
        <f ca="1">IFERROR(__xludf.DUMMYFUNCTION("""COMPUTED_VALUE"""),80.98)</f>
        <v>80.98</v>
      </c>
      <c r="E739" s="1">
        <f ca="1">IFERROR(__xludf.DUMMYFUNCTION("""COMPUTED_VALUE"""),81.59)</f>
        <v>81.59</v>
      </c>
      <c r="F739" s="1">
        <f ca="1">IFERROR(__xludf.DUMMYFUNCTION("""COMPUTED_VALUE"""),26152261)</f>
        <v>26152261</v>
      </c>
    </row>
    <row r="740" spans="1:6" x14ac:dyDescent="0.35">
      <c r="A740" s="2">
        <f ca="1">IFERROR(__xludf.DUMMYFUNCTION("""COMPUTED_VALUE"""),43075.6666666666)</f>
        <v>43075.666666666599</v>
      </c>
      <c r="B740" s="1">
        <f ca="1">IFERROR(__xludf.DUMMYFUNCTION("""COMPUTED_VALUE"""),81.55)</f>
        <v>81.55</v>
      </c>
      <c r="C740" s="1">
        <f ca="1">IFERROR(__xludf.DUMMYFUNCTION("""COMPUTED_VALUE"""),83.14)</f>
        <v>83.14</v>
      </c>
      <c r="D740" s="1">
        <f ca="1">IFERROR(__xludf.DUMMYFUNCTION("""COMPUTED_VALUE"""),81.43)</f>
        <v>81.430000000000007</v>
      </c>
      <c r="E740" s="1">
        <f ca="1">IFERROR(__xludf.DUMMYFUNCTION("""COMPUTED_VALUE"""),82.78)</f>
        <v>82.78</v>
      </c>
      <c r="F740" s="1">
        <f ca="1">IFERROR(__xludf.DUMMYFUNCTION("""COMPUTED_VALUE"""),26162054)</f>
        <v>26162054</v>
      </c>
    </row>
    <row r="741" spans="1:6" x14ac:dyDescent="0.35">
      <c r="A741" s="2">
        <f ca="1">IFERROR(__xludf.DUMMYFUNCTION("""COMPUTED_VALUE"""),43076.6666666666)</f>
        <v>43076.666666666599</v>
      </c>
      <c r="B741" s="1">
        <f ca="1">IFERROR(__xludf.DUMMYFUNCTION("""COMPUTED_VALUE"""),82.54)</f>
        <v>82.54</v>
      </c>
      <c r="C741" s="1">
        <f ca="1">IFERROR(__xludf.DUMMYFUNCTION("""COMPUTED_VALUE"""),82.8)</f>
        <v>82.8</v>
      </c>
      <c r="D741" s="1">
        <f ca="1">IFERROR(__xludf.DUMMYFUNCTION("""COMPUTED_VALUE"""),82)</f>
        <v>82</v>
      </c>
      <c r="E741" s="1">
        <f ca="1">IFERROR(__xludf.DUMMYFUNCTION("""COMPUTED_VALUE"""),82.49)</f>
        <v>82.49</v>
      </c>
      <c r="F741" s="1">
        <f ca="1">IFERROR(__xludf.DUMMYFUNCTION("""COMPUTED_VALUE"""),23184547)</f>
        <v>23184547</v>
      </c>
    </row>
    <row r="742" spans="1:6" x14ac:dyDescent="0.35">
      <c r="A742" s="2">
        <f ca="1">IFERROR(__xludf.DUMMYFUNCTION("""COMPUTED_VALUE"""),43077.6666666666)</f>
        <v>43077.666666666599</v>
      </c>
      <c r="B742" s="1">
        <f ca="1">IFERROR(__xludf.DUMMYFUNCTION("""COMPUTED_VALUE"""),83.63)</f>
        <v>83.63</v>
      </c>
      <c r="C742" s="1">
        <f ca="1">IFERROR(__xludf.DUMMYFUNCTION("""COMPUTED_VALUE"""),84.58)</f>
        <v>84.58</v>
      </c>
      <c r="D742" s="1">
        <f ca="1">IFERROR(__xludf.DUMMYFUNCTION("""COMPUTED_VALUE"""),83.33)</f>
        <v>83.33</v>
      </c>
      <c r="E742" s="1">
        <f ca="1">IFERROR(__xludf.DUMMYFUNCTION("""COMPUTED_VALUE"""),84.16)</f>
        <v>84.16</v>
      </c>
      <c r="F742" s="1">
        <f ca="1">IFERROR(__xludf.DUMMYFUNCTION("""COMPUTED_VALUE"""),24489106)</f>
        <v>24489106</v>
      </c>
    </row>
    <row r="743" spans="1:6" x14ac:dyDescent="0.35">
      <c r="A743" s="2">
        <f ca="1">IFERROR(__xludf.DUMMYFUNCTION("""COMPUTED_VALUE"""),43080.6666666666)</f>
        <v>43080.666666666599</v>
      </c>
      <c r="B743" s="1">
        <f ca="1">IFERROR(__xludf.DUMMYFUNCTION("""COMPUTED_VALUE"""),84.29)</f>
        <v>84.29</v>
      </c>
      <c r="C743" s="1">
        <f ca="1">IFERROR(__xludf.DUMMYFUNCTION("""COMPUTED_VALUE"""),85.37)</f>
        <v>85.37</v>
      </c>
      <c r="D743" s="1">
        <f ca="1">IFERROR(__xludf.DUMMYFUNCTION("""COMPUTED_VALUE"""),84.12)</f>
        <v>84.12</v>
      </c>
      <c r="E743" s="1">
        <f ca="1">IFERROR(__xludf.DUMMYFUNCTION("""COMPUTED_VALUE"""),85.23)</f>
        <v>85.23</v>
      </c>
      <c r="F743" s="1">
        <f ca="1">IFERROR(__xludf.DUMMYFUNCTION("""COMPUTED_VALUE"""),22857854)</f>
        <v>22857854</v>
      </c>
    </row>
    <row r="744" spans="1:6" x14ac:dyDescent="0.35">
      <c r="A744" s="2">
        <f ca="1">IFERROR(__xludf.DUMMYFUNCTION("""COMPUTED_VALUE"""),43081.6666666666)</f>
        <v>43081.666666666599</v>
      </c>
      <c r="B744" s="1">
        <f ca="1">IFERROR(__xludf.DUMMYFUNCTION("""COMPUTED_VALUE"""),85.31)</f>
        <v>85.31</v>
      </c>
      <c r="C744" s="1">
        <f ca="1">IFERROR(__xludf.DUMMYFUNCTION("""COMPUTED_VALUE"""),86.05)</f>
        <v>86.05</v>
      </c>
      <c r="D744" s="1">
        <f ca="1">IFERROR(__xludf.DUMMYFUNCTION("""COMPUTED_VALUE"""),85.08)</f>
        <v>85.08</v>
      </c>
      <c r="E744" s="1">
        <f ca="1">IFERROR(__xludf.DUMMYFUNCTION("""COMPUTED_VALUE"""),85.58)</f>
        <v>85.58</v>
      </c>
      <c r="F744" s="1">
        <f ca="1">IFERROR(__xludf.DUMMYFUNCTION("""COMPUTED_VALUE"""),23924105)</f>
        <v>23924105</v>
      </c>
    </row>
    <row r="745" spans="1:6" x14ac:dyDescent="0.35">
      <c r="A745" s="2">
        <f ca="1">IFERROR(__xludf.DUMMYFUNCTION("""COMPUTED_VALUE"""),43082.6666666666)</f>
        <v>43082.666666666599</v>
      </c>
      <c r="B745" s="1">
        <f ca="1">IFERROR(__xludf.DUMMYFUNCTION("""COMPUTED_VALUE"""),85.74)</f>
        <v>85.74</v>
      </c>
      <c r="C745" s="1">
        <f ca="1">IFERROR(__xludf.DUMMYFUNCTION("""COMPUTED_VALUE"""),86)</f>
        <v>86</v>
      </c>
      <c r="D745" s="1">
        <f ca="1">IFERROR(__xludf.DUMMYFUNCTION("""COMPUTED_VALUE"""),85.17)</f>
        <v>85.17</v>
      </c>
      <c r="E745" s="1">
        <f ca="1">IFERROR(__xludf.DUMMYFUNCTION("""COMPUTED_VALUE"""),85.35)</f>
        <v>85.35</v>
      </c>
      <c r="F745" s="1">
        <f ca="1">IFERROR(__xludf.DUMMYFUNCTION("""COMPUTED_VALUE"""),22062679)</f>
        <v>22062679</v>
      </c>
    </row>
    <row r="746" spans="1:6" x14ac:dyDescent="0.35">
      <c r="A746" s="2">
        <f ca="1">IFERROR(__xludf.DUMMYFUNCTION("""COMPUTED_VALUE"""),43083.6666666666)</f>
        <v>43083.666666666599</v>
      </c>
      <c r="B746" s="1">
        <f ca="1">IFERROR(__xludf.DUMMYFUNCTION("""COMPUTED_VALUE"""),85.43)</f>
        <v>85.43</v>
      </c>
      <c r="C746" s="1">
        <f ca="1">IFERROR(__xludf.DUMMYFUNCTION("""COMPUTED_VALUE"""),85.87)</f>
        <v>85.87</v>
      </c>
      <c r="D746" s="1">
        <f ca="1">IFERROR(__xludf.DUMMYFUNCTION("""COMPUTED_VALUE"""),84.53)</f>
        <v>84.53</v>
      </c>
      <c r="E746" s="1">
        <f ca="1">IFERROR(__xludf.DUMMYFUNCTION("""COMPUTED_VALUE"""),84.69)</f>
        <v>84.69</v>
      </c>
      <c r="F746" s="1">
        <f ca="1">IFERROR(__xludf.DUMMYFUNCTION("""COMPUTED_VALUE"""),19305961)</f>
        <v>19305961</v>
      </c>
    </row>
    <row r="747" spans="1:6" x14ac:dyDescent="0.35">
      <c r="A747" s="2">
        <f ca="1">IFERROR(__xludf.DUMMYFUNCTION("""COMPUTED_VALUE"""),43084.6666666666)</f>
        <v>43084.666666666599</v>
      </c>
      <c r="B747" s="1">
        <f ca="1">IFERROR(__xludf.DUMMYFUNCTION("""COMPUTED_VALUE"""),85.26)</f>
        <v>85.26</v>
      </c>
      <c r="C747" s="1">
        <f ca="1">IFERROR(__xludf.DUMMYFUNCTION("""COMPUTED_VALUE"""),87.09)</f>
        <v>87.09</v>
      </c>
      <c r="D747" s="1">
        <f ca="1">IFERROR(__xludf.DUMMYFUNCTION("""COMPUTED_VALUE"""),84.88)</f>
        <v>84.88</v>
      </c>
      <c r="E747" s="1">
        <f ca="1">IFERROR(__xludf.DUMMYFUNCTION("""COMPUTED_VALUE"""),86.85)</f>
        <v>86.85</v>
      </c>
      <c r="F747" s="1">
        <f ca="1">IFERROR(__xludf.DUMMYFUNCTION("""COMPUTED_VALUE"""),53936687)</f>
        <v>53936687</v>
      </c>
    </row>
    <row r="748" spans="1:6" x14ac:dyDescent="0.35">
      <c r="A748" s="2">
        <f ca="1">IFERROR(__xludf.DUMMYFUNCTION("""COMPUTED_VALUE"""),43087.6666666666)</f>
        <v>43087.666666666599</v>
      </c>
      <c r="B748" s="1">
        <f ca="1">IFERROR(__xludf.DUMMYFUNCTION("""COMPUTED_VALUE"""),87.12)</f>
        <v>87.12</v>
      </c>
      <c r="C748" s="1">
        <f ca="1">IFERROR(__xludf.DUMMYFUNCTION("""COMPUTED_VALUE"""),87.5)</f>
        <v>87.5</v>
      </c>
      <c r="D748" s="1">
        <f ca="1">IFERROR(__xludf.DUMMYFUNCTION("""COMPUTED_VALUE"""),86.23)</f>
        <v>86.23</v>
      </c>
      <c r="E748" s="1">
        <f ca="1">IFERROR(__xludf.DUMMYFUNCTION("""COMPUTED_VALUE"""),86.38)</f>
        <v>86.38</v>
      </c>
      <c r="F748" s="1">
        <f ca="1">IFERROR(__xludf.DUMMYFUNCTION("""COMPUTED_VALUE"""),22283752)</f>
        <v>22283752</v>
      </c>
    </row>
    <row r="749" spans="1:6" x14ac:dyDescent="0.35">
      <c r="A749" s="2">
        <f ca="1">IFERROR(__xludf.DUMMYFUNCTION("""COMPUTED_VALUE"""),43088.6666666666)</f>
        <v>43088.666666666599</v>
      </c>
      <c r="B749" s="1">
        <f ca="1">IFERROR(__xludf.DUMMYFUNCTION("""COMPUTED_VALUE"""),86.35)</f>
        <v>86.35</v>
      </c>
      <c r="C749" s="1">
        <f ca="1">IFERROR(__xludf.DUMMYFUNCTION("""COMPUTED_VALUE"""),86.35)</f>
        <v>86.35</v>
      </c>
      <c r="D749" s="1">
        <f ca="1">IFERROR(__xludf.DUMMYFUNCTION("""COMPUTED_VALUE"""),85.27)</f>
        <v>85.27</v>
      </c>
      <c r="E749" s="1">
        <f ca="1">IFERROR(__xludf.DUMMYFUNCTION("""COMPUTED_VALUE"""),85.83)</f>
        <v>85.83</v>
      </c>
      <c r="F749" s="1">
        <f ca="1">IFERROR(__xludf.DUMMYFUNCTION("""COMPUTED_VALUE"""),23524787)</f>
        <v>23524787</v>
      </c>
    </row>
    <row r="750" spans="1:6" x14ac:dyDescent="0.35">
      <c r="A750" s="2">
        <f ca="1">IFERROR(__xludf.DUMMYFUNCTION("""COMPUTED_VALUE"""),43089.6666666666)</f>
        <v>43089.666666666599</v>
      </c>
      <c r="B750" s="1">
        <f ca="1">IFERROR(__xludf.DUMMYFUNCTION("""COMPUTED_VALUE"""),86.2)</f>
        <v>86.2</v>
      </c>
      <c r="C750" s="1">
        <f ca="1">IFERROR(__xludf.DUMMYFUNCTION("""COMPUTED_VALUE"""),86.3)</f>
        <v>86.3</v>
      </c>
      <c r="D750" s="1">
        <f ca="1">IFERROR(__xludf.DUMMYFUNCTION("""COMPUTED_VALUE"""),84.71)</f>
        <v>84.71</v>
      </c>
      <c r="E750" s="1">
        <f ca="1">IFERROR(__xludf.DUMMYFUNCTION("""COMPUTED_VALUE"""),85.52)</f>
        <v>85.52</v>
      </c>
      <c r="F750" s="1">
        <f ca="1">IFERROR(__xludf.DUMMYFUNCTION("""COMPUTED_VALUE"""),23674931)</f>
        <v>23674931</v>
      </c>
    </row>
    <row r="751" spans="1:6" x14ac:dyDescent="0.35">
      <c r="A751" s="2">
        <f ca="1">IFERROR(__xludf.DUMMYFUNCTION("""COMPUTED_VALUE"""),43090.6666666666)</f>
        <v>43090.666666666599</v>
      </c>
      <c r="B751" s="1">
        <f ca="1">IFERROR(__xludf.DUMMYFUNCTION("""COMPUTED_VALUE"""),86.05)</f>
        <v>86.05</v>
      </c>
      <c r="C751" s="1">
        <f ca="1">IFERROR(__xludf.DUMMYFUNCTION("""COMPUTED_VALUE"""),86.1)</f>
        <v>86.1</v>
      </c>
      <c r="D751" s="1">
        <f ca="1">IFERROR(__xludf.DUMMYFUNCTION("""COMPUTED_VALUE"""),85.4)</f>
        <v>85.4</v>
      </c>
      <c r="E751" s="1">
        <f ca="1">IFERROR(__xludf.DUMMYFUNCTION("""COMPUTED_VALUE"""),85.5)</f>
        <v>85.5</v>
      </c>
      <c r="F751" s="1">
        <f ca="1">IFERROR(__xludf.DUMMYFUNCTION("""COMPUTED_VALUE"""),17990745)</f>
        <v>17990745</v>
      </c>
    </row>
    <row r="752" spans="1:6" x14ac:dyDescent="0.35">
      <c r="A752" s="2">
        <f ca="1">IFERROR(__xludf.DUMMYFUNCTION("""COMPUTED_VALUE"""),43091.6666666666)</f>
        <v>43091.666666666599</v>
      </c>
      <c r="B752" s="1">
        <f ca="1">IFERROR(__xludf.DUMMYFUNCTION("""COMPUTED_VALUE"""),85.4)</f>
        <v>85.4</v>
      </c>
      <c r="C752" s="1">
        <f ca="1">IFERROR(__xludf.DUMMYFUNCTION("""COMPUTED_VALUE"""),85.63)</f>
        <v>85.63</v>
      </c>
      <c r="D752" s="1">
        <f ca="1">IFERROR(__xludf.DUMMYFUNCTION("""COMPUTED_VALUE"""),84.92)</f>
        <v>84.92</v>
      </c>
      <c r="E752" s="1">
        <f ca="1">IFERROR(__xludf.DUMMYFUNCTION("""COMPUTED_VALUE"""),85.51)</f>
        <v>85.51</v>
      </c>
      <c r="F752" s="1">
        <f ca="1">IFERROR(__xludf.DUMMYFUNCTION("""COMPUTED_VALUE"""),14145841)</f>
        <v>14145841</v>
      </c>
    </row>
    <row r="753" spans="1:6" x14ac:dyDescent="0.35">
      <c r="A753" s="2">
        <f ca="1">IFERROR(__xludf.DUMMYFUNCTION("""COMPUTED_VALUE"""),43095.6666666666)</f>
        <v>43095.666666666599</v>
      </c>
      <c r="B753" s="1">
        <f ca="1">IFERROR(__xludf.DUMMYFUNCTION("""COMPUTED_VALUE"""),85.31)</f>
        <v>85.31</v>
      </c>
      <c r="C753" s="1">
        <f ca="1">IFERROR(__xludf.DUMMYFUNCTION("""COMPUTED_VALUE"""),85.53)</f>
        <v>85.53</v>
      </c>
      <c r="D753" s="1">
        <f ca="1">IFERROR(__xludf.DUMMYFUNCTION("""COMPUTED_VALUE"""),85.03)</f>
        <v>85.03</v>
      </c>
      <c r="E753" s="1">
        <f ca="1">IFERROR(__xludf.DUMMYFUNCTION("""COMPUTED_VALUE"""),85.4)</f>
        <v>85.4</v>
      </c>
      <c r="F753" s="1">
        <f ca="1">IFERROR(__xludf.DUMMYFUNCTION("""COMPUTED_VALUE"""),9891237)</f>
        <v>9891237</v>
      </c>
    </row>
    <row r="754" spans="1:6" x14ac:dyDescent="0.35">
      <c r="A754" s="2">
        <f ca="1">IFERROR(__xludf.DUMMYFUNCTION("""COMPUTED_VALUE"""),43096.6666666666)</f>
        <v>43096.666666666599</v>
      </c>
      <c r="B754" s="1">
        <f ca="1">IFERROR(__xludf.DUMMYFUNCTION("""COMPUTED_VALUE"""),85.65)</f>
        <v>85.65</v>
      </c>
      <c r="C754" s="1">
        <f ca="1">IFERROR(__xludf.DUMMYFUNCTION("""COMPUTED_VALUE"""),85.98)</f>
        <v>85.98</v>
      </c>
      <c r="D754" s="1">
        <f ca="1">IFERROR(__xludf.DUMMYFUNCTION("""COMPUTED_VALUE"""),85.22)</f>
        <v>85.22</v>
      </c>
      <c r="E754" s="1">
        <f ca="1">IFERROR(__xludf.DUMMYFUNCTION("""COMPUTED_VALUE"""),85.71)</f>
        <v>85.71</v>
      </c>
      <c r="F754" s="1">
        <f ca="1">IFERROR(__xludf.DUMMYFUNCTION("""COMPUTED_VALUE"""),14678025)</f>
        <v>14678025</v>
      </c>
    </row>
    <row r="755" spans="1:6" x14ac:dyDescent="0.35">
      <c r="A755" s="2">
        <f ca="1">IFERROR(__xludf.DUMMYFUNCTION("""COMPUTED_VALUE"""),43097.6666666666)</f>
        <v>43097.666666666599</v>
      </c>
      <c r="B755" s="1">
        <f ca="1">IFERROR(__xludf.DUMMYFUNCTION("""COMPUTED_VALUE"""),85.9)</f>
        <v>85.9</v>
      </c>
      <c r="C755" s="1">
        <f ca="1">IFERROR(__xludf.DUMMYFUNCTION("""COMPUTED_VALUE"""),85.93)</f>
        <v>85.93</v>
      </c>
      <c r="D755" s="1">
        <f ca="1">IFERROR(__xludf.DUMMYFUNCTION("""COMPUTED_VALUE"""),85.55)</f>
        <v>85.55</v>
      </c>
      <c r="E755" s="1">
        <f ca="1">IFERROR(__xludf.DUMMYFUNCTION("""COMPUTED_VALUE"""),85.72)</f>
        <v>85.72</v>
      </c>
      <c r="F755" s="1">
        <f ca="1">IFERROR(__xludf.DUMMYFUNCTION("""COMPUTED_VALUE"""),10594344)</f>
        <v>10594344</v>
      </c>
    </row>
    <row r="756" spans="1:6" x14ac:dyDescent="0.35">
      <c r="A756" s="2">
        <f ca="1">IFERROR(__xludf.DUMMYFUNCTION("""COMPUTED_VALUE"""),43098.6666666666)</f>
        <v>43098.666666666599</v>
      </c>
      <c r="B756" s="1">
        <f ca="1">IFERROR(__xludf.DUMMYFUNCTION("""COMPUTED_VALUE"""),85.63)</f>
        <v>85.63</v>
      </c>
      <c r="C756" s="1">
        <f ca="1">IFERROR(__xludf.DUMMYFUNCTION("""COMPUTED_VALUE"""),86.05)</f>
        <v>86.05</v>
      </c>
      <c r="D756" s="1">
        <f ca="1">IFERROR(__xludf.DUMMYFUNCTION("""COMPUTED_VALUE"""),85.5)</f>
        <v>85.5</v>
      </c>
      <c r="E756" s="1">
        <f ca="1">IFERROR(__xludf.DUMMYFUNCTION("""COMPUTED_VALUE"""),85.54)</f>
        <v>85.54</v>
      </c>
      <c r="F756" s="1">
        <f ca="1">IFERROR(__xludf.DUMMYFUNCTION("""COMPUTED_VALUE"""),18717406)</f>
        <v>18717406</v>
      </c>
    </row>
    <row r="757" spans="1:6" x14ac:dyDescent="0.35">
      <c r="A757" s="2">
        <f ca="1">IFERROR(__xludf.DUMMYFUNCTION("""COMPUTED_VALUE"""),43102.6666666666)</f>
        <v>43102.666666666599</v>
      </c>
      <c r="B757" s="1">
        <f ca="1">IFERROR(__xludf.DUMMYFUNCTION("""COMPUTED_VALUE"""),86.13)</f>
        <v>86.13</v>
      </c>
      <c r="C757" s="1">
        <f ca="1">IFERROR(__xludf.DUMMYFUNCTION("""COMPUTED_VALUE"""),86.31)</f>
        <v>86.31</v>
      </c>
      <c r="D757" s="1">
        <f ca="1">IFERROR(__xludf.DUMMYFUNCTION("""COMPUTED_VALUE"""),85.5)</f>
        <v>85.5</v>
      </c>
      <c r="E757" s="1">
        <f ca="1">IFERROR(__xludf.DUMMYFUNCTION("""COMPUTED_VALUE"""),85.95)</f>
        <v>85.95</v>
      </c>
      <c r="F757" s="1">
        <f ca="1">IFERROR(__xludf.DUMMYFUNCTION("""COMPUTED_VALUE"""),22483797)</f>
        <v>22483797</v>
      </c>
    </row>
    <row r="758" spans="1:6" x14ac:dyDescent="0.35">
      <c r="A758" s="2">
        <f ca="1">IFERROR(__xludf.DUMMYFUNCTION("""COMPUTED_VALUE"""),43103.6666666666)</f>
        <v>43103.666666666599</v>
      </c>
      <c r="B758" s="1">
        <f ca="1">IFERROR(__xludf.DUMMYFUNCTION("""COMPUTED_VALUE"""),86.06)</f>
        <v>86.06</v>
      </c>
      <c r="C758" s="1">
        <f ca="1">IFERROR(__xludf.DUMMYFUNCTION("""COMPUTED_VALUE"""),86.51)</f>
        <v>86.51</v>
      </c>
      <c r="D758" s="1">
        <f ca="1">IFERROR(__xludf.DUMMYFUNCTION("""COMPUTED_VALUE"""),85.97)</f>
        <v>85.97</v>
      </c>
      <c r="E758" s="1">
        <f ca="1">IFERROR(__xludf.DUMMYFUNCTION("""COMPUTED_VALUE"""),86.35)</f>
        <v>86.35</v>
      </c>
      <c r="F758" s="1">
        <f ca="1">IFERROR(__xludf.DUMMYFUNCTION("""COMPUTED_VALUE"""),26061439)</f>
        <v>26061439</v>
      </c>
    </row>
    <row r="759" spans="1:6" x14ac:dyDescent="0.35">
      <c r="A759" s="2">
        <f ca="1">IFERROR(__xludf.DUMMYFUNCTION("""COMPUTED_VALUE"""),43104.6666666666)</f>
        <v>43104.666666666599</v>
      </c>
      <c r="B759" s="1">
        <f ca="1">IFERROR(__xludf.DUMMYFUNCTION("""COMPUTED_VALUE"""),86.59)</f>
        <v>86.59</v>
      </c>
      <c r="C759" s="1">
        <f ca="1">IFERROR(__xludf.DUMMYFUNCTION("""COMPUTED_VALUE"""),87.66)</f>
        <v>87.66</v>
      </c>
      <c r="D759" s="1">
        <f ca="1">IFERROR(__xludf.DUMMYFUNCTION("""COMPUTED_VALUE"""),86.57)</f>
        <v>86.57</v>
      </c>
      <c r="E759" s="1">
        <f ca="1">IFERROR(__xludf.DUMMYFUNCTION("""COMPUTED_VALUE"""),87.11)</f>
        <v>87.11</v>
      </c>
      <c r="F759" s="1">
        <f ca="1">IFERROR(__xludf.DUMMYFUNCTION("""COMPUTED_VALUE"""),21911974)</f>
        <v>21911974</v>
      </c>
    </row>
    <row r="760" spans="1:6" x14ac:dyDescent="0.35">
      <c r="A760" s="2">
        <f ca="1">IFERROR(__xludf.DUMMYFUNCTION("""COMPUTED_VALUE"""),43105.6666666666)</f>
        <v>43105.666666666599</v>
      </c>
      <c r="B760" s="1">
        <f ca="1">IFERROR(__xludf.DUMMYFUNCTION("""COMPUTED_VALUE"""),87.66)</f>
        <v>87.66</v>
      </c>
      <c r="C760" s="1">
        <f ca="1">IFERROR(__xludf.DUMMYFUNCTION("""COMPUTED_VALUE"""),88.41)</f>
        <v>88.41</v>
      </c>
      <c r="D760" s="1">
        <f ca="1">IFERROR(__xludf.DUMMYFUNCTION("""COMPUTED_VALUE"""),87.43)</f>
        <v>87.43</v>
      </c>
      <c r="E760" s="1">
        <f ca="1">IFERROR(__xludf.DUMMYFUNCTION("""COMPUTED_VALUE"""),88.19)</f>
        <v>88.19</v>
      </c>
      <c r="F760" s="1">
        <f ca="1">IFERROR(__xludf.DUMMYFUNCTION("""COMPUTED_VALUE"""),23407110)</f>
        <v>23407110</v>
      </c>
    </row>
    <row r="761" spans="1:6" x14ac:dyDescent="0.35">
      <c r="A761" s="2">
        <f ca="1">IFERROR(__xludf.DUMMYFUNCTION("""COMPUTED_VALUE"""),43108.6666666666)</f>
        <v>43108.666666666599</v>
      </c>
      <c r="B761" s="1">
        <f ca="1">IFERROR(__xludf.DUMMYFUNCTION("""COMPUTED_VALUE"""),88.2)</f>
        <v>88.2</v>
      </c>
      <c r="C761" s="1">
        <f ca="1">IFERROR(__xludf.DUMMYFUNCTION("""COMPUTED_VALUE"""),88.58)</f>
        <v>88.58</v>
      </c>
      <c r="D761" s="1">
        <f ca="1">IFERROR(__xludf.DUMMYFUNCTION("""COMPUTED_VALUE"""),87.6)</f>
        <v>87.6</v>
      </c>
      <c r="E761" s="1">
        <f ca="1">IFERROR(__xludf.DUMMYFUNCTION("""COMPUTED_VALUE"""),88.28)</f>
        <v>88.28</v>
      </c>
      <c r="F761" s="1">
        <f ca="1">IFERROR(__xludf.DUMMYFUNCTION("""COMPUTED_VALUE"""),22113049)</f>
        <v>22113049</v>
      </c>
    </row>
    <row r="762" spans="1:6" x14ac:dyDescent="0.35">
      <c r="A762" s="2">
        <f ca="1">IFERROR(__xludf.DUMMYFUNCTION("""COMPUTED_VALUE"""),43109.6666666666)</f>
        <v>43109.666666666599</v>
      </c>
      <c r="B762" s="1">
        <f ca="1">IFERROR(__xludf.DUMMYFUNCTION("""COMPUTED_VALUE"""),88.65)</f>
        <v>88.65</v>
      </c>
      <c r="C762" s="1">
        <f ca="1">IFERROR(__xludf.DUMMYFUNCTION("""COMPUTED_VALUE"""),88.73)</f>
        <v>88.73</v>
      </c>
      <c r="D762" s="1">
        <f ca="1">IFERROR(__xludf.DUMMYFUNCTION("""COMPUTED_VALUE"""),87.86)</f>
        <v>87.86</v>
      </c>
      <c r="E762" s="1">
        <f ca="1">IFERROR(__xludf.DUMMYFUNCTION("""COMPUTED_VALUE"""),88.22)</f>
        <v>88.22</v>
      </c>
      <c r="F762" s="1">
        <f ca="1">IFERROR(__xludf.DUMMYFUNCTION("""COMPUTED_VALUE"""),19484317)</f>
        <v>19484317</v>
      </c>
    </row>
    <row r="763" spans="1:6" x14ac:dyDescent="0.35">
      <c r="A763" s="2">
        <f ca="1">IFERROR(__xludf.DUMMYFUNCTION("""COMPUTED_VALUE"""),43110.6666666666)</f>
        <v>43110.666666666599</v>
      </c>
      <c r="B763" s="1">
        <f ca="1">IFERROR(__xludf.DUMMYFUNCTION("""COMPUTED_VALUE"""),87.86)</f>
        <v>87.86</v>
      </c>
      <c r="C763" s="1">
        <f ca="1">IFERROR(__xludf.DUMMYFUNCTION("""COMPUTED_VALUE"""),88.19)</f>
        <v>88.19</v>
      </c>
      <c r="D763" s="1">
        <f ca="1">IFERROR(__xludf.DUMMYFUNCTION("""COMPUTED_VALUE"""),87.41)</f>
        <v>87.41</v>
      </c>
      <c r="E763" s="1">
        <f ca="1">IFERROR(__xludf.DUMMYFUNCTION("""COMPUTED_VALUE"""),87.82)</f>
        <v>87.82</v>
      </c>
      <c r="F763" s="1">
        <f ca="1">IFERROR(__xludf.DUMMYFUNCTION("""COMPUTED_VALUE"""),18652201)</f>
        <v>18652201</v>
      </c>
    </row>
    <row r="764" spans="1:6" x14ac:dyDescent="0.35">
      <c r="A764" s="2">
        <f ca="1">IFERROR(__xludf.DUMMYFUNCTION("""COMPUTED_VALUE"""),43111.6666666666)</f>
        <v>43111.666666666599</v>
      </c>
      <c r="B764" s="1">
        <f ca="1">IFERROR(__xludf.DUMMYFUNCTION("""COMPUTED_VALUE"""),88.13)</f>
        <v>88.13</v>
      </c>
      <c r="C764" s="1">
        <f ca="1">IFERROR(__xludf.DUMMYFUNCTION("""COMPUTED_VALUE"""),88.13)</f>
        <v>88.13</v>
      </c>
      <c r="D764" s="1">
        <f ca="1">IFERROR(__xludf.DUMMYFUNCTION("""COMPUTED_VALUE"""),87.24)</f>
        <v>87.24</v>
      </c>
      <c r="E764" s="1">
        <f ca="1">IFERROR(__xludf.DUMMYFUNCTION("""COMPUTED_VALUE"""),88.08)</f>
        <v>88.08</v>
      </c>
      <c r="F764" s="1">
        <f ca="1">IFERROR(__xludf.DUMMYFUNCTION("""COMPUTED_VALUE"""),17808877)</f>
        <v>17808877</v>
      </c>
    </row>
    <row r="765" spans="1:6" x14ac:dyDescent="0.35">
      <c r="A765" s="2">
        <f ca="1">IFERROR(__xludf.DUMMYFUNCTION("""COMPUTED_VALUE"""),43112.6666666666)</f>
        <v>43112.666666666599</v>
      </c>
      <c r="B765" s="1">
        <f ca="1">IFERROR(__xludf.DUMMYFUNCTION("""COMPUTED_VALUE"""),88.67)</f>
        <v>88.67</v>
      </c>
      <c r="C765" s="1">
        <f ca="1">IFERROR(__xludf.DUMMYFUNCTION("""COMPUTED_VALUE"""),89.78)</f>
        <v>89.78</v>
      </c>
      <c r="D765" s="1">
        <f ca="1">IFERROR(__xludf.DUMMYFUNCTION("""COMPUTED_VALUE"""),88.45)</f>
        <v>88.45</v>
      </c>
      <c r="E765" s="1">
        <f ca="1">IFERROR(__xludf.DUMMYFUNCTION("""COMPUTED_VALUE"""),89.6)</f>
        <v>89.6</v>
      </c>
      <c r="F765" s="1">
        <f ca="1">IFERROR(__xludf.DUMMYFUNCTION("""COMPUTED_VALUE"""),24271531)</f>
        <v>24271531</v>
      </c>
    </row>
    <row r="766" spans="1:6" x14ac:dyDescent="0.35">
      <c r="A766" s="2">
        <f ca="1">IFERROR(__xludf.DUMMYFUNCTION("""COMPUTED_VALUE"""),43116.6666666666)</f>
        <v>43116.666666666599</v>
      </c>
      <c r="B766" s="1">
        <f ca="1">IFERROR(__xludf.DUMMYFUNCTION("""COMPUTED_VALUE"""),90.1)</f>
        <v>90.1</v>
      </c>
      <c r="C766" s="1">
        <f ca="1">IFERROR(__xludf.DUMMYFUNCTION("""COMPUTED_VALUE"""),90.79)</f>
        <v>90.79</v>
      </c>
      <c r="D766" s="1">
        <f ca="1">IFERROR(__xludf.DUMMYFUNCTION("""COMPUTED_VALUE"""),88.01)</f>
        <v>88.01</v>
      </c>
      <c r="E766" s="1">
        <f ca="1">IFERROR(__xludf.DUMMYFUNCTION("""COMPUTED_VALUE"""),88.35)</f>
        <v>88.35</v>
      </c>
      <c r="F766" s="1">
        <f ca="1">IFERROR(__xludf.DUMMYFUNCTION("""COMPUTED_VALUE"""),36599736)</f>
        <v>36599736</v>
      </c>
    </row>
    <row r="767" spans="1:6" x14ac:dyDescent="0.35">
      <c r="A767" s="2">
        <f ca="1">IFERROR(__xludf.DUMMYFUNCTION("""COMPUTED_VALUE"""),43117.6666666666)</f>
        <v>43117.666666666599</v>
      </c>
      <c r="B767" s="1">
        <f ca="1">IFERROR(__xludf.DUMMYFUNCTION("""COMPUTED_VALUE"""),89.08)</f>
        <v>89.08</v>
      </c>
      <c r="C767" s="1">
        <f ca="1">IFERROR(__xludf.DUMMYFUNCTION("""COMPUTED_VALUE"""),90.28)</f>
        <v>90.28</v>
      </c>
      <c r="D767" s="1">
        <f ca="1">IFERROR(__xludf.DUMMYFUNCTION("""COMPUTED_VALUE"""),88.75)</f>
        <v>88.75</v>
      </c>
      <c r="E767" s="1">
        <f ca="1">IFERROR(__xludf.DUMMYFUNCTION("""COMPUTED_VALUE"""),90.14)</f>
        <v>90.14</v>
      </c>
      <c r="F767" s="1">
        <f ca="1">IFERROR(__xludf.DUMMYFUNCTION("""COMPUTED_VALUE"""),25621164)</f>
        <v>25621164</v>
      </c>
    </row>
    <row r="768" spans="1:6" x14ac:dyDescent="0.35">
      <c r="A768" s="2">
        <f ca="1">IFERROR(__xludf.DUMMYFUNCTION("""COMPUTED_VALUE"""),43118.6666666666)</f>
        <v>43118.666666666599</v>
      </c>
      <c r="B768" s="1">
        <f ca="1">IFERROR(__xludf.DUMMYFUNCTION("""COMPUTED_VALUE"""),89.8)</f>
        <v>89.8</v>
      </c>
      <c r="C768" s="1">
        <f ca="1">IFERROR(__xludf.DUMMYFUNCTION("""COMPUTED_VALUE"""),90.67)</f>
        <v>90.67</v>
      </c>
      <c r="D768" s="1">
        <f ca="1">IFERROR(__xludf.DUMMYFUNCTION("""COMPUTED_VALUE"""),89.66)</f>
        <v>89.66</v>
      </c>
      <c r="E768" s="1">
        <f ca="1">IFERROR(__xludf.DUMMYFUNCTION("""COMPUTED_VALUE"""),90.1)</f>
        <v>90.1</v>
      </c>
      <c r="F768" s="1">
        <f ca="1">IFERROR(__xludf.DUMMYFUNCTION("""COMPUTED_VALUE"""),24159683)</f>
        <v>24159683</v>
      </c>
    </row>
    <row r="769" spans="1:6" x14ac:dyDescent="0.35">
      <c r="A769" s="2">
        <f ca="1">IFERROR(__xludf.DUMMYFUNCTION("""COMPUTED_VALUE"""),43119.6666666666)</f>
        <v>43119.666666666599</v>
      </c>
      <c r="B769" s="1">
        <f ca="1">IFERROR(__xludf.DUMMYFUNCTION("""COMPUTED_VALUE"""),90.14)</f>
        <v>90.14</v>
      </c>
      <c r="C769" s="1">
        <f ca="1">IFERROR(__xludf.DUMMYFUNCTION("""COMPUTED_VALUE"""),90.61)</f>
        <v>90.61</v>
      </c>
      <c r="D769" s="1">
        <f ca="1">IFERROR(__xludf.DUMMYFUNCTION("""COMPUTED_VALUE"""),89.66)</f>
        <v>89.66</v>
      </c>
      <c r="E769" s="1">
        <f ca="1">IFERROR(__xludf.DUMMYFUNCTION("""COMPUTED_VALUE"""),90)</f>
        <v>90</v>
      </c>
      <c r="F769" s="1">
        <f ca="1">IFERROR(__xludf.DUMMYFUNCTION("""COMPUTED_VALUE"""),36875013)</f>
        <v>36875013</v>
      </c>
    </row>
    <row r="770" spans="1:6" x14ac:dyDescent="0.35">
      <c r="A770" s="2">
        <f ca="1">IFERROR(__xludf.DUMMYFUNCTION("""COMPUTED_VALUE"""),43122.6666666666)</f>
        <v>43122.666666666599</v>
      </c>
      <c r="B770" s="1">
        <f ca="1">IFERROR(__xludf.DUMMYFUNCTION("""COMPUTED_VALUE"""),90)</f>
        <v>90</v>
      </c>
      <c r="C770" s="1">
        <f ca="1">IFERROR(__xludf.DUMMYFUNCTION("""COMPUTED_VALUE"""),91.62)</f>
        <v>91.62</v>
      </c>
      <c r="D770" s="1">
        <f ca="1">IFERROR(__xludf.DUMMYFUNCTION("""COMPUTED_VALUE"""),89.74)</f>
        <v>89.74</v>
      </c>
      <c r="E770" s="1">
        <f ca="1">IFERROR(__xludf.DUMMYFUNCTION("""COMPUTED_VALUE"""),91.61)</f>
        <v>91.61</v>
      </c>
      <c r="F770" s="1">
        <f ca="1">IFERROR(__xludf.DUMMYFUNCTION("""COMPUTED_VALUE"""),23601555)</f>
        <v>23601555</v>
      </c>
    </row>
    <row r="771" spans="1:6" x14ac:dyDescent="0.35">
      <c r="A771" s="2">
        <f ca="1">IFERROR(__xludf.DUMMYFUNCTION("""COMPUTED_VALUE"""),43123.6666666666)</f>
        <v>43123.666666666599</v>
      </c>
      <c r="B771" s="1">
        <f ca="1">IFERROR(__xludf.DUMMYFUNCTION("""COMPUTED_VALUE"""),91.9)</f>
        <v>91.9</v>
      </c>
      <c r="C771" s="1">
        <f ca="1">IFERROR(__xludf.DUMMYFUNCTION("""COMPUTED_VALUE"""),92.3)</f>
        <v>92.3</v>
      </c>
      <c r="D771" s="1">
        <f ca="1">IFERROR(__xludf.DUMMYFUNCTION("""COMPUTED_VALUE"""),91.54)</f>
        <v>91.54</v>
      </c>
      <c r="E771" s="1">
        <f ca="1">IFERROR(__xludf.DUMMYFUNCTION("""COMPUTED_VALUE"""),91.9)</f>
        <v>91.9</v>
      </c>
      <c r="F771" s="1">
        <f ca="1">IFERROR(__xludf.DUMMYFUNCTION("""COMPUTED_VALUE"""),23412841)</f>
        <v>23412841</v>
      </c>
    </row>
    <row r="772" spans="1:6" x14ac:dyDescent="0.35">
      <c r="A772" s="2">
        <f ca="1">IFERROR(__xludf.DUMMYFUNCTION("""COMPUTED_VALUE"""),43124.6666666666)</f>
        <v>43124.666666666599</v>
      </c>
      <c r="B772" s="1">
        <f ca="1">IFERROR(__xludf.DUMMYFUNCTION("""COMPUTED_VALUE"""),92.55)</f>
        <v>92.55</v>
      </c>
      <c r="C772" s="1">
        <f ca="1">IFERROR(__xludf.DUMMYFUNCTION("""COMPUTED_VALUE"""),93.43)</f>
        <v>93.43</v>
      </c>
      <c r="D772" s="1">
        <f ca="1">IFERROR(__xludf.DUMMYFUNCTION("""COMPUTED_VALUE"""),91.58)</f>
        <v>91.58</v>
      </c>
      <c r="E772" s="1">
        <f ca="1">IFERROR(__xludf.DUMMYFUNCTION("""COMPUTED_VALUE"""),91.82)</f>
        <v>91.82</v>
      </c>
      <c r="F772" s="1">
        <f ca="1">IFERROR(__xludf.DUMMYFUNCTION("""COMPUTED_VALUE"""),33277483)</f>
        <v>33277483</v>
      </c>
    </row>
    <row r="773" spans="1:6" x14ac:dyDescent="0.35">
      <c r="A773" s="2">
        <f ca="1">IFERROR(__xludf.DUMMYFUNCTION("""COMPUTED_VALUE"""),43125.6666666666)</f>
        <v>43125.666666666599</v>
      </c>
      <c r="B773" s="1">
        <f ca="1">IFERROR(__xludf.DUMMYFUNCTION("""COMPUTED_VALUE"""),92.47)</f>
        <v>92.47</v>
      </c>
      <c r="C773" s="1">
        <f ca="1">IFERROR(__xludf.DUMMYFUNCTION("""COMPUTED_VALUE"""),93.24)</f>
        <v>93.24</v>
      </c>
      <c r="D773" s="1">
        <f ca="1">IFERROR(__xludf.DUMMYFUNCTION("""COMPUTED_VALUE"""),91.93)</f>
        <v>91.93</v>
      </c>
      <c r="E773" s="1">
        <f ca="1">IFERROR(__xludf.DUMMYFUNCTION("""COMPUTED_VALUE"""),92.33)</f>
        <v>92.33</v>
      </c>
      <c r="F773" s="1">
        <f ca="1">IFERROR(__xludf.DUMMYFUNCTION("""COMPUTED_VALUE"""),26383238)</f>
        <v>26383238</v>
      </c>
    </row>
    <row r="774" spans="1:6" x14ac:dyDescent="0.35">
      <c r="A774" s="2">
        <f ca="1">IFERROR(__xludf.DUMMYFUNCTION("""COMPUTED_VALUE"""),43126.6666666666)</f>
        <v>43126.666666666599</v>
      </c>
      <c r="B774" s="1">
        <f ca="1">IFERROR(__xludf.DUMMYFUNCTION("""COMPUTED_VALUE"""),93.12)</f>
        <v>93.12</v>
      </c>
      <c r="C774" s="1">
        <f ca="1">IFERROR(__xludf.DUMMYFUNCTION("""COMPUTED_VALUE"""),94.06)</f>
        <v>94.06</v>
      </c>
      <c r="D774" s="1">
        <f ca="1">IFERROR(__xludf.DUMMYFUNCTION("""COMPUTED_VALUE"""),92.58)</f>
        <v>92.58</v>
      </c>
      <c r="E774" s="1">
        <f ca="1">IFERROR(__xludf.DUMMYFUNCTION("""COMPUTED_VALUE"""),94.06)</f>
        <v>94.06</v>
      </c>
      <c r="F774" s="1">
        <f ca="1">IFERROR(__xludf.DUMMYFUNCTION("""COMPUTED_VALUE"""),29172167)</f>
        <v>29172167</v>
      </c>
    </row>
    <row r="775" spans="1:6" x14ac:dyDescent="0.35">
      <c r="A775" s="2">
        <f ca="1">IFERROR(__xludf.DUMMYFUNCTION("""COMPUTED_VALUE"""),43129.6666666666)</f>
        <v>43129.666666666599</v>
      </c>
      <c r="B775" s="1">
        <f ca="1">IFERROR(__xludf.DUMMYFUNCTION("""COMPUTED_VALUE"""),95.14)</f>
        <v>95.14</v>
      </c>
      <c r="C775" s="1">
        <f ca="1">IFERROR(__xludf.DUMMYFUNCTION("""COMPUTED_VALUE"""),95.45)</f>
        <v>95.45</v>
      </c>
      <c r="D775" s="1">
        <f ca="1">IFERROR(__xludf.DUMMYFUNCTION("""COMPUTED_VALUE"""),93.72)</f>
        <v>93.72</v>
      </c>
      <c r="E775" s="1">
        <f ca="1">IFERROR(__xludf.DUMMYFUNCTION("""COMPUTED_VALUE"""),93.92)</f>
        <v>93.92</v>
      </c>
      <c r="F775" s="1">
        <f ca="1">IFERROR(__xludf.DUMMYFUNCTION("""COMPUTED_VALUE"""),31569940)</f>
        <v>31569940</v>
      </c>
    </row>
    <row r="776" spans="1:6" x14ac:dyDescent="0.35">
      <c r="A776" s="2">
        <f ca="1">IFERROR(__xludf.DUMMYFUNCTION("""COMPUTED_VALUE"""),43130.6666666666)</f>
        <v>43130.666666666599</v>
      </c>
      <c r="B776" s="1">
        <f ca="1">IFERROR(__xludf.DUMMYFUNCTION("""COMPUTED_VALUE"""),93.3)</f>
        <v>93.3</v>
      </c>
      <c r="C776" s="1">
        <f ca="1">IFERROR(__xludf.DUMMYFUNCTION("""COMPUTED_VALUE"""),93.66)</f>
        <v>93.66</v>
      </c>
      <c r="D776" s="1">
        <f ca="1">IFERROR(__xludf.DUMMYFUNCTION("""COMPUTED_VALUE"""),92.1)</f>
        <v>92.1</v>
      </c>
      <c r="E776" s="1">
        <f ca="1">IFERROR(__xludf.DUMMYFUNCTION("""COMPUTED_VALUE"""),92.74)</f>
        <v>92.74</v>
      </c>
      <c r="F776" s="1">
        <f ca="1">IFERROR(__xludf.DUMMYFUNCTION("""COMPUTED_VALUE"""),38635053)</f>
        <v>38635053</v>
      </c>
    </row>
    <row r="777" spans="1:6" x14ac:dyDescent="0.35">
      <c r="A777" s="2">
        <f ca="1">IFERROR(__xludf.DUMMYFUNCTION("""COMPUTED_VALUE"""),43131.6666666666)</f>
        <v>43131.666666666599</v>
      </c>
      <c r="B777" s="1">
        <f ca="1">IFERROR(__xludf.DUMMYFUNCTION("""COMPUTED_VALUE"""),93.75)</f>
        <v>93.75</v>
      </c>
      <c r="C777" s="1">
        <f ca="1">IFERROR(__xludf.DUMMYFUNCTION("""COMPUTED_VALUE"""),95.4)</f>
        <v>95.4</v>
      </c>
      <c r="D777" s="1">
        <f ca="1">IFERROR(__xludf.DUMMYFUNCTION("""COMPUTED_VALUE"""),93.51)</f>
        <v>93.51</v>
      </c>
      <c r="E777" s="1">
        <f ca="1">IFERROR(__xludf.DUMMYFUNCTION("""COMPUTED_VALUE"""),95.01)</f>
        <v>95.01</v>
      </c>
      <c r="F777" s="1">
        <f ca="1">IFERROR(__xludf.DUMMYFUNCTION("""COMPUTED_VALUE"""),48756338)</f>
        <v>48756338</v>
      </c>
    </row>
    <row r="778" spans="1:6" x14ac:dyDescent="0.35">
      <c r="A778" s="2">
        <f ca="1">IFERROR(__xludf.DUMMYFUNCTION("""COMPUTED_VALUE"""),43132.6666666666)</f>
        <v>43132.666666666599</v>
      </c>
      <c r="B778" s="1">
        <f ca="1">IFERROR(__xludf.DUMMYFUNCTION("""COMPUTED_VALUE"""),94.79)</f>
        <v>94.79</v>
      </c>
      <c r="C778" s="1">
        <f ca="1">IFERROR(__xludf.DUMMYFUNCTION("""COMPUTED_VALUE"""),96.07)</f>
        <v>96.07</v>
      </c>
      <c r="D778" s="1">
        <f ca="1">IFERROR(__xludf.DUMMYFUNCTION("""COMPUTED_VALUE"""),93.58)</f>
        <v>93.58</v>
      </c>
      <c r="E778" s="1">
        <f ca="1">IFERROR(__xludf.DUMMYFUNCTION("""COMPUTED_VALUE"""),94.26)</f>
        <v>94.26</v>
      </c>
      <c r="F778" s="1">
        <f ca="1">IFERROR(__xludf.DUMMYFUNCTION("""COMPUTED_VALUE"""),47227882)</f>
        <v>47227882</v>
      </c>
    </row>
    <row r="779" spans="1:6" x14ac:dyDescent="0.35">
      <c r="A779" s="2">
        <f ca="1">IFERROR(__xludf.DUMMYFUNCTION("""COMPUTED_VALUE"""),43133.6666666666)</f>
        <v>43133.666666666599</v>
      </c>
      <c r="B779" s="1">
        <f ca="1">IFERROR(__xludf.DUMMYFUNCTION("""COMPUTED_VALUE"""),93.64)</f>
        <v>93.64</v>
      </c>
      <c r="C779" s="1">
        <f ca="1">IFERROR(__xludf.DUMMYFUNCTION("""COMPUTED_VALUE"""),93.97)</f>
        <v>93.97</v>
      </c>
      <c r="D779" s="1">
        <f ca="1">IFERROR(__xludf.DUMMYFUNCTION("""COMPUTED_VALUE"""),91.5)</f>
        <v>91.5</v>
      </c>
      <c r="E779" s="1">
        <f ca="1">IFERROR(__xludf.DUMMYFUNCTION("""COMPUTED_VALUE"""),91.78)</f>
        <v>91.78</v>
      </c>
      <c r="F779" s="1">
        <f ca="1">IFERROR(__xludf.DUMMYFUNCTION("""COMPUTED_VALUE"""),47867753)</f>
        <v>47867753</v>
      </c>
    </row>
    <row r="780" spans="1:6" x14ac:dyDescent="0.35">
      <c r="A780" s="2">
        <f ca="1">IFERROR(__xludf.DUMMYFUNCTION("""COMPUTED_VALUE"""),43136.6666666666)</f>
        <v>43136.666666666599</v>
      </c>
      <c r="B780" s="1">
        <f ca="1">IFERROR(__xludf.DUMMYFUNCTION("""COMPUTED_VALUE"""),90.56)</f>
        <v>90.56</v>
      </c>
      <c r="C780" s="1">
        <f ca="1">IFERROR(__xludf.DUMMYFUNCTION("""COMPUTED_VALUE"""),93.24)</f>
        <v>93.24</v>
      </c>
      <c r="D780" s="1">
        <f ca="1">IFERROR(__xludf.DUMMYFUNCTION("""COMPUTED_VALUE"""),88)</f>
        <v>88</v>
      </c>
      <c r="E780" s="1">
        <f ca="1">IFERROR(__xludf.DUMMYFUNCTION("""COMPUTED_VALUE"""),88)</f>
        <v>88</v>
      </c>
      <c r="F780" s="1">
        <f ca="1">IFERROR(__xludf.DUMMYFUNCTION("""COMPUTED_VALUE"""),51031465)</f>
        <v>51031465</v>
      </c>
    </row>
    <row r="781" spans="1:6" x14ac:dyDescent="0.35">
      <c r="A781" s="2">
        <f ca="1">IFERROR(__xludf.DUMMYFUNCTION("""COMPUTED_VALUE"""),43137.6666666666)</f>
        <v>43137.666666666599</v>
      </c>
      <c r="B781" s="1">
        <f ca="1">IFERROR(__xludf.DUMMYFUNCTION("""COMPUTED_VALUE"""),86.89)</f>
        <v>86.89</v>
      </c>
      <c r="C781" s="1">
        <f ca="1">IFERROR(__xludf.DUMMYFUNCTION("""COMPUTED_VALUE"""),91.48)</f>
        <v>91.48</v>
      </c>
      <c r="D781" s="1">
        <f ca="1">IFERROR(__xludf.DUMMYFUNCTION("""COMPUTED_VALUE"""),85.25)</f>
        <v>85.25</v>
      </c>
      <c r="E781" s="1">
        <f ca="1">IFERROR(__xludf.DUMMYFUNCTION("""COMPUTED_VALUE"""),91.33)</f>
        <v>91.33</v>
      </c>
      <c r="F781" s="1">
        <f ca="1">IFERROR(__xludf.DUMMYFUNCTION("""COMPUTED_VALUE"""),67998564)</f>
        <v>67998564</v>
      </c>
    </row>
    <row r="782" spans="1:6" x14ac:dyDescent="0.35">
      <c r="A782" s="2">
        <f ca="1">IFERROR(__xludf.DUMMYFUNCTION("""COMPUTED_VALUE"""),43138.6666666666)</f>
        <v>43138.666666666599</v>
      </c>
      <c r="B782" s="1">
        <f ca="1">IFERROR(__xludf.DUMMYFUNCTION("""COMPUTED_VALUE"""),90.49)</f>
        <v>90.49</v>
      </c>
      <c r="C782" s="1">
        <f ca="1">IFERROR(__xludf.DUMMYFUNCTION("""COMPUTED_VALUE"""),91.77)</f>
        <v>91.77</v>
      </c>
      <c r="D782" s="1">
        <f ca="1">IFERROR(__xludf.DUMMYFUNCTION("""COMPUTED_VALUE"""),89.2)</f>
        <v>89.2</v>
      </c>
      <c r="E782" s="1">
        <f ca="1">IFERROR(__xludf.DUMMYFUNCTION("""COMPUTED_VALUE"""),89.61)</f>
        <v>89.61</v>
      </c>
      <c r="F782" s="1">
        <f ca="1">IFERROR(__xludf.DUMMYFUNCTION("""COMPUTED_VALUE"""),41107592)</f>
        <v>41107592</v>
      </c>
    </row>
    <row r="783" spans="1:6" x14ac:dyDescent="0.35">
      <c r="A783" s="2">
        <f ca="1">IFERROR(__xludf.DUMMYFUNCTION("""COMPUTED_VALUE"""),43139.6666666666)</f>
        <v>43139.666666666599</v>
      </c>
      <c r="B783" s="1">
        <f ca="1">IFERROR(__xludf.DUMMYFUNCTION("""COMPUTED_VALUE"""),89.71)</f>
        <v>89.71</v>
      </c>
      <c r="C783" s="1">
        <f ca="1">IFERROR(__xludf.DUMMYFUNCTION("""COMPUTED_VALUE"""),89.88)</f>
        <v>89.88</v>
      </c>
      <c r="D783" s="1">
        <f ca="1">IFERROR(__xludf.DUMMYFUNCTION("""COMPUTED_VALUE"""),84.76)</f>
        <v>84.76</v>
      </c>
      <c r="E783" s="1">
        <f ca="1">IFERROR(__xludf.DUMMYFUNCTION("""COMPUTED_VALUE"""),85.01)</f>
        <v>85.01</v>
      </c>
      <c r="F783" s="1">
        <f ca="1">IFERROR(__xludf.DUMMYFUNCTION("""COMPUTED_VALUE"""),55628657)</f>
        <v>55628657</v>
      </c>
    </row>
    <row r="784" spans="1:6" x14ac:dyDescent="0.35">
      <c r="A784" s="2">
        <f ca="1">IFERROR(__xludf.DUMMYFUNCTION("""COMPUTED_VALUE"""),43140.6666666666)</f>
        <v>43140.666666666599</v>
      </c>
      <c r="B784" s="1">
        <f ca="1">IFERROR(__xludf.DUMMYFUNCTION("""COMPUTED_VALUE"""),86.3)</f>
        <v>86.3</v>
      </c>
      <c r="C784" s="1">
        <f ca="1">IFERROR(__xludf.DUMMYFUNCTION("""COMPUTED_VALUE"""),88.93)</f>
        <v>88.93</v>
      </c>
      <c r="D784" s="1">
        <f ca="1">IFERROR(__xludf.DUMMYFUNCTION("""COMPUTED_VALUE"""),83.83)</f>
        <v>83.83</v>
      </c>
      <c r="E784" s="1">
        <f ca="1">IFERROR(__xludf.DUMMYFUNCTION("""COMPUTED_VALUE"""),88.18)</f>
        <v>88.18</v>
      </c>
      <c r="F784" s="1">
        <f ca="1">IFERROR(__xludf.DUMMYFUNCTION("""COMPUTED_VALUE"""),63499065)</f>
        <v>63499065</v>
      </c>
    </row>
    <row r="785" spans="1:6" x14ac:dyDescent="0.35">
      <c r="A785" s="2">
        <f ca="1">IFERROR(__xludf.DUMMYFUNCTION("""COMPUTED_VALUE"""),43143.6666666666)</f>
        <v>43143.666666666599</v>
      </c>
      <c r="B785" s="1">
        <f ca="1">IFERROR(__xludf.DUMMYFUNCTION("""COMPUTED_VALUE"""),88.74)</f>
        <v>88.74</v>
      </c>
      <c r="C785" s="1">
        <f ca="1">IFERROR(__xludf.DUMMYFUNCTION("""COMPUTED_VALUE"""),89.78)</f>
        <v>89.78</v>
      </c>
      <c r="D785" s="1">
        <f ca="1">IFERROR(__xludf.DUMMYFUNCTION("""COMPUTED_VALUE"""),87.93)</f>
        <v>87.93</v>
      </c>
      <c r="E785" s="1">
        <f ca="1">IFERROR(__xludf.DUMMYFUNCTION("""COMPUTED_VALUE"""),89.13)</f>
        <v>89.13</v>
      </c>
      <c r="F785" s="1">
        <f ca="1">IFERROR(__xludf.DUMMYFUNCTION("""COMPUTED_VALUE"""),35720341)</f>
        <v>35720341</v>
      </c>
    </row>
    <row r="786" spans="1:6" x14ac:dyDescent="0.35">
      <c r="A786" s="2">
        <f ca="1">IFERROR(__xludf.DUMMYFUNCTION("""COMPUTED_VALUE"""),43144.6666666666)</f>
        <v>43144.666666666599</v>
      </c>
      <c r="B786" s="1">
        <f ca="1">IFERROR(__xludf.DUMMYFUNCTION("""COMPUTED_VALUE"""),88.93)</f>
        <v>88.93</v>
      </c>
      <c r="C786" s="1">
        <f ca="1">IFERROR(__xludf.DUMMYFUNCTION("""COMPUTED_VALUE"""),90)</f>
        <v>90</v>
      </c>
      <c r="D786" s="1">
        <f ca="1">IFERROR(__xludf.DUMMYFUNCTION("""COMPUTED_VALUE"""),87.8)</f>
        <v>87.8</v>
      </c>
      <c r="E786" s="1">
        <f ca="1">IFERROR(__xludf.DUMMYFUNCTION("""COMPUTED_VALUE"""),89.83)</f>
        <v>89.83</v>
      </c>
      <c r="F786" s="1">
        <f ca="1">IFERROR(__xludf.DUMMYFUNCTION("""COMPUTED_VALUE"""),26407702)</f>
        <v>26407702</v>
      </c>
    </row>
    <row r="787" spans="1:6" x14ac:dyDescent="0.35">
      <c r="A787" s="2">
        <f ca="1">IFERROR(__xludf.DUMMYFUNCTION("""COMPUTED_VALUE"""),43145.6666666666)</f>
        <v>43145.666666666599</v>
      </c>
      <c r="B787" s="1">
        <f ca="1">IFERROR(__xludf.DUMMYFUNCTION("""COMPUTED_VALUE"""),88.51)</f>
        <v>88.51</v>
      </c>
      <c r="C787" s="1">
        <f ca="1">IFERROR(__xludf.DUMMYFUNCTION("""COMPUTED_VALUE"""),90.99)</f>
        <v>90.99</v>
      </c>
      <c r="D787" s="1">
        <f ca="1">IFERROR(__xludf.DUMMYFUNCTION("""COMPUTED_VALUE"""),88.41)</f>
        <v>88.41</v>
      </c>
      <c r="E787" s="1">
        <f ca="1">IFERROR(__xludf.DUMMYFUNCTION("""COMPUTED_VALUE"""),90.81)</f>
        <v>90.81</v>
      </c>
      <c r="F787" s="1">
        <f ca="1">IFERROR(__xludf.DUMMYFUNCTION("""COMPUTED_VALUE"""),34960912)</f>
        <v>34960912</v>
      </c>
    </row>
    <row r="788" spans="1:6" x14ac:dyDescent="0.35">
      <c r="A788" s="2">
        <f ca="1">IFERROR(__xludf.DUMMYFUNCTION("""COMPUTED_VALUE"""),43146.6666666666)</f>
        <v>43146.666666666599</v>
      </c>
      <c r="B788" s="1">
        <f ca="1">IFERROR(__xludf.DUMMYFUNCTION("""COMPUTED_VALUE"""),91.21)</f>
        <v>91.21</v>
      </c>
      <c r="C788" s="1">
        <f ca="1">IFERROR(__xludf.DUMMYFUNCTION("""COMPUTED_VALUE"""),92.72)</f>
        <v>92.72</v>
      </c>
      <c r="D788" s="1">
        <f ca="1">IFERROR(__xludf.DUMMYFUNCTION("""COMPUTED_VALUE"""),90.62)</f>
        <v>90.62</v>
      </c>
      <c r="E788" s="1">
        <f ca="1">IFERROR(__xludf.DUMMYFUNCTION("""COMPUTED_VALUE"""),92.66)</f>
        <v>92.66</v>
      </c>
      <c r="F788" s="1">
        <f ca="1">IFERROR(__xludf.DUMMYFUNCTION("""COMPUTED_VALUE"""),27823866)</f>
        <v>27823866</v>
      </c>
    </row>
    <row r="789" spans="1:6" x14ac:dyDescent="0.35">
      <c r="A789" s="2">
        <f ca="1">IFERROR(__xludf.DUMMYFUNCTION("""COMPUTED_VALUE"""),43147.6666666666)</f>
        <v>43147.666666666599</v>
      </c>
      <c r="B789" s="1">
        <f ca="1">IFERROR(__xludf.DUMMYFUNCTION("""COMPUTED_VALUE"""),92.45)</f>
        <v>92.45</v>
      </c>
      <c r="C789" s="1">
        <f ca="1">IFERROR(__xludf.DUMMYFUNCTION("""COMPUTED_VALUE"""),93.5)</f>
        <v>93.5</v>
      </c>
      <c r="D789" s="1">
        <f ca="1">IFERROR(__xludf.DUMMYFUNCTION("""COMPUTED_VALUE"""),91.8)</f>
        <v>91.8</v>
      </c>
      <c r="E789" s="1">
        <f ca="1">IFERROR(__xludf.DUMMYFUNCTION("""COMPUTED_VALUE"""),92)</f>
        <v>92</v>
      </c>
      <c r="F789" s="1">
        <f ca="1">IFERROR(__xludf.DUMMYFUNCTION("""COMPUTED_VALUE"""),30596919)</f>
        <v>30596919</v>
      </c>
    </row>
    <row r="790" spans="1:6" x14ac:dyDescent="0.35">
      <c r="A790" s="2">
        <f ca="1">IFERROR(__xludf.DUMMYFUNCTION("""COMPUTED_VALUE"""),43151.6666666666)</f>
        <v>43151.666666666599</v>
      </c>
      <c r="B790" s="1">
        <f ca="1">IFERROR(__xludf.DUMMYFUNCTION("""COMPUTED_VALUE"""),91.48)</f>
        <v>91.48</v>
      </c>
      <c r="C790" s="1">
        <f ca="1">IFERROR(__xludf.DUMMYFUNCTION("""COMPUTED_VALUE"""),93.06)</f>
        <v>93.06</v>
      </c>
      <c r="D790" s="1">
        <f ca="1">IFERROR(__xludf.DUMMYFUNCTION("""COMPUTED_VALUE"""),91.01)</f>
        <v>91.01</v>
      </c>
      <c r="E790" s="1">
        <f ca="1">IFERROR(__xludf.DUMMYFUNCTION("""COMPUTED_VALUE"""),92.72)</f>
        <v>92.72</v>
      </c>
      <c r="F790" s="1">
        <f ca="1">IFERROR(__xludf.DUMMYFUNCTION("""COMPUTED_VALUE"""),30911725)</f>
        <v>30911725</v>
      </c>
    </row>
    <row r="791" spans="1:6" x14ac:dyDescent="0.35">
      <c r="A791" s="2">
        <f ca="1">IFERROR(__xludf.DUMMYFUNCTION("""COMPUTED_VALUE"""),43152.6666666666)</f>
        <v>43152.666666666599</v>
      </c>
      <c r="B791" s="1">
        <f ca="1">IFERROR(__xludf.DUMMYFUNCTION("""COMPUTED_VALUE"""),92.98)</f>
        <v>92.98</v>
      </c>
      <c r="C791" s="1">
        <f ca="1">IFERROR(__xludf.DUMMYFUNCTION("""COMPUTED_VALUE"""),93.36)</f>
        <v>93.36</v>
      </c>
      <c r="D791" s="1">
        <f ca="1">IFERROR(__xludf.DUMMYFUNCTION("""COMPUTED_VALUE"""),91.49)</f>
        <v>91.49</v>
      </c>
      <c r="E791" s="1">
        <f ca="1">IFERROR(__xludf.DUMMYFUNCTION("""COMPUTED_VALUE"""),91.49)</f>
        <v>91.49</v>
      </c>
      <c r="F791" s="1">
        <f ca="1">IFERROR(__xludf.DUMMYFUNCTION("""COMPUTED_VALUE"""),26922503)</f>
        <v>26922503</v>
      </c>
    </row>
    <row r="792" spans="1:6" x14ac:dyDescent="0.35">
      <c r="A792" s="2">
        <f ca="1">IFERROR(__xludf.DUMMYFUNCTION("""COMPUTED_VALUE"""),43153.6666666666)</f>
        <v>43153.666666666599</v>
      </c>
      <c r="B792" s="1">
        <f ca="1">IFERROR(__xludf.DUMMYFUNCTION("""COMPUTED_VALUE"""),92.05)</f>
        <v>92.05</v>
      </c>
      <c r="C792" s="1">
        <f ca="1">IFERROR(__xludf.DUMMYFUNCTION("""COMPUTED_VALUE"""),92.73)</f>
        <v>92.73</v>
      </c>
      <c r="D792" s="1">
        <f ca="1">IFERROR(__xludf.DUMMYFUNCTION("""COMPUTED_VALUE"""),91.36)</f>
        <v>91.36</v>
      </c>
      <c r="E792" s="1">
        <f ca="1">IFERROR(__xludf.DUMMYFUNCTION("""COMPUTED_VALUE"""),91.73)</f>
        <v>91.73</v>
      </c>
      <c r="F792" s="1">
        <f ca="1">IFERROR(__xludf.DUMMYFUNCTION("""COMPUTED_VALUE"""),24392753)</f>
        <v>24392753</v>
      </c>
    </row>
    <row r="793" spans="1:6" x14ac:dyDescent="0.35">
      <c r="A793" s="2">
        <f ca="1">IFERROR(__xludf.DUMMYFUNCTION("""COMPUTED_VALUE"""),43154.6666666666)</f>
        <v>43154.666666666599</v>
      </c>
      <c r="B793" s="1">
        <f ca="1">IFERROR(__xludf.DUMMYFUNCTION("""COMPUTED_VALUE"""),92.75)</f>
        <v>92.75</v>
      </c>
      <c r="C793" s="1">
        <f ca="1">IFERROR(__xludf.DUMMYFUNCTION("""COMPUTED_VALUE"""),94.07)</f>
        <v>94.07</v>
      </c>
      <c r="D793" s="1">
        <f ca="1">IFERROR(__xludf.DUMMYFUNCTION("""COMPUTED_VALUE"""),92.36)</f>
        <v>92.36</v>
      </c>
      <c r="E793" s="1">
        <f ca="1">IFERROR(__xludf.DUMMYFUNCTION("""COMPUTED_VALUE"""),94.06)</f>
        <v>94.06</v>
      </c>
      <c r="F793" s="1">
        <f ca="1">IFERROR(__xludf.DUMMYFUNCTION("""COMPUTED_VALUE"""),26329226)</f>
        <v>26329226</v>
      </c>
    </row>
    <row r="794" spans="1:6" x14ac:dyDescent="0.35">
      <c r="A794" s="2">
        <f ca="1">IFERROR(__xludf.DUMMYFUNCTION("""COMPUTED_VALUE"""),43157.6666666666)</f>
        <v>43157.666666666599</v>
      </c>
      <c r="B794" s="1">
        <f ca="1">IFERROR(__xludf.DUMMYFUNCTION("""COMPUTED_VALUE"""),94.4)</f>
        <v>94.4</v>
      </c>
      <c r="C794" s="1">
        <f ca="1">IFERROR(__xludf.DUMMYFUNCTION("""COMPUTED_VALUE"""),95.45)</f>
        <v>95.45</v>
      </c>
      <c r="D794" s="1">
        <f ca="1">IFERROR(__xludf.DUMMYFUNCTION("""COMPUTED_VALUE"""),94.25)</f>
        <v>94.25</v>
      </c>
      <c r="E794" s="1">
        <f ca="1">IFERROR(__xludf.DUMMYFUNCTION("""COMPUTED_VALUE"""),95.42)</f>
        <v>95.42</v>
      </c>
      <c r="F794" s="1">
        <f ca="1">IFERROR(__xludf.DUMMYFUNCTION("""COMPUTED_VALUE"""),30199846)</f>
        <v>30199846</v>
      </c>
    </row>
    <row r="795" spans="1:6" x14ac:dyDescent="0.35">
      <c r="A795" s="2">
        <f ca="1">IFERROR(__xludf.DUMMYFUNCTION("""COMPUTED_VALUE"""),43158.6666666666)</f>
        <v>43158.666666666599</v>
      </c>
      <c r="B795" s="1">
        <f ca="1">IFERROR(__xludf.DUMMYFUNCTION("""COMPUTED_VALUE"""),95.74)</f>
        <v>95.74</v>
      </c>
      <c r="C795" s="1">
        <f ca="1">IFERROR(__xludf.DUMMYFUNCTION("""COMPUTED_VALUE"""),95.84)</f>
        <v>95.84</v>
      </c>
      <c r="D795" s="1">
        <f ca="1">IFERROR(__xludf.DUMMYFUNCTION("""COMPUTED_VALUE"""),94.2)</f>
        <v>94.2</v>
      </c>
      <c r="E795" s="1">
        <f ca="1">IFERROR(__xludf.DUMMYFUNCTION("""COMPUTED_VALUE"""),94.2)</f>
        <v>94.2</v>
      </c>
      <c r="F795" s="1">
        <f ca="1">IFERROR(__xludf.DUMMYFUNCTION("""COMPUTED_VALUE"""),25869119)</f>
        <v>25869119</v>
      </c>
    </row>
    <row r="796" spans="1:6" x14ac:dyDescent="0.35">
      <c r="A796" s="2">
        <f ca="1">IFERROR(__xludf.DUMMYFUNCTION("""COMPUTED_VALUE"""),43159.6666666666)</f>
        <v>43159.666666666599</v>
      </c>
      <c r="B796" s="1">
        <f ca="1">IFERROR(__xludf.DUMMYFUNCTION("""COMPUTED_VALUE"""),94.84)</f>
        <v>94.84</v>
      </c>
      <c r="C796" s="1">
        <f ca="1">IFERROR(__xludf.DUMMYFUNCTION("""COMPUTED_VALUE"""),95.71)</f>
        <v>95.71</v>
      </c>
      <c r="D796" s="1">
        <f ca="1">IFERROR(__xludf.DUMMYFUNCTION("""COMPUTED_VALUE"""),93.63)</f>
        <v>93.63</v>
      </c>
      <c r="E796" s="1">
        <f ca="1">IFERROR(__xludf.DUMMYFUNCTION("""COMPUTED_VALUE"""),93.77)</f>
        <v>93.77</v>
      </c>
      <c r="F796" s="1">
        <f ca="1">IFERROR(__xludf.DUMMYFUNCTION("""COMPUTED_VALUE"""),31167338)</f>
        <v>31167338</v>
      </c>
    </row>
    <row r="797" spans="1:6" x14ac:dyDescent="0.35">
      <c r="A797" s="2">
        <f ca="1">IFERROR(__xludf.DUMMYFUNCTION("""COMPUTED_VALUE"""),43160.6666666666)</f>
        <v>43160.666666666599</v>
      </c>
      <c r="B797" s="1">
        <f ca="1">IFERROR(__xludf.DUMMYFUNCTION("""COMPUTED_VALUE"""),93.99)</f>
        <v>93.99</v>
      </c>
      <c r="C797" s="1">
        <f ca="1">IFERROR(__xludf.DUMMYFUNCTION("""COMPUTED_VALUE"""),94.57)</f>
        <v>94.57</v>
      </c>
      <c r="D797" s="1">
        <f ca="1">IFERROR(__xludf.DUMMYFUNCTION("""COMPUTED_VALUE"""),91.84)</f>
        <v>91.84</v>
      </c>
      <c r="E797" s="1">
        <f ca="1">IFERROR(__xludf.DUMMYFUNCTION("""COMPUTED_VALUE"""),92.85)</f>
        <v>92.85</v>
      </c>
      <c r="F797" s="1">
        <f ca="1">IFERROR(__xludf.DUMMYFUNCTION("""COMPUTED_VALUE"""),37135561)</f>
        <v>37135561</v>
      </c>
    </row>
    <row r="798" spans="1:6" x14ac:dyDescent="0.35">
      <c r="A798" s="2">
        <f ca="1">IFERROR(__xludf.DUMMYFUNCTION("""COMPUTED_VALUE"""),43161.6666666666)</f>
        <v>43161.666666666599</v>
      </c>
      <c r="B798" s="1">
        <f ca="1">IFERROR(__xludf.DUMMYFUNCTION("""COMPUTED_VALUE"""),91.58)</f>
        <v>91.58</v>
      </c>
      <c r="C798" s="1">
        <f ca="1">IFERROR(__xludf.DUMMYFUNCTION("""COMPUTED_VALUE"""),93.15)</f>
        <v>93.15</v>
      </c>
      <c r="D798" s="1">
        <f ca="1">IFERROR(__xludf.DUMMYFUNCTION("""COMPUTED_VALUE"""),90.86)</f>
        <v>90.86</v>
      </c>
      <c r="E798" s="1">
        <f ca="1">IFERROR(__xludf.DUMMYFUNCTION("""COMPUTED_VALUE"""),93.05)</f>
        <v>93.05</v>
      </c>
      <c r="F798" s="1">
        <f ca="1">IFERROR(__xludf.DUMMYFUNCTION("""COMPUTED_VALUE"""),32830389)</f>
        <v>32830389</v>
      </c>
    </row>
    <row r="799" spans="1:6" x14ac:dyDescent="0.35">
      <c r="A799" s="2">
        <f ca="1">IFERROR(__xludf.DUMMYFUNCTION("""COMPUTED_VALUE"""),43164.6666666666)</f>
        <v>43164.666666666599</v>
      </c>
      <c r="B799" s="1">
        <f ca="1">IFERROR(__xludf.DUMMYFUNCTION("""COMPUTED_VALUE"""),92.34)</f>
        <v>92.34</v>
      </c>
      <c r="C799" s="1">
        <f ca="1">IFERROR(__xludf.DUMMYFUNCTION("""COMPUTED_VALUE"""),94.27)</f>
        <v>94.27</v>
      </c>
      <c r="D799" s="1">
        <f ca="1">IFERROR(__xludf.DUMMYFUNCTION("""COMPUTED_VALUE"""),92.26)</f>
        <v>92.26</v>
      </c>
      <c r="E799" s="1">
        <f ca="1">IFERROR(__xludf.DUMMYFUNCTION("""COMPUTED_VALUE"""),93.64)</f>
        <v>93.64</v>
      </c>
      <c r="F799" s="1">
        <f ca="1">IFERROR(__xludf.DUMMYFUNCTION("""COMPUTED_VALUE"""),23901578)</f>
        <v>23901578</v>
      </c>
    </row>
    <row r="800" spans="1:6" x14ac:dyDescent="0.35">
      <c r="A800" s="2">
        <f ca="1">IFERROR(__xludf.DUMMYFUNCTION("""COMPUTED_VALUE"""),43165.6666666666)</f>
        <v>43165.666666666599</v>
      </c>
      <c r="B800" s="1">
        <f ca="1">IFERROR(__xludf.DUMMYFUNCTION("""COMPUTED_VALUE"""),94.34)</f>
        <v>94.34</v>
      </c>
      <c r="C800" s="1">
        <f ca="1">IFERROR(__xludf.DUMMYFUNCTION("""COMPUTED_VALUE"""),94.49)</f>
        <v>94.49</v>
      </c>
      <c r="D800" s="1">
        <f ca="1">IFERROR(__xludf.DUMMYFUNCTION("""COMPUTED_VALUE"""),92.94)</f>
        <v>92.94</v>
      </c>
      <c r="E800" s="1">
        <f ca="1">IFERROR(__xludf.DUMMYFUNCTION("""COMPUTED_VALUE"""),93.32)</f>
        <v>93.32</v>
      </c>
      <c r="F800" s="1">
        <f ca="1">IFERROR(__xludf.DUMMYFUNCTION("""COMPUTED_VALUE"""),22175776)</f>
        <v>22175776</v>
      </c>
    </row>
    <row r="801" spans="1:6" x14ac:dyDescent="0.35">
      <c r="A801" s="2">
        <f ca="1">IFERROR(__xludf.DUMMYFUNCTION("""COMPUTED_VALUE"""),43166.6666666666)</f>
        <v>43166.666666666599</v>
      </c>
      <c r="B801" s="1">
        <f ca="1">IFERROR(__xludf.DUMMYFUNCTION("""COMPUTED_VALUE"""),93.16)</f>
        <v>93.16</v>
      </c>
      <c r="C801" s="1">
        <f ca="1">IFERROR(__xludf.DUMMYFUNCTION("""COMPUTED_VALUE"""),93.94)</f>
        <v>93.94</v>
      </c>
      <c r="D801" s="1">
        <f ca="1">IFERROR(__xludf.DUMMYFUNCTION("""COMPUTED_VALUE"""),92.43)</f>
        <v>92.43</v>
      </c>
      <c r="E801" s="1">
        <f ca="1">IFERROR(__xludf.DUMMYFUNCTION("""COMPUTED_VALUE"""),93.86)</f>
        <v>93.86</v>
      </c>
      <c r="F801" s="1">
        <f ca="1">IFERROR(__xludf.DUMMYFUNCTION("""COMPUTED_VALUE"""),26716127)</f>
        <v>26716127</v>
      </c>
    </row>
    <row r="802" spans="1:6" x14ac:dyDescent="0.35">
      <c r="A802" s="2">
        <f ca="1">IFERROR(__xludf.DUMMYFUNCTION("""COMPUTED_VALUE"""),43167.6666666666)</f>
        <v>43167.666666666599</v>
      </c>
      <c r="B802" s="1">
        <f ca="1">IFERROR(__xludf.DUMMYFUNCTION("""COMPUTED_VALUE"""),94.27)</f>
        <v>94.27</v>
      </c>
      <c r="C802" s="1">
        <f ca="1">IFERROR(__xludf.DUMMYFUNCTION("""COMPUTED_VALUE"""),95.1)</f>
        <v>95.1</v>
      </c>
      <c r="D802" s="1">
        <f ca="1">IFERROR(__xludf.DUMMYFUNCTION("""COMPUTED_VALUE"""),93.77)</f>
        <v>93.77</v>
      </c>
      <c r="E802" s="1">
        <f ca="1">IFERROR(__xludf.DUMMYFUNCTION("""COMPUTED_VALUE"""),94.43)</f>
        <v>94.43</v>
      </c>
      <c r="F802" s="1">
        <f ca="1">IFERROR(__xludf.DUMMYFUNCTION("""COMPUTED_VALUE"""),25887828)</f>
        <v>25887828</v>
      </c>
    </row>
    <row r="803" spans="1:6" x14ac:dyDescent="0.35">
      <c r="A803" s="2">
        <f ca="1">IFERROR(__xludf.DUMMYFUNCTION("""COMPUTED_VALUE"""),43168.6666666666)</f>
        <v>43168.666666666599</v>
      </c>
      <c r="B803" s="1">
        <f ca="1">IFERROR(__xludf.DUMMYFUNCTION("""COMPUTED_VALUE"""),95.29)</f>
        <v>95.29</v>
      </c>
      <c r="C803" s="1">
        <f ca="1">IFERROR(__xludf.DUMMYFUNCTION("""COMPUTED_VALUE"""),96.54)</f>
        <v>96.54</v>
      </c>
      <c r="D803" s="1">
        <f ca="1">IFERROR(__xludf.DUMMYFUNCTION("""COMPUTED_VALUE"""),95)</f>
        <v>95</v>
      </c>
      <c r="E803" s="1">
        <f ca="1">IFERROR(__xludf.DUMMYFUNCTION("""COMPUTED_VALUE"""),96.54)</f>
        <v>96.54</v>
      </c>
      <c r="F803" s="1">
        <f ca="1">IFERROR(__xludf.DUMMYFUNCTION("""COMPUTED_VALUE"""),36937254)</f>
        <v>36937254</v>
      </c>
    </row>
    <row r="804" spans="1:6" x14ac:dyDescent="0.35">
      <c r="A804" s="2">
        <f ca="1">IFERROR(__xludf.DUMMYFUNCTION("""COMPUTED_VALUE"""),43171.6666666666)</f>
        <v>43171.666666666599</v>
      </c>
      <c r="B804" s="1">
        <f ca="1">IFERROR(__xludf.DUMMYFUNCTION("""COMPUTED_VALUE"""),96.5)</f>
        <v>96.5</v>
      </c>
      <c r="C804" s="1">
        <f ca="1">IFERROR(__xludf.DUMMYFUNCTION("""COMPUTED_VALUE"""),97.21)</f>
        <v>97.21</v>
      </c>
      <c r="D804" s="1">
        <f ca="1">IFERROR(__xludf.DUMMYFUNCTION("""COMPUTED_VALUE"""),96.04)</f>
        <v>96.04</v>
      </c>
      <c r="E804" s="1">
        <f ca="1">IFERROR(__xludf.DUMMYFUNCTION("""COMPUTED_VALUE"""),96.77)</f>
        <v>96.77</v>
      </c>
      <c r="F804" s="1">
        <f ca="1">IFERROR(__xludf.DUMMYFUNCTION("""COMPUTED_VALUE"""),26073742)</f>
        <v>26073742</v>
      </c>
    </row>
    <row r="805" spans="1:6" x14ac:dyDescent="0.35">
      <c r="A805" s="2">
        <f ca="1">IFERROR(__xludf.DUMMYFUNCTION("""COMPUTED_VALUE"""),43172.6666666666)</f>
        <v>43172.666666666599</v>
      </c>
      <c r="B805" s="1">
        <f ca="1">IFERROR(__xludf.DUMMYFUNCTION("""COMPUTED_VALUE"""),97)</f>
        <v>97</v>
      </c>
      <c r="C805" s="1">
        <f ca="1">IFERROR(__xludf.DUMMYFUNCTION("""COMPUTED_VALUE"""),97.24)</f>
        <v>97.24</v>
      </c>
      <c r="D805" s="1">
        <f ca="1">IFERROR(__xludf.DUMMYFUNCTION("""COMPUTED_VALUE"""),93.97)</f>
        <v>93.97</v>
      </c>
      <c r="E805" s="1">
        <f ca="1">IFERROR(__xludf.DUMMYFUNCTION("""COMPUTED_VALUE"""),94.41)</f>
        <v>94.41</v>
      </c>
      <c r="F805" s="1">
        <f ca="1">IFERROR(__xludf.DUMMYFUNCTION("""COMPUTED_VALUE"""),35387817)</f>
        <v>35387817</v>
      </c>
    </row>
    <row r="806" spans="1:6" x14ac:dyDescent="0.35">
      <c r="A806" s="2">
        <f ca="1">IFERROR(__xludf.DUMMYFUNCTION("""COMPUTED_VALUE"""),43173.6666666666)</f>
        <v>43173.666666666599</v>
      </c>
      <c r="B806" s="1">
        <f ca="1">IFERROR(__xludf.DUMMYFUNCTION("""COMPUTED_VALUE"""),95.12)</f>
        <v>95.12</v>
      </c>
      <c r="C806" s="1">
        <f ca="1">IFERROR(__xludf.DUMMYFUNCTION("""COMPUTED_VALUE"""),95.41)</f>
        <v>95.41</v>
      </c>
      <c r="D806" s="1">
        <f ca="1">IFERROR(__xludf.DUMMYFUNCTION("""COMPUTED_VALUE"""),93.5)</f>
        <v>93.5</v>
      </c>
      <c r="E806" s="1">
        <f ca="1">IFERROR(__xludf.DUMMYFUNCTION("""COMPUTED_VALUE"""),93.85)</f>
        <v>93.85</v>
      </c>
      <c r="F806" s="1">
        <f ca="1">IFERROR(__xludf.DUMMYFUNCTION("""COMPUTED_VALUE"""),32131981)</f>
        <v>32131981</v>
      </c>
    </row>
    <row r="807" spans="1:6" x14ac:dyDescent="0.35">
      <c r="A807" s="2">
        <f ca="1">IFERROR(__xludf.DUMMYFUNCTION("""COMPUTED_VALUE"""),43174.6666666666)</f>
        <v>43174.666666666599</v>
      </c>
      <c r="B807" s="1">
        <f ca="1">IFERROR(__xludf.DUMMYFUNCTION("""COMPUTED_VALUE"""),93.53)</f>
        <v>93.53</v>
      </c>
      <c r="C807" s="1">
        <f ca="1">IFERROR(__xludf.DUMMYFUNCTION("""COMPUTED_VALUE"""),94.58)</f>
        <v>94.58</v>
      </c>
      <c r="D807" s="1">
        <f ca="1">IFERROR(__xludf.DUMMYFUNCTION("""COMPUTED_VALUE"""),92.83)</f>
        <v>92.83</v>
      </c>
      <c r="E807" s="1">
        <f ca="1">IFERROR(__xludf.DUMMYFUNCTION("""COMPUTED_VALUE"""),94.18)</f>
        <v>94.18</v>
      </c>
      <c r="F807" s="1">
        <f ca="1">IFERROR(__xludf.DUMMYFUNCTION("""COMPUTED_VALUE"""),27610998)</f>
        <v>27610998</v>
      </c>
    </row>
    <row r="808" spans="1:6" x14ac:dyDescent="0.35">
      <c r="A808" s="2">
        <f ca="1">IFERROR(__xludf.DUMMYFUNCTION("""COMPUTED_VALUE"""),43175.6666666666)</f>
        <v>43175.666666666599</v>
      </c>
      <c r="B808" s="1">
        <f ca="1">IFERROR(__xludf.DUMMYFUNCTION("""COMPUTED_VALUE"""),94.68)</f>
        <v>94.68</v>
      </c>
      <c r="C808" s="1">
        <f ca="1">IFERROR(__xludf.DUMMYFUNCTION("""COMPUTED_VALUE"""),95.38)</f>
        <v>95.38</v>
      </c>
      <c r="D808" s="1">
        <f ca="1">IFERROR(__xludf.DUMMYFUNCTION("""COMPUTED_VALUE"""),93.92)</f>
        <v>93.92</v>
      </c>
      <c r="E808" s="1">
        <f ca="1">IFERROR(__xludf.DUMMYFUNCTION("""COMPUTED_VALUE"""),94.6)</f>
        <v>94.6</v>
      </c>
      <c r="F808" s="1">
        <f ca="1">IFERROR(__xludf.DUMMYFUNCTION("""COMPUTED_VALUE"""),49081279)</f>
        <v>49081279</v>
      </c>
    </row>
    <row r="809" spans="1:6" x14ac:dyDescent="0.35">
      <c r="A809" s="2">
        <f ca="1">IFERROR(__xludf.DUMMYFUNCTION("""COMPUTED_VALUE"""),43178.6666666666)</f>
        <v>43178.666666666599</v>
      </c>
      <c r="B809" s="1">
        <f ca="1">IFERROR(__xludf.DUMMYFUNCTION("""COMPUTED_VALUE"""),93.74)</f>
        <v>93.74</v>
      </c>
      <c r="C809" s="1">
        <f ca="1">IFERROR(__xludf.DUMMYFUNCTION("""COMPUTED_VALUE"""),93.9)</f>
        <v>93.9</v>
      </c>
      <c r="D809" s="1">
        <f ca="1">IFERROR(__xludf.DUMMYFUNCTION("""COMPUTED_VALUE"""),92.11)</f>
        <v>92.11</v>
      </c>
      <c r="E809" s="1">
        <f ca="1">IFERROR(__xludf.DUMMYFUNCTION("""COMPUTED_VALUE"""),92.89)</f>
        <v>92.89</v>
      </c>
      <c r="F809" s="1">
        <f ca="1">IFERROR(__xludf.DUMMYFUNCTION("""COMPUTED_VALUE"""),33344085)</f>
        <v>33344085</v>
      </c>
    </row>
    <row r="810" spans="1:6" x14ac:dyDescent="0.35">
      <c r="A810" s="2">
        <f ca="1">IFERROR(__xludf.DUMMYFUNCTION("""COMPUTED_VALUE"""),43179.6666666666)</f>
        <v>43179.666666666599</v>
      </c>
      <c r="B810" s="1">
        <f ca="1">IFERROR(__xludf.DUMMYFUNCTION("""COMPUTED_VALUE"""),93.05)</f>
        <v>93.05</v>
      </c>
      <c r="C810" s="1">
        <f ca="1">IFERROR(__xludf.DUMMYFUNCTION("""COMPUTED_VALUE"""),93.77)</f>
        <v>93.77</v>
      </c>
      <c r="D810" s="1">
        <f ca="1">IFERROR(__xludf.DUMMYFUNCTION("""COMPUTED_VALUE"""),93)</f>
        <v>93</v>
      </c>
      <c r="E810" s="1">
        <f ca="1">IFERROR(__xludf.DUMMYFUNCTION("""COMPUTED_VALUE"""),93.13)</f>
        <v>93.13</v>
      </c>
      <c r="F810" s="1">
        <f ca="1">IFERROR(__xludf.DUMMYFUNCTION("""COMPUTED_VALUE"""),23075240)</f>
        <v>23075240</v>
      </c>
    </row>
    <row r="811" spans="1:6" x14ac:dyDescent="0.35">
      <c r="A811" s="2">
        <f ca="1">IFERROR(__xludf.DUMMYFUNCTION("""COMPUTED_VALUE"""),43180.6666666666)</f>
        <v>43180.666666666599</v>
      </c>
      <c r="B811" s="1">
        <f ca="1">IFERROR(__xludf.DUMMYFUNCTION("""COMPUTED_VALUE"""),92.93)</f>
        <v>92.93</v>
      </c>
      <c r="C811" s="1">
        <f ca="1">IFERROR(__xludf.DUMMYFUNCTION("""COMPUTED_VALUE"""),94.05)</f>
        <v>94.05</v>
      </c>
      <c r="D811" s="1">
        <f ca="1">IFERROR(__xludf.DUMMYFUNCTION("""COMPUTED_VALUE"""),92.21)</f>
        <v>92.21</v>
      </c>
      <c r="E811" s="1">
        <f ca="1">IFERROR(__xludf.DUMMYFUNCTION("""COMPUTED_VALUE"""),92.48)</f>
        <v>92.48</v>
      </c>
      <c r="F811" s="1">
        <f ca="1">IFERROR(__xludf.DUMMYFUNCTION("""COMPUTED_VALUE"""),24457082)</f>
        <v>24457082</v>
      </c>
    </row>
    <row r="812" spans="1:6" x14ac:dyDescent="0.35">
      <c r="A812" s="2">
        <f ca="1">IFERROR(__xludf.DUMMYFUNCTION("""COMPUTED_VALUE"""),43181.6666666666)</f>
        <v>43181.666666666599</v>
      </c>
      <c r="B812" s="1">
        <f ca="1">IFERROR(__xludf.DUMMYFUNCTION("""COMPUTED_VALUE"""),91.27)</f>
        <v>91.27</v>
      </c>
      <c r="C812" s="1">
        <f ca="1">IFERROR(__xludf.DUMMYFUNCTION("""COMPUTED_VALUE"""),91.75)</f>
        <v>91.75</v>
      </c>
      <c r="D812" s="1">
        <f ca="1">IFERROR(__xludf.DUMMYFUNCTION("""COMPUTED_VALUE"""),89.66)</f>
        <v>89.66</v>
      </c>
      <c r="E812" s="1">
        <f ca="1">IFERROR(__xludf.DUMMYFUNCTION("""COMPUTED_VALUE"""),89.79)</f>
        <v>89.79</v>
      </c>
      <c r="F812" s="1">
        <f ca="1">IFERROR(__xludf.DUMMYFUNCTION("""COMPUTED_VALUE"""),38604715)</f>
        <v>38604715</v>
      </c>
    </row>
    <row r="813" spans="1:6" x14ac:dyDescent="0.35">
      <c r="A813" s="2">
        <f ca="1">IFERROR(__xludf.DUMMYFUNCTION("""COMPUTED_VALUE"""),43182.6666666666)</f>
        <v>43182.666666666599</v>
      </c>
      <c r="B813" s="1">
        <f ca="1">IFERROR(__xludf.DUMMYFUNCTION("""COMPUTED_VALUE"""),89.5)</f>
        <v>89.5</v>
      </c>
      <c r="C813" s="1">
        <f ca="1">IFERROR(__xludf.DUMMYFUNCTION("""COMPUTED_VALUE"""),90.46)</f>
        <v>90.46</v>
      </c>
      <c r="D813" s="1">
        <f ca="1">IFERROR(__xludf.DUMMYFUNCTION("""COMPUTED_VALUE"""),87.08)</f>
        <v>87.08</v>
      </c>
      <c r="E813" s="1">
        <f ca="1">IFERROR(__xludf.DUMMYFUNCTION("""COMPUTED_VALUE"""),87.18)</f>
        <v>87.18</v>
      </c>
      <c r="F813" s="1">
        <f ca="1">IFERROR(__xludf.DUMMYFUNCTION("""COMPUTED_VALUE"""),44068949)</f>
        <v>44068949</v>
      </c>
    </row>
    <row r="814" spans="1:6" x14ac:dyDescent="0.35">
      <c r="A814" s="2">
        <f ca="1">IFERROR(__xludf.DUMMYFUNCTION("""COMPUTED_VALUE"""),43185.6666666666)</f>
        <v>43185.666666666599</v>
      </c>
      <c r="B814" s="1">
        <f ca="1">IFERROR(__xludf.DUMMYFUNCTION("""COMPUTED_VALUE"""),90.61)</f>
        <v>90.61</v>
      </c>
      <c r="C814" s="1">
        <f ca="1">IFERROR(__xludf.DUMMYFUNCTION("""COMPUTED_VALUE"""),94)</f>
        <v>94</v>
      </c>
      <c r="D814" s="1">
        <f ca="1">IFERROR(__xludf.DUMMYFUNCTION("""COMPUTED_VALUE"""),90.4)</f>
        <v>90.4</v>
      </c>
      <c r="E814" s="1">
        <f ca="1">IFERROR(__xludf.DUMMYFUNCTION("""COMPUTED_VALUE"""),93.78)</f>
        <v>93.78</v>
      </c>
      <c r="F814" s="1">
        <f ca="1">IFERROR(__xludf.DUMMYFUNCTION("""COMPUTED_VALUE"""),56396780)</f>
        <v>56396780</v>
      </c>
    </row>
    <row r="815" spans="1:6" x14ac:dyDescent="0.35">
      <c r="A815" s="2">
        <f ca="1">IFERROR(__xludf.DUMMYFUNCTION("""COMPUTED_VALUE"""),43186.6666666666)</f>
        <v>43186.666666666599</v>
      </c>
      <c r="B815" s="1">
        <f ca="1">IFERROR(__xludf.DUMMYFUNCTION("""COMPUTED_VALUE"""),94.94)</f>
        <v>94.94</v>
      </c>
      <c r="C815" s="1">
        <f ca="1">IFERROR(__xludf.DUMMYFUNCTION("""COMPUTED_VALUE"""),95.14)</f>
        <v>95.14</v>
      </c>
      <c r="D815" s="1">
        <f ca="1">IFERROR(__xludf.DUMMYFUNCTION("""COMPUTED_VALUE"""),88.51)</f>
        <v>88.51</v>
      </c>
      <c r="E815" s="1">
        <f ca="1">IFERROR(__xludf.DUMMYFUNCTION("""COMPUTED_VALUE"""),89.47)</f>
        <v>89.47</v>
      </c>
      <c r="F815" s="1">
        <f ca="1">IFERROR(__xludf.DUMMYFUNCTION("""COMPUTED_VALUE"""),56569011)</f>
        <v>56569011</v>
      </c>
    </row>
    <row r="816" spans="1:6" x14ac:dyDescent="0.35">
      <c r="A816" s="2">
        <f ca="1">IFERROR(__xludf.DUMMYFUNCTION("""COMPUTED_VALUE"""),43187.6666666666)</f>
        <v>43187.666666666599</v>
      </c>
      <c r="B816" s="1">
        <f ca="1">IFERROR(__xludf.DUMMYFUNCTION("""COMPUTED_VALUE"""),89.82)</f>
        <v>89.82</v>
      </c>
      <c r="C816" s="1">
        <f ca="1">IFERROR(__xludf.DUMMYFUNCTION("""COMPUTED_VALUE"""),91.23)</f>
        <v>91.23</v>
      </c>
      <c r="D816" s="1">
        <f ca="1">IFERROR(__xludf.DUMMYFUNCTION("""COMPUTED_VALUE"""),88.87)</f>
        <v>88.87</v>
      </c>
      <c r="E816" s="1">
        <f ca="1">IFERROR(__xludf.DUMMYFUNCTION("""COMPUTED_VALUE"""),89.39)</f>
        <v>89.39</v>
      </c>
      <c r="F816" s="1">
        <f ca="1">IFERROR(__xludf.DUMMYFUNCTION("""COMPUTED_VALUE"""),52501146)</f>
        <v>52501146</v>
      </c>
    </row>
    <row r="817" spans="1:6" x14ac:dyDescent="0.35">
      <c r="A817" s="2">
        <f ca="1">IFERROR(__xludf.DUMMYFUNCTION("""COMPUTED_VALUE"""),43188.6666666666)</f>
        <v>43188.666666666599</v>
      </c>
      <c r="B817" s="1">
        <f ca="1">IFERROR(__xludf.DUMMYFUNCTION("""COMPUTED_VALUE"""),90.18)</f>
        <v>90.18</v>
      </c>
      <c r="C817" s="1">
        <f ca="1">IFERROR(__xludf.DUMMYFUNCTION("""COMPUTED_VALUE"""),92.29)</f>
        <v>92.29</v>
      </c>
      <c r="D817" s="1">
        <f ca="1">IFERROR(__xludf.DUMMYFUNCTION("""COMPUTED_VALUE"""),88.4)</f>
        <v>88.4</v>
      </c>
      <c r="E817" s="1">
        <f ca="1">IFERROR(__xludf.DUMMYFUNCTION("""COMPUTED_VALUE"""),91.27)</f>
        <v>91.27</v>
      </c>
      <c r="F817" s="1">
        <f ca="1">IFERROR(__xludf.DUMMYFUNCTION("""COMPUTED_VALUE"""),45867548)</f>
        <v>45867548</v>
      </c>
    </row>
    <row r="818" spans="1:6" x14ac:dyDescent="0.35">
      <c r="A818" s="2">
        <f ca="1">IFERROR(__xludf.DUMMYFUNCTION("""COMPUTED_VALUE"""),43192.6666666666)</f>
        <v>43192.666666666599</v>
      </c>
      <c r="B818" s="1">
        <f ca="1">IFERROR(__xludf.DUMMYFUNCTION("""COMPUTED_VALUE"""),90.47)</f>
        <v>90.47</v>
      </c>
      <c r="C818" s="1">
        <f ca="1">IFERROR(__xludf.DUMMYFUNCTION("""COMPUTED_VALUE"""),90.88)</f>
        <v>90.88</v>
      </c>
      <c r="D818" s="1">
        <f ca="1">IFERROR(__xludf.DUMMYFUNCTION("""COMPUTED_VALUE"""),87.51)</f>
        <v>87.51</v>
      </c>
      <c r="E818" s="1">
        <f ca="1">IFERROR(__xludf.DUMMYFUNCTION("""COMPUTED_VALUE"""),88.52)</f>
        <v>88.52</v>
      </c>
      <c r="F818" s="1">
        <f ca="1">IFERROR(__xludf.DUMMYFUNCTION("""COMPUTED_VALUE"""),48515417)</f>
        <v>48515417</v>
      </c>
    </row>
    <row r="819" spans="1:6" x14ac:dyDescent="0.35">
      <c r="A819" s="2">
        <f ca="1">IFERROR(__xludf.DUMMYFUNCTION("""COMPUTED_VALUE"""),43193.6666666666)</f>
        <v>43193.666666666599</v>
      </c>
      <c r="B819" s="1">
        <f ca="1">IFERROR(__xludf.DUMMYFUNCTION("""COMPUTED_VALUE"""),89.58)</f>
        <v>89.58</v>
      </c>
      <c r="C819" s="1">
        <f ca="1">IFERROR(__xludf.DUMMYFUNCTION("""COMPUTED_VALUE"""),90.05)</f>
        <v>90.05</v>
      </c>
      <c r="D819" s="1">
        <f ca="1">IFERROR(__xludf.DUMMYFUNCTION("""COMPUTED_VALUE"""),87.89)</f>
        <v>87.89</v>
      </c>
      <c r="E819" s="1">
        <f ca="1">IFERROR(__xludf.DUMMYFUNCTION("""COMPUTED_VALUE"""),89.71)</f>
        <v>89.71</v>
      </c>
      <c r="F819" s="1">
        <f ca="1">IFERROR(__xludf.DUMMYFUNCTION("""COMPUTED_VALUE"""),37213837)</f>
        <v>37213837</v>
      </c>
    </row>
    <row r="820" spans="1:6" x14ac:dyDescent="0.35">
      <c r="A820" s="2">
        <f ca="1">IFERROR(__xludf.DUMMYFUNCTION("""COMPUTED_VALUE"""),43194.6666666666)</f>
        <v>43194.666666666599</v>
      </c>
      <c r="B820" s="1">
        <f ca="1">IFERROR(__xludf.DUMMYFUNCTION("""COMPUTED_VALUE"""),87.85)</f>
        <v>87.85</v>
      </c>
      <c r="C820" s="1">
        <f ca="1">IFERROR(__xludf.DUMMYFUNCTION("""COMPUTED_VALUE"""),92.76)</f>
        <v>92.76</v>
      </c>
      <c r="D820" s="1">
        <f ca="1">IFERROR(__xludf.DUMMYFUNCTION("""COMPUTED_VALUE"""),87.73)</f>
        <v>87.73</v>
      </c>
      <c r="E820" s="1">
        <f ca="1">IFERROR(__xludf.DUMMYFUNCTION("""COMPUTED_VALUE"""),92.33)</f>
        <v>92.33</v>
      </c>
      <c r="F820" s="1">
        <f ca="1">IFERROR(__xludf.DUMMYFUNCTION("""COMPUTED_VALUE"""),35559956)</f>
        <v>35559956</v>
      </c>
    </row>
    <row r="821" spans="1:6" x14ac:dyDescent="0.35">
      <c r="A821" s="2">
        <f ca="1">IFERROR(__xludf.DUMMYFUNCTION("""COMPUTED_VALUE"""),43195.6666666666)</f>
        <v>43195.666666666599</v>
      </c>
      <c r="B821" s="1">
        <f ca="1">IFERROR(__xludf.DUMMYFUNCTION("""COMPUTED_VALUE"""),92.44)</f>
        <v>92.44</v>
      </c>
      <c r="C821" s="1">
        <f ca="1">IFERROR(__xludf.DUMMYFUNCTION("""COMPUTED_VALUE"""),93.07)</f>
        <v>93.07</v>
      </c>
      <c r="D821" s="1">
        <f ca="1">IFERROR(__xludf.DUMMYFUNCTION("""COMPUTED_VALUE"""),91.4)</f>
        <v>91.4</v>
      </c>
      <c r="E821" s="1">
        <f ca="1">IFERROR(__xludf.DUMMYFUNCTION("""COMPUTED_VALUE"""),92.38)</f>
        <v>92.38</v>
      </c>
      <c r="F821" s="1">
        <f ca="1">IFERROR(__xludf.DUMMYFUNCTION("""COMPUTED_VALUE"""),29771881)</f>
        <v>29771881</v>
      </c>
    </row>
    <row r="822" spans="1:6" x14ac:dyDescent="0.35">
      <c r="A822" s="2">
        <f ca="1">IFERROR(__xludf.DUMMYFUNCTION("""COMPUTED_VALUE"""),43196.6666666666)</f>
        <v>43196.666666666599</v>
      </c>
      <c r="B822" s="1">
        <f ca="1">IFERROR(__xludf.DUMMYFUNCTION("""COMPUTED_VALUE"""),91.49)</f>
        <v>91.49</v>
      </c>
      <c r="C822" s="1">
        <f ca="1">IFERROR(__xludf.DUMMYFUNCTION("""COMPUTED_VALUE"""),92.46)</f>
        <v>92.46</v>
      </c>
      <c r="D822" s="1">
        <f ca="1">IFERROR(__xludf.DUMMYFUNCTION("""COMPUTED_VALUE"""),89.48)</f>
        <v>89.48</v>
      </c>
      <c r="E822" s="1">
        <f ca="1">IFERROR(__xludf.DUMMYFUNCTION("""COMPUTED_VALUE"""),90.23)</f>
        <v>90.23</v>
      </c>
      <c r="F822" s="1">
        <f ca="1">IFERROR(__xludf.DUMMYFUNCTION("""COMPUTED_VALUE"""),38026000)</f>
        <v>38026000</v>
      </c>
    </row>
    <row r="823" spans="1:6" x14ac:dyDescent="0.35">
      <c r="A823" s="2">
        <f ca="1">IFERROR(__xludf.DUMMYFUNCTION("""COMPUTED_VALUE"""),43199.6666666666)</f>
        <v>43199.666666666599</v>
      </c>
      <c r="B823" s="1">
        <f ca="1">IFERROR(__xludf.DUMMYFUNCTION("""COMPUTED_VALUE"""),91.04)</f>
        <v>91.04</v>
      </c>
      <c r="C823" s="1">
        <f ca="1">IFERROR(__xludf.DUMMYFUNCTION("""COMPUTED_VALUE"""),93.17)</f>
        <v>93.17</v>
      </c>
      <c r="D823" s="1">
        <f ca="1">IFERROR(__xludf.DUMMYFUNCTION("""COMPUTED_VALUE"""),90.62)</f>
        <v>90.62</v>
      </c>
      <c r="E823" s="1">
        <f ca="1">IFERROR(__xludf.DUMMYFUNCTION("""COMPUTED_VALUE"""),90.77)</f>
        <v>90.77</v>
      </c>
      <c r="F823" s="1">
        <f ca="1">IFERROR(__xludf.DUMMYFUNCTION("""COMPUTED_VALUE"""),31533943)</f>
        <v>31533943</v>
      </c>
    </row>
    <row r="824" spans="1:6" x14ac:dyDescent="0.35">
      <c r="A824" s="2">
        <f ca="1">IFERROR(__xludf.DUMMYFUNCTION("""COMPUTED_VALUE"""),43200.6666666666)</f>
        <v>43200.666666666599</v>
      </c>
      <c r="B824" s="1">
        <f ca="1">IFERROR(__xludf.DUMMYFUNCTION("""COMPUTED_VALUE"""),92.39)</f>
        <v>92.39</v>
      </c>
      <c r="C824" s="1">
        <f ca="1">IFERROR(__xludf.DUMMYFUNCTION("""COMPUTED_VALUE"""),93.28)</f>
        <v>93.28</v>
      </c>
      <c r="D824" s="1">
        <f ca="1">IFERROR(__xludf.DUMMYFUNCTION("""COMPUTED_VALUE"""),91.64)</f>
        <v>91.64</v>
      </c>
      <c r="E824" s="1">
        <f ca="1">IFERROR(__xludf.DUMMYFUNCTION("""COMPUTED_VALUE"""),92.88)</f>
        <v>92.88</v>
      </c>
      <c r="F824" s="1">
        <f ca="1">IFERROR(__xludf.DUMMYFUNCTION("""COMPUTED_VALUE"""),26939883)</f>
        <v>26939883</v>
      </c>
    </row>
    <row r="825" spans="1:6" x14ac:dyDescent="0.35">
      <c r="A825" s="2">
        <f ca="1">IFERROR(__xludf.DUMMYFUNCTION("""COMPUTED_VALUE"""),43201.6666666666)</f>
        <v>43201.666666666599</v>
      </c>
      <c r="B825" s="1">
        <f ca="1">IFERROR(__xludf.DUMMYFUNCTION("""COMPUTED_VALUE"""),92.01)</f>
        <v>92.01</v>
      </c>
      <c r="C825" s="1">
        <f ca="1">IFERROR(__xludf.DUMMYFUNCTION("""COMPUTED_VALUE"""),93.29)</f>
        <v>93.29</v>
      </c>
      <c r="D825" s="1">
        <f ca="1">IFERROR(__xludf.DUMMYFUNCTION("""COMPUTED_VALUE"""),91.48)</f>
        <v>91.48</v>
      </c>
      <c r="E825" s="1">
        <f ca="1">IFERROR(__xludf.DUMMYFUNCTION("""COMPUTED_VALUE"""),91.86)</f>
        <v>91.86</v>
      </c>
      <c r="F825" s="1">
        <f ca="1">IFERROR(__xludf.DUMMYFUNCTION("""COMPUTED_VALUE"""),24872110)</f>
        <v>24872110</v>
      </c>
    </row>
    <row r="826" spans="1:6" x14ac:dyDescent="0.35">
      <c r="A826" s="2">
        <f ca="1">IFERROR(__xludf.DUMMYFUNCTION("""COMPUTED_VALUE"""),43202.6666666666)</f>
        <v>43202.666666666599</v>
      </c>
      <c r="B826" s="1">
        <f ca="1">IFERROR(__xludf.DUMMYFUNCTION("""COMPUTED_VALUE"""),92.43)</f>
        <v>92.43</v>
      </c>
      <c r="C826" s="1">
        <f ca="1">IFERROR(__xludf.DUMMYFUNCTION("""COMPUTED_VALUE"""),94.16)</f>
        <v>94.16</v>
      </c>
      <c r="D826" s="1">
        <f ca="1">IFERROR(__xludf.DUMMYFUNCTION("""COMPUTED_VALUE"""),92.43)</f>
        <v>92.43</v>
      </c>
      <c r="E826" s="1">
        <f ca="1">IFERROR(__xludf.DUMMYFUNCTION("""COMPUTED_VALUE"""),93.58)</f>
        <v>93.58</v>
      </c>
      <c r="F826" s="1">
        <f ca="1">IFERROR(__xludf.DUMMYFUNCTION("""COMPUTED_VALUE"""),26758879)</f>
        <v>26758879</v>
      </c>
    </row>
    <row r="827" spans="1:6" x14ac:dyDescent="0.35">
      <c r="A827" s="2">
        <f ca="1">IFERROR(__xludf.DUMMYFUNCTION("""COMPUTED_VALUE"""),43203.6666666666)</f>
        <v>43203.666666666599</v>
      </c>
      <c r="B827" s="1">
        <f ca="1">IFERROR(__xludf.DUMMYFUNCTION("""COMPUTED_VALUE"""),94.05)</f>
        <v>94.05</v>
      </c>
      <c r="C827" s="1">
        <f ca="1">IFERROR(__xludf.DUMMYFUNCTION("""COMPUTED_VALUE"""),94.18)</f>
        <v>94.18</v>
      </c>
      <c r="D827" s="1">
        <f ca="1">IFERROR(__xludf.DUMMYFUNCTION("""COMPUTED_VALUE"""),92.44)</f>
        <v>92.44</v>
      </c>
      <c r="E827" s="1">
        <f ca="1">IFERROR(__xludf.DUMMYFUNCTION("""COMPUTED_VALUE"""),93.08)</f>
        <v>93.08</v>
      </c>
      <c r="F827" s="1">
        <f ca="1">IFERROR(__xludf.DUMMYFUNCTION("""COMPUTED_VALUE"""),23346063)</f>
        <v>23346063</v>
      </c>
    </row>
    <row r="828" spans="1:6" x14ac:dyDescent="0.35">
      <c r="A828" s="2">
        <f ca="1">IFERROR(__xludf.DUMMYFUNCTION("""COMPUTED_VALUE"""),43206.6666666666)</f>
        <v>43206.666666666599</v>
      </c>
      <c r="B828" s="1">
        <f ca="1">IFERROR(__xludf.DUMMYFUNCTION("""COMPUTED_VALUE"""),94.07)</f>
        <v>94.07</v>
      </c>
      <c r="C828" s="1">
        <f ca="1">IFERROR(__xludf.DUMMYFUNCTION("""COMPUTED_VALUE"""),94.66)</f>
        <v>94.66</v>
      </c>
      <c r="D828" s="1">
        <f ca="1">IFERROR(__xludf.DUMMYFUNCTION("""COMPUTED_VALUE"""),93.42)</f>
        <v>93.42</v>
      </c>
      <c r="E828" s="1">
        <f ca="1">IFERROR(__xludf.DUMMYFUNCTION("""COMPUTED_VALUE"""),94.17)</f>
        <v>94.17</v>
      </c>
      <c r="F828" s="1">
        <f ca="1">IFERROR(__xludf.DUMMYFUNCTION("""COMPUTED_VALUE"""),20288083)</f>
        <v>20288083</v>
      </c>
    </row>
    <row r="829" spans="1:6" x14ac:dyDescent="0.35">
      <c r="A829" s="2">
        <f ca="1">IFERROR(__xludf.DUMMYFUNCTION("""COMPUTED_VALUE"""),43207.6666666666)</f>
        <v>43207.666666666599</v>
      </c>
      <c r="B829" s="1">
        <f ca="1">IFERROR(__xludf.DUMMYFUNCTION("""COMPUTED_VALUE"""),95)</f>
        <v>95</v>
      </c>
      <c r="C829" s="1">
        <f ca="1">IFERROR(__xludf.DUMMYFUNCTION("""COMPUTED_VALUE"""),96.54)</f>
        <v>96.54</v>
      </c>
      <c r="D829" s="1">
        <f ca="1">IFERROR(__xludf.DUMMYFUNCTION("""COMPUTED_VALUE"""),94.88)</f>
        <v>94.88</v>
      </c>
      <c r="E829" s="1">
        <f ca="1">IFERROR(__xludf.DUMMYFUNCTION("""COMPUTED_VALUE"""),96.07)</f>
        <v>96.07</v>
      </c>
      <c r="F829" s="1">
        <f ca="1">IFERROR(__xludf.DUMMYFUNCTION("""COMPUTED_VALUE"""),26771000)</f>
        <v>26771000</v>
      </c>
    </row>
    <row r="830" spans="1:6" x14ac:dyDescent="0.35">
      <c r="A830" s="2">
        <f ca="1">IFERROR(__xludf.DUMMYFUNCTION("""COMPUTED_VALUE"""),43208.6666666666)</f>
        <v>43208.666666666599</v>
      </c>
      <c r="B830" s="1">
        <f ca="1">IFERROR(__xludf.DUMMYFUNCTION("""COMPUTED_VALUE"""),96.22)</f>
        <v>96.22</v>
      </c>
      <c r="C830" s="1">
        <f ca="1">IFERROR(__xludf.DUMMYFUNCTION("""COMPUTED_VALUE"""),96.72)</f>
        <v>96.72</v>
      </c>
      <c r="D830" s="1">
        <f ca="1">IFERROR(__xludf.DUMMYFUNCTION("""COMPUTED_VALUE"""),95.52)</f>
        <v>95.52</v>
      </c>
      <c r="E830" s="1">
        <f ca="1">IFERROR(__xludf.DUMMYFUNCTION("""COMPUTED_VALUE"""),96.44)</f>
        <v>96.44</v>
      </c>
      <c r="F830" s="1">
        <f ca="1">IFERROR(__xludf.DUMMYFUNCTION("""COMPUTED_VALUE"""),21043287)</f>
        <v>21043287</v>
      </c>
    </row>
    <row r="831" spans="1:6" x14ac:dyDescent="0.35">
      <c r="A831" s="2">
        <f ca="1">IFERROR(__xludf.DUMMYFUNCTION("""COMPUTED_VALUE"""),43209.6666666666)</f>
        <v>43209.666666666599</v>
      </c>
      <c r="B831" s="1">
        <f ca="1">IFERROR(__xludf.DUMMYFUNCTION("""COMPUTED_VALUE"""),96.44)</f>
        <v>96.44</v>
      </c>
      <c r="C831" s="1">
        <f ca="1">IFERROR(__xludf.DUMMYFUNCTION("""COMPUTED_VALUE"""),97.07)</f>
        <v>97.07</v>
      </c>
      <c r="D831" s="1">
        <f ca="1">IFERROR(__xludf.DUMMYFUNCTION("""COMPUTED_VALUE"""),95.34)</f>
        <v>95.34</v>
      </c>
      <c r="E831" s="1">
        <f ca="1">IFERROR(__xludf.DUMMYFUNCTION("""COMPUTED_VALUE"""),96.11)</f>
        <v>96.11</v>
      </c>
      <c r="F831" s="1">
        <f ca="1">IFERROR(__xludf.DUMMYFUNCTION("""COMPUTED_VALUE"""),23552541)</f>
        <v>23552541</v>
      </c>
    </row>
    <row r="832" spans="1:6" x14ac:dyDescent="0.35">
      <c r="A832" s="2">
        <f ca="1">IFERROR(__xludf.DUMMYFUNCTION("""COMPUTED_VALUE"""),43210.6666666666)</f>
        <v>43210.666666666599</v>
      </c>
      <c r="B832" s="1">
        <f ca="1">IFERROR(__xludf.DUMMYFUNCTION("""COMPUTED_VALUE"""),95.91)</f>
        <v>95.91</v>
      </c>
      <c r="C832" s="1">
        <f ca="1">IFERROR(__xludf.DUMMYFUNCTION("""COMPUTED_VALUE"""),96.11)</f>
        <v>96.11</v>
      </c>
      <c r="D832" s="1">
        <f ca="1">IFERROR(__xludf.DUMMYFUNCTION("""COMPUTED_VALUE"""),94.05)</f>
        <v>94.05</v>
      </c>
      <c r="E832" s="1">
        <f ca="1">IFERROR(__xludf.DUMMYFUNCTION("""COMPUTED_VALUE"""),95)</f>
        <v>95</v>
      </c>
      <c r="F832" s="1">
        <f ca="1">IFERROR(__xludf.DUMMYFUNCTION("""COMPUTED_VALUE"""),31154377)</f>
        <v>31154377</v>
      </c>
    </row>
    <row r="833" spans="1:6" x14ac:dyDescent="0.35">
      <c r="A833" s="2">
        <f ca="1">IFERROR(__xludf.DUMMYFUNCTION("""COMPUTED_VALUE"""),43213.6666666666)</f>
        <v>43213.666666666599</v>
      </c>
      <c r="B833" s="1">
        <f ca="1">IFERROR(__xludf.DUMMYFUNCTION("""COMPUTED_VALUE"""),95.74)</f>
        <v>95.74</v>
      </c>
      <c r="C833" s="1">
        <f ca="1">IFERROR(__xludf.DUMMYFUNCTION("""COMPUTED_VALUE"""),96.29)</f>
        <v>96.29</v>
      </c>
      <c r="D833" s="1">
        <f ca="1">IFERROR(__xludf.DUMMYFUNCTION("""COMPUTED_VALUE"""),94.63)</f>
        <v>94.63</v>
      </c>
      <c r="E833" s="1">
        <f ca="1">IFERROR(__xludf.DUMMYFUNCTION("""COMPUTED_VALUE"""),95.35)</f>
        <v>95.35</v>
      </c>
      <c r="F833" s="1">
        <f ca="1">IFERROR(__xludf.DUMMYFUNCTION("""COMPUTED_VALUE"""),22331829)</f>
        <v>22331829</v>
      </c>
    </row>
    <row r="834" spans="1:6" x14ac:dyDescent="0.35">
      <c r="A834" s="2">
        <f ca="1">IFERROR(__xludf.DUMMYFUNCTION("""COMPUTED_VALUE"""),43214.6666666666)</f>
        <v>43214.666666666599</v>
      </c>
      <c r="B834" s="1">
        <f ca="1">IFERROR(__xludf.DUMMYFUNCTION("""COMPUTED_VALUE"""),96.24)</f>
        <v>96.24</v>
      </c>
      <c r="C834" s="1">
        <f ca="1">IFERROR(__xludf.DUMMYFUNCTION("""COMPUTED_VALUE"""),96.47)</f>
        <v>96.47</v>
      </c>
      <c r="D834" s="1">
        <f ca="1">IFERROR(__xludf.DUMMYFUNCTION("""COMPUTED_VALUE"""),92.41)</f>
        <v>92.41</v>
      </c>
      <c r="E834" s="1">
        <f ca="1">IFERROR(__xludf.DUMMYFUNCTION("""COMPUTED_VALUE"""),93.12)</f>
        <v>93.12</v>
      </c>
      <c r="F834" s="1">
        <f ca="1">IFERROR(__xludf.DUMMYFUNCTION("""COMPUTED_VALUE"""),34524799)</f>
        <v>34524799</v>
      </c>
    </row>
    <row r="835" spans="1:6" x14ac:dyDescent="0.35">
      <c r="A835" s="2">
        <f ca="1">IFERROR(__xludf.DUMMYFUNCTION("""COMPUTED_VALUE"""),43215.6666666666)</f>
        <v>43215.666666666599</v>
      </c>
      <c r="B835" s="1">
        <f ca="1">IFERROR(__xludf.DUMMYFUNCTION("""COMPUTED_VALUE"""),93.3)</f>
        <v>93.3</v>
      </c>
      <c r="C835" s="1">
        <f ca="1">IFERROR(__xludf.DUMMYFUNCTION("""COMPUTED_VALUE"""),93.3)</f>
        <v>93.3</v>
      </c>
      <c r="D835" s="1">
        <f ca="1">IFERROR(__xludf.DUMMYFUNCTION("""COMPUTED_VALUE"""),90.28)</f>
        <v>90.28</v>
      </c>
      <c r="E835" s="1">
        <f ca="1">IFERROR(__xludf.DUMMYFUNCTION("""COMPUTED_VALUE"""),92.31)</f>
        <v>92.31</v>
      </c>
      <c r="F835" s="1">
        <f ca="1">IFERROR(__xludf.DUMMYFUNCTION("""COMPUTED_VALUE"""),33729257)</f>
        <v>33729257</v>
      </c>
    </row>
    <row r="836" spans="1:6" x14ac:dyDescent="0.35">
      <c r="A836" s="2">
        <f ca="1">IFERROR(__xludf.DUMMYFUNCTION("""COMPUTED_VALUE"""),43216.6666666666)</f>
        <v>43216.666666666599</v>
      </c>
      <c r="B836" s="1">
        <f ca="1">IFERROR(__xludf.DUMMYFUNCTION("""COMPUTED_VALUE"""),93.55)</f>
        <v>93.55</v>
      </c>
      <c r="C836" s="1">
        <f ca="1">IFERROR(__xludf.DUMMYFUNCTION("""COMPUTED_VALUE"""),95.15)</f>
        <v>95.15</v>
      </c>
      <c r="D836" s="1">
        <f ca="1">IFERROR(__xludf.DUMMYFUNCTION("""COMPUTED_VALUE"""),93.1)</f>
        <v>93.1</v>
      </c>
      <c r="E836" s="1">
        <f ca="1">IFERROR(__xludf.DUMMYFUNCTION("""COMPUTED_VALUE"""),94.26)</f>
        <v>94.26</v>
      </c>
      <c r="F836" s="1">
        <f ca="1">IFERROR(__xludf.DUMMYFUNCTION("""COMPUTED_VALUE"""),42529043)</f>
        <v>42529043</v>
      </c>
    </row>
    <row r="837" spans="1:6" x14ac:dyDescent="0.35">
      <c r="A837" s="2">
        <f ca="1">IFERROR(__xludf.DUMMYFUNCTION("""COMPUTED_VALUE"""),43217.6666666666)</f>
        <v>43217.666666666599</v>
      </c>
      <c r="B837" s="1">
        <f ca="1">IFERROR(__xludf.DUMMYFUNCTION("""COMPUTED_VALUE"""),97.6)</f>
        <v>97.6</v>
      </c>
      <c r="C837" s="1">
        <f ca="1">IFERROR(__xludf.DUMMYFUNCTION("""COMPUTED_VALUE"""),97.9)</f>
        <v>97.9</v>
      </c>
      <c r="D837" s="1">
        <f ca="1">IFERROR(__xludf.DUMMYFUNCTION("""COMPUTED_VALUE"""),93.91)</f>
        <v>93.91</v>
      </c>
      <c r="E837" s="1">
        <f ca="1">IFERROR(__xludf.DUMMYFUNCTION("""COMPUTED_VALUE"""),95.82)</f>
        <v>95.82</v>
      </c>
      <c r="F837" s="1">
        <f ca="1">IFERROR(__xludf.DUMMYFUNCTION("""COMPUTED_VALUE"""),48272780)</f>
        <v>48272780</v>
      </c>
    </row>
    <row r="838" spans="1:6" x14ac:dyDescent="0.35">
      <c r="A838" s="2">
        <f ca="1">IFERROR(__xludf.DUMMYFUNCTION("""COMPUTED_VALUE"""),43220.6666666666)</f>
        <v>43220.666666666599</v>
      </c>
      <c r="B838" s="1">
        <f ca="1">IFERROR(__xludf.DUMMYFUNCTION("""COMPUTED_VALUE"""),96.33)</f>
        <v>96.33</v>
      </c>
      <c r="C838" s="1">
        <f ca="1">IFERROR(__xludf.DUMMYFUNCTION("""COMPUTED_VALUE"""),96.4)</f>
        <v>96.4</v>
      </c>
      <c r="D838" s="1">
        <f ca="1">IFERROR(__xludf.DUMMYFUNCTION("""COMPUTED_VALUE"""),93.15)</f>
        <v>93.15</v>
      </c>
      <c r="E838" s="1">
        <f ca="1">IFERROR(__xludf.DUMMYFUNCTION("""COMPUTED_VALUE"""),93.52)</f>
        <v>93.52</v>
      </c>
      <c r="F838" s="1">
        <f ca="1">IFERROR(__xludf.DUMMYFUNCTION("""COMPUTED_VALUE"""),41523605)</f>
        <v>41523605</v>
      </c>
    </row>
    <row r="839" spans="1:6" x14ac:dyDescent="0.35">
      <c r="A839" s="2">
        <f ca="1">IFERROR(__xludf.DUMMYFUNCTION("""COMPUTED_VALUE"""),43221.6666666666)</f>
        <v>43221.666666666599</v>
      </c>
      <c r="B839" s="1">
        <f ca="1">IFERROR(__xludf.DUMMYFUNCTION("""COMPUTED_VALUE"""),93.21)</f>
        <v>93.21</v>
      </c>
      <c r="C839" s="1">
        <f ca="1">IFERROR(__xludf.DUMMYFUNCTION("""COMPUTED_VALUE"""),95.29)</f>
        <v>95.29</v>
      </c>
      <c r="D839" s="1">
        <f ca="1">IFERROR(__xludf.DUMMYFUNCTION("""COMPUTED_VALUE"""),92.79)</f>
        <v>92.79</v>
      </c>
      <c r="E839" s="1">
        <f ca="1">IFERROR(__xludf.DUMMYFUNCTION("""COMPUTED_VALUE"""),95)</f>
        <v>95</v>
      </c>
      <c r="F839" s="1">
        <f ca="1">IFERROR(__xludf.DUMMYFUNCTION("""COMPUTED_VALUE"""),31408927)</f>
        <v>31408927</v>
      </c>
    </row>
    <row r="840" spans="1:6" x14ac:dyDescent="0.35">
      <c r="A840" s="2">
        <f ca="1">IFERROR(__xludf.DUMMYFUNCTION("""COMPUTED_VALUE"""),43222.6666666666)</f>
        <v>43222.666666666599</v>
      </c>
      <c r="B840" s="1">
        <f ca="1">IFERROR(__xludf.DUMMYFUNCTION("""COMPUTED_VALUE"""),94.99)</f>
        <v>94.99</v>
      </c>
      <c r="C840" s="1">
        <f ca="1">IFERROR(__xludf.DUMMYFUNCTION("""COMPUTED_VALUE"""),95.17)</f>
        <v>95.17</v>
      </c>
      <c r="D840" s="1">
        <f ca="1">IFERROR(__xludf.DUMMYFUNCTION("""COMPUTED_VALUE"""),93.19)</f>
        <v>93.19</v>
      </c>
      <c r="E840" s="1">
        <f ca="1">IFERROR(__xludf.DUMMYFUNCTION("""COMPUTED_VALUE"""),93.51)</f>
        <v>93.51</v>
      </c>
      <c r="F840" s="1">
        <f ca="1">IFERROR(__xludf.DUMMYFUNCTION("""COMPUTED_VALUE"""),27471002)</f>
        <v>27471002</v>
      </c>
    </row>
    <row r="841" spans="1:6" x14ac:dyDescent="0.35">
      <c r="A841" s="2">
        <f ca="1">IFERROR(__xludf.DUMMYFUNCTION("""COMPUTED_VALUE"""),43223.6666666666)</f>
        <v>43223.666666666599</v>
      </c>
      <c r="B841" s="1">
        <f ca="1">IFERROR(__xludf.DUMMYFUNCTION("""COMPUTED_VALUE"""),92.96)</f>
        <v>92.96</v>
      </c>
      <c r="C841" s="1">
        <f ca="1">IFERROR(__xludf.DUMMYFUNCTION("""COMPUTED_VALUE"""),94.93)</f>
        <v>94.93</v>
      </c>
      <c r="D841" s="1">
        <f ca="1">IFERROR(__xludf.DUMMYFUNCTION("""COMPUTED_VALUE"""),92.45)</f>
        <v>92.45</v>
      </c>
      <c r="E841" s="1">
        <f ca="1">IFERROR(__xludf.DUMMYFUNCTION("""COMPUTED_VALUE"""),94.07)</f>
        <v>94.07</v>
      </c>
      <c r="F841" s="1">
        <f ca="1">IFERROR(__xludf.DUMMYFUNCTION("""COMPUTED_VALUE"""),31142497)</f>
        <v>31142497</v>
      </c>
    </row>
    <row r="842" spans="1:6" x14ac:dyDescent="0.35">
      <c r="A842" s="2">
        <f ca="1">IFERROR(__xludf.DUMMYFUNCTION("""COMPUTED_VALUE"""),43224.6666666666)</f>
        <v>43224.666666666599</v>
      </c>
      <c r="B842" s="1">
        <f ca="1">IFERROR(__xludf.DUMMYFUNCTION("""COMPUTED_VALUE"""),93.32)</f>
        <v>93.32</v>
      </c>
      <c r="C842" s="1">
        <f ca="1">IFERROR(__xludf.DUMMYFUNCTION("""COMPUTED_VALUE"""),95.37)</f>
        <v>95.37</v>
      </c>
      <c r="D842" s="1">
        <f ca="1">IFERROR(__xludf.DUMMYFUNCTION("""COMPUTED_VALUE"""),92.92)</f>
        <v>92.92</v>
      </c>
      <c r="E842" s="1">
        <f ca="1">IFERROR(__xludf.DUMMYFUNCTION("""COMPUTED_VALUE"""),95.16)</f>
        <v>95.16</v>
      </c>
      <c r="F842" s="1">
        <f ca="1">IFERROR(__xludf.DUMMYFUNCTION("""COMPUTED_VALUE"""),22531325)</f>
        <v>22531325</v>
      </c>
    </row>
    <row r="843" spans="1:6" x14ac:dyDescent="0.35">
      <c r="A843" s="2">
        <f ca="1">IFERROR(__xludf.DUMMYFUNCTION("""COMPUTED_VALUE"""),43227.6666666666)</f>
        <v>43227.666666666599</v>
      </c>
      <c r="B843" s="1">
        <f ca="1">IFERROR(__xludf.DUMMYFUNCTION("""COMPUTED_VALUE"""),95.17)</f>
        <v>95.17</v>
      </c>
      <c r="C843" s="1">
        <f ca="1">IFERROR(__xludf.DUMMYFUNCTION("""COMPUTED_VALUE"""),96.71)</f>
        <v>96.71</v>
      </c>
      <c r="D843" s="1">
        <f ca="1">IFERROR(__xludf.DUMMYFUNCTION("""COMPUTED_VALUE"""),95.1)</f>
        <v>95.1</v>
      </c>
      <c r="E843" s="1">
        <f ca="1">IFERROR(__xludf.DUMMYFUNCTION("""COMPUTED_VALUE"""),96.22)</f>
        <v>96.22</v>
      </c>
      <c r="F843" s="1">
        <f ca="1">IFERROR(__xludf.DUMMYFUNCTION("""COMPUTED_VALUE"""),24242019)</f>
        <v>24242019</v>
      </c>
    </row>
    <row r="844" spans="1:6" x14ac:dyDescent="0.35">
      <c r="A844" s="2">
        <f ca="1">IFERROR(__xludf.DUMMYFUNCTION("""COMPUTED_VALUE"""),43228.6666666666)</f>
        <v>43228.666666666599</v>
      </c>
      <c r="B844" s="1">
        <f ca="1">IFERROR(__xludf.DUMMYFUNCTION("""COMPUTED_VALUE"""),95.85)</f>
        <v>95.85</v>
      </c>
      <c r="C844" s="1">
        <f ca="1">IFERROR(__xludf.DUMMYFUNCTION("""COMPUTED_VALUE"""),96.16)</f>
        <v>96.16</v>
      </c>
      <c r="D844" s="1">
        <f ca="1">IFERROR(__xludf.DUMMYFUNCTION("""COMPUTED_VALUE"""),95.06)</f>
        <v>95.06</v>
      </c>
      <c r="E844" s="1">
        <f ca="1">IFERROR(__xludf.DUMMYFUNCTION("""COMPUTED_VALUE"""),95.81)</f>
        <v>95.81</v>
      </c>
      <c r="F844" s="1">
        <f ca="1">IFERROR(__xludf.DUMMYFUNCTION("""COMPUTED_VALUE"""),23484589)</f>
        <v>23484589</v>
      </c>
    </row>
    <row r="845" spans="1:6" x14ac:dyDescent="0.35">
      <c r="A845" s="2">
        <f ca="1">IFERROR(__xludf.DUMMYFUNCTION("""COMPUTED_VALUE"""),43229.6666666666)</f>
        <v>43229.666666666599</v>
      </c>
      <c r="B845" s="1">
        <f ca="1">IFERROR(__xludf.DUMMYFUNCTION("""COMPUTED_VALUE"""),96.01)</f>
        <v>96.01</v>
      </c>
      <c r="C845" s="1">
        <f ca="1">IFERROR(__xludf.DUMMYFUNCTION("""COMPUTED_VALUE"""),96.97)</f>
        <v>96.97</v>
      </c>
      <c r="D845" s="1">
        <f ca="1">IFERROR(__xludf.DUMMYFUNCTION("""COMPUTED_VALUE"""),95.05)</f>
        <v>95.05</v>
      </c>
      <c r="E845" s="1">
        <f ca="1">IFERROR(__xludf.DUMMYFUNCTION("""COMPUTED_VALUE"""),96.94)</f>
        <v>96.94</v>
      </c>
      <c r="F845" s="1">
        <f ca="1">IFERROR(__xludf.DUMMYFUNCTION("""COMPUTED_VALUE"""),27327410)</f>
        <v>27327410</v>
      </c>
    </row>
    <row r="846" spans="1:6" x14ac:dyDescent="0.35">
      <c r="A846" s="2">
        <f ca="1">IFERROR(__xludf.DUMMYFUNCTION("""COMPUTED_VALUE"""),43230.6666666666)</f>
        <v>43230.666666666599</v>
      </c>
      <c r="B846" s="1">
        <f ca="1">IFERROR(__xludf.DUMMYFUNCTION("""COMPUTED_VALUE"""),97.46)</f>
        <v>97.46</v>
      </c>
      <c r="C846" s="1">
        <f ca="1">IFERROR(__xludf.DUMMYFUNCTION("""COMPUTED_VALUE"""),97.95)</f>
        <v>97.95</v>
      </c>
      <c r="D846" s="1">
        <f ca="1">IFERROR(__xludf.DUMMYFUNCTION("""COMPUTED_VALUE"""),97.05)</f>
        <v>97.05</v>
      </c>
      <c r="E846" s="1">
        <f ca="1">IFERROR(__xludf.DUMMYFUNCTION("""COMPUTED_VALUE"""),97.91)</f>
        <v>97.91</v>
      </c>
      <c r="F846" s="1">
        <f ca="1">IFERROR(__xludf.DUMMYFUNCTION("""COMPUTED_VALUE"""),22388119)</f>
        <v>22388119</v>
      </c>
    </row>
    <row r="847" spans="1:6" x14ac:dyDescent="0.35">
      <c r="A847" s="2">
        <f ca="1">IFERROR(__xludf.DUMMYFUNCTION("""COMPUTED_VALUE"""),43231.6666666666)</f>
        <v>43231.666666666599</v>
      </c>
      <c r="B847" s="1">
        <f ca="1">IFERROR(__xludf.DUMMYFUNCTION("""COMPUTED_VALUE"""),97.8)</f>
        <v>97.8</v>
      </c>
      <c r="C847" s="1">
        <f ca="1">IFERROR(__xludf.DUMMYFUNCTION("""COMPUTED_VALUE"""),97.87)</f>
        <v>97.87</v>
      </c>
      <c r="D847" s="1">
        <f ca="1">IFERROR(__xludf.DUMMYFUNCTION("""COMPUTED_VALUE"""),97.04)</f>
        <v>97.04</v>
      </c>
      <c r="E847" s="1">
        <f ca="1">IFERROR(__xludf.DUMMYFUNCTION("""COMPUTED_VALUE"""),97.7)</f>
        <v>97.7</v>
      </c>
      <c r="F847" s="1">
        <f ca="1">IFERROR(__xludf.DUMMYFUNCTION("""COMPUTED_VALUE"""),16778316)</f>
        <v>16778316</v>
      </c>
    </row>
    <row r="848" spans="1:6" x14ac:dyDescent="0.35">
      <c r="A848" s="2">
        <f ca="1">IFERROR(__xludf.DUMMYFUNCTION("""COMPUTED_VALUE"""),43234.6666666666)</f>
        <v>43234.666666666599</v>
      </c>
      <c r="B848" s="1">
        <f ca="1">IFERROR(__xludf.DUMMYFUNCTION("""COMPUTED_VALUE"""),97.92)</f>
        <v>97.92</v>
      </c>
      <c r="C848" s="1">
        <f ca="1">IFERROR(__xludf.DUMMYFUNCTION("""COMPUTED_VALUE"""),98.69)</f>
        <v>98.69</v>
      </c>
      <c r="D848" s="1">
        <f ca="1">IFERROR(__xludf.DUMMYFUNCTION("""COMPUTED_VALUE"""),97.31)</f>
        <v>97.31</v>
      </c>
      <c r="E848" s="1">
        <f ca="1">IFERROR(__xludf.DUMMYFUNCTION("""COMPUTED_VALUE"""),98.03)</f>
        <v>98.03</v>
      </c>
      <c r="F848" s="1">
        <f ca="1">IFERROR(__xludf.DUMMYFUNCTION("""COMPUTED_VALUE"""),19454124)</f>
        <v>19454124</v>
      </c>
    </row>
    <row r="849" spans="1:6" x14ac:dyDescent="0.35">
      <c r="A849" s="2">
        <f ca="1">IFERROR(__xludf.DUMMYFUNCTION("""COMPUTED_VALUE"""),43235.6666666666)</f>
        <v>43235.666666666599</v>
      </c>
      <c r="B849" s="1">
        <f ca="1">IFERROR(__xludf.DUMMYFUNCTION("""COMPUTED_VALUE"""),97.24)</f>
        <v>97.24</v>
      </c>
      <c r="C849" s="1">
        <f ca="1">IFERROR(__xludf.DUMMYFUNCTION("""COMPUTED_VALUE"""),97.85)</f>
        <v>97.85</v>
      </c>
      <c r="D849" s="1">
        <f ca="1">IFERROR(__xludf.DUMMYFUNCTION("""COMPUTED_VALUE"""),96.34)</f>
        <v>96.34</v>
      </c>
      <c r="E849" s="1">
        <f ca="1">IFERROR(__xludf.DUMMYFUNCTION("""COMPUTED_VALUE"""),97.32)</f>
        <v>97.32</v>
      </c>
      <c r="F849" s="1">
        <f ca="1">IFERROR(__xludf.DUMMYFUNCTION("""COMPUTED_VALUE"""),24594010)</f>
        <v>24594010</v>
      </c>
    </row>
    <row r="850" spans="1:6" x14ac:dyDescent="0.35">
      <c r="A850" s="2">
        <f ca="1">IFERROR(__xludf.DUMMYFUNCTION("""COMPUTED_VALUE"""),43236.6666666666)</f>
        <v>43236.666666666599</v>
      </c>
      <c r="B850" s="1">
        <f ca="1">IFERROR(__xludf.DUMMYFUNCTION("""COMPUTED_VALUE"""),97.36)</f>
        <v>97.36</v>
      </c>
      <c r="C850" s="1">
        <f ca="1">IFERROR(__xludf.DUMMYFUNCTION("""COMPUTED_VALUE"""),97.4)</f>
        <v>97.4</v>
      </c>
      <c r="D850" s="1">
        <f ca="1">IFERROR(__xludf.DUMMYFUNCTION("""COMPUTED_VALUE"""),96.62)</f>
        <v>96.62</v>
      </c>
      <c r="E850" s="1">
        <f ca="1">IFERROR(__xludf.DUMMYFUNCTION("""COMPUTED_VALUE"""),97.15)</f>
        <v>97.15</v>
      </c>
      <c r="F850" s="1">
        <f ca="1">IFERROR(__xludf.DUMMYFUNCTION("""COMPUTED_VALUE"""),17384742)</f>
        <v>17384742</v>
      </c>
    </row>
    <row r="851" spans="1:6" x14ac:dyDescent="0.35">
      <c r="A851" s="2">
        <f ca="1">IFERROR(__xludf.DUMMYFUNCTION("""COMPUTED_VALUE"""),43237.6666666666)</f>
        <v>43237.666666666599</v>
      </c>
      <c r="B851" s="1">
        <f ca="1">IFERROR(__xludf.DUMMYFUNCTION("""COMPUTED_VALUE"""),96.76)</f>
        <v>96.76</v>
      </c>
      <c r="C851" s="1">
        <f ca="1">IFERROR(__xludf.DUMMYFUNCTION("""COMPUTED_VALUE"""),97.54)</f>
        <v>97.54</v>
      </c>
      <c r="D851" s="1">
        <f ca="1">IFERROR(__xludf.DUMMYFUNCTION("""COMPUTED_VALUE"""),95.83)</f>
        <v>95.83</v>
      </c>
      <c r="E851" s="1">
        <f ca="1">IFERROR(__xludf.DUMMYFUNCTION("""COMPUTED_VALUE"""),96.18)</f>
        <v>96.18</v>
      </c>
      <c r="F851" s="1">
        <f ca="1">IFERROR(__xludf.DUMMYFUNCTION("""COMPUTED_VALUE"""),17246716)</f>
        <v>17246716</v>
      </c>
    </row>
    <row r="852" spans="1:6" x14ac:dyDescent="0.35">
      <c r="A852" s="2">
        <f ca="1">IFERROR(__xludf.DUMMYFUNCTION("""COMPUTED_VALUE"""),43238.6666666666)</f>
        <v>43238.666666666599</v>
      </c>
      <c r="B852" s="1">
        <f ca="1">IFERROR(__xludf.DUMMYFUNCTION("""COMPUTED_VALUE"""),96.01)</f>
        <v>96.01</v>
      </c>
      <c r="C852" s="1">
        <f ca="1">IFERROR(__xludf.DUMMYFUNCTION("""COMPUTED_VALUE"""),96.93)</f>
        <v>96.93</v>
      </c>
      <c r="D852" s="1">
        <f ca="1">IFERROR(__xludf.DUMMYFUNCTION("""COMPUTED_VALUE"""),96.01)</f>
        <v>96.01</v>
      </c>
      <c r="E852" s="1">
        <f ca="1">IFERROR(__xludf.DUMMYFUNCTION("""COMPUTED_VALUE"""),96.36)</f>
        <v>96.36</v>
      </c>
      <c r="F852" s="1">
        <f ca="1">IFERROR(__xludf.DUMMYFUNCTION("""COMPUTED_VALUE"""),17865840)</f>
        <v>17865840</v>
      </c>
    </row>
    <row r="853" spans="1:6" x14ac:dyDescent="0.35">
      <c r="A853" s="2">
        <f ca="1">IFERROR(__xludf.DUMMYFUNCTION("""COMPUTED_VALUE"""),43241.6666666666)</f>
        <v>43241.666666666599</v>
      </c>
      <c r="B853" s="1">
        <f ca="1">IFERROR(__xludf.DUMMYFUNCTION("""COMPUTED_VALUE"""),97)</f>
        <v>97</v>
      </c>
      <c r="C853" s="1">
        <f ca="1">IFERROR(__xludf.DUMMYFUNCTION("""COMPUTED_VALUE"""),98.01)</f>
        <v>98.01</v>
      </c>
      <c r="D853" s="1">
        <f ca="1">IFERROR(__xludf.DUMMYFUNCTION("""COMPUTED_VALUE"""),96.8)</f>
        <v>96.8</v>
      </c>
      <c r="E853" s="1">
        <f ca="1">IFERROR(__xludf.DUMMYFUNCTION("""COMPUTED_VALUE"""),97.6)</f>
        <v>97.6</v>
      </c>
      <c r="F853" s="1">
        <f ca="1">IFERROR(__xludf.DUMMYFUNCTION("""COMPUTED_VALUE"""),19422467)</f>
        <v>19422467</v>
      </c>
    </row>
    <row r="854" spans="1:6" x14ac:dyDescent="0.35">
      <c r="A854" s="2">
        <f ca="1">IFERROR(__xludf.DUMMYFUNCTION("""COMPUTED_VALUE"""),43242.6666666666)</f>
        <v>43242.666666666599</v>
      </c>
      <c r="B854" s="1">
        <f ca="1">IFERROR(__xludf.DUMMYFUNCTION("""COMPUTED_VALUE"""),97.68)</f>
        <v>97.68</v>
      </c>
      <c r="C854" s="1">
        <f ca="1">IFERROR(__xludf.DUMMYFUNCTION("""COMPUTED_VALUE"""),98.17)</f>
        <v>98.17</v>
      </c>
      <c r="D854" s="1">
        <f ca="1">IFERROR(__xludf.DUMMYFUNCTION("""COMPUTED_VALUE"""),97.2)</f>
        <v>97.2</v>
      </c>
      <c r="E854" s="1">
        <f ca="1">IFERROR(__xludf.DUMMYFUNCTION("""COMPUTED_VALUE"""),97.5)</f>
        <v>97.5</v>
      </c>
      <c r="F854" s="1">
        <f ca="1">IFERROR(__xludf.DUMMYFUNCTION("""COMPUTED_VALUE"""),15441189)</f>
        <v>15441189</v>
      </c>
    </row>
    <row r="855" spans="1:6" x14ac:dyDescent="0.35">
      <c r="A855" s="2">
        <f ca="1">IFERROR(__xludf.DUMMYFUNCTION("""COMPUTED_VALUE"""),43243.6666666666)</f>
        <v>43243.666666666599</v>
      </c>
      <c r="B855" s="1">
        <f ca="1">IFERROR(__xludf.DUMMYFUNCTION("""COMPUTED_VALUE"""),96.71)</f>
        <v>96.71</v>
      </c>
      <c r="C855" s="1">
        <f ca="1">IFERROR(__xludf.DUMMYFUNCTION("""COMPUTED_VALUE"""),98.73)</f>
        <v>98.73</v>
      </c>
      <c r="D855" s="1">
        <f ca="1">IFERROR(__xludf.DUMMYFUNCTION("""COMPUTED_VALUE"""),96.32)</f>
        <v>96.32</v>
      </c>
      <c r="E855" s="1">
        <f ca="1">IFERROR(__xludf.DUMMYFUNCTION("""COMPUTED_VALUE"""),98.66)</f>
        <v>98.66</v>
      </c>
      <c r="F855" s="1">
        <f ca="1">IFERROR(__xludf.DUMMYFUNCTION("""COMPUTED_VALUE"""),21251222)</f>
        <v>21251222</v>
      </c>
    </row>
    <row r="856" spans="1:6" x14ac:dyDescent="0.35">
      <c r="A856" s="2">
        <f ca="1">IFERROR(__xludf.DUMMYFUNCTION("""COMPUTED_VALUE"""),43244.6666666666)</f>
        <v>43244.666666666599</v>
      </c>
      <c r="B856" s="1">
        <f ca="1">IFERROR(__xludf.DUMMYFUNCTION("""COMPUTED_VALUE"""),98.73)</f>
        <v>98.73</v>
      </c>
      <c r="C856" s="1">
        <f ca="1">IFERROR(__xludf.DUMMYFUNCTION("""COMPUTED_VALUE"""),98.94)</f>
        <v>98.94</v>
      </c>
      <c r="D856" s="1">
        <f ca="1">IFERROR(__xludf.DUMMYFUNCTION("""COMPUTED_VALUE"""),96.81)</f>
        <v>96.81</v>
      </c>
      <c r="E856" s="1">
        <f ca="1">IFERROR(__xludf.DUMMYFUNCTION("""COMPUTED_VALUE"""),98.31)</f>
        <v>98.31</v>
      </c>
      <c r="F856" s="1">
        <f ca="1">IFERROR(__xludf.DUMMYFUNCTION("""COMPUTED_VALUE"""),26649287)</f>
        <v>26649287</v>
      </c>
    </row>
    <row r="857" spans="1:6" x14ac:dyDescent="0.35">
      <c r="A857" s="2">
        <f ca="1">IFERROR(__xludf.DUMMYFUNCTION("""COMPUTED_VALUE"""),43245.6666666666)</f>
        <v>43245.666666666599</v>
      </c>
      <c r="B857" s="1">
        <f ca="1">IFERROR(__xludf.DUMMYFUNCTION("""COMPUTED_VALUE"""),98.3)</f>
        <v>98.3</v>
      </c>
      <c r="C857" s="1">
        <f ca="1">IFERROR(__xludf.DUMMYFUNCTION("""COMPUTED_VALUE"""),98.98)</f>
        <v>98.98</v>
      </c>
      <c r="D857" s="1">
        <f ca="1">IFERROR(__xludf.DUMMYFUNCTION("""COMPUTED_VALUE"""),97.86)</f>
        <v>97.86</v>
      </c>
      <c r="E857" s="1">
        <f ca="1">IFERROR(__xludf.DUMMYFUNCTION("""COMPUTED_VALUE"""),98.36)</f>
        <v>98.36</v>
      </c>
      <c r="F857" s="1">
        <f ca="1">IFERROR(__xludf.DUMMYFUNCTION("""COMPUTED_VALUE"""),18363918)</f>
        <v>18363918</v>
      </c>
    </row>
    <row r="858" spans="1:6" x14ac:dyDescent="0.35">
      <c r="A858" s="2">
        <f ca="1">IFERROR(__xludf.DUMMYFUNCTION("""COMPUTED_VALUE"""),43249.6666666666)</f>
        <v>43249.666666666599</v>
      </c>
      <c r="B858" s="1">
        <f ca="1">IFERROR(__xludf.DUMMYFUNCTION("""COMPUTED_VALUE"""),97.84)</f>
        <v>97.84</v>
      </c>
      <c r="C858" s="1">
        <f ca="1">IFERROR(__xludf.DUMMYFUNCTION("""COMPUTED_VALUE"""),98.88)</f>
        <v>98.88</v>
      </c>
      <c r="D858" s="1">
        <f ca="1">IFERROR(__xludf.DUMMYFUNCTION("""COMPUTED_VALUE"""),97.23)</f>
        <v>97.23</v>
      </c>
      <c r="E858" s="1">
        <f ca="1">IFERROR(__xludf.DUMMYFUNCTION("""COMPUTED_VALUE"""),98.01)</f>
        <v>98.01</v>
      </c>
      <c r="F858" s="1">
        <f ca="1">IFERROR(__xludf.DUMMYFUNCTION("""COMPUTED_VALUE"""),28670981)</f>
        <v>28670981</v>
      </c>
    </row>
    <row r="859" spans="1:6" x14ac:dyDescent="0.35">
      <c r="A859" s="2">
        <f ca="1">IFERROR(__xludf.DUMMYFUNCTION("""COMPUTED_VALUE"""),43250.6666666666)</f>
        <v>43250.666666666599</v>
      </c>
      <c r="B859" s="1">
        <f ca="1">IFERROR(__xludf.DUMMYFUNCTION("""COMPUTED_VALUE"""),98.31)</f>
        <v>98.31</v>
      </c>
      <c r="C859" s="1">
        <f ca="1">IFERROR(__xludf.DUMMYFUNCTION("""COMPUTED_VALUE"""),99.25)</f>
        <v>99.25</v>
      </c>
      <c r="D859" s="1">
        <f ca="1">IFERROR(__xludf.DUMMYFUNCTION("""COMPUTED_VALUE"""),97.91)</f>
        <v>97.91</v>
      </c>
      <c r="E859" s="1">
        <f ca="1">IFERROR(__xludf.DUMMYFUNCTION("""COMPUTED_VALUE"""),98.95)</f>
        <v>98.95</v>
      </c>
      <c r="F859" s="1">
        <f ca="1">IFERROR(__xludf.DUMMYFUNCTION("""COMPUTED_VALUE"""),22158528)</f>
        <v>22158528</v>
      </c>
    </row>
    <row r="860" spans="1:6" x14ac:dyDescent="0.35">
      <c r="A860" s="2">
        <f ca="1">IFERROR(__xludf.DUMMYFUNCTION("""COMPUTED_VALUE"""),43251.6666666666)</f>
        <v>43251.666666666599</v>
      </c>
      <c r="B860" s="1">
        <f ca="1">IFERROR(__xludf.DUMMYFUNCTION("""COMPUTED_VALUE"""),99.29)</f>
        <v>99.29</v>
      </c>
      <c r="C860" s="1">
        <f ca="1">IFERROR(__xludf.DUMMYFUNCTION("""COMPUTED_VALUE"""),99.99)</f>
        <v>99.99</v>
      </c>
      <c r="D860" s="1">
        <f ca="1">IFERROR(__xludf.DUMMYFUNCTION("""COMPUTED_VALUE"""),98.61)</f>
        <v>98.61</v>
      </c>
      <c r="E860" s="1">
        <f ca="1">IFERROR(__xludf.DUMMYFUNCTION("""COMPUTED_VALUE"""),98.84)</f>
        <v>98.84</v>
      </c>
      <c r="F860" s="1">
        <f ca="1">IFERROR(__xludf.DUMMYFUNCTION("""COMPUTED_VALUE"""),34140891)</f>
        <v>34140891</v>
      </c>
    </row>
    <row r="861" spans="1:6" x14ac:dyDescent="0.35">
      <c r="A861" s="2">
        <f ca="1">IFERROR(__xludf.DUMMYFUNCTION("""COMPUTED_VALUE"""),43252.6666666666)</f>
        <v>43252.666666666599</v>
      </c>
      <c r="B861" s="1">
        <f ca="1">IFERROR(__xludf.DUMMYFUNCTION("""COMPUTED_VALUE"""),99.28)</f>
        <v>99.28</v>
      </c>
      <c r="C861" s="1">
        <f ca="1">IFERROR(__xludf.DUMMYFUNCTION("""COMPUTED_VALUE"""),100.86)</f>
        <v>100.86</v>
      </c>
      <c r="D861" s="1">
        <f ca="1">IFERROR(__xludf.DUMMYFUNCTION("""COMPUTED_VALUE"""),99.17)</f>
        <v>99.17</v>
      </c>
      <c r="E861" s="1">
        <f ca="1">IFERROR(__xludf.DUMMYFUNCTION("""COMPUTED_VALUE"""),100.79)</f>
        <v>100.79</v>
      </c>
      <c r="F861" s="1">
        <f ca="1">IFERROR(__xludf.DUMMYFUNCTION("""COMPUTED_VALUE"""),28655624)</f>
        <v>28655624</v>
      </c>
    </row>
    <row r="862" spans="1:6" x14ac:dyDescent="0.35">
      <c r="A862" s="2">
        <f ca="1">IFERROR(__xludf.DUMMYFUNCTION("""COMPUTED_VALUE"""),43255.6666666666)</f>
        <v>43255.666666666599</v>
      </c>
      <c r="B862" s="1">
        <f ca="1">IFERROR(__xludf.DUMMYFUNCTION("""COMPUTED_VALUE"""),101.26)</f>
        <v>101.26</v>
      </c>
      <c r="C862" s="1">
        <f ca="1">IFERROR(__xludf.DUMMYFUNCTION("""COMPUTED_VALUE"""),101.86)</f>
        <v>101.86</v>
      </c>
      <c r="D862" s="1">
        <f ca="1">IFERROR(__xludf.DUMMYFUNCTION("""COMPUTED_VALUE"""),100.85)</f>
        <v>100.85</v>
      </c>
      <c r="E862" s="1">
        <f ca="1">IFERROR(__xludf.DUMMYFUNCTION("""COMPUTED_VALUE"""),101.67)</f>
        <v>101.67</v>
      </c>
      <c r="F862" s="1">
        <f ca="1">IFERROR(__xludf.DUMMYFUNCTION("""COMPUTED_VALUE"""),27281623)</f>
        <v>27281623</v>
      </c>
    </row>
    <row r="863" spans="1:6" x14ac:dyDescent="0.35">
      <c r="A863" s="2">
        <f ca="1">IFERROR(__xludf.DUMMYFUNCTION("""COMPUTED_VALUE"""),43256.6666666666)</f>
        <v>43256.666666666599</v>
      </c>
      <c r="B863" s="1">
        <f ca="1">IFERROR(__xludf.DUMMYFUNCTION("""COMPUTED_VALUE"""),102)</f>
        <v>102</v>
      </c>
      <c r="C863" s="1">
        <f ca="1">IFERROR(__xludf.DUMMYFUNCTION("""COMPUTED_VALUE"""),102.33)</f>
        <v>102.33</v>
      </c>
      <c r="D863" s="1">
        <f ca="1">IFERROR(__xludf.DUMMYFUNCTION("""COMPUTED_VALUE"""),101.53)</f>
        <v>101.53</v>
      </c>
      <c r="E863" s="1">
        <f ca="1">IFERROR(__xludf.DUMMYFUNCTION("""COMPUTED_VALUE"""),102.19)</f>
        <v>102.19</v>
      </c>
      <c r="F863" s="1">
        <f ca="1">IFERROR(__xludf.DUMMYFUNCTION("""COMPUTED_VALUE"""),23514402)</f>
        <v>23514402</v>
      </c>
    </row>
    <row r="864" spans="1:6" x14ac:dyDescent="0.35">
      <c r="A864" s="2">
        <f ca="1">IFERROR(__xludf.DUMMYFUNCTION("""COMPUTED_VALUE"""),43257.6666666666)</f>
        <v>43257.666666666599</v>
      </c>
      <c r="B864" s="1">
        <f ca="1">IFERROR(__xludf.DUMMYFUNCTION("""COMPUTED_VALUE"""),102.48)</f>
        <v>102.48</v>
      </c>
      <c r="C864" s="1">
        <f ca="1">IFERROR(__xludf.DUMMYFUNCTION("""COMPUTED_VALUE"""),102.6)</f>
        <v>102.6</v>
      </c>
      <c r="D864" s="1">
        <f ca="1">IFERROR(__xludf.DUMMYFUNCTION("""COMPUTED_VALUE"""),101.9)</f>
        <v>101.9</v>
      </c>
      <c r="E864" s="1">
        <f ca="1">IFERROR(__xludf.DUMMYFUNCTION("""COMPUTED_VALUE"""),102.49)</f>
        <v>102.49</v>
      </c>
      <c r="F864" s="1">
        <f ca="1">IFERROR(__xludf.DUMMYFUNCTION("""COMPUTED_VALUE"""),21122917)</f>
        <v>21122917</v>
      </c>
    </row>
    <row r="865" spans="1:6" x14ac:dyDescent="0.35">
      <c r="A865" s="2">
        <f ca="1">IFERROR(__xludf.DUMMYFUNCTION("""COMPUTED_VALUE"""),43258.6666666666)</f>
        <v>43258.666666666599</v>
      </c>
      <c r="B865" s="1">
        <f ca="1">IFERROR(__xludf.DUMMYFUNCTION("""COMPUTED_VALUE"""),102.65)</f>
        <v>102.65</v>
      </c>
      <c r="C865" s="1">
        <f ca="1">IFERROR(__xludf.DUMMYFUNCTION("""COMPUTED_VALUE"""),102.69)</f>
        <v>102.69</v>
      </c>
      <c r="D865" s="1">
        <f ca="1">IFERROR(__xludf.DUMMYFUNCTION("""COMPUTED_VALUE"""),100.38)</f>
        <v>100.38</v>
      </c>
      <c r="E865" s="1">
        <f ca="1">IFERROR(__xludf.DUMMYFUNCTION("""COMPUTED_VALUE"""),100.88)</f>
        <v>100.88</v>
      </c>
      <c r="F865" s="1">
        <f ca="1">IFERROR(__xludf.DUMMYFUNCTION("""COMPUTED_VALUE"""),28232197)</f>
        <v>28232197</v>
      </c>
    </row>
    <row r="866" spans="1:6" x14ac:dyDescent="0.35">
      <c r="A866" s="2">
        <f ca="1">IFERROR(__xludf.DUMMYFUNCTION("""COMPUTED_VALUE"""),43259.6666666666)</f>
        <v>43259.666666666599</v>
      </c>
      <c r="B866" s="1">
        <f ca="1">IFERROR(__xludf.DUMMYFUNCTION("""COMPUTED_VALUE"""),101.09)</f>
        <v>101.09</v>
      </c>
      <c r="C866" s="1">
        <f ca="1">IFERROR(__xludf.DUMMYFUNCTION("""COMPUTED_VALUE"""),101.95)</f>
        <v>101.95</v>
      </c>
      <c r="D866" s="1">
        <f ca="1">IFERROR(__xludf.DUMMYFUNCTION("""COMPUTED_VALUE"""),100.54)</f>
        <v>100.54</v>
      </c>
      <c r="E866" s="1">
        <f ca="1">IFERROR(__xludf.DUMMYFUNCTION("""COMPUTED_VALUE"""),101.63)</f>
        <v>101.63</v>
      </c>
      <c r="F866" s="1">
        <f ca="1">IFERROR(__xludf.DUMMYFUNCTION("""COMPUTED_VALUE"""),22165128)</f>
        <v>22165128</v>
      </c>
    </row>
    <row r="867" spans="1:6" x14ac:dyDescent="0.35">
      <c r="A867" s="2">
        <f ca="1">IFERROR(__xludf.DUMMYFUNCTION("""COMPUTED_VALUE"""),43262.6666666666)</f>
        <v>43262.666666666599</v>
      </c>
      <c r="B867" s="1">
        <f ca="1">IFERROR(__xludf.DUMMYFUNCTION("""COMPUTED_VALUE"""),101.37)</f>
        <v>101.37</v>
      </c>
      <c r="C867" s="1">
        <f ca="1">IFERROR(__xludf.DUMMYFUNCTION("""COMPUTED_VALUE"""),101.59)</f>
        <v>101.59</v>
      </c>
      <c r="D867" s="1">
        <f ca="1">IFERROR(__xludf.DUMMYFUNCTION("""COMPUTED_VALUE"""),100.67)</f>
        <v>100.67</v>
      </c>
      <c r="E867" s="1">
        <f ca="1">IFERROR(__xludf.DUMMYFUNCTION("""COMPUTED_VALUE"""),101.05)</f>
        <v>101.05</v>
      </c>
      <c r="F867" s="1">
        <f ca="1">IFERROR(__xludf.DUMMYFUNCTION("""COMPUTED_VALUE"""),23490894)</f>
        <v>23490894</v>
      </c>
    </row>
    <row r="868" spans="1:6" x14ac:dyDescent="0.35">
      <c r="A868" s="2">
        <f ca="1">IFERROR(__xludf.DUMMYFUNCTION("""COMPUTED_VALUE"""),43263.6666666666)</f>
        <v>43263.666666666599</v>
      </c>
      <c r="B868" s="1">
        <f ca="1">IFERROR(__xludf.DUMMYFUNCTION("""COMPUTED_VALUE"""),101.1)</f>
        <v>101.1</v>
      </c>
      <c r="C868" s="1">
        <f ca="1">IFERROR(__xludf.DUMMYFUNCTION("""COMPUTED_VALUE"""),101.45)</f>
        <v>101.45</v>
      </c>
      <c r="D868" s="1">
        <f ca="1">IFERROR(__xludf.DUMMYFUNCTION("""COMPUTED_VALUE"""),100.75)</f>
        <v>100.75</v>
      </c>
      <c r="E868" s="1">
        <f ca="1">IFERROR(__xludf.DUMMYFUNCTION("""COMPUTED_VALUE"""),101.31)</f>
        <v>101.31</v>
      </c>
      <c r="F868" s="1">
        <f ca="1">IFERROR(__xludf.DUMMYFUNCTION("""COMPUTED_VALUE"""),18325228)</f>
        <v>18325228</v>
      </c>
    </row>
    <row r="869" spans="1:6" x14ac:dyDescent="0.35">
      <c r="A869" s="2">
        <f ca="1">IFERROR(__xludf.DUMMYFUNCTION("""COMPUTED_VALUE"""),43264.6666666666)</f>
        <v>43264.666666666599</v>
      </c>
      <c r="B869" s="1">
        <f ca="1">IFERROR(__xludf.DUMMYFUNCTION("""COMPUTED_VALUE"""),101.72)</f>
        <v>101.72</v>
      </c>
      <c r="C869" s="1">
        <f ca="1">IFERROR(__xludf.DUMMYFUNCTION("""COMPUTED_VALUE"""),102.01)</f>
        <v>102.01</v>
      </c>
      <c r="D869" s="1">
        <f ca="1">IFERROR(__xludf.DUMMYFUNCTION("""COMPUTED_VALUE"""),100.56)</f>
        <v>100.56</v>
      </c>
      <c r="E869" s="1">
        <f ca="1">IFERROR(__xludf.DUMMYFUNCTION("""COMPUTED_VALUE"""),100.85)</f>
        <v>100.85</v>
      </c>
      <c r="F869" s="1">
        <f ca="1">IFERROR(__xludf.DUMMYFUNCTION("""COMPUTED_VALUE"""),29492875)</f>
        <v>29492875</v>
      </c>
    </row>
    <row r="870" spans="1:6" x14ac:dyDescent="0.35">
      <c r="A870" s="2">
        <f ca="1">IFERROR(__xludf.DUMMYFUNCTION("""COMPUTED_VALUE"""),43265.6666666666)</f>
        <v>43265.666666666599</v>
      </c>
      <c r="B870" s="1">
        <f ca="1">IFERROR(__xludf.DUMMYFUNCTION("""COMPUTED_VALUE"""),101.65)</f>
        <v>101.65</v>
      </c>
      <c r="C870" s="1">
        <f ca="1">IFERROR(__xludf.DUMMYFUNCTION("""COMPUTED_VALUE"""),102.03)</f>
        <v>102.03</v>
      </c>
      <c r="D870" s="1">
        <f ca="1">IFERROR(__xludf.DUMMYFUNCTION("""COMPUTED_VALUE"""),101)</f>
        <v>101</v>
      </c>
      <c r="E870" s="1">
        <f ca="1">IFERROR(__xludf.DUMMYFUNCTION("""COMPUTED_VALUE"""),101.42)</f>
        <v>101.42</v>
      </c>
      <c r="F870" s="1">
        <f ca="1">IFERROR(__xludf.DUMMYFUNCTION("""COMPUTED_VALUE"""),25691811)</f>
        <v>25691811</v>
      </c>
    </row>
    <row r="871" spans="1:6" x14ac:dyDescent="0.35">
      <c r="A871" s="2">
        <f ca="1">IFERROR(__xludf.DUMMYFUNCTION("""COMPUTED_VALUE"""),43266.6666666666)</f>
        <v>43266.666666666599</v>
      </c>
      <c r="B871" s="1">
        <f ca="1">IFERROR(__xludf.DUMMYFUNCTION("""COMPUTED_VALUE"""),101.51)</f>
        <v>101.51</v>
      </c>
      <c r="C871" s="1">
        <f ca="1">IFERROR(__xludf.DUMMYFUNCTION("""COMPUTED_VALUE"""),101.53)</f>
        <v>101.53</v>
      </c>
      <c r="D871" s="1">
        <f ca="1">IFERROR(__xludf.DUMMYFUNCTION("""COMPUTED_VALUE"""),100.07)</f>
        <v>100.07</v>
      </c>
      <c r="E871" s="1">
        <f ca="1">IFERROR(__xludf.DUMMYFUNCTION("""COMPUTED_VALUE"""),100.13)</f>
        <v>100.13</v>
      </c>
      <c r="F871" s="1">
        <f ca="1">IFERROR(__xludf.DUMMYFUNCTION("""COMPUTED_VALUE"""),65738585)</f>
        <v>65738585</v>
      </c>
    </row>
    <row r="872" spans="1:6" x14ac:dyDescent="0.35">
      <c r="A872" s="2">
        <f ca="1">IFERROR(__xludf.DUMMYFUNCTION("""COMPUTED_VALUE"""),43269.6666666666)</f>
        <v>43269.666666666599</v>
      </c>
      <c r="B872" s="1">
        <f ca="1">IFERROR(__xludf.DUMMYFUNCTION("""COMPUTED_VALUE"""),100.01)</f>
        <v>100.01</v>
      </c>
      <c r="C872" s="1">
        <f ca="1">IFERROR(__xludf.DUMMYFUNCTION("""COMPUTED_VALUE"""),101.11)</f>
        <v>101.11</v>
      </c>
      <c r="D872" s="1">
        <f ca="1">IFERROR(__xludf.DUMMYFUNCTION("""COMPUTED_VALUE"""),99.42)</f>
        <v>99.42</v>
      </c>
      <c r="E872" s="1">
        <f ca="1">IFERROR(__xludf.DUMMYFUNCTION("""COMPUTED_VALUE"""),100.86)</f>
        <v>100.86</v>
      </c>
      <c r="F872" s="1">
        <f ca="1">IFERROR(__xludf.DUMMYFUNCTION("""COMPUTED_VALUE"""),23586037)</f>
        <v>23586037</v>
      </c>
    </row>
    <row r="873" spans="1:6" x14ac:dyDescent="0.35">
      <c r="A873" s="2">
        <f ca="1">IFERROR(__xludf.DUMMYFUNCTION("""COMPUTED_VALUE"""),43270.6666666666)</f>
        <v>43270.666666666599</v>
      </c>
      <c r="B873" s="1">
        <f ca="1">IFERROR(__xludf.DUMMYFUNCTION("""COMPUTED_VALUE"""),99.65)</f>
        <v>99.65</v>
      </c>
      <c r="C873" s="1">
        <f ca="1">IFERROR(__xludf.DUMMYFUNCTION("""COMPUTED_VALUE"""),101)</f>
        <v>101</v>
      </c>
      <c r="D873" s="1">
        <f ca="1">IFERROR(__xludf.DUMMYFUNCTION("""COMPUTED_VALUE"""),99.5)</f>
        <v>99.5</v>
      </c>
      <c r="E873" s="1">
        <f ca="1">IFERROR(__xludf.DUMMYFUNCTION("""COMPUTED_VALUE"""),100.86)</f>
        <v>100.86</v>
      </c>
      <c r="F873" s="1">
        <f ca="1">IFERROR(__xludf.DUMMYFUNCTION("""COMPUTED_VALUE"""),28653087)</f>
        <v>28653087</v>
      </c>
    </row>
    <row r="874" spans="1:6" x14ac:dyDescent="0.35">
      <c r="A874" s="2">
        <f ca="1">IFERROR(__xludf.DUMMYFUNCTION("""COMPUTED_VALUE"""),43271.6666666666)</f>
        <v>43271.666666666599</v>
      </c>
      <c r="B874" s="1">
        <f ca="1">IFERROR(__xludf.DUMMYFUNCTION("""COMPUTED_VALUE"""),101.37)</f>
        <v>101.37</v>
      </c>
      <c r="C874" s="1">
        <f ca="1">IFERROR(__xludf.DUMMYFUNCTION("""COMPUTED_VALUE"""),102.52)</f>
        <v>102.52</v>
      </c>
      <c r="D874" s="1">
        <f ca="1">IFERROR(__xludf.DUMMYFUNCTION("""COMPUTED_VALUE"""),101.12)</f>
        <v>101.12</v>
      </c>
      <c r="E874" s="1">
        <f ca="1">IFERROR(__xludf.DUMMYFUNCTION("""COMPUTED_VALUE"""),101.87)</f>
        <v>101.87</v>
      </c>
      <c r="F874" s="1">
        <f ca="1">IFERROR(__xludf.DUMMYFUNCTION("""COMPUTED_VALUE"""),26180792)</f>
        <v>26180792</v>
      </c>
    </row>
    <row r="875" spans="1:6" x14ac:dyDescent="0.35">
      <c r="A875" s="2">
        <f ca="1">IFERROR(__xludf.DUMMYFUNCTION("""COMPUTED_VALUE"""),43272.6666666666)</f>
        <v>43272.666666666599</v>
      </c>
      <c r="B875" s="1">
        <f ca="1">IFERROR(__xludf.DUMMYFUNCTION("""COMPUTED_VALUE"""),102.08)</f>
        <v>102.08</v>
      </c>
      <c r="C875" s="1">
        <f ca="1">IFERROR(__xludf.DUMMYFUNCTION("""COMPUTED_VALUE"""),102.46)</f>
        <v>102.46</v>
      </c>
      <c r="D875" s="1">
        <f ca="1">IFERROR(__xludf.DUMMYFUNCTION("""COMPUTED_VALUE"""),100.88)</f>
        <v>100.88</v>
      </c>
      <c r="E875" s="1">
        <f ca="1">IFERROR(__xludf.DUMMYFUNCTION("""COMPUTED_VALUE"""),101.14)</f>
        <v>101.14</v>
      </c>
      <c r="F875" s="1">
        <f ca="1">IFERROR(__xludf.DUMMYFUNCTION("""COMPUTED_VALUE"""),23198188)</f>
        <v>23198188</v>
      </c>
    </row>
    <row r="876" spans="1:6" x14ac:dyDescent="0.35">
      <c r="A876" s="2">
        <f ca="1">IFERROR(__xludf.DUMMYFUNCTION("""COMPUTED_VALUE"""),43273.6666666666)</f>
        <v>43273.666666666599</v>
      </c>
      <c r="B876" s="1">
        <f ca="1">IFERROR(__xludf.DUMMYFUNCTION("""COMPUTED_VALUE"""),100.41)</f>
        <v>100.41</v>
      </c>
      <c r="C876" s="1">
        <f ca="1">IFERROR(__xludf.DUMMYFUNCTION("""COMPUTED_VALUE"""),100.77)</f>
        <v>100.77</v>
      </c>
      <c r="D876" s="1">
        <f ca="1">IFERROR(__xludf.DUMMYFUNCTION("""COMPUTED_VALUE"""),99.63)</f>
        <v>99.63</v>
      </c>
      <c r="E876" s="1">
        <f ca="1">IFERROR(__xludf.DUMMYFUNCTION("""COMPUTED_VALUE"""),100.41)</f>
        <v>100.41</v>
      </c>
      <c r="F876" s="1">
        <f ca="1">IFERROR(__xludf.DUMMYFUNCTION("""COMPUTED_VALUE"""),38923105)</f>
        <v>38923105</v>
      </c>
    </row>
    <row r="877" spans="1:6" x14ac:dyDescent="0.35">
      <c r="A877" s="2">
        <f ca="1">IFERROR(__xludf.DUMMYFUNCTION("""COMPUTED_VALUE"""),43276.6666666666)</f>
        <v>43276.666666666599</v>
      </c>
      <c r="B877" s="1">
        <f ca="1">IFERROR(__xludf.DUMMYFUNCTION("""COMPUTED_VALUE"""),100)</f>
        <v>100</v>
      </c>
      <c r="C877" s="1">
        <f ca="1">IFERROR(__xludf.DUMMYFUNCTION("""COMPUTED_VALUE"""),100.11)</f>
        <v>100.11</v>
      </c>
      <c r="D877" s="1">
        <f ca="1">IFERROR(__xludf.DUMMYFUNCTION("""COMPUTED_VALUE"""),97.3)</f>
        <v>97.3</v>
      </c>
      <c r="E877" s="1">
        <f ca="1">IFERROR(__xludf.DUMMYFUNCTION("""COMPUTED_VALUE"""),98.39)</f>
        <v>98.39</v>
      </c>
      <c r="F877" s="1">
        <f ca="1">IFERROR(__xludf.DUMMYFUNCTION("""COMPUTED_VALUE"""),35433333)</f>
        <v>35433333</v>
      </c>
    </row>
    <row r="878" spans="1:6" x14ac:dyDescent="0.35">
      <c r="A878" s="2">
        <f ca="1">IFERROR(__xludf.DUMMYFUNCTION("""COMPUTED_VALUE"""),43277.6666666666)</f>
        <v>43277.666666666599</v>
      </c>
      <c r="B878" s="1">
        <f ca="1">IFERROR(__xludf.DUMMYFUNCTION("""COMPUTED_VALUE"""),98.82)</f>
        <v>98.82</v>
      </c>
      <c r="C878" s="1">
        <f ca="1">IFERROR(__xludf.DUMMYFUNCTION("""COMPUTED_VALUE"""),100.08)</f>
        <v>100.08</v>
      </c>
      <c r="D878" s="1">
        <f ca="1">IFERROR(__xludf.DUMMYFUNCTION("""COMPUTED_VALUE"""),98.75)</f>
        <v>98.75</v>
      </c>
      <c r="E878" s="1">
        <f ca="1">IFERROR(__xludf.DUMMYFUNCTION("""COMPUTED_VALUE"""),99.08)</f>
        <v>99.08</v>
      </c>
      <c r="F878" s="1">
        <f ca="1">IFERROR(__xludf.DUMMYFUNCTION("""COMPUTED_VALUE"""),26897244)</f>
        <v>26897244</v>
      </c>
    </row>
    <row r="879" spans="1:6" x14ac:dyDescent="0.35">
      <c r="A879" s="2">
        <f ca="1">IFERROR(__xludf.DUMMYFUNCTION("""COMPUTED_VALUE"""),43278.6666666666)</f>
        <v>43278.666666666599</v>
      </c>
      <c r="B879" s="1">
        <f ca="1">IFERROR(__xludf.DUMMYFUNCTION("""COMPUTED_VALUE"""),99.58)</f>
        <v>99.58</v>
      </c>
      <c r="C879" s="1">
        <f ca="1">IFERROR(__xludf.DUMMYFUNCTION("""COMPUTED_VALUE"""),100.02)</f>
        <v>100.02</v>
      </c>
      <c r="D879" s="1">
        <f ca="1">IFERROR(__xludf.DUMMYFUNCTION("""COMPUTED_VALUE"""),97.4)</f>
        <v>97.4</v>
      </c>
      <c r="E879" s="1">
        <f ca="1">IFERROR(__xludf.DUMMYFUNCTION("""COMPUTED_VALUE"""),97.54)</f>
        <v>97.54</v>
      </c>
      <c r="F879" s="1">
        <f ca="1">IFERROR(__xludf.DUMMYFUNCTION("""COMPUTED_VALUE"""),31298386)</f>
        <v>31298386</v>
      </c>
    </row>
    <row r="880" spans="1:6" x14ac:dyDescent="0.35">
      <c r="A880" s="2">
        <f ca="1">IFERROR(__xludf.DUMMYFUNCTION("""COMPUTED_VALUE"""),43279.6666666666)</f>
        <v>43279.666666666599</v>
      </c>
      <c r="B880" s="1">
        <f ca="1">IFERROR(__xludf.DUMMYFUNCTION("""COMPUTED_VALUE"""),97.38)</f>
        <v>97.38</v>
      </c>
      <c r="C880" s="1">
        <f ca="1">IFERROR(__xludf.DUMMYFUNCTION("""COMPUTED_VALUE"""),99.11)</f>
        <v>99.11</v>
      </c>
      <c r="D880" s="1">
        <f ca="1">IFERROR(__xludf.DUMMYFUNCTION("""COMPUTED_VALUE"""),97.26)</f>
        <v>97.26</v>
      </c>
      <c r="E880" s="1">
        <f ca="1">IFERROR(__xludf.DUMMYFUNCTION("""COMPUTED_VALUE"""),98.63)</f>
        <v>98.63</v>
      </c>
      <c r="F880" s="1">
        <f ca="1">IFERROR(__xludf.DUMMYFUNCTION("""COMPUTED_VALUE"""),26650671)</f>
        <v>26650671</v>
      </c>
    </row>
    <row r="881" spans="1:6" x14ac:dyDescent="0.35">
      <c r="A881" s="2">
        <f ca="1">IFERROR(__xludf.DUMMYFUNCTION("""COMPUTED_VALUE"""),43280.6666666666)</f>
        <v>43280.666666666599</v>
      </c>
      <c r="B881" s="1">
        <f ca="1">IFERROR(__xludf.DUMMYFUNCTION("""COMPUTED_VALUE"""),98.93)</f>
        <v>98.93</v>
      </c>
      <c r="C881" s="1">
        <f ca="1">IFERROR(__xludf.DUMMYFUNCTION("""COMPUTED_VALUE"""),99.91)</f>
        <v>99.91</v>
      </c>
      <c r="D881" s="1">
        <f ca="1">IFERROR(__xludf.DUMMYFUNCTION("""COMPUTED_VALUE"""),98.33)</f>
        <v>98.33</v>
      </c>
      <c r="E881" s="1">
        <f ca="1">IFERROR(__xludf.DUMMYFUNCTION("""COMPUTED_VALUE"""),98.61)</f>
        <v>98.61</v>
      </c>
      <c r="F881" s="1">
        <f ca="1">IFERROR(__xludf.DUMMYFUNCTION("""COMPUTED_VALUE"""),28053214)</f>
        <v>28053214</v>
      </c>
    </row>
    <row r="882" spans="1:6" x14ac:dyDescent="0.35">
      <c r="A882" s="2">
        <f ca="1">IFERROR(__xludf.DUMMYFUNCTION("""COMPUTED_VALUE"""),43283.6666666666)</f>
        <v>43283.666666666599</v>
      </c>
      <c r="B882" s="1">
        <f ca="1">IFERROR(__xludf.DUMMYFUNCTION("""COMPUTED_VALUE"""),98.1)</f>
        <v>98.1</v>
      </c>
      <c r="C882" s="1">
        <f ca="1">IFERROR(__xludf.DUMMYFUNCTION("""COMPUTED_VALUE"""),100.06)</f>
        <v>100.06</v>
      </c>
      <c r="D882" s="1">
        <f ca="1">IFERROR(__xludf.DUMMYFUNCTION("""COMPUTED_VALUE"""),98)</f>
        <v>98</v>
      </c>
      <c r="E882" s="1">
        <f ca="1">IFERROR(__xludf.DUMMYFUNCTION("""COMPUTED_VALUE"""),100.01)</f>
        <v>100.01</v>
      </c>
      <c r="F882" s="1">
        <f ca="1">IFERROR(__xludf.DUMMYFUNCTION("""COMPUTED_VALUE"""),19564521)</f>
        <v>19564521</v>
      </c>
    </row>
    <row r="883" spans="1:6" x14ac:dyDescent="0.35">
      <c r="A883" s="2">
        <f ca="1">IFERROR(__xludf.DUMMYFUNCTION("""COMPUTED_VALUE"""),43284.5416666666)</f>
        <v>43284.541666666599</v>
      </c>
      <c r="B883" s="1">
        <f ca="1">IFERROR(__xludf.DUMMYFUNCTION("""COMPUTED_VALUE"""),100.48)</f>
        <v>100.48</v>
      </c>
      <c r="C883" s="1">
        <f ca="1">IFERROR(__xludf.DUMMYFUNCTION("""COMPUTED_VALUE"""),100.63)</f>
        <v>100.63</v>
      </c>
      <c r="D883" s="1">
        <f ca="1">IFERROR(__xludf.DUMMYFUNCTION("""COMPUTED_VALUE"""),98.94)</f>
        <v>98.94</v>
      </c>
      <c r="E883" s="1">
        <f ca="1">IFERROR(__xludf.DUMMYFUNCTION("""COMPUTED_VALUE"""),99.05)</f>
        <v>99.05</v>
      </c>
      <c r="F883" s="1">
        <f ca="1">IFERROR(__xludf.DUMMYFUNCTION("""COMPUTED_VALUE"""),14670275)</f>
        <v>14670275</v>
      </c>
    </row>
    <row r="884" spans="1:6" x14ac:dyDescent="0.35">
      <c r="A884" s="2">
        <f ca="1">IFERROR(__xludf.DUMMYFUNCTION("""COMPUTED_VALUE"""),43286.6666666666)</f>
        <v>43286.666666666599</v>
      </c>
      <c r="B884" s="1">
        <f ca="1">IFERROR(__xludf.DUMMYFUNCTION("""COMPUTED_VALUE"""),99.5)</f>
        <v>99.5</v>
      </c>
      <c r="C884" s="1">
        <f ca="1">IFERROR(__xludf.DUMMYFUNCTION("""COMPUTED_VALUE"""),99.92)</f>
        <v>99.92</v>
      </c>
      <c r="D884" s="1">
        <f ca="1">IFERROR(__xludf.DUMMYFUNCTION("""COMPUTED_VALUE"""),99.03)</f>
        <v>99.03</v>
      </c>
      <c r="E884" s="1">
        <f ca="1">IFERROR(__xludf.DUMMYFUNCTION("""COMPUTED_VALUE"""),99.76)</f>
        <v>99.76</v>
      </c>
      <c r="F884" s="1">
        <f ca="1">IFERROR(__xludf.DUMMYFUNCTION("""COMPUTED_VALUE"""),18977402)</f>
        <v>18977402</v>
      </c>
    </row>
    <row r="885" spans="1:6" x14ac:dyDescent="0.35">
      <c r="A885" s="2">
        <f ca="1">IFERROR(__xludf.DUMMYFUNCTION("""COMPUTED_VALUE"""),43287.6666666666)</f>
        <v>43287.666666666599</v>
      </c>
      <c r="B885" s="1">
        <f ca="1">IFERROR(__xludf.DUMMYFUNCTION("""COMPUTED_VALUE"""),99.89)</f>
        <v>99.89</v>
      </c>
      <c r="C885" s="1">
        <f ca="1">IFERROR(__xludf.DUMMYFUNCTION("""COMPUTED_VALUE"""),101.43)</f>
        <v>101.43</v>
      </c>
      <c r="D885" s="1">
        <f ca="1">IFERROR(__xludf.DUMMYFUNCTION("""COMPUTED_VALUE"""),99.67)</f>
        <v>99.67</v>
      </c>
      <c r="E885" s="1">
        <f ca="1">IFERROR(__xludf.DUMMYFUNCTION("""COMPUTED_VALUE"""),101.16)</f>
        <v>101.16</v>
      </c>
      <c r="F885" s="1">
        <f ca="1">IFERROR(__xludf.DUMMYFUNCTION("""COMPUTED_VALUE"""),19234627)</f>
        <v>19234627</v>
      </c>
    </row>
    <row r="886" spans="1:6" x14ac:dyDescent="0.35">
      <c r="A886" s="2">
        <f ca="1">IFERROR(__xludf.DUMMYFUNCTION("""COMPUTED_VALUE"""),43290.6666666666)</f>
        <v>43290.666666666599</v>
      </c>
      <c r="B886" s="1">
        <f ca="1">IFERROR(__xludf.DUMMYFUNCTION("""COMPUTED_VALUE"""),101.65)</f>
        <v>101.65</v>
      </c>
      <c r="C886" s="1">
        <f ca="1">IFERROR(__xludf.DUMMYFUNCTION("""COMPUTED_VALUE"""),102.25)</f>
        <v>102.25</v>
      </c>
      <c r="D886" s="1">
        <f ca="1">IFERROR(__xludf.DUMMYFUNCTION("""COMPUTED_VALUE"""),101.25)</f>
        <v>101.25</v>
      </c>
      <c r="E886" s="1">
        <f ca="1">IFERROR(__xludf.DUMMYFUNCTION("""COMPUTED_VALUE"""),101.85)</f>
        <v>101.85</v>
      </c>
      <c r="F886" s="1">
        <f ca="1">IFERROR(__xludf.DUMMYFUNCTION("""COMPUTED_VALUE"""),18211980)</f>
        <v>18211980</v>
      </c>
    </row>
    <row r="887" spans="1:6" x14ac:dyDescent="0.35">
      <c r="A887" s="2">
        <f ca="1">IFERROR(__xludf.DUMMYFUNCTION("""COMPUTED_VALUE"""),43291.6666666666)</f>
        <v>43291.666666666599</v>
      </c>
      <c r="B887" s="1">
        <f ca="1">IFERROR(__xludf.DUMMYFUNCTION("""COMPUTED_VALUE"""),102)</f>
        <v>102</v>
      </c>
      <c r="C887" s="1">
        <f ca="1">IFERROR(__xludf.DUMMYFUNCTION("""COMPUTED_VALUE"""),102.51)</f>
        <v>102.51</v>
      </c>
      <c r="D887" s="1">
        <f ca="1">IFERROR(__xludf.DUMMYFUNCTION("""COMPUTED_VALUE"""),101.86)</f>
        <v>101.86</v>
      </c>
      <c r="E887" s="1">
        <f ca="1">IFERROR(__xludf.DUMMYFUNCTION("""COMPUTED_VALUE"""),102.12)</f>
        <v>102.12</v>
      </c>
      <c r="F887" s="1">
        <f ca="1">IFERROR(__xludf.DUMMYFUNCTION("""COMPUTED_VALUE"""),19293140)</f>
        <v>19293140</v>
      </c>
    </row>
    <row r="888" spans="1:6" x14ac:dyDescent="0.35">
      <c r="A888" s="2">
        <f ca="1">IFERROR(__xludf.DUMMYFUNCTION("""COMPUTED_VALUE"""),43292.6666666666)</f>
        <v>43292.666666666599</v>
      </c>
      <c r="B888" s="1">
        <f ca="1">IFERROR(__xludf.DUMMYFUNCTION("""COMPUTED_VALUE"""),101.15)</f>
        <v>101.15</v>
      </c>
      <c r="C888" s="1">
        <f ca="1">IFERROR(__xludf.DUMMYFUNCTION("""COMPUTED_VALUE"""),102.34)</f>
        <v>102.34</v>
      </c>
      <c r="D888" s="1">
        <f ca="1">IFERROR(__xludf.DUMMYFUNCTION("""COMPUTED_VALUE"""),101.1)</f>
        <v>101.1</v>
      </c>
      <c r="E888" s="1">
        <f ca="1">IFERROR(__xludf.DUMMYFUNCTION("""COMPUTED_VALUE"""),101.98)</f>
        <v>101.98</v>
      </c>
      <c r="F888" s="1">
        <f ca="1">IFERROR(__xludf.DUMMYFUNCTION("""COMPUTED_VALUE"""),19644648)</f>
        <v>19644648</v>
      </c>
    </row>
    <row r="889" spans="1:6" x14ac:dyDescent="0.35">
      <c r="A889" s="2">
        <f ca="1">IFERROR(__xludf.DUMMYFUNCTION("""COMPUTED_VALUE"""),43293.6666666666)</f>
        <v>43293.666666666599</v>
      </c>
      <c r="B889" s="1">
        <f ca="1">IFERROR(__xludf.DUMMYFUNCTION("""COMPUTED_VALUE"""),102.77)</f>
        <v>102.77</v>
      </c>
      <c r="C889" s="1">
        <f ca="1">IFERROR(__xludf.DUMMYFUNCTION("""COMPUTED_VALUE"""),104.41)</f>
        <v>104.41</v>
      </c>
      <c r="D889" s="1">
        <f ca="1">IFERROR(__xludf.DUMMYFUNCTION("""COMPUTED_VALUE"""),102.73)</f>
        <v>102.73</v>
      </c>
      <c r="E889" s="1">
        <f ca="1">IFERROR(__xludf.DUMMYFUNCTION("""COMPUTED_VALUE"""),104.19)</f>
        <v>104.19</v>
      </c>
      <c r="F889" s="1">
        <f ca="1">IFERROR(__xludf.DUMMYFUNCTION("""COMPUTED_VALUE"""),24335929)</f>
        <v>24335929</v>
      </c>
    </row>
    <row r="890" spans="1:6" x14ac:dyDescent="0.35">
      <c r="A890" s="2">
        <f ca="1">IFERROR(__xludf.DUMMYFUNCTION("""COMPUTED_VALUE"""),43294.6666666666)</f>
        <v>43294.666666666599</v>
      </c>
      <c r="B890" s="1">
        <f ca="1">IFERROR(__xludf.DUMMYFUNCTION("""COMPUTED_VALUE"""),104.37)</f>
        <v>104.37</v>
      </c>
      <c r="C890" s="1">
        <f ca="1">IFERROR(__xludf.DUMMYFUNCTION("""COMPUTED_VALUE"""),105.6)</f>
        <v>105.6</v>
      </c>
      <c r="D890" s="1">
        <f ca="1">IFERROR(__xludf.DUMMYFUNCTION("""COMPUTED_VALUE"""),104.09)</f>
        <v>104.09</v>
      </c>
      <c r="E890" s="1">
        <f ca="1">IFERROR(__xludf.DUMMYFUNCTION("""COMPUTED_VALUE"""),105.43)</f>
        <v>105.43</v>
      </c>
      <c r="F890" s="1">
        <f ca="1">IFERROR(__xludf.DUMMYFUNCTION("""COMPUTED_VALUE"""),24653500)</f>
        <v>24653500</v>
      </c>
    </row>
    <row r="891" spans="1:6" x14ac:dyDescent="0.35">
      <c r="A891" s="2">
        <f ca="1">IFERROR(__xludf.DUMMYFUNCTION("""COMPUTED_VALUE"""),43297.6666666666)</f>
        <v>43297.666666666599</v>
      </c>
      <c r="B891" s="1">
        <f ca="1">IFERROR(__xludf.DUMMYFUNCTION("""COMPUTED_VALUE"""),105.4)</f>
        <v>105.4</v>
      </c>
      <c r="C891" s="1">
        <f ca="1">IFERROR(__xludf.DUMMYFUNCTION("""COMPUTED_VALUE"""),105.82)</f>
        <v>105.82</v>
      </c>
      <c r="D891" s="1">
        <f ca="1">IFERROR(__xludf.DUMMYFUNCTION("""COMPUTED_VALUE"""),104.52)</f>
        <v>104.52</v>
      </c>
      <c r="E891" s="1">
        <f ca="1">IFERROR(__xludf.DUMMYFUNCTION("""COMPUTED_VALUE"""),104.91)</f>
        <v>104.91</v>
      </c>
      <c r="F891" s="1">
        <f ca="1">IFERROR(__xludf.DUMMYFUNCTION("""COMPUTED_VALUE"""),21786912)</f>
        <v>21786912</v>
      </c>
    </row>
    <row r="892" spans="1:6" x14ac:dyDescent="0.35">
      <c r="A892" s="2">
        <f ca="1">IFERROR(__xludf.DUMMYFUNCTION("""COMPUTED_VALUE"""),43298.6666666666)</f>
        <v>43298.666666666599</v>
      </c>
      <c r="B892" s="1">
        <f ca="1">IFERROR(__xludf.DUMMYFUNCTION("""COMPUTED_VALUE"""),104.61)</f>
        <v>104.61</v>
      </c>
      <c r="C892" s="1">
        <f ca="1">IFERROR(__xludf.DUMMYFUNCTION("""COMPUTED_VALUE"""),106.5)</f>
        <v>106.5</v>
      </c>
      <c r="D892" s="1">
        <f ca="1">IFERROR(__xludf.DUMMYFUNCTION("""COMPUTED_VALUE"""),104.32)</f>
        <v>104.32</v>
      </c>
      <c r="E892" s="1">
        <f ca="1">IFERROR(__xludf.DUMMYFUNCTION("""COMPUTED_VALUE"""),105.95)</f>
        <v>105.95</v>
      </c>
      <c r="F892" s="1">
        <f ca="1">IFERROR(__xludf.DUMMYFUNCTION("""COMPUTED_VALUE"""),25901726)</f>
        <v>25901726</v>
      </c>
    </row>
    <row r="893" spans="1:6" x14ac:dyDescent="0.35">
      <c r="A893" s="2">
        <f ca="1">IFERROR(__xludf.DUMMYFUNCTION("""COMPUTED_VALUE"""),43299.6666666666)</f>
        <v>43299.666666666599</v>
      </c>
      <c r="B893" s="1">
        <f ca="1">IFERROR(__xludf.DUMMYFUNCTION("""COMPUTED_VALUE"""),105.94)</f>
        <v>105.94</v>
      </c>
      <c r="C893" s="1">
        <f ca="1">IFERROR(__xludf.DUMMYFUNCTION("""COMPUTED_VALUE"""),106.05)</f>
        <v>106.05</v>
      </c>
      <c r="D893" s="1">
        <f ca="1">IFERROR(__xludf.DUMMYFUNCTION("""COMPUTED_VALUE"""),104.72)</f>
        <v>104.72</v>
      </c>
      <c r="E893" s="1">
        <f ca="1">IFERROR(__xludf.DUMMYFUNCTION("""COMPUTED_VALUE"""),105.12)</f>
        <v>105.12</v>
      </c>
      <c r="F893" s="1">
        <f ca="1">IFERROR(__xludf.DUMMYFUNCTION("""COMPUTED_VALUE"""),29493927)</f>
        <v>29493927</v>
      </c>
    </row>
    <row r="894" spans="1:6" x14ac:dyDescent="0.35">
      <c r="A894" s="2">
        <f ca="1">IFERROR(__xludf.DUMMYFUNCTION("""COMPUTED_VALUE"""),43300.6666666666)</f>
        <v>43300.666666666599</v>
      </c>
      <c r="B894" s="1">
        <f ca="1">IFERROR(__xludf.DUMMYFUNCTION("""COMPUTED_VALUE"""),104.93)</f>
        <v>104.93</v>
      </c>
      <c r="C894" s="1">
        <f ca="1">IFERROR(__xludf.DUMMYFUNCTION("""COMPUTED_VALUE"""),105.31)</f>
        <v>105.31</v>
      </c>
      <c r="D894" s="1">
        <f ca="1">IFERROR(__xludf.DUMMYFUNCTION("""COMPUTED_VALUE"""),103.89)</f>
        <v>103.89</v>
      </c>
      <c r="E894" s="1">
        <f ca="1">IFERROR(__xludf.DUMMYFUNCTION("""COMPUTED_VALUE"""),104.4)</f>
        <v>104.4</v>
      </c>
      <c r="F894" s="1">
        <f ca="1">IFERROR(__xludf.DUMMYFUNCTION("""COMPUTED_VALUE"""),40171646)</f>
        <v>40171646</v>
      </c>
    </row>
    <row r="895" spans="1:6" x14ac:dyDescent="0.35">
      <c r="A895" s="2">
        <f ca="1">IFERROR(__xludf.DUMMYFUNCTION("""COMPUTED_VALUE"""),43301.6666666666)</f>
        <v>43301.666666666599</v>
      </c>
      <c r="B895" s="1">
        <f ca="1">IFERROR(__xludf.DUMMYFUNCTION("""COMPUTED_VALUE"""),108.08)</f>
        <v>108.08</v>
      </c>
      <c r="C895" s="1">
        <f ca="1">IFERROR(__xludf.DUMMYFUNCTION("""COMPUTED_VALUE"""),108.2)</f>
        <v>108.2</v>
      </c>
      <c r="D895" s="1">
        <f ca="1">IFERROR(__xludf.DUMMYFUNCTION("""COMPUTED_VALUE"""),106.08)</f>
        <v>106.08</v>
      </c>
      <c r="E895" s="1">
        <f ca="1">IFERROR(__xludf.DUMMYFUNCTION("""COMPUTED_VALUE"""),106.27)</f>
        <v>106.27</v>
      </c>
      <c r="F895" s="1">
        <f ca="1">IFERROR(__xludf.DUMMYFUNCTION("""COMPUTED_VALUE"""),56038827)</f>
        <v>56038827</v>
      </c>
    </row>
    <row r="896" spans="1:6" x14ac:dyDescent="0.35">
      <c r="A896" s="2">
        <f ca="1">IFERROR(__xludf.DUMMYFUNCTION("""COMPUTED_VALUE"""),43304.6666666666)</f>
        <v>43304.666666666599</v>
      </c>
      <c r="B896" s="1">
        <f ca="1">IFERROR(__xludf.DUMMYFUNCTION("""COMPUTED_VALUE"""),106.3)</f>
        <v>106.3</v>
      </c>
      <c r="C896" s="1">
        <f ca="1">IFERROR(__xludf.DUMMYFUNCTION("""COMPUTED_VALUE"""),108.14)</f>
        <v>108.14</v>
      </c>
      <c r="D896" s="1">
        <f ca="1">IFERROR(__xludf.DUMMYFUNCTION("""COMPUTED_VALUE"""),106.13)</f>
        <v>106.13</v>
      </c>
      <c r="E896" s="1">
        <f ca="1">IFERROR(__xludf.DUMMYFUNCTION("""COMPUTED_VALUE"""),107.97)</f>
        <v>107.97</v>
      </c>
      <c r="F896" s="1">
        <f ca="1">IFERROR(__xludf.DUMMYFUNCTION("""COMPUTED_VALUE"""),29706955)</f>
        <v>29706955</v>
      </c>
    </row>
    <row r="897" spans="1:6" x14ac:dyDescent="0.35">
      <c r="A897" s="2">
        <f ca="1">IFERROR(__xludf.DUMMYFUNCTION("""COMPUTED_VALUE"""),43305.6666666666)</f>
        <v>43305.666666666599</v>
      </c>
      <c r="B897" s="1">
        <f ca="1">IFERROR(__xludf.DUMMYFUNCTION("""COMPUTED_VALUE"""),108.57)</f>
        <v>108.57</v>
      </c>
      <c r="C897" s="1">
        <f ca="1">IFERROR(__xludf.DUMMYFUNCTION("""COMPUTED_VALUE"""),108.82)</f>
        <v>108.82</v>
      </c>
      <c r="D897" s="1">
        <f ca="1">IFERROR(__xludf.DUMMYFUNCTION("""COMPUTED_VALUE"""),107.26)</f>
        <v>107.26</v>
      </c>
      <c r="E897" s="1">
        <f ca="1">IFERROR(__xludf.DUMMYFUNCTION("""COMPUTED_VALUE"""),107.66)</f>
        <v>107.66</v>
      </c>
      <c r="F897" s="1">
        <f ca="1">IFERROR(__xludf.DUMMYFUNCTION("""COMPUTED_VALUE"""),26316619)</f>
        <v>26316619</v>
      </c>
    </row>
    <row r="898" spans="1:6" x14ac:dyDescent="0.35">
      <c r="A898" s="2">
        <f ca="1">IFERROR(__xludf.DUMMYFUNCTION("""COMPUTED_VALUE"""),43306.6666666666)</f>
        <v>43306.666666666599</v>
      </c>
      <c r="B898" s="1">
        <f ca="1">IFERROR(__xludf.DUMMYFUNCTION("""COMPUTED_VALUE"""),107.96)</f>
        <v>107.96</v>
      </c>
      <c r="C898" s="1">
        <f ca="1">IFERROR(__xludf.DUMMYFUNCTION("""COMPUTED_VALUE"""),111.15)</f>
        <v>111.15</v>
      </c>
      <c r="D898" s="1">
        <f ca="1">IFERROR(__xludf.DUMMYFUNCTION("""COMPUTED_VALUE"""),107.6)</f>
        <v>107.6</v>
      </c>
      <c r="E898" s="1">
        <f ca="1">IFERROR(__xludf.DUMMYFUNCTION("""COMPUTED_VALUE"""),110.83)</f>
        <v>110.83</v>
      </c>
      <c r="F898" s="1">
        <f ca="1">IFERROR(__xludf.DUMMYFUNCTION("""COMPUTED_VALUE"""),30798058)</f>
        <v>30798058</v>
      </c>
    </row>
    <row r="899" spans="1:6" x14ac:dyDescent="0.35">
      <c r="A899" s="2">
        <f ca="1">IFERROR(__xludf.DUMMYFUNCTION("""COMPUTED_VALUE"""),43307.6666666666)</f>
        <v>43307.666666666599</v>
      </c>
      <c r="B899" s="1">
        <f ca="1">IFERROR(__xludf.DUMMYFUNCTION("""COMPUTED_VALUE"""),110.74)</f>
        <v>110.74</v>
      </c>
      <c r="C899" s="1">
        <f ca="1">IFERROR(__xludf.DUMMYFUNCTION("""COMPUTED_VALUE"""),111)</f>
        <v>111</v>
      </c>
      <c r="D899" s="1">
        <f ca="1">IFERROR(__xludf.DUMMYFUNCTION("""COMPUTED_VALUE"""),109.5)</f>
        <v>109.5</v>
      </c>
      <c r="E899" s="1">
        <f ca="1">IFERROR(__xludf.DUMMYFUNCTION("""COMPUTED_VALUE"""),109.62)</f>
        <v>109.62</v>
      </c>
      <c r="F899" s="1">
        <f ca="1">IFERROR(__xludf.DUMMYFUNCTION("""COMPUTED_VALUE"""),31372110)</f>
        <v>31372110</v>
      </c>
    </row>
    <row r="900" spans="1:6" x14ac:dyDescent="0.35">
      <c r="A900" s="2">
        <f ca="1">IFERROR(__xludf.DUMMYFUNCTION("""COMPUTED_VALUE"""),43308.6666666666)</f>
        <v>43308.666666666599</v>
      </c>
      <c r="B900" s="1">
        <f ca="1">IFERROR(__xludf.DUMMYFUNCTION("""COMPUTED_VALUE"""),110.18)</f>
        <v>110.18</v>
      </c>
      <c r="C900" s="1">
        <f ca="1">IFERROR(__xludf.DUMMYFUNCTION("""COMPUTED_VALUE"""),110.18)</f>
        <v>110.18</v>
      </c>
      <c r="D900" s="1">
        <f ca="1">IFERROR(__xludf.DUMMYFUNCTION("""COMPUTED_VALUE"""),106.14)</f>
        <v>106.14</v>
      </c>
      <c r="E900" s="1">
        <f ca="1">IFERROR(__xludf.DUMMYFUNCTION("""COMPUTED_VALUE"""),107.68)</f>
        <v>107.68</v>
      </c>
      <c r="F900" s="1">
        <f ca="1">IFERROR(__xludf.DUMMYFUNCTION("""COMPUTED_VALUE"""),37005292)</f>
        <v>37005292</v>
      </c>
    </row>
    <row r="901" spans="1:6" x14ac:dyDescent="0.35">
      <c r="A901" s="2">
        <f ca="1">IFERROR(__xludf.DUMMYFUNCTION("""COMPUTED_VALUE"""),43311.6666666666)</f>
        <v>43311.666666666599</v>
      </c>
      <c r="B901" s="1">
        <f ca="1">IFERROR(__xludf.DUMMYFUNCTION("""COMPUTED_VALUE"""),107.19)</f>
        <v>107.19</v>
      </c>
      <c r="C901" s="1">
        <f ca="1">IFERROR(__xludf.DUMMYFUNCTION("""COMPUTED_VALUE"""),107.53)</f>
        <v>107.53</v>
      </c>
      <c r="D901" s="1">
        <f ca="1">IFERROR(__xludf.DUMMYFUNCTION("""COMPUTED_VALUE"""),104.76)</f>
        <v>104.76</v>
      </c>
      <c r="E901" s="1">
        <f ca="1">IFERROR(__xludf.DUMMYFUNCTION("""COMPUTED_VALUE"""),105.37)</f>
        <v>105.37</v>
      </c>
      <c r="F901" s="1">
        <f ca="1">IFERROR(__xludf.DUMMYFUNCTION("""COMPUTED_VALUE"""),34668327)</f>
        <v>34668327</v>
      </c>
    </row>
    <row r="902" spans="1:6" x14ac:dyDescent="0.35">
      <c r="A902" s="2">
        <f ca="1">IFERROR(__xludf.DUMMYFUNCTION("""COMPUTED_VALUE"""),43312.6666666666)</f>
        <v>43312.666666666599</v>
      </c>
      <c r="B902" s="1">
        <f ca="1">IFERROR(__xludf.DUMMYFUNCTION("""COMPUTED_VALUE"""),106.49)</f>
        <v>106.49</v>
      </c>
      <c r="C902" s="1">
        <f ca="1">IFERROR(__xludf.DUMMYFUNCTION("""COMPUTED_VALUE"""),106.72)</f>
        <v>106.72</v>
      </c>
      <c r="D902" s="1">
        <f ca="1">IFERROR(__xludf.DUMMYFUNCTION("""COMPUTED_VALUE"""),105.38)</f>
        <v>105.38</v>
      </c>
      <c r="E902" s="1">
        <f ca="1">IFERROR(__xludf.DUMMYFUNCTION("""COMPUTED_VALUE"""),106.08)</f>
        <v>106.08</v>
      </c>
      <c r="F902" s="1">
        <f ca="1">IFERROR(__xludf.DUMMYFUNCTION("""COMPUTED_VALUE"""),27655152)</f>
        <v>27655152</v>
      </c>
    </row>
    <row r="903" spans="1:6" x14ac:dyDescent="0.35">
      <c r="A903" s="2">
        <f ca="1">IFERROR(__xludf.DUMMYFUNCTION("""COMPUTED_VALUE"""),43313.6666666666)</f>
        <v>43313.666666666599</v>
      </c>
      <c r="B903" s="1">
        <f ca="1">IFERROR(__xludf.DUMMYFUNCTION("""COMPUTED_VALUE"""),106.03)</f>
        <v>106.03</v>
      </c>
      <c r="C903" s="1">
        <f ca="1">IFERROR(__xludf.DUMMYFUNCTION("""COMPUTED_VALUE"""),106.45)</f>
        <v>106.45</v>
      </c>
      <c r="D903" s="1">
        <f ca="1">IFERROR(__xludf.DUMMYFUNCTION("""COMPUTED_VALUE"""),105.42)</f>
        <v>105.42</v>
      </c>
      <c r="E903" s="1">
        <f ca="1">IFERROR(__xludf.DUMMYFUNCTION("""COMPUTED_VALUE"""),106.28)</f>
        <v>106.28</v>
      </c>
      <c r="F903" s="1">
        <f ca="1">IFERROR(__xludf.DUMMYFUNCTION("""COMPUTED_VALUE"""),23628699)</f>
        <v>23628699</v>
      </c>
    </row>
    <row r="904" spans="1:6" x14ac:dyDescent="0.35">
      <c r="A904" s="2">
        <f ca="1">IFERROR(__xludf.DUMMYFUNCTION("""COMPUTED_VALUE"""),43314.6666666666)</f>
        <v>43314.666666666599</v>
      </c>
      <c r="B904" s="1">
        <f ca="1">IFERROR(__xludf.DUMMYFUNCTION("""COMPUTED_VALUE"""),105.4)</f>
        <v>105.4</v>
      </c>
      <c r="C904" s="1">
        <f ca="1">IFERROR(__xludf.DUMMYFUNCTION("""COMPUTED_VALUE"""),108.09)</f>
        <v>108.09</v>
      </c>
      <c r="D904" s="1">
        <f ca="1">IFERROR(__xludf.DUMMYFUNCTION("""COMPUTED_VALUE"""),104.84)</f>
        <v>104.84</v>
      </c>
      <c r="E904" s="1">
        <f ca="1">IFERROR(__xludf.DUMMYFUNCTION("""COMPUTED_VALUE"""),107.57)</f>
        <v>107.57</v>
      </c>
      <c r="F904" s="1">
        <f ca="1">IFERROR(__xludf.DUMMYFUNCTION("""COMPUTED_VALUE"""),26104258)</f>
        <v>26104258</v>
      </c>
    </row>
    <row r="905" spans="1:6" x14ac:dyDescent="0.35">
      <c r="A905" s="2">
        <f ca="1">IFERROR(__xludf.DUMMYFUNCTION("""COMPUTED_VALUE"""),43315.6666666666)</f>
        <v>43315.666666666599</v>
      </c>
      <c r="B905" s="1">
        <f ca="1">IFERROR(__xludf.DUMMYFUNCTION("""COMPUTED_VALUE"""),107.8)</f>
        <v>107.8</v>
      </c>
      <c r="C905" s="1">
        <f ca="1">IFERROR(__xludf.DUMMYFUNCTION("""COMPUTED_VALUE"""),108.05)</f>
        <v>108.05</v>
      </c>
      <c r="D905" s="1">
        <f ca="1">IFERROR(__xludf.DUMMYFUNCTION("""COMPUTED_VALUE"""),106.82)</f>
        <v>106.82</v>
      </c>
      <c r="E905" s="1">
        <f ca="1">IFERROR(__xludf.DUMMYFUNCTION("""COMPUTED_VALUE"""),108.04)</f>
        <v>108.04</v>
      </c>
      <c r="F905" s="1">
        <f ca="1">IFERROR(__xludf.DUMMYFUNCTION("""COMPUTED_VALUE"""),18659599)</f>
        <v>18659599</v>
      </c>
    </row>
    <row r="906" spans="1:6" x14ac:dyDescent="0.35">
      <c r="A906" s="2">
        <f ca="1">IFERROR(__xludf.DUMMYFUNCTION("""COMPUTED_VALUE"""),43318.6666666666)</f>
        <v>43318.666666666599</v>
      </c>
      <c r="B906" s="1">
        <f ca="1">IFERROR(__xludf.DUMMYFUNCTION("""COMPUTED_VALUE"""),108.12)</f>
        <v>108.12</v>
      </c>
      <c r="C906" s="1">
        <f ca="1">IFERROR(__xludf.DUMMYFUNCTION("""COMPUTED_VALUE"""),108.42)</f>
        <v>108.42</v>
      </c>
      <c r="D906" s="1">
        <f ca="1">IFERROR(__xludf.DUMMYFUNCTION("""COMPUTED_VALUE"""),107.56)</f>
        <v>107.56</v>
      </c>
      <c r="E906" s="1">
        <f ca="1">IFERROR(__xludf.DUMMYFUNCTION("""COMPUTED_VALUE"""),108.13)</f>
        <v>108.13</v>
      </c>
      <c r="F906" s="1">
        <f ca="1">IFERROR(__xludf.DUMMYFUNCTION("""COMPUTED_VALUE"""),20265947)</f>
        <v>20265947</v>
      </c>
    </row>
    <row r="907" spans="1:6" x14ac:dyDescent="0.35">
      <c r="A907" s="2">
        <f ca="1">IFERROR(__xludf.DUMMYFUNCTION("""COMPUTED_VALUE"""),43319.6666666666)</f>
        <v>43319.666666666599</v>
      </c>
      <c r="B907" s="1">
        <f ca="1">IFERROR(__xludf.DUMMYFUNCTION("""COMPUTED_VALUE"""),108.56)</f>
        <v>108.56</v>
      </c>
      <c r="C907" s="1">
        <f ca="1">IFERROR(__xludf.DUMMYFUNCTION("""COMPUTED_VALUE"""),109.1)</f>
        <v>109.1</v>
      </c>
      <c r="D907" s="1">
        <f ca="1">IFERROR(__xludf.DUMMYFUNCTION("""COMPUTED_VALUE"""),108.17)</f>
        <v>108.17</v>
      </c>
      <c r="E907" s="1">
        <f ca="1">IFERROR(__xludf.DUMMYFUNCTION("""COMPUTED_VALUE"""),108.88)</f>
        <v>108.88</v>
      </c>
      <c r="F907" s="1">
        <f ca="1">IFERROR(__xludf.DUMMYFUNCTION("""COMPUTED_VALUE"""),16080214)</f>
        <v>16080214</v>
      </c>
    </row>
    <row r="908" spans="1:6" x14ac:dyDescent="0.35">
      <c r="A908" s="2">
        <f ca="1">IFERROR(__xludf.DUMMYFUNCTION("""COMPUTED_VALUE"""),43320.6666666666)</f>
        <v>43320.666666666599</v>
      </c>
      <c r="B908" s="1">
        <f ca="1">IFERROR(__xludf.DUMMYFUNCTION("""COMPUTED_VALUE"""),109.33)</f>
        <v>109.33</v>
      </c>
      <c r="C908" s="1">
        <f ca="1">IFERROR(__xludf.DUMMYFUNCTION("""COMPUTED_VALUE"""),109.75)</f>
        <v>109.75</v>
      </c>
      <c r="D908" s="1">
        <f ca="1">IFERROR(__xludf.DUMMYFUNCTION("""COMPUTED_VALUE"""),108.76)</f>
        <v>108.76</v>
      </c>
      <c r="E908" s="1">
        <f ca="1">IFERROR(__xludf.DUMMYFUNCTION("""COMPUTED_VALUE"""),109.49)</f>
        <v>109.49</v>
      </c>
      <c r="F908" s="1">
        <f ca="1">IFERROR(__xludf.DUMMYFUNCTION("""COMPUTED_VALUE"""),15487502)</f>
        <v>15487502</v>
      </c>
    </row>
    <row r="909" spans="1:6" x14ac:dyDescent="0.35">
      <c r="A909" s="2">
        <f ca="1">IFERROR(__xludf.DUMMYFUNCTION("""COMPUTED_VALUE"""),43321.6666666666)</f>
        <v>43321.666666666599</v>
      </c>
      <c r="B909" s="1">
        <f ca="1">IFERROR(__xludf.DUMMYFUNCTION("""COMPUTED_VALUE"""),109.71)</f>
        <v>109.71</v>
      </c>
      <c r="C909" s="1">
        <f ca="1">IFERROR(__xludf.DUMMYFUNCTION("""COMPUTED_VALUE"""),110.16)</f>
        <v>110.16</v>
      </c>
      <c r="D909" s="1">
        <f ca="1">IFERROR(__xludf.DUMMYFUNCTION("""COMPUTED_VALUE"""),109.6)</f>
        <v>109.6</v>
      </c>
      <c r="E909" s="1">
        <f ca="1">IFERROR(__xludf.DUMMYFUNCTION("""COMPUTED_VALUE"""),109.67)</f>
        <v>109.67</v>
      </c>
      <c r="F909" s="1">
        <f ca="1">IFERROR(__xludf.DUMMYFUNCTION("""COMPUTED_VALUE"""),13677211)</f>
        <v>13677211</v>
      </c>
    </row>
    <row r="910" spans="1:6" x14ac:dyDescent="0.35">
      <c r="A910" s="2">
        <f ca="1">IFERROR(__xludf.DUMMYFUNCTION("""COMPUTED_VALUE"""),43322.6666666666)</f>
        <v>43322.666666666599</v>
      </c>
      <c r="B910" s="1">
        <f ca="1">IFERROR(__xludf.DUMMYFUNCTION("""COMPUTED_VALUE"""),109.42)</f>
        <v>109.42</v>
      </c>
      <c r="C910" s="1">
        <f ca="1">IFERROR(__xludf.DUMMYFUNCTION("""COMPUTED_VALUE"""),109.69)</f>
        <v>109.69</v>
      </c>
      <c r="D910" s="1">
        <f ca="1">IFERROR(__xludf.DUMMYFUNCTION("""COMPUTED_VALUE"""),108.38)</f>
        <v>108.38</v>
      </c>
      <c r="E910" s="1">
        <f ca="1">IFERROR(__xludf.DUMMYFUNCTION("""COMPUTED_VALUE"""),109)</f>
        <v>109</v>
      </c>
      <c r="F910" s="1">
        <f ca="1">IFERROR(__xludf.DUMMYFUNCTION("""COMPUTED_VALUE"""),18183724)</f>
        <v>18183724</v>
      </c>
    </row>
    <row r="911" spans="1:6" x14ac:dyDescent="0.35">
      <c r="A911" s="2">
        <f ca="1">IFERROR(__xludf.DUMMYFUNCTION("""COMPUTED_VALUE"""),43325.6666666666)</f>
        <v>43325.666666666599</v>
      </c>
      <c r="B911" s="1">
        <f ca="1">IFERROR(__xludf.DUMMYFUNCTION("""COMPUTED_VALUE"""),109.24)</f>
        <v>109.24</v>
      </c>
      <c r="C911" s="1">
        <f ca="1">IFERROR(__xludf.DUMMYFUNCTION("""COMPUTED_VALUE"""),109.58)</f>
        <v>109.58</v>
      </c>
      <c r="D911" s="1">
        <f ca="1">IFERROR(__xludf.DUMMYFUNCTION("""COMPUTED_VALUE"""),108.1)</f>
        <v>108.1</v>
      </c>
      <c r="E911" s="1">
        <f ca="1">IFERROR(__xludf.DUMMYFUNCTION("""COMPUTED_VALUE"""),108.21)</f>
        <v>108.21</v>
      </c>
      <c r="F911" s="1">
        <f ca="1">IFERROR(__xludf.DUMMYFUNCTION("""COMPUTED_VALUE"""),18474884)</f>
        <v>18474884</v>
      </c>
    </row>
    <row r="912" spans="1:6" x14ac:dyDescent="0.35">
      <c r="A912" s="2">
        <f ca="1">IFERROR(__xludf.DUMMYFUNCTION("""COMPUTED_VALUE"""),43326.6666666666)</f>
        <v>43326.666666666599</v>
      </c>
      <c r="B912" s="1">
        <f ca="1">IFERROR(__xludf.DUMMYFUNCTION("""COMPUTED_VALUE"""),108.56)</f>
        <v>108.56</v>
      </c>
      <c r="C912" s="1">
        <f ca="1">IFERROR(__xludf.DUMMYFUNCTION("""COMPUTED_VALUE"""),109.75)</f>
        <v>109.75</v>
      </c>
      <c r="D912" s="1">
        <f ca="1">IFERROR(__xludf.DUMMYFUNCTION("""COMPUTED_VALUE"""),108.04)</f>
        <v>108.04</v>
      </c>
      <c r="E912" s="1">
        <f ca="1">IFERROR(__xludf.DUMMYFUNCTION("""COMPUTED_VALUE"""),109.56)</f>
        <v>109.56</v>
      </c>
      <c r="F912" s="1">
        <f ca="1">IFERROR(__xludf.DUMMYFUNCTION("""COMPUTED_VALUE"""),16788314)</f>
        <v>16788314</v>
      </c>
    </row>
    <row r="913" spans="1:6" x14ac:dyDescent="0.35">
      <c r="A913" s="2">
        <f ca="1">IFERROR(__xludf.DUMMYFUNCTION("""COMPUTED_VALUE"""),43327.6666666666)</f>
        <v>43327.666666666599</v>
      </c>
      <c r="B913" s="1">
        <f ca="1">IFERROR(__xludf.DUMMYFUNCTION("""COMPUTED_VALUE"""),108.49)</f>
        <v>108.49</v>
      </c>
      <c r="C913" s="1">
        <f ca="1">IFERROR(__xludf.DUMMYFUNCTION("""COMPUTED_VALUE"""),108.99)</f>
        <v>108.99</v>
      </c>
      <c r="D913" s="1">
        <f ca="1">IFERROR(__xludf.DUMMYFUNCTION("""COMPUTED_VALUE"""),106.82)</f>
        <v>106.82</v>
      </c>
      <c r="E913" s="1">
        <f ca="1">IFERROR(__xludf.DUMMYFUNCTION("""COMPUTED_VALUE"""),107.66)</f>
        <v>107.66</v>
      </c>
      <c r="F913" s="1">
        <f ca="1">IFERROR(__xludf.DUMMYFUNCTION("""COMPUTED_VALUE"""),29982806)</f>
        <v>29982806</v>
      </c>
    </row>
    <row r="914" spans="1:6" x14ac:dyDescent="0.35">
      <c r="A914" s="2">
        <f ca="1">IFERROR(__xludf.DUMMYFUNCTION("""COMPUTED_VALUE"""),43328.6666666666)</f>
        <v>43328.666666666599</v>
      </c>
      <c r="B914" s="1">
        <f ca="1">IFERROR(__xludf.DUMMYFUNCTION("""COMPUTED_VALUE"""),108.3)</f>
        <v>108.3</v>
      </c>
      <c r="C914" s="1">
        <f ca="1">IFERROR(__xludf.DUMMYFUNCTION("""COMPUTED_VALUE"""),108.86)</f>
        <v>108.86</v>
      </c>
      <c r="D914" s="1">
        <f ca="1">IFERROR(__xludf.DUMMYFUNCTION("""COMPUTED_VALUE"""),107.3)</f>
        <v>107.3</v>
      </c>
      <c r="E914" s="1">
        <f ca="1">IFERROR(__xludf.DUMMYFUNCTION("""COMPUTED_VALUE"""),107.64)</f>
        <v>107.64</v>
      </c>
      <c r="F914" s="1">
        <f ca="1">IFERROR(__xludf.DUMMYFUNCTION("""COMPUTED_VALUE"""),21384289)</f>
        <v>21384289</v>
      </c>
    </row>
    <row r="915" spans="1:6" x14ac:dyDescent="0.35">
      <c r="A915" s="2">
        <f ca="1">IFERROR(__xludf.DUMMYFUNCTION("""COMPUTED_VALUE"""),43329.6666666666)</f>
        <v>43329.666666666599</v>
      </c>
      <c r="B915" s="1">
        <f ca="1">IFERROR(__xludf.DUMMYFUNCTION("""COMPUTED_VALUE"""),107.36)</f>
        <v>107.36</v>
      </c>
      <c r="C915" s="1">
        <f ca="1">IFERROR(__xludf.DUMMYFUNCTION("""COMPUTED_VALUE"""),107.9)</f>
        <v>107.9</v>
      </c>
      <c r="D915" s="1">
        <f ca="1">IFERROR(__xludf.DUMMYFUNCTION("""COMPUTED_VALUE"""),106.69)</f>
        <v>106.69</v>
      </c>
      <c r="E915" s="1">
        <f ca="1">IFERROR(__xludf.DUMMYFUNCTION("""COMPUTED_VALUE"""),107.58)</f>
        <v>107.58</v>
      </c>
      <c r="F915" s="1">
        <f ca="1">IFERROR(__xludf.DUMMYFUNCTION("""COMPUTED_VALUE"""),18061512)</f>
        <v>18061512</v>
      </c>
    </row>
    <row r="916" spans="1:6" x14ac:dyDescent="0.35">
      <c r="A916" s="2">
        <f ca="1">IFERROR(__xludf.DUMMYFUNCTION("""COMPUTED_VALUE"""),43332.6666666666)</f>
        <v>43332.666666666599</v>
      </c>
      <c r="B916" s="1">
        <f ca="1">IFERROR(__xludf.DUMMYFUNCTION("""COMPUTED_VALUE"""),107.51)</f>
        <v>107.51</v>
      </c>
      <c r="C916" s="1">
        <f ca="1">IFERROR(__xludf.DUMMYFUNCTION("""COMPUTED_VALUE"""),107.9)</f>
        <v>107.9</v>
      </c>
      <c r="D916" s="1">
        <f ca="1">IFERROR(__xludf.DUMMYFUNCTION("""COMPUTED_VALUE"""),106.48)</f>
        <v>106.48</v>
      </c>
      <c r="E916" s="1">
        <f ca="1">IFERROR(__xludf.DUMMYFUNCTION("""COMPUTED_VALUE"""),106.87)</f>
        <v>106.87</v>
      </c>
      <c r="F916" s="1">
        <f ca="1">IFERROR(__xludf.DUMMYFUNCTION("""COMPUTED_VALUE"""),17914201)</f>
        <v>17914201</v>
      </c>
    </row>
    <row r="917" spans="1:6" x14ac:dyDescent="0.35">
      <c r="A917" s="2">
        <f ca="1">IFERROR(__xludf.DUMMYFUNCTION("""COMPUTED_VALUE"""),43333.6666666666)</f>
        <v>43333.666666666599</v>
      </c>
      <c r="B917" s="1">
        <f ca="1">IFERROR(__xludf.DUMMYFUNCTION("""COMPUTED_VALUE"""),106.92)</f>
        <v>106.92</v>
      </c>
      <c r="C917" s="1">
        <f ca="1">IFERROR(__xludf.DUMMYFUNCTION("""COMPUTED_VALUE"""),107.35)</f>
        <v>107.35</v>
      </c>
      <c r="D917" s="1">
        <f ca="1">IFERROR(__xludf.DUMMYFUNCTION("""COMPUTED_VALUE"""),105.85)</f>
        <v>105.85</v>
      </c>
      <c r="E917" s="1">
        <f ca="1">IFERROR(__xludf.DUMMYFUNCTION("""COMPUTED_VALUE"""),105.98)</f>
        <v>105.98</v>
      </c>
      <c r="F917" s="1">
        <f ca="1">IFERROR(__xludf.DUMMYFUNCTION("""COMPUTED_VALUE"""),22881861)</f>
        <v>22881861</v>
      </c>
    </row>
    <row r="918" spans="1:6" x14ac:dyDescent="0.35">
      <c r="A918" s="2">
        <f ca="1">IFERROR(__xludf.DUMMYFUNCTION("""COMPUTED_VALUE"""),43334.6666666666)</f>
        <v>43334.666666666599</v>
      </c>
      <c r="B918" s="1">
        <f ca="1">IFERROR(__xludf.DUMMYFUNCTION("""COMPUTED_VALUE"""),105.85)</f>
        <v>105.85</v>
      </c>
      <c r="C918" s="1">
        <f ca="1">IFERROR(__xludf.DUMMYFUNCTION("""COMPUTED_VALUE"""),107.34)</f>
        <v>107.34</v>
      </c>
      <c r="D918" s="1">
        <f ca="1">IFERROR(__xludf.DUMMYFUNCTION("""COMPUTED_VALUE"""),105.78)</f>
        <v>105.78</v>
      </c>
      <c r="E918" s="1">
        <f ca="1">IFERROR(__xludf.DUMMYFUNCTION("""COMPUTED_VALUE"""),107.06)</f>
        <v>107.06</v>
      </c>
      <c r="F918" s="1">
        <f ca="1">IFERROR(__xludf.DUMMYFUNCTION("""COMPUTED_VALUE"""),18000639)</f>
        <v>18000639</v>
      </c>
    </row>
    <row r="919" spans="1:6" x14ac:dyDescent="0.35">
      <c r="A919" s="2">
        <f ca="1">IFERROR(__xludf.DUMMYFUNCTION("""COMPUTED_VALUE"""),43335.6666666666)</f>
        <v>43335.666666666599</v>
      </c>
      <c r="B919" s="1">
        <f ca="1">IFERROR(__xludf.DUMMYFUNCTION("""COMPUTED_VALUE"""),107.15)</f>
        <v>107.15</v>
      </c>
      <c r="C919" s="1">
        <f ca="1">IFERROR(__xludf.DUMMYFUNCTION("""COMPUTED_VALUE"""),108.18)</f>
        <v>108.18</v>
      </c>
      <c r="D919" s="1">
        <f ca="1">IFERROR(__xludf.DUMMYFUNCTION("""COMPUTED_VALUE"""),106.87)</f>
        <v>106.87</v>
      </c>
      <c r="E919" s="1">
        <f ca="1">IFERROR(__xludf.DUMMYFUNCTION("""COMPUTED_VALUE"""),107.56)</f>
        <v>107.56</v>
      </c>
      <c r="F919" s="1">
        <f ca="1">IFERROR(__xludf.DUMMYFUNCTION("""COMPUTED_VALUE"""),18167723)</f>
        <v>18167723</v>
      </c>
    </row>
    <row r="920" spans="1:6" x14ac:dyDescent="0.35">
      <c r="A920" s="2">
        <f ca="1">IFERROR(__xludf.DUMMYFUNCTION("""COMPUTED_VALUE"""),43336.6666666666)</f>
        <v>43336.666666666599</v>
      </c>
      <c r="B920" s="1">
        <f ca="1">IFERROR(__xludf.DUMMYFUNCTION("""COMPUTED_VALUE"""),107.67)</f>
        <v>107.67</v>
      </c>
      <c r="C920" s="1">
        <f ca="1">IFERROR(__xludf.DUMMYFUNCTION("""COMPUTED_VALUE"""),108.56)</f>
        <v>108.56</v>
      </c>
      <c r="D920" s="1">
        <f ca="1">IFERROR(__xludf.DUMMYFUNCTION("""COMPUTED_VALUE"""),107.56)</f>
        <v>107.56</v>
      </c>
      <c r="E920" s="1">
        <f ca="1">IFERROR(__xludf.DUMMYFUNCTION("""COMPUTED_VALUE"""),108.4)</f>
        <v>108.4</v>
      </c>
      <c r="F920" s="1">
        <f ca="1">IFERROR(__xludf.DUMMYFUNCTION("""COMPUTED_VALUE"""),17234020)</f>
        <v>17234020</v>
      </c>
    </row>
    <row r="921" spans="1:6" x14ac:dyDescent="0.35">
      <c r="A921" s="2">
        <f ca="1">IFERROR(__xludf.DUMMYFUNCTION("""COMPUTED_VALUE"""),43339.6666666666)</f>
        <v>43339.666666666599</v>
      </c>
      <c r="B921" s="1">
        <f ca="1">IFERROR(__xludf.DUMMYFUNCTION("""COMPUTED_VALUE"""),109.27)</f>
        <v>109.27</v>
      </c>
      <c r="C921" s="1">
        <f ca="1">IFERROR(__xludf.DUMMYFUNCTION("""COMPUTED_VALUE"""),109.64)</f>
        <v>109.64</v>
      </c>
      <c r="D921" s="1">
        <f ca="1">IFERROR(__xludf.DUMMYFUNCTION("""COMPUTED_VALUE"""),108.51)</f>
        <v>108.51</v>
      </c>
      <c r="E921" s="1">
        <f ca="1">IFERROR(__xludf.DUMMYFUNCTION("""COMPUTED_VALUE"""),109.6)</f>
        <v>109.6</v>
      </c>
      <c r="F921" s="1">
        <f ca="1">IFERROR(__xludf.DUMMYFUNCTION("""COMPUTED_VALUE"""),19662331)</f>
        <v>19662331</v>
      </c>
    </row>
    <row r="922" spans="1:6" x14ac:dyDescent="0.35">
      <c r="A922" s="2">
        <f ca="1">IFERROR(__xludf.DUMMYFUNCTION("""COMPUTED_VALUE"""),43340.6666666666)</f>
        <v>43340.666666666599</v>
      </c>
      <c r="B922" s="1">
        <f ca="1">IFERROR(__xludf.DUMMYFUNCTION("""COMPUTED_VALUE"""),109.94)</f>
        <v>109.94</v>
      </c>
      <c r="C922" s="1">
        <f ca="1">IFERROR(__xludf.DUMMYFUNCTION("""COMPUTED_VALUE"""),110.5)</f>
        <v>110.5</v>
      </c>
      <c r="D922" s="1">
        <f ca="1">IFERROR(__xludf.DUMMYFUNCTION("""COMPUTED_VALUE"""),109.79)</f>
        <v>109.79</v>
      </c>
      <c r="E922" s="1">
        <f ca="1">IFERROR(__xludf.DUMMYFUNCTION("""COMPUTED_VALUE"""),110.26)</f>
        <v>110.26</v>
      </c>
      <c r="F922" s="1">
        <f ca="1">IFERROR(__xludf.DUMMYFUNCTION("""COMPUTED_VALUE"""),19151528)</f>
        <v>19151528</v>
      </c>
    </row>
    <row r="923" spans="1:6" x14ac:dyDescent="0.35">
      <c r="A923" s="2">
        <f ca="1">IFERROR(__xludf.DUMMYFUNCTION("""COMPUTED_VALUE"""),43341.6666666666)</f>
        <v>43341.666666666599</v>
      </c>
      <c r="B923" s="1">
        <f ca="1">IFERROR(__xludf.DUMMYFUNCTION("""COMPUTED_VALUE"""),110.45)</f>
        <v>110.45</v>
      </c>
      <c r="C923" s="1">
        <f ca="1">IFERROR(__xludf.DUMMYFUNCTION("""COMPUTED_VALUE"""),112.03)</f>
        <v>112.03</v>
      </c>
      <c r="D923" s="1">
        <f ca="1">IFERROR(__xludf.DUMMYFUNCTION("""COMPUTED_VALUE"""),110.27)</f>
        <v>110.27</v>
      </c>
      <c r="E923" s="1">
        <f ca="1">IFERROR(__xludf.DUMMYFUNCTION("""COMPUTED_VALUE"""),112.02)</f>
        <v>112.02</v>
      </c>
      <c r="F923" s="1">
        <f ca="1">IFERROR(__xludf.DUMMYFUNCTION("""COMPUTED_VALUE"""),20818044)</f>
        <v>20818044</v>
      </c>
    </row>
    <row r="924" spans="1:6" x14ac:dyDescent="0.35">
      <c r="A924" s="2">
        <f ca="1">IFERROR(__xludf.DUMMYFUNCTION("""COMPUTED_VALUE"""),43342.6666666666)</f>
        <v>43342.666666666599</v>
      </c>
      <c r="B924" s="1">
        <f ca="1">IFERROR(__xludf.DUMMYFUNCTION("""COMPUTED_VALUE"""),111.67)</f>
        <v>111.67</v>
      </c>
      <c r="C924" s="1">
        <f ca="1">IFERROR(__xludf.DUMMYFUNCTION("""COMPUTED_VALUE"""),112.61)</f>
        <v>112.61</v>
      </c>
      <c r="D924" s="1">
        <f ca="1">IFERROR(__xludf.DUMMYFUNCTION("""COMPUTED_VALUE"""),111.44)</f>
        <v>111.44</v>
      </c>
      <c r="E924" s="1">
        <f ca="1">IFERROR(__xludf.DUMMYFUNCTION("""COMPUTED_VALUE"""),111.95)</f>
        <v>111.95</v>
      </c>
      <c r="F924" s="1">
        <f ca="1">IFERROR(__xludf.DUMMYFUNCTION("""COMPUTED_VALUE"""),22798702)</f>
        <v>22798702</v>
      </c>
    </row>
    <row r="925" spans="1:6" x14ac:dyDescent="0.35">
      <c r="A925" s="2">
        <f ca="1">IFERROR(__xludf.DUMMYFUNCTION("""COMPUTED_VALUE"""),43343.6666666666)</f>
        <v>43343.666666666599</v>
      </c>
      <c r="B925" s="1">
        <f ca="1">IFERROR(__xludf.DUMMYFUNCTION("""COMPUTED_VALUE"""),111.69)</f>
        <v>111.69</v>
      </c>
      <c r="C925" s="1">
        <f ca="1">IFERROR(__xludf.DUMMYFUNCTION("""COMPUTED_VALUE"""),112.78)</f>
        <v>112.78</v>
      </c>
      <c r="D925" s="1">
        <f ca="1">IFERROR(__xludf.DUMMYFUNCTION("""COMPUTED_VALUE"""),111.52)</f>
        <v>111.52</v>
      </c>
      <c r="E925" s="1">
        <f ca="1">IFERROR(__xludf.DUMMYFUNCTION("""COMPUTED_VALUE"""),112.33)</f>
        <v>112.33</v>
      </c>
      <c r="F925" s="1">
        <f ca="1">IFERROR(__xludf.DUMMYFUNCTION("""COMPUTED_VALUE"""),23222713)</f>
        <v>23222713</v>
      </c>
    </row>
    <row r="926" spans="1:6" x14ac:dyDescent="0.35">
      <c r="A926" s="2">
        <f ca="1">IFERROR(__xludf.DUMMYFUNCTION("""COMPUTED_VALUE"""),43347.6666666666)</f>
        <v>43347.666666666599</v>
      </c>
      <c r="B926" s="1">
        <f ca="1">IFERROR(__xludf.DUMMYFUNCTION("""COMPUTED_VALUE"""),110.85)</f>
        <v>110.85</v>
      </c>
      <c r="C926" s="1">
        <f ca="1">IFERROR(__xludf.DUMMYFUNCTION("""COMPUTED_VALUE"""),111.96)</f>
        <v>111.96</v>
      </c>
      <c r="D926" s="1">
        <f ca="1">IFERROR(__xludf.DUMMYFUNCTION("""COMPUTED_VALUE"""),110.22)</f>
        <v>110.22</v>
      </c>
      <c r="E926" s="1">
        <f ca="1">IFERROR(__xludf.DUMMYFUNCTION("""COMPUTED_VALUE"""),111.71)</f>
        <v>111.71</v>
      </c>
      <c r="F926" s="1">
        <f ca="1">IFERROR(__xludf.DUMMYFUNCTION("""COMPUTED_VALUE"""),22634641)</f>
        <v>22634641</v>
      </c>
    </row>
    <row r="927" spans="1:6" x14ac:dyDescent="0.35">
      <c r="A927" s="2">
        <f ca="1">IFERROR(__xludf.DUMMYFUNCTION("""COMPUTED_VALUE"""),43348.6666666666)</f>
        <v>43348.666666666599</v>
      </c>
      <c r="B927" s="1">
        <f ca="1">IFERROR(__xludf.DUMMYFUNCTION("""COMPUTED_VALUE"""),111.01)</f>
        <v>111.01</v>
      </c>
      <c r="C927" s="1">
        <f ca="1">IFERROR(__xludf.DUMMYFUNCTION("""COMPUTED_VALUE"""),111.42)</f>
        <v>111.42</v>
      </c>
      <c r="D927" s="1">
        <f ca="1">IFERROR(__xludf.DUMMYFUNCTION("""COMPUTED_VALUE"""),108.1)</f>
        <v>108.1</v>
      </c>
      <c r="E927" s="1">
        <f ca="1">IFERROR(__xludf.DUMMYFUNCTION("""COMPUTED_VALUE"""),108.49)</f>
        <v>108.49</v>
      </c>
      <c r="F927" s="1">
        <f ca="1">IFERROR(__xludf.DUMMYFUNCTION("""COMPUTED_VALUE"""),32872352)</f>
        <v>32872352</v>
      </c>
    </row>
    <row r="928" spans="1:6" x14ac:dyDescent="0.35">
      <c r="A928" s="2">
        <f ca="1">IFERROR(__xludf.DUMMYFUNCTION("""COMPUTED_VALUE"""),43349.6666666666)</f>
        <v>43349.666666666599</v>
      </c>
      <c r="B928" s="1">
        <f ca="1">IFERROR(__xludf.DUMMYFUNCTION("""COMPUTED_VALUE"""),108.25)</f>
        <v>108.25</v>
      </c>
      <c r="C928" s="1">
        <f ca="1">IFERROR(__xludf.DUMMYFUNCTION("""COMPUTED_VALUE"""),108.99)</f>
        <v>108.99</v>
      </c>
      <c r="D928" s="1">
        <f ca="1">IFERROR(__xludf.DUMMYFUNCTION("""COMPUTED_VALUE"""),107.51)</f>
        <v>107.51</v>
      </c>
      <c r="E928" s="1">
        <f ca="1">IFERROR(__xludf.DUMMYFUNCTION("""COMPUTED_VALUE"""),108.74)</f>
        <v>108.74</v>
      </c>
      <c r="F928" s="1">
        <f ca="1">IFERROR(__xludf.DUMMYFUNCTION("""COMPUTED_VALUE"""),23477624)</f>
        <v>23477624</v>
      </c>
    </row>
    <row r="929" spans="1:6" x14ac:dyDescent="0.35">
      <c r="A929" s="2">
        <f ca="1">IFERROR(__xludf.DUMMYFUNCTION("""COMPUTED_VALUE"""),43350.6666666666)</f>
        <v>43350.666666666599</v>
      </c>
      <c r="B929" s="1">
        <f ca="1">IFERROR(__xludf.DUMMYFUNCTION("""COMPUTED_VALUE"""),108.23)</f>
        <v>108.23</v>
      </c>
      <c r="C929" s="1">
        <f ca="1">IFERROR(__xludf.DUMMYFUNCTION("""COMPUTED_VALUE"""),108.72)</f>
        <v>108.72</v>
      </c>
      <c r="D929" s="1">
        <f ca="1">IFERROR(__xludf.DUMMYFUNCTION("""COMPUTED_VALUE"""),107.23)</f>
        <v>107.23</v>
      </c>
      <c r="E929" s="1">
        <f ca="1">IFERROR(__xludf.DUMMYFUNCTION("""COMPUTED_VALUE"""),108.21)</f>
        <v>108.21</v>
      </c>
      <c r="F929" s="1">
        <f ca="1">IFERROR(__xludf.DUMMYFUNCTION("""COMPUTED_VALUE"""),22498646)</f>
        <v>22498646</v>
      </c>
    </row>
    <row r="930" spans="1:6" x14ac:dyDescent="0.35">
      <c r="A930" s="2">
        <f ca="1">IFERROR(__xludf.DUMMYFUNCTION("""COMPUTED_VALUE"""),43353.6666666666)</f>
        <v>43353.666666666599</v>
      </c>
      <c r="B930" s="1">
        <f ca="1">IFERROR(__xludf.DUMMYFUNCTION("""COMPUTED_VALUE"""),108.84)</f>
        <v>108.84</v>
      </c>
      <c r="C930" s="1">
        <f ca="1">IFERROR(__xludf.DUMMYFUNCTION("""COMPUTED_VALUE"""),109.64)</f>
        <v>109.64</v>
      </c>
      <c r="D930" s="1">
        <f ca="1">IFERROR(__xludf.DUMMYFUNCTION("""COMPUTED_VALUE"""),108.36)</f>
        <v>108.36</v>
      </c>
      <c r="E930" s="1">
        <f ca="1">IFERROR(__xludf.DUMMYFUNCTION("""COMPUTED_VALUE"""),109.38)</f>
        <v>109.38</v>
      </c>
      <c r="F930" s="1">
        <f ca="1">IFERROR(__xludf.DUMMYFUNCTION("""COMPUTED_VALUE"""),20727906)</f>
        <v>20727906</v>
      </c>
    </row>
    <row r="931" spans="1:6" x14ac:dyDescent="0.35">
      <c r="A931" s="2">
        <f ca="1">IFERROR(__xludf.DUMMYFUNCTION("""COMPUTED_VALUE"""),43354.6666666666)</f>
        <v>43354.666666666599</v>
      </c>
      <c r="B931" s="1">
        <f ca="1">IFERROR(__xludf.DUMMYFUNCTION("""COMPUTED_VALUE"""),108.9)</f>
        <v>108.9</v>
      </c>
      <c r="C931" s="1">
        <f ca="1">IFERROR(__xludf.DUMMYFUNCTION("""COMPUTED_VALUE"""),111.59)</f>
        <v>111.59</v>
      </c>
      <c r="D931" s="1">
        <f ca="1">IFERROR(__xludf.DUMMYFUNCTION("""COMPUTED_VALUE"""),108.89)</f>
        <v>108.89</v>
      </c>
      <c r="E931" s="1">
        <f ca="1">IFERROR(__xludf.DUMMYFUNCTION("""COMPUTED_VALUE"""),111.24)</f>
        <v>111.24</v>
      </c>
      <c r="F931" s="1">
        <f ca="1">IFERROR(__xludf.DUMMYFUNCTION("""COMPUTED_VALUE"""),24301774)</f>
        <v>24301774</v>
      </c>
    </row>
    <row r="932" spans="1:6" x14ac:dyDescent="0.35">
      <c r="A932" s="2">
        <f ca="1">IFERROR(__xludf.DUMMYFUNCTION("""COMPUTED_VALUE"""),43355.6666666666)</f>
        <v>43355.666666666599</v>
      </c>
      <c r="B932" s="1">
        <f ca="1">IFERROR(__xludf.DUMMYFUNCTION("""COMPUTED_VALUE"""),111.43)</f>
        <v>111.43</v>
      </c>
      <c r="C932" s="1">
        <f ca="1">IFERROR(__xludf.DUMMYFUNCTION("""COMPUTED_VALUE"""),111.85)</f>
        <v>111.85</v>
      </c>
      <c r="D932" s="1">
        <f ca="1">IFERROR(__xludf.DUMMYFUNCTION("""COMPUTED_VALUE"""),110.51)</f>
        <v>110.51</v>
      </c>
      <c r="E932" s="1">
        <f ca="1">IFERROR(__xludf.DUMMYFUNCTION("""COMPUTED_VALUE"""),111.71)</f>
        <v>111.71</v>
      </c>
      <c r="F932" s="1">
        <f ca="1">IFERROR(__xludf.DUMMYFUNCTION("""COMPUTED_VALUE"""),18891064)</f>
        <v>18891064</v>
      </c>
    </row>
    <row r="933" spans="1:6" x14ac:dyDescent="0.35">
      <c r="A933" s="2">
        <f ca="1">IFERROR(__xludf.DUMMYFUNCTION("""COMPUTED_VALUE"""),43356.6666666666)</f>
        <v>43356.666666666599</v>
      </c>
      <c r="B933" s="1">
        <f ca="1">IFERROR(__xludf.DUMMYFUNCTION("""COMPUTED_VALUE"""),112.12)</f>
        <v>112.12</v>
      </c>
      <c r="C933" s="1">
        <f ca="1">IFERROR(__xludf.DUMMYFUNCTION("""COMPUTED_VALUE"""),113.73)</f>
        <v>113.73</v>
      </c>
      <c r="D933" s="1">
        <f ca="1">IFERROR(__xludf.DUMMYFUNCTION("""COMPUTED_VALUE"""),112.12)</f>
        <v>112.12</v>
      </c>
      <c r="E933" s="1">
        <f ca="1">IFERROR(__xludf.DUMMYFUNCTION("""COMPUTED_VALUE"""),112.91)</f>
        <v>112.91</v>
      </c>
      <c r="F933" s="1">
        <f ca="1">IFERROR(__xludf.DUMMYFUNCTION("""COMPUTED_VALUE"""),26055620)</f>
        <v>26055620</v>
      </c>
    </row>
    <row r="934" spans="1:6" x14ac:dyDescent="0.35">
      <c r="A934" s="2">
        <f ca="1">IFERROR(__xludf.DUMMYFUNCTION("""COMPUTED_VALUE"""),43357.6666666666)</f>
        <v>43357.666666666599</v>
      </c>
      <c r="B934" s="1">
        <f ca="1">IFERROR(__xludf.DUMMYFUNCTION("""COMPUTED_VALUE"""),113.36)</f>
        <v>113.36</v>
      </c>
      <c r="C934" s="1">
        <f ca="1">IFERROR(__xludf.DUMMYFUNCTION("""COMPUTED_VALUE"""),113.73)</f>
        <v>113.73</v>
      </c>
      <c r="D934" s="1">
        <f ca="1">IFERROR(__xludf.DUMMYFUNCTION("""COMPUTED_VALUE"""),112.44)</f>
        <v>112.44</v>
      </c>
      <c r="E934" s="1">
        <f ca="1">IFERROR(__xludf.DUMMYFUNCTION("""COMPUTED_VALUE"""),113.37)</f>
        <v>113.37</v>
      </c>
      <c r="F934" s="1">
        <f ca="1">IFERROR(__xludf.DUMMYFUNCTION("""COMPUTED_VALUE"""),19122349)</f>
        <v>19122349</v>
      </c>
    </row>
    <row r="935" spans="1:6" x14ac:dyDescent="0.35">
      <c r="A935" s="2">
        <f ca="1">IFERROR(__xludf.DUMMYFUNCTION("""COMPUTED_VALUE"""),43360.6666666666)</f>
        <v>43360.666666666599</v>
      </c>
      <c r="B935" s="1">
        <f ca="1">IFERROR(__xludf.DUMMYFUNCTION("""COMPUTED_VALUE"""),113.69)</f>
        <v>113.69</v>
      </c>
      <c r="C935" s="1">
        <f ca="1">IFERROR(__xludf.DUMMYFUNCTION("""COMPUTED_VALUE"""),113.7)</f>
        <v>113.7</v>
      </c>
      <c r="D935" s="1">
        <f ca="1">IFERROR(__xludf.DUMMYFUNCTION("""COMPUTED_VALUE"""),111.86)</f>
        <v>111.86</v>
      </c>
      <c r="E935" s="1">
        <f ca="1">IFERROR(__xludf.DUMMYFUNCTION("""COMPUTED_VALUE"""),112.14)</f>
        <v>112.14</v>
      </c>
      <c r="F935" s="1">
        <f ca="1">IFERROR(__xludf.DUMMYFUNCTION("""COMPUTED_VALUE"""),20736516)</f>
        <v>20736516</v>
      </c>
    </row>
    <row r="936" spans="1:6" x14ac:dyDescent="0.35">
      <c r="A936" s="2">
        <f ca="1">IFERROR(__xludf.DUMMYFUNCTION("""COMPUTED_VALUE"""),43361.6666666666)</f>
        <v>43361.666666666599</v>
      </c>
      <c r="B936" s="1">
        <f ca="1">IFERROR(__xludf.DUMMYFUNCTION("""COMPUTED_VALUE"""),112.19)</f>
        <v>112.19</v>
      </c>
      <c r="C936" s="1">
        <f ca="1">IFERROR(__xludf.DUMMYFUNCTION("""COMPUTED_VALUE"""),113.7)</f>
        <v>113.7</v>
      </c>
      <c r="D936" s="1">
        <f ca="1">IFERROR(__xludf.DUMMYFUNCTION("""COMPUTED_VALUE"""),111.72)</f>
        <v>111.72</v>
      </c>
      <c r="E936" s="1">
        <f ca="1">IFERROR(__xludf.DUMMYFUNCTION("""COMPUTED_VALUE"""),113.21)</f>
        <v>113.21</v>
      </c>
      <c r="F936" s="1">
        <f ca="1">IFERROR(__xludf.DUMMYFUNCTION("""COMPUTED_VALUE"""),22170934)</f>
        <v>22170934</v>
      </c>
    </row>
    <row r="937" spans="1:6" x14ac:dyDescent="0.35">
      <c r="A937" s="2">
        <f ca="1">IFERROR(__xludf.DUMMYFUNCTION("""COMPUTED_VALUE"""),43362.6666666666)</f>
        <v>43362.666666666599</v>
      </c>
      <c r="B937" s="1">
        <f ca="1">IFERROR(__xludf.DUMMYFUNCTION("""COMPUTED_VALUE"""),113.05)</f>
        <v>113.05</v>
      </c>
      <c r="C937" s="1">
        <f ca="1">IFERROR(__xludf.DUMMYFUNCTION("""COMPUTED_VALUE"""),113.32)</f>
        <v>113.32</v>
      </c>
      <c r="D937" s="1">
        <f ca="1">IFERROR(__xludf.DUMMYFUNCTION("""COMPUTED_VALUE"""),111.04)</f>
        <v>111.04</v>
      </c>
      <c r="E937" s="1">
        <f ca="1">IFERROR(__xludf.DUMMYFUNCTION("""COMPUTED_VALUE"""),111.7)</f>
        <v>111.7</v>
      </c>
      <c r="F937" s="1">
        <f ca="1">IFERROR(__xludf.DUMMYFUNCTION("""COMPUTED_VALUE"""),21728429)</f>
        <v>21728429</v>
      </c>
    </row>
    <row r="938" spans="1:6" x14ac:dyDescent="0.35">
      <c r="A938" s="2">
        <f ca="1">IFERROR(__xludf.DUMMYFUNCTION("""COMPUTED_VALUE"""),43363.6666666666)</f>
        <v>43363.666666666599</v>
      </c>
      <c r="B938" s="1">
        <f ca="1">IFERROR(__xludf.DUMMYFUNCTION("""COMPUTED_VALUE"""),112.28)</f>
        <v>112.28</v>
      </c>
      <c r="C938" s="1">
        <f ca="1">IFERROR(__xludf.DUMMYFUNCTION("""COMPUTED_VALUE"""),113.8)</f>
        <v>113.8</v>
      </c>
      <c r="D938" s="1">
        <f ca="1">IFERROR(__xludf.DUMMYFUNCTION("""COMPUTED_VALUE"""),111.93)</f>
        <v>111.93</v>
      </c>
      <c r="E938" s="1">
        <f ca="1">IFERROR(__xludf.DUMMYFUNCTION("""COMPUTED_VALUE"""),113.57)</f>
        <v>113.57</v>
      </c>
      <c r="F938" s="1">
        <f ca="1">IFERROR(__xludf.DUMMYFUNCTION("""COMPUTED_VALUE"""),23714512)</f>
        <v>23714512</v>
      </c>
    </row>
    <row r="939" spans="1:6" x14ac:dyDescent="0.35">
      <c r="A939" s="2">
        <f ca="1">IFERROR(__xludf.DUMMYFUNCTION("""COMPUTED_VALUE"""),43364.6666666666)</f>
        <v>43364.666666666599</v>
      </c>
      <c r="B939" s="1">
        <f ca="1">IFERROR(__xludf.DUMMYFUNCTION("""COMPUTED_VALUE"""),114)</f>
        <v>114</v>
      </c>
      <c r="C939" s="1">
        <f ca="1">IFERROR(__xludf.DUMMYFUNCTION("""COMPUTED_VALUE"""),115.29)</f>
        <v>115.29</v>
      </c>
      <c r="D939" s="1">
        <f ca="1">IFERROR(__xludf.DUMMYFUNCTION("""COMPUTED_VALUE"""),113.51)</f>
        <v>113.51</v>
      </c>
      <c r="E939" s="1">
        <f ca="1">IFERROR(__xludf.DUMMYFUNCTION("""COMPUTED_VALUE"""),114.26)</f>
        <v>114.26</v>
      </c>
      <c r="F939" s="1">
        <f ca="1">IFERROR(__xludf.DUMMYFUNCTION("""COMPUTED_VALUE"""),71229698)</f>
        <v>71229698</v>
      </c>
    </row>
    <row r="940" spans="1:6" x14ac:dyDescent="0.35">
      <c r="A940" s="2">
        <f ca="1">IFERROR(__xludf.DUMMYFUNCTION("""COMPUTED_VALUE"""),43367.6666666666)</f>
        <v>43367.666666666599</v>
      </c>
      <c r="B940" s="1">
        <f ca="1">IFERROR(__xludf.DUMMYFUNCTION("""COMPUTED_VALUE"""),113.03)</f>
        <v>113.03</v>
      </c>
      <c r="C940" s="1">
        <f ca="1">IFERROR(__xludf.DUMMYFUNCTION("""COMPUTED_VALUE"""),114.9)</f>
        <v>114.9</v>
      </c>
      <c r="D940" s="1">
        <f ca="1">IFERROR(__xludf.DUMMYFUNCTION("""COMPUTED_VALUE"""),112.22)</f>
        <v>112.22</v>
      </c>
      <c r="E940" s="1">
        <f ca="1">IFERROR(__xludf.DUMMYFUNCTION("""COMPUTED_VALUE"""),114.67)</f>
        <v>114.67</v>
      </c>
      <c r="F940" s="1">
        <f ca="1">IFERROR(__xludf.DUMMYFUNCTION("""COMPUTED_VALUE"""),27334460)</f>
        <v>27334460</v>
      </c>
    </row>
    <row r="941" spans="1:6" x14ac:dyDescent="0.35">
      <c r="A941" s="2">
        <f ca="1">IFERROR(__xludf.DUMMYFUNCTION("""COMPUTED_VALUE"""),43368.6666666666)</f>
        <v>43368.666666666599</v>
      </c>
      <c r="B941" s="1">
        <f ca="1">IFERROR(__xludf.DUMMYFUNCTION("""COMPUTED_VALUE"""),114.8)</f>
        <v>114.8</v>
      </c>
      <c r="C941" s="1">
        <f ca="1">IFERROR(__xludf.DUMMYFUNCTION("""COMPUTED_VALUE"""),115.1)</f>
        <v>115.1</v>
      </c>
      <c r="D941" s="1">
        <f ca="1">IFERROR(__xludf.DUMMYFUNCTION("""COMPUTED_VALUE"""),113.75)</f>
        <v>113.75</v>
      </c>
      <c r="E941" s="1">
        <f ca="1">IFERROR(__xludf.DUMMYFUNCTION("""COMPUTED_VALUE"""),114.45)</f>
        <v>114.45</v>
      </c>
      <c r="F941" s="1">
        <f ca="1">IFERROR(__xludf.DUMMYFUNCTION("""COMPUTED_VALUE"""),22668014)</f>
        <v>22668014</v>
      </c>
    </row>
    <row r="942" spans="1:6" x14ac:dyDescent="0.35">
      <c r="A942" s="2">
        <f ca="1">IFERROR(__xludf.DUMMYFUNCTION("""COMPUTED_VALUE"""),43369.6666666666)</f>
        <v>43369.666666666599</v>
      </c>
      <c r="B942" s="1">
        <f ca="1">IFERROR(__xludf.DUMMYFUNCTION("""COMPUTED_VALUE"""),114.47)</f>
        <v>114.47</v>
      </c>
      <c r="C942" s="1">
        <f ca="1">IFERROR(__xludf.DUMMYFUNCTION("""COMPUTED_VALUE"""),115.06)</f>
        <v>115.06</v>
      </c>
      <c r="D942" s="1">
        <f ca="1">IFERROR(__xludf.DUMMYFUNCTION("""COMPUTED_VALUE"""),113.74)</f>
        <v>113.74</v>
      </c>
      <c r="E942" s="1">
        <f ca="1">IFERROR(__xludf.DUMMYFUNCTION("""COMPUTED_VALUE"""),113.98)</f>
        <v>113.98</v>
      </c>
      <c r="F942" s="1">
        <f ca="1">IFERROR(__xludf.DUMMYFUNCTION("""COMPUTED_VALUE"""),19352025)</f>
        <v>19352025</v>
      </c>
    </row>
    <row r="943" spans="1:6" x14ac:dyDescent="0.35">
      <c r="A943" s="2">
        <f ca="1">IFERROR(__xludf.DUMMYFUNCTION("""COMPUTED_VALUE"""),43370.6666666666)</f>
        <v>43370.666666666599</v>
      </c>
      <c r="B943" s="1">
        <f ca="1">IFERROR(__xludf.DUMMYFUNCTION("""COMPUTED_VALUE"""),114.78)</f>
        <v>114.78</v>
      </c>
      <c r="C943" s="1">
        <f ca="1">IFERROR(__xludf.DUMMYFUNCTION("""COMPUTED_VALUE"""),114.91)</f>
        <v>114.91</v>
      </c>
      <c r="D943" s="1">
        <f ca="1">IFERROR(__xludf.DUMMYFUNCTION("""COMPUTED_VALUE"""),114.2)</f>
        <v>114.2</v>
      </c>
      <c r="E943" s="1">
        <f ca="1">IFERROR(__xludf.DUMMYFUNCTION("""COMPUTED_VALUE"""),114.41)</f>
        <v>114.41</v>
      </c>
      <c r="F943" s="1">
        <f ca="1">IFERROR(__xludf.DUMMYFUNCTION("""COMPUTED_VALUE"""),19091299)</f>
        <v>19091299</v>
      </c>
    </row>
    <row r="944" spans="1:6" x14ac:dyDescent="0.35">
      <c r="A944" s="2">
        <f ca="1">IFERROR(__xludf.DUMMYFUNCTION("""COMPUTED_VALUE"""),43371.6666666666)</f>
        <v>43371.666666666599</v>
      </c>
      <c r="B944" s="1">
        <f ca="1">IFERROR(__xludf.DUMMYFUNCTION("""COMPUTED_VALUE"""),114.19)</f>
        <v>114.19</v>
      </c>
      <c r="C944" s="1">
        <f ca="1">IFERROR(__xludf.DUMMYFUNCTION("""COMPUTED_VALUE"""),114.57)</f>
        <v>114.57</v>
      </c>
      <c r="D944" s="1">
        <f ca="1">IFERROR(__xludf.DUMMYFUNCTION("""COMPUTED_VALUE"""),113.68)</f>
        <v>113.68</v>
      </c>
      <c r="E944" s="1">
        <f ca="1">IFERROR(__xludf.DUMMYFUNCTION("""COMPUTED_VALUE"""),114.37)</f>
        <v>114.37</v>
      </c>
      <c r="F944" s="1">
        <f ca="1">IFERROR(__xludf.DUMMYFUNCTION("""COMPUTED_VALUE"""),21647811)</f>
        <v>21647811</v>
      </c>
    </row>
    <row r="945" spans="1:6" x14ac:dyDescent="0.35">
      <c r="A945" s="2">
        <f ca="1">IFERROR(__xludf.DUMMYFUNCTION("""COMPUTED_VALUE"""),43374.6666666666)</f>
        <v>43374.666666666599</v>
      </c>
      <c r="B945" s="1">
        <f ca="1">IFERROR(__xludf.DUMMYFUNCTION("""COMPUTED_VALUE"""),114.75)</f>
        <v>114.75</v>
      </c>
      <c r="C945" s="1">
        <f ca="1">IFERROR(__xludf.DUMMYFUNCTION("""COMPUTED_VALUE"""),115.68)</f>
        <v>115.68</v>
      </c>
      <c r="D945" s="1">
        <f ca="1">IFERROR(__xludf.DUMMYFUNCTION("""COMPUTED_VALUE"""),114.73)</f>
        <v>114.73</v>
      </c>
      <c r="E945" s="1">
        <f ca="1">IFERROR(__xludf.DUMMYFUNCTION("""COMPUTED_VALUE"""),115.61)</f>
        <v>115.61</v>
      </c>
      <c r="F945" s="1">
        <f ca="1">IFERROR(__xludf.DUMMYFUNCTION("""COMPUTED_VALUE"""),18883079)</f>
        <v>18883079</v>
      </c>
    </row>
    <row r="946" spans="1:6" x14ac:dyDescent="0.35">
      <c r="A946" s="2">
        <f ca="1">IFERROR(__xludf.DUMMYFUNCTION("""COMPUTED_VALUE"""),43375.6666666666)</f>
        <v>43375.666666666599</v>
      </c>
      <c r="B946" s="1">
        <f ca="1">IFERROR(__xludf.DUMMYFUNCTION("""COMPUTED_VALUE"""),115.3)</f>
        <v>115.3</v>
      </c>
      <c r="C946" s="1">
        <f ca="1">IFERROR(__xludf.DUMMYFUNCTION("""COMPUTED_VALUE"""),115.84)</f>
        <v>115.84</v>
      </c>
      <c r="D946" s="1">
        <f ca="1">IFERROR(__xludf.DUMMYFUNCTION("""COMPUTED_VALUE"""),114.44)</f>
        <v>114.44</v>
      </c>
      <c r="E946" s="1">
        <f ca="1">IFERROR(__xludf.DUMMYFUNCTION("""COMPUTED_VALUE"""),115.15)</f>
        <v>115.15</v>
      </c>
      <c r="F946" s="1">
        <f ca="1">IFERROR(__xludf.DUMMYFUNCTION("""COMPUTED_VALUE"""),20787239)</f>
        <v>20787239</v>
      </c>
    </row>
    <row r="947" spans="1:6" x14ac:dyDescent="0.35">
      <c r="A947" s="2">
        <f ca="1">IFERROR(__xludf.DUMMYFUNCTION("""COMPUTED_VALUE"""),43376.6666666666)</f>
        <v>43376.666666666599</v>
      </c>
      <c r="B947" s="1">
        <f ca="1">IFERROR(__xludf.DUMMYFUNCTION("""COMPUTED_VALUE"""),115.42)</f>
        <v>115.42</v>
      </c>
      <c r="C947" s="1">
        <f ca="1">IFERROR(__xludf.DUMMYFUNCTION("""COMPUTED_VALUE"""),116.18)</f>
        <v>116.18</v>
      </c>
      <c r="D947" s="1">
        <f ca="1">IFERROR(__xludf.DUMMYFUNCTION("""COMPUTED_VALUE"""),114.93)</f>
        <v>114.93</v>
      </c>
      <c r="E947" s="1">
        <f ca="1">IFERROR(__xludf.DUMMYFUNCTION("""COMPUTED_VALUE"""),115.17)</f>
        <v>115.17</v>
      </c>
      <c r="F947" s="1">
        <f ca="1">IFERROR(__xludf.DUMMYFUNCTION("""COMPUTED_VALUE"""),16648018)</f>
        <v>16648018</v>
      </c>
    </row>
    <row r="948" spans="1:6" x14ac:dyDescent="0.35">
      <c r="A948" s="2">
        <f ca="1">IFERROR(__xludf.DUMMYFUNCTION("""COMPUTED_VALUE"""),43377.6666666666)</f>
        <v>43377.666666666599</v>
      </c>
      <c r="B948" s="1">
        <f ca="1">IFERROR(__xludf.DUMMYFUNCTION("""COMPUTED_VALUE"""),114.61)</f>
        <v>114.61</v>
      </c>
      <c r="C948" s="1">
        <f ca="1">IFERROR(__xludf.DUMMYFUNCTION("""COMPUTED_VALUE"""),114.76)</f>
        <v>114.76</v>
      </c>
      <c r="D948" s="1">
        <f ca="1">IFERROR(__xludf.DUMMYFUNCTION("""COMPUTED_VALUE"""),111.63)</f>
        <v>111.63</v>
      </c>
      <c r="E948" s="1">
        <f ca="1">IFERROR(__xludf.DUMMYFUNCTION("""COMPUTED_VALUE"""),112.79)</f>
        <v>112.79</v>
      </c>
      <c r="F948" s="1">
        <f ca="1">IFERROR(__xludf.DUMMYFUNCTION("""COMPUTED_VALUE"""),34821717)</f>
        <v>34821717</v>
      </c>
    </row>
    <row r="949" spans="1:6" x14ac:dyDescent="0.35">
      <c r="A949" s="2">
        <f ca="1">IFERROR(__xludf.DUMMYFUNCTION("""COMPUTED_VALUE"""),43378.6666666666)</f>
        <v>43378.666666666599</v>
      </c>
      <c r="B949" s="1">
        <f ca="1">IFERROR(__xludf.DUMMYFUNCTION("""COMPUTED_VALUE"""),112.63)</f>
        <v>112.63</v>
      </c>
      <c r="C949" s="1">
        <f ca="1">IFERROR(__xludf.DUMMYFUNCTION("""COMPUTED_VALUE"""),113.17)</f>
        <v>113.17</v>
      </c>
      <c r="D949" s="1">
        <f ca="1">IFERROR(__xludf.DUMMYFUNCTION("""COMPUTED_VALUE"""),110.64)</f>
        <v>110.64</v>
      </c>
      <c r="E949" s="1">
        <f ca="1">IFERROR(__xludf.DUMMYFUNCTION("""COMPUTED_VALUE"""),112.13)</f>
        <v>112.13</v>
      </c>
      <c r="F949" s="1">
        <f ca="1">IFERROR(__xludf.DUMMYFUNCTION("""COMPUTED_VALUE"""),29068859)</f>
        <v>29068859</v>
      </c>
    </row>
    <row r="950" spans="1:6" x14ac:dyDescent="0.35">
      <c r="A950" s="2">
        <f ca="1">IFERROR(__xludf.DUMMYFUNCTION("""COMPUTED_VALUE"""),43381.6666666666)</f>
        <v>43381.666666666599</v>
      </c>
      <c r="B950" s="1">
        <f ca="1">IFERROR(__xludf.DUMMYFUNCTION("""COMPUTED_VALUE"""),111.66)</f>
        <v>111.66</v>
      </c>
      <c r="C950" s="1">
        <f ca="1">IFERROR(__xludf.DUMMYFUNCTION("""COMPUTED_VALUE"""),112.03)</f>
        <v>112.03</v>
      </c>
      <c r="D950" s="1">
        <f ca="1">IFERROR(__xludf.DUMMYFUNCTION("""COMPUTED_VALUE"""),109.34)</f>
        <v>109.34</v>
      </c>
      <c r="E950" s="1">
        <f ca="1">IFERROR(__xludf.DUMMYFUNCTION("""COMPUTED_VALUE"""),110.85)</f>
        <v>110.85</v>
      </c>
      <c r="F950" s="1">
        <f ca="1">IFERROR(__xludf.DUMMYFUNCTION("""COMPUTED_VALUE"""),29640588)</f>
        <v>29640588</v>
      </c>
    </row>
    <row r="951" spans="1:6" x14ac:dyDescent="0.35">
      <c r="A951" s="2">
        <f ca="1">IFERROR(__xludf.DUMMYFUNCTION("""COMPUTED_VALUE"""),43382.6666666666)</f>
        <v>43382.666666666599</v>
      </c>
      <c r="B951" s="1">
        <f ca="1">IFERROR(__xludf.DUMMYFUNCTION("""COMPUTED_VALUE"""),111.14)</f>
        <v>111.14</v>
      </c>
      <c r="C951" s="1">
        <f ca="1">IFERROR(__xludf.DUMMYFUNCTION("""COMPUTED_VALUE"""),113.08)</f>
        <v>113.08</v>
      </c>
      <c r="D951" s="1">
        <f ca="1">IFERROR(__xludf.DUMMYFUNCTION("""COMPUTED_VALUE"""),110.8)</f>
        <v>110.8</v>
      </c>
      <c r="E951" s="1">
        <f ca="1">IFERROR(__xludf.DUMMYFUNCTION("""COMPUTED_VALUE"""),112.26)</f>
        <v>112.26</v>
      </c>
      <c r="F951" s="1">
        <f ca="1">IFERROR(__xludf.DUMMYFUNCTION("""COMPUTED_VALUE"""),26198594)</f>
        <v>26198594</v>
      </c>
    </row>
    <row r="952" spans="1:6" x14ac:dyDescent="0.35">
      <c r="A952" s="2">
        <f ca="1">IFERROR(__xludf.DUMMYFUNCTION("""COMPUTED_VALUE"""),43383.6666666666)</f>
        <v>43383.666666666599</v>
      </c>
      <c r="B952" s="1">
        <f ca="1">IFERROR(__xludf.DUMMYFUNCTION("""COMPUTED_VALUE"""),111.24)</f>
        <v>111.24</v>
      </c>
      <c r="C952" s="1">
        <f ca="1">IFERROR(__xludf.DUMMYFUNCTION("""COMPUTED_VALUE"""),111.5)</f>
        <v>111.5</v>
      </c>
      <c r="D952" s="1">
        <f ca="1">IFERROR(__xludf.DUMMYFUNCTION("""COMPUTED_VALUE"""),105.79)</f>
        <v>105.79</v>
      </c>
      <c r="E952" s="1">
        <f ca="1">IFERROR(__xludf.DUMMYFUNCTION("""COMPUTED_VALUE"""),106.16)</f>
        <v>106.16</v>
      </c>
      <c r="F952" s="1">
        <f ca="1">IFERROR(__xludf.DUMMYFUNCTION("""COMPUTED_VALUE"""),61376315)</f>
        <v>61376315</v>
      </c>
    </row>
    <row r="953" spans="1:6" x14ac:dyDescent="0.35">
      <c r="A953" s="2">
        <f ca="1">IFERROR(__xludf.DUMMYFUNCTION("""COMPUTED_VALUE"""),43384.6666666666)</f>
        <v>43384.666666666599</v>
      </c>
      <c r="B953" s="1">
        <f ca="1">IFERROR(__xludf.DUMMYFUNCTION("""COMPUTED_VALUE"""),105.35)</f>
        <v>105.35</v>
      </c>
      <c r="C953" s="1">
        <f ca="1">IFERROR(__xludf.DUMMYFUNCTION("""COMPUTED_VALUE"""),108.93)</f>
        <v>108.93</v>
      </c>
      <c r="D953" s="1">
        <f ca="1">IFERROR(__xludf.DUMMYFUNCTION("""COMPUTED_VALUE"""),104.2)</f>
        <v>104.2</v>
      </c>
      <c r="E953" s="1">
        <f ca="1">IFERROR(__xludf.DUMMYFUNCTION("""COMPUTED_VALUE"""),105.91)</f>
        <v>105.91</v>
      </c>
      <c r="F953" s="1">
        <f ca="1">IFERROR(__xludf.DUMMYFUNCTION("""COMPUTED_VALUE"""),63904282)</f>
        <v>63904282</v>
      </c>
    </row>
    <row r="954" spans="1:6" x14ac:dyDescent="0.35">
      <c r="A954" s="2">
        <f ca="1">IFERROR(__xludf.DUMMYFUNCTION("""COMPUTED_VALUE"""),43385.6666666666)</f>
        <v>43385.666666666599</v>
      </c>
      <c r="B954" s="1">
        <f ca="1">IFERROR(__xludf.DUMMYFUNCTION("""COMPUTED_VALUE"""),109.01)</f>
        <v>109.01</v>
      </c>
      <c r="C954" s="1">
        <f ca="1">IFERROR(__xludf.DUMMYFUNCTION("""COMPUTED_VALUE"""),111.24)</f>
        <v>111.24</v>
      </c>
      <c r="D954" s="1">
        <f ca="1">IFERROR(__xludf.DUMMYFUNCTION("""COMPUTED_VALUE"""),107.12)</f>
        <v>107.12</v>
      </c>
      <c r="E954" s="1">
        <f ca="1">IFERROR(__xludf.DUMMYFUNCTION("""COMPUTED_VALUE"""),109.57)</f>
        <v>109.57</v>
      </c>
      <c r="F954" s="1">
        <f ca="1">IFERROR(__xludf.DUMMYFUNCTION("""COMPUTED_VALUE"""),47742109)</f>
        <v>47742109</v>
      </c>
    </row>
    <row r="955" spans="1:6" x14ac:dyDescent="0.35">
      <c r="A955" s="2">
        <f ca="1">IFERROR(__xludf.DUMMYFUNCTION("""COMPUTED_VALUE"""),43388.6666666666)</f>
        <v>43388.666666666599</v>
      </c>
      <c r="B955" s="1">
        <f ca="1">IFERROR(__xludf.DUMMYFUNCTION("""COMPUTED_VALUE"""),108.91)</f>
        <v>108.91</v>
      </c>
      <c r="C955" s="1">
        <f ca="1">IFERROR(__xludf.DUMMYFUNCTION("""COMPUTED_VALUE"""),109.48)</f>
        <v>109.48</v>
      </c>
      <c r="D955" s="1">
        <f ca="1">IFERROR(__xludf.DUMMYFUNCTION("""COMPUTED_VALUE"""),106.95)</f>
        <v>106.95</v>
      </c>
      <c r="E955" s="1">
        <f ca="1">IFERROR(__xludf.DUMMYFUNCTION("""COMPUTED_VALUE"""),107.6)</f>
        <v>107.6</v>
      </c>
      <c r="F955" s="1">
        <f ca="1">IFERROR(__xludf.DUMMYFUNCTION("""COMPUTED_VALUE"""),32068103)</f>
        <v>32068103</v>
      </c>
    </row>
    <row r="956" spans="1:6" x14ac:dyDescent="0.35">
      <c r="A956" s="2">
        <f ca="1">IFERROR(__xludf.DUMMYFUNCTION("""COMPUTED_VALUE"""),43389.6666666666)</f>
        <v>43389.666666666599</v>
      </c>
      <c r="B956" s="1">
        <f ca="1">IFERROR(__xludf.DUMMYFUNCTION("""COMPUTED_VALUE"""),109.54)</f>
        <v>109.54</v>
      </c>
      <c r="C956" s="1">
        <f ca="1">IFERROR(__xludf.DUMMYFUNCTION("""COMPUTED_VALUE"""),111.41)</f>
        <v>111.41</v>
      </c>
      <c r="D956" s="1">
        <f ca="1">IFERROR(__xludf.DUMMYFUNCTION("""COMPUTED_VALUE"""),108.95)</f>
        <v>108.95</v>
      </c>
      <c r="E956" s="1">
        <f ca="1">IFERROR(__xludf.DUMMYFUNCTION("""COMPUTED_VALUE"""),111)</f>
        <v>111</v>
      </c>
      <c r="F956" s="1">
        <f ca="1">IFERROR(__xludf.DUMMYFUNCTION("""COMPUTED_VALUE"""),31610164)</f>
        <v>31610164</v>
      </c>
    </row>
    <row r="957" spans="1:6" x14ac:dyDescent="0.35">
      <c r="A957" s="2">
        <f ca="1">IFERROR(__xludf.DUMMYFUNCTION("""COMPUTED_VALUE"""),43390.6666666666)</f>
        <v>43390.666666666599</v>
      </c>
      <c r="B957" s="1">
        <f ca="1">IFERROR(__xludf.DUMMYFUNCTION("""COMPUTED_VALUE"""),111.68)</f>
        <v>111.68</v>
      </c>
      <c r="C957" s="1">
        <f ca="1">IFERROR(__xludf.DUMMYFUNCTION("""COMPUTED_VALUE"""),111.81)</f>
        <v>111.81</v>
      </c>
      <c r="D957" s="1">
        <f ca="1">IFERROR(__xludf.DUMMYFUNCTION("""COMPUTED_VALUE"""),109.55)</f>
        <v>109.55</v>
      </c>
      <c r="E957" s="1">
        <f ca="1">IFERROR(__xludf.DUMMYFUNCTION("""COMPUTED_VALUE"""),110.71)</f>
        <v>110.71</v>
      </c>
      <c r="F957" s="1">
        <f ca="1">IFERROR(__xludf.DUMMYFUNCTION("""COMPUTED_VALUE"""),26548243)</f>
        <v>26548243</v>
      </c>
    </row>
    <row r="958" spans="1:6" x14ac:dyDescent="0.35">
      <c r="A958" s="2">
        <f ca="1">IFERROR(__xludf.DUMMYFUNCTION("""COMPUTED_VALUE"""),43391.6666666666)</f>
        <v>43391.666666666599</v>
      </c>
      <c r="B958" s="1">
        <f ca="1">IFERROR(__xludf.DUMMYFUNCTION("""COMPUTED_VALUE"""),110.1)</f>
        <v>110.1</v>
      </c>
      <c r="C958" s="1">
        <f ca="1">IFERROR(__xludf.DUMMYFUNCTION("""COMPUTED_VALUE"""),110.53)</f>
        <v>110.53</v>
      </c>
      <c r="D958" s="1">
        <f ca="1">IFERROR(__xludf.DUMMYFUNCTION("""COMPUTED_VALUE"""),107.83)</f>
        <v>107.83</v>
      </c>
      <c r="E958" s="1">
        <f ca="1">IFERROR(__xludf.DUMMYFUNCTION("""COMPUTED_VALUE"""),108.5)</f>
        <v>108.5</v>
      </c>
      <c r="F958" s="1">
        <f ca="1">IFERROR(__xludf.DUMMYFUNCTION("""COMPUTED_VALUE"""),32506192)</f>
        <v>32506192</v>
      </c>
    </row>
    <row r="959" spans="1:6" x14ac:dyDescent="0.35">
      <c r="A959" s="2">
        <f ca="1">IFERROR(__xludf.DUMMYFUNCTION("""COMPUTED_VALUE"""),43392.6666666666)</f>
        <v>43392.666666666599</v>
      </c>
      <c r="B959" s="1">
        <f ca="1">IFERROR(__xludf.DUMMYFUNCTION("""COMPUTED_VALUE"""),108.93)</f>
        <v>108.93</v>
      </c>
      <c r="C959" s="1">
        <f ca="1">IFERROR(__xludf.DUMMYFUNCTION("""COMPUTED_VALUE"""),110.86)</f>
        <v>110.86</v>
      </c>
      <c r="D959" s="1">
        <f ca="1">IFERROR(__xludf.DUMMYFUNCTION("""COMPUTED_VALUE"""),108.21)</f>
        <v>108.21</v>
      </c>
      <c r="E959" s="1">
        <f ca="1">IFERROR(__xludf.DUMMYFUNCTION("""COMPUTED_VALUE"""),108.66)</f>
        <v>108.66</v>
      </c>
      <c r="F959" s="1">
        <f ca="1">IFERROR(__xludf.DUMMYFUNCTION("""COMPUTED_VALUE"""),32785475)</f>
        <v>32785475</v>
      </c>
    </row>
    <row r="960" spans="1:6" x14ac:dyDescent="0.35">
      <c r="A960" s="2">
        <f ca="1">IFERROR(__xludf.DUMMYFUNCTION("""COMPUTED_VALUE"""),43395.6666666666)</f>
        <v>43395.666666666599</v>
      </c>
      <c r="B960" s="1">
        <f ca="1">IFERROR(__xludf.DUMMYFUNCTION("""COMPUTED_VALUE"""),109.32)</f>
        <v>109.32</v>
      </c>
      <c r="C960" s="1">
        <f ca="1">IFERROR(__xludf.DUMMYFUNCTION("""COMPUTED_VALUE"""),110.54)</f>
        <v>110.54</v>
      </c>
      <c r="D960" s="1">
        <f ca="1">IFERROR(__xludf.DUMMYFUNCTION("""COMPUTED_VALUE"""),108.24)</f>
        <v>108.24</v>
      </c>
      <c r="E960" s="1">
        <f ca="1">IFERROR(__xludf.DUMMYFUNCTION("""COMPUTED_VALUE"""),109.63)</f>
        <v>109.63</v>
      </c>
      <c r="F960" s="1">
        <f ca="1">IFERROR(__xludf.DUMMYFUNCTION("""COMPUTED_VALUE"""),26545607)</f>
        <v>26545607</v>
      </c>
    </row>
    <row r="961" spans="1:6" x14ac:dyDescent="0.35">
      <c r="A961" s="2">
        <f ca="1">IFERROR(__xludf.DUMMYFUNCTION("""COMPUTED_VALUE"""),43396.6666666666)</f>
        <v>43396.666666666599</v>
      </c>
      <c r="B961" s="1">
        <f ca="1">IFERROR(__xludf.DUMMYFUNCTION("""COMPUTED_VALUE"""),107.77)</f>
        <v>107.77</v>
      </c>
      <c r="C961" s="1">
        <f ca="1">IFERROR(__xludf.DUMMYFUNCTION("""COMPUTED_VALUE"""),108.97)</f>
        <v>108.97</v>
      </c>
      <c r="D961" s="1">
        <f ca="1">IFERROR(__xludf.DUMMYFUNCTION("""COMPUTED_VALUE"""),105.11)</f>
        <v>105.11</v>
      </c>
      <c r="E961" s="1">
        <f ca="1">IFERROR(__xludf.DUMMYFUNCTION("""COMPUTED_VALUE"""),108.1)</f>
        <v>108.1</v>
      </c>
      <c r="F961" s="1">
        <f ca="1">IFERROR(__xludf.DUMMYFUNCTION("""COMPUTED_VALUE"""),43770429)</f>
        <v>43770429</v>
      </c>
    </row>
    <row r="962" spans="1:6" x14ac:dyDescent="0.35">
      <c r="A962" s="2">
        <f ca="1">IFERROR(__xludf.DUMMYFUNCTION("""COMPUTED_VALUE"""),43397.6666666666)</f>
        <v>43397.666666666599</v>
      </c>
      <c r="B962" s="1">
        <f ca="1">IFERROR(__xludf.DUMMYFUNCTION("""COMPUTED_VALUE"""),108.41)</f>
        <v>108.41</v>
      </c>
      <c r="C962" s="1">
        <f ca="1">IFERROR(__xludf.DUMMYFUNCTION("""COMPUTED_VALUE"""),108.49)</f>
        <v>108.49</v>
      </c>
      <c r="D962" s="1">
        <f ca="1">IFERROR(__xludf.DUMMYFUNCTION("""COMPUTED_VALUE"""),101.59)</f>
        <v>101.59</v>
      </c>
      <c r="E962" s="1">
        <f ca="1">IFERROR(__xludf.DUMMYFUNCTION("""COMPUTED_VALUE"""),102.32)</f>
        <v>102.32</v>
      </c>
      <c r="F962" s="1">
        <f ca="1">IFERROR(__xludf.DUMMYFUNCTION("""COMPUTED_VALUE"""),63897759)</f>
        <v>63897759</v>
      </c>
    </row>
    <row r="963" spans="1:6" x14ac:dyDescent="0.35">
      <c r="A963" s="2">
        <f ca="1">IFERROR(__xludf.DUMMYFUNCTION("""COMPUTED_VALUE"""),43398.6666666666)</f>
        <v>43398.666666666599</v>
      </c>
      <c r="B963" s="1">
        <f ca="1">IFERROR(__xludf.DUMMYFUNCTION("""COMPUTED_VALUE"""),106.55)</f>
        <v>106.55</v>
      </c>
      <c r="C963" s="1">
        <f ca="1">IFERROR(__xludf.DUMMYFUNCTION("""COMPUTED_VALUE"""),109.27)</f>
        <v>109.27</v>
      </c>
      <c r="D963" s="1">
        <f ca="1">IFERROR(__xludf.DUMMYFUNCTION("""COMPUTED_VALUE"""),106.15)</f>
        <v>106.15</v>
      </c>
      <c r="E963" s="1">
        <f ca="1">IFERROR(__xludf.DUMMYFUNCTION("""COMPUTED_VALUE"""),108.3)</f>
        <v>108.3</v>
      </c>
      <c r="F963" s="1">
        <f ca="1">IFERROR(__xludf.DUMMYFUNCTION("""COMPUTED_VALUE"""),61646819)</f>
        <v>61646819</v>
      </c>
    </row>
    <row r="964" spans="1:6" x14ac:dyDescent="0.35">
      <c r="A964" s="2">
        <f ca="1">IFERROR(__xludf.DUMMYFUNCTION("""COMPUTED_VALUE"""),43399.6666666666)</f>
        <v>43399.666666666599</v>
      </c>
      <c r="B964" s="1">
        <f ca="1">IFERROR(__xludf.DUMMYFUNCTION("""COMPUTED_VALUE"""),105.69)</f>
        <v>105.69</v>
      </c>
      <c r="C964" s="1">
        <f ca="1">IFERROR(__xludf.DUMMYFUNCTION("""COMPUTED_VALUE"""),108.75)</f>
        <v>108.75</v>
      </c>
      <c r="D964" s="1">
        <f ca="1">IFERROR(__xludf.DUMMYFUNCTION("""COMPUTED_VALUE"""),104.76)</f>
        <v>104.76</v>
      </c>
      <c r="E964" s="1">
        <f ca="1">IFERROR(__xludf.DUMMYFUNCTION("""COMPUTED_VALUE"""),106.96)</f>
        <v>106.96</v>
      </c>
      <c r="F964" s="1">
        <f ca="1">IFERROR(__xludf.DUMMYFUNCTION("""COMPUTED_VALUE"""),55523104)</f>
        <v>55523104</v>
      </c>
    </row>
    <row r="965" spans="1:6" x14ac:dyDescent="0.35">
      <c r="A965" s="2">
        <f ca="1">IFERROR(__xludf.DUMMYFUNCTION("""COMPUTED_VALUE"""),43402.6666666666)</f>
        <v>43402.666666666599</v>
      </c>
      <c r="B965" s="1">
        <f ca="1">IFERROR(__xludf.DUMMYFUNCTION("""COMPUTED_VALUE"""),108.11)</f>
        <v>108.11</v>
      </c>
      <c r="C965" s="1">
        <f ca="1">IFERROR(__xludf.DUMMYFUNCTION("""COMPUTED_VALUE"""),108.7)</f>
        <v>108.7</v>
      </c>
      <c r="D965" s="1">
        <f ca="1">IFERROR(__xludf.DUMMYFUNCTION("""COMPUTED_VALUE"""),101.63)</f>
        <v>101.63</v>
      </c>
      <c r="E965" s="1">
        <f ca="1">IFERROR(__xludf.DUMMYFUNCTION("""COMPUTED_VALUE"""),103.85)</f>
        <v>103.85</v>
      </c>
      <c r="F965" s="1">
        <f ca="1">IFERROR(__xludf.DUMMYFUNCTION("""COMPUTED_VALUE"""),55162001)</f>
        <v>55162001</v>
      </c>
    </row>
    <row r="966" spans="1:6" x14ac:dyDescent="0.35">
      <c r="A966" s="2">
        <f ca="1">IFERROR(__xludf.DUMMYFUNCTION("""COMPUTED_VALUE"""),43403.6666666666)</f>
        <v>43403.666666666599</v>
      </c>
      <c r="B966" s="1">
        <f ca="1">IFERROR(__xludf.DUMMYFUNCTION("""COMPUTED_VALUE"""),103.66)</f>
        <v>103.66</v>
      </c>
      <c r="C966" s="1">
        <f ca="1">IFERROR(__xludf.DUMMYFUNCTION("""COMPUTED_VALUE"""),104.38)</f>
        <v>104.38</v>
      </c>
      <c r="D966" s="1">
        <f ca="1">IFERROR(__xludf.DUMMYFUNCTION("""COMPUTED_VALUE"""),100.11)</f>
        <v>100.11</v>
      </c>
      <c r="E966" s="1">
        <f ca="1">IFERROR(__xludf.DUMMYFUNCTION("""COMPUTED_VALUE"""),103.73)</f>
        <v>103.73</v>
      </c>
      <c r="F966" s="1">
        <f ca="1">IFERROR(__xludf.DUMMYFUNCTION("""COMPUTED_VALUE"""),65350878)</f>
        <v>65350878</v>
      </c>
    </row>
    <row r="967" spans="1:6" x14ac:dyDescent="0.35">
      <c r="A967" s="2">
        <f ca="1">IFERROR(__xludf.DUMMYFUNCTION("""COMPUTED_VALUE"""),43404.6666666666)</f>
        <v>43404.666666666599</v>
      </c>
      <c r="B967" s="1">
        <f ca="1">IFERROR(__xludf.DUMMYFUNCTION("""COMPUTED_VALUE"""),105.44)</f>
        <v>105.44</v>
      </c>
      <c r="C967" s="1">
        <f ca="1">IFERROR(__xludf.DUMMYFUNCTION("""COMPUTED_VALUE"""),108.14)</f>
        <v>108.14</v>
      </c>
      <c r="D967" s="1">
        <f ca="1">IFERROR(__xludf.DUMMYFUNCTION("""COMPUTED_VALUE"""),105.39)</f>
        <v>105.39</v>
      </c>
      <c r="E967" s="1">
        <f ca="1">IFERROR(__xludf.DUMMYFUNCTION("""COMPUTED_VALUE"""),106.81)</f>
        <v>106.81</v>
      </c>
      <c r="F967" s="1">
        <f ca="1">IFERROR(__xludf.DUMMYFUNCTION("""COMPUTED_VALUE"""),51062383)</f>
        <v>51062383</v>
      </c>
    </row>
    <row r="968" spans="1:6" x14ac:dyDescent="0.35">
      <c r="A968" s="2">
        <f ca="1">IFERROR(__xludf.DUMMYFUNCTION("""COMPUTED_VALUE"""),43405.6666666666)</f>
        <v>43405.666666666599</v>
      </c>
      <c r="B968" s="1">
        <f ca="1">IFERROR(__xludf.DUMMYFUNCTION("""COMPUTED_VALUE"""),107.05)</f>
        <v>107.05</v>
      </c>
      <c r="C968" s="1">
        <f ca="1">IFERROR(__xludf.DUMMYFUNCTION("""COMPUTED_VALUE"""),107.32)</f>
        <v>107.32</v>
      </c>
      <c r="D968" s="1">
        <f ca="1">IFERROR(__xludf.DUMMYFUNCTION("""COMPUTED_VALUE"""),105.53)</f>
        <v>105.53</v>
      </c>
      <c r="E968" s="1">
        <f ca="1">IFERROR(__xludf.DUMMYFUNCTION("""COMPUTED_VALUE"""),105.92)</f>
        <v>105.92</v>
      </c>
      <c r="F968" s="1">
        <f ca="1">IFERROR(__xludf.DUMMYFUNCTION("""COMPUTED_VALUE"""),33384201)</f>
        <v>33384201</v>
      </c>
    </row>
    <row r="969" spans="1:6" x14ac:dyDescent="0.35">
      <c r="A969" s="2">
        <f ca="1">IFERROR(__xludf.DUMMYFUNCTION("""COMPUTED_VALUE"""),43406.6666666666)</f>
        <v>43406.666666666599</v>
      </c>
      <c r="B969" s="1">
        <f ca="1">IFERROR(__xludf.DUMMYFUNCTION("""COMPUTED_VALUE"""),106.48)</f>
        <v>106.48</v>
      </c>
      <c r="C969" s="1">
        <f ca="1">IFERROR(__xludf.DUMMYFUNCTION("""COMPUTED_VALUE"""),107.32)</f>
        <v>107.32</v>
      </c>
      <c r="D969" s="1">
        <f ca="1">IFERROR(__xludf.DUMMYFUNCTION("""COMPUTED_VALUE"""),104.98)</f>
        <v>104.98</v>
      </c>
      <c r="E969" s="1">
        <f ca="1">IFERROR(__xludf.DUMMYFUNCTION("""COMPUTED_VALUE"""),106.16)</f>
        <v>106.16</v>
      </c>
      <c r="F969" s="1">
        <f ca="1">IFERROR(__xludf.DUMMYFUNCTION("""COMPUTED_VALUE"""),37680194)</f>
        <v>37680194</v>
      </c>
    </row>
    <row r="970" spans="1:6" x14ac:dyDescent="0.35">
      <c r="A970" s="2">
        <f ca="1">IFERROR(__xludf.DUMMYFUNCTION("""COMPUTED_VALUE"""),43409.6666666666)</f>
        <v>43409.666666666599</v>
      </c>
      <c r="B970" s="1">
        <f ca="1">IFERROR(__xludf.DUMMYFUNCTION("""COMPUTED_VALUE"""),106.37)</f>
        <v>106.37</v>
      </c>
      <c r="C970" s="1">
        <f ca="1">IFERROR(__xludf.DUMMYFUNCTION("""COMPUTED_VALUE"""),107.74)</f>
        <v>107.74</v>
      </c>
      <c r="D970" s="1">
        <f ca="1">IFERROR(__xludf.DUMMYFUNCTION("""COMPUTED_VALUE"""),105.9)</f>
        <v>105.9</v>
      </c>
      <c r="E970" s="1">
        <f ca="1">IFERROR(__xludf.DUMMYFUNCTION("""COMPUTED_VALUE"""),107.51)</f>
        <v>107.51</v>
      </c>
      <c r="F970" s="1">
        <f ca="1">IFERROR(__xludf.DUMMYFUNCTION("""COMPUTED_VALUE"""),27922144)</f>
        <v>27922144</v>
      </c>
    </row>
    <row r="971" spans="1:6" x14ac:dyDescent="0.35">
      <c r="A971" s="2">
        <f ca="1">IFERROR(__xludf.DUMMYFUNCTION("""COMPUTED_VALUE"""),43410.6666666666)</f>
        <v>43410.666666666599</v>
      </c>
      <c r="B971" s="1">
        <f ca="1">IFERROR(__xludf.DUMMYFUNCTION("""COMPUTED_VALUE"""),107.38)</f>
        <v>107.38</v>
      </c>
      <c r="C971" s="1">
        <f ca="1">IFERROR(__xludf.DUMMYFUNCTION("""COMPUTED_VALUE"""),108.84)</f>
        <v>108.84</v>
      </c>
      <c r="D971" s="1">
        <f ca="1">IFERROR(__xludf.DUMMYFUNCTION("""COMPUTED_VALUE"""),106.28)</f>
        <v>106.28</v>
      </c>
      <c r="E971" s="1">
        <f ca="1">IFERROR(__xludf.DUMMYFUNCTION("""COMPUTED_VALUE"""),107.72)</f>
        <v>107.72</v>
      </c>
      <c r="F971" s="1">
        <f ca="1">IFERROR(__xludf.DUMMYFUNCTION("""COMPUTED_VALUE"""),24340248)</f>
        <v>24340248</v>
      </c>
    </row>
    <row r="972" spans="1:6" x14ac:dyDescent="0.35">
      <c r="A972" s="2">
        <f ca="1">IFERROR(__xludf.DUMMYFUNCTION("""COMPUTED_VALUE"""),43411.6666666666)</f>
        <v>43411.666666666599</v>
      </c>
      <c r="B972" s="1">
        <f ca="1">IFERROR(__xludf.DUMMYFUNCTION("""COMPUTED_VALUE"""),109.44)</f>
        <v>109.44</v>
      </c>
      <c r="C972" s="1">
        <f ca="1">IFERROR(__xludf.DUMMYFUNCTION("""COMPUTED_VALUE"""),112.24)</f>
        <v>112.24</v>
      </c>
      <c r="D972" s="1">
        <f ca="1">IFERROR(__xludf.DUMMYFUNCTION("""COMPUTED_VALUE"""),109.4)</f>
        <v>109.4</v>
      </c>
      <c r="E972" s="1">
        <f ca="1">IFERROR(__xludf.DUMMYFUNCTION("""COMPUTED_VALUE"""),111.96)</f>
        <v>111.96</v>
      </c>
      <c r="F972" s="1">
        <f ca="1">IFERROR(__xludf.DUMMYFUNCTION("""COMPUTED_VALUE"""),37901704)</f>
        <v>37901704</v>
      </c>
    </row>
    <row r="973" spans="1:6" x14ac:dyDescent="0.35">
      <c r="A973" s="2">
        <f ca="1">IFERROR(__xludf.DUMMYFUNCTION("""COMPUTED_VALUE"""),43412.6666666666)</f>
        <v>43412.666666666599</v>
      </c>
      <c r="B973" s="1">
        <f ca="1">IFERROR(__xludf.DUMMYFUNCTION("""COMPUTED_VALUE"""),111.8)</f>
        <v>111.8</v>
      </c>
      <c r="C973" s="1">
        <f ca="1">IFERROR(__xludf.DUMMYFUNCTION("""COMPUTED_VALUE"""),112.21)</f>
        <v>112.21</v>
      </c>
      <c r="D973" s="1">
        <f ca="1">IFERROR(__xludf.DUMMYFUNCTION("""COMPUTED_VALUE"""),110.91)</f>
        <v>110.91</v>
      </c>
      <c r="E973" s="1">
        <f ca="1">IFERROR(__xludf.DUMMYFUNCTION("""COMPUTED_VALUE"""),111.75)</f>
        <v>111.75</v>
      </c>
      <c r="F973" s="1">
        <f ca="1">IFERROR(__xludf.DUMMYFUNCTION("""COMPUTED_VALUE"""),25644105)</f>
        <v>25644105</v>
      </c>
    </row>
    <row r="974" spans="1:6" x14ac:dyDescent="0.35">
      <c r="A974" s="2">
        <f ca="1">IFERROR(__xludf.DUMMYFUNCTION("""COMPUTED_VALUE"""),43413.6666666666)</f>
        <v>43413.666666666599</v>
      </c>
      <c r="B974" s="1">
        <f ca="1">IFERROR(__xludf.DUMMYFUNCTION("""COMPUTED_VALUE"""),110.85)</f>
        <v>110.85</v>
      </c>
      <c r="C974" s="1">
        <f ca="1">IFERROR(__xludf.DUMMYFUNCTION("""COMPUTED_VALUE"""),111.45)</f>
        <v>111.45</v>
      </c>
      <c r="D974" s="1">
        <f ca="1">IFERROR(__xludf.DUMMYFUNCTION("""COMPUTED_VALUE"""),108.76)</f>
        <v>108.76</v>
      </c>
      <c r="E974" s="1">
        <f ca="1">IFERROR(__xludf.DUMMYFUNCTION("""COMPUTED_VALUE"""),109.57)</f>
        <v>109.57</v>
      </c>
      <c r="F974" s="1">
        <f ca="1">IFERROR(__xludf.DUMMYFUNCTION("""COMPUTED_VALUE"""),32039223)</f>
        <v>32039223</v>
      </c>
    </row>
    <row r="975" spans="1:6" x14ac:dyDescent="0.35">
      <c r="A975" s="2">
        <f ca="1">IFERROR(__xludf.DUMMYFUNCTION("""COMPUTED_VALUE"""),43416.6666666666)</f>
        <v>43416.666666666599</v>
      </c>
      <c r="B975" s="1">
        <f ca="1">IFERROR(__xludf.DUMMYFUNCTION("""COMPUTED_VALUE"""),109.42)</f>
        <v>109.42</v>
      </c>
      <c r="C975" s="1">
        <f ca="1">IFERROR(__xludf.DUMMYFUNCTION("""COMPUTED_VALUE"""),109.96)</f>
        <v>109.96</v>
      </c>
      <c r="D975" s="1">
        <f ca="1">IFERROR(__xludf.DUMMYFUNCTION("""COMPUTED_VALUE"""),106.1)</f>
        <v>106.1</v>
      </c>
      <c r="E975" s="1">
        <f ca="1">IFERROR(__xludf.DUMMYFUNCTION("""COMPUTED_VALUE"""),106.87)</f>
        <v>106.87</v>
      </c>
      <c r="F975" s="1">
        <f ca="1">IFERROR(__xludf.DUMMYFUNCTION("""COMPUTED_VALUE"""),33621807)</f>
        <v>33621807</v>
      </c>
    </row>
    <row r="976" spans="1:6" x14ac:dyDescent="0.35">
      <c r="A976" s="2">
        <f ca="1">IFERROR(__xludf.DUMMYFUNCTION("""COMPUTED_VALUE"""),43417.6666666666)</f>
        <v>43417.666666666599</v>
      </c>
      <c r="B976" s="1">
        <f ca="1">IFERROR(__xludf.DUMMYFUNCTION("""COMPUTED_VALUE"""),107.55)</f>
        <v>107.55</v>
      </c>
      <c r="C976" s="1">
        <f ca="1">IFERROR(__xludf.DUMMYFUNCTION("""COMPUTED_VALUE"""),108.74)</f>
        <v>108.74</v>
      </c>
      <c r="D976" s="1">
        <f ca="1">IFERROR(__xludf.DUMMYFUNCTION("""COMPUTED_VALUE"""),106.64)</f>
        <v>106.64</v>
      </c>
      <c r="E976" s="1">
        <f ca="1">IFERROR(__xludf.DUMMYFUNCTION("""COMPUTED_VALUE"""),106.94)</f>
        <v>106.94</v>
      </c>
      <c r="F976" s="1">
        <f ca="1">IFERROR(__xludf.DUMMYFUNCTION("""COMPUTED_VALUE"""),35374583)</f>
        <v>35374583</v>
      </c>
    </row>
    <row r="977" spans="1:6" x14ac:dyDescent="0.35">
      <c r="A977" s="2">
        <f ca="1">IFERROR(__xludf.DUMMYFUNCTION("""COMPUTED_VALUE"""),43418.6666666666)</f>
        <v>43418.666666666599</v>
      </c>
      <c r="B977" s="1">
        <f ca="1">IFERROR(__xludf.DUMMYFUNCTION("""COMPUTED_VALUE"""),108.1)</f>
        <v>108.1</v>
      </c>
      <c r="C977" s="1">
        <f ca="1">IFERROR(__xludf.DUMMYFUNCTION("""COMPUTED_VALUE"""),108.26)</f>
        <v>108.26</v>
      </c>
      <c r="D977" s="1">
        <f ca="1">IFERROR(__xludf.DUMMYFUNCTION("""COMPUTED_VALUE"""),104.47)</f>
        <v>104.47</v>
      </c>
      <c r="E977" s="1">
        <f ca="1">IFERROR(__xludf.DUMMYFUNCTION("""COMPUTED_VALUE"""),104.97)</f>
        <v>104.97</v>
      </c>
      <c r="F977" s="1">
        <f ca="1">IFERROR(__xludf.DUMMYFUNCTION("""COMPUTED_VALUE"""),39495141)</f>
        <v>39495141</v>
      </c>
    </row>
    <row r="978" spans="1:6" x14ac:dyDescent="0.35">
      <c r="A978" s="2">
        <f ca="1">IFERROR(__xludf.DUMMYFUNCTION("""COMPUTED_VALUE"""),43419.6666666666)</f>
        <v>43419.666666666599</v>
      </c>
      <c r="B978" s="1">
        <f ca="1">IFERROR(__xludf.DUMMYFUNCTION("""COMPUTED_VALUE"""),104.99)</f>
        <v>104.99</v>
      </c>
      <c r="C978" s="1">
        <f ca="1">IFERROR(__xludf.DUMMYFUNCTION("""COMPUTED_VALUE"""),107.8)</f>
        <v>107.8</v>
      </c>
      <c r="D978" s="1">
        <f ca="1">IFERROR(__xludf.DUMMYFUNCTION("""COMPUTED_VALUE"""),103.91)</f>
        <v>103.91</v>
      </c>
      <c r="E978" s="1">
        <f ca="1">IFERROR(__xludf.DUMMYFUNCTION("""COMPUTED_VALUE"""),107.28)</f>
        <v>107.28</v>
      </c>
      <c r="F978" s="1">
        <f ca="1">IFERROR(__xludf.DUMMYFUNCTION("""COMPUTED_VALUE"""),38505165)</f>
        <v>38505165</v>
      </c>
    </row>
    <row r="979" spans="1:6" x14ac:dyDescent="0.35">
      <c r="A979" s="2">
        <f ca="1">IFERROR(__xludf.DUMMYFUNCTION("""COMPUTED_VALUE"""),43420.6666666666)</f>
        <v>43420.666666666599</v>
      </c>
      <c r="B979" s="1">
        <f ca="1">IFERROR(__xludf.DUMMYFUNCTION("""COMPUTED_VALUE"""),107.08)</f>
        <v>107.08</v>
      </c>
      <c r="C979" s="1">
        <f ca="1">IFERROR(__xludf.DUMMYFUNCTION("""COMPUTED_VALUE"""),108.88)</f>
        <v>108.88</v>
      </c>
      <c r="D979" s="1">
        <f ca="1">IFERROR(__xludf.DUMMYFUNCTION("""COMPUTED_VALUE"""),106.8)</f>
        <v>106.8</v>
      </c>
      <c r="E979" s="1">
        <f ca="1">IFERROR(__xludf.DUMMYFUNCTION("""COMPUTED_VALUE"""),108.29)</f>
        <v>108.29</v>
      </c>
      <c r="F979" s="1">
        <f ca="1">IFERROR(__xludf.DUMMYFUNCTION("""COMPUTED_VALUE"""),33502121)</f>
        <v>33502121</v>
      </c>
    </row>
    <row r="980" spans="1:6" x14ac:dyDescent="0.35">
      <c r="A980" s="2">
        <f ca="1">IFERROR(__xludf.DUMMYFUNCTION("""COMPUTED_VALUE"""),43423.6666666666)</f>
        <v>43423.666666666599</v>
      </c>
      <c r="B980" s="1">
        <f ca="1">IFERROR(__xludf.DUMMYFUNCTION("""COMPUTED_VALUE"""),108.27)</f>
        <v>108.27</v>
      </c>
      <c r="C980" s="1">
        <f ca="1">IFERROR(__xludf.DUMMYFUNCTION("""COMPUTED_VALUE"""),108.56)</f>
        <v>108.56</v>
      </c>
      <c r="D980" s="1">
        <f ca="1">IFERROR(__xludf.DUMMYFUNCTION("""COMPUTED_VALUE"""),103.55)</f>
        <v>103.55</v>
      </c>
      <c r="E980" s="1">
        <f ca="1">IFERROR(__xludf.DUMMYFUNCTION("""COMPUTED_VALUE"""),104.62)</f>
        <v>104.62</v>
      </c>
      <c r="F980" s="1">
        <f ca="1">IFERROR(__xludf.DUMMYFUNCTION("""COMPUTED_VALUE"""),44773899)</f>
        <v>44773899</v>
      </c>
    </row>
    <row r="981" spans="1:6" x14ac:dyDescent="0.35">
      <c r="A981" s="2">
        <f ca="1">IFERROR(__xludf.DUMMYFUNCTION("""COMPUTED_VALUE"""),43424.6666666666)</f>
        <v>43424.666666666599</v>
      </c>
      <c r="B981" s="1">
        <f ca="1">IFERROR(__xludf.DUMMYFUNCTION("""COMPUTED_VALUE"""),101.8)</f>
        <v>101.8</v>
      </c>
      <c r="C981" s="1">
        <f ca="1">IFERROR(__xludf.DUMMYFUNCTION("""COMPUTED_VALUE"""),102.97)</f>
        <v>102.97</v>
      </c>
      <c r="D981" s="1">
        <f ca="1">IFERROR(__xludf.DUMMYFUNCTION("""COMPUTED_VALUE"""),99.35)</f>
        <v>99.35</v>
      </c>
      <c r="E981" s="1">
        <f ca="1">IFERROR(__xludf.DUMMYFUNCTION("""COMPUTED_VALUE"""),101.71)</f>
        <v>101.71</v>
      </c>
      <c r="F981" s="1">
        <f ca="1">IFERROR(__xludf.DUMMYFUNCTION("""COMPUTED_VALUE"""),64052457)</f>
        <v>64052457</v>
      </c>
    </row>
    <row r="982" spans="1:6" x14ac:dyDescent="0.35">
      <c r="A982" s="2">
        <f ca="1">IFERROR(__xludf.DUMMYFUNCTION("""COMPUTED_VALUE"""),43425.6666666666)</f>
        <v>43425.666666666599</v>
      </c>
      <c r="B982" s="1">
        <f ca="1">IFERROR(__xludf.DUMMYFUNCTION("""COMPUTED_VALUE"""),103.6)</f>
        <v>103.6</v>
      </c>
      <c r="C982" s="1">
        <f ca="1">IFERROR(__xludf.DUMMYFUNCTION("""COMPUTED_VALUE"""),104.43)</f>
        <v>104.43</v>
      </c>
      <c r="D982" s="1">
        <f ca="1">IFERROR(__xludf.DUMMYFUNCTION("""COMPUTED_VALUE"""),102.24)</f>
        <v>102.24</v>
      </c>
      <c r="E982" s="1">
        <f ca="1">IFERROR(__xludf.DUMMYFUNCTION("""COMPUTED_VALUE"""),103.11)</f>
        <v>103.11</v>
      </c>
      <c r="F982" s="1">
        <f ca="1">IFERROR(__xludf.DUMMYFUNCTION("""COMPUTED_VALUE"""),28130621)</f>
        <v>28130621</v>
      </c>
    </row>
    <row r="983" spans="1:6" x14ac:dyDescent="0.35">
      <c r="A983" s="2">
        <f ca="1">IFERROR(__xludf.DUMMYFUNCTION("""COMPUTED_VALUE"""),43427.5416666666)</f>
        <v>43427.541666666599</v>
      </c>
      <c r="B983" s="1">
        <f ca="1">IFERROR(__xludf.DUMMYFUNCTION("""COMPUTED_VALUE"""),102.17)</f>
        <v>102.17</v>
      </c>
      <c r="C983" s="1">
        <f ca="1">IFERROR(__xludf.DUMMYFUNCTION("""COMPUTED_VALUE"""),103.81)</f>
        <v>103.81</v>
      </c>
      <c r="D983" s="1">
        <f ca="1">IFERROR(__xludf.DUMMYFUNCTION("""COMPUTED_VALUE"""),102)</f>
        <v>102</v>
      </c>
      <c r="E983" s="1">
        <f ca="1">IFERROR(__xludf.DUMMYFUNCTION("""COMPUTED_VALUE"""),103.07)</f>
        <v>103.07</v>
      </c>
      <c r="F983" s="1">
        <f ca="1">IFERROR(__xludf.DUMMYFUNCTION("""COMPUTED_VALUE"""),13823099)</f>
        <v>13823099</v>
      </c>
    </row>
    <row r="984" spans="1:6" x14ac:dyDescent="0.35">
      <c r="A984" s="2">
        <f ca="1">IFERROR(__xludf.DUMMYFUNCTION("""COMPUTED_VALUE"""),43430.6666666666)</f>
        <v>43430.666666666599</v>
      </c>
      <c r="B984" s="1">
        <f ca="1">IFERROR(__xludf.DUMMYFUNCTION("""COMPUTED_VALUE"""),104.79)</f>
        <v>104.79</v>
      </c>
      <c r="C984" s="1">
        <f ca="1">IFERROR(__xludf.DUMMYFUNCTION("""COMPUTED_VALUE"""),106.63)</f>
        <v>106.63</v>
      </c>
      <c r="D984" s="1">
        <f ca="1">IFERROR(__xludf.DUMMYFUNCTION("""COMPUTED_VALUE"""),104.58)</f>
        <v>104.58</v>
      </c>
      <c r="E984" s="1">
        <f ca="1">IFERROR(__xludf.DUMMYFUNCTION("""COMPUTED_VALUE"""),106.47)</f>
        <v>106.47</v>
      </c>
      <c r="F984" s="1">
        <f ca="1">IFERROR(__xludf.DUMMYFUNCTION("""COMPUTED_VALUE"""),32336165)</f>
        <v>32336165</v>
      </c>
    </row>
    <row r="985" spans="1:6" x14ac:dyDescent="0.35">
      <c r="A985" s="2">
        <f ca="1">IFERROR(__xludf.DUMMYFUNCTION("""COMPUTED_VALUE"""),43431.6666666666)</f>
        <v>43431.666666666599</v>
      </c>
      <c r="B985" s="1">
        <f ca="1">IFERROR(__xludf.DUMMYFUNCTION("""COMPUTED_VALUE"""),106.27)</f>
        <v>106.27</v>
      </c>
      <c r="C985" s="1">
        <f ca="1">IFERROR(__xludf.DUMMYFUNCTION("""COMPUTED_VALUE"""),107.33)</f>
        <v>107.33</v>
      </c>
      <c r="D985" s="1">
        <f ca="1">IFERROR(__xludf.DUMMYFUNCTION("""COMPUTED_VALUE"""),105.36)</f>
        <v>105.36</v>
      </c>
      <c r="E985" s="1">
        <f ca="1">IFERROR(__xludf.DUMMYFUNCTION("""COMPUTED_VALUE"""),107.14)</f>
        <v>107.14</v>
      </c>
      <c r="F985" s="1">
        <f ca="1">IFERROR(__xludf.DUMMYFUNCTION("""COMPUTED_VALUE"""),29124486)</f>
        <v>29124486</v>
      </c>
    </row>
    <row r="986" spans="1:6" x14ac:dyDescent="0.35">
      <c r="A986" s="2">
        <f ca="1">IFERROR(__xludf.DUMMYFUNCTION("""COMPUTED_VALUE"""),43432.6666666666)</f>
        <v>43432.666666666599</v>
      </c>
      <c r="B986" s="1">
        <f ca="1">IFERROR(__xludf.DUMMYFUNCTION("""COMPUTED_VALUE"""),107.89)</f>
        <v>107.89</v>
      </c>
      <c r="C986" s="1">
        <f ca="1">IFERROR(__xludf.DUMMYFUNCTION("""COMPUTED_VALUE"""),111.33)</f>
        <v>111.33</v>
      </c>
      <c r="D986" s="1">
        <f ca="1">IFERROR(__xludf.DUMMYFUNCTION("""COMPUTED_VALUE"""),107.86)</f>
        <v>107.86</v>
      </c>
      <c r="E986" s="1">
        <f ca="1">IFERROR(__xludf.DUMMYFUNCTION("""COMPUTED_VALUE"""),111.12)</f>
        <v>111.12</v>
      </c>
      <c r="F986" s="1">
        <f ca="1">IFERROR(__xludf.DUMMYFUNCTION("""COMPUTED_VALUE"""),46788461)</f>
        <v>46788461</v>
      </c>
    </row>
    <row r="987" spans="1:6" x14ac:dyDescent="0.35">
      <c r="A987" s="2">
        <f ca="1">IFERROR(__xludf.DUMMYFUNCTION("""COMPUTED_VALUE"""),43433.6666666666)</f>
        <v>43433.666666666599</v>
      </c>
      <c r="B987" s="1">
        <f ca="1">IFERROR(__xludf.DUMMYFUNCTION("""COMPUTED_VALUE"""),110.33)</f>
        <v>110.33</v>
      </c>
      <c r="C987" s="1">
        <f ca="1">IFERROR(__xludf.DUMMYFUNCTION("""COMPUTED_VALUE"""),111.12)</f>
        <v>111.12</v>
      </c>
      <c r="D987" s="1">
        <f ca="1">IFERROR(__xludf.DUMMYFUNCTION("""COMPUTED_VALUE"""),109.03)</f>
        <v>109.03</v>
      </c>
      <c r="E987" s="1">
        <f ca="1">IFERROR(__xludf.DUMMYFUNCTION("""COMPUTED_VALUE"""),110.19)</f>
        <v>110.19</v>
      </c>
      <c r="F987" s="1">
        <f ca="1">IFERROR(__xludf.DUMMYFUNCTION("""COMPUTED_VALUE"""),28123195)</f>
        <v>28123195</v>
      </c>
    </row>
    <row r="988" spans="1:6" x14ac:dyDescent="0.35">
      <c r="A988" s="2">
        <f ca="1">IFERROR(__xludf.DUMMYFUNCTION("""COMPUTED_VALUE"""),43434.6666666666)</f>
        <v>43434.666666666599</v>
      </c>
      <c r="B988" s="1">
        <f ca="1">IFERROR(__xludf.DUMMYFUNCTION("""COMPUTED_VALUE"""),110.7)</f>
        <v>110.7</v>
      </c>
      <c r="C988" s="1">
        <f ca="1">IFERROR(__xludf.DUMMYFUNCTION("""COMPUTED_VALUE"""),110.97)</f>
        <v>110.97</v>
      </c>
      <c r="D988" s="1">
        <f ca="1">IFERROR(__xludf.DUMMYFUNCTION("""COMPUTED_VALUE"""),109.36)</f>
        <v>109.36</v>
      </c>
      <c r="E988" s="1">
        <f ca="1">IFERROR(__xludf.DUMMYFUNCTION("""COMPUTED_VALUE"""),110.89)</f>
        <v>110.89</v>
      </c>
      <c r="F988" s="1">
        <f ca="1">IFERROR(__xludf.DUMMYFUNCTION("""COMPUTED_VALUE"""),33665624)</f>
        <v>33665624</v>
      </c>
    </row>
    <row r="989" spans="1:6" x14ac:dyDescent="0.35">
      <c r="A989" s="2">
        <f ca="1">IFERROR(__xludf.DUMMYFUNCTION("""COMPUTED_VALUE"""),43437.6666666666)</f>
        <v>43437.666666666599</v>
      </c>
      <c r="B989" s="1">
        <f ca="1">IFERROR(__xludf.DUMMYFUNCTION("""COMPUTED_VALUE"""),113)</f>
        <v>113</v>
      </c>
      <c r="C989" s="1">
        <f ca="1">IFERROR(__xludf.DUMMYFUNCTION("""COMPUTED_VALUE"""),113.42)</f>
        <v>113.42</v>
      </c>
      <c r="D989" s="1">
        <f ca="1">IFERROR(__xludf.DUMMYFUNCTION("""COMPUTED_VALUE"""),110.73)</f>
        <v>110.73</v>
      </c>
      <c r="E989" s="1">
        <f ca="1">IFERROR(__xludf.DUMMYFUNCTION("""COMPUTED_VALUE"""),112.09)</f>
        <v>112.09</v>
      </c>
      <c r="F989" s="1">
        <f ca="1">IFERROR(__xludf.DUMMYFUNCTION("""COMPUTED_VALUE"""),34732772)</f>
        <v>34732772</v>
      </c>
    </row>
    <row r="990" spans="1:6" x14ac:dyDescent="0.35">
      <c r="A990" s="2">
        <f ca="1">IFERROR(__xludf.DUMMYFUNCTION("""COMPUTED_VALUE"""),43438.6666666666)</f>
        <v>43438.666666666599</v>
      </c>
      <c r="B990" s="1">
        <f ca="1">IFERROR(__xludf.DUMMYFUNCTION("""COMPUTED_VALUE"""),111.94)</f>
        <v>111.94</v>
      </c>
      <c r="C990" s="1">
        <f ca="1">IFERROR(__xludf.DUMMYFUNCTION("""COMPUTED_VALUE"""),112.64)</f>
        <v>112.64</v>
      </c>
      <c r="D990" s="1">
        <f ca="1">IFERROR(__xludf.DUMMYFUNCTION("""COMPUTED_VALUE"""),108.21)</f>
        <v>108.21</v>
      </c>
      <c r="E990" s="1">
        <f ca="1">IFERROR(__xludf.DUMMYFUNCTION("""COMPUTED_VALUE"""),108.52)</f>
        <v>108.52</v>
      </c>
      <c r="F990" s="1">
        <f ca="1">IFERROR(__xludf.DUMMYFUNCTION("""COMPUTED_VALUE"""),45196984)</f>
        <v>45196984</v>
      </c>
    </row>
    <row r="991" spans="1:6" x14ac:dyDescent="0.35">
      <c r="A991" s="2">
        <f ca="1">IFERROR(__xludf.DUMMYFUNCTION("""COMPUTED_VALUE"""),43440.6666666666)</f>
        <v>43440.666666666599</v>
      </c>
      <c r="B991" s="1">
        <f ca="1">IFERROR(__xludf.DUMMYFUNCTION("""COMPUTED_VALUE"""),105.82)</f>
        <v>105.82</v>
      </c>
      <c r="C991" s="1">
        <f ca="1">IFERROR(__xludf.DUMMYFUNCTION("""COMPUTED_VALUE"""),109.24)</f>
        <v>109.24</v>
      </c>
      <c r="D991" s="1">
        <f ca="1">IFERROR(__xludf.DUMMYFUNCTION("""COMPUTED_VALUE"""),105)</f>
        <v>105</v>
      </c>
      <c r="E991" s="1">
        <f ca="1">IFERROR(__xludf.DUMMYFUNCTION("""COMPUTED_VALUE"""),109.19)</f>
        <v>109.19</v>
      </c>
      <c r="F991" s="1">
        <f ca="1">IFERROR(__xludf.DUMMYFUNCTION("""COMPUTED_VALUE"""),49107431)</f>
        <v>49107431</v>
      </c>
    </row>
    <row r="992" spans="1:6" x14ac:dyDescent="0.35">
      <c r="A992" s="2">
        <f ca="1">IFERROR(__xludf.DUMMYFUNCTION("""COMPUTED_VALUE"""),43441.6666666666)</f>
        <v>43441.666666666599</v>
      </c>
      <c r="B992" s="1">
        <f ca="1">IFERROR(__xludf.DUMMYFUNCTION("""COMPUTED_VALUE"""),108.38)</f>
        <v>108.38</v>
      </c>
      <c r="C992" s="1">
        <f ca="1">IFERROR(__xludf.DUMMYFUNCTION("""COMPUTED_VALUE"""),109.45)</f>
        <v>109.45</v>
      </c>
      <c r="D992" s="1">
        <f ca="1">IFERROR(__xludf.DUMMYFUNCTION("""COMPUTED_VALUE"""),104.3)</f>
        <v>104.3</v>
      </c>
      <c r="E992" s="1">
        <f ca="1">IFERROR(__xludf.DUMMYFUNCTION("""COMPUTED_VALUE"""),104.82)</f>
        <v>104.82</v>
      </c>
      <c r="F992" s="1">
        <f ca="1">IFERROR(__xludf.DUMMYFUNCTION("""COMPUTED_VALUE"""),45044937)</f>
        <v>45044937</v>
      </c>
    </row>
    <row r="993" spans="1:6" x14ac:dyDescent="0.35">
      <c r="A993" s="2">
        <f ca="1">IFERROR(__xludf.DUMMYFUNCTION("""COMPUTED_VALUE"""),43444.6666666666)</f>
        <v>43444.666666666599</v>
      </c>
      <c r="B993" s="1">
        <f ca="1">IFERROR(__xludf.DUMMYFUNCTION("""COMPUTED_VALUE"""),104.8)</f>
        <v>104.8</v>
      </c>
      <c r="C993" s="1">
        <f ca="1">IFERROR(__xludf.DUMMYFUNCTION("""COMPUTED_VALUE"""),107.98)</f>
        <v>107.98</v>
      </c>
      <c r="D993" s="1">
        <f ca="1">IFERROR(__xludf.DUMMYFUNCTION("""COMPUTED_VALUE"""),103.89)</f>
        <v>103.89</v>
      </c>
      <c r="E993" s="1">
        <f ca="1">IFERROR(__xludf.DUMMYFUNCTION("""COMPUTED_VALUE"""),107.59)</f>
        <v>107.59</v>
      </c>
      <c r="F993" s="1">
        <f ca="1">IFERROR(__xludf.DUMMYFUNCTION("""COMPUTED_VALUE"""),40801525)</f>
        <v>40801525</v>
      </c>
    </row>
    <row r="994" spans="1:6" x14ac:dyDescent="0.35">
      <c r="A994" s="2">
        <f ca="1">IFERROR(__xludf.DUMMYFUNCTION("""COMPUTED_VALUE"""),43445.6666666666)</f>
        <v>43445.666666666599</v>
      </c>
      <c r="B994" s="1">
        <f ca="1">IFERROR(__xludf.DUMMYFUNCTION("""COMPUTED_VALUE"""),109.8)</f>
        <v>109.8</v>
      </c>
      <c r="C994" s="1">
        <f ca="1">IFERROR(__xludf.DUMMYFUNCTION("""COMPUTED_VALUE"""),110.95)</f>
        <v>110.95</v>
      </c>
      <c r="D994" s="1">
        <f ca="1">IFERROR(__xludf.DUMMYFUNCTION("""COMPUTED_VALUE"""),107.44)</f>
        <v>107.44</v>
      </c>
      <c r="E994" s="1">
        <f ca="1">IFERROR(__xludf.DUMMYFUNCTION("""COMPUTED_VALUE"""),108.59)</f>
        <v>108.59</v>
      </c>
      <c r="F994" s="1">
        <f ca="1">IFERROR(__xludf.DUMMYFUNCTION("""COMPUTED_VALUE"""),42381947)</f>
        <v>42381947</v>
      </c>
    </row>
    <row r="995" spans="1:6" x14ac:dyDescent="0.35">
      <c r="A995" s="2">
        <f ca="1">IFERROR(__xludf.DUMMYFUNCTION("""COMPUTED_VALUE"""),43446.6666666666)</f>
        <v>43446.666666666599</v>
      </c>
      <c r="B995" s="1">
        <f ca="1">IFERROR(__xludf.DUMMYFUNCTION("""COMPUTED_VALUE"""),110.89)</f>
        <v>110.89</v>
      </c>
      <c r="C995" s="1">
        <f ca="1">IFERROR(__xludf.DUMMYFUNCTION("""COMPUTED_VALUE"""),111.27)</f>
        <v>111.27</v>
      </c>
      <c r="D995" s="1">
        <f ca="1">IFERROR(__xludf.DUMMYFUNCTION("""COMPUTED_VALUE"""),109.04)</f>
        <v>109.04</v>
      </c>
      <c r="E995" s="1">
        <f ca="1">IFERROR(__xludf.DUMMYFUNCTION("""COMPUTED_VALUE"""),109.08)</f>
        <v>109.08</v>
      </c>
      <c r="F995" s="1">
        <f ca="1">IFERROR(__xludf.DUMMYFUNCTION("""COMPUTED_VALUE"""),36183020)</f>
        <v>36183020</v>
      </c>
    </row>
    <row r="996" spans="1:6" x14ac:dyDescent="0.35">
      <c r="A996" s="2">
        <f ca="1">IFERROR(__xludf.DUMMYFUNCTION("""COMPUTED_VALUE"""),43447.6666666666)</f>
        <v>43447.666666666599</v>
      </c>
      <c r="B996" s="1">
        <f ca="1">IFERROR(__xludf.DUMMYFUNCTION("""COMPUTED_VALUE"""),109.58)</f>
        <v>109.58</v>
      </c>
      <c r="C996" s="1">
        <f ca="1">IFERROR(__xludf.DUMMYFUNCTION("""COMPUTED_VALUE"""),110.87)</f>
        <v>110.87</v>
      </c>
      <c r="D996" s="1">
        <f ca="1">IFERROR(__xludf.DUMMYFUNCTION("""COMPUTED_VALUE"""),108.63)</f>
        <v>108.63</v>
      </c>
      <c r="E996" s="1">
        <f ca="1">IFERROR(__xludf.DUMMYFUNCTION("""COMPUTED_VALUE"""),109.45)</f>
        <v>109.45</v>
      </c>
      <c r="F996" s="1">
        <f ca="1">IFERROR(__xludf.DUMMYFUNCTION("""COMPUTED_VALUE"""),31333362)</f>
        <v>31333362</v>
      </c>
    </row>
    <row r="997" spans="1:6" x14ac:dyDescent="0.35">
      <c r="A997" s="2">
        <f ca="1">IFERROR(__xludf.DUMMYFUNCTION("""COMPUTED_VALUE"""),43448.6666666666)</f>
        <v>43448.666666666599</v>
      </c>
      <c r="B997" s="1">
        <f ca="1">IFERROR(__xludf.DUMMYFUNCTION("""COMPUTED_VALUE"""),108.25)</f>
        <v>108.25</v>
      </c>
      <c r="C997" s="1">
        <f ca="1">IFERROR(__xludf.DUMMYFUNCTION("""COMPUTED_VALUE"""),109.26)</f>
        <v>109.26</v>
      </c>
      <c r="D997" s="1">
        <f ca="1">IFERROR(__xludf.DUMMYFUNCTION("""COMPUTED_VALUE"""),105.5)</f>
        <v>105.5</v>
      </c>
      <c r="E997" s="1">
        <f ca="1">IFERROR(__xludf.DUMMYFUNCTION("""COMPUTED_VALUE"""),106.03)</f>
        <v>106.03</v>
      </c>
      <c r="F997" s="1">
        <f ca="1">IFERROR(__xludf.DUMMYFUNCTION("""COMPUTED_VALUE"""),47043136)</f>
        <v>47043136</v>
      </c>
    </row>
    <row r="998" spans="1:6" x14ac:dyDescent="0.35">
      <c r="A998" s="2">
        <f ca="1">IFERROR(__xludf.DUMMYFUNCTION("""COMPUTED_VALUE"""),43451.6666666666)</f>
        <v>43451.666666666599</v>
      </c>
      <c r="B998" s="1">
        <f ca="1">IFERROR(__xludf.DUMMYFUNCTION("""COMPUTED_VALUE"""),105.41)</f>
        <v>105.41</v>
      </c>
      <c r="C998" s="1">
        <f ca="1">IFERROR(__xludf.DUMMYFUNCTION("""COMPUTED_VALUE"""),105.8)</f>
        <v>105.8</v>
      </c>
      <c r="D998" s="1">
        <f ca="1">IFERROR(__xludf.DUMMYFUNCTION("""COMPUTED_VALUE"""),101.71)</f>
        <v>101.71</v>
      </c>
      <c r="E998" s="1">
        <f ca="1">IFERROR(__xludf.DUMMYFUNCTION("""COMPUTED_VALUE"""),102.89)</f>
        <v>102.89</v>
      </c>
      <c r="F998" s="1">
        <f ca="1">IFERROR(__xludf.DUMMYFUNCTION("""COMPUTED_VALUE"""),56957314)</f>
        <v>56957314</v>
      </c>
    </row>
    <row r="999" spans="1:6" x14ac:dyDescent="0.35">
      <c r="A999" s="2">
        <f ca="1">IFERROR(__xludf.DUMMYFUNCTION("""COMPUTED_VALUE"""),43452.6666666666)</f>
        <v>43452.666666666599</v>
      </c>
      <c r="B999" s="1">
        <f ca="1">IFERROR(__xludf.DUMMYFUNCTION("""COMPUTED_VALUE"""),103.75)</f>
        <v>103.75</v>
      </c>
      <c r="C999" s="1">
        <f ca="1">IFERROR(__xludf.DUMMYFUNCTION("""COMPUTED_VALUE"""),104.51)</f>
        <v>104.51</v>
      </c>
      <c r="D999" s="1">
        <f ca="1">IFERROR(__xludf.DUMMYFUNCTION("""COMPUTED_VALUE"""),102.52)</f>
        <v>102.52</v>
      </c>
      <c r="E999" s="1">
        <f ca="1">IFERROR(__xludf.DUMMYFUNCTION("""COMPUTED_VALUE"""),103.97)</f>
        <v>103.97</v>
      </c>
      <c r="F999" s="1">
        <f ca="1">IFERROR(__xludf.DUMMYFUNCTION("""COMPUTED_VALUE"""),49319196)</f>
        <v>49319196</v>
      </c>
    </row>
    <row r="1000" spans="1:6" x14ac:dyDescent="0.35">
      <c r="A1000" s="2">
        <f ca="1">IFERROR(__xludf.DUMMYFUNCTION("""COMPUTED_VALUE"""),43453.6666666666)</f>
        <v>43453.666666666599</v>
      </c>
      <c r="B1000" s="1">
        <f ca="1">IFERROR(__xludf.DUMMYFUNCTION("""COMPUTED_VALUE"""),103.65)</f>
        <v>103.65</v>
      </c>
      <c r="C1000" s="1">
        <f ca="1">IFERROR(__xludf.DUMMYFUNCTION("""COMPUTED_VALUE"""),106.88)</f>
        <v>106.88</v>
      </c>
      <c r="D1000" s="1">
        <f ca="1">IFERROR(__xludf.DUMMYFUNCTION("""COMPUTED_VALUE"""),101.35)</f>
        <v>101.35</v>
      </c>
      <c r="E1000" s="1">
        <f ca="1">IFERROR(__xludf.DUMMYFUNCTION("""COMPUTED_VALUE"""),103.69)</f>
        <v>103.69</v>
      </c>
      <c r="F1000" s="1">
        <f ca="1">IFERROR(__xludf.DUMMYFUNCTION("""COMPUTED_VALUE"""),68198186)</f>
        <v>68198186</v>
      </c>
    </row>
    <row r="1001" spans="1:6" x14ac:dyDescent="0.35">
      <c r="A1001" s="2">
        <f ca="1">IFERROR(__xludf.DUMMYFUNCTION("""COMPUTED_VALUE"""),43454.6666666666)</f>
        <v>43454.666666666599</v>
      </c>
      <c r="B1001" s="1">
        <f ca="1">IFERROR(__xludf.DUMMYFUNCTION("""COMPUTED_VALUE"""),103.05)</f>
        <v>103.05</v>
      </c>
      <c r="C1001" s="1">
        <f ca="1">IFERROR(__xludf.DUMMYFUNCTION("""COMPUTED_VALUE"""),104.31)</f>
        <v>104.31</v>
      </c>
      <c r="D1001" s="1">
        <f ca="1">IFERROR(__xludf.DUMMYFUNCTION("""COMPUTED_VALUE"""),98.78)</f>
        <v>98.78</v>
      </c>
      <c r="E1001" s="1">
        <f ca="1">IFERROR(__xludf.DUMMYFUNCTION("""COMPUTED_VALUE"""),101.51)</f>
        <v>101.51</v>
      </c>
      <c r="F1001" s="1">
        <f ca="1">IFERROR(__xludf.DUMMYFUNCTION("""COMPUTED_VALUE"""),70334184)</f>
        <v>70334184</v>
      </c>
    </row>
    <row r="1002" spans="1:6" x14ac:dyDescent="0.35">
      <c r="A1002" s="2">
        <f ca="1">IFERROR(__xludf.DUMMYFUNCTION("""COMPUTED_VALUE"""),43455.6666666666)</f>
        <v>43455.666666666599</v>
      </c>
      <c r="B1002" s="1">
        <f ca="1">IFERROR(__xludf.DUMMYFUNCTION("""COMPUTED_VALUE"""),101.63)</f>
        <v>101.63</v>
      </c>
      <c r="C1002" s="1">
        <f ca="1">IFERROR(__xludf.DUMMYFUNCTION("""COMPUTED_VALUE"""),103)</f>
        <v>103</v>
      </c>
      <c r="D1002" s="1">
        <f ca="1">IFERROR(__xludf.DUMMYFUNCTION("""COMPUTED_VALUE"""),97.46)</f>
        <v>97.46</v>
      </c>
      <c r="E1002" s="1">
        <f ca="1">IFERROR(__xludf.DUMMYFUNCTION("""COMPUTED_VALUE"""),98.23)</f>
        <v>98.23</v>
      </c>
      <c r="F1002" s="1">
        <f ca="1">IFERROR(__xludf.DUMMYFUNCTION("""COMPUTED_VALUE"""),111242070)</f>
        <v>111242070</v>
      </c>
    </row>
    <row r="1003" spans="1:6" x14ac:dyDescent="0.35">
      <c r="A1003" s="2">
        <f ca="1">IFERROR(__xludf.DUMMYFUNCTION("""COMPUTED_VALUE"""),43458.5416666666)</f>
        <v>43458.541666666599</v>
      </c>
      <c r="B1003" s="1">
        <f ca="1">IFERROR(__xludf.DUMMYFUNCTION("""COMPUTED_VALUE"""),97.68)</f>
        <v>97.68</v>
      </c>
      <c r="C1003" s="1">
        <f ca="1">IFERROR(__xludf.DUMMYFUNCTION("""COMPUTED_VALUE"""),97.97)</f>
        <v>97.97</v>
      </c>
      <c r="D1003" s="1">
        <f ca="1">IFERROR(__xludf.DUMMYFUNCTION("""COMPUTED_VALUE"""),93.98)</f>
        <v>93.98</v>
      </c>
      <c r="E1003" s="1">
        <f ca="1">IFERROR(__xludf.DUMMYFUNCTION("""COMPUTED_VALUE"""),94.13)</f>
        <v>94.13</v>
      </c>
      <c r="F1003" s="1">
        <f ca="1">IFERROR(__xludf.DUMMYFUNCTION("""COMPUTED_VALUE"""),43935192)</f>
        <v>43935192</v>
      </c>
    </row>
    <row r="1004" spans="1:6" x14ac:dyDescent="0.35">
      <c r="A1004" s="2">
        <f ca="1">IFERROR(__xludf.DUMMYFUNCTION("""COMPUTED_VALUE"""),43460.6666666666)</f>
        <v>43460.666666666599</v>
      </c>
      <c r="B1004" s="1">
        <f ca="1">IFERROR(__xludf.DUMMYFUNCTION("""COMPUTED_VALUE"""),95.14)</f>
        <v>95.14</v>
      </c>
      <c r="C1004" s="1">
        <f ca="1">IFERROR(__xludf.DUMMYFUNCTION("""COMPUTED_VALUE"""),100.69)</f>
        <v>100.69</v>
      </c>
      <c r="D1004" s="1">
        <f ca="1">IFERROR(__xludf.DUMMYFUNCTION("""COMPUTED_VALUE"""),93.96)</f>
        <v>93.96</v>
      </c>
      <c r="E1004" s="1">
        <f ca="1">IFERROR(__xludf.DUMMYFUNCTION("""COMPUTED_VALUE"""),100.56)</f>
        <v>100.56</v>
      </c>
      <c r="F1004" s="1">
        <f ca="1">IFERROR(__xludf.DUMMYFUNCTION("""COMPUTED_VALUE"""),51634793)</f>
        <v>51634793</v>
      </c>
    </row>
    <row r="1005" spans="1:6" x14ac:dyDescent="0.35">
      <c r="A1005" s="2">
        <f ca="1">IFERROR(__xludf.DUMMYFUNCTION("""COMPUTED_VALUE"""),43461.6666666666)</f>
        <v>43461.666666666599</v>
      </c>
      <c r="B1005" s="1">
        <f ca="1">IFERROR(__xludf.DUMMYFUNCTION("""COMPUTED_VALUE"""),99.3)</f>
        <v>99.3</v>
      </c>
      <c r="C1005" s="1">
        <f ca="1">IFERROR(__xludf.DUMMYFUNCTION("""COMPUTED_VALUE"""),101.19)</f>
        <v>101.19</v>
      </c>
      <c r="D1005" s="1">
        <f ca="1">IFERROR(__xludf.DUMMYFUNCTION("""COMPUTED_VALUE"""),96.4)</f>
        <v>96.4</v>
      </c>
      <c r="E1005" s="1">
        <f ca="1">IFERROR(__xludf.DUMMYFUNCTION("""COMPUTED_VALUE"""),101.18)</f>
        <v>101.18</v>
      </c>
      <c r="F1005" s="1">
        <f ca="1">IFERROR(__xludf.DUMMYFUNCTION("""COMPUTED_VALUE"""),49498509)</f>
        <v>49498509</v>
      </c>
    </row>
    <row r="1006" spans="1:6" x14ac:dyDescent="0.35">
      <c r="A1006" s="2">
        <f ca="1">IFERROR(__xludf.DUMMYFUNCTION("""COMPUTED_VALUE"""),43462.6666666666)</f>
        <v>43462.666666666599</v>
      </c>
      <c r="B1006" s="1">
        <f ca="1">IFERROR(__xludf.DUMMYFUNCTION("""COMPUTED_VALUE"""),102.09)</f>
        <v>102.09</v>
      </c>
      <c r="C1006" s="1">
        <f ca="1">IFERROR(__xludf.DUMMYFUNCTION("""COMPUTED_VALUE"""),102.41)</f>
        <v>102.41</v>
      </c>
      <c r="D1006" s="1">
        <f ca="1">IFERROR(__xludf.DUMMYFUNCTION("""COMPUTED_VALUE"""),99.52)</f>
        <v>99.52</v>
      </c>
      <c r="E1006" s="1">
        <f ca="1">IFERROR(__xludf.DUMMYFUNCTION("""COMPUTED_VALUE"""),100.39)</f>
        <v>100.39</v>
      </c>
      <c r="F1006" s="1">
        <f ca="1">IFERROR(__xludf.DUMMYFUNCTION("""COMPUTED_VALUE"""),38169312)</f>
        <v>38169312</v>
      </c>
    </row>
    <row r="1007" spans="1:6" x14ac:dyDescent="0.35">
      <c r="A1007" s="2">
        <f ca="1">IFERROR(__xludf.DUMMYFUNCTION("""COMPUTED_VALUE"""),43465.6666666666)</f>
        <v>43465.666666666599</v>
      </c>
      <c r="B1007" s="1">
        <f ca="1">IFERROR(__xludf.DUMMYFUNCTION("""COMPUTED_VALUE"""),101.29)</f>
        <v>101.29</v>
      </c>
      <c r="C1007" s="1">
        <f ca="1">IFERROR(__xludf.DUMMYFUNCTION("""COMPUTED_VALUE"""),102.4)</f>
        <v>102.4</v>
      </c>
      <c r="D1007" s="1">
        <f ca="1">IFERROR(__xludf.DUMMYFUNCTION("""COMPUTED_VALUE"""),100.44)</f>
        <v>100.44</v>
      </c>
      <c r="E1007" s="1">
        <f ca="1">IFERROR(__xludf.DUMMYFUNCTION("""COMPUTED_VALUE"""),101.57)</f>
        <v>101.57</v>
      </c>
      <c r="F1007" s="1">
        <f ca="1">IFERROR(__xludf.DUMMYFUNCTION("""COMPUTED_VALUE"""),33173765)</f>
        <v>33173765</v>
      </c>
    </row>
    <row r="1008" spans="1:6" x14ac:dyDescent="0.35">
      <c r="A1008" s="2">
        <f ca="1">IFERROR(__xludf.DUMMYFUNCTION("""COMPUTED_VALUE"""),43467.6666666666)</f>
        <v>43467.666666666599</v>
      </c>
      <c r="B1008" s="1">
        <f ca="1">IFERROR(__xludf.DUMMYFUNCTION("""COMPUTED_VALUE"""),99.55)</f>
        <v>99.55</v>
      </c>
      <c r="C1008" s="1">
        <f ca="1">IFERROR(__xludf.DUMMYFUNCTION("""COMPUTED_VALUE"""),101.75)</f>
        <v>101.75</v>
      </c>
      <c r="D1008" s="1">
        <f ca="1">IFERROR(__xludf.DUMMYFUNCTION("""COMPUTED_VALUE"""),98.94)</f>
        <v>98.94</v>
      </c>
      <c r="E1008" s="1">
        <f ca="1">IFERROR(__xludf.DUMMYFUNCTION("""COMPUTED_VALUE"""),101.12)</f>
        <v>101.12</v>
      </c>
      <c r="F1008" s="1">
        <f ca="1">IFERROR(__xludf.DUMMYFUNCTION("""COMPUTED_VALUE"""),35329345)</f>
        <v>35329345</v>
      </c>
    </row>
    <row r="1009" spans="1:6" x14ac:dyDescent="0.35">
      <c r="A1009" s="2">
        <f ca="1">IFERROR(__xludf.DUMMYFUNCTION("""COMPUTED_VALUE"""),43468.6666666666)</f>
        <v>43468.666666666599</v>
      </c>
      <c r="B1009" s="1">
        <f ca="1">IFERROR(__xludf.DUMMYFUNCTION("""COMPUTED_VALUE"""),100.1)</f>
        <v>100.1</v>
      </c>
      <c r="C1009" s="1">
        <f ca="1">IFERROR(__xludf.DUMMYFUNCTION("""COMPUTED_VALUE"""),100.19)</f>
        <v>100.19</v>
      </c>
      <c r="D1009" s="1">
        <f ca="1">IFERROR(__xludf.DUMMYFUNCTION("""COMPUTED_VALUE"""),97.2)</f>
        <v>97.2</v>
      </c>
      <c r="E1009" s="1">
        <f ca="1">IFERROR(__xludf.DUMMYFUNCTION("""COMPUTED_VALUE"""),97.4)</f>
        <v>97.4</v>
      </c>
      <c r="F1009" s="1">
        <f ca="1">IFERROR(__xludf.DUMMYFUNCTION("""COMPUTED_VALUE"""),42578410)</f>
        <v>42578410</v>
      </c>
    </row>
    <row r="1010" spans="1:6" x14ac:dyDescent="0.35">
      <c r="A1010" s="2">
        <f ca="1">IFERROR(__xludf.DUMMYFUNCTION("""COMPUTED_VALUE"""),43469.6666666666)</f>
        <v>43469.666666666599</v>
      </c>
      <c r="B1010" s="1">
        <f ca="1">IFERROR(__xludf.DUMMYFUNCTION("""COMPUTED_VALUE"""),99.72)</f>
        <v>99.72</v>
      </c>
      <c r="C1010" s="1">
        <f ca="1">IFERROR(__xludf.DUMMYFUNCTION("""COMPUTED_VALUE"""),102.51)</f>
        <v>102.51</v>
      </c>
      <c r="D1010" s="1">
        <f ca="1">IFERROR(__xludf.DUMMYFUNCTION("""COMPUTED_VALUE"""),98.93)</f>
        <v>98.93</v>
      </c>
      <c r="E1010" s="1">
        <f ca="1">IFERROR(__xludf.DUMMYFUNCTION("""COMPUTED_VALUE"""),101.93)</f>
        <v>101.93</v>
      </c>
      <c r="F1010" s="1">
        <f ca="1">IFERROR(__xludf.DUMMYFUNCTION("""COMPUTED_VALUE"""),44060620)</f>
        <v>44060620</v>
      </c>
    </row>
    <row r="1011" spans="1:6" x14ac:dyDescent="0.35">
      <c r="A1011" s="2">
        <f ca="1">IFERROR(__xludf.DUMMYFUNCTION("""COMPUTED_VALUE"""),43472.6666666666)</f>
        <v>43472.666666666599</v>
      </c>
      <c r="B1011" s="1">
        <f ca="1">IFERROR(__xludf.DUMMYFUNCTION("""COMPUTED_VALUE"""),101.64)</f>
        <v>101.64</v>
      </c>
      <c r="C1011" s="1">
        <f ca="1">IFERROR(__xludf.DUMMYFUNCTION("""COMPUTED_VALUE"""),103.27)</f>
        <v>103.27</v>
      </c>
      <c r="D1011" s="1">
        <f ca="1">IFERROR(__xludf.DUMMYFUNCTION("""COMPUTED_VALUE"""),100.98)</f>
        <v>100.98</v>
      </c>
      <c r="E1011" s="1">
        <f ca="1">IFERROR(__xludf.DUMMYFUNCTION("""COMPUTED_VALUE"""),102.06)</f>
        <v>102.06</v>
      </c>
      <c r="F1011" s="1">
        <f ca="1">IFERROR(__xludf.DUMMYFUNCTION("""COMPUTED_VALUE"""),35656136)</f>
        <v>35656136</v>
      </c>
    </row>
    <row r="1012" spans="1:6" x14ac:dyDescent="0.35">
      <c r="A1012" s="2">
        <f ca="1">IFERROR(__xludf.DUMMYFUNCTION("""COMPUTED_VALUE"""),43473.6666666666)</f>
        <v>43473.666666666599</v>
      </c>
      <c r="B1012" s="1">
        <f ca="1">IFERROR(__xludf.DUMMYFUNCTION("""COMPUTED_VALUE"""),103.04)</f>
        <v>103.04</v>
      </c>
      <c r="C1012" s="1">
        <f ca="1">IFERROR(__xludf.DUMMYFUNCTION("""COMPUTED_VALUE"""),103.97)</f>
        <v>103.97</v>
      </c>
      <c r="D1012" s="1">
        <f ca="1">IFERROR(__xludf.DUMMYFUNCTION("""COMPUTED_VALUE"""),101.71)</f>
        <v>101.71</v>
      </c>
      <c r="E1012" s="1">
        <f ca="1">IFERROR(__xludf.DUMMYFUNCTION("""COMPUTED_VALUE"""),102.8)</f>
        <v>102.8</v>
      </c>
      <c r="F1012" s="1">
        <f ca="1">IFERROR(__xludf.DUMMYFUNCTION("""COMPUTED_VALUE"""),31514415)</f>
        <v>31514415</v>
      </c>
    </row>
    <row r="1013" spans="1:6" x14ac:dyDescent="0.35">
      <c r="A1013" s="2">
        <f ca="1">IFERROR(__xludf.DUMMYFUNCTION("""COMPUTED_VALUE"""),43474.6666666666)</f>
        <v>43474.666666666599</v>
      </c>
      <c r="B1013" s="1">
        <f ca="1">IFERROR(__xludf.DUMMYFUNCTION("""COMPUTED_VALUE"""),103.86)</f>
        <v>103.86</v>
      </c>
      <c r="C1013" s="1">
        <f ca="1">IFERROR(__xludf.DUMMYFUNCTION("""COMPUTED_VALUE"""),104.88)</f>
        <v>104.88</v>
      </c>
      <c r="D1013" s="1">
        <f ca="1">IFERROR(__xludf.DUMMYFUNCTION("""COMPUTED_VALUE"""),103.24)</f>
        <v>103.24</v>
      </c>
      <c r="E1013" s="1">
        <f ca="1">IFERROR(__xludf.DUMMYFUNCTION("""COMPUTED_VALUE"""),104.27)</f>
        <v>104.27</v>
      </c>
      <c r="F1013" s="1">
        <f ca="1">IFERROR(__xludf.DUMMYFUNCTION("""COMPUTED_VALUE"""),32280840)</f>
        <v>32280840</v>
      </c>
    </row>
    <row r="1014" spans="1:6" x14ac:dyDescent="0.35">
      <c r="A1014" s="2">
        <f ca="1">IFERROR(__xludf.DUMMYFUNCTION("""COMPUTED_VALUE"""),43475.6666666666)</f>
        <v>43475.666666666599</v>
      </c>
      <c r="B1014" s="1">
        <f ca="1">IFERROR(__xludf.DUMMYFUNCTION("""COMPUTED_VALUE"""),103.22)</f>
        <v>103.22</v>
      </c>
      <c r="C1014" s="1">
        <f ca="1">IFERROR(__xludf.DUMMYFUNCTION("""COMPUTED_VALUE"""),103.75)</f>
        <v>103.75</v>
      </c>
      <c r="D1014" s="1">
        <f ca="1">IFERROR(__xludf.DUMMYFUNCTION("""COMPUTED_VALUE"""),102.38)</f>
        <v>102.38</v>
      </c>
      <c r="E1014" s="1">
        <f ca="1">IFERROR(__xludf.DUMMYFUNCTION("""COMPUTED_VALUE"""),103.6)</f>
        <v>103.6</v>
      </c>
      <c r="F1014" s="1">
        <f ca="1">IFERROR(__xludf.DUMMYFUNCTION("""COMPUTED_VALUE"""),30067556)</f>
        <v>30067556</v>
      </c>
    </row>
    <row r="1015" spans="1:6" x14ac:dyDescent="0.35">
      <c r="A1015" s="2">
        <f ca="1">IFERROR(__xludf.DUMMYFUNCTION("""COMPUTED_VALUE"""),43476.6666666666)</f>
        <v>43476.666666666599</v>
      </c>
      <c r="B1015" s="1">
        <f ca="1">IFERROR(__xludf.DUMMYFUNCTION("""COMPUTED_VALUE"""),103.19)</f>
        <v>103.19</v>
      </c>
      <c r="C1015" s="1">
        <f ca="1">IFERROR(__xludf.DUMMYFUNCTION("""COMPUTED_VALUE"""),103.44)</f>
        <v>103.44</v>
      </c>
      <c r="D1015" s="1">
        <f ca="1">IFERROR(__xludf.DUMMYFUNCTION("""COMPUTED_VALUE"""),101.64)</f>
        <v>101.64</v>
      </c>
      <c r="E1015" s="1">
        <f ca="1">IFERROR(__xludf.DUMMYFUNCTION("""COMPUTED_VALUE"""),102.8)</f>
        <v>102.8</v>
      </c>
      <c r="F1015" s="1">
        <f ca="1">IFERROR(__xludf.DUMMYFUNCTION("""COMPUTED_VALUE"""),28314202)</f>
        <v>28314202</v>
      </c>
    </row>
    <row r="1016" spans="1:6" x14ac:dyDescent="0.35">
      <c r="A1016" s="2">
        <f ca="1">IFERROR(__xludf.DUMMYFUNCTION("""COMPUTED_VALUE"""),43479.6666666666)</f>
        <v>43479.666666666599</v>
      </c>
      <c r="B1016" s="1">
        <f ca="1">IFERROR(__xludf.DUMMYFUNCTION("""COMPUTED_VALUE"""),101.9)</f>
        <v>101.9</v>
      </c>
      <c r="C1016" s="1">
        <f ca="1">IFERROR(__xludf.DUMMYFUNCTION("""COMPUTED_VALUE"""),102.87)</f>
        <v>102.87</v>
      </c>
      <c r="D1016" s="1">
        <f ca="1">IFERROR(__xludf.DUMMYFUNCTION("""COMPUTED_VALUE"""),101.26)</f>
        <v>101.26</v>
      </c>
      <c r="E1016" s="1">
        <f ca="1">IFERROR(__xludf.DUMMYFUNCTION("""COMPUTED_VALUE"""),102.05)</f>
        <v>102.05</v>
      </c>
      <c r="F1016" s="1">
        <f ca="1">IFERROR(__xludf.DUMMYFUNCTION("""COMPUTED_VALUE"""),28437079)</f>
        <v>28437079</v>
      </c>
    </row>
    <row r="1017" spans="1:6" x14ac:dyDescent="0.35">
      <c r="A1017" s="2">
        <f ca="1">IFERROR(__xludf.DUMMYFUNCTION("""COMPUTED_VALUE"""),43480.6666666666)</f>
        <v>43480.666666666599</v>
      </c>
      <c r="B1017" s="1">
        <f ca="1">IFERROR(__xludf.DUMMYFUNCTION("""COMPUTED_VALUE"""),102.51)</f>
        <v>102.51</v>
      </c>
      <c r="C1017" s="1">
        <f ca="1">IFERROR(__xludf.DUMMYFUNCTION("""COMPUTED_VALUE"""),105.05)</f>
        <v>105.05</v>
      </c>
      <c r="D1017" s="1">
        <f ca="1">IFERROR(__xludf.DUMMYFUNCTION("""COMPUTED_VALUE"""),101.88)</f>
        <v>101.88</v>
      </c>
      <c r="E1017" s="1">
        <f ca="1">IFERROR(__xludf.DUMMYFUNCTION("""COMPUTED_VALUE"""),105.01)</f>
        <v>105.01</v>
      </c>
      <c r="F1017" s="1">
        <f ca="1">IFERROR(__xludf.DUMMYFUNCTION("""COMPUTED_VALUE"""),31587616)</f>
        <v>31587616</v>
      </c>
    </row>
    <row r="1018" spans="1:6" x14ac:dyDescent="0.35">
      <c r="A1018" s="2">
        <f ca="1">IFERROR(__xludf.DUMMYFUNCTION("""COMPUTED_VALUE"""),43481.6666666666)</f>
        <v>43481.666666666599</v>
      </c>
      <c r="B1018" s="1">
        <f ca="1">IFERROR(__xludf.DUMMYFUNCTION("""COMPUTED_VALUE"""),105.26)</f>
        <v>105.26</v>
      </c>
      <c r="C1018" s="1">
        <f ca="1">IFERROR(__xludf.DUMMYFUNCTION("""COMPUTED_VALUE"""),106.26)</f>
        <v>106.26</v>
      </c>
      <c r="D1018" s="1">
        <f ca="1">IFERROR(__xludf.DUMMYFUNCTION("""COMPUTED_VALUE"""),104.96)</f>
        <v>104.96</v>
      </c>
      <c r="E1018" s="1">
        <f ca="1">IFERROR(__xludf.DUMMYFUNCTION("""COMPUTED_VALUE"""),105.38)</f>
        <v>105.38</v>
      </c>
      <c r="F1018" s="1">
        <f ca="1">IFERROR(__xludf.DUMMYFUNCTION("""COMPUTED_VALUE"""),29853865)</f>
        <v>29853865</v>
      </c>
    </row>
    <row r="1019" spans="1:6" x14ac:dyDescent="0.35">
      <c r="A1019" s="2">
        <f ca="1">IFERROR(__xludf.DUMMYFUNCTION("""COMPUTED_VALUE"""),43482.6666666666)</f>
        <v>43482.666666666599</v>
      </c>
      <c r="B1019" s="1">
        <f ca="1">IFERROR(__xludf.DUMMYFUNCTION("""COMPUTED_VALUE"""),105)</f>
        <v>105</v>
      </c>
      <c r="C1019" s="1">
        <f ca="1">IFERROR(__xludf.DUMMYFUNCTION("""COMPUTED_VALUE"""),106.63)</f>
        <v>106.63</v>
      </c>
      <c r="D1019" s="1">
        <f ca="1">IFERROR(__xludf.DUMMYFUNCTION("""COMPUTED_VALUE"""),104.76)</f>
        <v>104.76</v>
      </c>
      <c r="E1019" s="1">
        <f ca="1">IFERROR(__xludf.DUMMYFUNCTION("""COMPUTED_VALUE"""),106.12)</f>
        <v>106.12</v>
      </c>
      <c r="F1019" s="1">
        <f ca="1">IFERROR(__xludf.DUMMYFUNCTION("""COMPUTED_VALUE"""),28393015)</f>
        <v>28393015</v>
      </c>
    </row>
    <row r="1020" spans="1:6" x14ac:dyDescent="0.35">
      <c r="A1020" s="2">
        <f ca="1">IFERROR(__xludf.DUMMYFUNCTION("""COMPUTED_VALUE"""),43483.6666666666)</f>
        <v>43483.666666666599</v>
      </c>
      <c r="B1020" s="1">
        <f ca="1">IFERROR(__xludf.DUMMYFUNCTION("""COMPUTED_VALUE"""),107.46)</f>
        <v>107.46</v>
      </c>
      <c r="C1020" s="1">
        <f ca="1">IFERROR(__xludf.DUMMYFUNCTION("""COMPUTED_VALUE"""),107.9)</f>
        <v>107.9</v>
      </c>
      <c r="D1020" s="1">
        <f ca="1">IFERROR(__xludf.DUMMYFUNCTION("""COMPUTED_VALUE"""),105.91)</f>
        <v>105.91</v>
      </c>
      <c r="E1020" s="1">
        <f ca="1">IFERROR(__xludf.DUMMYFUNCTION("""COMPUTED_VALUE"""),107.71)</f>
        <v>107.71</v>
      </c>
      <c r="F1020" s="1">
        <f ca="1">IFERROR(__xludf.DUMMYFUNCTION("""COMPUTED_VALUE"""),37427587)</f>
        <v>37427587</v>
      </c>
    </row>
    <row r="1021" spans="1:6" x14ac:dyDescent="0.35">
      <c r="A1021" s="2">
        <f ca="1">IFERROR(__xludf.DUMMYFUNCTION("""COMPUTED_VALUE"""),43487.6666666666)</f>
        <v>43487.666666666599</v>
      </c>
      <c r="B1021" s="1">
        <f ca="1">IFERROR(__xludf.DUMMYFUNCTION("""COMPUTED_VALUE"""),106.75)</f>
        <v>106.75</v>
      </c>
      <c r="C1021" s="1">
        <f ca="1">IFERROR(__xludf.DUMMYFUNCTION("""COMPUTED_VALUE"""),107.1)</f>
        <v>107.1</v>
      </c>
      <c r="D1021" s="1">
        <f ca="1">IFERROR(__xludf.DUMMYFUNCTION("""COMPUTED_VALUE"""),104.86)</f>
        <v>104.86</v>
      </c>
      <c r="E1021" s="1">
        <f ca="1">IFERROR(__xludf.DUMMYFUNCTION("""COMPUTED_VALUE"""),105.68)</f>
        <v>105.68</v>
      </c>
      <c r="F1021" s="1">
        <f ca="1">IFERROR(__xludf.DUMMYFUNCTION("""COMPUTED_VALUE"""),32371253)</f>
        <v>32371253</v>
      </c>
    </row>
    <row r="1022" spans="1:6" x14ac:dyDescent="0.35">
      <c r="A1022" s="2">
        <f ca="1">IFERROR(__xludf.DUMMYFUNCTION("""COMPUTED_VALUE"""),43488.6666666666)</f>
        <v>43488.666666666599</v>
      </c>
      <c r="B1022" s="1">
        <f ca="1">IFERROR(__xludf.DUMMYFUNCTION("""COMPUTED_VALUE"""),106.12)</f>
        <v>106.12</v>
      </c>
      <c r="C1022" s="1">
        <f ca="1">IFERROR(__xludf.DUMMYFUNCTION("""COMPUTED_VALUE"""),107.04)</f>
        <v>107.04</v>
      </c>
      <c r="D1022" s="1">
        <f ca="1">IFERROR(__xludf.DUMMYFUNCTION("""COMPUTED_VALUE"""),105.34)</f>
        <v>105.34</v>
      </c>
      <c r="E1022" s="1">
        <f ca="1">IFERROR(__xludf.DUMMYFUNCTION("""COMPUTED_VALUE"""),106.71)</f>
        <v>106.71</v>
      </c>
      <c r="F1022" s="1">
        <f ca="1">IFERROR(__xludf.DUMMYFUNCTION("""COMPUTED_VALUE"""),25874294)</f>
        <v>25874294</v>
      </c>
    </row>
    <row r="1023" spans="1:6" x14ac:dyDescent="0.35">
      <c r="A1023" s="2">
        <f ca="1">IFERROR(__xludf.DUMMYFUNCTION("""COMPUTED_VALUE"""),43489.6666666666)</f>
        <v>43489.666666666599</v>
      </c>
      <c r="B1023" s="1">
        <f ca="1">IFERROR(__xludf.DUMMYFUNCTION("""COMPUTED_VALUE"""),106.86)</f>
        <v>106.86</v>
      </c>
      <c r="C1023" s="1">
        <f ca="1">IFERROR(__xludf.DUMMYFUNCTION("""COMPUTED_VALUE"""),107)</f>
        <v>107</v>
      </c>
      <c r="D1023" s="1">
        <f ca="1">IFERROR(__xludf.DUMMYFUNCTION("""COMPUTED_VALUE"""),105.34)</f>
        <v>105.34</v>
      </c>
      <c r="E1023" s="1">
        <f ca="1">IFERROR(__xludf.DUMMYFUNCTION("""COMPUTED_VALUE"""),106.2)</f>
        <v>106.2</v>
      </c>
      <c r="F1023" s="1">
        <f ca="1">IFERROR(__xludf.DUMMYFUNCTION("""COMPUTED_VALUE"""),23164838)</f>
        <v>23164838</v>
      </c>
    </row>
    <row r="1024" spans="1:6" x14ac:dyDescent="0.35">
      <c r="A1024" s="2">
        <f ca="1">IFERROR(__xludf.DUMMYFUNCTION("""COMPUTED_VALUE"""),43490.6666666666)</f>
        <v>43490.666666666599</v>
      </c>
      <c r="B1024" s="1">
        <f ca="1">IFERROR(__xludf.DUMMYFUNCTION("""COMPUTED_VALUE"""),107.24)</f>
        <v>107.24</v>
      </c>
      <c r="C1024" s="1">
        <f ca="1">IFERROR(__xludf.DUMMYFUNCTION("""COMPUTED_VALUE"""),107.88)</f>
        <v>107.88</v>
      </c>
      <c r="D1024" s="1">
        <f ca="1">IFERROR(__xludf.DUMMYFUNCTION("""COMPUTED_VALUE"""),106.59)</f>
        <v>106.59</v>
      </c>
      <c r="E1024" s="1">
        <f ca="1">IFERROR(__xludf.DUMMYFUNCTION("""COMPUTED_VALUE"""),107.17)</f>
        <v>107.17</v>
      </c>
      <c r="F1024" s="1">
        <f ca="1">IFERROR(__xludf.DUMMYFUNCTION("""COMPUTED_VALUE"""),31218193)</f>
        <v>31218193</v>
      </c>
    </row>
    <row r="1025" spans="1:6" x14ac:dyDescent="0.35">
      <c r="A1025" s="2">
        <f ca="1">IFERROR(__xludf.DUMMYFUNCTION("""COMPUTED_VALUE"""),43493.6666666666)</f>
        <v>43493.666666666599</v>
      </c>
      <c r="B1025" s="1">
        <f ca="1">IFERROR(__xludf.DUMMYFUNCTION("""COMPUTED_VALUE"""),106.26)</f>
        <v>106.26</v>
      </c>
      <c r="C1025" s="1">
        <f ca="1">IFERROR(__xludf.DUMMYFUNCTION("""COMPUTED_VALUE"""),106.48)</f>
        <v>106.48</v>
      </c>
      <c r="D1025" s="1">
        <f ca="1">IFERROR(__xludf.DUMMYFUNCTION("""COMPUTED_VALUE"""),104.66)</f>
        <v>104.66</v>
      </c>
      <c r="E1025" s="1">
        <f ca="1">IFERROR(__xludf.DUMMYFUNCTION("""COMPUTED_VALUE"""),105.08)</f>
        <v>105.08</v>
      </c>
      <c r="F1025" s="1">
        <f ca="1">IFERROR(__xludf.DUMMYFUNCTION("""COMPUTED_VALUE"""),29476719)</f>
        <v>29476719</v>
      </c>
    </row>
    <row r="1026" spans="1:6" x14ac:dyDescent="0.35">
      <c r="A1026" s="2">
        <f ca="1">IFERROR(__xludf.DUMMYFUNCTION("""COMPUTED_VALUE"""),43494.6666666666)</f>
        <v>43494.666666666599</v>
      </c>
      <c r="B1026" s="1">
        <f ca="1">IFERROR(__xludf.DUMMYFUNCTION("""COMPUTED_VALUE"""),104.88)</f>
        <v>104.88</v>
      </c>
      <c r="C1026" s="1">
        <f ca="1">IFERROR(__xludf.DUMMYFUNCTION("""COMPUTED_VALUE"""),104.97)</f>
        <v>104.97</v>
      </c>
      <c r="D1026" s="1">
        <f ca="1">IFERROR(__xludf.DUMMYFUNCTION("""COMPUTED_VALUE"""),102.17)</f>
        <v>102.17</v>
      </c>
      <c r="E1026" s="1">
        <f ca="1">IFERROR(__xludf.DUMMYFUNCTION("""COMPUTED_VALUE"""),102.94)</f>
        <v>102.94</v>
      </c>
      <c r="F1026" s="1">
        <f ca="1">IFERROR(__xludf.DUMMYFUNCTION("""COMPUTED_VALUE"""),31490547)</f>
        <v>31490547</v>
      </c>
    </row>
    <row r="1027" spans="1:6" x14ac:dyDescent="0.35">
      <c r="A1027" s="2">
        <f ca="1">IFERROR(__xludf.DUMMYFUNCTION("""COMPUTED_VALUE"""),43495.6666666666)</f>
        <v>43495.666666666599</v>
      </c>
      <c r="B1027" s="1">
        <f ca="1">IFERROR(__xludf.DUMMYFUNCTION("""COMPUTED_VALUE"""),104.62)</f>
        <v>104.62</v>
      </c>
      <c r="C1027" s="1">
        <f ca="1">IFERROR(__xludf.DUMMYFUNCTION("""COMPUTED_VALUE"""),106.38)</f>
        <v>106.38</v>
      </c>
      <c r="D1027" s="1">
        <f ca="1">IFERROR(__xludf.DUMMYFUNCTION("""COMPUTED_VALUE"""),104.33)</f>
        <v>104.33</v>
      </c>
      <c r="E1027" s="1">
        <f ca="1">IFERROR(__xludf.DUMMYFUNCTION("""COMPUTED_VALUE"""),106.38)</f>
        <v>106.38</v>
      </c>
      <c r="F1027" s="1">
        <f ca="1">IFERROR(__xludf.DUMMYFUNCTION("""COMPUTED_VALUE"""),49471866)</f>
        <v>49471866</v>
      </c>
    </row>
    <row r="1028" spans="1:6" x14ac:dyDescent="0.35">
      <c r="A1028" s="2">
        <f ca="1">IFERROR(__xludf.DUMMYFUNCTION("""COMPUTED_VALUE"""),43496.6666666666)</f>
        <v>43496.666666666599</v>
      </c>
      <c r="B1028" s="1">
        <f ca="1">IFERROR(__xludf.DUMMYFUNCTION("""COMPUTED_VALUE"""),103.8)</f>
        <v>103.8</v>
      </c>
      <c r="C1028" s="1">
        <f ca="1">IFERROR(__xludf.DUMMYFUNCTION("""COMPUTED_VALUE"""),105.22)</f>
        <v>105.22</v>
      </c>
      <c r="D1028" s="1">
        <f ca="1">IFERROR(__xludf.DUMMYFUNCTION("""COMPUTED_VALUE"""),103.18)</f>
        <v>103.18</v>
      </c>
      <c r="E1028" s="1">
        <f ca="1">IFERROR(__xludf.DUMMYFUNCTION("""COMPUTED_VALUE"""),104.43)</f>
        <v>104.43</v>
      </c>
      <c r="F1028" s="1">
        <f ca="1">IFERROR(__xludf.DUMMYFUNCTION("""COMPUTED_VALUE"""),55636391)</f>
        <v>55636391</v>
      </c>
    </row>
    <row r="1029" spans="1:6" x14ac:dyDescent="0.35">
      <c r="A1029" s="2">
        <f ca="1">IFERROR(__xludf.DUMMYFUNCTION("""COMPUTED_VALUE"""),43497.6666666666)</f>
        <v>43497.666666666599</v>
      </c>
      <c r="B1029" s="1">
        <f ca="1">IFERROR(__xludf.DUMMYFUNCTION("""COMPUTED_VALUE"""),103.78)</f>
        <v>103.78</v>
      </c>
      <c r="C1029" s="1">
        <f ca="1">IFERROR(__xludf.DUMMYFUNCTION("""COMPUTED_VALUE"""),104.1)</f>
        <v>104.1</v>
      </c>
      <c r="D1029" s="1">
        <f ca="1">IFERROR(__xludf.DUMMYFUNCTION("""COMPUTED_VALUE"""),102.35)</f>
        <v>102.35</v>
      </c>
      <c r="E1029" s="1">
        <f ca="1">IFERROR(__xludf.DUMMYFUNCTION("""COMPUTED_VALUE"""),102.78)</f>
        <v>102.78</v>
      </c>
      <c r="F1029" s="1">
        <f ca="1">IFERROR(__xludf.DUMMYFUNCTION("""COMPUTED_VALUE"""),35535690)</f>
        <v>35535690</v>
      </c>
    </row>
    <row r="1030" spans="1:6" x14ac:dyDescent="0.35">
      <c r="A1030" s="2">
        <f ca="1">IFERROR(__xludf.DUMMYFUNCTION("""COMPUTED_VALUE"""),43500.6666666666)</f>
        <v>43500.666666666599</v>
      </c>
      <c r="B1030" s="1">
        <f ca="1">IFERROR(__xludf.DUMMYFUNCTION("""COMPUTED_VALUE"""),102.87)</f>
        <v>102.87</v>
      </c>
      <c r="C1030" s="1">
        <f ca="1">IFERROR(__xludf.DUMMYFUNCTION("""COMPUTED_VALUE"""),105.8)</f>
        <v>105.8</v>
      </c>
      <c r="D1030" s="1">
        <f ca="1">IFERROR(__xludf.DUMMYFUNCTION("""COMPUTED_VALUE"""),102.77)</f>
        <v>102.77</v>
      </c>
      <c r="E1030" s="1">
        <f ca="1">IFERROR(__xludf.DUMMYFUNCTION("""COMPUTED_VALUE"""),105.74)</f>
        <v>105.74</v>
      </c>
      <c r="F1030" s="1">
        <f ca="1">IFERROR(__xludf.DUMMYFUNCTION("""COMPUTED_VALUE"""),31315282)</f>
        <v>31315282</v>
      </c>
    </row>
    <row r="1031" spans="1:6" x14ac:dyDescent="0.35">
      <c r="A1031" s="2">
        <f ca="1">IFERROR(__xludf.DUMMYFUNCTION("""COMPUTED_VALUE"""),43501.6666666666)</f>
        <v>43501.666666666599</v>
      </c>
      <c r="B1031" s="1">
        <f ca="1">IFERROR(__xludf.DUMMYFUNCTION("""COMPUTED_VALUE"""),106.06)</f>
        <v>106.06</v>
      </c>
      <c r="C1031" s="1">
        <f ca="1">IFERROR(__xludf.DUMMYFUNCTION("""COMPUTED_VALUE"""),107.27)</f>
        <v>107.27</v>
      </c>
      <c r="D1031" s="1">
        <f ca="1">IFERROR(__xludf.DUMMYFUNCTION("""COMPUTED_VALUE"""),105.96)</f>
        <v>105.96</v>
      </c>
      <c r="E1031" s="1">
        <f ca="1">IFERROR(__xludf.DUMMYFUNCTION("""COMPUTED_VALUE"""),107.22)</f>
        <v>107.22</v>
      </c>
      <c r="F1031" s="1">
        <f ca="1">IFERROR(__xludf.DUMMYFUNCTION("""COMPUTED_VALUE"""),27325365)</f>
        <v>27325365</v>
      </c>
    </row>
    <row r="1032" spans="1:6" x14ac:dyDescent="0.35">
      <c r="A1032" s="2">
        <f ca="1">IFERROR(__xludf.DUMMYFUNCTION("""COMPUTED_VALUE"""),43502.6666666666)</f>
        <v>43502.666666666599</v>
      </c>
      <c r="B1032" s="1">
        <f ca="1">IFERROR(__xludf.DUMMYFUNCTION("""COMPUTED_VALUE"""),107)</f>
        <v>107</v>
      </c>
      <c r="C1032" s="1">
        <f ca="1">IFERROR(__xludf.DUMMYFUNCTION("""COMPUTED_VALUE"""),107)</f>
        <v>107</v>
      </c>
      <c r="D1032" s="1">
        <f ca="1">IFERROR(__xludf.DUMMYFUNCTION("""COMPUTED_VALUE"""),105.53)</f>
        <v>105.53</v>
      </c>
      <c r="E1032" s="1">
        <f ca="1">IFERROR(__xludf.DUMMYFUNCTION("""COMPUTED_VALUE"""),106.03)</f>
        <v>106.03</v>
      </c>
      <c r="F1032" s="1">
        <f ca="1">IFERROR(__xludf.DUMMYFUNCTION("""COMPUTED_VALUE"""),20609759)</f>
        <v>20609759</v>
      </c>
    </row>
    <row r="1033" spans="1:6" x14ac:dyDescent="0.35">
      <c r="A1033" s="2">
        <f ca="1">IFERROR(__xludf.DUMMYFUNCTION("""COMPUTED_VALUE"""),43503.6666666666)</f>
        <v>43503.666666666599</v>
      </c>
      <c r="B1033" s="1">
        <f ca="1">IFERROR(__xludf.DUMMYFUNCTION("""COMPUTED_VALUE"""),105.19)</f>
        <v>105.19</v>
      </c>
      <c r="C1033" s="1">
        <f ca="1">IFERROR(__xludf.DUMMYFUNCTION("""COMPUTED_VALUE"""),105.59)</f>
        <v>105.59</v>
      </c>
      <c r="D1033" s="1">
        <f ca="1">IFERROR(__xludf.DUMMYFUNCTION("""COMPUTED_VALUE"""),104.29)</f>
        <v>104.29</v>
      </c>
      <c r="E1033" s="1">
        <f ca="1">IFERROR(__xludf.DUMMYFUNCTION("""COMPUTED_VALUE"""),105.27)</f>
        <v>105.27</v>
      </c>
      <c r="F1033" s="1">
        <f ca="1">IFERROR(__xludf.DUMMYFUNCTION("""COMPUTED_VALUE"""),29760697)</f>
        <v>29760697</v>
      </c>
    </row>
    <row r="1034" spans="1:6" x14ac:dyDescent="0.35">
      <c r="A1034" s="2">
        <f ca="1">IFERROR(__xludf.DUMMYFUNCTION("""COMPUTED_VALUE"""),43504.6666666666)</f>
        <v>43504.666666666599</v>
      </c>
      <c r="B1034" s="1">
        <f ca="1">IFERROR(__xludf.DUMMYFUNCTION("""COMPUTED_VALUE"""),104.39)</f>
        <v>104.39</v>
      </c>
      <c r="C1034" s="1">
        <f ca="1">IFERROR(__xludf.DUMMYFUNCTION("""COMPUTED_VALUE"""),105.78)</f>
        <v>105.78</v>
      </c>
      <c r="D1034" s="1">
        <f ca="1">IFERROR(__xludf.DUMMYFUNCTION("""COMPUTED_VALUE"""),104.26)</f>
        <v>104.26</v>
      </c>
      <c r="E1034" s="1">
        <f ca="1">IFERROR(__xludf.DUMMYFUNCTION("""COMPUTED_VALUE"""),105.67)</f>
        <v>105.67</v>
      </c>
      <c r="F1034" s="1">
        <f ca="1">IFERROR(__xludf.DUMMYFUNCTION("""COMPUTED_VALUE"""),21461093)</f>
        <v>21461093</v>
      </c>
    </row>
    <row r="1035" spans="1:6" x14ac:dyDescent="0.35">
      <c r="A1035" s="2">
        <f ca="1">IFERROR(__xludf.DUMMYFUNCTION("""COMPUTED_VALUE"""),43507.6666666666)</f>
        <v>43507.666666666599</v>
      </c>
      <c r="B1035" s="1">
        <f ca="1">IFERROR(__xludf.DUMMYFUNCTION("""COMPUTED_VALUE"""),106.2)</f>
        <v>106.2</v>
      </c>
      <c r="C1035" s="1">
        <f ca="1">IFERROR(__xludf.DUMMYFUNCTION("""COMPUTED_VALUE"""),106.58)</f>
        <v>106.58</v>
      </c>
      <c r="D1035" s="1">
        <f ca="1">IFERROR(__xludf.DUMMYFUNCTION("""COMPUTED_VALUE"""),104.97)</f>
        <v>104.97</v>
      </c>
      <c r="E1035" s="1">
        <f ca="1">IFERROR(__xludf.DUMMYFUNCTION("""COMPUTED_VALUE"""),105.25)</f>
        <v>105.25</v>
      </c>
      <c r="F1035" s="1">
        <f ca="1">IFERROR(__xludf.DUMMYFUNCTION("""COMPUTED_VALUE"""),18914123)</f>
        <v>18914123</v>
      </c>
    </row>
    <row r="1036" spans="1:6" x14ac:dyDescent="0.35">
      <c r="A1036" s="2">
        <f ca="1">IFERROR(__xludf.DUMMYFUNCTION("""COMPUTED_VALUE"""),43508.6666666666)</f>
        <v>43508.666666666599</v>
      </c>
      <c r="B1036" s="1">
        <f ca="1">IFERROR(__xludf.DUMMYFUNCTION("""COMPUTED_VALUE"""),106.14)</f>
        <v>106.14</v>
      </c>
      <c r="C1036" s="1">
        <f ca="1">IFERROR(__xludf.DUMMYFUNCTION("""COMPUTED_VALUE"""),107.14)</f>
        <v>107.14</v>
      </c>
      <c r="D1036" s="1">
        <f ca="1">IFERROR(__xludf.DUMMYFUNCTION("""COMPUTED_VALUE"""),105.48)</f>
        <v>105.48</v>
      </c>
      <c r="E1036" s="1">
        <f ca="1">IFERROR(__xludf.DUMMYFUNCTION("""COMPUTED_VALUE"""),106.89)</f>
        <v>106.89</v>
      </c>
      <c r="F1036" s="1">
        <f ca="1">IFERROR(__xludf.DUMMYFUNCTION("""COMPUTED_VALUE"""),25056595)</f>
        <v>25056595</v>
      </c>
    </row>
    <row r="1037" spans="1:6" x14ac:dyDescent="0.35">
      <c r="A1037" s="2">
        <f ca="1">IFERROR(__xludf.DUMMYFUNCTION("""COMPUTED_VALUE"""),43509.6666666666)</f>
        <v>43509.666666666599</v>
      </c>
      <c r="B1037" s="1">
        <f ca="1">IFERROR(__xludf.DUMMYFUNCTION("""COMPUTED_VALUE"""),107.5)</f>
        <v>107.5</v>
      </c>
      <c r="C1037" s="1">
        <f ca="1">IFERROR(__xludf.DUMMYFUNCTION("""COMPUTED_VALUE"""),107.78)</f>
        <v>107.78</v>
      </c>
      <c r="D1037" s="1">
        <f ca="1">IFERROR(__xludf.DUMMYFUNCTION("""COMPUTED_VALUE"""),106.71)</f>
        <v>106.71</v>
      </c>
      <c r="E1037" s="1">
        <f ca="1">IFERROR(__xludf.DUMMYFUNCTION("""COMPUTED_VALUE"""),106.81)</f>
        <v>106.81</v>
      </c>
      <c r="F1037" s="1">
        <f ca="1">IFERROR(__xludf.DUMMYFUNCTION("""COMPUTED_VALUE"""),18394869)</f>
        <v>18394869</v>
      </c>
    </row>
    <row r="1038" spans="1:6" x14ac:dyDescent="0.35">
      <c r="A1038" s="2">
        <f ca="1">IFERROR(__xludf.DUMMYFUNCTION("""COMPUTED_VALUE"""),43510.6666666666)</f>
        <v>43510.666666666599</v>
      </c>
      <c r="B1038" s="1">
        <f ca="1">IFERROR(__xludf.DUMMYFUNCTION("""COMPUTED_VALUE"""),106.31)</f>
        <v>106.31</v>
      </c>
      <c r="C1038" s="1">
        <f ca="1">IFERROR(__xludf.DUMMYFUNCTION("""COMPUTED_VALUE"""),107.29)</f>
        <v>107.29</v>
      </c>
      <c r="D1038" s="1">
        <f ca="1">IFERROR(__xludf.DUMMYFUNCTION("""COMPUTED_VALUE"""),105.66)</f>
        <v>105.66</v>
      </c>
      <c r="E1038" s="1">
        <f ca="1">IFERROR(__xludf.DUMMYFUNCTION("""COMPUTED_VALUE"""),106.9)</f>
        <v>106.9</v>
      </c>
      <c r="F1038" s="1">
        <f ca="1">IFERROR(__xludf.DUMMYFUNCTION("""COMPUTED_VALUE"""),21784703)</f>
        <v>21784703</v>
      </c>
    </row>
    <row r="1039" spans="1:6" x14ac:dyDescent="0.35">
      <c r="A1039" s="2">
        <f ca="1">IFERROR(__xludf.DUMMYFUNCTION("""COMPUTED_VALUE"""),43511.6666666666)</f>
        <v>43511.666666666599</v>
      </c>
      <c r="B1039" s="1">
        <f ca="1">IFERROR(__xludf.DUMMYFUNCTION("""COMPUTED_VALUE"""),107.91)</f>
        <v>107.91</v>
      </c>
      <c r="C1039" s="1">
        <f ca="1">IFERROR(__xludf.DUMMYFUNCTION("""COMPUTED_VALUE"""),108.3)</f>
        <v>108.3</v>
      </c>
      <c r="D1039" s="1">
        <f ca="1">IFERROR(__xludf.DUMMYFUNCTION("""COMPUTED_VALUE"""),107.36)</f>
        <v>107.36</v>
      </c>
      <c r="E1039" s="1">
        <f ca="1">IFERROR(__xludf.DUMMYFUNCTION("""COMPUTED_VALUE"""),108.22)</f>
        <v>108.22</v>
      </c>
      <c r="F1039" s="1">
        <f ca="1">IFERROR(__xludf.DUMMYFUNCTION("""COMPUTED_VALUE"""),26606886)</f>
        <v>26606886</v>
      </c>
    </row>
    <row r="1040" spans="1:6" x14ac:dyDescent="0.35">
      <c r="A1040" s="2">
        <f ca="1">IFERROR(__xludf.DUMMYFUNCTION("""COMPUTED_VALUE"""),43515.6666666666)</f>
        <v>43515.666666666599</v>
      </c>
      <c r="B1040" s="1">
        <f ca="1">IFERROR(__xludf.DUMMYFUNCTION("""COMPUTED_VALUE"""),107.79)</f>
        <v>107.79</v>
      </c>
      <c r="C1040" s="1">
        <f ca="1">IFERROR(__xludf.DUMMYFUNCTION("""COMPUTED_VALUE"""),108.66)</f>
        <v>108.66</v>
      </c>
      <c r="D1040" s="1">
        <f ca="1">IFERROR(__xludf.DUMMYFUNCTION("""COMPUTED_VALUE"""),107.78)</f>
        <v>107.78</v>
      </c>
      <c r="E1040" s="1">
        <f ca="1">IFERROR(__xludf.DUMMYFUNCTION("""COMPUTED_VALUE"""),108.17)</f>
        <v>108.17</v>
      </c>
      <c r="F1040" s="1">
        <f ca="1">IFERROR(__xludf.DUMMYFUNCTION("""COMPUTED_VALUE"""),18038460)</f>
        <v>18038460</v>
      </c>
    </row>
    <row r="1041" spans="1:6" x14ac:dyDescent="0.35">
      <c r="A1041" s="2">
        <f ca="1">IFERROR(__xludf.DUMMYFUNCTION("""COMPUTED_VALUE"""),43516.6666666666)</f>
        <v>43516.666666666599</v>
      </c>
      <c r="B1041" s="1">
        <f ca="1">IFERROR(__xludf.DUMMYFUNCTION("""COMPUTED_VALUE"""),107.86)</f>
        <v>107.86</v>
      </c>
      <c r="C1041" s="1">
        <f ca="1">IFERROR(__xludf.DUMMYFUNCTION("""COMPUTED_VALUE"""),107.94)</f>
        <v>107.94</v>
      </c>
      <c r="D1041" s="1">
        <f ca="1">IFERROR(__xludf.DUMMYFUNCTION("""COMPUTED_VALUE"""),106.29)</f>
        <v>106.29</v>
      </c>
      <c r="E1041" s="1">
        <f ca="1">IFERROR(__xludf.DUMMYFUNCTION("""COMPUTED_VALUE"""),107.15)</f>
        <v>107.15</v>
      </c>
      <c r="F1041" s="1">
        <f ca="1">IFERROR(__xludf.DUMMYFUNCTION("""COMPUTED_VALUE"""),21607671)</f>
        <v>21607671</v>
      </c>
    </row>
    <row r="1042" spans="1:6" x14ac:dyDescent="0.35">
      <c r="A1042" s="2">
        <f ca="1">IFERROR(__xludf.DUMMYFUNCTION("""COMPUTED_VALUE"""),43517.6666666666)</f>
        <v>43517.666666666599</v>
      </c>
      <c r="B1042" s="1">
        <f ca="1">IFERROR(__xludf.DUMMYFUNCTION("""COMPUTED_VALUE"""),106.9)</f>
        <v>106.9</v>
      </c>
      <c r="C1042" s="1">
        <f ca="1">IFERROR(__xludf.DUMMYFUNCTION("""COMPUTED_VALUE"""),109.48)</f>
        <v>109.48</v>
      </c>
      <c r="D1042" s="1">
        <f ca="1">IFERROR(__xludf.DUMMYFUNCTION("""COMPUTED_VALUE"""),106.87)</f>
        <v>106.87</v>
      </c>
      <c r="E1042" s="1">
        <f ca="1">IFERROR(__xludf.DUMMYFUNCTION("""COMPUTED_VALUE"""),109.41)</f>
        <v>109.41</v>
      </c>
      <c r="F1042" s="1">
        <f ca="1">IFERROR(__xludf.DUMMYFUNCTION("""COMPUTED_VALUE"""),29063231)</f>
        <v>29063231</v>
      </c>
    </row>
    <row r="1043" spans="1:6" x14ac:dyDescent="0.35">
      <c r="A1043" s="2">
        <f ca="1">IFERROR(__xludf.DUMMYFUNCTION("""COMPUTED_VALUE"""),43518.6666666666)</f>
        <v>43518.666666666599</v>
      </c>
      <c r="B1043" s="1">
        <f ca="1">IFERROR(__xludf.DUMMYFUNCTION("""COMPUTED_VALUE"""),110.05)</f>
        <v>110.05</v>
      </c>
      <c r="C1043" s="1">
        <f ca="1">IFERROR(__xludf.DUMMYFUNCTION("""COMPUTED_VALUE"""),111.2)</f>
        <v>111.2</v>
      </c>
      <c r="D1043" s="1">
        <f ca="1">IFERROR(__xludf.DUMMYFUNCTION("""COMPUTED_VALUE"""),109.82)</f>
        <v>109.82</v>
      </c>
      <c r="E1043" s="1">
        <f ca="1">IFERROR(__xludf.DUMMYFUNCTION("""COMPUTED_VALUE"""),110.97)</f>
        <v>110.97</v>
      </c>
      <c r="F1043" s="1">
        <f ca="1">IFERROR(__xludf.DUMMYFUNCTION("""COMPUTED_VALUE"""),27763218)</f>
        <v>27763218</v>
      </c>
    </row>
    <row r="1044" spans="1:6" x14ac:dyDescent="0.35">
      <c r="A1044" s="2">
        <f ca="1">IFERROR(__xludf.DUMMYFUNCTION("""COMPUTED_VALUE"""),43521.6666666666)</f>
        <v>43521.666666666599</v>
      </c>
      <c r="B1044" s="1">
        <f ca="1">IFERROR(__xludf.DUMMYFUNCTION("""COMPUTED_VALUE"""),111.76)</f>
        <v>111.76</v>
      </c>
      <c r="C1044" s="1">
        <f ca="1">IFERROR(__xludf.DUMMYFUNCTION("""COMPUTED_VALUE"""),112.18)</f>
        <v>112.18</v>
      </c>
      <c r="D1044" s="1">
        <f ca="1">IFERROR(__xludf.DUMMYFUNCTION("""COMPUTED_VALUE"""),111.26)</f>
        <v>111.26</v>
      </c>
      <c r="E1044" s="1">
        <f ca="1">IFERROR(__xludf.DUMMYFUNCTION("""COMPUTED_VALUE"""),111.59)</f>
        <v>111.59</v>
      </c>
      <c r="F1044" s="1">
        <f ca="1">IFERROR(__xludf.DUMMYFUNCTION("""COMPUTED_VALUE"""),23750599)</f>
        <v>23750599</v>
      </c>
    </row>
    <row r="1045" spans="1:6" x14ac:dyDescent="0.35">
      <c r="A1045" s="2">
        <f ca="1">IFERROR(__xludf.DUMMYFUNCTION("""COMPUTED_VALUE"""),43522.6666666666)</f>
        <v>43522.666666666599</v>
      </c>
      <c r="B1045" s="1">
        <f ca="1">IFERROR(__xludf.DUMMYFUNCTION("""COMPUTED_VALUE"""),111.26)</f>
        <v>111.26</v>
      </c>
      <c r="C1045" s="1">
        <f ca="1">IFERROR(__xludf.DUMMYFUNCTION("""COMPUTED_VALUE"""),113.24)</f>
        <v>113.24</v>
      </c>
      <c r="D1045" s="1">
        <f ca="1">IFERROR(__xludf.DUMMYFUNCTION("""COMPUTED_VALUE"""),111.17)</f>
        <v>111.17</v>
      </c>
      <c r="E1045" s="1">
        <f ca="1">IFERROR(__xludf.DUMMYFUNCTION("""COMPUTED_VALUE"""),112.36)</f>
        <v>112.36</v>
      </c>
      <c r="F1045" s="1">
        <f ca="1">IFERROR(__xludf.DUMMYFUNCTION("""COMPUTED_VALUE"""),21536733)</f>
        <v>21536733</v>
      </c>
    </row>
    <row r="1046" spans="1:6" x14ac:dyDescent="0.35">
      <c r="A1046" s="2">
        <f ca="1">IFERROR(__xludf.DUMMYFUNCTION("""COMPUTED_VALUE"""),43523.6666666666)</f>
        <v>43523.666666666599</v>
      </c>
      <c r="B1046" s="1">
        <f ca="1">IFERROR(__xludf.DUMMYFUNCTION("""COMPUTED_VALUE"""),111.69)</f>
        <v>111.69</v>
      </c>
      <c r="C1046" s="1">
        <f ca="1">IFERROR(__xludf.DUMMYFUNCTION("""COMPUTED_VALUE"""),112.36)</f>
        <v>112.36</v>
      </c>
      <c r="D1046" s="1">
        <f ca="1">IFERROR(__xludf.DUMMYFUNCTION("""COMPUTED_VALUE"""),110.88)</f>
        <v>110.88</v>
      </c>
      <c r="E1046" s="1">
        <f ca="1">IFERROR(__xludf.DUMMYFUNCTION("""COMPUTED_VALUE"""),112.17)</f>
        <v>112.17</v>
      </c>
      <c r="F1046" s="1">
        <f ca="1">IFERROR(__xludf.DUMMYFUNCTION("""COMPUTED_VALUE"""),21487062)</f>
        <v>21487062</v>
      </c>
    </row>
    <row r="1047" spans="1:6" x14ac:dyDescent="0.35">
      <c r="A1047" s="2">
        <f ca="1">IFERROR(__xludf.DUMMYFUNCTION("""COMPUTED_VALUE"""),43524.6666666666)</f>
        <v>43524.666666666599</v>
      </c>
      <c r="B1047" s="1">
        <f ca="1">IFERROR(__xludf.DUMMYFUNCTION("""COMPUTED_VALUE"""),112.04)</f>
        <v>112.04</v>
      </c>
      <c r="C1047" s="1">
        <f ca="1">IFERROR(__xludf.DUMMYFUNCTION("""COMPUTED_VALUE"""),112.88)</f>
        <v>112.88</v>
      </c>
      <c r="D1047" s="1">
        <f ca="1">IFERROR(__xludf.DUMMYFUNCTION("""COMPUTED_VALUE"""),111.73)</f>
        <v>111.73</v>
      </c>
      <c r="E1047" s="1">
        <f ca="1">IFERROR(__xludf.DUMMYFUNCTION("""COMPUTED_VALUE"""),112.03)</f>
        <v>112.03</v>
      </c>
      <c r="F1047" s="1">
        <f ca="1">IFERROR(__xludf.DUMMYFUNCTION("""COMPUTED_VALUE"""),29083934)</f>
        <v>29083934</v>
      </c>
    </row>
    <row r="1048" spans="1:6" x14ac:dyDescent="0.35">
      <c r="A1048" s="2">
        <f ca="1">IFERROR(__xludf.DUMMYFUNCTION("""COMPUTED_VALUE"""),43525.6666666666)</f>
        <v>43525.666666666599</v>
      </c>
      <c r="B1048" s="1">
        <f ca="1">IFERROR(__xludf.DUMMYFUNCTION("""COMPUTED_VALUE"""),112.89)</f>
        <v>112.89</v>
      </c>
      <c r="C1048" s="1">
        <f ca="1">IFERROR(__xludf.DUMMYFUNCTION("""COMPUTED_VALUE"""),113.02)</f>
        <v>113.02</v>
      </c>
      <c r="D1048" s="1">
        <f ca="1">IFERROR(__xludf.DUMMYFUNCTION("""COMPUTED_VALUE"""),111.67)</f>
        <v>111.67</v>
      </c>
      <c r="E1048" s="1">
        <f ca="1">IFERROR(__xludf.DUMMYFUNCTION("""COMPUTED_VALUE"""),112.53)</f>
        <v>112.53</v>
      </c>
      <c r="F1048" s="1">
        <f ca="1">IFERROR(__xludf.DUMMYFUNCTION("""COMPUTED_VALUE"""),23501169)</f>
        <v>23501169</v>
      </c>
    </row>
    <row r="1049" spans="1:6" x14ac:dyDescent="0.35">
      <c r="A1049" s="2">
        <f ca="1">IFERROR(__xludf.DUMMYFUNCTION("""COMPUTED_VALUE"""),43528.6666666666)</f>
        <v>43528.666666666599</v>
      </c>
      <c r="B1049" s="1">
        <f ca="1">IFERROR(__xludf.DUMMYFUNCTION("""COMPUTED_VALUE"""),113.02)</f>
        <v>113.02</v>
      </c>
      <c r="C1049" s="1">
        <f ca="1">IFERROR(__xludf.DUMMYFUNCTION("""COMPUTED_VALUE"""),113.25)</f>
        <v>113.25</v>
      </c>
      <c r="D1049" s="1">
        <f ca="1">IFERROR(__xludf.DUMMYFUNCTION("""COMPUTED_VALUE"""),110.8)</f>
        <v>110.8</v>
      </c>
      <c r="E1049" s="1">
        <f ca="1">IFERROR(__xludf.DUMMYFUNCTION("""COMPUTED_VALUE"""),112.26)</f>
        <v>112.26</v>
      </c>
      <c r="F1049" s="1">
        <f ca="1">IFERROR(__xludf.DUMMYFUNCTION("""COMPUTED_VALUE"""),26608014)</f>
        <v>26608014</v>
      </c>
    </row>
    <row r="1050" spans="1:6" x14ac:dyDescent="0.35">
      <c r="A1050" s="2">
        <f ca="1">IFERROR(__xludf.DUMMYFUNCTION("""COMPUTED_VALUE"""),43529.6666666666)</f>
        <v>43529.666666666599</v>
      </c>
      <c r="B1050" s="1">
        <f ca="1">IFERROR(__xludf.DUMMYFUNCTION("""COMPUTED_VALUE"""),112.25)</f>
        <v>112.25</v>
      </c>
      <c r="C1050" s="1">
        <f ca="1">IFERROR(__xludf.DUMMYFUNCTION("""COMPUTED_VALUE"""),112.39)</f>
        <v>112.39</v>
      </c>
      <c r="D1050" s="1">
        <f ca="1">IFERROR(__xludf.DUMMYFUNCTION("""COMPUTED_VALUE"""),111.23)</f>
        <v>111.23</v>
      </c>
      <c r="E1050" s="1">
        <f ca="1">IFERROR(__xludf.DUMMYFUNCTION("""COMPUTED_VALUE"""),111.7)</f>
        <v>111.7</v>
      </c>
      <c r="F1050" s="1">
        <f ca="1">IFERROR(__xludf.DUMMYFUNCTION("""COMPUTED_VALUE"""),19538318)</f>
        <v>19538318</v>
      </c>
    </row>
    <row r="1051" spans="1:6" x14ac:dyDescent="0.35">
      <c r="A1051" s="2">
        <f ca="1">IFERROR(__xludf.DUMMYFUNCTION("""COMPUTED_VALUE"""),43530.6666666666)</f>
        <v>43530.666666666599</v>
      </c>
      <c r="B1051" s="1">
        <f ca="1">IFERROR(__xludf.DUMMYFUNCTION("""COMPUTED_VALUE"""),111.87)</f>
        <v>111.87</v>
      </c>
      <c r="C1051" s="1">
        <f ca="1">IFERROR(__xludf.DUMMYFUNCTION("""COMPUTED_VALUE"""),112.66)</f>
        <v>112.66</v>
      </c>
      <c r="D1051" s="1">
        <f ca="1">IFERROR(__xludf.DUMMYFUNCTION("""COMPUTED_VALUE"""),111.43)</f>
        <v>111.43</v>
      </c>
      <c r="E1051" s="1">
        <f ca="1">IFERROR(__xludf.DUMMYFUNCTION("""COMPUTED_VALUE"""),111.75)</f>
        <v>111.75</v>
      </c>
      <c r="F1051" s="1">
        <f ca="1">IFERROR(__xludf.DUMMYFUNCTION("""COMPUTED_VALUE"""),17686996)</f>
        <v>17686996</v>
      </c>
    </row>
    <row r="1052" spans="1:6" x14ac:dyDescent="0.35">
      <c r="A1052" s="2">
        <f ca="1">IFERROR(__xludf.DUMMYFUNCTION("""COMPUTED_VALUE"""),43531.6666666666)</f>
        <v>43531.666666666599</v>
      </c>
      <c r="B1052" s="1">
        <f ca="1">IFERROR(__xludf.DUMMYFUNCTION("""COMPUTED_VALUE"""),111.4)</f>
        <v>111.4</v>
      </c>
      <c r="C1052" s="1">
        <f ca="1">IFERROR(__xludf.DUMMYFUNCTION("""COMPUTED_VALUE"""),111.55)</f>
        <v>111.55</v>
      </c>
      <c r="D1052" s="1">
        <f ca="1">IFERROR(__xludf.DUMMYFUNCTION("""COMPUTED_VALUE"""),109.87)</f>
        <v>109.87</v>
      </c>
      <c r="E1052" s="1">
        <f ca="1">IFERROR(__xludf.DUMMYFUNCTION("""COMPUTED_VALUE"""),110.39)</f>
        <v>110.39</v>
      </c>
      <c r="F1052" s="1">
        <f ca="1">IFERROR(__xludf.DUMMYFUNCTION("""COMPUTED_VALUE"""),25338954)</f>
        <v>25338954</v>
      </c>
    </row>
    <row r="1053" spans="1:6" x14ac:dyDescent="0.35">
      <c r="A1053" s="2">
        <f ca="1">IFERROR(__xludf.DUMMYFUNCTION("""COMPUTED_VALUE"""),43532.6666666666)</f>
        <v>43532.666666666599</v>
      </c>
      <c r="B1053" s="1">
        <f ca="1">IFERROR(__xludf.DUMMYFUNCTION("""COMPUTED_VALUE"""),109.16)</f>
        <v>109.16</v>
      </c>
      <c r="C1053" s="1">
        <f ca="1">IFERROR(__xludf.DUMMYFUNCTION("""COMPUTED_VALUE"""),110.71)</f>
        <v>110.71</v>
      </c>
      <c r="D1053" s="1">
        <f ca="1">IFERROR(__xludf.DUMMYFUNCTION("""COMPUTED_VALUE"""),108.8)</f>
        <v>108.8</v>
      </c>
      <c r="E1053" s="1">
        <f ca="1">IFERROR(__xludf.DUMMYFUNCTION("""COMPUTED_VALUE"""),110.51)</f>
        <v>110.51</v>
      </c>
      <c r="F1053" s="1">
        <f ca="1">IFERROR(__xludf.DUMMYFUNCTION("""COMPUTED_VALUE"""),22818430)</f>
        <v>22818430</v>
      </c>
    </row>
    <row r="1054" spans="1:6" x14ac:dyDescent="0.35">
      <c r="A1054" s="2">
        <f ca="1">IFERROR(__xludf.DUMMYFUNCTION("""COMPUTED_VALUE"""),43535.6666666666)</f>
        <v>43535.666666666599</v>
      </c>
      <c r="B1054" s="1">
        <f ca="1">IFERROR(__xludf.DUMMYFUNCTION("""COMPUTED_VALUE"""),110.99)</f>
        <v>110.99</v>
      </c>
      <c r="C1054" s="1">
        <f ca="1">IFERROR(__xludf.DUMMYFUNCTION("""COMPUTED_VALUE"""),112.95)</f>
        <v>112.95</v>
      </c>
      <c r="D1054" s="1">
        <f ca="1">IFERROR(__xludf.DUMMYFUNCTION("""COMPUTED_VALUE"""),110.98)</f>
        <v>110.98</v>
      </c>
      <c r="E1054" s="1">
        <f ca="1">IFERROR(__xludf.DUMMYFUNCTION("""COMPUTED_VALUE"""),112.83)</f>
        <v>112.83</v>
      </c>
      <c r="F1054" s="1">
        <f ca="1">IFERROR(__xludf.DUMMYFUNCTION("""COMPUTED_VALUE"""),26491618)</f>
        <v>26491618</v>
      </c>
    </row>
    <row r="1055" spans="1:6" x14ac:dyDescent="0.35">
      <c r="A1055" s="2">
        <f ca="1">IFERROR(__xludf.DUMMYFUNCTION("""COMPUTED_VALUE"""),43536.6666666666)</f>
        <v>43536.666666666599</v>
      </c>
      <c r="B1055" s="1">
        <f ca="1">IFERROR(__xludf.DUMMYFUNCTION("""COMPUTED_VALUE"""),112.82)</f>
        <v>112.82</v>
      </c>
      <c r="C1055" s="1">
        <f ca="1">IFERROR(__xludf.DUMMYFUNCTION("""COMPUTED_VALUE"""),113.99)</f>
        <v>113.99</v>
      </c>
      <c r="D1055" s="1">
        <f ca="1">IFERROR(__xludf.DUMMYFUNCTION("""COMPUTED_VALUE"""),112.65)</f>
        <v>112.65</v>
      </c>
      <c r="E1055" s="1">
        <f ca="1">IFERROR(__xludf.DUMMYFUNCTION("""COMPUTED_VALUE"""),113.62)</f>
        <v>113.62</v>
      </c>
      <c r="F1055" s="1">
        <f ca="1">IFERROR(__xludf.DUMMYFUNCTION("""COMPUTED_VALUE"""),26132717)</f>
        <v>26132717</v>
      </c>
    </row>
    <row r="1056" spans="1:6" x14ac:dyDescent="0.35">
      <c r="A1056" s="2">
        <f ca="1">IFERROR(__xludf.DUMMYFUNCTION("""COMPUTED_VALUE"""),43537.6666666666)</f>
        <v>43537.666666666599</v>
      </c>
      <c r="B1056" s="1">
        <f ca="1">IFERROR(__xludf.DUMMYFUNCTION("""COMPUTED_VALUE"""),114.13)</f>
        <v>114.13</v>
      </c>
      <c r="C1056" s="1">
        <f ca="1">IFERROR(__xludf.DUMMYFUNCTION("""COMPUTED_VALUE"""),115)</f>
        <v>115</v>
      </c>
      <c r="D1056" s="1">
        <f ca="1">IFERROR(__xludf.DUMMYFUNCTION("""COMPUTED_VALUE"""),113.78)</f>
        <v>113.78</v>
      </c>
      <c r="E1056" s="1">
        <f ca="1">IFERROR(__xludf.DUMMYFUNCTION("""COMPUTED_VALUE"""),114.5)</f>
        <v>114.5</v>
      </c>
      <c r="F1056" s="1">
        <f ca="1">IFERROR(__xludf.DUMMYFUNCTION("""COMPUTED_VALUE"""),35513771)</f>
        <v>35513771</v>
      </c>
    </row>
    <row r="1057" spans="1:6" x14ac:dyDescent="0.35">
      <c r="A1057" s="2">
        <f ca="1">IFERROR(__xludf.DUMMYFUNCTION("""COMPUTED_VALUE"""),43538.6666666666)</f>
        <v>43538.666666666599</v>
      </c>
      <c r="B1057" s="1">
        <f ca="1">IFERROR(__xludf.DUMMYFUNCTION("""COMPUTED_VALUE"""),114.54)</f>
        <v>114.54</v>
      </c>
      <c r="C1057" s="1">
        <f ca="1">IFERROR(__xludf.DUMMYFUNCTION("""COMPUTED_VALUE"""),115.2)</f>
        <v>115.2</v>
      </c>
      <c r="D1057" s="1">
        <f ca="1">IFERROR(__xludf.DUMMYFUNCTION("""COMPUTED_VALUE"""),114.33)</f>
        <v>114.33</v>
      </c>
      <c r="E1057" s="1">
        <f ca="1">IFERROR(__xludf.DUMMYFUNCTION("""COMPUTED_VALUE"""),114.59)</f>
        <v>114.59</v>
      </c>
      <c r="F1057" s="1">
        <f ca="1">IFERROR(__xludf.DUMMYFUNCTION("""COMPUTED_VALUE"""),30763367)</f>
        <v>30763367</v>
      </c>
    </row>
    <row r="1058" spans="1:6" x14ac:dyDescent="0.35">
      <c r="A1058" s="2">
        <f ca="1">IFERROR(__xludf.DUMMYFUNCTION("""COMPUTED_VALUE"""),43539.6666666666)</f>
        <v>43539.666666666599</v>
      </c>
      <c r="B1058" s="1">
        <f ca="1">IFERROR(__xludf.DUMMYFUNCTION("""COMPUTED_VALUE"""),115.34)</f>
        <v>115.34</v>
      </c>
      <c r="C1058" s="1">
        <f ca="1">IFERROR(__xludf.DUMMYFUNCTION("""COMPUTED_VALUE"""),117.25)</f>
        <v>117.25</v>
      </c>
      <c r="D1058" s="1">
        <f ca="1">IFERROR(__xludf.DUMMYFUNCTION("""COMPUTED_VALUE"""),114.59)</f>
        <v>114.59</v>
      </c>
      <c r="E1058" s="1">
        <f ca="1">IFERROR(__xludf.DUMMYFUNCTION("""COMPUTED_VALUE"""),115.91)</f>
        <v>115.91</v>
      </c>
      <c r="F1058" s="1">
        <f ca="1">IFERROR(__xludf.DUMMYFUNCTION("""COMPUTED_VALUE"""),54630661)</f>
        <v>54630661</v>
      </c>
    </row>
    <row r="1059" spans="1:6" x14ac:dyDescent="0.35">
      <c r="A1059" s="2">
        <f ca="1">IFERROR(__xludf.DUMMYFUNCTION("""COMPUTED_VALUE"""),43542.6666666666)</f>
        <v>43542.666666666599</v>
      </c>
      <c r="B1059" s="1">
        <f ca="1">IFERROR(__xludf.DUMMYFUNCTION("""COMPUTED_VALUE"""),116.17)</f>
        <v>116.17</v>
      </c>
      <c r="C1059" s="1">
        <f ca="1">IFERROR(__xludf.DUMMYFUNCTION("""COMPUTED_VALUE"""),117.61)</f>
        <v>117.61</v>
      </c>
      <c r="D1059" s="1">
        <f ca="1">IFERROR(__xludf.DUMMYFUNCTION("""COMPUTED_VALUE"""),116.05)</f>
        <v>116.05</v>
      </c>
      <c r="E1059" s="1">
        <f ca="1">IFERROR(__xludf.DUMMYFUNCTION("""COMPUTED_VALUE"""),117.57)</f>
        <v>117.57</v>
      </c>
      <c r="F1059" s="1">
        <f ca="1">IFERROR(__xludf.DUMMYFUNCTION("""COMPUTED_VALUE"""),31207596)</f>
        <v>31207596</v>
      </c>
    </row>
    <row r="1060" spans="1:6" x14ac:dyDescent="0.35">
      <c r="A1060" s="2">
        <f ca="1">IFERROR(__xludf.DUMMYFUNCTION("""COMPUTED_VALUE"""),43543.6666666666)</f>
        <v>43543.666666666599</v>
      </c>
      <c r="B1060" s="1">
        <f ca="1">IFERROR(__xludf.DUMMYFUNCTION("""COMPUTED_VALUE"""),118.09)</f>
        <v>118.09</v>
      </c>
      <c r="C1060" s="1">
        <f ca="1">IFERROR(__xludf.DUMMYFUNCTION("""COMPUTED_VALUE"""),118.44)</f>
        <v>118.44</v>
      </c>
      <c r="D1060" s="1">
        <f ca="1">IFERROR(__xludf.DUMMYFUNCTION("""COMPUTED_VALUE"""),116.99)</f>
        <v>116.99</v>
      </c>
      <c r="E1060" s="1">
        <f ca="1">IFERROR(__xludf.DUMMYFUNCTION("""COMPUTED_VALUE"""),117.65)</f>
        <v>117.65</v>
      </c>
      <c r="F1060" s="1">
        <f ca="1">IFERROR(__xludf.DUMMYFUNCTION("""COMPUTED_VALUE"""),37588697)</f>
        <v>37588697</v>
      </c>
    </row>
    <row r="1061" spans="1:6" x14ac:dyDescent="0.35">
      <c r="A1061" s="2">
        <f ca="1">IFERROR(__xludf.DUMMYFUNCTION("""COMPUTED_VALUE"""),43544.6666666666)</f>
        <v>43544.666666666599</v>
      </c>
      <c r="B1061" s="1">
        <f ca="1">IFERROR(__xludf.DUMMYFUNCTION("""COMPUTED_VALUE"""),117.39)</f>
        <v>117.39</v>
      </c>
      <c r="C1061" s="1">
        <f ca="1">IFERROR(__xludf.DUMMYFUNCTION("""COMPUTED_VALUE"""),118.75)</f>
        <v>118.75</v>
      </c>
      <c r="D1061" s="1">
        <f ca="1">IFERROR(__xludf.DUMMYFUNCTION("""COMPUTED_VALUE"""),116.71)</f>
        <v>116.71</v>
      </c>
      <c r="E1061" s="1">
        <f ca="1">IFERROR(__xludf.DUMMYFUNCTION("""COMPUTED_VALUE"""),117.52)</f>
        <v>117.52</v>
      </c>
      <c r="F1061" s="1">
        <f ca="1">IFERROR(__xludf.DUMMYFUNCTION("""COMPUTED_VALUE"""),28113343)</f>
        <v>28113343</v>
      </c>
    </row>
    <row r="1062" spans="1:6" x14ac:dyDescent="0.35">
      <c r="A1062" s="2">
        <f ca="1">IFERROR(__xludf.DUMMYFUNCTION("""COMPUTED_VALUE"""),43545.6666666666)</f>
        <v>43545.666666666599</v>
      </c>
      <c r="B1062" s="1">
        <f ca="1">IFERROR(__xludf.DUMMYFUNCTION("""COMPUTED_VALUE"""),117.14)</f>
        <v>117.14</v>
      </c>
      <c r="C1062" s="1">
        <f ca="1">IFERROR(__xludf.DUMMYFUNCTION("""COMPUTED_VALUE"""),120.82)</f>
        <v>120.82</v>
      </c>
      <c r="D1062" s="1">
        <f ca="1">IFERROR(__xludf.DUMMYFUNCTION("""COMPUTED_VALUE"""),117.09)</f>
        <v>117.09</v>
      </c>
      <c r="E1062" s="1">
        <f ca="1">IFERROR(__xludf.DUMMYFUNCTION("""COMPUTED_VALUE"""),120.22)</f>
        <v>120.22</v>
      </c>
      <c r="F1062" s="1">
        <f ca="1">IFERROR(__xludf.DUMMYFUNCTION("""COMPUTED_VALUE"""),29854446)</f>
        <v>29854446</v>
      </c>
    </row>
    <row r="1063" spans="1:6" x14ac:dyDescent="0.35">
      <c r="A1063" s="2">
        <f ca="1">IFERROR(__xludf.DUMMYFUNCTION("""COMPUTED_VALUE"""),43546.6666666666)</f>
        <v>43546.666666666599</v>
      </c>
      <c r="B1063" s="1">
        <f ca="1">IFERROR(__xludf.DUMMYFUNCTION("""COMPUTED_VALUE"""),119.5)</f>
        <v>119.5</v>
      </c>
      <c r="C1063" s="1">
        <f ca="1">IFERROR(__xludf.DUMMYFUNCTION("""COMPUTED_VALUE"""),119.59)</f>
        <v>119.59</v>
      </c>
      <c r="D1063" s="1">
        <f ca="1">IFERROR(__xludf.DUMMYFUNCTION("""COMPUTED_VALUE"""),117.04)</f>
        <v>117.04</v>
      </c>
      <c r="E1063" s="1">
        <f ca="1">IFERROR(__xludf.DUMMYFUNCTION("""COMPUTED_VALUE"""),117.05)</f>
        <v>117.05</v>
      </c>
      <c r="F1063" s="1">
        <f ca="1">IFERROR(__xludf.DUMMYFUNCTION("""COMPUTED_VALUE"""),33624528)</f>
        <v>33624528</v>
      </c>
    </row>
    <row r="1064" spans="1:6" x14ac:dyDescent="0.35">
      <c r="A1064" s="2">
        <f ca="1">IFERROR(__xludf.DUMMYFUNCTION("""COMPUTED_VALUE"""),43549.6666666666)</f>
        <v>43549.666666666599</v>
      </c>
      <c r="B1064" s="1">
        <f ca="1">IFERROR(__xludf.DUMMYFUNCTION("""COMPUTED_VALUE"""),116.56)</f>
        <v>116.56</v>
      </c>
      <c r="C1064" s="1">
        <f ca="1">IFERROR(__xludf.DUMMYFUNCTION("""COMPUTED_VALUE"""),118.01)</f>
        <v>118.01</v>
      </c>
      <c r="D1064" s="1">
        <f ca="1">IFERROR(__xludf.DUMMYFUNCTION("""COMPUTED_VALUE"""),116.32)</f>
        <v>116.32</v>
      </c>
      <c r="E1064" s="1">
        <f ca="1">IFERROR(__xludf.DUMMYFUNCTION("""COMPUTED_VALUE"""),117.66)</f>
        <v>117.66</v>
      </c>
      <c r="F1064" s="1">
        <f ca="1">IFERROR(__xludf.DUMMYFUNCTION("""COMPUTED_VALUE"""),27067117)</f>
        <v>27067117</v>
      </c>
    </row>
    <row r="1065" spans="1:6" x14ac:dyDescent="0.35">
      <c r="A1065" s="2">
        <f ca="1">IFERROR(__xludf.DUMMYFUNCTION("""COMPUTED_VALUE"""),43550.6666666666)</f>
        <v>43550.666666666599</v>
      </c>
      <c r="B1065" s="1">
        <f ca="1">IFERROR(__xludf.DUMMYFUNCTION("""COMPUTED_VALUE"""),118.62)</f>
        <v>118.62</v>
      </c>
      <c r="C1065" s="1">
        <f ca="1">IFERROR(__xludf.DUMMYFUNCTION("""COMPUTED_VALUE"""),118.71)</f>
        <v>118.71</v>
      </c>
      <c r="D1065" s="1">
        <f ca="1">IFERROR(__xludf.DUMMYFUNCTION("""COMPUTED_VALUE"""),116.85)</f>
        <v>116.85</v>
      </c>
      <c r="E1065" s="1">
        <f ca="1">IFERROR(__xludf.DUMMYFUNCTION("""COMPUTED_VALUE"""),117.91)</f>
        <v>117.91</v>
      </c>
      <c r="F1065" s="1">
        <f ca="1">IFERROR(__xludf.DUMMYFUNCTION("""COMPUTED_VALUE"""),26097665)</f>
        <v>26097665</v>
      </c>
    </row>
    <row r="1066" spans="1:6" x14ac:dyDescent="0.35">
      <c r="A1066" s="2">
        <f ca="1">IFERROR(__xludf.DUMMYFUNCTION("""COMPUTED_VALUE"""),43551.6666666666)</f>
        <v>43551.666666666599</v>
      </c>
      <c r="B1066" s="1">
        <f ca="1">IFERROR(__xludf.DUMMYFUNCTION("""COMPUTED_VALUE"""),117.88)</f>
        <v>117.88</v>
      </c>
      <c r="C1066" s="1">
        <f ca="1">IFERROR(__xludf.DUMMYFUNCTION("""COMPUTED_VALUE"""),118.21)</f>
        <v>118.21</v>
      </c>
      <c r="D1066" s="1">
        <f ca="1">IFERROR(__xludf.DUMMYFUNCTION("""COMPUTED_VALUE"""),115.52)</f>
        <v>115.52</v>
      </c>
      <c r="E1066" s="1">
        <f ca="1">IFERROR(__xludf.DUMMYFUNCTION("""COMPUTED_VALUE"""),116.77)</f>
        <v>116.77</v>
      </c>
      <c r="F1066" s="1">
        <f ca="1">IFERROR(__xludf.DUMMYFUNCTION("""COMPUTED_VALUE"""),22733427)</f>
        <v>22733427</v>
      </c>
    </row>
    <row r="1067" spans="1:6" x14ac:dyDescent="0.35">
      <c r="A1067" s="2">
        <f ca="1">IFERROR(__xludf.DUMMYFUNCTION("""COMPUTED_VALUE"""),43552.6666666666)</f>
        <v>43552.666666666599</v>
      </c>
      <c r="B1067" s="1">
        <f ca="1">IFERROR(__xludf.DUMMYFUNCTION("""COMPUTED_VALUE"""),117.44)</f>
        <v>117.44</v>
      </c>
      <c r="C1067" s="1">
        <f ca="1">IFERROR(__xludf.DUMMYFUNCTION("""COMPUTED_VALUE"""),117.58)</f>
        <v>117.58</v>
      </c>
      <c r="D1067" s="1">
        <f ca="1">IFERROR(__xludf.DUMMYFUNCTION("""COMPUTED_VALUE"""),116.13)</f>
        <v>116.13</v>
      </c>
      <c r="E1067" s="1">
        <f ca="1">IFERROR(__xludf.DUMMYFUNCTION("""COMPUTED_VALUE"""),116.93)</f>
        <v>116.93</v>
      </c>
      <c r="F1067" s="1">
        <f ca="1">IFERROR(__xludf.DUMMYFUNCTION("""COMPUTED_VALUE"""),18334755)</f>
        <v>18334755</v>
      </c>
    </row>
    <row r="1068" spans="1:6" x14ac:dyDescent="0.35">
      <c r="A1068" s="2">
        <f ca="1">IFERROR(__xludf.DUMMYFUNCTION("""COMPUTED_VALUE"""),43553.6666666666)</f>
        <v>43553.666666666599</v>
      </c>
      <c r="B1068" s="1">
        <f ca="1">IFERROR(__xludf.DUMMYFUNCTION("""COMPUTED_VALUE"""),118.07)</f>
        <v>118.07</v>
      </c>
      <c r="C1068" s="1">
        <f ca="1">IFERROR(__xludf.DUMMYFUNCTION("""COMPUTED_VALUE"""),118.32)</f>
        <v>118.32</v>
      </c>
      <c r="D1068" s="1">
        <f ca="1">IFERROR(__xludf.DUMMYFUNCTION("""COMPUTED_VALUE"""),116.96)</f>
        <v>116.96</v>
      </c>
      <c r="E1068" s="1">
        <f ca="1">IFERROR(__xludf.DUMMYFUNCTION("""COMPUTED_VALUE"""),117.94)</f>
        <v>117.94</v>
      </c>
      <c r="F1068" s="1">
        <f ca="1">IFERROR(__xludf.DUMMYFUNCTION("""COMPUTED_VALUE"""),25399752)</f>
        <v>25399752</v>
      </c>
    </row>
    <row r="1069" spans="1:6" x14ac:dyDescent="0.35">
      <c r="A1069" s="2">
        <f ca="1">IFERROR(__xludf.DUMMYFUNCTION("""COMPUTED_VALUE"""),43556.6666666666)</f>
        <v>43556.666666666599</v>
      </c>
      <c r="B1069" s="1">
        <f ca="1">IFERROR(__xludf.DUMMYFUNCTION("""COMPUTED_VALUE"""),118.95)</f>
        <v>118.95</v>
      </c>
      <c r="C1069" s="1">
        <f ca="1">IFERROR(__xludf.DUMMYFUNCTION("""COMPUTED_VALUE"""),119.11)</f>
        <v>119.11</v>
      </c>
      <c r="D1069" s="1">
        <f ca="1">IFERROR(__xludf.DUMMYFUNCTION("""COMPUTED_VALUE"""),118.1)</f>
        <v>118.1</v>
      </c>
      <c r="E1069" s="1">
        <f ca="1">IFERROR(__xludf.DUMMYFUNCTION("""COMPUTED_VALUE"""),119.02)</f>
        <v>119.02</v>
      </c>
      <c r="F1069" s="1">
        <f ca="1">IFERROR(__xludf.DUMMYFUNCTION("""COMPUTED_VALUE"""),22789103)</f>
        <v>22789103</v>
      </c>
    </row>
    <row r="1070" spans="1:6" x14ac:dyDescent="0.35">
      <c r="A1070" s="2">
        <f ca="1">IFERROR(__xludf.DUMMYFUNCTION("""COMPUTED_VALUE"""),43557.6666666666)</f>
        <v>43557.666666666599</v>
      </c>
      <c r="B1070" s="1">
        <f ca="1">IFERROR(__xludf.DUMMYFUNCTION("""COMPUTED_VALUE"""),119.06)</f>
        <v>119.06</v>
      </c>
      <c r="C1070" s="1">
        <f ca="1">IFERROR(__xludf.DUMMYFUNCTION("""COMPUTED_VALUE"""),119.48)</f>
        <v>119.48</v>
      </c>
      <c r="D1070" s="1">
        <f ca="1">IFERROR(__xludf.DUMMYFUNCTION("""COMPUTED_VALUE"""),118.52)</f>
        <v>118.52</v>
      </c>
      <c r="E1070" s="1">
        <f ca="1">IFERROR(__xludf.DUMMYFUNCTION("""COMPUTED_VALUE"""),119.19)</f>
        <v>119.19</v>
      </c>
      <c r="F1070" s="1">
        <f ca="1">IFERROR(__xludf.DUMMYFUNCTION("""COMPUTED_VALUE"""),18142297)</f>
        <v>18142297</v>
      </c>
    </row>
    <row r="1071" spans="1:6" x14ac:dyDescent="0.35">
      <c r="A1071" s="2">
        <f ca="1">IFERROR(__xludf.DUMMYFUNCTION("""COMPUTED_VALUE"""),43558.6666666666)</f>
        <v>43558.666666666599</v>
      </c>
      <c r="B1071" s="1">
        <f ca="1">IFERROR(__xludf.DUMMYFUNCTION("""COMPUTED_VALUE"""),119.86)</f>
        <v>119.86</v>
      </c>
      <c r="C1071" s="1">
        <f ca="1">IFERROR(__xludf.DUMMYFUNCTION("""COMPUTED_VALUE"""),120.43)</f>
        <v>120.43</v>
      </c>
      <c r="D1071" s="1">
        <f ca="1">IFERROR(__xludf.DUMMYFUNCTION("""COMPUTED_VALUE"""),119.15)</f>
        <v>119.15</v>
      </c>
      <c r="E1071" s="1">
        <f ca="1">IFERROR(__xludf.DUMMYFUNCTION("""COMPUTED_VALUE"""),119.97)</f>
        <v>119.97</v>
      </c>
      <c r="F1071" s="1">
        <f ca="1">IFERROR(__xludf.DUMMYFUNCTION("""COMPUTED_VALUE"""),22860744)</f>
        <v>22860744</v>
      </c>
    </row>
    <row r="1072" spans="1:6" x14ac:dyDescent="0.35">
      <c r="A1072" s="2">
        <f ca="1">IFERROR(__xludf.DUMMYFUNCTION("""COMPUTED_VALUE"""),43559.6666666666)</f>
        <v>43559.666666666599</v>
      </c>
      <c r="B1072" s="1">
        <f ca="1">IFERROR(__xludf.DUMMYFUNCTION("""COMPUTED_VALUE"""),120.1)</f>
        <v>120.1</v>
      </c>
      <c r="C1072" s="1">
        <f ca="1">IFERROR(__xludf.DUMMYFUNCTION("""COMPUTED_VALUE"""),120.23)</f>
        <v>120.23</v>
      </c>
      <c r="D1072" s="1">
        <f ca="1">IFERROR(__xludf.DUMMYFUNCTION("""COMPUTED_VALUE"""),118.38)</f>
        <v>118.38</v>
      </c>
      <c r="E1072" s="1">
        <f ca="1">IFERROR(__xludf.DUMMYFUNCTION("""COMPUTED_VALUE"""),119.36)</f>
        <v>119.36</v>
      </c>
      <c r="F1072" s="1">
        <f ca="1">IFERROR(__xludf.DUMMYFUNCTION("""COMPUTED_VALUE"""),20112848)</f>
        <v>20112848</v>
      </c>
    </row>
    <row r="1073" spans="1:6" x14ac:dyDescent="0.35">
      <c r="A1073" s="2">
        <f ca="1">IFERROR(__xludf.DUMMYFUNCTION("""COMPUTED_VALUE"""),43560.6666666666)</f>
        <v>43560.666666666599</v>
      </c>
      <c r="B1073" s="1">
        <f ca="1">IFERROR(__xludf.DUMMYFUNCTION("""COMPUTED_VALUE"""),119.39)</f>
        <v>119.39</v>
      </c>
      <c r="C1073" s="1">
        <f ca="1">IFERROR(__xludf.DUMMYFUNCTION("""COMPUTED_VALUE"""),120.23)</f>
        <v>120.23</v>
      </c>
      <c r="D1073" s="1">
        <f ca="1">IFERROR(__xludf.DUMMYFUNCTION("""COMPUTED_VALUE"""),119.37)</f>
        <v>119.37</v>
      </c>
      <c r="E1073" s="1">
        <f ca="1">IFERROR(__xludf.DUMMYFUNCTION("""COMPUTED_VALUE"""),119.89)</f>
        <v>119.89</v>
      </c>
      <c r="F1073" s="1">
        <f ca="1">IFERROR(__xludf.DUMMYFUNCTION("""COMPUTED_VALUE"""),15826245)</f>
        <v>15826245</v>
      </c>
    </row>
    <row r="1074" spans="1:6" x14ac:dyDescent="0.35">
      <c r="A1074" s="2">
        <f ca="1">IFERROR(__xludf.DUMMYFUNCTION("""COMPUTED_VALUE"""),43563.6666666666)</f>
        <v>43563.666666666599</v>
      </c>
      <c r="B1074" s="1">
        <f ca="1">IFERROR(__xludf.DUMMYFUNCTION("""COMPUTED_VALUE"""),119.81)</f>
        <v>119.81</v>
      </c>
      <c r="C1074" s="1">
        <f ca="1">IFERROR(__xludf.DUMMYFUNCTION("""COMPUTED_VALUE"""),120.02)</f>
        <v>120.02</v>
      </c>
      <c r="D1074" s="1">
        <f ca="1">IFERROR(__xludf.DUMMYFUNCTION("""COMPUTED_VALUE"""),118.64)</f>
        <v>118.64</v>
      </c>
      <c r="E1074" s="1">
        <f ca="1">IFERROR(__xludf.DUMMYFUNCTION("""COMPUTED_VALUE"""),119.93)</f>
        <v>119.93</v>
      </c>
      <c r="F1074" s="1">
        <f ca="1">IFERROR(__xludf.DUMMYFUNCTION("""COMPUTED_VALUE"""),15116186)</f>
        <v>15116186</v>
      </c>
    </row>
    <row r="1075" spans="1:6" x14ac:dyDescent="0.35">
      <c r="A1075" s="2">
        <f ca="1">IFERROR(__xludf.DUMMYFUNCTION("""COMPUTED_VALUE"""),43564.6666666666)</f>
        <v>43564.666666666599</v>
      </c>
      <c r="B1075" s="1">
        <f ca="1">IFERROR(__xludf.DUMMYFUNCTION("""COMPUTED_VALUE"""),118.63)</f>
        <v>118.63</v>
      </c>
      <c r="C1075" s="1">
        <f ca="1">IFERROR(__xludf.DUMMYFUNCTION("""COMPUTED_VALUE"""),119.54)</f>
        <v>119.54</v>
      </c>
      <c r="D1075" s="1">
        <f ca="1">IFERROR(__xludf.DUMMYFUNCTION("""COMPUTED_VALUE"""),118.58)</f>
        <v>118.58</v>
      </c>
      <c r="E1075" s="1">
        <f ca="1">IFERROR(__xludf.DUMMYFUNCTION("""COMPUTED_VALUE"""),119.28)</f>
        <v>119.28</v>
      </c>
      <c r="F1075" s="1">
        <f ca="1">IFERROR(__xludf.DUMMYFUNCTION("""COMPUTED_VALUE"""),17611981)</f>
        <v>17611981</v>
      </c>
    </row>
    <row r="1076" spans="1:6" x14ac:dyDescent="0.35">
      <c r="A1076" s="2">
        <f ca="1">IFERROR(__xludf.DUMMYFUNCTION("""COMPUTED_VALUE"""),43565.6666666666)</f>
        <v>43565.666666666599</v>
      </c>
      <c r="B1076" s="1">
        <f ca="1">IFERROR(__xludf.DUMMYFUNCTION("""COMPUTED_VALUE"""),119.76)</f>
        <v>119.76</v>
      </c>
      <c r="C1076" s="1">
        <f ca="1">IFERROR(__xludf.DUMMYFUNCTION("""COMPUTED_VALUE"""),120.35)</f>
        <v>120.35</v>
      </c>
      <c r="D1076" s="1">
        <f ca="1">IFERROR(__xludf.DUMMYFUNCTION("""COMPUTED_VALUE"""),119.54)</f>
        <v>119.54</v>
      </c>
      <c r="E1076" s="1">
        <f ca="1">IFERROR(__xludf.DUMMYFUNCTION("""COMPUTED_VALUE"""),120.19)</f>
        <v>120.19</v>
      </c>
      <c r="F1076" s="1">
        <f ca="1">IFERROR(__xludf.DUMMYFUNCTION("""COMPUTED_VALUE"""),16477169)</f>
        <v>16477169</v>
      </c>
    </row>
    <row r="1077" spans="1:6" x14ac:dyDescent="0.35">
      <c r="A1077" s="2">
        <f ca="1">IFERROR(__xludf.DUMMYFUNCTION("""COMPUTED_VALUE"""),43566.6666666666)</f>
        <v>43566.666666666599</v>
      </c>
      <c r="B1077" s="1">
        <f ca="1">IFERROR(__xludf.DUMMYFUNCTION("""COMPUTED_VALUE"""),120.54)</f>
        <v>120.54</v>
      </c>
      <c r="C1077" s="1">
        <f ca="1">IFERROR(__xludf.DUMMYFUNCTION("""COMPUTED_VALUE"""),120.85)</f>
        <v>120.85</v>
      </c>
      <c r="D1077" s="1">
        <f ca="1">IFERROR(__xludf.DUMMYFUNCTION("""COMPUTED_VALUE"""),119.92)</f>
        <v>119.92</v>
      </c>
      <c r="E1077" s="1">
        <f ca="1">IFERROR(__xludf.DUMMYFUNCTION("""COMPUTED_VALUE"""),120.33)</f>
        <v>120.33</v>
      </c>
      <c r="F1077" s="1">
        <f ca="1">IFERROR(__xludf.DUMMYFUNCTION("""COMPUTED_VALUE"""),14209121)</f>
        <v>14209121</v>
      </c>
    </row>
    <row r="1078" spans="1:6" x14ac:dyDescent="0.35">
      <c r="A1078" s="2">
        <f ca="1">IFERROR(__xludf.DUMMYFUNCTION("""COMPUTED_VALUE"""),43567.6666666666)</f>
        <v>43567.666666666599</v>
      </c>
      <c r="B1078" s="1">
        <f ca="1">IFERROR(__xludf.DUMMYFUNCTION("""COMPUTED_VALUE"""),120.64)</f>
        <v>120.64</v>
      </c>
      <c r="C1078" s="1">
        <f ca="1">IFERROR(__xludf.DUMMYFUNCTION("""COMPUTED_VALUE"""),120.98)</f>
        <v>120.98</v>
      </c>
      <c r="D1078" s="1">
        <f ca="1">IFERROR(__xludf.DUMMYFUNCTION("""COMPUTED_VALUE"""),120.37)</f>
        <v>120.37</v>
      </c>
      <c r="E1078" s="1">
        <f ca="1">IFERROR(__xludf.DUMMYFUNCTION("""COMPUTED_VALUE"""),120.95)</f>
        <v>120.95</v>
      </c>
      <c r="F1078" s="1">
        <f ca="1">IFERROR(__xludf.DUMMYFUNCTION("""COMPUTED_VALUE"""),19745143)</f>
        <v>19745143</v>
      </c>
    </row>
    <row r="1079" spans="1:6" x14ac:dyDescent="0.35">
      <c r="A1079" s="2">
        <f ca="1">IFERROR(__xludf.DUMMYFUNCTION("""COMPUTED_VALUE"""),43570.6666666666)</f>
        <v>43570.666666666599</v>
      </c>
      <c r="B1079" s="1">
        <f ca="1">IFERROR(__xludf.DUMMYFUNCTION("""COMPUTED_VALUE"""),120.94)</f>
        <v>120.94</v>
      </c>
      <c r="C1079" s="1">
        <f ca="1">IFERROR(__xludf.DUMMYFUNCTION("""COMPUTED_VALUE"""),121.58)</f>
        <v>121.58</v>
      </c>
      <c r="D1079" s="1">
        <f ca="1">IFERROR(__xludf.DUMMYFUNCTION("""COMPUTED_VALUE"""),120.57)</f>
        <v>120.57</v>
      </c>
      <c r="E1079" s="1">
        <f ca="1">IFERROR(__xludf.DUMMYFUNCTION("""COMPUTED_VALUE"""),121.05)</f>
        <v>121.05</v>
      </c>
      <c r="F1079" s="1">
        <f ca="1">IFERROR(__xludf.DUMMYFUNCTION("""COMPUTED_VALUE"""),15792572)</f>
        <v>15792572</v>
      </c>
    </row>
    <row r="1080" spans="1:6" x14ac:dyDescent="0.35">
      <c r="A1080" s="2">
        <f ca="1">IFERROR(__xludf.DUMMYFUNCTION("""COMPUTED_VALUE"""),43571.6666666666)</f>
        <v>43571.666666666599</v>
      </c>
      <c r="B1080" s="1">
        <f ca="1">IFERROR(__xludf.DUMMYFUNCTION("""COMPUTED_VALUE"""),121.64)</f>
        <v>121.64</v>
      </c>
      <c r="C1080" s="1">
        <f ca="1">IFERROR(__xludf.DUMMYFUNCTION("""COMPUTED_VALUE"""),121.65)</f>
        <v>121.65</v>
      </c>
      <c r="D1080" s="1">
        <f ca="1">IFERROR(__xludf.DUMMYFUNCTION("""COMPUTED_VALUE"""),120.1)</f>
        <v>120.1</v>
      </c>
      <c r="E1080" s="1">
        <f ca="1">IFERROR(__xludf.DUMMYFUNCTION("""COMPUTED_VALUE"""),120.77)</f>
        <v>120.77</v>
      </c>
      <c r="F1080" s="1">
        <f ca="1">IFERROR(__xludf.DUMMYFUNCTION("""COMPUTED_VALUE"""),14071787)</f>
        <v>14071787</v>
      </c>
    </row>
    <row r="1081" spans="1:6" x14ac:dyDescent="0.35">
      <c r="A1081" s="2">
        <f ca="1">IFERROR(__xludf.DUMMYFUNCTION("""COMPUTED_VALUE"""),43572.6666666666)</f>
        <v>43572.666666666599</v>
      </c>
      <c r="B1081" s="1">
        <f ca="1">IFERROR(__xludf.DUMMYFUNCTION("""COMPUTED_VALUE"""),121.24)</f>
        <v>121.24</v>
      </c>
      <c r="C1081" s="1">
        <f ca="1">IFERROR(__xludf.DUMMYFUNCTION("""COMPUTED_VALUE"""),121.85)</f>
        <v>121.85</v>
      </c>
      <c r="D1081" s="1">
        <f ca="1">IFERROR(__xludf.DUMMYFUNCTION("""COMPUTED_VALUE"""),120.54)</f>
        <v>120.54</v>
      </c>
      <c r="E1081" s="1">
        <f ca="1">IFERROR(__xludf.DUMMYFUNCTION("""COMPUTED_VALUE"""),121.77)</f>
        <v>121.77</v>
      </c>
      <c r="F1081" s="1">
        <f ca="1">IFERROR(__xludf.DUMMYFUNCTION("""COMPUTED_VALUE"""),19300938)</f>
        <v>19300938</v>
      </c>
    </row>
    <row r="1082" spans="1:6" x14ac:dyDescent="0.35">
      <c r="A1082" s="2">
        <f ca="1">IFERROR(__xludf.DUMMYFUNCTION("""COMPUTED_VALUE"""),43573.6666666666)</f>
        <v>43573.666666666599</v>
      </c>
      <c r="B1082" s="1">
        <f ca="1">IFERROR(__xludf.DUMMYFUNCTION("""COMPUTED_VALUE"""),122.19)</f>
        <v>122.19</v>
      </c>
      <c r="C1082" s="1">
        <f ca="1">IFERROR(__xludf.DUMMYFUNCTION("""COMPUTED_VALUE"""),123.52)</f>
        <v>123.52</v>
      </c>
      <c r="D1082" s="1">
        <f ca="1">IFERROR(__xludf.DUMMYFUNCTION("""COMPUTED_VALUE"""),121.3)</f>
        <v>121.3</v>
      </c>
      <c r="E1082" s="1">
        <f ca="1">IFERROR(__xludf.DUMMYFUNCTION("""COMPUTED_VALUE"""),123.37)</f>
        <v>123.37</v>
      </c>
      <c r="F1082" s="1">
        <f ca="1">IFERROR(__xludf.DUMMYFUNCTION("""COMPUTED_VALUE"""),27990998)</f>
        <v>27990998</v>
      </c>
    </row>
    <row r="1083" spans="1:6" x14ac:dyDescent="0.35">
      <c r="A1083" s="2">
        <f ca="1">IFERROR(__xludf.DUMMYFUNCTION("""COMPUTED_VALUE"""),43577.6666666666)</f>
        <v>43577.666666666599</v>
      </c>
      <c r="B1083" s="1">
        <f ca="1">IFERROR(__xludf.DUMMYFUNCTION("""COMPUTED_VALUE"""),122.62)</f>
        <v>122.62</v>
      </c>
      <c r="C1083" s="1">
        <f ca="1">IFERROR(__xludf.DUMMYFUNCTION("""COMPUTED_VALUE"""),124)</f>
        <v>124</v>
      </c>
      <c r="D1083" s="1">
        <f ca="1">IFERROR(__xludf.DUMMYFUNCTION("""COMPUTED_VALUE"""),122.57)</f>
        <v>122.57</v>
      </c>
      <c r="E1083" s="1">
        <f ca="1">IFERROR(__xludf.DUMMYFUNCTION("""COMPUTED_VALUE"""),123.76)</f>
        <v>123.76</v>
      </c>
      <c r="F1083" s="1">
        <f ca="1">IFERROR(__xludf.DUMMYFUNCTION("""COMPUTED_VALUE"""),15648724)</f>
        <v>15648724</v>
      </c>
    </row>
    <row r="1084" spans="1:6" x14ac:dyDescent="0.35">
      <c r="A1084" s="2">
        <f ca="1">IFERROR(__xludf.DUMMYFUNCTION("""COMPUTED_VALUE"""),43578.6666666666)</f>
        <v>43578.666666666599</v>
      </c>
      <c r="B1084" s="1">
        <f ca="1">IFERROR(__xludf.DUMMYFUNCTION("""COMPUTED_VALUE"""),124.1)</f>
        <v>124.1</v>
      </c>
      <c r="C1084" s="1">
        <f ca="1">IFERROR(__xludf.DUMMYFUNCTION("""COMPUTED_VALUE"""),125.58)</f>
        <v>125.58</v>
      </c>
      <c r="D1084" s="1">
        <f ca="1">IFERROR(__xludf.DUMMYFUNCTION("""COMPUTED_VALUE"""),123.83)</f>
        <v>123.83</v>
      </c>
      <c r="E1084" s="1">
        <f ca="1">IFERROR(__xludf.DUMMYFUNCTION("""COMPUTED_VALUE"""),125.44)</f>
        <v>125.44</v>
      </c>
      <c r="F1084" s="1">
        <f ca="1">IFERROR(__xludf.DUMMYFUNCTION("""COMPUTED_VALUE"""),24025521)</f>
        <v>24025521</v>
      </c>
    </row>
    <row r="1085" spans="1:6" x14ac:dyDescent="0.35">
      <c r="A1085" s="2">
        <f ca="1">IFERROR(__xludf.DUMMYFUNCTION("""COMPUTED_VALUE"""),43579.6666666666)</f>
        <v>43579.666666666599</v>
      </c>
      <c r="B1085" s="1">
        <f ca="1">IFERROR(__xludf.DUMMYFUNCTION("""COMPUTED_VALUE"""),125.79)</f>
        <v>125.79</v>
      </c>
      <c r="C1085" s="1">
        <f ca="1">IFERROR(__xludf.DUMMYFUNCTION("""COMPUTED_VALUE"""),125.85)</f>
        <v>125.85</v>
      </c>
      <c r="D1085" s="1">
        <f ca="1">IFERROR(__xludf.DUMMYFUNCTION("""COMPUTED_VALUE"""),124.52)</f>
        <v>124.52</v>
      </c>
      <c r="E1085" s="1">
        <f ca="1">IFERROR(__xludf.DUMMYFUNCTION("""COMPUTED_VALUE"""),125.01)</f>
        <v>125.01</v>
      </c>
      <c r="F1085" s="1">
        <f ca="1">IFERROR(__xludf.DUMMYFUNCTION("""COMPUTED_VALUE"""),31256980)</f>
        <v>31256980</v>
      </c>
    </row>
    <row r="1086" spans="1:6" x14ac:dyDescent="0.35">
      <c r="A1086" s="2">
        <f ca="1">IFERROR(__xludf.DUMMYFUNCTION("""COMPUTED_VALUE"""),43580.6666666666)</f>
        <v>43580.666666666599</v>
      </c>
      <c r="B1086" s="1">
        <f ca="1">IFERROR(__xludf.DUMMYFUNCTION("""COMPUTED_VALUE"""),130.06)</f>
        <v>130.06</v>
      </c>
      <c r="C1086" s="1">
        <f ca="1">IFERROR(__xludf.DUMMYFUNCTION("""COMPUTED_VALUE"""),131.37)</f>
        <v>131.37</v>
      </c>
      <c r="D1086" s="1">
        <f ca="1">IFERROR(__xludf.DUMMYFUNCTION("""COMPUTED_VALUE"""),128.83)</f>
        <v>128.83000000000001</v>
      </c>
      <c r="E1086" s="1">
        <f ca="1">IFERROR(__xludf.DUMMYFUNCTION("""COMPUTED_VALUE"""),129.15)</f>
        <v>129.15</v>
      </c>
      <c r="F1086" s="1">
        <f ca="1">IFERROR(__xludf.DUMMYFUNCTION("""COMPUTED_VALUE"""),38033892)</f>
        <v>38033892</v>
      </c>
    </row>
    <row r="1087" spans="1:6" x14ac:dyDescent="0.35">
      <c r="A1087" s="2">
        <f ca="1">IFERROR(__xludf.DUMMYFUNCTION("""COMPUTED_VALUE"""),43581.6666666666)</f>
        <v>43581.666666666599</v>
      </c>
      <c r="B1087" s="1">
        <f ca="1">IFERROR(__xludf.DUMMYFUNCTION("""COMPUTED_VALUE"""),129.7)</f>
        <v>129.69999999999999</v>
      </c>
      <c r="C1087" s="1">
        <f ca="1">IFERROR(__xludf.DUMMYFUNCTION("""COMPUTED_VALUE"""),130.52)</f>
        <v>130.52000000000001</v>
      </c>
      <c r="D1087" s="1">
        <f ca="1">IFERROR(__xludf.DUMMYFUNCTION("""COMPUTED_VALUE"""),129.02)</f>
        <v>129.02000000000001</v>
      </c>
      <c r="E1087" s="1">
        <f ca="1">IFERROR(__xludf.DUMMYFUNCTION("""COMPUTED_VALUE"""),129.89)</f>
        <v>129.88999999999999</v>
      </c>
      <c r="F1087" s="1">
        <f ca="1">IFERROR(__xludf.DUMMYFUNCTION("""COMPUTED_VALUE"""),23654933)</f>
        <v>23654933</v>
      </c>
    </row>
    <row r="1088" spans="1:6" x14ac:dyDescent="0.35">
      <c r="A1088" s="2">
        <f ca="1">IFERROR(__xludf.DUMMYFUNCTION("""COMPUTED_VALUE"""),43584.6666666666)</f>
        <v>43584.666666666599</v>
      </c>
      <c r="B1088" s="1">
        <f ca="1">IFERROR(__xludf.DUMMYFUNCTION("""COMPUTED_VALUE"""),129.9)</f>
        <v>129.9</v>
      </c>
      <c r="C1088" s="1">
        <f ca="1">IFERROR(__xludf.DUMMYFUNCTION("""COMPUTED_VALUE"""),130.18)</f>
        <v>130.18</v>
      </c>
      <c r="D1088" s="1">
        <f ca="1">IFERROR(__xludf.DUMMYFUNCTION("""COMPUTED_VALUE"""),129.35)</f>
        <v>129.35</v>
      </c>
      <c r="E1088" s="1">
        <f ca="1">IFERROR(__xludf.DUMMYFUNCTION("""COMPUTED_VALUE"""),129.77)</f>
        <v>129.77000000000001</v>
      </c>
      <c r="F1088" s="1">
        <f ca="1">IFERROR(__xludf.DUMMYFUNCTION("""COMPUTED_VALUE"""),16324183)</f>
        <v>16324183</v>
      </c>
    </row>
    <row r="1089" spans="1:6" x14ac:dyDescent="0.35">
      <c r="A1089" s="2">
        <f ca="1">IFERROR(__xludf.DUMMYFUNCTION("""COMPUTED_VALUE"""),43585.6666666666)</f>
        <v>43585.666666666599</v>
      </c>
      <c r="B1089" s="1">
        <f ca="1">IFERROR(__xludf.DUMMYFUNCTION("""COMPUTED_VALUE"""),129.81)</f>
        <v>129.81</v>
      </c>
      <c r="C1089" s="1">
        <f ca="1">IFERROR(__xludf.DUMMYFUNCTION("""COMPUTED_VALUE"""),130.7)</f>
        <v>130.69999999999999</v>
      </c>
      <c r="D1089" s="1">
        <f ca="1">IFERROR(__xludf.DUMMYFUNCTION("""COMPUTED_VALUE"""),129.39)</f>
        <v>129.38999999999999</v>
      </c>
      <c r="E1089" s="1">
        <f ca="1">IFERROR(__xludf.DUMMYFUNCTION("""COMPUTED_VALUE"""),130.6)</f>
        <v>130.6</v>
      </c>
      <c r="F1089" s="1">
        <f ca="1">IFERROR(__xludf.DUMMYFUNCTION("""COMPUTED_VALUE"""),24166503)</f>
        <v>24166503</v>
      </c>
    </row>
    <row r="1090" spans="1:6" x14ac:dyDescent="0.35">
      <c r="A1090" s="2">
        <f ca="1">IFERROR(__xludf.DUMMYFUNCTION("""COMPUTED_VALUE"""),43586.6666666666)</f>
        <v>43586.666666666599</v>
      </c>
      <c r="B1090" s="1">
        <f ca="1">IFERROR(__xludf.DUMMYFUNCTION("""COMPUTED_VALUE"""),130.53)</f>
        <v>130.53</v>
      </c>
      <c r="C1090" s="1">
        <f ca="1">IFERROR(__xludf.DUMMYFUNCTION("""COMPUTED_VALUE"""),130.65)</f>
        <v>130.65</v>
      </c>
      <c r="D1090" s="1">
        <f ca="1">IFERROR(__xludf.DUMMYFUNCTION("""COMPUTED_VALUE"""),127.7)</f>
        <v>127.7</v>
      </c>
      <c r="E1090" s="1">
        <f ca="1">IFERROR(__xludf.DUMMYFUNCTION("""COMPUTED_VALUE"""),127.88)</f>
        <v>127.88</v>
      </c>
      <c r="F1090" s="1">
        <f ca="1">IFERROR(__xludf.DUMMYFUNCTION("""COMPUTED_VALUE"""),26821692)</f>
        <v>26821692</v>
      </c>
    </row>
    <row r="1091" spans="1:6" x14ac:dyDescent="0.35">
      <c r="A1091" s="2">
        <f ca="1">IFERROR(__xludf.DUMMYFUNCTION("""COMPUTED_VALUE"""),43587.6666666666)</f>
        <v>43587.666666666599</v>
      </c>
      <c r="B1091" s="1">
        <f ca="1">IFERROR(__xludf.DUMMYFUNCTION("""COMPUTED_VALUE"""),127.98)</f>
        <v>127.98</v>
      </c>
      <c r="C1091" s="1">
        <f ca="1">IFERROR(__xludf.DUMMYFUNCTION("""COMPUTED_VALUE"""),128)</f>
        <v>128</v>
      </c>
      <c r="D1091" s="1">
        <f ca="1">IFERROR(__xludf.DUMMYFUNCTION("""COMPUTED_VALUE"""),125.52)</f>
        <v>125.52</v>
      </c>
      <c r="E1091" s="1">
        <f ca="1">IFERROR(__xludf.DUMMYFUNCTION("""COMPUTED_VALUE"""),126.21)</f>
        <v>126.21</v>
      </c>
      <c r="F1091" s="1">
        <f ca="1">IFERROR(__xludf.DUMMYFUNCTION("""COMPUTED_VALUE"""),27350161)</f>
        <v>27350161</v>
      </c>
    </row>
    <row r="1092" spans="1:6" x14ac:dyDescent="0.35">
      <c r="A1092" s="2">
        <f ca="1">IFERROR(__xludf.DUMMYFUNCTION("""COMPUTED_VALUE"""),43588.6666666666)</f>
        <v>43588.666666666599</v>
      </c>
      <c r="B1092" s="1">
        <f ca="1">IFERROR(__xludf.DUMMYFUNCTION("""COMPUTED_VALUE"""),127.36)</f>
        <v>127.36</v>
      </c>
      <c r="C1092" s="1">
        <f ca="1">IFERROR(__xludf.DUMMYFUNCTION("""COMPUTED_VALUE"""),129.43)</f>
        <v>129.43</v>
      </c>
      <c r="D1092" s="1">
        <f ca="1">IFERROR(__xludf.DUMMYFUNCTION("""COMPUTED_VALUE"""),127.25)</f>
        <v>127.25</v>
      </c>
      <c r="E1092" s="1">
        <f ca="1">IFERROR(__xludf.DUMMYFUNCTION("""COMPUTED_VALUE"""),128.9)</f>
        <v>128.9</v>
      </c>
      <c r="F1092" s="1">
        <f ca="1">IFERROR(__xludf.DUMMYFUNCTION("""COMPUTED_VALUE"""),24911126)</f>
        <v>24911126</v>
      </c>
    </row>
    <row r="1093" spans="1:6" x14ac:dyDescent="0.35">
      <c r="A1093" s="2">
        <f ca="1">IFERROR(__xludf.DUMMYFUNCTION("""COMPUTED_VALUE"""),43591.6666666666)</f>
        <v>43591.666666666599</v>
      </c>
      <c r="B1093" s="1">
        <f ca="1">IFERROR(__xludf.DUMMYFUNCTION("""COMPUTED_VALUE"""),126.39)</f>
        <v>126.39</v>
      </c>
      <c r="C1093" s="1">
        <f ca="1">IFERROR(__xludf.DUMMYFUNCTION("""COMPUTED_VALUE"""),128.56)</f>
        <v>128.56</v>
      </c>
      <c r="D1093" s="1">
        <f ca="1">IFERROR(__xludf.DUMMYFUNCTION("""COMPUTED_VALUE"""),126.11)</f>
        <v>126.11</v>
      </c>
      <c r="E1093" s="1">
        <f ca="1">IFERROR(__xludf.DUMMYFUNCTION("""COMPUTED_VALUE"""),128.15)</f>
        <v>128.15</v>
      </c>
      <c r="F1093" s="1">
        <f ca="1">IFERROR(__xludf.DUMMYFUNCTION("""COMPUTED_VALUE"""),24239464)</f>
        <v>24239464</v>
      </c>
    </row>
    <row r="1094" spans="1:6" x14ac:dyDescent="0.35">
      <c r="A1094" s="2">
        <f ca="1">IFERROR(__xludf.DUMMYFUNCTION("""COMPUTED_VALUE"""),43592.6666666666)</f>
        <v>43592.666666666599</v>
      </c>
      <c r="B1094" s="1">
        <f ca="1">IFERROR(__xludf.DUMMYFUNCTION("""COMPUTED_VALUE"""),126.46)</f>
        <v>126.46</v>
      </c>
      <c r="C1094" s="1">
        <f ca="1">IFERROR(__xludf.DUMMYFUNCTION("""COMPUTED_VALUE"""),127.18)</f>
        <v>127.18</v>
      </c>
      <c r="D1094" s="1">
        <f ca="1">IFERROR(__xludf.DUMMYFUNCTION("""COMPUTED_VALUE"""),124.22)</f>
        <v>124.22</v>
      </c>
      <c r="E1094" s="1">
        <f ca="1">IFERROR(__xludf.DUMMYFUNCTION("""COMPUTED_VALUE"""),125.52)</f>
        <v>125.52</v>
      </c>
      <c r="F1094" s="1">
        <f ca="1">IFERROR(__xludf.DUMMYFUNCTION("""COMPUTED_VALUE"""),36017661)</f>
        <v>36017661</v>
      </c>
    </row>
    <row r="1095" spans="1:6" x14ac:dyDescent="0.35">
      <c r="A1095" s="2">
        <f ca="1">IFERROR(__xludf.DUMMYFUNCTION("""COMPUTED_VALUE"""),43593.6666666666)</f>
        <v>43593.666666666599</v>
      </c>
      <c r="B1095" s="1">
        <f ca="1">IFERROR(__xludf.DUMMYFUNCTION("""COMPUTED_VALUE"""),125.44)</f>
        <v>125.44</v>
      </c>
      <c r="C1095" s="1">
        <f ca="1">IFERROR(__xludf.DUMMYFUNCTION("""COMPUTED_VALUE"""),126.37)</f>
        <v>126.37</v>
      </c>
      <c r="D1095" s="1">
        <f ca="1">IFERROR(__xludf.DUMMYFUNCTION("""COMPUTED_VALUE"""),124.75)</f>
        <v>124.75</v>
      </c>
      <c r="E1095" s="1">
        <f ca="1">IFERROR(__xludf.DUMMYFUNCTION("""COMPUTED_VALUE"""),125.51)</f>
        <v>125.51</v>
      </c>
      <c r="F1095" s="1">
        <f ca="1">IFERROR(__xludf.DUMMYFUNCTION("""COMPUTED_VALUE"""),28418996)</f>
        <v>28418996</v>
      </c>
    </row>
    <row r="1096" spans="1:6" x14ac:dyDescent="0.35">
      <c r="A1096" s="2">
        <f ca="1">IFERROR(__xludf.DUMMYFUNCTION("""COMPUTED_VALUE"""),43594.6666666666)</f>
        <v>43594.666666666599</v>
      </c>
      <c r="B1096" s="1">
        <f ca="1">IFERROR(__xludf.DUMMYFUNCTION("""COMPUTED_VALUE"""),124.29)</f>
        <v>124.29</v>
      </c>
      <c r="C1096" s="1">
        <f ca="1">IFERROR(__xludf.DUMMYFUNCTION("""COMPUTED_VALUE"""),125.79)</f>
        <v>125.79</v>
      </c>
      <c r="D1096" s="1">
        <f ca="1">IFERROR(__xludf.DUMMYFUNCTION("""COMPUTED_VALUE"""),123.57)</f>
        <v>123.57</v>
      </c>
      <c r="E1096" s="1">
        <f ca="1">IFERROR(__xludf.DUMMYFUNCTION("""COMPUTED_VALUE"""),125.5)</f>
        <v>125.5</v>
      </c>
      <c r="F1096" s="1">
        <f ca="1">IFERROR(__xludf.DUMMYFUNCTION("""COMPUTED_VALUE"""),27235835)</f>
        <v>27235835</v>
      </c>
    </row>
    <row r="1097" spans="1:6" x14ac:dyDescent="0.35">
      <c r="A1097" s="2">
        <f ca="1">IFERROR(__xludf.DUMMYFUNCTION("""COMPUTED_VALUE"""),43595.6666666666)</f>
        <v>43595.666666666599</v>
      </c>
      <c r="B1097" s="1">
        <f ca="1">IFERROR(__xludf.DUMMYFUNCTION("""COMPUTED_VALUE"""),124.91)</f>
        <v>124.91</v>
      </c>
      <c r="C1097" s="1">
        <f ca="1">IFERROR(__xludf.DUMMYFUNCTION("""COMPUTED_VALUE"""),127.93)</f>
        <v>127.93</v>
      </c>
      <c r="D1097" s="1">
        <f ca="1">IFERROR(__xludf.DUMMYFUNCTION("""COMPUTED_VALUE"""),123.82)</f>
        <v>123.82</v>
      </c>
      <c r="E1097" s="1">
        <f ca="1">IFERROR(__xludf.DUMMYFUNCTION("""COMPUTED_VALUE"""),127.13)</f>
        <v>127.13</v>
      </c>
      <c r="F1097" s="1">
        <f ca="1">IFERROR(__xludf.DUMMYFUNCTION("""COMPUTED_VALUE"""),30915084)</f>
        <v>30915084</v>
      </c>
    </row>
    <row r="1098" spans="1:6" x14ac:dyDescent="0.35">
      <c r="A1098" s="2">
        <f ca="1">IFERROR(__xludf.DUMMYFUNCTION("""COMPUTED_VALUE"""),43598.6666666666)</f>
        <v>43598.666666666599</v>
      </c>
      <c r="B1098" s="1">
        <f ca="1">IFERROR(__xludf.DUMMYFUNCTION("""COMPUTED_VALUE"""),124.11)</f>
        <v>124.11</v>
      </c>
      <c r="C1098" s="1">
        <f ca="1">IFERROR(__xludf.DUMMYFUNCTION("""COMPUTED_VALUE"""),125.55)</f>
        <v>125.55</v>
      </c>
      <c r="D1098" s="1">
        <f ca="1">IFERROR(__xludf.DUMMYFUNCTION("""COMPUTED_VALUE"""),123.04)</f>
        <v>123.04</v>
      </c>
      <c r="E1098" s="1">
        <f ca="1">IFERROR(__xludf.DUMMYFUNCTION("""COMPUTED_VALUE"""),123.35)</f>
        <v>123.35</v>
      </c>
      <c r="F1098" s="1">
        <f ca="1">IFERROR(__xludf.DUMMYFUNCTION("""COMPUTED_VALUE"""),33944923)</f>
        <v>33944923</v>
      </c>
    </row>
    <row r="1099" spans="1:6" x14ac:dyDescent="0.35">
      <c r="A1099" s="2">
        <f ca="1">IFERROR(__xludf.DUMMYFUNCTION("""COMPUTED_VALUE"""),43599.6666666666)</f>
        <v>43599.666666666599</v>
      </c>
      <c r="B1099" s="1">
        <f ca="1">IFERROR(__xludf.DUMMYFUNCTION("""COMPUTED_VALUE"""),123.87)</f>
        <v>123.87</v>
      </c>
      <c r="C1099" s="1">
        <f ca="1">IFERROR(__xludf.DUMMYFUNCTION("""COMPUTED_VALUE"""),125.88)</f>
        <v>125.88</v>
      </c>
      <c r="D1099" s="1">
        <f ca="1">IFERROR(__xludf.DUMMYFUNCTION("""COMPUTED_VALUE"""),123.7)</f>
        <v>123.7</v>
      </c>
      <c r="E1099" s="1">
        <f ca="1">IFERROR(__xludf.DUMMYFUNCTION("""COMPUTED_VALUE"""),124.73)</f>
        <v>124.73</v>
      </c>
      <c r="F1099" s="1">
        <f ca="1">IFERROR(__xludf.DUMMYFUNCTION("""COMPUTED_VALUE"""),25266315)</f>
        <v>25266315</v>
      </c>
    </row>
    <row r="1100" spans="1:6" x14ac:dyDescent="0.35">
      <c r="A1100" s="2">
        <f ca="1">IFERROR(__xludf.DUMMYFUNCTION("""COMPUTED_VALUE"""),43600.6666666666)</f>
        <v>43600.666666666599</v>
      </c>
      <c r="B1100" s="1">
        <f ca="1">IFERROR(__xludf.DUMMYFUNCTION("""COMPUTED_VALUE"""),124.26)</f>
        <v>124.26</v>
      </c>
      <c r="C1100" s="1">
        <f ca="1">IFERROR(__xludf.DUMMYFUNCTION("""COMPUTED_VALUE"""),126.71)</f>
        <v>126.71</v>
      </c>
      <c r="D1100" s="1">
        <f ca="1">IFERROR(__xludf.DUMMYFUNCTION("""COMPUTED_VALUE"""),123.7)</f>
        <v>123.7</v>
      </c>
      <c r="E1100" s="1">
        <f ca="1">IFERROR(__xludf.DUMMYFUNCTION("""COMPUTED_VALUE"""),126.02)</f>
        <v>126.02</v>
      </c>
      <c r="F1100" s="1">
        <f ca="1">IFERROR(__xludf.DUMMYFUNCTION("""COMPUTED_VALUE"""),24722708)</f>
        <v>24722708</v>
      </c>
    </row>
    <row r="1101" spans="1:6" x14ac:dyDescent="0.35">
      <c r="A1101" s="2">
        <f ca="1">IFERROR(__xludf.DUMMYFUNCTION("""COMPUTED_VALUE"""),43601.6666666666)</f>
        <v>43601.666666666599</v>
      </c>
      <c r="B1101" s="1">
        <f ca="1">IFERROR(__xludf.DUMMYFUNCTION("""COMPUTED_VALUE"""),126.75)</f>
        <v>126.75</v>
      </c>
      <c r="C1101" s="1">
        <f ca="1">IFERROR(__xludf.DUMMYFUNCTION("""COMPUTED_VALUE"""),129.38)</f>
        <v>129.38</v>
      </c>
      <c r="D1101" s="1">
        <f ca="1">IFERROR(__xludf.DUMMYFUNCTION("""COMPUTED_VALUE"""),126.46)</f>
        <v>126.46</v>
      </c>
      <c r="E1101" s="1">
        <f ca="1">IFERROR(__xludf.DUMMYFUNCTION("""COMPUTED_VALUE"""),128.93)</f>
        <v>128.93</v>
      </c>
      <c r="F1101" s="1">
        <f ca="1">IFERROR(__xludf.DUMMYFUNCTION("""COMPUTED_VALUE"""),30112216)</f>
        <v>30112216</v>
      </c>
    </row>
    <row r="1102" spans="1:6" x14ac:dyDescent="0.35">
      <c r="A1102" s="2">
        <f ca="1">IFERROR(__xludf.DUMMYFUNCTION("""COMPUTED_VALUE"""),43602.6666666666)</f>
        <v>43602.666666666599</v>
      </c>
      <c r="B1102" s="1">
        <f ca="1">IFERROR(__xludf.DUMMYFUNCTION("""COMPUTED_VALUE"""),128.31)</f>
        <v>128.31</v>
      </c>
      <c r="C1102" s="1">
        <f ca="1">IFERROR(__xludf.DUMMYFUNCTION("""COMPUTED_VALUE"""),130.46)</f>
        <v>130.46</v>
      </c>
      <c r="D1102" s="1">
        <f ca="1">IFERROR(__xludf.DUMMYFUNCTION("""COMPUTED_VALUE"""),127.92)</f>
        <v>127.92</v>
      </c>
      <c r="E1102" s="1">
        <f ca="1">IFERROR(__xludf.DUMMYFUNCTION("""COMPUTED_VALUE"""),128.07)</f>
        <v>128.07</v>
      </c>
      <c r="F1102" s="1">
        <f ca="1">IFERROR(__xludf.DUMMYFUNCTION("""COMPUTED_VALUE"""),25770539)</f>
        <v>25770539</v>
      </c>
    </row>
    <row r="1103" spans="1:6" x14ac:dyDescent="0.35">
      <c r="A1103" s="2">
        <f ca="1">IFERROR(__xludf.DUMMYFUNCTION("""COMPUTED_VALUE"""),43605.6666666666)</f>
        <v>43605.666666666599</v>
      </c>
      <c r="B1103" s="1">
        <f ca="1">IFERROR(__xludf.DUMMYFUNCTION("""COMPUTED_VALUE"""),126.52)</f>
        <v>126.52</v>
      </c>
      <c r="C1103" s="1">
        <f ca="1">IFERROR(__xludf.DUMMYFUNCTION("""COMPUTED_VALUE"""),127.59)</f>
        <v>127.59</v>
      </c>
      <c r="D1103" s="1">
        <f ca="1">IFERROR(__xludf.DUMMYFUNCTION("""COMPUTED_VALUE"""),125.76)</f>
        <v>125.76</v>
      </c>
      <c r="E1103" s="1">
        <f ca="1">IFERROR(__xludf.DUMMYFUNCTION("""COMPUTED_VALUE"""),126.22)</f>
        <v>126.22</v>
      </c>
      <c r="F1103" s="1">
        <f ca="1">IFERROR(__xludf.DUMMYFUNCTION("""COMPUTED_VALUE"""),23706934)</f>
        <v>23706934</v>
      </c>
    </row>
    <row r="1104" spans="1:6" x14ac:dyDescent="0.35">
      <c r="A1104" s="2">
        <f ca="1">IFERROR(__xludf.DUMMYFUNCTION("""COMPUTED_VALUE"""),43606.6666666666)</f>
        <v>43606.666666666599</v>
      </c>
      <c r="B1104" s="1">
        <f ca="1">IFERROR(__xludf.DUMMYFUNCTION("""COMPUTED_VALUE"""),127.43)</f>
        <v>127.43</v>
      </c>
      <c r="C1104" s="1">
        <f ca="1">IFERROR(__xludf.DUMMYFUNCTION("""COMPUTED_VALUE"""),127.53)</f>
        <v>127.53</v>
      </c>
      <c r="D1104" s="1">
        <f ca="1">IFERROR(__xludf.DUMMYFUNCTION("""COMPUTED_VALUE"""),126.58)</f>
        <v>126.58</v>
      </c>
      <c r="E1104" s="1">
        <f ca="1">IFERROR(__xludf.DUMMYFUNCTION("""COMPUTED_VALUE"""),126.9)</f>
        <v>126.9</v>
      </c>
      <c r="F1104" s="1">
        <f ca="1">IFERROR(__xludf.DUMMYFUNCTION("""COMPUTED_VALUE"""),15293260)</f>
        <v>15293260</v>
      </c>
    </row>
    <row r="1105" spans="1:6" x14ac:dyDescent="0.35">
      <c r="A1105" s="2">
        <f ca="1">IFERROR(__xludf.DUMMYFUNCTION("""COMPUTED_VALUE"""),43607.6666666666)</f>
        <v>43607.666666666599</v>
      </c>
      <c r="B1105" s="1">
        <f ca="1">IFERROR(__xludf.DUMMYFUNCTION("""COMPUTED_VALUE"""),126.62)</f>
        <v>126.62</v>
      </c>
      <c r="C1105" s="1">
        <f ca="1">IFERROR(__xludf.DUMMYFUNCTION("""COMPUTED_VALUE"""),128.24)</f>
        <v>128.24</v>
      </c>
      <c r="D1105" s="1">
        <f ca="1">IFERROR(__xludf.DUMMYFUNCTION("""COMPUTED_VALUE"""),126.52)</f>
        <v>126.52</v>
      </c>
      <c r="E1105" s="1">
        <f ca="1">IFERROR(__xludf.DUMMYFUNCTION("""COMPUTED_VALUE"""),127.67)</f>
        <v>127.67</v>
      </c>
      <c r="F1105" s="1">
        <f ca="1">IFERROR(__xludf.DUMMYFUNCTION("""COMPUTED_VALUE"""),15396485)</f>
        <v>15396485</v>
      </c>
    </row>
    <row r="1106" spans="1:6" x14ac:dyDescent="0.35">
      <c r="A1106" s="2">
        <f ca="1">IFERROR(__xludf.DUMMYFUNCTION("""COMPUTED_VALUE"""),43608.6666666666)</f>
        <v>43608.666666666599</v>
      </c>
      <c r="B1106" s="1">
        <f ca="1">IFERROR(__xludf.DUMMYFUNCTION("""COMPUTED_VALUE"""),126.2)</f>
        <v>126.2</v>
      </c>
      <c r="C1106" s="1">
        <f ca="1">IFERROR(__xludf.DUMMYFUNCTION("""COMPUTED_VALUE"""),126.29)</f>
        <v>126.29</v>
      </c>
      <c r="D1106" s="1">
        <f ca="1">IFERROR(__xludf.DUMMYFUNCTION("""COMPUTED_VALUE"""),124.74)</f>
        <v>124.74</v>
      </c>
      <c r="E1106" s="1">
        <f ca="1">IFERROR(__xludf.DUMMYFUNCTION("""COMPUTED_VALUE"""),126.18)</f>
        <v>126.18</v>
      </c>
      <c r="F1106" s="1">
        <f ca="1">IFERROR(__xludf.DUMMYFUNCTION("""COMPUTED_VALUE"""),23603810)</f>
        <v>23603810</v>
      </c>
    </row>
    <row r="1107" spans="1:6" x14ac:dyDescent="0.35">
      <c r="A1107" s="2">
        <f ca="1">IFERROR(__xludf.DUMMYFUNCTION("""COMPUTED_VALUE"""),43609.6666666666)</f>
        <v>43609.666666666599</v>
      </c>
      <c r="B1107" s="1">
        <f ca="1">IFERROR(__xludf.DUMMYFUNCTION("""COMPUTED_VALUE"""),126.91)</f>
        <v>126.91</v>
      </c>
      <c r="C1107" s="1">
        <f ca="1">IFERROR(__xludf.DUMMYFUNCTION("""COMPUTED_VALUE"""),127.42)</f>
        <v>127.42</v>
      </c>
      <c r="D1107" s="1">
        <f ca="1">IFERROR(__xludf.DUMMYFUNCTION("""COMPUTED_VALUE"""),125.97)</f>
        <v>125.97</v>
      </c>
      <c r="E1107" s="1">
        <f ca="1">IFERROR(__xludf.DUMMYFUNCTION("""COMPUTED_VALUE"""),126.24)</f>
        <v>126.24</v>
      </c>
      <c r="F1107" s="1">
        <f ca="1">IFERROR(__xludf.DUMMYFUNCTION("""COMPUTED_VALUE"""),14123358)</f>
        <v>14123358</v>
      </c>
    </row>
    <row r="1108" spans="1:6" x14ac:dyDescent="0.35">
      <c r="A1108" s="2">
        <f ca="1">IFERROR(__xludf.DUMMYFUNCTION("""COMPUTED_VALUE"""),43613.6666666666)</f>
        <v>43613.666666666599</v>
      </c>
      <c r="B1108" s="1">
        <f ca="1">IFERROR(__xludf.DUMMYFUNCTION("""COMPUTED_VALUE"""),126.98)</f>
        <v>126.98</v>
      </c>
      <c r="C1108" s="1">
        <f ca="1">IFERROR(__xludf.DUMMYFUNCTION("""COMPUTED_VALUE"""),128)</f>
        <v>128</v>
      </c>
      <c r="D1108" s="1">
        <f ca="1">IFERROR(__xludf.DUMMYFUNCTION("""COMPUTED_VALUE"""),126.05)</f>
        <v>126.05</v>
      </c>
      <c r="E1108" s="1">
        <f ca="1">IFERROR(__xludf.DUMMYFUNCTION("""COMPUTED_VALUE"""),126.16)</f>
        <v>126.16</v>
      </c>
      <c r="F1108" s="1">
        <f ca="1">IFERROR(__xludf.DUMMYFUNCTION("""COMPUTED_VALUE"""),23128359)</f>
        <v>23128359</v>
      </c>
    </row>
    <row r="1109" spans="1:6" x14ac:dyDescent="0.35">
      <c r="A1109" s="2">
        <f ca="1">IFERROR(__xludf.DUMMYFUNCTION("""COMPUTED_VALUE"""),43614.6666666666)</f>
        <v>43614.666666666599</v>
      </c>
      <c r="B1109" s="1">
        <f ca="1">IFERROR(__xludf.DUMMYFUNCTION("""COMPUTED_VALUE"""),125.38)</f>
        <v>125.38</v>
      </c>
      <c r="C1109" s="1">
        <f ca="1">IFERROR(__xludf.DUMMYFUNCTION("""COMPUTED_VALUE"""),125.39)</f>
        <v>125.39</v>
      </c>
      <c r="D1109" s="1">
        <f ca="1">IFERROR(__xludf.DUMMYFUNCTION("""COMPUTED_VALUE"""),124.04)</f>
        <v>124.04</v>
      </c>
      <c r="E1109" s="1">
        <f ca="1">IFERROR(__xludf.DUMMYFUNCTION("""COMPUTED_VALUE"""),124.94)</f>
        <v>124.94</v>
      </c>
      <c r="F1109" s="1">
        <f ca="1">IFERROR(__xludf.DUMMYFUNCTION("""COMPUTED_VALUE"""),22763140)</f>
        <v>22763140</v>
      </c>
    </row>
    <row r="1110" spans="1:6" x14ac:dyDescent="0.35">
      <c r="A1110" s="2">
        <f ca="1">IFERROR(__xludf.DUMMYFUNCTION("""COMPUTED_VALUE"""),43615.6666666666)</f>
        <v>43615.666666666599</v>
      </c>
      <c r="B1110" s="1">
        <f ca="1">IFERROR(__xludf.DUMMYFUNCTION("""COMPUTED_VALUE"""),125.26)</f>
        <v>125.26</v>
      </c>
      <c r="C1110" s="1">
        <f ca="1">IFERROR(__xludf.DUMMYFUNCTION("""COMPUTED_VALUE"""),125.76)</f>
        <v>125.76</v>
      </c>
      <c r="D1110" s="1">
        <f ca="1">IFERROR(__xludf.DUMMYFUNCTION("""COMPUTED_VALUE"""),124.78)</f>
        <v>124.78</v>
      </c>
      <c r="E1110" s="1">
        <f ca="1">IFERROR(__xludf.DUMMYFUNCTION("""COMPUTED_VALUE"""),125.73)</f>
        <v>125.73</v>
      </c>
      <c r="F1110" s="1">
        <f ca="1">IFERROR(__xludf.DUMMYFUNCTION("""COMPUTED_VALUE"""),16829613)</f>
        <v>16829613</v>
      </c>
    </row>
    <row r="1111" spans="1:6" x14ac:dyDescent="0.35">
      <c r="A1111" s="2">
        <f ca="1">IFERROR(__xludf.DUMMYFUNCTION("""COMPUTED_VALUE"""),43616.6666666666)</f>
        <v>43616.666666666599</v>
      </c>
      <c r="B1111" s="1">
        <f ca="1">IFERROR(__xludf.DUMMYFUNCTION("""COMPUTED_VALUE"""),124.23)</f>
        <v>124.23</v>
      </c>
      <c r="C1111" s="1">
        <f ca="1">IFERROR(__xludf.DUMMYFUNCTION("""COMPUTED_VALUE"""),124.62)</f>
        <v>124.62</v>
      </c>
      <c r="D1111" s="1">
        <f ca="1">IFERROR(__xludf.DUMMYFUNCTION("""COMPUTED_VALUE"""),123.32)</f>
        <v>123.32</v>
      </c>
      <c r="E1111" s="1">
        <f ca="1">IFERROR(__xludf.DUMMYFUNCTION("""COMPUTED_VALUE"""),123.68)</f>
        <v>123.68</v>
      </c>
      <c r="F1111" s="1">
        <f ca="1">IFERROR(__xludf.DUMMYFUNCTION("""COMPUTED_VALUE"""),26646769)</f>
        <v>26646769</v>
      </c>
    </row>
    <row r="1112" spans="1:6" x14ac:dyDescent="0.35">
      <c r="A1112" s="2">
        <f ca="1">IFERROR(__xludf.DUMMYFUNCTION("""COMPUTED_VALUE"""),43619.6666666666)</f>
        <v>43619.666666666599</v>
      </c>
      <c r="B1112" s="1">
        <f ca="1">IFERROR(__xludf.DUMMYFUNCTION("""COMPUTED_VALUE"""),123.85)</f>
        <v>123.85</v>
      </c>
      <c r="C1112" s="1">
        <f ca="1">IFERROR(__xludf.DUMMYFUNCTION("""COMPUTED_VALUE"""),124.37)</f>
        <v>124.37</v>
      </c>
      <c r="D1112" s="1">
        <f ca="1">IFERROR(__xludf.DUMMYFUNCTION("""COMPUTED_VALUE"""),119.01)</f>
        <v>119.01</v>
      </c>
      <c r="E1112" s="1">
        <f ca="1">IFERROR(__xludf.DUMMYFUNCTION("""COMPUTED_VALUE"""),119.84)</f>
        <v>119.84</v>
      </c>
      <c r="F1112" s="1">
        <f ca="1">IFERROR(__xludf.DUMMYFUNCTION("""COMPUTED_VALUE"""),37983637)</f>
        <v>37983637</v>
      </c>
    </row>
    <row r="1113" spans="1:6" x14ac:dyDescent="0.35">
      <c r="A1113" s="2">
        <f ca="1">IFERROR(__xludf.DUMMYFUNCTION("""COMPUTED_VALUE"""),43620.6666666666)</f>
        <v>43620.666666666599</v>
      </c>
      <c r="B1113" s="1">
        <f ca="1">IFERROR(__xludf.DUMMYFUNCTION("""COMPUTED_VALUE"""),121.28)</f>
        <v>121.28</v>
      </c>
      <c r="C1113" s="1">
        <f ca="1">IFERROR(__xludf.DUMMYFUNCTION("""COMPUTED_VALUE"""),123.28)</f>
        <v>123.28</v>
      </c>
      <c r="D1113" s="1">
        <f ca="1">IFERROR(__xludf.DUMMYFUNCTION("""COMPUTED_VALUE"""),120.65)</f>
        <v>120.65</v>
      </c>
      <c r="E1113" s="1">
        <f ca="1">IFERROR(__xludf.DUMMYFUNCTION("""COMPUTED_VALUE"""),123.16)</f>
        <v>123.16</v>
      </c>
      <c r="F1113" s="1">
        <f ca="1">IFERROR(__xludf.DUMMYFUNCTION("""COMPUTED_VALUE"""),29382642)</f>
        <v>29382642</v>
      </c>
    </row>
    <row r="1114" spans="1:6" x14ac:dyDescent="0.35">
      <c r="A1114" s="2">
        <f ca="1">IFERROR(__xludf.DUMMYFUNCTION("""COMPUTED_VALUE"""),43621.6666666666)</f>
        <v>43621.666666666599</v>
      </c>
      <c r="B1114" s="1">
        <f ca="1">IFERROR(__xludf.DUMMYFUNCTION("""COMPUTED_VALUE"""),124.95)</f>
        <v>124.95</v>
      </c>
      <c r="C1114" s="1">
        <f ca="1">IFERROR(__xludf.DUMMYFUNCTION("""COMPUTED_VALUE"""),125.87)</f>
        <v>125.87</v>
      </c>
      <c r="D1114" s="1">
        <f ca="1">IFERROR(__xludf.DUMMYFUNCTION("""COMPUTED_VALUE"""),124.21)</f>
        <v>124.21</v>
      </c>
      <c r="E1114" s="1">
        <f ca="1">IFERROR(__xludf.DUMMYFUNCTION("""COMPUTED_VALUE"""),125.83)</f>
        <v>125.83</v>
      </c>
      <c r="F1114" s="1">
        <f ca="1">IFERROR(__xludf.DUMMYFUNCTION("""COMPUTED_VALUE"""),24926140)</f>
        <v>24926140</v>
      </c>
    </row>
    <row r="1115" spans="1:6" x14ac:dyDescent="0.35">
      <c r="A1115" s="2">
        <f ca="1">IFERROR(__xludf.DUMMYFUNCTION("""COMPUTED_VALUE"""),43622.6666666666)</f>
        <v>43622.666666666599</v>
      </c>
      <c r="B1115" s="1">
        <f ca="1">IFERROR(__xludf.DUMMYFUNCTION("""COMPUTED_VALUE"""),126.44)</f>
        <v>126.44</v>
      </c>
      <c r="C1115" s="1">
        <f ca="1">IFERROR(__xludf.DUMMYFUNCTION("""COMPUTED_VALUE"""),127.97)</f>
        <v>127.97</v>
      </c>
      <c r="D1115" s="1">
        <f ca="1">IFERROR(__xludf.DUMMYFUNCTION("""COMPUTED_VALUE"""),125.6)</f>
        <v>125.6</v>
      </c>
      <c r="E1115" s="1">
        <f ca="1">IFERROR(__xludf.DUMMYFUNCTION("""COMPUTED_VALUE"""),127.82)</f>
        <v>127.82</v>
      </c>
      <c r="F1115" s="1">
        <f ca="1">IFERROR(__xludf.DUMMYFUNCTION("""COMPUTED_VALUE"""),21458961)</f>
        <v>21458961</v>
      </c>
    </row>
    <row r="1116" spans="1:6" x14ac:dyDescent="0.35">
      <c r="A1116" s="2">
        <f ca="1">IFERROR(__xludf.DUMMYFUNCTION("""COMPUTED_VALUE"""),43623.6666666666)</f>
        <v>43623.666666666599</v>
      </c>
      <c r="B1116" s="1">
        <f ca="1">IFERROR(__xludf.DUMMYFUNCTION("""COMPUTED_VALUE"""),129.19)</f>
        <v>129.19</v>
      </c>
      <c r="C1116" s="1">
        <f ca="1">IFERROR(__xludf.DUMMYFUNCTION("""COMPUTED_VALUE"""),132.25)</f>
        <v>132.25</v>
      </c>
      <c r="D1116" s="1">
        <f ca="1">IFERROR(__xludf.DUMMYFUNCTION("""COMPUTED_VALUE"""),128.26)</f>
        <v>128.26</v>
      </c>
      <c r="E1116" s="1">
        <f ca="1">IFERROR(__xludf.DUMMYFUNCTION("""COMPUTED_VALUE"""),131.4)</f>
        <v>131.4</v>
      </c>
      <c r="F1116" s="1">
        <f ca="1">IFERROR(__xludf.DUMMYFUNCTION("""COMPUTED_VALUE"""),33885588)</f>
        <v>33885588</v>
      </c>
    </row>
    <row r="1117" spans="1:6" x14ac:dyDescent="0.35">
      <c r="A1117" s="2">
        <f ca="1">IFERROR(__xludf.DUMMYFUNCTION("""COMPUTED_VALUE"""),43626.6666666666)</f>
        <v>43626.666666666599</v>
      </c>
      <c r="B1117" s="1">
        <f ca="1">IFERROR(__xludf.DUMMYFUNCTION("""COMPUTED_VALUE"""),132.4)</f>
        <v>132.4</v>
      </c>
      <c r="C1117" s="1">
        <f ca="1">IFERROR(__xludf.DUMMYFUNCTION("""COMPUTED_VALUE"""),134.08)</f>
        <v>134.08000000000001</v>
      </c>
      <c r="D1117" s="1">
        <f ca="1">IFERROR(__xludf.DUMMYFUNCTION("""COMPUTED_VALUE"""),132)</f>
        <v>132</v>
      </c>
      <c r="E1117" s="1">
        <f ca="1">IFERROR(__xludf.DUMMYFUNCTION("""COMPUTED_VALUE"""),132.6)</f>
        <v>132.6</v>
      </c>
      <c r="F1117" s="1">
        <f ca="1">IFERROR(__xludf.DUMMYFUNCTION("""COMPUTED_VALUE"""),26477098)</f>
        <v>26477098</v>
      </c>
    </row>
    <row r="1118" spans="1:6" x14ac:dyDescent="0.35">
      <c r="A1118" s="2">
        <f ca="1">IFERROR(__xludf.DUMMYFUNCTION("""COMPUTED_VALUE"""),43627.6666666666)</f>
        <v>43627.666666666599</v>
      </c>
      <c r="B1118" s="1">
        <f ca="1">IFERROR(__xludf.DUMMYFUNCTION("""COMPUTED_VALUE"""),133.88)</f>
        <v>133.88</v>
      </c>
      <c r="C1118" s="1">
        <f ca="1">IFERROR(__xludf.DUMMYFUNCTION("""COMPUTED_VALUE"""),134.24)</f>
        <v>134.24</v>
      </c>
      <c r="D1118" s="1">
        <f ca="1">IFERROR(__xludf.DUMMYFUNCTION("""COMPUTED_VALUE"""),131.28)</f>
        <v>131.28</v>
      </c>
      <c r="E1118" s="1">
        <f ca="1">IFERROR(__xludf.DUMMYFUNCTION("""COMPUTED_VALUE"""),132.1)</f>
        <v>132.1</v>
      </c>
      <c r="F1118" s="1">
        <f ca="1">IFERROR(__xludf.DUMMYFUNCTION("""COMPUTED_VALUE"""),23913731)</f>
        <v>23913731</v>
      </c>
    </row>
    <row r="1119" spans="1:6" x14ac:dyDescent="0.35">
      <c r="A1119" s="2">
        <f ca="1">IFERROR(__xludf.DUMMYFUNCTION("""COMPUTED_VALUE"""),43628.6666666666)</f>
        <v>43628.666666666599</v>
      </c>
      <c r="B1119" s="1">
        <f ca="1">IFERROR(__xludf.DUMMYFUNCTION("""COMPUTED_VALUE"""),131.4)</f>
        <v>131.4</v>
      </c>
      <c r="C1119" s="1">
        <f ca="1">IFERROR(__xludf.DUMMYFUNCTION("""COMPUTED_VALUE"""),131.97)</f>
        <v>131.97</v>
      </c>
      <c r="D1119" s="1">
        <f ca="1">IFERROR(__xludf.DUMMYFUNCTION("""COMPUTED_VALUE"""),130.71)</f>
        <v>130.71</v>
      </c>
      <c r="E1119" s="1">
        <f ca="1">IFERROR(__xludf.DUMMYFUNCTION("""COMPUTED_VALUE"""),131.49)</f>
        <v>131.49</v>
      </c>
      <c r="F1119" s="1">
        <f ca="1">IFERROR(__xludf.DUMMYFUNCTION("""COMPUTED_VALUE"""),17092464)</f>
        <v>17092464</v>
      </c>
    </row>
    <row r="1120" spans="1:6" x14ac:dyDescent="0.35">
      <c r="A1120" s="2">
        <f ca="1">IFERROR(__xludf.DUMMYFUNCTION("""COMPUTED_VALUE"""),43629.6666666666)</f>
        <v>43629.666666666599</v>
      </c>
      <c r="B1120" s="1">
        <f ca="1">IFERROR(__xludf.DUMMYFUNCTION("""COMPUTED_VALUE"""),131.98)</f>
        <v>131.97999999999999</v>
      </c>
      <c r="C1120" s="1">
        <f ca="1">IFERROR(__xludf.DUMMYFUNCTION("""COMPUTED_VALUE"""),132.67)</f>
        <v>132.66999999999999</v>
      </c>
      <c r="D1120" s="1">
        <f ca="1">IFERROR(__xludf.DUMMYFUNCTION("""COMPUTED_VALUE"""),131.56)</f>
        <v>131.56</v>
      </c>
      <c r="E1120" s="1">
        <f ca="1">IFERROR(__xludf.DUMMYFUNCTION("""COMPUTED_VALUE"""),132.32)</f>
        <v>132.32</v>
      </c>
      <c r="F1120" s="1">
        <f ca="1">IFERROR(__xludf.DUMMYFUNCTION("""COMPUTED_VALUE"""),17200848)</f>
        <v>17200848</v>
      </c>
    </row>
    <row r="1121" spans="1:6" x14ac:dyDescent="0.35">
      <c r="A1121" s="2">
        <f ca="1">IFERROR(__xludf.DUMMYFUNCTION("""COMPUTED_VALUE"""),43630.6666666666)</f>
        <v>43630.666666666599</v>
      </c>
      <c r="B1121" s="1">
        <f ca="1">IFERROR(__xludf.DUMMYFUNCTION("""COMPUTED_VALUE"""),132.26)</f>
        <v>132.26</v>
      </c>
      <c r="C1121" s="1">
        <f ca="1">IFERROR(__xludf.DUMMYFUNCTION("""COMPUTED_VALUE"""),133.79)</f>
        <v>133.79</v>
      </c>
      <c r="D1121" s="1">
        <f ca="1">IFERROR(__xludf.DUMMYFUNCTION("""COMPUTED_VALUE"""),131.64)</f>
        <v>131.63999999999999</v>
      </c>
      <c r="E1121" s="1">
        <f ca="1">IFERROR(__xludf.DUMMYFUNCTION("""COMPUTED_VALUE"""),132.45)</f>
        <v>132.44999999999999</v>
      </c>
      <c r="F1121" s="1">
        <f ca="1">IFERROR(__xludf.DUMMYFUNCTION("""COMPUTED_VALUE"""),17821703)</f>
        <v>17821703</v>
      </c>
    </row>
    <row r="1122" spans="1:6" x14ac:dyDescent="0.35">
      <c r="A1122" s="2">
        <f ca="1">IFERROR(__xludf.DUMMYFUNCTION("""COMPUTED_VALUE"""),43633.6666666666)</f>
        <v>43633.666666666599</v>
      </c>
      <c r="B1122" s="1">
        <f ca="1">IFERROR(__xludf.DUMMYFUNCTION("""COMPUTED_VALUE"""),132.63)</f>
        <v>132.63</v>
      </c>
      <c r="C1122" s="1">
        <f ca="1">IFERROR(__xludf.DUMMYFUNCTION("""COMPUTED_VALUE"""),133.73)</f>
        <v>133.72999999999999</v>
      </c>
      <c r="D1122" s="1">
        <f ca="1">IFERROR(__xludf.DUMMYFUNCTION("""COMPUTED_VALUE"""),132.53)</f>
        <v>132.53</v>
      </c>
      <c r="E1122" s="1">
        <f ca="1">IFERROR(__xludf.DUMMYFUNCTION("""COMPUTED_VALUE"""),132.85)</f>
        <v>132.85</v>
      </c>
      <c r="F1122" s="1">
        <f ca="1">IFERROR(__xludf.DUMMYFUNCTION("""COMPUTED_VALUE"""),14517785)</f>
        <v>14517785</v>
      </c>
    </row>
    <row r="1123" spans="1:6" x14ac:dyDescent="0.35">
      <c r="A1123" s="2">
        <f ca="1">IFERROR(__xludf.DUMMYFUNCTION("""COMPUTED_VALUE"""),43634.6666666666)</f>
        <v>43634.666666666599</v>
      </c>
      <c r="B1123" s="1">
        <f ca="1">IFERROR(__xludf.DUMMYFUNCTION("""COMPUTED_VALUE"""),134.19)</f>
        <v>134.19</v>
      </c>
      <c r="C1123" s="1">
        <f ca="1">IFERROR(__xludf.DUMMYFUNCTION("""COMPUTED_VALUE"""),135.24)</f>
        <v>135.24</v>
      </c>
      <c r="D1123" s="1">
        <f ca="1">IFERROR(__xludf.DUMMYFUNCTION("""COMPUTED_VALUE"""),133.57)</f>
        <v>133.57</v>
      </c>
      <c r="E1123" s="1">
        <f ca="1">IFERROR(__xludf.DUMMYFUNCTION("""COMPUTED_VALUE"""),135.16)</f>
        <v>135.16</v>
      </c>
      <c r="F1123" s="1">
        <f ca="1">IFERROR(__xludf.DUMMYFUNCTION("""COMPUTED_VALUE"""),25934458)</f>
        <v>25934458</v>
      </c>
    </row>
    <row r="1124" spans="1:6" x14ac:dyDescent="0.35">
      <c r="A1124" s="2">
        <f ca="1">IFERROR(__xludf.DUMMYFUNCTION("""COMPUTED_VALUE"""),43635.6666666666)</f>
        <v>43635.666666666599</v>
      </c>
      <c r="B1124" s="1">
        <f ca="1">IFERROR(__xludf.DUMMYFUNCTION("""COMPUTED_VALUE"""),135)</f>
        <v>135</v>
      </c>
      <c r="C1124" s="1">
        <f ca="1">IFERROR(__xludf.DUMMYFUNCTION("""COMPUTED_VALUE"""),135.93)</f>
        <v>135.93</v>
      </c>
      <c r="D1124" s="1">
        <f ca="1">IFERROR(__xludf.DUMMYFUNCTION("""COMPUTED_VALUE"""),133.81)</f>
        <v>133.81</v>
      </c>
      <c r="E1124" s="1">
        <f ca="1">IFERROR(__xludf.DUMMYFUNCTION("""COMPUTED_VALUE"""),135.69)</f>
        <v>135.69</v>
      </c>
      <c r="F1124" s="1">
        <f ca="1">IFERROR(__xludf.DUMMYFUNCTION("""COMPUTED_VALUE"""),23744441)</f>
        <v>23744441</v>
      </c>
    </row>
    <row r="1125" spans="1:6" x14ac:dyDescent="0.35">
      <c r="A1125" s="2">
        <f ca="1">IFERROR(__xludf.DUMMYFUNCTION("""COMPUTED_VALUE"""),43636.6666666666)</f>
        <v>43636.666666666599</v>
      </c>
      <c r="B1125" s="1">
        <f ca="1">IFERROR(__xludf.DUMMYFUNCTION("""COMPUTED_VALUE"""),137.45)</f>
        <v>137.44999999999999</v>
      </c>
      <c r="C1125" s="1">
        <f ca="1">IFERROR(__xludf.DUMMYFUNCTION("""COMPUTED_VALUE"""),137.66)</f>
        <v>137.66</v>
      </c>
      <c r="D1125" s="1">
        <f ca="1">IFERROR(__xludf.DUMMYFUNCTION("""COMPUTED_VALUE"""),135.72)</f>
        <v>135.72</v>
      </c>
      <c r="E1125" s="1">
        <f ca="1">IFERROR(__xludf.DUMMYFUNCTION("""COMPUTED_VALUE"""),136.95)</f>
        <v>136.94999999999999</v>
      </c>
      <c r="F1125" s="1">
        <f ca="1">IFERROR(__xludf.DUMMYFUNCTION("""COMPUTED_VALUE"""),33042592)</f>
        <v>33042592</v>
      </c>
    </row>
    <row r="1126" spans="1:6" x14ac:dyDescent="0.35">
      <c r="A1126" s="2">
        <f ca="1">IFERROR(__xludf.DUMMYFUNCTION("""COMPUTED_VALUE"""),43637.6666666666)</f>
        <v>43637.666666666599</v>
      </c>
      <c r="B1126" s="1">
        <f ca="1">IFERROR(__xludf.DUMMYFUNCTION("""COMPUTED_VALUE"""),136.58)</f>
        <v>136.58000000000001</v>
      </c>
      <c r="C1126" s="1">
        <f ca="1">IFERROR(__xludf.DUMMYFUNCTION("""COMPUTED_VALUE"""),137.73)</f>
        <v>137.72999999999999</v>
      </c>
      <c r="D1126" s="1">
        <f ca="1">IFERROR(__xludf.DUMMYFUNCTION("""COMPUTED_VALUE"""),136.46)</f>
        <v>136.46</v>
      </c>
      <c r="E1126" s="1">
        <f ca="1">IFERROR(__xludf.DUMMYFUNCTION("""COMPUTED_VALUE"""),136.97)</f>
        <v>136.97</v>
      </c>
      <c r="F1126" s="1">
        <f ca="1">IFERROR(__xludf.DUMMYFUNCTION("""COMPUTED_VALUE"""),36727892)</f>
        <v>36727892</v>
      </c>
    </row>
    <row r="1127" spans="1:6" x14ac:dyDescent="0.35">
      <c r="A1127" s="2">
        <f ca="1">IFERROR(__xludf.DUMMYFUNCTION("""COMPUTED_VALUE"""),43640.6666666666)</f>
        <v>43640.666666666599</v>
      </c>
      <c r="B1127" s="1">
        <f ca="1">IFERROR(__xludf.DUMMYFUNCTION("""COMPUTED_VALUE"""),137)</f>
        <v>137</v>
      </c>
      <c r="C1127" s="1">
        <f ca="1">IFERROR(__xludf.DUMMYFUNCTION("""COMPUTED_VALUE"""),138.4)</f>
        <v>138.4</v>
      </c>
      <c r="D1127" s="1">
        <f ca="1">IFERROR(__xludf.DUMMYFUNCTION("""COMPUTED_VALUE"""),137)</f>
        <v>137</v>
      </c>
      <c r="E1127" s="1">
        <f ca="1">IFERROR(__xludf.DUMMYFUNCTION("""COMPUTED_VALUE"""),137.78)</f>
        <v>137.78</v>
      </c>
      <c r="F1127" s="1">
        <f ca="1">IFERROR(__xludf.DUMMYFUNCTION("""COMPUTED_VALUE"""),20628841)</f>
        <v>20628841</v>
      </c>
    </row>
    <row r="1128" spans="1:6" x14ac:dyDescent="0.35">
      <c r="A1128" s="2">
        <f ca="1">IFERROR(__xludf.DUMMYFUNCTION("""COMPUTED_VALUE"""),43641.6666666666)</f>
        <v>43641.666666666599</v>
      </c>
      <c r="B1128" s="1">
        <f ca="1">IFERROR(__xludf.DUMMYFUNCTION("""COMPUTED_VALUE"""),137.25)</f>
        <v>137.25</v>
      </c>
      <c r="C1128" s="1">
        <f ca="1">IFERROR(__xludf.DUMMYFUNCTION("""COMPUTED_VALUE"""),137.59)</f>
        <v>137.59</v>
      </c>
      <c r="D1128" s="1">
        <f ca="1">IFERROR(__xludf.DUMMYFUNCTION("""COMPUTED_VALUE"""),132.73)</f>
        <v>132.72999999999999</v>
      </c>
      <c r="E1128" s="1">
        <f ca="1">IFERROR(__xludf.DUMMYFUNCTION("""COMPUTED_VALUE"""),133.43)</f>
        <v>133.43</v>
      </c>
      <c r="F1128" s="1">
        <f ca="1">IFERROR(__xludf.DUMMYFUNCTION("""COMPUTED_VALUE"""),33327420)</f>
        <v>33327420</v>
      </c>
    </row>
    <row r="1129" spans="1:6" x14ac:dyDescent="0.35">
      <c r="A1129" s="2">
        <f ca="1">IFERROR(__xludf.DUMMYFUNCTION("""COMPUTED_VALUE"""),43642.6666666666)</f>
        <v>43642.666666666599</v>
      </c>
      <c r="B1129" s="1">
        <f ca="1">IFERROR(__xludf.DUMMYFUNCTION("""COMPUTED_VALUE"""),134.35)</f>
        <v>134.35</v>
      </c>
      <c r="C1129" s="1">
        <f ca="1">IFERROR(__xludf.DUMMYFUNCTION("""COMPUTED_VALUE"""),135.74)</f>
        <v>135.74</v>
      </c>
      <c r="D1129" s="1">
        <f ca="1">IFERROR(__xludf.DUMMYFUNCTION("""COMPUTED_VALUE"""),133.6)</f>
        <v>133.6</v>
      </c>
      <c r="E1129" s="1">
        <f ca="1">IFERROR(__xludf.DUMMYFUNCTION("""COMPUTED_VALUE"""),133.93)</f>
        <v>133.93</v>
      </c>
      <c r="F1129" s="1">
        <f ca="1">IFERROR(__xludf.DUMMYFUNCTION("""COMPUTED_VALUE"""),23657745)</f>
        <v>23657745</v>
      </c>
    </row>
    <row r="1130" spans="1:6" x14ac:dyDescent="0.35">
      <c r="A1130" s="2">
        <f ca="1">IFERROR(__xludf.DUMMYFUNCTION("""COMPUTED_VALUE"""),43643.6666666666)</f>
        <v>43643.666666666599</v>
      </c>
      <c r="B1130" s="1">
        <f ca="1">IFERROR(__xludf.DUMMYFUNCTION("""COMPUTED_VALUE"""),134.14)</f>
        <v>134.13999999999999</v>
      </c>
      <c r="C1130" s="1">
        <f ca="1">IFERROR(__xludf.DUMMYFUNCTION("""COMPUTED_VALUE"""),134.71)</f>
        <v>134.71</v>
      </c>
      <c r="D1130" s="1">
        <f ca="1">IFERROR(__xludf.DUMMYFUNCTION("""COMPUTED_VALUE"""),133.51)</f>
        <v>133.51</v>
      </c>
      <c r="E1130" s="1">
        <f ca="1">IFERROR(__xludf.DUMMYFUNCTION("""COMPUTED_VALUE"""),134.15)</f>
        <v>134.15</v>
      </c>
      <c r="F1130" s="1">
        <f ca="1">IFERROR(__xludf.DUMMYFUNCTION("""COMPUTED_VALUE"""),16557482)</f>
        <v>16557482</v>
      </c>
    </row>
    <row r="1131" spans="1:6" x14ac:dyDescent="0.35">
      <c r="A1131" s="2">
        <f ca="1">IFERROR(__xludf.DUMMYFUNCTION("""COMPUTED_VALUE"""),43644.6666666666)</f>
        <v>43644.666666666599</v>
      </c>
      <c r="B1131" s="1">
        <f ca="1">IFERROR(__xludf.DUMMYFUNCTION("""COMPUTED_VALUE"""),134.57)</f>
        <v>134.57</v>
      </c>
      <c r="C1131" s="1">
        <f ca="1">IFERROR(__xludf.DUMMYFUNCTION("""COMPUTED_VALUE"""),134.6)</f>
        <v>134.6</v>
      </c>
      <c r="D1131" s="1">
        <f ca="1">IFERROR(__xludf.DUMMYFUNCTION("""COMPUTED_VALUE"""),133.16)</f>
        <v>133.16</v>
      </c>
      <c r="E1131" s="1">
        <f ca="1">IFERROR(__xludf.DUMMYFUNCTION("""COMPUTED_VALUE"""),133.96)</f>
        <v>133.96</v>
      </c>
      <c r="F1131" s="1">
        <f ca="1">IFERROR(__xludf.DUMMYFUNCTION("""COMPUTED_VALUE"""),30042969)</f>
        <v>30042969</v>
      </c>
    </row>
    <row r="1132" spans="1:6" x14ac:dyDescent="0.35">
      <c r="A1132" s="2">
        <f ca="1">IFERROR(__xludf.DUMMYFUNCTION("""COMPUTED_VALUE"""),43647.6666666666)</f>
        <v>43647.666666666599</v>
      </c>
      <c r="B1132" s="1">
        <f ca="1">IFERROR(__xludf.DUMMYFUNCTION("""COMPUTED_VALUE"""),136.63)</f>
        <v>136.63</v>
      </c>
      <c r="C1132" s="1">
        <f ca="1">IFERROR(__xludf.DUMMYFUNCTION("""COMPUTED_VALUE"""),136.7)</f>
        <v>136.69999999999999</v>
      </c>
      <c r="D1132" s="1">
        <f ca="1">IFERROR(__xludf.DUMMYFUNCTION("""COMPUTED_VALUE"""),134.97)</f>
        <v>134.97</v>
      </c>
      <c r="E1132" s="1">
        <f ca="1">IFERROR(__xludf.DUMMYFUNCTION("""COMPUTED_VALUE"""),135.68)</f>
        <v>135.68</v>
      </c>
      <c r="F1132" s="1">
        <f ca="1">IFERROR(__xludf.DUMMYFUNCTION("""COMPUTED_VALUE"""),22654160)</f>
        <v>22654160</v>
      </c>
    </row>
    <row r="1133" spans="1:6" x14ac:dyDescent="0.35">
      <c r="A1133" s="2">
        <f ca="1">IFERROR(__xludf.DUMMYFUNCTION("""COMPUTED_VALUE"""),43648.6666666666)</f>
        <v>43648.666666666599</v>
      </c>
      <c r="B1133" s="1">
        <f ca="1">IFERROR(__xludf.DUMMYFUNCTION("""COMPUTED_VALUE"""),136.12)</f>
        <v>136.12</v>
      </c>
      <c r="C1133" s="1">
        <f ca="1">IFERROR(__xludf.DUMMYFUNCTION("""COMPUTED_VALUE"""),136.59)</f>
        <v>136.59</v>
      </c>
      <c r="D1133" s="1">
        <f ca="1">IFERROR(__xludf.DUMMYFUNCTION("""COMPUTED_VALUE"""),135.34)</f>
        <v>135.34</v>
      </c>
      <c r="E1133" s="1">
        <f ca="1">IFERROR(__xludf.DUMMYFUNCTION("""COMPUTED_VALUE"""),136.58)</f>
        <v>136.58000000000001</v>
      </c>
      <c r="F1133" s="1">
        <f ca="1">IFERROR(__xludf.DUMMYFUNCTION("""COMPUTED_VALUE"""),15237843)</f>
        <v>15237843</v>
      </c>
    </row>
    <row r="1134" spans="1:6" x14ac:dyDescent="0.35">
      <c r="A1134" s="2">
        <f ca="1">IFERROR(__xludf.DUMMYFUNCTION("""COMPUTED_VALUE"""),43649.5416666666)</f>
        <v>43649.541666666599</v>
      </c>
      <c r="B1134" s="1">
        <f ca="1">IFERROR(__xludf.DUMMYFUNCTION("""COMPUTED_VALUE"""),136.8)</f>
        <v>136.80000000000001</v>
      </c>
      <c r="C1134" s="1">
        <f ca="1">IFERROR(__xludf.DUMMYFUNCTION("""COMPUTED_VALUE"""),137.74)</f>
        <v>137.74</v>
      </c>
      <c r="D1134" s="1">
        <f ca="1">IFERROR(__xludf.DUMMYFUNCTION("""COMPUTED_VALUE"""),136.29)</f>
        <v>136.29</v>
      </c>
      <c r="E1134" s="1">
        <f ca="1">IFERROR(__xludf.DUMMYFUNCTION("""COMPUTED_VALUE"""),137.46)</f>
        <v>137.46</v>
      </c>
      <c r="F1134" s="1">
        <f ca="1">IFERROR(__xludf.DUMMYFUNCTION("""COMPUTED_VALUE"""),13629296)</f>
        <v>13629296</v>
      </c>
    </row>
    <row r="1135" spans="1:6" x14ac:dyDescent="0.35">
      <c r="A1135" s="2">
        <f ca="1">IFERROR(__xludf.DUMMYFUNCTION("""COMPUTED_VALUE"""),43651.6666666666)</f>
        <v>43651.666666666599</v>
      </c>
      <c r="B1135" s="1">
        <f ca="1">IFERROR(__xludf.DUMMYFUNCTION("""COMPUTED_VALUE"""),135.94)</f>
        <v>135.94</v>
      </c>
      <c r="C1135" s="1">
        <f ca="1">IFERROR(__xludf.DUMMYFUNCTION("""COMPUTED_VALUE"""),137.33)</f>
        <v>137.33000000000001</v>
      </c>
      <c r="D1135" s="1">
        <f ca="1">IFERROR(__xludf.DUMMYFUNCTION("""COMPUTED_VALUE"""),135.72)</f>
        <v>135.72</v>
      </c>
      <c r="E1135" s="1">
        <f ca="1">IFERROR(__xludf.DUMMYFUNCTION("""COMPUTED_VALUE"""),137.06)</f>
        <v>137.06</v>
      </c>
      <c r="F1135" s="1">
        <f ca="1">IFERROR(__xludf.DUMMYFUNCTION("""COMPUTED_VALUE"""),18141140)</f>
        <v>18141140</v>
      </c>
    </row>
    <row r="1136" spans="1:6" x14ac:dyDescent="0.35">
      <c r="A1136" s="2">
        <f ca="1">IFERROR(__xludf.DUMMYFUNCTION("""COMPUTED_VALUE"""),43654.6666666666)</f>
        <v>43654.666666666599</v>
      </c>
      <c r="B1136" s="1">
        <f ca="1">IFERROR(__xludf.DUMMYFUNCTION("""COMPUTED_VALUE"""),136.4)</f>
        <v>136.4</v>
      </c>
      <c r="C1136" s="1">
        <f ca="1">IFERROR(__xludf.DUMMYFUNCTION("""COMPUTED_VALUE"""),137.1)</f>
        <v>137.1</v>
      </c>
      <c r="D1136" s="1">
        <f ca="1">IFERROR(__xludf.DUMMYFUNCTION("""COMPUTED_VALUE"""),135.37)</f>
        <v>135.37</v>
      </c>
      <c r="E1136" s="1">
        <f ca="1">IFERROR(__xludf.DUMMYFUNCTION("""COMPUTED_VALUE"""),136.96)</f>
        <v>136.96</v>
      </c>
      <c r="F1136" s="1">
        <f ca="1">IFERROR(__xludf.DUMMYFUNCTION("""COMPUTED_VALUE"""),16779748)</f>
        <v>16779748</v>
      </c>
    </row>
    <row r="1137" spans="1:6" x14ac:dyDescent="0.35">
      <c r="A1137" s="2">
        <f ca="1">IFERROR(__xludf.DUMMYFUNCTION("""COMPUTED_VALUE"""),43655.6666666666)</f>
        <v>43655.666666666599</v>
      </c>
      <c r="B1137" s="1">
        <f ca="1">IFERROR(__xludf.DUMMYFUNCTION("""COMPUTED_VALUE"""),136)</f>
        <v>136</v>
      </c>
      <c r="C1137" s="1">
        <f ca="1">IFERROR(__xludf.DUMMYFUNCTION("""COMPUTED_VALUE"""),136.97)</f>
        <v>136.97</v>
      </c>
      <c r="D1137" s="1">
        <f ca="1">IFERROR(__xludf.DUMMYFUNCTION("""COMPUTED_VALUE"""),135.8)</f>
        <v>135.80000000000001</v>
      </c>
      <c r="E1137" s="1">
        <f ca="1">IFERROR(__xludf.DUMMYFUNCTION("""COMPUTED_VALUE"""),136.46)</f>
        <v>136.46</v>
      </c>
      <c r="F1137" s="1">
        <f ca="1">IFERROR(__xludf.DUMMYFUNCTION("""COMPUTED_VALUE"""),19953097)</f>
        <v>19953097</v>
      </c>
    </row>
    <row r="1138" spans="1:6" x14ac:dyDescent="0.35">
      <c r="A1138" s="2">
        <f ca="1">IFERROR(__xludf.DUMMYFUNCTION("""COMPUTED_VALUE"""),43656.6666666666)</f>
        <v>43656.666666666599</v>
      </c>
      <c r="B1138" s="1">
        <f ca="1">IFERROR(__xludf.DUMMYFUNCTION("""COMPUTED_VALUE"""),137.13)</f>
        <v>137.13</v>
      </c>
      <c r="C1138" s="1">
        <f ca="1">IFERROR(__xludf.DUMMYFUNCTION("""COMPUTED_VALUE"""),138.58)</f>
        <v>138.58000000000001</v>
      </c>
      <c r="D1138" s="1">
        <f ca="1">IFERROR(__xludf.DUMMYFUNCTION("""COMPUTED_VALUE"""),137.02)</f>
        <v>137.02000000000001</v>
      </c>
      <c r="E1138" s="1">
        <f ca="1">IFERROR(__xludf.DUMMYFUNCTION("""COMPUTED_VALUE"""),137.85)</f>
        <v>137.85</v>
      </c>
      <c r="F1138" s="1">
        <f ca="1">IFERROR(__xludf.DUMMYFUNCTION("""COMPUTED_VALUE"""),24204362)</f>
        <v>24204362</v>
      </c>
    </row>
    <row r="1139" spans="1:6" x14ac:dyDescent="0.35">
      <c r="A1139" s="2">
        <f ca="1">IFERROR(__xludf.DUMMYFUNCTION("""COMPUTED_VALUE"""),43657.6666666666)</f>
        <v>43657.666666666599</v>
      </c>
      <c r="B1139" s="1">
        <f ca="1">IFERROR(__xludf.DUMMYFUNCTION("""COMPUTED_VALUE"""),138.2)</f>
        <v>138.19999999999999</v>
      </c>
      <c r="C1139" s="1">
        <f ca="1">IFERROR(__xludf.DUMMYFUNCTION("""COMPUTED_VALUE"""),139.22)</f>
        <v>139.22</v>
      </c>
      <c r="D1139" s="1">
        <f ca="1">IFERROR(__xludf.DUMMYFUNCTION("""COMPUTED_VALUE"""),137.87)</f>
        <v>137.87</v>
      </c>
      <c r="E1139" s="1">
        <f ca="1">IFERROR(__xludf.DUMMYFUNCTION("""COMPUTED_VALUE"""),138.4)</f>
        <v>138.4</v>
      </c>
      <c r="F1139" s="1">
        <f ca="1">IFERROR(__xludf.DUMMYFUNCTION("""COMPUTED_VALUE"""),22327942)</f>
        <v>22327942</v>
      </c>
    </row>
    <row r="1140" spans="1:6" x14ac:dyDescent="0.35">
      <c r="A1140" s="2">
        <f ca="1">IFERROR(__xludf.DUMMYFUNCTION("""COMPUTED_VALUE"""),43658.6666666666)</f>
        <v>43658.666666666599</v>
      </c>
      <c r="B1140" s="1">
        <f ca="1">IFERROR(__xludf.DUMMYFUNCTION("""COMPUTED_VALUE"""),138.85)</f>
        <v>138.85</v>
      </c>
      <c r="C1140" s="1">
        <f ca="1">IFERROR(__xludf.DUMMYFUNCTION("""COMPUTED_VALUE"""),139.13)</f>
        <v>139.13</v>
      </c>
      <c r="D1140" s="1">
        <f ca="1">IFERROR(__xludf.DUMMYFUNCTION("""COMPUTED_VALUE"""),138.01)</f>
        <v>138.01</v>
      </c>
      <c r="E1140" s="1">
        <f ca="1">IFERROR(__xludf.DUMMYFUNCTION("""COMPUTED_VALUE"""),138.9)</f>
        <v>138.9</v>
      </c>
      <c r="F1140" s="1">
        <f ca="1">IFERROR(__xludf.DUMMYFUNCTION("""COMPUTED_VALUE"""),18936832)</f>
        <v>18936832</v>
      </c>
    </row>
    <row r="1141" spans="1:6" x14ac:dyDescent="0.35">
      <c r="A1141" s="2">
        <f ca="1">IFERROR(__xludf.DUMMYFUNCTION("""COMPUTED_VALUE"""),43661.6666666666)</f>
        <v>43661.666666666599</v>
      </c>
      <c r="B1141" s="1">
        <f ca="1">IFERROR(__xludf.DUMMYFUNCTION("""COMPUTED_VALUE"""),139.44)</f>
        <v>139.44</v>
      </c>
      <c r="C1141" s="1">
        <f ca="1">IFERROR(__xludf.DUMMYFUNCTION("""COMPUTED_VALUE"""),139.54)</f>
        <v>139.54</v>
      </c>
      <c r="D1141" s="1">
        <f ca="1">IFERROR(__xludf.DUMMYFUNCTION("""COMPUTED_VALUE"""),138.46)</f>
        <v>138.46</v>
      </c>
      <c r="E1141" s="1">
        <f ca="1">IFERROR(__xludf.DUMMYFUNCTION("""COMPUTED_VALUE"""),138.9)</f>
        <v>138.9</v>
      </c>
      <c r="F1141" s="1">
        <f ca="1">IFERROR(__xludf.DUMMYFUNCTION("""COMPUTED_VALUE"""),16651457)</f>
        <v>16651457</v>
      </c>
    </row>
    <row r="1142" spans="1:6" x14ac:dyDescent="0.35">
      <c r="A1142" s="2">
        <f ca="1">IFERROR(__xludf.DUMMYFUNCTION("""COMPUTED_VALUE"""),43662.6666666666)</f>
        <v>43662.666666666599</v>
      </c>
      <c r="B1142" s="1">
        <f ca="1">IFERROR(__xludf.DUMMYFUNCTION("""COMPUTED_VALUE"""),138.96)</f>
        <v>138.96</v>
      </c>
      <c r="C1142" s="1">
        <f ca="1">IFERROR(__xludf.DUMMYFUNCTION("""COMPUTED_VALUE"""),139.05)</f>
        <v>139.05000000000001</v>
      </c>
      <c r="D1142" s="1">
        <f ca="1">IFERROR(__xludf.DUMMYFUNCTION("""COMPUTED_VALUE"""),136.52)</f>
        <v>136.52000000000001</v>
      </c>
      <c r="E1142" s="1">
        <f ca="1">IFERROR(__xludf.DUMMYFUNCTION("""COMPUTED_VALUE"""),137.08)</f>
        <v>137.08000000000001</v>
      </c>
      <c r="F1142" s="1">
        <f ca="1">IFERROR(__xludf.DUMMYFUNCTION("""COMPUTED_VALUE"""),22726128)</f>
        <v>22726128</v>
      </c>
    </row>
    <row r="1143" spans="1:6" x14ac:dyDescent="0.35">
      <c r="A1143" s="2">
        <f ca="1">IFERROR(__xludf.DUMMYFUNCTION("""COMPUTED_VALUE"""),43663.6666666666)</f>
        <v>43663.666666666599</v>
      </c>
      <c r="B1143" s="1">
        <f ca="1">IFERROR(__xludf.DUMMYFUNCTION("""COMPUTED_VALUE"""),137.7)</f>
        <v>137.69999999999999</v>
      </c>
      <c r="C1143" s="1">
        <f ca="1">IFERROR(__xludf.DUMMYFUNCTION("""COMPUTED_VALUE"""),137.93)</f>
        <v>137.93</v>
      </c>
      <c r="D1143" s="1">
        <f ca="1">IFERROR(__xludf.DUMMYFUNCTION("""COMPUTED_VALUE"""),136.22)</f>
        <v>136.22</v>
      </c>
      <c r="E1143" s="1">
        <f ca="1">IFERROR(__xludf.DUMMYFUNCTION("""COMPUTED_VALUE"""),136.27)</f>
        <v>136.27000000000001</v>
      </c>
      <c r="F1143" s="1">
        <f ca="1">IFERROR(__xludf.DUMMYFUNCTION("""COMPUTED_VALUE"""),20210956)</f>
        <v>20210956</v>
      </c>
    </row>
    <row r="1144" spans="1:6" x14ac:dyDescent="0.35">
      <c r="A1144" s="2">
        <f ca="1">IFERROR(__xludf.DUMMYFUNCTION("""COMPUTED_VALUE"""),43664.6666666666)</f>
        <v>43664.666666666599</v>
      </c>
      <c r="B1144" s="1">
        <f ca="1">IFERROR(__xludf.DUMMYFUNCTION("""COMPUTED_VALUE"""),135.55)</f>
        <v>135.55000000000001</v>
      </c>
      <c r="C1144" s="1">
        <f ca="1">IFERROR(__xludf.DUMMYFUNCTION("""COMPUTED_VALUE"""),136.62)</f>
        <v>136.62</v>
      </c>
      <c r="D1144" s="1">
        <f ca="1">IFERROR(__xludf.DUMMYFUNCTION("""COMPUTED_VALUE"""),134.67)</f>
        <v>134.66999999999999</v>
      </c>
      <c r="E1144" s="1">
        <f ca="1">IFERROR(__xludf.DUMMYFUNCTION("""COMPUTED_VALUE"""),136.42)</f>
        <v>136.41999999999999</v>
      </c>
      <c r="F1144" s="1">
        <f ca="1">IFERROR(__xludf.DUMMYFUNCTION("""COMPUTED_VALUE"""),30808707)</f>
        <v>30808707</v>
      </c>
    </row>
    <row r="1145" spans="1:6" x14ac:dyDescent="0.35">
      <c r="A1145" s="2">
        <f ca="1">IFERROR(__xludf.DUMMYFUNCTION("""COMPUTED_VALUE"""),43665.6666666666)</f>
        <v>43665.666666666599</v>
      </c>
      <c r="B1145" s="1">
        <f ca="1">IFERROR(__xludf.DUMMYFUNCTION("""COMPUTED_VALUE"""),140.22)</f>
        <v>140.22</v>
      </c>
      <c r="C1145" s="1">
        <f ca="1">IFERROR(__xludf.DUMMYFUNCTION("""COMPUTED_VALUE"""),140.67)</f>
        <v>140.66999999999999</v>
      </c>
      <c r="D1145" s="1">
        <f ca="1">IFERROR(__xludf.DUMMYFUNCTION("""COMPUTED_VALUE"""),136.45)</f>
        <v>136.44999999999999</v>
      </c>
      <c r="E1145" s="1">
        <f ca="1">IFERROR(__xludf.DUMMYFUNCTION("""COMPUTED_VALUE"""),136.62)</f>
        <v>136.62</v>
      </c>
      <c r="F1145" s="1">
        <f ca="1">IFERROR(__xludf.DUMMYFUNCTION("""COMPUTED_VALUE"""),48992364)</f>
        <v>48992364</v>
      </c>
    </row>
    <row r="1146" spans="1:6" x14ac:dyDescent="0.35">
      <c r="A1146" s="2">
        <f ca="1">IFERROR(__xludf.DUMMYFUNCTION("""COMPUTED_VALUE"""),43668.6666666666)</f>
        <v>43668.666666666599</v>
      </c>
      <c r="B1146" s="1">
        <f ca="1">IFERROR(__xludf.DUMMYFUNCTION("""COMPUTED_VALUE"""),137.41)</f>
        <v>137.41</v>
      </c>
      <c r="C1146" s="1">
        <f ca="1">IFERROR(__xludf.DUMMYFUNCTION("""COMPUTED_VALUE"""),139.19)</f>
        <v>139.19</v>
      </c>
      <c r="D1146" s="1">
        <f ca="1">IFERROR(__xludf.DUMMYFUNCTION("""COMPUTED_VALUE"""),137.33)</f>
        <v>137.33000000000001</v>
      </c>
      <c r="E1146" s="1">
        <f ca="1">IFERROR(__xludf.DUMMYFUNCTION("""COMPUTED_VALUE"""),138.43)</f>
        <v>138.43</v>
      </c>
      <c r="F1146" s="1">
        <f ca="1">IFERROR(__xludf.DUMMYFUNCTION("""COMPUTED_VALUE"""),25080760)</f>
        <v>25080760</v>
      </c>
    </row>
    <row r="1147" spans="1:6" x14ac:dyDescent="0.35">
      <c r="A1147" s="2">
        <f ca="1">IFERROR(__xludf.DUMMYFUNCTION("""COMPUTED_VALUE"""),43669.6666666666)</f>
        <v>43669.666666666599</v>
      </c>
      <c r="B1147" s="1">
        <f ca="1">IFERROR(__xludf.DUMMYFUNCTION("""COMPUTED_VALUE"""),139.76)</f>
        <v>139.76</v>
      </c>
      <c r="C1147" s="1">
        <f ca="1">IFERROR(__xludf.DUMMYFUNCTION("""COMPUTED_VALUE"""),139.99)</f>
        <v>139.99</v>
      </c>
      <c r="D1147" s="1">
        <f ca="1">IFERROR(__xludf.DUMMYFUNCTION("""COMPUTED_VALUE"""),138.03)</f>
        <v>138.03</v>
      </c>
      <c r="E1147" s="1">
        <f ca="1">IFERROR(__xludf.DUMMYFUNCTION("""COMPUTED_VALUE"""),139.29)</f>
        <v>139.29</v>
      </c>
      <c r="F1147" s="1">
        <f ca="1">IFERROR(__xludf.DUMMYFUNCTION("""COMPUTED_VALUE"""),18034589)</f>
        <v>18034589</v>
      </c>
    </row>
    <row r="1148" spans="1:6" x14ac:dyDescent="0.35">
      <c r="A1148" s="2">
        <f ca="1">IFERROR(__xludf.DUMMYFUNCTION("""COMPUTED_VALUE"""),43670.6666666666)</f>
        <v>43670.666666666599</v>
      </c>
      <c r="B1148" s="1">
        <f ca="1">IFERROR(__xludf.DUMMYFUNCTION("""COMPUTED_VALUE"""),138.9)</f>
        <v>138.9</v>
      </c>
      <c r="C1148" s="1">
        <f ca="1">IFERROR(__xludf.DUMMYFUNCTION("""COMPUTED_VALUE"""),140.74)</f>
        <v>140.74</v>
      </c>
      <c r="D1148" s="1">
        <f ca="1">IFERROR(__xludf.DUMMYFUNCTION("""COMPUTED_VALUE"""),138.85)</f>
        <v>138.85</v>
      </c>
      <c r="E1148" s="1">
        <f ca="1">IFERROR(__xludf.DUMMYFUNCTION("""COMPUTED_VALUE"""),140.72)</f>
        <v>140.72</v>
      </c>
      <c r="F1148" s="1">
        <f ca="1">IFERROR(__xludf.DUMMYFUNCTION("""COMPUTED_VALUE"""),20738275)</f>
        <v>20738275</v>
      </c>
    </row>
    <row r="1149" spans="1:6" x14ac:dyDescent="0.35">
      <c r="A1149" s="2">
        <f ca="1">IFERROR(__xludf.DUMMYFUNCTION("""COMPUTED_VALUE"""),43671.6666666666)</f>
        <v>43671.666666666599</v>
      </c>
      <c r="B1149" s="1">
        <f ca="1">IFERROR(__xludf.DUMMYFUNCTION("""COMPUTED_VALUE"""),140.43)</f>
        <v>140.43</v>
      </c>
      <c r="C1149" s="1">
        <f ca="1">IFERROR(__xludf.DUMMYFUNCTION("""COMPUTED_VALUE"""),140.61)</f>
        <v>140.61000000000001</v>
      </c>
      <c r="D1149" s="1">
        <f ca="1">IFERROR(__xludf.DUMMYFUNCTION("""COMPUTED_VALUE"""),139.32)</f>
        <v>139.32</v>
      </c>
      <c r="E1149" s="1">
        <f ca="1">IFERROR(__xludf.DUMMYFUNCTION("""COMPUTED_VALUE"""),140.19)</f>
        <v>140.19</v>
      </c>
      <c r="F1149" s="1">
        <f ca="1">IFERROR(__xludf.DUMMYFUNCTION("""COMPUTED_VALUE"""),18356883)</f>
        <v>18356883</v>
      </c>
    </row>
    <row r="1150" spans="1:6" x14ac:dyDescent="0.35">
      <c r="A1150" s="2">
        <f ca="1">IFERROR(__xludf.DUMMYFUNCTION("""COMPUTED_VALUE"""),43672.6666666666)</f>
        <v>43672.666666666599</v>
      </c>
      <c r="B1150" s="1">
        <f ca="1">IFERROR(__xludf.DUMMYFUNCTION("""COMPUTED_VALUE"""),140.37)</f>
        <v>140.37</v>
      </c>
      <c r="C1150" s="1">
        <f ca="1">IFERROR(__xludf.DUMMYFUNCTION("""COMPUTED_VALUE"""),141.68)</f>
        <v>141.68</v>
      </c>
      <c r="D1150" s="1">
        <f ca="1">IFERROR(__xludf.DUMMYFUNCTION("""COMPUTED_VALUE"""),140.3)</f>
        <v>140.30000000000001</v>
      </c>
      <c r="E1150" s="1">
        <f ca="1">IFERROR(__xludf.DUMMYFUNCTION("""COMPUTED_VALUE"""),141.34)</f>
        <v>141.34</v>
      </c>
      <c r="F1150" s="1">
        <f ca="1">IFERROR(__xludf.DUMMYFUNCTION("""COMPUTED_VALUE"""),19037600)</f>
        <v>19037600</v>
      </c>
    </row>
    <row r="1151" spans="1:6" x14ac:dyDescent="0.35">
      <c r="A1151" s="2">
        <f ca="1">IFERROR(__xludf.DUMMYFUNCTION("""COMPUTED_VALUE"""),43675.6666666666)</f>
        <v>43675.666666666599</v>
      </c>
      <c r="B1151" s="1">
        <f ca="1">IFERROR(__xludf.DUMMYFUNCTION("""COMPUTED_VALUE"""),141.5)</f>
        <v>141.5</v>
      </c>
      <c r="C1151" s="1">
        <f ca="1">IFERROR(__xludf.DUMMYFUNCTION("""COMPUTED_VALUE"""),141.51)</f>
        <v>141.51</v>
      </c>
      <c r="D1151" s="1">
        <f ca="1">IFERROR(__xludf.DUMMYFUNCTION("""COMPUTED_VALUE"""),139.37)</f>
        <v>139.37</v>
      </c>
      <c r="E1151" s="1">
        <f ca="1">IFERROR(__xludf.DUMMYFUNCTION("""COMPUTED_VALUE"""),141.03)</f>
        <v>141.03</v>
      </c>
      <c r="F1151" s="1">
        <f ca="1">IFERROR(__xludf.DUMMYFUNCTION("""COMPUTED_VALUE"""),16605870)</f>
        <v>16605870</v>
      </c>
    </row>
    <row r="1152" spans="1:6" x14ac:dyDescent="0.35">
      <c r="A1152" s="2">
        <f ca="1">IFERROR(__xludf.DUMMYFUNCTION("""COMPUTED_VALUE"""),43676.6666666666)</f>
        <v>43676.666666666599</v>
      </c>
      <c r="B1152" s="1">
        <f ca="1">IFERROR(__xludf.DUMMYFUNCTION("""COMPUTED_VALUE"""),140.14)</f>
        <v>140.13999999999999</v>
      </c>
      <c r="C1152" s="1">
        <f ca="1">IFERROR(__xludf.DUMMYFUNCTION("""COMPUTED_VALUE"""),141.22)</f>
        <v>141.22</v>
      </c>
      <c r="D1152" s="1">
        <f ca="1">IFERROR(__xludf.DUMMYFUNCTION("""COMPUTED_VALUE"""),139.8)</f>
        <v>139.80000000000001</v>
      </c>
      <c r="E1152" s="1">
        <f ca="1">IFERROR(__xludf.DUMMYFUNCTION("""COMPUTED_VALUE"""),140.35)</f>
        <v>140.35</v>
      </c>
      <c r="F1152" s="1">
        <f ca="1">IFERROR(__xludf.DUMMYFUNCTION("""COMPUTED_VALUE"""),16846528)</f>
        <v>16846528</v>
      </c>
    </row>
    <row r="1153" spans="1:6" x14ac:dyDescent="0.35">
      <c r="A1153" s="2">
        <f ca="1">IFERROR(__xludf.DUMMYFUNCTION("""COMPUTED_VALUE"""),43677.6666666666)</f>
        <v>43677.666666666599</v>
      </c>
      <c r="B1153" s="1">
        <f ca="1">IFERROR(__xludf.DUMMYFUNCTION("""COMPUTED_VALUE"""),140.33)</f>
        <v>140.33000000000001</v>
      </c>
      <c r="C1153" s="1">
        <f ca="1">IFERROR(__xludf.DUMMYFUNCTION("""COMPUTED_VALUE"""),140.49)</f>
        <v>140.49</v>
      </c>
      <c r="D1153" s="1">
        <f ca="1">IFERROR(__xludf.DUMMYFUNCTION("""COMPUTED_VALUE"""),135.08)</f>
        <v>135.08000000000001</v>
      </c>
      <c r="E1153" s="1">
        <f ca="1">IFERROR(__xludf.DUMMYFUNCTION("""COMPUTED_VALUE"""),136.27)</f>
        <v>136.27000000000001</v>
      </c>
      <c r="F1153" s="1">
        <f ca="1">IFERROR(__xludf.DUMMYFUNCTION("""COMPUTED_VALUE"""),38598786)</f>
        <v>38598786</v>
      </c>
    </row>
    <row r="1154" spans="1:6" x14ac:dyDescent="0.35">
      <c r="A1154" s="2">
        <f ca="1">IFERROR(__xludf.DUMMYFUNCTION("""COMPUTED_VALUE"""),43678.6666666666)</f>
        <v>43678.666666666599</v>
      </c>
      <c r="B1154" s="1">
        <f ca="1">IFERROR(__xludf.DUMMYFUNCTION("""COMPUTED_VALUE"""),137)</f>
        <v>137</v>
      </c>
      <c r="C1154" s="1">
        <f ca="1">IFERROR(__xludf.DUMMYFUNCTION("""COMPUTED_VALUE"""),140.94)</f>
        <v>140.94</v>
      </c>
      <c r="D1154" s="1">
        <f ca="1">IFERROR(__xludf.DUMMYFUNCTION("""COMPUTED_VALUE"""),136.93)</f>
        <v>136.93</v>
      </c>
      <c r="E1154" s="1">
        <f ca="1">IFERROR(__xludf.DUMMYFUNCTION("""COMPUTED_VALUE"""),138.06)</f>
        <v>138.06</v>
      </c>
      <c r="F1154" s="1">
        <f ca="1">IFERROR(__xludf.DUMMYFUNCTION("""COMPUTED_VALUE"""),40557502)</f>
        <v>40557502</v>
      </c>
    </row>
    <row r="1155" spans="1:6" x14ac:dyDescent="0.35">
      <c r="A1155" s="2">
        <f ca="1">IFERROR(__xludf.DUMMYFUNCTION("""COMPUTED_VALUE"""),43679.6666666666)</f>
        <v>43679.666666666599</v>
      </c>
      <c r="B1155" s="1">
        <f ca="1">IFERROR(__xludf.DUMMYFUNCTION("""COMPUTED_VALUE"""),138.09)</f>
        <v>138.09</v>
      </c>
      <c r="C1155" s="1">
        <f ca="1">IFERROR(__xludf.DUMMYFUNCTION("""COMPUTED_VALUE"""),138.32)</f>
        <v>138.32</v>
      </c>
      <c r="D1155" s="1">
        <f ca="1">IFERROR(__xludf.DUMMYFUNCTION("""COMPUTED_VALUE"""),135.26)</f>
        <v>135.26</v>
      </c>
      <c r="E1155" s="1">
        <f ca="1">IFERROR(__xludf.DUMMYFUNCTION("""COMPUTED_VALUE"""),136.9)</f>
        <v>136.9</v>
      </c>
      <c r="F1155" s="1">
        <f ca="1">IFERROR(__xludf.DUMMYFUNCTION("""COMPUTED_VALUE"""),30791624)</f>
        <v>30791624</v>
      </c>
    </row>
    <row r="1156" spans="1:6" x14ac:dyDescent="0.35">
      <c r="A1156" s="2">
        <f ca="1">IFERROR(__xludf.DUMMYFUNCTION("""COMPUTED_VALUE"""),43682.6666666666)</f>
        <v>43682.666666666599</v>
      </c>
      <c r="B1156" s="1">
        <f ca="1">IFERROR(__xludf.DUMMYFUNCTION("""COMPUTED_VALUE"""),133.3)</f>
        <v>133.30000000000001</v>
      </c>
      <c r="C1156" s="1">
        <f ca="1">IFERROR(__xludf.DUMMYFUNCTION("""COMPUTED_VALUE"""),133.93)</f>
        <v>133.93</v>
      </c>
      <c r="D1156" s="1">
        <f ca="1">IFERROR(__xludf.DUMMYFUNCTION("""COMPUTED_VALUE"""),130.78)</f>
        <v>130.78</v>
      </c>
      <c r="E1156" s="1">
        <f ca="1">IFERROR(__xludf.DUMMYFUNCTION("""COMPUTED_VALUE"""),132.21)</f>
        <v>132.21</v>
      </c>
      <c r="F1156" s="1">
        <f ca="1">IFERROR(__xludf.DUMMYFUNCTION("""COMPUTED_VALUE"""),42749551)</f>
        <v>42749551</v>
      </c>
    </row>
    <row r="1157" spans="1:6" x14ac:dyDescent="0.35">
      <c r="A1157" s="2">
        <f ca="1">IFERROR(__xludf.DUMMYFUNCTION("""COMPUTED_VALUE"""),43683.6666666666)</f>
        <v>43683.666666666599</v>
      </c>
      <c r="B1157" s="1">
        <f ca="1">IFERROR(__xludf.DUMMYFUNCTION("""COMPUTED_VALUE"""),133.8)</f>
        <v>133.80000000000001</v>
      </c>
      <c r="C1157" s="1">
        <f ca="1">IFERROR(__xludf.DUMMYFUNCTION("""COMPUTED_VALUE"""),135.68)</f>
        <v>135.68</v>
      </c>
      <c r="D1157" s="1">
        <f ca="1">IFERROR(__xludf.DUMMYFUNCTION("""COMPUTED_VALUE"""),133.21)</f>
        <v>133.21</v>
      </c>
      <c r="E1157" s="1">
        <f ca="1">IFERROR(__xludf.DUMMYFUNCTION("""COMPUTED_VALUE"""),134.69)</f>
        <v>134.69</v>
      </c>
      <c r="F1157" s="1">
        <f ca="1">IFERROR(__xludf.DUMMYFUNCTION("""COMPUTED_VALUE"""),32696651)</f>
        <v>32696651</v>
      </c>
    </row>
    <row r="1158" spans="1:6" x14ac:dyDescent="0.35">
      <c r="A1158" s="2">
        <f ca="1">IFERROR(__xludf.DUMMYFUNCTION("""COMPUTED_VALUE"""),43684.6666666666)</f>
        <v>43684.666666666599</v>
      </c>
      <c r="B1158" s="1">
        <f ca="1">IFERROR(__xludf.DUMMYFUNCTION("""COMPUTED_VALUE"""),133.79)</f>
        <v>133.79</v>
      </c>
      <c r="C1158" s="1">
        <f ca="1">IFERROR(__xludf.DUMMYFUNCTION("""COMPUTED_VALUE"""),135.65)</f>
        <v>135.65</v>
      </c>
      <c r="D1158" s="1">
        <f ca="1">IFERROR(__xludf.DUMMYFUNCTION("""COMPUTED_VALUE"""),131.83)</f>
        <v>131.83000000000001</v>
      </c>
      <c r="E1158" s="1">
        <f ca="1">IFERROR(__xludf.DUMMYFUNCTION("""COMPUTED_VALUE"""),135.28)</f>
        <v>135.28</v>
      </c>
      <c r="F1158" s="1">
        <f ca="1">IFERROR(__xludf.DUMMYFUNCTION("""COMPUTED_VALUE"""),33414539)</f>
        <v>33414539</v>
      </c>
    </row>
    <row r="1159" spans="1:6" x14ac:dyDescent="0.35">
      <c r="A1159" s="2">
        <f ca="1">IFERROR(__xludf.DUMMYFUNCTION("""COMPUTED_VALUE"""),43685.6666666666)</f>
        <v>43685.666666666599</v>
      </c>
      <c r="B1159" s="1">
        <f ca="1">IFERROR(__xludf.DUMMYFUNCTION("""COMPUTED_VALUE"""),136.6)</f>
        <v>136.6</v>
      </c>
      <c r="C1159" s="1">
        <f ca="1">IFERROR(__xludf.DUMMYFUNCTION("""COMPUTED_VALUE"""),138.99)</f>
        <v>138.99</v>
      </c>
      <c r="D1159" s="1">
        <f ca="1">IFERROR(__xludf.DUMMYFUNCTION("""COMPUTED_VALUE"""),135.93)</f>
        <v>135.93</v>
      </c>
      <c r="E1159" s="1">
        <f ca="1">IFERROR(__xludf.DUMMYFUNCTION("""COMPUTED_VALUE"""),138.89)</f>
        <v>138.88999999999999</v>
      </c>
      <c r="F1159" s="1">
        <f ca="1">IFERROR(__xludf.DUMMYFUNCTION("""COMPUTED_VALUE"""),27496508)</f>
        <v>27496508</v>
      </c>
    </row>
    <row r="1160" spans="1:6" x14ac:dyDescent="0.35">
      <c r="A1160" s="2">
        <f ca="1">IFERROR(__xludf.DUMMYFUNCTION("""COMPUTED_VALUE"""),43686.6666666666)</f>
        <v>43686.666666666599</v>
      </c>
      <c r="B1160" s="1">
        <f ca="1">IFERROR(__xludf.DUMMYFUNCTION("""COMPUTED_VALUE"""),138.61)</f>
        <v>138.61000000000001</v>
      </c>
      <c r="C1160" s="1">
        <f ca="1">IFERROR(__xludf.DUMMYFUNCTION("""COMPUTED_VALUE"""),139.38)</f>
        <v>139.38</v>
      </c>
      <c r="D1160" s="1">
        <f ca="1">IFERROR(__xludf.DUMMYFUNCTION("""COMPUTED_VALUE"""),136.46)</f>
        <v>136.46</v>
      </c>
      <c r="E1160" s="1">
        <f ca="1">IFERROR(__xludf.DUMMYFUNCTION("""COMPUTED_VALUE"""),137.71)</f>
        <v>137.71</v>
      </c>
      <c r="F1160" s="1">
        <f ca="1">IFERROR(__xludf.DUMMYFUNCTION("""COMPUTED_VALUE"""),23466701)</f>
        <v>23466701</v>
      </c>
    </row>
    <row r="1161" spans="1:6" x14ac:dyDescent="0.35">
      <c r="A1161" s="2">
        <f ca="1">IFERROR(__xludf.DUMMYFUNCTION("""COMPUTED_VALUE"""),43689.6666666666)</f>
        <v>43689.666666666599</v>
      </c>
      <c r="B1161" s="1">
        <f ca="1">IFERROR(__xludf.DUMMYFUNCTION("""COMPUTED_VALUE"""),137.07)</f>
        <v>137.07</v>
      </c>
      <c r="C1161" s="1">
        <f ca="1">IFERROR(__xludf.DUMMYFUNCTION("""COMPUTED_VALUE"""),137.86)</f>
        <v>137.86000000000001</v>
      </c>
      <c r="D1161" s="1">
        <f ca="1">IFERROR(__xludf.DUMMYFUNCTION("""COMPUTED_VALUE"""),135.24)</f>
        <v>135.24</v>
      </c>
      <c r="E1161" s="1">
        <f ca="1">IFERROR(__xludf.DUMMYFUNCTION("""COMPUTED_VALUE"""),135.79)</f>
        <v>135.79</v>
      </c>
      <c r="F1161" s="1">
        <f ca="1">IFERROR(__xludf.DUMMYFUNCTION("""COMPUTED_VALUE"""),20484348)</f>
        <v>20484348</v>
      </c>
    </row>
    <row r="1162" spans="1:6" x14ac:dyDescent="0.35">
      <c r="A1162" s="2">
        <f ca="1">IFERROR(__xludf.DUMMYFUNCTION("""COMPUTED_VALUE"""),43690.6666666666)</f>
        <v>43690.666666666599</v>
      </c>
      <c r="B1162" s="1">
        <f ca="1">IFERROR(__xludf.DUMMYFUNCTION("""COMPUTED_VALUE"""),136.05)</f>
        <v>136.05000000000001</v>
      </c>
      <c r="C1162" s="1">
        <f ca="1">IFERROR(__xludf.DUMMYFUNCTION("""COMPUTED_VALUE"""),138.8)</f>
        <v>138.80000000000001</v>
      </c>
      <c r="D1162" s="1">
        <f ca="1">IFERROR(__xludf.DUMMYFUNCTION("""COMPUTED_VALUE"""),135)</f>
        <v>135</v>
      </c>
      <c r="E1162" s="1">
        <f ca="1">IFERROR(__xludf.DUMMYFUNCTION("""COMPUTED_VALUE"""),138.6)</f>
        <v>138.6</v>
      </c>
      <c r="F1162" s="1">
        <f ca="1">IFERROR(__xludf.DUMMYFUNCTION("""COMPUTED_VALUE"""),25496593)</f>
        <v>25496593</v>
      </c>
    </row>
    <row r="1163" spans="1:6" x14ac:dyDescent="0.35">
      <c r="A1163" s="2">
        <f ca="1">IFERROR(__xludf.DUMMYFUNCTION("""COMPUTED_VALUE"""),43691.6666666666)</f>
        <v>43691.666666666599</v>
      </c>
      <c r="B1163" s="1">
        <f ca="1">IFERROR(__xludf.DUMMYFUNCTION("""COMPUTED_VALUE"""),136.36)</f>
        <v>136.36000000000001</v>
      </c>
      <c r="C1163" s="1">
        <f ca="1">IFERROR(__xludf.DUMMYFUNCTION("""COMPUTED_VALUE"""),136.92)</f>
        <v>136.91999999999999</v>
      </c>
      <c r="D1163" s="1">
        <f ca="1">IFERROR(__xludf.DUMMYFUNCTION("""COMPUTED_VALUE"""),133.67)</f>
        <v>133.66999999999999</v>
      </c>
      <c r="E1163" s="1">
        <f ca="1">IFERROR(__xludf.DUMMYFUNCTION("""COMPUTED_VALUE"""),133.98)</f>
        <v>133.97999999999999</v>
      </c>
      <c r="F1163" s="1">
        <f ca="1">IFERROR(__xludf.DUMMYFUNCTION("""COMPUTED_VALUE"""),32527251)</f>
        <v>32527251</v>
      </c>
    </row>
    <row r="1164" spans="1:6" x14ac:dyDescent="0.35">
      <c r="A1164" s="2">
        <f ca="1">IFERROR(__xludf.DUMMYFUNCTION("""COMPUTED_VALUE"""),43692.6666666666)</f>
        <v>43692.666666666599</v>
      </c>
      <c r="B1164" s="1">
        <f ca="1">IFERROR(__xludf.DUMMYFUNCTION("""COMPUTED_VALUE"""),134.39)</f>
        <v>134.38999999999999</v>
      </c>
      <c r="C1164" s="1">
        <f ca="1">IFERROR(__xludf.DUMMYFUNCTION("""COMPUTED_VALUE"""),134.58)</f>
        <v>134.58000000000001</v>
      </c>
      <c r="D1164" s="1">
        <f ca="1">IFERROR(__xludf.DUMMYFUNCTION("""COMPUTED_VALUE"""),132.25)</f>
        <v>132.25</v>
      </c>
      <c r="E1164" s="1">
        <f ca="1">IFERROR(__xludf.DUMMYFUNCTION("""COMPUTED_VALUE"""),133.68)</f>
        <v>133.68</v>
      </c>
      <c r="F1164" s="1">
        <f ca="1">IFERROR(__xludf.DUMMYFUNCTION("""COMPUTED_VALUE"""),28125416)</f>
        <v>28125416</v>
      </c>
    </row>
    <row r="1165" spans="1:6" x14ac:dyDescent="0.35">
      <c r="A1165" s="2">
        <f ca="1">IFERROR(__xludf.DUMMYFUNCTION("""COMPUTED_VALUE"""),43693.6666666666)</f>
        <v>43693.666666666599</v>
      </c>
      <c r="B1165" s="1">
        <f ca="1">IFERROR(__xludf.DUMMYFUNCTION("""COMPUTED_VALUE"""),134.88)</f>
        <v>134.88</v>
      </c>
      <c r="C1165" s="1">
        <f ca="1">IFERROR(__xludf.DUMMYFUNCTION("""COMPUTED_VALUE"""),136.46)</f>
        <v>136.46</v>
      </c>
      <c r="D1165" s="1">
        <f ca="1">IFERROR(__xludf.DUMMYFUNCTION("""COMPUTED_VALUE"""),134.72)</f>
        <v>134.72</v>
      </c>
      <c r="E1165" s="1">
        <f ca="1">IFERROR(__xludf.DUMMYFUNCTION("""COMPUTED_VALUE"""),136.13)</f>
        <v>136.13</v>
      </c>
      <c r="F1165" s="1">
        <f ca="1">IFERROR(__xludf.DUMMYFUNCTION("""COMPUTED_VALUE"""),25026151)</f>
        <v>25026151</v>
      </c>
    </row>
    <row r="1166" spans="1:6" x14ac:dyDescent="0.35">
      <c r="A1166" s="2">
        <f ca="1">IFERROR(__xludf.DUMMYFUNCTION("""COMPUTED_VALUE"""),43696.6666666666)</f>
        <v>43696.666666666599</v>
      </c>
      <c r="B1166" s="1">
        <f ca="1">IFERROR(__xludf.DUMMYFUNCTION("""COMPUTED_VALUE"""),137.85)</f>
        <v>137.85</v>
      </c>
      <c r="C1166" s="1">
        <f ca="1">IFERROR(__xludf.DUMMYFUNCTION("""COMPUTED_VALUE"""),138.55)</f>
        <v>138.55000000000001</v>
      </c>
      <c r="D1166" s="1">
        <f ca="1">IFERROR(__xludf.DUMMYFUNCTION("""COMPUTED_VALUE"""),136.89)</f>
        <v>136.88999999999999</v>
      </c>
      <c r="E1166" s="1">
        <f ca="1">IFERROR(__xludf.DUMMYFUNCTION("""COMPUTED_VALUE"""),138.41)</f>
        <v>138.41</v>
      </c>
      <c r="F1166" s="1">
        <f ca="1">IFERROR(__xludf.DUMMYFUNCTION("""COMPUTED_VALUE"""),24370543)</f>
        <v>24370543</v>
      </c>
    </row>
    <row r="1167" spans="1:6" x14ac:dyDescent="0.35">
      <c r="A1167" s="2">
        <f ca="1">IFERROR(__xludf.DUMMYFUNCTION("""COMPUTED_VALUE"""),43697.6666666666)</f>
        <v>43697.666666666599</v>
      </c>
      <c r="B1167" s="1">
        <f ca="1">IFERROR(__xludf.DUMMYFUNCTION("""COMPUTED_VALUE"""),138.21)</f>
        <v>138.21</v>
      </c>
      <c r="C1167" s="1">
        <f ca="1">IFERROR(__xludf.DUMMYFUNCTION("""COMPUTED_VALUE"""),138.71)</f>
        <v>138.71</v>
      </c>
      <c r="D1167" s="1">
        <f ca="1">IFERROR(__xludf.DUMMYFUNCTION("""COMPUTED_VALUE"""),137.24)</f>
        <v>137.24</v>
      </c>
      <c r="E1167" s="1">
        <f ca="1">IFERROR(__xludf.DUMMYFUNCTION("""COMPUTED_VALUE"""),137.26)</f>
        <v>137.26</v>
      </c>
      <c r="F1167" s="1">
        <f ca="1">IFERROR(__xludf.DUMMYFUNCTION("""COMPUTED_VALUE"""),21188998)</f>
        <v>21188998</v>
      </c>
    </row>
    <row r="1168" spans="1:6" x14ac:dyDescent="0.35">
      <c r="A1168" s="2">
        <f ca="1">IFERROR(__xludf.DUMMYFUNCTION("""COMPUTED_VALUE"""),43698.6666666666)</f>
        <v>43698.666666666599</v>
      </c>
      <c r="B1168" s="1">
        <f ca="1">IFERROR(__xludf.DUMMYFUNCTION("""COMPUTED_VALUE"""),138.55)</f>
        <v>138.55000000000001</v>
      </c>
      <c r="C1168" s="1">
        <f ca="1">IFERROR(__xludf.DUMMYFUNCTION("""COMPUTED_VALUE"""),139.49)</f>
        <v>139.49</v>
      </c>
      <c r="D1168" s="1">
        <f ca="1">IFERROR(__xludf.DUMMYFUNCTION("""COMPUTED_VALUE"""),138)</f>
        <v>138</v>
      </c>
      <c r="E1168" s="1">
        <f ca="1">IFERROR(__xludf.DUMMYFUNCTION("""COMPUTED_VALUE"""),138.79)</f>
        <v>138.79</v>
      </c>
      <c r="F1168" s="1">
        <f ca="1">IFERROR(__xludf.DUMMYFUNCTION("""COMPUTED_VALUE"""),14982314)</f>
        <v>14982314</v>
      </c>
    </row>
    <row r="1169" spans="1:6" x14ac:dyDescent="0.35">
      <c r="A1169" s="2">
        <f ca="1">IFERROR(__xludf.DUMMYFUNCTION("""COMPUTED_VALUE"""),43699.6666666666)</f>
        <v>43699.666666666599</v>
      </c>
      <c r="B1169" s="1">
        <f ca="1">IFERROR(__xludf.DUMMYFUNCTION("""COMPUTED_VALUE"""),138.66)</f>
        <v>138.66</v>
      </c>
      <c r="C1169" s="1">
        <f ca="1">IFERROR(__xludf.DUMMYFUNCTION("""COMPUTED_VALUE"""),139.2)</f>
        <v>139.19999999999999</v>
      </c>
      <c r="D1169" s="1">
        <f ca="1">IFERROR(__xludf.DUMMYFUNCTION("""COMPUTED_VALUE"""),136.29)</f>
        <v>136.29</v>
      </c>
      <c r="E1169" s="1">
        <f ca="1">IFERROR(__xludf.DUMMYFUNCTION("""COMPUTED_VALUE"""),137.78)</f>
        <v>137.78</v>
      </c>
      <c r="F1169" s="1">
        <f ca="1">IFERROR(__xludf.DUMMYFUNCTION("""COMPUTED_VALUE"""),18709662)</f>
        <v>18709662</v>
      </c>
    </row>
    <row r="1170" spans="1:6" x14ac:dyDescent="0.35">
      <c r="A1170" s="2">
        <f ca="1">IFERROR(__xludf.DUMMYFUNCTION("""COMPUTED_VALUE"""),43700.6666666666)</f>
        <v>43700.666666666599</v>
      </c>
      <c r="B1170" s="1">
        <f ca="1">IFERROR(__xludf.DUMMYFUNCTION("""COMPUTED_VALUE"""),137.19)</f>
        <v>137.19</v>
      </c>
      <c r="C1170" s="1">
        <f ca="1">IFERROR(__xludf.DUMMYFUNCTION("""COMPUTED_VALUE"""),138.35)</f>
        <v>138.35</v>
      </c>
      <c r="D1170" s="1">
        <f ca="1">IFERROR(__xludf.DUMMYFUNCTION("""COMPUTED_VALUE"""),132.8)</f>
        <v>132.80000000000001</v>
      </c>
      <c r="E1170" s="1">
        <f ca="1">IFERROR(__xludf.DUMMYFUNCTION("""COMPUTED_VALUE"""),133.39)</f>
        <v>133.38999999999999</v>
      </c>
      <c r="F1170" s="1">
        <f ca="1">IFERROR(__xludf.DUMMYFUNCTION("""COMPUTED_VALUE"""),38515386)</f>
        <v>38515386</v>
      </c>
    </row>
    <row r="1171" spans="1:6" x14ac:dyDescent="0.35">
      <c r="A1171" s="2">
        <f ca="1">IFERROR(__xludf.DUMMYFUNCTION("""COMPUTED_VALUE"""),43703.6666666666)</f>
        <v>43703.666666666599</v>
      </c>
      <c r="B1171" s="1">
        <f ca="1">IFERROR(__xludf.DUMMYFUNCTION("""COMPUTED_VALUE"""),134.99)</f>
        <v>134.99</v>
      </c>
      <c r="C1171" s="1">
        <f ca="1">IFERROR(__xludf.DUMMYFUNCTION("""COMPUTED_VALUE"""),135.56)</f>
        <v>135.56</v>
      </c>
      <c r="D1171" s="1">
        <f ca="1">IFERROR(__xludf.DUMMYFUNCTION("""COMPUTED_VALUE"""),133.9)</f>
        <v>133.9</v>
      </c>
      <c r="E1171" s="1">
        <f ca="1">IFERROR(__xludf.DUMMYFUNCTION("""COMPUTED_VALUE"""),135.45)</f>
        <v>135.44999999999999</v>
      </c>
      <c r="F1171" s="1">
        <f ca="1">IFERROR(__xludf.DUMMYFUNCTION("""COMPUTED_VALUE"""),20325271)</f>
        <v>20325271</v>
      </c>
    </row>
    <row r="1172" spans="1:6" x14ac:dyDescent="0.35">
      <c r="A1172" s="2">
        <f ca="1">IFERROR(__xludf.DUMMYFUNCTION("""COMPUTED_VALUE"""),43704.6666666666)</f>
        <v>43704.666666666599</v>
      </c>
      <c r="B1172" s="1">
        <f ca="1">IFERROR(__xludf.DUMMYFUNCTION("""COMPUTED_VALUE"""),136.39)</f>
        <v>136.38999999999999</v>
      </c>
      <c r="C1172" s="1">
        <f ca="1">IFERROR(__xludf.DUMMYFUNCTION("""COMPUTED_VALUE"""),136.72)</f>
        <v>136.72</v>
      </c>
      <c r="D1172" s="1">
        <f ca="1">IFERROR(__xludf.DUMMYFUNCTION("""COMPUTED_VALUE"""),134.66)</f>
        <v>134.66</v>
      </c>
      <c r="E1172" s="1">
        <f ca="1">IFERROR(__xludf.DUMMYFUNCTION("""COMPUTED_VALUE"""),135.74)</f>
        <v>135.74</v>
      </c>
      <c r="F1172" s="1">
        <f ca="1">IFERROR(__xludf.DUMMYFUNCTION("""COMPUTED_VALUE"""),23115635)</f>
        <v>23115635</v>
      </c>
    </row>
    <row r="1173" spans="1:6" x14ac:dyDescent="0.35">
      <c r="A1173" s="2">
        <f ca="1">IFERROR(__xludf.DUMMYFUNCTION("""COMPUTED_VALUE"""),43705.6666666666)</f>
        <v>43705.666666666599</v>
      </c>
      <c r="B1173" s="1">
        <f ca="1">IFERROR(__xludf.DUMMYFUNCTION("""COMPUTED_VALUE"""),134.88)</f>
        <v>134.88</v>
      </c>
      <c r="C1173" s="1">
        <f ca="1">IFERROR(__xludf.DUMMYFUNCTION("""COMPUTED_VALUE"""),135.76)</f>
        <v>135.76</v>
      </c>
      <c r="D1173" s="1">
        <f ca="1">IFERROR(__xludf.DUMMYFUNCTION("""COMPUTED_VALUE"""),133.55)</f>
        <v>133.55000000000001</v>
      </c>
      <c r="E1173" s="1">
        <f ca="1">IFERROR(__xludf.DUMMYFUNCTION("""COMPUTED_VALUE"""),135.56)</f>
        <v>135.56</v>
      </c>
      <c r="F1173" s="1">
        <f ca="1">IFERROR(__xludf.DUMMYFUNCTION("""COMPUTED_VALUE"""),17410828)</f>
        <v>17410828</v>
      </c>
    </row>
    <row r="1174" spans="1:6" x14ac:dyDescent="0.35">
      <c r="A1174" s="2">
        <f ca="1">IFERROR(__xludf.DUMMYFUNCTION("""COMPUTED_VALUE"""),43706.6666666666)</f>
        <v>43706.666666666599</v>
      </c>
      <c r="B1174" s="1">
        <f ca="1">IFERROR(__xludf.DUMMYFUNCTION("""COMPUTED_VALUE"""),137.25)</f>
        <v>137.25</v>
      </c>
      <c r="C1174" s="1">
        <f ca="1">IFERROR(__xludf.DUMMYFUNCTION("""COMPUTED_VALUE"""),138.44)</f>
        <v>138.44</v>
      </c>
      <c r="D1174" s="1">
        <f ca="1">IFERROR(__xludf.DUMMYFUNCTION("""COMPUTED_VALUE"""),136.91)</f>
        <v>136.91</v>
      </c>
      <c r="E1174" s="1">
        <f ca="1">IFERROR(__xludf.DUMMYFUNCTION("""COMPUTED_VALUE"""),138.12)</f>
        <v>138.12</v>
      </c>
      <c r="F1174" s="1">
        <f ca="1">IFERROR(__xludf.DUMMYFUNCTION("""COMPUTED_VALUE"""),20179716)</f>
        <v>20179716</v>
      </c>
    </row>
    <row r="1175" spans="1:6" x14ac:dyDescent="0.35">
      <c r="A1175" s="2">
        <f ca="1">IFERROR(__xludf.DUMMYFUNCTION("""COMPUTED_VALUE"""),43707.6666666666)</f>
        <v>43707.666666666599</v>
      </c>
      <c r="B1175" s="1">
        <f ca="1">IFERROR(__xludf.DUMMYFUNCTION("""COMPUTED_VALUE"""),139.15)</f>
        <v>139.15</v>
      </c>
      <c r="C1175" s="1">
        <f ca="1">IFERROR(__xludf.DUMMYFUNCTION("""COMPUTED_VALUE"""),139.18)</f>
        <v>139.18</v>
      </c>
      <c r="D1175" s="1">
        <f ca="1">IFERROR(__xludf.DUMMYFUNCTION("""COMPUTED_VALUE"""),136.27)</f>
        <v>136.27000000000001</v>
      </c>
      <c r="E1175" s="1">
        <f ca="1">IFERROR(__xludf.DUMMYFUNCTION("""COMPUTED_VALUE"""),137.86)</f>
        <v>137.86000000000001</v>
      </c>
      <c r="F1175" s="1">
        <f ca="1">IFERROR(__xludf.DUMMYFUNCTION("""COMPUTED_VALUE"""),23946123)</f>
        <v>23946123</v>
      </c>
    </row>
    <row r="1176" spans="1:6" x14ac:dyDescent="0.35">
      <c r="A1176" s="2">
        <f ca="1">IFERROR(__xludf.DUMMYFUNCTION("""COMPUTED_VALUE"""),43711.6666666666)</f>
        <v>43711.666666666599</v>
      </c>
      <c r="B1176" s="1">
        <f ca="1">IFERROR(__xludf.DUMMYFUNCTION("""COMPUTED_VALUE"""),136.61)</f>
        <v>136.61000000000001</v>
      </c>
      <c r="C1176" s="1">
        <f ca="1">IFERROR(__xludf.DUMMYFUNCTION("""COMPUTED_VALUE"""),137.2)</f>
        <v>137.19999999999999</v>
      </c>
      <c r="D1176" s="1">
        <f ca="1">IFERROR(__xludf.DUMMYFUNCTION("""COMPUTED_VALUE"""),135.7)</f>
        <v>135.69999999999999</v>
      </c>
      <c r="E1176" s="1">
        <f ca="1">IFERROR(__xludf.DUMMYFUNCTION("""COMPUTED_VALUE"""),136.04)</f>
        <v>136.04</v>
      </c>
      <c r="F1176" s="1">
        <f ca="1">IFERROR(__xludf.DUMMYFUNCTION("""COMPUTED_VALUE"""),18880773)</f>
        <v>18880773</v>
      </c>
    </row>
    <row r="1177" spans="1:6" x14ac:dyDescent="0.35">
      <c r="A1177" s="2">
        <f ca="1">IFERROR(__xludf.DUMMYFUNCTION("""COMPUTED_VALUE"""),43712.6666666666)</f>
        <v>43712.666666666599</v>
      </c>
      <c r="B1177" s="1">
        <f ca="1">IFERROR(__xludf.DUMMYFUNCTION("""COMPUTED_VALUE"""),137.3)</f>
        <v>137.30000000000001</v>
      </c>
      <c r="C1177" s="1">
        <f ca="1">IFERROR(__xludf.DUMMYFUNCTION("""COMPUTED_VALUE"""),137.69)</f>
        <v>137.69</v>
      </c>
      <c r="D1177" s="1">
        <f ca="1">IFERROR(__xludf.DUMMYFUNCTION("""COMPUTED_VALUE"""),136.48)</f>
        <v>136.47999999999999</v>
      </c>
      <c r="E1177" s="1">
        <f ca="1">IFERROR(__xludf.DUMMYFUNCTION("""COMPUTED_VALUE"""),137.63)</f>
        <v>137.63</v>
      </c>
      <c r="F1177" s="1">
        <f ca="1">IFERROR(__xludf.DUMMYFUNCTION("""COMPUTED_VALUE"""),18015310)</f>
        <v>18015310</v>
      </c>
    </row>
    <row r="1178" spans="1:6" x14ac:dyDescent="0.35">
      <c r="A1178" s="2">
        <f ca="1">IFERROR(__xludf.DUMMYFUNCTION("""COMPUTED_VALUE"""),43713.6666666666)</f>
        <v>43713.666666666599</v>
      </c>
      <c r="B1178" s="1">
        <f ca="1">IFERROR(__xludf.DUMMYFUNCTION("""COMPUTED_VALUE"""),139.11)</f>
        <v>139.11000000000001</v>
      </c>
      <c r="C1178" s="1">
        <f ca="1">IFERROR(__xludf.DUMMYFUNCTION("""COMPUTED_VALUE"""),140.38)</f>
        <v>140.38</v>
      </c>
      <c r="D1178" s="1">
        <f ca="1">IFERROR(__xludf.DUMMYFUNCTION("""COMPUTED_VALUE"""),138.76)</f>
        <v>138.76</v>
      </c>
      <c r="E1178" s="1">
        <f ca="1">IFERROR(__xludf.DUMMYFUNCTION("""COMPUTED_VALUE"""),140.05)</f>
        <v>140.05000000000001</v>
      </c>
      <c r="F1178" s="1">
        <f ca="1">IFERROR(__xludf.DUMMYFUNCTION("""COMPUTED_VALUE"""),26119520)</f>
        <v>26119520</v>
      </c>
    </row>
    <row r="1179" spans="1:6" x14ac:dyDescent="0.35">
      <c r="A1179" s="2">
        <f ca="1">IFERROR(__xludf.DUMMYFUNCTION("""COMPUTED_VALUE"""),43714.6666666666)</f>
        <v>43714.666666666599</v>
      </c>
      <c r="B1179" s="1">
        <f ca="1">IFERROR(__xludf.DUMMYFUNCTION("""COMPUTED_VALUE"""),140.03)</f>
        <v>140.03</v>
      </c>
      <c r="C1179" s="1">
        <f ca="1">IFERROR(__xludf.DUMMYFUNCTION("""COMPUTED_VALUE"""),140.18)</f>
        <v>140.18</v>
      </c>
      <c r="D1179" s="1">
        <f ca="1">IFERROR(__xludf.DUMMYFUNCTION("""COMPUTED_VALUE"""),138.2)</f>
        <v>138.19999999999999</v>
      </c>
      <c r="E1179" s="1">
        <f ca="1">IFERROR(__xludf.DUMMYFUNCTION("""COMPUTED_VALUE"""),139.1)</f>
        <v>139.1</v>
      </c>
      <c r="F1179" s="1">
        <f ca="1">IFERROR(__xludf.DUMMYFUNCTION("""COMPUTED_VALUE"""),20824504)</f>
        <v>20824504</v>
      </c>
    </row>
    <row r="1180" spans="1:6" x14ac:dyDescent="0.35">
      <c r="A1180" s="2">
        <f ca="1">IFERROR(__xludf.DUMMYFUNCTION("""COMPUTED_VALUE"""),43717.6666666666)</f>
        <v>43717.666666666599</v>
      </c>
      <c r="B1180" s="1">
        <f ca="1">IFERROR(__xludf.DUMMYFUNCTION("""COMPUTED_VALUE"""),139.59)</f>
        <v>139.59</v>
      </c>
      <c r="C1180" s="1">
        <f ca="1">IFERROR(__xludf.DUMMYFUNCTION("""COMPUTED_VALUE"""),139.75)</f>
        <v>139.75</v>
      </c>
      <c r="D1180" s="1">
        <f ca="1">IFERROR(__xludf.DUMMYFUNCTION("""COMPUTED_VALUE"""),136.46)</f>
        <v>136.46</v>
      </c>
      <c r="E1180" s="1">
        <f ca="1">IFERROR(__xludf.DUMMYFUNCTION("""COMPUTED_VALUE"""),137.52)</f>
        <v>137.52000000000001</v>
      </c>
      <c r="F1180" s="1">
        <f ca="1">IFERROR(__xludf.DUMMYFUNCTION("""COMPUTED_VALUE"""),25773932)</f>
        <v>25773932</v>
      </c>
    </row>
    <row r="1181" spans="1:6" x14ac:dyDescent="0.35">
      <c r="A1181" s="2">
        <f ca="1">IFERROR(__xludf.DUMMYFUNCTION("""COMPUTED_VALUE"""),43718.6666666666)</f>
        <v>43718.666666666599</v>
      </c>
      <c r="B1181" s="1">
        <f ca="1">IFERROR(__xludf.DUMMYFUNCTION("""COMPUTED_VALUE"""),136.8)</f>
        <v>136.80000000000001</v>
      </c>
      <c r="C1181" s="1">
        <f ca="1">IFERROR(__xludf.DUMMYFUNCTION("""COMPUTED_VALUE"""),136.89)</f>
        <v>136.88999999999999</v>
      </c>
      <c r="D1181" s="1">
        <f ca="1">IFERROR(__xludf.DUMMYFUNCTION("""COMPUTED_VALUE"""),134.51)</f>
        <v>134.51</v>
      </c>
      <c r="E1181" s="1">
        <f ca="1">IFERROR(__xludf.DUMMYFUNCTION("""COMPUTED_VALUE"""),136.08)</f>
        <v>136.08000000000001</v>
      </c>
      <c r="F1181" s="1">
        <f ca="1">IFERROR(__xludf.DUMMYFUNCTION("""COMPUTED_VALUE"""),28903378)</f>
        <v>28903378</v>
      </c>
    </row>
    <row r="1182" spans="1:6" x14ac:dyDescent="0.35">
      <c r="A1182" s="2">
        <f ca="1">IFERROR(__xludf.DUMMYFUNCTION("""COMPUTED_VALUE"""),43719.6666666666)</f>
        <v>43719.666666666599</v>
      </c>
      <c r="B1182" s="1">
        <f ca="1">IFERROR(__xludf.DUMMYFUNCTION("""COMPUTED_VALUE"""),135.91)</f>
        <v>135.91</v>
      </c>
      <c r="C1182" s="1">
        <f ca="1">IFERROR(__xludf.DUMMYFUNCTION("""COMPUTED_VALUE"""),136.27)</f>
        <v>136.27000000000001</v>
      </c>
      <c r="D1182" s="1">
        <f ca="1">IFERROR(__xludf.DUMMYFUNCTION("""COMPUTED_VALUE"""),135.09)</f>
        <v>135.09</v>
      </c>
      <c r="E1182" s="1">
        <f ca="1">IFERROR(__xludf.DUMMYFUNCTION("""COMPUTED_VALUE"""),136.12)</f>
        <v>136.12</v>
      </c>
      <c r="F1182" s="1">
        <f ca="1">IFERROR(__xludf.DUMMYFUNCTION("""COMPUTED_VALUE"""),24726117)</f>
        <v>24726117</v>
      </c>
    </row>
    <row r="1183" spans="1:6" x14ac:dyDescent="0.35">
      <c r="A1183" s="2">
        <f ca="1">IFERROR(__xludf.DUMMYFUNCTION("""COMPUTED_VALUE"""),43720.6666666666)</f>
        <v>43720.666666666599</v>
      </c>
      <c r="B1183" s="1">
        <f ca="1">IFERROR(__xludf.DUMMYFUNCTION("""COMPUTED_VALUE"""),137.85)</f>
        <v>137.85</v>
      </c>
      <c r="C1183" s="1">
        <f ca="1">IFERROR(__xludf.DUMMYFUNCTION("""COMPUTED_VALUE"""),138.42)</f>
        <v>138.41999999999999</v>
      </c>
      <c r="D1183" s="1">
        <f ca="1">IFERROR(__xludf.DUMMYFUNCTION("""COMPUTED_VALUE"""),136.87)</f>
        <v>136.87</v>
      </c>
      <c r="E1183" s="1">
        <f ca="1">IFERROR(__xludf.DUMMYFUNCTION("""COMPUTED_VALUE"""),137.52)</f>
        <v>137.52000000000001</v>
      </c>
      <c r="F1183" s="1">
        <f ca="1">IFERROR(__xludf.DUMMYFUNCTION("""COMPUTED_VALUE"""),27009981)</f>
        <v>27009981</v>
      </c>
    </row>
    <row r="1184" spans="1:6" x14ac:dyDescent="0.35">
      <c r="A1184" s="2">
        <f ca="1">IFERROR(__xludf.DUMMYFUNCTION("""COMPUTED_VALUE"""),43721.6666666666)</f>
        <v>43721.666666666599</v>
      </c>
      <c r="B1184" s="1">
        <f ca="1">IFERROR(__xludf.DUMMYFUNCTION("""COMPUTED_VALUE"""),137.78)</f>
        <v>137.78</v>
      </c>
      <c r="C1184" s="1">
        <f ca="1">IFERROR(__xludf.DUMMYFUNCTION("""COMPUTED_VALUE"""),138.06)</f>
        <v>138.06</v>
      </c>
      <c r="D1184" s="1">
        <f ca="1">IFERROR(__xludf.DUMMYFUNCTION("""COMPUTED_VALUE"""),136.57)</f>
        <v>136.57</v>
      </c>
      <c r="E1184" s="1">
        <f ca="1">IFERROR(__xludf.DUMMYFUNCTION("""COMPUTED_VALUE"""),137.32)</f>
        <v>137.32</v>
      </c>
      <c r="F1184" s="1">
        <f ca="1">IFERROR(__xludf.DUMMYFUNCTION("""COMPUTED_VALUE"""),23363057)</f>
        <v>23363057</v>
      </c>
    </row>
    <row r="1185" spans="1:6" x14ac:dyDescent="0.35">
      <c r="A1185" s="2">
        <f ca="1">IFERROR(__xludf.DUMMYFUNCTION("""COMPUTED_VALUE"""),43724.6666666666)</f>
        <v>43724.666666666599</v>
      </c>
      <c r="B1185" s="1">
        <f ca="1">IFERROR(__xludf.DUMMYFUNCTION("""COMPUTED_VALUE"""),135.83)</f>
        <v>135.83000000000001</v>
      </c>
      <c r="C1185" s="1">
        <f ca="1">IFERROR(__xludf.DUMMYFUNCTION("""COMPUTED_VALUE"""),136.7)</f>
        <v>136.69999999999999</v>
      </c>
      <c r="D1185" s="1">
        <f ca="1">IFERROR(__xludf.DUMMYFUNCTION("""COMPUTED_VALUE"""),135.66)</f>
        <v>135.66</v>
      </c>
      <c r="E1185" s="1">
        <f ca="1">IFERROR(__xludf.DUMMYFUNCTION("""COMPUTED_VALUE"""),136.33)</f>
        <v>136.33000000000001</v>
      </c>
      <c r="F1185" s="1">
        <f ca="1">IFERROR(__xludf.DUMMYFUNCTION("""COMPUTED_VALUE"""),16731440)</f>
        <v>16731440</v>
      </c>
    </row>
    <row r="1186" spans="1:6" x14ac:dyDescent="0.35">
      <c r="A1186" s="2">
        <f ca="1">IFERROR(__xludf.DUMMYFUNCTION("""COMPUTED_VALUE"""),43725.6666666666)</f>
        <v>43725.666666666599</v>
      </c>
      <c r="B1186" s="1">
        <f ca="1">IFERROR(__xludf.DUMMYFUNCTION("""COMPUTED_VALUE"""),136.96)</f>
        <v>136.96</v>
      </c>
      <c r="C1186" s="1">
        <f ca="1">IFERROR(__xludf.DUMMYFUNCTION("""COMPUTED_VALUE"""),137.52)</f>
        <v>137.52000000000001</v>
      </c>
      <c r="D1186" s="1">
        <f ca="1">IFERROR(__xludf.DUMMYFUNCTION("""COMPUTED_VALUE"""),136.43)</f>
        <v>136.43</v>
      </c>
      <c r="E1186" s="1">
        <f ca="1">IFERROR(__xludf.DUMMYFUNCTION("""COMPUTED_VALUE"""),137.39)</f>
        <v>137.38999999999999</v>
      </c>
      <c r="F1186" s="1">
        <f ca="1">IFERROR(__xludf.DUMMYFUNCTION("""COMPUTED_VALUE"""),17976285)</f>
        <v>17976285</v>
      </c>
    </row>
    <row r="1187" spans="1:6" x14ac:dyDescent="0.35">
      <c r="A1187" s="2">
        <f ca="1">IFERROR(__xludf.DUMMYFUNCTION("""COMPUTED_VALUE"""),43726.6666666666)</f>
        <v>43726.666666666599</v>
      </c>
      <c r="B1187" s="1">
        <f ca="1">IFERROR(__xludf.DUMMYFUNCTION("""COMPUTED_VALUE"""),137.36)</f>
        <v>137.36000000000001</v>
      </c>
      <c r="C1187" s="1">
        <f ca="1">IFERROR(__xludf.DUMMYFUNCTION("""COMPUTED_VALUE"""),138.67)</f>
        <v>138.66999999999999</v>
      </c>
      <c r="D1187" s="1">
        <f ca="1">IFERROR(__xludf.DUMMYFUNCTION("""COMPUTED_VALUE"""),136.53)</f>
        <v>136.53</v>
      </c>
      <c r="E1187" s="1">
        <f ca="1">IFERROR(__xludf.DUMMYFUNCTION("""COMPUTED_VALUE"""),138.52)</f>
        <v>138.52000000000001</v>
      </c>
      <c r="F1187" s="1">
        <f ca="1">IFERROR(__xludf.DUMMYFUNCTION("""COMPUTED_VALUE"""),24473386)</f>
        <v>24473386</v>
      </c>
    </row>
    <row r="1188" spans="1:6" x14ac:dyDescent="0.35">
      <c r="A1188" s="2">
        <f ca="1">IFERROR(__xludf.DUMMYFUNCTION("""COMPUTED_VALUE"""),43727.6666666666)</f>
        <v>43727.666666666599</v>
      </c>
      <c r="B1188" s="1">
        <f ca="1">IFERROR(__xludf.DUMMYFUNCTION("""COMPUTED_VALUE"""),140.3)</f>
        <v>140.30000000000001</v>
      </c>
      <c r="C1188" s="1">
        <f ca="1">IFERROR(__xludf.DUMMYFUNCTION("""COMPUTED_VALUE"""),142.37)</f>
        <v>142.37</v>
      </c>
      <c r="D1188" s="1">
        <f ca="1">IFERROR(__xludf.DUMMYFUNCTION("""COMPUTED_VALUE"""),140.07)</f>
        <v>140.07</v>
      </c>
      <c r="E1188" s="1">
        <f ca="1">IFERROR(__xludf.DUMMYFUNCTION("""COMPUTED_VALUE"""),141.07)</f>
        <v>141.07</v>
      </c>
      <c r="F1188" s="1">
        <f ca="1">IFERROR(__xludf.DUMMYFUNCTION("""COMPUTED_VALUE"""),36095413)</f>
        <v>36095413</v>
      </c>
    </row>
    <row r="1189" spans="1:6" x14ac:dyDescent="0.35">
      <c r="A1189" s="2">
        <f ca="1">IFERROR(__xludf.DUMMYFUNCTION("""COMPUTED_VALUE"""),43728.6666666666)</f>
        <v>43728.666666666599</v>
      </c>
      <c r="B1189" s="1">
        <f ca="1">IFERROR(__xludf.DUMMYFUNCTION("""COMPUTED_VALUE"""),141.01)</f>
        <v>141.01</v>
      </c>
      <c r="C1189" s="1">
        <f ca="1">IFERROR(__xludf.DUMMYFUNCTION("""COMPUTED_VALUE"""),141.65)</f>
        <v>141.65</v>
      </c>
      <c r="D1189" s="1">
        <f ca="1">IFERROR(__xludf.DUMMYFUNCTION("""COMPUTED_VALUE"""),138.25)</f>
        <v>138.25</v>
      </c>
      <c r="E1189" s="1">
        <f ca="1">IFERROR(__xludf.DUMMYFUNCTION("""COMPUTED_VALUE"""),139.44)</f>
        <v>139.44</v>
      </c>
      <c r="F1189" s="1">
        <f ca="1">IFERROR(__xludf.DUMMYFUNCTION("""COMPUTED_VALUE"""),40040766)</f>
        <v>40040766</v>
      </c>
    </row>
    <row r="1190" spans="1:6" x14ac:dyDescent="0.35">
      <c r="A1190" s="2">
        <f ca="1">IFERROR(__xludf.DUMMYFUNCTION("""COMPUTED_VALUE"""),43731.6666666666)</f>
        <v>43731.666666666599</v>
      </c>
      <c r="B1190" s="1">
        <f ca="1">IFERROR(__xludf.DUMMYFUNCTION("""COMPUTED_VALUE"""),139.23)</f>
        <v>139.22999999999999</v>
      </c>
      <c r="C1190" s="1">
        <f ca="1">IFERROR(__xludf.DUMMYFUNCTION("""COMPUTED_VALUE"""),139.63)</f>
        <v>139.63</v>
      </c>
      <c r="D1190" s="1">
        <f ca="1">IFERROR(__xludf.DUMMYFUNCTION("""COMPUTED_VALUE"""),138.44)</f>
        <v>138.44</v>
      </c>
      <c r="E1190" s="1">
        <f ca="1">IFERROR(__xludf.DUMMYFUNCTION("""COMPUTED_VALUE"""),139.14)</f>
        <v>139.13999999999999</v>
      </c>
      <c r="F1190" s="1">
        <f ca="1">IFERROR(__xludf.DUMMYFUNCTION("""COMPUTED_VALUE"""),17408374)</f>
        <v>17408374</v>
      </c>
    </row>
    <row r="1191" spans="1:6" x14ac:dyDescent="0.35">
      <c r="A1191" s="2">
        <f ca="1">IFERROR(__xludf.DUMMYFUNCTION("""COMPUTED_VALUE"""),43732.6666666666)</f>
        <v>43732.666666666599</v>
      </c>
      <c r="B1191" s="1">
        <f ca="1">IFERROR(__xludf.DUMMYFUNCTION("""COMPUTED_VALUE"""),140.36)</f>
        <v>140.36000000000001</v>
      </c>
      <c r="C1191" s="1">
        <f ca="1">IFERROR(__xludf.DUMMYFUNCTION("""COMPUTED_VALUE"""),140.69)</f>
        <v>140.69</v>
      </c>
      <c r="D1191" s="1">
        <f ca="1">IFERROR(__xludf.DUMMYFUNCTION("""COMPUTED_VALUE"""),136.88)</f>
        <v>136.88</v>
      </c>
      <c r="E1191" s="1">
        <f ca="1">IFERROR(__xludf.DUMMYFUNCTION("""COMPUTED_VALUE"""),137.38)</f>
        <v>137.38</v>
      </c>
      <c r="F1191" s="1">
        <f ca="1">IFERROR(__xludf.DUMMYFUNCTION("""COMPUTED_VALUE"""),30016670)</f>
        <v>30016670</v>
      </c>
    </row>
    <row r="1192" spans="1:6" x14ac:dyDescent="0.35">
      <c r="A1192" s="2">
        <f ca="1">IFERROR(__xludf.DUMMYFUNCTION("""COMPUTED_VALUE"""),43733.6666666666)</f>
        <v>43733.666666666599</v>
      </c>
      <c r="B1192" s="1">
        <f ca="1">IFERROR(__xludf.DUMMYFUNCTION("""COMPUTED_VALUE"""),137.5)</f>
        <v>137.5</v>
      </c>
      <c r="C1192" s="1">
        <f ca="1">IFERROR(__xludf.DUMMYFUNCTION("""COMPUTED_VALUE"""),139.96)</f>
        <v>139.96</v>
      </c>
      <c r="D1192" s="1">
        <f ca="1">IFERROR(__xludf.DUMMYFUNCTION("""COMPUTED_VALUE"""),136.03)</f>
        <v>136.03</v>
      </c>
      <c r="E1192" s="1">
        <f ca="1">IFERROR(__xludf.DUMMYFUNCTION("""COMPUTED_VALUE"""),139.36)</f>
        <v>139.36000000000001</v>
      </c>
      <c r="F1192" s="1">
        <f ca="1">IFERROR(__xludf.DUMMYFUNCTION("""COMPUTED_VALUE"""),22544054)</f>
        <v>22544054</v>
      </c>
    </row>
    <row r="1193" spans="1:6" x14ac:dyDescent="0.35">
      <c r="A1193" s="2">
        <f ca="1">IFERROR(__xludf.DUMMYFUNCTION("""COMPUTED_VALUE"""),43734.6666666666)</f>
        <v>43734.666666666599</v>
      </c>
      <c r="B1193" s="1">
        <f ca="1">IFERROR(__xludf.DUMMYFUNCTION("""COMPUTED_VALUE"""),139.44)</f>
        <v>139.44</v>
      </c>
      <c r="C1193" s="1">
        <f ca="1">IFERROR(__xludf.DUMMYFUNCTION("""COMPUTED_VALUE"""),140.18)</f>
        <v>140.18</v>
      </c>
      <c r="D1193" s="1">
        <f ca="1">IFERROR(__xludf.DUMMYFUNCTION("""COMPUTED_VALUE"""),138.44)</f>
        <v>138.44</v>
      </c>
      <c r="E1193" s="1">
        <f ca="1">IFERROR(__xludf.DUMMYFUNCTION("""COMPUTED_VALUE"""),139.54)</f>
        <v>139.54</v>
      </c>
      <c r="F1193" s="1">
        <f ca="1">IFERROR(__xludf.DUMMYFUNCTION("""COMPUTED_VALUE"""),17813512)</f>
        <v>17813512</v>
      </c>
    </row>
    <row r="1194" spans="1:6" x14ac:dyDescent="0.35">
      <c r="A1194" s="2">
        <f ca="1">IFERROR(__xludf.DUMMYFUNCTION("""COMPUTED_VALUE"""),43735.6666666666)</f>
        <v>43735.666666666599</v>
      </c>
      <c r="B1194" s="1">
        <f ca="1">IFERROR(__xludf.DUMMYFUNCTION("""COMPUTED_VALUE"""),140.15)</f>
        <v>140.15</v>
      </c>
      <c r="C1194" s="1">
        <f ca="1">IFERROR(__xludf.DUMMYFUNCTION("""COMPUTED_VALUE"""),140.36)</f>
        <v>140.36000000000001</v>
      </c>
      <c r="D1194" s="1">
        <f ca="1">IFERROR(__xludf.DUMMYFUNCTION("""COMPUTED_VALUE"""),136.65)</f>
        <v>136.65</v>
      </c>
      <c r="E1194" s="1">
        <f ca="1">IFERROR(__xludf.DUMMYFUNCTION("""COMPUTED_VALUE"""),137.73)</f>
        <v>137.72999999999999</v>
      </c>
      <c r="F1194" s="1">
        <f ca="1">IFERROR(__xludf.DUMMYFUNCTION("""COMPUTED_VALUE"""),22498958)</f>
        <v>22498958</v>
      </c>
    </row>
    <row r="1195" spans="1:6" x14ac:dyDescent="0.35">
      <c r="A1195" s="2">
        <f ca="1">IFERROR(__xludf.DUMMYFUNCTION("""COMPUTED_VALUE"""),43738.6666666666)</f>
        <v>43738.666666666599</v>
      </c>
      <c r="B1195" s="1">
        <f ca="1">IFERROR(__xludf.DUMMYFUNCTION("""COMPUTED_VALUE"""),138.05)</f>
        <v>138.05000000000001</v>
      </c>
      <c r="C1195" s="1">
        <f ca="1">IFERROR(__xludf.DUMMYFUNCTION("""COMPUTED_VALUE"""),139.22)</f>
        <v>139.22</v>
      </c>
      <c r="D1195" s="1">
        <f ca="1">IFERROR(__xludf.DUMMYFUNCTION("""COMPUTED_VALUE"""),137.78)</f>
        <v>137.78</v>
      </c>
      <c r="E1195" s="1">
        <f ca="1">IFERROR(__xludf.DUMMYFUNCTION("""COMPUTED_VALUE"""),139.03)</f>
        <v>139.03</v>
      </c>
      <c r="F1195" s="1">
        <f ca="1">IFERROR(__xludf.DUMMYFUNCTION("""COMPUTED_VALUE"""),18430390)</f>
        <v>18430390</v>
      </c>
    </row>
    <row r="1196" spans="1:6" x14ac:dyDescent="0.35">
      <c r="A1196" s="2">
        <f ca="1">IFERROR(__xludf.DUMMYFUNCTION("""COMPUTED_VALUE"""),43739.6666666666)</f>
        <v>43739.666666666599</v>
      </c>
      <c r="B1196" s="1">
        <f ca="1">IFERROR(__xludf.DUMMYFUNCTION("""COMPUTED_VALUE"""),139.66)</f>
        <v>139.66</v>
      </c>
      <c r="C1196" s="1">
        <f ca="1">IFERROR(__xludf.DUMMYFUNCTION("""COMPUTED_VALUE"""),140.25)</f>
        <v>140.25</v>
      </c>
      <c r="D1196" s="1">
        <f ca="1">IFERROR(__xludf.DUMMYFUNCTION("""COMPUTED_VALUE"""),137)</f>
        <v>137</v>
      </c>
      <c r="E1196" s="1">
        <f ca="1">IFERROR(__xludf.DUMMYFUNCTION("""COMPUTED_VALUE"""),137.07)</f>
        <v>137.07</v>
      </c>
      <c r="F1196" s="1">
        <f ca="1">IFERROR(__xludf.DUMMYFUNCTION("""COMPUTED_VALUE"""),22581929)</f>
        <v>22581929</v>
      </c>
    </row>
    <row r="1197" spans="1:6" x14ac:dyDescent="0.35">
      <c r="A1197" s="2">
        <f ca="1">IFERROR(__xludf.DUMMYFUNCTION("""COMPUTED_VALUE"""),43740.6666666666)</f>
        <v>43740.666666666599</v>
      </c>
      <c r="B1197" s="1">
        <f ca="1">IFERROR(__xludf.DUMMYFUNCTION("""COMPUTED_VALUE"""),136.25)</f>
        <v>136.25</v>
      </c>
      <c r="C1197" s="1">
        <f ca="1">IFERROR(__xludf.DUMMYFUNCTION("""COMPUTED_VALUE"""),136.37)</f>
        <v>136.37</v>
      </c>
      <c r="D1197" s="1">
        <f ca="1">IFERROR(__xludf.DUMMYFUNCTION("""COMPUTED_VALUE"""),133.58)</f>
        <v>133.58000000000001</v>
      </c>
      <c r="E1197" s="1">
        <f ca="1">IFERROR(__xludf.DUMMYFUNCTION("""COMPUTED_VALUE"""),134.65)</f>
        <v>134.65</v>
      </c>
      <c r="F1197" s="1">
        <f ca="1">IFERROR(__xludf.DUMMYFUNCTION("""COMPUTED_VALUE"""),32001763)</f>
        <v>32001763</v>
      </c>
    </row>
    <row r="1198" spans="1:6" x14ac:dyDescent="0.35">
      <c r="A1198" s="2">
        <f ca="1">IFERROR(__xludf.DUMMYFUNCTION("""COMPUTED_VALUE"""),43741.6666666666)</f>
        <v>43741.666666666599</v>
      </c>
      <c r="B1198" s="1">
        <f ca="1">IFERROR(__xludf.DUMMYFUNCTION("""COMPUTED_VALUE"""),134.95)</f>
        <v>134.94999999999999</v>
      </c>
      <c r="C1198" s="1">
        <f ca="1">IFERROR(__xludf.DUMMYFUNCTION("""COMPUTED_VALUE"""),136.75)</f>
        <v>136.75</v>
      </c>
      <c r="D1198" s="1">
        <f ca="1">IFERROR(__xludf.DUMMYFUNCTION("""COMPUTED_VALUE"""),133.22)</f>
        <v>133.22</v>
      </c>
      <c r="E1198" s="1">
        <f ca="1">IFERROR(__xludf.DUMMYFUNCTION("""COMPUTED_VALUE"""),136.28)</f>
        <v>136.28</v>
      </c>
      <c r="F1198" s="1">
        <f ca="1">IFERROR(__xludf.DUMMYFUNCTION("""COMPUTED_VALUE"""),26379798)</f>
        <v>26379798</v>
      </c>
    </row>
    <row r="1199" spans="1:6" x14ac:dyDescent="0.35">
      <c r="A1199" s="2">
        <f ca="1">IFERROR(__xludf.DUMMYFUNCTION("""COMPUTED_VALUE"""),43742.6666666666)</f>
        <v>43742.666666666599</v>
      </c>
      <c r="B1199" s="1">
        <f ca="1">IFERROR(__xludf.DUMMYFUNCTION("""COMPUTED_VALUE"""),136.75)</f>
        <v>136.75</v>
      </c>
      <c r="C1199" s="1">
        <f ca="1">IFERROR(__xludf.DUMMYFUNCTION("""COMPUTED_VALUE"""),138.25)</f>
        <v>138.25</v>
      </c>
      <c r="D1199" s="1">
        <f ca="1">IFERROR(__xludf.DUMMYFUNCTION("""COMPUTED_VALUE"""),136.42)</f>
        <v>136.41999999999999</v>
      </c>
      <c r="E1199" s="1">
        <f ca="1">IFERROR(__xludf.DUMMYFUNCTION("""COMPUTED_VALUE"""),138.12)</f>
        <v>138.12</v>
      </c>
      <c r="F1199" s="1">
        <f ca="1">IFERROR(__xludf.DUMMYFUNCTION("""COMPUTED_VALUE"""),23839548)</f>
        <v>23839548</v>
      </c>
    </row>
    <row r="1200" spans="1:6" x14ac:dyDescent="0.35">
      <c r="A1200" s="2">
        <f ca="1">IFERROR(__xludf.DUMMYFUNCTION("""COMPUTED_VALUE"""),43745.6666666666)</f>
        <v>43745.666666666599</v>
      </c>
      <c r="B1200" s="1">
        <f ca="1">IFERROR(__xludf.DUMMYFUNCTION("""COMPUTED_VALUE"""),137.14)</f>
        <v>137.13999999999999</v>
      </c>
      <c r="C1200" s="1">
        <f ca="1">IFERROR(__xludf.DUMMYFUNCTION("""COMPUTED_VALUE"""),138.18)</f>
        <v>138.18</v>
      </c>
      <c r="D1200" s="1">
        <f ca="1">IFERROR(__xludf.DUMMYFUNCTION("""COMPUTED_VALUE"""),137.02)</f>
        <v>137.02000000000001</v>
      </c>
      <c r="E1200" s="1">
        <f ca="1">IFERROR(__xludf.DUMMYFUNCTION("""COMPUTED_VALUE"""),137.12)</f>
        <v>137.12</v>
      </c>
      <c r="F1200" s="1">
        <f ca="1">IFERROR(__xludf.DUMMYFUNCTION("""COMPUTED_VALUE"""),16601284)</f>
        <v>16601284</v>
      </c>
    </row>
    <row r="1201" spans="1:6" x14ac:dyDescent="0.35">
      <c r="A1201" s="2">
        <f ca="1">IFERROR(__xludf.DUMMYFUNCTION("""COMPUTED_VALUE"""),43746.6666666666)</f>
        <v>43746.666666666599</v>
      </c>
      <c r="B1201" s="1">
        <f ca="1">IFERROR(__xludf.DUMMYFUNCTION("""COMPUTED_VALUE"""),137.08)</f>
        <v>137.08000000000001</v>
      </c>
      <c r="C1201" s="1">
        <f ca="1">IFERROR(__xludf.DUMMYFUNCTION("""COMPUTED_VALUE"""),137.76)</f>
        <v>137.76</v>
      </c>
      <c r="D1201" s="1">
        <f ca="1">IFERROR(__xludf.DUMMYFUNCTION("""COMPUTED_VALUE"""),135.62)</f>
        <v>135.62</v>
      </c>
      <c r="E1201" s="1">
        <f ca="1">IFERROR(__xludf.DUMMYFUNCTION("""COMPUTED_VALUE"""),135.67)</f>
        <v>135.66999999999999</v>
      </c>
      <c r="F1201" s="1">
        <f ca="1">IFERROR(__xludf.DUMMYFUNCTION("""COMPUTED_VALUE"""),26783336)</f>
        <v>26783336</v>
      </c>
    </row>
    <row r="1202" spans="1:6" x14ac:dyDescent="0.35">
      <c r="A1202" s="2">
        <f ca="1">IFERROR(__xludf.DUMMYFUNCTION("""COMPUTED_VALUE"""),43747.6666666666)</f>
        <v>43747.666666666599</v>
      </c>
      <c r="B1202" s="1">
        <f ca="1">IFERROR(__xludf.DUMMYFUNCTION("""COMPUTED_VALUE"""),137.46)</f>
        <v>137.46</v>
      </c>
      <c r="C1202" s="1">
        <f ca="1">IFERROR(__xludf.DUMMYFUNCTION("""COMPUTED_VALUE"""),138.7)</f>
        <v>138.69999999999999</v>
      </c>
      <c r="D1202" s="1">
        <f ca="1">IFERROR(__xludf.DUMMYFUNCTION("""COMPUTED_VALUE"""),136.97)</f>
        <v>136.97</v>
      </c>
      <c r="E1202" s="1">
        <f ca="1">IFERROR(__xludf.DUMMYFUNCTION("""COMPUTED_VALUE"""),138.24)</f>
        <v>138.24</v>
      </c>
      <c r="F1202" s="1">
        <f ca="1">IFERROR(__xludf.DUMMYFUNCTION("""COMPUTED_VALUE"""),20178482)</f>
        <v>20178482</v>
      </c>
    </row>
    <row r="1203" spans="1:6" x14ac:dyDescent="0.35">
      <c r="A1203" s="2">
        <f ca="1">IFERROR(__xludf.DUMMYFUNCTION("""COMPUTED_VALUE"""),43748.6666666666)</f>
        <v>43748.666666666599</v>
      </c>
      <c r="B1203" s="1">
        <f ca="1">IFERROR(__xludf.DUMMYFUNCTION("""COMPUTED_VALUE"""),138.49)</f>
        <v>138.49</v>
      </c>
      <c r="C1203" s="1">
        <f ca="1">IFERROR(__xludf.DUMMYFUNCTION("""COMPUTED_VALUE"""),139.67)</f>
        <v>139.66999999999999</v>
      </c>
      <c r="D1203" s="1">
        <f ca="1">IFERROR(__xludf.DUMMYFUNCTION("""COMPUTED_VALUE"""),138.25)</f>
        <v>138.25</v>
      </c>
      <c r="E1203" s="1">
        <f ca="1">IFERROR(__xludf.DUMMYFUNCTION("""COMPUTED_VALUE"""),139.1)</f>
        <v>139.1</v>
      </c>
      <c r="F1203" s="1">
        <f ca="1">IFERROR(__xludf.DUMMYFUNCTION("""COMPUTED_VALUE"""),18396605)</f>
        <v>18396605</v>
      </c>
    </row>
    <row r="1204" spans="1:6" x14ac:dyDescent="0.35">
      <c r="A1204" s="2">
        <f ca="1">IFERROR(__xludf.DUMMYFUNCTION("""COMPUTED_VALUE"""),43749.6666666666)</f>
        <v>43749.666666666599</v>
      </c>
      <c r="B1204" s="1">
        <f ca="1">IFERROR(__xludf.DUMMYFUNCTION("""COMPUTED_VALUE"""),140.12)</f>
        <v>140.12</v>
      </c>
      <c r="C1204" s="1">
        <f ca="1">IFERROR(__xludf.DUMMYFUNCTION("""COMPUTED_VALUE"""),141.03)</f>
        <v>141.03</v>
      </c>
      <c r="D1204" s="1">
        <f ca="1">IFERROR(__xludf.DUMMYFUNCTION("""COMPUTED_VALUE"""),139.5)</f>
        <v>139.5</v>
      </c>
      <c r="E1204" s="1">
        <f ca="1">IFERROR(__xludf.DUMMYFUNCTION("""COMPUTED_VALUE"""),139.68)</f>
        <v>139.68</v>
      </c>
      <c r="F1204" s="1">
        <f ca="1">IFERROR(__xludf.DUMMYFUNCTION("""COMPUTED_VALUE"""),25551065)</f>
        <v>25551065</v>
      </c>
    </row>
    <row r="1205" spans="1:6" x14ac:dyDescent="0.35">
      <c r="A1205" s="2">
        <f ca="1">IFERROR(__xludf.DUMMYFUNCTION("""COMPUTED_VALUE"""),43752.6666666666)</f>
        <v>43752.666666666599</v>
      </c>
      <c r="B1205" s="1">
        <f ca="1">IFERROR(__xludf.DUMMYFUNCTION("""COMPUTED_VALUE"""),139.69)</f>
        <v>139.69</v>
      </c>
      <c r="C1205" s="1">
        <f ca="1">IFERROR(__xludf.DUMMYFUNCTION("""COMPUTED_VALUE"""),140.29)</f>
        <v>140.29</v>
      </c>
      <c r="D1205" s="1">
        <f ca="1">IFERROR(__xludf.DUMMYFUNCTION("""COMPUTED_VALUE"""),139.52)</f>
        <v>139.52000000000001</v>
      </c>
      <c r="E1205" s="1">
        <f ca="1">IFERROR(__xludf.DUMMYFUNCTION("""COMPUTED_VALUE"""),139.55)</f>
        <v>139.55000000000001</v>
      </c>
      <c r="F1205" s="1">
        <f ca="1">IFERROR(__xludf.DUMMYFUNCTION("""COMPUTED_VALUE"""),13591639)</f>
        <v>13591639</v>
      </c>
    </row>
    <row r="1206" spans="1:6" x14ac:dyDescent="0.35">
      <c r="A1206" s="2">
        <f ca="1">IFERROR(__xludf.DUMMYFUNCTION("""COMPUTED_VALUE"""),43753.6666666666)</f>
        <v>43753.666666666599</v>
      </c>
      <c r="B1206" s="1">
        <f ca="1">IFERROR(__xludf.DUMMYFUNCTION("""COMPUTED_VALUE"""),140.06)</f>
        <v>140.06</v>
      </c>
      <c r="C1206" s="1">
        <f ca="1">IFERROR(__xludf.DUMMYFUNCTION("""COMPUTED_VALUE"""),141.79)</f>
        <v>141.79</v>
      </c>
      <c r="D1206" s="1">
        <f ca="1">IFERROR(__xludf.DUMMYFUNCTION("""COMPUTED_VALUE"""),139.81)</f>
        <v>139.81</v>
      </c>
      <c r="E1206" s="1">
        <f ca="1">IFERROR(__xludf.DUMMYFUNCTION("""COMPUTED_VALUE"""),141.57)</f>
        <v>141.57</v>
      </c>
      <c r="F1206" s="1">
        <f ca="1">IFERROR(__xludf.DUMMYFUNCTION("""COMPUTED_VALUE"""),19917762)</f>
        <v>19917762</v>
      </c>
    </row>
    <row r="1207" spans="1:6" x14ac:dyDescent="0.35">
      <c r="A1207" s="2">
        <f ca="1">IFERROR(__xludf.DUMMYFUNCTION("""COMPUTED_VALUE"""),43754.6666666666)</f>
        <v>43754.666666666599</v>
      </c>
      <c r="B1207" s="1">
        <f ca="1">IFERROR(__xludf.DUMMYFUNCTION("""COMPUTED_VALUE"""),140.79)</f>
        <v>140.79</v>
      </c>
      <c r="C1207" s="1">
        <f ca="1">IFERROR(__xludf.DUMMYFUNCTION("""COMPUTED_VALUE"""),140.99)</f>
        <v>140.99</v>
      </c>
      <c r="D1207" s="1">
        <f ca="1">IFERROR(__xludf.DUMMYFUNCTION("""COMPUTED_VALUE"""),139.53)</f>
        <v>139.53</v>
      </c>
      <c r="E1207" s="1">
        <f ca="1">IFERROR(__xludf.DUMMYFUNCTION("""COMPUTED_VALUE"""),140.41)</f>
        <v>140.41</v>
      </c>
      <c r="F1207" s="1">
        <f ca="1">IFERROR(__xludf.DUMMYFUNCTION("""COMPUTED_VALUE"""),20841687)</f>
        <v>20841687</v>
      </c>
    </row>
    <row r="1208" spans="1:6" x14ac:dyDescent="0.35">
      <c r="A1208" s="2">
        <f ca="1">IFERROR(__xludf.DUMMYFUNCTION("""COMPUTED_VALUE"""),43755.6666666666)</f>
        <v>43755.666666666599</v>
      </c>
      <c r="B1208" s="1">
        <f ca="1">IFERROR(__xludf.DUMMYFUNCTION("""COMPUTED_VALUE"""),140.95)</f>
        <v>140.94999999999999</v>
      </c>
      <c r="C1208" s="1">
        <f ca="1">IFERROR(__xludf.DUMMYFUNCTION("""COMPUTED_VALUE"""),141.42)</f>
        <v>141.41999999999999</v>
      </c>
      <c r="D1208" s="1">
        <f ca="1">IFERROR(__xludf.DUMMYFUNCTION("""COMPUTED_VALUE"""),139.02)</f>
        <v>139.02000000000001</v>
      </c>
      <c r="E1208" s="1">
        <f ca="1">IFERROR(__xludf.DUMMYFUNCTION("""COMPUTED_VALUE"""),139.69)</f>
        <v>139.69</v>
      </c>
      <c r="F1208" s="1">
        <f ca="1">IFERROR(__xludf.DUMMYFUNCTION("""COMPUTED_VALUE"""),22102797)</f>
        <v>22102797</v>
      </c>
    </row>
    <row r="1209" spans="1:6" x14ac:dyDescent="0.35">
      <c r="A1209" s="2">
        <f ca="1">IFERROR(__xludf.DUMMYFUNCTION("""COMPUTED_VALUE"""),43756.6666666666)</f>
        <v>43756.666666666599</v>
      </c>
      <c r="B1209" s="1">
        <f ca="1">IFERROR(__xludf.DUMMYFUNCTION("""COMPUTED_VALUE"""),139.76)</f>
        <v>139.76</v>
      </c>
      <c r="C1209" s="1">
        <f ca="1">IFERROR(__xludf.DUMMYFUNCTION("""COMPUTED_VALUE"""),140)</f>
        <v>140</v>
      </c>
      <c r="D1209" s="1">
        <f ca="1">IFERROR(__xludf.DUMMYFUNCTION("""COMPUTED_VALUE"""),136.56)</f>
        <v>136.56</v>
      </c>
      <c r="E1209" s="1">
        <f ca="1">IFERROR(__xludf.DUMMYFUNCTION("""COMPUTED_VALUE"""),137.41)</f>
        <v>137.41</v>
      </c>
      <c r="F1209" s="1">
        <f ca="1">IFERROR(__xludf.DUMMYFUNCTION("""COMPUTED_VALUE"""),32284428)</f>
        <v>32284428</v>
      </c>
    </row>
    <row r="1210" spans="1:6" x14ac:dyDescent="0.35">
      <c r="A1210" s="2">
        <f ca="1">IFERROR(__xludf.DUMMYFUNCTION("""COMPUTED_VALUE"""),43759.6666666666)</f>
        <v>43759.666666666599</v>
      </c>
      <c r="B1210" s="1">
        <f ca="1">IFERROR(__xludf.DUMMYFUNCTION("""COMPUTED_VALUE"""),138.45)</f>
        <v>138.44999999999999</v>
      </c>
      <c r="C1210" s="1">
        <f ca="1">IFERROR(__xludf.DUMMYFUNCTION("""COMPUTED_VALUE"""),138.5)</f>
        <v>138.5</v>
      </c>
      <c r="D1210" s="1">
        <f ca="1">IFERROR(__xludf.DUMMYFUNCTION("""COMPUTED_VALUE"""),137.01)</f>
        <v>137.01</v>
      </c>
      <c r="E1210" s="1">
        <f ca="1">IFERROR(__xludf.DUMMYFUNCTION("""COMPUTED_VALUE"""),138.43)</f>
        <v>138.43</v>
      </c>
      <c r="F1210" s="1">
        <f ca="1">IFERROR(__xludf.DUMMYFUNCTION("""COMPUTED_VALUE"""),20716039)</f>
        <v>20716039</v>
      </c>
    </row>
    <row r="1211" spans="1:6" x14ac:dyDescent="0.35">
      <c r="A1211" s="2">
        <f ca="1">IFERROR(__xludf.DUMMYFUNCTION("""COMPUTED_VALUE"""),43760.6666666666)</f>
        <v>43760.666666666599</v>
      </c>
      <c r="B1211" s="1">
        <f ca="1">IFERROR(__xludf.DUMMYFUNCTION("""COMPUTED_VALUE"""),138.97)</f>
        <v>138.97</v>
      </c>
      <c r="C1211" s="1">
        <f ca="1">IFERROR(__xludf.DUMMYFUNCTION("""COMPUTED_VALUE"""),140.01)</f>
        <v>140.01</v>
      </c>
      <c r="D1211" s="1">
        <f ca="1">IFERROR(__xludf.DUMMYFUNCTION("""COMPUTED_VALUE"""),136.26)</f>
        <v>136.26</v>
      </c>
      <c r="E1211" s="1">
        <f ca="1">IFERROR(__xludf.DUMMYFUNCTION("""COMPUTED_VALUE"""),136.37)</f>
        <v>136.37</v>
      </c>
      <c r="F1211" s="1">
        <f ca="1">IFERROR(__xludf.DUMMYFUNCTION("""COMPUTED_VALUE"""),27935270)</f>
        <v>27935270</v>
      </c>
    </row>
    <row r="1212" spans="1:6" x14ac:dyDescent="0.35">
      <c r="A1212" s="2">
        <f ca="1">IFERROR(__xludf.DUMMYFUNCTION("""COMPUTED_VALUE"""),43761.6666666666)</f>
        <v>43761.666666666599</v>
      </c>
      <c r="B1212" s="1">
        <f ca="1">IFERROR(__xludf.DUMMYFUNCTION("""COMPUTED_VALUE"""),136.88)</f>
        <v>136.88</v>
      </c>
      <c r="C1212" s="1">
        <f ca="1">IFERROR(__xludf.DUMMYFUNCTION("""COMPUTED_VALUE"""),137.45)</f>
        <v>137.44999999999999</v>
      </c>
      <c r="D1212" s="1">
        <f ca="1">IFERROR(__xludf.DUMMYFUNCTION("""COMPUTED_VALUE"""),135.61)</f>
        <v>135.61000000000001</v>
      </c>
      <c r="E1212" s="1">
        <f ca="1">IFERROR(__xludf.DUMMYFUNCTION("""COMPUTED_VALUE"""),137.24)</f>
        <v>137.24</v>
      </c>
      <c r="F1212" s="1">
        <f ca="1">IFERROR(__xludf.DUMMYFUNCTION("""COMPUTED_VALUE"""),31380309)</f>
        <v>31380309</v>
      </c>
    </row>
    <row r="1213" spans="1:6" x14ac:dyDescent="0.35">
      <c r="A1213" s="2">
        <f ca="1">IFERROR(__xludf.DUMMYFUNCTION("""COMPUTED_VALUE"""),43762.6666666666)</f>
        <v>43762.666666666599</v>
      </c>
      <c r="B1213" s="1">
        <f ca="1">IFERROR(__xludf.DUMMYFUNCTION("""COMPUTED_VALUE"""),139.39)</f>
        <v>139.38999999999999</v>
      </c>
      <c r="C1213" s="1">
        <f ca="1">IFERROR(__xludf.DUMMYFUNCTION("""COMPUTED_VALUE"""),140.42)</f>
        <v>140.41999999999999</v>
      </c>
      <c r="D1213" s="1">
        <f ca="1">IFERROR(__xludf.DUMMYFUNCTION("""COMPUTED_VALUE"""),138.67)</f>
        <v>138.66999999999999</v>
      </c>
      <c r="E1213" s="1">
        <f ca="1">IFERROR(__xludf.DUMMYFUNCTION("""COMPUTED_VALUE"""),139.94)</f>
        <v>139.94</v>
      </c>
      <c r="F1213" s="1">
        <f ca="1">IFERROR(__xludf.DUMMYFUNCTION("""COMPUTED_VALUE"""),37278399)</f>
        <v>37278399</v>
      </c>
    </row>
    <row r="1214" spans="1:6" x14ac:dyDescent="0.35">
      <c r="A1214" s="2">
        <f ca="1">IFERROR(__xludf.DUMMYFUNCTION("""COMPUTED_VALUE"""),43763.6666666666)</f>
        <v>43763.666666666599</v>
      </c>
      <c r="B1214" s="1">
        <f ca="1">IFERROR(__xludf.DUMMYFUNCTION("""COMPUTED_VALUE"""),139.34)</f>
        <v>139.34</v>
      </c>
      <c r="C1214" s="1">
        <f ca="1">IFERROR(__xludf.DUMMYFUNCTION("""COMPUTED_VALUE"""),141.14)</f>
        <v>141.13999999999999</v>
      </c>
      <c r="D1214" s="1">
        <f ca="1">IFERROR(__xludf.DUMMYFUNCTION("""COMPUTED_VALUE"""),139.2)</f>
        <v>139.19999999999999</v>
      </c>
      <c r="E1214" s="1">
        <f ca="1">IFERROR(__xludf.DUMMYFUNCTION("""COMPUTED_VALUE"""),140.73)</f>
        <v>140.72999999999999</v>
      </c>
      <c r="F1214" s="1">
        <f ca="1">IFERROR(__xludf.DUMMYFUNCTION("""COMPUTED_VALUE"""),25959724)</f>
        <v>25959724</v>
      </c>
    </row>
    <row r="1215" spans="1:6" x14ac:dyDescent="0.35">
      <c r="A1215" s="2">
        <f ca="1">IFERROR(__xludf.DUMMYFUNCTION("""COMPUTED_VALUE"""),43766.6666666666)</f>
        <v>43766.666666666599</v>
      </c>
      <c r="B1215" s="1">
        <f ca="1">IFERROR(__xludf.DUMMYFUNCTION("""COMPUTED_VALUE"""),144.4)</f>
        <v>144.4</v>
      </c>
      <c r="C1215" s="1">
        <f ca="1">IFERROR(__xludf.DUMMYFUNCTION("""COMPUTED_VALUE"""),145.67)</f>
        <v>145.66999999999999</v>
      </c>
      <c r="D1215" s="1">
        <f ca="1">IFERROR(__xludf.DUMMYFUNCTION("""COMPUTED_VALUE"""),143.51)</f>
        <v>143.51</v>
      </c>
      <c r="E1215" s="1">
        <f ca="1">IFERROR(__xludf.DUMMYFUNCTION("""COMPUTED_VALUE"""),144.19)</f>
        <v>144.19</v>
      </c>
      <c r="F1215" s="1">
        <f ca="1">IFERROR(__xludf.DUMMYFUNCTION("""COMPUTED_VALUE"""),35280137)</f>
        <v>35280137</v>
      </c>
    </row>
    <row r="1216" spans="1:6" x14ac:dyDescent="0.35">
      <c r="A1216" s="2">
        <f ca="1">IFERROR(__xludf.DUMMYFUNCTION("""COMPUTED_VALUE"""),43767.6666666666)</f>
        <v>43767.666666666599</v>
      </c>
      <c r="B1216" s="1">
        <f ca="1">IFERROR(__xludf.DUMMYFUNCTION("""COMPUTED_VALUE"""),144.08)</f>
        <v>144.08000000000001</v>
      </c>
      <c r="C1216" s="1">
        <f ca="1">IFERROR(__xludf.DUMMYFUNCTION("""COMPUTED_VALUE"""),144.5)</f>
        <v>144.5</v>
      </c>
      <c r="D1216" s="1">
        <f ca="1">IFERROR(__xludf.DUMMYFUNCTION("""COMPUTED_VALUE"""),142.65)</f>
        <v>142.65</v>
      </c>
      <c r="E1216" s="1">
        <f ca="1">IFERROR(__xludf.DUMMYFUNCTION("""COMPUTED_VALUE"""),142.83)</f>
        <v>142.83000000000001</v>
      </c>
      <c r="F1216" s="1">
        <f ca="1">IFERROR(__xludf.DUMMYFUNCTION("""COMPUTED_VALUE"""),20589469)</f>
        <v>20589469</v>
      </c>
    </row>
    <row r="1217" spans="1:6" x14ac:dyDescent="0.35">
      <c r="A1217" s="2">
        <f ca="1">IFERROR(__xludf.DUMMYFUNCTION("""COMPUTED_VALUE"""),43768.6666666666)</f>
        <v>43768.666666666599</v>
      </c>
      <c r="B1217" s="1">
        <f ca="1">IFERROR(__xludf.DUMMYFUNCTION("""COMPUTED_VALUE"""),143.52)</f>
        <v>143.52000000000001</v>
      </c>
      <c r="C1217" s="1">
        <f ca="1">IFERROR(__xludf.DUMMYFUNCTION("""COMPUTED_VALUE"""),145)</f>
        <v>145</v>
      </c>
      <c r="D1217" s="1">
        <f ca="1">IFERROR(__xludf.DUMMYFUNCTION("""COMPUTED_VALUE"""),142.79)</f>
        <v>142.79</v>
      </c>
      <c r="E1217" s="1">
        <f ca="1">IFERROR(__xludf.DUMMYFUNCTION("""COMPUTED_VALUE"""),144.61)</f>
        <v>144.61000000000001</v>
      </c>
      <c r="F1217" s="1">
        <f ca="1">IFERROR(__xludf.DUMMYFUNCTION("""COMPUTED_VALUE"""),18496591)</f>
        <v>18496591</v>
      </c>
    </row>
    <row r="1218" spans="1:6" x14ac:dyDescent="0.35">
      <c r="A1218" s="2">
        <f ca="1">IFERROR(__xludf.DUMMYFUNCTION("""COMPUTED_VALUE"""),43769.6666666666)</f>
        <v>43769.666666666599</v>
      </c>
      <c r="B1218" s="1">
        <f ca="1">IFERROR(__xludf.DUMMYFUNCTION("""COMPUTED_VALUE"""),144.9)</f>
        <v>144.9</v>
      </c>
      <c r="C1218" s="1">
        <f ca="1">IFERROR(__xludf.DUMMYFUNCTION("""COMPUTED_VALUE"""),144.93)</f>
        <v>144.93</v>
      </c>
      <c r="D1218" s="1">
        <f ca="1">IFERROR(__xludf.DUMMYFUNCTION("""COMPUTED_VALUE"""),142.99)</f>
        <v>142.99</v>
      </c>
      <c r="E1218" s="1">
        <f ca="1">IFERROR(__xludf.DUMMYFUNCTION("""COMPUTED_VALUE"""),143.37)</f>
        <v>143.37</v>
      </c>
      <c r="F1218" s="1">
        <f ca="1">IFERROR(__xludf.DUMMYFUNCTION("""COMPUTED_VALUE"""),24605135)</f>
        <v>24605135</v>
      </c>
    </row>
    <row r="1219" spans="1:6" x14ac:dyDescent="0.35">
      <c r="A1219" s="2">
        <f ca="1">IFERROR(__xludf.DUMMYFUNCTION("""COMPUTED_VALUE"""),43770.6666666666)</f>
        <v>43770.666666666599</v>
      </c>
      <c r="B1219" s="1">
        <f ca="1">IFERROR(__xludf.DUMMYFUNCTION("""COMPUTED_VALUE"""),144.26)</f>
        <v>144.26</v>
      </c>
      <c r="C1219" s="1">
        <f ca="1">IFERROR(__xludf.DUMMYFUNCTION("""COMPUTED_VALUE"""),144.42)</f>
        <v>144.41999999999999</v>
      </c>
      <c r="D1219" s="1">
        <f ca="1">IFERROR(__xludf.DUMMYFUNCTION("""COMPUTED_VALUE"""),142.97)</f>
        <v>142.97</v>
      </c>
      <c r="E1219" s="1">
        <f ca="1">IFERROR(__xludf.DUMMYFUNCTION("""COMPUTED_VALUE"""),143.72)</f>
        <v>143.72</v>
      </c>
      <c r="F1219" s="1">
        <f ca="1">IFERROR(__xludf.DUMMYFUNCTION("""COMPUTED_VALUE"""),33128366)</f>
        <v>33128366</v>
      </c>
    </row>
    <row r="1220" spans="1:6" x14ac:dyDescent="0.35">
      <c r="A1220" s="2">
        <f ca="1">IFERROR(__xludf.DUMMYFUNCTION("""COMPUTED_VALUE"""),43773.6666666666)</f>
        <v>43773.666666666599</v>
      </c>
      <c r="B1220" s="1">
        <f ca="1">IFERROR(__xludf.DUMMYFUNCTION("""COMPUTED_VALUE"""),144.83)</f>
        <v>144.83000000000001</v>
      </c>
      <c r="C1220" s="1">
        <f ca="1">IFERROR(__xludf.DUMMYFUNCTION("""COMPUTED_VALUE"""),145)</f>
        <v>145</v>
      </c>
      <c r="D1220" s="1">
        <f ca="1">IFERROR(__xludf.DUMMYFUNCTION("""COMPUTED_VALUE"""),144.16)</f>
        <v>144.16</v>
      </c>
      <c r="E1220" s="1">
        <f ca="1">IFERROR(__xludf.DUMMYFUNCTION("""COMPUTED_VALUE"""),144.55)</f>
        <v>144.55000000000001</v>
      </c>
      <c r="F1220" s="1">
        <f ca="1">IFERROR(__xludf.DUMMYFUNCTION("""COMPUTED_VALUE"""),16911999)</f>
        <v>16911999</v>
      </c>
    </row>
    <row r="1221" spans="1:6" x14ac:dyDescent="0.35">
      <c r="A1221" s="2">
        <f ca="1">IFERROR(__xludf.DUMMYFUNCTION("""COMPUTED_VALUE"""),43774.6666666666)</f>
        <v>43774.666666666599</v>
      </c>
      <c r="B1221" s="1">
        <f ca="1">IFERROR(__xludf.DUMMYFUNCTION("""COMPUTED_VALUE"""),144.97)</f>
        <v>144.97</v>
      </c>
      <c r="C1221" s="1">
        <f ca="1">IFERROR(__xludf.DUMMYFUNCTION("""COMPUTED_VALUE"""),145.02)</f>
        <v>145.02000000000001</v>
      </c>
      <c r="D1221" s="1">
        <f ca="1">IFERROR(__xludf.DUMMYFUNCTION("""COMPUTED_VALUE"""),143.91)</f>
        <v>143.91</v>
      </c>
      <c r="E1221" s="1">
        <f ca="1">IFERROR(__xludf.DUMMYFUNCTION("""COMPUTED_VALUE"""),144.46)</f>
        <v>144.46</v>
      </c>
      <c r="F1221" s="1">
        <f ca="1">IFERROR(__xludf.DUMMYFUNCTION("""COMPUTED_VALUE"""),18250172)</f>
        <v>18250172</v>
      </c>
    </row>
    <row r="1222" spans="1:6" x14ac:dyDescent="0.35">
      <c r="A1222" s="2">
        <f ca="1">IFERROR(__xludf.DUMMYFUNCTION("""COMPUTED_VALUE"""),43775.6666666666)</f>
        <v>43775.666666666599</v>
      </c>
      <c r="B1222" s="1">
        <f ca="1">IFERROR(__xludf.DUMMYFUNCTION("""COMPUTED_VALUE"""),144.37)</f>
        <v>144.37</v>
      </c>
      <c r="C1222" s="1">
        <f ca="1">IFERROR(__xludf.DUMMYFUNCTION("""COMPUTED_VALUE"""),144.52)</f>
        <v>144.52000000000001</v>
      </c>
      <c r="D1222" s="1">
        <f ca="1">IFERROR(__xludf.DUMMYFUNCTION("""COMPUTED_VALUE"""),143.2)</f>
        <v>143.19999999999999</v>
      </c>
      <c r="E1222" s="1">
        <f ca="1">IFERROR(__xludf.DUMMYFUNCTION("""COMPUTED_VALUE"""),144.06)</f>
        <v>144.06</v>
      </c>
      <c r="F1222" s="1">
        <f ca="1">IFERROR(__xludf.DUMMYFUNCTION("""COMPUTED_VALUE"""),16575798)</f>
        <v>16575798</v>
      </c>
    </row>
    <row r="1223" spans="1:6" x14ac:dyDescent="0.35">
      <c r="A1223" s="2">
        <f ca="1">IFERROR(__xludf.DUMMYFUNCTION("""COMPUTED_VALUE"""),43776.6666666666)</f>
        <v>43776.666666666599</v>
      </c>
      <c r="B1223" s="1">
        <f ca="1">IFERROR(__xludf.DUMMYFUNCTION("""COMPUTED_VALUE"""),143.84)</f>
        <v>143.84</v>
      </c>
      <c r="C1223" s="1">
        <f ca="1">IFERROR(__xludf.DUMMYFUNCTION("""COMPUTED_VALUE"""),144.88)</f>
        <v>144.88</v>
      </c>
      <c r="D1223" s="1">
        <f ca="1">IFERROR(__xludf.DUMMYFUNCTION("""COMPUTED_VALUE"""),143.77)</f>
        <v>143.77000000000001</v>
      </c>
      <c r="E1223" s="1">
        <f ca="1">IFERROR(__xludf.DUMMYFUNCTION("""COMPUTED_VALUE"""),144.26)</f>
        <v>144.26</v>
      </c>
      <c r="F1223" s="1">
        <f ca="1">IFERROR(__xludf.DUMMYFUNCTION("""COMPUTED_VALUE"""),17786715)</f>
        <v>17786715</v>
      </c>
    </row>
    <row r="1224" spans="1:6" x14ac:dyDescent="0.35">
      <c r="A1224" s="2">
        <f ca="1">IFERROR(__xludf.DUMMYFUNCTION("""COMPUTED_VALUE"""),43777.6666666666)</f>
        <v>43777.666666666599</v>
      </c>
      <c r="B1224" s="1">
        <f ca="1">IFERROR(__xludf.DUMMYFUNCTION("""COMPUTED_VALUE"""),143.98)</f>
        <v>143.97999999999999</v>
      </c>
      <c r="C1224" s="1">
        <f ca="1">IFERROR(__xludf.DUMMYFUNCTION("""COMPUTED_VALUE"""),145.99)</f>
        <v>145.99</v>
      </c>
      <c r="D1224" s="1">
        <f ca="1">IFERROR(__xludf.DUMMYFUNCTION("""COMPUTED_VALUE"""),143.76)</f>
        <v>143.76</v>
      </c>
      <c r="E1224" s="1">
        <f ca="1">IFERROR(__xludf.DUMMYFUNCTION("""COMPUTED_VALUE"""),145.96)</f>
        <v>145.96</v>
      </c>
      <c r="F1224" s="1">
        <f ca="1">IFERROR(__xludf.DUMMYFUNCTION("""COMPUTED_VALUE"""),16752939)</f>
        <v>16752939</v>
      </c>
    </row>
    <row r="1225" spans="1:6" x14ac:dyDescent="0.35">
      <c r="A1225" s="2">
        <f ca="1">IFERROR(__xludf.DUMMYFUNCTION("""COMPUTED_VALUE"""),43780.6666666666)</f>
        <v>43780.666666666599</v>
      </c>
      <c r="B1225" s="1">
        <f ca="1">IFERROR(__xludf.DUMMYFUNCTION("""COMPUTED_VALUE"""),145.34)</f>
        <v>145.34</v>
      </c>
      <c r="C1225" s="1">
        <f ca="1">IFERROR(__xludf.DUMMYFUNCTION("""COMPUTED_VALUE"""),146.42)</f>
        <v>146.41999999999999</v>
      </c>
      <c r="D1225" s="1">
        <f ca="1">IFERROR(__xludf.DUMMYFUNCTION("""COMPUTED_VALUE"""),144.73)</f>
        <v>144.72999999999999</v>
      </c>
      <c r="E1225" s="1">
        <f ca="1">IFERROR(__xludf.DUMMYFUNCTION("""COMPUTED_VALUE"""),146.11)</f>
        <v>146.11000000000001</v>
      </c>
      <c r="F1225" s="1">
        <f ca="1">IFERROR(__xludf.DUMMYFUNCTION("""COMPUTED_VALUE"""),14370178)</f>
        <v>14370178</v>
      </c>
    </row>
    <row r="1226" spans="1:6" x14ac:dyDescent="0.35">
      <c r="A1226" s="2">
        <f ca="1">IFERROR(__xludf.DUMMYFUNCTION("""COMPUTED_VALUE"""),43781.6666666666)</f>
        <v>43781.666666666599</v>
      </c>
      <c r="B1226" s="1">
        <f ca="1">IFERROR(__xludf.DUMMYFUNCTION("""COMPUTED_VALUE"""),146.28)</f>
        <v>146.28</v>
      </c>
      <c r="C1226" s="1">
        <f ca="1">IFERROR(__xludf.DUMMYFUNCTION("""COMPUTED_VALUE"""),147.57)</f>
        <v>147.57</v>
      </c>
      <c r="D1226" s="1">
        <f ca="1">IFERROR(__xludf.DUMMYFUNCTION("""COMPUTED_VALUE"""),146.06)</f>
        <v>146.06</v>
      </c>
      <c r="E1226" s="1">
        <f ca="1">IFERROR(__xludf.DUMMYFUNCTION("""COMPUTED_VALUE"""),147.07)</f>
        <v>147.07</v>
      </c>
      <c r="F1226" s="1">
        <f ca="1">IFERROR(__xludf.DUMMYFUNCTION("""COMPUTED_VALUE"""),18648712)</f>
        <v>18648712</v>
      </c>
    </row>
    <row r="1227" spans="1:6" x14ac:dyDescent="0.35">
      <c r="A1227" s="2">
        <f ca="1">IFERROR(__xludf.DUMMYFUNCTION("""COMPUTED_VALUE"""),43782.6666666666)</f>
        <v>43782.666666666599</v>
      </c>
      <c r="B1227" s="1">
        <f ca="1">IFERROR(__xludf.DUMMYFUNCTION("""COMPUTED_VALUE"""),146.74)</f>
        <v>146.74</v>
      </c>
      <c r="C1227" s="1">
        <f ca="1">IFERROR(__xludf.DUMMYFUNCTION("""COMPUTED_VALUE"""),147.46)</f>
        <v>147.46</v>
      </c>
      <c r="D1227" s="1">
        <f ca="1">IFERROR(__xludf.DUMMYFUNCTION("""COMPUTED_VALUE"""),146.28)</f>
        <v>146.28</v>
      </c>
      <c r="E1227" s="1">
        <f ca="1">IFERROR(__xludf.DUMMYFUNCTION("""COMPUTED_VALUE"""),147.31)</f>
        <v>147.31</v>
      </c>
      <c r="F1227" s="1">
        <f ca="1">IFERROR(__xludf.DUMMYFUNCTION("""COMPUTED_VALUE"""),17444230)</f>
        <v>17444230</v>
      </c>
    </row>
    <row r="1228" spans="1:6" x14ac:dyDescent="0.35">
      <c r="A1228" s="2">
        <f ca="1">IFERROR(__xludf.DUMMYFUNCTION("""COMPUTED_VALUE"""),43783.6666666666)</f>
        <v>43783.666666666599</v>
      </c>
      <c r="B1228" s="1">
        <f ca="1">IFERROR(__xludf.DUMMYFUNCTION("""COMPUTED_VALUE"""),147.02)</f>
        <v>147.02000000000001</v>
      </c>
      <c r="C1228" s="1">
        <f ca="1">IFERROR(__xludf.DUMMYFUNCTION("""COMPUTED_VALUE"""),148.41)</f>
        <v>148.41</v>
      </c>
      <c r="D1228" s="1">
        <f ca="1">IFERROR(__xludf.DUMMYFUNCTION("""COMPUTED_VALUE"""),147)</f>
        <v>147</v>
      </c>
      <c r="E1228" s="1">
        <f ca="1">IFERROR(__xludf.DUMMYFUNCTION("""COMPUTED_VALUE"""),148.06)</f>
        <v>148.06</v>
      </c>
      <c r="F1228" s="1">
        <f ca="1">IFERROR(__xludf.DUMMYFUNCTION("""COMPUTED_VALUE"""),19755100)</f>
        <v>19755100</v>
      </c>
    </row>
    <row r="1229" spans="1:6" x14ac:dyDescent="0.35">
      <c r="A1229" s="2">
        <f ca="1">IFERROR(__xludf.DUMMYFUNCTION("""COMPUTED_VALUE"""),43784.6666666666)</f>
        <v>43784.666666666599</v>
      </c>
      <c r="B1229" s="1">
        <f ca="1">IFERROR(__xludf.DUMMYFUNCTION("""COMPUTED_VALUE"""),148.93)</f>
        <v>148.93</v>
      </c>
      <c r="C1229" s="1">
        <f ca="1">IFERROR(__xludf.DUMMYFUNCTION("""COMPUTED_VALUE"""),149.99)</f>
        <v>149.99</v>
      </c>
      <c r="D1229" s="1">
        <f ca="1">IFERROR(__xludf.DUMMYFUNCTION("""COMPUTED_VALUE"""),148.27)</f>
        <v>148.27000000000001</v>
      </c>
      <c r="E1229" s="1">
        <f ca="1">IFERROR(__xludf.DUMMYFUNCTION("""COMPUTED_VALUE"""),149.97)</f>
        <v>149.97</v>
      </c>
      <c r="F1229" s="1">
        <f ca="1">IFERROR(__xludf.DUMMYFUNCTION("""COMPUTED_VALUE"""),23508807)</f>
        <v>23508807</v>
      </c>
    </row>
    <row r="1230" spans="1:6" x14ac:dyDescent="0.35">
      <c r="A1230" s="2">
        <f ca="1">IFERROR(__xludf.DUMMYFUNCTION("""COMPUTED_VALUE"""),43787.6666666666)</f>
        <v>43787.666666666599</v>
      </c>
      <c r="B1230" s="1">
        <f ca="1">IFERROR(__xludf.DUMMYFUNCTION("""COMPUTED_VALUE"""),150.07)</f>
        <v>150.07</v>
      </c>
      <c r="C1230" s="1">
        <f ca="1">IFERROR(__xludf.DUMMYFUNCTION("""COMPUTED_VALUE"""),150.55)</f>
        <v>150.55000000000001</v>
      </c>
      <c r="D1230" s="1">
        <f ca="1">IFERROR(__xludf.DUMMYFUNCTION("""COMPUTED_VALUE"""),148.98)</f>
        <v>148.97999999999999</v>
      </c>
      <c r="E1230" s="1">
        <f ca="1">IFERROR(__xludf.DUMMYFUNCTION("""COMPUTED_VALUE"""),150.34)</f>
        <v>150.34</v>
      </c>
      <c r="F1230" s="1">
        <f ca="1">IFERROR(__xludf.DUMMYFUNCTION("""COMPUTED_VALUE"""),21554762)</f>
        <v>21554762</v>
      </c>
    </row>
    <row r="1231" spans="1:6" x14ac:dyDescent="0.35">
      <c r="A1231" s="2">
        <f ca="1">IFERROR(__xludf.DUMMYFUNCTION("""COMPUTED_VALUE"""),43788.6666666666)</f>
        <v>43788.666666666599</v>
      </c>
      <c r="B1231" s="1">
        <f ca="1">IFERROR(__xludf.DUMMYFUNCTION("""COMPUTED_VALUE"""),150.88)</f>
        <v>150.88</v>
      </c>
      <c r="C1231" s="1">
        <f ca="1">IFERROR(__xludf.DUMMYFUNCTION("""COMPUTED_VALUE"""),151.33)</f>
        <v>151.33000000000001</v>
      </c>
      <c r="D1231" s="1">
        <f ca="1">IFERROR(__xludf.DUMMYFUNCTION("""COMPUTED_VALUE"""),150.2)</f>
        <v>150.19999999999999</v>
      </c>
      <c r="E1231" s="1">
        <f ca="1">IFERROR(__xludf.DUMMYFUNCTION("""COMPUTED_VALUE"""),150.39)</f>
        <v>150.38999999999999</v>
      </c>
      <c r="F1231" s="1">
        <f ca="1">IFERROR(__xludf.DUMMYFUNCTION("""COMPUTED_VALUE"""),23960164)</f>
        <v>23960164</v>
      </c>
    </row>
    <row r="1232" spans="1:6" x14ac:dyDescent="0.35">
      <c r="A1232" s="2">
        <f ca="1">IFERROR(__xludf.DUMMYFUNCTION("""COMPUTED_VALUE"""),43789.6666666666)</f>
        <v>43789.666666666599</v>
      </c>
      <c r="B1232" s="1">
        <f ca="1">IFERROR(__xludf.DUMMYFUNCTION("""COMPUTED_VALUE"""),150.31)</f>
        <v>150.31</v>
      </c>
      <c r="C1232" s="1">
        <f ca="1">IFERROR(__xludf.DUMMYFUNCTION("""COMPUTED_VALUE"""),150.84)</f>
        <v>150.84</v>
      </c>
      <c r="D1232" s="1">
        <f ca="1">IFERROR(__xludf.DUMMYFUNCTION("""COMPUTED_VALUE"""),148.46)</f>
        <v>148.46</v>
      </c>
      <c r="E1232" s="1">
        <f ca="1">IFERROR(__xludf.DUMMYFUNCTION("""COMPUTED_VALUE"""),149.62)</f>
        <v>149.62</v>
      </c>
      <c r="F1232" s="1">
        <f ca="1">IFERROR(__xludf.DUMMYFUNCTION("""COMPUTED_VALUE"""),25720060)</f>
        <v>25720060</v>
      </c>
    </row>
    <row r="1233" spans="1:6" x14ac:dyDescent="0.35">
      <c r="A1233" s="2">
        <f ca="1">IFERROR(__xludf.DUMMYFUNCTION("""COMPUTED_VALUE"""),43790.6666666666)</f>
        <v>43790.666666666599</v>
      </c>
      <c r="B1233" s="1">
        <f ca="1">IFERROR(__xludf.DUMMYFUNCTION("""COMPUTED_VALUE"""),149.4)</f>
        <v>149.4</v>
      </c>
      <c r="C1233" s="1">
        <f ca="1">IFERROR(__xludf.DUMMYFUNCTION("""COMPUTED_VALUE"""),149.8)</f>
        <v>149.80000000000001</v>
      </c>
      <c r="D1233" s="1">
        <f ca="1">IFERROR(__xludf.DUMMYFUNCTION("""COMPUTED_VALUE"""),148.5)</f>
        <v>148.5</v>
      </c>
      <c r="E1233" s="1">
        <f ca="1">IFERROR(__xludf.DUMMYFUNCTION("""COMPUTED_VALUE"""),149.48)</f>
        <v>149.47999999999999</v>
      </c>
      <c r="F1233" s="1">
        <f ca="1">IFERROR(__xludf.DUMMYFUNCTION("""COMPUTED_VALUE"""),18576083)</f>
        <v>18576083</v>
      </c>
    </row>
    <row r="1234" spans="1:6" x14ac:dyDescent="0.35">
      <c r="A1234" s="2">
        <f ca="1">IFERROR(__xludf.DUMMYFUNCTION("""COMPUTED_VALUE"""),43791.6666666666)</f>
        <v>43791.666666666599</v>
      </c>
      <c r="B1234" s="1">
        <f ca="1">IFERROR(__xludf.DUMMYFUNCTION("""COMPUTED_VALUE"""),150.07)</f>
        <v>150.07</v>
      </c>
      <c r="C1234" s="1">
        <f ca="1">IFERROR(__xludf.DUMMYFUNCTION("""COMPUTED_VALUE"""),150.3)</f>
        <v>150.30000000000001</v>
      </c>
      <c r="D1234" s="1">
        <f ca="1">IFERROR(__xludf.DUMMYFUNCTION("""COMPUTED_VALUE"""),148.82)</f>
        <v>148.82</v>
      </c>
      <c r="E1234" s="1">
        <f ca="1">IFERROR(__xludf.DUMMYFUNCTION("""COMPUTED_VALUE"""),149.59)</f>
        <v>149.59</v>
      </c>
      <c r="F1234" s="1">
        <f ca="1">IFERROR(__xludf.DUMMYFUNCTION("""COMPUTED_VALUE"""),15841680)</f>
        <v>15841680</v>
      </c>
    </row>
    <row r="1235" spans="1:6" x14ac:dyDescent="0.35">
      <c r="A1235" s="2">
        <f ca="1">IFERROR(__xludf.DUMMYFUNCTION("""COMPUTED_VALUE"""),43794.6666666666)</f>
        <v>43794.666666666599</v>
      </c>
      <c r="B1235" s="1">
        <f ca="1">IFERROR(__xludf.DUMMYFUNCTION("""COMPUTED_VALUE"""),150)</f>
        <v>150</v>
      </c>
      <c r="C1235" s="1">
        <f ca="1">IFERROR(__xludf.DUMMYFUNCTION("""COMPUTED_VALUE"""),151.35)</f>
        <v>151.35</v>
      </c>
      <c r="D1235" s="1">
        <f ca="1">IFERROR(__xludf.DUMMYFUNCTION("""COMPUTED_VALUE"""),149.92)</f>
        <v>149.91999999999999</v>
      </c>
      <c r="E1235" s="1">
        <f ca="1">IFERROR(__xludf.DUMMYFUNCTION("""COMPUTED_VALUE"""),151.23)</f>
        <v>151.22999999999999</v>
      </c>
      <c r="F1235" s="1">
        <f ca="1">IFERROR(__xludf.DUMMYFUNCTION("""COMPUTED_VALUE"""),22428585)</f>
        <v>22428585</v>
      </c>
    </row>
    <row r="1236" spans="1:6" x14ac:dyDescent="0.35">
      <c r="A1236" s="2">
        <f ca="1">IFERROR(__xludf.DUMMYFUNCTION("""COMPUTED_VALUE"""),43795.6666666666)</f>
        <v>43795.666666666599</v>
      </c>
      <c r="B1236" s="1">
        <f ca="1">IFERROR(__xludf.DUMMYFUNCTION("""COMPUTED_VALUE"""),151.36)</f>
        <v>151.36000000000001</v>
      </c>
      <c r="C1236" s="1">
        <f ca="1">IFERROR(__xludf.DUMMYFUNCTION("""COMPUTED_VALUE"""),152.42)</f>
        <v>152.41999999999999</v>
      </c>
      <c r="D1236" s="1">
        <f ca="1">IFERROR(__xludf.DUMMYFUNCTION("""COMPUTED_VALUE"""),151.32)</f>
        <v>151.32</v>
      </c>
      <c r="E1236" s="1">
        <f ca="1">IFERROR(__xludf.DUMMYFUNCTION("""COMPUTED_VALUE"""),152.03)</f>
        <v>152.03</v>
      </c>
      <c r="F1236" s="1">
        <f ca="1">IFERROR(__xludf.DUMMYFUNCTION("""COMPUTED_VALUE"""),24635100)</f>
        <v>24635100</v>
      </c>
    </row>
    <row r="1237" spans="1:6" x14ac:dyDescent="0.35">
      <c r="A1237" s="2">
        <f ca="1">IFERROR(__xludf.DUMMYFUNCTION("""COMPUTED_VALUE"""),43796.6666666666)</f>
        <v>43796.666666666599</v>
      </c>
      <c r="B1237" s="1">
        <f ca="1">IFERROR(__xludf.DUMMYFUNCTION("""COMPUTED_VALUE"""),152.33)</f>
        <v>152.33000000000001</v>
      </c>
      <c r="C1237" s="1">
        <f ca="1">IFERROR(__xludf.DUMMYFUNCTION("""COMPUTED_VALUE"""),152.5)</f>
        <v>152.5</v>
      </c>
      <c r="D1237" s="1">
        <f ca="1">IFERROR(__xludf.DUMMYFUNCTION("""COMPUTED_VALUE"""),151.52)</f>
        <v>151.52000000000001</v>
      </c>
      <c r="E1237" s="1">
        <f ca="1">IFERROR(__xludf.DUMMYFUNCTION("""COMPUTED_VALUE"""),152.32)</f>
        <v>152.32</v>
      </c>
      <c r="F1237" s="1">
        <f ca="1">IFERROR(__xludf.DUMMYFUNCTION("""COMPUTED_VALUE"""),15201293)</f>
        <v>15201293</v>
      </c>
    </row>
    <row r="1238" spans="1:6" x14ac:dyDescent="0.35">
      <c r="A1238" s="2">
        <f ca="1">IFERROR(__xludf.DUMMYFUNCTION("""COMPUTED_VALUE"""),43798.5416666666)</f>
        <v>43798.541666666599</v>
      </c>
      <c r="B1238" s="1">
        <f ca="1">IFERROR(__xludf.DUMMYFUNCTION("""COMPUTED_VALUE"""),152.1)</f>
        <v>152.1</v>
      </c>
      <c r="C1238" s="1">
        <f ca="1">IFERROR(__xludf.DUMMYFUNCTION("""COMPUTED_VALUE"""),152.3)</f>
        <v>152.30000000000001</v>
      </c>
      <c r="D1238" s="1">
        <f ca="1">IFERROR(__xludf.DUMMYFUNCTION("""COMPUTED_VALUE"""),151.28)</f>
        <v>151.28</v>
      </c>
      <c r="E1238" s="1">
        <f ca="1">IFERROR(__xludf.DUMMYFUNCTION("""COMPUTED_VALUE"""),151.38)</f>
        <v>151.38</v>
      </c>
      <c r="F1238" s="1">
        <f ca="1">IFERROR(__xludf.DUMMYFUNCTION("""COMPUTED_VALUE"""),11977300)</f>
        <v>11977300</v>
      </c>
    </row>
    <row r="1239" spans="1:6" x14ac:dyDescent="0.35">
      <c r="A1239" s="2">
        <f ca="1">IFERROR(__xludf.DUMMYFUNCTION("""COMPUTED_VALUE"""),43801.6666666666)</f>
        <v>43801.666666666599</v>
      </c>
      <c r="B1239" s="1">
        <f ca="1">IFERROR(__xludf.DUMMYFUNCTION("""COMPUTED_VALUE"""),151.81)</f>
        <v>151.81</v>
      </c>
      <c r="C1239" s="1">
        <f ca="1">IFERROR(__xludf.DUMMYFUNCTION("""COMPUTED_VALUE"""),151.83)</f>
        <v>151.83000000000001</v>
      </c>
      <c r="D1239" s="1">
        <f ca="1">IFERROR(__xludf.DUMMYFUNCTION("""COMPUTED_VALUE"""),148.32)</f>
        <v>148.32</v>
      </c>
      <c r="E1239" s="1">
        <f ca="1">IFERROR(__xludf.DUMMYFUNCTION("""COMPUTED_VALUE"""),149.55)</f>
        <v>149.55000000000001</v>
      </c>
      <c r="F1239" s="1">
        <f ca="1">IFERROR(__xludf.DUMMYFUNCTION("""COMPUTED_VALUE"""),27473616)</f>
        <v>27473616</v>
      </c>
    </row>
    <row r="1240" spans="1:6" x14ac:dyDescent="0.35">
      <c r="A1240" s="2">
        <f ca="1">IFERROR(__xludf.DUMMYFUNCTION("""COMPUTED_VALUE"""),43802.6666666666)</f>
        <v>43802.666666666599</v>
      </c>
      <c r="B1240" s="1">
        <f ca="1">IFERROR(__xludf.DUMMYFUNCTION("""COMPUTED_VALUE"""),147.49)</f>
        <v>147.49</v>
      </c>
      <c r="C1240" s="1">
        <f ca="1">IFERROR(__xludf.DUMMYFUNCTION("""COMPUTED_VALUE"""),149.43)</f>
        <v>149.43</v>
      </c>
      <c r="D1240" s="1">
        <f ca="1">IFERROR(__xludf.DUMMYFUNCTION("""COMPUTED_VALUE"""),146.65)</f>
        <v>146.65</v>
      </c>
      <c r="E1240" s="1">
        <f ca="1">IFERROR(__xludf.DUMMYFUNCTION("""COMPUTED_VALUE"""),149.31)</f>
        <v>149.31</v>
      </c>
      <c r="F1240" s="1">
        <f ca="1">IFERROR(__xludf.DUMMYFUNCTION("""COMPUTED_VALUE"""),25192145)</f>
        <v>25192145</v>
      </c>
    </row>
    <row r="1241" spans="1:6" x14ac:dyDescent="0.35">
      <c r="A1241" s="2">
        <f ca="1">IFERROR(__xludf.DUMMYFUNCTION("""COMPUTED_VALUE"""),43803.6666666666)</f>
        <v>43803.666666666599</v>
      </c>
      <c r="B1241" s="1">
        <f ca="1">IFERROR(__xludf.DUMMYFUNCTION("""COMPUTED_VALUE"""),150.14)</f>
        <v>150.13999999999999</v>
      </c>
      <c r="C1241" s="1">
        <f ca="1">IFERROR(__xludf.DUMMYFUNCTION("""COMPUTED_VALUE"""),150.18)</f>
        <v>150.18</v>
      </c>
      <c r="D1241" s="1">
        <f ca="1">IFERROR(__xludf.DUMMYFUNCTION("""COMPUTED_VALUE"""),149.2)</f>
        <v>149.19999999999999</v>
      </c>
      <c r="E1241" s="1">
        <f ca="1">IFERROR(__xludf.DUMMYFUNCTION("""COMPUTED_VALUE"""),149.85)</f>
        <v>149.85</v>
      </c>
      <c r="F1241" s="1">
        <f ca="1">IFERROR(__xludf.DUMMYFUNCTION("""COMPUTED_VALUE"""),17580617)</f>
        <v>17580617</v>
      </c>
    </row>
    <row r="1242" spans="1:6" x14ac:dyDescent="0.35">
      <c r="A1242" s="2">
        <f ca="1">IFERROR(__xludf.DUMMYFUNCTION("""COMPUTED_VALUE"""),43804.6666666666)</f>
        <v>43804.666666666599</v>
      </c>
      <c r="B1242" s="1">
        <f ca="1">IFERROR(__xludf.DUMMYFUNCTION("""COMPUTED_VALUE"""),150.05)</f>
        <v>150.05000000000001</v>
      </c>
      <c r="C1242" s="1">
        <f ca="1">IFERROR(__xludf.DUMMYFUNCTION("""COMPUTED_VALUE"""),150.32)</f>
        <v>150.32</v>
      </c>
      <c r="D1242" s="1">
        <f ca="1">IFERROR(__xludf.DUMMYFUNCTION("""COMPUTED_VALUE"""),149.48)</f>
        <v>149.47999999999999</v>
      </c>
      <c r="E1242" s="1">
        <f ca="1">IFERROR(__xludf.DUMMYFUNCTION("""COMPUTED_VALUE"""),149.93)</f>
        <v>149.93</v>
      </c>
      <c r="F1242" s="1">
        <f ca="1">IFERROR(__xludf.DUMMYFUNCTION("""COMPUTED_VALUE"""),17880601)</f>
        <v>17880601</v>
      </c>
    </row>
    <row r="1243" spans="1:6" x14ac:dyDescent="0.35">
      <c r="A1243" s="2">
        <f ca="1">IFERROR(__xludf.DUMMYFUNCTION("""COMPUTED_VALUE"""),43805.6666666666)</f>
        <v>43805.666666666599</v>
      </c>
      <c r="B1243" s="1">
        <f ca="1">IFERROR(__xludf.DUMMYFUNCTION("""COMPUTED_VALUE"""),150.99)</f>
        <v>150.99</v>
      </c>
      <c r="C1243" s="1">
        <f ca="1">IFERROR(__xludf.DUMMYFUNCTION("""COMPUTED_VALUE"""),151.87)</f>
        <v>151.87</v>
      </c>
      <c r="D1243" s="1">
        <f ca="1">IFERROR(__xludf.DUMMYFUNCTION("""COMPUTED_VALUE"""),150.27)</f>
        <v>150.27000000000001</v>
      </c>
      <c r="E1243" s="1">
        <f ca="1">IFERROR(__xludf.DUMMYFUNCTION("""COMPUTED_VALUE"""),151.75)</f>
        <v>151.75</v>
      </c>
      <c r="F1243" s="1">
        <f ca="1">IFERROR(__xludf.DUMMYFUNCTION("""COMPUTED_VALUE"""),16410400)</f>
        <v>16410400</v>
      </c>
    </row>
    <row r="1244" spans="1:6" x14ac:dyDescent="0.35">
      <c r="A1244" s="2">
        <f ca="1">IFERROR(__xludf.DUMMYFUNCTION("""COMPUTED_VALUE"""),43808.6666666666)</f>
        <v>43808.666666666599</v>
      </c>
      <c r="B1244" s="1">
        <f ca="1">IFERROR(__xludf.DUMMYFUNCTION("""COMPUTED_VALUE"""),150.99)</f>
        <v>150.99</v>
      </c>
      <c r="C1244" s="1">
        <f ca="1">IFERROR(__xludf.DUMMYFUNCTION("""COMPUTED_VALUE"""),151.87)</f>
        <v>151.87</v>
      </c>
      <c r="D1244" s="1">
        <f ca="1">IFERROR(__xludf.DUMMYFUNCTION("""COMPUTED_VALUE"""),150.27)</f>
        <v>150.27000000000001</v>
      </c>
      <c r="E1244" s="1">
        <f ca="1">IFERROR(__xludf.DUMMYFUNCTION("""COMPUTED_VALUE"""),151.75)</f>
        <v>151.75</v>
      </c>
      <c r="F1244" s="1">
        <f ca="1">IFERROR(__xludf.DUMMYFUNCTION("""COMPUTED_VALUE"""),101612)</f>
        <v>101612</v>
      </c>
    </row>
    <row r="1245" spans="1:6" x14ac:dyDescent="0.35">
      <c r="A1245" s="2">
        <f ca="1">IFERROR(__xludf.DUMMYFUNCTION("""COMPUTED_VALUE"""),43809.6666666666)</f>
        <v>43809.666666666599</v>
      </c>
      <c r="B1245" s="1">
        <f ca="1">IFERROR(__xludf.DUMMYFUNCTION("""COMPUTED_VALUE"""),151.29)</f>
        <v>151.29</v>
      </c>
      <c r="C1245" s="1">
        <f ca="1">IFERROR(__xludf.DUMMYFUNCTION("""COMPUTED_VALUE"""),151.89)</f>
        <v>151.88999999999999</v>
      </c>
      <c r="D1245" s="1">
        <f ca="1">IFERROR(__xludf.DUMMYFUNCTION("""COMPUTED_VALUE"""),150.76)</f>
        <v>150.76</v>
      </c>
      <c r="E1245" s="1">
        <f ca="1">IFERROR(__xludf.DUMMYFUNCTION("""COMPUTED_VALUE"""),151.13)</f>
        <v>151.13</v>
      </c>
      <c r="F1245" s="1">
        <f ca="1">IFERROR(__xludf.DUMMYFUNCTION("""COMPUTED_VALUE"""),16481060)</f>
        <v>16481060</v>
      </c>
    </row>
    <row r="1246" spans="1:6" x14ac:dyDescent="0.35">
      <c r="A1246" s="2">
        <f ca="1">IFERROR(__xludf.DUMMYFUNCTION("""COMPUTED_VALUE"""),43810.6666666666)</f>
        <v>43810.666666666599</v>
      </c>
      <c r="B1246" s="1">
        <f ca="1">IFERROR(__xludf.DUMMYFUNCTION("""COMPUTED_VALUE"""),151.54)</f>
        <v>151.54</v>
      </c>
      <c r="C1246" s="1">
        <f ca="1">IFERROR(__xludf.DUMMYFUNCTION("""COMPUTED_VALUE"""),151.87)</f>
        <v>151.87</v>
      </c>
      <c r="D1246" s="1">
        <f ca="1">IFERROR(__xludf.DUMMYFUNCTION("""COMPUTED_VALUE"""),150.33)</f>
        <v>150.33000000000001</v>
      </c>
      <c r="E1246" s="1">
        <f ca="1">IFERROR(__xludf.DUMMYFUNCTION("""COMPUTED_VALUE"""),151.7)</f>
        <v>151.69999999999999</v>
      </c>
      <c r="F1246" s="1">
        <f ca="1">IFERROR(__xludf.DUMMYFUNCTION("""COMPUTED_VALUE"""),18860001)</f>
        <v>18860001</v>
      </c>
    </row>
    <row r="1247" spans="1:6" x14ac:dyDescent="0.35">
      <c r="A1247" s="2">
        <f ca="1">IFERROR(__xludf.DUMMYFUNCTION("""COMPUTED_VALUE"""),43811.6666666666)</f>
        <v>43811.666666666599</v>
      </c>
      <c r="B1247" s="1">
        <f ca="1">IFERROR(__xludf.DUMMYFUNCTION("""COMPUTED_VALUE"""),151.65)</f>
        <v>151.65</v>
      </c>
      <c r="C1247" s="1">
        <f ca="1">IFERROR(__xludf.DUMMYFUNCTION("""COMPUTED_VALUE"""),153.44)</f>
        <v>153.44</v>
      </c>
      <c r="D1247" s="1">
        <f ca="1">IFERROR(__xludf.DUMMYFUNCTION("""COMPUTED_VALUE"""),151.02)</f>
        <v>151.02000000000001</v>
      </c>
      <c r="E1247" s="1">
        <f ca="1">IFERROR(__xludf.DUMMYFUNCTION("""COMPUTED_VALUE"""),153.24)</f>
        <v>153.24</v>
      </c>
      <c r="F1247" s="1">
        <f ca="1">IFERROR(__xludf.DUMMYFUNCTION("""COMPUTED_VALUE"""),24645366)</f>
        <v>24645366</v>
      </c>
    </row>
    <row r="1248" spans="1:6" x14ac:dyDescent="0.35">
      <c r="A1248" s="2">
        <f ca="1">IFERROR(__xludf.DUMMYFUNCTION("""COMPUTED_VALUE"""),43812.6666666666)</f>
        <v>43812.666666666599</v>
      </c>
      <c r="B1248" s="1">
        <f ca="1">IFERROR(__xludf.DUMMYFUNCTION("""COMPUTED_VALUE"""),153)</f>
        <v>153</v>
      </c>
      <c r="C1248" s="1">
        <f ca="1">IFERROR(__xludf.DUMMYFUNCTION("""COMPUTED_VALUE"""),154.89)</f>
        <v>154.88999999999999</v>
      </c>
      <c r="D1248" s="1">
        <f ca="1">IFERROR(__xludf.DUMMYFUNCTION("""COMPUTED_VALUE"""),152.83)</f>
        <v>152.83000000000001</v>
      </c>
      <c r="E1248" s="1">
        <f ca="1">IFERROR(__xludf.DUMMYFUNCTION("""COMPUTED_VALUE"""),154.53)</f>
        <v>154.53</v>
      </c>
      <c r="F1248" s="1">
        <f ca="1">IFERROR(__xludf.DUMMYFUNCTION("""COMPUTED_VALUE"""),23850062)</f>
        <v>23850062</v>
      </c>
    </row>
    <row r="1249" spans="1:6" x14ac:dyDescent="0.35">
      <c r="A1249" s="2">
        <f ca="1">IFERROR(__xludf.DUMMYFUNCTION("""COMPUTED_VALUE"""),43815.6666666666)</f>
        <v>43815.666666666599</v>
      </c>
      <c r="B1249" s="1">
        <f ca="1">IFERROR(__xludf.DUMMYFUNCTION("""COMPUTED_VALUE"""),155.11)</f>
        <v>155.11000000000001</v>
      </c>
      <c r="C1249" s="1">
        <f ca="1">IFERROR(__xludf.DUMMYFUNCTION("""COMPUTED_VALUE"""),155.9)</f>
        <v>155.9</v>
      </c>
      <c r="D1249" s="1">
        <f ca="1">IFERROR(__xludf.DUMMYFUNCTION("""COMPUTED_VALUE"""),154.82)</f>
        <v>154.82</v>
      </c>
      <c r="E1249" s="1">
        <f ca="1">IFERROR(__xludf.DUMMYFUNCTION("""COMPUTED_VALUE"""),155.53)</f>
        <v>155.53</v>
      </c>
      <c r="F1249" s="1">
        <f ca="1">IFERROR(__xludf.DUMMYFUNCTION("""COMPUTED_VALUE"""),24152770)</f>
        <v>24152770</v>
      </c>
    </row>
    <row r="1250" spans="1:6" x14ac:dyDescent="0.35">
      <c r="A1250" s="2">
        <f ca="1">IFERROR(__xludf.DUMMYFUNCTION("""COMPUTED_VALUE"""),43816.6666666666)</f>
        <v>43816.666666666599</v>
      </c>
      <c r="B1250" s="1">
        <f ca="1">IFERROR(__xludf.DUMMYFUNCTION("""COMPUTED_VALUE"""),155.45)</f>
        <v>155.44999999999999</v>
      </c>
      <c r="C1250" s="1">
        <f ca="1">IFERROR(__xludf.DUMMYFUNCTION("""COMPUTED_VALUE"""),155.71)</f>
        <v>155.71</v>
      </c>
      <c r="D1250" s="1">
        <f ca="1">IFERROR(__xludf.DUMMYFUNCTION("""COMPUTED_VALUE"""),154.45)</f>
        <v>154.44999999999999</v>
      </c>
      <c r="E1250" s="1">
        <f ca="1">IFERROR(__xludf.DUMMYFUNCTION("""COMPUTED_VALUE"""),154.69)</f>
        <v>154.69</v>
      </c>
      <c r="F1250" s="1">
        <f ca="1">IFERROR(__xludf.DUMMYFUNCTION("""COMPUTED_VALUE"""),25443527)</f>
        <v>25443527</v>
      </c>
    </row>
    <row r="1251" spans="1:6" x14ac:dyDescent="0.35">
      <c r="A1251" s="2">
        <f ca="1">IFERROR(__xludf.DUMMYFUNCTION("""COMPUTED_VALUE"""),43817.6666666666)</f>
        <v>43817.666666666599</v>
      </c>
      <c r="B1251" s="1">
        <f ca="1">IFERROR(__xludf.DUMMYFUNCTION("""COMPUTED_VALUE"""),154.3)</f>
        <v>154.30000000000001</v>
      </c>
      <c r="C1251" s="1">
        <f ca="1">IFERROR(__xludf.DUMMYFUNCTION("""COMPUTED_VALUE"""),155.48)</f>
        <v>155.47999999999999</v>
      </c>
      <c r="D1251" s="1">
        <f ca="1">IFERROR(__xludf.DUMMYFUNCTION("""COMPUTED_VALUE"""),154.18)</f>
        <v>154.18</v>
      </c>
      <c r="E1251" s="1">
        <f ca="1">IFERROR(__xludf.DUMMYFUNCTION("""COMPUTED_VALUE"""),154.37)</f>
        <v>154.37</v>
      </c>
      <c r="F1251" s="1">
        <f ca="1">IFERROR(__xludf.DUMMYFUNCTION("""COMPUTED_VALUE"""),24130046)</f>
        <v>24130046</v>
      </c>
    </row>
    <row r="1252" spans="1:6" x14ac:dyDescent="0.35">
      <c r="A1252" s="2">
        <f ca="1">IFERROR(__xludf.DUMMYFUNCTION("""COMPUTED_VALUE"""),43818.6666666666)</f>
        <v>43818.666666666599</v>
      </c>
      <c r="B1252" s="1">
        <f ca="1">IFERROR(__xludf.DUMMYFUNCTION("""COMPUTED_VALUE"""),154)</f>
        <v>154</v>
      </c>
      <c r="C1252" s="1">
        <f ca="1">IFERROR(__xludf.DUMMYFUNCTION("""COMPUTED_VALUE"""),155.77)</f>
        <v>155.77000000000001</v>
      </c>
      <c r="D1252" s="1">
        <f ca="1">IFERROR(__xludf.DUMMYFUNCTION("""COMPUTED_VALUE"""),153.75)</f>
        <v>153.75</v>
      </c>
      <c r="E1252" s="1">
        <f ca="1">IFERROR(__xludf.DUMMYFUNCTION("""COMPUTED_VALUE"""),155.71)</f>
        <v>155.71</v>
      </c>
      <c r="F1252" s="1">
        <f ca="1">IFERROR(__xludf.DUMMYFUNCTION("""COMPUTED_VALUE"""),25813825)</f>
        <v>25813825</v>
      </c>
    </row>
    <row r="1253" spans="1:6" x14ac:dyDescent="0.35">
      <c r="A1253" s="2">
        <f ca="1">IFERROR(__xludf.DUMMYFUNCTION("""COMPUTED_VALUE"""),43819.6666666666)</f>
        <v>43819.666666666599</v>
      </c>
      <c r="B1253" s="1">
        <f ca="1">IFERROR(__xludf.DUMMYFUNCTION("""COMPUTED_VALUE"""),157.35)</f>
        <v>157.35</v>
      </c>
      <c r="C1253" s="1">
        <f ca="1">IFERROR(__xludf.DUMMYFUNCTION("""COMPUTED_VALUE"""),158.49)</f>
        <v>158.49</v>
      </c>
      <c r="D1253" s="1">
        <f ca="1">IFERROR(__xludf.DUMMYFUNCTION("""COMPUTED_VALUE"""),156.29)</f>
        <v>156.29</v>
      </c>
      <c r="E1253" s="1">
        <f ca="1">IFERROR(__xludf.DUMMYFUNCTION("""COMPUTED_VALUE"""),157.41)</f>
        <v>157.41</v>
      </c>
      <c r="F1253" s="1">
        <f ca="1">IFERROR(__xludf.DUMMYFUNCTION("""COMPUTED_VALUE"""),53599613)</f>
        <v>53599613</v>
      </c>
    </row>
    <row r="1254" spans="1:6" x14ac:dyDescent="0.35">
      <c r="A1254" s="2">
        <f ca="1">IFERROR(__xludf.DUMMYFUNCTION("""COMPUTED_VALUE"""),43822.6666666666)</f>
        <v>43822.666666666599</v>
      </c>
      <c r="B1254" s="1">
        <f ca="1">IFERROR(__xludf.DUMMYFUNCTION("""COMPUTED_VALUE"""),158.12)</f>
        <v>158.12</v>
      </c>
      <c r="C1254" s="1">
        <f ca="1">IFERROR(__xludf.DUMMYFUNCTION("""COMPUTED_VALUE"""),158.12)</f>
        <v>158.12</v>
      </c>
      <c r="D1254" s="1">
        <f ca="1">IFERROR(__xludf.DUMMYFUNCTION("""COMPUTED_VALUE"""),157.27)</f>
        <v>157.27000000000001</v>
      </c>
      <c r="E1254" s="1">
        <f ca="1">IFERROR(__xludf.DUMMYFUNCTION("""COMPUTED_VALUE"""),157.41)</f>
        <v>157.41</v>
      </c>
      <c r="F1254" s="1">
        <f ca="1">IFERROR(__xludf.DUMMYFUNCTION("""COMPUTED_VALUE"""),17726283)</f>
        <v>17726283</v>
      </c>
    </row>
    <row r="1255" spans="1:6" x14ac:dyDescent="0.35">
      <c r="A1255" s="2">
        <f ca="1">IFERROR(__xludf.DUMMYFUNCTION("""COMPUTED_VALUE"""),43823.5416666666)</f>
        <v>43823.541666666599</v>
      </c>
      <c r="B1255" s="1">
        <f ca="1">IFERROR(__xludf.DUMMYFUNCTION("""COMPUTED_VALUE"""),157.48)</f>
        <v>157.47999999999999</v>
      </c>
      <c r="C1255" s="1">
        <f ca="1">IFERROR(__xludf.DUMMYFUNCTION("""COMPUTED_VALUE"""),157.71)</f>
        <v>157.71</v>
      </c>
      <c r="D1255" s="1">
        <f ca="1">IFERROR(__xludf.DUMMYFUNCTION("""COMPUTED_VALUE"""),157.12)</f>
        <v>157.12</v>
      </c>
      <c r="E1255" s="1">
        <f ca="1">IFERROR(__xludf.DUMMYFUNCTION("""COMPUTED_VALUE"""),157.38)</f>
        <v>157.38</v>
      </c>
      <c r="F1255" s="1">
        <f ca="1">IFERROR(__xludf.DUMMYFUNCTION("""COMPUTED_VALUE"""),8989150)</f>
        <v>8989150</v>
      </c>
    </row>
    <row r="1256" spans="1:6" x14ac:dyDescent="0.35">
      <c r="A1256" s="2">
        <f ca="1">IFERROR(__xludf.DUMMYFUNCTION("""COMPUTED_VALUE"""),43825.6666666666)</f>
        <v>43825.666666666599</v>
      </c>
      <c r="B1256" s="1">
        <f ca="1">IFERROR(__xludf.DUMMYFUNCTION("""COMPUTED_VALUE"""),157.56)</f>
        <v>157.56</v>
      </c>
      <c r="C1256" s="1">
        <f ca="1">IFERROR(__xludf.DUMMYFUNCTION("""COMPUTED_VALUE"""),158.73)</f>
        <v>158.72999999999999</v>
      </c>
      <c r="D1256" s="1">
        <f ca="1">IFERROR(__xludf.DUMMYFUNCTION("""COMPUTED_VALUE"""),157.4)</f>
        <v>157.4</v>
      </c>
      <c r="E1256" s="1">
        <f ca="1">IFERROR(__xludf.DUMMYFUNCTION("""COMPUTED_VALUE"""),158.67)</f>
        <v>158.66999999999999</v>
      </c>
      <c r="F1256" s="1">
        <f ca="1">IFERROR(__xludf.DUMMYFUNCTION("""COMPUTED_VALUE"""),14526927)</f>
        <v>14526927</v>
      </c>
    </row>
    <row r="1257" spans="1:6" x14ac:dyDescent="0.35">
      <c r="A1257" s="2">
        <f ca="1">IFERROR(__xludf.DUMMYFUNCTION("""COMPUTED_VALUE"""),43826.6666666666)</f>
        <v>43826.666666666599</v>
      </c>
      <c r="B1257" s="1">
        <f ca="1">IFERROR(__xludf.DUMMYFUNCTION("""COMPUTED_VALUE"""),159.45)</f>
        <v>159.44999999999999</v>
      </c>
      <c r="C1257" s="1">
        <f ca="1">IFERROR(__xludf.DUMMYFUNCTION("""COMPUTED_VALUE"""),159.55)</f>
        <v>159.55000000000001</v>
      </c>
      <c r="D1257" s="1">
        <f ca="1">IFERROR(__xludf.DUMMYFUNCTION("""COMPUTED_VALUE"""),158.22)</f>
        <v>158.22</v>
      </c>
      <c r="E1257" s="1">
        <f ca="1">IFERROR(__xludf.DUMMYFUNCTION("""COMPUTED_VALUE"""),158.96)</f>
        <v>158.96</v>
      </c>
      <c r="F1257" s="1">
        <f ca="1">IFERROR(__xludf.DUMMYFUNCTION("""COMPUTED_VALUE"""),18414352)</f>
        <v>18414352</v>
      </c>
    </row>
    <row r="1258" spans="1:6" x14ac:dyDescent="0.35">
      <c r="A1258" s="2">
        <f ca="1">IFERROR(__xludf.DUMMYFUNCTION("""COMPUTED_VALUE"""),43829.6666666666)</f>
        <v>43829.666666666599</v>
      </c>
      <c r="B1258" s="1">
        <f ca="1">IFERROR(__xludf.DUMMYFUNCTION("""COMPUTED_VALUE"""),158.99)</f>
        <v>158.99</v>
      </c>
      <c r="C1258" s="1">
        <f ca="1">IFERROR(__xludf.DUMMYFUNCTION("""COMPUTED_VALUE"""),159.02)</f>
        <v>159.02000000000001</v>
      </c>
      <c r="D1258" s="1">
        <f ca="1">IFERROR(__xludf.DUMMYFUNCTION("""COMPUTED_VALUE"""),156.73)</f>
        <v>156.72999999999999</v>
      </c>
      <c r="E1258" s="1">
        <f ca="1">IFERROR(__xludf.DUMMYFUNCTION("""COMPUTED_VALUE"""),157.59)</f>
        <v>157.59</v>
      </c>
      <c r="F1258" s="1">
        <f ca="1">IFERROR(__xludf.DUMMYFUNCTION("""COMPUTED_VALUE"""),16356720)</f>
        <v>16356720</v>
      </c>
    </row>
    <row r="1259" spans="1:6" x14ac:dyDescent="0.35">
      <c r="A1259" s="2">
        <f ca="1">IFERROR(__xludf.DUMMYFUNCTION("""COMPUTED_VALUE"""),43830.6666666666)</f>
        <v>43830.666666666599</v>
      </c>
      <c r="B1259" s="1">
        <f ca="1">IFERROR(__xludf.DUMMYFUNCTION("""COMPUTED_VALUE"""),156.77)</f>
        <v>156.77000000000001</v>
      </c>
      <c r="C1259" s="1">
        <f ca="1">IFERROR(__xludf.DUMMYFUNCTION("""COMPUTED_VALUE"""),157.77)</f>
        <v>157.77000000000001</v>
      </c>
      <c r="D1259" s="1">
        <f ca="1">IFERROR(__xludf.DUMMYFUNCTION("""COMPUTED_VALUE"""),156.45)</f>
        <v>156.44999999999999</v>
      </c>
      <c r="E1259" s="1">
        <f ca="1">IFERROR(__xludf.DUMMYFUNCTION("""COMPUTED_VALUE"""),157.7)</f>
        <v>157.69999999999999</v>
      </c>
      <c r="F1259" s="1">
        <f ca="1">IFERROR(__xludf.DUMMYFUNCTION("""COMPUTED_VALUE"""),18393383)</f>
        <v>18393383</v>
      </c>
    </row>
    <row r="1260" spans="1:6" x14ac:dyDescent="0.35">
      <c r="A1260" s="2">
        <f ca="1">IFERROR(__xludf.DUMMYFUNCTION("""COMPUTED_VALUE"""),43832.6666666666)</f>
        <v>43832.666666666599</v>
      </c>
      <c r="B1260" s="1">
        <f ca="1">IFERROR(__xludf.DUMMYFUNCTION("""COMPUTED_VALUE"""),158.78)</f>
        <v>158.78</v>
      </c>
      <c r="C1260" s="1">
        <f ca="1">IFERROR(__xludf.DUMMYFUNCTION("""COMPUTED_VALUE"""),160.73)</f>
        <v>160.72999999999999</v>
      </c>
      <c r="D1260" s="1">
        <f ca="1">IFERROR(__xludf.DUMMYFUNCTION("""COMPUTED_VALUE"""),158.33)</f>
        <v>158.33000000000001</v>
      </c>
      <c r="E1260" s="1">
        <f ca="1">IFERROR(__xludf.DUMMYFUNCTION("""COMPUTED_VALUE"""),160.62)</f>
        <v>160.62</v>
      </c>
      <c r="F1260" s="1">
        <f ca="1">IFERROR(__xludf.DUMMYFUNCTION("""COMPUTED_VALUE"""),22634546)</f>
        <v>22634546</v>
      </c>
    </row>
    <row r="1261" spans="1:6" x14ac:dyDescent="0.35">
      <c r="A1261" s="2">
        <f ca="1">IFERROR(__xludf.DUMMYFUNCTION("""COMPUTED_VALUE"""),43833.6666666666)</f>
        <v>43833.666666666599</v>
      </c>
      <c r="B1261" s="1">
        <f ca="1">IFERROR(__xludf.DUMMYFUNCTION("""COMPUTED_VALUE"""),158.32)</f>
        <v>158.32</v>
      </c>
      <c r="C1261" s="1">
        <f ca="1">IFERROR(__xludf.DUMMYFUNCTION("""COMPUTED_VALUE"""),159.95)</f>
        <v>159.94999999999999</v>
      </c>
      <c r="D1261" s="1">
        <f ca="1">IFERROR(__xludf.DUMMYFUNCTION("""COMPUTED_VALUE"""),158.06)</f>
        <v>158.06</v>
      </c>
      <c r="E1261" s="1">
        <f ca="1">IFERROR(__xludf.DUMMYFUNCTION("""COMPUTED_VALUE"""),158.62)</f>
        <v>158.62</v>
      </c>
      <c r="F1261" s="1">
        <f ca="1">IFERROR(__xludf.DUMMYFUNCTION("""COMPUTED_VALUE"""),21121681)</f>
        <v>21121681</v>
      </c>
    </row>
    <row r="1262" spans="1:6" x14ac:dyDescent="0.35">
      <c r="A1262" s="2">
        <f ca="1">IFERROR(__xludf.DUMMYFUNCTION("""COMPUTED_VALUE"""),43836.6666666666)</f>
        <v>43836.666666666599</v>
      </c>
      <c r="B1262" s="1">
        <f ca="1">IFERROR(__xludf.DUMMYFUNCTION("""COMPUTED_VALUE"""),157.08)</f>
        <v>157.08000000000001</v>
      </c>
      <c r="C1262" s="1">
        <f ca="1">IFERROR(__xludf.DUMMYFUNCTION("""COMPUTED_VALUE"""),159.1)</f>
        <v>159.1</v>
      </c>
      <c r="D1262" s="1">
        <f ca="1">IFERROR(__xludf.DUMMYFUNCTION("""COMPUTED_VALUE"""),156.51)</f>
        <v>156.51</v>
      </c>
      <c r="E1262" s="1">
        <f ca="1">IFERROR(__xludf.DUMMYFUNCTION("""COMPUTED_VALUE"""),159.03)</f>
        <v>159.03</v>
      </c>
      <c r="F1262" s="1">
        <f ca="1">IFERROR(__xludf.DUMMYFUNCTION("""COMPUTED_VALUE"""),20826702)</f>
        <v>20826702</v>
      </c>
    </row>
    <row r="1263" spans="1:6" x14ac:dyDescent="0.35">
      <c r="A1263" s="2">
        <f ca="1">IFERROR(__xludf.DUMMYFUNCTION("""COMPUTED_VALUE"""),43837.6666666666)</f>
        <v>43837.666666666599</v>
      </c>
      <c r="B1263" s="1">
        <f ca="1">IFERROR(__xludf.DUMMYFUNCTION("""COMPUTED_VALUE"""),159.32)</f>
        <v>159.32</v>
      </c>
      <c r="C1263" s="1">
        <f ca="1">IFERROR(__xludf.DUMMYFUNCTION("""COMPUTED_VALUE"""),159.67)</f>
        <v>159.66999999999999</v>
      </c>
      <c r="D1263" s="1">
        <f ca="1">IFERROR(__xludf.DUMMYFUNCTION("""COMPUTED_VALUE"""),157.32)</f>
        <v>157.32</v>
      </c>
      <c r="E1263" s="1">
        <f ca="1">IFERROR(__xludf.DUMMYFUNCTION("""COMPUTED_VALUE"""),157.58)</f>
        <v>157.58000000000001</v>
      </c>
      <c r="F1263" s="1">
        <f ca="1">IFERROR(__xludf.DUMMYFUNCTION("""COMPUTED_VALUE"""),21881740)</f>
        <v>21881740</v>
      </c>
    </row>
    <row r="1264" spans="1:6" x14ac:dyDescent="0.35">
      <c r="A1264" s="2">
        <f ca="1">IFERROR(__xludf.DUMMYFUNCTION("""COMPUTED_VALUE"""),43838.6666666666)</f>
        <v>43838.666666666599</v>
      </c>
      <c r="B1264" s="1">
        <f ca="1">IFERROR(__xludf.DUMMYFUNCTION("""COMPUTED_VALUE"""),158.93)</f>
        <v>158.93</v>
      </c>
      <c r="C1264" s="1">
        <f ca="1">IFERROR(__xludf.DUMMYFUNCTION("""COMPUTED_VALUE"""),160.8)</f>
        <v>160.80000000000001</v>
      </c>
      <c r="D1264" s="1">
        <f ca="1">IFERROR(__xludf.DUMMYFUNCTION("""COMPUTED_VALUE"""),157.95)</f>
        <v>157.94999999999999</v>
      </c>
      <c r="E1264" s="1">
        <f ca="1">IFERROR(__xludf.DUMMYFUNCTION("""COMPUTED_VALUE"""),160.09)</f>
        <v>160.09</v>
      </c>
      <c r="F1264" s="1">
        <f ca="1">IFERROR(__xludf.DUMMYFUNCTION("""COMPUTED_VALUE"""),27762026)</f>
        <v>27762026</v>
      </c>
    </row>
    <row r="1265" spans="1:6" x14ac:dyDescent="0.35">
      <c r="A1265" s="2">
        <f ca="1">IFERROR(__xludf.DUMMYFUNCTION("""COMPUTED_VALUE"""),43839.6666666666)</f>
        <v>43839.666666666599</v>
      </c>
      <c r="B1265" s="1">
        <f ca="1">IFERROR(__xludf.DUMMYFUNCTION("""COMPUTED_VALUE"""),161.84)</f>
        <v>161.84</v>
      </c>
      <c r="C1265" s="1">
        <f ca="1">IFERROR(__xludf.DUMMYFUNCTION("""COMPUTED_VALUE"""),162.22)</f>
        <v>162.22</v>
      </c>
      <c r="D1265" s="1">
        <f ca="1">IFERROR(__xludf.DUMMYFUNCTION("""COMPUTED_VALUE"""),161.03)</f>
        <v>161.03</v>
      </c>
      <c r="E1265" s="1">
        <f ca="1">IFERROR(__xludf.DUMMYFUNCTION("""COMPUTED_VALUE"""),162.09)</f>
        <v>162.09</v>
      </c>
      <c r="F1265" s="1">
        <f ca="1">IFERROR(__xludf.DUMMYFUNCTION("""COMPUTED_VALUE"""),21399951)</f>
        <v>21399951</v>
      </c>
    </row>
    <row r="1266" spans="1:6" x14ac:dyDescent="0.35">
      <c r="A1266" s="2">
        <f ca="1">IFERROR(__xludf.DUMMYFUNCTION("""COMPUTED_VALUE"""),43840.6666666666)</f>
        <v>43840.666666666599</v>
      </c>
      <c r="B1266" s="1">
        <f ca="1">IFERROR(__xludf.DUMMYFUNCTION("""COMPUTED_VALUE"""),162.82)</f>
        <v>162.82</v>
      </c>
      <c r="C1266" s="1">
        <f ca="1">IFERROR(__xludf.DUMMYFUNCTION("""COMPUTED_VALUE"""),163.22)</f>
        <v>163.22</v>
      </c>
      <c r="D1266" s="1">
        <f ca="1">IFERROR(__xludf.DUMMYFUNCTION("""COMPUTED_VALUE"""),161.18)</f>
        <v>161.18</v>
      </c>
      <c r="E1266" s="1">
        <f ca="1">IFERROR(__xludf.DUMMYFUNCTION("""COMPUTED_VALUE"""),161.34)</f>
        <v>161.34</v>
      </c>
      <c r="F1266" s="1">
        <f ca="1">IFERROR(__xludf.DUMMYFUNCTION("""COMPUTED_VALUE"""),20733946)</f>
        <v>20733946</v>
      </c>
    </row>
    <row r="1267" spans="1:6" x14ac:dyDescent="0.35">
      <c r="A1267" s="2">
        <f ca="1">IFERROR(__xludf.DUMMYFUNCTION("""COMPUTED_VALUE"""),43843.6666666666)</f>
        <v>43843.666666666599</v>
      </c>
      <c r="B1267" s="1">
        <f ca="1">IFERROR(__xludf.DUMMYFUNCTION("""COMPUTED_VALUE"""),161.76)</f>
        <v>161.76</v>
      </c>
      <c r="C1267" s="1">
        <f ca="1">IFERROR(__xludf.DUMMYFUNCTION("""COMPUTED_VALUE"""),163.31)</f>
        <v>163.31</v>
      </c>
      <c r="D1267" s="1">
        <f ca="1">IFERROR(__xludf.DUMMYFUNCTION("""COMPUTED_VALUE"""),161.26)</f>
        <v>161.26</v>
      </c>
      <c r="E1267" s="1">
        <f ca="1">IFERROR(__xludf.DUMMYFUNCTION("""COMPUTED_VALUE"""),163.28)</f>
        <v>163.28</v>
      </c>
      <c r="F1267" s="1">
        <f ca="1">IFERROR(__xludf.DUMMYFUNCTION("""COMPUTED_VALUE"""),21637007)</f>
        <v>21637007</v>
      </c>
    </row>
    <row r="1268" spans="1:6" x14ac:dyDescent="0.35">
      <c r="A1268" s="2">
        <f ca="1">IFERROR(__xludf.DUMMYFUNCTION("""COMPUTED_VALUE"""),43844.6666666666)</f>
        <v>43844.666666666599</v>
      </c>
      <c r="B1268" s="1">
        <f ca="1">IFERROR(__xludf.DUMMYFUNCTION("""COMPUTED_VALUE"""),163.39)</f>
        <v>163.38999999999999</v>
      </c>
      <c r="C1268" s="1">
        <f ca="1">IFERROR(__xludf.DUMMYFUNCTION("""COMPUTED_VALUE"""),163.6)</f>
        <v>163.6</v>
      </c>
      <c r="D1268" s="1">
        <f ca="1">IFERROR(__xludf.DUMMYFUNCTION("""COMPUTED_VALUE"""),161.72)</f>
        <v>161.72</v>
      </c>
      <c r="E1268" s="1">
        <f ca="1">IFERROR(__xludf.DUMMYFUNCTION("""COMPUTED_VALUE"""),162.13)</f>
        <v>162.13</v>
      </c>
      <c r="F1268" s="1">
        <f ca="1">IFERROR(__xludf.DUMMYFUNCTION("""COMPUTED_VALUE"""),23500783)</f>
        <v>23500783</v>
      </c>
    </row>
    <row r="1269" spans="1:6" x14ac:dyDescent="0.35">
      <c r="A1269" s="2">
        <f ca="1">IFERROR(__xludf.DUMMYFUNCTION("""COMPUTED_VALUE"""),43845.6666666666)</f>
        <v>43845.666666666599</v>
      </c>
      <c r="B1269" s="1">
        <f ca="1">IFERROR(__xludf.DUMMYFUNCTION("""COMPUTED_VALUE"""),162.62)</f>
        <v>162.62</v>
      </c>
      <c r="C1269" s="1">
        <f ca="1">IFERROR(__xludf.DUMMYFUNCTION("""COMPUTED_VALUE"""),163.94)</f>
        <v>163.94</v>
      </c>
      <c r="D1269" s="1">
        <f ca="1">IFERROR(__xludf.DUMMYFUNCTION("""COMPUTED_VALUE"""),162.57)</f>
        <v>162.57</v>
      </c>
      <c r="E1269" s="1">
        <f ca="1">IFERROR(__xludf.DUMMYFUNCTION("""COMPUTED_VALUE"""),163.18)</f>
        <v>163.18</v>
      </c>
      <c r="F1269" s="1">
        <f ca="1">IFERROR(__xludf.DUMMYFUNCTION("""COMPUTED_VALUE"""),21417871)</f>
        <v>21417871</v>
      </c>
    </row>
    <row r="1270" spans="1:6" x14ac:dyDescent="0.35">
      <c r="A1270" s="2">
        <f ca="1">IFERROR(__xludf.DUMMYFUNCTION("""COMPUTED_VALUE"""),43846.6666666666)</f>
        <v>43846.666666666599</v>
      </c>
      <c r="B1270" s="1">
        <f ca="1">IFERROR(__xludf.DUMMYFUNCTION("""COMPUTED_VALUE"""),164.35)</f>
        <v>164.35</v>
      </c>
      <c r="C1270" s="1">
        <f ca="1">IFERROR(__xludf.DUMMYFUNCTION("""COMPUTED_VALUE"""),166.24)</f>
        <v>166.24</v>
      </c>
      <c r="D1270" s="1">
        <f ca="1">IFERROR(__xludf.DUMMYFUNCTION("""COMPUTED_VALUE"""),164.03)</f>
        <v>164.03</v>
      </c>
      <c r="E1270" s="1">
        <f ca="1">IFERROR(__xludf.DUMMYFUNCTION("""COMPUTED_VALUE"""),166.17)</f>
        <v>166.17</v>
      </c>
      <c r="F1270" s="1">
        <f ca="1">IFERROR(__xludf.DUMMYFUNCTION("""COMPUTED_VALUE"""),23865360)</f>
        <v>23865360</v>
      </c>
    </row>
    <row r="1271" spans="1:6" x14ac:dyDescent="0.35">
      <c r="A1271" s="2">
        <f ca="1">IFERROR(__xludf.DUMMYFUNCTION("""COMPUTED_VALUE"""),43847.6666666666)</f>
        <v>43847.666666666599</v>
      </c>
      <c r="B1271" s="1">
        <f ca="1">IFERROR(__xludf.DUMMYFUNCTION("""COMPUTED_VALUE"""),167.42)</f>
        <v>167.42</v>
      </c>
      <c r="C1271" s="1">
        <f ca="1">IFERROR(__xludf.DUMMYFUNCTION("""COMPUTED_VALUE"""),167.47)</f>
        <v>167.47</v>
      </c>
      <c r="D1271" s="1">
        <f ca="1">IFERROR(__xludf.DUMMYFUNCTION("""COMPUTED_VALUE"""),165.43)</f>
        <v>165.43</v>
      </c>
      <c r="E1271" s="1">
        <f ca="1">IFERROR(__xludf.DUMMYFUNCTION("""COMPUTED_VALUE"""),167.1)</f>
        <v>167.1</v>
      </c>
      <c r="F1271" s="1">
        <f ca="1">IFERROR(__xludf.DUMMYFUNCTION("""COMPUTED_VALUE"""),34371659)</f>
        <v>34371659</v>
      </c>
    </row>
    <row r="1272" spans="1:6" x14ac:dyDescent="0.35">
      <c r="A1272" s="2">
        <f ca="1">IFERROR(__xludf.DUMMYFUNCTION("""COMPUTED_VALUE"""),43851.6666666666)</f>
        <v>43851.666666666599</v>
      </c>
      <c r="B1272" s="1">
        <f ca="1">IFERROR(__xludf.DUMMYFUNCTION("""COMPUTED_VALUE"""),166.68)</f>
        <v>166.68</v>
      </c>
      <c r="C1272" s="1">
        <f ca="1">IFERROR(__xludf.DUMMYFUNCTION("""COMPUTED_VALUE"""),168.19)</f>
        <v>168.19</v>
      </c>
      <c r="D1272" s="1">
        <f ca="1">IFERROR(__xludf.DUMMYFUNCTION("""COMPUTED_VALUE"""),166.43)</f>
        <v>166.43</v>
      </c>
      <c r="E1272" s="1">
        <f ca="1">IFERROR(__xludf.DUMMYFUNCTION("""COMPUTED_VALUE"""),166.5)</f>
        <v>166.5</v>
      </c>
      <c r="F1272" s="1">
        <f ca="1">IFERROR(__xludf.DUMMYFUNCTION("""COMPUTED_VALUE"""),29517191)</f>
        <v>29517191</v>
      </c>
    </row>
    <row r="1273" spans="1:6" x14ac:dyDescent="0.35">
      <c r="A1273" s="2">
        <f ca="1">IFERROR(__xludf.DUMMYFUNCTION("""COMPUTED_VALUE"""),43852.6666666666)</f>
        <v>43852.666666666599</v>
      </c>
      <c r="B1273" s="1">
        <f ca="1">IFERROR(__xludf.DUMMYFUNCTION("""COMPUTED_VALUE"""),167.4)</f>
        <v>167.4</v>
      </c>
      <c r="C1273" s="1">
        <f ca="1">IFERROR(__xludf.DUMMYFUNCTION("""COMPUTED_VALUE"""),167.49)</f>
        <v>167.49</v>
      </c>
      <c r="D1273" s="1">
        <f ca="1">IFERROR(__xludf.DUMMYFUNCTION("""COMPUTED_VALUE"""),165.68)</f>
        <v>165.68</v>
      </c>
      <c r="E1273" s="1">
        <f ca="1">IFERROR(__xludf.DUMMYFUNCTION("""COMPUTED_VALUE"""),165.7)</f>
        <v>165.7</v>
      </c>
      <c r="F1273" s="1">
        <f ca="1">IFERROR(__xludf.DUMMYFUNCTION("""COMPUTED_VALUE"""),24138777)</f>
        <v>24138777</v>
      </c>
    </row>
    <row r="1274" spans="1:6" x14ac:dyDescent="0.35">
      <c r="A1274" s="2">
        <f ca="1">IFERROR(__xludf.DUMMYFUNCTION("""COMPUTED_VALUE"""),43853.6666666666)</f>
        <v>43853.666666666599</v>
      </c>
      <c r="B1274" s="1">
        <f ca="1">IFERROR(__xludf.DUMMYFUNCTION("""COMPUTED_VALUE"""),166.19)</f>
        <v>166.19</v>
      </c>
      <c r="C1274" s="1">
        <f ca="1">IFERROR(__xludf.DUMMYFUNCTION("""COMPUTED_VALUE"""),166.8)</f>
        <v>166.8</v>
      </c>
      <c r="D1274" s="1">
        <f ca="1">IFERROR(__xludf.DUMMYFUNCTION("""COMPUTED_VALUE"""),165.27)</f>
        <v>165.27</v>
      </c>
      <c r="E1274" s="1">
        <f ca="1">IFERROR(__xludf.DUMMYFUNCTION("""COMPUTED_VALUE"""),166.72)</f>
        <v>166.72</v>
      </c>
      <c r="F1274" s="1">
        <f ca="1">IFERROR(__xludf.DUMMYFUNCTION("""COMPUTED_VALUE"""),19680766)</f>
        <v>19680766</v>
      </c>
    </row>
    <row r="1275" spans="1:6" x14ac:dyDescent="0.35">
      <c r="A1275" s="2">
        <f ca="1">IFERROR(__xludf.DUMMYFUNCTION("""COMPUTED_VALUE"""),43854.6666666666)</f>
        <v>43854.666666666599</v>
      </c>
      <c r="B1275" s="1">
        <f ca="1">IFERROR(__xludf.DUMMYFUNCTION("""COMPUTED_VALUE"""),167.51)</f>
        <v>167.51</v>
      </c>
      <c r="C1275" s="1">
        <f ca="1">IFERROR(__xludf.DUMMYFUNCTION("""COMPUTED_VALUE"""),167.53)</f>
        <v>167.53</v>
      </c>
      <c r="D1275" s="1">
        <f ca="1">IFERROR(__xludf.DUMMYFUNCTION("""COMPUTED_VALUE"""),164.45)</f>
        <v>164.45</v>
      </c>
      <c r="E1275" s="1">
        <f ca="1">IFERROR(__xludf.DUMMYFUNCTION("""COMPUTED_VALUE"""),165.04)</f>
        <v>165.04</v>
      </c>
      <c r="F1275" s="1">
        <f ca="1">IFERROR(__xludf.DUMMYFUNCTION("""COMPUTED_VALUE"""),24918117)</f>
        <v>24918117</v>
      </c>
    </row>
    <row r="1276" spans="1:6" x14ac:dyDescent="0.35">
      <c r="A1276" s="2">
        <f ca="1">IFERROR(__xludf.DUMMYFUNCTION("""COMPUTED_VALUE"""),43857.6666666666)</f>
        <v>43857.666666666599</v>
      </c>
      <c r="B1276" s="1">
        <f ca="1">IFERROR(__xludf.DUMMYFUNCTION("""COMPUTED_VALUE"""),161.15)</f>
        <v>161.15</v>
      </c>
      <c r="C1276" s="1">
        <f ca="1">IFERROR(__xludf.DUMMYFUNCTION("""COMPUTED_VALUE"""),163.38)</f>
        <v>163.38</v>
      </c>
      <c r="D1276" s="1">
        <f ca="1">IFERROR(__xludf.DUMMYFUNCTION("""COMPUTED_VALUE"""),160.2)</f>
        <v>160.19999999999999</v>
      </c>
      <c r="E1276" s="1">
        <f ca="1">IFERROR(__xludf.DUMMYFUNCTION("""COMPUTED_VALUE"""),162.28)</f>
        <v>162.28</v>
      </c>
      <c r="F1276" s="1">
        <f ca="1">IFERROR(__xludf.DUMMYFUNCTION("""COMPUTED_VALUE"""),32078067)</f>
        <v>32078067</v>
      </c>
    </row>
    <row r="1277" spans="1:6" x14ac:dyDescent="0.35">
      <c r="A1277" s="2">
        <f ca="1">IFERROR(__xludf.DUMMYFUNCTION("""COMPUTED_VALUE"""),43858.6666666666)</f>
        <v>43858.666666666599</v>
      </c>
      <c r="B1277" s="1">
        <f ca="1">IFERROR(__xludf.DUMMYFUNCTION("""COMPUTED_VALUE"""),163.78)</f>
        <v>163.78</v>
      </c>
      <c r="C1277" s="1">
        <f ca="1">IFERROR(__xludf.DUMMYFUNCTION("""COMPUTED_VALUE"""),165.76)</f>
        <v>165.76</v>
      </c>
      <c r="D1277" s="1">
        <f ca="1">IFERROR(__xludf.DUMMYFUNCTION("""COMPUTED_VALUE"""),163.07)</f>
        <v>163.07</v>
      </c>
      <c r="E1277" s="1">
        <f ca="1">IFERROR(__xludf.DUMMYFUNCTION("""COMPUTED_VALUE"""),165.46)</f>
        <v>165.46</v>
      </c>
      <c r="F1277" s="1">
        <f ca="1">IFERROR(__xludf.DUMMYFUNCTION("""COMPUTED_VALUE"""),24899940)</f>
        <v>24899940</v>
      </c>
    </row>
    <row r="1278" spans="1:6" x14ac:dyDescent="0.35">
      <c r="A1278" s="2">
        <f ca="1">IFERROR(__xludf.DUMMYFUNCTION("""COMPUTED_VALUE"""),43859.6666666666)</f>
        <v>43859.666666666599</v>
      </c>
      <c r="B1278" s="1">
        <f ca="1">IFERROR(__xludf.DUMMYFUNCTION("""COMPUTED_VALUE"""),167.84)</f>
        <v>167.84</v>
      </c>
      <c r="C1278" s="1">
        <f ca="1">IFERROR(__xludf.DUMMYFUNCTION("""COMPUTED_VALUE"""),168.75)</f>
        <v>168.75</v>
      </c>
      <c r="D1278" s="1">
        <f ca="1">IFERROR(__xludf.DUMMYFUNCTION("""COMPUTED_VALUE"""),165.69)</f>
        <v>165.69</v>
      </c>
      <c r="E1278" s="1">
        <f ca="1">IFERROR(__xludf.DUMMYFUNCTION("""COMPUTED_VALUE"""),168.04)</f>
        <v>168.04</v>
      </c>
      <c r="F1278" s="1">
        <f ca="1">IFERROR(__xludf.DUMMYFUNCTION("""COMPUTED_VALUE"""),35127771)</f>
        <v>35127771</v>
      </c>
    </row>
    <row r="1279" spans="1:6" x14ac:dyDescent="0.35">
      <c r="A1279" s="2">
        <f ca="1">IFERROR(__xludf.DUMMYFUNCTION("""COMPUTED_VALUE"""),43860.6666666666)</f>
        <v>43860.666666666599</v>
      </c>
      <c r="B1279" s="1">
        <f ca="1">IFERROR(__xludf.DUMMYFUNCTION("""COMPUTED_VALUE"""),174.05)</f>
        <v>174.05</v>
      </c>
      <c r="C1279" s="1">
        <f ca="1">IFERROR(__xludf.DUMMYFUNCTION("""COMPUTED_VALUE"""),174.05)</f>
        <v>174.05</v>
      </c>
      <c r="D1279" s="1">
        <f ca="1">IFERROR(__xludf.DUMMYFUNCTION("""COMPUTED_VALUE"""),170.79)</f>
        <v>170.79</v>
      </c>
      <c r="E1279" s="1">
        <f ca="1">IFERROR(__xludf.DUMMYFUNCTION("""COMPUTED_VALUE"""),172.78)</f>
        <v>172.78</v>
      </c>
      <c r="F1279" s="1">
        <f ca="1">IFERROR(__xludf.DUMMYFUNCTION("""COMPUTED_VALUE"""),51597470)</f>
        <v>51597470</v>
      </c>
    </row>
    <row r="1280" spans="1:6" x14ac:dyDescent="0.35">
      <c r="A1280" s="2">
        <f ca="1">IFERROR(__xludf.DUMMYFUNCTION("""COMPUTED_VALUE"""),43861.6666666666)</f>
        <v>43861.666666666599</v>
      </c>
      <c r="B1280" s="1">
        <f ca="1">IFERROR(__xludf.DUMMYFUNCTION("""COMPUTED_VALUE"""),172.21)</f>
        <v>172.21</v>
      </c>
      <c r="C1280" s="1">
        <f ca="1">IFERROR(__xludf.DUMMYFUNCTION("""COMPUTED_VALUE"""),172.4)</f>
        <v>172.4</v>
      </c>
      <c r="D1280" s="1">
        <f ca="1">IFERROR(__xludf.DUMMYFUNCTION("""COMPUTED_VALUE"""),169.58)</f>
        <v>169.58</v>
      </c>
      <c r="E1280" s="1">
        <f ca="1">IFERROR(__xludf.DUMMYFUNCTION("""COMPUTED_VALUE"""),170.23)</f>
        <v>170.23</v>
      </c>
      <c r="F1280" s="1">
        <f ca="1">IFERROR(__xludf.DUMMYFUNCTION("""COMPUTED_VALUE"""),36142690)</f>
        <v>36142690</v>
      </c>
    </row>
    <row r="1281" spans="1:6" x14ac:dyDescent="0.35">
      <c r="A1281" s="2">
        <f ca="1">IFERROR(__xludf.DUMMYFUNCTION("""COMPUTED_VALUE"""),43864.6666666666)</f>
        <v>43864.666666666599</v>
      </c>
      <c r="B1281" s="1">
        <f ca="1">IFERROR(__xludf.DUMMYFUNCTION("""COMPUTED_VALUE"""),170.43)</f>
        <v>170.43</v>
      </c>
      <c r="C1281" s="1">
        <f ca="1">IFERROR(__xludf.DUMMYFUNCTION("""COMPUTED_VALUE"""),174.5)</f>
        <v>174.5</v>
      </c>
      <c r="D1281" s="1">
        <f ca="1">IFERROR(__xludf.DUMMYFUNCTION("""COMPUTED_VALUE"""),170.4)</f>
        <v>170.4</v>
      </c>
      <c r="E1281" s="1">
        <f ca="1">IFERROR(__xludf.DUMMYFUNCTION("""COMPUTED_VALUE"""),174.38)</f>
        <v>174.38</v>
      </c>
      <c r="F1281" s="1">
        <f ca="1">IFERROR(__xludf.DUMMYFUNCTION("""COMPUTED_VALUE"""),30149052)</f>
        <v>30149052</v>
      </c>
    </row>
    <row r="1282" spans="1:6" x14ac:dyDescent="0.35">
      <c r="A1282" s="2">
        <f ca="1">IFERROR(__xludf.DUMMYFUNCTION("""COMPUTED_VALUE"""),43865.6666666666)</f>
        <v>43865.666666666599</v>
      </c>
      <c r="B1282" s="1">
        <f ca="1">IFERROR(__xludf.DUMMYFUNCTION("""COMPUTED_VALUE"""),177.14)</f>
        <v>177.14</v>
      </c>
      <c r="C1282" s="1">
        <f ca="1">IFERROR(__xludf.DUMMYFUNCTION("""COMPUTED_VALUE"""),180.64)</f>
        <v>180.64</v>
      </c>
      <c r="D1282" s="1">
        <f ca="1">IFERROR(__xludf.DUMMYFUNCTION("""COMPUTED_VALUE"""),176.31)</f>
        <v>176.31</v>
      </c>
      <c r="E1282" s="1">
        <f ca="1">IFERROR(__xludf.DUMMYFUNCTION("""COMPUTED_VALUE"""),180.12)</f>
        <v>180.12</v>
      </c>
      <c r="F1282" s="1">
        <f ca="1">IFERROR(__xludf.DUMMYFUNCTION("""COMPUTED_VALUE"""),36433339)</f>
        <v>36433339</v>
      </c>
    </row>
    <row r="1283" spans="1:6" x14ac:dyDescent="0.35">
      <c r="A1283" s="2">
        <f ca="1">IFERROR(__xludf.DUMMYFUNCTION("""COMPUTED_VALUE"""),43866.6666666666)</f>
        <v>43866.666666666599</v>
      </c>
      <c r="B1283" s="1">
        <f ca="1">IFERROR(__xludf.DUMMYFUNCTION("""COMPUTED_VALUE"""),184.03)</f>
        <v>184.03</v>
      </c>
      <c r="C1283" s="1">
        <f ca="1">IFERROR(__xludf.DUMMYFUNCTION("""COMPUTED_VALUE"""),184.2)</f>
        <v>184.2</v>
      </c>
      <c r="D1283" s="1">
        <f ca="1">IFERROR(__xludf.DUMMYFUNCTION("""COMPUTED_VALUE"""),178.41)</f>
        <v>178.41</v>
      </c>
      <c r="E1283" s="1">
        <f ca="1">IFERROR(__xludf.DUMMYFUNCTION("""COMPUTED_VALUE"""),179.9)</f>
        <v>179.9</v>
      </c>
      <c r="F1283" s="1">
        <f ca="1">IFERROR(__xludf.DUMMYFUNCTION("""COMPUTED_VALUE"""),39186324)</f>
        <v>39186324</v>
      </c>
    </row>
    <row r="1284" spans="1:6" x14ac:dyDescent="0.35">
      <c r="A1284" s="2">
        <f ca="1">IFERROR(__xludf.DUMMYFUNCTION("""COMPUTED_VALUE"""),43867.6666666666)</f>
        <v>43867.666666666599</v>
      </c>
      <c r="B1284" s="1">
        <f ca="1">IFERROR(__xludf.DUMMYFUNCTION("""COMPUTED_VALUE"""),180.97)</f>
        <v>180.97</v>
      </c>
      <c r="C1284" s="1">
        <f ca="1">IFERROR(__xludf.DUMMYFUNCTION("""COMPUTED_VALUE"""),183.82)</f>
        <v>183.82</v>
      </c>
      <c r="D1284" s="1">
        <f ca="1">IFERROR(__xludf.DUMMYFUNCTION("""COMPUTED_VALUE"""),180.06)</f>
        <v>180.06</v>
      </c>
      <c r="E1284" s="1">
        <f ca="1">IFERROR(__xludf.DUMMYFUNCTION("""COMPUTED_VALUE"""),183.63)</f>
        <v>183.63</v>
      </c>
      <c r="F1284" s="1">
        <f ca="1">IFERROR(__xludf.DUMMYFUNCTION("""COMPUTED_VALUE"""),27751381)</f>
        <v>27751381</v>
      </c>
    </row>
    <row r="1285" spans="1:6" x14ac:dyDescent="0.35">
      <c r="A1285" s="2">
        <f ca="1">IFERROR(__xludf.DUMMYFUNCTION("""COMPUTED_VALUE"""),43868.6666666666)</f>
        <v>43868.666666666599</v>
      </c>
      <c r="B1285" s="1">
        <f ca="1">IFERROR(__xludf.DUMMYFUNCTION("""COMPUTED_VALUE"""),182.85)</f>
        <v>182.85</v>
      </c>
      <c r="C1285" s="1">
        <f ca="1">IFERROR(__xludf.DUMMYFUNCTION("""COMPUTED_VALUE"""),185.63)</f>
        <v>185.63</v>
      </c>
      <c r="D1285" s="1">
        <f ca="1">IFERROR(__xludf.DUMMYFUNCTION("""COMPUTED_VALUE"""),182.48)</f>
        <v>182.48</v>
      </c>
      <c r="E1285" s="1">
        <f ca="1">IFERROR(__xludf.DUMMYFUNCTION("""COMPUTED_VALUE"""),183.89)</f>
        <v>183.89</v>
      </c>
      <c r="F1285" s="1">
        <f ca="1">IFERROR(__xludf.DUMMYFUNCTION("""COMPUTED_VALUE"""),33529074)</f>
        <v>33529074</v>
      </c>
    </row>
    <row r="1286" spans="1:6" x14ac:dyDescent="0.35">
      <c r="A1286" s="2">
        <f ca="1">IFERROR(__xludf.DUMMYFUNCTION("""COMPUTED_VALUE"""),43871.6666666666)</f>
        <v>43871.666666666599</v>
      </c>
      <c r="B1286" s="1">
        <f ca="1">IFERROR(__xludf.DUMMYFUNCTION("""COMPUTED_VALUE"""),183.58)</f>
        <v>183.58</v>
      </c>
      <c r="C1286" s="1">
        <f ca="1">IFERROR(__xludf.DUMMYFUNCTION("""COMPUTED_VALUE"""),188.84)</f>
        <v>188.84</v>
      </c>
      <c r="D1286" s="1">
        <f ca="1">IFERROR(__xludf.DUMMYFUNCTION("""COMPUTED_VALUE"""),183.25)</f>
        <v>183.25</v>
      </c>
      <c r="E1286" s="1">
        <f ca="1">IFERROR(__xludf.DUMMYFUNCTION("""COMPUTED_VALUE"""),188.7)</f>
        <v>188.7</v>
      </c>
      <c r="F1286" s="1">
        <f ca="1">IFERROR(__xludf.DUMMYFUNCTION("""COMPUTED_VALUE"""),35844267)</f>
        <v>35844267</v>
      </c>
    </row>
    <row r="1287" spans="1:6" x14ac:dyDescent="0.35">
      <c r="A1287" s="2">
        <f ca="1">IFERROR(__xludf.DUMMYFUNCTION("""COMPUTED_VALUE"""),43872.6666666666)</f>
        <v>43872.666666666599</v>
      </c>
      <c r="B1287" s="1">
        <f ca="1">IFERROR(__xludf.DUMMYFUNCTION("""COMPUTED_VALUE"""),190.65)</f>
        <v>190.65</v>
      </c>
      <c r="C1287" s="1">
        <f ca="1">IFERROR(__xludf.DUMMYFUNCTION("""COMPUTED_VALUE"""),190.7)</f>
        <v>190.7</v>
      </c>
      <c r="D1287" s="1">
        <f ca="1">IFERROR(__xludf.DUMMYFUNCTION("""COMPUTED_VALUE"""),183.5)</f>
        <v>183.5</v>
      </c>
      <c r="E1287" s="1">
        <f ca="1">IFERROR(__xludf.DUMMYFUNCTION("""COMPUTED_VALUE"""),184.44)</f>
        <v>184.44</v>
      </c>
      <c r="F1287" s="1">
        <f ca="1">IFERROR(__xludf.DUMMYFUNCTION("""COMPUTED_VALUE"""),53159906)</f>
        <v>53159906</v>
      </c>
    </row>
    <row r="1288" spans="1:6" x14ac:dyDescent="0.35">
      <c r="A1288" s="2">
        <f ca="1">IFERROR(__xludf.DUMMYFUNCTION("""COMPUTED_VALUE"""),43873.6666666666)</f>
        <v>43873.666666666599</v>
      </c>
      <c r="B1288" s="1">
        <f ca="1">IFERROR(__xludf.DUMMYFUNCTION("""COMPUTED_VALUE"""),185.58)</f>
        <v>185.58</v>
      </c>
      <c r="C1288" s="1">
        <f ca="1">IFERROR(__xludf.DUMMYFUNCTION("""COMPUTED_VALUE"""),185.85)</f>
        <v>185.85</v>
      </c>
      <c r="D1288" s="1">
        <f ca="1">IFERROR(__xludf.DUMMYFUNCTION("""COMPUTED_VALUE"""),181.85)</f>
        <v>181.85</v>
      </c>
      <c r="E1288" s="1">
        <f ca="1">IFERROR(__xludf.DUMMYFUNCTION("""COMPUTED_VALUE"""),184.71)</f>
        <v>184.71</v>
      </c>
      <c r="F1288" s="1">
        <f ca="1">IFERROR(__xludf.DUMMYFUNCTION("""COMPUTED_VALUE"""),47062921)</f>
        <v>47062921</v>
      </c>
    </row>
    <row r="1289" spans="1:6" x14ac:dyDescent="0.35">
      <c r="A1289" s="2">
        <f ca="1">IFERROR(__xludf.DUMMYFUNCTION("""COMPUTED_VALUE"""),43874.6666666666)</f>
        <v>43874.666666666599</v>
      </c>
      <c r="B1289" s="1">
        <f ca="1">IFERROR(__xludf.DUMMYFUNCTION("""COMPUTED_VALUE"""),183.08)</f>
        <v>183.08</v>
      </c>
      <c r="C1289" s="1">
        <f ca="1">IFERROR(__xludf.DUMMYFUNCTION("""COMPUTED_VALUE"""),186.23)</f>
        <v>186.23</v>
      </c>
      <c r="D1289" s="1">
        <f ca="1">IFERROR(__xludf.DUMMYFUNCTION("""COMPUTED_VALUE"""),182.87)</f>
        <v>182.87</v>
      </c>
      <c r="E1289" s="1">
        <f ca="1">IFERROR(__xludf.DUMMYFUNCTION("""COMPUTED_VALUE"""),183.71)</f>
        <v>183.71</v>
      </c>
      <c r="F1289" s="1">
        <f ca="1">IFERROR(__xludf.DUMMYFUNCTION("""COMPUTED_VALUE"""),35295834)</f>
        <v>35295834</v>
      </c>
    </row>
    <row r="1290" spans="1:6" x14ac:dyDescent="0.35">
      <c r="A1290" s="2">
        <f ca="1">IFERROR(__xludf.DUMMYFUNCTION("""COMPUTED_VALUE"""),43875.6666666666)</f>
        <v>43875.666666666599</v>
      </c>
      <c r="B1290" s="1">
        <f ca="1">IFERROR(__xludf.DUMMYFUNCTION("""COMPUTED_VALUE"""),183.25)</f>
        <v>183.25</v>
      </c>
      <c r="C1290" s="1">
        <f ca="1">IFERROR(__xludf.DUMMYFUNCTION("""COMPUTED_VALUE"""),185.41)</f>
        <v>185.41</v>
      </c>
      <c r="D1290" s="1">
        <f ca="1">IFERROR(__xludf.DUMMYFUNCTION("""COMPUTED_VALUE"""),182.65)</f>
        <v>182.65</v>
      </c>
      <c r="E1290" s="1">
        <f ca="1">IFERROR(__xludf.DUMMYFUNCTION("""COMPUTED_VALUE"""),185.35)</f>
        <v>185.35</v>
      </c>
      <c r="F1290" s="1">
        <f ca="1">IFERROR(__xludf.DUMMYFUNCTION("""COMPUTED_VALUE"""),23149516)</f>
        <v>23149516</v>
      </c>
    </row>
    <row r="1291" spans="1:6" x14ac:dyDescent="0.35">
      <c r="A1291" s="2">
        <f ca="1">IFERROR(__xludf.DUMMYFUNCTION("""COMPUTED_VALUE"""),43879.6666666666)</f>
        <v>43879.666666666599</v>
      </c>
      <c r="B1291" s="1">
        <f ca="1">IFERROR(__xludf.DUMMYFUNCTION("""COMPUTED_VALUE"""),185.61)</f>
        <v>185.61</v>
      </c>
      <c r="C1291" s="1">
        <f ca="1">IFERROR(__xludf.DUMMYFUNCTION("""COMPUTED_VALUE"""),187.7)</f>
        <v>187.7</v>
      </c>
      <c r="D1291" s="1">
        <f ca="1">IFERROR(__xludf.DUMMYFUNCTION("""COMPUTED_VALUE"""),185.5)</f>
        <v>185.5</v>
      </c>
      <c r="E1291" s="1">
        <f ca="1">IFERROR(__xludf.DUMMYFUNCTION("""COMPUTED_VALUE"""),187.23)</f>
        <v>187.23</v>
      </c>
      <c r="F1291" s="1">
        <f ca="1">IFERROR(__xludf.DUMMYFUNCTION("""COMPUTED_VALUE"""),27853113)</f>
        <v>27853113</v>
      </c>
    </row>
    <row r="1292" spans="1:6" x14ac:dyDescent="0.35">
      <c r="A1292" s="2">
        <f ca="1">IFERROR(__xludf.DUMMYFUNCTION("""COMPUTED_VALUE"""),43880.6666666666)</f>
        <v>43880.666666666599</v>
      </c>
      <c r="B1292" s="1">
        <f ca="1">IFERROR(__xludf.DUMMYFUNCTION("""COMPUTED_VALUE"""),188.06)</f>
        <v>188.06</v>
      </c>
      <c r="C1292" s="1">
        <f ca="1">IFERROR(__xludf.DUMMYFUNCTION("""COMPUTED_VALUE"""),188.18)</f>
        <v>188.18</v>
      </c>
      <c r="D1292" s="1">
        <f ca="1">IFERROR(__xludf.DUMMYFUNCTION("""COMPUTED_VALUE"""),186.47)</f>
        <v>186.47</v>
      </c>
      <c r="E1292" s="1">
        <f ca="1">IFERROR(__xludf.DUMMYFUNCTION("""COMPUTED_VALUE"""),187.28)</f>
        <v>187.28</v>
      </c>
      <c r="F1292" s="1">
        <f ca="1">IFERROR(__xludf.DUMMYFUNCTION("""COMPUTED_VALUE"""),29997471)</f>
        <v>29997471</v>
      </c>
    </row>
    <row r="1293" spans="1:6" x14ac:dyDescent="0.35">
      <c r="A1293" s="2">
        <f ca="1">IFERROR(__xludf.DUMMYFUNCTION("""COMPUTED_VALUE"""),43881.6666666666)</f>
        <v>43881.666666666599</v>
      </c>
      <c r="B1293" s="1">
        <f ca="1">IFERROR(__xludf.DUMMYFUNCTION("""COMPUTED_VALUE"""),186.95)</f>
        <v>186.95</v>
      </c>
      <c r="C1293" s="1">
        <f ca="1">IFERROR(__xludf.DUMMYFUNCTION("""COMPUTED_VALUE"""),187.25)</f>
        <v>187.25</v>
      </c>
      <c r="D1293" s="1">
        <f ca="1">IFERROR(__xludf.DUMMYFUNCTION("""COMPUTED_VALUE"""),181.1)</f>
        <v>181.1</v>
      </c>
      <c r="E1293" s="1">
        <f ca="1">IFERROR(__xludf.DUMMYFUNCTION("""COMPUTED_VALUE"""),184.42)</f>
        <v>184.42</v>
      </c>
      <c r="F1293" s="1">
        <f ca="1">IFERROR(__xludf.DUMMYFUNCTION("""COMPUTED_VALUE"""),36862376)</f>
        <v>36862376</v>
      </c>
    </row>
    <row r="1294" spans="1:6" x14ac:dyDescent="0.35">
      <c r="A1294" s="2">
        <f ca="1">IFERROR(__xludf.DUMMYFUNCTION("""COMPUTED_VALUE"""),43882.6666666666)</f>
        <v>43882.666666666599</v>
      </c>
      <c r="B1294" s="1">
        <f ca="1">IFERROR(__xludf.DUMMYFUNCTION("""COMPUTED_VALUE"""),183.17)</f>
        <v>183.17</v>
      </c>
      <c r="C1294" s="1">
        <f ca="1">IFERROR(__xludf.DUMMYFUNCTION("""COMPUTED_VALUE"""),183.5)</f>
        <v>183.5</v>
      </c>
      <c r="D1294" s="1">
        <f ca="1">IFERROR(__xludf.DUMMYFUNCTION("""COMPUTED_VALUE"""),177.25)</f>
        <v>177.25</v>
      </c>
      <c r="E1294" s="1">
        <f ca="1">IFERROR(__xludf.DUMMYFUNCTION("""COMPUTED_VALUE"""),178.59)</f>
        <v>178.59</v>
      </c>
      <c r="F1294" s="1">
        <f ca="1">IFERROR(__xludf.DUMMYFUNCTION("""COMPUTED_VALUE"""),48600385)</f>
        <v>48600385</v>
      </c>
    </row>
    <row r="1295" spans="1:6" x14ac:dyDescent="0.35">
      <c r="A1295" s="2">
        <f ca="1">IFERROR(__xludf.DUMMYFUNCTION("""COMPUTED_VALUE"""),43885.6666666666)</f>
        <v>43885.666666666599</v>
      </c>
      <c r="B1295" s="1">
        <f ca="1">IFERROR(__xludf.DUMMYFUNCTION("""COMPUTED_VALUE"""),167.77)</f>
        <v>167.77</v>
      </c>
      <c r="C1295" s="1">
        <f ca="1">IFERROR(__xludf.DUMMYFUNCTION("""COMPUTED_VALUE"""),174.55)</f>
        <v>174.55</v>
      </c>
      <c r="D1295" s="1">
        <f ca="1">IFERROR(__xludf.DUMMYFUNCTION("""COMPUTED_VALUE"""),163.23)</f>
        <v>163.22999999999999</v>
      </c>
      <c r="E1295" s="1">
        <f ca="1">IFERROR(__xludf.DUMMYFUNCTION("""COMPUTED_VALUE"""),170.89)</f>
        <v>170.89</v>
      </c>
      <c r="F1295" s="1">
        <f ca="1">IFERROR(__xludf.DUMMYFUNCTION("""COMPUTED_VALUE"""),68311066)</f>
        <v>68311066</v>
      </c>
    </row>
    <row r="1296" spans="1:6" x14ac:dyDescent="0.35">
      <c r="A1296" s="2">
        <f ca="1">IFERROR(__xludf.DUMMYFUNCTION("""COMPUTED_VALUE"""),43886.6666666666)</f>
        <v>43886.666666666599</v>
      </c>
      <c r="B1296" s="1">
        <f ca="1">IFERROR(__xludf.DUMMYFUNCTION("""COMPUTED_VALUE"""),174.2)</f>
        <v>174.2</v>
      </c>
      <c r="C1296" s="1">
        <f ca="1">IFERROR(__xludf.DUMMYFUNCTION("""COMPUTED_VALUE"""),174.84)</f>
        <v>174.84</v>
      </c>
      <c r="D1296" s="1">
        <f ca="1">IFERROR(__xludf.DUMMYFUNCTION("""COMPUTED_VALUE"""),167.65)</f>
        <v>167.65</v>
      </c>
      <c r="E1296" s="1">
        <f ca="1">IFERROR(__xludf.DUMMYFUNCTION("""COMPUTED_VALUE"""),168.07)</f>
        <v>168.07</v>
      </c>
      <c r="F1296" s="1">
        <f ca="1">IFERROR(__xludf.DUMMYFUNCTION("""COMPUTED_VALUE"""),68073295)</f>
        <v>68073295</v>
      </c>
    </row>
    <row r="1297" spans="1:6" x14ac:dyDescent="0.35">
      <c r="A1297" s="2">
        <f ca="1">IFERROR(__xludf.DUMMYFUNCTION("""COMPUTED_VALUE"""),43887.6666666666)</f>
        <v>43887.666666666599</v>
      </c>
      <c r="B1297" s="1">
        <f ca="1">IFERROR(__xludf.DUMMYFUNCTION("""COMPUTED_VALUE"""),169.71)</f>
        <v>169.71</v>
      </c>
      <c r="C1297" s="1">
        <f ca="1">IFERROR(__xludf.DUMMYFUNCTION("""COMPUTED_VALUE"""),173.26)</f>
        <v>173.26</v>
      </c>
      <c r="D1297" s="1">
        <f ca="1">IFERROR(__xludf.DUMMYFUNCTION("""COMPUTED_VALUE"""),168.21)</f>
        <v>168.21</v>
      </c>
      <c r="E1297" s="1">
        <f ca="1">IFERROR(__xludf.DUMMYFUNCTION("""COMPUTED_VALUE"""),170.17)</f>
        <v>170.17</v>
      </c>
      <c r="F1297" s="1">
        <f ca="1">IFERROR(__xludf.DUMMYFUNCTION("""COMPUTED_VALUE"""),56387148)</f>
        <v>56387148</v>
      </c>
    </row>
    <row r="1298" spans="1:6" x14ac:dyDescent="0.35">
      <c r="A1298" s="2">
        <f ca="1">IFERROR(__xludf.DUMMYFUNCTION("""COMPUTED_VALUE"""),43888.6666666666)</f>
        <v>43888.666666666599</v>
      </c>
      <c r="B1298" s="1">
        <f ca="1">IFERROR(__xludf.DUMMYFUNCTION("""COMPUTED_VALUE"""),163.32)</f>
        <v>163.32</v>
      </c>
      <c r="C1298" s="1">
        <f ca="1">IFERROR(__xludf.DUMMYFUNCTION("""COMPUTED_VALUE"""),167.03)</f>
        <v>167.03</v>
      </c>
      <c r="D1298" s="1">
        <f ca="1">IFERROR(__xludf.DUMMYFUNCTION("""COMPUTED_VALUE"""),157.98)</f>
        <v>157.97999999999999</v>
      </c>
      <c r="E1298" s="1">
        <f ca="1">IFERROR(__xludf.DUMMYFUNCTION("""COMPUTED_VALUE"""),158.18)</f>
        <v>158.18</v>
      </c>
      <c r="F1298" s="1">
        <f ca="1">IFERROR(__xludf.DUMMYFUNCTION("""COMPUTED_VALUE"""),93174906)</f>
        <v>93174906</v>
      </c>
    </row>
    <row r="1299" spans="1:6" x14ac:dyDescent="0.35">
      <c r="A1299" s="2">
        <f ca="1">IFERROR(__xludf.DUMMYFUNCTION("""COMPUTED_VALUE"""),43889.6666666666)</f>
        <v>43889.666666666599</v>
      </c>
      <c r="B1299" s="1">
        <f ca="1">IFERROR(__xludf.DUMMYFUNCTION("""COMPUTED_VALUE"""),152.41)</f>
        <v>152.41</v>
      </c>
      <c r="C1299" s="1">
        <f ca="1">IFERROR(__xludf.DUMMYFUNCTION("""COMPUTED_VALUE"""),163.71)</f>
        <v>163.71</v>
      </c>
      <c r="D1299" s="1">
        <f ca="1">IFERROR(__xludf.DUMMYFUNCTION("""COMPUTED_VALUE"""),152)</f>
        <v>152</v>
      </c>
      <c r="E1299" s="1">
        <f ca="1">IFERROR(__xludf.DUMMYFUNCTION("""COMPUTED_VALUE"""),162.01)</f>
        <v>162.01</v>
      </c>
      <c r="F1299" s="1">
        <f ca="1">IFERROR(__xludf.DUMMYFUNCTION("""COMPUTED_VALUE"""),97073557)</f>
        <v>97073557</v>
      </c>
    </row>
    <row r="1300" spans="1:6" x14ac:dyDescent="0.35">
      <c r="A1300" s="2">
        <f ca="1">IFERROR(__xludf.DUMMYFUNCTION("""COMPUTED_VALUE"""),43892.6666666666)</f>
        <v>43892.666666666599</v>
      </c>
      <c r="B1300" s="1">
        <f ca="1">IFERROR(__xludf.DUMMYFUNCTION("""COMPUTED_VALUE"""),165.31)</f>
        <v>165.31</v>
      </c>
      <c r="C1300" s="1">
        <f ca="1">IFERROR(__xludf.DUMMYFUNCTION("""COMPUTED_VALUE"""),172.92)</f>
        <v>172.92</v>
      </c>
      <c r="D1300" s="1">
        <f ca="1">IFERROR(__xludf.DUMMYFUNCTION("""COMPUTED_VALUE"""),162.31)</f>
        <v>162.31</v>
      </c>
      <c r="E1300" s="1">
        <f ca="1">IFERROR(__xludf.DUMMYFUNCTION("""COMPUTED_VALUE"""),172.79)</f>
        <v>172.79</v>
      </c>
      <c r="F1300" s="1">
        <f ca="1">IFERROR(__xludf.DUMMYFUNCTION("""COMPUTED_VALUE"""),71030810)</f>
        <v>71030810</v>
      </c>
    </row>
    <row r="1301" spans="1:6" x14ac:dyDescent="0.35">
      <c r="A1301" s="2">
        <f ca="1">IFERROR(__xludf.DUMMYFUNCTION("""COMPUTED_VALUE"""),43893.6666666666)</f>
        <v>43893.666666666599</v>
      </c>
      <c r="B1301" s="1">
        <f ca="1">IFERROR(__xludf.DUMMYFUNCTION("""COMPUTED_VALUE"""),173.8)</f>
        <v>173.8</v>
      </c>
      <c r="C1301" s="1">
        <f ca="1">IFERROR(__xludf.DUMMYFUNCTION("""COMPUTED_VALUE"""),175)</f>
        <v>175</v>
      </c>
      <c r="D1301" s="1">
        <f ca="1">IFERROR(__xludf.DUMMYFUNCTION("""COMPUTED_VALUE"""),162.26)</f>
        <v>162.26</v>
      </c>
      <c r="E1301" s="1">
        <f ca="1">IFERROR(__xludf.DUMMYFUNCTION("""COMPUTED_VALUE"""),164.51)</f>
        <v>164.51</v>
      </c>
      <c r="F1301" s="1">
        <f ca="1">IFERROR(__xludf.DUMMYFUNCTION("""COMPUTED_VALUE"""),71677019)</f>
        <v>71677019</v>
      </c>
    </row>
    <row r="1302" spans="1:6" x14ac:dyDescent="0.35">
      <c r="A1302" s="2">
        <f ca="1">IFERROR(__xludf.DUMMYFUNCTION("""COMPUTED_VALUE"""),43894.6666666666)</f>
        <v>43894.666666666599</v>
      </c>
      <c r="B1302" s="1">
        <f ca="1">IFERROR(__xludf.DUMMYFUNCTION("""COMPUTED_VALUE"""),168.49)</f>
        <v>168.49</v>
      </c>
      <c r="C1302" s="1">
        <f ca="1">IFERROR(__xludf.DUMMYFUNCTION("""COMPUTED_VALUE"""),170.7)</f>
        <v>170.7</v>
      </c>
      <c r="D1302" s="1">
        <f ca="1">IFERROR(__xludf.DUMMYFUNCTION("""COMPUTED_VALUE"""),165.62)</f>
        <v>165.62</v>
      </c>
      <c r="E1302" s="1">
        <f ca="1">IFERROR(__xludf.DUMMYFUNCTION("""COMPUTED_VALUE"""),170.55)</f>
        <v>170.55</v>
      </c>
      <c r="F1302" s="1">
        <f ca="1">IFERROR(__xludf.DUMMYFUNCTION("""COMPUTED_VALUE"""),49814383)</f>
        <v>49814383</v>
      </c>
    </row>
    <row r="1303" spans="1:6" x14ac:dyDescent="0.35">
      <c r="A1303" s="2">
        <f ca="1">IFERROR(__xludf.DUMMYFUNCTION("""COMPUTED_VALUE"""),43895.6666666666)</f>
        <v>43895.666666666599</v>
      </c>
      <c r="B1303" s="1">
        <f ca="1">IFERROR(__xludf.DUMMYFUNCTION("""COMPUTED_VALUE"""),166.05)</f>
        <v>166.05</v>
      </c>
      <c r="C1303" s="1">
        <f ca="1">IFERROR(__xludf.DUMMYFUNCTION("""COMPUTED_VALUE"""),170.87)</f>
        <v>170.87</v>
      </c>
      <c r="D1303" s="1">
        <f ca="1">IFERROR(__xludf.DUMMYFUNCTION("""COMPUTED_VALUE"""),165.69)</f>
        <v>165.69</v>
      </c>
      <c r="E1303" s="1">
        <f ca="1">IFERROR(__xludf.DUMMYFUNCTION("""COMPUTED_VALUE"""),166.27)</f>
        <v>166.27</v>
      </c>
      <c r="F1303" s="1">
        <f ca="1">IFERROR(__xludf.DUMMYFUNCTION("""COMPUTED_VALUE"""),47817251)</f>
        <v>47817251</v>
      </c>
    </row>
    <row r="1304" spans="1:6" x14ac:dyDescent="0.35">
      <c r="A1304" s="2">
        <f ca="1">IFERROR(__xludf.DUMMYFUNCTION("""COMPUTED_VALUE"""),43896.6666666666)</f>
        <v>43896.666666666599</v>
      </c>
      <c r="B1304" s="1">
        <f ca="1">IFERROR(__xludf.DUMMYFUNCTION("""COMPUTED_VALUE"""),162.61)</f>
        <v>162.61000000000001</v>
      </c>
      <c r="C1304" s="1">
        <f ca="1">IFERROR(__xludf.DUMMYFUNCTION("""COMPUTED_VALUE"""),163.11)</f>
        <v>163.11000000000001</v>
      </c>
      <c r="D1304" s="1">
        <f ca="1">IFERROR(__xludf.DUMMYFUNCTION("""COMPUTED_VALUE"""),156)</f>
        <v>156</v>
      </c>
      <c r="E1304" s="1">
        <f ca="1">IFERROR(__xludf.DUMMYFUNCTION("""COMPUTED_VALUE"""),161.57)</f>
        <v>161.57</v>
      </c>
      <c r="F1304" s="1">
        <f ca="1">IFERROR(__xludf.DUMMYFUNCTION("""COMPUTED_VALUE"""),72821057)</f>
        <v>72821057</v>
      </c>
    </row>
    <row r="1305" spans="1:6" x14ac:dyDescent="0.35">
      <c r="A1305" s="2">
        <f ca="1">IFERROR(__xludf.DUMMYFUNCTION("""COMPUTED_VALUE"""),43899.6666666666)</f>
        <v>43899.666666666599</v>
      </c>
      <c r="B1305" s="1">
        <f ca="1">IFERROR(__xludf.DUMMYFUNCTION("""COMPUTED_VALUE"""),151)</f>
        <v>151</v>
      </c>
      <c r="C1305" s="1">
        <f ca="1">IFERROR(__xludf.DUMMYFUNCTION("""COMPUTED_VALUE"""),157.75)</f>
        <v>157.75</v>
      </c>
      <c r="D1305" s="1">
        <f ca="1">IFERROR(__xludf.DUMMYFUNCTION("""COMPUTED_VALUE"""),150)</f>
        <v>150</v>
      </c>
      <c r="E1305" s="1">
        <f ca="1">IFERROR(__xludf.DUMMYFUNCTION("""COMPUTED_VALUE"""),150.62)</f>
        <v>150.62</v>
      </c>
      <c r="F1305" s="1">
        <f ca="1">IFERROR(__xludf.DUMMYFUNCTION("""COMPUTED_VALUE"""),70419274)</f>
        <v>70419274</v>
      </c>
    </row>
    <row r="1306" spans="1:6" x14ac:dyDescent="0.35">
      <c r="A1306" s="2">
        <f ca="1">IFERROR(__xludf.DUMMYFUNCTION("""COMPUTED_VALUE"""),43900.6666666666)</f>
        <v>43900.666666666599</v>
      </c>
      <c r="B1306" s="1">
        <f ca="1">IFERROR(__xludf.DUMMYFUNCTION("""COMPUTED_VALUE"""),158.16)</f>
        <v>158.16</v>
      </c>
      <c r="C1306" s="1">
        <f ca="1">IFERROR(__xludf.DUMMYFUNCTION("""COMPUTED_VALUE"""),161.03)</f>
        <v>161.03</v>
      </c>
      <c r="D1306" s="1">
        <f ca="1">IFERROR(__xludf.DUMMYFUNCTION("""COMPUTED_VALUE"""),152.58)</f>
        <v>152.58000000000001</v>
      </c>
      <c r="E1306" s="1">
        <f ca="1">IFERROR(__xludf.DUMMYFUNCTION("""COMPUTED_VALUE"""),160.92)</f>
        <v>160.91999999999999</v>
      </c>
      <c r="F1306" s="1">
        <f ca="1">IFERROR(__xludf.DUMMYFUNCTION("""COMPUTED_VALUE"""),65354385)</f>
        <v>65354385</v>
      </c>
    </row>
    <row r="1307" spans="1:6" x14ac:dyDescent="0.35">
      <c r="A1307" s="2">
        <f ca="1">IFERROR(__xludf.DUMMYFUNCTION("""COMPUTED_VALUE"""),43901.6666666666)</f>
        <v>43901.666666666599</v>
      </c>
      <c r="B1307" s="1">
        <f ca="1">IFERROR(__xludf.DUMMYFUNCTION("""COMPUTED_VALUE"""),157.13)</f>
        <v>157.13</v>
      </c>
      <c r="C1307" s="1">
        <f ca="1">IFERROR(__xludf.DUMMYFUNCTION("""COMPUTED_VALUE"""),157.7)</f>
        <v>157.69999999999999</v>
      </c>
      <c r="D1307" s="1">
        <f ca="1">IFERROR(__xludf.DUMMYFUNCTION("""COMPUTED_VALUE"""),151.15)</f>
        <v>151.15</v>
      </c>
      <c r="E1307" s="1">
        <f ca="1">IFERROR(__xludf.DUMMYFUNCTION("""COMPUTED_VALUE"""),153.63)</f>
        <v>153.63</v>
      </c>
      <c r="F1307" s="1">
        <f ca="1">IFERROR(__xludf.DUMMYFUNCTION("""COMPUTED_VALUE"""),56504304)</f>
        <v>56504304</v>
      </c>
    </row>
    <row r="1308" spans="1:6" x14ac:dyDescent="0.35">
      <c r="A1308" s="2">
        <f ca="1">IFERROR(__xludf.DUMMYFUNCTION("""COMPUTED_VALUE"""),43902.6666666666)</f>
        <v>43902.666666666599</v>
      </c>
      <c r="B1308" s="1">
        <f ca="1">IFERROR(__xludf.DUMMYFUNCTION("""COMPUTED_VALUE"""),145.3)</f>
        <v>145.30000000000001</v>
      </c>
      <c r="C1308" s="1">
        <f ca="1">IFERROR(__xludf.DUMMYFUNCTION("""COMPUTED_VALUE"""),153.47)</f>
        <v>153.47</v>
      </c>
      <c r="D1308" s="1">
        <f ca="1">IFERROR(__xludf.DUMMYFUNCTION("""COMPUTED_VALUE"""),138.58)</f>
        <v>138.58000000000001</v>
      </c>
      <c r="E1308" s="1">
        <f ca="1">IFERROR(__xludf.DUMMYFUNCTION("""COMPUTED_VALUE"""),139.06)</f>
        <v>139.06</v>
      </c>
      <c r="F1308" s="1">
        <f ca="1">IFERROR(__xludf.DUMMYFUNCTION("""COMPUTED_VALUE"""),93226366)</f>
        <v>93226366</v>
      </c>
    </row>
    <row r="1309" spans="1:6" x14ac:dyDescent="0.35">
      <c r="A1309" s="2">
        <f ca="1">IFERROR(__xludf.DUMMYFUNCTION("""COMPUTED_VALUE"""),43903.6666666666)</f>
        <v>43903.666666666599</v>
      </c>
      <c r="B1309" s="1">
        <f ca="1">IFERROR(__xludf.DUMMYFUNCTION("""COMPUTED_VALUE"""),147.5)</f>
        <v>147.5</v>
      </c>
      <c r="C1309" s="1">
        <f ca="1">IFERROR(__xludf.DUMMYFUNCTION("""COMPUTED_VALUE"""),161.91)</f>
        <v>161.91</v>
      </c>
      <c r="D1309" s="1">
        <f ca="1">IFERROR(__xludf.DUMMYFUNCTION("""COMPUTED_VALUE"""),140.73)</f>
        <v>140.72999999999999</v>
      </c>
      <c r="E1309" s="1">
        <f ca="1">IFERROR(__xludf.DUMMYFUNCTION("""COMPUTED_VALUE"""),158.83)</f>
        <v>158.83000000000001</v>
      </c>
      <c r="F1309" s="1">
        <f ca="1">IFERROR(__xludf.DUMMYFUNCTION("""COMPUTED_VALUE"""),92727446)</f>
        <v>92727446</v>
      </c>
    </row>
    <row r="1310" spans="1:6" x14ac:dyDescent="0.35">
      <c r="A1310" s="2">
        <f ca="1">IFERROR(__xludf.DUMMYFUNCTION("""COMPUTED_VALUE"""),43906.6666666666)</f>
        <v>43906.666666666599</v>
      </c>
      <c r="B1310" s="1">
        <f ca="1">IFERROR(__xludf.DUMMYFUNCTION("""COMPUTED_VALUE"""),140)</f>
        <v>140</v>
      </c>
      <c r="C1310" s="1">
        <f ca="1">IFERROR(__xludf.DUMMYFUNCTION("""COMPUTED_VALUE"""),149.35)</f>
        <v>149.35</v>
      </c>
      <c r="D1310" s="1">
        <f ca="1">IFERROR(__xludf.DUMMYFUNCTION("""COMPUTED_VALUE"""),135)</f>
        <v>135</v>
      </c>
      <c r="E1310" s="1">
        <f ca="1">IFERROR(__xludf.DUMMYFUNCTION("""COMPUTED_VALUE"""),135.42)</f>
        <v>135.41999999999999</v>
      </c>
      <c r="F1310" s="1">
        <f ca="1">IFERROR(__xludf.DUMMYFUNCTION("""COMPUTED_VALUE"""),87905868)</f>
        <v>87905868</v>
      </c>
    </row>
    <row r="1311" spans="1:6" x14ac:dyDescent="0.35">
      <c r="A1311" s="2">
        <f ca="1">IFERROR(__xludf.DUMMYFUNCTION("""COMPUTED_VALUE"""),43907.6666666666)</f>
        <v>43907.666666666599</v>
      </c>
      <c r="B1311" s="1">
        <f ca="1">IFERROR(__xludf.DUMMYFUNCTION("""COMPUTED_VALUE"""),140)</f>
        <v>140</v>
      </c>
      <c r="C1311" s="1">
        <f ca="1">IFERROR(__xludf.DUMMYFUNCTION("""COMPUTED_VALUE"""),147.5)</f>
        <v>147.5</v>
      </c>
      <c r="D1311" s="1">
        <f ca="1">IFERROR(__xludf.DUMMYFUNCTION("""COMPUTED_VALUE"""),135)</f>
        <v>135</v>
      </c>
      <c r="E1311" s="1">
        <f ca="1">IFERROR(__xludf.DUMMYFUNCTION("""COMPUTED_VALUE"""),146.57)</f>
        <v>146.57</v>
      </c>
      <c r="F1311" s="1">
        <f ca="1">IFERROR(__xludf.DUMMYFUNCTION("""COMPUTED_VALUE"""),81059817)</f>
        <v>81059817</v>
      </c>
    </row>
    <row r="1312" spans="1:6" x14ac:dyDescent="0.35">
      <c r="A1312" s="2">
        <f ca="1">IFERROR(__xludf.DUMMYFUNCTION("""COMPUTED_VALUE"""),43908.6666666666)</f>
        <v>43908.666666666599</v>
      </c>
      <c r="B1312" s="1">
        <f ca="1">IFERROR(__xludf.DUMMYFUNCTION("""COMPUTED_VALUE"""),138)</f>
        <v>138</v>
      </c>
      <c r="C1312" s="1">
        <f ca="1">IFERROR(__xludf.DUMMYFUNCTION("""COMPUTED_VALUE"""),146)</f>
        <v>146</v>
      </c>
      <c r="D1312" s="1">
        <f ca="1">IFERROR(__xludf.DUMMYFUNCTION("""COMPUTED_VALUE"""),135.02)</f>
        <v>135.02000000000001</v>
      </c>
      <c r="E1312" s="1">
        <f ca="1">IFERROR(__xludf.DUMMYFUNCTION("""COMPUTED_VALUE"""),140.4)</f>
        <v>140.4</v>
      </c>
      <c r="F1312" s="1">
        <f ca="1">IFERROR(__xludf.DUMMYFUNCTION("""COMPUTED_VALUE"""),81593173)</f>
        <v>81593173</v>
      </c>
    </row>
    <row r="1313" spans="1:6" x14ac:dyDescent="0.35">
      <c r="A1313" s="2">
        <f ca="1">IFERROR(__xludf.DUMMYFUNCTION("""COMPUTED_VALUE"""),43909.6666666666)</f>
        <v>43909.666666666599</v>
      </c>
      <c r="B1313" s="1">
        <f ca="1">IFERROR(__xludf.DUMMYFUNCTION("""COMPUTED_VALUE"""),142.77)</f>
        <v>142.77000000000001</v>
      </c>
      <c r="C1313" s="1">
        <f ca="1">IFERROR(__xludf.DUMMYFUNCTION("""COMPUTED_VALUE"""),150.15)</f>
        <v>150.15</v>
      </c>
      <c r="D1313" s="1">
        <f ca="1">IFERROR(__xludf.DUMMYFUNCTION("""COMPUTED_VALUE"""),139)</f>
        <v>139</v>
      </c>
      <c r="E1313" s="1">
        <f ca="1">IFERROR(__xludf.DUMMYFUNCTION("""COMPUTED_VALUE"""),142.71)</f>
        <v>142.71</v>
      </c>
      <c r="F1313" s="1">
        <f ca="1">IFERROR(__xludf.DUMMYFUNCTION("""COMPUTED_VALUE"""),85922661)</f>
        <v>85922661</v>
      </c>
    </row>
    <row r="1314" spans="1:6" x14ac:dyDescent="0.35">
      <c r="A1314" s="2">
        <f ca="1">IFERROR(__xludf.DUMMYFUNCTION("""COMPUTED_VALUE"""),43910.6666666666)</f>
        <v>43910.666666666599</v>
      </c>
      <c r="B1314" s="1">
        <f ca="1">IFERROR(__xludf.DUMMYFUNCTION("""COMPUTED_VALUE"""),146)</f>
        <v>146</v>
      </c>
      <c r="C1314" s="1">
        <f ca="1">IFERROR(__xludf.DUMMYFUNCTION("""COMPUTED_VALUE"""),147.1)</f>
        <v>147.1</v>
      </c>
      <c r="D1314" s="1">
        <f ca="1">IFERROR(__xludf.DUMMYFUNCTION("""COMPUTED_VALUE"""),135.86)</f>
        <v>135.86000000000001</v>
      </c>
      <c r="E1314" s="1">
        <f ca="1">IFERROR(__xludf.DUMMYFUNCTION("""COMPUTED_VALUE"""),137.35)</f>
        <v>137.35</v>
      </c>
      <c r="F1314" s="1">
        <f ca="1">IFERROR(__xludf.DUMMYFUNCTION("""COMPUTED_VALUE"""),84866215)</f>
        <v>84866215</v>
      </c>
    </row>
    <row r="1315" spans="1:6" x14ac:dyDescent="0.35">
      <c r="A1315" s="2">
        <f ca="1">IFERROR(__xludf.DUMMYFUNCTION("""COMPUTED_VALUE"""),43913.6666666666)</f>
        <v>43913.666666666599</v>
      </c>
      <c r="B1315" s="1">
        <f ca="1">IFERROR(__xludf.DUMMYFUNCTION("""COMPUTED_VALUE"""),137.01)</f>
        <v>137.01</v>
      </c>
      <c r="C1315" s="1">
        <f ca="1">IFERROR(__xludf.DUMMYFUNCTION("""COMPUTED_VALUE"""),140.57)</f>
        <v>140.57</v>
      </c>
      <c r="D1315" s="1">
        <f ca="1">IFERROR(__xludf.DUMMYFUNCTION("""COMPUTED_VALUE"""),132.52)</f>
        <v>132.52000000000001</v>
      </c>
      <c r="E1315" s="1">
        <f ca="1">IFERROR(__xludf.DUMMYFUNCTION("""COMPUTED_VALUE"""),135.98)</f>
        <v>135.97999999999999</v>
      </c>
      <c r="F1315" s="1">
        <f ca="1">IFERROR(__xludf.DUMMYFUNCTION("""COMPUTED_VALUE"""),78975176)</f>
        <v>78975176</v>
      </c>
    </row>
    <row r="1316" spans="1:6" x14ac:dyDescent="0.35">
      <c r="A1316" s="2">
        <f ca="1">IFERROR(__xludf.DUMMYFUNCTION("""COMPUTED_VALUE"""),43914.6666666666)</f>
        <v>43914.666666666599</v>
      </c>
      <c r="B1316" s="1">
        <f ca="1">IFERROR(__xludf.DUMMYFUNCTION("""COMPUTED_VALUE"""),143.75)</f>
        <v>143.75</v>
      </c>
      <c r="C1316" s="1">
        <f ca="1">IFERROR(__xludf.DUMMYFUNCTION("""COMPUTED_VALUE"""),149.6)</f>
        <v>149.6</v>
      </c>
      <c r="D1316" s="1">
        <f ca="1">IFERROR(__xludf.DUMMYFUNCTION("""COMPUTED_VALUE"""),141.27)</f>
        <v>141.27000000000001</v>
      </c>
      <c r="E1316" s="1">
        <f ca="1">IFERROR(__xludf.DUMMYFUNCTION("""COMPUTED_VALUE"""),148.34)</f>
        <v>148.34</v>
      </c>
      <c r="F1316" s="1">
        <f ca="1">IFERROR(__xludf.DUMMYFUNCTION("""COMPUTED_VALUE"""),82516727)</f>
        <v>82516727</v>
      </c>
    </row>
    <row r="1317" spans="1:6" x14ac:dyDescent="0.35">
      <c r="A1317" s="2">
        <f ca="1">IFERROR(__xludf.DUMMYFUNCTION("""COMPUTED_VALUE"""),43915.6666666666)</f>
        <v>43915.666666666599</v>
      </c>
      <c r="B1317" s="1">
        <f ca="1">IFERROR(__xludf.DUMMYFUNCTION("""COMPUTED_VALUE"""),148.91)</f>
        <v>148.91</v>
      </c>
      <c r="C1317" s="1">
        <f ca="1">IFERROR(__xludf.DUMMYFUNCTION("""COMPUTED_VALUE"""),154.33)</f>
        <v>154.33000000000001</v>
      </c>
      <c r="D1317" s="1">
        <f ca="1">IFERROR(__xludf.DUMMYFUNCTION("""COMPUTED_VALUE"""),144.44)</f>
        <v>144.44</v>
      </c>
      <c r="E1317" s="1">
        <f ca="1">IFERROR(__xludf.DUMMYFUNCTION("""COMPUTED_VALUE"""),146.92)</f>
        <v>146.91999999999999</v>
      </c>
      <c r="F1317" s="1">
        <f ca="1">IFERROR(__xludf.DUMMYFUNCTION("""COMPUTED_VALUE"""),75638224)</f>
        <v>75638224</v>
      </c>
    </row>
    <row r="1318" spans="1:6" x14ac:dyDescent="0.35">
      <c r="A1318" s="2">
        <f ca="1">IFERROR(__xludf.DUMMYFUNCTION("""COMPUTED_VALUE"""),43916.6666666666)</f>
        <v>43916.666666666599</v>
      </c>
      <c r="B1318" s="1">
        <f ca="1">IFERROR(__xludf.DUMMYFUNCTION("""COMPUTED_VALUE"""),148.4)</f>
        <v>148.4</v>
      </c>
      <c r="C1318" s="1">
        <f ca="1">IFERROR(__xludf.DUMMYFUNCTION("""COMPUTED_VALUE"""),156.66)</f>
        <v>156.66</v>
      </c>
      <c r="D1318" s="1">
        <f ca="1">IFERROR(__xludf.DUMMYFUNCTION("""COMPUTED_VALUE"""),148.37)</f>
        <v>148.37</v>
      </c>
      <c r="E1318" s="1">
        <f ca="1">IFERROR(__xludf.DUMMYFUNCTION("""COMPUTED_VALUE"""),156.11)</f>
        <v>156.11000000000001</v>
      </c>
      <c r="F1318" s="1">
        <f ca="1">IFERROR(__xludf.DUMMYFUNCTION("""COMPUTED_VALUE"""),64694427)</f>
        <v>64694427</v>
      </c>
    </row>
    <row r="1319" spans="1:6" x14ac:dyDescent="0.35">
      <c r="A1319" s="2">
        <f ca="1">IFERROR(__xludf.DUMMYFUNCTION("""COMPUTED_VALUE"""),43917.6666666666)</f>
        <v>43917.666666666599</v>
      </c>
      <c r="B1319" s="1">
        <f ca="1">IFERROR(__xludf.DUMMYFUNCTION("""COMPUTED_VALUE"""),151.75)</f>
        <v>151.75</v>
      </c>
      <c r="C1319" s="1">
        <f ca="1">IFERROR(__xludf.DUMMYFUNCTION("""COMPUTED_VALUE"""),154.89)</f>
        <v>154.88999999999999</v>
      </c>
      <c r="D1319" s="1">
        <f ca="1">IFERROR(__xludf.DUMMYFUNCTION("""COMPUTED_VALUE"""),149.2)</f>
        <v>149.19999999999999</v>
      </c>
      <c r="E1319" s="1">
        <f ca="1">IFERROR(__xludf.DUMMYFUNCTION("""COMPUTED_VALUE"""),149.7)</f>
        <v>149.69999999999999</v>
      </c>
      <c r="F1319" s="1">
        <f ca="1">IFERROR(__xludf.DUMMYFUNCTION("""COMPUTED_VALUE"""),57042291)</f>
        <v>57042291</v>
      </c>
    </row>
    <row r="1320" spans="1:6" x14ac:dyDescent="0.35">
      <c r="A1320" s="2">
        <f ca="1">IFERROR(__xludf.DUMMYFUNCTION("""COMPUTED_VALUE"""),43920.6666666666)</f>
        <v>43920.666666666599</v>
      </c>
      <c r="B1320" s="1">
        <f ca="1">IFERROR(__xludf.DUMMYFUNCTION("""COMPUTED_VALUE"""),152.44)</f>
        <v>152.44</v>
      </c>
      <c r="C1320" s="1">
        <f ca="1">IFERROR(__xludf.DUMMYFUNCTION("""COMPUTED_VALUE"""),160.6)</f>
        <v>160.6</v>
      </c>
      <c r="D1320" s="1">
        <f ca="1">IFERROR(__xludf.DUMMYFUNCTION("""COMPUTED_VALUE"""),150.01)</f>
        <v>150.01</v>
      </c>
      <c r="E1320" s="1">
        <f ca="1">IFERROR(__xludf.DUMMYFUNCTION("""COMPUTED_VALUE"""),160.23)</f>
        <v>160.22999999999999</v>
      </c>
      <c r="F1320" s="1">
        <f ca="1">IFERROR(__xludf.DUMMYFUNCTION("""COMPUTED_VALUE"""),63420326)</f>
        <v>63420326</v>
      </c>
    </row>
    <row r="1321" spans="1:6" x14ac:dyDescent="0.35">
      <c r="A1321" s="2">
        <f ca="1">IFERROR(__xludf.DUMMYFUNCTION("""COMPUTED_VALUE"""),43921.6666666666)</f>
        <v>43921.666666666599</v>
      </c>
      <c r="B1321" s="1">
        <f ca="1">IFERROR(__xludf.DUMMYFUNCTION("""COMPUTED_VALUE"""),159.4)</f>
        <v>159.4</v>
      </c>
      <c r="C1321" s="1">
        <f ca="1">IFERROR(__xludf.DUMMYFUNCTION("""COMPUTED_VALUE"""),164.78)</f>
        <v>164.78</v>
      </c>
      <c r="D1321" s="1">
        <f ca="1">IFERROR(__xludf.DUMMYFUNCTION("""COMPUTED_VALUE"""),156.56)</f>
        <v>156.56</v>
      </c>
      <c r="E1321" s="1">
        <f ca="1">IFERROR(__xludf.DUMMYFUNCTION("""COMPUTED_VALUE"""),157.71)</f>
        <v>157.71</v>
      </c>
      <c r="F1321" s="1">
        <f ca="1">IFERROR(__xludf.DUMMYFUNCTION("""COMPUTED_VALUE"""),77927186)</f>
        <v>77927186</v>
      </c>
    </row>
    <row r="1322" spans="1:6" x14ac:dyDescent="0.35">
      <c r="A1322" s="2">
        <f ca="1">IFERROR(__xludf.DUMMYFUNCTION("""COMPUTED_VALUE"""),43922.6666666666)</f>
        <v>43922.666666666599</v>
      </c>
      <c r="B1322" s="1">
        <f ca="1">IFERROR(__xludf.DUMMYFUNCTION("""COMPUTED_VALUE"""),153)</f>
        <v>153</v>
      </c>
      <c r="C1322" s="1">
        <f ca="1">IFERROR(__xludf.DUMMYFUNCTION("""COMPUTED_VALUE"""),157.75)</f>
        <v>157.75</v>
      </c>
      <c r="D1322" s="1">
        <f ca="1">IFERROR(__xludf.DUMMYFUNCTION("""COMPUTED_VALUE"""),150.82)</f>
        <v>150.82</v>
      </c>
      <c r="E1322" s="1">
        <f ca="1">IFERROR(__xludf.DUMMYFUNCTION("""COMPUTED_VALUE"""),152.11)</f>
        <v>152.11000000000001</v>
      </c>
      <c r="F1322" s="1">
        <f ca="1">IFERROR(__xludf.DUMMYFUNCTION("""COMPUTED_VALUE"""),57969926)</f>
        <v>57969926</v>
      </c>
    </row>
    <row r="1323" spans="1:6" x14ac:dyDescent="0.35">
      <c r="A1323" s="2">
        <f ca="1">IFERROR(__xludf.DUMMYFUNCTION("""COMPUTED_VALUE"""),43923.6666666666)</f>
        <v>43923.666666666599</v>
      </c>
      <c r="B1323" s="1">
        <f ca="1">IFERROR(__xludf.DUMMYFUNCTION("""COMPUTED_VALUE"""),151.86)</f>
        <v>151.86000000000001</v>
      </c>
      <c r="C1323" s="1">
        <f ca="1">IFERROR(__xludf.DUMMYFUNCTION("""COMPUTED_VALUE"""),155.48)</f>
        <v>155.47999999999999</v>
      </c>
      <c r="D1323" s="1">
        <f ca="1">IFERROR(__xludf.DUMMYFUNCTION("""COMPUTED_VALUE"""),150.36)</f>
        <v>150.36000000000001</v>
      </c>
      <c r="E1323" s="1">
        <f ca="1">IFERROR(__xludf.DUMMYFUNCTION("""COMPUTED_VALUE"""),155.26)</f>
        <v>155.26</v>
      </c>
      <c r="F1323" s="1">
        <f ca="1">IFERROR(__xludf.DUMMYFUNCTION("""COMPUTED_VALUE"""),49630735)</f>
        <v>49630735</v>
      </c>
    </row>
    <row r="1324" spans="1:6" x14ac:dyDescent="0.35">
      <c r="A1324" s="2">
        <f ca="1">IFERROR(__xludf.DUMMYFUNCTION("""COMPUTED_VALUE"""),43924.6666666666)</f>
        <v>43924.666666666599</v>
      </c>
      <c r="B1324" s="1">
        <f ca="1">IFERROR(__xludf.DUMMYFUNCTION("""COMPUTED_VALUE"""),155.1)</f>
        <v>155.1</v>
      </c>
      <c r="C1324" s="1">
        <f ca="1">IFERROR(__xludf.DUMMYFUNCTION("""COMPUTED_VALUE"""),157.38)</f>
        <v>157.38</v>
      </c>
      <c r="D1324" s="1">
        <f ca="1">IFERROR(__xludf.DUMMYFUNCTION("""COMPUTED_VALUE"""),152.19)</f>
        <v>152.19</v>
      </c>
      <c r="E1324" s="1">
        <f ca="1">IFERROR(__xludf.DUMMYFUNCTION("""COMPUTED_VALUE"""),153.83)</f>
        <v>153.83000000000001</v>
      </c>
      <c r="F1324" s="1">
        <f ca="1">IFERROR(__xludf.DUMMYFUNCTION("""COMPUTED_VALUE"""),41243284)</f>
        <v>41243284</v>
      </c>
    </row>
    <row r="1325" spans="1:6" x14ac:dyDescent="0.35">
      <c r="A1325" s="2">
        <f ca="1">IFERROR(__xludf.DUMMYFUNCTION("""COMPUTED_VALUE"""),43927.6666666666)</f>
        <v>43927.666666666599</v>
      </c>
      <c r="B1325" s="1">
        <f ca="1">IFERROR(__xludf.DUMMYFUNCTION("""COMPUTED_VALUE"""),160.32)</f>
        <v>160.32</v>
      </c>
      <c r="C1325" s="1">
        <f ca="1">IFERROR(__xludf.DUMMYFUNCTION("""COMPUTED_VALUE"""),166.5)</f>
        <v>166.5</v>
      </c>
      <c r="D1325" s="1">
        <f ca="1">IFERROR(__xludf.DUMMYFUNCTION("""COMPUTED_VALUE"""),157.58)</f>
        <v>157.58000000000001</v>
      </c>
      <c r="E1325" s="1">
        <f ca="1">IFERROR(__xludf.DUMMYFUNCTION("""COMPUTED_VALUE"""),165.27)</f>
        <v>165.27</v>
      </c>
      <c r="F1325" s="1">
        <f ca="1">IFERROR(__xludf.DUMMYFUNCTION("""COMPUTED_VALUE"""),67111697)</f>
        <v>67111697</v>
      </c>
    </row>
    <row r="1326" spans="1:6" x14ac:dyDescent="0.35">
      <c r="A1326" s="2">
        <f ca="1">IFERROR(__xludf.DUMMYFUNCTION("""COMPUTED_VALUE"""),43928.6666666666)</f>
        <v>43928.666666666599</v>
      </c>
      <c r="B1326" s="1">
        <f ca="1">IFERROR(__xludf.DUMMYFUNCTION("""COMPUTED_VALUE"""),169.59)</f>
        <v>169.59</v>
      </c>
      <c r="C1326" s="1">
        <f ca="1">IFERROR(__xludf.DUMMYFUNCTION("""COMPUTED_VALUE"""),170)</f>
        <v>170</v>
      </c>
      <c r="D1326" s="1">
        <f ca="1">IFERROR(__xludf.DUMMYFUNCTION("""COMPUTED_VALUE"""),163.26)</f>
        <v>163.26</v>
      </c>
      <c r="E1326" s="1">
        <f ca="1">IFERROR(__xludf.DUMMYFUNCTION("""COMPUTED_VALUE"""),163.49)</f>
        <v>163.49</v>
      </c>
      <c r="F1326" s="1">
        <f ca="1">IFERROR(__xludf.DUMMYFUNCTION("""COMPUTED_VALUE"""),62769038)</f>
        <v>62769038</v>
      </c>
    </row>
    <row r="1327" spans="1:6" x14ac:dyDescent="0.35">
      <c r="A1327" s="2">
        <f ca="1">IFERROR(__xludf.DUMMYFUNCTION("""COMPUTED_VALUE"""),43929.6666666666)</f>
        <v>43929.666666666599</v>
      </c>
      <c r="B1327" s="1">
        <f ca="1">IFERROR(__xludf.DUMMYFUNCTION("""COMPUTED_VALUE"""),165.67)</f>
        <v>165.67</v>
      </c>
      <c r="C1327" s="1">
        <f ca="1">IFERROR(__xludf.DUMMYFUNCTION("""COMPUTED_VALUE"""),166.67)</f>
        <v>166.67</v>
      </c>
      <c r="D1327" s="1">
        <f ca="1">IFERROR(__xludf.DUMMYFUNCTION("""COMPUTED_VALUE"""),163.5)</f>
        <v>163.5</v>
      </c>
      <c r="E1327" s="1">
        <f ca="1">IFERROR(__xludf.DUMMYFUNCTION("""COMPUTED_VALUE"""),165.13)</f>
        <v>165.13</v>
      </c>
      <c r="F1327" s="1">
        <f ca="1">IFERROR(__xludf.DUMMYFUNCTION("""COMPUTED_VALUE"""),48318234)</f>
        <v>48318234</v>
      </c>
    </row>
    <row r="1328" spans="1:6" x14ac:dyDescent="0.35">
      <c r="A1328" s="2">
        <f ca="1">IFERROR(__xludf.DUMMYFUNCTION("""COMPUTED_VALUE"""),43930.6666666666)</f>
        <v>43930.666666666599</v>
      </c>
      <c r="B1328" s="1">
        <f ca="1">IFERROR(__xludf.DUMMYFUNCTION("""COMPUTED_VALUE"""),166.36)</f>
        <v>166.36</v>
      </c>
      <c r="C1328" s="1">
        <f ca="1">IFERROR(__xludf.DUMMYFUNCTION("""COMPUTED_VALUE"""),167.37)</f>
        <v>167.37</v>
      </c>
      <c r="D1328" s="1">
        <f ca="1">IFERROR(__xludf.DUMMYFUNCTION("""COMPUTED_VALUE"""),163.33)</f>
        <v>163.33000000000001</v>
      </c>
      <c r="E1328" s="1">
        <f ca="1">IFERROR(__xludf.DUMMYFUNCTION("""COMPUTED_VALUE"""),165.14)</f>
        <v>165.14</v>
      </c>
      <c r="F1328" s="1">
        <f ca="1">IFERROR(__xludf.DUMMYFUNCTION("""COMPUTED_VALUE"""),51431775)</f>
        <v>51431775</v>
      </c>
    </row>
    <row r="1329" spans="1:6" x14ac:dyDescent="0.35">
      <c r="A1329" s="2">
        <f ca="1">IFERROR(__xludf.DUMMYFUNCTION("""COMPUTED_VALUE"""),43934.6666666666)</f>
        <v>43934.666666666599</v>
      </c>
      <c r="B1329" s="1">
        <f ca="1">IFERROR(__xludf.DUMMYFUNCTION("""COMPUTED_VALUE"""),164.35)</f>
        <v>164.35</v>
      </c>
      <c r="C1329" s="1">
        <f ca="1">IFERROR(__xludf.DUMMYFUNCTION("""COMPUTED_VALUE"""),165.57)</f>
        <v>165.57</v>
      </c>
      <c r="D1329" s="1">
        <f ca="1">IFERROR(__xludf.DUMMYFUNCTION("""COMPUTED_VALUE"""),162.3)</f>
        <v>162.30000000000001</v>
      </c>
      <c r="E1329" s="1">
        <f ca="1">IFERROR(__xludf.DUMMYFUNCTION("""COMPUTED_VALUE"""),165.51)</f>
        <v>165.51</v>
      </c>
      <c r="F1329" s="1">
        <f ca="1">IFERROR(__xludf.DUMMYFUNCTION("""COMPUTED_VALUE"""),41905264)</f>
        <v>41905264</v>
      </c>
    </row>
    <row r="1330" spans="1:6" x14ac:dyDescent="0.35">
      <c r="A1330" s="2">
        <f ca="1">IFERROR(__xludf.DUMMYFUNCTION("""COMPUTED_VALUE"""),43935.6666666666)</f>
        <v>43935.666666666599</v>
      </c>
      <c r="B1330" s="1">
        <f ca="1">IFERROR(__xludf.DUMMYFUNCTION("""COMPUTED_VALUE"""),169)</f>
        <v>169</v>
      </c>
      <c r="C1330" s="1">
        <f ca="1">IFERROR(__xludf.DUMMYFUNCTION("""COMPUTED_VALUE"""),173.75)</f>
        <v>173.75</v>
      </c>
      <c r="D1330" s="1">
        <f ca="1">IFERROR(__xludf.DUMMYFUNCTION("""COMPUTED_VALUE"""),168)</f>
        <v>168</v>
      </c>
      <c r="E1330" s="1">
        <f ca="1">IFERROR(__xludf.DUMMYFUNCTION("""COMPUTED_VALUE"""),173.7)</f>
        <v>173.7</v>
      </c>
      <c r="F1330" s="1">
        <f ca="1">IFERROR(__xludf.DUMMYFUNCTION("""COMPUTED_VALUE"""),52874338)</f>
        <v>52874338</v>
      </c>
    </row>
    <row r="1331" spans="1:6" x14ac:dyDescent="0.35">
      <c r="A1331" s="2">
        <f ca="1">IFERROR(__xludf.DUMMYFUNCTION("""COMPUTED_VALUE"""),43936.6666666666)</f>
        <v>43936.666666666599</v>
      </c>
      <c r="B1331" s="1">
        <f ca="1">IFERROR(__xludf.DUMMYFUNCTION("""COMPUTED_VALUE"""),171.2)</f>
        <v>171.2</v>
      </c>
      <c r="C1331" s="1">
        <f ca="1">IFERROR(__xludf.DUMMYFUNCTION("""COMPUTED_VALUE"""),173.57)</f>
        <v>173.57</v>
      </c>
      <c r="D1331" s="1">
        <f ca="1">IFERROR(__xludf.DUMMYFUNCTION("""COMPUTED_VALUE"""),169.24)</f>
        <v>169.24</v>
      </c>
      <c r="E1331" s="1">
        <f ca="1">IFERROR(__xludf.DUMMYFUNCTION("""COMPUTED_VALUE"""),171.88)</f>
        <v>171.88</v>
      </c>
      <c r="F1331" s="1">
        <f ca="1">IFERROR(__xludf.DUMMYFUNCTION("""COMPUTED_VALUE"""),40940833)</f>
        <v>40940833</v>
      </c>
    </row>
    <row r="1332" spans="1:6" x14ac:dyDescent="0.35">
      <c r="A1332" s="2">
        <f ca="1">IFERROR(__xludf.DUMMYFUNCTION("""COMPUTED_VALUE"""),43937.6666666666)</f>
        <v>43937.666666666599</v>
      </c>
      <c r="B1332" s="1">
        <f ca="1">IFERROR(__xludf.DUMMYFUNCTION("""COMPUTED_VALUE"""),174.3)</f>
        <v>174.3</v>
      </c>
      <c r="C1332" s="1">
        <f ca="1">IFERROR(__xludf.DUMMYFUNCTION("""COMPUTED_VALUE"""),177.28)</f>
        <v>177.28</v>
      </c>
      <c r="D1332" s="1">
        <f ca="1">IFERROR(__xludf.DUMMYFUNCTION("""COMPUTED_VALUE"""),172.9)</f>
        <v>172.9</v>
      </c>
      <c r="E1332" s="1">
        <f ca="1">IFERROR(__xludf.DUMMYFUNCTION("""COMPUTED_VALUE"""),177.04)</f>
        <v>177.04</v>
      </c>
      <c r="F1332" s="1">
        <f ca="1">IFERROR(__xludf.DUMMYFUNCTION("""COMPUTED_VALUE"""),50479610)</f>
        <v>50479610</v>
      </c>
    </row>
    <row r="1333" spans="1:6" x14ac:dyDescent="0.35">
      <c r="A1333" s="2">
        <f ca="1">IFERROR(__xludf.DUMMYFUNCTION("""COMPUTED_VALUE"""),43938.6666666666)</f>
        <v>43938.666666666599</v>
      </c>
      <c r="B1333" s="1">
        <f ca="1">IFERROR(__xludf.DUMMYFUNCTION("""COMPUTED_VALUE"""),179.5)</f>
        <v>179.5</v>
      </c>
      <c r="C1333" s="1">
        <f ca="1">IFERROR(__xludf.DUMMYFUNCTION("""COMPUTED_VALUE"""),180)</f>
        <v>180</v>
      </c>
      <c r="D1333" s="1">
        <f ca="1">IFERROR(__xludf.DUMMYFUNCTION("""COMPUTED_VALUE"""),175.87)</f>
        <v>175.87</v>
      </c>
      <c r="E1333" s="1">
        <f ca="1">IFERROR(__xludf.DUMMYFUNCTION("""COMPUTED_VALUE"""),178.6)</f>
        <v>178.6</v>
      </c>
      <c r="F1333" s="1">
        <f ca="1">IFERROR(__xludf.DUMMYFUNCTION("""COMPUTED_VALUE"""),52765625)</f>
        <v>52765625</v>
      </c>
    </row>
    <row r="1334" spans="1:6" x14ac:dyDescent="0.35">
      <c r="A1334" s="2">
        <f ca="1">IFERROR(__xludf.DUMMYFUNCTION("""COMPUTED_VALUE"""),43941.6666666666)</f>
        <v>43941.666666666599</v>
      </c>
      <c r="B1334" s="1">
        <f ca="1">IFERROR(__xludf.DUMMYFUNCTION("""COMPUTED_VALUE"""),176.63)</f>
        <v>176.63</v>
      </c>
      <c r="C1334" s="1">
        <f ca="1">IFERROR(__xludf.DUMMYFUNCTION("""COMPUTED_VALUE"""),178.75)</f>
        <v>178.75</v>
      </c>
      <c r="D1334" s="1">
        <f ca="1">IFERROR(__xludf.DUMMYFUNCTION("""COMPUTED_VALUE"""),174.99)</f>
        <v>174.99</v>
      </c>
      <c r="E1334" s="1">
        <f ca="1">IFERROR(__xludf.DUMMYFUNCTION("""COMPUTED_VALUE"""),175.06)</f>
        <v>175.06</v>
      </c>
      <c r="F1334" s="1">
        <f ca="1">IFERROR(__xludf.DUMMYFUNCTION("""COMPUTED_VALUE"""),36669595)</f>
        <v>36669595</v>
      </c>
    </row>
    <row r="1335" spans="1:6" x14ac:dyDescent="0.35">
      <c r="A1335" s="2">
        <f ca="1">IFERROR(__xludf.DUMMYFUNCTION("""COMPUTED_VALUE"""),43942.6666666666)</f>
        <v>43942.666666666599</v>
      </c>
      <c r="B1335" s="1">
        <f ca="1">IFERROR(__xludf.DUMMYFUNCTION("""COMPUTED_VALUE"""),173.5)</f>
        <v>173.5</v>
      </c>
      <c r="C1335" s="1">
        <f ca="1">IFERROR(__xludf.DUMMYFUNCTION("""COMPUTED_VALUE"""),173.67)</f>
        <v>173.67</v>
      </c>
      <c r="D1335" s="1">
        <f ca="1">IFERROR(__xludf.DUMMYFUNCTION("""COMPUTED_VALUE"""),166.11)</f>
        <v>166.11</v>
      </c>
      <c r="E1335" s="1">
        <f ca="1">IFERROR(__xludf.DUMMYFUNCTION("""COMPUTED_VALUE"""),167.82)</f>
        <v>167.82</v>
      </c>
      <c r="F1335" s="1">
        <f ca="1">IFERROR(__xludf.DUMMYFUNCTION("""COMPUTED_VALUE"""),56203749)</f>
        <v>56203749</v>
      </c>
    </row>
    <row r="1336" spans="1:6" x14ac:dyDescent="0.35">
      <c r="A1336" s="2">
        <f ca="1">IFERROR(__xludf.DUMMYFUNCTION("""COMPUTED_VALUE"""),43943.6666666666)</f>
        <v>43943.666666666599</v>
      </c>
      <c r="B1336" s="1">
        <f ca="1">IFERROR(__xludf.DUMMYFUNCTION("""COMPUTED_VALUE"""),171.39)</f>
        <v>171.39</v>
      </c>
      <c r="C1336" s="1">
        <f ca="1">IFERROR(__xludf.DUMMYFUNCTION("""COMPUTED_VALUE"""),174)</f>
        <v>174</v>
      </c>
      <c r="D1336" s="1">
        <f ca="1">IFERROR(__xludf.DUMMYFUNCTION("""COMPUTED_VALUE"""),170.82)</f>
        <v>170.82</v>
      </c>
      <c r="E1336" s="1">
        <f ca="1">IFERROR(__xludf.DUMMYFUNCTION("""COMPUTED_VALUE"""),173.52)</f>
        <v>173.52</v>
      </c>
      <c r="F1336" s="1">
        <f ca="1">IFERROR(__xludf.DUMMYFUNCTION("""COMPUTED_VALUE"""),34651604)</f>
        <v>34651604</v>
      </c>
    </row>
    <row r="1337" spans="1:6" x14ac:dyDescent="0.35">
      <c r="A1337" s="2">
        <f ca="1">IFERROR(__xludf.DUMMYFUNCTION("""COMPUTED_VALUE"""),43944.6666666666)</f>
        <v>43944.666666666599</v>
      </c>
      <c r="B1337" s="1">
        <f ca="1">IFERROR(__xludf.DUMMYFUNCTION("""COMPUTED_VALUE"""),174.11)</f>
        <v>174.11</v>
      </c>
      <c r="C1337" s="1">
        <f ca="1">IFERROR(__xludf.DUMMYFUNCTION("""COMPUTED_VALUE"""),175.06)</f>
        <v>175.06</v>
      </c>
      <c r="D1337" s="1">
        <f ca="1">IFERROR(__xludf.DUMMYFUNCTION("""COMPUTED_VALUE"""),170.91)</f>
        <v>170.91</v>
      </c>
      <c r="E1337" s="1">
        <f ca="1">IFERROR(__xludf.DUMMYFUNCTION("""COMPUTED_VALUE"""),171.42)</f>
        <v>171.42</v>
      </c>
      <c r="F1337" s="1">
        <f ca="1">IFERROR(__xludf.DUMMYFUNCTION("""COMPUTED_VALUE"""),32790804)</f>
        <v>32790804</v>
      </c>
    </row>
    <row r="1338" spans="1:6" x14ac:dyDescent="0.35">
      <c r="A1338" s="2">
        <f ca="1">IFERROR(__xludf.DUMMYFUNCTION("""COMPUTED_VALUE"""),43945.6666666666)</f>
        <v>43945.666666666599</v>
      </c>
      <c r="B1338" s="1">
        <f ca="1">IFERROR(__xludf.DUMMYFUNCTION("""COMPUTED_VALUE"""),172.06)</f>
        <v>172.06</v>
      </c>
      <c r="C1338" s="1">
        <f ca="1">IFERROR(__xludf.DUMMYFUNCTION("""COMPUTED_VALUE"""),174.56)</f>
        <v>174.56</v>
      </c>
      <c r="D1338" s="1">
        <f ca="1">IFERROR(__xludf.DUMMYFUNCTION("""COMPUTED_VALUE"""),170.71)</f>
        <v>170.71</v>
      </c>
      <c r="E1338" s="1">
        <f ca="1">IFERROR(__xludf.DUMMYFUNCTION("""COMPUTED_VALUE"""),174.55)</f>
        <v>174.55</v>
      </c>
      <c r="F1338" s="1">
        <f ca="1">IFERROR(__xludf.DUMMYFUNCTION("""COMPUTED_VALUE"""),34305320)</f>
        <v>34305320</v>
      </c>
    </row>
    <row r="1339" spans="1:6" x14ac:dyDescent="0.35">
      <c r="A1339" s="2">
        <f ca="1">IFERROR(__xludf.DUMMYFUNCTION("""COMPUTED_VALUE"""),43948.6666666666)</f>
        <v>43948.666666666599</v>
      </c>
      <c r="B1339" s="1">
        <f ca="1">IFERROR(__xludf.DUMMYFUNCTION("""COMPUTED_VALUE"""),176.59)</f>
        <v>176.59</v>
      </c>
      <c r="C1339" s="1">
        <f ca="1">IFERROR(__xludf.DUMMYFUNCTION("""COMPUTED_VALUE"""),176.9)</f>
        <v>176.9</v>
      </c>
      <c r="D1339" s="1">
        <f ca="1">IFERROR(__xludf.DUMMYFUNCTION("""COMPUTED_VALUE"""),173.3)</f>
        <v>173.3</v>
      </c>
      <c r="E1339" s="1">
        <f ca="1">IFERROR(__xludf.DUMMYFUNCTION("""COMPUTED_VALUE"""),174.05)</f>
        <v>174.05</v>
      </c>
      <c r="F1339" s="1">
        <f ca="1">IFERROR(__xludf.DUMMYFUNCTION("""COMPUTED_VALUE"""),33194384)</f>
        <v>33194384</v>
      </c>
    </row>
    <row r="1340" spans="1:6" x14ac:dyDescent="0.35">
      <c r="A1340" s="2">
        <f ca="1">IFERROR(__xludf.DUMMYFUNCTION("""COMPUTED_VALUE"""),43949.6666666666)</f>
        <v>43949.666666666599</v>
      </c>
      <c r="B1340" s="1">
        <f ca="1">IFERROR(__xludf.DUMMYFUNCTION("""COMPUTED_VALUE"""),175.59)</f>
        <v>175.59</v>
      </c>
      <c r="C1340" s="1">
        <f ca="1">IFERROR(__xludf.DUMMYFUNCTION("""COMPUTED_VALUE"""),175.67)</f>
        <v>175.67</v>
      </c>
      <c r="D1340" s="1">
        <f ca="1">IFERROR(__xludf.DUMMYFUNCTION("""COMPUTED_VALUE"""),169.39)</f>
        <v>169.39</v>
      </c>
      <c r="E1340" s="1">
        <f ca="1">IFERROR(__xludf.DUMMYFUNCTION("""COMPUTED_VALUE"""),169.81)</f>
        <v>169.81</v>
      </c>
      <c r="F1340" s="1">
        <f ca="1">IFERROR(__xludf.DUMMYFUNCTION("""COMPUTED_VALUE"""),34392694)</f>
        <v>34392694</v>
      </c>
    </row>
    <row r="1341" spans="1:6" x14ac:dyDescent="0.35">
      <c r="A1341" s="2">
        <f ca="1">IFERROR(__xludf.DUMMYFUNCTION("""COMPUTED_VALUE"""),43950.6666666666)</f>
        <v>43950.666666666599</v>
      </c>
      <c r="B1341" s="1">
        <f ca="1">IFERROR(__xludf.DUMMYFUNCTION("""COMPUTED_VALUE"""),173.22)</f>
        <v>173.22</v>
      </c>
      <c r="C1341" s="1">
        <f ca="1">IFERROR(__xludf.DUMMYFUNCTION("""COMPUTED_VALUE"""),177.68)</f>
        <v>177.68</v>
      </c>
      <c r="D1341" s="1">
        <f ca="1">IFERROR(__xludf.DUMMYFUNCTION("""COMPUTED_VALUE"""),171.88)</f>
        <v>171.88</v>
      </c>
      <c r="E1341" s="1">
        <f ca="1">IFERROR(__xludf.DUMMYFUNCTION("""COMPUTED_VALUE"""),177.43)</f>
        <v>177.43</v>
      </c>
      <c r="F1341" s="1">
        <f ca="1">IFERROR(__xludf.DUMMYFUNCTION("""COMPUTED_VALUE"""),51286559)</f>
        <v>51286559</v>
      </c>
    </row>
    <row r="1342" spans="1:6" x14ac:dyDescent="0.35">
      <c r="A1342" s="2">
        <f ca="1">IFERROR(__xludf.DUMMYFUNCTION("""COMPUTED_VALUE"""),43951.6666666666)</f>
        <v>43951.666666666599</v>
      </c>
      <c r="B1342" s="1">
        <f ca="1">IFERROR(__xludf.DUMMYFUNCTION("""COMPUTED_VALUE"""),180)</f>
        <v>180</v>
      </c>
      <c r="C1342" s="1">
        <f ca="1">IFERROR(__xludf.DUMMYFUNCTION("""COMPUTED_VALUE"""),180.4)</f>
        <v>180.4</v>
      </c>
      <c r="D1342" s="1">
        <f ca="1">IFERROR(__xludf.DUMMYFUNCTION("""COMPUTED_VALUE"""),176.23)</f>
        <v>176.23</v>
      </c>
      <c r="E1342" s="1">
        <f ca="1">IFERROR(__xludf.DUMMYFUNCTION("""COMPUTED_VALUE"""),179.21)</f>
        <v>179.21</v>
      </c>
      <c r="F1342" s="1">
        <f ca="1">IFERROR(__xludf.DUMMYFUNCTION("""COMPUTED_VALUE"""),53875857)</f>
        <v>53875857</v>
      </c>
    </row>
    <row r="1343" spans="1:6" x14ac:dyDescent="0.35">
      <c r="A1343" s="2">
        <f ca="1">IFERROR(__xludf.DUMMYFUNCTION("""COMPUTED_VALUE"""),43952.6666666666)</f>
        <v>43952.666666666599</v>
      </c>
      <c r="B1343" s="1">
        <f ca="1">IFERROR(__xludf.DUMMYFUNCTION("""COMPUTED_VALUE"""),175.8)</f>
        <v>175.8</v>
      </c>
      <c r="C1343" s="1">
        <f ca="1">IFERROR(__xludf.DUMMYFUNCTION("""COMPUTED_VALUE"""),178.64)</f>
        <v>178.64</v>
      </c>
      <c r="D1343" s="1">
        <f ca="1">IFERROR(__xludf.DUMMYFUNCTION("""COMPUTED_VALUE"""),174.01)</f>
        <v>174.01</v>
      </c>
      <c r="E1343" s="1">
        <f ca="1">IFERROR(__xludf.DUMMYFUNCTION("""COMPUTED_VALUE"""),174.57)</f>
        <v>174.57</v>
      </c>
      <c r="F1343" s="1">
        <f ca="1">IFERROR(__xludf.DUMMYFUNCTION("""COMPUTED_VALUE"""),39370474)</f>
        <v>39370474</v>
      </c>
    </row>
    <row r="1344" spans="1:6" x14ac:dyDescent="0.35">
      <c r="A1344" s="2">
        <f ca="1">IFERROR(__xludf.DUMMYFUNCTION("""COMPUTED_VALUE"""),43955.6666666666)</f>
        <v>43955.666666666599</v>
      </c>
      <c r="B1344" s="1">
        <f ca="1">IFERROR(__xludf.DUMMYFUNCTION("""COMPUTED_VALUE"""),174.49)</f>
        <v>174.49</v>
      </c>
      <c r="C1344" s="1">
        <f ca="1">IFERROR(__xludf.DUMMYFUNCTION("""COMPUTED_VALUE"""),179)</f>
        <v>179</v>
      </c>
      <c r="D1344" s="1">
        <f ca="1">IFERROR(__xludf.DUMMYFUNCTION("""COMPUTED_VALUE"""),173.8)</f>
        <v>173.8</v>
      </c>
      <c r="E1344" s="1">
        <f ca="1">IFERROR(__xludf.DUMMYFUNCTION("""COMPUTED_VALUE"""),178.84)</f>
        <v>178.84</v>
      </c>
      <c r="F1344" s="1">
        <f ca="1">IFERROR(__xludf.DUMMYFUNCTION("""COMPUTED_VALUE"""),30372862)</f>
        <v>30372862</v>
      </c>
    </row>
    <row r="1345" spans="1:6" x14ac:dyDescent="0.35">
      <c r="A1345" s="2">
        <f ca="1">IFERROR(__xludf.DUMMYFUNCTION("""COMPUTED_VALUE"""),43956.6666666666)</f>
        <v>43956.666666666599</v>
      </c>
      <c r="B1345" s="1">
        <f ca="1">IFERROR(__xludf.DUMMYFUNCTION("""COMPUTED_VALUE"""),180.62)</f>
        <v>180.62</v>
      </c>
      <c r="C1345" s="1">
        <f ca="1">IFERROR(__xludf.DUMMYFUNCTION("""COMPUTED_VALUE"""),183.65)</f>
        <v>183.65</v>
      </c>
      <c r="D1345" s="1">
        <f ca="1">IFERROR(__xludf.DUMMYFUNCTION("""COMPUTED_VALUE"""),179.9)</f>
        <v>179.9</v>
      </c>
      <c r="E1345" s="1">
        <f ca="1">IFERROR(__xludf.DUMMYFUNCTION("""COMPUTED_VALUE"""),180.76)</f>
        <v>180.76</v>
      </c>
      <c r="F1345" s="1">
        <f ca="1">IFERROR(__xludf.DUMMYFUNCTION("""COMPUTED_VALUE"""),36839168)</f>
        <v>36839168</v>
      </c>
    </row>
    <row r="1346" spans="1:6" x14ac:dyDescent="0.35">
      <c r="A1346" s="2">
        <f ca="1">IFERROR(__xludf.DUMMYFUNCTION("""COMPUTED_VALUE"""),43957.6666666666)</f>
        <v>43957.666666666599</v>
      </c>
      <c r="B1346" s="1">
        <f ca="1">IFERROR(__xludf.DUMMYFUNCTION("""COMPUTED_VALUE"""),182.08)</f>
        <v>182.08</v>
      </c>
      <c r="C1346" s="1">
        <f ca="1">IFERROR(__xludf.DUMMYFUNCTION("""COMPUTED_VALUE"""),184.2)</f>
        <v>184.2</v>
      </c>
      <c r="D1346" s="1">
        <f ca="1">IFERROR(__xludf.DUMMYFUNCTION("""COMPUTED_VALUE"""),181.63)</f>
        <v>181.63</v>
      </c>
      <c r="E1346" s="1">
        <f ca="1">IFERROR(__xludf.DUMMYFUNCTION("""COMPUTED_VALUE"""),182.54)</f>
        <v>182.54</v>
      </c>
      <c r="F1346" s="1">
        <f ca="1">IFERROR(__xludf.DUMMYFUNCTION("""COMPUTED_VALUE"""),32139299)</f>
        <v>32139299</v>
      </c>
    </row>
    <row r="1347" spans="1:6" x14ac:dyDescent="0.35">
      <c r="A1347" s="2">
        <f ca="1">IFERROR(__xludf.DUMMYFUNCTION("""COMPUTED_VALUE"""),43958.6666666666)</f>
        <v>43958.666666666599</v>
      </c>
      <c r="B1347" s="1">
        <f ca="1">IFERROR(__xludf.DUMMYFUNCTION("""COMPUTED_VALUE"""),184.17)</f>
        <v>184.17</v>
      </c>
      <c r="C1347" s="1">
        <f ca="1">IFERROR(__xludf.DUMMYFUNCTION("""COMPUTED_VALUE"""),184.55)</f>
        <v>184.55</v>
      </c>
      <c r="D1347" s="1">
        <f ca="1">IFERROR(__xludf.DUMMYFUNCTION("""COMPUTED_VALUE"""),182.58)</f>
        <v>182.58</v>
      </c>
      <c r="E1347" s="1">
        <f ca="1">IFERROR(__xludf.DUMMYFUNCTION("""COMPUTED_VALUE"""),183.6)</f>
        <v>183.6</v>
      </c>
      <c r="F1347" s="1">
        <f ca="1">IFERROR(__xludf.DUMMYFUNCTION("""COMPUTED_VALUE"""),28315992)</f>
        <v>28315992</v>
      </c>
    </row>
    <row r="1348" spans="1:6" x14ac:dyDescent="0.35">
      <c r="A1348" s="2">
        <f ca="1">IFERROR(__xludf.DUMMYFUNCTION("""COMPUTED_VALUE"""),43959.6666666666)</f>
        <v>43959.666666666599</v>
      </c>
      <c r="B1348" s="1">
        <f ca="1">IFERROR(__xludf.DUMMYFUNCTION("""COMPUTED_VALUE"""),184.98)</f>
        <v>184.98</v>
      </c>
      <c r="C1348" s="1">
        <f ca="1">IFERROR(__xludf.DUMMYFUNCTION("""COMPUTED_VALUE"""),185)</f>
        <v>185</v>
      </c>
      <c r="D1348" s="1">
        <f ca="1">IFERROR(__xludf.DUMMYFUNCTION("""COMPUTED_VALUE"""),183.36)</f>
        <v>183.36</v>
      </c>
      <c r="E1348" s="1">
        <f ca="1">IFERROR(__xludf.DUMMYFUNCTION("""COMPUTED_VALUE"""),184.68)</f>
        <v>184.68</v>
      </c>
      <c r="F1348" s="1">
        <f ca="1">IFERROR(__xludf.DUMMYFUNCTION("""COMPUTED_VALUE"""),30912638)</f>
        <v>30912638</v>
      </c>
    </row>
    <row r="1349" spans="1:6" x14ac:dyDescent="0.35">
      <c r="A1349" s="2">
        <f ca="1">IFERROR(__xludf.DUMMYFUNCTION("""COMPUTED_VALUE"""),43962.6666666666)</f>
        <v>43962.666666666599</v>
      </c>
      <c r="B1349" s="1">
        <f ca="1">IFERROR(__xludf.DUMMYFUNCTION("""COMPUTED_VALUE"""),183.15)</f>
        <v>183.15</v>
      </c>
      <c r="C1349" s="1">
        <f ca="1">IFERROR(__xludf.DUMMYFUNCTION("""COMPUTED_VALUE"""),187.51)</f>
        <v>187.51</v>
      </c>
      <c r="D1349" s="1">
        <f ca="1">IFERROR(__xludf.DUMMYFUNCTION("""COMPUTED_VALUE"""),182.85)</f>
        <v>182.85</v>
      </c>
      <c r="E1349" s="1">
        <f ca="1">IFERROR(__xludf.DUMMYFUNCTION("""COMPUTED_VALUE"""),186.74)</f>
        <v>186.74</v>
      </c>
      <c r="F1349" s="1">
        <f ca="1">IFERROR(__xludf.DUMMYFUNCTION("""COMPUTED_VALUE"""),30892660)</f>
        <v>30892660</v>
      </c>
    </row>
    <row r="1350" spans="1:6" x14ac:dyDescent="0.35">
      <c r="A1350" s="2">
        <f ca="1">IFERROR(__xludf.DUMMYFUNCTION("""COMPUTED_VALUE"""),43963.6666666666)</f>
        <v>43963.666666666599</v>
      </c>
      <c r="B1350" s="1">
        <f ca="1">IFERROR(__xludf.DUMMYFUNCTION("""COMPUTED_VALUE"""),186.8)</f>
        <v>186.8</v>
      </c>
      <c r="C1350" s="1">
        <f ca="1">IFERROR(__xludf.DUMMYFUNCTION("""COMPUTED_VALUE"""),187.04)</f>
        <v>187.04</v>
      </c>
      <c r="D1350" s="1">
        <f ca="1">IFERROR(__xludf.DUMMYFUNCTION("""COMPUTED_VALUE"""),182.3)</f>
        <v>182.3</v>
      </c>
      <c r="E1350" s="1">
        <f ca="1">IFERROR(__xludf.DUMMYFUNCTION("""COMPUTED_VALUE"""),182.51)</f>
        <v>182.51</v>
      </c>
      <c r="F1350" s="1">
        <f ca="1">IFERROR(__xludf.DUMMYFUNCTION("""COMPUTED_VALUE"""),32038199)</f>
        <v>32038199</v>
      </c>
    </row>
    <row r="1351" spans="1:6" x14ac:dyDescent="0.35">
      <c r="A1351" s="2">
        <f ca="1">IFERROR(__xludf.DUMMYFUNCTION("""COMPUTED_VALUE"""),43964.6666666666)</f>
        <v>43964.666666666599</v>
      </c>
      <c r="B1351" s="1">
        <f ca="1">IFERROR(__xludf.DUMMYFUNCTION("""COMPUTED_VALUE"""),182.55)</f>
        <v>182.55</v>
      </c>
      <c r="C1351" s="1">
        <f ca="1">IFERROR(__xludf.DUMMYFUNCTION("""COMPUTED_VALUE"""),184.05)</f>
        <v>184.05</v>
      </c>
      <c r="D1351" s="1">
        <f ca="1">IFERROR(__xludf.DUMMYFUNCTION("""COMPUTED_VALUE"""),176.54)</f>
        <v>176.54</v>
      </c>
      <c r="E1351" s="1">
        <f ca="1">IFERROR(__xludf.DUMMYFUNCTION("""COMPUTED_VALUE"""),179.75)</f>
        <v>179.75</v>
      </c>
      <c r="F1351" s="1">
        <f ca="1">IFERROR(__xludf.DUMMYFUNCTION("""COMPUTED_VALUE"""),44711488)</f>
        <v>44711488</v>
      </c>
    </row>
    <row r="1352" spans="1:6" x14ac:dyDescent="0.35">
      <c r="A1352" s="2">
        <f ca="1">IFERROR(__xludf.DUMMYFUNCTION("""COMPUTED_VALUE"""),43965.6666666666)</f>
        <v>43965.666666666599</v>
      </c>
      <c r="B1352" s="1">
        <f ca="1">IFERROR(__xludf.DUMMYFUNCTION("""COMPUTED_VALUE"""),177.54)</f>
        <v>177.54</v>
      </c>
      <c r="C1352" s="1">
        <f ca="1">IFERROR(__xludf.DUMMYFUNCTION("""COMPUTED_VALUE"""),180.69)</f>
        <v>180.69</v>
      </c>
      <c r="D1352" s="1">
        <f ca="1">IFERROR(__xludf.DUMMYFUNCTION("""COMPUTED_VALUE"""),175.68)</f>
        <v>175.68</v>
      </c>
      <c r="E1352" s="1">
        <f ca="1">IFERROR(__xludf.DUMMYFUNCTION("""COMPUTED_VALUE"""),180.53)</f>
        <v>180.53</v>
      </c>
      <c r="F1352" s="1">
        <f ca="1">IFERROR(__xludf.DUMMYFUNCTION("""COMPUTED_VALUE"""),41873911)</f>
        <v>41873911</v>
      </c>
    </row>
    <row r="1353" spans="1:6" x14ac:dyDescent="0.35">
      <c r="A1353" s="2">
        <f ca="1">IFERROR(__xludf.DUMMYFUNCTION("""COMPUTED_VALUE"""),43966.6666666666)</f>
        <v>43966.666666666599</v>
      </c>
      <c r="B1353" s="1">
        <f ca="1">IFERROR(__xludf.DUMMYFUNCTION("""COMPUTED_VALUE"""),179.06)</f>
        <v>179.06</v>
      </c>
      <c r="C1353" s="1">
        <f ca="1">IFERROR(__xludf.DUMMYFUNCTION("""COMPUTED_VALUE"""),187.06)</f>
        <v>187.06</v>
      </c>
      <c r="D1353" s="1">
        <f ca="1">IFERROR(__xludf.DUMMYFUNCTION("""COMPUTED_VALUE"""),177)</f>
        <v>177</v>
      </c>
      <c r="E1353" s="1">
        <f ca="1">IFERROR(__xludf.DUMMYFUNCTION("""COMPUTED_VALUE"""),183.16)</f>
        <v>183.16</v>
      </c>
      <c r="F1353" s="1">
        <f ca="1">IFERROR(__xludf.DUMMYFUNCTION("""COMPUTED_VALUE"""),46610382)</f>
        <v>46610382</v>
      </c>
    </row>
    <row r="1354" spans="1:6" x14ac:dyDescent="0.35">
      <c r="A1354" s="2">
        <f ca="1">IFERROR(__xludf.DUMMYFUNCTION("""COMPUTED_VALUE"""),43969.6666666666)</f>
        <v>43969.666666666599</v>
      </c>
      <c r="B1354" s="1">
        <f ca="1">IFERROR(__xludf.DUMMYFUNCTION("""COMPUTED_VALUE"""),185.75)</f>
        <v>185.75</v>
      </c>
      <c r="C1354" s="1">
        <f ca="1">IFERROR(__xludf.DUMMYFUNCTION("""COMPUTED_VALUE"""),186.2)</f>
        <v>186.2</v>
      </c>
      <c r="D1354" s="1">
        <f ca="1">IFERROR(__xludf.DUMMYFUNCTION("""COMPUTED_VALUE"""),183.96)</f>
        <v>183.96</v>
      </c>
      <c r="E1354" s="1">
        <f ca="1">IFERROR(__xludf.DUMMYFUNCTION("""COMPUTED_VALUE"""),184.91)</f>
        <v>184.91</v>
      </c>
      <c r="F1354" s="1">
        <f ca="1">IFERROR(__xludf.DUMMYFUNCTION("""COMPUTED_VALUE"""),35306620)</f>
        <v>35306620</v>
      </c>
    </row>
    <row r="1355" spans="1:6" x14ac:dyDescent="0.35">
      <c r="A1355" s="2">
        <f ca="1">IFERROR(__xludf.DUMMYFUNCTION("""COMPUTED_VALUE"""),43970.6666666666)</f>
        <v>43970.666666666599</v>
      </c>
      <c r="B1355" s="1">
        <f ca="1">IFERROR(__xludf.DUMMYFUNCTION("""COMPUTED_VALUE"""),185.03)</f>
        <v>185.03</v>
      </c>
      <c r="C1355" s="1">
        <f ca="1">IFERROR(__xludf.DUMMYFUNCTION("""COMPUTED_VALUE"""),186.6)</f>
        <v>186.6</v>
      </c>
      <c r="D1355" s="1">
        <f ca="1">IFERROR(__xludf.DUMMYFUNCTION("""COMPUTED_VALUE"""),183.49)</f>
        <v>183.49</v>
      </c>
      <c r="E1355" s="1">
        <f ca="1">IFERROR(__xludf.DUMMYFUNCTION("""COMPUTED_VALUE"""),183.63)</f>
        <v>183.63</v>
      </c>
      <c r="F1355" s="1">
        <f ca="1">IFERROR(__xludf.DUMMYFUNCTION("""COMPUTED_VALUE"""),26799116)</f>
        <v>26799116</v>
      </c>
    </row>
    <row r="1356" spans="1:6" x14ac:dyDescent="0.35">
      <c r="A1356" s="2">
        <f ca="1">IFERROR(__xludf.DUMMYFUNCTION("""COMPUTED_VALUE"""),43971.6666666666)</f>
        <v>43971.666666666599</v>
      </c>
      <c r="B1356" s="1">
        <f ca="1">IFERROR(__xludf.DUMMYFUNCTION("""COMPUTED_VALUE"""),184.81)</f>
        <v>184.81</v>
      </c>
      <c r="C1356" s="1">
        <f ca="1">IFERROR(__xludf.DUMMYFUNCTION("""COMPUTED_VALUE"""),185.85)</f>
        <v>185.85</v>
      </c>
      <c r="D1356" s="1">
        <f ca="1">IFERROR(__xludf.DUMMYFUNCTION("""COMPUTED_VALUE"""),183.94)</f>
        <v>183.94</v>
      </c>
      <c r="E1356" s="1">
        <f ca="1">IFERROR(__xludf.DUMMYFUNCTION("""COMPUTED_VALUE"""),185.66)</f>
        <v>185.66</v>
      </c>
      <c r="F1356" s="1">
        <f ca="1">IFERROR(__xludf.DUMMYFUNCTION("""COMPUTED_VALUE"""),31261334)</f>
        <v>31261334</v>
      </c>
    </row>
    <row r="1357" spans="1:6" x14ac:dyDescent="0.35">
      <c r="A1357" s="2">
        <f ca="1">IFERROR(__xludf.DUMMYFUNCTION("""COMPUTED_VALUE"""),43972.6666666666)</f>
        <v>43972.666666666599</v>
      </c>
      <c r="B1357" s="1">
        <f ca="1">IFERROR(__xludf.DUMMYFUNCTION("""COMPUTED_VALUE"""),185.4)</f>
        <v>185.4</v>
      </c>
      <c r="C1357" s="1">
        <f ca="1">IFERROR(__xludf.DUMMYFUNCTION("""COMPUTED_VALUE"""),186.67)</f>
        <v>186.67</v>
      </c>
      <c r="D1357" s="1">
        <f ca="1">IFERROR(__xludf.DUMMYFUNCTION("""COMPUTED_VALUE"""),183.29)</f>
        <v>183.29</v>
      </c>
      <c r="E1357" s="1">
        <f ca="1">IFERROR(__xludf.DUMMYFUNCTION("""COMPUTED_VALUE"""),183.43)</f>
        <v>183.43</v>
      </c>
      <c r="F1357" s="1">
        <f ca="1">IFERROR(__xludf.DUMMYFUNCTION("""COMPUTED_VALUE"""),29119513)</f>
        <v>29119513</v>
      </c>
    </row>
    <row r="1358" spans="1:6" x14ac:dyDescent="0.35">
      <c r="A1358" s="2">
        <f ca="1">IFERROR(__xludf.DUMMYFUNCTION("""COMPUTED_VALUE"""),43973.6666666666)</f>
        <v>43973.666666666599</v>
      </c>
      <c r="B1358" s="1">
        <f ca="1">IFERROR(__xludf.DUMMYFUNCTION("""COMPUTED_VALUE"""),183.19)</f>
        <v>183.19</v>
      </c>
      <c r="C1358" s="1">
        <f ca="1">IFERROR(__xludf.DUMMYFUNCTION("""COMPUTED_VALUE"""),184.46)</f>
        <v>184.46</v>
      </c>
      <c r="D1358" s="1">
        <f ca="1">IFERROR(__xludf.DUMMYFUNCTION("""COMPUTED_VALUE"""),182.54)</f>
        <v>182.54</v>
      </c>
      <c r="E1358" s="1">
        <f ca="1">IFERROR(__xludf.DUMMYFUNCTION("""COMPUTED_VALUE"""),183.51)</f>
        <v>183.51</v>
      </c>
      <c r="F1358" s="1">
        <f ca="1">IFERROR(__xludf.DUMMYFUNCTION("""COMPUTED_VALUE"""),20826898)</f>
        <v>20826898</v>
      </c>
    </row>
    <row r="1359" spans="1:6" x14ac:dyDescent="0.35">
      <c r="A1359" s="2">
        <f ca="1">IFERROR(__xludf.DUMMYFUNCTION("""COMPUTED_VALUE"""),43977.6666666666)</f>
        <v>43977.666666666599</v>
      </c>
      <c r="B1359" s="1">
        <f ca="1">IFERROR(__xludf.DUMMYFUNCTION("""COMPUTED_VALUE"""),186.34)</f>
        <v>186.34</v>
      </c>
      <c r="C1359" s="1">
        <f ca="1">IFERROR(__xludf.DUMMYFUNCTION("""COMPUTED_VALUE"""),186.5)</f>
        <v>186.5</v>
      </c>
      <c r="D1359" s="1">
        <f ca="1">IFERROR(__xludf.DUMMYFUNCTION("""COMPUTED_VALUE"""),181.1)</f>
        <v>181.1</v>
      </c>
      <c r="E1359" s="1">
        <f ca="1">IFERROR(__xludf.DUMMYFUNCTION("""COMPUTED_VALUE"""),181.57)</f>
        <v>181.57</v>
      </c>
      <c r="F1359" s="1">
        <f ca="1">IFERROR(__xludf.DUMMYFUNCTION("""COMPUTED_VALUE"""),36073609)</f>
        <v>36073609</v>
      </c>
    </row>
    <row r="1360" spans="1:6" x14ac:dyDescent="0.35">
      <c r="A1360" s="2">
        <f ca="1">IFERROR(__xludf.DUMMYFUNCTION("""COMPUTED_VALUE"""),43978.6666666666)</f>
        <v>43978.666666666599</v>
      </c>
      <c r="B1360" s="1">
        <f ca="1">IFERROR(__xludf.DUMMYFUNCTION("""COMPUTED_VALUE"""),180.2)</f>
        <v>180.2</v>
      </c>
      <c r="C1360" s="1">
        <f ca="1">IFERROR(__xludf.DUMMYFUNCTION("""COMPUTED_VALUE"""),181.99)</f>
        <v>181.99</v>
      </c>
      <c r="D1360" s="1">
        <f ca="1">IFERROR(__xludf.DUMMYFUNCTION("""COMPUTED_VALUE"""),176.6)</f>
        <v>176.6</v>
      </c>
      <c r="E1360" s="1">
        <f ca="1">IFERROR(__xludf.DUMMYFUNCTION("""COMPUTED_VALUE"""),181.81)</f>
        <v>181.81</v>
      </c>
      <c r="F1360" s="1">
        <f ca="1">IFERROR(__xludf.DUMMYFUNCTION("""COMPUTED_VALUE"""),39517146)</f>
        <v>39517146</v>
      </c>
    </row>
    <row r="1361" spans="1:6" x14ac:dyDescent="0.35">
      <c r="A1361" s="2">
        <f ca="1">IFERROR(__xludf.DUMMYFUNCTION("""COMPUTED_VALUE"""),43979.6666666666)</f>
        <v>43979.666666666599</v>
      </c>
      <c r="B1361" s="1">
        <f ca="1">IFERROR(__xludf.DUMMYFUNCTION("""COMPUTED_VALUE"""),180.74)</f>
        <v>180.74</v>
      </c>
      <c r="C1361" s="1">
        <f ca="1">IFERROR(__xludf.DUMMYFUNCTION("""COMPUTED_VALUE"""),184.15)</f>
        <v>184.15</v>
      </c>
      <c r="D1361" s="1">
        <f ca="1">IFERROR(__xludf.DUMMYFUNCTION("""COMPUTED_VALUE"""),180.38)</f>
        <v>180.38</v>
      </c>
      <c r="E1361" s="1">
        <f ca="1">IFERROR(__xludf.DUMMYFUNCTION("""COMPUTED_VALUE"""),181.4)</f>
        <v>181.4</v>
      </c>
      <c r="F1361" s="1">
        <f ca="1">IFERROR(__xludf.DUMMYFUNCTION("""COMPUTED_VALUE"""),33831824)</f>
        <v>33831824</v>
      </c>
    </row>
    <row r="1362" spans="1:6" x14ac:dyDescent="0.35">
      <c r="A1362" s="2">
        <f ca="1">IFERROR(__xludf.DUMMYFUNCTION("""COMPUTED_VALUE"""),43980.6666666666)</f>
        <v>43980.666666666599</v>
      </c>
      <c r="B1362" s="1">
        <f ca="1">IFERROR(__xludf.DUMMYFUNCTION("""COMPUTED_VALUE"""),182.73)</f>
        <v>182.73</v>
      </c>
      <c r="C1362" s="1">
        <f ca="1">IFERROR(__xludf.DUMMYFUNCTION("""COMPUTED_VALUE"""),184.27)</f>
        <v>184.27</v>
      </c>
      <c r="D1362" s="1">
        <f ca="1">IFERROR(__xludf.DUMMYFUNCTION("""COMPUTED_VALUE"""),180.41)</f>
        <v>180.41</v>
      </c>
      <c r="E1362" s="1">
        <f ca="1">IFERROR(__xludf.DUMMYFUNCTION("""COMPUTED_VALUE"""),183.25)</f>
        <v>183.25</v>
      </c>
      <c r="F1362" s="1">
        <f ca="1">IFERROR(__xludf.DUMMYFUNCTION("""COMPUTED_VALUE"""),42146720)</f>
        <v>42146720</v>
      </c>
    </row>
    <row r="1363" spans="1:6" x14ac:dyDescent="0.35">
      <c r="A1363" s="2">
        <f ca="1">IFERROR(__xludf.DUMMYFUNCTION("""COMPUTED_VALUE"""),43983.6666666666)</f>
        <v>43983.666666666599</v>
      </c>
      <c r="B1363" s="1">
        <f ca="1">IFERROR(__xludf.DUMMYFUNCTION("""COMPUTED_VALUE"""),182.54)</f>
        <v>182.54</v>
      </c>
      <c r="C1363" s="1">
        <f ca="1">IFERROR(__xludf.DUMMYFUNCTION("""COMPUTED_VALUE"""),183)</f>
        <v>183</v>
      </c>
      <c r="D1363" s="1">
        <f ca="1">IFERROR(__xludf.DUMMYFUNCTION("""COMPUTED_VALUE"""),181.46)</f>
        <v>181.46</v>
      </c>
      <c r="E1363" s="1">
        <f ca="1">IFERROR(__xludf.DUMMYFUNCTION("""COMPUTED_VALUE"""),182.83)</f>
        <v>182.83</v>
      </c>
      <c r="F1363" s="1">
        <f ca="1">IFERROR(__xludf.DUMMYFUNCTION("""COMPUTED_VALUE"""),22668821)</f>
        <v>22668821</v>
      </c>
    </row>
    <row r="1364" spans="1:6" x14ac:dyDescent="0.35">
      <c r="A1364" s="2">
        <f ca="1">IFERROR(__xludf.DUMMYFUNCTION("""COMPUTED_VALUE"""),43984.6666666666)</f>
        <v>43984.666666666599</v>
      </c>
      <c r="B1364" s="1">
        <f ca="1">IFERROR(__xludf.DUMMYFUNCTION("""COMPUTED_VALUE"""),184.25)</f>
        <v>184.25</v>
      </c>
      <c r="C1364" s="1">
        <f ca="1">IFERROR(__xludf.DUMMYFUNCTION("""COMPUTED_VALUE"""),185)</f>
        <v>185</v>
      </c>
      <c r="D1364" s="1">
        <f ca="1">IFERROR(__xludf.DUMMYFUNCTION("""COMPUTED_VALUE"""),181.35)</f>
        <v>181.35</v>
      </c>
      <c r="E1364" s="1">
        <f ca="1">IFERROR(__xludf.DUMMYFUNCTION("""COMPUTED_VALUE"""),184.91)</f>
        <v>184.91</v>
      </c>
      <c r="F1364" s="1">
        <f ca="1">IFERROR(__xludf.DUMMYFUNCTION("""COMPUTED_VALUE"""),30794585)</f>
        <v>30794585</v>
      </c>
    </row>
    <row r="1365" spans="1:6" x14ac:dyDescent="0.35">
      <c r="A1365" s="2">
        <f ca="1">IFERROR(__xludf.DUMMYFUNCTION("""COMPUTED_VALUE"""),43985.6666666666)</f>
        <v>43985.666666666599</v>
      </c>
      <c r="B1365" s="1">
        <f ca="1">IFERROR(__xludf.DUMMYFUNCTION("""COMPUTED_VALUE"""),184.82)</f>
        <v>184.82</v>
      </c>
      <c r="C1365" s="1">
        <f ca="1">IFERROR(__xludf.DUMMYFUNCTION("""COMPUTED_VALUE"""),185.94)</f>
        <v>185.94</v>
      </c>
      <c r="D1365" s="1">
        <f ca="1">IFERROR(__xludf.DUMMYFUNCTION("""COMPUTED_VALUE"""),183.58)</f>
        <v>183.58</v>
      </c>
      <c r="E1365" s="1">
        <f ca="1">IFERROR(__xludf.DUMMYFUNCTION("""COMPUTED_VALUE"""),185.36)</f>
        <v>185.36</v>
      </c>
      <c r="F1365" s="1">
        <f ca="1">IFERROR(__xludf.DUMMYFUNCTION("""COMPUTED_VALUE"""),27311016)</f>
        <v>27311016</v>
      </c>
    </row>
    <row r="1366" spans="1:6" x14ac:dyDescent="0.35">
      <c r="A1366" s="2">
        <f ca="1">IFERROR(__xludf.DUMMYFUNCTION("""COMPUTED_VALUE"""),43986.6666666666)</f>
        <v>43986.666666666599</v>
      </c>
      <c r="B1366" s="1">
        <f ca="1">IFERROR(__xludf.DUMMYFUNCTION("""COMPUTED_VALUE"""),184.3)</f>
        <v>184.3</v>
      </c>
      <c r="C1366" s="1">
        <f ca="1">IFERROR(__xludf.DUMMYFUNCTION("""COMPUTED_VALUE"""),185.84)</f>
        <v>185.84</v>
      </c>
      <c r="D1366" s="1">
        <f ca="1">IFERROR(__xludf.DUMMYFUNCTION("""COMPUTED_VALUE"""),182.3)</f>
        <v>182.3</v>
      </c>
      <c r="E1366" s="1">
        <f ca="1">IFERROR(__xludf.DUMMYFUNCTION("""COMPUTED_VALUE"""),182.92)</f>
        <v>182.92</v>
      </c>
      <c r="F1366" s="1">
        <f ca="1">IFERROR(__xludf.DUMMYFUNCTION("""COMPUTED_VALUE"""),28761809)</f>
        <v>28761809</v>
      </c>
    </row>
    <row r="1367" spans="1:6" x14ac:dyDescent="0.35">
      <c r="A1367" s="2">
        <f ca="1">IFERROR(__xludf.DUMMYFUNCTION("""COMPUTED_VALUE"""),43987.6666666666)</f>
        <v>43987.666666666599</v>
      </c>
      <c r="B1367" s="1">
        <f ca="1">IFERROR(__xludf.DUMMYFUNCTION("""COMPUTED_VALUE"""),182.62)</f>
        <v>182.62</v>
      </c>
      <c r="C1367" s="1">
        <f ca="1">IFERROR(__xludf.DUMMYFUNCTION("""COMPUTED_VALUE"""),187.73)</f>
        <v>187.73</v>
      </c>
      <c r="D1367" s="1">
        <f ca="1">IFERROR(__xludf.DUMMYFUNCTION("""COMPUTED_VALUE"""),182.01)</f>
        <v>182.01</v>
      </c>
      <c r="E1367" s="1">
        <f ca="1">IFERROR(__xludf.DUMMYFUNCTION("""COMPUTED_VALUE"""),187.2)</f>
        <v>187.2</v>
      </c>
      <c r="F1367" s="1">
        <f ca="1">IFERROR(__xludf.DUMMYFUNCTION("""COMPUTED_VALUE"""),39893643)</f>
        <v>39893643</v>
      </c>
    </row>
    <row r="1368" spans="1:6" x14ac:dyDescent="0.35">
      <c r="A1368" s="2">
        <f ca="1">IFERROR(__xludf.DUMMYFUNCTION("""COMPUTED_VALUE"""),43990.6666666666)</f>
        <v>43990.666666666599</v>
      </c>
      <c r="B1368" s="1">
        <f ca="1">IFERROR(__xludf.DUMMYFUNCTION("""COMPUTED_VALUE"""),185.94)</f>
        <v>185.94</v>
      </c>
      <c r="C1368" s="1">
        <f ca="1">IFERROR(__xludf.DUMMYFUNCTION("""COMPUTED_VALUE"""),188.55)</f>
        <v>188.55</v>
      </c>
      <c r="D1368" s="1">
        <f ca="1">IFERROR(__xludf.DUMMYFUNCTION("""COMPUTED_VALUE"""),184.44)</f>
        <v>184.44</v>
      </c>
      <c r="E1368" s="1">
        <f ca="1">IFERROR(__xludf.DUMMYFUNCTION("""COMPUTED_VALUE"""),188.36)</f>
        <v>188.36</v>
      </c>
      <c r="F1368" s="1">
        <f ca="1">IFERROR(__xludf.DUMMYFUNCTION("""COMPUTED_VALUE"""),33211590)</f>
        <v>33211590</v>
      </c>
    </row>
    <row r="1369" spans="1:6" x14ac:dyDescent="0.35">
      <c r="A1369" s="2">
        <f ca="1">IFERROR(__xludf.DUMMYFUNCTION("""COMPUTED_VALUE"""),43991.6666666666)</f>
        <v>43991.666666666599</v>
      </c>
      <c r="B1369" s="1">
        <f ca="1">IFERROR(__xludf.DUMMYFUNCTION("""COMPUTED_VALUE"""),188)</f>
        <v>188</v>
      </c>
      <c r="C1369" s="1">
        <f ca="1">IFERROR(__xludf.DUMMYFUNCTION("""COMPUTED_VALUE"""),190.7)</f>
        <v>190.7</v>
      </c>
      <c r="D1369" s="1">
        <f ca="1">IFERROR(__xludf.DUMMYFUNCTION("""COMPUTED_VALUE"""),187.26)</f>
        <v>187.26</v>
      </c>
      <c r="E1369" s="1">
        <f ca="1">IFERROR(__xludf.DUMMYFUNCTION("""COMPUTED_VALUE"""),189.8)</f>
        <v>189.8</v>
      </c>
      <c r="F1369" s="1">
        <f ca="1">IFERROR(__xludf.DUMMYFUNCTION("""COMPUTED_VALUE"""),29783916)</f>
        <v>29783916</v>
      </c>
    </row>
    <row r="1370" spans="1:6" x14ac:dyDescent="0.35">
      <c r="A1370" s="2">
        <f ca="1">IFERROR(__xludf.DUMMYFUNCTION("""COMPUTED_VALUE"""),43992.6666666666)</f>
        <v>43992.666666666599</v>
      </c>
      <c r="B1370" s="1">
        <f ca="1">IFERROR(__xludf.DUMMYFUNCTION("""COMPUTED_VALUE"""),191.13)</f>
        <v>191.13</v>
      </c>
      <c r="C1370" s="1">
        <f ca="1">IFERROR(__xludf.DUMMYFUNCTION("""COMPUTED_VALUE"""),198.52)</f>
        <v>198.52</v>
      </c>
      <c r="D1370" s="1">
        <f ca="1">IFERROR(__xludf.DUMMYFUNCTION("""COMPUTED_VALUE"""),191.01)</f>
        <v>191.01</v>
      </c>
      <c r="E1370" s="1">
        <f ca="1">IFERROR(__xludf.DUMMYFUNCTION("""COMPUTED_VALUE"""),196.84)</f>
        <v>196.84</v>
      </c>
      <c r="F1370" s="1">
        <f ca="1">IFERROR(__xludf.DUMMYFUNCTION("""COMPUTED_VALUE"""),43872329)</f>
        <v>43872329</v>
      </c>
    </row>
    <row r="1371" spans="1:6" x14ac:dyDescent="0.35">
      <c r="A1371" s="2">
        <f ca="1">IFERROR(__xludf.DUMMYFUNCTION("""COMPUTED_VALUE"""),43993.6666666666)</f>
        <v>43993.666666666599</v>
      </c>
      <c r="B1371" s="1">
        <f ca="1">IFERROR(__xludf.DUMMYFUNCTION("""COMPUTED_VALUE"""),193.13)</f>
        <v>193.13</v>
      </c>
      <c r="C1371" s="1">
        <f ca="1">IFERROR(__xludf.DUMMYFUNCTION("""COMPUTED_VALUE"""),195.76)</f>
        <v>195.76</v>
      </c>
      <c r="D1371" s="1">
        <f ca="1">IFERROR(__xludf.DUMMYFUNCTION("""COMPUTED_VALUE"""),186.07)</f>
        <v>186.07</v>
      </c>
      <c r="E1371" s="1">
        <f ca="1">IFERROR(__xludf.DUMMYFUNCTION("""COMPUTED_VALUE"""),186.27)</f>
        <v>186.27</v>
      </c>
      <c r="F1371" s="1">
        <f ca="1">IFERROR(__xludf.DUMMYFUNCTION("""COMPUTED_VALUE"""),52854672)</f>
        <v>52854672</v>
      </c>
    </row>
    <row r="1372" spans="1:6" x14ac:dyDescent="0.35">
      <c r="A1372" s="2">
        <f ca="1">IFERROR(__xludf.DUMMYFUNCTION("""COMPUTED_VALUE"""),43994.6666666666)</f>
        <v>43994.666666666599</v>
      </c>
      <c r="B1372" s="1">
        <f ca="1">IFERROR(__xludf.DUMMYFUNCTION("""COMPUTED_VALUE"""),190.54)</f>
        <v>190.54</v>
      </c>
      <c r="C1372" s="1">
        <f ca="1">IFERROR(__xludf.DUMMYFUNCTION("""COMPUTED_VALUE"""),191.72)</f>
        <v>191.72</v>
      </c>
      <c r="D1372" s="1">
        <f ca="1">IFERROR(__xludf.DUMMYFUNCTION("""COMPUTED_VALUE"""),185.18)</f>
        <v>185.18</v>
      </c>
      <c r="E1372" s="1">
        <f ca="1">IFERROR(__xludf.DUMMYFUNCTION("""COMPUTED_VALUE"""),187.74)</f>
        <v>187.74</v>
      </c>
      <c r="F1372" s="1">
        <f ca="1">IFERROR(__xludf.DUMMYFUNCTION("""COMPUTED_VALUE"""),43373587)</f>
        <v>43373587</v>
      </c>
    </row>
    <row r="1373" spans="1:6" x14ac:dyDescent="0.35">
      <c r="A1373" s="2">
        <f ca="1">IFERROR(__xludf.DUMMYFUNCTION("""COMPUTED_VALUE"""),43997.6666666666)</f>
        <v>43997.666666666599</v>
      </c>
      <c r="B1373" s="1">
        <f ca="1">IFERROR(__xludf.DUMMYFUNCTION("""COMPUTED_VALUE"""),184.58)</f>
        <v>184.58</v>
      </c>
      <c r="C1373" s="1">
        <f ca="1">IFERROR(__xludf.DUMMYFUNCTION("""COMPUTED_VALUE"""),190.82)</f>
        <v>190.82</v>
      </c>
      <c r="D1373" s="1">
        <f ca="1">IFERROR(__xludf.DUMMYFUNCTION("""COMPUTED_VALUE"""),184.01)</f>
        <v>184.01</v>
      </c>
      <c r="E1373" s="1">
        <f ca="1">IFERROR(__xludf.DUMMYFUNCTION("""COMPUTED_VALUE"""),188.94)</f>
        <v>188.94</v>
      </c>
      <c r="F1373" s="1">
        <f ca="1">IFERROR(__xludf.DUMMYFUNCTION("""COMPUTED_VALUE"""),32770189)</f>
        <v>32770189</v>
      </c>
    </row>
    <row r="1374" spans="1:6" x14ac:dyDescent="0.35">
      <c r="A1374" s="2">
        <f ca="1">IFERROR(__xludf.DUMMYFUNCTION("""COMPUTED_VALUE"""),43998.6666666666)</f>
        <v>43998.666666666599</v>
      </c>
      <c r="B1374" s="1">
        <f ca="1">IFERROR(__xludf.DUMMYFUNCTION("""COMPUTED_VALUE"""),192.89)</f>
        <v>192.89</v>
      </c>
      <c r="C1374" s="1">
        <f ca="1">IFERROR(__xludf.DUMMYFUNCTION("""COMPUTED_VALUE"""),195.58)</f>
        <v>195.58</v>
      </c>
      <c r="D1374" s="1">
        <f ca="1">IFERROR(__xludf.DUMMYFUNCTION("""COMPUTED_VALUE"""),191.46)</f>
        <v>191.46</v>
      </c>
      <c r="E1374" s="1">
        <f ca="1">IFERROR(__xludf.DUMMYFUNCTION("""COMPUTED_VALUE"""),193.57)</f>
        <v>193.57</v>
      </c>
      <c r="F1374" s="1">
        <f ca="1">IFERROR(__xludf.DUMMYFUNCTION("""COMPUTED_VALUE"""),42556656)</f>
        <v>42556656</v>
      </c>
    </row>
    <row r="1375" spans="1:6" x14ac:dyDescent="0.35">
      <c r="A1375" s="2">
        <f ca="1">IFERROR(__xludf.DUMMYFUNCTION("""COMPUTED_VALUE"""),43999.6666666666)</f>
        <v>43999.666666666599</v>
      </c>
      <c r="B1375" s="1">
        <f ca="1">IFERROR(__xludf.DUMMYFUNCTION("""COMPUTED_VALUE"""),195.03)</f>
        <v>195.03</v>
      </c>
      <c r="C1375" s="1">
        <f ca="1">IFERROR(__xludf.DUMMYFUNCTION("""COMPUTED_VALUE"""),196.32)</f>
        <v>196.32</v>
      </c>
      <c r="D1375" s="1">
        <f ca="1">IFERROR(__xludf.DUMMYFUNCTION("""COMPUTED_VALUE"""),193.69)</f>
        <v>193.69</v>
      </c>
      <c r="E1375" s="1">
        <f ca="1">IFERROR(__xludf.DUMMYFUNCTION("""COMPUTED_VALUE"""),194.24)</f>
        <v>194.24</v>
      </c>
      <c r="F1375" s="1">
        <f ca="1">IFERROR(__xludf.DUMMYFUNCTION("""COMPUTED_VALUE"""),25687822)</f>
        <v>25687822</v>
      </c>
    </row>
    <row r="1376" spans="1:6" x14ac:dyDescent="0.35">
      <c r="A1376" s="2">
        <f ca="1">IFERROR(__xludf.DUMMYFUNCTION("""COMPUTED_VALUE"""),44000.6666666666)</f>
        <v>44000.666666666599</v>
      </c>
      <c r="B1376" s="1">
        <f ca="1">IFERROR(__xludf.DUMMYFUNCTION("""COMPUTED_VALUE"""),194)</f>
        <v>194</v>
      </c>
      <c r="C1376" s="1">
        <f ca="1">IFERROR(__xludf.DUMMYFUNCTION("""COMPUTED_VALUE"""),196.49)</f>
        <v>196.49</v>
      </c>
      <c r="D1376" s="1">
        <f ca="1">IFERROR(__xludf.DUMMYFUNCTION("""COMPUTED_VALUE"""),194)</f>
        <v>194</v>
      </c>
      <c r="E1376" s="1">
        <f ca="1">IFERROR(__xludf.DUMMYFUNCTION("""COMPUTED_VALUE"""),196.32)</f>
        <v>196.32</v>
      </c>
      <c r="F1376" s="1">
        <f ca="1">IFERROR(__xludf.DUMMYFUNCTION("""COMPUTED_VALUE"""),23061648)</f>
        <v>23061648</v>
      </c>
    </row>
    <row r="1377" spans="1:6" x14ac:dyDescent="0.35">
      <c r="A1377" s="2">
        <f ca="1">IFERROR(__xludf.DUMMYFUNCTION("""COMPUTED_VALUE"""),44001.6666666666)</f>
        <v>44001.666666666599</v>
      </c>
      <c r="B1377" s="1">
        <f ca="1">IFERROR(__xludf.DUMMYFUNCTION("""COMPUTED_VALUE"""),198.59)</f>
        <v>198.59</v>
      </c>
      <c r="C1377" s="1">
        <f ca="1">IFERROR(__xludf.DUMMYFUNCTION("""COMPUTED_VALUE"""),199.29)</f>
        <v>199.29</v>
      </c>
      <c r="D1377" s="1">
        <f ca="1">IFERROR(__xludf.DUMMYFUNCTION("""COMPUTED_VALUE"""),194.37)</f>
        <v>194.37</v>
      </c>
      <c r="E1377" s="1">
        <f ca="1">IFERROR(__xludf.DUMMYFUNCTION("""COMPUTED_VALUE"""),195.15)</f>
        <v>195.15</v>
      </c>
      <c r="F1377" s="1">
        <f ca="1">IFERROR(__xludf.DUMMYFUNCTION("""COMPUTED_VALUE"""),44441141)</f>
        <v>44441141</v>
      </c>
    </row>
    <row r="1378" spans="1:6" x14ac:dyDescent="0.35">
      <c r="A1378" s="2">
        <f ca="1">IFERROR(__xludf.DUMMYFUNCTION("""COMPUTED_VALUE"""),44004.6666666666)</f>
        <v>44004.666666666599</v>
      </c>
      <c r="B1378" s="1">
        <f ca="1">IFERROR(__xludf.DUMMYFUNCTION("""COMPUTED_VALUE"""),195.79)</f>
        <v>195.79</v>
      </c>
      <c r="C1378" s="1">
        <f ca="1">IFERROR(__xludf.DUMMYFUNCTION("""COMPUTED_VALUE"""),200.76)</f>
        <v>200.76</v>
      </c>
      <c r="D1378" s="1">
        <f ca="1">IFERROR(__xludf.DUMMYFUNCTION("""COMPUTED_VALUE"""),195.23)</f>
        <v>195.23</v>
      </c>
      <c r="E1378" s="1">
        <f ca="1">IFERROR(__xludf.DUMMYFUNCTION("""COMPUTED_VALUE"""),200.57)</f>
        <v>200.57</v>
      </c>
      <c r="F1378" s="1">
        <f ca="1">IFERROR(__xludf.DUMMYFUNCTION("""COMPUTED_VALUE"""),32818929)</f>
        <v>32818929</v>
      </c>
    </row>
    <row r="1379" spans="1:6" x14ac:dyDescent="0.35">
      <c r="A1379" s="2">
        <f ca="1">IFERROR(__xludf.DUMMYFUNCTION("""COMPUTED_VALUE"""),44005.6666666666)</f>
        <v>44005.666666666599</v>
      </c>
      <c r="B1379" s="1">
        <f ca="1">IFERROR(__xludf.DUMMYFUNCTION("""COMPUTED_VALUE"""),202.09)</f>
        <v>202.09</v>
      </c>
      <c r="C1379" s="1">
        <f ca="1">IFERROR(__xludf.DUMMYFUNCTION("""COMPUTED_VALUE"""),203.95)</f>
        <v>203.95</v>
      </c>
      <c r="D1379" s="1">
        <f ca="1">IFERROR(__xludf.DUMMYFUNCTION("""COMPUTED_VALUE"""),201.43)</f>
        <v>201.43</v>
      </c>
      <c r="E1379" s="1">
        <f ca="1">IFERROR(__xludf.DUMMYFUNCTION("""COMPUTED_VALUE"""),201.91)</f>
        <v>201.91</v>
      </c>
      <c r="F1379" s="1">
        <f ca="1">IFERROR(__xludf.DUMMYFUNCTION("""COMPUTED_VALUE"""),30917447)</f>
        <v>30917447</v>
      </c>
    </row>
    <row r="1380" spans="1:6" x14ac:dyDescent="0.35">
      <c r="A1380" s="2">
        <f ca="1">IFERROR(__xludf.DUMMYFUNCTION("""COMPUTED_VALUE"""),44006.6666666666)</f>
        <v>44006.666666666599</v>
      </c>
      <c r="B1380" s="1">
        <f ca="1">IFERROR(__xludf.DUMMYFUNCTION("""COMPUTED_VALUE"""),201.6)</f>
        <v>201.6</v>
      </c>
      <c r="C1380" s="1">
        <f ca="1">IFERROR(__xludf.DUMMYFUNCTION("""COMPUTED_VALUE"""),203.25)</f>
        <v>203.25</v>
      </c>
      <c r="D1380" s="1">
        <f ca="1">IFERROR(__xludf.DUMMYFUNCTION("""COMPUTED_VALUE"""),196.56)</f>
        <v>196.56</v>
      </c>
      <c r="E1380" s="1">
        <f ca="1">IFERROR(__xludf.DUMMYFUNCTION("""COMPUTED_VALUE"""),197.84)</f>
        <v>197.84</v>
      </c>
      <c r="F1380" s="1">
        <f ca="1">IFERROR(__xludf.DUMMYFUNCTION("""COMPUTED_VALUE"""),36740647)</f>
        <v>36740647</v>
      </c>
    </row>
    <row r="1381" spans="1:6" x14ac:dyDescent="0.35">
      <c r="A1381" s="2">
        <f ca="1">IFERROR(__xludf.DUMMYFUNCTION("""COMPUTED_VALUE"""),44007.6666666666)</f>
        <v>44007.666666666599</v>
      </c>
      <c r="B1381" s="1">
        <f ca="1">IFERROR(__xludf.DUMMYFUNCTION("""COMPUTED_VALUE"""),197.8)</f>
        <v>197.8</v>
      </c>
      <c r="C1381" s="1">
        <f ca="1">IFERROR(__xludf.DUMMYFUNCTION("""COMPUTED_VALUE"""),200.61)</f>
        <v>200.61</v>
      </c>
      <c r="D1381" s="1">
        <f ca="1">IFERROR(__xludf.DUMMYFUNCTION("""COMPUTED_VALUE"""),195.47)</f>
        <v>195.47</v>
      </c>
      <c r="E1381" s="1">
        <f ca="1">IFERROR(__xludf.DUMMYFUNCTION("""COMPUTED_VALUE"""),200.34)</f>
        <v>200.34</v>
      </c>
      <c r="F1381" s="1">
        <f ca="1">IFERROR(__xludf.DUMMYFUNCTION("""COMPUTED_VALUE"""),27803933)</f>
        <v>27803933</v>
      </c>
    </row>
    <row r="1382" spans="1:6" x14ac:dyDescent="0.35">
      <c r="A1382" s="2">
        <f ca="1">IFERROR(__xludf.DUMMYFUNCTION("""COMPUTED_VALUE"""),44008.6666666666)</f>
        <v>44008.666666666599</v>
      </c>
      <c r="B1382" s="1">
        <f ca="1">IFERROR(__xludf.DUMMYFUNCTION("""COMPUTED_VALUE"""),199.73)</f>
        <v>199.73</v>
      </c>
      <c r="C1382" s="1">
        <f ca="1">IFERROR(__xludf.DUMMYFUNCTION("""COMPUTED_VALUE"""),199.89)</f>
        <v>199.89</v>
      </c>
      <c r="D1382" s="1">
        <f ca="1">IFERROR(__xludf.DUMMYFUNCTION("""COMPUTED_VALUE"""),194.88)</f>
        <v>194.88</v>
      </c>
      <c r="E1382" s="1">
        <f ca="1">IFERROR(__xludf.DUMMYFUNCTION("""COMPUTED_VALUE"""),196.33)</f>
        <v>196.33</v>
      </c>
      <c r="F1382" s="1">
        <f ca="1">IFERROR(__xludf.DUMMYFUNCTION("""COMPUTED_VALUE"""),54675780)</f>
        <v>54675780</v>
      </c>
    </row>
    <row r="1383" spans="1:6" x14ac:dyDescent="0.35">
      <c r="A1383" s="2">
        <f ca="1">IFERROR(__xludf.DUMMYFUNCTION("""COMPUTED_VALUE"""),44011.6666666666)</f>
        <v>44011.666666666599</v>
      </c>
      <c r="B1383" s="1">
        <f ca="1">IFERROR(__xludf.DUMMYFUNCTION("""COMPUTED_VALUE"""),195.78)</f>
        <v>195.78</v>
      </c>
      <c r="C1383" s="1">
        <f ca="1">IFERROR(__xludf.DUMMYFUNCTION("""COMPUTED_VALUE"""),198.53)</f>
        <v>198.53</v>
      </c>
      <c r="D1383" s="1">
        <f ca="1">IFERROR(__xludf.DUMMYFUNCTION("""COMPUTED_VALUE"""),193.55)</f>
        <v>193.55</v>
      </c>
      <c r="E1383" s="1">
        <f ca="1">IFERROR(__xludf.DUMMYFUNCTION("""COMPUTED_VALUE"""),198.44)</f>
        <v>198.44</v>
      </c>
      <c r="F1383" s="1">
        <f ca="1">IFERROR(__xludf.DUMMYFUNCTION("""COMPUTED_VALUE"""),26701586)</f>
        <v>26701586</v>
      </c>
    </row>
    <row r="1384" spans="1:6" x14ac:dyDescent="0.35">
      <c r="A1384" s="2">
        <f ca="1">IFERROR(__xludf.DUMMYFUNCTION("""COMPUTED_VALUE"""),44012.6666666666)</f>
        <v>44012.666666666599</v>
      </c>
      <c r="B1384" s="1">
        <f ca="1">IFERROR(__xludf.DUMMYFUNCTION("""COMPUTED_VALUE"""),197.88)</f>
        <v>197.88</v>
      </c>
      <c r="C1384" s="1">
        <f ca="1">IFERROR(__xludf.DUMMYFUNCTION("""COMPUTED_VALUE"""),204.4)</f>
        <v>204.4</v>
      </c>
      <c r="D1384" s="1">
        <f ca="1">IFERROR(__xludf.DUMMYFUNCTION("""COMPUTED_VALUE"""),197.74)</f>
        <v>197.74</v>
      </c>
      <c r="E1384" s="1">
        <f ca="1">IFERROR(__xludf.DUMMYFUNCTION("""COMPUTED_VALUE"""),203.51)</f>
        <v>203.51</v>
      </c>
      <c r="F1384" s="1">
        <f ca="1">IFERROR(__xludf.DUMMYFUNCTION("""COMPUTED_VALUE"""),34310283)</f>
        <v>34310283</v>
      </c>
    </row>
    <row r="1385" spans="1:6" x14ac:dyDescent="0.35">
      <c r="A1385" s="2">
        <f ca="1">IFERROR(__xludf.DUMMYFUNCTION("""COMPUTED_VALUE"""),44013.6666666666)</f>
        <v>44013.666666666599</v>
      </c>
      <c r="B1385" s="1">
        <f ca="1">IFERROR(__xludf.DUMMYFUNCTION("""COMPUTED_VALUE"""),203.14)</f>
        <v>203.14</v>
      </c>
      <c r="C1385" s="1">
        <f ca="1">IFERROR(__xludf.DUMMYFUNCTION("""COMPUTED_VALUE"""),206.35)</f>
        <v>206.35</v>
      </c>
      <c r="D1385" s="1">
        <f ca="1">IFERROR(__xludf.DUMMYFUNCTION("""COMPUTED_VALUE"""),201.77)</f>
        <v>201.77</v>
      </c>
      <c r="E1385" s="1">
        <f ca="1">IFERROR(__xludf.DUMMYFUNCTION("""COMPUTED_VALUE"""),204.7)</f>
        <v>204.7</v>
      </c>
      <c r="F1385" s="1">
        <f ca="1">IFERROR(__xludf.DUMMYFUNCTION("""COMPUTED_VALUE"""),32061206)</f>
        <v>32061206</v>
      </c>
    </row>
    <row r="1386" spans="1:6" x14ac:dyDescent="0.35">
      <c r="A1386" s="2">
        <f ca="1">IFERROR(__xludf.DUMMYFUNCTION("""COMPUTED_VALUE"""),44014.6666666666)</f>
        <v>44014.666666666599</v>
      </c>
      <c r="B1386" s="1">
        <f ca="1">IFERROR(__xludf.DUMMYFUNCTION("""COMPUTED_VALUE"""),205.68)</f>
        <v>205.68</v>
      </c>
      <c r="C1386" s="1">
        <f ca="1">IFERROR(__xludf.DUMMYFUNCTION("""COMPUTED_VALUE"""),208.02)</f>
        <v>208.02</v>
      </c>
      <c r="D1386" s="1">
        <f ca="1">IFERROR(__xludf.DUMMYFUNCTION("""COMPUTED_VALUE"""),205)</f>
        <v>205</v>
      </c>
      <c r="E1386" s="1">
        <f ca="1">IFERROR(__xludf.DUMMYFUNCTION("""COMPUTED_VALUE"""),206.26)</f>
        <v>206.26</v>
      </c>
      <c r="F1386" s="1">
        <f ca="1">IFERROR(__xludf.DUMMYFUNCTION("""COMPUTED_VALUE"""),29315762)</f>
        <v>29315762</v>
      </c>
    </row>
    <row r="1387" spans="1:6" x14ac:dyDescent="0.35">
      <c r="A1387" s="2">
        <f ca="1">IFERROR(__xludf.DUMMYFUNCTION("""COMPUTED_VALUE"""),44018.6666666666)</f>
        <v>44018.666666666599</v>
      </c>
      <c r="B1387" s="1">
        <f ca="1">IFERROR(__xludf.DUMMYFUNCTION("""COMPUTED_VALUE"""),208.83)</f>
        <v>208.83</v>
      </c>
      <c r="C1387" s="1">
        <f ca="1">IFERROR(__xludf.DUMMYFUNCTION("""COMPUTED_VALUE"""),211.13)</f>
        <v>211.13</v>
      </c>
      <c r="D1387" s="1">
        <f ca="1">IFERROR(__xludf.DUMMYFUNCTION("""COMPUTED_VALUE"""),208.09)</f>
        <v>208.09</v>
      </c>
      <c r="E1387" s="1">
        <f ca="1">IFERROR(__xludf.DUMMYFUNCTION("""COMPUTED_VALUE"""),210.7)</f>
        <v>210.7</v>
      </c>
      <c r="F1387" s="1">
        <f ca="1">IFERROR(__xludf.DUMMYFUNCTION("""COMPUTED_VALUE"""),31897629)</f>
        <v>31897629</v>
      </c>
    </row>
    <row r="1388" spans="1:6" x14ac:dyDescent="0.35">
      <c r="A1388" s="2">
        <f ca="1">IFERROR(__xludf.DUMMYFUNCTION("""COMPUTED_VALUE"""),44019.6666666666)</f>
        <v>44019.666666666599</v>
      </c>
      <c r="B1388" s="1">
        <f ca="1">IFERROR(__xludf.DUMMYFUNCTION("""COMPUTED_VALUE"""),210.45)</f>
        <v>210.45</v>
      </c>
      <c r="C1388" s="1">
        <f ca="1">IFERROR(__xludf.DUMMYFUNCTION("""COMPUTED_VALUE"""),214.67)</f>
        <v>214.67</v>
      </c>
      <c r="D1388" s="1">
        <f ca="1">IFERROR(__xludf.DUMMYFUNCTION("""COMPUTED_VALUE"""),207.99)</f>
        <v>207.99</v>
      </c>
      <c r="E1388" s="1">
        <f ca="1">IFERROR(__xludf.DUMMYFUNCTION("""COMPUTED_VALUE"""),208.25)</f>
        <v>208.25</v>
      </c>
      <c r="F1388" s="1">
        <f ca="1">IFERROR(__xludf.DUMMYFUNCTION("""COMPUTED_VALUE"""),33600732)</f>
        <v>33600732</v>
      </c>
    </row>
    <row r="1389" spans="1:6" x14ac:dyDescent="0.35">
      <c r="A1389" s="2">
        <f ca="1">IFERROR(__xludf.DUMMYFUNCTION("""COMPUTED_VALUE"""),44020.6666666666)</f>
        <v>44020.666666666599</v>
      </c>
      <c r="B1389" s="1">
        <f ca="1">IFERROR(__xludf.DUMMYFUNCTION("""COMPUTED_VALUE"""),210.07)</f>
        <v>210.07</v>
      </c>
      <c r="C1389" s="1">
        <f ca="1">IFERROR(__xludf.DUMMYFUNCTION("""COMPUTED_VALUE"""),213.26)</f>
        <v>213.26</v>
      </c>
      <c r="D1389" s="1">
        <f ca="1">IFERROR(__xludf.DUMMYFUNCTION("""COMPUTED_VALUE"""),208.69)</f>
        <v>208.69</v>
      </c>
      <c r="E1389" s="1">
        <f ca="1">IFERROR(__xludf.DUMMYFUNCTION("""COMPUTED_VALUE"""),212.83)</f>
        <v>212.83</v>
      </c>
      <c r="F1389" s="1">
        <f ca="1">IFERROR(__xludf.DUMMYFUNCTION("""COMPUTED_VALUE"""),33600025)</f>
        <v>33600025</v>
      </c>
    </row>
    <row r="1390" spans="1:6" x14ac:dyDescent="0.35">
      <c r="A1390" s="2">
        <f ca="1">IFERROR(__xludf.DUMMYFUNCTION("""COMPUTED_VALUE"""),44021.6666666666)</f>
        <v>44021.666666666599</v>
      </c>
      <c r="B1390" s="1">
        <f ca="1">IFERROR(__xludf.DUMMYFUNCTION("""COMPUTED_VALUE"""),216.33)</f>
        <v>216.33</v>
      </c>
      <c r="C1390" s="1">
        <f ca="1">IFERROR(__xludf.DUMMYFUNCTION("""COMPUTED_VALUE"""),216.38)</f>
        <v>216.38</v>
      </c>
      <c r="D1390" s="1">
        <f ca="1">IFERROR(__xludf.DUMMYFUNCTION("""COMPUTED_VALUE"""),211.47)</f>
        <v>211.47</v>
      </c>
      <c r="E1390" s="1">
        <f ca="1">IFERROR(__xludf.DUMMYFUNCTION("""COMPUTED_VALUE"""),214.32)</f>
        <v>214.32</v>
      </c>
      <c r="F1390" s="1">
        <f ca="1">IFERROR(__xludf.DUMMYFUNCTION("""COMPUTED_VALUE"""),33121681)</f>
        <v>33121681</v>
      </c>
    </row>
    <row r="1391" spans="1:6" x14ac:dyDescent="0.35">
      <c r="A1391" s="2">
        <f ca="1">IFERROR(__xludf.DUMMYFUNCTION("""COMPUTED_VALUE"""),44022.6666666666)</f>
        <v>44022.666666666599</v>
      </c>
      <c r="B1391" s="1">
        <f ca="1">IFERROR(__xludf.DUMMYFUNCTION("""COMPUTED_VALUE"""),213.62)</f>
        <v>213.62</v>
      </c>
      <c r="C1391" s="1">
        <f ca="1">IFERROR(__xludf.DUMMYFUNCTION("""COMPUTED_VALUE"""),214.08)</f>
        <v>214.08</v>
      </c>
      <c r="D1391" s="1">
        <f ca="1">IFERROR(__xludf.DUMMYFUNCTION("""COMPUTED_VALUE"""),211.08)</f>
        <v>211.08</v>
      </c>
      <c r="E1391" s="1">
        <f ca="1">IFERROR(__xludf.DUMMYFUNCTION("""COMPUTED_VALUE"""),213.67)</f>
        <v>213.67</v>
      </c>
      <c r="F1391" s="1">
        <f ca="1">IFERROR(__xludf.DUMMYFUNCTION("""COMPUTED_VALUE"""),26177633)</f>
        <v>26177633</v>
      </c>
    </row>
    <row r="1392" spans="1:6" x14ac:dyDescent="0.35">
      <c r="A1392" s="2">
        <f ca="1">IFERROR(__xludf.DUMMYFUNCTION("""COMPUTED_VALUE"""),44025.6666666666)</f>
        <v>44025.666666666599</v>
      </c>
      <c r="B1392" s="1">
        <f ca="1">IFERROR(__xludf.DUMMYFUNCTION("""COMPUTED_VALUE"""),214.48)</f>
        <v>214.48</v>
      </c>
      <c r="C1392" s="1">
        <f ca="1">IFERROR(__xludf.DUMMYFUNCTION("""COMPUTED_VALUE"""),215.8)</f>
        <v>215.8</v>
      </c>
      <c r="D1392" s="1">
        <f ca="1">IFERROR(__xludf.DUMMYFUNCTION("""COMPUTED_VALUE"""),206.5)</f>
        <v>206.5</v>
      </c>
      <c r="E1392" s="1">
        <f ca="1">IFERROR(__xludf.DUMMYFUNCTION("""COMPUTED_VALUE"""),207.07)</f>
        <v>207.07</v>
      </c>
      <c r="F1392" s="1">
        <f ca="1">IFERROR(__xludf.DUMMYFUNCTION("""COMPUTED_VALUE"""),38135606)</f>
        <v>38135606</v>
      </c>
    </row>
    <row r="1393" spans="1:6" x14ac:dyDescent="0.35">
      <c r="A1393" s="2">
        <f ca="1">IFERROR(__xludf.DUMMYFUNCTION("""COMPUTED_VALUE"""),44026.6666666666)</f>
        <v>44026.666666666599</v>
      </c>
      <c r="B1393" s="1">
        <f ca="1">IFERROR(__xludf.DUMMYFUNCTION("""COMPUTED_VALUE"""),206.13)</f>
        <v>206.13</v>
      </c>
      <c r="C1393" s="1">
        <f ca="1">IFERROR(__xludf.DUMMYFUNCTION("""COMPUTED_VALUE"""),208.85)</f>
        <v>208.85</v>
      </c>
      <c r="D1393" s="1">
        <f ca="1">IFERROR(__xludf.DUMMYFUNCTION("""COMPUTED_VALUE"""),202.03)</f>
        <v>202.03</v>
      </c>
      <c r="E1393" s="1">
        <f ca="1">IFERROR(__xludf.DUMMYFUNCTION("""COMPUTED_VALUE"""),208.35)</f>
        <v>208.35</v>
      </c>
      <c r="F1393" s="1">
        <f ca="1">IFERROR(__xludf.DUMMYFUNCTION("""COMPUTED_VALUE"""),37591820)</f>
        <v>37591820</v>
      </c>
    </row>
    <row r="1394" spans="1:6" x14ac:dyDescent="0.35">
      <c r="A1394" s="2">
        <f ca="1">IFERROR(__xludf.DUMMYFUNCTION("""COMPUTED_VALUE"""),44027.6666666666)</f>
        <v>44027.666666666599</v>
      </c>
      <c r="B1394" s="1">
        <f ca="1">IFERROR(__xludf.DUMMYFUNCTION("""COMPUTED_VALUE"""),209.56)</f>
        <v>209.56</v>
      </c>
      <c r="C1394" s="1">
        <f ca="1">IFERROR(__xludf.DUMMYFUNCTION("""COMPUTED_VALUE"""),211.33)</f>
        <v>211.33</v>
      </c>
      <c r="D1394" s="1">
        <f ca="1">IFERROR(__xludf.DUMMYFUNCTION("""COMPUTED_VALUE"""),205.03)</f>
        <v>205.03</v>
      </c>
      <c r="E1394" s="1">
        <f ca="1">IFERROR(__xludf.DUMMYFUNCTION("""COMPUTED_VALUE"""),208.04)</f>
        <v>208.04</v>
      </c>
      <c r="F1394" s="1">
        <f ca="1">IFERROR(__xludf.DUMMYFUNCTION("""COMPUTED_VALUE"""),32179409)</f>
        <v>32179409</v>
      </c>
    </row>
    <row r="1395" spans="1:6" x14ac:dyDescent="0.35">
      <c r="A1395" s="2">
        <f ca="1">IFERROR(__xludf.DUMMYFUNCTION("""COMPUTED_VALUE"""),44028.6666666666)</f>
        <v>44028.666666666599</v>
      </c>
      <c r="B1395" s="1">
        <f ca="1">IFERROR(__xludf.DUMMYFUNCTION("""COMPUTED_VALUE"""),205.4)</f>
        <v>205.4</v>
      </c>
      <c r="C1395" s="1">
        <f ca="1">IFERROR(__xludf.DUMMYFUNCTION("""COMPUTED_VALUE"""),205.7)</f>
        <v>205.7</v>
      </c>
      <c r="D1395" s="1">
        <f ca="1">IFERROR(__xludf.DUMMYFUNCTION("""COMPUTED_VALUE"""),202.31)</f>
        <v>202.31</v>
      </c>
      <c r="E1395" s="1">
        <f ca="1">IFERROR(__xludf.DUMMYFUNCTION("""COMPUTED_VALUE"""),203.92)</f>
        <v>203.92</v>
      </c>
      <c r="F1395" s="1">
        <f ca="1">IFERROR(__xludf.DUMMYFUNCTION("""COMPUTED_VALUE"""),29940653)</f>
        <v>29940653</v>
      </c>
    </row>
    <row r="1396" spans="1:6" x14ac:dyDescent="0.35">
      <c r="A1396" s="2">
        <f ca="1">IFERROR(__xludf.DUMMYFUNCTION("""COMPUTED_VALUE"""),44029.6666666666)</f>
        <v>44029.666666666599</v>
      </c>
      <c r="B1396" s="1">
        <f ca="1">IFERROR(__xludf.DUMMYFUNCTION("""COMPUTED_VALUE"""),204.47)</f>
        <v>204.47</v>
      </c>
      <c r="C1396" s="1">
        <f ca="1">IFERROR(__xludf.DUMMYFUNCTION("""COMPUTED_VALUE"""),205.04)</f>
        <v>205.04</v>
      </c>
      <c r="D1396" s="1">
        <f ca="1">IFERROR(__xludf.DUMMYFUNCTION("""COMPUTED_VALUE"""),201.39)</f>
        <v>201.39</v>
      </c>
      <c r="E1396" s="1">
        <f ca="1">IFERROR(__xludf.DUMMYFUNCTION("""COMPUTED_VALUE"""),202.88)</f>
        <v>202.88</v>
      </c>
      <c r="F1396" s="1">
        <f ca="1">IFERROR(__xludf.DUMMYFUNCTION("""COMPUTED_VALUE"""),31635281)</f>
        <v>31635281</v>
      </c>
    </row>
    <row r="1397" spans="1:6" x14ac:dyDescent="0.35">
      <c r="A1397" s="2">
        <f ca="1">IFERROR(__xludf.DUMMYFUNCTION("""COMPUTED_VALUE"""),44032.6666666666)</f>
        <v>44032.666666666599</v>
      </c>
      <c r="B1397" s="1">
        <f ca="1">IFERROR(__xludf.DUMMYFUNCTION("""COMPUTED_VALUE"""),205)</f>
        <v>205</v>
      </c>
      <c r="C1397" s="1">
        <f ca="1">IFERROR(__xludf.DUMMYFUNCTION("""COMPUTED_VALUE"""),212.3)</f>
        <v>212.3</v>
      </c>
      <c r="D1397" s="1">
        <f ca="1">IFERROR(__xludf.DUMMYFUNCTION("""COMPUTED_VALUE"""),203.01)</f>
        <v>203.01</v>
      </c>
      <c r="E1397" s="1">
        <f ca="1">IFERROR(__xludf.DUMMYFUNCTION("""COMPUTED_VALUE"""),211.6)</f>
        <v>211.6</v>
      </c>
      <c r="F1397" s="1">
        <f ca="1">IFERROR(__xludf.DUMMYFUNCTION("""COMPUTED_VALUE"""),36884836)</f>
        <v>36884836</v>
      </c>
    </row>
    <row r="1398" spans="1:6" x14ac:dyDescent="0.35">
      <c r="A1398" s="2">
        <f ca="1">IFERROR(__xludf.DUMMYFUNCTION("""COMPUTED_VALUE"""),44033.6666666666)</f>
        <v>44033.666666666599</v>
      </c>
      <c r="B1398" s="1">
        <f ca="1">IFERROR(__xludf.DUMMYFUNCTION("""COMPUTED_VALUE"""),213.66)</f>
        <v>213.66</v>
      </c>
      <c r="C1398" s="1">
        <f ca="1">IFERROR(__xludf.DUMMYFUNCTION("""COMPUTED_VALUE"""),213.94)</f>
        <v>213.94</v>
      </c>
      <c r="D1398" s="1">
        <f ca="1">IFERROR(__xludf.DUMMYFUNCTION("""COMPUTED_VALUE"""),208.03)</f>
        <v>208.03</v>
      </c>
      <c r="E1398" s="1">
        <f ca="1">IFERROR(__xludf.DUMMYFUNCTION("""COMPUTED_VALUE"""),208.75)</f>
        <v>208.75</v>
      </c>
      <c r="F1398" s="1">
        <f ca="1">IFERROR(__xludf.DUMMYFUNCTION("""COMPUTED_VALUE"""),38105777)</f>
        <v>38105777</v>
      </c>
    </row>
    <row r="1399" spans="1:6" x14ac:dyDescent="0.35">
      <c r="A1399" s="2">
        <f ca="1">IFERROR(__xludf.DUMMYFUNCTION("""COMPUTED_VALUE"""),44034.6666666666)</f>
        <v>44034.666666666599</v>
      </c>
      <c r="B1399" s="1">
        <f ca="1">IFERROR(__xludf.DUMMYFUNCTION("""COMPUTED_VALUE"""),209.2)</f>
        <v>209.2</v>
      </c>
      <c r="C1399" s="1">
        <f ca="1">IFERROR(__xludf.DUMMYFUNCTION("""COMPUTED_VALUE"""),212.3)</f>
        <v>212.3</v>
      </c>
      <c r="D1399" s="1">
        <f ca="1">IFERROR(__xludf.DUMMYFUNCTION("""COMPUTED_VALUE"""),208.39)</f>
        <v>208.39</v>
      </c>
      <c r="E1399" s="1">
        <f ca="1">IFERROR(__xludf.DUMMYFUNCTION("""COMPUTED_VALUE"""),211.75)</f>
        <v>211.75</v>
      </c>
      <c r="F1399" s="1">
        <f ca="1">IFERROR(__xludf.DUMMYFUNCTION("""COMPUTED_VALUE"""),49605692)</f>
        <v>49605692</v>
      </c>
    </row>
    <row r="1400" spans="1:6" x14ac:dyDescent="0.35">
      <c r="A1400" s="2">
        <f ca="1">IFERROR(__xludf.DUMMYFUNCTION("""COMPUTED_VALUE"""),44035.6666666666)</f>
        <v>44035.666666666599</v>
      </c>
      <c r="B1400" s="1">
        <f ca="1">IFERROR(__xludf.DUMMYFUNCTION("""COMPUTED_VALUE"""),207.19)</f>
        <v>207.19</v>
      </c>
      <c r="C1400" s="1">
        <f ca="1">IFERROR(__xludf.DUMMYFUNCTION("""COMPUTED_VALUE"""),210.92)</f>
        <v>210.92</v>
      </c>
      <c r="D1400" s="1">
        <f ca="1">IFERROR(__xludf.DUMMYFUNCTION("""COMPUTED_VALUE"""),202.15)</f>
        <v>202.15</v>
      </c>
      <c r="E1400" s="1">
        <f ca="1">IFERROR(__xludf.DUMMYFUNCTION("""COMPUTED_VALUE"""),202.54)</f>
        <v>202.54</v>
      </c>
      <c r="F1400" s="1">
        <f ca="1">IFERROR(__xludf.DUMMYFUNCTION("""COMPUTED_VALUE"""),67457035)</f>
        <v>67457035</v>
      </c>
    </row>
    <row r="1401" spans="1:6" x14ac:dyDescent="0.35">
      <c r="A1401" s="2">
        <f ca="1">IFERROR(__xludf.DUMMYFUNCTION("""COMPUTED_VALUE"""),44036.6666666666)</f>
        <v>44036.666666666599</v>
      </c>
      <c r="B1401" s="1">
        <f ca="1">IFERROR(__xludf.DUMMYFUNCTION("""COMPUTED_VALUE"""),200.42)</f>
        <v>200.42</v>
      </c>
      <c r="C1401" s="1">
        <f ca="1">IFERROR(__xludf.DUMMYFUNCTION("""COMPUTED_VALUE"""),202.86)</f>
        <v>202.86</v>
      </c>
      <c r="D1401" s="1">
        <f ca="1">IFERROR(__xludf.DUMMYFUNCTION("""COMPUTED_VALUE"""),197.51)</f>
        <v>197.51</v>
      </c>
      <c r="E1401" s="1">
        <f ca="1">IFERROR(__xludf.DUMMYFUNCTION("""COMPUTED_VALUE"""),201.3)</f>
        <v>201.3</v>
      </c>
      <c r="F1401" s="1">
        <f ca="1">IFERROR(__xludf.DUMMYFUNCTION("""COMPUTED_VALUE"""),39826989)</f>
        <v>39826989</v>
      </c>
    </row>
    <row r="1402" spans="1:6" x14ac:dyDescent="0.35">
      <c r="A1402" s="2">
        <f ca="1">IFERROR(__xludf.DUMMYFUNCTION("""COMPUTED_VALUE"""),44039.6666666666)</f>
        <v>44039.666666666599</v>
      </c>
      <c r="B1402" s="1">
        <f ca="1">IFERROR(__xludf.DUMMYFUNCTION("""COMPUTED_VALUE"""),201.47)</f>
        <v>201.47</v>
      </c>
      <c r="C1402" s="1">
        <f ca="1">IFERROR(__xludf.DUMMYFUNCTION("""COMPUTED_VALUE"""),203.97)</f>
        <v>203.97</v>
      </c>
      <c r="D1402" s="1">
        <f ca="1">IFERROR(__xludf.DUMMYFUNCTION("""COMPUTED_VALUE"""),200.86)</f>
        <v>200.86</v>
      </c>
      <c r="E1402" s="1">
        <f ca="1">IFERROR(__xludf.DUMMYFUNCTION("""COMPUTED_VALUE"""),203.85)</f>
        <v>203.85</v>
      </c>
      <c r="F1402" s="1">
        <f ca="1">IFERROR(__xludf.DUMMYFUNCTION("""COMPUTED_VALUE"""),30160867)</f>
        <v>30160867</v>
      </c>
    </row>
    <row r="1403" spans="1:6" x14ac:dyDescent="0.35">
      <c r="A1403" s="2">
        <f ca="1">IFERROR(__xludf.DUMMYFUNCTION("""COMPUTED_VALUE"""),44040.6666666666)</f>
        <v>44040.666666666599</v>
      </c>
      <c r="B1403" s="1">
        <f ca="1">IFERROR(__xludf.DUMMYFUNCTION("""COMPUTED_VALUE"""),203.61)</f>
        <v>203.61</v>
      </c>
      <c r="C1403" s="1">
        <f ca="1">IFERROR(__xludf.DUMMYFUNCTION("""COMPUTED_VALUE"""),204.7)</f>
        <v>204.7</v>
      </c>
      <c r="D1403" s="1">
        <f ca="1">IFERROR(__xludf.DUMMYFUNCTION("""COMPUTED_VALUE"""),201.74)</f>
        <v>201.74</v>
      </c>
      <c r="E1403" s="1">
        <f ca="1">IFERROR(__xludf.DUMMYFUNCTION("""COMPUTED_VALUE"""),202.02)</f>
        <v>202.02</v>
      </c>
      <c r="F1403" s="1">
        <f ca="1">IFERROR(__xludf.DUMMYFUNCTION("""COMPUTED_VALUE"""),23251388)</f>
        <v>23251388</v>
      </c>
    </row>
    <row r="1404" spans="1:6" x14ac:dyDescent="0.35">
      <c r="A1404" s="2">
        <f ca="1">IFERROR(__xludf.DUMMYFUNCTION("""COMPUTED_VALUE"""),44041.6666666666)</f>
        <v>44041.666666666599</v>
      </c>
      <c r="B1404" s="1">
        <f ca="1">IFERROR(__xludf.DUMMYFUNCTION("""COMPUTED_VALUE"""),202.5)</f>
        <v>202.5</v>
      </c>
      <c r="C1404" s="1">
        <f ca="1">IFERROR(__xludf.DUMMYFUNCTION("""COMPUTED_VALUE"""),204.65)</f>
        <v>204.65</v>
      </c>
      <c r="D1404" s="1">
        <f ca="1">IFERROR(__xludf.DUMMYFUNCTION("""COMPUTED_VALUE"""),202.01)</f>
        <v>202.01</v>
      </c>
      <c r="E1404" s="1">
        <f ca="1">IFERROR(__xludf.DUMMYFUNCTION("""COMPUTED_VALUE"""),204.06)</f>
        <v>204.06</v>
      </c>
      <c r="F1404" s="1">
        <f ca="1">IFERROR(__xludf.DUMMYFUNCTION("""COMPUTED_VALUE"""),19632602)</f>
        <v>19632602</v>
      </c>
    </row>
    <row r="1405" spans="1:6" x14ac:dyDescent="0.35">
      <c r="A1405" s="2">
        <f ca="1">IFERROR(__xludf.DUMMYFUNCTION("""COMPUTED_VALUE"""),44042.6666666666)</f>
        <v>44042.666666666599</v>
      </c>
      <c r="B1405" s="1">
        <f ca="1">IFERROR(__xludf.DUMMYFUNCTION("""COMPUTED_VALUE"""),201)</f>
        <v>201</v>
      </c>
      <c r="C1405" s="1">
        <f ca="1">IFERROR(__xludf.DUMMYFUNCTION("""COMPUTED_VALUE"""),204.46)</f>
        <v>204.46</v>
      </c>
      <c r="D1405" s="1">
        <f ca="1">IFERROR(__xludf.DUMMYFUNCTION("""COMPUTED_VALUE"""),199.57)</f>
        <v>199.57</v>
      </c>
      <c r="E1405" s="1">
        <f ca="1">IFERROR(__xludf.DUMMYFUNCTION("""COMPUTED_VALUE"""),203.9)</f>
        <v>203.9</v>
      </c>
      <c r="F1405" s="1">
        <f ca="1">IFERROR(__xludf.DUMMYFUNCTION("""COMPUTED_VALUE"""),25079596)</f>
        <v>25079596</v>
      </c>
    </row>
    <row r="1406" spans="1:6" x14ac:dyDescent="0.35">
      <c r="A1406" s="2">
        <f ca="1">IFERROR(__xludf.DUMMYFUNCTION("""COMPUTED_VALUE"""),44043.6666666666)</f>
        <v>44043.666666666599</v>
      </c>
      <c r="B1406" s="1">
        <f ca="1">IFERROR(__xludf.DUMMYFUNCTION("""COMPUTED_VALUE"""),204.4)</f>
        <v>204.4</v>
      </c>
      <c r="C1406" s="1">
        <f ca="1">IFERROR(__xludf.DUMMYFUNCTION("""COMPUTED_VALUE"""),205.1)</f>
        <v>205.1</v>
      </c>
      <c r="D1406" s="1">
        <f ca="1">IFERROR(__xludf.DUMMYFUNCTION("""COMPUTED_VALUE"""),199.01)</f>
        <v>199.01</v>
      </c>
      <c r="E1406" s="1">
        <f ca="1">IFERROR(__xludf.DUMMYFUNCTION("""COMPUTED_VALUE"""),205.01)</f>
        <v>205.01</v>
      </c>
      <c r="F1406" s="1">
        <f ca="1">IFERROR(__xludf.DUMMYFUNCTION("""COMPUTED_VALUE"""),51247969)</f>
        <v>51247969</v>
      </c>
    </row>
    <row r="1407" spans="1:6" x14ac:dyDescent="0.35">
      <c r="A1407" s="2">
        <f ca="1">IFERROR(__xludf.DUMMYFUNCTION("""COMPUTED_VALUE"""),44046.6666666666)</f>
        <v>44046.666666666599</v>
      </c>
      <c r="B1407" s="1">
        <f ca="1">IFERROR(__xludf.DUMMYFUNCTION("""COMPUTED_VALUE"""),211.52)</f>
        <v>211.52</v>
      </c>
      <c r="C1407" s="1">
        <f ca="1">IFERROR(__xludf.DUMMYFUNCTION("""COMPUTED_VALUE"""),217.64)</f>
        <v>217.64</v>
      </c>
      <c r="D1407" s="1">
        <f ca="1">IFERROR(__xludf.DUMMYFUNCTION("""COMPUTED_VALUE"""),210.44)</f>
        <v>210.44</v>
      </c>
      <c r="E1407" s="1">
        <f ca="1">IFERROR(__xludf.DUMMYFUNCTION("""COMPUTED_VALUE"""),216.54)</f>
        <v>216.54</v>
      </c>
      <c r="F1407" s="1">
        <f ca="1">IFERROR(__xludf.DUMMYFUNCTION("""COMPUTED_VALUE"""),78983009)</f>
        <v>78983009</v>
      </c>
    </row>
    <row r="1408" spans="1:6" x14ac:dyDescent="0.35">
      <c r="A1408" s="2">
        <f ca="1">IFERROR(__xludf.DUMMYFUNCTION("""COMPUTED_VALUE"""),44047.6666666666)</f>
        <v>44047.666666666599</v>
      </c>
      <c r="B1408" s="1">
        <f ca="1">IFERROR(__xludf.DUMMYFUNCTION("""COMPUTED_VALUE"""),214.17)</f>
        <v>214.17</v>
      </c>
      <c r="C1408" s="1">
        <f ca="1">IFERROR(__xludf.DUMMYFUNCTION("""COMPUTED_VALUE"""),214.77)</f>
        <v>214.77</v>
      </c>
      <c r="D1408" s="1">
        <f ca="1">IFERROR(__xludf.DUMMYFUNCTION("""COMPUTED_VALUE"""),210.31)</f>
        <v>210.31</v>
      </c>
      <c r="E1408" s="1">
        <f ca="1">IFERROR(__xludf.DUMMYFUNCTION("""COMPUTED_VALUE"""),213.29)</f>
        <v>213.29</v>
      </c>
      <c r="F1408" s="1">
        <f ca="1">IFERROR(__xludf.DUMMYFUNCTION("""COMPUTED_VALUE"""),49280056)</f>
        <v>49280056</v>
      </c>
    </row>
    <row r="1409" spans="1:6" x14ac:dyDescent="0.35">
      <c r="A1409" s="2">
        <f ca="1">IFERROR(__xludf.DUMMYFUNCTION("""COMPUTED_VALUE"""),44048.6666666666)</f>
        <v>44048.666666666599</v>
      </c>
      <c r="B1409" s="1">
        <f ca="1">IFERROR(__xludf.DUMMYFUNCTION("""COMPUTED_VALUE"""),214.9)</f>
        <v>214.9</v>
      </c>
      <c r="C1409" s="1">
        <f ca="1">IFERROR(__xludf.DUMMYFUNCTION("""COMPUTED_VALUE"""),215)</f>
        <v>215</v>
      </c>
      <c r="D1409" s="1">
        <f ca="1">IFERROR(__xludf.DUMMYFUNCTION("""COMPUTED_VALUE"""),211.57)</f>
        <v>211.57</v>
      </c>
      <c r="E1409" s="1">
        <f ca="1">IFERROR(__xludf.DUMMYFUNCTION("""COMPUTED_VALUE"""),212.94)</f>
        <v>212.94</v>
      </c>
      <c r="F1409" s="1">
        <f ca="1">IFERROR(__xludf.DUMMYFUNCTION("""COMPUTED_VALUE"""),28858621)</f>
        <v>28858621</v>
      </c>
    </row>
    <row r="1410" spans="1:6" x14ac:dyDescent="0.35">
      <c r="A1410" s="2">
        <f ca="1">IFERROR(__xludf.DUMMYFUNCTION("""COMPUTED_VALUE"""),44049.6666666666)</f>
        <v>44049.666666666599</v>
      </c>
      <c r="B1410" s="1">
        <f ca="1">IFERROR(__xludf.DUMMYFUNCTION("""COMPUTED_VALUE"""),212.34)</f>
        <v>212.34</v>
      </c>
      <c r="C1410" s="1">
        <f ca="1">IFERROR(__xludf.DUMMYFUNCTION("""COMPUTED_VALUE"""),216.37)</f>
        <v>216.37</v>
      </c>
      <c r="D1410" s="1">
        <f ca="1">IFERROR(__xludf.DUMMYFUNCTION("""COMPUTED_VALUE"""),211.55)</f>
        <v>211.55</v>
      </c>
      <c r="E1410" s="1">
        <f ca="1">IFERROR(__xludf.DUMMYFUNCTION("""COMPUTED_VALUE"""),216.35)</f>
        <v>216.35</v>
      </c>
      <c r="F1410" s="1">
        <f ca="1">IFERROR(__xludf.DUMMYFUNCTION("""COMPUTED_VALUE"""),32656843)</f>
        <v>32656843</v>
      </c>
    </row>
    <row r="1411" spans="1:6" x14ac:dyDescent="0.35">
      <c r="A1411" s="2">
        <f ca="1">IFERROR(__xludf.DUMMYFUNCTION("""COMPUTED_VALUE"""),44050.6666666666)</f>
        <v>44050.666666666599</v>
      </c>
      <c r="B1411" s="1">
        <f ca="1">IFERROR(__xludf.DUMMYFUNCTION("""COMPUTED_VALUE"""),214.85)</f>
        <v>214.85</v>
      </c>
      <c r="C1411" s="1">
        <f ca="1">IFERROR(__xludf.DUMMYFUNCTION("""COMPUTED_VALUE"""),215.7)</f>
        <v>215.7</v>
      </c>
      <c r="D1411" s="1">
        <f ca="1">IFERROR(__xludf.DUMMYFUNCTION("""COMPUTED_VALUE"""),210.93)</f>
        <v>210.93</v>
      </c>
      <c r="E1411" s="1">
        <f ca="1">IFERROR(__xludf.DUMMYFUNCTION("""COMPUTED_VALUE"""),212.48)</f>
        <v>212.48</v>
      </c>
      <c r="F1411" s="1">
        <f ca="1">IFERROR(__xludf.DUMMYFUNCTION("""COMPUTED_VALUE"""),27820421)</f>
        <v>27820421</v>
      </c>
    </row>
    <row r="1412" spans="1:6" x14ac:dyDescent="0.35">
      <c r="A1412" s="2">
        <f ca="1">IFERROR(__xludf.DUMMYFUNCTION("""COMPUTED_VALUE"""),44053.6666666666)</f>
        <v>44053.666666666599</v>
      </c>
      <c r="B1412" s="1">
        <f ca="1">IFERROR(__xludf.DUMMYFUNCTION("""COMPUTED_VALUE"""),211.67)</f>
        <v>211.67</v>
      </c>
      <c r="C1412" s="1">
        <f ca="1">IFERROR(__xludf.DUMMYFUNCTION("""COMPUTED_VALUE"""),211.88)</f>
        <v>211.88</v>
      </c>
      <c r="D1412" s="1">
        <f ca="1">IFERROR(__xludf.DUMMYFUNCTION("""COMPUTED_VALUE"""),206.35)</f>
        <v>206.35</v>
      </c>
      <c r="E1412" s="1">
        <f ca="1">IFERROR(__xludf.DUMMYFUNCTION("""COMPUTED_VALUE"""),208.25)</f>
        <v>208.25</v>
      </c>
      <c r="F1412" s="1">
        <f ca="1">IFERROR(__xludf.DUMMYFUNCTION("""COMPUTED_VALUE"""),36716462)</f>
        <v>36716462</v>
      </c>
    </row>
    <row r="1413" spans="1:6" x14ac:dyDescent="0.35">
      <c r="A1413" s="2">
        <f ca="1">IFERROR(__xludf.DUMMYFUNCTION("""COMPUTED_VALUE"""),44054.6666666666)</f>
        <v>44054.666666666599</v>
      </c>
      <c r="B1413" s="1">
        <f ca="1">IFERROR(__xludf.DUMMYFUNCTION("""COMPUTED_VALUE"""),207.16)</f>
        <v>207.16</v>
      </c>
      <c r="C1413" s="1">
        <f ca="1">IFERROR(__xludf.DUMMYFUNCTION("""COMPUTED_VALUE"""),207.65)</f>
        <v>207.65</v>
      </c>
      <c r="D1413" s="1">
        <f ca="1">IFERROR(__xludf.DUMMYFUNCTION("""COMPUTED_VALUE"""),203.14)</f>
        <v>203.14</v>
      </c>
      <c r="E1413" s="1">
        <f ca="1">IFERROR(__xludf.DUMMYFUNCTION("""COMPUTED_VALUE"""),203.38)</f>
        <v>203.38</v>
      </c>
      <c r="F1413" s="1">
        <f ca="1">IFERROR(__xludf.DUMMYFUNCTION("""COMPUTED_VALUE"""),36446459)</f>
        <v>36446459</v>
      </c>
    </row>
    <row r="1414" spans="1:6" x14ac:dyDescent="0.35">
      <c r="A1414" s="2">
        <f ca="1">IFERROR(__xludf.DUMMYFUNCTION("""COMPUTED_VALUE"""),44055.6666666666)</f>
        <v>44055.666666666599</v>
      </c>
      <c r="B1414" s="1">
        <f ca="1">IFERROR(__xludf.DUMMYFUNCTION("""COMPUTED_VALUE"""),205.29)</f>
        <v>205.29</v>
      </c>
      <c r="C1414" s="1">
        <f ca="1">IFERROR(__xludf.DUMMYFUNCTION("""COMPUTED_VALUE"""),210.28)</f>
        <v>210.28</v>
      </c>
      <c r="D1414" s="1">
        <f ca="1">IFERROR(__xludf.DUMMYFUNCTION("""COMPUTED_VALUE"""),204.75)</f>
        <v>204.75</v>
      </c>
      <c r="E1414" s="1">
        <f ca="1">IFERROR(__xludf.DUMMYFUNCTION("""COMPUTED_VALUE"""),209.19)</f>
        <v>209.19</v>
      </c>
      <c r="F1414" s="1">
        <f ca="1">IFERROR(__xludf.DUMMYFUNCTION("""COMPUTED_VALUE"""),28041364)</f>
        <v>28041364</v>
      </c>
    </row>
    <row r="1415" spans="1:6" x14ac:dyDescent="0.35">
      <c r="A1415" s="2">
        <f ca="1">IFERROR(__xludf.DUMMYFUNCTION("""COMPUTED_VALUE"""),44056.6666666666)</f>
        <v>44056.666666666599</v>
      </c>
      <c r="B1415" s="1">
        <f ca="1">IFERROR(__xludf.DUMMYFUNCTION("""COMPUTED_VALUE"""),209.44)</f>
        <v>209.44</v>
      </c>
      <c r="C1415" s="1">
        <f ca="1">IFERROR(__xludf.DUMMYFUNCTION("""COMPUTED_VALUE"""),211.35)</f>
        <v>211.35</v>
      </c>
      <c r="D1415" s="1">
        <f ca="1">IFERROR(__xludf.DUMMYFUNCTION("""COMPUTED_VALUE"""),208.15)</f>
        <v>208.15</v>
      </c>
      <c r="E1415" s="1">
        <f ca="1">IFERROR(__xludf.DUMMYFUNCTION("""COMPUTED_VALUE"""),208.7)</f>
        <v>208.7</v>
      </c>
      <c r="F1415" s="1">
        <f ca="1">IFERROR(__xludf.DUMMYFUNCTION("""COMPUTED_VALUE"""),22588870)</f>
        <v>22588870</v>
      </c>
    </row>
    <row r="1416" spans="1:6" x14ac:dyDescent="0.35">
      <c r="A1416" s="2">
        <f ca="1">IFERROR(__xludf.DUMMYFUNCTION("""COMPUTED_VALUE"""),44057.6666666666)</f>
        <v>44057.666666666599</v>
      </c>
      <c r="B1416" s="1">
        <f ca="1">IFERROR(__xludf.DUMMYFUNCTION("""COMPUTED_VALUE"""),208.76)</f>
        <v>208.76</v>
      </c>
      <c r="C1416" s="1">
        <f ca="1">IFERROR(__xludf.DUMMYFUNCTION("""COMPUTED_VALUE"""),209.59)</f>
        <v>209.59</v>
      </c>
      <c r="D1416" s="1">
        <f ca="1">IFERROR(__xludf.DUMMYFUNCTION("""COMPUTED_VALUE"""),207.51)</f>
        <v>207.51</v>
      </c>
      <c r="E1416" s="1">
        <f ca="1">IFERROR(__xludf.DUMMYFUNCTION("""COMPUTED_VALUE"""),208.9)</f>
        <v>208.9</v>
      </c>
      <c r="F1416" s="1">
        <f ca="1">IFERROR(__xludf.DUMMYFUNCTION("""COMPUTED_VALUE"""),17958936)</f>
        <v>17958936</v>
      </c>
    </row>
    <row r="1417" spans="1:6" x14ac:dyDescent="0.35">
      <c r="A1417" s="2">
        <f ca="1">IFERROR(__xludf.DUMMYFUNCTION("""COMPUTED_VALUE"""),44060.6666666666)</f>
        <v>44060.666666666599</v>
      </c>
      <c r="B1417" s="1">
        <f ca="1">IFERROR(__xludf.DUMMYFUNCTION("""COMPUTED_VALUE"""),209.6)</f>
        <v>209.6</v>
      </c>
      <c r="C1417" s="1">
        <f ca="1">IFERROR(__xludf.DUMMYFUNCTION("""COMPUTED_VALUE"""),211.19)</f>
        <v>211.19</v>
      </c>
      <c r="D1417" s="1">
        <f ca="1">IFERROR(__xludf.DUMMYFUNCTION("""COMPUTED_VALUE"""),208.92)</f>
        <v>208.92</v>
      </c>
      <c r="E1417" s="1">
        <f ca="1">IFERROR(__xludf.DUMMYFUNCTION("""COMPUTED_VALUE"""),210.28)</f>
        <v>210.28</v>
      </c>
      <c r="F1417" s="1">
        <f ca="1">IFERROR(__xludf.DUMMYFUNCTION("""COMPUTED_VALUE"""),20184757)</f>
        <v>20184757</v>
      </c>
    </row>
    <row r="1418" spans="1:6" x14ac:dyDescent="0.35">
      <c r="A1418" s="2">
        <f ca="1">IFERROR(__xludf.DUMMYFUNCTION("""COMPUTED_VALUE"""),44061.6666666666)</f>
        <v>44061.666666666599</v>
      </c>
      <c r="B1418" s="1">
        <f ca="1">IFERROR(__xludf.DUMMYFUNCTION("""COMPUTED_VALUE"""),210.53)</f>
        <v>210.53</v>
      </c>
      <c r="C1418" s="1">
        <f ca="1">IFERROR(__xludf.DUMMYFUNCTION("""COMPUTED_VALUE"""),212.36)</f>
        <v>212.36</v>
      </c>
      <c r="D1418" s="1">
        <f ca="1">IFERROR(__xludf.DUMMYFUNCTION("""COMPUTED_VALUE"""),209.21)</f>
        <v>209.21</v>
      </c>
      <c r="E1418" s="1">
        <f ca="1">IFERROR(__xludf.DUMMYFUNCTION("""COMPUTED_VALUE"""),211.49)</f>
        <v>211.49</v>
      </c>
      <c r="F1418" s="1">
        <f ca="1">IFERROR(__xludf.DUMMYFUNCTION("""COMPUTED_VALUE"""),21336167)</f>
        <v>21336167</v>
      </c>
    </row>
    <row r="1419" spans="1:6" x14ac:dyDescent="0.35">
      <c r="A1419" s="2">
        <f ca="1">IFERROR(__xludf.DUMMYFUNCTION("""COMPUTED_VALUE"""),44062.6666666666)</f>
        <v>44062.666666666599</v>
      </c>
      <c r="B1419" s="1">
        <f ca="1">IFERROR(__xludf.DUMMYFUNCTION("""COMPUTED_VALUE"""),211.49)</f>
        <v>211.49</v>
      </c>
      <c r="C1419" s="1">
        <f ca="1">IFERROR(__xludf.DUMMYFUNCTION("""COMPUTED_VALUE"""),212.1)</f>
        <v>212.1</v>
      </c>
      <c r="D1419" s="1">
        <f ca="1">IFERROR(__xludf.DUMMYFUNCTION("""COMPUTED_VALUE"""),209.25)</f>
        <v>209.25</v>
      </c>
      <c r="E1419" s="1">
        <f ca="1">IFERROR(__xludf.DUMMYFUNCTION("""COMPUTED_VALUE"""),209.7)</f>
        <v>209.7</v>
      </c>
      <c r="F1419" s="1">
        <f ca="1">IFERROR(__xludf.DUMMYFUNCTION("""COMPUTED_VALUE"""),27627561)</f>
        <v>27627561</v>
      </c>
    </row>
    <row r="1420" spans="1:6" x14ac:dyDescent="0.35">
      <c r="A1420" s="2">
        <f ca="1">IFERROR(__xludf.DUMMYFUNCTION("""COMPUTED_VALUE"""),44063.6666666666)</f>
        <v>44063.666666666599</v>
      </c>
      <c r="B1420" s="1">
        <f ca="1">IFERROR(__xludf.DUMMYFUNCTION("""COMPUTED_VALUE"""),209.54)</f>
        <v>209.54</v>
      </c>
      <c r="C1420" s="1">
        <f ca="1">IFERROR(__xludf.DUMMYFUNCTION("""COMPUTED_VALUE"""),215)</f>
        <v>215</v>
      </c>
      <c r="D1420" s="1">
        <f ca="1">IFERROR(__xludf.DUMMYFUNCTION("""COMPUTED_VALUE"""),208.91)</f>
        <v>208.91</v>
      </c>
      <c r="E1420" s="1">
        <f ca="1">IFERROR(__xludf.DUMMYFUNCTION("""COMPUTED_VALUE"""),214.58)</f>
        <v>214.58</v>
      </c>
      <c r="F1420" s="1">
        <f ca="1">IFERROR(__xludf.DUMMYFUNCTION("""COMPUTED_VALUE"""),26981478)</f>
        <v>26981478</v>
      </c>
    </row>
    <row r="1421" spans="1:6" x14ac:dyDescent="0.35">
      <c r="A1421" s="2">
        <f ca="1">IFERROR(__xludf.DUMMYFUNCTION("""COMPUTED_VALUE"""),44064.6666666666)</f>
        <v>44064.666666666599</v>
      </c>
      <c r="B1421" s="1">
        <f ca="1">IFERROR(__xludf.DUMMYFUNCTION("""COMPUTED_VALUE"""),213.86)</f>
        <v>213.86</v>
      </c>
      <c r="C1421" s="1">
        <f ca="1">IFERROR(__xludf.DUMMYFUNCTION("""COMPUTED_VALUE"""),216.25)</f>
        <v>216.25</v>
      </c>
      <c r="D1421" s="1">
        <f ca="1">IFERROR(__xludf.DUMMYFUNCTION("""COMPUTED_VALUE"""),212.85)</f>
        <v>212.85</v>
      </c>
      <c r="E1421" s="1">
        <f ca="1">IFERROR(__xludf.DUMMYFUNCTION("""COMPUTED_VALUE"""),213.02)</f>
        <v>213.02</v>
      </c>
      <c r="F1421" s="1">
        <f ca="1">IFERROR(__xludf.DUMMYFUNCTION("""COMPUTED_VALUE"""),36249319)</f>
        <v>36249319</v>
      </c>
    </row>
    <row r="1422" spans="1:6" x14ac:dyDescent="0.35">
      <c r="A1422" s="2">
        <f ca="1">IFERROR(__xludf.DUMMYFUNCTION("""COMPUTED_VALUE"""),44067.6666666666)</f>
        <v>44067.666666666599</v>
      </c>
      <c r="B1422" s="1">
        <f ca="1">IFERROR(__xludf.DUMMYFUNCTION("""COMPUTED_VALUE"""),214.79)</f>
        <v>214.79</v>
      </c>
      <c r="C1422" s="1">
        <f ca="1">IFERROR(__xludf.DUMMYFUNCTION("""COMPUTED_VALUE"""),215.52)</f>
        <v>215.52</v>
      </c>
      <c r="D1422" s="1">
        <f ca="1">IFERROR(__xludf.DUMMYFUNCTION("""COMPUTED_VALUE"""),212.43)</f>
        <v>212.43</v>
      </c>
      <c r="E1422" s="1">
        <f ca="1">IFERROR(__xludf.DUMMYFUNCTION("""COMPUTED_VALUE"""),213.69)</f>
        <v>213.69</v>
      </c>
      <c r="F1422" s="1">
        <f ca="1">IFERROR(__xludf.DUMMYFUNCTION("""COMPUTED_VALUE"""),25460147)</f>
        <v>25460147</v>
      </c>
    </row>
    <row r="1423" spans="1:6" x14ac:dyDescent="0.35">
      <c r="A1423" s="2">
        <f ca="1">IFERROR(__xludf.DUMMYFUNCTION("""COMPUTED_VALUE"""),44068.6666666666)</f>
        <v>44068.666666666599</v>
      </c>
      <c r="B1423" s="1">
        <f ca="1">IFERROR(__xludf.DUMMYFUNCTION("""COMPUTED_VALUE"""),213.1)</f>
        <v>213.1</v>
      </c>
      <c r="C1423" s="1">
        <f ca="1">IFERROR(__xludf.DUMMYFUNCTION("""COMPUTED_VALUE"""),216.61)</f>
        <v>216.61</v>
      </c>
      <c r="D1423" s="1">
        <f ca="1">IFERROR(__xludf.DUMMYFUNCTION("""COMPUTED_VALUE"""),213.1)</f>
        <v>213.1</v>
      </c>
      <c r="E1423" s="1">
        <f ca="1">IFERROR(__xludf.DUMMYFUNCTION("""COMPUTED_VALUE"""),216.47)</f>
        <v>216.47</v>
      </c>
      <c r="F1423" s="1">
        <f ca="1">IFERROR(__xludf.DUMMYFUNCTION("""COMPUTED_VALUE"""),23043696)</f>
        <v>23043696</v>
      </c>
    </row>
    <row r="1424" spans="1:6" x14ac:dyDescent="0.35">
      <c r="A1424" s="2">
        <f ca="1">IFERROR(__xludf.DUMMYFUNCTION("""COMPUTED_VALUE"""),44069.6666666666)</f>
        <v>44069.666666666599</v>
      </c>
      <c r="B1424" s="1">
        <f ca="1">IFERROR(__xludf.DUMMYFUNCTION("""COMPUTED_VALUE"""),217.88)</f>
        <v>217.88</v>
      </c>
      <c r="C1424" s="1">
        <f ca="1">IFERROR(__xludf.DUMMYFUNCTION("""COMPUTED_VALUE"""),222.09)</f>
        <v>222.09</v>
      </c>
      <c r="D1424" s="1">
        <f ca="1">IFERROR(__xludf.DUMMYFUNCTION("""COMPUTED_VALUE"""),217.36)</f>
        <v>217.36</v>
      </c>
      <c r="E1424" s="1">
        <f ca="1">IFERROR(__xludf.DUMMYFUNCTION("""COMPUTED_VALUE"""),221.15)</f>
        <v>221.15</v>
      </c>
      <c r="F1424" s="1">
        <f ca="1">IFERROR(__xludf.DUMMYFUNCTION("""COMPUTED_VALUE"""),39600828)</f>
        <v>39600828</v>
      </c>
    </row>
    <row r="1425" spans="1:6" x14ac:dyDescent="0.35">
      <c r="A1425" s="2">
        <f ca="1">IFERROR(__xludf.DUMMYFUNCTION("""COMPUTED_VALUE"""),44070.6666666666)</f>
        <v>44070.666666666599</v>
      </c>
      <c r="B1425" s="1">
        <f ca="1">IFERROR(__xludf.DUMMYFUNCTION("""COMPUTED_VALUE"""),222.89)</f>
        <v>222.89</v>
      </c>
      <c r="C1425" s="1">
        <f ca="1">IFERROR(__xludf.DUMMYFUNCTION("""COMPUTED_VALUE"""),231.15)</f>
        <v>231.15</v>
      </c>
      <c r="D1425" s="1">
        <f ca="1">IFERROR(__xludf.DUMMYFUNCTION("""COMPUTED_VALUE"""),219.4)</f>
        <v>219.4</v>
      </c>
      <c r="E1425" s="1">
        <f ca="1">IFERROR(__xludf.DUMMYFUNCTION("""COMPUTED_VALUE"""),226.58)</f>
        <v>226.58</v>
      </c>
      <c r="F1425" s="1">
        <f ca="1">IFERROR(__xludf.DUMMYFUNCTION("""COMPUTED_VALUE"""),57602195)</f>
        <v>57602195</v>
      </c>
    </row>
    <row r="1426" spans="1:6" x14ac:dyDescent="0.35">
      <c r="A1426" s="2">
        <f ca="1">IFERROR(__xludf.DUMMYFUNCTION("""COMPUTED_VALUE"""),44071.6666666666)</f>
        <v>44071.666666666599</v>
      </c>
      <c r="B1426" s="1">
        <f ca="1">IFERROR(__xludf.DUMMYFUNCTION("""COMPUTED_VALUE"""),228.18)</f>
        <v>228.18</v>
      </c>
      <c r="C1426" s="1">
        <f ca="1">IFERROR(__xludf.DUMMYFUNCTION("""COMPUTED_VALUE"""),230.64)</f>
        <v>230.64</v>
      </c>
      <c r="D1426" s="1">
        <f ca="1">IFERROR(__xludf.DUMMYFUNCTION("""COMPUTED_VALUE"""),226.58)</f>
        <v>226.58</v>
      </c>
      <c r="E1426" s="1">
        <f ca="1">IFERROR(__xludf.DUMMYFUNCTION("""COMPUTED_VALUE"""),228.91)</f>
        <v>228.91</v>
      </c>
      <c r="F1426" s="1">
        <f ca="1">IFERROR(__xludf.DUMMYFUNCTION("""COMPUTED_VALUE"""),26292896)</f>
        <v>26292896</v>
      </c>
    </row>
    <row r="1427" spans="1:6" x14ac:dyDescent="0.35">
      <c r="A1427" s="2">
        <f ca="1">IFERROR(__xludf.DUMMYFUNCTION("""COMPUTED_VALUE"""),44074.6666666666)</f>
        <v>44074.666666666599</v>
      </c>
      <c r="B1427" s="1">
        <f ca="1">IFERROR(__xludf.DUMMYFUNCTION("""COMPUTED_VALUE"""),227)</f>
        <v>227</v>
      </c>
      <c r="C1427" s="1">
        <f ca="1">IFERROR(__xludf.DUMMYFUNCTION("""COMPUTED_VALUE"""),228.7)</f>
        <v>228.7</v>
      </c>
      <c r="D1427" s="1">
        <f ca="1">IFERROR(__xludf.DUMMYFUNCTION("""COMPUTED_VALUE"""),224.31)</f>
        <v>224.31</v>
      </c>
      <c r="E1427" s="1">
        <f ca="1">IFERROR(__xludf.DUMMYFUNCTION("""COMPUTED_VALUE"""),225.53)</f>
        <v>225.53</v>
      </c>
      <c r="F1427" s="1">
        <f ca="1">IFERROR(__xludf.DUMMYFUNCTION("""COMPUTED_VALUE"""),28774156)</f>
        <v>28774156</v>
      </c>
    </row>
    <row r="1428" spans="1:6" x14ac:dyDescent="0.35">
      <c r="A1428" s="2">
        <f ca="1">IFERROR(__xludf.DUMMYFUNCTION("""COMPUTED_VALUE"""),44075.6666666666)</f>
        <v>44075.666666666599</v>
      </c>
      <c r="B1428" s="1">
        <f ca="1">IFERROR(__xludf.DUMMYFUNCTION("""COMPUTED_VALUE"""),225.51)</f>
        <v>225.51</v>
      </c>
      <c r="C1428" s="1">
        <f ca="1">IFERROR(__xludf.DUMMYFUNCTION("""COMPUTED_VALUE"""),227.45)</f>
        <v>227.45</v>
      </c>
      <c r="D1428" s="1">
        <f ca="1">IFERROR(__xludf.DUMMYFUNCTION("""COMPUTED_VALUE"""),224.43)</f>
        <v>224.43</v>
      </c>
      <c r="E1428" s="1">
        <f ca="1">IFERROR(__xludf.DUMMYFUNCTION("""COMPUTED_VALUE"""),227.27)</f>
        <v>227.27</v>
      </c>
      <c r="F1428" s="1">
        <f ca="1">IFERROR(__xludf.DUMMYFUNCTION("""COMPUTED_VALUE"""),25791235)</f>
        <v>25791235</v>
      </c>
    </row>
    <row r="1429" spans="1:6" x14ac:dyDescent="0.35">
      <c r="A1429" s="2">
        <f ca="1">IFERROR(__xludf.DUMMYFUNCTION("""COMPUTED_VALUE"""),44076.6666666666)</f>
        <v>44076.666666666599</v>
      </c>
      <c r="B1429" s="1">
        <f ca="1">IFERROR(__xludf.DUMMYFUNCTION("""COMPUTED_VALUE"""),227.97)</f>
        <v>227.97</v>
      </c>
      <c r="C1429" s="1">
        <f ca="1">IFERROR(__xludf.DUMMYFUNCTION("""COMPUTED_VALUE"""),232.86)</f>
        <v>232.86</v>
      </c>
      <c r="D1429" s="1">
        <f ca="1">IFERROR(__xludf.DUMMYFUNCTION("""COMPUTED_VALUE"""),227.35)</f>
        <v>227.35</v>
      </c>
      <c r="E1429" s="1">
        <f ca="1">IFERROR(__xludf.DUMMYFUNCTION("""COMPUTED_VALUE"""),231.65)</f>
        <v>231.65</v>
      </c>
      <c r="F1429" s="1">
        <f ca="1">IFERROR(__xludf.DUMMYFUNCTION("""COMPUTED_VALUE"""),34080839)</f>
        <v>34080839</v>
      </c>
    </row>
    <row r="1430" spans="1:6" x14ac:dyDescent="0.35">
      <c r="A1430" s="2">
        <f ca="1">IFERROR(__xludf.DUMMYFUNCTION("""COMPUTED_VALUE"""),44077.6666666666)</f>
        <v>44077.666666666599</v>
      </c>
      <c r="B1430" s="1">
        <f ca="1">IFERROR(__xludf.DUMMYFUNCTION("""COMPUTED_VALUE"""),229.27)</f>
        <v>229.27</v>
      </c>
      <c r="C1430" s="1">
        <f ca="1">IFERROR(__xludf.DUMMYFUNCTION("""COMPUTED_VALUE"""),229.31)</f>
        <v>229.31</v>
      </c>
      <c r="D1430" s="1">
        <f ca="1">IFERROR(__xludf.DUMMYFUNCTION("""COMPUTED_VALUE"""),214.96)</f>
        <v>214.96</v>
      </c>
      <c r="E1430" s="1">
        <f ca="1">IFERROR(__xludf.DUMMYFUNCTION("""COMPUTED_VALUE"""),217.3)</f>
        <v>217.3</v>
      </c>
      <c r="F1430" s="1">
        <f ca="1">IFERROR(__xludf.DUMMYFUNCTION("""COMPUTED_VALUE"""),58400288)</f>
        <v>58400288</v>
      </c>
    </row>
    <row r="1431" spans="1:6" x14ac:dyDescent="0.35">
      <c r="A1431" s="2">
        <f ca="1">IFERROR(__xludf.DUMMYFUNCTION("""COMPUTED_VALUE"""),44078.6666666666)</f>
        <v>44078.666666666599</v>
      </c>
      <c r="B1431" s="1">
        <f ca="1">IFERROR(__xludf.DUMMYFUNCTION("""COMPUTED_VALUE"""),215.1)</f>
        <v>215.1</v>
      </c>
      <c r="C1431" s="1">
        <f ca="1">IFERROR(__xludf.DUMMYFUNCTION("""COMPUTED_VALUE"""),218.36)</f>
        <v>218.36</v>
      </c>
      <c r="D1431" s="1">
        <f ca="1">IFERROR(__xludf.DUMMYFUNCTION("""COMPUTED_VALUE"""),205.19)</f>
        <v>205.19</v>
      </c>
      <c r="E1431" s="1">
        <f ca="1">IFERROR(__xludf.DUMMYFUNCTION("""COMPUTED_VALUE"""),214.25)</f>
        <v>214.25</v>
      </c>
      <c r="F1431" s="1">
        <f ca="1">IFERROR(__xludf.DUMMYFUNCTION("""COMPUTED_VALUE"""),59664072)</f>
        <v>59664072</v>
      </c>
    </row>
    <row r="1432" spans="1:6" x14ac:dyDescent="0.35">
      <c r="A1432" s="2">
        <f ca="1">IFERROR(__xludf.DUMMYFUNCTION("""COMPUTED_VALUE"""),44082.6666666666)</f>
        <v>44082.666666666599</v>
      </c>
      <c r="B1432" s="1">
        <f ca="1">IFERROR(__xludf.DUMMYFUNCTION("""COMPUTED_VALUE"""),206.5)</f>
        <v>206.5</v>
      </c>
      <c r="C1432" s="1">
        <f ca="1">IFERROR(__xludf.DUMMYFUNCTION("""COMPUTED_VALUE"""),210.03)</f>
        <v>210.03</v>
      </c>
      <c r="D1432" s="1">
        <f ca="1">IFERROR(__xludf.DUMMYFUNCTION("""COMPUTED_VALUE"""),202.2)</f>
        <v>202.2</v>
      </c>
      <c r="E1432" s="1">
        <f ca="1">IFERROR(__xludf.DUMMYFUNCTION("""COMPUTED_VALUE"""),202.66)</f>
        <v>202.66</v>
      </c>
      <c r="F1432" s="1">
        <f ca="1">IFERROR(__xludf.DUMMYFUNCTION("""COMPUTED_VALUE"""),52924330)</f>
        <v>52924330</v>
      </c>
    </row>
    <row r="1433" spans="1:6" x14ac:dyDescent="0.35">
      <c r="A1433" s="2">
        <f ca="1">IFERROR(__xludf.DUMMYFUNCTION("""COMPUTED_VALUE"""),44083.6666666666)</f>
        <v>44083.666666666599</v>
      </c>
      <c r="B1433" s="1">
        <f ca="1">IFERROR(__xludf.DUMMYFUNCTION("""COMPUTED_VALUE"""),207.6)</f>
        <v>207.6</v>
      </c>
      <c r="C1433" s="1">
        <f ca="1">IFERROR(__xludf.DUMMYFUNCTION("""COMPUTED_VALUE"""),214.84)</f>
        <v>214.84</v>
      </c>
      <c r="D1433" s="1">
        <f ca="1">IFERROR(__xludf.DUMMYFUNCTION("""COMPUTED_VALUE"""),206.7)</f>
        <v>206.7</v>
      </c>
      <c r="E1433" s="1">
        <f ca="1">IFERROR(__xludf.DUMMYFUNCTION("""COMPUTED_VALUE"""),211.29)</f>
        <v>211.29</v>
      </c>
      <c r="F1433" s="1">
        <f ca="1">IFERROR(__xludf.DUMMYFUNCTION("""COMPUTED_VALUE"""),45678986)</f>
        <v>45678986</v>
      </c>
    </row>
    <row r="1434" spans="1:6" x14ac:dyDescent="0.35">
      <c r="A1434" s="2">
        <f ca="1">IFERROR(__xludf.DUMMYFUNCTION("""COMPUTED_VALUE"""),44084.6666666666)</f>
        <v>44084.666666666599</v>
      </c>
      <c r="B1434" s="1">
        <f ca="1">IFERROR(__xludf.DUMMYFUNCTION("""COMPUTED_VALUE"""),213.4)</f>
        <v>213.4</v>
      </c>
      <c r="C1434" s="1">
        <f ca="1">IFERROR(__xludf.DUMMYFUNCTION("""COMPUTED_VALUE"""),214.74)</f>
        <v>214.74</v>
      </c>
      <c r="D1434" s="1">
        <f ca="1">IFERROR(__xludf.DUMMYFUNCTION("""COMPUTED_VALUE"""),204.11)</f>
        <v>204.11</v>
      </c>
      <c r="E1434" s="1">
        <f ca="1">IFERROR(__xludf.DUMMYFUNCTION("""COMPUTED_VALUE"""),205.37)</f>
        <v>205.37</v>
      </c>
      <c r="F1434" s="1">
        <f ca="1">IFERROR(__xludf.DUMMYFUNCTION("""COMPUTED_VALUE"""),35461514)</f>
        <v>35461514</v>
      </c>
    </row>
    <row r="1435" spans="1:6" x14ac:dyDescent="0.35">
      <c r="A1435" s="2">
        <f ca="1">IFERROR(__xludf.DUMMYFUNCTION("""COMPUTED_VALUE"""),44085.6666666666)</f>
        <v>44085.666666666599</v>
      </c>
      <c r="B1435" s="1">
        <f ca="1">IFERROR(__xludf.DUMMYFUNCTION("""COMPUTED_VALUE"""),207.2)</f>
        <v>207.2</v>
      </c>
      <c r="C1435" s="1">
        <f ca="1">IFERROR(__xludf.DUMMYFUNCTION("""COMPUTED_VALUE"""),208.63)</f>
        <v>208.63</v>
      </c>
      <c r="D1435" s="1">
        <f ca="1">IFERROR(__xludf.DUMMYFUNCTION("""COMPUTED_VALUE"""),201.24)</f>
        <v>201.24</v>
      </c>
      <c r="E1435" s="1">
        <f ca="1">IFERROR(__xludf.DUMMYFUNCTION("""COMPUTED_VALUE"""),204.03)</f>
        <v>204.03</v>
      </c>
      <c r="F1435" s="1">
        <f ca="1">IFERROR(__xludf.DUMMYFUNCTION("""COMPUTED_VALUE"""),33620073)</f>
        <v>33620073</v>
      </c>
    </row>
    <row r="1436" spans="1:6" x14ac:dyDescent="0.35">
      <c r="A1436" s="2">
        <f ca="1">IFERROR(__xludf.DUMMYFUNCTION("""COMPUTED_VALUE"""),44088.6666666666)</f>
        <v>44088.666666666599</v>
      </c>
      <c r="B1436" s="1">
        <f ca="1">IFERROR(__xludf.DUMMYFUNCTION("""COMPUTED_VALUE"""),204.24)</f>
        <v>204.24</v>
      </c>
      <c r="C1436" s="1">
        <f ca="1">IFERROR(__xludf.DUMMYFUNCTION("""COMPUTED_VALUE"""),209.2)</f>
        <v>209.2</v>
      </c>
      <c r="D1436" s="1">
        <f ca="1">IFERROR(__xludf.DUMMYFUNCTION("""COMPUTED_VALUE"""),204.03)</f>
        <v>204.03</v>
      </c>
      <c r="E1436" s="1">
        <f ca="1">IFERROR(__xludf.DUMMYFUNCTION("""COMPUTED_VALUE"""),205.41)</f>
        <v>205.41</v>
      </c>
      <c r="F1436" s="1">
        <f ca="1">IFERROR(__xludf.DUMMYFUNCTION("""COMPUTED_VALUE"""),30375768)</f>
        <v>30375768</v>
      </c>
    </row>
    <row r="1437" spans="1:6" x14ac:dyDescent="0.35">
      <c r="A1437" s="2">
        <f ca="1">IFERROR(__xludf.DUMMYFUNCTION("""COMPUTED_VALUE"""),44089.6666666666)</f>
        <v>44089.666666666599</v>
      </c>
      <c r="B1437" s="1">
        <f ca="1">IFERROR(__xludf.DUMMYFUNCTION("""COMPUTED_VALUE"""),208.42)</f>
        <v>208.42</v>
      </c>
      <c r="C1437" s="1">
        <f ca="1">IFERROR(__xludf.DUMMYFUNCTION("""COMPUTED_VALUE"""),209.78)</f>
        <v>209.78</v>
      </c>
      <c r="D1437" s="1">
        <f ca="1">IFERROR(__xludf.DUMMYFUNCTION("""COMPUTED_VALUE"""),206.93)</f>
        <v>206.93</v>
      </c>
      <c r="E1437" s="1">
        <f ca="1">IFERROR(__xludf.DUMMYFUNCTION("""COMPUTED_VALUE"""),208.78)</f>
        <v>208.78</v>
      </c>
      <c r="F1437" s="1">
        <f ca="1">IFERROR(__xludf.DUMMYFUNCTION("""COMPUTED_VALUE"""),21823942)</f>
        <v>21823942</v>
      </c>
    </row>
    <row r="1438" spans="1:6" x14ac:dyDescent="0.35">
      <c r="A1438" s="2">
        <f ca="1">IFERROR(__xludf.DUMMYFUNCTION("""COMPUTED_VALUE"""),44090.6666666666)</f>
        <v>44090.666666666599</v>
      </c>
      <c r="B1438" s="1">
        <f ca="1">IFERROR(__xludf.DUMMYFUNCTION("""COMPUTED_VALUE"""),210.62)</f>
        <v>210.62</v>
      </c>
      <c r="C1438" s="1">
        <f ca="1">IFERROR(__xludf.DUMMYFUNCTION("""COMPUTED_VALUE"""),210.65)</f>
        <v>210.65</v>
      </c>
      <c r="D1438" s="1">
        <f ca="1">IFERROR(__xludf.DUMMYFUNCTION("""COMPUTED_VALUE"""),204.64)</f>
        <v>204.64</v>
      </c>
      <c r="E1438" s="1">
        <f ca="1">IFERROR(__xludf.DUMMYFUNCTION("""COMPUTED_VALUE"""),205.05)</f>
        <v>205.05</v>
      </c>
      <c r="F1438" s="1">
        <f ca="1">IFERROR(__xludf.DUMMYFUNCTION("""COMPUTED_VALUE"""),26372464)</f>
        <v>26372464</v>
      </c>
    </row>
    <row r="1439" spans="1:6" x14ac:dyDescent="0.35">
      <c r="A1439" s="2">
        <f ca="1">IFERROR(__xludf.DUMMYFUNCTION("""COMPUTED_VALUE"""),44091.6666666666)</f>
        <v>44091.666666666599</v>
      </c>
      <c r="B1439" s="1">
        <f ca="1">IFERROR(__xludf.DUMMYFUNCTION("""COMPUTED_VALUE"""),200.05)</f>
        <v>200.05</v>
      </c>
      <c r="C1439" s="1">
        <f ca="1">IFERROR(__xludf.DUMMYFUNCTION("""COMPUTED_VALUE"""),204.33)</f>
        <v>204.33</v>
      </c>
      <c r="D1439" s="1">
        <f ca="1">IFERROR(__xludf.DUMMYFUNCTION("""COMPUTED_VALUE"""),199.96)</f>
        <v>199.96</v>
      </c>
      <c r="E1439" s="1">
        <f ca="1">IFERROR(__xludf.DUMMYFUNCTION("""COMPUTED_VALUE"""),202.91)</f>
        <v>202.91</v>
      </c>
      <c r="F1439" s="1">
        <f ca="1">IFERROR(__xludf.DUMMYFUNCTION("""COMPUTED_VALUE"""),34011257)</f>
        <v>34011257</v>
      </c>
    </row>
    <row r="1440" spans="1:6" x14ac:dyDescent="0.35">
      <c r="A1440" s="2">
        <f ca="1">IFERROR(__xludf.DUMMYFUNCTION("""COMPUTED_VALUE"""),44092.6666666666)</f>
        <v>44092.666666666599</v>
      </c>
      <c r="B1440" s="1">
        <f ca="1">IFERROR(__xludf.DUMMYFUNCTION("""COMPUTED_VALUE"""),202.8)</f>
        <v>202.8</v>
      </c>
      <c r="C1440" s="1">
        <f ca="1">IFERROR(__xludf.DUMMYFUNCTION("""COMPUTED_VALUE"""),203.65)</f>
        <v>203.65</v>
      </c>
      <c r="D1440" s="1">
        <f ca="1">IFERROR(__xludf.DUMMYFUNCTION("""COMPUTED_VALUE"""),196.25)</f>
        <v>196.25</v>
      </c>
      <c r="E1440" s="1">
        <f ca="1">IFERROR(__xludf.DUMMYFUNCTION("""COMPUTED_VALUE"""),200.39)</f>
        <v>200.39</v>
      </c>
      <c r="F1440" s="1">
        <f ca="1">IFERROR(__xludf.DUMMYFUNCTION("""COMPUTED_VALUE"""),55225326)</f>
        <v>55225326</v>
      </c>
    </row>
    <row r="1441" spans="1:6" x14ac:dyDescent="0.35">
      <c r="A1441" s="2">
        <f ca="1">IFERROR(__xludf.DUMMYFUNCTION("""COMPUTED_VALUE"""),44095.6666666666)</f>
        <v>44095.666666666599</v>
      </c>
      <c r="B1441" s="1">
        <f ca="1">IFERROR(__xludf.DUMMYFUNCTION("""COMPUTED_VALUE"""),197.19)</f>
        <v>197.19</v>
      </c>
      <c r="C1441" s="1">
        <f ca="1">IFERROR(__xludf.DUMMYFUNCTION("""COMPUTED_VALUE"""),202.71)</f>
        <v>202.71</v>
      </c>
      <c r="D1441" s="1">
        <f ca="1">IFERROR(__xludf.DUMMYFUNCTION("""COMPUTED_VALUE"""),196.38)</f>
        <v>196.38</v>
      </c>
      <c r="E1441" s="1">
        <f ca="1">IFERROR(__xludf.DUMMYFUNCTION("""COMPUTED_VALUE"""),202.54)</f>
        <v>202.54</v>
      </c>
      <c r="F1441" s="1">
        <f ca="1">IFERROR(__xludf.DUMMYFUNCTION("""COMPUTED_VALUE"""),39839657)</f>
        <v>39839657</v>
      </c>
    </row>
    <row r="1442" spans="1:6" x14ac:dyDescent="0.35">
      <c r="A1442" s="2">
        <f ca="1">IFERROR(__xludf.DUMMYFUNCTION("""COMPUTED_VALUE"""),44096.6666666666)</f>
        <v>44096.666666666599</v>
      </c>
      <c r="B1442" s="1">
        <f ca="1">IFERROR(__xludf.DUMMYFUNCTION("""COMPUTED_VALUE"""),205.06)</f>
        <v>205.06</v>
      </c>
      <c r="C1442" s="1">
        <f ca="1">IFERROR(__xludf.DUMMYFUNCTION("""COMPUTED_VALUE"""),208.1)</f>
        <v>208.1</v>
      </c>
      <c r="D1442" s="1">
        <f ca="1">IFERROR(__xludf.DUMMYFUNCTION("""COMPUTED_VALUE"""),202.08)</f>
        <v>202.08</v>
      </c>
      <c r="E1442" s="1">
        <f ca="1">IFERROR(__xludf.DUMMYFUNCTION("""COMPUTED_VALUE"""),207.42)</f>
        <v>207.42</v>
      </c>
      <c r="F1442" s="1">
        <f ca="1">IFERROR(__xludf.DUMMYFUNCTION("""COMPUTED_VALUE"""),33517065)</f>
        <v>33517065</v>
      </c>
    </row>
    <row r="1443" spans="1:6" x14ac:dyDescent="0.35">
      <c r="A1443" s="2">
        <f ca="1">IFERROR(__xludf.DUMMYFUNCTION("""COMPUTED_VALUE"""),44097.6666666666)</f>
        <v>44097.666666666599</v>
      </c>
      <c r="B1443" s="1">
        <f ca="1">IFERROR(__xludf.DUMMYFUNCTION("""COMPUTED_VALUE"""),207.9)</f>
        <v>207.9</v>
      </c>
      <c r="C1443" s="1">
        <f ca="1">IFERROR(__xludf.DUMMYFUNCTION("""COMPUTED_VALUE"""),208.1)</f>
        <v>208.1</v>
      </c>
      <c r="D1443" s="1">
        <f ca="1">IFERROR(__xludf.DUMMYFUNCTION("""COMPUTED_VALUE"""),200.03)</f>
        <v>200.03</v>
      </c>
      <c r="E1443" s="1">
        <f ca="1">IFERROR(__xludf.DUMMYFUNCTION("""COMPUTED_VALUE"""),200.59)</f>
        <v>200.59</v>
      </c>
      <c r="F1443" s="1">
        <f ca="1">IFERROR(__xludf.DUMMYFUNCTION("""COMPUTED_VALUE"""),30803780)</f>
        <v>30803780</v>
      </c>
    </row>
    <row r="1444" spans="1:6" x14ac:dyDescent="0.35">
      <c r="A1444" s="2">
        <f ca="1">IFERROR(__xludf.DUMMYFUNCTION("""COMPUTED_VALUE"""),44098.6666666666)</f>
        <v>44098.666666666599</v>
      </c>
      <c r="B1444" s="1">
        <f ca="1">IFERROR(__xludf.DUMMYFUNCTION("""COMPUTED_VALUE"""),199.85)</f>
        <v>199.85</v>
      </c>
      <c r="C1444" s="1">
        <f ca="1">IFERROR(__xludf.DUMMYFUNCTION("""COMPUTED_VALUE"""),205.57)</f>
        <v>205.57</v>
      </c>
      <c r="D1444" s="1">
        <f ca="1">IFERROR(__xludf.DUMMYFUNCTION("""COMPUTED_VALUE"""),199.2)</f>
        <v>199.2</v>
      </c>
      <c r="E1444" s="1">
        <f ca="1">IFERROR(__xludf.DUMMYFUNCTION("""COMPUTED_VALUE"""),203.19)</f>
        <v>203.19</v>
      </c>
      <c r="F1444" s="1">
        <f ca="1">IFERROR(__xludf.DUMMYFUNCTION("""COMPUTED_VALUE"""),31202493)</f>
        <v>31202493</v>
      </c>
    </row>
    <row r="1445" spans="1:6" x14ac:dyDescent="0.35">
      <c r="A1445" s="2">
        <f ca="1">IFERROR(__xludf.DUMMYFUNCTION("""COMPUTED_VALUE"""),44099.6666666666)</f>
        <v>44099.666666666599</v>
      </c>
      <c r="B1445" s="1">
        <f ca="1">IFERROR(__xludf.DUMMYFUNCTION("""COMPUTED_VALUE"""),203.55)</f>
        <v>203.55</v>
      </c>
      <c r="C1445" s="1">
        <f ca="1">IFERROR(__xludf.DUMMYFUNCTION("""COMPUTED_VALUE"""),209.04)</f>
        <v>209.04</v>
      </c>
      <c r="D1445" s="1">
        <f ca="1">IFERROR(__xludf.DUMMYFUNCTION("""COMPUTED_VALUE"""),202.54)</f>
        <v>202.54</v>
      </c>
      <c r="E1445" s="1">
        <f ca="1">IFERROR(__xludf.DUMMYFUNCTION("""COMPUTED_VALUE"""),207.82)</f>
        <v>207.82</v>
      </c>
      <c r="F1445" s="1">
        <f ca="1">IFERROR(__xludf.DUMMYFUNCTION("""COMPUTED_VALUE"""),29437312)</f>
        <v>29437312</v>
      </c>
    </row>
    <row r="1446" spans="1:6" x14ac:dyDescent="0.35">
      <c r="A1446" s="2">
        <f ca="1">IFERROR(__xludf.DUMMYFUNCTION("""COMPUTED_VALUE"""),44102.6666666666)</f>
        <v>44102.666666666599</v>
      </c>
      <c r="B1446" s="1">
        <f ca="1">IFERROR(__xludf.DUMMYFUNCTION("""COMPUTED_VALUE"""),210.88)</f>
        <v>210.88</v>
      </c>
      <c r="C1446" s="1">
        <f ca="1">IFERROR(__xludf.DUMMYFUNCTION("""COMPUTED_VALUE"""),212.57)</f>
        <v>212.57</v>
      </c>
      <c r="D1446" s="1">
        <f ca="1">IFERROR(__xludf.DUMMYFUNCTION("""COMPUTED_VALUE"""),208.06)</f>
        <v>208.06</v>
      </c>
      <c r="E1446" s="1">
        <f ca="1">IFERROR(__xludf.DUMMYFUNCTION("""COMPUTED_VALUE"""),209.44)</f>
        <v>209.44</v>
      </c>
      <c r="F1446" s="1">
        <f ca="1">IFERROR(__xludf.DUMMYFUNCTION("""COMPUTED_VALUE"""),32004936)</f>
        <v>32004936</v>
      </c>
    </row>
    <row r="1447" spans="1:6" x14ac:dyDescent="0.35">
      <c r="A1447" s="2">
        <f ca="1">IFERROR(__xludf.DUMMYFUNCTION("""COMPUTED_VALUE"""),44103.6666666666)</f>
        <v>44103.666666666599</v>
      </c>
      <c r="B1447" s="1">
        <f ca="1">IFERROR(__xludf.DUMMYFUNCTION("""COMPUTED_VALUE"""),209.35)</f>
        <v>209.35</v>
      </c>
      <c r="C1447" s="1">
        <f ca="1">IFERROR(__xludf.DUMMYFUNCTION("""COMPUTED_VALUE"""),210.07)</f>
        <v>210.07</v>
      </c>
      <c r="D1447" s="1">
        <f ca="1">IFERROR(__xludf.DUMMYFUNCTION("""COMPUTED_VALUE"""),206.81)</f>
        <v>206.81</v>
      </c>
      <c r="E1447" s="1">
        <f ca="1">IFERROR(__xludf.DUMMYFUNCTION("""COMPUTED_VALUE"""),207.26)</f>
        <v>207.26</v>
      </c>
      <c r="F1447" s="1">
        <f ca="1">IFERROR(__xludf.DUMMYFUNCTION("""COMPUTED_VALUE"""),24464472)</f>
        <v>24464472</v>
      </c>
    </row>
    <row r="1448" spans="1:6" x14ac:dyDescent="0.35">
      <c r="A1448" s="2">
        <f ca="1">IFERROR(__xludf.DUMMYFUNCTION("""COMPUTED_VALUE"""),44104.6666666666)</f>
        <v>44104.666666666599</v>
      </c>
      <c r="B1448" s="1">
        <f ca="1">IFERROR(__xludf.DUMMYFUNCTION("""COMPUTED_VALUE"""),207.73)</f>
        <v>207.73</v>
      </c>
      <c r="C1448" s="1">
        <f ca="1">IFERROR(__xludf.DUMMYFUNCTION("""COMPUTED_VALUE"""),211.98)</f>
        <v>211.98</v>
      </c>
      <c r="D1448" s="1">
        <f ca="1">IFERROR(__xludf.DUMMYFUNCTION("""COMPUTED_VALUE"""),206.54)</f>
        <v>206.54</v>
      </c>
      <c r="E1448" s="1">
        <f ca="1">IFERROR(__xludf.DUMMYFUNCTION("""COMPUTED_VALUE"""),210.33)</f>
        <v>210.33</v>
      </c>
      <c r="F1448" s="1">
        <f ca="1">IFERROR(__xludf.DUMMYFUNCTION("""COMPUTED_VALUE"""),33829088)</f>
        <v>33829088</v>
      </c>
    </row>
    <row r="1449" spans="1:6" x14ac:dyDescent="0.35">
      <c r="A1449" s="2">
        <f ca="1">IFERROR(__xludf.DUMMYFUNCTION("""COMPUTED_VALUE"""),44105.6666666666)</f>
        <v>44105.666666666599</v>
      </c>
      <c r="B1449" s="1">
        <f ca="1">IFERROR(__xludf.DUMMYFUNCTION("""COMPUTED_VALUE"""),213.49)</f>
        <v>213.49</v>
      </c>
      <c r="C1449" s="1">
        <f ca="1">IFERROR(__xludf.DUMMYFUNCTION("""COMPUTED_VALUE"""),213.99)</f>
        <v>213.99</v>
      </c>
      <c r="D1449" s="1">
        <f ca="1">IFERROR(__xludf.DUMMYFUNCTION("""COMPUTED_VALUE"""),211.32)</f>
        <v>211.32</v>
      </c>
      <c r="E1449" s="1">
        <f ca="1">IFERROR(__xludf.DUMMYFUNCTION("""COMPUTED_VALUE"""),212.46)</f>
        <v>212.46</v>
      </c>
      <c r="F1449" s="1">
        <f ca="1">IFERROR(__xludf.DUMMYFUNCTION("""COMPUTED_VALUE"""),27158418)</f>
        <v>27158418</v>
      </c>
    </row>
    <row r="1450" spans="1:6" x14ac:dyDescent="0.35">
      <c r="A1450" s="2">
        <f ca="1">IFERROR(__xludf.DUMMYFUNCTION("""COMPUTED_VALUE"""),44106.6666666666)</f>
        <v>44106.666666666599</v>
      </c>
      <c r="B1450" s="1">
        <f ca="1">IFERROR(__xludf.DUMMYFUNCTION("""COMPUTED_VALUE"""),208)</f>
        <v>208</v>
      </c>
      <c r="C1450" s="1">
        <f ca="1">IFERROR(__xludf.DUMMYFUNCTION("""COMPUTED_VALUE"""),210.99)</f>
        <v>210.99</v>
      </c>
      <c r="D1450" s="1">
        <f ca="1">IFERROR(__xludf.DUMMYFUNCTION("""COMPUTED_VALUE"""),205.54)</f>
        <v>205.54</v>
      </c>
      <c r="E1450" s="1">
        <f ca="1">IFERROR(__xludf.DUMMYFUNCTION("""COMPUTED_VALUE"""),206.19)</f>
        <v>206.19</v>
      </c>
      <c r="F1450" s="1">
        <f ca="1">IFERROR(__xludf.DUMMYFUNCTION("""COMPUTED_VALUE"""),33154781)</f>
        <v>33154781</v>
      </c>
    </row>
    <row r="1451" spans="1:6" x14ac:dyDescent="0.35">
      <c r="A1451" s="2">
        <f ca="1">IFERROR(__xludf.DUMMYFUNCTION("""COMPUTED_VALUE"""),44109.6666666666)</f>
        <v>44109.666666666599</v>
      </c>
      <c r="B1451" s="1">
        <f ca="1">IFERROR(__xludf.DUMMYFUNCTION("""COMPUTED_VALUE"""),207.22)</f>
        <v>207.22</v>
      </c>
      <c r="C1451" s="1">
        <f ca="1">IFERROR(__xludf.DUMMYFUNCTION("""COMPUTED_VALUE"""),210.41)</f>
        <v>210.41</v>
      </c>
      <c r="D1451" s="1">
        <f ca="1">IFERROR(__xludf.DUMMYFUNCTION("""COMPUTED_VALUE"""),206.98)</f>
        <v>206.98</v>
      </c>
      <c r="E1451" s="1">
        <f ca="1">IFERROR(__xludf.DUMMYFUNCTION("""COMPUTED_VALUE"""),210.38)</f>
        <v>210.38</v>
      </c>
      <c r="F1451" s="1">
        <f ca="1">IFERROR(__xludf.DUMMYFUNCTION("""COMPUTED_VALUE"""),21331561)</f>
        <v>21331561</v>
      </c>
    </row>
    <row r="1452" spans="1:6" x14ac:dyDescent="0.35">
      <c r="A1452" s="2">
        <f ca="1">IFERROR(__xludf.DUMMYFUNCTION("""COMPUTED_VALUE"""),44110.6666666666)</f>
        <v>44110.666666666599</v>
      </c>
      <c r="B1452" s="1">
        <f ca="1">IFERROR(__xludf.DUMMYFUNCTION("""COMPUTED_VALUE"""),208.82)</f>
        <v>208.82</v>
      </c>
      <c r="C1452" s="1">
        <f ca="1">IFERROR(__xludf.DUMMYFUNCTION("""COMPUTED_VALUE"""),210.18)</f>
        <v>210.18</v>
      </c>
      <c r="D1452" s="1">
        <f ca="1">IFERROR(__xludf.DUMMYFUNCTION("""COMPUTED_VALUE"""),204.82)</f>
        <v>204.82</v>
      </c>
      <c r="E1452" s="1">
        <f ca="1">IFERROR(__xludf.DUMMYFUNCTION("""COMPUTED_VALUE"""),205.91)</f>
        <v>205.91</v>
      </c>
      <c r="F1452" s="1">
        <f ca="1">IFERROR(__xludf.DUMMYFUNCTION("""COMPUTED_VALUE"""),28554261)</f>
        <v>28554261</v>
      </c>
    </row>
    <row r="1453" spans="1:6" x14ac:dyDescent="0.35">
      <c r="A1453" s="2">
        <f ca="1">IFERROR(__xludf.DUMMYFUNCTION("""COMPUTED_VALUE"""),44111.6666666666)</f>
        <v>44111.666666666599</v>
      </c>
      <c r="B1453" s="1">
        <f ca="1">IFERROR(__xludf.DUMMYFUNCTION("""COMPUTED_VALUE"""),207.06)</f>
        <v>207.06</v>
      </c>
      <c r="C1453" s="1">
        <f ca="1">IFERROR(__xludf.DUMMYFUNCTION("""COMPUTED_VALUE"""),210.11)</f>
        <v>210.11</v>
      </c>
      <c r="D1453" s="1">
        <f ca="1">IFERROR(__xludf.DUMMYFUNCTION("""COMPUTED_VALUE"""),206.72)</f>
        <v>206.72</v>
      </c>
      <c r="E1453" s="1">
        <f ca="1">IFERROR(__xludf.DUMMYFUNCTION("""COMPUTED_VALUE"""),209.83)</f>
        <v>209.83</v>
      </c>
      <c r="F1453" s="1">
        <f ca="1">IFERROR(__xludf.DUMMYFUNCTION("""COMPUTED_VALUE"""),25681054)</f>
        <v>25681054</v>
      </c>
    </row>
    <row r="1454" spans="1:6" x14ac:dyDescent="0.35">
      <c r="A1454" s="2">
        <f ca="1">IFERROR(__xludf.DUMMYFUNCTION("""COMPUTED_VALUE"""),44112.6666666666)</f>
        <v>44112.666666666599</v>
      </c>
      <c r="B1454" s="1">
        <f ca="1">IFERROR(__xludf.DUMMYFUNCTION("""COMPUTED_VALUE"""),210.51)</f>
        <v>210.51</v>
      </c>
      <c r="C1454" s="1">
        <f ca="1">IFERROR(__xludf.DUMMYFUNCTION("""COMPUTED_VALUE"""),211.19)</f>
        <v>211.19</v>
      </c>
      <c r="D1454" s="1">
        <f ca="1">IFERROR(__xludf.DUMMYFUNCTION("""COMPUTED_VALUE"""),208.32)</f>
        <v>208.32</v>
      </c>
      <c r="E1454" s="1">
        <f ca="1">IFERROR(__xludf.DUMMYFUNCTION("""COMPUTED_VALUE"""),210.58)</f>
        <v>210.58</v>
      </c>
      <c r="F1454" s="1">
        <f ca="1">IFERROR(__xludf.DUMMYFUNCTION("""COMPUTED_VALUE"""),19925837)</f>
        <v>19925837</v>
      </c>
    </row>
    <row r="1455" spans="1:6" x14ac:dyDescent="0.35">
      <c r="A1455" s="2">
        <f ca="1">IFERROR(__xludf.DUMMYFUNCTION("""COMPUTED_VALUE"""),44113.6666666666)</f>
        <v>44113.666666666599</v>
      </c>
      <c r="B1455" s="1">
        <f ca="1">IFERROR(__xludf.DUMMYFUNCTION("""COMPUTED_VALUE"""),211.23)</f>
        <v>211.23</v>
      </c>
      <c r="C1455" s="1">
        <f ca="1">IFERROR(__xludf.DUMMYFUNCTION("""COMPUTED_VALUE"""),215.86)</f>
        <v>215.86</v>
      </c>
      <c r="D1455" s="1">
        <f ca="1">IFERROR(__xludf.DUMMYFUNCTION("""COMPUTED_VALUE"""),211.23)</f>
        <v>211.23</v>
      </c>
      <c r="E1455" s="1">
        <f ca="1">IFERROR(__xludf.DUMMYFUNCTION("""COMPUTED_VALUE"""),215.81)</f>
        <v>215.81</v>
      </c>
      <c r="F1455" s="1">
        <f ca="1">IFERROR(__xludf.DUMMYFUNCTION("""COMPUTED_VALUE"""),26458047)</f>
        <v>26458047</v>
      </c>
    </row>
    <row r="1456" spans="1:6" x14ac:dyDescent="0.35">
      <c r="A1456" s="2">
        <f ca="1">IFERROR(__xludf.DUMMYFUNCTION("""COMPUTED_VALUE"""),44116.6666666666)</f>
        <v>44116.666666666599</v>
      </c>
      <c r="B1456" s="1">
        <f ca="1">IFERROR(__xludf.DUMMYFUNCTION("""COMPUTED_VALUE"""),218.79)</f>
        <v>218.79</v>
      </c>
      <c r="C1456" s="1">
        <f ca="1">IFERROR(__xludf.DUMMYFUNCTION("""COMPUTED_VALUE"""),223.86)</f>
        <v>223.86</v>
      </c>
      <c r="D1456" s="1">
        <f ca="1">IFERROR(__xludf.DUMMYFUNCTION("""COMPUTED_VALUE"""),216.81)</f>
        <v>216.81</v>
      </c>
      <c r="E1456" s="1">
        <f ca="1">IFERROR(__xludf.DUMMYFUNCTION("""COMPUTED_VALUE"""),221.4)</f>
        <v>221.4</v>
      </c>
      <c r="F1456" s="1">
        <f ca="1">IFERROR(__xludf.DUMMYFUNCTION("""COMPUTED_VALUE"""),40461368)</f>
        <v>40461368</v>
      </c>
    </row>
    <row r="1457" spans="1:6" x14ac:dyDescent="0.35">
      <c r="A1457" s="2">
        <f ca="1">IFERROR(__xludf.DUMMYFUNCTION("""COMPUTED_VALUE"""),44117.6666666666)</f>
        <v>44117.666666666599</v>
      </c>
      <c r="B1457" s="1">
        <f ca="1">IFERROR(__xludf.DUMMYFUNCTION("""COMPUTED_VALUE"""),222.72)</f>
        <v>222.72</v>
      </c>
      <c r="C1457" s="1">
        <f ca="1">IFERROR(__xludf.DUMMYFUNCTION("""COMPUTED_VALUE"""),225.21)</f>
        <v>225.21</v>
      </c>
      <c r="D1457" s="1">
        <f ca="1">IFERROR(__xludf.DUMMYFUNCTION("""COMPUTED_VALUE"""),220.43)</f>
        <v>220.43</v>
      </c>
      <c r="E1457" s="1">
        <f ca="1">IFERROR(__xludf.DUMMYFUNCTION("""COMPUTED_VALUE"""),222.86)</f>
        <v>222.86</v>
      </c>
      <c r="F1457" s="1">
        <f ca="1">IFERROR(__xludf.DUMMYFUNCTION("""COMPUTED_VALUE"""),28950843)</f>
        <v>28950843</v>
      </c>
    </row>
    <row r="1458" spans="1:6" x14ac:dyDescent="0.35">
      <c r="A1458" s="2">
        <f ca="1">IFERROR(__xludf.DUMMYFUNCTION("""COMPUTED_VALUE"""),44118.6666666666)</f>
        <v>44118.666666666599</v>
      </c>
      <c r="B1458" s="1">
        <f ca="1">IFERROR(__xludf.DUMMYFUNCTION("""COMPUTED_VALUE"""),223)</f>
        <v>223</v>
      </c>
      <c r="C1458" s="1">
        <f ca="1">IFERROR(__xludf.DUMMYFUNCTION("""COMPUTED_VALUE"""),224.22)</f>
        <v>224.22</v>
      </c>
      <c r="D1458" s="1">
        <f ca="1">IFERROR(__xludf.DUMMYFUNCTION("""COMPUTED_VALUE"""),219.13)</f>
        <v>219.13</v>
      </c>
      <c r="E1458" s="1">
        <f ca="1">IFERROR(__xludf.DUMMYFUNCTION("""COMPUTED_VALUE"""),220.86)</f>
        <v>220.86</v>
      </c>
      <c r="F1458" s="1">
        <f ca="1">IFERROR(__xludf.DUMMYFUNCTION("""COMPUTED_VALUE"""),23451713)</f>
        <v>23451713</v>
      </c>
    </row>
    <row r="1459" spans="1:6" x14ac:dyDescent="0.35">
      <c r="A1459" s="2">
        <f ca="1">IFERROR(__xludf.DUMMYFUNCTION("""COMPUTED_VALUE"""),44119.6666666666)</f>
        <v>44119.666666666599</v>
      </c>
      <c r="B1459" s="1">
        <f ca="1">IFERROR(__xludf.DUMMYFUNCTION("""COMPUTED_VALUE"""),217.1)</f>
        <v>217.1</v>
      </c>
      <c r="C1459" s="1">
        <f ca="1">IFERROR(__xludf.DUMMYFUNCTION("""COMPUTED_VALUE"""),220.36)</f>
        <v>220.36</v>
      </c>
      <c r="D1459" s="1">
        <f ca="1">IFERROR(__xludf.DUMMYFUNCTION("""COMPUTED_VALUE"""),216.01)</f>
        <v>216.01</v>
      </c>
      <c r="E1459" s="1">
        <f ca="1">IFERROR(__xludf.DUMMYFUNCTION("""COMPUTED_VALUE"""),219.66)</f>
        <v>219.66</v>
      </c>
      <c r="F1459" s="1">
        <f ca="1">IFERROR(__xludf.DUMMYFUNCTION("""COMPUTED_VALUE"""),22733064)</f>
        <v>22733064</v>
      </c>
    </row>
    <row r="1460" spans="1:6" x14ac:dyDescent="0.35">
      <c r="A1460" s="2">
        <f ca="1">IFERROR(__xludf.DUMMYFUNCTION("""COMPUTED_VALUE"""),44120.6666666666)</f>
        <v>44120.666666666599</v>
      </c>
      <c r="B1460" s="1">
        <f ca="1">IFERROR(__xludf.DUMMYFUNCTION("""COMPUTED_VALUE"""),220.15)</f>
        <v>220.15</v>
      </c>
      <c r="C1460" s="1">
        <f ca="1">IFERROR(__xludf.DUMMYFUNCTION("""COMPUTED_VALUE"""),222.29)</f>
        <v>222.29</v>
      </c>
      <c r="D1460" s="1">
        <f ca="1">IFERROR(__xludf.DUMMYFUNCTION("""COMPUTED_VALUE"""),219.32)</f>
        <v>219.32</v>
      </c>
      <c r="E1460" s="1">
        <f ca="1">IFERROR(__xludf.DUMMYFUNCTION("""COMPUTED_VALUE"""),219.66)</f>
        <v>219.66</v>
      </c>
      <c r="F1460" s="1">
        <f ca="1">IFERROR(__xludf.DUMMYFUNCTION("""COMPUTED_VALUE"""),26057882)</f>
        <v>26057882</v>
      </c>
    </row>
    <row r="1461" spans="1:6" x14ac:dyDescent="0.35">
      <c r="A1461" s="2">
        <f ca="1">IFERROR(__xludf.DUMMYFUNCTION("""COMPUTED_VALUE"""),44123.6666666666)</f>
        <v>44123.666666666599</v>
      </c>
      <c r="B1461" s="1">
        <f ca="1">IFERROR(__xludf.DUMMYFUNCTION("""COMPUTED_VALUE"""),220.42)</f>
        <v>220.42</v>
      </c>
      <c r="C1461" s="1">
        <f ca="1">IFERROR(__xludf.DUMMYFUNCTION("""COMPUTED_VALUE"""),222.3)</f>
        <v>222.3</v>
      </c>
      <c r="D1461" s="1">
        <f ca="1">IFERROR(__xludf.DUMMYFUNCTION("""COMPUTED_VALUE"""),213.72)</f>
        <v>213.72</v>
      </c>
      <c r="E1461" s="1">
        <f ca="1">IFERROR(__xludf.DUMMYFUNCTION("""COMPUTED_VALUE"""),214.22)</f>
        <v>214.22</v>
      </c>
      <c r="F1461" s="1">
        <f ca="1">IFERROR(__xludf.DUMMYFUNCTION("""COMPUTED_VALUE"""),27625841)</f>
        <v>27625841</v>
      </c>
    </row>
    <row r="1462" spans="1:6" x14ac:dyDescent="0.35">
      <c r="A1462" s="2">
        <f ca="1">IFERROR(__xludf.DUMMYFUNCTION("""COMPUTED_VALUE"""),44124.6666666666)</f>
        <v>44124.666666666599</v>
      </c>
      <c r="B1462" s="1">
        <f ca="1">IFERROR(__xludf.DUMMYFUNCTION("""COMPUTED_VALUE"""),215.8)</f>
        <v>215.8</v>
      </c>
      <c r="C1462" s="1">
        <f ca="1">IFERROR(__xludf.DUMMYFUNCTION("""COMPUTED_VALUE"""),217.37)</f>
        <v>217.37</v>
      </c>
      <c r="D1462" s="1">
        <f ca="1">IFERROR(__xludf.DUMMYFUNCTION("""COMPUTED_VALUE"""),213.09)</f>
        <v>213.09</v>
      </c>
      <c r="E1462" s="1">
        <f ca="1">IFERROR(__xludf.DUMMYFUNCTION("""COMPUTED_VALUE"""),214.65)</f>
        <v>214.65</v>
      </c>
      <c r="F1462" s="1">
        <f ca="1">IFERROR(__xludf.DUMMYFUNCTION("""COMPUTED_VALUE"""),22753511)</f>
        <v>22753511</v>
      </c>
    </row>
    <row r="1463" spans="1:6" x14ac:dyDescent="0.35">
      <c r="A1463" s="2">
        <f ca="1">IFERROR(__xludf.DUMMYFUNCTION("""COMPUTED_VALUE"""),44125.6666666666)</f>
        <v>44125.666666666599</v>
      </c>
      <c r="B1463" s="1">
        <f ca="1">IFERROR(__xludf.DUMMYFUNCTION("""COMPUTED_VALUE"""),213.12)</f>
        <v>213.12</v>
      </c>
      <c r="C1463" s="1">
        <f ca="1">IFERROR(__xludf.DUMMYFUNCTION("""COMPUTED_VALUE"""),216.92)</f>
        <v>216.92</v>
      </c>
      <c r="D1463" s="1">
        <f ca="1">IFERROR(__xludf.DUMMYFUNCTION("""COMPUTED_VALUE"""),213.12)</f>
        <v>213.12</v>
      </c>
      <c r="E1463" s="1">
        <f ca="1">IFERROR(__xludf.DUMMYFUNCTION("""COMPUTED_VALUE"""),214.8)</f>
        <v>214.8</v>
      </c>
      <c r="F1463" s="1">
        <f ca="1">IFERROR(__xludf.DUMMYFUNCTION("""COMPUTED_VALUE"""),22724906)</f>
        <v>22724906</v>
      </c>
    </row>
    <row r="1464" spans="1:6" x14ac:dyDescent="0.35">
      <c r="A1464" s="2">
        <f ca="1">IFERROR(__xludf.DUMMYFUNCTION("""COMPUTED_VALUE"""),44126.6666666666)</f>
        <v>44126.666666666599</v>
      </c>
      <c r="B1464" s="1">
        <f ca="1">IFERROR(__xludf.DUMMYFUNCTION("""COMPUTED_VALUE"""),213.93)</f>
        <v>213.93</v>
      </c>
      <c r="C1464" s="1">
        <f ca="1">IFERROR(__xludf.DUMMYFUNCTION("""COMPUTED_VALUE"""),216.06)</f>
        <v>216.06</v>
      </c>
      <c r="D1464" s="1">
        <f ca="1">IFERROR(__xludf.DUMMYFUNCTION("""COMPUTED_VALUE"""),211.7)</f>
        <v>211.7</v>
      </c>
      <c r="E1464" s="1">
        <f ca="1">IFERROR(__xludf.DUMMYFUNCTION("""COMPUTED_VALUE"""),214.89)</f>
        <v>214.89</v>
      </c>
      <c r="F1464" s="1">
        <f ca="1">IFERROR(__xludf.DUMMYFUNCTION("""COMPUTED_VALUE"""),22351450)</f>
        <v>22351450</v>
      </c>
    </row>
    <row r="1465" spans="1:6" x14ac:dyDescent="0.35">
      <c r="A1465" s="2">
        <f ca="1">IFERROR(__xludf.DUMMYFUNCTION("""COMPUTED_VALUE"""),44127.6666666666)</f>
        <v>44127.666666666599</v>
      </c>
      <c r="B1465" s="1">
        <f ca="1">IFERROR(__xludf.DUMMYFUNCTION("""COMPUTED_VALUE"""),215.03)</f>
        <v>215.03</v>
      </c>
      <c r="C1465" s="1">
        <f ca="1">IFERROR(__xludf.DUMMYFUNCTION("""COMPUTED_VALUE"""),216.28)</f>
        <v>216.28</v>
      </c>
      <c r="D1465" s="1">
        <f ca="1">IFERROR(__xludf.DUMMYFUNCTION("""COMPUTED_VALUE"""),213.16)</f>
        <v>213.16</v>
      </c>
      <c r="E1465" s="1">
        <f ca="1">IFERROR(__xludf.DUMMYFUNCTION("""COMPUTED_VALUE"""),216.23)</f>
        <v>216.23</v>
      </c>
      <c r="F1465" s="1">
        <f ca="1">IFERROR(__xludf.DUMMYFUNCTION("""COMPUTED_VALUE"""),18879608)</f>
        <v>18879608</v>
      </c>
    </row>
    <row r="1466" spans="1:6" x14ac:dyDescent="0.35">
      <c r="A1466" s="2">
        <f ca="1">IFERROR(__xludf.DUMMYFUNCTION("""COMPUTED_VALUE"""),44130.6666666666)</f>
        <v>44130.666666666599</v>
      </c>
      <c r="B1466" s="1">
        <f ca="1">IFERROR(__xludf.DUMMYFUNCTION("""COMPUTED_VALUE"""),213.85)</f>
        <v>213.85</v>
      </c>
      <c r="C1466" s="1">
        <f ca="1">IFERROR(__xludf.DUMMYFUNCTION("""COMPUTED_VALUE"""),216.34)</f>
        <v>216.34</v>
      </c>
      <c r="D1466" s="1">
        <f ca="1">IFERROR(__xludf.DUMMYFUNCTION("""COMPUTED_VALUE"""),208.1)</f>
        <v>208.1</v>
      </c>
      <c r="E1466" s="1">
        <f ca="1">IFERROR(__xludf.DUMMYFUNCTION("""COMPUTED_VALUE"""),210.08)</f>
        <v>210.08</v>
      </c>
      <c r="F1466" s="1">
        <f ca="1">IFERROR(__xludf.DUMMYFUNCTION("""COMPUTED_VALUE"""),37111561)</f>
        <v>37111561</v>
      </c>
    </row>
    <row r="1467" spans="1:6" x14ac:dyDescent="0.35">
      <c r="A1467" s="2">
        <f ca="1">IFERROR(__xludf.DUMMYFUNCTION("""COMPUTED_VALUE"""),44131.6666666666)</f>
        <v>44131.666666666599</v>
      </c>
      <c r="B1467" s="1">
        <f ca="1">IFERROR(__xludf.DUMMYFUNCTION("""COMPUTED_VALUE"""),211.59)</f>
        <v>211.59</v>
      </c>
      <c r="C1467" s="1">
        <f ca="1">IFERROR(__xludf.DUMMYFUNCTION("""COMPUTED_VALUE"""),214.67)</f>
        <v>214.67</v>
      </c>
      <c r="D1467" s="1">
        <f ca="1">IFERROR(__xludf.DUMMYFUNCTION("""COMPUTED_VALUE"""),210.33)</f>
        <v>210.33</v>
      </c>
      <c r="E1467" s="1">
        <f ca="1">IFERROR(__xludf.DUMMYFUNCTION("""COMPUTED_VALUE"""),213.25)</f>
        <v>213.25</v>
      </c>
      <c r="F1467" s="1">
        <f ca="1">IFERROR(__xludf.DUMMYFUNCTION("""COMPUTED_VALUE"""),36700325)</f>
        <v>36700325</v>
      </c>
    </row>
    <row r="1468" spans="1:6" x14ac:dyDescent="0.35">
      <c r="A1468" s="2">
        <f ca="1">IFERROR(__xludf.DUMMYFUNCTION("""COMPUTED_VALUE"""),44132.6666666666)</f>
        <v>44132.666666666599</v>
      </c>
      <c r="B1468" s="1">
        <f ca="1">IFERROR(__xludf.DUMMYFUNCTION("""COMPUTED_VALUE"""),207.67)</f>
        <v>207.67</v>
      </c>
      <c r="C1468" s="1">
        <f ca="1">IFERROR(__xludf.DUMMYFUNCTION("""COMPUTED_VALUE"""),208.84)</f>
        <v>208.84</v>
      </c>
      <c r="D1468" s="1">
        <f ca="1">IFERROR(__xludf.DUMMYFUNCTION("""COMPUTED_VALUE"""),202.1)</f>
        <v>202.1</v>
      </c>
      <c r="E1468" s="1">
        <f ca="1">IFERROR(__xludf.DUMMYFUNCTION("""COMPUTED_VALUE"""),202.68)</f>
        <v>202.68</v>
      </c>
      <c r="F1468" s="1">
        <f ca="1">IFERROR(__xludf.DUMMYFUNCTION("""COMPUTED_VALUE"""),51195593)</f>
        <v>51195593</v>
      </c>
    </row>
    <row r="1469" spans="1:6" x14ac:dyDescent="0.35">
      <c r="A1469" s="2">
        <f ca="1">IFERROR(__xludf.DUMMYFUNCTION("""COMPUTED_VALUE"""),44133.6666666666)</f>
        <v>44133.666666666599</v>
      </c>
      <c r="B1469" s="1">
        <f ca="1">IFERROR(__xludf.DUMMYFUNCTION("""COMPUTED_VALUE"""),204.07)</f>
        <v>204.07</v>
      </c>
      <c r="C1469" s="1">
        <f ca="1">IFERROR(__xludf.DUMMYFUNCTION("""COMPUTED_VALUE"""),207.36)</f>
        <v>207.36</v>
      </c>
      <c r="D1469" s="1">
        <f ca="1">IFERROR(__xludf.DUMMYFUNCTION("""COMPUTED_VALUE"""),203.37)</f>
        <v>203.37</v>
      </c>
      <c r="E1469" s="1">
        <f ca="1">IFERROR(__xludf.DUMMYFUNCTION("""COMPUTED_VALUE"""),204.72)</f>
        <v>204.72</v>
      </c>
      <c r="F1469" s="1">
        <f ca="1">IFERROR(__xludf.DUMMYFUNCTION("""COMPUTED_VALUE"""),31432563)</f>
        <v>31432563</v>
      </c>
    </row>
    <row r="1470" spans="1:6" x14ac:dyDescent="0.35">
      <c r="A1470" s="2">
        <f ca="1">IFERROR(__xludf.DUMMYFUNCTION("""COMPUTED_VALUE"""),44134.6666666666)</f>
        <v>44134.666666666599</v>
      </c>
      <c r="B1470" s="1">
        <f ca="1">IFERROR(__xludf.DUMMYFUNCTION("""COMPUTED_VALUE"""),203.5)</f>
        <v>203.5</v>
      </c>
      <c r="C1470" s="1">
        <f ca="1">IFERROR(__xludf.DUMMYFUNCTION("""COMPUTED_VALUE"""),204.29)</f>
        <v>204.29</v>
      </c>
      <c r="D1470" s="1">
        <f ca="1">IFERROR(__xludf.DUMMYFUNCTION("""COMPUTED_VALUE"""),199.62)</f>
        <v>199.62</v>
      </c>
      <c r="E1470" s="1">
        <f ca="1">IFERROR(__xludf.DUMMYFUNCTION("""COMPUTED_VALUE"""),202.47)</f>
        <v>202.47</v>
      </c>
      <c r="F1470" s="1">
        <f ca="1">IFERROR(__xludf.DUMMYFUNCTION("""COMPUTED_VALUE"""),36980111)</f>
        <v>36980111</v>
      </c>
    </row>
    <row r="1471" spans="1:6" x14ac:dyDescent="0.35">
      <c r="A1471" s="2">
        <f ca="1">IFERROR(__xludf.DUMMYFUNCTION("""COMPUTED_VALUE"""),44137.6666666666)</f>
        <v>44137.666666666599</v>
      </c>
      <c r="B1471" s="1">
        <f ca="1">IFERROR(__xludf.DUMMYFUNCTION("""COMPUTED_VALUE"""),204.29)</f>
        <v>204.29</v>
      </c>
      <c r="C1471" s="1">
        <f ca="1">IFERROR(__xludf.DUMMYFUNCTION("""COMPUTED_VALUE"""),205.28)</f>
        <v>205.28</v>
      </c>
      <c r="D1471" s="1">
        <f ca="1">IFERROR(__xludf.DUMMYFUNCTION("""COMPUTED_VALUE"""),200.12)</f>
        <v>200.12</v>
      </c>
      <c r="E1471" s="1">
        <f ca="1">IFERROR(__xludf.DUMMYFUNCTION("""COMPUTED_VALUE"""),202.33)</f>
        <v>202.33</v>
      </c>
      <c r="F1471" s="1">
        <f ca="1">IFERROR(__xludf.DUMMYFUNCTION("""COMPUTED_VALUE"""),30842163)</f>
        <v>30842163</v>
      </c>
    </row>
    <row r="1472" spans="1:6" x14ac:dyDescent="0.35">
      <c r="A1472" s="2">
        <f ca="1">IFERROR(__xludf.DUMMYFUNCTION("""COMPUTED_VALUE"""),44138.6666666666)</f>
        <v>44138.666666666599</v>
      </c>
      <c r="B1472" s="1">
        <f ca="1">IFERROR(__xludf.DUMMYFUNCTION("""COMPUTED_VALUE"""),203.89)</f>
        <v>203.89</v>
      </c>
      <c r="C1472" s="1">
        <f ca="1">IFERROR(__xludf.DUMMYFUNCTION("""COMPUTED_VALUE"""),208.12)</f>
        <v>208.12</v>
      </c>
      <c r="D1472" s="1">
        <f ca="1">IFERROR(__xludf.DUMMYFUNCTION("""COMPUTED_VALUE"""),203.12)</f>
        <v>203.12</v>
      </c>
      <c r="E1472" s="1">
        <f ca="1">IFERROR(__xludf.DUMMYFUNCTION("""COMPUTED_VALUE"""),206.43)</f>
        <v>206.43</v>
      </c>
      <c r="F1472" s="1">
        <f ca="1">IFERROR(__xludf.DUMMYFUNCTION("""COMPUTED_VALUE"""),27512030)</f>
        <v>27512030</v>
      </c>
    </row>
    <row r="1473" spans="1:6" x14ac:dyDescent="0.35">
      <c r="A1473" s="2">
        <f ca="1">IFERROR(__xludf.DUMMYFUNCTION("""COMPUTED_VALUE"""),44139.6666666666)</f>
        <v>44139.666666666599</v>
      </c>
      <c r="B1473" s="1">
        <f ca="1">IFERROR(__xludf.DUMMYFUNCTION("""COMPUTED_VALUE"""),214.02)</f>
        <v>214.02</v>
      </c>
      <c r="C1473" s="1">
        <f ca="1">IFERROR(__xludf.DUMMYFUNCTION("""COMPUTED_VALUE"""),218.32)</f>
        <v>218.32</v>
      </c>
      <c r="D1473" s="1">
        <f ca="1">IFERROR(__xludf.DUMMYFUNCTION("""COMPUTED_VALUE"""),212.42)</f>
        <v>212.42</v>
      </c>
      <c r="E1473" s="1">
        <f ca="1">IFERROR(__xludf.DUMMYFUNCTION("""COMPUTED_VALUE"""),216.39)</f>
        <v>216.39</v>
      </c>
      <c r="F1473" s="1">
        <f ca="1">IFERROR(__xludf.DUMMYFUNCTION("""COMPUTED_VALUE"""),42311777)</f>
        <v>42311777</v>
      </c>
    </row>
    <row r="1474" spans="1:6" x14ac:dyDescent="0.35">
      <c r="A1474" s="2">
        <f ca="1">IFERROR(__xludf.DUMMYFUNCTION("""COMPUTED_VALUE"""),44140.6666666666)</f>
        <v>44140.666666666599</v>
      </c>
      <c r="B1474" s="1">
        <f ca="1">IFERROR(__xludf.DUMMYFUNCTION("""COMPUTED_VALUE"""),222.04)</f>
        <v>222.04</v>
      </c>
      <c r="C1474" s="1">
        <f ca="1">IFERROR(__xludf.DUMMYFUNCTION("""COMPUTED_VALUE"""),224.12)</f>
        <v>224.12</v>
      </c>
      <c r="D1474" s="1">
        <f ca="1">IFERROR(__xludf.DUMMYFUNCTION("""COMPUTED_VALUE"""),221.15)</f>
        <v>221.15</v>
      </c>
      <c r="E1474" s="1">
        <f ca="1">IFERROR(__xludf.DUMMYFUNCTION("""COMPUTED_VALUE"""),223.29)</f>
        <v>223.29</v>
      </c>
      <c r="F1474" s="1">
        <f ca="1">IFERROR(__xludf.DUMMYFUNCTION("""COMPUTED_VALUE"""),36080137)</f>
        <v>36080137</v>
      </c>
    </row>
    <row r="1475" spans="1:6" x14ac:dyDescent="0.35">
      <c r="A1475" s="2">
        <f ca="1">IFERROR(__xludf.DUMMYFUNCTION("""COMPUTED_VALUE"""),44141.6666666666)</f>
        <v>44141.666666666599</v>
      </c>
      <c r="B1475" s="1">
        <f ca="1">IFERROR(__xludf.DUMMYFUNCTION("""COMPUTED_VALUE"""),222.26)</f>
        <v>222.26</v>
      </c>
      <c r="C1475" s="1">
        <f ca="1">IFERROR(__xludf.DUMMYFUNCTION("""COMPUTED_VALUE"""),224.36)</f>
        <v>224.36</v>
      </c>
      <c r="D1475" s="1">
        <f ca="1">IFERROR(__xludf.DUMMYFUNCTION("""COMPUTED_VALUE"""),218.03)</f>
        <v>218.03</v>
      </c>
      <c r="E1475" s="1">
        <f ca="1">IFERROR(__xludf.DUMMYFUNCTION("""COMPUTED_VALUE"""),223.72)</f>
        <v>223.72</v>
      </c>
      <c r="F1475" s="1">
        <f ca="1">IFERROR(__xludf.DUMMYFUNCTION("""COMPUTED_VALUE"""),25231895)</f>
        <v>25231895</v>
      </c>
    </row>
    <row r="1476" spans="1:6" x14ac:dyDescent="0.35">
      <c r="A1476" s="2">
        <f ca="1">IFERROR(__xludf.DUMMYFUNCTION("""COMPUTED_VALUE"""),44144.6666666666)</f>
        <v>44144.666666666599</v>
      </c>
      <c r="B1476" s="1">
        <f ca="1">IFERROR(__xludf.DUMMYFUNCTION("""COMPUTED_VALUE"""),224.44)</f>
        <v>224.44</v>
      </c>
      <c r="C1476" s="1">
        <f ca="1">IFERROR(__xludf.DUMMYFUNCTION("""COMPUTED_VALUE"""),228.12)</f>
        <v>228.12</v>
      </c>
      <c r="D1476" s="1">
        <f ca="1">IFERROR(__xludf.DUMMYFUNCTION("""COMPUTED_VALUE"""),217.88)</f>
        <v>217.88</v>
      </c>
      <c r="E1476" s="1">
        <f ca="1">IFERROR(__xludf.DUMMYFUNCTION("""COMPUTED_VALUE"""),218.39)</f>
        <v>218.39</v>
      </c>
      <c r="F1476" s="1">
        <f ca="1">IFERROR(__xludf.DUMMYFUNCTION("""COMPUTED_VALUE"""),44394950)</f>
        <v>44394950</v>
      </c>
    </row>
    <row r="1477" spans="1:6" x14ac:dyDescent="0.35">
      <c r="A1477" s="2">
        <f ca="1">IFERROR(__xludf.DUMMYFUNCTION("""COMPUTED_VALUE"""),44145.6666666666)</f>
        <v>44145.666666666599</v>
      </c>
      <c r="B1477" s="1">
        <f ca="1">IFERROR(__xludf.DUMMYFUNCTION("""COMPUTED_VALUE"""),214.5)</f>
        <v>214.5</v>
      </c>
      <c r="C1477" s="1">
        <f ca="1">IFERROR(__xludf.DUMMYFUNCTION("""COMPUTED_VALUE"""),216.5)</f>
        <v>216.5</v>
      </c>
      <c r="D1477" s="1">
        <f ca="1">IFERROR(__xludf.DUMMYFUNCTION("""COMPUTED_VALUE"""),209.72)</f>
        <v>209.72</v>
      </c>
      <c r="E1477" s="1">
        <f ca="1">IFERROR(__xludf.DUMMYFUNCTION("""COMPUTED_VALUE"""),211.01)</f>
        <v>211.01</v>
      </c>
      <c r="F1477" s="1">
        <f ca="1">IFERROR(__xludf.DUMMYFUNCTION("""COMPUTED_VALUE"""),44045120)</f>
        <v>44045120</v>
      </c>
    </row>
    <row r="1478" spans="1:6" x14ac:dyDescent="0.35">
      <c r="A1478" s="2">
        <f ca="1">IFERROR(__xludf.DUMMYFUNCTION("""COMPUTED_VALUE"""),44146.6666666666)</f>
        <v>44146.666666666599</v>
      </c>
      <c r="B1478" s="1">
        <f ca="1">IFERROR(__xludf.DUMMYFUNCTION("""COMPUTED_VALUE"""),212.39)</f>
        <v>212.39</v>
      </c>
      <c r="C1478" s="1">
        <f ca="1">IFERROR(__xludf.DUMMYFUNCTION("""COMPUTED_VALUE"""),218.04)</f>
        <v>218.04</v>
      </c>
      <c r="D1478" s="1">
        <f ca="1">IFERROR(__xludf.DUMMYFUNCTION("""COMPUTED_VALUE"""),212.2)</f>
        <v>212.2</v>
      </c>
      <c r="E1478" s="1">
        <f ca="1">IFERROR(__xludf.DUMMYFUNCTION("""COMPUTED_VALUE"""),216.55)</f>
        <v>216.55</v>
      </c>
      <c r="F1478" s="1">
        <f ca="1">IFERROR(__xludf.DUMMYFUNCTION("""COMPUTED_VALUE"""),29440788)</f>
        <v>29440788</v>
      </c>
    </row>
    <row r="1479" spans="1:6" x14ac:dyDescent="0.35">
      <c r="A1479" s="2">
        <f ca="1">IFERROR(__xludf.DUMMYFUNCTION("""COMPUTED_VALUE"""),44147.6666666666)</f>
        <v>44147.666666666599</v>
      </c>
      <c r="B1479" s="1">
        <f ca="1">IFERROR(__xludf.DUMMYFUNCTION("""COMPUTED_VALUE"""),217.21)</f>
        <v>217.21</v>
      </c>
      <c r="C1479" s="1">
        <f ca="1">IFERROR(__xludf.DUMMYFUNCTION("""COMPUTED_VALUE"""),219.11)</f>
        <v>219.11</v>
      </c>
      <c r="D1479" s="1">
        <f ca="1">IFERROR(__xludf.DUMMYFUNCTION("""COMPUTED_VALUE"""),214.46)</f>
        <v>214.46</v>
      </c>
      <c r="E1479" s="1">
        <f ca="1">IFERROR(__xludf.DUMMYFUNCTION("""COMPUTED_VALUE"""),215.44)</f>
        <v>215.44</v>
      </c>
      <c r="F1479" s="1">
        <f ca="1">IFERROR(__xludf.DUMMYFUNCTION("""COMPUTED_VALUE"""),21616115)</f>
        <v>21616115</v>
      </c>
    </row>
    <row r="1480" spans="1:6" x14ac:dyDescent="0.35">
      <c r="A1480" s="2">
        <f ca="1">IFERROR(__xludf.DUMMYFUNCTION("""COMPUTED_VALUE"""),44148.6666666666)</f>
        <v>44148.666666666599</v>
      </c>
      <c r="B1480" s="1">
        <f ca="1">IFERROR(__xludf.DUMMYFUNCTION("""COMPUTED_VALUE"""),216.36)</f>
        <v>216.36</v>
      </c>
      <c r="C1480" s="1">
        <f ca="1">IFERROR(__xludf.DUMMYFUNCTION("""COMPUTED_VALUE"""),217.42)</f>
        <v>217.42</v>
      </c>
      <c r="D1480" s="1">
        <f ca="1">IFERROR(__xludf.DUMMYFUNCTION("""COMPUTED_VALUE"""),214.16)</f>
        <v>214.16</v>
      </c>
      <c r="E1480" s="1">
        <f ca="1">IFERROR(__xludf.DUMMYFUNCTION("""COMPUTED_VALUE"""),216.51)</f>
        <v>216.51</v>
      </c>
      <c r="F1480" s="1">
        <f ca="1">IFERROR(__xludf.DUMMYFUNCTION("""COMPUTED_VALUE"""),18630307)</f>
        <v>18630307</v>
      </c>
    </row>
    <row r="1481" spans="1:6" x14ac:dyDescent="0.35">
      <c r="A1481" s="2">
        <f ca="1">IFERROR(__xludf.DUMMYFUNCTION("""COMPUTED_VALUE"""),44151.6666666666)</f>
        <v>44151.666666666599</v>
      </c>
      <c r="B1481" s="1">
        <f ca="1">IFERROR(__xludf.DUMMYFUNCTION("""COMPUTED_VALUE"""),214.87)</f>
        <v>214.87</v>
      </c>
      <c r="C1481" s="1">
        <f ca="1">IFERROR(__xludf.DUMMYFUNCTION("""COMPUTED_VALUE"""),217.74)</f>
        <v>217.74</v>
      </c>
      <c r="D1481" s="1">
        <f ca="1">IFERROR(__xludf.DUMMYFUNCTION("""COMPUTED_VALUE"""),214.52)</f>
        <v>214.52</v>
      </c>
      <c r="E1481" s="1">
        <f ca="1">IFERROR(__xludf.DUMMYFUNCTION("""COMPUTED_VALUE"""),217.23)</f>
        <v>217.23</v>
      </c>
      <c r="F1481" s="1">
        <f ca="1">IFERROR(__xludf.DUMMYFUNCTION("""COMPUTED_VALUE"""),24953344)</f>
        <v>24953344</v>
      </c>
    </row>
    <row r="1482" spans="1:6" x14ac:dyDescent="0.35">
      <c r="A1482" s="2">
        <f ca="1">IFERROR(__xludf.DUMMYFUNCTION("""COMPUTED_VALUE"""),44152.6666666666)</f>
        <v>44152.666666666599</v>
      </c>
      <c r="B1482" s="1">
        <f ca="1">IFERROR(__xludf.DUMMYFUNCTION("""COMPUTED_VALUE"""),216.1)</f>
        <v>216.1</v>
      </c>
      <c r="C1482" s="1">
        <f ca="1">IFERROR(__xludf.DUMMYFUNCTION("""COMPUTED_VALUE"""),217.68)</f>
        <v>217.68</v>
      </c>
      <c r="D1482" s="1">
        <f ca="1">IFERROR(__xludf.DUMMYFUNCTION("""COMPUTED_VALUE"""),214.08)</f>
        <v>214.08</v>
      </c>
      <c r="E1482" s="1">
        <f ca="1">IFERROR(__xludf.DUMMYFUNCTION("""COMPUTED_VALUE"""),214.46)</f>
        <v>214.46</v>
      </c>
      <c r="F1482" s="1">
        <f ca="1">IFERROR(__xludf.DUMMYFUNCTION("""COMPUTED_VALUE"""),24154112)</f>
        <v>24154112</v>
      </c>
    </row>
    <row r="1483" spans="1:6" x14ac:dyDescent="0.35">
      <c r="A1483" s="2">
        <f ca="1">IFERROR(__xludf.DUMMYFUNCTION("""COMPUTED_VALUE"""),44153.6666666666)</f>
        <v>44153.666666666599</v>
      </c>
      <c r="B1483" s="1">
        <f ca="1">IFERROR(__xludf.DUMMYFUNCTION("""COMPUTED_VALUE"""),213.65)</f>
        <v>213.65</v>
      </c>
      <c r="C1483" s="1">
        <f ca="1">IFERROR(__xludf.DUMMYFUNCTION("""COMPUTED_VALUE"""),215.17)</f>
        <v>215.17</v>
      </c>
      <c r="D1483" s="1">
        <f ca="1">IFERROR(__xludf.DUMMYFUNCTION("""COMPUTED_VALUE"""),210.93)</f>
        <v>210.93</v>
      </c>
      <c r="E1483" s="1">
        <f ca="1">IFERROR(__xludf.DUMMYFUNCTION("""COMPUTED_VALUE"""),211.08)</f>
        <v>211.08</v>
      </c>
      <c r="F1483" s="1">
        <f ca="1">IFERROR(__xludf.DUMMYFUNCTION("""COMPUTED_VALUE"""),28372789)</f>
        <v>28372789</v>
      </c>
    </row>
    <row r="1484" spans="1:6" x14ac:dyDescent="0.35">
      <c r="A1484" s="2">
        <f ca="1">IFERROR(__xludf.DUMMYFUNCTION("""COMPUTED_VALUE"""),44154.6666666666)</f>
        <v>44154.666666666599</v>
      </c>
      <c r="B1484" s="1">
        <f ca="1">IFERROR(__xludf.DUMMYFUNCTION("""COMPUTED_VALUE"""),211.38)</f>
        <v>211.38</v>
      </c>
      <c r="C1484" s="1">
        <f ca="1">IFERROR(__xludf.DUMMYFUNCTION("""COMPUTED_VALUE"""),213.03)</f>
        <v>213.03</v>
      </c>
      <c r="D1484" s="1">
        <f ca="1">IFERROR(__xludf.DUMMYFUNCTION("""COMPUTED_VALUE"""),209.93)</f>
        <v>209.93</v>
      </c>
      <c r="E1484" s="1">
        <f ca="1">IFERROR(__xludf.DUMMYFUNCTION("""COMPUTED_VALUE"""),212.42)</f>
        <v>212.42</v>
      </c>
      <c r="F1484" s="1">
        <f ca="1">IFERROR(__xludf.DUMMYFUNCTION("""COMPUTED_VALUE"""),24792746)</f>
        <v>24792746</v>
      </c>
    </row>
    <row r="1485" spans="1:6" x14ac:dyDescent="0.35">
      <c r="A1485" s="2">
        <f ca="1">IFERROR(__xludf.DUMMYFUNCTION("""COMPUTED_VALUE"""),44155.6666666666)</f>
        <v>44155.666666666599</v>
      </c>
      <c r="B1485" s="1">
        <f ca="1">IFERROR(__xludf.DUMMYFUNCTION("""COMPUTED_VALUE"""),212.2)</f>
        <v>212.2</v>
      </c>
      <c r="C1485" s="1">
        <f ca="1">IFERROR(__xludf.DUMMYFUNCTION("""COMPUTED_VALUE"""),213.29)</f>
        <v>213.29</v>
      </c>
      <c r="D1485" s="1">
        <f ca="1">IFERROR(__xludf.DUMMYFUNCTION("""COMPUTED_VALUE"""),210)</f>
        <v>210</v>
      </c>
      <c r="E1485" s="1">
        <f ca="1">IFERROR(__xludf.DUMMYFUNCTION("""COMPUTED_VALUE"""),210.39)</f>
        <v>210.39</v>
      </c>
      <c r="F1485" s="1">
        <f ca="1">IFERROR(__xludf.DUMMYFUNCTION("""COMPUTED_VALUE"""),22843119)</f>
        <v>22843119</v>
      </c>
    </row>
    <row r="1486" spans="1:6" x14ac:dyDescent="0.35">
      <c r="A1486" s="2">
        <f ca="1">IFERROR(__xludf.DUMMYFUNCTION("""COMPUTED_VALUE"""),44158.6666666666)</f>
        <v>44158.666666666599</v>
      </c>
      <c r="B1486" s="1">
        <f ca="1">IFERROR(__xludf.DUMMYFUNCTION("""COMPUTED_VALUE"""),210.95)</f>
        <v>210.95</v>
      </c>
      <c r="C1486" s="1">
        <f ca="1">IFERROR(__xludf.DUMMYFUNCTION("""COMPUTED_VALUE"""),212.29)</f>
        <v>212.29</v>
      </c>
      <c r="D1486" s="1">
        <f ca="1">IFERROR(__xludf.DUMMYFUNCTION("""COMPUTED_VALUE"""),208.16)</f>
        <v>208.16</v>
      </c>
      <c r="E1486" s="1">
        <f ca="1">IFERROR(__xludf.DUMMYFUNCTION("""COMPUTED_VALUE"""),210.11)</f>
        <v>210.11</v>
      </c>
      <c r="F1486" s="1">
        <f ca="1">IFERROR(__xludf.DUMMYFUNCTION("""COMPUTED_VALUE"""),25683507)</f>
        <v>25683507</v>
      </c>
    </row>
    <row r="1487" spans="1:6" x14ac:dyDescent="0.35">
      <c r="A1487" s="2">
        <f ca="1">IFERROR(__xludf.DUMMYFUNCTION("""COMPUTED_VALUE"""),44159.6666666666)</f>
        <v>44159.666666666599</v>
      </c>
      <c r="B1487" s="1">
        <f ca="1">IFERROR(__xludf.DUMMYFUNCTION("""COMPUTED_VALUE"""),209.59)</f>
        <v>209.59</v>
      </c>
      <c r="C1487" s="1">
        <f ca="1">IFERROR(__xludf.DUMMYFUNCTION("""COMPUTED_VALUE"""),214.25)</f>
        <v>214.25</v>
      </c>
      <c r="D1487" s="1">
        <f ca="1">IFERROR(__xludf.DUMMYFUNCTION("""COMPUTED_VALUE"""),208.86)</f>
        <v>208.86</v>
      </c>
      <c r="E1487" s="1">
        <f ca="1">IFERROR(__xludf.DUMMYFUNCTION("""COMPUTED_VALUE"""),213.86)</f>
        <v>213.86</v>
      </c>
      <c r="F1487" s="1">
        <f ca="1">IFERROR(__xludf.DUMMYFUNCTION("""COMPUTED_VALUE"""),33979731)</f>
        <v>33979731</v>
      </c>
    </row>
    <row r="1488" spans="1:6" x14ac:dyDescent="0.35">
      <c r="A1488" s="2">
        <f ca="1">IFERROR(__xludf.DUMMYFUNCTION("""COMPUTED_VALUE"""),44160.6666666666)</f>
        <v>44160.666666666599</v>
      </c>
      <c r="B1488" s="1">
        <f ca="1">IFERROR(__xludf.DUMMYFUNCTION("""COMPUTED_VALUE"""),215.11)</f>
        <v>215.11</v>
      </c>
      <c r="C1488" s="1">
        <f ca="1">IFERROR(__xludf.DUMMYFUNCTION("""COMPUTED_VALUE"""),215.29)</f>
        <v>215.29</v>
      </c>
      <c r="D1488" s="1">
        <f ca="1">IFERROR(__xludf.DUMMYFUNCTION("""COMPUTED_VALUE"""),212.46)</f>
        <v>212.46</v>
      </c>
      <c r="E1488" s="1">
        <f ca="1">IFERROR(__xludf.DUMMYFUNCTION("""COMPUTED_VALUE"""),213.87)</f>
        <v>213.87</v>
      </c>
      <c r="F1488" s="1">
        <f ca="1">IFERROR(__xludf.DUMMYFUNCTION("""COMPUTED_VALUE"""),21012887)</f>
        <v>21012887</v>
      </c>
    </row>
    <row r="1489" spans="1:6" x14ac:dyDescent="0.35">
      <c r="A1489" s="2">
        <f ca="1">IFERROR(__xludf.DUMMYFUNCTION("""COMPUTED_VALUE"""),44162.5416666666)</f>
        <v>44162.541666666599</v>
      </c>
      <c r="B1489" s="1">
        <f ca="1">IFERROR(__xludf.DUMMYFUNCTION("""COMPUTED_VALUE"""),214.85)</f>
        <v>214.85</v>
      </c>
      <c r="C1489" s="1">
        <f ca="1">IFERROR(__xludf.DUMMYFUNCTION("""COMPUTED_VALUE"""),216.27)</f>
        <v>216.27</v>
      </c>
      <c r="D1489" s="1">
        <f ca="1">IFERROR(__xludf.DUMMYFUNCTION("""COMPUTED_VALUE"""),214.04)</f>
        <v>214.04</v>
      </c>
      <c r="E1489" s="1">
        <f ca="1">IFERROR(__xludf.DUMMYFUNCTION("""COMPUTED_VALUE"""),215.23)</f>
        <v>215.23</v>
      </c>
      <c r="F1489" s="1">
        <f ca="1">IFERROR(__xludf.DUMMYFUNCTION("""COMPUTED_VALUE"""),14512213)</f>
        <v>14512213</v>
      </c>
    </row>
    <row r="1490" spans="1:6" x14ac:dyDescent="0.35">
      <c r="A1490" s="2">
        <f ca="1">IFERROR(__xludf.DUMMYFUNCTION("""COMPUTED_VALUE"""),44165.6666666666)</f>
        <v>44165.666666666599</v>
      </c>
      <c r="B1490" s="1">
        <f ca="1">IFERROR(__xludf.DUMMYFUNCTION("""COMPUTED_VALUE"""),214.1)</f>
        <v>214.1</v>
      </c>
      <c r="C1490" s="1">
        <f ca="1">IFERROR(__xludf.DUMMYFUNCTION("""COMPUTED_VALUE"""),214.76)</f>
        <v>214.76</v>
      </c>
      <c r="D1490" s="1">
        <f ca="1">IFERROR(__xludf.DUMMYFUNCTION("""COMPUTED_VALUE"""),210.84)</f>
        <v>210.84</v>
      </c>
      <c r="E1490" s="1">
        <f ca="1">IFERROR(__xludf.DUMMYFUNCTION("""COMPUTED_VALUE"""),214.07)</f>
        <v>214.07</v>
      </c>
      <c r="F1490" s="1">
        <f ca="1">IFERROR(__xludf.DUMMYFUNCTION("""COMPUTED_VALUE"""),33064753)</f>
        <v>33064753</v>
      </c>
    </row>
    <row r="1491" spans="1:6" x14ac:dyDescent="0.35">
      <c r="A1491" s="2">
        <f ca="1">IFERROR(__xludf.DUMMYFUNCTION("""COMPUTED_VALUE"""),44166.6666666666)</f>
        <v>44166.666666666599</v>
      </c>
      <c r="B1491" s="1">
        <f ca="1">IFERROR(__xludf.DUMMYFUNCTION("""COMPUTED_VALUE"""),214.51)</f>
        <v>214.51</v>
      </c>
      <c r="C1491" s="1">
        <f ca="1">IFERROR(__xludf.DUMMYFUNCTION("""COMPUTED_VALUE"""),217.32)</f>
        <v>217.32</v>
      </c>
      <c r="D1491" s="1">
        <f ca="1">IFERROR(__xludf.DUMMYFUNCTION("""COMPUTED_VALUE"""),213.35)</f>
        <v>213.35</v>
      </c>
      <c r="E1491" s="1">
        <f ca="1">IFERROR(__xludf.DUMMYFUNCTION("""COMPUTED_VALUE"""),216.21)</f>
        <v>216.21</v>
      </c>
      <c r="F1491" s="1">
        <f ca="1">IFERROR(__xludf.DUMMYFUNCTION("""COMPUTED_VALUE"""),30931318)</f>
        <v>30931318</v>
      </c>
    </row>
    <row r="1492" spans="1:6" x14ac:dyDescent="0.35">
      <c r="A1492" s="2">
        <f ca="1">IFERROR(__xludf.DUMMYFUNCTION("""COMPUTED_VALUE"""),44167.6666666666)</f>
        <v>44167.666666666599</v>
      </c>
      <c r="B1492" s="1">
        <f ca="1">IFERROR(__xludf.DUMMYFUNCTION("""COMPUTED_VALUE"""),214.88)</f>
        <v>214.88</v>
      </c>
      <c r="C1492" s="1">
        <f ca="1">IFERROR(__xludf.DUMMYFUNCTION("""COMPUTED_VALUE"""),215.47)</f>
        <v>215.47</v>
      </c>
      <c r="D1492" s="1">
        <f ca="1">IFERROR(__xludf.DUMMYFUNCTION("""COMPUTED_VALUE"""),212.8)</f>
        <v>212.8</v>
      </c>
      <c r="E1492" s="1">
        <f ca="1">IFERROR(__xludf.DUMMYFUNCTION("""COMPUTED_VALUE"""),215.37)</f>
        <v>215.37</v>
      </c>
      <c r="F1492" s="1">
        <f ca="1">IFERROR(__xludf.DUMMYFUNCTION("""COMPUTED_VALUE"""),23724509)</f>
        <v>23724509</v>
      </c>
    </row>
    <row r="1493" spans="1:6" x14ac:dyDescent="0.35">
      <c r="A1493" s="2">
        <f ca="1">IFERROR(__xludf.DUMMYFUNCTION("""COMPUTED_VALUE"""),44168.6666666666)</f>
        <v>44168.666666666599</v>
      </c>
      <c r="B1493" s="1">
        <f ca="1">IFERROR(__xludf.DUMMYFUNCTION("""COMPUTED_VALUE"""),214.61)</f>
        <v>214.61</v>
      </c>
      <c r="C1493" s="1">
        <f ca="1">IFERROR(__xludf.DUMMYFUNCTION("""COMPUTED_VALUE"""),216.38)</f>
        <v>216.38</v>
      </c>
      <c r="D1493" s="1">
        <f ca="1">IFERROR(__xludf.DUMMYFUNCTION("""COMPUTED_VALUE"""),213.65)</f>
        <v>213.65</v>
      </c>
      <c r="E1493" s="1">
        <f ca="1">IFERROR(__xludf.DUMMYFUNCTION("""COMPUTED_VALUE"""),214.24)</f>
        <v>214.24</v>
      </c>
      <c r="F1493" s="1">
        <f ca="1">IFERROR(__xludf.DUMMYFUNCTION("""COMPUTED_VALUE"""),25120922)</f>
        <v>25120922</v>
      </c>
    </row>
    <row r="1494" spans="1:6" x14ac:dyDescent="0.35">
      <c r="A1494" s="2">
        <f ca="1">IFERROR(__xludf.DUMMYFUNCTION("""COMPUTED_VALUE"""),44169.6666666666)</f>
        <v>44169.666666666599</v>
      </c>
      <c r="B1494" s="1">
        <f ca="1">IFERROR(__xludf.DUMMYFUNCTION("""COMPUTED_VALUE"""),214.22)</f>
        <v>214.22</v>
      </c>
      <c r="C1494" s="1">
        <f ca="1">IFERROR(__xludf.DUMMYFUNCTION("""COMPUTED_VALUE"""),215.38)</f>
        <v>215.38</v>
      </c>
      <c r="D1494" s="1">
        <f ca="1">IFERROR(__xludf.DUMMYFUNCTION("""COMPUTED_VALUE"""),213.18)</f>
        <v>213.18</v>
      </c>
      <c r="E1494" s="1">
        <f ca="1">IFERROR(__xludf.DUMMYFUNCTION("""COMPUTED_VALUE"""),214.36)</f>
        <v>214.36</v>
      </c>
      <c r="F1494" s="1">
        <f ca="1">IFERROR(__xludf.DUMMYFUNCTION("""COMPUTED_VALUE"""),24666039)</f>
        <v>24666039</v>
      </c>
    </row>
    <row r="1495" spans="1:6" x14ac:dyDescent="0.35">
      <c r="A1495" s="2">
        <f ca="1">IFERROR(__xludf.DUMMYFUNCTION("""COMPUTED_VALUE"""),44172.6666666666)</f>
        <v>44172.666666666599</v>
      </c>
      <c r="B1495" s="1">
        <f ca="1">IFERROR(__xludf.DUMMYFUNCTION("""COMPUTED_VALUE"""),214.37)</f>
        <v>214.37</v>
      </c>
      <c r="C1495" s="1">
        <f ca="1">IFERROR(__xludf.DUMMYFUNCTION("""COMPUTED_VALUE"""),215.54)</f>
        <v>215.54</v>
      </c>
      <c r="D1495" s="1">
        <f ca="1">IFERROR(__xludf.DUMMYFUNCTION("""COMPUTED_VALUE"""),212.99)</f>
        <v>212.99</v>
      </c>
      <c r="E1495" s="1">
        <f ca="1">IFERROR(__xludf.DUMMYFUNCTION("""COMPUTED_VALUE"""),214.29)</f>
        <v>214.29</v>
      </c>
      <c r="F1495" s="1">
        <f ca="1">IFERROR(__xludf.DUMMYFUNCTION("""COMPUTED_VALUE"""),24619997)</f>
        <v>24619997</v>
      </c>
    </row>
    <row r="1496" spans="1:6" x14ac:dyDescent="0.35">
      <c r="A1496" s="2">
        <f ca="1">IFERROR(__xludf.DUMMYFUNCTION("""COMPUTED_VALUE"""),44173.6666666666)</f>
        <v>44173.666666666599</v>
      </c>
      <c r="B1496" s="1">
        <f ca="1">IFERROR(__xludf.DUMMYFUNCTION("""COMPUTED_VALUE"""),213.97)</f>
        <v>213.97</v>
      </c>
      <c r="C1496" s="1">
        <f ca="1">IFERROR(__xludf.DUMMYFUNCTION("""COMPUTED_VALUE"""),216.95)</f>
        <v>216.95</v>
      </c>
      <c r="D1496" s="1">
        <f ca="1">IFERROR(__xludf.DUMMYFUNCTION("""COMPUTED_VALUE"""),212.89)</f>
        <v>212.89</v>
      </c>
      <c r="E1496" s="1">
        <f ca="1">IFERROR(__xludf.DUMMYFUNCTION("""COMPUTED_VALUE"""),216.01)</f>
        <v>216.01</v>
      </c>
      <c r="F1496" s="1">
        <f ca="1">IFERROR(__xludf.DUMMYFUNCTION("""COMPUTED_VALUE"""),23284094)</f>
        <v>23284094</v>
      </c>
    </row>
    <row r="1497" spans="1:6" x14ac:dyDescent="0.35">
      <c r="A1497" s="2">
        <f ca="1">IFERROR(__xludf.DUMMYFUNCTION("""COMPUTED_VALUE"""),44174.6666666666)</f>
        <v>44174.666666666599</v>
      </c>
      <c r="B1497" s="1">
        <f ca="1">IFERROR(__xludf.DUMMYFUNCTION("""COMPUTED_VALUE"""),215.16)</f>
        <v>215.16</v>
      </c>
      <c r="C1497" s="1">
        <f ca="1">IFERROR(__xludf.DUMMYFUNCTION("""COMPUTED_VALUE"""),215.23)</f>
        <v>215.23</v>
      </c>
      <c r="D1497" s="1">
        <f ca="1">IFERROR(__xludf.DUMMYFUNCTION("""COMPUTED_VALUE"""),211.21)</f>
        <v>211.21</v>
      </c>
      <c r="E1497" s="1">
        <f ca="1">IFERROR(__xludf.DUMMYFUNCTION("""COMPUTED_VALUE"""),211.8)</f>
        <v>211.8</v>
      </c>
      <c r="F1497" s="1">
        <f ca="1">IFERROR(__xludf.DUMMYFUNCTION("""COMPUTED_VALUE"""),32440603)</f>
        <v>32440603</v>
      </c>
    </row>
    <row r="1498" spans="1:6" x14ac:dyDescent="0.35">
      <c r="A1498" s="2">
        <f ca="1">IFERROR(__xludf.DUMMYFUNCTION("""COMPUTED_VALUE"""),44175.6666666666)</f>
        <v>44175.666666666599</v>
      </c>
      <c r="B1498" s="1">
        <f ca="1">IFERROR(__xludf.DUMMYFUNCTION("""COMPUTED_VALUE"""),211.77)</f>
        <v>211.77</v>
      </c>
      <c r="C1498" s="1">
        <f ca="1">IFERROR(__xludf.DUMMYFUNCTION("""COMPUTED_VALUE"""),213.08)</f>
        <v>213.08</v>
      </c>
      <c r="D1498" s="1">
        <f ca="1">IFERROR(__xludf.DUMMYFUNCTION("""COMPUTED_VALUE"""),210.36)</f>
        <v>210.36</v>
      </c>
      <c r="E1498" s="1">
        <f ca="1">IFERROR(__xludf.DUMMYFUNCTION("""COMPUTED_VALUE"""),210.52)</f>
        <v>210.52</v>
      </c>
      <c r="F1498" s="1">
        <f ca="1">IFERROR(__xludf.DUMMYFUNCTION("""COMPUTED_VALUE"""),26467017)</f>
        <v>26467017</v>
      </c>
    </row>
    <row r="1499" spans="1:6" x14ac:dyDescent="0.35">
      <c r="A1499" s="2">
        <f ca="1">IFERROR(__xludf.DUMMYFUNCTION("""COMPUTED_VALUE"""),44176.6666666666)</f>
        <v>44176.666666666599</v>
      </c>
      <c r="B1499" s="1">
        <f ca="1">IFERROR(__xludf.DUMMYFUNCTION("""COMPUTED_VALUE"""),210.05)</f>
        <v>210.05</v>
      </c>
      <c r="C1499" s="1">
        <f ca="1">IFERROR(__xludf.DUMMYFUNCTION("""COMPUTED_VALUE"""),213.32)</f>
        <v>213.32</v>
      </c>
      <c r="D1499" s="1">
        <f ca="1">IFERROR(__xludf.DUMMYFUNCTION("""COMPUTED_VALUE"""),209.11)</f>
        <v>209.11</v>
      </c>
      <c r="E1499" s="1">
        <f ca="1">IFERROR(__xludf.DUMMYFUNCTION("""COMPUTED_VALUE"""),213.26)</f>
        <v>213.26</v>
      </c>
      <c r="F1499" s="1">
        <f ca="1">IFERROR(__xludf.DUMMYFUNCTION("""COMPUTED_VALUE"""),30979440)</f>
        <v>30979440</v>
      </c>
    </row>
    <row r="1500" spans="1:6" x14ac:dyDescent="0.35">
      <c r="A1500" s="2">
        <f ca="1">IFERROR(__xludf.DUMMYFUNCTION("""COMPUTED_VALUE"""),44179.6666666666)</f>
        <v>44179.666666666599</v>
      </c>
      <c r="B1500" s="1">
        <f ca="1">IFERROR(__xludf.DUMMYFUNCTION("""COMPUTED_VALUE"""),213.1)</f>
        <v>213.1</v>
      </c>
      <c r="C1500" s="1">
        <f ca="1">IFERROR(__xludf.DUMMYFUNCTION("""COMPUTED_VALUE"""),216.21)</f>
        <v>216.21</v>
      </c>
      <c r="D1500" s="1">
        <f ca="1">IFERROR(__xludf.DUMMYFUNCTION("""COMPUTED_VALUE"""),212.88)</f>
        <v>212.88</v>
      </c>
      <c r="E1500" s="1">
        <f ca="1">IFERROR(__xludf.DUMMYFUNCTION("""COMPUTED_VALUE"""),214.2)</f>
        <v>214.2</v>
      </c>
      <c r="F1500" s="1">
        <f ca="1">IFERROR(__xludf.DUMMYFUNCTION("""COMPUTED_VALUE"""),28798379)</f>
        <v>28798379</v>
      </c>
    </row>
    <row r="1501" spans="1:6" x14ac:dyDescent="0.35">
      <c r="A1501" s="2">
        <f ca="1">IFERROR(__xludf.DUMMYFUNCTION("""COMPUTED_VALUE"""),44180.6666666666)</f>
        <v>44180.666666666599</v>
      </c>
      <c r="B1501" s="1">
        <f ca="1">IFERROR(__xludf.DUMMYFUNCTION("""COMPUTED_VALUE"""),215.17)</f>
        <v>215.17</v>
      </c>
      <c r="C1501" s="1">
        <f ca="1">IFERROR(__xludf.DUMMYFUNCTION("""COMPUTED_VALUE"""),215.42)</f>
        <v>215.42</v>
      </c>
      <c r="D1501" s="1">
        <f ca="1">IFERROR(__xludf.DUMMYFUNCTION("""COMPUTED_VALUE"""),212.24)</f>
        <v>212.24</v>
      </c>
      <c r="E1501" s="1">
        <f ca="1">IFERROR(__xludf.DUMMYFUNCTION("""COMPUTED_VALUE"""),214.13)</f>
        <v>214.13</v>
      </c>
      <c r="F1501" s="1">
        <f ca="1">IFERROR(__xludf.DUMMYFUNCTION("""COMPUTED_VALUE"""),27018106)</f>
        <v>27018106</v>
      </c>
    </row>
    <row r="1502" spans="1:6" x14ac:dyDescent="0.35">
      <c r="A1502" s="2">
        <f ca="1">IFERROR(__xludf.DUMMYFUNCTION("""COMPUTED_VALUE"""),44181.6666666666)</f>
        <v>44181.666666666599</v>
      </c>
      <c r="B1502" s="1">
        <f ca="1">IFERROR(__xludf.DUMMYFUNCTION("""COMPUTED_VALUE"""),214.75)</f>
        <v>214.75</v>
      </c>
      <c r="C1502" s="1">
        <f ca="1">IFERROR(__xludf.DUMMYFUNCTION("""COMPUTED_VALUE"""),220.11)</f>
        <v>220.11</v>
      </c>
      <c r="D1502" s="1">
        <f ca="1">IFERROR(__xludf.DUMMYFUNCTION("""COMPUTED_VALUE"""),214.72)</f>
        <v>214.72</v>
      </c>
      <c r="E1502" s="1">
        <f ca="1">IFERROR(__xludf.DUMMYFUNCTION("""COMPUTED_VALUE"""),219.28)</f>
        <v>219.28</v>
      </c>
      <c r="F1502" s="1">
        <f ca="1">IFERROR(__xludf.DUMMYFUNCTION("""COMPUTED_VALUE"""),35023253)</f>
        <v>35023253</v>
      </c>
    </row>
    <row r="1503" spans="1:6" x14ac:dyDescent="0.35">
      <c r="A1503" s="2">
        <f ca="1">IFERROR(__xludf.DUMMYFUNCTION("""COMPUTED_VALUE"""),44182.6666666666)</f>
        <v>44182.666666666599</v>
      </c>
      <c r="B1503" s="1">
        <f ca="1">IFERROR(__xludf.DUMMYFUNCTION("""COMPUTED_VALUE"""),219.87)</f>
        <v>219.87</v>
      </c>
      <c r="C1503" s="1">
        <f ca="1">IFERROR(__xludf.DUMMYFUNCTION("""COMPUTED_VALUE"""),220.89)</f>
        <v>220.89</v>
      </c>
      <c r="D1503" s="1">
        <f ca="1">IFERROR(__xludf.DUMMYFUNCTION("""COMPUTED_VALUE"""),217.92)</f>
        <v>217.92</v>
      </c>
      <c r="E1503" s="1">
        <f ca="1">IFERROR(__xludf.DUMMYFUNCTION("""COMPUTED_VALUE"""),219.42)</f>
        <v>219.42</v>
      </c>
      <c r="F1503" s="1">
        <f ca="1">IFERROR(__xludf.DUMMYFUNCTION("""COMPUTED_VALUE"""),32515784)</f>
        <v>32515784</v>
      </c>
    </row>
    <row r="1504" spans="1:6" x14ac:dyDescent="0.35">
      <c r="A1504" s="2">
        <f ca="1">IFERROR(__xludf.DUMMYFUNCTION("""COMPUTED_VALUE"""),44183.6666666666)</f>
        <v>44183.666666666599</v>
      </c>
      <c r="B1504" s="1">
        <f ca="1">IFERROR(__xludf.DUMMYFUNCTION("""COMPUTED_VALUE"""),218.59)</f>
        <v>218.59</v>
      </c>
      <c r="C1504" s="1">
        <f ca="1">IFERROR(__xludf.DUMMYFUNCTION("""COMPUTED_VALUE"""),219.69)</f>
        <v>219.69</v>
      </c>
      <c r="D1504" s="1">
        <f ca="1">IFERROR(__xludf.DUMMYFUNCTION("""COMPUTED_VALUE"""),216.02)</f>
        <v>216.02</v>
      </c>
      <c r="E1504" s="1">
        <f ca="1">IFERROR(__xludf.DUMMYFUNCTION("""COMPUTED_VALUE"""),218.59)</f>
        <v>218.59</v>
      </c>
      <c r="F1504" s="1">
        <f ca="1">IFERROR(__xludf.DUMMYFUNCTION("""COMPUTED_VALUE"""),63354922)</f>
        <v>63354922</v>
      </c>
    </row>
    <row r="1505" spans="1:6" x14ac:dyDescent="0.35">
      <c r="A1505" s="2">
        <f ca="1">IFERROR(__xludf.DUMMYFUNCTION("""COMPUTED_VALUE"""),44186.6666666666)</f>
        <v>44186.666666666599</v>
      </c>
      <c r="B1505" s="1">
        <f ca="1">IFERROR(__xludf.DUMMYFUNCTION("""COMPUTED_VALUE"""),217.55)</f>
        <v>217.55</v>
      </c>
      <c r="C1505" s="1">
        <f ca="1">IFERROR(__xludf.DUMMYFUNCTION("""COMPUTED_VALUE"""),224)</f>
        <v>224</v>
      </c>
      <c r="D1505" s="1">
        <f ca="1">IFERROR(__xludf.DUMMYFUNCTION("""COMPUTED_VALUE"""),217.28)</f>
        <v>217.28</v>
      </c>
      <c r="E1505" s="1">
        <f ca="1">IFERROR(__xludf.DUMMYFUNCTION("""COMPUTED_VALUE"""),222.59)</f>
        <v>222.59</v>
      </c>
      <c r="F1505" s="1">
        <f ca="1">IFERROR(__xludf.DUMMYFUNCTION("""COMPUTED_VALUE"""),37181886)</f>
        <v>37181886</v>
      </c>
    </row>
    <row r="1506" spans="1:6" x14ac:dyDescent="0.35">
      <c r="A1506" s="2">
        <f ca="1">IFERROR(__xludf.DUMMYFUNCTION("""COMPUTED_VALUE"""),44187.6666666666)</f>
        <v>44187.666666666599</v>
      </c>
      <c r="B1506" s="1">
        <f ca="1">IFERROR(__xludf.DUMMYFUNCTION("""COMPUTED_VALUE"""),222.69)</f>
        <v>222.69</v>
      </c>
      <c r="C1506" s="1">
        <f ca="1">IFERROR(__xludf.DUMMYFUNCTION("""COMPUTED_VALUE"""),225.63)</f>
        <v>225.63</v>
      </c>
      <c r="D1506" s="1">
        <f ca="1">IFERROR(__xludf.DUMMYFUNCTION("""COMPUTED_VALUE"""),221.85)</f>
        <v>221.85</v>
      </c>
      <c r="E1506" s="1">
        <f ca="1">IFERROR(__xludf.DUMMYFUNCTION("""COMPUTED_VALUE"""),223.94)</f>
        <v>223.94</v>
      </c>
      <c r="F1506" s="1">
        <f ca="1">IFERROR(__xludf.DUMMYFUNCTION("""COMPUTED_VALUE"""),22643397)</f>
        <v>22643397</v>
      </c>
    </row>
    <row r="1507" spans="1:6" x14ac:dyDescent="0.35">
      <c r="A1507" s="2">
        <f ca="1">IFERROR(__xludf.DUMMYFUNCTION("""COMPUTED_VALUE"""),44188.6666666666)</f>
        <v>44188.666666666599</v>
      </c>
      <c r="B1507" s="1">
        <f ca="1">IFERROR(__xludf.DUMMYFUNCTION("""COMPUTED_VALUE"""),223.11)</f>
        <v>223.11</v>
      </c>
      <c r="C1507" s="1">
        <f ca="1">IFERROR(__xludf.DUMMYFUNCTION("""COMPUTED_VALUE"""),223.56)</f>
        <v>223.56</v>
      </c>
      <c r="D1507" s="1">
        <f ca="1">IFERROR(__xludf.DUMMYFUNCTION("""COMPUTED_VALUE"""),220.8)</f>
        <v>220.8</v>
      </c>
      <c r="E1507" s="1">
        <f ca="1">IFERROR(__xludf.DUMMYFUNCTION("""COMPUTED_VALUE"""),221.02)</f>
        <v>221.02</v>
      </c>
      <c r="F1507" s="1">
        <f ca="1">IFERROR(__xludf.DUMMYFUNCTION("""COMPUTED_VALUE"""),18699638)</f>
        <v>18699638</v>
      </c>
    </row>
    <row r="1508" spans="1:6" x14ac:dyDescent="0.35">
      <c r="A1508" s="2">
        <f ca="1">IFERROR(__xludf.DUMMYFUNCTION("""COMPUTED_VALUE"""),44189.5416666666)</f>
        <v>44189.541666666599</v>
      </c>
      <c r="B1508" s="1">
        <f ca="1">IFERROR(__xludf.DUMMYFUNCTION("""COMPUTED_VALUE"""),221.42)</f>
        <v>221.42</v>
      </c>
      <c r="C1508" s="1">
        <f ca="1">IFERROR(__xludf.DUMMYFUNCTION("""COMPUTED_VALUE"""),223.61)</f>
        <v>223.61</v>
      </c>
      <c r="D1508" s="1">
        <f ca="1">IFERROR(__xludf.DUMMYFUNCTION("""COMPUTED_VALUE"""),221.2)</f>
        <v>221.2</v>
      </c>
      <c r="E1508" s="1">
        <f ca="1">IFERROR(__xludf.DUMMYFUNCTION("""COMPUTED_VALUE"""),222.75)</f>
        <v>222.75</v>
      </c>
      <c r="F1508" s="1">
        <f ca="1">IFERROR(__xludf.DUMMYFUNCTION("""COMPUTED_VALUE"""),10550572)</f>
        <v>10550572</v>
      </c>
    </row>
    <row r="1509" spans="1:6" x14ac:dyDescent="0.35">
      <c r="A1509" s="2">
        <f ca="1">IFERROR(__xludf.DUMMYFUNCTION("""COMPUTED_VALUE"""),44193.6666666666)</f>
        <v>44193.666666666599</v>
      </c>
      <c r="B1509" s="1">
        <f ca="1">IFERROR(__xludf.DUMMYFUNCTION("""COMPUTED_VALUE"""),224.45)</f>
        <v>224.45</v>
      </c>
      <c r="C1509" s="1">
        <f ca="1">IFERROR(__xludf.DUMMYFUNCTION("""COMPUTED_VALUE"""),226.03)</f>
        <v>226.03</v>
      </c>
      <c r="D1509" s="1">
        <f ca="1">IFERROR(__xludf.DUMMYFUNCTION("""COMPUTED_VALUE"""),223.02)</f>
        <v>223.02</v>
      </c>
      <c r="E1509" s="1">
        <f ca="1">IFERROR(__xludf.DUMMYFUNCTION("""COMPUTED_VALUE"""),224.96)</f>
        <v>224.96</v>
      </c>
      <c r="F1509" s="1">
        <f ca="1">IFERROR(__xludf.DUMMYFUNCTION("""COMPUTED_VALUE"""),17933496)</f>
        <v>17933496</v>
      </c>
    </row>
    <row r="1510" spans="1:6" x14ac:dyDescent="0.35">
      <c r="A1510" s="2">
        <f ca="1">IFERROR(__xludf.DUMMYFUNCTION("""COMPUTED_VALUE"""),44194.6666666666)</f>
        <v>44194.666666666599</v>
      </c>
      <c r="B1510" s="1">
        <f ca="1">IFERROR(__xludf.DUMMYFUNCTION("""COMPUTED_VALUE"""),226.31)</f>
        <v>226.31</v>
      </c>
      <c r="C1510" s="1">
        <f ca="1">IFERROR(__xludf.DUMMYFUNCTION("""COMPUTED_VALUE"""),227.18)</f>
        <v>227.18</v>
      </c>
      <c r="D1510" s="1">
        <f ca="1">IFERROR(__xludf.DUMMYFUNCTION("""COMPUTED_VALUE"""),223.58)</f>
        <v>223.58</v>
      </c>
      <c r="E1510" s="1">
        <f ca="1">IFERROR(__xludf.DUMMYFUNCTION("""COMPUTED_VALUE"""),224.15)</f>
        <v>224.15</v>
      </c>
      <c r="F1510" s="1">
        <f ca="1">IFERROR(__xludf.DUMMYFUNCTION("""COMPUTED_VALUE"""),17403213)</f>
        <v>17403213</v>
      </c>
    </row>
    <row r="1511" spans="1:6" x14ac:dyDescent="0.35">
      <c r="A1511" s="2">
        <f ca="1">IFERROR(__xludf.DUMMYFUNCTION("""COMPUTED_VALUE"""),44195.6666666666)</f>
        <v>44195.666666666599</v>
      </c>
      <c r="B1511" s="1">
        <f ca="1">IFERROR(__xludf.DUMMYFUNCTION("""COMPUTED_VALUE"""),225.23)</f>
        <v>225.23</v>
      </c>
      <c r="C1511" s="1">
        <f ca="1">IFERROR(__xludf.DUMMYFUNCTION("""COMPUTED_VALUE"""),225.63)</f>
        <v>225.63</v>
      </c>
      <c r="D1511" s="1">
        <f ca="1">IFERROR(__xludf.DUMMYFUNCTION("""COMPUTED_VALUE"""),221.47)</f>
        <v>221.47</v>
      </c>
      <c r="E1511" s="1">
        <f ca="1">IFERROR(__xludf.DUMMYFUNCTION("""COMPUTED_VALUE"""),221.68)</f>
        <v>221.68</v>
      </c>
      <c r="F1511" s="1">
        <f ca="1">IFERROR(__xludf.DUMMYFUNCTION("""COMPUTED_VALUE"""),20272337)</f>
        <v>20272337</v>
      </c>
    </row>
    <row r="1512" spans="1:6" x14ac:dyDescent="0.35">
      <c r="A1512" s="2">
        <f ca="1">IFERROR(__xludf.DUMMYFUNCTION("""COMPUTED_VALUE"""),44196.6666666666)</f>
        <v>44196.666666666599</v>
      </c>
      <c r="B1512" s="1">
        <f ca="1">IFERROR(__xludf.DUMMYFUNCTION("""COMPUTED_VALUE"""),221.7)</f>
        <v>221.7</v>
      </c>
      <c r="C1512" s="1">
        <f ca="1">IFERROR(__xludf.DUMMYFUNCTION("""COMPUTED_VALUE"""),223)</f>
        <v>223</v>
      </c>
      <c r="D1512" s="1">
        <f ca="1">IFERROR(__xludf.DUMMYFUNCTION("""COMPUTED_VALUE"""),219.68)</f>
        <v>219.68</v>
      </c>
      <c r="E1512" s="1">
        <f ca="1">IFERROR(__xludf.DUMMYFUNCTION("""COMPUTED_VALUE"""),222.42)</f>
        <v>222.42</v>
      </c>
      <c r="F1512" s="1">
        <f ca="1">IFERROR(__xludf.DUMMYFUNCTION("""COMPUTED_VALUE"""),20942132)</f>
        <v>20942132</v>
      </c>
    </row>
    <row r="1513" spans="1:6" x14ac:dyDescent="0.35">
      <c r="A1513" s="2">
        <f ca="1">IFERROR(__xludf.DUMMYFUNCTION("""COMPUTED_VALUE"""),44200.6666666666)</f>
        <v>44200.666666666599</v>
      </c>
      <c r="B1513" s="1">
        <f ca="1">IFERROR(__xludf.DUMMYFUNCTION("""COMPUTED_VALUE"""),222.53)</f>
        <v>222.53</v>
      </c>
      <c r="C1513" s="1">
        <f ca="1">IFERROR(__xludf.DUMMYFUNCTION("""COMPUTED_VALUE"""),223)</f>
        <v>223</v>
      </c>
      <c r="D1513" s="1">
        <f ca="1">IFERROR(__xludf.DUMMYFUNCTION("""COMPUTED_VALUE"""),214.81)</f>
        <v>214.81</v>
      </c>
      <c r="E1513" s="1">
        <f ca="1">IFERROR(__xludf.DUMMYFUNCTION("""COMPUTED_VALUE"""),217.69)</f>
        <v>217.69</v>
      </c>
      <c r="F1513" s="1">
        <f ca="1">IFERROR(__xludf.DUMMYFUNCTION("""COMPUTED_VALUE"""),37130139)</f>
        <v>37130139</v>
      </c>
    </row>
    <row r="1514" spans="1:6" x14ac:dyDescent="0.35">
      <c r="A1514" s="2">
        <f ca="1">IFERROR(__xludf.DUMMYFUNCTION("""COMPUTED_VALUE"""),44201.6666666666)</f>
        <v>44201.666666666599</v>
      </c>
      <c r="B1514" s="1">
        <f ca="1">IFERROR(__xludf.DUMMYFUNCTION("""COMPUTED_VALUE"""),217.26)</f>
        <v>217.26</v>
      </c>
      <c r="C1514" s="1">
        <f ca="1">IFERROR(__xludf.DUMMYFUNCTION("""COMPUTED_VALUE"""),218.52)</f>
        <v>218.52</v>
      </c>
      <c r="D1514" s="1">
        <f ca="1">IFERROR(__xludf.DUMMYFUNCTION("""COMPUTED_VALUE"""),215.7)</f>
        <v>215.7</v>
      </c>
      <c r="E1514" s="1">
        <f ca="1">IFERROR(__xludf.DUMMYFUNCTION("""COMPUTED_VALUE"""),217.9)</f>
        <v>217.9</v>
      </c>
      <c r="F1514" s="1">
        <f ca="1">IFERROR(__xludf.DUMMYFUNCTION("""COMPUTED_VALUE"""),23822953)</f>
        <v>23822953</v>
      </c>
    </row>
    <row r="1515" spans="1:6" x14ac:dyDescent="0.35">
      <c r="A1515" s="2">
        <f ca="1">IFERROR(__xludf.DUMMYFUNCTION("""COMPUTED_VALUE"""),44202.6666666666)</f>
        <v>44202.666666666599</v>
      </c>
      <c r="B1515" s="1">
        <f ca="1">IFERROR(__xludf.DUMMYFUNCTION("""COMPUTED_VALUE"""),212.17)</f>
        <v>212.17</v>
      </c>
      <c r="C1515" s="1">
        <f ca="1">IFERROR(__xludf.DUMMYFUNCTION("""COMPUTED_VALUE"""),216.49)</f>
        <v>216.49</v>
      </c>
      <c r="D1515" s="1">
        <f ca="1">IFERROR(__xludf.DUMMYFUNCTION("""COMPUTED_VALUE"""),211.94)</f>
        <v>211.94</v>
      </c>
      <c r="E1515" s="1">
        <f ca="1">IFERROR(__xludf.DUMMYFUNCTION("""COMPUTED_VALUE"""),212.25)</f>
        <v>212.25</v>
      </c>
      <c r="F1515" s="1">
        <f ca="1">IFERROR(__xludf.DUMMYFUNCTION("""COMPUTED_VALUE"""),35930653)</f>
        <v>35930653</v>
      </c>
    </row>
    <row r="1516" spans="1:6" x14ac:dyDescent="0.35">
      <c r="A1516" s="2">
        <f ca="1">IFERROR(__xludf.DUMMYFUNCTION("""COMPUTED_VALUE"""),44203.6666666666)</f>
        <v>44203.666666666599</v>
      </c>
      <c r="B1516" s="1">
        <f ca="1">IFERROR(__xludf.DUMMYFUNCTION("""COMPUTED_VALUE"""),214.04)</f>
        <v>214.04</v>
      </c>
      <c r="C1516" s="1">
        <f ca="1">IFERROR(__xludf.DUMMYFUNCTION("""COMPUTED_VALUE"""),219.34)</f>
        <v>219.34</v>
      </c>
      <c r="D1516" s="1">
        <f ca="1">IFERROR(__xludf.DUMMYFUNCTION("""COMPUTED_VALUE"""),213.71)</f>
        <v>213.71</v>
      </c>
      <c r="E1516" s="1">
        <f ca="1">IFERROR(__xludf.DUMMYFUNCTION("""COMPUTED_VALUE"""),218.29)</f>
        <v>218.29</v>
      </c>
      <c r="F1516" s="1">
        <f ca="1">IFERROR(__xludf.DUMMYFUNCTION("""COMPUTED_VALUE"""),27694480)</f>
        <v>27694480</v>
      </c>
    </row>
    <row r="1517" spans="1:6" x14ac:dyDescent="0.35">
      <c r="A1517" s="2">
        <f ca="1">IFERROR(__xludf.DUMMYFUNCTION("""COMPUTED_VALUE"""),44204.6666666666)</f>
        <v>44204.666666666599</v>
      </c>
      <c r="B1517" s="1">
        <f ca="1">IFERROR(__xludf.DUMMYFUNCTION("""COMPUTED_VALUE"""),218.68)</f>
        <v>218.68</v>
      </c>
      <c r="C1517" s="1">
        <f ca="1">IFERROR(__xludf.DUMMYFUNCTION("""COMPUTED_VALUE"""),220.58)</f>
        <v>220.58</v>
      </c>
      <c r="D1517" s="1">
        <f ca="1">IFERROR(__xludf.DUMMYFUNCTION("""COMPUTED_VALUE"""),217.03)</f>
        <v>217.03</v>
      </c>
      <c r="E1517" s="1">
        <f ca="1">IFERROR(__xludf.DUMMYFUNCTION("""COMPUTED_VALUE"""),219.62)</f>
        <v>219.62</v>
      </c>
      <c r="F1517" s="1">
        <f ca="1">IFERROR(__xludf.DUMMYFUNCTION("""COMPUTED_VALUE"""),22956206)</f>
        <v>22956206</v>
      </c>
    </row>
    <row r="1518" spans="1:6" x14ac:dyDescent="0.35">
      <c r="A1518" s="2">
        <f ca="1">IFERROR(__xludf.DUMMYFUNCTION("""COMPUTED_VALUE"""),44207.6666666666)</f>
        <v>44207.666666666599</v>
      </c>
      <c r="B1518" s="1">
        <f ca="1">IFERROR(__xludf.DUMMYFUNCTION("""COMPUTED_VALUE"""),218.47)</f>
        <v>218.47</v>
      </c>
      <c r="C1518" s="1">
        <f ca="1">IFERROR(__xludf.DUMMYFUNCTION("""COMPUTED_VALUE"""),218.91)</f>
        <v>218.91</v>
      </c>
      <c r="D1518" s="1">
        <f ca="1">IFERROR(__xludf.DUMMYFUNCTION("""COMPUTED_VALUE"""),216.73)</f>
        <v>216.73</v>
      </c>
      <c r="E1518" s="1">
        <f ca="1">IFERROR(__xludf.DUMMYFUNCTION("""COMPUTED_VALUE"""),217.49)</f>
        <v>217.49</v>
      </c>
      <c r="F1518" s="1">
        <f ca="1">IFERROR(__xludf.DUMMYFUNCTION("""COMPUTED_VALUE"""),23047029)</f>
        <v>23047029</v>
      </c>
    </row>
    <row r="1519" spans="1:6" x14ac:dyDescent="0.35">
      <c r="A1519" s="2">
        <f ca="1">IFERROR(__xludf.DUMMYFUNCTION("""COMPUTED_VALUE"""),44208.6666666666)</f>
        <v>44208.666666666599</v>
      </c>
      <c r="B1519" s="1">
        <f ca="1">IFERROR(__xludf.DUMMYFUNCTION("""COMPUTED_VALUE"""),216.5)</f>
        <v>216.5</v>
      </c>
      <c r="C1519" s="1">
        <f ca="1">IFERROR(__xludf.DUMMYFUNCTION("""COMPUTED_VALUE"""),217.1)</f>
        <v>217.1</v>
      </c>
      <c r="D1519" s="1">
        <f ca="1">IFERROR(__xludf.DUMMYFUNCTION("""COMPUTED_VALUE"""),213.32)</f>
        <v>213.32</v>
      </c>
      <c r="E1519" s="1">
        <f ca="1">IFERROR(__xludf.DUMMYFUNCTION("""COMPUTED_VALUE"""),214.93)</f>
        <v>214.93</v>
      </c>
      <c r="F1519" s="1">
        <f ca="1">IFERROR(__xludf.DUMMYFUNCTION("""COMPUTED_VALUE"""),23249336)</f>
        <v>23249336</v>
      </c>
    </row>
    <row r="1520" spans="1:6" x14ac:dyDescent="0.35">
      <c r="A1520" s="2">
        <f ca="1">IFERROR(__xludf.DUMMYFUNCTION("""COMPUTED_VALUE"""),44209.6666666666)</f>
        <v>44209.666666666599</v>
      </c>
      <c r="B1520" s="1">
        <f ca="1">IFERROR(__xludf.DUMMYFUNCTION("""COMPUTED_VALUE"""),214.02)</f>
        <v>214.02</v>
      </c>
      <c r="C1520" s="1">
        <f ca="1">IFERROR(__xludf.DUMMYFUNCTION("""COMPUTED_VALUE"""),216.76)</f>
        <v>216.76</v>
      </c>
      <c r="D1520" s="1">
        <f ca="1">IFERROR(__xludf.DUMMYFUNCTION("""COMPUTED_VALUE"""),213.93)</f>
        <v>213.93</v>
      </c>
      <c r="E1520" s="1">
        <f ca="1">IFERROR(__xludf.DUMMYFUNCTION("""COMPUTED_VALUE"""),216.34)</f>
        <v>216.34</v>
      </c>
      <c r="F1520" s="1">
        <f ca="1">IFERROR(__xludf.DUMMYFUNCTION("""COMPUTED_VALUE"""),20087080)</f>
        <v>20087080</v>
      </c>
    </row>
    <row r="1521" spans="1:6" x14ac:dyDescent="0.35">
      <c r="A1521" s="2">
        <f ca="1">IFERROR(__xludf.DUMMYFUNCTION("""COMPUTED_VALUE"""),44210.6666666666)</f>
        <v>44210.666666666599</v>
      </c>
      <c r="B1521" s="1">
        <f ca="1">IFERROR(__xludf.DUMMYFUNCTION("""COMPUTED_VALUE"""),215.91)</f>
        <v>215.91</v>
      </c>
      <c r="C1521" s="1">
        <f ca="1">IFERROR(__xludf.DUMMYFUNCTION("""COMPUTED_VALUE"""),217.46)</f>
        <v>217.46</v>
      </c>
      <c r="D1521" s="1">
        <f ca="1">IFERROR(__xludf.DUMMYFUNCTION("""COMPUTED_VALUE"""),212.74)</f>
        <v>212.74</v>
      </c>
      <c r="E1521" s="1">
        <f ca="1">IFERROR(__xludf.DUMMYFUNCTION("""COMPUTED_VALUE"""),213.02)</f>
        <v>213.02</v>
      </c>
      <c r="F1521" s="1">
        <f ca="1">IFERROR(__xludf.DUMMYFUNCTION("""COMPUTED_VALUE"""),29346737)</f>
        <v>29346737</v>
      </c>
    </row>
    <row r="1522" spans="1:6" x14ac:dyDescent="0.35">
      <c r="A1522" s="2">
        <f ca="1">IFERROR(__xludf.DUMMYFUNCTION("""COMPUTED_VALUE"""),44211.6666666666)</f>
        <v>44211.666666666599</v>
      </c>
      <c r="B1522" s="1">
        <f ca="1">IFERROR(__xludf.DUMMYFUNCTION("""COMPUTED_VALUE"""),213.52)</f>
        <v>213.52</v>
      </c>
      <c r="C1522" s="1">
        <f ca="1">IFERROR(__xludf.DUMMYFUNCTION("""COMPUTED_VALUE"""),214.51)</f>
        <v>214.51</v>
      </c>
      <c r="D1522" s="1">
        <f ca="1">IFERROR(__xludf.DUMMYFUNCTION("""COMPUTED_VALUE"""),212.03)</f>
        <v>212.03</v>
      </c>
      <c r="E1522" s="1">
        <f ca="1">IFERROR(__xludf.DUMMYFUNCTION("""COMPUTED_VALUE"""),212.65)</f>
        <v>212.65</v>
      </c>
      <c r="F1522" s="1">
        <f ca="1">IFERROR(__xludf.DUMMYFUNCTION("""COMPUTED_VALUE"""),31746512)</f>
        <v>31746512</v>
      </c>
    </row>
    <row r="1523" spans="1:6" x14ac:dyDescent="0.35">
      <c r="A1523" s="2">
        <f ca="1">IFERROR(__xludf.DUMMYFUNCTION("""COMPUTED_VALUE"""),44215.6666666666)</f>
        <v>44215.666666666599</v>
      </c>
      <c r="B1523" s="1">
        <f ca="1">IFERROR(__xludf.DUMMYFUNCTION("""COMPUTED_VALUE"""),213.75)</f>
        <v>213.75</v>
      </c>
      <c r="C1523" s="1">
        <f ca="1">IFERROR(__xludf.DUMMYFUNCTION("""COMPUTED_VALUE"""),216.98)</f>
        <v>216.98</v>
      </c>
      <c r="D1523" s="1">
        <f ca="1">IFERROR(__xludf.DUMMYFUNCTION("""COMPUTED_VALUE"""),212.63)</f>
        <v>212.63</v>
      </c>
      <c r="E1523" s="1">
        <f ca="1">IFERROR(__xludf.DUMMYFUNCTION("""COMPUTED_VALUE"""),216.44)</f>
        <v>216.44</v>
      </c>
      <c r="F1523" s="1">
        <f ca="1">IFERROR(__xludf.DUMMYFUNCTION("""COMPUTED_VALUE"""),30480859)</f>
        <v>30480859</v>
      </c>
    </row>
    <row r="1524" spans="1:6" x14ac:dyDescent="0.35">
      <c r="A1524" s="2">
        <f ca="1">IFERROR(__xludf.DUMMYFUNCTION("""COMPUTED_VALUE"""),44216.6666666666)</f>
        <v>44216.666666666599</v>
      </c>
      <c r="B1524" s="1">
        <f ca="1">IFERROR(__xludf.DUMMYFUNCTION("""COMPUTED_VALUE"""),217.7)</f>
        <v>217.7</v>
      </c>
      <c r="C1524" s="1">
        <f ca="1">IFERROR(__xludf.DUMMYFUNCTION("""COMPUTED_VALUE"""),225.79)</f>
        <v>225.79</v>
      </c>
      <c r="D1524" s="1">
        <f ca="1">IFERROR(__xludf.DUMMYFUNCTION("""COMPUTED_VALUE"""),217.29)</f>
        <v>217.29</v>
      </c>
      <c r="E1524" s="1">
        <f ca="1">IFERROR(__xludf.DUMMYFUNCTION("""COMPUTED_VALUE"""),224.34)</f>
        <v>224.34</v>
      </c>
      <c r="F1524" s="1">
        <f ca="1">IFERROR(__xludf.DUMMYFUNCTION("""COMPUTED_VALUE"""),37777260)</f>
        <v>37777260</v>
      </c>
    </row>
    <row r="1525" spans="1:6" x14ac:dyDescent="0.35">
      <c r="A1525" s="2">
        <f ca="1">IFERROR(__xludf.DUMMYFUNCTION("""COMPUTED_VALUE"""),44217.6666666666)</f>
        <v>44217.666666666599</v>
      </c>
      <c r="B1525" s="1">
        <f ca="1">IFERROR(__xludf.DUMMYFUNCTION("""COMPUTED_VALUE"""),224.7)</f>
        <v>224.7</v>
      </c>
      <c r="C1525" s="1">
        <f ca="1">IFERROR(__xludf.DUMMYFUNCTION("""COMPUTED_VALUE"""),226.3)</f>
        <v>226.3</v>
      </c>
      <c r="D1525" s="1">
        <f ca="1">IFERROR(__xludf.DUMMYFUNCTION("""COMPUTED_VALUE"""),222.42)</f>
        <v>222.42</v>
      </c>
      <c r="E1525" s="1">
        <f ca="1">IFERROR(__xludf.DUMMYFUNCTION("""COMPUTED_VALUE"""),224.97)</f>
        <v>224.97</v>
      </c>
      <c r="F1525" s="1">
        <f ca="1">IFERROR(__xludf.DUMMYFUNCTION("""COMPUTED_VALUE"""),30749553)</f>
        <v>30749553</v>
      </c>
    </row>
    <row r="1526" spans="1:6" x14ac:dyDescent="0.35">
      <c r="A1526" s="2">
        <f ca="1">IFERROR(__xludf.DUMMYFUNCTION("""COMPUTED_VALUE"""),44218.6666666666)</f>
        <v>44218.666666666599</v>
      </c>
      <c r="B1526" s="1">
        <f ca="1">IFERROR(__xludf.DUMMYFUNCTION("""COMPUTED_VALUE"""),227.08)</f>
        <v>227.08</v>
      </c>
      <c r="C1526" s="1">
        <f ca="1">IFERROR(__xludf.DUMMYFUNCTION("""COMPUTED_VALUE"""),230.07)</f>
        <v>230.07</v>
      </c>
      <c r="D1526" s="1">
        <f ca="1">IFERROR(__xludf.DUMMYFUNCTION("""COMPUTED_VALUE"""),225.8)</f>
        <v>225.8</v>
      </c>
      <c r="E1526" s="1">
        <f ca="1">IFERROR(__xludf.DUMMYFUNCTION("""COMPUTED_VALUE"""),225.95)</f>
        <v>225.95</v>
      </c>
      <c r="F1526" s="1">
        <f ca="1">IFERROR(__xludf.DUMMYFUNCTION("""COMPUTED_VALUE"""),30172663)</f>
        <v>30172663</v>
      </c>
    </row>
    <row r="1527" spans="1:6" x14ac:dyDescent="0.35">
      <c r="A1527" s="2">
        <f ca="1">IFERROR(__xludf.DUMMYFUNCTION("""COMPUTED_VALUE"""),44221.6666666666)</f>
        <v>44221.666666666599</v>
      </c>
      <c r="B1527" s="1">
        <f ca="1">IFERROR(__xludf.DUMMYFUNCTION("""COMPUTED_VALUE"""),229.12)</f>
        <v>229.12</v>
      </c>
      <c r="C1527" s="1">
        <f ca="1">IFERROR(__xludf.DUMMYFUNCTION("""COMPUTED_VALUE"""),229.78)</f>
        <v>229.78</v>
      </c>
      <c r="D1527" s="1">
        <f ca="1">IFERROR(__xludf.DUMMYFUNCTION("""COMPUTED_VALUE"""),224.22)</f>
        <v>224.22</v>
      </c>
      <c r="E1527" s="1">
        <f ca="1">IFERROR(__xludf.DUMMYFUNCTION("""COMPUTED_VALUE"""),229.53)</f>
        <v>229.53</v>
      </c>
      <c r="F1527" s="1">
        <f ca="1">IFERROR(__xludf.DUMMYFUNCTION("""COMPUTED_VALUE"""),33152095)</f>
        <v>33152095</v>
      </c>
    </row>
    <row r="1528" spans="1:6" x14ac:dyDescent="0.35">
      <c r="A1528" s="2">
        <f ca="1">IFERROR(__xludf.DUMMYFUNCTION("""COMPUTED_VALUE"""),44222.6666666666)</f>
        <v>44222.666666666599</v>
      </c>
      <c r="B1528" s="1">
        <f ca="1">IFERROR(__xludf.DUMMYFUNCTION("""COMPUTED_VALUE"""),231.86)</f>
        <v>231.86</v>
      </c>
      <c r="C1528" s="1">
        <f ca="1">IFERROR(__xludf.DUMMYFUNCTION("""COMPUTED_VALUE"""),234.18)</f>
        <v>234.18</v>
      </c>
      <c r="D1528" s="1">
        <f ca="1">IFERROR(__xludf.DUMMYFUNCTION("""COMPUTED_VALUE"""),230.08)</f>
        <v>230.08</v>
      </c>
      <c r="E1528" s="1">
        <f ca="1">IFERROR(__xludf.DUMMYFUNCTION("""COMPUTED_VALUE"""),232.33)</f>
        <v>232.33</v>
      </c>
      <c r="F1528" s="1">
        <f ca="1">IFERROR(__xludf.DUMMYFUNCTION("""COMPUTED_VALUE"""),49169601)</f>
        <v>49169601</v>
      </c>
    </row>
    <row r="1529" spans="1:6" x14ac:dyDescent="0.35">
      <c r="A1529" s="2">
        <f ca="1">IFERROR(__xludf.DUMMYFUNCTION("""COMPUTED_VALUE"""),44223.6666666666)</f>
        <v>44223.666666666599</v>
      </c>
      <c r="B1529" s="1">
        <f ca="1">IFERROR(__xludf.DUMMYFUNCTION("""COMPUTED_VALUE"""),238)</f>
        <v>238</v>
      </c>
      <c r="C1529" s="1">
        <f ca="1">IFERROR(__xludf.DUMMYFUNCTION("""COMPUTED_VALUE"""),240.44)</f>
        <v>240.44</v>
      </c>
      <c r="D1529" s="1">
        <f ca="1">IFERROR(__xludf.DUMMYFUNCTION("""COMPUTED_VALUE"""),230.14)</f>
        <v>230.14</v>
      </c>
      <c r="E1529" s="1">
        <f ca="1">IFERROR(__xludf.DUMMYFUNCTION("""COMPUTED_VALUE"""),232.9)</f>
        <v>232.9</v>
      </c>
      <c r="F1529" s="1">
        <f ca="1">IFERROR(__xludf.DUMMYFUNCTION("""COMPUTED_VALUE"""),69870638)</f>
        <v>69870638</v>
      </c>
    </row>
    <row r="1530" spans="1:6" x14ac:dyDescent="0.35">
      <c r="A1530" s="2">
        <f ca="1">IFERROR(__xludf.DUMMYFUNCTION("""COMPUTED_VALUE"""),44224.6666666666)</f>
        <v>44224.666666666599</v>
      </c>
      <c r="B1530" s="1">
        <f ca="1">IFERROR(__xludf.DUMMYFUNCTION("""COMPUTED_VALUE"""),235.61)</f>
        <v>235.61</v>
      </c>
      <c r="C1530" s="1">
        <f ca="1">IFERROR(__xludf.DUMMYFUNCTION("""COMPUTED_VALUE"""),242.64)</f>
        <v>242.64</v>
      </c>
      <c r="D1530" s="1">
        <f ca="1">IFERROR(__xludf.DUMMYFUNCTION("""COMPUTED_VALUE"""),235.09)</f>
        <v>235.09</v>
      </c>
      <c r="E1530" s="1">
        <f ca="1">IFERROR(__xludf.DUMMYFUNCTION("""COMPUTED_VALUE"""),238.93)</f>
        <v>238.93</v>
      </c>
      <c r="F1530" s="1">
        <f ca="1">IFERROR(__xludf.DUMMYFUNCTION("""COMPUTED_VALUE"""),49111159)</f>
        <v>49111159</v>
      </c>
    </row>
    <row r="1531" spans="1:6" x14ac:dyDescent="0.35">
      <c r="A1531" s="2">
        <f ca="1">IFERROR(__xludf.DUMMYFUNCTION("""COMPUTED_VALUE"""),44225.6666666666)</f>
        <v>44225.666666666599</v>
      </c>
      <c r="B1531" s="1">
        <f ca="1">IFERROR(__xludf.DUMMYFUNCTION("""COMPUTED_VALUE"""),235.99)</f>
        <v>235.99</v>
      </c>
      <c r="C1531" s="1">
        <f ca="1">IFERROR(__xludf.DUMMYFUNCTION("""COMPUTED_VALUE"""),238.02)</f>
        <v>238.02</v>
      </c>
      <c r="D1531" s="1">
        <f ca="1">IFERROR(__xludf.DUMMYFUNCTION("""COMPUTED_VALUE"""),231.35)</f>
        <v>231.35</v>
      </c>
      <c r="E1531" s="1">
        <f ca="1">IFERROR(__xludf.DUMMYFUNCTION("""COMPUTED_VALUE"""),231.96)</f>
        <v>231.96</v>
      </c>
      <c r="F1531" s="1">
        <f ca="1">IFERROR(__xludf.DUMMYFUNCTION("""COMPUTED_VALUE"""),42503138)</f>
        <v>42503138</v>
      </c>
    </row>
    <row r="1532" spans="1:6" x14ac:dyDescent="0.35">
      <c r="A1532" s="2">
        <f ca="1">IFERROR(__xludf.DUMMYFUNCTION("""COMPUTED_VALUE"""),44228.6666666666)</f>
        <v>44228.666666666599</v>
      </c>
      <c r="B1532" s="1">
        <f ca="1">IFERROR(__xludf.DUMMYFUNCTION("""COMPUTED_VALUE"""),235.06)</f>
        <v>235.06</v>
      </c>
      <c r="C1532" s="1">
        <f ca="1">IFERROR(__xludf.DUMMYFUNCTION("""COMPUTED_VALUE"""),242.5)</f>
        <v>242.5</v>
      </c>
      <c r="D1532" s="1">
        <f ca="1">IFERROR(__xludf.DUMMYFUNCTION("""COMPUTED_VALUE"""),232.43)</f>
        <v>232.43</v>
      </c>
      <c r="E1532" s="1">
        <f ca="1">IFERROR(__xludf.DUMMYFUNCTION("""COMPUTED_VALUE"""),239.65)</f>
        <v>239.65</v>
      </c>
      <c r="F1532" s="1">
        <f ca="1">IFERROR(__xludf.DUMMYFUNCTION("""COMPUTED_VALUE"""),33314193)</f>
        <v>33314193</v>
      </c>
    </row>
    <row r="1533" spans="1:6" x14ac:dyDescent="0.35">
      <c r="A1533" s="2">
        <f ca="1">IFERROR(__xludf.DUMMYFUNCTION("""COMPUTED_VALUE"""),44229.6666666666)</f>
        <v>44229.666666666599</v>
      </c>
      <c r="B1533" s="1">
        <f ca="1">IFERROR(__xludf.DUMMYFUNCTION("""COMPUTED_VALUE"""),241.3)</f>
        <v>241.3</v>
      </c>
      <c r="C1533" s="1">
        <f ca="1">IFERROR(__xludf.DUMMYFUNCTION("""COMPUTED_VALUE"""),242.31)</f>
        <v>242.31</v>
      </c>
      <c r="D1533" s="1">
        <f ca="1">IFERROR(__xludf.DUMMYFUNCTION("""COMPUTED_VALUE"""),238.69)</f>
        <v>238.69</v>
      </c>
      <c r="E1533" s="1">
        <f ca="1">IFERROR(__xludf.DUMMYFUNCTION("""COMPUTED_VALUE"""),239.51)</f>
        <v>239.51</v>
      </c>
      <c r="F1533" s="1">
        <f ca="1">IFERROR(__xludf.DUMMYFUNCTION("""COMPUTED_VALUE"""),25916337)</f>
        <v>25916337</v>
      </c>
    </row>
    <row r="1534" spans="1:6" x14ac:dyDescent="0.35">
      <c r="A1534" s="2">
        <f ca="1">IFERROR(__xludf.DUMMYFUNCTION("""COMPUTED_VALUE"""),44230.6666666666)</f>
        <v>44230.666666666599</v>
      </c>
      <c r="B1534" s="1">
        <f ca="1">IFERROR(__xludf.DUMMYFUNCTION("""COMPUTED_VALUE"""),239.57)</f>
        <v>239.57</v>
      </c>
      <c r="C1534" s="1">
        <f ca="1">IFERROR(__xludf.DUMMYFUNCTION("""COMPUTED_VALUE"""),245.09)</f>
        <v>245.09</v>
      </c>
      <c r="D1534" s="1">
        <f ca="1">IFERROR(__xludf.DUMMYFUNCTION("""COMPUTED_VALUE"""),239.26)</f>
        <v>239.26</v>
      </c>
      <c r="E1534" s="1">
        <f ca="1">IFERROR(__xludf.DUMMYFUNCTION("""COMPUTED_VALUE"""),243)</f>
        <v>243</v>
      </c>
      <c r="F1534" s="1">
        <f ca="1">IFERROR(__xludf.DUMMYFUNCTION("""COMPUTED_VALUE"""),27158104)</f>
        <v>27158104</v>
      </c>
    </row>
    <row r="1535" spans="1:6" x14ac:dyDescent="0.35">
      <c r="A1535" s="2">
        <f ca="1">IFERROR(__xludf.DUMMYFUNCTION("""COMPUTED_VALUE"""),44231.6666666666)</f>
        <v>44231.666666666599</v>
      </c>
      <c r="B1535" s="1">
        <f ca="1">IFERROR(__xludf.DUMMYFUNCTION("""COMPUTED_VALUE"""),242.66)</f>
        <v>242.66</v>
      </c>
      <c r="C1535" s="1">
        <f ca="1">IFERROR(__xludf.DUMMYFUNCTION("""COMPUTED_VALUE"""),243.24)</f>
        <v>243.24</v>
      </c>
      <c r="D1535" s="1">
        <f ca="1">IFERROR(__xludf.DUMMYFUNCTION("""COMPUTED_VALUE"""),240.37)</f>
        <v>240.37</v>
      </c>
      <c r="E1535" s="1">
        <f ca="1">IFERROR(__xludf.DUMMYFUNCTION("""COMPUTED_VALUE"""),242.01)</f>
        <v>242.01</v>
      </c>
      <c r="F1535" s="1">
        <f ca="1">IFERROR(__xludf.DUMMYFUNCTION("""COMPUTED_VALUE"""),25296100)</f>
        <v>25296100</v>
      </c>
    </row>
    <row r="1536" spans="1:6" x14ac:dyDescent="0.35">
      <c r="A1536" s="2">
        <f ca="1">IFERROR(__xludf.DUMMYFUNCTION("""COMPUTED_VALUE"""),44232.6666666666)</f>
        <v>44232.666666666599</v>
      </c>
      <c r="B1536" s="1">
        <f ca="1">IFERROR(__xludf.DUMMYFUNCTION("""COMPUTED_VALUE"""),242.23)</f>
        <v>242.23</v>
      </c>
      <c r="C1536" s="1">
        <f ca="1">IFERROR(__xludf.DUMMYFUNCTION("""COMPUTED_VALUE"""),243.28)</f>
        <v>243.28</v>
      </c>
      <c r="D1536" s="1">
        <f ca="1">IFERROR(__xludf.DUMMYFUNCTION("""COMPUTED_VALUE"""),240.42)</f>
        <v>240.42</v>
      </c>
      <c r="E1536" s="1">
        <f ca="1">IFERROR(__xludf.DUMMYFUNCTION("""COMPUTED_VALUE"""),242.2)</f>
        <v>242.2</v>
      </c>
      <c r="F1536" s="1">
        <f ca="1">IFERROR(__xludf.DUMMYFUNCTION("""COMPUTED_VALUE"""),18054752)</f>
        <v>18054752</v>
      </c>
    </row>
    <row r="1537" spans="1:6" x14ac:dyDescent="0.35">
      <c r="A1537" s="2">
        <f ca="1">IFERROR(__xludf.DUMMYFUNCTION("""COMPUTED_VALUE"""),44235.6666666666)</f>
        <v>44235.666666666599</v>
      </c>
      <c r="B1537" s="1">
        <f ca="1">IFERROR(__xludf.DUMMYFUNCTION("""COMPUTED_VALUE"""),243.15)</f>
        <v>243.15</v>
      </c>
      <c r="C1537" s="1">
        <f ca="1">IFERROR(__xludf.DUMMYFUNCTION("""COMPUTED_VALUE"""),243.68)</f>
        <v>243.68</v>
      </c>
      <c r="D1537" s="1">
        <f ca="1">IFERROR(__xludf.DUMMYFUNCTION("""COMPUTED_VALUE"""),240.81)</f>
        <v>240.81</v>
      </c>
      <c r="E1537" s="1">
        <f ca="1">IFERROR(__xludf.DUMMYFUNCTION("""COMPUTED_VALUE"""),242.47)</f>
        <v>242.47</v>
      </c>
      <c r="F1537" s="1">
        <f ca="1">IFERROR(__xludf.DUMMYFUNCTION("""COMPUTED_VALUE"""),22211929)</f>
        <v>22211929</v>
      </c>
    </row>
    <row r="1538" spans="1:6" x14ac:dyDescent="0.35">
      <c r="A1538" s="2">
        <f ca="1">IFERROR(__xludf.DUMMYFUNCTION("""COMPUTED_VALUE"""),44236.6666666666)</f>
        <v>44236.666666666599</v>
      </c>
      <c r="B1538" s="1">
        <f ca="1">IFERROR(__xludf.DUMMYFUNCTION("""COMPUTED_VALUE"""),241.87)</f>
        <v>241.87</v>
      </c>
      <c r="C1538" s="1">
        <f ca="1">IFERROR(__xludf.DUMMYFUNCTION("""COMPUTED_VALUE"""),244.76)</f>
        <v>244.76</v>
      </c>
      <c r="D1538" s="1">
        <f ca="1">IFERROR(__xludf.DUMMYFUNCTION("""COMPUTED_VALUE"""),241.38)</f>
        <v>241.38</v>
      </c>
      <c r="E1538" s="1">
        <f ca="1">IFERROR(__xludf.DUMMYFUNCTION("""COMPUTED_VALUE"""),243.77)</f>
        <v>243.77</v>
      </c>
      <c r="F1538" s="1">
        <f ca="1">IFERROR(__xludf.DUMMYFUNCTION("""COMPUTED_VALUE"""),23564953)</f>
        <v>23564953</v>
      </c>
    </row>
    <row r="1539" spans="1:6" x14ac:dyDescent="0.35">
      <c r="A1539" s="2">
        <f ca="1">IFERROR(__xludf.DUMMYFUNCTION("""COMPUTED_VALUE"""),44237.6666666666)</f>
        <v>44237.666666666599</v>
      </c>
      <c r="B1539" s="1">
        <f ca="1">IFERROR(__xludf.DUMMYFUNCTION("""COMPUTED_VALUE"""),245)</f>
        <v>245</v>
      </c>
      <c r="C1539" s="1">
        <f ca="1">IFERROR(__xludf.DUMMYFUNCTION("""COMPUTED_VALUE"""),245.92)</f>
        <v>245.92</v>
      </c>
      <c r="D1539" s="1">
        <f ca="1">IFERROR(__xludf.DUMMYFUNCTION("""COMPUTED_VALUE"""),240.89)</f>
        <v>240.89</v>
      </c>
      <c r="E1539" s="1">
        <f ca="1">IFERROR(__xludf.DUMMYFUNCTION("""COMPUTED_VALUE"""),242.82)</f>
        <v>242.82</v>
      </c>
      <c r="F1539" s="1">
        <f ca="1">IFERROR(__xludf.DUMMYFUNCTION("""COMPUTED_VALUE"""),22186706)</f>
        <v>22186706</v>
      </c>
    </row>
    <row r="1540" spans="1:6" x14ac:dyDescent="0.35">
      <c r="A1540" s="2">
        <f ca="1">IFERROR(__xludf.DUMMYFUNCTION("""COMPUTED_VALUE"""),44238.6666666666)</f>
        <v>44238.666666666599</v>
      </c>
      <c r="B1540" s="1">
        <f ca="1">IFERROR(__xludf.DUMMYFUNCTION("""COMPUTED_VALUE"""),244.78)</f>
        <v>244.78</v>
      </c>
      <c r="C1540" s="1">
        <f ca="1">IFERROR(__xludf.DUMMYFUNCTION("""COMPUTED_VALUE"""),245.15)</f>
        <v>245.15</v>
      </c>
      <c r="D1540" s="1">
        <f ca="1">IFERROR(__xludf.DUMMYFUNCTION("""COMPUTED_VALUE"""),242.15)</f>
        <v>242.15</v>
      </c>
      <c r="E1540" s="1">
        <f ca="1">IFERROR(__xludf.DUMMYFUNCTION("""COMPUTED_VALUE"""),244.49)</f>
        <v>244.49</v>
      </c>
      <c r="F1540" s="1">
        <f ca="1">IFERROR(__xludf.DUMMYFUNCTION("""COMPUTED_VALUE"""),15751059)</f>
        <v>15751059</v>
      </c>
    </row>
    <row r="1541" spans="1:6" x14ac:dyDescent="0.35">
      <c r="A1541" s="2">
        <f ca="1">IFERROR(__xludf.DUMMYFUNCTION("""COMPUTED_VALUE"""),44239.6666666666)</f>
        <v>44239.666666666599</v>
      </c>
      <c r="B1541" s="1">
        <f ca="1">IFERROR(__xludf.DUMMYFUNCTION("""COMPUTED_VALUE"""),243.93)</f>
        <v>243.93</v>
      </c>
      <c r="C1541" s="1">
        <f ca="1">IFERROR(__xludf.DUMMYFUNCTION("""COMPUTED_VALUE"""),245.3)</f>
        <v>245.3</v>
      </c>
      <c r="D1541" s="1">
        <f ca="1">IFERROR(__xludf.DUMMYFUNCTION("""COMPUTED_VALUE"""),242.73)</f>
        <v>242.73</v>
      </c>
      <c r="E1541" s="1">
        <f ca="1">IFERROR(__xludf.DUMMYFUNCTION("""COMPUTED_VALUE"""),244.99)</f>
        <v>244.99</v>
      </c>
      <c r="F1541" s="1">
        <f ca="1">IFERROR(__xludf.DUMMYFUNCTION("""COMPUTED_VALUE"""),16561079)</f>
        <v>16561079</v>
      </c>
    </row>
    <row r="1542" spans="1:6" x14ac:dyDescent="0.35">
      <c r="A1542" s="2">
        <f ca="1">IFERROR(__xludf.DUMMYFUNCTION("""COMPUTED_VALUE"""),44243.6666666666)</f>
        <v>44243.666666666599</v>
      </c>
      <c r="B1542" s="1">
        <f ca="1">IFERROR(__xludf.DUMMYFUNCTION("""COMPUTED_VALUE"""),245.03)</f>
        <v>245.03</v>
      </c>
      <c r="C1542" s="1">
        <f ca="1">IFERROR(__xludf.DUMMYFUNCTION("""COMPUTED_VALUE"""),246.13)</f>
        <v>246.13</v>
      </c>
      <c r="D1542" s="1">
        <f ca="1">IFERROR(__xludf.DUMMYFUNCTION("""COMPUTED_VALUE"""),242.92)</f>
        <v>242.92</v>
      </c>
      <c r="E1542" s="1">
        <f ca="1">IFERROR(__xludf.DUMMYFUNCTION("""COMPUTED_VALUE"""),243.7)</f>
        <v>243.7</v>
      </c>
      <c r="F1542" s="1">
        <f ca="1">IFERROR(__xludf.DUMMYFUNCTION("""COMPUTED_VALUE"""),26728490)</f>
        <v>26728490</v>
      </c>
    </row>
    <row r="1543" spans="1:6" x14ac:dyDescent="0.35">
      <c r="A1543" s="2">
        <f ca="1">IFERROR(__xludf.DUMMYFUNCTION("""COMPUTED_VALUE"""),44244.6666666666)</f>
        <v>44244.666666666599</v>
      </c>
      <c r="B1543" s="1">
        <f ca="1">IFERROR(__xludf.DUMMYFUNCTION("""COMPUTED_VALUE"""),241.32)</f>
        <v>241.32</v>
      </c>
      <c r="C1543" s="1">
        <f ca="1">IFERROR(__xludf.DUMMYFUNCTION("""COMPUTED_VALUE"""),244.31)</f>
        <v>244.31</v>
      </c>
      <c r="D1543" s="1">
        <f ca="1">IFERROR(__xludf.DUMMYFUNCTION("""COMPUTED_VALUE"""),240.94)</f>
        <v>240.94</v>
      </c>
      <c r="E1543" s="1">
        <f ca="1">IFERROR(__xludf.DUMMYFUNCTION("""COMPUTED_VALUE"""),244.2)</f>
        <v>244.2</v>
      </c>
      <c r="F1543" s="1">
        <f ca="1">IFERROR(__xludf.DUMMYFUNCTION("""COMPUTED_VALUE"""),21673109)</f>
        <v>21673109</v>
      </c>
    </row>
    <row r="1544" spans="1:6" x14ac:dyDescent="0.35">
      <c r="A1544" s="2">
        <f ca="1">IFERROR(__xludf.DUMMYFUNCTION("""COMPUTED_VALUE"""),44245.6666666666)</f>
        <v>44245.666666666599</v>
      </c>
      <c r="B1544" s="1">
        <f ca="1">IFERROR(__xludf.DUMMYFUNCTION("""COMPUTED_VALUE"""),241.8)</f>
        <v>241.8</v>
      </c>
      <c r="C1544" s="1">
        <f ca="1">IFERROR(__xludf.DUMMYFUNCTION("""COMPUTED_VALUE"""),243.93)</f>
        <v>243.93</v>
      </c>
      <c r="D1544" s="1">
        <f ca="1">IFERROR(__xludf.DUMMYFUNCTION("""COMPUTED_VALUE"""),240.86)</f>
        <v>240.86</v>
      </c>
      <c r="E1544" s="1">
        <f ca="1">IFERROR(__xludf.DUMMYFUNCTION("""COMPUTED_VALUE"""),243.79)</f>
        <v>243.79</v>
      </c>
      <c r="F1544" s="1">
        <f ca="1">IFERROR(__xludf.DUMMYFUNCTION("""COMPUTED_VALUE"""),16925563)</f>
        <v>16925563</v>
      </c>
    </row>
    <row r="1545" spans="1:6" x14ac:dyDescent="0.35">
      <c r="A1545" s="2">
        <f ca="1">IFERROR(__xludf.DUMMYFUNCTION("""COMPUTED_VALUE"""),44246.6666666666)</f>
        <v>44246.666666666599</v>
      </c>
      <c r="B1545" s="1">
        <f ca="1">IFERROR(__xludf.DUMMYFUNCTION("""COMPUTED_VALUE"""),243.75)</f>
        <v>243.75</v>
      </c>
      <c r="C1545" s="1">
        <f ca="1">IFERROR(__xludf.DUMMYFUNCTION("""COMPUTED_VALUE"""),243.86)</f>
        <v>243.86</v>
      </c>
      <c r="D1545" s="1">
        <f ca="1">IFERROR(__xludf.DUMMYFUNCTION("""COMPUTED_VALUE"""),240.18)</f>
        <v>240.18</v>
      </c>
      <c r="E1545" s="1">
        <f ca="1">IFERROR(__xludf.DUMMYFUNCTION("""COMPUTED_VALUE"""),240.97)</f>
        <v>240.97</v>
      </c>
      <c r="F1545" s="1">
        <f ca="1">IFERROR(__xludf.DUMMYFUNCTION("""COMPUTED_VALUE"""),25262600)</f>
        <v>25262600</v>
      </c>
    </row>
    <row r="1546" spans="1:6" x14ac:dyDescent="0.35">
      <c r="A1546" s="2">
        <f ca="1">IFERROR(__xludf.DUMMYFUNCTION("""COMPUTED_VALUE"""),44249.6666666666)</f>
        <v>44249.666666666599</v>
      </c>
      <c r="B1546" s="1">
        <f ca="1">IFERROR(__xludf.DUMMYFUNCTION("""COMPUTED_VALUE"""),237.42)</f>
        <v>237.42</v>
      </c>
      <c r="C1546" s="1">
        <f ca="1">IFERROR(__xludf.DUMMYFUNCTION("""COMPUTED_VALUE"""),237.93)</f>
        <v>237.93</v>
      </c>
      <c r="D1546" s="1">
        <f ca="1">IFERROR(__xludf.DUMMYFUNCTION("""COMPUTED_VALUE"""),232.4)</f>
        <v>232.4</v>
      </c>
      <c r="E1546" s="1">
        <f ca="1">IFERROR(__xludf.DUMMYFUNCTION("""COMPUTED_VALUE"""),234.51)</f>
        <v>234.51</v>
      </c>
      <c r="F1546" s="1">
        <f ca="1">IFERROR(__xludf.DUMMYFUNCTION("""COMPUTED_VALUE"""),36446936)</f>
        <v>36446936</v>
      </c>
    </row>
    <row r="1547" spans="1:6" x14ac:dyDescent="0.35">
      <c r="A1547" s="2">
        <f ca="1">IFERROR(__xludf.DUMMYFUNCTION("""COMPUTED_VALUE"""),44250.6666666666)</f>
        <v>44250.666666666599</v>
      </c>
      <c r="B1547" s="1">
        <f ca="1">IFERROR(__xludf.DUMMYFUNCTION("""COMPUTED_VALUE"""),230.33)</f>
        <v>230.33</v>
      </c>
      <c r="C1547" s="1">
        <f ca="1">IFERROR(__xludf.DUMMYFUNCTION("""COMPUTED_VALUE"""),234.83)</f>
        <v>234.83</v>
      </c>
      <c r="D1547" s="1">
        <f ca="1">IFERROR(__xludf.DUMMYFUNCTION("""COMPUTED_VALUE"""),228.73)</f>
        <v>228.73</v>
      </c>
      <c r="E1547" s="1">
        <f ca="1">IFERROR(__xludf.DUMMYFUNCTION("""COMPUTED_VALUE"""),233.27)</f>
        <v>233.27</v>
      </c>
      <c r="F1547" s="1">
        <f ca="1">IFERROR(__xludf.DUMMYFUNCTION("""COMPUTED_VALUE"""),30228704)</f>
        <v>30228704</v>
      </c>
    </row>
    <row r="1548" spans="1:6" x14ac:dyDescent="0.35">
      <c r="A1548" s="2">
        <f ca="1">IFERROR(__xludf.DUMMYFUNCTION("""COMPUTED_VALUE"""),44251.6666666666)</f>
        <v>44251.666666666599</v>
      </c>
      <c r="B1548" s="1">
        <f ca="1">IFERROR(__xludf.DUMMYFUNCTION("""COMPUTED_VALUE"""),230.01)</f>
        <v>230.01</v>
      </c>
      <c r="C1548" s="1">
        <f ca="1">IFERROR(__xludf.DUMMYFUNCTION("""COMPUTED_VALUE"""),235.2)</f>
        <v>235.2</v>
      </c>
      <c r="D1548" s="1">
        <f ca="1">IFERROR(__xludf.DUMMYFUNCTION("""COMPUTED_VALUE"""),229)</f>
        <v>229</v>
      </c>
      <c r="E1548" s="1">
        <f ca="1">IFERROR(__xludf.DUMMYFUNCTION("""COMPUTED_VALUE"""),234.55)</f>
        <v>234.55</v>
      </c>
      <c r="F1548" s="1">
        <f ca="1">IFERROR(__xludf.DUMMYFUNCTION("""COMPUTED_VALUE"""),26339746)</f>
        <v>26339746</v>
      </c>
    </row>
    <row r="1549" spans="1:6" x14ac:dyDescent="0.35">
      <c r="A1549" s="2">
        <f ca="1">IFERROR(__xludf.DUMMYFUNCTION("""COMPUTED_VALUE"""),44252.6666666666)</f>
        <v>44252.666666666599</v>
      </c>
      <c r="B1549" s="1">
        <f ca="1">IFERROR(__xludf.DUMMYFUNCTION("""COMPUTED_VALUE"""),232.08)</f>
        <v>232.08</v>
      </c>
      <c r="C1549" s="1">
        <f ca="1">IFERROR(__xludf.DUMMYFUNCTION("""COMPUTED_VALUE"""),234.59)</f>
        <v>234.59</v>
      </c>
      <c r="D1549" s="1">
        <f ca="1">IFERROR(__xludf.DUMMYFUNCTION("""COMPUTED_VALUE"""),227.88)</f>
        <v>227.88</v>
      </c>
      <c r="E1549" s="1">
        <f ca="1">IFERROR(__xludf.DUMMYFUNCTION("""COMPUTED_VALUE"""),228.99)</f>
        <v>228.99</v>
      </c>
      <c r="F1549" s="1">
        <f ca="1">IFERROR(__xludf.DUMMYFUNCTION("""COMPUTED_VALUE"""),39542235)</f>
        <v>39542235</v>
      </c>
    </row>
    <row r="1550" spans="1:6" x14ac:dyDescent="0.35">
      <c r="A1550" s="2">
        <f ca="1">IFERROR(__xludf.DUMMYFUNCTION("""COMPUTED_VALUE"""),44253.6666666666)</f>
        <v>44253.666666666599</v>
      </c>
      <c r="B1550" s="1">
        <f ca="1">IFERROR(__xludf.DUMMYFUNCTION("""COMPUTED_VALUE"""),231.53)</f>
        <v>231.53</v>
      </c>
      <c r="C1550" s="1">
        <f ca="1">IFERROR(__xludf.DUMMYFUNCTION("""COMPUTED_VALUE"""),235.37)</f>
        <v>235.37</v>
      </c>
      <c r="D1550" s="1">
        <f ca="1">IFERROR(__xludf.DUMMYFUNCTION("""COMPUTED_VALUE"""),229.54)</f>
        <v>229.54</v>
      </c>
      <c r="E1550" s="1">
        <f ca="1">IFERROR(__xludf.DUMMYFUNCTION("""COMPUTED_VALUE"""),232.38)</f>
        <v>232.38</v>
      </c>
      <c r="F1550" s="1">
        <f ca="1">IFERROR(__xludf.DUMMYFUNCTION("""COMPUTED_VALUE"""),37819227)</f>
        <v>37819227</v>
      </c>
    </row>
    <row r="1551" spans="1:6" x14ac:dyDescent="0.35">
      <c r="A1551" s="2">
        <f ca="1">IFERROR(__xludf.DUMMYFUNCTION("""COMPUTED_VALUE"""),44256.6666666666)</f>
        <v>44256.666666666599</v>
      </c>
      <c r="B1551" s="1">
        <f ca="1">IFERROR(__xludf.DUMMYFUNCTION("""COMPUTED_VALUE"""),235.9)</f>
        <v>235.9</v>
      </c>
      <c r="C1551" s="1">
        <f ca="1">IFERROR(__xludf.DUMMYFUNCTION("""COMPUTED_VALUE"""),237.47)</f>
        <v>237.47</v>
      </c>
      <c r="D1551" s="1">
        <f ca="1">IFERROR(__xludf.DUMMYFUNCTION("""COMPUTED_VALUE"""),233.15)</f>
        <v>233.15</v>
      </c>
      <c r="E1551" s="1">
        <f ca="1">IFERROR(__xludf.DUMMYFUNCTION("""COMPUTED_VALUE"""),236.94)</f>
        <v>236.94</v>
      </c>
      <c r="F1551" s="1">
        <f ca="1">IFERROR(__xludf.DUMMYFUNCTION("""COMPUTED_VALUE"""),25332837)</f>
        <v>25332837</v>
      </c>
    </row>
    <row r="1552" spans="1:6" x14ac:dyDescent="0.35">
      <c r="A1552" s="2">
        <f ca="1">IFERROR(__xludf.DUMMYFUNCTION("""COMPUTED_VALUE"""),44257.6666666666)</f>
        <v>44257.666666666599</v>
      </c>
      <c r="B1552" s="1">
        <f ca="1">IFERROR(__xludf.DUMMYFUNCTION("""COMPUTED_VALUE"""),237.01)</f>
        <v>237.01</v>
      </c>
      <c r="C1552" s="1">
        <f ca="1">IFERROR(__xludf.DUMMYFUNCTION("""COMPUTED_VALUE"""),237.3)</f>
        <v>237.3</v>
      </c>
      <c r="D1552" s="1">
        <f ca="1">IFERROR(__xludf.DUMMYFUNCTION("""COMPUTED_VALUE"""),233.45)</f>
        <v>233.45</v>
      </c>
      <c r="E1552" s="1">
        <f ca="1">IFERROR(__xludf.DUMMYFUNCTION("""COMPUTED_VALUE"""),233.87)</f>
        <v>233.87</v>
      </c>
      <c r="F1552" s="1">
        <f ca="1">IFERROR(__xludf.DUMMYFUNCTION("""COMPUTED_VALUE"""),22812459)</f>
        <v>22812459</v>
      </c>
    </row>
    <row r="1553" spans="1:6" x14ac:dyDescent="0.35">
      <c r="A1553" s="2">
        <f ca="1">IFERROR(__xludf.DUMMYFUNCTION("""COMPUTED_VALUE"""),44258.6666666666)</f>
        <v>44258.666666666599</v>
      </c>
      <c r="B1553" s="1">
        <f ca="1">IFERROR(__xludf.DUMMYFUNCTION("""COMPUTED_VALUE"""),232.16)</f>
        <v>232.16</v>
      </c>
      <c r="C1553" s="1">
        <f ca="1">IFERROR(__xludf.DUMMYFUNCTION("""COMPUTED_VALUE"""),233.58)</f>
        <v>233.58</v>
      </c>
      <c r="D1553" s="1">
        <f ca="1">IFERROR(__xludf.DUMMYFUNCTION("""COMPUTED_VALUE"""),227.26)</f>
        <v>227.26</v>
      </c>
      <c r="E1553" s="1">
        <f ca="1">IFERROR(__xludf.DUMMYFUNCTION("""COMPUTED_VALUE"""),227.56)</f>
        <v>227.56</v>
      </c>
      <c r="F1553" s="1">
        <f ca="1">IFERROR(__xludf.DUMMYFUNCTION("""COMPUTED_VALUE"""),34029526)</f>
        <v>34029526</v>
      </c>
    </row>
    <row r="1554" spans="1:6" x14ac:dyDescent="0.35">
      <c r="A1554" s="2">
        <f ca="1">IFERROR(__xludf.DUMMYFUNCTION("""COMPUTED_VALUE"""),44259.6666666666)</f>
        <v>44259.666666666599</v>
      </c>
      <c r="B1554" s="1">
        <f ca="1">IFERROR(__xludf.DUMMYFUNCTION("""COMPUTED_VALUE"""),226.74)</f>
        <v>226.74</v>
      </c>
      <c r="C1554" s="1">
        <f ca="1">IFERROR(__xludf.DUMMYFUNCTION("""COMPUTED_VALUE"""),232.49)</f>
        <v>232.49</v>
      </c>
      <c r="D1554" s="1">
        <f ca="1">IFERROR(__xludf.DUMMYFUNCTION("""COMPUTED_VALUE"""),224.26)</f>
        <v>224.26</v>
      </c>
      <c r="E1554" s="1">
        <f ca="1">IFERROR(__xludf.DUMMYFUNCTION("""COMPUTED_VALUE"""),226.73)</f>
        <v>226.73</v>
      </c>
      <c r="F1554" s="1">
        <f ca="1">IFERROR(__xludf.DUMMYFUNCTION("""COMPUTED_VALUE"""),44727785)</f>
        <v>44727785</v>
      </c>
    </row>
    <row r="1555" spans="1:6" x14ac:dyDescent="0.35">
      <c r="A1555" s="2">
        <f ca="1">IFERROR(__xludf.DUMMYFUNCTION("""COMPUTED_VALUE"""),44260.6666666666)</f>
        <v>44260.666666666599</v>
      </c>
      <c r="B1555" s="1">
        <f ca="1">IFERROR(__xludf.DUMMYFUNCTION("""COMPUTED_VALUE"""),229.52)</f>
        <v>229.52</v>
      </c>
      <c r="C1555" s="1">
        <f ca="1">IFERROR(__xludf.DUMMYFUNCTION("""COMPUTED_VALUE"""),233.27)</f>
        <v>233.27</v>
      </c>
      <c r="D1555" s="1">
        <f ca="1">IFERROR(__xludf.DUMMYFUNCTION("""COMPUTED_VALUE"""),226.46)</f>
        <v>226.46</v>
      </c>
      <c r="E1555" s="1">
        <f ca="1">IFERROR(__xludf.DUMMYFUNCTION("""COMPUTED_VALUE"""),231.6)</f>
        <v>231.6</v>
      </c>
      <c r="F1555" s="1">
        <f ca="1">IFERROR(__xludf.DUMMYFUNCTION("""COMPUTED_VALUE"""),41872770)</f>
        <v>41872770</v>
      </c>
    </row>
    <row r="1556" spans="1:6" x14ac:dyDescent="0.35">
      <c r="A1556" s="2">
        <f ca="1">IFERROR(__xludf.DUMMYFUNCTION("""COMPUTED_VALUE"""),44263.6666666666)</f>
        <v>44263.666666666599</v>
      </c>
      <c r="B1556" s="1">
        <f ca="1">IFERROR(__xludf.DUMMYFUNCTION("""COMPUTED_VALUE"""),231.37)</f>
        <v>231.37</v>
      </c>
      <c r="C1556" s="1">
        <f ca="1">IFERROR(__xludf.DUMMYFUNCTION("""COMPUTED_VALUE"""),233.37)</f>
        <v>233.37</v>
      </c>
      <c r="D1556" s="1">
        <f ca="1">IFERROR(__xludf.DUMMYFUNCTION("""COMPUTED_VALUE"""),227.13)</f>
        <v>227.13</v>
      </c>
      <c r="E1556" s="1">
        <f ca="1">IFERROR(__xludf.DUMMYFUNCTION("""COMPUTED_VALUE"""),227.39)</f>
        <v>227.39</v>
      </c>
      <c r="F1556" s="1">
        <f ca="1">IFERROR(__xludf.DUMMYFUNCTION("""COMPUTED_VALUE"""),35267440)</f>
        <v>35267440</v>
      </c>
    </row>
    <row r="1557" spans="1:6" x14ac:dyDescent="0.35">
      <c r="A1557" s="2">
        <f ca="1">IFERROR(__xludf.DUMMYFUNCTION("""COMPUTED_VALUE"""),44264.6666666666)</f>
        <v>44264.666666666599</v>
      </c>
      <c r="B1557" s="1">
        <f ca="1">IFERROR(__xludf.DUMMYFUNCTION("""COMPUTED_VALUE"""),232.88)</f>
        <v>232.88</v>
      </c>
      <c r="C1557" s="1">
        <f ca="1">IFERROR(__xludf.DUMMYFUNCTION("""COMPUTED_VALUE"""),235.38)</f>
        <v>235.38</v>
      </c>
      <c r="D1557" s="1">
        <f ca="1">IFERROR(__xludf.DUMMYFUNCTION("""COMPUTED_VALUE"""),231.67)</f>
        <v>231.67</v>
      </c>
      <c r="E1557" s="1">
        <f ca="1">IFERROR(__xludf.DUMMYFUNCTION("""COMPUTED_VALUE"""),233.78)</f>
        <v>233.78</v>
      </c>
      <c r="F1557" s="1">
        <f ca="1">IFERROR(__xludf.DUMMYFUNCTION("""COMPUTED_VALUE"""),33080531)</f>
        <v>33080531</v>
      </c>
    </row>
    <row r="1558" spans="1:6" x14ac:dyDescent="0.35">
      <c r="A1558" s="2">
        <f ca="1">IFERROR(__xludf.DUMMYFUNCTION("""COMPUTED_VALUE"""),44265.6666666666)</f>
        <v>44265.666666666599</v>
      </c>
      <c r="B1558" s="1">
        <f ca="1">IFERROR(__xludf.DUMMYFUNCTION("""COMPUTED_VALUE"""),237)</f>
        <v>237</v>
      </c>
      <c r="C1558" s="1">
        <f ca="1">IFERROR(__xludf.DUMMYFUNCTION("""COMPUTED_VALUE"""),237)</f>
        <v>237</v>
      </c>
      <c r="D1558" s="1">
        <f ca="1">IFERROR(__xludf.DUMMYFUNCTION("""COMPUTED_VALUE"""),232.04)</f>
        <v>232.04</v>
      </c>
      <c r="E1558" s="1">
        <f ca="1">IFERROR(__xludf.DUMMYFUNCTION("""COMPUTED_VALUE"""),232.42)</f>
        <v>232.42</v>
      </c>
      <c r="F1558" s="1">
        <f ca="1">IFERROR(__xludf.DUMMYFUNCTION("""COMPUTED_VALUE"""),29746812)</f>
        <v>29746812</v>
      </c>
    </row>
    <row r="1559" spans="1:6" x14ac:dyDescent="0.35">
      <c r="A1559" s="2">
        <f ca="1">IFERROR(__xludf.DUMMYFUNCTION("""COMPUTED_VALUE"""),44266.6666666666)</f>
        <v>44266.666666666599</v>
      </c>
      <c r="B1559" s="1">
        <f ca="1">IFERROR(__xludf.DUMMYFUNCTION("""COMPUTED_VALUE"""),234.96)</f>
        <v>234.96</v>
      </c>
      <c r="C1559" s="1">
        <f ca="1">IFERROR(__xludf.DUMMYFUNCTION("""COMPUTED_VALUE"""),239.17)</f>
        <v>239.17</v>
      </c>
      <c r="D1559" s="1">
        <f ca="1">IFERROR(__xludf.DUMMYFUNCTION("""COMPUTED_VALUE"""),234.31)</f>
        <v>234.31</v>
      </c>
      <c r="E1559" s="1">
        <f ca="1">IFERROR(__xludf.DUMMYFUNCTION("""COMPUTED_VALUE"""),237.13)</f>
        <v>237.13</v>
      </c>
      <c r="F1559" s="1">
        <f ca="1">IFERROR(__xludf.DUMMYFUNCTION("""COMPUTED_VALUE"""),29907586)</f>
        <v>29907586</v>
      </c>
    </row>
    <row r="1560" spans="1:6" x14ac:dyDescent="0.35">
      <c r="A1560" s="2">
        <f ca="1">IFERROR(__xludf.DUMMYFUNCTION("""COMPUTED_VALUE"""),44267.6666666666)</f>
        <v>44267.666666666599</v>
      </c>
      <c r="B1560" s="1">
        <f ca="1">IFERROR(__xludf.DUMMYFUNCTION("""COMPUTED_VALUE"""),234.01)</f>
        <v>234.01</v>
      </c>
      <c r="C1560" s="1">
        <f ca="1">IFERROR(__xludf.DUMMYFUNCTION("""COMPUTED_VALUE"""),235.82)</f>
        <v>235.82</v>
      </c>
      <c r="D1560" s="1">
        <f ca="1">IFERROR(__xludf.DUMMYFUNCTION("""COMPUTED_VALUE"""),233.23)</f>
        <v>233.23</v>
      </c>
      <c r="E1560" s="1">
        <f ca="1">IFERROR(__xludf.DUMMYFUNCTION("""COMPUTED_VALUE"""),235.75)</f>
        <v>235.75</v>
      </c>
      <c r="F1560" s="1">
        <f ca="1">IFERROR(__xludf.DUMMYFUNCTION("""COMPUTED_VALUE"""),22653662)</f>
        <v>22653662</v>
      </c>
    </row>
    <row r="1561" spans="1:6" x14ac:dyDescent="0.35">
      <c r="A1561" s="2">
        <f ca="1">IFERROR(__xludf.DUMMYFUNCTION("""COMPUTED_VALUE"""),44270.6666666666)</f>
        <v>44270.666666666599</v>
      </c>
      <c r="B1561" s="1">
        <f ca="1">IFERROR(__xludf.DUMMYFUNCTION("""COMPUTED_VALUE"""),234.96)</f>
        <v>234.96</v>
      </c>
      <c r="C1561" s="1">
        <f ca="1">IFERROR(__xludf.DUMMYFUNCTION("""COMPUTED_VALUE"""),235.19)</f>
        <v>235.19</v>
      </c>
      <c r="D1561" s="1">
        <f ca="1">IFERROR(__xludf.DUMMYFUNCTION("""COMPUTED_VALUE"""),231.81)</f>
        <v>231.81</v>
      </c>
      <c r="E1561" s="1">
        <f ca="1">IFERROR(__xludf.DUMMYFUNCTION("""COMPUTED_VALUE"""),234.81)</f>
        <v>234.81</v>
      </c>
      <c r="F1561" s="1">
        <f ca="1">IFERROR(__xludf.DUMMYFUNCTION("""COMPUTED_VALUE"""),26042669)</f>
        <v>26042669</v>
      </c>
    </row>
    <row r="1562" spans="1:6" x14ac:dyDescent="0.35">
      <c r="A1562" s="2">
        <f ca="1">IFERROR(__xludf.DUMMYFUNCTION("""COMPUTED_VALUE"""),44271.6666666666)</f>
        <v>44271.666666666599</v>
      </c>
      <c r="B1562" s="1">
        <f ca="1">IFERROR(__xludf.DUMMYFUNCTION("""COMPUTED_VALUE"""),236.28)</f>
        <v>236.28</v>
      </c>
      <c r="C1562" s="1">
        <f ca="1">IFERROR(__xludf.DUMMYFUNCTION("""COMPUTED_VALUE"""),240.06)</f>
        <v>240.06</v>
      </c>
      <c r="D1562" s="1">
        <f ca="1">IFERROR(__xludf.DUMMYFUNCTION("""COMPUTED_VALUE"""),235.94)</f>
        <v>235.94</v>
      </c>
      <c r="E1562" s="1">
        <f ca="1">IFERROR(__xludf.DUMMYFUNCTION("""COMPUTED_VALUE"""),237.71)</f>
        <v>237.71</v>
      </c>
      <c r="F1562" s="1">
        <f ca="1">IFERROR(__xludf.DUMMYFUNCTION("""COMPUTED_VALUE"""),28092196)</f>
        <v>28092196</v>
      </c>
    </row>
    <row r="1563" spans="1:6" x14ac:dyDescent="0.35">
      <c r="A1563" s="2">
        <f ca="1">IFERROR(__xludf.DUMMYFUNCTION("""COMPUTED_VALUE"""),44272.6666666666)</f>
        <v>44272.666666666599</v>
      </c>
      <c r="B1563" s="1">
        <f ca="1">IFERROR(__xludf.DUMMYFUNCTION("""COMPUTED_VALUE"""),236.15)</f>
        <v>236.15</v>
      </c>
      <c r="C1563" s="1">
        <f ca="1">IFERROR(__xludf.DUMMYFUNCTION("""COMPUTED_VALUE"""),238.55)</f>
        <v>238.55</v>
      </c>
      <c r="D1563" s="1">
        <f ca="1">IFERROR(__xludf.DUMMYFUNCTION("""COMPUTED_VALUE"""),233.23)</f>
        <v>233.23</v>
      </c>
      <c r="E1563" s="1">
        <f ca="1">IFERROR(__xludf.DUMMYFUNCTION("""COMPUTED_VALUE"""),237.04)</f>
        <v>237.04</v>
      </c>
      <c r="F1563" s="1">
        <f ca="1">IFERROR(__xludf.DUMMYFUNCTION("""COMPUTED_VALUE"""),29562100)</f>
        <v>29562100</v>
      </c>
    </row>
    <row r="1564" spans="1:6" x14ac:dyDescent="0.35">
      <c r="A1564" s="2">
        <f ca="1">IFERROR(__xludf.DUMMYFUNCTION("""COMPUTED_VALUE"""),44273.6666666666)</f>
        <v>44273.666666666599</v>
      </c>
      <c r="B1564" s="1">
        <f ca="1">IFERROR(__xludf.DUMMYFUNCTION("""COMPUTED_VALUE"""),232.56)</f>
        <v>232.56</v>
      </c>
      <c r="C1564" s="1">
        <f ca="1">IFERROR(__xludf.DUMMYFUNCTION("""COMPUTED_VALUE"""),234.19)</f>
        <v>234.19</v>
      </c>
      <c r="D1564" s="1">
        <f ca="1">IFERROR(__xludf.DUMMYFUNCTION("""COMPUTED_VALUE"""),230.33)</f>
        <v>230.33</v>
      </c>
      <c r="E1564" s="1">
        <f ca="1">IFERROR(__xludf.DUMMYFUNCTION("""COMPUTED_VALUE"""),230.72)</f>
        <v>230.72</v>
      </c>
      <c r="F1564" s="1">
        <f ca="1">IFERROR(__xludf.DUMMYFUNCTION("""COMPUTED_VALUE"""),34852251)</f>
        <v>34852251</v>
      </c>
    </row>
    <row r="1565" spans="1:6" x14ac:dyDescent="0.35">
      <c r="A1565" s="2">
        <f ca="1">IFERROR(__xludf.DUMMYFUNCTION("""COMPUTED_VALUE"""),44274.6666666666)</f>
        <v>44274.666666666599</v>
      </c>
      <c r="B1565" s="1">
        <f ca="1">IFERROR(__xludf.DUMMYFUNCTION("""COMPUTED_VALUE"""),231.02)</f>
        <v>231.02</v>
      </c>
      <c r="C1565" s="1">
        <f ca="1">IFERROR(__xludf.DUMMYFUNCTION("""COMPUTED_VALUE"""),232.47)</f>
        <v>232.47</v>
      </c>
      <c r="D1565" s="1">
        <f ca="1">IFERROR(__xludf.DUMMYFUNCTION("""COMPUTED_VALUE"""),229.35)</f>
        <v>229.35</v>
      </c>
      <c r="E1565" s="1">
        <f ca="1">IFERROR(__xludf.DUMMYFUNCTION("""COMPUTED_VALUE"""),230.35)</f>
        <v>230.35</v>
      </c>
      <c r="F1565" s="1">
        <f ca="1">IFERROR(__xludf.DUMMYFUNCTION("""COMPUTED_VALUE"""),46430730)</f>
        <v>46430730</v>
      </c>
    </row>
    <row r="1566" spans="1:6" x14ac:dyDescent="0.35">
      <c r="A1566" s="2">
        <f ca="1">IFERROR(__xludf.DUMMYFUNCTION("""COMPUTED_VALUE"""),44277.6666666666)</f>
        <v>44277.666666666599</v>
      </c>
      <c r="B1566" s="1">
        <f ca="1">IFERROR(__xludf.DUMMYFUNCTION("""COMPUTED_VALUE"""),230.27)</f>
        <v>230.27</v>
      </c>
      <c r="C1566" s="1">
        <f ca="1">IFERROR(__xludf.DUMMYFUNCTION("""COMPUTED_VALUE"""),236.9)</f>
        <v>236.9</v>
      </c>
      <c r="D1566" s="1">
        <f ca="1">IFERROR(__xludf.DUMMYFUNCTION("""COMPUTED_VALUE"""),230.14)</f>
        <v>230.14</v>
      </c>
      <c r="E1566" s="1">
        <f ca="1">IFERROR(__xludf.DUMMYFUNCTION("""COMPUTED_VALUE"""),235.99)</f>
        <v>235.99</v>
      </c>
      <c r="F1566" s="1">
        <f ca="1">IFERROR(__xludf.DUMMYFUNCTION("""COMPUTED_VALUE"""),30127005)</f>
        <v>30127005</v>
      </c>
    </row>
    <row r="1567" spans="1:6" x14ac:dyDescent="0.35">
      <c r="A1567" s="2">
        <f ca="1">IFERROR(__xludf.DUMMYFUNCTION("""COMPUTED_VALUE"""),44278.6666666666)</f>
        <v>44278.666666666599</v>
      </c>
      <c r="B1567" s="1">
        <f ca="1">IFERROR(__xludf.DUMMYFUNCTION("""COMPUTED_VALUE"""),237.49)</f>
        <v>237.49</v>
      </c>
      <c r="C1567" s="1">
        <f ca="1">IFERROR(__xludf.DUMMYFUNCTION("""COMPUTED_VALUE"""),241.05)</f>
        <v>241.05</v>
      </c>
      <c r="D1567" s="1">
        <f ca="1">IFERROR(__xludf.DUMMYFUNCTION("""COMPUTED_VALUE"""),237.07)</f>
        <v>237.07</v>
      </c>
      <c r="E1567" s="1">
        <f ca="1">IFERROR(__xludf.DUMMYFUNCTION("""COMPUTED_VALUE"""),237.58)</f>
        <v>237.58</v>
      </c>
      <c r="F1567" s="1">
        <f ca="1">IFERROR(__xludf.DUMMYFUNCTION("""COMPUTED_VALUE"""),31638376)</f>
        <v>31638376</v>
      </c>
    </row>
    <row r="1568" spans="1:6" x14ac:dyDescent="0.35">
      <c r="A1568" s="2">
        <f ca="1">IFERROR(__xludf.DUMMYFUNCTION("""COMPUTED_VALUE"""),44279.6666666666)</f>
        <v>44279.666666666599</v>
      </c>
      <c r="B1568" s="1">
        <f ca="1">IFERROR(__xludf.DUMMYFUNCTION("""COMPUTED_VALUE"""),237.85)</f>
        <v>237.85</v>
      </c>
      <c r="C1568" s="1">
        <f ca="1">IFERROR(__xludf.DUMMYFUNCTION("""COMPUTED_VALUE"""),238)</f>
        <v>238</v>
      </c>
      <c r="D1568" s="1">
        <f ca="1">IFERROR(__xludf.DUMMYFUNCTION("""COMPUTED_VALUE"""),235.32)</f>
        <v>235.32</v>
      </c>
      <c r="E1568" s="1">
        <f ca="1">IFERROR(__xludf.DUMMYFUNCTION("""COMPUTED_VALUE"""),235.46)</f>
        <v>235.46</v>
      </c>
      <c r="F1568" s="1">
        <f ca="1">IFERROR(__xludf.DUMMYFUNCTION("""COMPUTED_VALUE"""),25620127)</f>
        <v>25620127</v>
      </c>
    </row>
    <row r="1569" spans="1:6" x14ac:dyDescent="0.35">
      <c r="A1569" s="2">
        <f ca="1">IFERROR(__xludf.DUMMYFUNCTION("""COMPUTED_VALUE"""),44280.6666666666)</f>
        <v>44280.666666666599</v>
      </c>
      <c r="B1569" s="1">
        <f ca="1">IFERROR(__xludf.DUMMYFUNCTION("""COMPUTED_VALUE"""),235.3)</f>
        <v>235.3</v>
      </c>
      <c r="C1569" s="1">
        <f ca="1">IFERROR(__xludf.DUMMYFUNCTION("""COMPUTED_VALUE"""),236.94)</f>
        <v>236.94</v>
      </c>
      <c r="D1569" s="1">
        <f ca="1">IFERROR(__xludf.DUMMYFUNCTION("""COMPUTED_VALUE"""),231.57)</f>
        <v>231.57</v>
      </c>
      <c r="E1569" s="1">
        <f ca="1">IFERROR(__xludf.DUMMYFUNCTION("""COMPUTED_VALUE"""),232.34)</f>
        <v>232.34</v>
      </c>
      <c r="F1569" s="1">
        <f ca="1">IFERROR(__xludf.DUMMYFUNCTION("""COMPUTED_VALUE"""),34061853)</f>
        <v>34061853</v>
      </c>
    </row>
    <row r="1570" spans="1:6" x14ac:dyDescent="0.35">
      <c r="A1570" s="2">
        <f ca="1">IFERROR(__xludf.DUMMYFUNCTION("""COMPUTED_VALUE"""),44281.6666666666)</f>
        <v>44281.666666666599</v>
      </c>
      <c r="B1570" s="1">
        <f ca="1">IFERROR(__xludf.DUMMYFUNCTION("""COMPUTED_VALUE"""),231.55)</f>
        <v>231.55</v>
      </c>
      <c r="C1570" s="1">
        <f ca="1">IFERROR(__xludf.DUMMYFUNCTION("""COMPUTED_VALUE"""),236.71)</f>
        <v>236.71</v>
      </c>
      <c r="D1570" s="1">
        <f ca="1">IFERROR(__xludf.DUMMYFUNCTION("""COMPUTED_VALUE"""),231.55)</f>
        <v>231.55</v>
      </c>
      <c r="E1570" s="1">
        <f ca="1">IFERROR(__xludf.DUMMYFUNCTION("""COMPUTED_VALUE"""),236.48)</f>
        <v>236.48</v>
      </c>
      <c r="F1570" s="1">
        <f ca="1">IFERROR(__xludf.DUMMYFUNCTION("""COMPUTED_VALUE"""),25479853)</f>
        <v>25479853</v>
      </c>
    </row>
    <row r="1571" spans="1:6" x14ac:dyDescent="0.35">
      <c r="A1571" s="2">
        <f ca="1">IFERROR(__xludf.DUMMYFUNCTION("""COMPUTED_VALUE"""),44284.6666666666)</f>
        <v>44284.666666666599</v>
      </c>
      <c r="B1571" s="1">
        <f ca="1">IFERROR(__xludf.DUMMYFUNCTION("""COMPUTED_VALUE"""),236.59)</f>
        <v>236.59</v>
      </c>
      <c r="C1571" s="1">
        <f ca="1">IFERROR(__xludf.DUMMYFUNCTION("""COMPUTED_VALUE"""),236.8)</f>
        <v>236.8</v>
      </c>
      <c r="D1571" s="1">
        <f ca="1">IFERROR(__xludf.DUMMYFUNCTION("""COMPUTED_VALUE"""),231.88)</f>
        <v>231.88</v>
      </c>
      <c r="E1571" s="1">
        <f ca="1">IFERROR(__xludf.DUMMYFUNCTION("""COMPUTED_VALUE"""),235.24)</f>
        <v>235.24</v>
      </c>
      <c r="F1571" s="1">
        <f ca="1">IFERROR(__xludf.DUMMYFUNCTION("""COMPUTED_VALUE"""),25227455)</f>
        <v>25227455</v>
      </c>
    </row>
    <row r="1572" spans="1:6" x14ac:dyDescent="0.35">
      <c r="A1572" s="2">
        <f ca="1">IFERROR(__xludf.DUMMYFUNCTION("""COMPUTED_VALUE"""),44285.6666666666)</f>
        <v>44285.666666666599</v>
      </c>
      <c r="B1572" s="1">
        <f ca="1">IFERROR(__xludf.DUMMYFUNCTION("""COMPUTED_VALUE"""),233.53)</f>
        <v>233.53</v>
      </c>
      <c r="C1572" s="1">
        <f ca="1">IFERROR(__xludf.DUMMYFUNCTION("""COMPUTED_VALUE"""),233.85)</f>
        <v>233.85</v>
      </c>
      <c r="D1572" s="1">
        <f ca="1">IFERROR(__xludf.DUMMYFUNCTION("""COMPUTED_VALUE"""),231.1)</f>
        <v>231.1</v>
      </c>
      <c r="E1572" s="1">
        <f ca="1">IFERROR(__xludf.DUMMYFUNCTION("""COMPUTED_VALUE"""),231.85)</f>
        <v>231.85</v>
      </c>
      <c r="F1572" s="1">
        <f ca="1">IFERROR(__xludf.DUMMYFUNCTION("""COMPUTED_VALUE"""),24792012)</f>
        <v>24792012</v>
      </c>
    </row>
    <row r="1573" spans="1:6" x14ac:dyDescent="0.35">
      <c r="A1573" s="2">
        <f ca="1">IFERROR(__xludf.DUMMYFUNCTION("""COMPUTED_VALUE"""),44286.6666666666)</f>
        <v>44286.666666666599</v>
      </c>
      <c r="B1573" s="1">
        <f ca="1">IFERROR(__xludf.DUMMYFUNCTION("""COMPUTED_VALUE"""),232.91)</f>
        <v>232.91</v>
      </c>
      <c r="C1573" s="1">
        <f ca="1">IFERROR(__xludf.DUMMYFUNCTION("""COMPUTED_VALUE"""),239.1)</f>
        <v>239.1</v>
      </c>
      <c r="D1573" s="1">
        <f ca="1">IFERROR(__xludf.DUMMYFUNCTION("""COMPUTED_VALUE"""),232.39)</f>
        <v>232.39</v>
      </c>
      <c r="E1573" s="1">
        <f ca="1">IFERROR(__xludf.DUMMYFUNCTION("""COMPUTED_VALUE"""),235.77)</f>
        <v>235.77</v>
      </c>
      <c r="F1573" s="1">
        <f ca="1">IFERROR(__xludf.DUMMYFUNCTION("""COMPUTED_VALUE"""),43623471)</f>
        <v>43623471</v>
      </c>
    </row>
    <row r="1574" spans="1:6" x14ac:dyDescent="0.35">
      <c r="A1574" s="2">
        <f ca="1">IFERROR(__xludf.DUMMYFUNCTION("""COMPUTED_VALUE"""),44287.6666666666)</f>
        <v>44287.666666666599</v>
      </c>
      <c r="B1574" s="1">
        <f ca="1">IFERROR(__xludf.DUMMYFUNCTION("""COMPUTED_VALUE"""),238.47)</f>
        <v>238.47</v>
      </c>
      <c r="C1574" s="1">
        <f ca="1">IFERROR(__xludf.DUMMYFUNCTION("""COMPUTED_VALUE"""),242.84)</f>
        <v>242.84</v>
      </c>
      <c r="D1574" s="1">
        <f ca="1">IFERROR(__xludf.DUMMYFUNCTION("""COMPUTED_VALUE"""),238.05)</f>
        <v>238.05</v>
      </c>
      <c r="E1574" s="1">
        <f ca="1">IFERROR(__xludf.DUMMYFUNCTION("""COMPUTED_VALUE"""),242.35)</f>
        <v>242.35</v>
      </c>
      <c r="F1574" s="1">
        <f ca="1">IFERROR(__xludf.DUMMYFUNCTION("""COMPUTED_VALUE"""),30337982)</f>
        <v>30337982</v>
      </c>
    </row>
    <row r="1575" spans="1:6" x14ac:dyDescent="0.35">
      <c r="A1575" s="2">
        <f ca="1">IFERROR(__xludf.DUMMYFUNCTION("""COMPUTED_VALUE"""),44291.6666666666)</f>
        <v>44291.666666666599</v>
      </c>
      <c r="B1575" s="1">
        <f ca="1">IFERROR(__xludf.DUMMYFUNCTION("""COMPUTED_VALUE"""),242.76)</f>
        <v>242.76</v>
      </c>
      <c r="C1575" s="1">
        <f ca="1">IFERROR(__xludf.DUMMYFUNCTION("""COMPUTED_VALUE"""),249.96)</f>
        <v>249.96</v>
      </c>
      <c r="D1575" s="1">
        <f ca="1">IFERROR(__xludf.DUMMYFUNCTION("""COMPUTED_VALUE"""),242.7)</f>
        <v>242.7</v>
      </c>
      <c r="E1575" s="1">
        <f ca="1">IFERROR(__xludf.DUMMYFUNCTION("""COMPUTED_VALUE"""),249.07)</f>
        <v>249.07</v>
      </c>
      <c r="F1575" s="1">
        <f ca="1">IFERROR(__xludf.DUMMYFUNCTION("""COMPUTED_VALUE"""),36910609)</f>
        <v>36910609</v>
      </c>
    </row>
    <row r="1576" spans="1:6" x14ac:dyDescent="0.35">
      <c r="A1576" s="2">
        <f ca="1">IFERROR(__xludf.DUMMYFUNCTION("""COMPUTED_VALUE"""),44292.6666666666)</f>
        <v>44292.666666666599</v>
      </c>
      <c r="B1576" s="1">
        <f ca="1">IFERROR(__xludf.DUMMYFUNCTION("""COMPUTED_VALUE"""),247.61)</f>
        <v>247.61</v>
      </c>
      <c r="C1576" s="1">
        <f ca="1">IFERROR(__xludf.DUMMYFUNCTION("""COMPUTED_VALUE"""),249.4)</f>
        <v>249.4</v>
      </c>
      <c r="D1576" s="1">
        <f ca="1">IFERROR(__xludf.DUMMYFUNCTION("""COMPUTED_VALUE"""),246.88)</f>
        <v>246.88</v>
      </c>
      <c r="E1576" s="1">
        <f ca="1">IFERROR(__xludf.DUMMYFUNCTION("""COMPUTED_VALUE"""),247.86)</f>
        <v>247.86</v>
      </c>
      <c r="F1576" s="1">
        <f ca="1">IFERROR(__xludf.DUMMYFUNCTION("""COMPUTED_VALUE"""),22931923)</f>
        <v>22931923</v>
      </c>
    </row>
    <row r="1577" spans="1:6" x14ac:dyDescent="0.35">
      <c r="A1577" s="2">
        <f ca="1">IFERROR(__xludf.DUMMYFUNCTION("""COMPUTED_VALUE"""),44293.6666666666)</f>
        <v>44293.666666666599</v>
      </c>
      <c r="B1577" s="1">
        <f ca="1">IFERROR(__xludf.DUMMYFUNCTION("""COMPUTED_VALUE"""),247.81)</f>
        <v>247.81</v>
      </c>
      <c r="C1577" s="1">
        <f ca="1">IFERROR(__xludf.DUMMYFUNCTION("""COMPUTED_VALUE"""),250.93)</f>
        <v>250.93</v>
      </c>
      <c r="D1577" s="1">
        <f ca="1">IFERROR(__xludf.DUMMYFUNCTION("""COMPUTED_VALUE"""),247.19)</f>
        <v>247.19</v>
      </c>
      <c r="E1577" s="1">
        <f ca="1">IFERROR(__xludf.DUMMYFUNCTION("""COMPUTED_VALUE"""),249.9)</f>
        <v>249.9</v>
      </c>
      <c r="F1577" s="1">
        <f ca="1">IFERROR(__xludf.DUMMYFUNCTION("""COMPUTED_VALUE"""),22719835)</f>
        <v>22719835</v>
      </c>
    </row>
    <row r="1578" spans="1:6" x14ac:dyDescent="0.35">
      <c r="A1578" s="2">
        <f ca="1">IFERROR(__xludf.DUMMYFUNCTION("""COMPUTED_VALUE"""),44294.6666666666)</f>
        <v>44294.666666666599</v>
      </c>
      <c r="B1578" s="1">
        <f ca="1">IFERROR(__xludf.DUMMYFUNCTION("""COMPUTED_VALUE"""),252.77)</f>
        <v>252.77</v>
      </c>
      <c r="C1578" s="1">
        <f ca="1">IFERROR(__xludf.DUMMYFUNCTION("""COMPUTED_VALUE"""),254.14)</f>
        <v>254.14</v>
      </c>
      <c r="D1578" s="1">
        <f ca="1">IFERROR(__xludf.DUMMYFUNCTION("""COMPUTED_VALUE"""),252)</f>
        <v>252</v>
      </c>
      <c r="E1578" s="1">
        <f ca="1">IFERROR(__xludf.DUMMYFUNCTION("""COMPUTED_VALUE"""),253.25)</f>
        <v>253.25</v>
      </c>
      <c r="F1578" s="1">
        <f ca="1">IFERROR(__xludf.DUMMYFUNCTION("""COMPUTED_VALUE"""),23625197)</f>
        <v>23625197</v>
      </c>
    </row>
    <row r="1579" spans="1:6" x14ac:dyDescent="0.35">
      <c r="A1579" s="2">
        <f ca="1">IFERROR(__xludf.DUMMYFUNCTION("""COMPUTED_VALUE"""),44295.6666666666)</f>
        <v>44295.666666666599</v>
      </c>
      <c r="B1579" s="1">
        <f ca="1">IFERROR(__xludf.DUMMYFUNCTION("""COMPUTED_VALUE"""),252.87)</f>
        <v>252.87</v>
      </c>
      <c r="C1579" s="1">
        <f ca="1">IFERROR(__xludf.DUMMYFUNCTION("""COMPUTED_VALUE"""),255.99)</f>
        <v>255.99</v>
      </c>
      <c r="D1579" s="1">
        <f ca="1">IFERROR(__xludf.DUMMYFUNCTION("""COMPUTED_VALUE"""),252.44)</f>
        <v>252.44</v>
      </c>
      <c r="E1579" s="1">
        <f ca="1">IFERROR(__xludf.DUMMYFUNCTION("""COMPUTED_VALUE"""),255.85)</f>
        <v>255.85</v>
      </c>
      <c r="F1579" s="1">
        <f ca="1">IFERROR(__xludf.DUMMYFUNCTION("""COMPUTED_VALUE"""),24326833)</f>
        <v>24326833</v>
      </c>
    </row>
    <row r="1580" spans="1:6" x14ac:dyDescent="0.35">
      <c r="A1580" s="2">
        <f ca="1">IFERROR(__xludf.DUMMYFUNCTION("""COMPUTED_VALUE"""),44298.6666666666)</f>
        <v>44298.666666666599</v>
      </c>
      <c r="B1580" s="1">
        <f ca="1">IFERROR(__xludf.DUMMYFUNCTION("""COMPUTED_VALUE"""),254.71)</f>
        <v>254.71</v>
      </c>
      <c r="C1580" s="1">
        <f ca="1">IFERROR(__xludf.DUMMYFUNCTION("""COMPUTED_VALUE"""),257.67)</f>
        <v>257.67</v>
      </c>
      <c r="D1580" s="1">
        <f ca="1">IFERROR(__xludf.DUMMYFUNCTION("""COMPUTED_VALUE"""),254.62)</f>
        <v>254.62</v>
      </c>
      <c r="E1580" s="1">
        <f ca="1">IFERROR(__xludf.DUMMYFUNCTION("""COMPUTED_VALUE"""),255.91)</f>
        <v>255.91</v>
      </c>
      <c r="F1580" s="1">
        <f ca="1">IFERROR(__xludf.DUMMYFUNCTION("""COMPUTED_VALUE"""),27148668)</f>
        <v>27148668</v>
      </c>
    </row>
    <row r="1581" spans="1:6" x14ac:dyDescent="0.35">
      <c r="A1581" s="2">
        <f ca="1">IFERROR(__xludf.DUMMYFUNCTION("""COMPUTED_VALUE"""),44299.6666666666)</f>
        <v>44299.666666666599</v>
      </c>
      <c r="B1581" s="1">
        <f ca="1">IFERROR(__xludf.DUMMYFUNCTION("""COMPUTED_VALUE"""),257.26)</f>
        <v>257.26</v>
      </c>
      <c r="C1581" s="1">
        <f ca="1">IFERROR(__xludf.DUMMYFUNCTION("""COMPUTED_VALUE"""),259.19)</f>
        <v>259.19</v>
      </c>
      <c r="D1581" s="1">
        <f ca="1">IFERROR(__xludf.DUMMYFUNCTION("""COMPUTED_VALUE"""),256.83)</f>
        <v>256.83</v>
      </c>
      <c r="E1581" s="1">
        <f ca="1">IFERROR(__xludf.DUMMYFUNCTION("""COMPUTED_VALUE"""),258.49)</f>
        <v>258.49</v>
      </c>
      <c r="F1581" s="1">
        <f ca="1">IFERROR(__xludf.DUMMYFUNCTION("""COMPUTED_VALUE"""),23837469)</f>
        <v>23837469</v>
      </c>
    </row>
    <row r="1582" spans="1:6" x14ac:dyDescent="0.35">
      <c r="A1582" s="2">
        <f ca="1">IFERROR(__xludf.DUMMYFUNCTION("""COMPUTED_VALUE"""),44300.6666666666)</f>
        <v>44300.666666666599</v>
      </c>
      <c r="B1582" s="1">
        <f ca="1">IFERROR(__xludf.DUMMYFUNCTION("""COMPUTED_VALUE"""),257.48)</f>
        <v>257.48</v>
      </c>
      <c r="C1582" s="1">
        <f ca="1">IFERROR(__xludf.DUMMYFUNCTION("""COMPUTED_VALUE"""),258.83)</f>
        <v>258.83</v>
      </c>
      <c r="D1582" s="1">
        <f ca="1">IFERROR(__xludf.DUMMYFUNCTION("""COMPUTED_VALUE"""),255.16)</f>
        <v>255.16</v>
      </c>
      <c r="E1582" s="1">
        <f ca="1">IFERROR(__xludf.DUMMYFUNCTION("""COMPUTED_VALUE"""),255.59)</f>
        <v>255.59</v>
      </c>
      <c r="F1582" s="1">
        <f ca="1">IFERROR(__xludf.DUMMYFUNCTION("""COMPUTED_VALUE"""),23070938)</f>
        <v>23070938</v>
      </c>
    </row>
    <row r="1583" spans="1:6" x14ac:dyDescent="0.35">
      <c r="A1583" s="2">
        <f ca="1">IFERROR(__xludf.DUMMYFUNCTION("""COMPUTED_VALUE"""),44301.6666666666)</f>
        <v>44301.666666666599</v>
      </c>
      <c r="B1583" s="1">
        <f ca="1">IFERROR(__xludf.DUMMYFUNCTION("""COMPUTED_VALUE"""),257.93)</f>
        <v>257.93</v>
      </c>
      <c r="C1583" s="1">
        <f ca="1">IFERROR(__xludf.DUMMYFUNCTION("""COMPUTED_VALUE"""),259.93)</f>
        <v>259.93</v>
      </c>
      <c r="D1583" s="1">
        <f ca="1">IFERROR(__xludf.DUMMYFUNCTION("""COMPUTED_VALUE"""),257.73)</f>
        <v>257.73</v>
      </c>
      <c r="E1583" s="1">
        <f ca="1">IFERROR(__xludf.DUMMYFUNCTION("""COMPUTED_VALUE"""),259.5)</f>
        <v>259.5</v>
      </c>
      <c r="F1583" s="1">
        <f ca="1">IFERROR(__xludf.DUMMYFUNCTION("""COMPUTED_VALUE"""),25627481)</f>
        <v>25627481</v>
      </c>
    </row>
    <row r="1584" spans="1:6" x14ac:dyDescent="0.35">
      <c r="A1584" s="2">
        <f ca="1">IFERROR(__xludf.DUMMYFUNCTION("""COMPUTED_VALUE"""),44302.6666666666)</f>
        <v>44302.666666666599</v>
      </c>
      <c r="B1584" s="1">
        <f ca="1">IFERROR(__xludf.DUMMYFUNCTION("""COMPUTED_VALUE"""),259.47)</f>
        <v>259.47000000000003</v>
      </c>
      <c r="C1584" s="1">
        <f ca="1">IFERROR(__xludf.DUMMYFUNCTION("""COMPUTED_VALUE"""),261)</f>
        <v>261</v>
      </c>
      <c r="D1584" s="1">
        <f ca="1">IFERROR(__xludf.DUMMYFUNCTION("""COMPUTED_VALUE"""),257.6)</f>
        <v>257.60000000000002</v>
      </c>
      <c r="E1584" s="1">
        <f ca="1">IFERROR(__xludf.DUMMYFUNCTION("""COMPUTED_VALUE"""),260.74)</f>
        <v>260.74</v>
      </c>
      <c r="F1584" s="1">
        <f ca="1">IFERROR(__xludf.DUMMYFUNCTION("""COMPUTED_VALUE"""),24878582)</f>
        <v>24878582</v>
      </c>
    </row>
    <row r="1585" spans="1:6" x14ac:dyDescent="0.35">
      <c r="A1585" s="2">
        <f ca="1">IFERROR(__xludf.DUMMYFUNCTION("""COMPUTED_VALUE"""),44305.6666666666)</f>
        <v>44305.666666666599</v>
      </c>
      <c r="B1585" s="1">
        <f ca="1">IFERROR(__xludf.DUMMYFUNCTION("""COMPUTED_VALUE"""),260.19)</f>
        <v>260.19</v>
      </c>
      <c r="C1585" s="1">
        <f ca="1">IFERROR(__xludf.DUMMYFUNCTION("""COMPUTED_VALUE"""),261.48)</f>
        <v>261.48</v>
      </c>
      <c r="D1585" s="1">
        <f ca="1">IFERROR(__xludf.DUMMYFUNCTION("""COMPUTED_VALUE"""),257.82)</f>
        <v>257.82</v>
      </c>
      <c r="E1585" s="1">
        <f ca="1">IFERROR(__xludf.DUMMYFUNCTION("""COMPUTED_VALUE"""),258.74)</f>
        <v>258.74</v>
      </c>
      <c r="F1585" s="1">
        <f ca="1">IFERROR(__xludf.DUMMYFUNCTION("""COMPUTED_VALUE"""),23209260)</f>
        <v>23209260</v>
      </c>
    </row>
    <row r="1586" spans="1:6" x14ac:dyDescent="0.35">
      <c r="A1586" s="2">
        <f ca="1">IFERROR(__xludf.DUMMYFUNCTION("""COMPUTED_VALUE"""),44306.6666666666)</f>
        <v>44306.666666666599</v>
      </c>
      <c r="B1586" s="1">
        <f ca="1">IFERROR(__xludf.DUMMYFUNCTION("""COMPUTED_VALUE"""),257.82)</f>
        <v>257.82</v>
      </c>
      <c r="C1586" s="1">
        <f ca="1">IFERROR(__xludf.DUMMYFUNCTION("""COMPUTED_VALUE"""),260.2)</f>
        <v>260.2</v>
      </c>
      <c r="D1586" s="1">
        <f ca="1">IFERROR(__xludf.DUMMYFUNCTION("""COMPUTED_VALUE"""),256.84)</f>
        <v>256.83999999999997</v>
      </c>
      <c r="E1586" s="1">
        <f ca="1">IFERROR(__xludf.DUMMYFUNCTION("""COMPUTED_VALUE"""),258.26)</f>
        <v>258.26</v>
      </c>
      <c r="F1586" s="1">
        <f ca="1">IFERROR(__xludf.DUMMYFUNCTION("""COMPUTED_VALUE"""),19722875)</f>
        <v>19722875</v>
      </c>
    </row>
    <row r="1587" spans="1:6" x14ac:dyDescent="0.35">
      <c r="A1587" s="2">
        <f ca="1">IFERROR(__xludf.DUMMYFUNCTION("""COMPUTED_VALUE"""),44307.6666666666)</f>
        <v>44307.666666666599</v>
      </c>
      <c r="B1587" s="1">
        <f ca="1">IFERROR(__xludf.DUMMYFUNCTION("""COMPUTED_VALUE"""),258.94)</f>
        <v>258.94</v>
      </c>
      <c r="C1587" s="1">
        <f ca="1">IFERROR(__xludf.DUMMYFUNCTION("""COMPUTED_VALUE"""),260.68)</f>
        <v>260.68</v>
      </c>
      <c r="D1587" s="1">
        <f ca="1">IFERROR(__xludf.DUMMYFUNCTION("""COMPUTED_VALUE"""),257.25)</f>
        <v>257.25</v>
      </c>
      <c r="E1587" s="1">
        <f ca="1">IFERROR(__xludf.DUMMYFUNCTION("""COMPUTED_VALUE"""),260.58)</f>
        <v>260.58</v>
      </c>
      <c r="F1587" s="1">
        <f ca="1">IFERROR(__xludf.DUMMYFUNCTION("""COMPUTED_VALUE"""),24030383)</f>
        <v>24030383</v>
      </c>
    </row>
    <row r="1588" spans="1:6" x14ac:dyDescent="0.35">
      <c r="A1588" s="2">
        <f ca="1">IFERROR(__xludf.DUMMYFUNCTION("""COMPUTED_VALUE"""),44308.6666666666)</f>
        <v>44308.666666666599</v>
      </c>
      <c r="B1588" s="1">
        <f ca="1">IFERROR(__xludf.DUMMYFUNCTION("""COMPUTED_VALUE"""),260.21)</f>
        <v>260.20999999999998</v>
      </c>
      <c r="C1588" s="1">
        <f ca="1">IFERROR(__xludf.DUMMYFUNCTION("""COMPUTED_VALUE"""),261.78)</f>
        <v>261.77999999999997</v>
      </c>
      <c r="D1588" s="1">
        <f ca="1">IFERROR(__xludf.DUMMYFUNCTION("""COMPUTED_VALUE"""),255.64)</f>
        <v>255.64</v>
      </c>
      <c r="E1588" s="1">
        <f ca="1">IFERROR(__xludf.DUMMYFUNCTION("""COMPUTED_VALUE"""),257.17)</f>
        <v>257.17</v>
      </c>
      <c r="F1588" s="1">
        <f ca="1">IFERROR(__xludf.DUMMYFUNCTION("""COMPUTED_VALUE"""),25606152)</f>
        <v>25606152</v>
      </c>
    </row>
    <row r="1589" spans="1:6" x14ac:dyDescent="0.35">
      <c r="A1589" s="2">
        <f ca="1">IFERROR(__xludf.DUMMYFUNCTION("""COMPUTED_VALUE"""),44309.6666666666)</f>
        <v>44309.666666666599</v>
      </c>
      <c r="B1589" s="1">
        <f ca="1">IFERROR(__xludf.DUMMYFUNCTION("""COMPUTED_VALUE"""),257.88)</f>
        <v>257.88</v>
      </c>
      <c r="C1589" s="1">
        <f ca="1">IFERROR(__xludf.DUMMYFUNCTION("""COMPUTED_VALUE"""),261.51)</f>
        <v>261.51</v>
      </c>
      <c r="D1589" s="1">
        <f ca="1">IFERROR(__xludf.DUMMYFUNCTION("""COMPUTED_VALUE"""),257.27)</f>
        <v>257.27</v>
      </c>
      <c r="E1589" s="1">
        <f ca="1">IFERROR(__xludf.DUMMYFUNCTION("""COMPUTED_VALUE"""),261.15)</f>
        <v>261.14999999999998</v>
      </c>
      <c r="F1589" s="1">
        <f ca="1">IFERROR(__xludf.DUMMYFUNCTION("""COMPUTED_VALUE"""),21499286)</f>
        <v>21499286</v>
      </c>
    </row>
    <row r="1590" spans="1:6" x14ac:dyDescent="0.35">
      <c r="A1590" s="2">
        <f ca="1">IFERROR(__xludf.DUMMYFUNCTION("""COMPUTED_VALUE"""),44312.6666666666)</f>
        <v>44312.666666666599</v>
      </c>
      <c r="B1590" s="1">
        <f ca="1">IFERROR(__xludf.DUMMYFUNCTION("""COMPUTED_VALUE"""),261.66)</f>
        <v>261.66000000000003</v>
      </c>
      <c r="C1590" s="1">
        <f ca="1">IFERROR(__xludf.DUMMYFUNCTION("""COMPUTED_VALUE"""),262.44)</f>
        <v>262.44</v>
      </c>
      <c r="D1590" s="1">
        <f ca="1">IFERROR(__xludf.DUMMYFUNCTION("""COMPUTED_VALUE"""),260.17)</f>
        <v>260.17</v>
      </c>
      <c r="E1590" s="1">
        <f ca="1">IFERROR(__xludf.DUMMYFUNCTION("""COMPUTED_VALUE"""),261.55)</f>
        <v>261.55</v>
      </c>
      <c r="F1590" s="1">
        <f ca="1">IFERROR(__xludf.DUMMYFUNCTION("""COMPUTED_VALUE"""),19763346)</f>
        <v>19763346</v>
      </c>
    </row>
    <row r="1591" spans="1:6" x14ac:dyDescent="0.35">
      <c r="A1591" s="2">
        <f ca="1">IFERROR(__xludf.DUMMYFUNCTION("""COMPUTED_VALUE"""),44313.6666666666)</f>
        <v>44313.666666666599</v>
      </c>
      <c r="B1591" s="1">
        <f ca="1">IFERROR(__xludf.DUMMYFUNCTION("""COMPUTED_VALUE"""),261.58)</f>
        <v>261.58</v>
      </c>
      <c r="C1591" s="1">
        <f ca="1">IFERROR(__xludf.DUMMYFUNCTION("""COMPUTED_VALUE"""),263.19)</f>
        <v>263.19</v>
      </c>
      <c r="D1591" s="1">
        <f ca="1">IFERROR(__xludf.DUMMYFUNCTION("""COMPUTED_VALUE"""),260.12)</f>
        <v>260.12</v>
      </c>
      <c r="E1591" s="1">
        <f ca="1">IFERROR(__xludf.DUMMYFUNCTION("""COMPUTED_VALUE"""),261.97)</f>
        <v>261.97000000000003</v>
      </c>
      <c r="F1591" s="1">
        <f ca="1">IFERROR(__xludf.DUMMYFUNCTION("""COMPUTED_VALUE"""),31014213)</f>
        <v>31014213</v>
      </c>
    </row>
    <row r="1592" spans="1:6" x14ac:dyDescent="0.35">
      <c r="A1592" s="2">
        <f ca="1">IFERROR(__xludf.DUMMYFUNCTION("""COMPUTED_VALUE"""),44314.6666666666)</f>
        <v>44314.666666666599</v>
      </c>
      <c r="B1592" s="1">
        <f ca="1">IFERROR(__xludf.DUMMYFUNCTION("""COMPUTED_VALUE"""),256.08)</f>
        <v>256.08</v>
      </c>
      <c r="C1592" s="1">
        <f ca="1">IFERROR(__xludf.DUMMYFUNCTION("""COMPUTED_VALUE"""),256.54)</f>
        <v>256.54000000000002</v>
      </c>
      <c r="D1592" s="1">
        <f ca="1">IFERROR(__xludf.DUMMYFUNCTION("""COMPUTED_VALUE"""),252.95)</f>
        <v>252.95</v>
      </c>
      <c r="E1592" s="1">
        <f ca="1">IFERROR(__xludf.DUMMYFUNCTION("""COMPUTED_VALUE"""),254.56)</f>
        <v>254.56</v>
      </c>
      <c r="F1592" s="1">
        <f ca="1">IFERROR(__xludf.DUMMYFUNCTION("""COMPUTED_VALUE"""),46903119)</f>
        <v>46903119</v>
      </c>
    </row>
    <row r="1593" spans="1:6" x14ac:dyDescent="0.35">
      <c r="A1593" s="2">
        <f ca="1">IFERROR(__xludf.DUMMYFUNCTION("""COMPUTED_VALUE"""),44315.6666666666)</f>
        <v>44315.666666666599</v>
      </c>
      <c r="B1593" s="1">
        <f ca="1">IFERROR(__xludf.DUMMYFUNCTION("""COMPUTED_VALUE"""),255.46)</f>
        <v>255.46</v>
      </c>
      <c r="C1593" s="1">
        <f ca="1">IFERROR(__xludf.DUMMYFUNCTION("""COMPUTED_VALUE"""),256.1)</f>
        <v>256.10000000000002</v>
      </c>
      <c r="D1593" s="1">
        <f ca="1">IFERROR(__xludf.DUMMYFUNCTION("""COMPUTED_VALUE"""),249)</f>
        <v>249</v>
      </c>
      <c r="E1593" s="1">
        <f ca="1">IFERROR(__xludf.DUMMYFUNCTION("""COMPUTED_VALUE"""),252.51)</f>
        <v>252.51</v>
      </c>
      <c r="F1593" s="1">
        <f ca="1">IFERROR(__xludf.DUMMYFUNCTION("""COMPUTED_VALUE"""),40589023)</f>
        <v>40589023</v>
      </c>
    </row>
    <row r="1594" spans="1:6" x14ac:dyDescent="0.35">
      <c r="A1594" s="2">
        <f ca="1">IFERROR(__xludf.DUMMYFUNCTION("""COMPUTED_VALUE"""),44316.6666666666)</f>
        <v>44316.666666666599</v>
      </c>
      <c r="B1594" s="1">
        <f ca="1">IFERROR(__xludf.DUMMYFUNCTION("""COMPUTED_VALUE"""),249.74)</f>
        <v>249.74</v>
      </c>
      <c r="C1594" s="1">
        <f ca="1">IFERROR(__xludf.DUMMYFUNCTION("""COMPUTED_VALUE"""),253.08)</f>
        <v>253.08</v>
      </c>
      <c r="D1594" s="1">
        <f ca="1">IFERROR(__xludf.DUMMYFUNCTION("""COMPUTED_VALUE"""),249.6)</f>
        <v>249.6</v>
      </c>
      <c r="E1594" s="1">
        <f ca="1">IFERROR(__xludf.DUMMYFUNCTION("""COMPUTED_VALUE"""),252.18)</f>
        <v>252.18</v>
      </c>
      <c r="F1594" s="1">
        <f ca="1">IFERROR(__xludf.DUMMYFUNCTION("""COMPUTED_VALUE"""),30945098)</f>
        <v>30945098</v>
      </c>
    </row>
    <row r="1595" spans="1:6" x14ac:dyDescent="0.35">
      <c r="A1595" s="2">
        <f ca="1">IFERROR(__xludf.DUMMYFUNCTION("""COMPUTED_VALUE"""),44319.6666666666)</f>
        <v>44319.666666666599</v>
      </c>
      <c r="B1595" s="1">
        <f ca="1">IFERROR(__xludf.DUMMYFUNCTION("""COMPUTED_VALUE"""),253.4)</f>
        <v>253.4</v>
      </c>
      <c r="C1595" s="1">
        <f ca="1">IFERROR(__xludf.DUMMYFUNCTION("""COMPUTED_VALUE"""),254.35)</f>
        <v>254.35</v>
      </c>
      <c r="D1595" s="1">
        <f ca="1">IFERROR(__xludf.DUMMYFUNCTION("""COMPUTED_VALUE"""),251.12)</f>
        <v>251.12</v>
      </c>
      <c r="E1595" s="1">
        <f ca="1">IFERROR(__xludf.DUMMYFUNCTION("""COMPUTED_VALUE"""),251.86)</f>
        <v>251.86</v>
      </c>
      <c r="F1595" s="1">
        <f ca="1">IFERROR(__xludf.DUMMYFUNCTION("""COMPUTED_VALUE"""),19626568)</f>
        <v>19626568</v>
      </c>
    </row>
    <row r="1596" spans="1:6" x14ac:dyDescent="0.35">
      <c r="A1596" s="2">
        <f ca="1">IFERROR(__xludf.DUMMYFUNCTION("""COMPUTED_VALUE"""),44320.6666666666)</f>
        <v>44320.666666666599</v>
      </c>
      <c r="B1596" s="1">
        <f ca="1">IFERROR(__xludf.DUMMYFUNCTION("""COMPUTED_VALUE"""),250.97)</f>
        <v>250.97</v>
      </c>
      <c r="C1596" s="1">
        <f ca="1">IFERROR(__xludf.DUMMYFUNCTION("""COMPUTED_VALUE"""),251.21)</f>
        <v>251.21</v>
      </c>
      <c r="D1596" s="1">
        <f ca="1">IFERROR(__xludf.DUMMYFUNCTION("""COMPUTED_VALUE"""),245.76)</f>
        <v>245.76</v>
      </c>
      <c r="E1596" s="1">
        <f ca="1">IFERROR(__xludf.DUMMYFUNCTION("""COMPUTED_VALUE"""),247.79)</f>
        <v>247.79</v>
      </c>
      <c r="F1596" s="1">
        <f ca="1">IFERROR(__xludf.DUMMYFUNCTION("""COMPUTED_VALUE"""),32756052)</f>
        <v>32756052</v>
      </c>
    </row>
    <row r="1597" spans="1:6" x14ac:dyDescent="0.35">
      <c r="A1597" s="2">
        <f ca="1">IFERROR(__xludf.DUMMYFUNCTION("""COMPUTED_VALUE"""),44321.6666666666)</f>
        <v>44321.666666666599</v>
      </c>
      <c r="B1597" s="1">
        <f ca="1">IFERROR(__xludf.DUMMYFUNCTION("""COMPUTED_VALUE"""),249.06)</f>
        <v>249.06</v>
      </c>
      <c r="C1597" s="1">
        <f ca="1">IFERROR(__xludf.DUMMYFUNCTION("""COMPUTED_VALUE"""),249.5)</f>
        <v>249.5</v>
      </c>
      <c r="D1597" s="1">
        <f ca="1">IFERROR(__xludf.DUMMYFUNCTION("""COMPUTED_VALUE"""),245.82)</f>
        <v>245.82</v>
      </c>
      <c r="E1597" s="1">
        <f ca="1">IFERROR(__xludf.DUMMYFUNCTION("""COMPUTED_VALUE"""),246.47)</f>
        <v>246.47</v>
      </c>
      <c r="F1597" s="1">
        <f ca="1">IFERROR(__xludf.DUMMYFUNCTION("""COMPUTED_VALUE"""),21901325)</f>
        <v>21901325</v>
      </c>
    </row>
    <row r="1598" spans="1:6" x14ac:dyDescent="0.35">
      <c r="A1598" s="2">
        <f ca="1">IFERROR(__xludf.DUMMYFUNCTION("""COMPUTED_VALUE"""),44322.6666666666)</f>
        <v>44322.666666666599</v>
      </c>
      <c r="B1598" s="1">
        <f ca="1">IFERROR(__xludf.DUMMYFUNCTION("""COMPUTED_VALUE"""),246.45)</f>
        <v>246.45</v>
      </c>
      <c r="C1598" s="1">
        <f ca="1">IFERROR(__xludf.DUMMYFUNCTION("""COMPUTED_VALUE"""),249.86)</f>
        <v>249.86</v>
      </c>
      <c r="D1598" s="1">
        <f ca="1">IFERROR(__xludf.DUMMYFUNCTION("""COMPUTED_VALUE"""),244.69)</f>
        <v>244.69</v>
      </c>
      <c r="E1598" s="1">
        <f ca="1">IFERROR(__xludf.DUMMYFUNCTION("""COMPUTED_VALUE"""),249.73)</f>
        <v>249.73</v>
      </c>
      <c r="F1598" s="1">
        <f ca="1">IFERROR(__xludf.DUMMYFUNCTION("""COMPUTED_VALUE"""),26491085)</f>
        <v>26491085</v>
      </c>
    </row>
    <row r="1599" spans="1:6" x14ac:dyDescent="0.35">
      <c r="A1599" s="2">
        <f ca="1">IFERROR(__xludf.DUMMYFUNCTION("""COMPUTED_VALUE"""),44323.6666666666)</f>
        <v>44323.666666666599</v>
      </c>
      <c r="B1599" s="1">
        <f ca="1">IFERROR(__xludf.DUMMYFUNCTION("""COMPUTED_VALUE"""),252.15)</f>
        <v>252.15</v>
      </c>
      <c r="C1599" s="1">
        <f ca="1">IFERROR(__xludf.DUMMYFUNCTION("""COMPUTED_VALUE"""),254.3)</f>
        <v>254.3</v>
      </c>
      <c r="D1599" s="1">
        <f ca="1">IFERROR(__xludf.DUMMYFUNCTION("""COMPUTED_VALUE"""),251.17)</f>
        <v>251.17</v>
      </c>
      <c r="E1599" s="1">
        <f ca="1">IFERROR(__xludf.DUMMYFUNCTION("""COMPUTED_VALUE"""),252.46)</f>
        <v>252.46</v>
      </c>
      <c r="F1599" s="1">
        <f ca="1">IFERROR(__xludf.DUMMYFUNCTION("""COMPUTED_VALUE"""),27032912)</f>
        <v>27032912</v>
      </c>
    </row>
    <row r="1600" spans="1:6" x14ac:dyDescent="0.35">
      <c r="A1600" s="2">
        <f ca="1">IFERROR(__xludf.DUMMYFUNCTION("""COMPUTED_VALUE"""),44326.6666666666)</f>
        <v>44326.666666666599</v>
      </c>
      <c r="B1600" s="1">
        <f ca="1">IFERROR(__xludf.DUMMYFUNCTION("""COMPUTED_VALUE"""),250.87)</f>
        <v>250.87</v>
      </c>
      <c r="C1600" s="1">
        <f ca="1">IFERROR(__xludf.DUMMYFUNCTION("""COMPUTED_VALUE"""),251.73)</f>
        <v>251.73</v>
      </c>
      <c r="D1600" s="1">
        <f ca="1">IFERROR(__xludf.DUMMYFUNCTION("""COMPUTED_VALUE"""),247.12)</f>
        <v>247.12</v>
      </c>
      <c r="E1600" s="1">
        <f ca="1">IFERROR(__xludf.DUMMYFUNCTION("""COMPUTED_VALUE"""),247.18)</f>
        <v>247.18</v>
      </c>
      <c r="F1600" s="1">
        <f ca="1">IFERROR(__xludf.DUMMYFUNCTION("""COMPUTED_VALUE"""),29299890)</f>
        <v>29299890</v>
      </c>
    </row>
    <row r="1601" spans="1:6" x14ac:dyDescent="0.35">
      <c r="A1601" s="2">
        <f ca="1">IFERROR(__xludf.DUMMYFUNCTION("""COMPUTED_VALUE"""),44327.6666666666)</f>
        <v>44327.666666666599</v>
      </c>
      <c r="B1601" s="1">
        <f ca="1">IFERROR(__xludf.DUMMYFUNCTION("""COMPUTED_VALUE"""),244.55)</f>
        <v>244.55</v>
      </c>
      <c r="C1601" s="1">
        <f ca="1">IFERROR(__xludf.DUMMYFUNCTION("""COMPUTED_VALUE"""),246.6)</f>
        <v>246.6</v>
      </c>
      <c r="D1601" s="1">
        <f ca="1">IFERROR(__xludf.DUMMYFUNCTION("""COMPUTED_VALUE"""),242.57)</f>
        <v>242.57</v>
      </c>
      <c r="E1601" s="1">
        <f ca="1">IFERROR(__xludf.DUMMYFUNCTION("""COMPUTED_VALUE"""),246.23)</f>
        <v>246.23</v>
      </c>
      <c r="F1601" s="1">
        <f ca="1">IFERROR(__xludf.DUMMYFUNCTION("""COMPUTED_VALUE"""),33641589)</f>
        <v>33641589</v>
      </c>
    </row>
    <row r="1602" spans="1:6" x14ac:dyDescent="0.35">
      <c r="A1602" s="2">
        <f ca="1">IFERROR(__xludf.DUMMYFUNCTION("""COMPUTED_VALUE"""),44328.6666666666)</f>
        <v>44328.666666666599</v>
      </c>
      <c r="B1602" s="1">
        <f ca="1">IFERROR(__xludf.DUMMYFUNCTION("""COMPUTED_VALUE"""),242.17)</f>
        <v>242.17</v>
      </c>
      <c r="C1602" s="1">
        <f ca="1">IFERROR(__xludf.DUMMYFUNCTION("""COMPUTED_VALUE"""),244.38)</f>
        <v>244.38</v>
      </c>
      <c r="D1602" s="1">
        <f ca="1">IFERROR(__xludf.DUMMYFUNCTION("""COMPUTED_VALUE"""),238.07)</f>
        <v>238.07</v>
      </c>
      <c r="E1602" s="1">
        <f ca="1">IFERROR(__xludf.DUMMYFUNCTION("""COMPUTED_VALUE"""),239)</f>
        <v>239</v>
      </c>
      <c r="F1602" s="1">
        <f ca="1">IFERROR(__xludf.DUMMYFUNCTION("""COMPUTED_VALUE"""),36684370)</f>
        <v>36684370</v>
      </c>
    </row>
    <row r="1603" spans="1:6" x14ac:dyDescent="0.35">
      <c r="A1603" s="2">
        <f ca="1">IFERROR(__xludf.DUMMYFUNCTION("""COMPUTED_VALUE"""),44329.6666666666)</f>
        <v>44329.666666666599</v>
      </c>
      <c r="B1603" s="1">
        <f ca="1">IFERROR(__xludf.DUMMYFUNCTION("""COMPUTED_VALUE"""),241.8)</f>
        <v>241.8</v>
      </c>
      <c r="C1603" s="1">
        <f ca="1">IFERROR(__xludf.DUMMYFUNCTION("""COMPUTED_VALUE"""),245.6)</f>
        <v>245.6</v>
      </c>
      <c r="D1603" s="1">
        <f ca="1">IFERROR(__xludf.DUMMYFUNCTION("""COMPUTED_VALUE"""),241.42)</f>
        <v>241.42</v>
      </c>
      <c r="E1603" s="1">
        <f ca="1">IFERROR(__xludf.DUMMYFUNCTION("""COMPUTED_VALUE"""),243.03)</f>
        <v>243.03</v>
      </c>
      <c r="F1603" s="1">
        <f ca="1">IFERROR(__xludf.DUMMYFUNCTION("""COMPUTED_VALUE"""),29624298)</f>
        <v>29624298</v>
      </c>
    </row>
    <row r="1604" spans="1:6" x14ac:dyDescent="0.35">
      <c r="A1604" s="2">
        <f ca="1">IFERROR(__xludf.DUMMYFUNCTION("""COMPUTED_VALUE"""),44330.6666666666)</f>
        <v>44330.666666666599</v>
      </c>
      <c r="B1604" s="1">
        <f ca="1">IFERROR(__xludf.DUMMYFUNCTION("""COMPUTED_VALUE"""),245.58)</f>
        <v>245.58</v>
      </c>
      <c r="C1604" s="1">
        <f ca="1">IFERROR(__xludf.DUMMYFUNCTION("""COMPUTED_VALUE"""),249.18)</f>
        <v>249.18</v>
      </c>
      <c r="D1604" s="1">
        <f ca="1">IFERROR(__xludf.DUMMYFUNCTION("""COMPUTED_VALUE"""),245.49)</f>
        <v>245.49</v>
      </c>
      <c r="E1604" s="1">
        <f ca="1">IFERROR(__xludf.DUMMYFUNCTION("""COMPUTED_VALUE"""),248.15)</f>
        <v>248.15</v>
      </c>
      <c r="F1604" s="1">
        <f ca="1">IFERROR(__xludf.DUMMYFUNCTION("""COMPUTED_VALUE"""),23901081)</f>
        <v>23901081</v>
      </c>
    </row>
    <row r="1605" spans="1:6" x14ac:dyDescent="0.35">
      <c r="A1605" s="2">
        <f ca="1">IFERROR(__xludf.DUMMYFUNCTION("""COMPUTED_VALUE"""),44333.6666666666)</f>
        <v>44333.666666666599</v>
      </c>
      <c r="B1605" s="1">
        <f ca="1">IFERROR(__xludf.DUMMYFUNCTION("""COMPUTED_VALUE"""),246.55)</f>
        <v>246.55</v>
      </c>
      <c r="C1605" s="1">
        <f ca="1">IFERROR(__xludf.DUMMYFUNCTION("""COMPUTED_VALUE"""),246.59)</f>
        <v>246.59</v>
      </c>
      <c r="D1605" s="1">
        <f ca="1">IFERROR(__xludf.DUMMYFUNCTION("""COMPUTED_VALUE"""),243.52)</f>
        <v>243.52</v>
      </c>
      <c r="E1605" s="1">
        <f ca="1">IFERROR(__xludf.DUMMYFUNCTION("""COMPUTED_VALUE"""),245.18)</f>
        <v>245.18</v>
      </c>
      <c r="F1605" s="1">
        <f ca="1">IFERROR(__xludf.DUMMYFUNCTION("""COMPUTED_VALUE"""),24970168)</f>
        <v>24970168</v>
      </c>
    </row>
    <row r="1606" spans="1:6" x14ac:dyDescent="0.35">
      <c r="A1606" s="2">
        <f ca="1">IFERROR(__xludf.DUMMYFUNCTION("""COMPUTED_VALUE"""),44334.6666666666)</f>
        <v>44334.666666666599</v>
      </c>
      <c r="B1606" s="1">
        <f ca="1">IFERROR(__xludf.DUMMYFUNCTION("""COMPUTED_VALUE"""),246.27)</f>
        <v>246.27</v>
      </c>
      <c r="C1606" s="1">
        <f ca="1">IFERROR(__xludf.DUMMYFUNCTION("""COMPUTED_VALUE"""),246.41)</f>
        <v>246.41</v>
      </c>
      <c r="D1606" s="1">
        <f ca="1">IFERROR(__xludf.DUMMYFUNCTION("""COMPUTED_VALUE"""),242.9)</f>
        <v>242.9</v>
      </c>
      <c r="E1606" s="1">
        <f ca="1">IFERROR(__xludf.DUMMYFUNCTION("""COMPUTED_VALUE"""),243.08)</f>
        <v>243.08</v>
      </c>
      <c r="F1606" s="1">
        <f ca="1">IFERROR(__xludf.DUMMYFUNCTION("""COMPUTED_VALUE"""),20167975)</f>
        <v>20167975</v>
      </c>
    </row>
    <row r="1607" spans="1:6" x14ac:dyDescent="0.35">
      <c r="A1607" s="2">
        <f ca="1">IFERROR(__xludf.DUMMYFUNCTION("""COMPUTED_VALUE"""),44335.6666666666)</f>
        <v>44335.666666666599</v>
      </c>
      <c r="B1607" s="1">
        <f ca="1">IFERROR(__xludf.DUMMYFUNCTION("""COMPUTED_VALUE"""),239.31)</f>
        <v>239.31</v>
      </c>
      <c r="C1607" s="1">
        <f ca="1">IFERROR(__xludf.DUMMYFUNCTION("""COMPUTED_VALUE"""),243.23)</f>
        <v>243.23</v>
      </c>
      <c r="D1607" s="1">
        <f ca="1">IFERROR(__xludf.DUMMYFUNCTION("""COMPUTED_VALUE"""),238.6)</f>
        <v>238.6</v>
      </c>
      <c r="E1607" s="1">
        <f ca="1">IFERROR(__xludf.DUMMYFUNCTION("""COMPUTED_VALUE"""),243.12)</f>
        <v>243.12</v>
      </c>
      <c r="F1607" s="1">
        <f ca="1">IFERROR(__xludf.DUMMYFUNCTION("""COMPUTED_VALUE"""),25739807)</f>
        <v>25739807</v>
      </c>
    </row>
    <row r="1608" spans="1:6" x14ac:dyDescent="0.35">
      <c r="A1608" s="2">
        <f ca="1">IFERROR(__xludf.DUMMYFUNCTION("""COMPUTED_VALUE"""),44336.6666666666)</f>
        <v>44336.666666666599</v>
      </c>
      <c r="B1608" s="1">
        <f ca="1">IFERROR(__xludf.DUMMYFUNCTION("""COMPUTED_VALUE"""),243.96)</f>
        <v>243.96</v>
      </c>
      <c r="C1608" s="1">
        <f ca="1">IFERROR(__xludf.DUMMYFUNCTION("""COMPUTED_VALUE"""),247.95)</f>
        <v>247.95</v>
      </c>
      <c r="D1608" s="1">
        <f ca="1">IFERROR(__xludf.DUMMYFUNCTION("""COMPUTED_VALUE"""),243.86)</f>
        <v>243.86</v>
      </c>
      <c r="E1608" s="1">
        <f ca="1">IFERROR(__xludf.DUMMYFUNCTION("""COMPUTED_VALUE"""),246.48)</f>
        <v>246.48</v>
      </c>
      <c r="F1608" s="1">
        <f ca="1">IFERROR(__xludf.DUMMYFUNCTION("""COMPUTED_VALUE"""),21800716)</f>
        <v>21800716</v>
      </c>
    </row>
    <row r="1609" spans="1:6" x14ac:dyDescent="0.35">
      <c r="A1609" s="2">
        <f ca="1">IFERROR(__xludf.DUMMYFUNCTION("""COMPUTED_VALUE"""),44337.6666666666)</f>
        <v>44337.666666666599</v>
      </c>
      <c r="B1609" s="1">
        <f ca="1">IFERROR(__xludf.DUMMYFUNCTION("""COMPUTED_VALUE"""),247.57)</f>
        <v>247.57</v>
      </c>
      <c r="C1609" s="1">
        <f ca="1">IFERROR(__xludf.DUMMYFUNCTION("""COMPUTED_VALUE"""),248.33)</f>
        <v>248.33</v>
      </c>
      <c r="D1609" s="1">
        <f ca="1">IFERROR(__xludf.DUMMYFUNCTION("""COMPUTED_VALUE"""),244.74)</f>
        <v>244.74</v>
      </c>
      <c r="E1609" s="1">
        <f ca="1">IFERROR(__xludf.DUMMYFUNCTION("""COMPUTED_VALUE"""),245.17)</f>
        <v>245.17</v>
      </c>
      <c r="F1609" s="1">
        <f ca="1">IFERROR(__xludf.DUMMYFUNCTION("""COMPUTED_VALUE"""),21863058)</f>
        <v>21863058</v>
      </c>
    </row>
    <row r="1610" spans="1:6" x14ac:dyDescent="0.35">
      <c r="A1610" s="2">
        <f ca="1">IFERROR(__xludf.DUMMYFUNCTION("""COMPUTED_VALUE"""),44340.6666666666)</f>
        <v>44340.666666666599</v>
      </c>
      <c r="B1610" s="1">
        <f ca="1">IFERROR(__xludf.DUMMYFUNCTION("""COMPUTED_VALUE"""),247.79)</f>
        <v>247.79</v>
      </c>
      <c r="C1610" s="1">
        <f ca="1">IFERROR(__xludf.DUMMYFUNCTION("""COMPUTED_VALUE"""),251.16)</f>
        <v>251.16</v>
      </c>
      <c r="D1610" s="1">
        <f ca="1">IFERROR(__xludf.DUMMYFUNCTION("""COMPUTED_VALUE"""),247.51)</f>
        <v>247.51</v>
      </c>
      <c r="E1610" s="1">
        <f ca="1">IFERROR(__xludf.DUMMYFUNCTION("""COMPUTED_VALUE"""),250.78)</f>
        <v>250.78</v>
      </c>
      <c r="F1610" s="1">
        <f ca="1">IFERROR(__xludf.DUMMYFUNCTION("""COMPUTED_VALUE"""),21411547)</f>
        <v>21411547</v>
      </c>
    </row>
    <row r="1611" spans="1:6" x14ac:dyDescent="0.35">
      <c r="A1611" s="2">
        <f ca="1">IFERROR(__xludf.DUMMYFUNCTION("""COMPUTED_VALUE"""),44341.6666666666)</f>
        <v>44341.666666666599</v>
      </c>
      <c r="B1611" s="1">
        <f ca="1">IFERROR(__xludf.DUMMYFUNCTION("""COMPUTED_VALUE"""),251.77)</f>
        <v>251.77</v>
      </c>
      <c r="C1611" s="1">
        <f ca="1">IFERROR(__xludf.DUMMYFUNCTION("""COMPUTED_VALUE"""),252.75)</f>
        <v>252.75</v>
      </c>
      <c r="D1611" s="1">
        <f ca="1">IFERROR(__xludf.DUMMYFUNCTION("""COMPUTED_VALUE"""),250.82)</f>
        <v>250.82</v>
      </c>
      <c r="E1611" s="1">
        <f ca="1">IFERROR(__xludf.DUMMYFUNCTION("""COMPUTED_VALUE"""),251.72)</f>
        <v>251.72</v>
      </c>
      <c r="F1611" s="1">
        <f ca="1">IFERROR(__xludf.DUMMYFUNCTION("""COMPUTED_VALUE"""),17704303)</f>
        <v>17704303</v>
      </c>
    </row>
    <row r="1612" spans="1:6" x14ac:dyDescent="0.35">
      <c r="A1612" s="2">
        <f ca="1">IFERROR(__xludf.DUMMYFUNCTION("""COMPUTED_VALUE"""),44342.6666666666)</f>
        <v>44342.666666666599</v>
      </c>
      <c r="B1612" s="1">
        <f ca="1">IFERROR(__xludf.DUMMYFUNCTION("""COMPUTED_VALUE"""),251.43)</f>
        <v>251.43</v>
      </c>
      <c r="C1612" s="1">
        <f ca="1">IFERROR(__xludf.DUMMYFUNCTION("""COMPUTED_VALUE"""),252.94)</f>
        <v>252.94</v>
      </c>
      <c r="D1612" s="1">
        <f ca="1">IFERROR(__xludf.DUMMYFUNCTION("""COMPUTED_VALUE"""),250.75)</f>
        <v>250.75</v>
      </c>
      <c r="E1612" s="1">
        <f ca="1">IFERROR(__xludf.DUMMYFUNCTION("""COMPUTED_VALUE"""),251.49)</f>
        <v>251.49</v>
      </c>
      <c r="F1612" s="1">
        <f ca="1">IFERROR(__xludf.DUMMYFUNCTION("""COMPUTED_VALUE"""),17771600)</f>
        <v>17771600</v>
      </c>
    </row>
    <row r="1613" spans="1:6" x14ac:dyDescent="0.35">
      <c r="A1613" s="2">
        <f ca="1">IFERROR(__xludf.DUMMYFUNCTION("""COMPUTED_VALUE"""),44343.6666666666)</f>
        <v>44343.666666666599</v>
      </c>
      <c r="B1613" s="1">
        <f ca="1">IFERROR(__xludf.DUMMYFUNCTION("""COMPUTED_VALUE"""),251.17)</f>
        <v>251.17</v>
      </c>
      <c r="C1613" s="1">
        <f ca="1">IFERROR(__xludf.DUMMYFUNCTION("""COMPUTED_VALUE"""),251.48)</f>
        <v>251.48</v>
      </c>
      <c r="D1613" s="1">
        <f ca="1">IFERROR(__xludf.DUMMYFUNCTION("""COMPUTED_VALUE"""),249.25)</f>
        <v>249.25</v>
      </c>
      <c r="E1613" s="1">
        <f ca="1">IFERROR(__xludf.DUMMYFUNCTION("""COMPUTED_VALUE"""),249.31)</f>
        <v>249.31</v>
      </c>
      <c r="F1613" s="1">
        <f ca="1">IFERROR(__xludf.DUMMYFUNCTION("""COMPUTED_VALUE"""),24426244)</f>
        <v>24426244</v>
      </c>
    </row>
    <row r="1614" spans="1:6" x14ac:dyDescent="0.35">
      <c r="A1614" s="2">
        <f ca="1">IFERROR(__xludf.DUMMYFUNCTION("""COMPUTED_VALUE"""),44344.6666666666)</f>
        <v>44344.666666666599</v>
      </c>
      <c r="B1614" s="1">
        <f ca="1">IFERROR(__xludf.DUMMYFUNCTION("""COMPUTED_VALUE"""),251)</f>
        <v>251</v>
      </c>
      <c r="C1614" s="1">
        <f ca="1">IFERROR(__xludf.DUMMYFUNCTION("""COMPUTED_VALUE"""),252.08)</f>
        <v>252.08</v>
      </c>
      <c r="D1614" s="1">
        <f ca="1">IFERROR(__xludf.DUMMYFUNCTION("""COMPUTED_VALUE"""),249.56)</f>
        <v>249.56</v>
      </c>
      <c r="E1614" s="1">
        <f ca="1">IFERROR(__xludf.DUMMYFUNCTION("""COMPUTED_VALUE"""),249.68)</f>
        <v>249.68</v>
      </c>
      <c r="F1614" s="1">
        <f ca="1">IFERROR(__xludf.DUMMYFUNCTION("""COMPUTED_VALUE"""),18274942)</f>
        <v>18274942</v>
      </c>
    </row>
    <row r="1615" spans="1:6" x14ac:dyDescent="0.35">
      <c r="A1615" s="2">
        <f ca="1">IFERROR(__xludf.DUMMYFUNCTION("""COMPUTED_VALUE"""),44348.6666666666)</f>
        <v>44348.666666666599</v>
      </c>
      <c r="B1615" s="1">
        <f ca="1">IFERROR(__xludf.DUMMYFUNCTION("""COMPUTED_VALUE"""),251.23)</f>
        <v>251.23</v>
      </c>
      <c r="C1615" s="1">
        <f ca="1">IFERROR(__xludf.DUMMYFUNCTION("""COMPUTED_VALUE"""),251.29)</f>
        <v>251.29</v>
      </c>
      <c r="D1615" s="1">
        <f ca="1">IFERROR(__xludf.DUMMYFUNCTION("""COMPUTED_VALUE"""),246.96)</f>
        <v>246.96</v>
      </c>
      <c r="E1615" s="1">
        <f ca="1">IFERROR(__xludf.DUMMYFUNCTION("""COMPUTED_VALUE"""),247.4)</f>
        <v>247.4</v>
      </c>
      <c r="F1615" s="1">
        <f ca="1">IFERROR(__xludf.DUMMYFUNCTION("""COMPUTED_VALUE"""),23213310)</f>
        <v>23213310</v>
      </c>
    </row>
    <row r="1616" spans="1:6" x14ac:dyDescent="0.35">
      <c r="A1616" s="2">
        <f ca="1">IFERROR(__xludf.DUMMYFUNCTION("""COMPUTED_VALUE"""),44349.6666666666)</f>
        <v>44349.666666666599</v>
      </c>
      <c r="B1616" s="1">
        <f ca="1">IFERROR(__xludf.DUMMYFUNCTION("""COMPUTED_VALUE"""),248.13)</f>
        <v>248.13</v>
      </c>
      <c r="C1616" s="1">
        <f ca="1">IFERROR(__xludf.DUMMYFUNCTION("""COMPUTED_VALUE"""),249.27)</f>
        <v>249.27</v>
      </c>
      <c r="D1616" s="1">
        <f ca="1">IFERROR(__xludf.DUMMYFUNCTION("""COMPUTED_VALUE"""),245.84)</f>
        <v>245.84</v>
      </c>
      <c r="E1616" s="1">
        <f ca="1">IFERROR(__xludf.DUMMYFUNCTION("""COMPUTED_VALUE"""),247.3)</f>
        <v>247.3</v>
      </c>
      <c r="F1616" s="1">
        <f ca="1">IFERROR(__xludf.DUMMYFUNCTION("""COMPUTED_VALUE"""),19406705)</f>
        <v>19406705</v>
      </c>
    </row>
    <row r="1617" spans="1:6" x14ac:dyDescent="0.35">
      <c r="A1617" s="2">
        <f ca="1">IFERROR(__xludf.DUMMYFUNCTION("""COMPUTED_VALUE"""),44350.6666666666)</f>
        <v>44350.666666666599</v>
      </c>
      <c r="B1617" s="1">
        <f ca="1">IFERROR(__xludf.DUMMYFUNCTION("""COMPUTED_VALUE"""),245.22)</f>
        <v>245.22</v>
      </c>
      <c r="C1617" s="1">
        <f ca="1">IFERROR(__xludf.DUMMYFUNCTION("""COMPUTED_VALUE"""),246.34)</f>
        <v>246.34</v>
      </c>
      <c r="D1617" s="1">
        <f ca="1">IFERROR(__xludf.DUMMYFUNCTION("""COMPUTED_VALUE"""),243)</f>
        <v>243</v>
      </c>
      <c r="E1617" s="1">
        <f ca="1">IFERROR(__xludf.DUMMYFUNCTION("""COMPUTED_VALUE"""),245.71)</f>
        <v>245.71</v>
      </c>
      <c r="F1617" s="1">
        <f ca="1">IFERROR(__xludf.DUMMYFUNCTION("""COMPUTED_VALUE"""),25307711)</f>
        <v>25307711</v>
      </c>
    </row>
    <row r="1618" spans="1:6" x14ac:dyDescent="0.35">
      <c r="A1618" s="2">
        <f ca="1">IFERROR(__xludf.DUMMYFUNCTION("""COMPUTED_VALUE"""),44351.6666666666)</f>
        <v>44351.666666666599</v>
      </c>
      <c r="B1618" s="1">
        <f ca="1">IFERROR(__xludf.DUMMYFUNCTION("""COMPUTED_VALUE"""),247.76)</f>
        <v>247.76</v>
      </c>
      <c r="C1618" s="1">
        <f ca="1">IFERROR(__xludf.DUMMYFUNCTION("""COMPUTED_VALUE"""),251.65)</f>
        <v>251.65</v>
      </c>
      <c r="D1618" s="1">
        <f ca="1">IFERROR(__xludf.DUMMYFUNCTION("""COMPUTED_VALUE"""),247.51)</f>
        <v>247.51</v>
      </c>
      <c r="E1618" s="1">
        <f ca="1">IFERROR(__xludf.DUMMYFUNCTION("""COMPUTED_VALUE"""),250.79)</f>
        <v>250.79</v>
      </c>
      <c r="F1618" s="1">
        <f ca="1">IFERROR(__xludf.DUMMYFUNCTION("""COMPUTED_VALUE"""),25281094)</f>
        <v>25281094</v>
      </c>
    </row>
    <row r="1619" spans="1:6" x14ac:dyDescent="0.35">
      <c r="A1619" s="2">
        <f ca="1">IFERROR(__xludf.DUMMYFUNCTION("""COMPUTED_VALUE"""),44354.6666666666)</f>
        <v>44354.666666666599</v>
      </c>
      <c r="B1619" s="1">
        <f ca="1">IFERROR(__xludf.DUMMYFUNCTION("""COMPUTED_VALUE"""),249.98)</f>
        <v>249.98</v>
      </c>
      <c r="C1619" s="1">
        <f ca="1">IFERROR(__xludf.DUMMYFUNCTION("""COMPUTED_VALUE"""),254.09)</f>
        <v>254.09</v>
      </c>
      <c r="D1619" s="1">
        <f ca="1">IFERROR(__xludf.DUMMYFUNCTION("""COMPUTED_VALUE"""),249.81)</f>
        <v>249.81</v>
      </c>
      <c r="E1619" s="1">
        <f ca="1">IFERROR(__xludf.DUMMYFUNCTION("""COMPUTED_VALUE"""),253.81)</f>
        <v>253.81</v>
      </c>
      <c r="F1619" s="1">
        <f ca="1">IFERROR(__xludf.DUMMYFUNCTION("""COMPUTED_VALUE"""),23079167)</f>
        <v>23079167</v>
      </c>
    </row>
    <row r="1620" spans="1:6" x14ac:dyDescent="0.35">
      <c r="A1620" s="2">
        <f ca="1">IFERROR(__xludf.DUMMYFUNCTION("""COMPUTED_VALUE"""),44355.6666666666)</f>
        <v>44355.666666666599</v>
      </c>
      <c r="B1620" s="1">
        <f ca="1">IFERROR(__xludf.DUMMYFUNCTION("""COMPUTED_VALUE"""),255.16)</f>
        <v>255.16</v>
      </c>
      <c r="C1620" s="1">
        <f ca="1">IFERROR(__xludf.DUMMYFUNCTION("""COMPUTED_VALUE"""),256.01)</f>
        <v>256.01</v>
      </c>
      <c r="D1620" s="1">
        <f ca="1">IFERROR(__xludf.DUMMYFUNCTION("""COMPUTED_VALUE"""),252.51)</f>
        <v>252.51</v>
      </c>
      <c r="E1620" s="1">
        <f ca="1">IFERROR(__xludf.DUMMYFUNCTION("""COMPUTED_VALUE"""),252.57)</f>
        <v>252.57</v>
      </c>
      <c r="F1620" s="1">
        <f ca="1">IFERROR(__xludf.DUMMYFUNCTION("""COMPUTED_VALUE"""),22454998)</f>
        <v>22454998</v>
      </c>
    </row>
    <row r="1621" spans="1:6" x14ac:dyDescent="0.35">
      <c r="A1621" s="2">
        <f ca="1">IFERROR(__xludf.DUMMYFUNCTION("""COMPUTED_VALUE"""),44356.6666666666)</f>
        <v>44356.666666666599</v>
      </c>
      <c r="B1621" s="1">
        <f ca="1">IFERROR(__xludf.DUMMYFUNCTION("""COMPUTED_VALUE"""),253.81)</f>
        <v>253.81</v>
      </c>
      <c r="C1621" s="1">
        <f ca="1">IFERROR(__xludf.DUMMYFUNCTION("""COMPUTED_VALUE"""),255.53)</f>
        <v>255.53</v>
      </c>
      <c r="D1621" s="1">
        <f ca="1">IFERROR(__xludf.DUMMYFUNCTION("""COMPUTED_VALUE"""),253.21)</f>
        <v>253.21</v>
      </c>
      <c r="E1621" s="1">
        <f ca="1">IFERROR(__xludf.DUMMYFUNCTION("""COMPUTED_VALUE"""),253.59)</f>
        <v>253.59</v>
      </c>
      <c r="F1621" s="1">
        <f ca="1">IFERROR(__xludf.DUMMYFUNCTION("""COMPUTED_VALUE"""),17937634)</f>
        <v>17937634</v>
      </c>
    </row>
    <row r="1622" spans="1:6" x14ac:dyDescent="0.35">
      <c r="A1622" s="2">
        <f ca="1">IFERROR(__xludf.DUMMYFUNCTION("""COMPUTED_VALUE"""),44357.6666666666)</f>
        <v>44357.666666666599</v>
      </c>
      <c r="B1622" s="1">
        <f ca="1">IFERROR(__xludf.DUMMYFUNCTION("""COMPUTED_VALUE"""),254.29)</f>
        <v>254.29</v>
      </c>
      <c r="C1622" s="1">
        <f ca="1">IFERROR(__xludf.DUMMYFUNCTION("""COMPUTED_VALUE"""),257.46)</f>
        <v>257.45999999999998</v>
      </c>
      <c r="D1622" s="1">
        <f ca="1">IFERROR(__xludf.DUMMYFUNCTION("""COMPUTED_VALUE"""),253.67)</f>
        <v>253.67</v>
      </c>
      <c r="E1622" s="1">
        <f ca="1">IFERROR(__xludf.DUMMYFUNCTION("""COMPUTED_VALUE"""),257.24)</f>
        <v>257.24</v>
      </c>
      <c r="F1622" s="1">
        <f ca="1">IFERROR(__xludf.DUMMYFUNCTION("""COMPUTED_VALUE"""),24563619)</f>
        <v>24563619</v>
      </c>
    </row>
    <row r="1623" spans="1:6" x14ac:dyDescent="0.35">
      <c r="A1623" s="2">
        <f ca="1">IFERROR(__xludf.DUMMYFUNCTION("""COMPUTED_VALUE"""),44358.6666666666)</f>
        <v>44358.666666666599</v>
      </c>
      <c r="B1623" s="1">
        <f ca="1">IFERROR(__xludf.DUMMYFUNCTION("""COMPUTED_VALUE"""),257.99)</f>
        <v>257.99</v>
      </c>
      <c r="C1623" s="1">
        <f ca="1">IFERROR(__xludf.DUMMYFUNCTION("""COMPUTED_VALUE"""),258.49)</f>
        <v>258.49</v>
      </c>
      <c r="D1623" s="1">
        <f ca="1">IFERROR(__xludf.DUMMYFUNCTION("""COMPUTED_VALUE"""),256.61)</f>
        <v>256.61</v>
      </c>
      <c r="E1623" s="1">
        <f ca="1">IFERROR(__xludf.DUMMYFUNCTION("""COMPUTED_VALUE"""),257.89)</f>
        <v>257.89</v>
      </c>
      <c r="F1623" s="1">
        <f ca="1">IFERROR(__xludf.DUMMYFUNCTION("""COMPUTED_VALUE"""),18999731)</f>
        <v>18999731</v>
      </c>
    </row>
    <row r="1624" spans="1:6" x14ac:dyDescent="0.35">
      <c r="A1624" s="2">
        <f ca="1">IFERROR(__xludf.DUMMYFUNCTION("""COMPUTED_VALUE"""),44361.6666666666)</f>
        <v>44361.666666666599</v>
      </c>
      <c r="B1624" s="1">
        <f ca="1">IFERROR(__xludf.DUMMYFUNCTION("""COMPUTED_VALUE"""),257.9)</f>
        <v>257.89999999999998</v>
      </c>
      <c r="C1624" s="1">
        <f ca="1">IFERROR(__xludf.DUMMYFUNCTION("""COMPUTED_VALUE"""),259.95)</f>
        <v>259.95</v>
      </c>
      <c r="D1624" s="1">
        <f ca="1">IFERROR(__xludf.DUMMYFUNCTION("""COMPUTED_VALUE"""),256.8)</f>
        <v>256.8</v>
      </c>
      <c r="E1624" s="1">
        <f ca="1">IFERROR(__xludf.DUMMYFUNCTION("""COMPUTED_VALUE"""),259.89)</f>
        <v>259.89</v>
      </c>
      <c r="F1624" s="1">
        <f ca="1">IFERROR(__xludf.DUMMYFUNCTION("""COMPUTED_VALUE"""),19150507)</f>
        <v>19150507</v>
      </c>
    </row>
    <row r="1625" spans="1:6" x14ac:dyDescent="0.35">
      <c r="A1625" s="2">
        <f ca="1">IFERROR(__xludf.DUMMYFUNCTION("""COMPUTED_VALUE"""),44362.6666666666)</f>
        <v>44362.666666666599</v>
      </c>
      <c r="B1625" s="1">
        <f ca="1">IFERROR(__xludf.DUMMYFUNCTION("""COMPUTED_VALUE"""),259.77)</f>
        <v>259.77</v>
      </c>
      <c r="C1625" s="1">
        <f ca="1">IFERROR(__xludf.DUMMYFUNCTION("""COMPUTED_VALUE"""),259.99)</f>
        <v>259.99</v>
      </c>
      <c r="D1625" s="1">
        <f ca="1">IFERROR(__xludf.DUMMYFUNCTION("""COMPUTED_VALUE"""),257.68)</f>
        <v>257.68</v>
      </c>
      <c r="E1625" s="1">
        <f ca="1">IFERROR(__xludf.DUMMYFUNCTION("""COMPUTED_VALUE"""),258.36)</f>
        <v>258.36</v>
      </c>
      <c r="F1625" s="1">
        <f ca="1">IFERROR(__xludf.DUMMYFUNCTION("""COMPUTED_VALUE"""),18038931)</f>
        <v>18038931</v>
      </c>
    </row>
    <row r="1626" spans="1:6" x14ac:dyDescent="0.35">
      <c r="A1626" s="2">
        <f ca="1">IFERROR(__xludf.DUMMYFUNCTION("""COMPUTED_VALUE"""),44363.6666666666)</f>
        <v>44363.666666666599</v>
      </c>
      <c r="B1626" s="1">
        <f ca="1">IFERROR(__xludf.DUMMYFUNCTION("""COMPUTED_VALUE"""),259.4)</f>
        <v>259.39999999999998</v>
      </c>
      <c r="C1626" s="1">
        <f ca="1">IFERROR(__xludf.DUMMYFUNCTION("""COMPUTED_VALUE"""),260.58)</f>
        <v>260.58</v>
      </c>
      <c r="D1626" s="1">
        <f ca="1">IFERROR(__xludf.DUMMYFUNCTION("""COMPUTED_VALUE"""),254.42)</f>
        <v>254.42</v>
      </c>
      <c r="E1626" s="1">
        <f ca="1">IFERROR(__xludf.DUMMYFUNCTION("""COMPUTED_VALUE"""),257.38)</f>
        <v>257.38</v>
      </c>
      <c r="F1626" s="1">
        <f ca="1">IFERROR(__xludf.DUMMYFUNCTION("""COMPUTED_VALUE"""),27219956)</f>
        <v>27219956</v>
      </c>
    </row>
    <row r="1627" spans="1:6" x14ac:dyDescent="0.35">
      <c r="A1627" s="2">
        <f ca="1">IFERROR(__xludf.DUMMYFUNCTION("""COMPUTED_VALUE"""),44364.6666666666)</f>
        <v>44364.666666666599</v>
      </c>
      <c r="B1627" s="1">
        <f ca="1">IFERROR(__xludf.DUMMYFUNCTION("""COMPUTED_VALUE"""),256.07)</f>
        <v>256.07</v>
      </c>
      <c r="C1627" s="1">
        <f ca="1">IFERROR(__xludf.DUMMYFUNCTION("""COMPUTED_VALUE"""),261.75)</f>
        <v>261.75</v>
      </c>
      <c r="D1627" s="1">
        <f ca="1">IFERROR(__xludf.DUMMYFUNCTION("""COMPUTED_VALUE"""),256.01)</f>
        <v>256.01</v>
      </c>
      <c r="E1627" s="1">
        <f ca="1">IFERROR(__xludf.DUMMYFUNCTION("""COMPUTED_VALUE"""),260.9)</f>
        <v>260.89999999999998</v>
      </c>
      <c r="F1627" s="1">
        <f ca="1">IFERROR(__xludf.DUMMYFUNCTION("""COMPUTED_VALUE"""),27565537)</f>
        <v>27565537</v>
      </c>
    </row>
    <row r="1628" spans="1:6" x14ac:dyDescent="0.35">
      <c r="A1628" s="2">
        <f ca="1">IFERROR(__xludf.DUMMYFUNCTION("""COMPUTED_VALUE"""),44365.6666666666)</f>
        <v>44365.666666666599</v>
      </c>
      <c r="B1628" s="1">
        <f ca="1">IFERROR(__xludf.DUMMYFUNCTION("""COMPUTED_VALUE"""),259.63)</f>
        <v>259.63</v>
      </c>
      <c r="C1628" s="1">
        <f ca="1">IFERROR(__xludf.DUMMYFUNCTION("""COMPUTED_VALUE"""),262.3)</f>
        <v>262.3</v>
      </c>
      <c r="D1628" s="1">
        <f ca="1">IFERROR(__xludf.DUMMYFUNCTION("""COMPUTED_VALUE"""),258.75)</f>
        <v>258.75</v>
      </c>
      <c r="E1628" s="1">
        <f ca="1">IFERROR(__xludf.DUMMYFUNCTION("""COMPUTED_VALUE"""),259.43)</f>
        <v>259.43</v>
      </c>
      <c r="F1628" s="1">
        <f ca="1">IFERROR(__xludf.DUMMYFUNCTION("""COMPUTED_VALUE"""),37202217)</f>
        <v>37202217</v>
      </c>
    </row>
    <row r="1629" spans="1:6" x14ac:dyDescent="0.35">
      <c r="A1629" s="2">
        <f ca="1">IFERROR(__xludf.DUMMYFUNCTION("""COMPUTED_VALUE"""),44368.6666666666)</f>
        <v>44368.666666666599</v>
      </c>
      <c r="B1629" s="1">
        <f ca="1">IFERROR(__xludf.DUMMYFUNCTION("""COMPUTED_VALUE"""),259.82)</f>
        <v>259.82</v>
      </c>
      <c r="C1629" s="1">
        <f ca="1">IFERROR(__xludf.DUMMYFUNCTION("""COMPUTED_VALUE"""),263.52)</f>
        <v>263.52</v>
      </c>
      <c r="D1629" s="1">
        <f ca="1">IFERROR(__xludf.DUMMYFUNCTION("""COMPUTED_VALUE"""),257.92)</f>
        <v>257.92</v>
      </c>
      <c r="E1629" s="1">
        <f ca="1">IFERROR(__xludf.DUMMYFUNCTION("""COMPUTED_VALUE"""),262.63)</f>
        <v>262.63</v>
      </c>
      <c r="F1629" s="1">
        <f ca="1">IFERROR(__xludf.DUMMYFUNCTION("""COMPUTED_VALUE"""),26696119)</f>
        <v>26696119</v>
      </c>
    </row>
    <row r="1630" spans="1:6" x14ac:dyDescent="0.35">
      <c r="A1630" s="2">
        <f ca="1">IFERROR(__xludf.DUMMYFUNCTION("""COMPUTED_VALUE"""),44369.6666666666)</f>
        <v>44369.666666666599</v>
      </c>
      <c r="B1630" s="1">
        <f ca="1">IFERROR(__xludf.DUMMYFUNCTION("""COMPUTED_VALUE"""),262.72)</f>
        <v>262.72000000000003</v>
      </c>
      <c r="C1630" s="1">
        <f ca="1">IFERROR(__xludf.DUMMYFUNCTION("""COMPUTED_VALUE"""),265.79)</f>
        <v>265.79000000000002</v>
      </c>
      <c r="D1630" s="1">
        <f ca="1">IFERROR(__xludf.DUMMYFUNCTION("""COMPUTED_VALUE"""),262.4)</f>
        <v>262.39999999999998</v>
      </c>
      <c r="E1630" s="1">
        <f ca="1">IFERROR(__xludf.DUMMYFUNCTION("""COMPUTED_VALUE"""),265.51)</f>
        <v>265.51</v>
      </c>
      <c r="F1630" s="1">
        <f ca="1">IFERROR(__xludf.DUMMYFUNCTION("""COMPUTED_VALUE"""),24694090)</f>
        <v>24694090</v>
      </c>
    </row>
    <row r="1631" spans="1:6" x14ac:dyDescent="0.35">
      <c r="A1631" s="2">
        <f ca="1">IFERROR(__xludf.DUMMYFUNCTION("""COMPUTED_VALUE"""),44370.6666666666)</f>
        <v>44370.666666666599</v>
      </c>
      <c r="B1631" s="1">
        <f ca="1">IFERROR(__xludf.DUMMYFUNCTION("""COMPUTED_VALUE"""),265.99)</f>
        <v>265.99</v>
      </c>
      <c r="C1631" s="1">
        <f ca="1">IFERROR(__xludf.DUMMYFUNCTION("""COMPUTED_VALUE"""),266.83)</f>
        <v>266.83</v>
      </c>
      <c r="D1631" s="1">
        <f ca="1">IFERROR(__xludf.DUMMYFUNCTION("""COMPUTED_VALUE"""),264.43)</f>
        <v>264.43</v>
      </c>
      <c r="E1631" s="1">
        <f ca="1">IFERROR(__xludf.DUMMYFUNCTION("""COMPUTED_VALUE"""),265.27)</f>
        <v>265.27</v>
      </c>
      <c r="F1631" s="1">
        <f ca="1">IFERROR(__xludf.DUMMYFUNCTION("""COMPUTED_VALUE"""),19518681)</f>
        <v>19518681</v>
      </c>
    </row>
    <row r="1632" spans="1:6" x14ac:dyDescent="0.35">
      <c r="A1632" s="2">
        <f ca="1">IFERROR(__xludf.DUMMYFUNCTION("""COMPUTED_VALUE"""),44371.6666666666)</f>
        <v>44371.666666666599</v>
      </c>
      <c r="B1632" s="1">
        <f ca="1">IFERROR(__xludf.DUMMYFUNCTION("""COMPUTED_VALUE"""),266.16)</f>
        <v>266.16000000000003</v>
      </c>
      <c r="C1632" s="1">
        <f ca="1">IFERROR(__xludf.DUMMYFUNCTION("""COMPUTED_VALUE"""),267.85)</f>
        <v>267.85000000000002</v>
      </c>
      <c r="D1632" s="1">
        <f ca="1">IFERROR(__xludf.DUMMYFUNCTION("""COMPUTED_VALUE"""),265.47)</f>
        <v>265.47000000000003</v>
      </c>
      <c r="E1632" s="1">
        <f ca="1">IFERROR(__xludf.DUMMYFUNCTION("""COMPUTED_VALUE"""),266.69)</f>
        <v>266.69</v>
      </c>
      <c r="F1632" s="1">
        <f ca="1">IFERROR(__xludf.DUMMYFUNCTION("""COMPUTED_VALUE"""),21446867)</f>
        <v>21446867</v>
      </c>
    </row>
    <row r="1633" spans="1:6" x14ac:dyDescent="0.35">
      <c r="A1633" s="2">
        <f ca="1">IFERROR(__xludf.DUMMYFUNCTION("""COMPUTED_VALUE"""),44372.6666666666)</f>
        <v>44372.666666666599</v>
      </c>
      <c r="B1633" s="1">
        <f ca="1">IFERROR(__xludf.DUMMYFUNCTION("""COMPUTED_VALUE"""),266.23)</f>
        <v>266.23</v>
      </c>
      <c r="C1633" s="1">
        <f ca="1">IFERROR(__xludf.DUMMYFUNCTION("""COMPUTED_VALUE"""),267.25)</f>
        <v>267.25</v>
      </c>
      <c r="D1633" s="1">
        <f ca="1">IFERROR(__xludf.DUMMYFUNCTION("""COMPUTED_VALUE"""),264.76)</f>
        <v>264.76</v>
      </c>
      <c r="E1633" s="1">
        <f ca="1">IFERROR(__xludf.DUMMYFUNCTION("""COMPUTED_VALUE"""),265.02)</f>
        <v>265.02</v>
      </c>
      <c r="F1633" s="1">
        <f ca="1">IFERROR(__xludf.DUMMYFUNCTION("""COMPUTED_VALUE"""),25611113)</f>
        <v>25611113</v>
      </c>
    </row>
    <row r="1634" spans="1:6" x14ac:dyDescent="0.35">
      <c r="A1634" s="2">
        <f ca="1">IFERROR(__xludf.DUMMYFUNCTION("""COMPUTED_VALUE"""),44375.6666666666)</f>
        <v>44375.666666666599</v>
      </c>
      <c r="B1634" s="1">
        <f ca="1">IFERROR(__xludf.DUMMYFUNCTION("""COMPUTED_VALUE"""),266.19)</f>
        <v>266.19</v>
      </c>
      <c r="C1634" s="1">
        <f ca="1">IFERROR(__xludf.DUMMYFUNCTION("""COMPUTED_VALUE"""),268.9)</f>
        <v>268.89999999999998</v>
      </c>
      <c r="D1634" s="1">
        <f ca="1">IFERROR(__xludf.DUMMYFUNCTION("""COMPUTED_VALUE"""),265.91)</f>
        <v>265.91000000000003</v>
      </c>
      <c r="E1634" s="1">
        <f ca="1">IFERROR(__xludf.DUMMYFUNCTION("""COMPUTED_VALUE"""),268.72)</f>
        <v>268.72000000000003</v>
      </c>
      <c r="F1634" s="1">
        <f ca="1">IFERROR(__xludf.DUMMYFUNCTION("""COMPUTED_VALUE"""),19590024)</f>
        <v>19590024</v>
      </c>
    </row>
    <row r="1635" spans="1:6" x14ac:dyDescent="0.35">
      <c r="A1635" s="2">
        <f ca="1">IFERROR(__xludf.DUMMYFUNCTION("""COMPUTED_VALUE"""),44376.6666666666)</f>
        <v>44376.666666666599</v>
      </c>
      <c r="B1635" s="1">
        <f ca="1">IFERROR(__xludf.DUMMYFUNCTION("""COMPUTED_VALUE"""),268.87)</f>
        <v>268.87</v>
      </c>
      <c r="C1635" s="1">
        <f ca="1">IFERROR(__xludf.DUMMYFUNCTION("""COMPUTED_VALUE"""),271.65)</f>
        <v>271.64999999999998</v>
      </c>
      <c r="D1635" s="1">
        <f ca="1">IFERROR(__xludf.DUMMYFUNCTION("""COMPUTED_VALUE"""),267.98)</f>
        <v>267.98</v>
      </c>
      <c r="E1635" s="1">
        <f ca="1">IFERROR(__xludf.DUMMYFUNCTION("""COMPUTED_VALUE"""),271.4)</f>
        <v>271.39999999999998</v>
      </c>
      <c r="F1635" s="1">
        <f ca="1">IFERROR(__xludf.DUMMYFUNCTION("""COMPUTED_VALUE"""),19937811)</f>
        <v>19937811</v>
      </c>
    </row>
    <row r="1636" spans="1:6" x14ac:dyDescent="0.35">
      <c r="A1636" s="2">
        <f ca="1">IFERROR(__xludf.DUMMYFUNCTION("""COMPUTED_VALUE"""),44377.6666666666)</f>
        <v>44377.666666666599</v>
      </c>
      <c r="B1636" s="1">
        <f ca="1">IFERROR(__xludf.DUMMYFUNCTION("""COMPUTED_VALUE"""),270.69)</f>
        <v>270.69</v>
      </c>
      <c r="C1636" s="1">
        <f ca="1">IFERROR(__xludf.DUMMYFUNCTION("""COMPUTED_VALUE"""),271.36)</f>
        <v>271.36</v>
      </c>
      <c r="D1636" s="1">
        <f ca="1">IFERROR(__xludf.DUMMYFUNCTION("""COMPUTED_VALUE"""),269.6)</f>
        <v>269.60000000000002</v>
      </c>
      <c r="E1636" s="1">
        <f ca="1">IFERROR(__xludf.DUMMYFUNCTION("""COMPUTED_VALUE"""),270.9)</f>
        <v>270.89999999999998</v>
      </c>
      <c r="F1636" s="1">
        <f ca="1">IFERROR(__xludf.DUMMYFUNCTION("""COMPUTED_VALUE"""),21656457)</f>
        <v>21656457</v>
      </c>
    </row>
    <row r="1637" spans="1:6" x14ac:dyDescent="0.35">
      <c r="A1637" s="2">
        <f ca="1">IFERROR(__xludf.DUMMYFUNCTION("""COMPUTED_VALUE"""),44378.6666666666)</f>
        <v>44378.666666666599</v>
      </c>
      <c r="B1637" s="1">
        <f ca="1">IFERROR(__xludf.DUMMYFUNCTION("""COMPUTED_VALUE"""),269.61)</f>
        <v>269.61</v>
      </c>
      <c r="C1637" s="1">
        <f ca="1">IFERROR(__xludf.DUMMYFUNCTION("""COMPUTED_VALUE"""),271.84)</f>
        <v>271.83999999999997</v>
      </c>
      <c r="D1637" s="1">
        <f ca="1">IFERROR(__xludf.DUMMYFUNCTION("""COMPUTED_VALUE"""),269.6)</f>
        <v>269.60000000000002</v>
      </c>
      <c r="E1637" s="1">
        <f ca="1">IFERROR(__xludf.DUMMYFUNCTION("""COMPUTED_VALUE"""),271.6)</f>
        <v>271.60000000000002</v>
      </c>
      <c r="F1637" s="1">
        <f ca="1">IFERROR(__xludf.DUMMYFUNCTION("""COMPUTED_VALUE"""),16725323)</f>
        <v>16725323</v>
      </c>
    </row>
    <row r="1638" spans="1:6" x14ac:dyDescent="0.35">
      <c r="A1638" s="2">
        <f ca="1">IFERROR(__xludf.DUMMYFUNCTION("""COMPUTED_VALUE"""),44379.6666666666)</f>
        <v>44379.666666666599</v>
      </c>
      <c r="B1638" s="1">
        <f ca="1">IFERROR(__xludf.DUMMYFUNCTION("""COMPUTED_VALUE"""),272.82)</f>
        <v>272.82</v>
      </c>
      <c r="C1638" s="1">
        <f ca="1">IFERROR(__xludf.DUMMYFUNCTION("""COMPUTED_VALUE"""),278)</f>
        <v>278</v>
      </c>
      <c r="D1638" s="1">
        <f ca="1">IFERROR(__xludf.DUMMYFUNCTION("""COMPUTED_VALUE"""),272.5)</f>
        <v>272.5</v>
      </c>
      <c r="E1638" s="1">
        <f ca="1">IFERROR(__xludf.DUMMYFUNCTION("""COMPUTED_VALUE"""),277.65)</f>
        <v>277.64999999999998</v>
      </c>
      <c r="F1638" s="1">
        <f ca="1">IFERROR(__xludf.DUMMYFUNCTION("""COMPUTED_VALUE"""),26474408)</f>
        <v>26474408</v>
      </c>
    </row>
    <row r="1639" spans="1:6" x14ac:dyDescent="0.35">
      <c r="A1639" s="2">
        <f ca="1">IFERROR(__xludf.DUMMYFUNCTION("""COMPUTED_VALUE"""),44383.6666666666)</f>
        <v>44383.666666666599</v>
      </c>
      <c r="B1639" s="1">
        <f ca="1">IFERROR(__xludf.DUMMYFUNCTION("""COMPUTED_VALUE"""),278.03)</f>
        <v>278.02999999999997</v>
      </c>
      <c r="C1639" s="1">
        <f ca="1">IFERROR(__xludf.DUMMYFUNCTION("""COMPUTED_VALUE"""),279.37)</f>
        <v>279.37</v>
      </c>
      <c r="D1639" s="1">
        <f ca="1">IFERROR(__xludf.DUMMYFUNCTION("""COMPUTED_VALUE"""),274.3)</f>
        <v>274.3</v>
      </c>
      <c r="E1639" s="1">
        <f ca="1">IFERROR(__xludf.DUMMYFUNCTION("""COMPUTED_VALUE"""),277.66)</f>
        <v>277.66000000000003</v>
      </c>
      <c r="F1639" s="1">
        <f ca="1">IFERROR(__xludf.DUMMYFUNCTION("""COMPUTED_VALUE"""),31565560)</f>
        <v>31565560</v>
      </c>
    </row>
    <row r="1640" spans="1:6" x14ac:dyDescent="0.35">
      <c r="A1640" s="2">
        <f ca="1">IFERROR(__xludf.DUMMYFUNCTION("""COMPUTED_VALUE"""),44384.6666666666)</f>
        <v>44384.666666666599</v>
      </c>
      <c r="B1640" s="1">
        <f ca="1">IFERROR(__xludf.DUMMYFUNCTION("""COMPUTED_VALUE"""),279.4)</f>
        <v>279.39999999999998</v>
      </c>
      <c r="C1640" s="1">
        <f ca="1">IFERROR(__xludf.DUMMYFUNCTION("""COMPUTED_VALUE"""),280.69)</f>
        <v>280.69</v>
      </c>
      <c r="D1640" s="1">
        <f ca="1">IFERROR(__xludf.DUMMYFUNCTION("""COMPUTED_VALUE"""),277.15)</f>
        <v>277.14999999999998</v>
      </c>
      <c r="E1640" s="1">
        <f ca="1">IFERROR(__xludf.DUMMYFUNCTION("""COMPUTED_VALUE"""),279.93)</f>
        <v>279.93</v>
      </c>
      <c r="F1640" s="1">
        <f ca="1">IFERROR(__xludf.DUMMYFUNCTION("""COMPUTED_VALUE"""),23260031)</f>
        <v>23260031</v>
      </c>
    </row>
    <row r="1641" spans="1:6" x14ac:dyDescent="0.35">
      <c r="A1641" s="2">
        <f ca="1">IFERROR(__xludf.DUMMYFUNCTION("""COMPUTED_VALUE"""),44385.6666666666)</f>
        <v>44385.666666666599</v>
      </c>
      <c r="B1641" s="1">
        <f ca="1">IFERROR(__xludf.DUMMYFUNCTION("""COMPUTED_VALUE"""),276.9)</f>
        <v>276.89999999999998</v>
      </c>
      <c r="C1641" s="1">
        <f ca="1">IFERROR(__xludf.DUMMYFUNCTION("""COMPUTED_VALUE"""),278.73)</f>
        <v>278.73</v>
      </c>
      <c r="D1641" s="1">
        <f ca="1">IFERROR(__xludf.DUMMYFUNCTION("""COMPUTED_VALUE"""),274.87)</f>
        <v>274.87</v>
      </c>
      <c r="E1641" s="1">
        <f ca="1">IFERROR(__xludf.DUMMYFUNCTION("""COMPUTED_VALUE"""),277.42)</f>
        <v>277.42</v>
      </c>
      <c r="F1641" s="1">
        <f ca="1">IFERROR(__xludf.DUMMYFUNCTION("""COMPUTED_VALUE"""),24618591)</f>
        <v>24618591</v>
      </c>
    </row>
    <row r="1642" spans="1:6" x14ac:dyDescent="0.35">
      <c r="A1642" s="2">
        <f ca="1">IFERROR(__xludf.DUMMYFUNCTION("""COMPUTED_VALUE"""),44386.6666666666)</f>
        <v>44386.666666666599</v>
      </c>
      <c r="B1642" s="1">
        <f ca="1">IFERROR(__xludf.DUMMYFUNCTION("""COMPUTED_VALUE"""),275.72)</f>
        <v>275.72000000000003</v>
      </c>
      <c r="C1642" s="1">
        <f ca="1">IFERROR(__xludf.DUMMYFUNCTION("""COMPUTED_VALUE"""),278.05)</f>
        <v>278.05</v>
      </c>
      <c r="D1642" s="1">
        <f ca="1">IFERROR(__xludf.DUMMYFUNCTION("""COMPUTED_VALUE"""),275.32)</f>
        <v>275.32</v>
      </c>
      <c r="E1642" s="1">
        <f ca="1">IFERROR(__xludf.DUMMYFUNCTION("""COMPUTED_VALUE"""),277.94)</f>
        <v>277.94</v>
      </c>
      <c r="F1642" s="1">
        <f ca="1">IFERROR(__xludf.DUMMYFUNCTION("""COMPUTED_VALUE"""),23916665)</f>
        <v>23916665</v>
      </c>
    </row>
    <row r="1643" spans="1:6" x14ac:dyDescent="0.35">
      <c r="A1643" s="2">
        <f ca="1">IFERROR(__xludf.DUMMYFUNCTION("""COMPUTED_VALUE"""),44389.6666666666)</f>
        <v>44389.666666666599</v>
      </c>
      <c r="B1643" s="1">
        <f ca="1">IFERROR(__xludf.DUMMYFUNCTION("""COMPUTED_VALUE"""),279.16)</f>
        <v>279.16000000000003</v>
      </c>
      <c r="C1643" s="1">
        <f ca="1">IFERROR(__xludf.DUMMYFUNCTION("""COMPUTED_VALUE"""),279.77)</f>
        <v>279.77</v>
      </c>
      <c r="D1643" s="1">
        <f ca="1">IFERROR(__xludf.DUMMYFUNCTION("""COMPUTED_VALUE"""),276.58)</f>
        <v>276.58</v>
      </c>
      <c r="E1643" s="1">
        <f ca="1">IFERROR(__xludf.DUMMYFUNCTION("""COMPUTED_VALUE"""),277.32)</f>
        <v>277.32</v>
      </c>
      <c r="F1643" s="1">
        <f ca="1">IFERROR(__xludf.DUMMYFUNCTION("""COMPUTED_VALUE"""),18931695)</f>
        <v>18931695</v>
      </c>
    </row>
    <row r="1644" spans="1:6" x14ac:dyDescent="0.35">
      <c r="A1644" s="2">
        <f ca="1">IFERROR(__xludf.DUMMYFUNCTION("""COMPUTED_VALUE"""),44390.6666666666)</f>
        <v>44390.666666666599</v>
      </c>
      <c r="B1644" s="1">
        <f ca="1">IFERROR(__xludf.DUMMYFUNCTION("""COMPUTED_VALUE"""),277.52)</f>
        <v>277.52</v>
      </c>
      <c r="C1644" s="1">
        <f ca="1">IFERROR(__xludf.DUMMYFUNCTION("""COMPUTED_VALUE"""),282.85)</f>
        <v>282.85000000000002</v>
      </c>
      <c r="D1644" s="1">
        <f ca="1">IFERROR(__xludf.DUMMYFUNCTION("""COMPUTED_VALUE"""),277.39)</f>
        <v>277.39</v>
      </c>
      <c r="E1644" s="1">
        <f ca="1">IFERROR(__xludf.DUMMYFUNCTION("""COMPUTED_VALUE"""),280.98)</f>
        <v>280.98</v>
      </c>
      <c r="F1644" s="1">
        <f ca="1">IFERROR(__xludf.DUMMYFUNCTION("""COMPUTED_VALUE"""),26120128)</f>
        <v>26120128</v>
      </c>
    </row>
    <row r="1645" spans="1:6" x14ac:dyDescent="0.35">
      <c r="A1645" s="2">
        <f ca="1">IFERROR(__xludf.DUMMYFUNCTION("""COMPUTED_VALUE"""),44391.6666666666)</f>
        <v>44391.666666666599</v>
      </c>
      <c r="B1645" s="1">
        <f ca="1">IFERROR(__xludf.DUMMYFUNCTION("""COMPUTED_VALUE"""),282.35)</f>
        <v>282.35000000000002</v>
      </c>
      <c r="C1645" s="1">
        <f ca="1">IFERROR(__xludf.DUMMYFUNCTION("""COMPUTED_VALUE"""),283.66)</f>
        <v>283.66000000000003</v>
      </c>
      <c r="D1645" s="1">
        <f ca="1">IFERROR(__xludf.DUMMYFUNCTION("""COMPUTED_VALUE"""),280.55)</f>
        <v>280.55</v>
      </c>
      <c r="E1645" s="1">
        <f ca="1">IFERROR(__xludf.DUMMYFUNCTION("""COMPUTED_VALUE"""),282.51)</f>
        <v>282.51</v>
      </c>
      <c r="F1645" s="1">
        <f ca="1">IFERROR(__xludf.DUMMYFUNCTION("""COMPUTED_VALUE"""),23113662)</f>
        <v>23113662</v>
      </c>
    </row>
    <row r="1646" spans="1:6" x14ac:dyDescent="0.35">
      <c r="A1646" s="2">
        <f ca="1">IFERROR(__xludf.DUMMYFUNCTION("""COMPUTED_VALUE"""),44392.6666666666)</f>
        <v>44392.666666666599</v>
      </c>
      <c r="B1646" s="1">
        <f ca="1">IFERROR(__xludf.DUMMYFUNCTION("""COMPUTED_VALUE"""),282)</f>
        <v>282</v>
      </c>
      <c r="C1646" s="1">
        <f ca="1">IFERROR(__xludf.DUMMYFUNCTION("""COMPUTED_VALUE"""),282.51)</f>
        <v>282.51</v>
      </c>
      <c r="D1646" s="1">
        <f ca="1">IFERROR(__xludf.DUMMYFUNCTION("""COMPUTED_VALUE"""),279.83)</f>
        <v>279.83</v>
      </c>
      <c r="E1646" s="1">
        <f ca="1">IFERROR(__xludf.DUMMYFUNCTION("""COMPUTED_VALUE"""),281.03)</f>
        <v>281.02999999999997</v>
      </c>
      <c r="F1646" s="1">
        <f ca="1">IFERROR(__xludf.DUMMYFUNCTION("""COMPUTED_VALUE"""),22604227)</f>
        <v>22604227</v>
      </c>
    </row>
    <row r="1647" spans="1:6" x14ac:dyDescent="0.35">
      <c r="A1647" s="2">
        <f ca="1">IFERROR(__xludf.DUMMYFUNCTION("""COMPUTED_VALUE"""),44393.6666666666)</f>
        <v>44393.666666666599</v>
      </c>
      <c r="B1647" s="1">
        <f ca="1">IFERROR(__xludf.DUMMYFUNCTION("""COMPUTED_VALUE"""),282.07)</f>
        <v>282.07</v>
      </c>
      <c r="C1647" s="1">
        <f ca="1">IFERROR(__xludf.DUMMYFUNCTION("""COMPUTED_VALUE"""),284.1)</f>
        <v>284.10000000000002</v>
      </c>
      <c r="D1647" s="1">
        <f ca="1">IFERROR(__xludf.DUMMYFUNCTION("""COMPUTED_VALUE"""),279.46)</f>
        <v>279.45999999999998</v>
      </c>
      <c r="E1647" s="1">
        <f ca="1">IFERROR(__xludf.DUMMYFUNCTION("""COMPUTED_VALUE"""),280.75)</f>
        <v>280.75</v>
      </c>
      <c r="F1647" s="1">
        <f ca="1">IFERROR(__xludf.DUMMYFUNCTION("""COMPUTED_VALUE"""),26186848)</f>
        <v>26186848</v>
      </c>
    </row>
    <row r="1648" spans="1:6" x14ac:dyDescent="0.35">
      <c r="A1648" s="2">
        <f ca="1">IFERROR(__xludf.DUMMYFUNCTION("""COMPUTED_VALUE"""),44396.6666666666)</f>
        <v>44396.666666666599</v>
      </c>
      <c r="B1648" s="1">
        <f ca="1">IFERROR(__xludf.DUMMYFUNCTION("""COMPUTED_VALUE"""),278.93)</f>
        <v>278.93</v>
      </c>
      <c r="C1648" s="1">
        <f ca="1">IFERROR(__xludf.DUMMYFUNCTION("""COMPUTED_VALUE"""),280.37)</f>
        <v>280.37</v>
      </c>
      <c r="D1648" s="1">
        <f ca="1">IFERROR(__xludf.DUMMYFUNCTION("""COMPUTED_VALUE"""),274.45)</f>
        <v>274.45</v>
      </c>
      <c r="E1648" s="1">
        <f ca="1">IFERROR(__xludf.DUMMYFUNCTION("""COMPUTED_VALUE"""),277.01)</f>
        <v>277.01</v>
      </c>
      <c r="F1648" s="1">
        <f ca="1">IFERROR(__xludf.DUMMYFUNCTION("""COMPUTED_VALUE"""),32935634)</f>
        <v>32935634</v>
      </c>
    </row>
    <row r="1649" spans="1:6" x14ac:dyDescent="0.35">
      <c r="A1649" s="2">
        <f ca="1">IFERROR(__xludf.DUMMYFUNCTION("""COMPUTED_VALUE"""),44397.6666666666)</f>
        <v>44397.666666666599</v>
      </c>
      <c r="B1649" s="1">
        <f ca="1">IFERROR(__xludf.DUMMYFUNCTION("""COMPUTED_VALUE"""),278.03)</f>
        <v>278.02999999999997</v>
      </c>
      <c r="C1649" s="1">
        <f ca="1">IFERROR(__xludf.DUMMYFUNCTION("""COMPUTED_VALUE"""),280.97)</f>
        <v>280.97000000000003</v>
      </c>
      <c r="D1649" s="1">
        <f ca="1">IFERROR(__xludf.DUMMYFUNCTION("""COMPUTED_VALUE"""),276.26)</f>
        <v>276.26</v>
      </c>
      <c r="E1649" s="1">
        <f ca="1">IFERROR(__xludf.DUMMYFUNCTION("""COMPUTED_VALUE"""),279.32)</f>
        <v>279.32</v>
      </c>
      <c r="F1649" s="1">
        <f ca="1">IFERROR(__xludf.DUMMYFUNCTION("""COMPUTED_VALUE"""),26259741)</f>
        <v>26259741</v>
      </c>
    </row>
    <row r="1650" spans="1:6" x14ac:dyDescent="0.35">
      <c r="A1650" s="2">
        <f ca="1">IFERROR(__xludf.DUMMYFUNCTION("""COMPUTED_VALUE"""),44398.6666666666)</f>
        <v>44398.666666666599</v>
      </c>
      <c r="B1650" s="1">
        <f ca="1">IFERROR(__xludf.DUMMYFUNCTION("""COMPUTED_VALUE"""),278.9)</f>
        <v>278.89999999999998</v>
      </c>
      <c r="C1650" s="1">
        <f ca="1">IFERROR(__xludf.DUMMYFUNCTION("""COMPUTED_VALUE"""),281.52)</f>
        <v>281.52</v>
      </c>
      <c r="D1650" s="1">
        <f ca="1">IFERROR(__xludf.DUMMYFUNCTION("""COMPUTED_VALUE"""),277.29)</f>
        <v>277.29000000000002</v>
      </c>
      <c r="E1650" s="1">
        <f ca="1">IFERROR(__xludf.DUMMYFUNCTION("""COMPUTED_VALUE"""),281.4)</f>
        <v>281.39999999999998</v>
      </c>
      <c r="F1650" s="1">
        <f ca="1">IFERROR(__xludf.DUMMYFUNCTION("""COMPUTED_VALUE"""),24364320)</f>
        <v>24364320</v>
      </c>
    </row>
    <row r="1651" spans="1:6" x14ac:dyDescent="0.35">
      <c r="A1651" s="2">
        <f ca="1">IFERROR(__xludf.DUMMYFUNCTION("""COMPUTED_VALUE"""),44399.6666666666)</f>
        <v>44399.666666666599</v>
      </c>
      <c r="B1651" s="1">
        <f ca="1">IFERROR(__xludf.DUMMYFUNCTION("""COMPUTED_VALUE"""),283.84)</f>
        <v>283.83999999999997</v>
      </c>
      <c r="C1651" s="1">
        <f ca="1">IFERROR(__xludf.DUMMYFUNCTION("""COMPUTED_VALUE"""),286.42)</f>
        <v>286.42</v>
      </c>
      <c r="D1651" s="1">
        <f ca="1">IFERROR(__xludf.DUMMYFUNCTION("""COMPUTED_VALUE"""),283.42)</f>
        <v>283.42</v>
      </c>
      <c r="E1651" s="1">
        <f ca="1">IFERROR(__xludf.DUMMYFUNCTION("""COMPUTED_VALUE"""),286.14)</f>
        <v>286.14</v>
      </c>
      <c r="F1651" s="1">
        <f ca="1">IFERROR(__xludf.DUMMYFUNCTION("""COMPUTED_VALUE"""),23384059)</f>
        <v>23384059</v>
      </c>
    </row>
    <row r="1652" spans="1:6" x14ac:dyDescent="0.35">
      <c r="A1652" s="2">
        <f ca="1">IFERROR(__xludf.DUMMYFUNCTION("""COMPUTED_VALUE"""),44400.6666666666)</f>
        <v>44400.666666666599</v>
      </c>
      <c r="B1652" s="1">
        <f ca="1">IFERROR(__xludf.DUMMYFUNCTION("""COMPUTED_VALUE"""),287.37)</f>
        <v>287.37</v>
      </c>
      <c r="C1652" s="1">
        <f ca="1">IFERROR(__xludf.DUMMYFUNCTION("""COMPUTED_VALUE"""),289.99)</f>
        <v>289.99</v>
      </c>
      <c r="D1652" s="1">
        <f ca="1">IFERROR(__xludf.DUMMYFUNCTION("""COMPUTED_VALUE"""),286.5)</f>
        <v>286.5</v>
      </c>
      <c r="E1652" s="1">
        <f ca="1">IFERROR(__xludf.DUMMYFUNCTION("""COMPUTED_VALUE"""),289.67)</f>
        <v>289.67</v>
      </c>
      <c r="F1652" s="1">
        <f ca="1">IFERROR(__xludf.DUMMYFUNCTION("""COMPUTED_VALUE"""),22768071)</f>
        <v>22768071</v>
      </c>
    </row>
    <row r="1653" spans="1:6" x14ac:dyDescent="0.35">
      <c r="A1653" s="2">
        <f ca="1">IFERROR(__xludf.DUMMYFUNCTION("""COMPUTED_VALUE"""),44403.6666666666)</f>
        <v>44403.666666666599</v>
      </c>
      <c r="B1653" s="1">
        <f ca="1">IFERROR(__xludf.DUMMYFUNCTION("""COMPUTED_VALUE"""),289)</f>
        <v>289</v>
      </c>
      <c r="C1653" s="1">
        <f ca="1">IFERROR(__xludf.DUMMYFUNCTION("""COMPUTED_VALUE"""),289.69)</f>
        <v>289.69</v>
      </c>
      <c r="D1653" s="1">
        <f ca="1">IFERROR(__xludf.DUMMYFUNCTION("""COMPUTED_VALUE"""),286.64)</f>
        <v>286.64</v>
      </c>
      <c r="E1653" s="1">
        <f ca="1">IFERROR(__xludf.DUMMYFUNCTION("""COMPUTED_VALUE"""),289.05)</f>
        <v>289.05</v>
      </c>
      <c r="F1653" s="1">
        <f ca="1">IFERROR(__xludf.DUMMYFUNCTION("""COMPUTED_VALUE"""),23176073)</f>
        <v>23176073</v>
      </c>
    </row>
    <row r="1654" spans="1:6" x14ac:dyDescent="0.35">
      <c r="A1654" s="2">
        <f ca="1">IFERROR(__xludf.DUMMYFUNCTION("""COMPUTED_VALUE"""),44404.6666666666)</f>
        <v>44404.666666666599</v>
      </c>
      <c r="B1654" s="1">
        <f ca="1">IFERROR(__xludf.DUMMYFUNCTION("""COMPUTED_VALUE"""),289.43)</f>
        <v>289.43</v>
      </c>
      <c r="C1654" s="1">
        <f ca="1">IFERROR(__xludf.DUMMYFUNCTION("""COMPUTED_VALUE"""),289.58)</f>
        <v>289.58</v>
      </c>
      <c r="D1654" s="1">
        <f ca="1">IFERROR(__xludf.DUMMYFUNCTION("""COMPUTED_VALUE"""),282.95)</f>
        <v>282.95</v>
      </c>
      <c r="E1654" s="1">
        <f ca="1">IFERROR(__xludf.DUMMYFUNCTION("""COMPUTED_VALUE"""),286.54)</f>
        <v>286.54000000000002</v>
      </c>
      <c r="F1654" s="1">
        <f ca="1">IFERROR(__xludf.DUMMYFUNCTION("""COMPUTED_VALUE"""),33604073)</f>
        <v>33604073</v>
      </c>
    </row>
    <row r="1655" spans="1:6" x14ac:dyDescent="0.35">
      <c r="A1655" s="2">
        <f ca="1">IFERROR(__xludf.DUMMYFUNCTION("""COMPUTED_VALUE"""),44405.6666666666)</f>
        <v>44405.666666666599</v>
      </c>
      <c r="B1655" s="1">
        <f ca="1">IFERROR(__xludf.DUMMYFUNCTION("""COMPUTED_VALUE"""),288.99)</f>
        <v>288.99</v>
      </c>
      <c r="C1655" s="1">
        <f ca="1">IFERROR(__xludf.DUMMYFUNCTION("""COMPUTED_VALUE"""),290.15)</f>
        <v>290.14999999999998</v>
      </c>
      <c r="D1655" s="1">
        <f ca="1">IFERROR(__xludf.DUMMYFUNCTION("""COMPUTED_VALUE"""),283.83)</f>
        <v>283.83</v>
      </c>
      <c r="E1655" s="1">
        <f ca="1">IFERROR(__xludf.DUMMYFUNCTION("""COMPUTED_VALUE"""),286.22)</f>
        <v>286.22000000000003</v>
      </c>
      <c r="F1655" s="1">
        <f ca="1">IFERROR(__xludf.DUMMYFUNCTION("""COMPUTED_VALUE"""),33566853)</f>
        <v>33566853</v>
      </c>
    </row>
    <row r="1656" spans="1:6" x14ac:dyDescent="0.35">
      <c r="A1656" s="2">
        <f ca="1">IFERROR(__xludf.DUMMYFUNCTION("""COMPUTED_VALUE"""),44406.6666666666)</f>
        <v>44406.666666666599</v>
      </c>
      <c r="B1656" s="1">
        <f ca="1">IFERROR(__xludf.DUMMYFUNCTION("""COMPUTED_VALUE"""),286.24)</f>
        <v>286.24</v>
      </c>
      <c r="C1656" s="1">
        <f ca="1">IFERROR(__xludf.DUMMYFUNCTION("""COMPUTED_VALUE"""),288.62)</f>
        <v>288.62</v>
      </c>
      <c r="D1656" s="1">
        <f ca="1">IFERROR(__xludf.DUMMYFUNCTION("""COMPUTED_VALUE"""),286.08)</f>
        <v>286.08</v>
      </c>
      <c r="E1656" s="1">
        <f ca="1">IFERROR(__xludf.DUMMYFUNCTION("""COMPUTED_VALUE"""),286.5)</f>
        <v>286.5</v>
      </c>
      <c r="F1656" s="1">
        <f ca="1">IFERROR(__xludf.DUMMYFUNCTION("""COMPUTED_VALUE"""),18168294)</f>
        <v>18168294</v>
      </c>
    </row>
    <row r="1657" spans="1:6" x14ac:dyDescent="0.35">
      <c r="A1657" s="2">
        <f ca="1">IFERROR(__xludf.DUMMYFUNCTION("""COMPUTED_VALUE"""),44407.6666666666)</f>
        <v>44407.666666666599</v>
      </c>
      <c r="B1657" s="1">
        <f ca="1">IFERROR(__xludf.DUMMYFUNCTION("""COMPUTED_VALUE"""),285.17)</f>
        <v>285.17</v>
      </c>
      <c r="C1657" s="1">
        <f ca="1">IFERROR(__xludf.DUMMYFUNCTION("""COMPUTED_VALUE"""),286.66)</f>
        <v>286.66000000000003</v>
      </c>
      <c r="D1657" s="1">
        <f ca="1">IFERROR(__xludf.DUMMYFUNCTION("""COMPUTED_VALUE"""),283.91)</f>
        <v>283.91000000000003</v>
      </c>
      <c r="E1657" s="1">
        <f ca="1">IFERROR(__xludf.DUMMYFUNCTION("""COMPUTED_VALUE"""),284.91)</f>
        <v>284.91000000000003</v>
      </c>
      <c r="F1657" s="1">
        <f ca="1">IFERROR(__xludf.DUMMYFUNCTION("""COMPUTED_VALUE"""),20944846)</f>
        <v>20944846</v>
      </c>
    </row>
    <row r="1658" spans="1:6" x14ac:dyDescent="0.35">
      <c r="A1658" s="2">
        <f ca="1">IFERROR(__xludf.DUMMYFUNCTION("""COMPUTED_VALUE"""),44410.6666666666)</f>
        <v>44410.666666666599</v>
      </c>
      <c r="B1658" s="1">
        <f ca="1">IFERROR(__xludf.DUMMYFUNCTION("""COMPUTED_VALUE"""),286.36)</f>
        <v>286.36</v>
      </c>
      <c r="C1658" s="1">
        <f ca="1">IFERROR(__xludf.DUMMYFUNCTION("""COMPUTED_VALUE"""),286.77)</f>
        <v>286.77</v>
      </c>
      <c r="D1658" s="1">
        <f ca="1">IFERROR(__xludf.DUMMYFUNCTION("""COMPUTED_VALUE"""),283.74)</f>
        <v>283.74</v>
      </c>
      <c r="E1658" s="1">
        <f ca="1">IFERROR(__xludf.DUMMYFUNCTION("""COMPUTED_VALUE"""),284.82)</f>
        <v>284.82</v>
      </c>
      <c r="F1658" s="1">
        <f ca="1">IFERROR(__xludf.DUMMYFUNCTION("""COMPUTED_VALUE"""),16267357)</f>
        <v>16267357</v>
      </c>
    </row>
    <row r="1659" spans="1:6" x14ac:dyDescent="0.35">
      <c r="A1659" s="2">
        <f ca="1">IFERROR(__xludf.DUMMYFUNCTION("""COMPUTED_VALUE"""),44411.6666666666)</f>
        <v>44411.666666666599</v>
      </c>
      <c r="B1659" s="1">
        <f ca="1">IFERROR(__xludf.DUMMYFUNCTION("""COMPUTED_VALUE"""),285.42)</f>
        <v>285.42</v>
      </c>
      <c r="C1659" s="1">
        <f ca="1">IFERROR(__xludf.DUMMYFUNCTION("""COMPUTED_VALUE"""),287.23)</f>
        <v>287.23</v>
      </c>
      <c r="D1659" s="1">
        <f ca="1">IFERROR(__xludf.DUMMYFUNCTION("""COMPUTED_VALUE"""),284)</f>
        <v>284</v>
      </c>
      <c r="E1659" s="1">
        <f ca="1">IFERROR(__xludf.DUMMYFUNCTION("""COMPUTED_VALUE"""),287.12)</f>
        <v>287.12</v>
      </c>
      <c r="F1659" s="1">
        <f ca="1">IFERROR(__xludf.DUMMYFUNCTION("""COMPUTED_VALUE"""),17879048)</f>
        <v>17879048</v>
      </c>
    </row>
    <row r="1660" spans="1:6" x14ac:dyDescent="0.35">
      <c r="A1660" s="2">
        <f ca="1">IFERROR(__xludf.DUMMYFUNCTION("""COMPUTED_VALUE"""),44412.6666666666)</f>
        <v>44412.666666666599</v>
      </c>
      <c r="B1660" s="1">
        <f ca="1">IFERROR(__xludf.DUMMYFUNCTION("""COMPUTED_VALUE"""),286.22)</f>
        <v>286.22000000000003</v>
      </c>
      <c r="C1660" s="1">
        <f ca="1">IFERROR(__xludf.DUMMYFUNCTION("""COMPUTED_VALUE"""),287.59)</f>
        <v>287.58999999999997</v>
      </c>
      <c r="D1660" s="1">
        <f ca="1">IFERROR(__xludf.DUMMYFUNCTION("""COMPUTED_VALUE"""),284.65)</f>
        <v>284.64999999999998</v>
      </c>
      <c r="E1660" s="1">
        <f ca="1">IFERROR(__xludf.DUMMYFUNCTION("""COMPUTED_VALUE"""),286.51)</f>
        <v>286.51</v>
      </c>
      <c r="F1660" s="1">
        <f ca="1">IFERROR(__xludf.DUMMYFUNCTION("""COMPUTED_VALUE"""),16191301)</f>
        <v>16191301</v>
      </c>
    </row>
    <row r="1661" spans="1:6" x14ac:dyDescent="0.35">
      <c r="A1661" s="2">
        <f ca="1">IFERROR(__xludf.DUMMYFUNCTION("""COMPUTED_VALUE"""),44413.6666666666)</f>
        <v>44413.666666666599</v>
      </c>
      <c r="B1661" s="1">
        <f ca="1">IFERROR(__xludf.DUMMYFUNCTION("""COMPUTED_VALUE"""),286.88)</f>
        <v>286.88</v>
      </c>
      <c r="C1661" s="1">
        <f ca="1">IFERROR(__xludf.DUMMYFUNCTION("""COMPUTED_VALUE"""),289.63)</f>
        <v>289.63</v>
      </c>
      <c r="D1661" s="1">
        <f ca="1">IFERROR(__xludf.DUMMYFUNCTION("""COMPUTED_VALUE"""),286.1)</f>
        <v>286.10000000000002</v>
      </c>
      <c r="E1661" s="1">
        <f ca="1">IFERROR(__xludf.DUMMYFUNCTION("""COMPUTED_VALUE"""),289.52)</f>
        <v>289.52</v>
      </c>
      <c r="F1661" s="1">
        <f ca="1">IFERROR(__xludf.DUMMYFUNCTION("""COMPUTED_VALUE"""),13900167)</f>
        <v>13900167</v>
      </c>
    </row>
    <row r="1662" spans="1:6" x14ac:dyDescent="0.35">
      <c r="A1662" s="2">
        <f ca="1">IFERROR(__xludf.DUMMYFUNCTION("""COMPUTED_VALUE"""),44414.6666666666)</f>
        <v>44414.666666666599</v>
      </c>
      <c r="B1662" s="1">
        <f ca="1">IFERROR(__xludf.DUMMYFUNCTION("""COMPUTED_VALUE"""),288.51)</f>
        <v>288.51</v>
      </c>
      <c r="C1662" s="1">
        <f ca="1">IFERROR(__xludf.DUMMYFUNCTION("""COMPUTED_VALUE"""),289.5)</f>
        <v>289.5</v>
      </c>
      <c r="D1662" s="1">
        <f ca="1">IFERROR(__xludf.DUMMYFUNCTION("""COMPUTED_VALUE"""),287.62)</f>
        <v>287.62</v>
      </c>
      <c r="E1662" s="1">
        <f ca="1">IFERROR(__xludf.DUMMYFUNCTION("""COMPUTED_VALUE"""),289.46)</f>
        <v>289.45999999999998</v>
      </c>
      <c r="F1662" s="1">
        <f ca="1">IFERROR(__xludf.DUMMYFUNCTION("""COMPUTED_VALUE"""),16589336)</f>
        <v>16589336</v>
      </c>
    </row>
    <row r="1663" spans="1:6" x14ac:dyDescent="0.35">
      <c r="A1663" s="2">
        <f ca="1">IFERROR(__xludf.DUMMYFUNCTION("""COMPUTED_VALUE"""),44417.6666666666)</f>
        <v>44417.666666666599</v>
      </c>
      <c r="B1663" s="1">
        <f ca="1">IFERROR(__xludf.DUMMYFUNCTION("""COMPUTED_VALUE"""),289.75)</f>
        <v>289.75</v>
      </c>
      <c r="C1663" s="1">
        <f ca="1">IFERROR(__xludf.DUMMYFUNCTION("""COMPUTED_VALUE"""),291.55)</f>
        <v>291.55</v>
      </c>
      <c r="D1663" s="1">
        <f ca="1">IFERROR(__xludf.DUMMYFUNCTION("""COMPUTED_VALUE"""),287.81)</f>
        <v>287.81</v>
      </c>
      <c r="E1663" s="1">
        <f ca="1">IFERROR(__xludf.DUMMYFUNCTION("""COMPUTED_VALUE"""),288.33)</f>
        <v>288.33</v>
      </c>
      <c r="F1663" s="1">
        <f ca="1">IFERROR(__xludf.DUMMYFUNCTION("""COMPUTED_VALUE"""),16117629)</f>
        <v>16117629</v>
      </c>
    </row>
    <row r="1664" spans="1:6" x14ac:dyDescent="0.35">
      <c r="A1664" s="2">
        <f ca="1">IFERROR(__xludf.DUMMYFUNCTION("""COMPUTED_VALUE"""),44418.6666666666)</f>
        <v>44418.666666666599</v>
      </c>
      <c r="B1664" s="1">
        <f ca="1">IFERROR(__xludf.DUMMYFUNCTION("""COMPUTED_VALUE"""),288.8)</f>
        <v>288.8</v>
      </c>
      <c r="C1664" s="1">
        <f ca="1">IFERROR(__xludf.DUMMYFUNCTION("""COMPUTED_VALUE"""),289.25)</f>
        <v>289.25</v>
      </c>
      <c r="D1664" s="1">
        <f ca="1">IFERROR(__xludf.DUMMYFUNCTION("""COMPUTED_VALUE"""),285.2)</f>
        <v>285.2</v>
      </c>
      <c r="E1664" s="1">
        <f ca="1">IFERROR(__xludf.DUMMYFUNCTION("""COMPUTED_VALUE"""),286.44)</f>
        <v>286.44</v>
      </c>
      <c r="F1664" s="1">
        <f ca="1">IFERROR(__xludf.DUMMYFUNCTION("""COMPUTED_VALUE"""),18616578)</f>
        <v>18616578</v>
      </c>
    </row>
    <row r="1665" spans="1:6" x14ac:dyDescent="0.35">
      <c r="A1665" s="2">
        <f ca="1">IFERROR(__xludf.DUMMYFUNCTION("""COMPUTED_VALUE"""),44419.6666666666)</f>
        <v>44419.666666666599</v>
      </c>
      <c r="B1665" s="1">
        <f ca="1">IFERROR(__xludf.DUMMYFUNCTION("""COMPUTED_VALUE"""),287.21)</f>
        <v>287.20999999999998</v>
      </c>
      <c r="C1665" s="1">
        <f ca="1">IFERROR(__xludf.DUMMYFUNCTION("""COMPUTED_VALUE"""),288.66)</f>
        <v>288.66000000000003</v>
      </c>
      <c r="D1665" s="1">
        <f ca="1">IFERROR(__xludf.DUMMYFUNCTION("""COMPUTED_VALUE"""),285.86)</f>
        <v>285.86</v>
      </c>
      <c r="E1665" s="1">
        <f ca="1">IFERROR(__xludf.DUMMYFUNCTION("""COMPUTED_VALUE"""),286.95)</f>
        <v>286.95</v>
      </c>
      <c r="F1665" s="1">
        <f ca="1">IFERROR(__xludf.DUMMYFUNCTION("""COMPUTED_VALUE"""),13955934)</f>
        <v>13955934</v>
      </c>
    </row>
    <row r="1666" spans="1:6" x14ac:dyDescent="0.35">
      <c r="A1666" s="2">
        <f ca="1">IFERROR(__xludf.DUMMYFUNCTION("""COMPUTED_VALUE"""),44420.6666666666)</f>
        <v>44420.666666666599</v>
      </c>
      <c r="B1666" s="1">
        <f ca="1">IFERROR(__xludf.DUMMYFUNCTION("""COMPUTED_VALUE"""),286.63)</f>
        <v>286.63</v>
      </c>
      <c r="C1666" s="1">
        <f ca="1">IFERROR(__xludf.DUMMYFUNCTION("""COMPUTED_VALUE"""),289.97)</f>
        <v>289.97000000000003</v>
      </c>
      <c r="D1666" s="1">
        <f ca="1">IFERROR(__xludf.DUMMYFUNCTION("""COMPUTED_VALUE"""),286.34)</f>
        <v>286.33999999999997</v>
      </c>
      <c r="E1666" s="1">
        <f ca="1">IFERROR(__xludf.DUMMYFUNCTION("""COMPUTED_VALUE"""),289.81)</f>
        <v>289.81</v>
      </c>
      <c r="F1666" s="1">
        <f ca="1">IFERROR(__xludf.DUMMYFUNCTION("""COMPUTED_VALUE"""),14570391)</f>
        <v>14570391</v>
      </c>
    </row>
    <row r="1667" spans="1:6" x14ac:dyDescent="0.35">
      <c r="A1667" s="2">
        <f ca="1">IFERROR(__xludf.DUMMYFUNCTION("""COMPUTED_VALUE"""),44421.6666666666)</f>
        <v>44421.666666666599</v>
      </c>
      <c r="B1667" s="1">
        <f ca="1">IFERROR(__xludf.DUMMYFUNCTION("""COMPUTED_VALUE"""),289.48)</f>
        <v>289.48</v>
      </c>
      <c r="C1667" s="1">
        <f ca="1">IFERROR(__xludf.DUMMYFUNCTION("""COMPUTED_VALUE"""),292.9)</f>
        <v>292.89999999999998</v>
      </c>
      <c r="D1667" s="1">
        <f ca="1">IFERROR(__xludf.DUMMYFUNCTION("""COMPUTED_VALUE"""),289.3)</f>
        <v>289.3</v>
      </c>
      <c r="E1667" s="1">
        <f ca="1">IFERROR(__xludf.DUMMYFUNCTION("""COMPUTED_VALUE"""),292.85)</f>
        <v>292.85000000000002</v>
      </c>
      <c r="F1667" s="1">
        <f ca="1">IFERROR(__xludf.DUMMYFUNCTION("""COMPUTED_VALUE"""),18249046)</f>
        <v>18249046</v>
      </c>
    </row>
    <row r="1668" spans="1:6" x14ac:dyDescent="0.35">
      <c r="A1668" s="2">
        <f ca="1">IFERROR(__xludf.DUMMYFUNCTION("""COMPUTED_VALUE"""),44424.6666666666)</f>
        <v>44424.666666666599</v>
      </c>
      <c r="B1668" s="1">
        <f ca="1">IFERROR(__xludf.DUMMYFUNCTION("""COMPUTED_VALUE"""),293.19)</f>
        <v>293.19</v>
      </c>
      <c r="C1668" s="1">
        <f ca="1">IFERROR(__xludf.DUMMYFUNCTION("""COMPUTED_VALUE"""),294.82)</f>
        <v>294.82</v>
      </c>
      <c r="D1668" s="1">
        <f ca="1">IFERROR(__xludf.DUMMYFUNCTION("""COMPUTED_VALUE"""),290.02)</f>
        <v>290.02</v>
      </c>
      <c r="E1668" s="1">
        <f ca="1">IFERROR(__xludf.DUMMYFUNCTION("""COMPUTED_VALUE"""),294.6)</f>
        <v>294.60000000000002</v>
      </c>
      <c r="F1668" s="1">
        <f ca="1">IFERROR(__xludf.DUMMYFUNCTION("""COMPUTED_VALUE"""),22516027)</f>
        <v>22516027</v>
      </c>
    </row>
    <row r="1669" spans="1:6" x14ac:dyDescent="0.35">
      <c r="A1669" s="2">
        <f ca="1">IFERROR(__xludf.DUMMYFUNCTION("""COMPUTED_VALUE"""),44425.6666666666)</f>
        <v>44425.666666666599</v>
      </c>
      <c r="B1669" s="1">
        <f ca="1">IFERROR(__xludf.DUMMYFUNCTION("""COMPUTED_VALUE"""),292.39)</f>
        <v>292.39</v>
      </c>
      <c r="C1669" s="1">
        <f ca="1">IFERROR(__xludf.DUMMYFUNCTION("""COMPUTED_VALUE"""),293.43)</f>
        <v>293.43</v>
      </c>
      <c r="D1669" s="1">
        <f ca="1">IFERROR(__xludf.DUMMYFUNCTION("""COMPUTED_VALUE"""),291.08)</f>
        <v>291.08</v>
      </c>
      <c r="E1669" s="1">
        <f ca="1">IFERROR(__xludf.DUMMYFUNCTION("""COMPUTED_VALUE"""),293.08)</f>
        <v>293.08</v>
      </c>
      <c r="F1669" s="1">
        <f ca="1">IFERROR(__xludf.DUMMYFUNCTION("""COMPUTED_VALUE"""),20075250)</f>
        <v>20075250</v>
      </c>
    </row>
    <row r="1670" spans="1:6" x14ac:dyDescent="0.35">
      <c r="A1670" s="2">
        <f ca="1">IFERROR(__xludf.DUMMYFUNCTION("""COMPUTED_VALUE"""),44426.6666666666)</f>
        <v>44426.666666666599</v>
      </c>
      <c r="B1670" s="1">
        <f ca="1">IFERROR(__xludf.DUMMYFUNCTION("""COMPUTED_VALUE"""),292.04)</f>
        <v>292.04000000000002</v>
      </c>
      <c r="C1670" s="1">
        <f ca="1">IFERROR(__xludf.DUMMYFUNCTION("""COMPUTED_VALUE"""),294.82)</f>
        <v>294.82</v>
      </c>
      <c r="D1670" s="1">
        <f ca="1">IFERROR(__xludf.DUMMYFUNCTION("""COMPUTED_VALUE"""),290.27)</f>
        <v>290.27</v>
      </c>
      <c r="E1670" s="1">
        <f ca="1">IFERROR(__xludf.DUMMYFUNCTION("""COMPUTED_VALUE"""),290.73)</f>
        <v>290.73</v>
      </c>
      <c r="F1670" s="1">
        <f ca="1">IFERROR(__xludf.DUMMYFUNCTION("""COMPUTED_VALUE"""),21812985)</f>
        <v>21812985</v>
      </c>
    </row>
    <row r="1671" spans="1:6" x14ac:dyDescent="0.35">
      <c r="A1671" s="2">
        <f ca="1">IFERROR(__xludf.DUMMYFUNCTION("""COMPUTED_VALUE"""),44427.6666666666)</f>
        <v>44427.666666666599</v>
      </c>
      <c r="B1671" s="1">
        <f ca="1">IFERROR(__xludf.DUMMYFUNCTION("""COMPUTED_VALUE"""),288.69)</f>
        <v>288.69</v>
      </c>
      <c r="C1671" s="1">
        <f ca="1">IFERROR(__xludf.DUMMYFUNCTION("""COMPUTED_VALUE"""),297.47)</f>
        <v>297.47000000000003</v>
      </c>
      <c r="D1671" s="1">
        <f ca="1">IFERROR(__xludf.DUMMYFUNCTION("""COMPUTED_VALUE"""),288.64)</f>
        <v>288.64</v>
      </c>
      <c r="E1671" s="1">
        <f ca="1">IFERROR(__xludf.DUMMYFUNCTION("""COMPUTED_VALUE"""),296.77)</f>
        <v>296.77</v>
      </c>
      <c r="F1671" s="1">
        <f ca="1">IFERROR(__xludf.DUMMYFUNCTION("""COMPUTED_VALUE"""),29850461)</f>
        <v>29850461</v>
      </c>
    </row>
    <row r="1672" spans="1:6" x14ac:dyDescent="0.35">
      <c r="A1672" s="2">
        <f ca="1">IFERROR(__xludf.DUMMYFUNCTION("""COMPUTED_VALUE"""),44428.6666666666)</f>
        <v>44428.666666666599</v>
      </c>
      <c r="B1672" s="1">
        <f ca="1">IFERROR(__xludf.DUMMYFUNCTION("""COMPUTED_VALUE"""),299.72)</f>
        <v>299.72000000000003</v>
      </c>
      <c r="C1672" s="1">
        <f ca="1">IFERROR(__xludf.DUMMYFUNCTION("""COMPUTED_VALUE"""),305.84)</f>
        <v>305.83999999999997</v>
      </c>
      <c r="D1672" s="1">
        <f ca="1">IFERROR(__xludf.DUMMYFUNCTION("""COMPUTED_VALUE"""),298.06)</f>
        <v>298.06</v>
      </c>
      <c r="E1672" s="1">
        <f ca="1">IFERROR(__xludf.DUMMYFUNCTION("""COMPUTED_VALUE"""),304.36)</f>
        <v>304.36</v>
      </c>
      <c r="F1672" s="1">
        <f ca="1">IFERROR(__xludf.DUMMYFUNCTION("""COMPUTED_VALUE"""),40817646)</f>
        <v>40817646</v>
      </c>
    </row>
    <row r="1673" spans="1:6" x14ac:dyDescent="0.35">
      <c r="A1673" s="2">
        <f ca="1">IFERROR(__xludf.DUMMYFUNCTION("""COMPUTED_VALUE"""),44431.6666666666)</f>
        <v>44431.666666666599</v>
      </c>
      <c r="B1673" s="1">
        <f ca="1">IFERROR(__xludf.DUMMYFUNCTION("""COMPUTED_VALUE"""),303.25)</f>
        <v>303.25</v>
      </c>
      <c r="C1673" s="1">
        <f ca="1">IFERROR(__xludf.DUMMYFUNCTION("""COMPUTED_VALUE"""),305.4)</f>
        <v>305.39999999999998</v>
      </c>
      <c r="D1673" s="1">
        <f ca="1">IFERROR(__xludf.DUMMYFUNCTION("""COMPUTED_VALUE"""),301.85)</f>
        <v>301.85000000000002</v>
      </c>
      <c r="E1673" s="1">
        <f ca="1">IFERROR(__xludf.DUMMYFUNCTION("""COMPUTED_VALUE"""),304.65)</f>
        <v>304.64999999999998</v>
      </c>
      <c r="F1673" s="1">
        <f ca="1">IFERROR(__xludf.DUMMYFUNCTION("""COMPUTED_VALUE"""),22830157)</f>
        <v>22830157</v>
      </c>
    </row>
    <row r="1674" spans="1:6" x14ac:dyDescent="0.35">
      <c r="A1674" s="2">
        <f ca="1">IFERROR(__xludf.DUMMYFUNCTION("""COMPUTED_VALUE"""),44432.6666666666)</f>
        <v>44432.666666666599</v>
      </c>
      <c r="B1674" s="1">
        <f ca="1">IFERROR(__xludf.DUMMYFUNCTION("""COMPUTED_VALUE"""),305.02)</f>
        <v>305.02</v>
      </c>
      <c r="C1674" s="1">
        <f ca="1">IFERROR(__xludf.DUMMYFUNCTION("""COMPUTED_VALUE"""),305.65)</f>
        <v>305.64999999999998</v>
      </c>
      <c r="D1674" s="1">
        <f ca="1">IFERROR(__xludf.DUMMYFUNCTION("""COMPUTED_VALUE"""),302)</f>
        <v>302</v>
      </c>
      <c r="E1674" s="1">
        <f ca="1">IFERROR(__xludf.DUMMYFUNCTION("""COMPUTED_VALUE"""),302.62)</f>
        <v>302.62</v>
      </c>
      <c r="F1674" s="1">
        <f ca="1">IFERROR(__xludf.DUMMYFUNCTION("""COMPUTED_VALUE"""),18175774)</f>
        <v>18175774</v>
      </c>
    </row>
    <row r="1675" spans="1:6" x14ac:dyDescent="0.35">
      <c r="A1675" s="2">
        <f ca="1">IFERROR(__xludf.DUMMYFUNCTION("""COMPUTED_VALUE"""),44433.6666666666)</f>
        <v>44433.666666666599</v>
      </c>
      <c r="B1675" s="1">
        <f ca="1">IFERROR(__xludf.DUMMYFUNCTION("""COMPUTED_VALUE"""),304.3)</f>
        <v>304.3</v>
      </c>
      <c r="C1675" s="1">
        <f ca="1">IFERROR(__xludf.DUMMYFUNCTION("""COMPUTED_VALUE"""),304.59)</f>
        <v>304.58999999999997</v>
      </c>
      <c r="D1675" s="1">
        <f ca="1">IFERROR(__xludf.DUMMYFUNCTION("""COMPUTED_VALUE"""),300.42)</f>
        <v>300.42</v>
      </c>
      <c r="E1675" s="1">
        <f ca="1">IFERROR(__xludf.DUMMYFUNCTION("""COMPUTED_VALUE"""),302.01)</f>
        <v>302.01</v>
      </c>
      <c r="F1675" s="1">
        <f ca="1">IFERROR(__xludf.DUMMYFUNCTION("""COMPUTED_VALUE"""),20006057)</f>
        <v>20006057</v>
      </c>
    </row>
    <row r="1676" spans="1:6" x14ac:dyDescent="0.35">
      <c r="A1676" s="2">
        <f ca="1">IFERROR(__xludf.DUMMYFUNCTION("""COMPUTED_VALUE"""),44434.6666666666)</f>
        <v>44434.666666666599</v>
      </c>
      <c r="B1676" s="1">
        <f ca="1">IFERROR(__xludf.DUMMYFUNCTION("""COMPUTED_VALUE"""),300.99)</f>
        <v>300.99</v>
      </c>
      <c r="C1676" s="1">
        <f ca="1">IFERROR(__xludf.DUMMYFUNCTION("""COMPUTED_VALUE"""),302.43)</f>
        <v>302.43</v>
      </c>
      <c r="D1676" s="1">
        <f ca="1">IFERROR(__xludf.DUMMYFUNCTION("""COMPUTED_VALUE"""),298.95)</f>
        <v>298.95</v>
      </c>
      <c r="E1676" s="1">
        <f ca="1">IFERROR(__xludf.DUMMYFUNCTION("""COMPUTED_VALUE"""),299.09)</f>
        <v>299.08999999999997</v>
      </c>
      <c r="F1676" s="1">
        <f ca="1">IFERROR(__xludf.DUMMYFUNCTION("""COMPUTED_VALUE"""),17666084)</f>
        <v>17666084</v>
      </c>
    </row>
    <row r="1677" spans="1:6" x14ac:dyDescent="0.35">
      <c r="A1677" s="2">
        <f ca="1">IFERROR(__xludf.DUMMYFUNCTION("""COMPUTED_VALUE"""),44435.6666666666)</f>
        <v>44435.666666666599</v>
      </c>
      <c r="B1677" s="1">
        <f ca="1">IFERROR(__xludf.DUMMYFUNCTION("""COMPUTED_VALUE"""),298.99)</f>
        <v>298.99</v>
      </c>
      <c r="C1677" s="1">
        <f ca="1">IFERROR(__xludf.DUMMYFUNCTION("""COMPUTED_VALUE"""),300.87)</f>
        <v>300.87</v>
      </c>
      <c r="D1677" s="1">
        <f ca="1">IFERROR(__xludf.DUMMYFUNCTION("""COMPUTED_VALUE"""),296.83)</f>
        <v>296.83</v>
      </c>
      <c r="E1677" s="1">
        <f ca="1">IFERROR(__xludf.DUMMYFUNCTION("""COMPUTED_VALUE"""),299.72)</f>
        <v>299.72000000000003</v>
      </c>
      <c r="F1677" s="1">
        <f ca="1">IFERROR(__xludf.DUMMYFUNCTION("""COMPUTED_VALUE"""),22605726)</f>
        <v>22605726</v>
      </c>
    </row>
    <row r="1678" spans="1:6" x14ac:dyDescent="0.35">
      <c r="A1678" s="2">
        <f ca="1">IFERROR(__xludf.DUMMYFUNCTION("""COMPUTED_VALUE"""),44438.6666666666)</f>
        <v>44438.666666666599</v>
      </c>
      <c r="B1678" s="1">
        <f ca="1">IFERROR(__xludf.DUMMYFUNCTION("""COMPUTED_VALUE"""),301.12)</f>
        <v>301.12</v>
      </c>
      <c r="C1678" s="1">
        <f ca="1">IFERROR(__xludf.DUMMYFUNCTION("""COMPUTED_VALUE"""),304.22)</f>
        <v>304.22000000000003</v>
      </c>
      <c r="D1678" s="1">
        <f ca="1">IFERROR(__xludf.DUMMYFUNCTION("""COMPUTED_VALUE"""),301.06)</f>
        <v>301.06</v>
      </c>
      <c r="E1678" s="1">
        <f ca="1">IFERROR(__xludf.DUMMYFUNCTION("""COMPUTED_VALUE"""),303.59)</f>
        <v>303.58999999999997</v>
      </c>
      <c r="F1678" s="1">
        <f ca="1">IFERROR(__xludf.DUMMYFUNCTION("""COMPUTED_VALUE"""),16348072)</f>
        <v>16348072</v>
      </c>
    </row>
    <row r="1679" spans="1:6" x14ac:dyDescent="0.35">
      <c r="A1679" s="2">
        <f ca="1">IFERROR(__xludf.DUMMYFUNCTION("""COMPUTED_VALUE"""),44439.6666666666)</f>
        <v>44439.666666666599</v>
      </c>
      <c r="B1679" s="1">
        <f ca="1">IFERROR(__xludf.DUMMYFUNCTION("""COMPUTED_VALUE"""),304.42)</f>
        <v>304.42</v>
      </c>
      <c r="C1679" s="1">
        <f ca="1">IFERROR(__xludf.DUMMYFUNCTION("""COMPUTED_VALUE"""),304.5)</f>
        <v>304.5</v>
      </c>
      <c r="D1679" s="1">
        <f ca="1">IFERROR(__xludf.DUMMYFUNCTION("""COMPUTED_VALUE"""),301.5)</f>
        <v>301.5</v>
      </c>
      <c r="E1679" s="1">
        <f ca="1">IFERROR(__xludf.DUMMYFUNCTION("""COMPUTED_VALUE"""),301.88)</f>
        <v>301.88</v>
      </c>
      <c r="F1679" s="1">
        <f ca="1">IFERROR(__xludf.DUMMYFUNCTION("""COMPUTED_VALUE"""),26285338)</f>
        <v>26285338</v>
      </c>
    </row>
    <row r="1680" spans="1:6" x14ac:dyDescent="0.35">
      <c r="A1680" s="2">
        <f ca="1">IFERROR(__xludf.DUMMYFUNCTION("""COMPUTED_VALUE"""),44440.6666666666)</f>
        <v>44440.666666666599</v>
      </c>
      <c r="B1680" s="1">
        <f ca="1">IFERROR(__xludf.DUMMYFUNCTION("""COMPUTED_VALUE"""),302.87)</f>
        <v>302.87</v>
      </c>
      <c r="C1680" s="1">
        <f ca="1">IFERROR(__xludf.DUMMYFUNCTION("""COMPUTED_VALUE"""),305.19)</f>
        <v>305.19</v>
      </c>
      <c r="D1680" s="1">
        <f ca="1">IFERROR(__xludf.DUMMYFUNCTION("""COMPUTED_VALUE"""),301.49)</f>
        <v>301.49</v>
      </c>
      <c r="E1680" s="1">
        <f ca="1">IFERROR(__xludf.DUMMYFUNCTION("""COMPUTED_VALUE"""),301.83)</f>
        <v>301.83</v>
      </c>
      <c r="F1680" s="1">
        <f ca="1">IFERROR(__xludf.DUMMYFUNCTION("""COMPUTED_VALUE"""),18983826)</f>
        <v>18983826</v>
      </c>
    </row>
    <row r="1681" spans="1:6" x14ac:dyDescent="0.35">
      <c r="A1681" s="2">
        <f ca="1">IFERROR(__xludf.DUMMYFUNCTION("""COMPUTED_VALUE"""),44441.6666666666)</f>
        <v>44441.666666666599</v>
      </c>
      <c r="B1681" s="1">
        <f ca="1">IFERROR(__xludf.DUMMYFUNCTION("""COMPUTED_VALUE"""),302.2)</f>
        <v>302.2</v>
      </c>
      <c r="C1681" s="1">
        <f ca="1">IFERROR(__xludf.DUMMYFUNCTION("""COMPUTED_VALUE"""),303.36)</f>
        <v>303.36</v>
      </c>
      <c r="D1681" s="1">
        <f ca="1">IFERROR(__xludf.DUMMYFUNCTION("""COMPUTED_VALUE"""),300.18)</f>
        <v>300.18</v>
      </c>
      <c r="E1681" s="1">
        <f ca="1">IFERROR(__xludf.DUMMYFUNCTION("""COMPUTED_VALUE"""),301.15)</f>
        <v>301.14999999999998</v>
      </c>
      <c r="F1681" s="1">
        <f ca="1">IFERROR(__xludf.DUMMYFUNCTION("""COMPUTED_VALUE"""),16290545)</f>
        <v>16290545</v>
      </c>
    </row>
    <row r="1682" spans="1:6" x14ac:dyDescent="0.35">
      <c r="A1682" s="2">
        <f ca="1">IFERROR(__xludf.DUMMYFUNCTION("""COMPUTED_VALUE"""),44442.6666666666)</f>
        <v>44442.666666666599</v>
      </c>
      <c r="B1682" s="1">
        <f ca="1">IFERROR(__xludf.DUMMYFUNCTION("""COMPUTED_VALUE"""),300.99)</f>
        <v>300.99</v>
      </c>
      <c r="C1682" s="1">
        <f ca="1">IFERROR(__xludf.DUMMYFUNCTION("""COMPUTED_VALUE"""),302.6)</f>
        <v>302.60000000000002</v>
      </c>
      <c r="D1682" s="1">
        <f ca="1">IFERROR(__xludf.DUMMYFUNCTION("""COMPUTED_VALUE"""),300.26)</f>
        <v>300.26</v>
      </c>
      <c r="E1682" s="1">
        <f ca="1">IFERROR(__xludf.DUMMYFUNCTION("""COMPUTED_VALUE"""),301.14)</f>
        <v>301.14</v>
      </c>
      <c r="F1682" s="1">
        <f ca="1">IFERROR(__xludf.DUMMYFUNCTION("""COMPUTED_VALUE"""),14751610)</f>
        <v>14751610</v>
      </c>
    </row>
    <row r="1683" spans="1:6" x14ac:dyDescent="0.35">
      <c r="A1683" s="2">
        <f ca="1">IFERROR(__xludf.DUMMYFUNCTION("""COMPUTED_VALUE"""),44446.6666666666)</f>
        <v>44446.666666666599</v>
      </c>
      <c r="B1683" s="1">
        <f ca="1">IFERROR(__xludf.DUMMYFUNCTION("""COMPUTED_VALUE"""),301.01)</f>
        <v>301.01</v>
      </c>
      <c r="C1683" s="1">
        <f ca="1">IFERROR(__xludf.DUMMYFUNCTION("""COMPUTED_VALUE"""),301.09)</f>
        <v>301.08999999999997</v>
      </c>
      <c r="D1683" s="1">
        <f ca="1">IFERROR(__xludf.DUMMYFUNCTION("""COMPUTED_VALUE"""),298.2)</f>
        <v>298.2</v>
      </c>
      <c r="E1683" s="1">
        <f ca="1">IFERROR(__xludf.DUMMYFUNCTION("""COMPUTED_VALUE"""),300.18)</f>
        <v>300.18</v>
      </c>
      <c r="F1683" s="1">
        <f ca="1">IFERROR(__xludf.DUMMYFUNCTION("""COMPUTED_VALUE"""),17184083)</f>
        <v>17184083</v>
      </c>
    </row>
    <row r="1684" spans="1:6" x14ac:dyDescent="0.35">
      <c r="A1684" s="2">
        <f ca="1">IFERROR(__xludf.DUMMYFUNCTION("""COMPUTED_VALUE"""),44447.6666666666)</f>
        <v>44447.666666666599</v>
      </c>
      <c r="B1684" s="1">
        <f ca="1">IFERROR(__xludf.DUMMYFUNCTION("""COMPUTED_VALUE"""),299.78)</f>
        <v>299.77999999999997</v>
      </c>
      <c r="C1684" s="1">
        <f ca="1">IFERROR(__xludf.DUMMYFUNCTION("""COMPUTED_VALUE"""),300.61)</f>
        <v>300.61</v>
      </c>
      <c r="D1684" s="1">
        <f ca="1">IFERROR(__xludf.DUMMYFUNCTION("""COMPUTED_VALUE"""),297.47)</f>
        <v>297.47000000000003</v>
      </c>
      <c r="E1684" s="1">
        <f ca="1">IFERROR(__xludf.DUMMYFUNCTION("""COMPUTED_VALUE"""),300.21)</f>
        <v>300.20999999999998</v>
      </c>
      <c r="F1684" s="1">
        <f ca="1">IFERROR(__xludf.DUMMYFUNCTION("""COMPUTED_VALUE"""),15046819)</f>
        <v>15046819</v>
      </c>
    </row>
    <row r="1685" spans="1:6" x14ac:dyDescent="0.35">
      <c r="A1685" s="2">
        <f ca="1">IFERROR(__xludf.DUMMYFUNCTION("""COMPUTED_VALUE"""),44448.6666666666)</f>
        <v>44448.666666666599</v>
      </c>
      <c r="B1685" s="1">
        <f ca="1">IFERROR(__xludf.DUMMYFUNCTION("""COMPUTED_VALUE"""),300.82)</f>
        <v>300.82</v>
      </c>
      <c r="C1685" s="1">
        <f ca="1">IFERROR(__xludf.DUMMYFUNCTION("""COMPUTED_VALUE"""),302.14)</f>
        <v>302.14</v>
      </c>
      <c r="D1685" s="1">
        <f ca="1">IFERROR(__xludf.DUMMYFUNCTION("""COMPUTED_VALUE"""),297)</f>
        <v>297</v>
      </c>
      <c r="E1685" s="1">
        <f ca="1">IFERROR(__xludf.DUMMYFUNCTION("""COMPUTED_VALUE"""),297.25)</f>
        <v>297.25</v>
      </c>
      <c r="F1685" s="1">
        <f ca="1">IFERROR(__xludf.DUMMYFUNCTION("""COMPUTED_VALUE"""),19927000)</f>
        <v>19927000</v>
      </c>
    </row>
    <row r="1686" spans="1:6" x14ac:dyDescent="0.35">
      <c r="A1686" s="2">
        <f ca="1">IFERROR(__xludf.DUMMYFUNCTION("""COMPUTED_VALUE"""),44449.6666666666)</f>
        <v>44449.666666666599</v>
      </c>
      <c r="B1686" s="1">
        <f ca="1">IFERROR(__xludf.DUMMYFUNCTION("""COMPUTED_VALUE"""),298.42)</f>
        <v>298.42</v>
      </c>
      <c r="C1686" s="1">
        <f ca="1">IFERROR(__xludf.DUMMYFUNCTION("""COMPUTED_VALUE"""),299.92)</f>
        <v>299.92</v>
      </c>
      <c r="D1686" s="1">
        <f ca="1">IFERROR(__xludf.DUMMYFUNCTION("""COMPUTED_VALUE"""),295.38)</f>
        <v>295.38</v>
      </c>
      <c r="E1686" s="1">
        <f ca="1">IFERROR(__xludf.DUMMYFUNCTION("""COMPUTED_VALUE"""),295.71)</f>
        <v>295.70999999999998</v>
      </c>
      <c r="F1686" s="1">
        <f ca="1">IFERROR(__xludf.DUMMYFUNCTION("""COMPUTED_VALUE"""),19633363)</f>
        <v>19633363</v>
      </c>
    </row>
    <row r="1687" spans="1:6" x14ac:dyDescent="0.35">
      <c r="A1687" s="2">
        <f ca="1">IFERROR(__xludf.DUMMYFUNCTION("""COMPUTED_VALUE"""),44452.6666666666)</f>
        <v>44452.666666666599</v>
      </c>
      <c r="B1687" s="1">
        <f ca="1">IFERROR(__xludf.DUMMYFUNCTION("""COMPUTED_VALUE"""),297.55)</f>
        <v>297.55</v>
      </c>
      <c r="C1687" s="1">
        <f ca="1">IFERROR(__xludf.DUMMYFUNCTION("""COMPUTED_VALUE"""),298.54)</f>
        <v>298.54000000000002</v>
      </c>
      <c r="D1687" s="1">
        <f ca="1">IFERROR(__xludf.DUMMYFUNCTION("""COMPUTED_VALUE"""),294.08)</f>
        <v>294.08</v>
      </c>
      <c r="E1687" s="1">
        <f ca="1">IFERROR(__xludf.DUMMYFUNCTION("""COMPUTED_VALUE"""),296.99)</f>
        <v>296.99</v>
      </c>
      <c r="F1687" s="1">
        <f ca="1">IFERROR(__xludf.DUMMYFUNCTION("""COMPUTED_VALUE"""),23652949)</f>
        <v>23652949</v>
      </c>
    </row>
    <row r="1688" spans="1:6" x14ac:dyDescent="0.35">
      <c r="A1688" s="2">
        <f ca="1">IFERROR(__xludf.DUMMYFUNCTION("""COMPUTED_VALUE"""),44453.6666666666)</f>
        <v>44453.666666666599</v>
      </c>
      <c r="B1688" s="1">
        <f ca="1">IFERROR(__xludf.DUMMYFUNCTION("""COMPUTED_VALUE"""),299.56)</f>
        <v>299.56</v>
      </c>
      <c r="C1688" s="1">
        <f ca="1">IFERROR(__xludf.DUMMYFUNCTION("""COMPUTED_VALUE"""),301.39)</f>
        <v>301.39</v>
      </c>
      <c r="D1688" s="1">
        <f ca="1">IFERROR(__xludf.DUMMYFUNCTION("""COMPUTED_VALUE"""),298.1)</f>
        <v>298.10000000000002</v>
      </c>
      <c r="E1688" s="1">
        <f ca="1">IFERROR(__xludf.DUMMYFUNCTION("""COMPUTED_VALUE"""),299.79)</f>
        <v>299.79000000000002</v>
      </c>
      <c r="F1688" s="1">
        <f ca="1">IFERROR(__xludf.DUMMYFUNCTION("""COMPUTED_VALUE"""),21853433)</f>
        <v>21853433</v>
      </c>
    </row>
    <row r="1689" spans="1:6" x14ac:dyDescent="0.35">
      <c r="A1689" s="2">
        <f ca="1">IFERROR(__xludf.DUMMYFUNCTION("""COMPUTED_VALUE"""),44454.6666666666)</f>
        <v>44454.666666666599</v>
      </c>
      <c r="B1689" s="1">
        <f ca="1">IFERROR(__xludf.DUMMYFUNCTION("""COMPUTED_VALUE"""),303.26)</f>
        <v>303.26</v>
      </c>
      <c r="C1689" s="1">
        <f ca="1">IFERROR(__xludf.DUMMYFUNCTION("""COMPUTED_VALUE"""),305.32)</f>
        <v>305.32</v>
      </c>
      <c r="D1689" s="1">
        <f ca="1">IFERROR(__xludf.DUMMYFUNCTION("""COMPUTED_VALUE"""),301.82)</f>
        <v>301.82</v>
      </c>
      <c r="E1689" s="1">
        <f ca="1">IFERROR(__xludf.DUMMYFUNCTION("""COMPUTED_VALUE"""),304.82)</f>
        <v>304.82</v>
      </c>
      <c r="F1689" s="1">
        <f ca="1">IFERROR(__xludf.DUMMYFUNCTION("""COMPUTED_VALUE"""),28356304)</f>
        <v>28356304</v>
      </c>
    </row>
    <row r="1690" spans="1:6" x14ac:dyDescent="0.35">
      <c r="A1690" s="2">
        <f ca="1">IFERROR(__xludf.DUMMYFUNCTION("""COMPUTED_VALUE"""),44455.6666666666)</f>
        <v>44455.666666666599</v>
      </c>
      <c r="B1690" s="1">
        <f ca="1">IFERROR(__xludf.DUMMYFUNCTION("""COMPUTED_VALUE"""),303.76)</f>
        <v>303.76</v>
      </c>
      <c r="C1690" s="1">
        <f ca="1">IFERROR(__xludf.DUMMYFUNCTION("""COMPUTED_VALUE"""),305.31)</f>
        <v>305.31</v>
      </c>
      <c r="D1690" s="1">
        <f ca="1">IFERROR(__xludf.DUMMYFUNCTION("""COMPUTED_VALUE"""),300.76)</f>
        <v>300.76</v>
      </c>
      <c r="E1690" s="1">
        <f ca="1">IFERROR(__xludf.DUMMYFUNCTION("""COMPUTED_VALUE"""),305.22)</f>
        <v>305.22000000000003</v>
      </c>
      <c r="F1690" s="1">
        <f ca="1">IFERROR(__xludf.DUMMYFUNCTION("""COMPUTED_VALUE"""),19550815)</f>
        <v>19550815</v>
      </c>
    </row>
    <row r="1691" spans="1:6" x14ac:dyDescent="0.35">
      <c r="A1691" s="2">
        <f ca="1">IFERROR(__xludf.DUMMYFUNCTION("""COMPUTED_VALUE"""),44456.6666666666)</f>
        <v>44456.666666666599</v>
      </c>
      <c r="B1691" s="1">
        <f ca="1">IFERROR(__xludf.DUMMYFUNCTION("""COMPUTED_VALUE"""),304.17)</f>
        <v>304.17</v>
      </c>
      <c r="C1691" s="1">
        <f ca="1">IFERROR(__xludf.DUMMYFUNCTION("""COMPUTED_VALUE"""),304.5)</f>
        <v>304.5</v>
      </c>
      <c r="D1691" s="1">
        <f ca="1">IFERROR(__xludf.DUMMYFUNCTION("""COMPUTED_VALUE"""),299.53)</f>
        <v>299.52999999999997</v>
      </c>
      <c r="E1691" s="1">
        <f ca="1">IFERROR(__xludf.DUMMYFUNCTION("""COMPUTED_VALUE"""),299.87)</f>
        <v>299.87</v>
      </c>
      <c r="F1691" s="1">
        <f ca="1">IFERROR(__xludf.DUMMYFUNCTION("""COMPUTED_VALUE"""),41372457)</f>
        <v>41372457</v>
      </c>
    </row>
    <row r="1692" spans="1:6" x14ac:dyDescent="0.35">
      <c r="A1692" s="2">
        <f ca="1">IFERROR(__xludf.DUMMYFUNCTION("""COMPUTED_VALUE"""),44459.6666666666)</f>
        <v>44459.666666666599</v>
      </c>
      <c r="B1692" s="1">
        <f ca="1">IFERROR(__xludf.DUMMYFUNCTION("""COMPUTED_VALUE"""),296.33)</f>
        <v>296.33</v>
      </c>
      <c r="C1692" s="1">
        <f ca="1">IFERROR(__xludf.DUMMYFUNCTION("""COMPUTED_VALUE"""),298.72)</f>
        <v>298.72000000000003</v>
      </c>
      <c r="D1692" s="1">
        <f ca="1">IFERROR(__xludf.DUMMYFUNCTION("""COMPUTED_VALUE"""),289.52)</f>
        <v>289.52</v>
      </c>
      <c r="E1692" s="1">
        <f ca="1">IFERROR(__xludf.DUMMYFUNCTION("""COMPUTED_VALUE"""),294.3)</f>
        <v>294.3</v>
      </c>
      <c r="F1692" s="1">
        <f ca="1">IFERROR(__xludf.DUMMYFUNCTION("""COMPUTED_VALUE"""),38278661)</f>
        <v>38278661</v>
      </c>
    </row>
    <row r="1693" spans="1:6" x14ac:dyDescent="0.35">
      <c r="A1693" s="2">
        <f ca="1">IFERROR(__xludf.DUMMYFUNCTION("""COMPUTED_VALUE"""),44460.6666666666)</f>
        <v>44460.666666666599</v>
      </c>
      <c r="B1693" s="1">
        <f ca="1">IFERROR(__xludf.DUMMYFUNCTION("""COMPUTED_VALUE"""),295.69)</f>
        <v>295.69</v>
      </c>
      <c r="C1693" s="1">
        <f ca="1">IFERROR(__xludf.DUMMYFUNCTION("""COMPUTED_VALUE"""),297.54)</f>
        <v>297.54000000000002</v>
      </c>
      <c r="D1693" s="1">
        <f ca="1">IFERROR(__xludf.DUMMYFUNCTION("""COMPUTED_VALUE"""),294.07)</f>
        <v>294.07</v>
      </c>
      <c r="E1693" s="1">
        <f ca="1">IFERROR(__xludf.DUMMYFUNCTION("""COMPUTED_VALUE"""),294.8)</f>
        <v>294.8</v>
      </c>
      <c r="F1693" s="1">
        <f ca="1">IFERROR(__xludf.DUMMYFUNCTION("""COMPUTED_VALUE"""),22364103)</f>
        <v>22364103</v>
      </c>
    </row>
    <row r="1694" spans="1:6" x14ac:dyDescent="0.35">
      <c r="A1694" s="2">
        <f ca="1">IFERROR(__xludf.DUMMYFUNCTION("""COMPUTED_VALUE"""),44461.6666666666)</f>
        <v>44461.666666666599</v>
      </c>
      <c r="B1694" s="1">
        <f ca="1">IFERROR(__xludf.DUMMYFUNCTION("""COMPUTED_VALUE"""),296.73)</f>
        <v>296.73</v>
      </c>
      <c r="C1694" s="1">
        <f ca="1">IFERROR(__xludf.DUMMYFUNCTION("""COMPUTED_VALUE"""),300.22)</f>
        <v>300.22000000000003</v>
      </c>
      <c r="D1694" s="1">
        <f ca="1">IFERROR(__xludf.DUMMYFUNCTION("""COMPUTED_VALUE"""),294.51)</f>
        <v>294.51</v>
      </c>
      <c r="E1694" s="1">
        <f ca="1">IFERROR(__xludf.DUMMYFUNCTION("""COMPUTED_VALUE"""),298.58)</f>
        <v>298.58</v>
      </c>
      <c r="F1694" s="1">
        <f ca="1">IFERROR(__xludf.DUMMYFUNCTION("""COMPUTED_VALUE"""),26626342)</f>
        <v>26626342</v>
      </c>
    </row>
    <row r="1695" spans="1:6" x14ac:dyDescent="0.35">
      <c r="A1695" s="2">
        <f ca="1">IFERROR(__xludf.DUMMYFUNCTION("""COMPUTED_VALUE"""),44462.6666666666)</f>
        <v>44462.666666666599</v>
      </c>
      <c r="B1695" s="1">
        <f ca="1">IFERROR(__xludf.DUMMYFUNCTION("""COMPUTED_VALUE"""),298.85)</f>
        <v>298.85000000000002</v>
      </c>
      <c r="C1695" s="1">
        <f ca="1">IFERROR(__xludf.DUMMYFUNCTION("""COMPUTED_VALUE"""),300.9)</f>
        <v>300.89999999999998</v>
      </c>
      <c r="D1695" s="1">
        <f ca="1">IFERROR(__xludf.DUMMYFUNCTION("""COMPUTED_VALUE"""),297.53)</f>
        <v>297.52999999999997</v>
      </c>
      <c r="E1695" s="1">
        <f ca="1">IFERROR(__xludf.DUMMYFUNCTION("""COMPUTED_VALUE"""),299.56)</f>
        <v>299.56</v>
      </c>
      <c r="F1695" s="1">
        <f ca="1">IFERROR(__xludf.DUMMYFUNCTION("""COMPUTED_VALUE"""),18604601)</f>
        <v>18604601</v>
      </c>
    </row>
    <row r="1696" spans="1:6" x14ac:dyDescent="0.35">
      <c r="A1696" s="2">
        <f ca="1">IFERROR(__xludf.DUMMYFUNCTION("""COMPUTED_VALUE"""),44463.6666666666)</f>
        <v>44463.666666666599</v>
      </c>
      <c r="B1696" s="1">
        <f ca="1">IFERROR(__xludf.DUMMYFUNCTION("""COMPUTED_VALUE"""),298.23)</f>
        <v>298.23</v>
      </c>
      <c r="C1696" s="1">
        <f ca="1">IFERROR(__xludf.DUMMYFUNCTION("""COMPUTED_VALUE"""),299.8)</f>
        <v>299.8</v>
      </c>
      <c r="D1696" s="1">
        <f ca="1">IFERROR(__xludf.DUMMYFUNCTION("""COMPUTED_VALUE"""),296.93)</f>
        <v>296.93</v>
      </c>
      <c r="E1696" s="1">
        <f ca="1">IFERROR(__xludf.DUMMYFUNCTION("""COMPUTED_VALUE"""),299.35)</f>
        <v>299.35000000000002</v>
      </c>
      <c r="F1696" s="1">
        <f ca="1">IFERROR(__xludf.DUMMYFUNCTION("""COMPUTED_VALUE"""),14998978)</f>
        <v>14998978</v>
      </c>
    </row>
    <row r="1697" spans="1:6" x14ac:dyDescent="0.35">
      <c r="A1697" s="2">
        <f ca="1">IFERROR(__xludf.DUMMYFUNCTION("""COMPUTED_VALUE"""),44466.6666666666)</f>
        <v>44466.666666666599</v>
      </c>
      <c r="B1697" s="1">
        <f ca="1">IFERROR(__xludf.DUMMYFUNCTION("""COMPUTED_VALUE"""),296.14)</f>
        <v>296.14</v>
      </c>
      <c r="C1697" s="1">
        <f ca="1">IFERROR(__xludf.DUMMYFUNCTION("""COMPUTED_VALUE"""),296.47)</f>
        <v>296.47000000000003</v>
      </c>
      <c r="D1697" s="1">
        <f ca="1">IFERROR(__xludf.DUMMYFUNCTION("""COMPUTED_VALUE"""),292.94)</f>
        <v>292.94</v>
      </c>
      <c r="E1697" s="1">
        <f ca="1">IFERROR(__xludf.DUMMYFUNCTION("""COMPUTED_VALUE"""),294.17)</f>
        <v>294.17</v>
      </c>
      <c r="F1697" s="1">
        <f ca="1">IFERROR(__xludf.DUMMYFUNCTION("""COMPUTED_VALUE"""),23571742)</f>
        <v>23571742</v>
      </c>
    </row>
    <row r="1698" spans="1:6" x14ac:dyDescent="0.35">
      <c r="A1698" s="2">
        <f ca="1">IFERROR(__xludf.DUMMYFUNCTION("""COMPUTED_VALUE"""),44467.6666666666)</f>
        <v>44467.666666666599</v>
      </c>
      <c r="B1698" s="1">
        <f ca="1">IFERROR(__xludf.DUMMYFUNCTION("""COMPUTED_VALUE"""),289.8)</f>
        <v>289.8</v>
      </c>
      <c r="C1698" s="1">
        <f ca="1">IFERROR(__xludf.DUMMYFUNCTION("""COMPUTED_VALUE"""),290.78)</f>
        <v>290.77999999999997</v>
      </c>
      <c r="D1698" s="1">
        <f ca="1">IFERROR(__xludf.DUMMYFUNCTION("""COMPUTED_VALUE"""),282.75)</f>
        <v>282.75</v>
      </c>
      <c r="E1698" s="1">
        <f ca="1">IFERROR(__xludf.DUMMYFUNCTION("""COMPUTED_VALUE"""),283.52)</f>
        <v>283.52</v>
      </c>
      <c r="F1698" s="1">
        <f ca="1">IFERROR(__xludf.DUMMYFUNCTION("""COMPUTED_VALUE"""),43186237)</f>
        <v>43186237</v>
      </c>
    </row>
    <row r="1699" spans="1:6" x14ac:dyDescent="0.35">
      <c r="A1699" s="2">
        <f ca="1">IFERROR(__xludf.DUMMYFUNCTION("""COMPUTED_VALUE"""),44468.6666666666)</f>
        <v>44468.666666666599</v>
      </c>
      <c r="B1699" s="1">
        <f ca="1">IFERROR(__xludf.DUMMYFUNCTION("""COMPUTED_VALUE"""),285.1)</f>
        <v>285.10000000000002</v>
      </c>
      <c r="C1699" s="1">
        <f ca="1">IFERROR(__xludf.DUMMYFUNCTION("""COMPUTED_VALUE"""),286.77)</f>
        <v>286.77</v>
      </c>
      <c r="D1699" s="1">
        <f ca="1">IFERROR(__xludf.DUMMYFUNCTION("""COMPUTED_VALUE"""),283.01)</f>
        <v>283.01</v>
      </c>
      <c r="E1699" s="1">
        <f ca="1">IFERROR(__xludf.DUMMYFUNCTION("""COMPUTED_VALUE"""),284)</f>
        <v>284</v>
      </c>
      <c r="F1699" s="1">
        <f ca="1">IFERROR(__xludf.DUMMYFUNCTION("""COMPUTED_VALUE"""),26353696)</f>
        <v>26353696</v>
      </c>
    </row>
    <row r="1700" spans="1:6" x14ac:dyDescent="0.35">
      <c r="A1700" s="2">
        <f ca="1">IFERROR(__xludf.DUMMYFUNCTION("""COMPUTED_VALUE"""),44469.6666666666)</f>
        <v>44469.666666666599</v>
      </c>
      <c r="B1700" s="1">
        <f ca="1">IFERROR(__xludf.DUMMYFUNCTION("""COMPUTED_VALUE"""),285.71)</f>
        <v>285.70999999999998</v>
      </c>
      <c r="C1700" s="1">
        <f ca="1">IFERROR(__xludf.DUMMYFUNCTION("""COMPUTED_VALUE"""),287.83)</f>
        <v>287.83</v>
      </c>
      <c r="D1700" s="1">
        <f ca="1">IFERROR(__xludf.DUMMYFUNCTION("""COMPUTED_VALUE"""),281.62)</f>
        <v>281.62</v>
      </c>
      <c r="E1700" s="1">
        <f ca="1">IFERROR(__xludf.DUMMYFUNCTION("""COMPUTED_VALUE"""),281.92)</f>
        <v>281.92</v>
      </c>
      <c r="F1700" s="1">
        <f ca="1">IFERROR(__xludf.DUMMYFUNCTION("""COMPUTED_VALUE"""),32343635)</f>
        <v>32343635</v>
      </c>
    </row>
    <row r="1701" spans="1:6" x14ac:dyDescent="0.35">
      <c r="A1701" s="2">
        <f ca="1">IFERROR(__xludf.DUMMYFUNCTION("""COMPUTED_VALUE"""),44470.6666666666)</f>
        <v>44470.666666666599</v>
      </c>
      <c r="B1701" s="1">
        <f ca="1">IFERROR(__xludf.DUMMYFUNCTION("""COMPUTED_VALUE"""),282.12)</f>
        <v>282.12</v>
      </c>
      <c r="C1701" s="1">
        <f ca="1">IFERROR(__xludf.DUMMYFUNCTION("""COMPUTED_VALUE"""),289.98)</f>
        <v>289.98</v>
      </c>
      <c r="D1701" s="1">
        <f ca="1">IFERROR(__xludf.DUMMYFUNCTION("""COMPUTED_VALUE"""),281.29)</f>
        <v>281.29000000000002</v>
      </c>
      <c r="E1701" s="1">
        <f ca="1">IFERROR(__xludf.DUMMYFUNCTION("""COMPUTED_VALUE"""),289.1)</f>
        <v>289.10000000000002</v>
      </c>
      <c r="F1701" s="1">
        <f ca="1">IFERROR(__xludf.DUMMYFUNCTION("""COMPUTED_VALUE"""),30086280)</f>
        <v>30086280</v>
      </c>
    </row>
    <row r="1702" spans="1:6" x14ac:dyDescent="0.35">
      <c r="A1702" s="2">
        <f ca="1">IFERROR(__xludf.DUMMYFUNCTION("""COMPUTED_VALUE"""),44473.6666666666)</f>
        <v>44473.666666666599</v>
      </c>
      <c r="B1702" s="1">
        <f ca="1">IFERROR(__xludf.DUMMYFUNCTION("""COMPUTED_VALUE"""),287.4)</f>
        <v>287.39999999999998</v>
      </c>
      <c r="C1702" s="1">
        <f ca="1">IFERROR(__xludf.DUMMYFUNCTION("""COMPUTED_VALUE"""),287.75)</f>
        <v>287.75</v>
      </c>
      <c r="D1702" s="1">
        <f ca="1">IFERROR(__xludf.DUMMYFUNCTION("""COMPUTED_VALUE"""),280.25)</f>
        <v>280.25</v>
      </c>
      <c r="E1702" s="1">
        <f ca="1">IFERROR(__xludf.DUMMYFUNCTION("""COMPUTED_VALUE"""),283.11)</f>
        <v>283.11</v>
      </c>
      <c r="F1702" s="1">
        <f ca="1">IFERROR(__xludf.DUMMYFUNCTION("""COMPUTED_VALUE"""),31350747)</f>
        <v>31350747</v>
      </c>
    </row>
    <row r="1703" spans="1:6" x14ac:dyDescent="0.35">
      <c r="A1703" s="2">
        <f ca="1">IFERROR(__xludf.DUMMYFUNCTION("""COMPUTED_VALUE"""),44474.6666666666)</f>
        <v>44474.666666666599</v>
      </c>
      <c r="B1703" s="1">
        <f ca="1">IFERROR(__xludf.DUMMYFUNCTION("""COMPUTED_VALUE"""),284.05)</f>
        <v>284.05</v>
      </c>
      <c r="C1703" s="1">
        <f ca="1">IFERROR(__xludf.DUMMYFUNCTION("""COMPUTED_VALUE"""),290.4)</f>
        <v>290.39999999999998</v>
      </c>
      <c r="D1703" s="1">
        <f ca="1">IFERROR(__xludf.DUMMYFUNCTION("""COMPUTED_VALUE"""),284.05)</f>
        <v>284.05</v>
      </c>
      <c r="E1703" s="1">
        <f ca="1">IFERROR(__xludf.DUMMYFUNCTION("""COMPUTED_VALUE"""),288.76)</f>
        <v>288.76</v>
      </c>
      <c r="F1703" s="1">
        <f ca="1">IFERROR(__xludf.DUMMYFUNCTION("""COMPUTED_VALUE"""),24993024)</f>
        <v>24993024</v>
      </c>
    </row>
    <row r="1704" spans="1:6" x14ac:dyDescent="0.35">
      <c r="A1704" s="2">
        <f ca="1">IFERROR(__xludf.DUMMYFUNCTION("""COMPUTED_VALUE"""),44475.6666666666)</f>
        <v>44475.666666666599</v>
      </c>
      <c r="B1704" s="1">
        <f ca="1">IFERROR(__xludf.DUMMYFUNCTION("""COMPUTED_VALUE"""),285.78)</f>
        <v>285.77999999999997</v>
      </c>
      <c r="C1704" s="1">
        <f ca="1">IFERROR(__xludf.DUMMYFUNCTION("""COMPUTED_VALUE"""),293.63)</f>
        <v>293.63</v>
      </c>
      <c r="D1704" s="1">
        <f ca="1">IFERROR(__xludf.DUMMYFUNCTION("""COMPUTED_VALUE"""),285.51)</f>
        <v>285.51</v>
      </c>
      <c r="E1704" s="1">
        <f ca="1">IFERROR(__xludf.DUMMYFUNCTION("""COMPUTED_VALUE"""),293.11)</f>
        <v>293.11</v>
      </c>
      <c r="F1704" s="1">
        <f ca="1">IFERROR(__xludf.DUMMYFUNCTION("""COMPUTED_VALUE"""),28002559)</f>
        <v>28002559</v>
      </c>
    </row>
    <row r="1705" spans="1:6" x14ac:dyDescent="0.35">
      <c r="A1705" s="2">
        <f ca="1">IFERROR(__xludf.DUMMYFUNCTION("""COMPUTED_VALUE"""),44476.6666666666)</f>
        <v>44476.666666666599</v>
      </c>
      <c r="B1705" s="1">
        <f ca="1">IFERROR(__xludf.DUMMYFUNCTION("""COMPUTED_VALUE"""),295.18)</f>
        <v>295.18</v>
      </c>
      <c r="C1705" s="1">
        <f ca="1">IFERROR(__xludf.DUMMYFUNCTION("""COMPUTED_VALUE"""),296.64)</f>
        <v>296.64</v>
      </c>
      <c r="D1705" s="1">
        <f ca="1">IFERROR(__xludf.DUMMYFUNCTION("""COMPUTED_VALUE"""),293.92)</f>
        <v>293.92</v>
      </c>
      <c r="E1705" s="1">
        <f ca="1">IFERROR(__xludf.DUMMYFUNCTION("""COMPUTED_VALUE"""),294.85)</f>
        <v>294.85000000000002</v>
      </c>
      <c r="F1705" s="1">
        <f ca="1">IFERROR(__xludf.DUMMYFUNCTION("""COMPUTED_VALUE"""),20430471)</f>
        <v>20430471</v>
      </c>
    </row>
    <row r="1706" spans="1:6" x14ac:dyDescent="0.35">
      <c r="A1706" s="2">
        <f ca="1">IFERROR(__xludf.DUMMYFUNCTION("""COMPUTED_VALUE"""),44477.6666666666)</f>
        <v>44477.666666666599</v>
      </c>
      <c r="B1706" s="1">
        <f ca="1">IFERROR(__xludf.DUMMYFUNCTION("""COMPUTED_VALUE"""),296.22)</f>
        <v>296.22000000000003</v>
      </c>
      <c r="C1706" s="1">
        <f ca="1">IFERROR(__xludf.DUMMYFUNCTION("""COMPUTED_VALUE"""),296.64)</f>
        <v>296.64</v>
      </c>
      <c r="D1706" s="1">
        <f ca="1">IFERROR(__xludf.DUMMYFUNCTION("""COMPUTED_VALUE"""),293.76)</f>
        <v>293.76</v>
      </c>
      <c r="E1706" s="1">
        <f ca="1">IFERROR(__xludf.DUMMYFUNCTION("""COMPUTED_VALUE"""),294.85)</f>
        <v>294.85000000000002</v>
      </c>
      <c r="F1706" s="1">
        <f ca="1">IFERROR(__xludf.DUMMYFUNCTION("""COMPUTED_VALUE"""),17685700)</f>
        <v>17685700</v>
      </c>
    </row>
    <row r="1707" spans="1:6" x14ac:dyDescent="0.35">
      <c r="A1707" s="2">
        <f ca="1">IFERROR(__xludf.DUMMYFUNCTION("""COMPUTED_VALUE"""),44480.6666666666)</f>
        <v>44480.666666666599</v>
      </c>
      <c r="B1707" s="1">
        <f ca="1">IFERROR(__xludf.DUMMYFUNCTION("""COMPUTED_VALUE"""),292.92)</f>
        <v>292.92</v>
      </c>
      <c r="C1707" s="1">
        <f ca="1">IFERROR(__xludf.DUMMYFUNCTION("""COMPUTED_VALUE"""),297.97)</f>
        <v>297.97000000000003</v>
      </c>
      <c r="D1707" s="1">
        <f ca="1">IFERROR(__xludf.DUMMYFUNCTION("""COMPUTED_VALUE"""),292.75)</f>
        <v>292.75</v>
      </c>
      <c r="E1707" s="1">
        <f ca="1">IFERROR(__xludf.DUMMYFUNCTION("""COMPUTED_VALUE"""),294.23)</f>
        <v>294.23</v>
      </c>
      <c r="F1707" s="1">
        <f ca="1">IFERROR(__xludf.DUMMYFUNCTION("""COMPUTED_VALUE"""),19298634)</f>
        <v>19298634</v>
      </c>
    </row>
    <row r="1708" spans="1:6" x14ac:dyDescent="0.35">
      <c r="A1708" s="2">
        <f ca="1">IFERROR(__xludf.DUMMYFUNCTION("""COMPUTED_VALUE"""),44481.6666666666)</f>
        <v>44481.666666666599</v>
      </c>
      <c r="B1708" s="1">
        <f ca="1">IFERROR(__xludf.DUMMYFUNCTION("""COMPUTED_VALUE"""),295.34)</f>
        <v>295.33999999999997</v>
      </c>
      <c r="C1708" s="1">
        <f ca="1">IFERROR(__xludf.DUMMYFUNCTION("""COMPUTED_VALUE"""),295.44)</f>
        <v>295.44</v>
      </c>
      <c r="D1708" s="1">
        <f ca="1">IFERROR(__xludf.DUMMYFUNCTION("""COMPUTED_VALUE"""),292.35)</f>
        <v>292.35000000000002</v>
      </c>
      <c r="E1708" s="1">
        <f ca="1">IFERROR(__xludf.DUMMYFUNCTION("""COMPUTED_VALUE"""),292.88)</f>
        <v>292.88</v>
      </c>
      <c r="F1708" s="1">
        <f ca="1">IFERROR(__xludf.DUMMYFUNCTION("""COMPUTED_VALUE"""),17974143)</f>
        <v>17974143</v>
      </c>
    </row>
    <row r="1709" spans="1:6" x14ac:dyDescent="0.35">
      <c r="A1709" s="2">
        <f ca="1">IFERROR(__xludf.DUMMYFUNCTION("""COMPUTED_VALUE"""),44482.6666666666)</f>
        <v>44482.666666666599</v>
      </c>
      <c r="B1709" s="1">
        <f ca="1">IFERROR(__xludf.DUMMYFUNCTION("""COMPUTED_VALUE"""),294.91)</f>
        <v>294.91000000000003</v>
      </c>
      <c r="C1709" s="1">
        <f ca="1">IFERROR(__xludf.DUMMYFUNCTION("""COMPUTED_VALUE"""),297.28)</f>
        <v>297.27999999999997</v>
      </c>
      <c r="D1709" s="1">
        <f ca="1">IFERROR(__xludf.DUMMYFUNCTION("""COMPUTED_VALUE"""),293.49)</f>
        <v>293.49</v>
      </c>
      <c r="E1709" s="1">
        <f ca="1">IFERROR(__xludf.DUMMYFUNCTION("""COMPUTED_VALUE"""),296.31)</f>
        <v>296.31</v>
      </c>
      <c r="F1709" s="1">
        <f ca="1">IFERROR(__xludf.DUMMYFUNCTION("""COMPUTED_VALUE"""),23424025)</f>
        <v>23424025</v>
      </c>
    </row>
    <row r="1710" spans="1:6" x14ac:dyDescent="0.35">
      <c r="A1710" s="2">
        <f ca="1">IFERROR(__xludf.DUMMYFUNCTION("""COMPUTED_VALUE"""),44483.6666666666)</f>
        <v>44483.666666666599</v>
      </c>
      <c r="B1710" s="1">
        <f ca="1">IFERROR(__xludf.DUMMYFUNCTION("""COMPUTED_VALUE"""),299.21)</f>
        <v>299.20999999999998</v>
      </c>
      <c r="C1710" s="1">
        <f ca="1">IFERROR(__xludf.DUMMYFUNCTION("""COMPUTED_VALUE"""),303.27)</f>
        <v>303.27</v>
      </c>
      <c r="D1710" s="1">
        <f ca="1">IFERROR(__xludf.DUMMYFUNCTION("""COMPUTED_VALUE"""),297.83)</f>
        <v>297.83</v>
      </c>
      <c r="E1710" s="1">
        <f ca="1">IFERROR(__xludf.DUMMYFUNCTION("""COMPUTED_VALUE"""),302.75)</f>
        <v>302.75</v>
      </c>
      <c r="F1710" s="1">
        <f ca="1">IFERROR(__xludf.DUMMYFUNCTION("""COMPUTED_VALUE"""),27262902)</f>
        <v>27262902</v>
      </c>
    </row>
    <row r="1711" spans="1:6" x14ac:dyDescent="0.35">
      <c r="A1711" s="2">
        <f ca="1">IFERROR(__xludf.DUMMYFUNCTION("""COMPUTED_VALUE"""),44484.6666666666)</f>
        <v>44484.666666666599</v>
      </c>
      <c r="B1711" s="1">
        <f ca="1">IFERROR(__xludf.DUMMYFUNCTION("""COMPUTED_VALUE"""),302.34)</f>
        <v>302.33999999999997</v>
      </c>
      <c r="C1711" s="1">
        <f ca="1">IFERROR(__xludf.DUMMYFUNCTION("""COMPUTED_VALUE"""),304.45)</f>
        <v>304.45</v>
      </c>
      <c r="D1711" s="1">
        <f ca="1">IFERROR(__xludf.DUMMYFUNCTION("""COMPUTED_VALUE"""),300.52)</f>
        <v>300.52</v>
      </c>
      <c r="E1711" s="1">
        <f ca="1">IFERROR(__xludf.DUMMYFUNCTION("""COMPUTED_VALUE"""),304.21)</f>
        <v>304.20999999999998</v>
      </c>
      <c r="F1711" s="1">
        <f ca="1">IFERROR(__xludf.DUMMYFUNCTION("""COMPUTED_VALUE"""),25384803)</f>
        <v>25384803</v>
      </c>
    </row>
    <row r="1712" spans="1:6" x14ac:dyDescent="0.35">
      <c r="A1712" s="2">
        <f ca="1">IFERROR(__xludf.DUMMYFUNCTION("""COMPUTED_VALUE"""),44487.6666666666)</f>
        <v>44487.666666666599</v>
      </c>
      <c r="B1712" s="1">
        <f ca="1">IFERROR(__xludf.DUMMYFUNCTION("""COMPUTED_VALUE"""),303.57)</f>
        <v>303.57</v>
      </c>
      <c r="C1712" s="1">
        <f ca="1">IFERROR(__xludf.DUMMYFUNCTION("""COMPUTED_VALUE"""),308.21)</f>
        <v>308.20999999999998</v>
      </c>
      <c r="D1712" s="1">
        <f ca="1">IFERROR(__xludf.DUMMYFUNCTION("""COMPUTED_VALUE"""),302.69)</f>
        <v>302.69</v>
      </c>
      <c r="E1712" s="1">
        <f ca="1">IFERROR(__xludf.DUMMYFUNCTION("""COMPUTED_VALUE"""),307.29)</f>
        <v>307.29000000000002</v>
      </c>
      <c r="F1712" s="1">
        <f ca="1">IFERROR(__xludf.DUMMYFUNCTION("""COMPUTED_VALUE"""),22729297)</f>
        <v>22729297</v>
      </c>
    </row>
    <row r="1713" spans="1:6" x14ac:dyDescent="0.35">
      <c r="A1713" s="2">
        <f ca="1">IFERROR(__xludf.DUMMYFUNCTION("""COMPUTED_VALUE"""),44488.6666666666)</f>
        <v>44488.666666666599</v>
      </c>
      <c r="B1713" s="1">
        <f ca="1">IFERROR(__xludf.DUMMYFUNCTION("""COMPUTED_VALUE"""),308.35)</f>
        <v>308.35000000000002</v>
      </c>
      <c r="C1713" s="1">
        <f ca="1">IFERROR(__xludf.DUMMYFUNCTION("""COMPUTED_VALUE"""),309.3)</f>
        <v>309.3</v>
      </c>
      <c r="D1713" s="1">
        <f ca="1">IFERROR(__xludf.DUMMYFUNCTION("""COMPUTED_VALUE"""),307.22)</f>
        <v>307.22000000000003</v>
      </c>
      <c r="E1713" s="1">
        <f ca="1">IFERROR(__xludf.DUMMYFUNCTION("""COMPUTED_VALUE"""),308.23)</f>
        <v>308.23</v>
      </c>
      <c r="F1713" s="1">
        <f ca="1">IFERROR(__xludf.DUMMYFUNCTION("""COMPUTED_VALUE"""),17682139)</f>
        <v>17682139</v>
      </c>
    </row>
    <row r="1714" spans="1:6" x14ac:dyDescent="0.35">
      <c r="A1714" s="2">
        <f ca="1">IFERROR(__xludf.DUMMYFUNCTION("""COMPUTED_VALUE"""),44489.6666666666)</f>
        <v>44489.666666666599</v>
      </c>
      <c r="B1714" s="1">
        <f ca="1">IFERROR(__xludf.DUMMYFUNCTION("""COMPUTED_VALUE"""),309.21)</f>
        <v>309.20999999999998</v>
      </c>
      <c r="C1714" s="1">
        <f ca="1">IFERROR(__xludf.DUMMYFUNCTION("""COMPUTED_VALUE"""),309.7)</f>
        <v>309.7</v>
      </c>
      <c r="D1714" s="1">
        <f ca="1">IFERROR(__xludf.DUMMYFUNCTION("""COMPUTED_VALUE"""),306.11)</f>
        <v>306.11</v>
      </c>
      <c r="E1714" s="1">
        <f ca="1">IFERROR(__xludf.DUMMYFUNCTION("""COMPUTED_VALUE"""),307.41)</f>
        <v>307.41000000000003</v>
      </c>
      <c r="F1714" s="1">
        <f ca="1">IFERROR(__xludf.DUMMYFUNCTION("""COMPUTED_VALUE"""),16537069)</f>
        <v>16537069</v>
      </c>
    </row>
    <row r="1715" spans="1:6" x14ac:dyDescent="0.35">
      <c r="A1715" s="2">
        <f ca="1">IFERROR(__xludf.DUMMYFUNCTION("""COMPUTED_VALUE"""),44490.6666666666)</f>
        <v>44490.666666666599</v>
      </c>
      <c r="B1715" s="1">
        <f ca="1">IFERROR(__xludf.DUMMYFUNCTION("""COMPUTED_VALUE"""),307.17)</f>
        <v>307.17</v>
      </c>
      <c r="C1715" s="1">
        <f ca="1">IFERROR(__xludf.DUMMYFUNCTION("""COMPUTED_VALUE"""),311.02)</f>
        <v>311.02</v>
      </c>
      <c r="D1715" s="1">
        <f ca="1">IFERROR(__xludf.DUMMYFUNCTION("""COMPUTED_VALUE"""),306.36)</f>
        <v>306.36</v>
      </c>
      <c r="E1715" s="1">
        <f ca="1">IFERROR(__xludf.DUMMYFUNCTION("""COMPUTED_VALUE"""),310.76)</f>
        <v>310.76</v>
      </c>
      <c r="F1715" s="1">
        <f ca="1">IFERROR(__xludf.DUMMYFUNCTION("""COMPUTED_VALUE"""),16918100)</f>
        <v>16918100</v>
      </c>
    </row>
    <row r="1716" spans="1:6" x14ac:dyDescent="0.35">
      <c r="A1716" s="2">
        <f ca="1">IFERROR(__xludf.DUMMYFUNCTION("""COMPUTED_VALUE"""),44491.6666666666)</f>
        <v>44491.666666666599</v>
      </c>
      <c r="B1716" s="1">
        <f ca="1">IFERROR(__xludf.DUMMYFUNCTION("""COMPUTED_VALUE"""),310.4)</f>
        <v>310.39999999999998</v>
      </c>
      <c r="C1716" s="1">
        <f ca="1">IFERROR(__xludf.DUMMYFUNCTION("""COMPUTED_VALUE"""),311.09)</f>
        <v>311.08999999999997</v>
      </c>
      <c r="D1716" s="1">
        <f ca="1">IFERROR(__xludf.DUMMYFUNCTION("""COMPUTED_VALUE"""),307.8)</f>
        <v>307.8</v>
      </c>
      <c r="E1716" s="1">
        <f ca="1">IFERROR(__xludf.DUMMYFUNCTION("""COMPUTED_VALUE"""),309.16)</f>
        <v>309.16000000000003</v>
      </c>
      <c r="F1716" s="1">
        <f ca="1">IFERROR(__xludf.DUMMYFUNCTION("""COMPUTED_VALUE"""),17449332)</f>
        <v>17449332</v>
      </c>
    </row>
    <row r="1717" spans="1:6" x14ac:dyDescent="0.35">
      <c r="A1717" s="2">
        <f ca="1">IFERROR(__xludf.DUMMYFUNCTION("""COMPUTED_VALUE"""),44494.6666666666)</f>
        <v>44494.666666666599</v>
      </c>
      <c r="B1717" s="1">
        <f ca="1">IFERROR(__xludf.DUMMYFUNCTION("""COMPUTED_VALUE"""),309.36)</f>
        <v>309.36</v>
      </c>
      <c r="C1717" s="1">
        <f ca="1">IFERROR(__xludf.DUMMYFUNCTION("""COMPUTED_VALUE"""),309.4)</f>
        <v>309.39999999999998</v>
      </c>
      <c r="D1717" s="1">
        <f ca="1">IFERROR(__xludf.DUMMYFUNCTION("""COMPUTED_VALUE"""),306.46)</f>
        <v>306.45999999999998</v>
      </c>
      <c r="E1717" s="1">
        <f ca="1">IFERROR(__xludf.DUMMYFUNCTION("""COMPUTED_VALUE"""),308.13)</f>
        <v>308.13</v>
      </c>
      <c r="F1717" s="1">
        <f ca="1">IFERROR(__xludf.DUMMYFUNCTION("""COMPUTED_VALUE"""),17554469)</f>
        <v>17554469</v>
      </c>
    </row>
    <row r="1718" spans="1:6" x14ac:dyDescent="0.35">
      <c r="A1718" s="2">
        <f ca="1">IFERROR(__xludf.DUMMYFUNCTION("""COMPUTED_VALUE"""),44495.6666666666)</f>
        <v>44495.666666666599</v>
      </c>
      <c r="B1718" s="1">
        <f ca="1">IFERROR(__xludf.DUMMYFUNCTION("""COMPUTED_VALUE"""),311)</f>
        <v>311</v>
      </c>
      <c r="C1718" s="1">
        <f ca="1">IFERROR(__xludf.DUMMYFUNCTION("""COMPUTED_VALUE"""),312.4)</f>
        <v>312.39999999999998</v>
      </c>
      <c r="D1718" s="1">
        <f ca="1">IFERROR(__xludf.DUMMYFUNCTION("""COMPUTED_VALUE"""),308.6)</f>
        <v>308.60000000000002</v>
      </c>
      <c r="E1718" s="1">
        <f ca="1">IFERROR(__xludf.DUMMYFUNCTION("""COMPUTED_VALUE"""),310.11)</f>
        <v>310.11</v>
      </c>
      <c r="F1718" s="1">
        <f ca="1">IFERROR(__xludf.DUMMYFUNCTION("""COMPUTED_VALUE"""),28107349)</f>
        <v>28107349</v>
      </c>
    </row>
    <row r="1719" spans="1:6" x14ac:dyDescent="0.35">
      <c r="A1719" s="2">
        <f ca="1">IFERROR(__xludf.DUMMYFUNCTION("""COMPUTED_VALUE"""),44496.6666666666)</f>
        <v>44496.666666666599</v>
      </c>
      <c r="B1719" s="1">
        <f ca="1">IFERROR(__xludf.DUMMYFUNCTION("""COMPUTED_VALUE"""),316)</f>
        <v>316</v>
      </c>
      <c r="C1719" s="1">
        <f ca="1">IFERROR(__xludf.DUMMYFUNCTION("""COMPUTED_VALUE"""),326.1)</f>
        <v>326.10000000000002</v>
      </c>
      <c r="D1719" s="1">
        <f ca="1">IFERROR(__xludf.DUMMYFUNCTION("""COMPUTED_VALUE"""),316)</f>
        <v>316</v>
      </c>
      <c r="E1719" s="1">
        <f ca="1">IFERROR(__xludf.DUMMYFUNCTION("""COMPUTED_VALUE"""),323.17)</f>
        <v>323.17</v>
      </c>
      <c r="F1719" s="1">
        <f ca="1">IFERROR(__xludf.DUMMYFUNCTION("""COMPUTED_VALUE"""),52588690)</f>
        <v>52588690</v>
      </c>
    </row>
    <row r="1720" spans="1:6" x14ac:dyDescent="0.35">
      <c r="A1720" s="2">
        <f ca="1">IFERROR(__xludf.DUMMYFUNCTION("""COMPUTED_VALUE"""),44497.6666666666)</f>
        <v>44497.666666666599</v>
      </c>
      <c r="B1720" s="1">
        <f ca="1">IFERROR(__xludf.DUMMYFUNCTION("""COMPUTED_VALUE"""),324.33)</f>
        <v>324.33</v>
      </c>
      <c r="C1720" s="1">
        <f ca="1">IFERROR(__xludf.DUMMYFUNCTION("""COMPUTED_VALUE"""),324.87)</f>
        <v>324.87</v>
      </c>
      <c r="D1720" s="1">
        <f ca="1">IFERROR(__xludf.DUMMYFUNCTION("""COMPUTED_VALUE"""),321.36)</f>
        <v>321.36</v>
      </c>
      <c r="E1720" s="1">
        <f ca="1">IFERROR(__xludf.DUMMYFUNCTION("""COMPUTED_VALUE"""),324.35)</f>
        <v>324.35000000000002</v>
      </c>
      <c r="F1720" s="1">
        <f ca="1">IFERROR(__xludf.DUMMYFUNCTION("""COMPUTED_VALUE"""),26297943)</f>
        <v>26297943</v>
      </c>
    </row>
    <row r="1721" spans="1:6" x14ac:dyDescent="0.35">
      <c r="A1721" s="2">
        <f ca="1">IFERROR(__xludf.DUMMYFUNCTION("""COMPUTED_VALUE"""),44498.6666666666)</f>
        <v>44498.666666666599</v>
      </c>
      <c r="B1721" s="1">
        <f ca="1">IFERROR(__xludf.DUMMYFUNCTION("""COMPUTED_VALUE"""),324.13)</f>
        <v>324.13</v>
      </c>
      <c r="C1721" s="1">
        <f ca="1">IFERROR(__xludf.DUMMYFUNCTION("""COMPUTED_VALUE"""),332)</f>
        <v>332</v>
      </c>
      <c r="D1721" s="1">
        <f ca="1">IFERROR(__xludf.DUMMYFUNCTION("""COMPUTED_VALUE"""),323.9)</f>
        <v>323.89999999999998</v>
      </c>
      <c r="E1721" s="1">
        <f ca="1">IFERROR(__xludf.DUMMYFUNCTION("""COMPUTED_VALUE"""),331.62)</f>
        <v>331.62</v>
      </c>
      <c r="F1721" s="1">
        <f ca="1">IFERROR(__xludf.DUMMYFUNCTION("""COMPUTED_VALUE"""),34765982)</f>
        <v>34765982</v>
      </c>
    </row>
    <row r="1722" spans="1:6" x14ac:dyDescent="0.35">
      <c r="A1722" s="2">
        <f ca="1">IFERROR(__xludf.DUMMYFUNCTION("""COMPUTED_VALUE"""),44501.6666666666)</f>
        <v>44501.666666666599</v>
      </c>
      <c r="B1722" s="1">
        <f ca="1">IFERROR(__xludf.DUMMYFUNCTION("""COMPUTED_VALUE"""),331.36)</f>
        <v>331.36</v>
      </c>
      <c r="C1722" s="1">
        <f ca="1">IFERROR(__xludf.DUMMYFUNCTION("""COMPUTED_VALUE"""),331.49)</f>
        <v>331.49</v>
      </c>
      <c r="D1722" s="1">
        <f ca="1">IFERROR(__xludf.DUMMYFUNCTION("""COMPUTED_VALUE"""),326.37)</f>
        <v>326.37</v>
      </c>
      <c r="E1722" s="1">
        <f ca="1">IFERROR(__xludf.DUMMYFUNCTION("""COMPUTED_VALUE"""),329.37)</f>
        <v>329.37</v>
      </c>
      <c r="F1722" s="1">
        <f ca="1">IFERROR(__xludf.DUMMYFUNCTION("""COMPUTED_VALUE"""),27073182)</f>
        <v>27073182</v>
      </c>
    </row>
    <row r="1723" spans="1:6" x14ac:dyDescent="0.35">
      <c r="A1723" s="2">
        <f ca="1">IFERROR(__xludf.DUMMYFUNCTION("""COMPUTED_VALUE"""),44502.6666666666)</f>
        <v>44502.666666666599</v>
      </c>
      <c r="B1723" s="1">
        <f ca="1">IFERROR(__xludf.DUMMYFUNCTION("""COMPUTED_VALUE"""),330.31)</f>
        <v>330.31</v>
      </c>
      <c r="C1723" s="1">
        <f ca="1">IFERROR(__xludf.DUMMYFUNCTION("""COMPUTED_VALUE"""),333.45)</f>
        <v>333.45</v>
      </c>
      <c r="D1723" s="1">
        <f ca="1">IFERROR(__xludf.DUMMYFUNCTION("""COMPUTED_VALUE"""),330)</f>
        <v>330</v>
      </c>
      <c r="E1723" s="1">
        <f ca="1">IFERROR(__xludf.DUMMYFUNCTION("""COMPUTED_VALUE"""),333.13)</f>
        <v>333.13</v>
      </c>
      <c r="F1723" s="1">
        <f ca="1">IFERROR(__xludf.DUMMYFUNCTION("""COMPUTED_VALUE"""),26487109)</f>
        <v>26487109</v>
      </c>
    </row>
    <row r="1724" spans="1:6" x14ac:dyDescent="0.35">
      <c r="A1724" s="2">
        <f ca="1">IFERROR(__xludf.DUMMYFUNCTION("""COMPUTED_VALUE"""),44503.6666666666)</f>
        <v>44503.666666666599</v>
      </c>
      <c r="B1724" s="1">
        <f ca="1">IFERROR(__xludf.DUMMYFUNCTION("""COMPUTED_VALUE"""),333.9)</f>
        <v>333.9</v>
      </c>
      <c r="C1724" s="1">
        <f ca="1">IFERROR(__xludf.DUMMYFUNCTION("""COMPUTED_VALUE"""),334.9)</f>
        <v>334.9</v>
      </c>
      <c r="D1724" s="1">
        <f ca="1">IFERROR(__xludf.DUMMYFUNCTION("""COMPUTED_VALUE"""),330.65)</f>
        <v>330.65</v>
      </c>
      <c r="E1724" s="1">
        <f ca="1">IFERROR(__xludf.DUMMYFUNCTION("""COMPUTED_VALUE"""),334)</f>
        <v>334</v>
      </c>
      <c r="F1724" s="1">
        <f ca="1">IFERROR(__xludf.DUMMYFUNCTION("""COMPUTED_VALUE"""),21500082)</f>
        <v>21500082</v>
      </c>
    </row>
    <row r="1725" spans="1:6" x14ac:dyDescent="0.35">
      <c r="A1725" s="2">
        <f ca="1">IFERROR(__xludf.DUMMYFUNCTION("""COMPUTED_VALUE"""),44504.6666666666)</f>
        <v>44504.666666666599</v>
      </c>
      <c r="B1725" s="1">
        <f ca="1">IFERROR(__xludf.DUMMYFUNCTION("""COMPUTED_VALUE"""),332.89)</f>
        <v>332.89</v>
      </c>
      <c r="C1725" s="1">
        <f ca="1">IFERROR(__xludf.DUMMYFUNCTION("""COMPUTED_VALUE"""),336.54)</f>
        <v>336.54</v>
      </c>
      <c r="D1725" s="1">
        <f ca="1">IFERROR(__xludf.DUMMYFUNCTION("""COMPUTED_VALUE"""),329.51)</f>
        <v>329.51</v>
      </c>
      <c r="E1725" s="1">
        <f ca="1">IFERROR(__xludf.DUMMYFUNCTION("""COMPUTED_VALUE"""),336.44)</f>
        <v>336.44</v>
      </c>
      <c r="F1725" s="1">
        <f ca="1">IFERROR(__xludf.DUMMYFUNCTION("""COMPUTED_VALUE"""),23992202)</f>
        <v>23992202</v>
      </c>
    </row>
    <row r="1726" spans="1:6" x14ac:dyDescent="0.35">
      <c r="A1726" s="2">
        <f ca="1">IFERROR(__xludf.DUMMYFUNCTION("""COMPUTED_VALUE"""),44505.6666666666)</f>
        <v>44505.666666666599</v>
      </c>
      <c r="B1726" s="1">
        <f ca="1">IFERROR(__xludf.DUMMYFUNCTION("""COMPUTED_VALUE"""),338.51)</f>
        <v>338.51</v>
      </c>
      <c r="C1726" s="1">
        <f ca="1">IFERROR(__xludf.DUMMYFUNCTION("""COMPUTED_VALUE"""),338.79)</f>
        <v>338.79</v>
      </c>
      <c r="D1726" s="1">
        <f ca="1">IFERROR(__xludf.DUMMYFUNCTION("""COMPUTED_VALUE"""),334.42)</f>
        <v>334.42</v>
      </c>
      <c r="E1726" s="1">
        <f ca="1">IFERROR(__xludf.DUMMYFUNCTION("""COMPUTED_VALUE"""),336.06)</f>
        <v>336.06</v>
      </c>
      <c r="F1726" s="1">
        <f ca="1">IFERROR(__xludf.DUMMYFUNCTION("""COMPUTED_VALUE"""),22570098)</f>
        <v>22570098</v>
      </c>
    </row>
    <row r="1727" spans="1:6" x14ac:dyDescent="0.35">
      <c r="A1727" s="2">
        <f ca="1">IFERROR(__xludf.DUMMYFUNCTION("""COMPUTED_VALUE"""),44508.6666666666)</f>
        <v>44508.666666666599</v>
      </c>
      <c r="B1727" s="1">
        <f ca="1">IFERROR(__xludf.DUMMYFUNCTION("""COMPUTED_VALUE"""),337.3)</f>
        <v>337.3</v>
      </c>
      <c r="C1727" s="1">
        <f ca="1">IFERROR(__xludf.DUMMYFUNCTION("""COMPUTED_VALUE"""),337.65)</f>
        <v>337.65</v>
      </c>
      <c r="D1727" s="1">
        <f ca="1">IFERROR(__xludf.DUMMYFUNCTION("""COMPUTED_VALUE"""),334.44)</f>
        <v>334.44</v>
      </c>
      <c r="E1727" s="1">
        <f ca="1">IFERROR(__xludf.DUMMYFUNCTION("""COMPUTED_VALUE"""),336.99)</f>
        <v>336.99</v>
      </c>
      <c r="F1727" s="1">
        <f ca="1">IFERROR(__xludf.DUMMYFUNCTION("""COMPUTED_VALUE"""),20897001)</f>
        <v>20897001</v>
      </c>
    </row>
    <row r="1728" spans="1:6" x14ac:dyDescent="0.35">
      <c r="A1728" s="2">
        <f ca="1">IFERROR(__xludf.DUMMYFUNCTION("""COMPUTED_VALUE"""),44509.6666666666)</f>
        <v>44509.666666666599</v>
      </c>
      <c r="B1728" s="1">
        <f ca="1">IFERROR(__xludf.DUMMYFUNCTION("""COMPUTED_VALUE"""),337.11)</f>
        <v>337.11</v>
      </c>
      <c r="C1728" s="1">
        <f ca="1">IFERROR(__xludf.DUMMYFUNCTION("""COMPUTED_VALUE"""),338.72)</f>
        <v>338.72</v>
      </c>
      <c r="D1728" s="1">
        <f ca="1">IFERROR(__xludf.DUMMYFUNCTION("""COMPUTED_VALUE"""),334.53)</f>
        <v>334.53</v>
      </c>
      <c r="E1728" s="1">
        <f ca="1">IFERROR(__xludf.DUMMYFUNCTION("""COMPUTED_VALUE"""),335.95)</f>
        <v>335.95</v>
      </c>
      <c r="F1728" s="1">
        <f ca="1">IFERROR(__xludf.DUMMYFUNCTION("""COMPUTED_VALUE"""),21307370)</f>
        <v>21307370</v>
      </c>
    </row>
    <row r="1729" spans="1:6" x14ac:dyDescent="0.35">
      <c r="A1729" s="2">
        <f ca="1">IFERROR(__xludf.DUMMYFUNCTION("""COMPUTED_VALUE"""),44510.6666666666)</f>
        <v>44510.666666666599</v>
      </c>
      <c r="B1729" s="1">
        <f ca="1">IFERROR(__xludf.DUMMYFUNCTION("""COMPUTED_VALUE"""),334.57)</f>
        <v>334.57</v>
      </c>
      <c r="C1729" s="1">
        <f ca="1">IFERROR(__xludf.DUMMYFUNCTION("""COMPUTED_VALUE"""),334.63)</f>
        <v>334.63</v>
      </c>
      <c r="D1729" s="1">
        <f ca="1">IFERROR(__xludf.DUMMYFUNCTION("""COMPUTED_VALUE"""),329.92)</f>
        <v>329.92</v>
      </c>
      <c r="E1729" s="1">
        <f ca="1">IFERROR(__xludf.DUMMYFUNCTION("""COMPUTED_VALUE"""),330.8)</f>
        <v>330.8</v>
      </c>
      <c r="F1729" s="1">
        <f ca="1">IFERROR(__xludf.DUMMYFUNCTION("""COMPUTED_VALUE"""),25500938)</f>
        <v>25500938</v>
      </c>
    </row>
    <row r="1730" spans="1:6" x14ac:dyDescent="0.35">
      <c r="A1730" s="2">
        <f ca="1">IFERROR(__xludf.DUMMYFUNCTION("""COMPUTED_VALUE"""),44511.6666666666)</f>
        <v>44511.666666666599</v>
      </c>
      <c r="B1730" s="1">
        <f ca="1">IFERROR(__xludf.DUMMYFUNCTION("""COMPUTED_VALUE"""),331.25)</f>
        <v>331.25</v>
      </c>
      <c r="C1730" s="1">
        <f ca="1">IFERROR(__xludf.DUMMYFUNCTION("""COMPUTED_VALUE"""),333.77)</f>
        <v>333.77</v>
      </c>
      <c r="D1730" s="1">
        <f ca="1">IFERROR(__xludf.DUMMYFUNCTION("""COMPUTED_VALUE"""),330.51)</f>
        <v>330.51</v>
      </c>
      <c r="E1730" s="1">
        <f ca="1">IFERROR(__xludf.DUMMYFUNCTION("""COMPUTED_VALUE"""),332.43)</f>
        <v>332.43</v>
      </c>
      <c r="F1730" s="1">
        <f ca="1">IFERROR(__xludf.DUMMYFUNCTION("""COMPUTED_VALUE"""),16849844)</f>
        <v>16849844</v>
      </c>
    </row>
    <row r="1731" spans="1:6" x14ac:dyDescent="0.35">
      <c r="A1731" s="2">
        <f ca="1">IFERROR(__xludf.DUMMYFUNCTION("""COMPUTED_VALUE"""),44512.6666666666)</f>
        <v>44512.666666666599</v>
      </c>
      <c r="B1731" s="1">
        <f ca="1">IFERROR(__xludf.DUMMYFUNCTION("""COMPUTED_VALUE"""),333.92)</f>
        <v>333.92</v>
      </c>
      <c r="C1731" s="1">
        <f ca="1">IFERROR(__xludf.DUMMYFUNCTION("""COMPUTED_VALUE"""),337.23)</f>
        <v>337.23</v>
      </c>
      <c r="D1731" s="1">
        <f ca="1">IFERROR(__xludf.DUMMYFUNCTION("""COMPUTED_VALUE"""),333.79)</f>
        <v>333.79</v>
      </c>
      <c r="E1731" s="1">
        <f ca="1">IFERROR(__xludf.DUMMYFUNCTION("""COMPUTED_VALUE"""),336.72)</f>
        <v>336.72</v>
      </c>
      <c r="F1731" s="1">
        <f ca="1">IFERROR(__xludf.DUMMYFUNCTION("""COMPUTED_VALUE"""),23831049)</f>
        <v>23831049</v>
      </c>
    </row>
    <row r="1732" spans="1:6" x14ac:dyDescent="0.35">
      <c r="A1732" s="2">
        <f ca="1">IFERROR(__xludf.DUMMYFUNCTION("""COMPUTED_VALUE"""),44515.6666666666)</f>
        <v>44515.666666666599</v>
      </c>
      <c r="B1732" s="1">
        <f ca="1">IFERROR(__xludf.DUMMYFUNCTION("""COMPUTED_VALUE"""),337.54)</f>
        <v>337.54</v>
      </c>
      <c r="C1732" s="1">
        <f ca="1">IFERROR(__xludf.DUMMYFUNCTION("""COMPUTED_VALUE"""),337.88)</f>
        <v>337.88</v>
      </c>
      <c r="D1732" s="1">
        <f ca="1">IFERROR(__xludf.DUMMYFUNCTION("""COMPUTED_VALUE"""),334.03)</f>
        <v>334.03</v>
      </c>
      <c r="E1732" s="1">
        <f ca="1">IFERROR(__xludf.DUMMYFUNCTION("""COMPUTED_VALUE"""),336.07)</f>
        <v>336.07</v>
      </c>
      <c r="F1732" s="1">
        <f ca="1">IFERROR(__xludf.DUMMYFUNCTION("""COMPUTED_VALUE"""),16723009)</f>
        <v>16723009</v>
      </c>
    </row>
    <row r="1733" spans="1:6" x14ac:dyDescent="0.35">
      <c r="A1733" s="2">
        <f ca="1">IFERROR(__xludf.DUMMYFUNCTION("""COMPUTED_VALUE"""),44516.6666666666)</f>
        <v>44516.666666666599</v>
      </c>
      <c r="B1733" s="1">
        <f ca="1">IFERROR(__xludf.DUMMYFUNCTION("""COMPUTED_VALUE"""),335.68)</f>
        <v>335.68</v>
      </c>
      <c r="C1733" s="1">
        <f ca="1">IFERROR(__xludf.DUMMYFUNCTION("""COMPUTED_VALUE"""),340.67)</f>
        <v>340.67</v>
      </c>
      <c r="D1733" s="1">
        <f ca="1">IFERROR(__xludf.DUMMYFUNCTION("""COMPUTED_VALUE"""),335.51)</f>
        <v>335.51</v>
      </c>
      <c r="E1733" s="1">
        <f ca="1">IFERROR(__xludf.DUMMYFUNCTION("""COMPUTED_VALUE"""),339.51)</f>
        <v>339.51</v>
      </c>
      <c r="F1733" s="1">
        <f ca="1">IFERROR(__xludf.DUMMYFUNCTION("""COMPUTED_VALUE"""),20886832)</f>
        <v>20886832</v>
      </c>
    </row>
    <row r="1734" spans="1:6" x14ac:dyDescent="0.35">
      <c r="A1734" s="2">
        <f ca="1">IFERROR(__xludf.DUMMYFUNCTION("""COMPUTED_VALUE"""),44517.6666666666)</f>
        <v>44517.666666666599</v>
      </c>
      <c r="B1734" s="1">
        <f ca="1">IFERROR(__xludf.DUMMYFUNCTION("""COMPUTED_VALUE"""),338.94)</f>
        <v>338.94</v>
      </c>
      <c r="C1734" s="1">
        <f ca="1">IFERROR(__xludf.DUMMYFUNCTION("""COMPUTED_VALUE"""),342.19)</f>
        <v>342.19</v>
      </c>
      <c r="D1734" s="1">
        <f ca="1">IFERROR(__xludf.DUMMYFUNCTION("""COMPUTED_VALUE"""),338)</f>
        <v>338</v>
      </c>
      <c r="E1734" s="1">
        <f ca="1">IFERROR(__xludf.DUMMYFUNCTION("""COMPUTED_VALUE"""),339.12)</f>
        <v>339.12</v>
      </c>
      <c r="F1734" s="1">
        <f ca="1">IFERROR(__xludf.DUMMYFUNCTION("""COMPUTED_VALUE"""),19053380)</f>
        <v>19053380</v>
      </c>
    </row>
    <row r="1735" spans="1:6" x14ac:dyDescent="0.35">
      <c r="A1735" s="2">
        <f ca="1">IFERROR(__xludf.DUMMYFUNCTION("""COMPUTED_VALUE"""),44518.6666666666)</f>
        <v>44518.666666666599</v>
      </c>
      <c r="B1735" s="1">
        <f ca="1">IFERROR(__xludf.DUMMYFUNCTION("""COMPUTED_VALUE"""),338.18)</f>
        <v>338.18</v>
      </c>
      <c r="C1735" s="1">
        <f ca="1">IFERROR(__xludf.DUMMYFUNCTION("""COMPUTED_VALUE"""),342.45)</f>
        <v>342.45</v>
      </c>
      <c r="D1735" s="1">
        <f ca="1">IFERROR(__xludf.DUMMYFUNCTION("""COMPUTED_VALUE"""),337.12)</f>
        <v>337.12</v>
      </c>
      <c r="E1735" s="1">
        <f ca="1">IFERROR(__xludf.DUMMYFUNCTION("""COMPUTED_VALUE"""),341.27)</f>
        <v>341.27</v>
      </c>
      <c r="F1735" s="1">
        <f ca="1">IFERROR(__xludf.DUMMYFUNCTION("""COMPUTED_VALUE"""),22463533)</f>
        <v>22463533</v>
      </c>
    </row>
    <row r="1736" spans="1:6" x14ac:dyDescent="0.35">
      <c r="A1736" s="2">
        <f ca="1">IFERROR(__xludf.DUMMYFUNCTION("""COMPUTED_VALUE"""),44519.6666666666)</f>
        <v>44519.666666666599</v>
      </c>
      <c r="B1736" s="1">
        <f ca="1">IFERROR(__xludf.DUMMYFUNCTION("""COMPUTED_VALUE"""),342.64)</f>
        <v>342.64</v>
      </c>
      <c r="C1736" s="1">
        <f ca="1">IFERROR(__xludf.DUMMYFUNCTION("""COMPUTED_VALUE"""),345.1)</f>
        <v>345.1</v>
      </c>
      <c r="D1736" s="1">
        <f ca="1">IFERROR(__xludf.DUMMYFUNCTION("""COMPUTED_VALUE"""),342.2)</f>
        <v>342.2</v>
      </c>
      <c r="E1736" s="1">
        <f ca="1">IFERROR(__xludf.DUMMYFUNCTION("""COMPUTED_VALUE"""),343.11)</f>
        <v>343.11</v>
      </c>
      <c r="F1736" s="1">
        <f ca="1">IFERROR(__xludf.DUMMYFUNCTION("""COMPUTED_VALUE"""),21963403)</f>
        <v>21963403</v>
      </c>
    </row>
    <row r="1737" spans="1:6" x14ac:dyDescent="0.35">
      <c r="A1737" s="2">
        <f ca="1">IFERROR(__xludf.DUMMYFUNCTION("""COMPUTED_VALUE"""),44522.6666666666)</f>
        <v>44522.666666666599</v>
      </c>
      <c r="B1737" s="1">
        <f ca="1">IFERROR(__xludf.DUMMYFUNCTION("""COMPUTED_VALUE"""),344.62)</f>
        <v>344.62</v>
      </c>
      <c r="C1737" s="1">
        <f ca="1">IFERROR(__xludf.DUMMYFUNCTION("""COMPUTED_VALUE"""),349.67)</f>
        <v>349.67</v>
      </c>
      <c r="D1737" s="1">
        <f ca="1">IFERROR(__xludf.DUMMYFUNCTION("""COMPUTED_VALUE"""),339.55)</f>
        <v>339.55</v>
      </c>
      <c r="E1737" s="1">
        <f ca="1">IFERROR(__xludf.DUMMYFUNCTION("""COMPUTED_VALUE"""),339.83)</f>
        <v>339.83</v>
      </c>
      <c r="F1737" s="1">
        <f ca="1">IFERROR(__xludf.DUMMYFUNCTION("""COMPUTED_VALUE"""),31031113)</f>
        <v>31031113</v>
      </c>
    </row>
    <row r="1738" spans="1:6" x14ac:dyDescent="0.35">
      <c r="A1738" s="2">
        <f ca="1">IFERROR(__xludf.DUMMYFUNCTION("""COMPUTED_VALUE"""),44523.6666666666)</f>
        <v>44523.666666666599</v>
      </c>
      <c r="B1738" s="1">
        <f ca="1">IFERROR(__xludf.DUMMYFUNCTION("""COMPUTED_VALUE"""),337.05)</f>
        <v>337.05</v>
      </c>
      <c r="C1738" s="1">
        <f ca="1">IFERROR(__xludf.DUMMYFUNCTION("""COMPUTED_VALUE"""),339.45)</f>
        <v>339.45</v>
      </c>
      <c r="D1738" s="1">
        <f ca="1">IFERROR(__xludf.DUMMYFUNCTION("""COMPUTED_VALUE"""),333.56)</f>
        <v>333.56</v>
      </c>
      <c r="E1738" s="1">
        <f ca="1">IFERROR(__xludf.DUMMYFUNCTION("""COMPUTED_VALUE"""),337.68)</f>
        <v>337.68</v>
      </c>
      <c r="F1738" s="1">
        <f ca="1">IFERROR(__xludf.DUMMYFUNCTION("""COMPUTED_VALUE"""),30427563)</f>
        <v>30427563</v>
      </c>
    </row>
    <row r="1739" spans="1:6" x14ac:dyDescent="0.35">
      <c r="A1739" s="2">
        <f ca="1">IFERROR(__xludf.DUMMYFUNCTION("""COMPUTED_VALUE"""),44524.6666666666)</f>
        <v>44524.666666666599</v>
      </c>
      <c r="B1739" s="1">
        <f ca="1">IFERROR(__xludf.DUMMYFUNCTION("""COMPUTED_VALUE"""),336.28)</f>
        <v>336.28</v>
      </c>
      <c r="C1739" s="1">
        <f ca="1">IFERROR(__xludf.DUMMYFUNCTION("""COMPUTED_VALUE"""),338.16)</f>
        <v>338.16</v>
      </c>
      <c r="D1739" s="1">
        <f ca="1">IFERROR(__xludf.DUMMYFUNCTION("""COMPUTED_VALUE"""),333.91)</f>
        <v>333.91</v>
      </c>
      <c r="E1739" s="1">
        <f ca="1">IFERROR(__xludf.DUMMYFUNCTION("""COMPUTED_VALUE"""),337.91)</f>
        <v>337.91</v>
      </c>
      <c r="F1739" s="1">
        <f ca="1">IFERROR(__xludf.DUMMYFUNCTION("""COMPUTED_VALUE"""),21661307)</f>
        <v>21661307</v>
      </c>
    </row>
    <row r="1740" spans="1:6" x14ac:dyDescent="0.35">
      <c r="A1740" s="2">
        <f ca="1">IFERROR(__xludf.DUMMYFUNCTION("""COMPUTED_VALUE"""),44526.5416666666)</f>
        <v>44526.541666666599</v>
      </c>
      <c r="B1740" s="1">
        <f ca="1">IFERROR(__xludf.DUMMYFUNCTION("""COMPUTED_VALUE"""),334.35)</f>
        <v>334.35</v>
      </c>
      <c r="C1740" s="1">
        <f ca="1">IFERROR(__xludf.DUMMYFUNCTION("""COMPUTED_VALUE"""),337.93)</f>
        <v>337.93</v>
      </c>
      <c r="D1740" s="1">
        <f ca="1">IFERROR(__xludf.DUMMYFUNCTION("""COMPUTED_VALUE"""),328.12)</f>
        <v>328.12</v>
      </c>
      <c r="E1740" s="1">
        <f ca="1">IFERROR(__xludf.DUMMYFUNCTION("""COMPUTED_VALUE"""),329.68)</f>
        <v>329.68</v>
      </c>
      <c r="F1740" s="1">
        <f ca="1">IFERROR(__xludf.DUMMYFUNCTION("""COMPUTED_VALUE"""),24217242)</f>
        <v>24217242</v>
      </c>
    </row>
    <row r="1741" spans="1:6" x14ac:dyDescent="0.35">
      <c r="A1741" s="2">
        <f ca="1">IFERROR(__xludf.DUMMYFUNCTION("""COMPUTED_VALUE"""),44529.6666666666)</f>
        <v>44529.666666666599</v>
      </c>
      <c r="B1741" s="1">
        <f ca="1">IFERROR(__xludf.DUMMYFUNCTION("""COMPUTED_VALUE"""),334.94)</f>
        <v>334.94</v>
      </c>
      <c r="C1741" s="1">
        <f ca="1">IFERROR(__xludf.DUMMYFUNCTION("""COMPUTED_VALUE"""),339.03)</f>
        <v>339.03</v>
      </c>
      <c r="D1741" s="1">
        <f ca="1">IFERROR(__xludf.DUMMYFUNCTION("""COMPUTED_VALUE"""),334.74)</f>
        <v>334.74</v>
      </c>
      <c r="E1741" s="1">
        <f ca="1">IFERROR(__xludf.DUMMYFUNCTION("""COMPUTED_VALUE"""),336.63)</f>
        <v>336.63</v>
      </c>
      <c r="F1741" s="1">
        <f ca="1">IFERROR(__xludf.DUMMYFUNCTION("""COMPUTED_VALUE"""),28563481)</f>
        <v>28563481</v>
      </c>
    </row>
    <row r="1742" spans="1:6" x14ac:dyDescent="0.35">
      <c r="A1742" s="2">
        <f ca="1">IFERROR(__xludf.DUMMYFUNCTION("""COMPUTED_VALUE"""),44530.6666666666)</f>
        <v>44530.666666666599</v>
      </c>
      <c r="B1742" s="1">
        <f ca="1">IFERROR(__xludf.DUMMYFUNCTION("""COMPUTED_VALUE"""),335.32)</f>
        <v>335.32</v>
      </c>
      <c r="C1742" s="1">
        <f ca="1">IFERROR(__xludf.DUMMYFUNCTION("""COMPUTED_VALUE"""),337.78)</f>
        <v>337.78</v>
      </c>
      <c r="D1742" s="1">
        <f ca="1">IFERROR(__xludf.DUMMYFUNCTION("""COMPUTED_VALUE"""),328.99)</f>
        <v>328.99</v>
      </c>
      <c r="E1742" s="1">
        <f ca="1">IFERROR(__xludf.DUMMYFUNCTION("""COMPUTED_VALUE"""),330.59)</f>
        <v>330.59</v>
      </c>
      <c r="F1742" s="1">
        <f ca="1">IFERROR(__xludf.DUMMYFUNCTION("""COMPUTED_VALUE"""),42885609)</f>
        <v>42885609</v>
      </c>
    </row>
    <row r="1743" spans="1:6" x14ac:dyDescent="0.35">
      <c r="A1743" s="2">
        <f ca="1">IFERROR(__xludf.DUMMYFUNCTION("""COMPUTED_VALUE"""),44531.6666666666)</f>
        <v>44531.666666666599</v>
      </c>
      <c r="B1743" s="1">
        <f ca="1">IFERROR(__xludf.DUMMYFUNCTION("""COMPUTED_VALUE"""),335.13)</f>
        <v>335.13</v>
      </c>
      <c r="C1743" s="1">
        <f ca="1">IFERROR(__xludf.DUMMYFUNCTION("""COMPUTED_VALUE"""),339.28)</f>
        <v>339.28</v>
      </c>
      <c r="D1743" s="1">
        <f ca="1">IFERROR(__xludf.DUMMYFUNCTION("""COMPUTED_VALUE"""),329.39)</f>
        <v>329.39</v>
      </c>
      <c r="E1743" s="1">
        <f ca="1">IFERROR(__xludf.DUMMYFUNCTION("""COMPUTED_VALUE"""),330.08)</f>
        <v>330.08</v>
      </c>
      <c r="F1743" s="1">
        <f ca="1">IFERROR(__xludf.DUMMYFUNCTION("""COMPUTED_VALUE"""),33401146)</f>
        <v>33401146</v>
      </c>
    </row>
    <row r="1744" spans="1:6" x14ac:dyDescent="0.35">
      <c r="A1744" s="2">
        <f ca="1">IFERROR(__xludf.DUMMYFUNCTION("""COMPUTED_VALUE"""),44532.6666666666)</f>
        <v>44532.666666666599</v>
      </c>
      <c r="B1744" s="1">
        <f ca="1">IFERROR(__xludf.DUMMYFUNCTION("""COMPUTED_VALUE"""),330.3)</f>
        <v>330.3</v>
      </c>
      <c r="C1744" s="1">
        <f ca="1">IFERROR(__xludf.DUMMYFUNCTION("""COMPUTED_VALUE"""),333.49)</f>
        <v>333.49</v>
      </c>
      <c r="D1744" s="1">
        <f ca="1">IFERROR(__xludf.DUMMYFUNCTION("""COMPUTED_VALUE"""),327.8)</f>
        <v>327.8</v>
      </c>
      <c r="E1744" s="1">
        <f ca="1">IFERROR(__xludf.DUMMYFUNCTION("""COMPUTED_VALUE"""),329.49)</f>
        <v>329.49</v>
      </c>
      <c r="F1744" s="1">
        <f ca="1">IFERROR(__xludf.DUMMYFUNCTION("""COMPUTED_VALUE"""),30765980)</f>
        <v>30765980</v>
      </c>
    </row>
    <row r="1745" spans="1:6" x14ac:dyDescent="0.35">
      <c r="A1745" s="2">
        <f ca="1">IFERROR(__xludf.DUMMYFUNCTION("""COMPUTED_VALUE"""),44533.6666666666)</f>
        <v>44533.666666666599</v>
      </c>
      <c r="B1745" s="1">
        <f ca="1">IFERROR(__xludf.DUMMYFUNCTION("""COMPUTED_VALUE"""),331.99)</f>
        <v>331.99</v>
      </c>
      <c r="C1745" s="1">
        <f ca="1">IFERROR(__xludf.DUMMYFUNCTION("""COMPUTED_VALUE"""),332.7)</f>
        <v>332.7</v>
      </c>
      <c r="D1745" s="1">
        <f ca="1">IFERROR(__xludf.DUMMYFUNCTION("""COMPUTED_VALUE"""),318.03)</f>
        <v>318.02999999999997</v>
      </c>
      <c r="E1745" s="1">
        <f ca="1">IFERROR(__xludf.DUMMYFUNCTION("""COMPUTED_VALUE"""),323.01)</f>
        <v>323.01</v>
      </c>
      <c r="F1745" s="1">
        <f ca="1">IFERROR(__xludf.DUMMYFUNCTION("""COMPUTED_VALUE"""),41779279)</f>
        <v>41779279</v>
      </c>
    </row>
    <row r="1746" spans="1:6" x14ac:dyDescent="0.35">
      <c r="A1746" s="2">
        <f ca="1">IFERROR(__xludf.DUMMYFUNCTION("""COMPUTED_VALUE"""),44536.6666666666)</f>
        <v>44536.666666666599</v>
      </c>
      <c r="B1746" s="1">
        <f ca="1">IFERROR(__xludf.DUMMYFUNCTION("""COMPUTED_VALUE"""),323.95)</f>
        <v>323.95</v>
      </c>
      <c r="C1746" s="1">
        <f ca="1">IFERROR(__xludf.DUMMYFUNCTION("""COMPUTED_VALUE"""),327.45)</f>
        <v>327.45</v>
      </c>
      <c r="D1746" s="1">
        <f ca="1">IFERROR(__xludf.DUMMYFUNCTION("""COMPUTED_VALUE"""),319.23)</f>
        <v>319.23</v>
      </c>
      <c r="E1746" s="1">
        <f ca="1">IFERROR(__xludf.DUMMYFUNCTION("""COMPUTED_VALUE"""),326.19)</f>
        <v>326.19</v>
      </c>
      <c r="F1746" s="1">
        <f ca="1">IFERROR(__xludf.DUMMYFUNCTION("""COMPUTED_VALUE"""),30032556)</f>
        <v>30032556</v>
      </c>
    </row>
    <row r="1747" spans="1:6" x14ac:dyDescent="0.35">
      <c r="A1747" s="2">
        <f ca="1">IFERROR(__xludf.DUMMYFUNCTION("""COMPUTED_VALUE"""),44537.6666666666)</f>
        <v>44537.666666666599</v>
      </c>
      <c r="B1747" s="1">
        <f ca="1">IFERROR(__xludf.DUMMYFUNCTION("""COMPUTED_VALUE"""),331.64)</f>
        <v>331.64</v>
      </c>
      <c r="C1747" s="1">
        <f ca="1">IFERROR(__xludf.DUMMYFUNCTION("""COMPUTED_VALUE"""),335.8)</f>
        <v>335.8</v>
      </c>
      <c r="D1747" s="1">
        <f ca="1">IFERROR(__xludf.DUMMYFUNCTION("""COMPUTED_VALUE"""),330.1)</f>
        <v>330.1</v>
      </c>
      <c r="E1747" s="1">
        <f ca="1">IFERROR(__xludf.DUMMYFUNCTION("""COMPUTED_VALUE"""),334.92)</f>
        <v>334.92</v>
      </c>
      <c r="F1747" s="1">
        <f ca="1">IFERROR(__xludf.DUMMYFUNCTION("""COMPUTED_VALUE"""),31021936)</f>
        <v>31021936</v>
      </c>
    </row>
    <row r="1748" spans="1:6" x14ac:dyDescent="0.35">
      <c r="A1748" s="2">
        <f ca="1">IFERROR(__xludf.DUMMYFUNCTION("""COMPUTED_VALUE"""),44538.6666666666)</f>
        <v>44538.666666666599</v>
      </c>
      <c r="B1748" s="1">
        <f ca="1">IFERROR(__xludf.DUMMYFUNCTION("""COMPUTED_VALUE"""),335.31)</f>
        <v>335.31</v>
      </c>
      <c r="C1748" s="1">
        <f ca="1">IFERROR(__xludf.DUMMYFUNCTION("""COMPUTED_VALUE"""),335.5)</f>
        <v>335.5</v>
      </c>
      <c r="D1748" s="1">
        <f ca="1">IFERROR(__xludf.DUMMYFUNCTION("""COMPUTED_VALUE"""),330.8)</f>
        <v>330.8</v>
      </c>
      <c r="E1748" s="1">
        <f ca="1">IFERROR(__xludf.DUMMYFUNCTION("""COMPUTED_VALUE"""),334.97)</f>
        <v>334.97</v>
      </c>
      <c r="F1748" s="1">
        <f ca="1">IFERROR(__xludf.DUMMYFUNCTION("""COMPUTED_VALUE"""),24760988)</f>
        <v>24760988</v>
      </c>
    </row>
    <row r="1749" spans="1:6" x14ac:dyDescent="0.35">
      <c r="A1749" s="2">
        <f ca="1">IFERROR(__xludf.DUMMYFUNCTION("""COMPUTED_VALUE"""),44539.6666666666)</f>
        <v>44539.666666666599</v>
      </c>
      <c r="B1749" s="1">
        <f ca="1">IFERROR(__xludf.DUMMYFUNCTION("""COMPUTED_VALUE"""),334.41)</f>
        <v>334.41</v>
      </c>
      <c r="C1749" s="1">
        <f ca="1">IFERROR(__xludf.DUMMYFUNCTION("""COMPUTED_VALUE"""),336.49)</f>
        <v>336.49</v>
      </c>
      <c r="D1749" s="1">
        <f ca="1">IFERROR(__xludf.DUMMYFUNCTION("""COMPUTED_VALUE"""),332.12)</f>
        <v>332.12</v>
      </c>
      <c r="E1749" s="1">
        <f ca="1">IFERROR(__xludf.DUMMYFUNCTION("""COMPUTED_VALUE"""),333.1)</f>
        <v>333.1</v>
      </c>
      <c r="F1749" s="1">
        <f ca="1">IFERROR(__xludf.DUMMYFUNCTION("""COMPUTED_VALUE"""),22214158)</f>
        <v>22214158</v>
      </c>
    </row>
    <row r="1750" spans="1:6" x14ac:dyDescent="0.35">
      <c r="A1750" s="2">
        <f ca="1">IFERROR(__xludf.DUMMYFUNCTION("""COMPUTED_VALUE"""),44540.6666666666)</f>
        <v>44540.666666666599</v>
      </c>
      <c r="B1750" s="1">
        <f ca="1">IFERROR(__xludf.DUMMYFUNCTION("""COMPUTED_VALUE"""),334.98)</f>
        <v>334.98</v>
      </c>
      <c r="C1750" s="1">
        <f ca="1">IFERROR(__xludf.DUMMYFUNCTION("""COMPUTED_VALUE"""),343)</f>
        <v>343</v>
      </c>
      <c r="D1750" s="1">
        <f ca="1">IFERROR(__xludf.DUMMYFUNCTION("""COMPUTED_VALUE"""),334.79)</f>
        <v>334.79</v>
      </c>
      <c r="E1750" s="1">
        <f ca="1">IFERROR(__xludf.DUMMYFUNCTION("""COMPUTED_VALUE"""),342.54)</f>
        <v>342.54</v>
      </c>
      <c r="F1750" s="1">
        <f ca="1">IFERROR(__xludf.DUMMYFUNCTION("""COMPUTED_VALUE"""),38095694)</f>
        <v>38095694</v>
      </c>
    </row>
    <row r="1751" spans="1:6" x14ac:dyDescent="0.35">
      <c r="A1751" s="2">
        <f ca="1">IFERROR(__xludf.DUMMYFUNCTION("""COMPUTED_VALUE"""),44543.6666666666)</f>
        <v>44543.666666666599</v>
      </c>
      <c r="B1751" s="1">
        <f ca="1">IFERROR(__xludf.DUMMYFUNCTION("""COMPUTED_VALUE"""),340.68)</f>
        <v>340.68</v>
      </c>
      <c r="C1751" s="1">
        <f ca="1">IFERROR(__xludf.DUMMYFUNCTION("""COMPUTED_VALUE"""),343.79)</f>
        <v>343.79</v>
      </c>
      <c r="D1751" s="1">
        <f ca="1">IFERROR(__xludf.DUMMYFUNCTION("""COMPUTED_VALUE"""),339.08)</f>
        <v>339.08</v>
      </c>
      <c r="E1751" s="1">
        <f ca="1">IFERROR(__xludf.DUMMYFUNCTION("""COMPUTED_VALUE"""),339.4)</f>
        <v>339.4</v>
      </c>
      <c r="F1751" s="1">
        <f ca="1">IFERROR(__xludf.DUMMYFUNCTION("""COMPUTED_VALUE"""),28899431)</f>
        <v>28899431</v>
      </c>
    </row>
    <row r="1752" spans="1:6" x14ac:dyDescent="0.35">
      <c r="A1752" s="2">
        <f ca="1">IFERROR(__xludf.DUMMYFUNCTION("""COMPUTED_VALUE"""),44544.6666666666)</f>
        <v>44544.666666666599</v>
      </c>
      <c r="B1752" s="1">
        <f ca="1">IFERROR(__xludf.DUMMYFUNCTION("""COMPUTED_VALUE"""),333.22)</f>
        <v>333.22</v>
      </c>
      <c r="C1752" s="1">
        <f ca="1">IFERROR(__xludf.DUMMYFUNCTION("""COMPUTED_VALUE"""),334.64)</f>
        <v>334.64</v>
      </c>
      <c r="D1752" s="1">
        <f ca="1">IFERROR(__xludf.DUMMYFUNCTION("""COMPUTED_VALUE"""),324.11)</f>
        <v>324.11</v>
      </c>
      <c r="E1752" s="1">
        <f ca="1">IFERROR(__xludf.DUMMYFUNCTION("""COMPUTED_VALUE"""),328.34)</f>
        <v>328.34</v>
      </c>
      <c r="F1752" s="1">
        <f ca="1">IFERROR(__xludf.DUMMYFUNCTION("""COMPUTED_VALUE"""),44438699)</f>
        <v>44438699</v>
      </c>
    </row>
    <row r="1753" spans="1:6" x14ac:dyDescent="0.35">
      <c r="A1753" s="2">
        <f ca="1">IFERROR(__xludf.DUMMYFUNCTION("""COMPUTED_VALUE"""),44545.6666666666)</f>
        <v>44545.666666666599</v>
      </c>
      <c r="B1753" s="1">
        <f ca="1">IFERROR(__xludf.DUMMYFUNCTION("""COMPUTED_VALUE"""),328.61)</f>
        <v>328.61</v>
      </c>
      <c r="C1753" s="1">
        <f ca="1">IFERROR(__xludf.DUMMYFUNCTION("""COMPUTED_VALUE"""),335.19)</f>
        <v>335.19</v>
      </c>
      <c r="D1753" s="1">
        <f ca="1">IFERROR(__xludf.DUMMYFUNCTION("""COMPUTED_VALUE"""),324.5)</f>
        <v>324.5</v>
      </c>
      <c r="E1753" s="1">
        <f ca="1">IFERROR(__xludf.DUMMYFUNCTION("""COMPUTED_VALUE"""),334.65)</f>
        <v>334.65</v>
      </c>
      <c r="F1753" s="1">
        <f ca="1">IFERROR(__xludf.DUMMYFUNCTION("""COMPUTED_VALUE"""),35381122)</f>
        <v>35381122</v>
      </c>
    </row>
    <row r="1754" spans="1:6" x14ac:dyDescent="0.35">
      <c r="A1754" s="2">
        <f ca="1">IFERROR(__xludf.DUMMYFUNCTION("""COMPUTED_VALUE"""),44546.6666666666)</f>
        <v>44546.666666666599</v>
      </c>
      <c r="B1754" s="1">
        <f ca="1">IFERROR(__xludf.DUMMYFUNCTION("""COMPUTED_VALUE"""),335.71)</f>
        <v>335.71</v>
      </c>
      <c r="C1754" s="1">
        <f ca="1">IFERROR(__xludf.DUMMYFUNCTION("""COMPUTED_VALUE"""),336.76)</f>
        <v>336.76</v>
      </c>
      <c r="D1754" s="1">
        <f ca="1">IFERROR(__xludf.DUMMYFUNCTION("""COMPUTED_VALUE"""),323.02)</f>
        <v>323.02</v>
      </c>
      <c r="E1754" s="1">
        <f ca="1">IFERROR(__xludf.DUMMYFUNCTION("""COMPUTED_VALUE"""),324.9)</f>
        <v>324.89999999999998</v>
      </c>
      <c r="F1754" s="1">
        <f ca="1">IFERROR(__xludf.DUMMYFUNCTION("""COMPUTED_VALUE"""),35034831)</f>
        <v>35034831</v>
      </c>
    </row>
    <row r="1755" spans="1:6" x14ac:dyDescent="0.35">
      <c r="A1755" s="2">
        <f ca="1">IFERROR(__xludf.DUMMYFUNCTION("""COMPUTED_VALUE"""),44547.6666666666)</f>
        <v>44547.666666666599</v>
      </c>
      <c r="B1755" s="1">
        <f ca="1">IFERROR(__xludf.DUMMYFUNCTION("""COMPUTED_VALUE"""),320.88)</f>
        <v>320.88</v>
      </c>
      <c r="C1755" s="1">
        <f ca="1">IFERROR(__xludf.DUMMYFUNCTION("""COMPUTED_VALUE"""),324.92)</f>
        <v>324.92</v>
      </c>
      <c r="D1755" s="1">
        <f ca="1">IFERROR(__xludf.DUMMYFUNCTION("""COMPUTED_VALUE"""),317.25)</f>
        <v>317.25</v>
      </c>
      <c r="E1755" s="1">
        <f ca="1">IFERROR(__xludf.DUMMYFUNCTION("""COMPUTED_VALUE"""),323.8)</f>
        <v>323.8</v>
      </c>
      <c r="F1755" s="1">
        <f ca="1">IFERROR(__xludf.DUMMYFUNCTION("""COMPUTED_VALUE"""),47983713)</f>
        <v>47983713</v>
      </c>
    </row>
    <row r="1756" spans="1:6" x14ac:dyDescent="0.35">
      <c r="A1756" s="2">
        <f ca="1">IFERROR(__xludf.DUMMYFUNCTION("""COMPUTED_VALUE"""),44550.6666666666)</f>
        <v>44550.666666666599</v>
      </c>
      <c r="B1756" s="1">
        <f ca="1">IFERROR(__xludf.DUMMYFUNCTION("""COMPUTED_VALUE"""),320.05)</f>
        <v>320.05</v>
      </c>
      <c r="C1756" s="1">
        <f ca="1">IFERROR(__xludf.DUMMYFUNCTION("""COMPUTED_VALUE"""),322.8)</f>
        <v>322.8</v>
      </c>
      <c r="D1756" s="1">
        <f ca="1">IFERROR(__xludf.DUMMYFUNCTION("""COMPUTED_VALUE"""),317.57)</f>
        <v>317.57</v>
      </c>
      <c r="E1756" s="1">
        <f ca="1">IFERROR(__xludf.DUMMYFUNCTION("""COMPUTED_VALUE"""),319.91)</f>
        <v>319.91000000000003</v>
      </c>
      <c r="F1756" s="1">
        <f ca="1">IFERROR(__xludf.DUMMYFUNCTION("""COMPUTED_VALUE"""),28326532)</f>
        <v>28326532</v>
      </c>
    </row>
    <row r="1757" spans="1:6" x14ac:dyDescent="0.35">
      <c r="A1757" s="2">
        <f ca="1">IFERROR(__xludf.DUMMYFUNCTION("""COMPUTED_VALUE"""),44551.6666666666)</f>
        <v>44551.666666666599</v>
      </c>
      <c r="B1757" s="1">
        <f ca="1">IFERROR(__xludf.DUMMYFUNCTION("""COMPUTED_VALUE"""),323.29)</f>
        <v>323.29000000000002</v>
      </c>
      <c r="C1757" s="1">
        <f ca="1">IFERROR(__xludf.DUMMYFUNCTION("""COMPUTED_VALUE"""),327.73)</f>
        <v>327.73</v>
      </c>
      <c r="D1757" s="1">
        <f ca="1">IFERROR(__xludf.DUMMYFUNCTION("""COMPUTED_VALUE"""),319.8)</f>
        <v>319.8</v>
      </c>
      <c r="E1757" s="1">
        <f ca="1">IFERROR(__xludf.DUMMYFUNCTION("""COMPUTED_VALUE"""),327.29)</f>
        <v>327.29000000000002</v>
      </c>
      <c r="F1757" s="1">
        <f ca="1">IFERROR(__xludf.DUMMYFUNCTION("""COMPUTED_VALUE"""),24740597)</f>
        <v>24740597</v>
      </c>
    </row>
    <row r="1758" spans="1:6" x14ac:dyDescent="0.35">
      <c r="A1758" s="2">
        <f ca="1">IFERROR(__xludf.DUMMYFUNCTION("""COMPUTED_VALUE"""),44552.6666666666)</f>
        <v>44552.666666666599</v>
      </c>
      <c r="B1758" s="1">
        <f ca="1">IFERROR(__xludf.DUMMYFUNCTION("""COMPUTED_VALUE"""),328.3)</f>
        <v>328.3</v>
      </c>
      <c r="C1758" s="1">
        <f ca="1">IFERROR(__xludf.DUMMYFUNCTION("""COMPUTED_VALUE"""),333.61)</f>
        <v>333.61</v>
      </c>
      <c r="D1758" s="1">
        <f ca="1">IFERROR(__xludf.DUMMYFUNCTION("""COMPUTED_VALUE"""),325.75)</f>
        <v>325.75</v>
      </c>
      <c r="E1758" s="1">
        <f ca="1">IFERROR(__xludf.DUMMYFUNCTION("""COMPUTED_VALUE"""),333.2)</f>
        <v>333.2</v>
      </c>
      <c r="F1758" s="1">
        <f ca="1">IFERROR(__xludf.DUMMYFUNCTION("""COMPUTED_VALUE"""),24831493)</f>
        <v>24831493</v>
      </c>
    </row>
    <row r="1759" spans="1:6" x14ac:dyDescent="0.35">
      <c r="A1759" s="2">
        <f ca="1">IFERROR(__xludf.DUMMYFUNCTION("""COMPUTED_VALUE"""),44553.6666666666)</f>
        <v>44553.666666666599</v>
      </c>
      <c r="B1759" s="1">
        <f ca="1">IFERROR(__xludf.DUMMYFUNCTION("""COMPUTED_VALUE"""),332.75)</f>
        <v>332.75</v>
      </c>
      <c r="C1759" s="1">
        <f ca="1">IFERROR(__xludf.DUMMYFUNCTION("""COMPUTED_VALUE"""),336.39)</f>
        <v>336.39</v>
      </c>
      <c r="D1759" s="1">
        <f ca="1">IFERROR(__xludf.DUMMYFUNCTION("""COMPUTED_VALUE"""),332.73)</f>
        <v>332.73</v>
      </c>
      <c r="E1759" s="1">
        <f ca="1">IFERROR(__xludf.DUMMYFUNCTION("""COMPUTED_VALUE"""),334.69)</f>
        <v>334.69</v>
      </c>
      <c r="F1759" s="1">
        <f ca="1">IFERROR(__xludf.DUMMYFUNCTION("""COMPUTED_VALUE"""),19617848)</f>
        <v>19617848</v>
      </c>
    </row>
    <row r="1760" spans="1:6" x14ac:dyDescent="0.35">
      <c r="A1760" s="2">
        <f ca="1">IFERROR(__xludf.DUMMYFUNCTION("""COMPUTED_VALUE"""),44557.6666666666)</f>
        <v>44557.666666666599</v>
      </c>
      <c r="B1760" s="1">
        <f ca="1">IFERROR(__xludf.DUMMYFUNCTION("""COMPUTED_VALUE"""),335.46)</f>
        <v>335.46</v>
      </c>
      <c r="C1760" s="1">
        <f ca="1">IFERROR(__xludf.DUMMYFUNCTION("""COMPUTED_VALUE"""),342.48)</f>
        <v>342.48</v>
      </c>
      <c r="D1760" s="1">
        <f ca="1">IFERROR(__xludf.DUMMYFUNCTION("""COMPUTED_VALUE"""),335.43)</f>
        <v>335.43</v>
      </c>
      <c r="E1760" s="1">
        <f ca="1">IFERROR(__xludf.DUMMYFUNCTION("""COMPUTED_VALUE"""),342.45)</f>
        <v>342.45</v>
      </c>
      <c r="F1760" s="1">
        <f ca="1">IFERROR(__xludf.DUMMYFUNCTION("""COMPUTED_VALUE"""),19947029)</f>
        <v>19947029</v>
      </c>
    </row>
    <row r="1761" spans="1:6" x14ac:dyDescent="0.35">
      <c r="A1761" s="2">
        <f ca="1">IFERROR(__xludf.DUMMYFUNCTION("""COMPUTED_VALUE"""),44558.6666666666)</f>
        <v>44558.666666666599</v>
      </c>
      <c r="B1761" s="1">
        <f ca="1">IFERROR(__xludf.DUMMYFUNCTION("""COMPUTED_VALUE"""),343.15)</f>
        <v>343.15</v>
      </c>
      <c r="C1761" s="1">
        <f ca="1">IFERROR(__xludf.DUMMYFUNCTION("""COMPUTED_VALUE"""),343.81)</f>
        <v>343.81</v>
      </c>
      <c r="D1761" s="1">
        <f ca="1">IFERROR(__xludf.DUMMYFUNCTION("""COMPUTED_VALUE"""),340.32)</f>
        <v>340.32</v>
      </c>
      <c r="E1761" s="1">
        <f ca="1">IFERROR(__xludf.DUMMYFUNCTION("""COMPUTED_VALUE"""),341.25)</f>
        <v>341.25</v>
      </c>
      <c r="F1761" s="1">
        <f ca="1">IFERROR(__xludf.DUMMYFUNCTION("""COMPUTED_VALUE"""),15661467)</f>
        <v>15661467</v>
      </c>
    </row>
    <row r="1762" spans="1:6" x14ac:dyDescent="0.35">
      <c r="A1762" s="2">
        <f ca="1">IFERROR(__xludf.DUMMYFUNCTION("""COMPUTED_VALUE"""),44559.6666666666)</f>
        <v>44559.666666666599</v>
      </c>
      <c r="B1762" s="1">
        <f ca="1">IFERROR(__xludf.DUMMYFUNCTION("""COMPUTED_VALUE"""),341.3)</f>
        <v>341.3</v>
      </c>
      <c r="C1762" s="1">
        <f ca="1">IFERROR(__xludf.DUMMYFUNCTION("""COMPUTED_VALUE"""),344.3)</f>
        <v>344.3</v>
      </c>
      <c r="D1762" s="1">
        <f ca="1">IFERROR(__xludf.DUMMYFUNCTION("""COMPUTED_VALUE"""),339.68)</f>
        <v>339.68</v>
      </c>
      <c r="E1762" s="1">
        <f ca="1">IFERROR(__xludf.DUMMYFUNCTION("""COMPUTED_VALUE"""),341.95)</f>
        <v>341.95</v>
      </c>
      <c r="F1762" s="1">
        <f ca="1">IFERROR(__xludf.DUMMYFUNCTION("""COMPUTED_VALUE"""),15041956)</f>
        <v>15041956</v>
      </c>
    </row>
    <row r="1763" spans="1:6" x14ac:dyDescent="0.35">
      <c r="A1763" s="2">
        <f ca="1">IFERROR(__xludf.DUMMYFUNCTION("""COMPUTED_VALUE"""),44560.6666666666)</f>
        <v>44560.666666666599</v>
      </c>
      <c r="B1763" s="1">
        <f ca="1">IFERROR(__xludf.DUMMYFUNCTION("""COMPUTED_VALUE"""),341.91)</f>
        <v>341.91</v>
      </c>
      <c r="C1763" s="1">
        <f ca="1">IFERROR(__xludf.DUMMYFUNCTION("""COMPUTED_VALUE"""),343.13)</f>
        <v>343.13</v>
      </c>
      <c r="D1763" s="1">
        <f ca="1">IFERROR(__xludf.DUMMYFUNCTION("""COMPUTED_VALUE"""),338.82)</f>
        <v>338.82</v>
      </c>
      <c r="E1763" s="1">
        <f ca="1">IFERROR(__xludf.DUMMYFUNCTION("""COMPUTED_VALUE"""),339.32)</f>
        <v>339.32</v>
      </c>
      <c r="F1763" s="1">
        <f ca="1">IFERROR(__xludf.DUMMYFUNCTION("""COMPUTED_VALUE"""),15994471)</f>
        <v>15994471</v>
      </c>
    </row>
    <row r="1764" spans="1:6" x14ac:dyDescent="0.35">
      <c r="A1764" s="2">
        <f ca="1">IFERROR(__xludf.DUMMYFUNCTION("""COMPUTED_VALUE"""),44561.6666666666)</f>
        <v>44561.666666666599</v>
      </c>
      <c r="B1764" s="1">
        <f ca="1">IFERROR(__xludf.DUMMYFUNCTION("""COMPUTED_VALUE"""),338.51)</f>
        <v>338.51</v>
      </c>
      <c r="C1764" s="1">
        <f ca="1">IFERROR(__xludf.DUMMYFUNCTION("""COMPUTED_VALUE"""),339.36)</f>
        <v>339.36</v>
      </c>
      <c r="D1764" s="1">
        <f ca="1">IFERROR(__xludf.DUMMYFUNCTION("""COMPUTED_VALUE"""),335.85)</f>
        <v>335.85</v>
      </c>
      <c r="E1764" s="1">
        <f ca="1">IFERROR(__xludf.DUMMYFUNCTION("""COMPUTED_VALUE"""),336.32)</f>
        <v>336.32</v>
      </c>
      <c r="F1764" s="1">
        <f ca="1">IFERROR(__xludf.DUMMYFUNCTION("""COMPUTED_VALUE"""),18000797)</f>
        <v>18000797</v>
      </c>
    </row>
    <row r="1765" spans="1:6" x14ac:dyDescent="0.35">
      <c r="A1765" s="2">
        <f ca="1">IFERROR(__xludf.DUMMYFUNCTION("""COMPUTED_VALUE"""),44564.6666666666)</f>
        <v>44564.666666666599</v>
      </c>
      <c r="B1765" s="1">
        <f ca="1">IFERROR(__xludf.DUMMYFUNCTION("""COMPUTED_VALUE"""),335.35)</f>
        <v>335.35</v>
      </c>
      <c r="C1765" s="1">
        <f ca="1">IFERROR(__xludf.DUMMYFUNCTION("""COMPUTED_VALUE"""),338)</f>
        <v>338</v>
      </c>
      <c r="D1765" s="1">
        <f ca="1">IFERROR(__xludf.DUMMYFUNCTION("""COMPUTED_VALUE"""),329.78)</f>
        <v>329.78</v>
      </c>
      <c r="E1765" s="1">
        <f ca="1">IFERROR(__xludf.DUMMYFUNCTION("""COMPUTED_VALUE"""),334.75)</f>
        <v>334.75</v>
      </c>
      <c r="F1765" s="1">
        <f ca="1">IFERROR(__xludf.DUMMYFUNCTION("""COMPUTED_VALUE"""),28918013)</f>
        <v>28918013</v>
      </c>
    </row>
    <row r="1766" spans="1:6" x14ac:dyDescent="0.35">
      <c r="A1766" s="2">
        <f ca="1">IFERROR(__xludf.DUMMYFUNCTION("""COMPUTED_VALUE"""),44565.6666666666)</f>
        <v>44565.666666666599</v>
      </c>
      <c r="B1766" s="1">
        <f ca="1">IFERROR(__xludf.DUMMYFUNCTION("""COMPUTED_VALUE"""),334.83)</f>
        <v>334.83</v>
      </c>
      <c r="C1766" s="1">
        <f ca="1">IFERROR(__xludf.DUMMYFUNCTION("""COMPUTED_VALUE"""),335.2)</f>
        <v>335.2</v>
      </c>
      <c r="D1766" s="1">
        <f ca="1">IFERROR(__xludf.DUMMYFUNCTION("""COMPUTED_VALUE"""),326.12)</f>
        <v>326.12</v>
      </c>
      <c r="E1766" s="1">
        <f ca="1">IFERROR(__xludf.DUMMYFUNCTION("""COMPUTED_VALUE"""),329.01)</f>
        <v>329.01</v>
      </c>
      <c r="F1766" s="1">
        <f ca="1">IFERROR(__xludf.DUMMYFUNCTION("""COMPUTED_VALUE"""),32674306)</f>
        <v>32674306</v>
      </c>
    </row>
    <row r="1767" spans="1:6" x14ac:dyDescent="0.35">
      <c r="A1767" s="2">
        <f ca="1">IFERROR(__xludf.DUMMYFUNCTION("""COMPUTED_VALUE"""),44566.6666666666)</f>
        <v>44566.666666666599</v>
      </c>
      <c r="B1767" s="1">
        <f ca="1">IFERROR(__xludf.DUMMYFUNCTION("""COMPUTED_VALUE"""),325.86)</f>
        <v>325.86</v>
      </c>
      <c r="C1767" s="1">
        <f ca="1">IFERROR(__xludf.DUMMYFUNCTION("""COMPUTED_VALUE"""),326.07)</f>
        <v>326.07</v>
      </c>
      <c r="D1767" s="1">
        <f ca="1">IFERROR(__xludf.DUMMYFUNCTION("""COMPUTED_VALUE"""),315.98)</f>
        <v>315.98</v>
      </c>
      <c r="E1767" s="1">
        <f ca="1">IFERROR(__xludf.DUMMYFUNCTION("""COMPUTED_VALUE"""),316.38)</f>
        <v>316.38</v>
      </c>
      <c r="F1767" s="1">
        <f ca="1">IFERROR(__xludf.DUMMYFUNCTION("""COMPUTED_VALUE"""),40054327)</f>
        <v>40054327</v>
      </c>
    </row>
    <row r="1768" spans="1:6" x14ac:dyDescent="0.35">
      <c r="A1768" s="2">
        <f ca="1">IFERROR(__xludf.DUMMYFUNCTION("""COMPUTED_VALUE"""),44567.6666666666)</f>
        <v>44567.666666666599</v>
      </c>
      <c r="B1768" s="1">
        <f ca="1">IFERROR(__xludf.DUMMYFUNCTION("""COMPUTED_VALUE"""),313.15)</f>
        <v>313.14999999999998</v>
      </c>
      <c r="C1768" s="1">
        <f ca="1">IFERROR(__xludf.DUMMYFUNCTION("""COMPUTED_VALUE"""),318.7)</f>
        <v>318.7</v>
      </c>
      <c r="D1768" s="1">
        <f ca="1">IFERROR(__xludf.DUMMYFUNCTION("""COMPUTED_VALUE"""),311.49)</f>
        <v>311.49</v>
      </c>
      <c r="E1768" s="1">
        <f ca="1">IFERROR(__xludf.DUMMYFUNCTION("""COMPUTED_VALUE"""),313.88)</f>
        <v>313.88</v>
      </c>
      <c r="F1768" s="1">
        <f ca="1">IFERROR(__xludf.DUMMYFUNCTION("""COMPUTED_VALUE"""),39646148)</f>
        <v>39646148</v>
      </c>
    </row>
    <row r="1769" spans="1:6" x14ac:dyDescent="0.35">
      <c r="A1769" s="2">
        <f ca="1">IFERROR(__xludf.DUMMYFUNCTION("""COMPUTED_VALUE"""),44568.6666666666)</f>
        <v>44568.666666666599</v>
      </c>
      <c r="B1769" s="1">
        <f ca="1">IFERROR(__xludf.DUMMYFUNCTION("""COMPUTED_VALUE"""),314.15)</f>
        <v>314.14999999999998</v>
      </c>
      <c r="C1769" s="1">
        <f ca="1">IFERROR(__xludf.DUMMYFUNCTION("""COMPUTED_VALUE"""),316.5)</f>
        <v>316.5</v>
      </c>
      <c r="D1769" s="1">
        <f ca="1">IFERROR(__xludf.DUMMYFUNCTION("""COMPUTED_VALUE"""),310.09)</f>
        <v>310.08999999999997</v>
      </c>
      <c r="E1769" s="1">
        <f ca="1">IFERROR(__xludf.DUMMYFUNCTION("""COMPUTED_VALUE"""),314.04)</f>
        <v>314.04000000000002</v>
      </c>
      <c r="F1769" s="1">
        <f ca="1">IFERROR(__xludf.DUMMYFUNCTION("""COMPUTED_VALUE"""),32720018)</f>
        <v>32720018</v>
      </c>
    </row>
    <row r="1770" spans="1:6" x14ac:dyDescent="0.35">
      <c r="A1770" s="2">
        <f ca="1">IFERROR(__xludf.DUMMYFUNCTION("""COMPUTED_VALUE"""),44571.6666666666)</f>
        <v>44571.666666666599</v>
      </c>
      <c r="B1770" s="1">
        <f ca="1">IFERROR(__xludf.DUMMYFUNCTION("""COMPUTED_VALUE"""),309.49)</f>
        <v>309.49</v>
      </c>
      <c r="C1770" s="1">
        <f ca="1">IFERROR(__xludf.DUMMYFUNCTION("""COMPUTED_VALUE"""),314.72)</f>
        <v>314.72000000000003</v>
      </c>
      <c r="D1770" s="1">
        <f ca="1">IFERROR(__xludf.DUMMYFUNCTION("""COMPUTED_VALUE"""),304.69)</f>
        <v>304.69</v>
      </c>
      <c r="E1770" s="1">
        <f ca="1">IFERROR(__xludf.DUMMYFUNCTION("""COMPUTED_VALUE"""),314.27)</f>
        <v>314.27</v>
      </c>
      <c r="F1770" s="1">
        <f ca="1">IFERROR(__xludf.DUMMYFUNCTION("""COMPUTED_VALUE"""),44289467)</f>
        <v>44289467</v>
      </c>
    </row>
    <row r="1771" spans="1:6" x14ac:dyDescent="0.35">
      <c r="A1771" s="2">
        <f ca="1">IFERROR(__xludf.DUMMYFUNCTION("""COMPUTED_VALUE"""),44572.6666666666)</f>
        <v>44572.666666666599</v>
      </c>
      <c r="B1771" s="1">
        <f ca="1">IFERROR(__xludf.DUMMYFUNCTION("""COMPUTED_VALUE"""),313.38)</f>
        <v>313.38</v>
      </c>
      <c r="C1771" s="1">
        <f ca="1">IFERROR(__xludf.DUMMYFUNCTION("""COMPUTED_VALUE"""),316.61)</f>
        <v>316.61</v>
      </c>
      <c r="D1771" s="1">
        <f ca="1">IFERROR(__xludf.DUMMYFUNCTION("""COMPUTED_VALUE"""),309.89)</f>
        <v>309.89</v>
      </c>
      <c r="E1771" s="1">
        <f ca="1">IFERROR(__xludf.DUMMYFUNCTION("""COMPUTED_VALUE"""),314.98)</f>
        <v>314.98</v>
      </c>
      <c r="F1771" s="1">
        <f ca="1">IFERROR(__xludf.DUMMYFUNCTION("""COMPUTED_VALUE"""),29386774)</f>
        <v>29386774</v>
      </c>
    </row>
    <row r="1772" spans="1:6" x14ac:dyDescent="0.35">
      <c r="A1772" s="2">
        <f ca="1">IFERROR(__xludf.DUMMYFUNCTION("""COMPUTED_VALUE"""),44573.6666666666)</f>
        <v>44573.666666666599</v>
      </c>
      <c r="B1772" s="1">
        <f ca="1">IFERROR(__xludf.DUMMYFUNCTION("""COMPUTED_VALUE"""),319.67)</f>
        <v>319.67</v>
      </c>
      <c r="C1772" s="1">
        <f ca="1">IFERROR(__xludf.DUMMYFUNCTION("""COMPUTED_VALUE"""),323.41)</f>
        <v>323.41000000000003</v>
      </c>
      <c r="D1772" s="1">
        <f ca="1">IFERROR(__xludf.DUMMYFUNCTION("""COMPUTED_VALUE"""),317.08)</f>
        <v>317.08</v>
      </c>
      <c r="E1772" s="1">
        <f ca="1">IFERROR(__xludf.DUMMYFUNCTION("""COMPUTED_VALUE"""),318.27)</f>
        <v>318.27</v>
      </c>
      <c r="F1772" s="1">
        <f ca="1">IFERROR(__xludf.DUMMYFUNCTION("""COMPUTED_VALUE"""),34372217)</f>
        <v>34372217</v>
      </c>
    </row>
    <row r="1773" spans="1:6" x14ac:dyDescent="0.35">
      <c r="A1773" s="2">
        <f ca="1">IFERROR(__xludf.DUMMYFUNCTION("""COMPUTED_VALUE"""),44574.6666666666)</f>
        <v>44574.666666666599</v>
      </c>
      <c r="B1773" s="1">
        <f ca="1">IFERROR(__xludf.DUMMYFUNCTION("""COMPUTED_VALUE"""),320.47)</f>
        <v>320.47000000000003</v>
      </c>
      <c r="C1773" s="1">
        <f ca="1">IFERROR(__xludf.DUMMYFUNCTION("""COMPUTED_VALUE"""),320.88)</f>
        <v>320.88</v>
      </c>
      <c r="D1773" s="1">
        <f ca="1">IFERROR(__xludf.DUMMYFUNCTION("""COMPUTED_VALUE"""),304)</f>
        <v>304</v>
      </c>
      <c r="E1773" s="1">
        <f ca="1">IFERROR(__xludf.DUMMYFUNCTION("""COMPUTED_VALUE"""),304.8)</f>
        <v>304.8</v>
      </c>
      <c r="F1773" s="1">
        <f ca="1">IFERROR(__xludf.DUMMYFUNCTION("""COMPUTED_VALUE"""),45365979)</f>
        <v>45365979</v>
      </c>
    </row>
    <row r="1774" spans="1:6" x14ac:dyDescent="0.35">
      <c r="A1774" s="2">
        <f ca="1">IFERROR(__xludf.DUMMYFUNCTION("""COMPUTED_VALUE"""),44575.6666666666)</f>
        <v>44575.666666666599</v>
      </c>
      <c r="B1774" s="1">
        <f ca="1">IFERROR(__xludf.DUMMYFUNCTION("""COMPUTED_VALUE"""),304.25)</f>
        <v>304.25</v>
      </c>
      <c r="C1774" s="1">
        <f ca="1">IFERROR(__xludf.DUMMYFUNCTION("""COMPUTED_VALUE"""),310.82)</f>
        <v>310.82</v>
      </c>
      <c r="D1774" s="1">
        <f ca="1">IFERROR(__xludf.DUMMYFUNCTION("""COMPUTED_VALUE"""),303.75)</f>
        <v>303.75</v>
      </c>
      <c r="E1774" s="1">
        <f ca="1">IFERROR(__xludf.DUMMYFUNCTION("""COMPUTED_VALUE"""),310.2)</f>
        <v>310.2</v>
      </c>
      <c r="F1774" s="1">
        <f ca="1">IFERROR(__xludf.DUMMYFUNCTION("""COMPUTED_VALUE"""),39846414)</f>
        <v>39846414</v>
      </c>
    </row>
    <row r="1775" spans="1:6" x14ac:dyDescent="0.35">
      <c r="A1775" s="2">
        <f ca="1">IFERROR(__xludf.DUMMYFUNCTION("""COMPUTED_VALUE"""),44579.6666666666)</f>
        <v>44579.666666666599</v>
      </c>
      <c r="B1775" s="1">
        <f ca="1">IFERROR(__xludf.DUMMYFUNCTION("""COMPUTED_VALUE"""),304.07)</f>
        <v>304.07</v>
      </c>
      <c r="C1775" s="1">
        <f ca="1">IFERROR(__xludf.DUMMYFUNCTION("""COMPUTED_VALUE"""),309.8)</f>
        <v>309.8</v>
      </c>
      <c r="D1775" s="1">
        <f ca="1">IFERROR(__xludf.DUMMYFUNCTION("""COMPUTED_VALUE"""),301.74)</f>
        <v>301.74</v>
      </c>
      <c r="E1775" s="1">
        <f ca="1">IFERROR(__xludf.DUMMYFUNCTION("""COMPUTED_VALUE"""),302.65)</f>
        <v>302.64999999999998</v>
      </c>
      <c r="F1775" s="1">
        <f ca="1">IFERROR(__xludf.DUMMYFUNCTION("""COMPUTED_VALUE"""),42434112)</f>
        <v>42434112</v>
      </c>
    </row>
    <row r="1776" spans="1:6" x14ac:dyDescent="0.35">
      <c r="A1776" s="2">
        <f ca="1">IFERROR(__xludf.DUMMYFUNCTION("""COMPUTED_VALUE"""),44580.6666666666)</f>
        <v>44580.666666666599</v>
      </c>
      <c r="B1776" s="1">
        <f ca="1">IFERROR(__xludf.DUMMYFUNCTION("""COMPUTED_VALUE"""),306.29)</f>
        <v>306.29000000000002</v>
      </c>
      <c r="C1776" s="1">
        <f ca="1">IFERROR(__xludf.DUMMYFUNCTION("""COMPUTED_VALUE"""),313.91)</f>
        <v>313.91000000000003</v>
      </c>
      <c r="D1776" s="1">
        <f ca="1">IFERROR(__xludf.DUMMYFUNCTION("""COMPUTED_VALUE"""),302.7)</f>
        <v>302.7</v>
      </c>
      <c r="E1776" s="1">
        <f ca="1">IFERROR(__xludf.DUMMYFUNCTION("""COMPUTED_VALUE"""),303.33)</f>
        <v>303.33</v>
      </c>
      <c r="F1776" s="1">
        <f ca="1">IFERROR(__xludf.DUMMYFUNCTION("""COMPUTED_VALUE"""),45933855)</f>
        <v>45933855</v>
      </c>
    </row>
    <row r="1777" spans="1:6" x14ac:dyDescent="0.35">
      <c r="A1777" s="2">
        <f ca="1">IFERROR(__xludf.DUMMYFUNCTION("""COMPUTED_VALUE"""),44581.6666666666)</f>
        <v>44581.666666666599</v>
      </c>
      <c r="B1777" s="1">
        <f ca="1">IFERROR(__xludf.DUMMYFUNCTION("""COMPUTED_VALUE"""),309.07)</f>
        <v>309.07</v>
      </c>
      <c r="C1777" s="1">
        <f ca="1">IFERROR(__xludf.DUMMYFUNCTION("""COMPUTED_VALUE"""),311.65)</f>
        <v>311.64999999999998</v>
      </c>
      <c r="D1777" s="1">
        <f ca="1">IFERROR(__xludf.DUMMYFUNCTION("""COMPUTED_VALUE"""),301.14)</f>
        <v>301.14</v>
      </c>
      <c r="E1777" s="1">
        <f ca="1">IFERROR(__xludf.DUMMYFUNCTION("""COMPUTED_VALUE"""),301.6)</f>
        <v>301.60000000000002</v>
      </c>
      <c r="F1777" s="1">
        <f ca="1">IFERROR(__xludf.DUMMYFUNCTION("""COMPUTED_VALUE"""),35380675)</f>
        <v>35380675</v>
      </c>
    </row>
    <row r="1778" spans="1:6" x14ac:dyDescent="0.35">
      <c r="A1778" s="2">
        <f ca="1">IFERROR(__xludf.DUMMYFUNCTION("""COMPUTED_VALUE"""),44582.6666666666)</f>
        <v>44582.666666666599</v>
      </c>
      <c r="B1778" s="1">
        <f ca="1">IFERROR(__xludf.DUMMYFUNCTION("""COMPUTED_VALUE"""),302.69)</f>
        <v>302.69</v>
      </c>
      <c r="C1778" s="1">
        <f ca="1">IFERROR(__xludf.DUMMYFUNCTION("""COMPUTED_VALUE"""),304.11)</f>
        <v>304.11</v>
      </c>
      <c r="D1778" s="1">
        <f ca="1">IFERROR(__xludf.DUMMYFUNCTION("""COMPUTED_VALUE"""),295.61)</f>
        <v>295.61</v>
      </c>
      <c r="E1778" s="1">
        <f ca="1">IFERROR(__xludf.DUMMYFUNCTION("""COMPUTED_VALUE"""),296.03)</f>
        <v>296.02999999999997</v>
      </c>
      <c r="F1778" s="1">
        <f ca="1">IFERROR(__xludf.DUMMYFUNCTION("""COMPUTED_VALUE"""),57984403)</f>
        <v>57984403</v>
      </c>
    </row>
    <row r="1779" spans="1:6" x14ac:dyDescent="0.35">
      <c r="A1779" s="2">
        <f ca="1">IFERROR(__xludf.DUMMYFUNCTION("""COMPUTED_VALUE"""),44585.6666666666)</f>
        <v>44585.666666666599</v>
      </c>
      <c r="B1779" s="1">
        <f ca="1">IFERROR(__xludf.DUMMYFUNCTION("""COMPUTED_VALUE"""),292.2)</f>
        <v>292.2</v>
      </c>
      <c r="C1779" s="1">
        <f ca="1">IFERROR(__xludf.DUMMYFUNCTION("""COMPUTED_VALUE"""),297.11)</f>
        <v>297.11</v>
      </c>
      <c r="D1779" s="1">
        <f ca="1">IFERROR(__xludf.DUMMYFUNCTION("""COMPUTED_VALUE"""),276.05)</f>
        <v>276.05</v>
      </c>
      <c r="E1779" s="1">
        <f ca="1">IFERROR(__xludf.DUMMYFUNCTION("""COMPUTED_VALUE"""),296.37)</f>
        <v>296.37</v>
      </c>
      <c r="F1779" s="1">
        <f ca="1">IFERROR(__xludf.DUMMYFUNCTION("""COMPUTED_VALUE"""),86035393)</f>
        <v>86035393</v>
      </c>
    </row>
    <row r="1780" spans="1:6" x14ac:dyDescent="0.35">
      <c r="A1780" s="2">
        <f ca="1">IFERROR(__xludf.DUMMYFUNCTION("""COMPUTED_VALUE"""),44586.6666666666)</f>
        <v>44586.666666666599</v>
      </c>
      <c r="B1780" s="1">
        <f ca="1">IFERROR(__xludf.DUMMYFUNCTION("""COMPUTED_VALUE"""),291.52)</f>
        <v>291.52</v>
      </c>
      <c r="C1780" s="1">
        <f ca="1">IFERROR(__xludf.DUMMYFUNCTION("""COMPUTED_VALUE"""),294.99)</f>
        <v>294.99</v>
      </c>
      <c r="D1780" s="1">
        <f ca="1">IFERROR(__xludf.DUMMYFUNCTION("""COMPUTED_VALUE"""),285.17)</f>
        <v>285.17</v>
      </c>
      <c r="E1780" s="1">
        <f ca="1">IFERROR(__xludf.DUMMYFUNCTION("""COMPUTED_VALUE"""),288.49)</f>
        <v>288.49</v>
      </c>
      <c r="F1780" s="1">
        <f ca="1">IFERROR(__xludf.DUMMYFUNCTION("""COMPUTED_VALUE"""),72848638)</f>
        <v>72848638</v>
      </c>
    </row>
    <row r="1781" spans="1:6" x14ac:dyDescent="0.35">
      <c r="A1781" s="2">
        <f ca="1">IFERROR(__xludf.DUMMYFUNCTION("""COMPUTED_VALUE"""),44587.6666666666)</f>
        <v>44587.666666666599</v>
      </c>
      <c r="B1781" s="1">
        <f ca="1">IFERROR(__xludf.DUMMYFUNCTION("""COMPUTED_VALUE"""),307.99)</f>
        <v>307.99</v>
      </c>
      <c r="C1781" s="1">
        <f ca="1">IFERROR(__xludf.DUMMYFUNCTION("""COMPUTED_VALUE"""),308.5)</f>
        <v>308.5</v>
      </c>
      <c r="D1781" s="1">
        <f ca="1">IFERROR(__xludf.DUMMYFUNCTION("""COMPUTED_VALUE"""),293.03)</f>
        <v>293.02999999999997</v>
      </c>
      <c r="E1781" s="1">
        <f ca="1">IFERROR(__xludf.DUMMYFUNCTION("""COMPUTED_VALUE"""),296.71)</f>
        <v>296.70999999999998</v>
      </c>
      <c r="F1781" s="1">
        <f ca="1">IFERROR(__xludf.DUMMYFUNCTION("""COMPUTED_VALUE"""),90428853)</f>
        <v>90428853</v>
      </c>
    </row>
    <row r="1782" spans="1:6" x14ac:dyDescent="0.35">
      <c r="A1782" s="2">
        <f ca="1">IFERROR(__xludf.DUMMYFUNCTION("""COMPUTED_VALUE"""),44588.6666666666)</f>
        <v>44588.666666666599</v>
      </c>
      <c r="B1782" s="1">
        <f ca="1">IFERROR(__xludf.DUMMYFUNCTION("""COMPUTED_VALUE"""),302.66)</f>
        <v>302.66000000000003</v>
      </c>
      <c r="C1782" s="1">
        <f ca="1">IFERROR(__xludf.DUMMYFUNCTION("""COMPUTED_VALUE"""),307.3)</f>
        <v>307.3</v>
      </c>
      <c r="D1782" s="1">
        <f ca="1">IFERROR(__xludf.DUMMYFUNCTION("""COMPUTED_VALUE"""),297.93)</f>
        <v>297.93</v>
      </c>
      <c r="E1782" s="1">
        <f ca="1">IFERROR(__xludf.DUMMYFUNCTION("""COMPUTED_VALUE"""),299.84)</f>
        <v>299.83999999999997</v>
      </c>
      <c r="F1782" s="1">
        <f ca="1">IFERROR(__xludf.DUMMYFUNCTION("""COMPUTED_VALUE"""),53481317)</f>
        <v>53481317</v>
      </c>
    </row>
    <row r="1783" spans="1:6" x14ac:dyDescent="0.35">
      <c r="A1783" s="2">
        <f ca="1">IFERROR(__xludf.DUMMYFUNCTION("""COMPUTED_VALUE"""),44589.6666666666)</f>
        <v>44589.666666666599</v>
      </c>
      <c r="B1783" s="1">
        <f ca="1">IFERROR(__xludf.DUMMYFUNCTION("""COMPUTED_VALUE"""),300.23)</f>
        <v>300.23</v>
      </c>
      <c r="C1783" s="1">
        <f ca="1">IFERROR(__xludf.DUMMYFUNCTION("""COMPUTED_VALUE"""),308.48)</f>
        <v>308.48</v>
      </c>
      <c r="D1783" s="1">
        <f ca="1">IFERROR(__xludf.DUMMYFUNCTION("""COMPUTED_VALUE"""),294.45)</f>
        <v>294.45</v>
      </c>
      <c r="E1783" s="1">
        <f ca="1">IFERROR(__xludf.DUMMYFUNCTION("""COMPUTED_VALUE"""),308.26)</f>
        <v>308.26</v>
      </c>
      <c r="F1783" s="1">
        <f ca="1">IFERROR(__xludf.DUMMYFUNCTION("""COMPUTED_VALUE"""),49743698)</f>
        <v>49743698</v>
      </c>
    </row>
    <row r="1784" spans="1:6" x14ac:dyDescent="0.35">
      <c r="A1784" s="2">
        <f ca="1">IFERROR(__xludf.DUMMYFUNCTION("""COMPUTED_VALUE"""),44592.6666666666)</f>
        <v>44592.666666666599</v>
      </c>
      <c r="B1784" s="1">
        <f ca="1">IFERROR(__xludf.DUMMYFUNCTION("""COMPUTED_VALUE"""),308.95)</f>
        <v>308.95</v>
      </c>
      <c r="C1784" s="1">
        <f ca="1">IFERROR(__xludf.DUMMYFUNCTION("""COMPUTED_VALUE"""),312.38)</f>
        <v>312.38</v>
      </c>
      <c r="D1784" s="1">
        <f ca="1">IFERROR(__xludf.DUMMYFUNCTION("""COMPUTED_VALUE"""),306.37)</f>
        <v>306.37</v>
      </c>
      <c r="E1784" s="1">
        <f ca="1">IFERROR(__xludf.DUMMYFUNCTION("""COMPUTED_VALUE"""),310.98)</f>
        <v>310.98</v>
      </c>
      <c r="F1784" s="1">
        <f ca="1">IFERROR(__xludf.DUMMYFUNCTION("""COMPUTED_VALUE"""),46444536)</f>
        <v>46444536</v>
      </c>
    </row>
    <row r="1785" spans="1:6" x14ac:dyDescent="0.35">
      <c r="A1785" s="2">
        <f ca="1">IFERROR(__xludf.DUMMYFUNCTION("""COMPUTED_VALUE"""),44593.6666666666)</f>
        <v>44593.666666666599</v>
      </c>
      <c r="B1785" s="1">
        <f ca="1">IFERROR(__xludf.DUMMYFUNCTION("""COMPUTED_VALUE"""),310.41)</f>
        <v>310.41000000000003</v>
      </c>
      <c r="C1785" s="1">
        <f ca="1">IFERROR(__xludf.DUMMYFUNCTION("""COMPUTED_VALUE"""),310.63)</f>
        <v>310.63</v>
      </c>
      <c r="D1785" s="1">
        <f ca="1">IFERROR(__xludf.DUMMYFUNCTION("""COMPUTED_VALUE"""),305.13)</f>
        <v>305.13</v>
      </c>
      <c r="E1785" s="1">
        <f ca="1">IFERROR(__xludf.DUMMYFUNCTION("""COMPUTED_VALUE"""),308.76)</f>
        <v>308.76</v>
      </c>
      <c r="F1785" s="1">
        <f ca="1">IFERROR(__xludf.DUMMYFUNCTION("""COMPUTED_VALUE"""),40950396)</f>
        <v>40950396</v>
      </c>
    </row>
    <row r="1786" spans="1:6" x14ac:dyDescent="0.35">
      <c r="A1786" s="2">
        <f ca="1">IFERROR(__xludf.DUMMYFUNCTION("""COMPUTED_VALUE"""),44594.6666666666)</f>
        <v>44594.666666666599</v>
      </c>
      <c r="B1786" s="1">
        <f ca="1">IFERROR(__xludf.DUMMYFUNCTION("""COMPUTED_VALUE"""),309.63)</f>
        <v>309.63</v>
      </c>
      <c r="C1786" s="1">
        <f ca="1">IFERROR(__xludf.DUMMYFUNCTION("""COMPUTED_VALUE"""),315.12)</f>
        <v>315.12</v>
      </c>
      <c r="D1786" s="1">
        <f ca="1">IFERROR(__xludf.DUMMYFUNCTION("""COMPUTED_VALUE"""),308.88)</f>
        <v>308.88</v>
      </c>
      <c r="E1786" s="1">
        <f ca="1">IFERROR(__xludf.DUMMYFUNCTION("""COMPUTED_VALUE"""),313.46)</f>
        <v>313.45999999999998</v>
      </c>
      <c r="F1786" s="1">
        <f ca="1">IFERROR(__xludf.DUMMYFUNCTION("""COMPUTED_VALUE"""),36635989)</f>
        <v>36635989</v>
      </c>
    </row>
    <row r="1787" spans="1:6" x14ac:dyDescent="0.35">
      <c r="A1787" s="2">
        <f ca="1">IFERROR(__xludf.DUMMYFUNCTION("""COMPUTED_VALUE"""),44595.6666666666)</f>
        <v>44595.666666666599</v>
      </c>
      <c r="B1787" s="1">
        <f ca="1">IFERROR(__xludf.DUMMYFUNCTION("""COMPUTED_VALUE"""),309.49)</f>
        <v>309.49</v>
      </c>
      <c r="C1787" s="1">
        <f ca="1">IFERROR(__xludf.DUMMYFUNCTION("""COMPUTED_VALUE"""),311.23)</f>
        <v>311.23</v>
      </c>
      <c r="D1787" s="1">
        <f ca="1">IFERROR(__xludf.DUMMYFUNCTION("""COMPUTED_VALUE"""),299.96)</f>
        <v>299.95999999999998</v>
      </c>
      <c r="E1787" s="1">
        <f ca="1">IFERROR(__xludf.DUMMYFUNCTION("""COMPUTED_VALUE"""),301.25)</f>
        <v>301.25</v>
      </c>
      <c r="F1787" s="1">
        <f ca="1">IFERROR(__xludf.DUMMYFUNCTION("""COMPUTED_VALUE"""),43729972)</f>
        <v>43729972</v>
      </c>
    </row>
    <row r="1788" spans="1:6" x14ac:dyDescent="0.35">
      <c r="A1788" s="2">
        <f ca="1">IFERROR(__xludf.DUMMYFUNCTION("""COMPUTED_VALUE"""),44596.6666666666)</f>
        <v>44596.666666666599</v>
      </c>
      <c r="B1788" s="1">
        <f ca="1">IFERROR(__xludf.DUMMYFUNCTION("""COMPUTED_VALUE"""),300.21)</f>
        <v>300.20999999999998</v>
      </c>
      <c r="C1788" s="1">
        <f ca="1">IFERROR(__xludf.DUMMYFUNCTION("""COMPUTED_VALUE"""),308.8)</f>
        <v>308.8</v>
      </c>
      <c r="D1788" s="1">
        <f ca="1">IFERROR(__xludf.DUMMYFUNCTION("""COMPUTED_VALUE"""),299.97)</f>
        <v>299.97000000000003</v>
      </c>
      <c r="E1788" s="1">
        <f ca="1">IFERROR(__xludf.DUMMYFUNCTION("""COMPUTED_VALUE"""),305.94)</f>
        <v>305.94</v>
      </c>
      <c r="F1788" s="1">
        <f ca="1">IFERROR(__xludf.DUMMYFUNCTION("""COMPUTED_VALUE"""),35096488)</f>
        <v>35096488</v>
      </c>
    </row>
    <row r="1789" spans="1:6" x14ac:dyDescent="0.35">
      <c r="A1789" s="2">
        <f ca="1">IFERROR(__xludf.DUMMYFUNCTION("""COMPUTED_VALUE"""),44599.6666666666)</f>
        <v>44599.666666666599</v>
      </c>
      <c r="B1789" s="1">
        <f ca="1">IFERROR(__xludf.DUMMYFUNCTION("""COMPUTED_VALUE"""),306.17)</f>
        <v>306.17</v>
      </c>
      <c r="C1789" s="1">
        <f ca="1">IFERROR(__xludf.DUMMYFUNCTION("""COMPUTED_VALUE"""),307.84)</f>
        <v>307.83999999999997</v>
      </c>
      <c r="D1789" s="1">
        <f ca="1">IFERROR(__xludf.DUMMYFUNCTION("""COMPUTED_VALUE"""),299.9)</f>
        <v>299.89999999999998</v>
      </c>
      <c r="E1789" s="1">
        <f ca="1">IFERROR(__xludf.DUMMYFUNCTION("""COMPUTED_VALUE"""),300.95)</f>
        <v>300.95</v>
      </c>
      <c r="F1789" s="1">
        <f ca="1">IFERROR(__xludf.DUMMYFUNCTION("""COMPUTED_VALUE"""),28533286)</f>
        <v>28533286</v>
      </c>
    </row>
    <row r="1790" spans="1:6" x14ac:dyDescent="0.35">
      <c r="A1790" s="2">
        <f ca="1">IFERROR(__xludf.DUMMYFUNCTION("""COMPUTED_VALUE"""),44600.6666666666)</f>
        <v>44600.666666666599</v>
      </c>
      <c r="B1790" s="1">
        <f ca="1">IFERROR(__xludf.DUMMYFUNCTION("""COMPUTED_VALUE"""),301.25)</f>
        <v>301.25</v>
      </c>
      <c r="C1790" s="1">
        <f ca="1">IFERROR(__xludf.DUMMYFUNCTION("""COMPUTED_VALUE"""),305.56)</f>
        <v>305.56</v>
      </c>
      <c r="D1790" s="1">
        <f ca="1">IFERROR(__xludf.DUMMYFUNCTION("""COMPUTED_VALUE"""),299.95)</f>
        <v>299.95</v>
      </c>
      <c r="E1790" s="1">
        <f ca="1">IFERROR(__xludf.DUMMYFUNCTION("""COMPUTED_VALUE"""),304.56)</f>
        <v>304.56</v>
      </c>
      <c r="F1790" s="1">
        <f ca="1">IFERROR(__xludf.DUMMYFUNCTION("""COMPUTED_VALUE"""),32421188)</f>
        <v>32421188</v>
      </c>
    </row>
    <row r="1791" spans="1:6" x14ac:dyDescent="0.35">
      <c r="A1791" s="2">
        <f ca="1">IFERROR(__xludf.DUMMYFUNCTION("""COMPUTED_VALUE"""),44601.6666666666)</f>
        <v>44601.666666666599</v>
      </c>
      <c r="B1791" s="1">
        <f ca="1">IFERROR(__xludf.DUMMYFUNCTION("""COMPUTED_VALUE"""),309.87)</f>
        <v>309.87</v>
      </c>
      <c r="C1791" s="1">
        <f ca="1">IFERROR(__xludf.DUMMYFUNCTION("""COMPUTED_VALUE"""),311.93)</f>
        <v>311.93</v>
      </c>
      <c r="D1791" s="1">
        <f ca="1">IFERROR(__xludf.DUMMYFUNCTION("""COMPUTED_VALUE"""),307.39)</f>
        <v>307.39</v>
      </c>
      <c r="E1791" s="1">
        <f ca="1">IFERROR(__xludf.DUMMYFUNCTION("""COMPUTED_VALUE"""),311.21)</f>
        <v>311.20999999999998</v>
      </c>
      <c r="F1791" s="1">
        <f ca="1">IFERROR(__xludf.DUMMYFUNCTION("""COMPUTED_VALUE"""),31284671)</f>
        <v>31284671</v>
      </c>
    </row>
    <row r="1792" spans="1:6" x14ac:dyDescent="0.35">
      <c r="A1792" s="2">
        <f ca="1">IFERROR(__xludf.DUMMYFUNCTION("""COMPUTED_VALUE"""),44602.6666666666)</f>
        <v>44602.666666666599</v>
      </c>
      <c r="B1792" s="1">
        <f ca="1">IFERROR(__xludf.DUMMYFUNCTION("""COMPUTED_VALUE"""),304.04)</f>
        <v>304.04000000000002</v>
      </c>
      <c r="C1792" s="1">
        <f ca="1">IFERROR(__xludf.DUMMYFUNCTION("""COMPUTED_VALUE"""),309.12)</f>
        <v>309.12</v>
      </c>
      <c r="D1792" s="1">
        <f ca="1">IFERROR(__xludf.DUMMYFUNCTION("""COMPUTED_VALUE"""),300.7)</f>
        <v>300.7</v>
      </c>
      <c r="E1792" s="1">
        <f ca="1">IFERROR(__xludf.DUMMYFUNCTION("""COMPUTED_VALUE"""),302.38)</f>
        <v>302.38</v>
      </c>
      <c r="F1792" s="1">
        <f ca="1">IFERROR(__xludf.DUMMYFUNCTION("""COMPUTED_VALUE"""),45386199)</f>
        <v>45386199</v>
      </c>
    </row>
    <row r="1793" spans="1:6" x14ac:dyDescent="0.35">
      <c r="A1793" s="2">
        <f ca="1">IFERROR(__xludf.DUMMYFUNCTION("""COMPUTED_VALUE"""),44603.6666666666)</f>
        <v>44603.666666666599</v>
      </c>
      <c r="B1793" s="1">
        <f ca="1">IFERROR(__xludf.DUMMYFUNCTION("""COMPUTED_VALUE"""),303.19)</f>
        <v>303.19</v>
      </c>
      <c r="C1793" s="1">
        <f ca="1">IFERROR(__xludf.DUMMYFUNCTION("""COMPUTED_VALUE"""),304.29)</f>
        <v>304.29000000000002</v>
      </c>
      <c r="D1793" s="1">
        <f ca="1">IFERROR(__xludf.DUMMYFUNCTION("""COMPUTED_VALUE"""),294.22)</f>
        <v>294.22000000000003</v>
      </c>
      <c r="E1793" s="1">
        <f ca="1">IFERROR(__xludf.DUMMYFUNCTION("""COMPUTED_VALUE"""),295.04)</f>
        <v>295.04000000000002</v>
      </c>
      <c r="F1793" s="1">
        <f ca="1">IFERROR(__xludf.DUMMYFUNCTION("""COMPUTED_VALUE"""),39175620)</f>
        <v>39175620</v>
      </c>
    </row>
    <row r="1794" spans="1:6" x14ac:dyDescent="0.35">
      <c r="A1794" s="2">
        <f ca="1">IFERROR(__xludf.DUMMYFUNCTION("""COMPUTED_VALUE"""),44606.6666666666)</f>
        <v>44606.666666666599</v>
      </c>
      <c r="B1794" s="1">
        <f ca="1">IFERROR(__xludf.DUMMYFUNCTION("""COMPUTED_VALUE"""),293.77)</f>
        <v>293.77</v>
      </c>
      <c r="C1794" s="1">
        <f ca="1">IFERROR(__xludf.DUMMYFUNCTION("""COMPUTED_VALUE"""),296.76)</f>
        <v>296.76</v>
      </c>
      <c r="D1794" s="1">
        <f ca="1">IFERROR(__xludf.DUMMYFUNCTION("""COMPUTED_VALUE"""),291.35)</f>
        <v>291.35000000000002</v>
      </c>
      <c r="E1794" s="1">
        <f ca="1">IFERROR(__xludf.DUMMYFUNCTION("""COMPUTED_VALUE"""),295)</f>
        <v>295</v>
      </c>
      <c r="F1794" s="1">
        <f ca="1">IFERROR(__xludf.DUMMYFUNCTION("""COMPUTED_VALUE"""),36359487)</f>
        <v>36359487</v>
      </c>
    </row>
    <row r="1795" spans="1:6" x14ac:dyDescent="0.35">
      <c r="A1795" s="2">
        <f ca="1">IFERROR(__xludf.DUMMYFUNCTION("""COMPUTED_VALUE"""),44607.6666666666)</f>
        <v>44607.666666666599</v>
      </c>
      <c r="B1795" s="1">
        <f ca="1">IFERROR(__xludf.DUMMYFUNCTION("""COMPUTED_VALUE"""),300.01)</f>
        <v>300.01</v>
      </c>
      <c r="C1795" s="1">
        <f ca="1">IFERROR(__xludf.DUMMYFUNCTION("""COMPUTED_VALUE"""),300.8)</f>
        <v>300.8</v>
      </c>
      <c r="D1795" s="1">
        <f ca="1">IFERROR(__xludf.DUMMYFUNCTION("""COMPUTED_VALUE"""),297.02)</f>
        <v>297.02</v>
      </c>
      <c r="E1795" s="1">
        <f ca="1">IFERROR(__xludf.DUMMYFUNCTION("""COMPUTED_VALUE"""),300.47)</f>
        <v>300.47000000000003</v>
      </c>
      <c r="F1795" s="1">
        <f ca="1">IFERROR(__xludf.DUMMYFUNCTION("""COMPUTED_VALUE"""),27379488)</f>
        <v>27379488</v>
      </c>
    </row>
    <row r="1796" spans="1:6" x14ac:dyDescent="0.35">
      <c r="A1796" s="2">
        <f ca="1">IFERROR(__xludf.DUMMYFUNCTION("""COMPUTED_VALUE"""),44608.6666666666)</f>
        <v>44608.666666666599</v>
      </c>
      <c r="B1796" s="1">
        <f ca="1">IFERROR(__xludf.DUMMYFUNCTION("""COMPUTED_VALUE"""),298.37)</f>
        <v>298.37</v>
      </c>
      <c r="C1796" s="1">
        <f ca="1">IFERROR(__xludf.DUMMYFUNCTION("""COMPUTED_VALUE"""),300.87)</f>
        <v>300.87</v>
      </c>
      <c r="D1796" s="1">
        <f ca="1">IFERROR(__xludf.DUMMYFUNCTION("""COMPUTED_VALUE"""),293.68)</f>
        <v>293.68</v>
      </c>
      <c r="E1796" s="1">
        <f ca="1">IFERROR(__xludf.DUMMYFUNCTION("""COMPUTED_VALUE"""),299.5)</f>
        <v>299.5</v>
      </c>
      <c r="F1796" s="1">
        <f ca="1">IFERROR(__xludf.DUMMYFUNCTION("""COMPUTED_VALUE"""),29982121)</f>
        <v>29982121</v>
      </c>
    </row>
    <row r="1797" spans="1:6" x14ac:dyDescent="0.35">
      <c r="A1797" s="2">
        <f ca="1">IFERROR(__xludf.DUMMYFUNCTION("""COMPUTED_VALUE"""),44609.6666666666)</f>
        <v>44609.666666666599</v>
      </c>
      <c r="B1797" s="1">
        <f ca="1">IFERROR(__xludf.DUMMYFUNCTION("""COMPUTED_VALUE"""),296.36)</f>
        <v>296.36</v>
      </c>
      <c r="C1797" s="1">
        <f ca="1">IFERROR(__xludf.DUMMYFUNCTION("""COMPUTED_VALUE"""),296.8)</f>
        <v>296.8</v>
      </c>
      <c r="D1797" s="1">
        <f ca="1">IFERROR(__xludf.DUMMYFUNCTION("""COMPUTED_VALUE"""),290)</f>
        <v>290</v>
      </c>
      <c r="E1797" s="1">
        <f ca="1">IFERROR(__xludf.DUMMYFUNCTION("""COMPUTED_VALUE"""),290.73)</f>
        <v>290.73</v>
      </c>
      <c r="F1797" s="1">
        <f ca="1">IFERROR(__xludf.DUMMYFUNCTION("""COMPUTED_VALUE"""),32461580)</f>
        <v>32461580</v>
      </c>
    </row>
    <row r="1798" spans="1:6" x14ac:dyDescent="0.35">
      <c r="A1798" s="2">
        <f ca="1">IFERROR(__xludf.DUMMYFUNCTION("""COMPUTED_VALUE"""),44610.6666666666)</f>
        <v>44610.666666666599</v>
      </c>
      <c r="B1798" s="1">
        <f ca="1">IFERROR(__xludf.DUMMYFUNCTION("""COMPUTED_VALUE"""),293.05)</f>
        <v>293.05</v>
      </c>
      <c r="C1798" s="1">
        <f ca="1">IFERROR(__xludf.DUMMYFUNCTION("""COMPUTED_VALUE"""),293.86)</f>
        <v>293.86</v>
      </c>
      <c r="D1798" s="1">
        <f ca="1">IFERROR(__xludf.DUMMYFUNCTION("""COMPUTED_VALUE"""),286.31)</f>
        <v>286.31</v>
      </c>
      <c r="E1798" s="1">
        <f ca="1">IFERROR(__xludf.DUMMYFUNCTION("""COMPUTED_VALUE"""),287.93)</f>
        <v>287.93</v>
      </c>
      <c r="F1798" s="1">
        <f ca="1">IFERROR(__xludf.DUMMYFUNCTION("""COMPUTED_VALUE"""),34264008)</f>
        <v>34264008</v>
      </c>
    </row>
    <row r="1799" spans="1:6" x14ac:dyDescent="0.35">
      <c r="A1799" s="2">
        <f ca="1">IFERROR(__xludf.DUMMYFUNCTION("""COMPUTED_VALUE"""),44614.6666666666)</f>
        <v>44614.666666666599</v>
      </c>
      <c r="B1799" s="1">
        <f ca="1">IFERROR(__xludf.DUMMYFUNCTION("""COMPUTED_VALUE"""),285)</f>
        <v>285</v>
      </c>
      <c r="C1799" s="1">
        <f ca="1">IFERROR(__xludf.DUMMYFUNCTION("""COMPUTED_VALUE"""),291.54)</f>
        <v>291.54000000000002</v>
      </c>
      <c r="D1799" s="1">
        <f ca="1">IFERROR(__xludf.DUMMYFUNCTION("""COMPUTED_VALUE"""),284.5)</f>
        <v>284.5</v>
      </c>
      <c r="E1799" s="1">
        <f ca="1">IFERROR(__xludf.DUMMYFUNCTION("""COMPUTED_VALUE"""),287.72)</f>
        <v>287.72000000000003</v>
      </c>
      <c r="F1799" s="1">
        <f ca="1">IFERROR(__xludf.DUMMYFUNCTION("""COMPUTED_VALUE"""),41736117)</f>
        <v>41736117</v>
      </c>
    </row>
    <row r="1800" spans="1:6" x14ac:dyDescent="0.35">
      <c r="A1800" s="2">
        <f ca="1">IFERROR(__xludf.DUMMYFUNCTION("""COMPUTED_VALUE"""),44615.6666666666)</f>
        <v>44615.666666666599</v>
      </c>
      <c r="B1800" s="1">
        <f ca="1">IFERROR(__xludf.DUMMYFUNCTION("""COMPUTED_VALUE"""),290.18)</f>
        <v>290.18</v>
      </c>
      <c r="C1800" s="1">
        <f ca="1">IFERROR(__xludf.DUMMYFUNCTION("""COMPUTED_VALUE"""),291.7)</f>
        <v>291.7</v>
      </c>
      <c r="D1800" s="1">
        <f ca="1">IFERROR(__xludf.DUMMYFUNCTION("""COMPUTED_VALUE"""),280.1)</f>
        <v>280.10000000000002</v>
      </c>
      <c r="E1800" s="1">
        <f ca="1">IFERROR(__xludf.DUMMYFUNCTION("""COMPUTED_VALUE"""),280.27)</f>
        <v>280.27</v>
      </c>
      <c r="F1800" s="1">
        <f ca="1">IFERROR(__xludf.DUMMYFUNCTION("""COMPUTED_VALUE"""),37811167)</f>
        <v>37811167</v>
      </c>
    </row>
    <row r="1801" spans="1:6" x14ac:dyDescent="0.35">
      <c r="A1801" s="2">
        <f ca="1">IFERROR(__xludf.DUMMYFUNCTION("""COMPUTED_VALUE"""),44616.6666666666)</f>
        <v>44616.666666666599</v>
      </c>
      <c r="B1801" s="1">
        <f ca="1">IFERROR(__xludf.DUMMYFUNCTION("""COMPUTED_VALUE"""),272.51)</f>
        <v>272.51</v>
      </c>
      <c r="C1801" s="1">
        <f ca="1">IFERROR(__xludf.DUMMYFUNCTION("""COMPUTED_VALUE"""),295.16)</f>
        <v>295.16000000000003</v>
      </c>
      <c r="D1801" s="1">
        <f ca="1">IFERROR(__xludf.DUMMYFUNCTION("""COMPUTED_VALUE"""),271.52)</f>
        <v>271.52</v>
      </c>
      <c r="E1801" s="1">
        <f ca="1">IFERROR(__xludf.DUMMYFUNCTION("""COMPUTED_VALUE"""),294.59)</f>
        <v>294.58999999999997</v>
      </c>
      <c r="F1801" s="1">
        <f ca="1">IFERROR(__xludf.DUMMYFUNCTION("""COMPUTED_VALUE"""),56989686)</f>
        <v>56989686</v>
      </c>
    </row>
    <row r="1802" spans="1:6" x14ac:dyDescent="0.35">
      <c r="A1802" s="2">
        <f ca="1">IFERROR(__xludf.DUMMYFUNCTION("""COMPUTED_VALUE"""),44617.6666666666)</f>
        <v>44617.666666666599</v>
      </c>
      <c r="B1802" s="1">
        <f ca="1">IFERROR(__xludf.DUMMYFUNCTION("""COMPUTED_VALUE"""),295.14)</f>
        <v>295.14</v>
      </c>
      <c r="C1802" s="1">
        <f ca="1">IFERROR(__xludf.DUMMYFUNCTION("""COMPUTED_VALUE"""),297.63)</f>
        <v>297.63</v>
      </c>
      <c r="D1802" s="1">
        <f ca="1">IFERROR(__xludf.DUMMYFUNCTION("""COMPUTED_VALUE"""),291.65)</f>
        <v>291.64999999999998</v>
      </c>
      <c r="E1802" s="1">
        <f ca="1">IFERROR(__xludf.DUMMYFUNCTION("""COMPUTED_VALUE"""),297.31)</f>
        <v>297.31</v>
      </c>
      <c r="F1802" s="1">
        <f ca="1">IFERROR(__xludf.DUMMYFUNCTION("""COMPUTED_VALUE"""),32546721)</f>
        <v>32546721</v>
      </c>
    </row>
    <row r="1803" spans="1:6" x14ac:dyDescent="0.35">
      <c r="A1803" s="2">
        <f ca="1">IFERROR(__xludf.DUMMYFUNCTION("""COMPUTED_VALUE"""),44620.6666666666)</f>
        <v>44620.666666666599</v>
      </c>
      <c r="B1803" s="1">
        <f ca="1">IFERROR(__xludf.DUMMYFUNCTION("""COMPUTED_VALUE"""),294.31)</f>
        <v>294.31</v>
      </c>
      <c r="C1803" s="1">
        <f ca="1">IFERROR(__xludf.DUMMYFUNCTION("""COMPUTED_VALUE"""),299.14)</f>
        <v>299.14</v>
      </c>
      <c r="D1803" s="1">
        <f ca="1">IFERROR(__xludf.DUMMYFUNCTION("""COMPUTED_VALUE"""),293)</f>
        <v>293</v>
      </c>
      <c r="E1803" s="1">
        <f ca="1">IFERROR(__xludf.DUMMYFUNCTION("""COMPUTED_VALUE"""),298.79)</f>
        <v>298.79000000000002</v>
      </c>
      <c r="F1803" s="1">
        <f ca="1">IFERROR(__xludf.DUMMYFUNCTION("""COMPUTED_VALUE"""),34627457)</f>
        <v>34627457</v>
      </c>
    </row>
    <row r="1804" spans="1:6" x14ac:dyDescent="0.35">
      <c r="A1804" s="2">
        <f ca="1">IFERROR(__xludf.DUMMYFUNCTION("""COMPUTED_VALUE"""),44621.6666666666)</f>
        <v>44621.666666666599</v>
      </c>
      <c r="B1804" s="1">
        <f ca="1">IFERROR(__xludf.DUMMYFUNCTION("""COMPUTED_VALUE"""),296.4)</f>
        <v>296.39999999999998</v>
      </c>
      <c r="C1804" s="1">
        <f ca="1">IFERROR(__xludf.DUMMYFUNCTION("""COMPUTED_VALUE"""),299.97)</f>
        <v>299.97000000000003</v>
      </c>
      <c r="D1804" s="1">
        <f ca="1">IFERROR(__xludf.DUMMYFUNCTION("""COMPUTED_VALUE"""),292.15)</f>
        <v>292.14999999999998</v>
      </c>
      <c r="E1804" s="1">
        <f ca="1">IFERROR(__xludf.DUMMYFUNCTION("""COMPUTED_VALUE"""),294.95)</f>
        <v>294.95</v>
      </c>
      <c r="F1804" s="1">
        <f ca="1">IFERROR(__xludf.DUMMYFUNCTION("""COMPUTED_VALUE"""),31217778)</f>
        <v>31217778</v>
      </c>
    </row>
    <row r="1805" spans="1:6" x14ac:dyDescent="0.35">
      <c r="A1805" s="2">
        <f ca="1">IFERROR(__xludf.DUMMYFUNCTION("""COMPUTED_VALUE"""),44622.6666666666)</f>
        <v>44622.666666666599</v>
      </c>
      <c r="B1805" s="1">
        <f ca="1">IFERROR(__xludf.DUMMYFUNCTION("""COMPUTED_VALUE"""),295.36)</f>
        <v>295.36</v>
      </c>
      <c r="C1805" s="1">
        <f ca="1">IFERROR(__xludf.DUMMYFUNCTION("""COMPUTED_VALUE"""),301.47)</f>
        <v>301.47000000000003</v>
      </c>
      <c r="D1805" s="1">
        <f ca="1">IFERROR(__xludf.DUMMYFUNCTION("""COMPUTED_VALUE"""),293.7)</f>
        <v>293.7</v>
      </c>
      <c r="E1805" s="1">
        <f ca="1">IFERROR(__xludf.DUMMYFUNCTION("""COMPUTED_VALUE"""),300.19)</f>
        <v>300.19</v>
      </c>
      <c r="F1805" s="1">
        <f ca="1">IFERROR(__xludf.DUMMYFUNCTION("""COMPUTED_VALUE"""),31873007)</f>
        <v>31873007</v>
      </c>
    </row>
    <row r="1806" spans="1:6" x14ac:dyDescent="0.35">
      <c r="A1806" s="2">
        <f ca="1">IFERROR(__xludf.DUMMYFUNCTION("""COMPUTED_VALUE"""),44623.6666666666)</f>
        <v>44623.666666666599</v>
      </c>
      <c r="B1806" s="1">
        <f ca="1">IFERROR(__xludf.DUMMYFUNCTION("""COMPUTED_VALUE"""),302.89)</f>
        <v>302.89</v>
      </c>
      <c r="C1806" s="1">
        <f ca="1">IFERROR(__xludf.DUMMYFUNCTION("""COMPUTED_VALUE"""),303.13)</f>
        <v>303.13</v>
      </c>
      <c r="D1806" s="1">
        <f ca="1">IFERROR(__xludf.DUMMYFUNCTION("""COMPUTED_VALUE"""),294.05)</f>
        <v>294.05</v>
      </c>
      <c r="E1806" s="1">
        <f ca="1">IFERROR(__xludf.DUMMYFUNCTION("""COMPUTED_VALUE"""),295.92)</f>
        <v>295.92</v>
      </c>
      <c r="F1806" s="1">
        <f ca="1">IFERROR(__xludf.DUMMYFUNCTION("""COMPUTED_VALUE"""),27314469)</f>
        <v>27314469</v>
      </c>
    </row>
    <row r="1807" spans="1:6" x14ac:dyDescent="0.35">
      <c r="A1807" s="2">
        <f ca="1">IFERROR(__xludf.DUMMYFUNCTION("""COMPUTED_VALUE"""),44624.6666666666)</f>
        <v>44624.666666666599</v>
      </c>
      <c r="B1807" s="1">
        <f ca="1">IFERROR(__xludf.DUMMYFUNCTION("""COMPUTED_VALUE"""),294.29)</f>
        <v>294.29000000000002</v>
      </c>
      <c r="C1807" s="1">
        <f ca="1">IFERROR(__xludf.DUMMYFUNCTION("""COMPUTED_VALUE"""),295.66)</f>
        <v>295.66000000000003</v>
      </c>
      <c r="D1807" s="1">
        <f ca="1">IFERROR(__xludf.DUMMYFUNCTION("""COMPUTED_VALUE"""),287.17)</f>
        <v>287.17</v>
      </c>
      <c r="E1807" s="1">
        <f ca="1">IFERROR(__xludf.DUMMYFUNCTION("""COMPUTED_VALUE"""),289.86)</f>
        <v>289.86</v>
      </c>
      <c r="F1807" s="1">
        <f ca="1">IFERROR(__xludf.DUMMYFUNCTION("""COMPUTED_VALUE"""),32369655)</f>
        <v>32369655</v>
      </c>
    </row>
    <row r="1808" spans="1:6" x14ac:dyDescent="0.35">
      <c r="A1808" s="2">
        <f ca="1">IFERROR(__xludf.DUMMYFUNCTION("""COMPUTED_VALUE"""),44627.6666666666)</f>
        <v>44627.666666666599</v>
      </c>
      <c r="B1808" s="1">
        <f ca="1">IFERROR(__xludf.DUMMYFUNCTION("""COMPUTED_VALUE"""),288.53)</f>
        <v>288.52999999999997</v>
      </c>
      <c r="C1808" s="1">
        <f ca="1">IFERROR(__xludf.DUMMYFUNCTION("""COMPUTED_VALUE"""),289.69)</f>
        <v>289.69</v>
      </c>
      <c r="D1808" s="1">
        <f ca="1">IFERROR(__xludf.DUMMYFUNCTION("""COMPUTED_VALUE"""),278.53)</f>
        <v>278.52999999999997</v>
      </c>
      <c r="E1808" s="1">
        <f ca="1">IFERROR(__xludf.DUMMYFUNCTION("""COMPUTED_VALUE"""),278.91)</f>
        <v>278.91000000000003</v>
      </c>
      <c r="F1808" s="1">
        <f ca="1">IFERROR(__xludf.DUMMYFUNCTION("""COMPUTED_VALUE"""),43157178)</f>
        <v>43157178</v>
      </c>
    </row>
    <row r="1809" spans="1:6" x14ac:dyDescent="0.35">
      <c r="A1809" s="2">
        <f ca="1">IFERROR(__xludf.DUMMYFUNCTION("""COMPUTED_VALUE"""),44628.6666666666)</f>
        <v>44628.666666666599</v>
      </c>
      <c r="B1809" s="1">
        <f ca="1">IFERROR(__xludf.DUMMYFUNCTION("""COMPUTED_VALUE"""),277.8)</f>
        <v>277.8</v>
      </c>
      <c r="C1809" s="1">
        <f ca="1">IFERROR(__xludf.DUMMYFUNCTION("""COMPUTED_VALUE"""),283.96)</f>
        <v>283.95999999999998</v>
      </c>
      <c r="D1809" s="1">
        <f ca="1">IFERROR(__xludf.DUMMYFUNCTION("""COMPUTED_VALUE"""),270)</f>
        <v>270</v>
      </c>
      <c r="E1809" s="1">
        <f ca="1">IFERROR(__xludf.DUMMYFUNCTION("""COMPUTED_VALUE"""),275.85)</f>
        <v>275.85000000000002</v>
      </c>
      <c r="F1809" s="1">
        <f ca="1">IFERROR(__xludf.DUMMYFUNCTION("""COMPUTED_VALUE"""),48159475)</f>
        <v>48159475</v>
      </c>
    </row>
    <row r="1810" spans="1:6" x14ac:dyDescent="0.35">
      <c r="A1810" s="2">
        <f ca="1">IFERROR(__xludf.DUMMYFUNCTION("""COMPUTED_VALUE"""),44629.6666666666)</f>
        <v>44629.666666666599</v>
      </c>
      <c r="B1810" s="1">
        <f ca="1">IFERROR(__xludf.DUMMYFUNCTION("""COMPUTED_VALUE"""),283.44)</f>
        <v>283.44</v>
      </c>
      <c r="C1810" s="1">
        <f ca="1">IFERROR(__xludf.DUMMYFUNCTION("""COMPUTED_VALUE"""),289.6)</f>
        <v>289.60000000000002</v>
      </c>
      <c r="D1810" s="1">
        <f ca="1">IFERROR(__xludf.DUMMYFUNCTION("""COMPUTED_VALUE"""),280.78)</f>
        <v>280.77999999999997</v>
      </c>
      <c r="E1810" s="1">
        <f ca="1">IFERROR(__xludf.DUMMYFUNCTION("""COMPUTED_VALUE"""),288.5)</f>
        <v>288.5</v>
      </c>
      <c r="F1810" s="1">
        <f ca="1">IFERROR(__xludf.DUMMYFUNCTION("""COMPUTED_VALUE"""),35204480)</f>
        <v>35204480</v>
      </c>
    </row>
    <row r="1811" spans="1:6" x14ac:dyDescent="0.35">
      <c r="A1811" s="2">
        <f ca="1">IFERROR(__xludf.DUMMYFUNCTION("""COMPUTED_VALUE"""),44630.6666666666)</f>
        <v>44630.666666666599</v>
      </c>
      <c r="B1811" s="1">
        <f ca="1">IFERROR(__xludf.DUMMYFUNCTION("""COMPUTED_VALUE"""),283.02)</f>
        <v>283.02</v>
      </c>
      <c r="C1811" s="1">
        <f ca="1">IFERROR(__xludf.DUMMYFUNCTION("""COMPUTED_VALUE"""),286.6)</f>
        <v>286.60000000000002</v>
      </c>
      <c r="D1811" s="1">
        <f ca="1">IFERROR(__xludf.DUMMYFUNCTION("""COMPUTED_VALUE"""),280.58)</f>
        <v>280.58</v>
      </c>
      <c r="E1811" s="1">
        <f ca="1">IFERROR(__xludf.DUMMYFUNCTION("""COMPUTED_VALUE"""),285.59)</f>
        <v>285.58999999999997</v>
      </c>
      <c r="F1811" s="1">
        <f ca="1">IFERROR(__xludf.DUMMYFUNCTION("""COMPUTED_VALUE"""),30628012)</f>
        <v>30628012</v>
      </c>
    </row>
    <row r="1812" spans="1:6" x14ac:dyDescent="0.35">
      <c r="A1812" s="2">
        <f ca="1">IFERROR(__xludf.DUMMYFUNCTION("""COMPUTED_VALUE"""),44631.6666666666)</f>
        <v>44631.666666666599</v>
      </c>
      <c r="B1812" s="1">
        <f ca="1">IFERROR(__xludf.DUMMYFUNCTION("""COMPUTED_VALUE"""),287.96)</f>
        <v>287.95999999999998</v>
      </c>
      <c r="C1812" s="1">
        <f ca="1">IFERROR(__xludf.DUMMYFUNCTION("""COMPUTED_VALUE"""),289.51)</f>
        <v>289.51</v>
      </c>
      <c r="D1812" s="1">
        <f ca="1">IFERROR(__xludf.DUMMYFUNCTION("""COMPUTED_VALUE"""),279.43)</f>
        <v>279.43</v>
      </c>
      <c r="E1812" s="1">
        <f ca="1">IFERROR(__xludf.DUMMYFUNCTION("""COMPUTED_VALUE"""),280.07)</f>
        <v>280.07</v>
      </c>
      <c r="F1812" s="1">
        <f ca="1">IFERROR(__xludf.DUMMYFUNCTION("""COMPUTED_VALUE"""),27209330)</f>
        <v>27209330</v>
      </c>
    </row>
    <row r="1813" spans="1:6" x14ac:dyDescent="0.35">
      <c r="A1813" s="2">
        <f ca="1">IFERROR(__xludf.DUMMYFUNCTION("""COMPUTED_VALUE"""),44634.6666666666)</f>
        <v>44634.666666666599</v>
      </c>
      <c r="B1813" s="1">
        <f ca="1">IFERROR(__xludf.DUMMYFUNCTION("""COMPUTED_VALUE"""),280.34)</f>
        <v>280.33999999999997</v>
      </c>
      <c r="C1813" s="1">
        <f ca="1">IFERROR(__xludf.DUMMYFUNCTION("""COMPUTED_VALUE"""),285.4)</f>
        <v>285.39999999999998</v>
      </c>
      <c r="D1813" s="1">
        <f ca="1">IFERROR(__xludf.DUMMYFUNCTION("""COMPUTED_VALUE"""),275.82)</f>
        <v>275.82</v>
      </c>
      <c r="E1813" s="1">
        <f ca="1">IFERROR(__xludf.DUMMYFUNCTION("""COMPUTED_VALUE"""),276.44)</f>
        <v>276.44</v>
      </c>
      <c r="F1813" s="1">
        <f ca="1">IFERROR(__xludf.DUMMYFUNCTION("""COMPUTED_VALUE"""),30660747)</f>
        <v>30660747</v>
      </c>
    </row>
    <row r="1814" spans="1:6" x14ac:dyDescent="0.35">
      <c r="A1814" s="2">
        <f ca="1">IFERROR(__xludf.DUMMYFUNCTION("""COMPUTED_VALUE"""),44635.6666666666)</f>
        <v>44635.666666666599</v>
      </c>
      <c r="B1814" s="1">
        <f ca="1">IFERROR(__xludf.DUMMYFUNCTION("""COMPUTED_VALUE"""),280.35)</f>
        <v>280.35000000000002</v>
      </c>
      <c r="C1814" s="1">
        <f ca="1">IFERROR(__xludf.DUMMYFUNCTION("""COMPUTED_VALUE"""),287.82)</f>
        <v>287.82</v>
      </c>
      <c r="D1814" s="1">
        <f ca="1">IFERROR(__xludf.DUMMYFUNCTION("""COMPUTED_VALUE"""),278.73)</f>
        <v>278.73</v>
      </c>
      <c r="E1814" s="1">
        <f ca="1">IFERROR(__xludf.DUMMYFUNCTION("""COMPUTED_VALUE"""),287.15)</f>
        <v>287.14999999999998</v>
      </c>
      <c r="F1814" s="1">
        <f ca="1">IFERROR(__xludf.DUMMYFUNCTION("""COMPUTED_VALUE"""),34245085)</f>
        <v>34245085</v>
      </c>
    </row>
    <row r="1815" spans="1:6" x14ac:dyDescent="0.35">
      <c r="A1815" s="2">
        <f ca="1">IFERROR(__xludf.DUMMYFUNCTION("""COMPUTED_VALUE"""),44636.6666666666)</f>
        <v>44636.666666666599</v>
      </c>
      <c r="B1815" s="1">
        <f ca="1">IFERROR(__xludf.DUMMYFUNCTION("""COMPUTED_VALUE"""),289.11)</f>
        <v>289.11</v>
      </c>
      <c r="C1815" s="1">
        <f ca="1">IFERROR(__xludf.DUMMYFUNCTION("""COMPUTED_VALUE"""),294.57)</f>
        <v>294.57</v>
      </c>
      <c r="D1815" s="1">
        <f ca="1">IFERROR(__xludf.DUMMYFUNCTION("""COMPUTED_VALUE"""),283.2)</f>
        <v>283.2</v>
      </c>
      <c r="E1815" s="1">
        <f ca="1">IFERROR(__xludf.DUMMYFUNCTION("""COMPUTED_VALUE"""),294.39)</f>
        <v>294.39</v>
      </c>
      <c r="F1815" s="1">
        <f ca="1">IFERROR(__xludf.DUMMYFUNCTION("""COMPUTED_VALUE"""),37826329)</f>
        <v>37826329</v>
      </c>
    </row>
    <row r="1816" spans="1:6" x14ac:dyDescent="0.35">
      <c r="A1816" s="2">
        <f ca="1">IFERROR(__xludf.DUMMYFUNCTION("""COMPUTED_VALUE"""),44637.6666666666)</f>
        <v>44637.666666666599</v>
      </c>
      <c r="B1816" s="1">
        <f ca="1">IFERROR(__xludf.DUMMYFUNCTION("""COMPUTED_VALUE"""),293.29)</f>
        <v>293.29000000000002</v>
      </c>
      <c r="C1816" s="1">
        <f ca="1">IFERROR(__xludf.DUMMYFUNCTION("""COMPUTED_VALUE"""),295.61)</f>
        <v>295.61</v>
      </c>
      <c r="D1816" s="1">
        <f ca="1">IFERROR(__xludf.DUMMYFUNCTION("""COMPUTED_VALUE"""),289.37)</f>
        <v>289.37</v>
      </c>
      <c r="E1816" s="1">
        <f ca="1">IFERROR(__xludf.DUMMYFUNCTION("""COMPUTED_VALUE"""),295.22)</f>
        <v>295.22000000000003</v>
      </c>
      <c r="F1816" s="1">
        <f ca="1">IFERROR(__xludf.DUMMYFUNCTION("""COMPUTED_VALUE"""),30816633)</f>
        <v>30816633</v>
      </c>
    </row>
    <row r="1817" spans="1:6" x14ac:dyDescent="0.35">
      <c r="A1817" s="2">
        <f ca="1">IFERROR(__xludf.DUMMYFUNCTION("""COMPUTED_VALUE"""),44638.6666666666)</f>
        <v>44638.666666666599</v>
      </c>
      <c r="B1817" s="1">
        <f ca="1">IFERROR(__xludf.DUMMYFUNCTION("""COMPUTED_VALUE"""),295.37)</f>
        <v>295.37</v>
      </c>
      <c r="C1817" s="1">
        <f ca="1">IFERROR(__xludf.DUMMYFUNCTION("""COMPUTED_VALUE"""),301)</f>
        <v>301</v>
      </c>
      <c r="D1817" s="1">
        <f ca="1">IFERROR(__xludf.DUMMYFUNCTION("""COMPUTED_VALUE"""),292.73)</f>
        <v>292.73</v>
      </c>
      <c r="E1817" s="1">
        <f ca="1">IFERROR(__xludf.DUMMYFUNCTION("""COMPUTED_VALUE"""),300.43)</f>
        <v>300.43</v>
      </c>
      <c r="F1817" s="1">
        <f ca="1">IFERROR(__xludf.DUMMYFUNCTION("""COMPUTED_VALUE"""),43390625)</f>
        <v>43390625</v>
      </c>
    </row>
    <row r="1818" spans="1:6" x14ac:dyDescent="0.35">
      <c r="A1818" s="2">
        <f ca="1">IFERROR(__xludf.DUMMYFUNCTION("""COMPUTED_VALUE"""),44641.6666666666)</f>
        <v>44641.666666666599</v>
      </c>
      <c r="B1818" s="1">
        <f ca="1">IFERROR(__xludf.DUMMYFUNCTION("""COMPUTED_VALUE"""),298.89)</f>
        <v>298.89</v>
      </c>
      <c r="C1818" s="1">
        <f ca="1">IFERROR(__xludf.DUMMYFUNCTION("""COMPUTED_VALUE"""),300.14)</f>
        <v>300.14</v>
      </c>
      <c r="D1818" s="1">
        <f ca="1">IFERROR(__xludf.DUMMYFUNCTION("""COMPUTED_VALUE"""),294.9)</f>
        <v>294.89999999999998</v>
      </c>
      <c r="E1818" s="1">
        <f ca="1">IFERROR(__xludf.DUMMYFUNCTION("""COMPUTED_VALUE"""),299.16)</f>
        <v>299.16000000000003</v>
      </c>
      <c r="F1818" s="1">
        <f ca="1">IFERROR(__xludf.DUMMYFUNCTION("""COMPUTED_VALUE"""),28351245)</f>
        <v>28351245</v>
      </c>
    </row>
    <row r="1819" spans="1:6" x14ac:dyDescent="0.35">
      <c r="A1819" s="2">
        <f ca="1">IFERROR(__xludf.DUMMYFUNCTION("""COMPUTED_VALUE"""),44642.6666666666)</f>
        <v>44642.666666666599</v>
      </c>
      <c r="B1819" s="1">
        <f ca="1">IFERROR(__xludf.DUMMYFUNCTION("""COMPUTED_VALUE"""),299.8)</f>
        <v>299.8</v>
      </c>
      <c r="C1819" s="1">
        <f ca="1">IFERROR(__xludf.DUMMYFUNCTION("""COMPUTED_VALUE"""),305)</f>
        <v>305</v>
      </c>
      <c r="D1819" s="1">
        <f ca="1">IFERROR(__xludf.DUMMYFUNCTION("""COMPUTED_VALUE"""),298.77)</f>
        <v>298.77</v>
      </c>
      <c r="E1819" s="1">
        <f ca="1">IFERROR(__xludf.DUMMYFUNCTION("""COMPUTED_VALUE"""),304.06)</f>
        <v>304.06</v>
      </c>
      <c r="F1819" s="1">
        <f ca="1">IFERROR(__xludf.DUMMYFUNCTION("""COMPUTED_VALUE"""),27599689)</f>
        <v>27599689</v>
      </c>
    </row>
    <row r="1820" spans="1:6" x14ac:dyDescent="0.35">
      <c r="A1820" s="2">
        <f ca="1">IFERROR(__xludf.DUMMYFUNCTION("""COMPUTED_VALUE"""),44643.6666666666)</f>
        <v>44643.666666666599</v>
      </c>
      <c r="B1820" s="1">
        <f ca="1">IFERROR(__xludf.DUMMYFUNCTION("""COMPUTED_VALUE"""),300.51)</f>
        <v>300.51</v>
      </c>
      <c r="C1820" s="1">
        <f ca="1">IFERROR(__xludf.DUMMYFUNCTION("""COMPUTED_VALUE"""),303.23)</f>
        <v>303.23</v>
      </c>
      <c r="D1820" s="1">
        <f ca="1">IFERROR(__xludf.DUMMYFUNCTION("""COMPUTED_VALUE"""),297.72)</f>
        <v>297.72000000000003</v>
      </c>
      <c r="E1820" s="1">
        <f ca="1">IFERROR(__xludf.DUMMYFUNCTION("""COMPUTED_VALUE"""),299.49)</f>
        <v>299.49</v>
      </c>
      <c r="F1820" s="1">
        <f ca="1">IFERROR(__xludf.DUMMYFUNCTION("""COMPUTED_VALUE"""),25715377)</f>
        <v>25715377</v>
      </c>
    </row>
    <row r="1821" spans="1:6" x14ac:dyDescent="0.35">
      <c r="A1821" s="2">
        <f ca="1">IFERROR(__xludf.DUMMYFUNCTION("""COMPUTED_VALUE"""),44644.6666666666)</f>
        <v>44644.666666666599</v>
      </c>
      <c r="B1821" s="1">
        <f ca="1">IFERROR(__xludf.DUMMYFUNCTION("""COMPUTED_VALUE"""),299.14)</f>
        <v>299.14</v>
      </c>
      <c r="C1821" s="1">
        <f ca="1">IFERROR(__xludf.DUMMYFUNCTION("""COMPUTED_VALUE"""),304.2)</f>
        <v>304.2</v>
      </c>
      <c r="D1821" s="1">
        <f ca="1">IFERROR(__xludf.DUMMYFUNCTION("""COMPUTED_VALUE"""),298.32)</f>
        <v>298.32</v>
      </c>
      <c r="E1821" s="1">
        <f ca="1">IFERROR(__xludf.DUMMYFUNCTION("""COMPUTED_VALUE"""),304.1)</f>
        <v>304.10000000000002</v>
      </c>
      <c r="F1821" s="1">
        <f ca="1">IFERROR(__xludf.DUMMYFUNCTION("""COMPUTED_VALUE"""),24484456)</f>
        <v>24484456</v>
      </c>
    </row>
    <row r="1822" spans="1:6" x14ac:dyDescent="0.35">
      <c r="A1822" s="2">
        <f ca="1">IFERROR(__xludf.DUMMYFUNCTION("""COMPUTED_VALUE"""),44645.6666666666)</f>
        <v>44645.666666666599</v>
      </c>
      <c r="B1822" s="1">
        <f ca="1">IFERROR(__xludf.DUMMYFUNCTION("""COMPUTED_VALUE"""),305.23)</f>
        <v>305.23</v>
      </c>
      <c r="C1822" s="1">
        <f ca="1">IFERROR(__xludf.DUMMYFUNCTION("""COMPUTED_VALUE"""),305.5)</f>
        <v>305.5</v>
      </c>
      <c r="D1822" s="1">
        <f ca="1">IFERROR(__xludf.DUMMYFUNCTION("""COMPUTED_VALUE"""),299.29)</f>
        <v>299.29000000000002</v>
      </c>
      <c r="E1822" s="1">
        <f ca="1">IFERROR(__xludf.DUMMYFUNCTION("""COMPUTED_VALUE"""),303.68)</f>
        <v>303.68</v>
      </c>
      <c r="F1822" s="1">
        <f ca="1">IFERROR(__xludf.DUMMYFUNCTION("""COMPUTED_VALUE"""),22566453)</f>
        <v>22566453</v>
      </c>
    </row>
    <row r="1823" spans="1:6" x14ac:dyDescent="0.35">
      <c r="A1823" s="2">
        <f ca="1">IFERROR(__xludf.DUMMYFUNCTION("""COMPUTED_VALUE"""),44648.6666666666)</f>
        <v>44648.666666666599</v>
      </c>
      <c r="B1823" s="1">
        <f ca="1">IFERROR(__xludf.DUMMYFUNCTION("""COMPUTED_VALUE"""),304.33)</f>
        <v>304.33</v>
      </c>
      <c r="C1823" s="1">
        <f ca="1">IFERROR(__xludf.DUMMYFUNCTION("""COMPUTED_VALUE"""),310.8)</f>
        <v>310.8</v>
      </c>
      <c r="D1823" s="1">
        <f ca="1">IFERROR(__xludf.DUMMYFUNCTION("""COMPUTED_VALUE"""),304.33)</f>
        <v>304.33</v>
      </c>
      <c r="E1823" s="1">
        <f ca="1">IFERROR(__xludf.DUMMYFUNCTION("""COMPUTED_VALUE"""),310.7)</f>
        <v>310.7</v>
      </c>
      <c r="F1823" s="1">
        <f ca="1">IFERROR(__xludf.DUMMYFUNCTION("""COMPUTED_VALUE"""),29578188)</f>
        <v>29578188</v>
      </c>
    </row>
    <row r="1824" spans="1:6" x14ac:dyDescent="0.35">
      <c r="A1824" s="2">
        <f ca="1">IFERROR(__xludf.DUMMYFUNCTION("""COMPUTED_VALUE"""),44649.6666666666)</f>
        <v>44649.666666666599</v>
      </c>
      <c r="B1824" s="1">
        <f ca="1">IFERROR(__xludf.DUMMYFUNCTION("""COMPUTED_VALUE"""),313.91)</f>
        <v>313.91000000000003</v>
      </c>
      <c r="C1824" s="1">
        <f ca="1">IFERROR(__xludf.DUMMYFUNCTION("""COMPUTED_VALUE"""),315.82)</f>
        <v>315.82</v>
      </c>
      <c r="D1824" s="1">
        <f ca="1">IFERROR(__xludf.DUMMYFUNCTION("""COMPUTED_VALUE"""),309.05)</f>
        <v>309.05</v>
      </c>
      <c r="E1824" s="1">
        <f ca="1">IFERROR(__xludf.DUMMYFUNCTION("""COMPUTED_VALUE"""),315.41)</f>
        <v>315.41000000000003</v>
      </c>
      <c r="F1824" s="1">
        <f ca="1">IFERROR(__xludf.DUMMYFUNCTION("""COMPUTED_VALUE"""),30393403)</f>
        <v>30393403</v>
      </c>
    </row>
    <row r="1825" spans="1:6" x14ac:dyDescent="0.35">
      <c r="A1825" s="2">
        <f ca="1">IFERROR(__xludf.DUMMYFUNCTION("""COMPUTED_VALUE"""),44650.6666666666)</f>
        <v>44650.666666666599</v>
      </c>
      <c r="B1825" s="1">
        <f ca="1">IFERROR(__xludf.DUMMYFUNCTION("""COMPUTED_VALUE"""),313.76)</f>
        <v>313.76</v>
      </c>
      <c r="C1825" s="1">
        <f ca="1">IFERROR(__xludf.DUMMYFUNCTION("""COMPUTED_VALUE"""),315.95)</f>
        <v>315.95</v>
      </c>
      <c r="D1825" s="1">
        <f ca="1">IFERROR(__xludf.DUMMYFUNCTION("""COMPUTED_VALUE"""),311.58)</f>
        <v>311.58</v>
      </c>
      <c r="E1825" s="1">
        <f ca="1">IFERROR(__xludf.DUMMYFUNCTION("""COMPUTED_VALUE"""),313.86)</f>
        <v>313.86</v>
      </c>
      <c r="F1825" s="1">
        <f ca="1">IFERROR(__xludf.DUMMYFUNCTION("""COMPUTED_VALUE"""),28163555)</f>
        <v>28163555</v>
      </c>
    </row>
    <row r="1826" spans="1:6" x14ac:dyDescent="0.35">
      <c r="A1826" s="2">
        <f ca="1">IFERROR(__xludf.DUMMYFUNCTION("""COMPUTED_VALUE"""),44651.6666666666)</f>
        <v>44651.666666666599</v>
      </c>
      <c r="B1826" s="1">
        <f ca="1">IFERROR(__xludf.DUMMYFUNCTION("""COMPUTED_VALUE"""),313.9)</f>
        <v>313.89999999999998</v>
      </c>
      <c r="C1826" s="1">
        <f ca="1">IFERROR(__xludf.DUMMYFUNCTION("""COMPUTED_VALUE"""),315.14)</f>
        <v>315.14</v>
      </c>
      <c r="D1826" s="1">
        <f ca="1">IFERROR(__xludf.DUMMYFUNCTION("""COMPUTED_VALUE"""),307.89)</f>
        <v>307.89</v>
      </c>
      <c r="E1826" s="1">
        <f ca="1">IFERROR(__xludf.DUMMYFUNCTION("""COMPUTED_VALUE"""),308.31)</f>
        <v>308.31</v>
      </c>
      <c r="F1826" s="1">
        <f ca="1">IFERROR(__xludf.DUMMYFUNCTION("""COMPUTED_VALUE"""),33422070)</f>
        <v>33422070</v>
      </c>
    </row>
    <row r="1827" spans="1:6" x14ac:dyDescent="0.35">
      <c r="A1827" s="2">
        <f ca="1">IFERROR(__xludf.DUMMYFUNCTION("""COMPUTED_VALUE"""),44652.6666666666)</f>
        <v>44652.666666666599</v>
      </c>
      <c r="B1827" s="1">
        <f ca="1">IFERROR(__xludf.DUMMYFUNCTION("""COMPUTED_VALUE"""),309.37)</f>
        <v>309.37</v>
      </c>
      <c r="C1827" s="1">
        <f ca="1">IFERROR(__xludf.DUMMYFUNCTION("""COMPUTED_VALUE"""),310.13)</f>
        <v>310.13</v>
      </c>
      <c r="D1827" s="1">
        <f ca="1">IFERROR(__xludf.DUMMYFUNCTION("""COMPUTED_VALUE"""),305.54)</f>
        <v>305.54000000000002</v>
      </c>
      <c r="E1827" s="1">
        <f ca="1">IFERROR(__xludf.DUMMYFUNCTION("""COMPUTED_VALUE"""),309.42)</f>
        <v>309.42</v>
      </c>
      <c r="F1827" s="1">
        <f ca="1">IFERROR(__xludf.DUMMYFUNCTION("""COMPUTED_VALUE"""),27110529)</f>
        <v>27110529</v>
      </c>
    </row>
    <row r="1828" spans="1:6" x14ac:dyDescent="0.35">
      <c r="A1828" s="2">
        <f ca="1">IFERROR(__xludf.DUMMYFUNCTION("""COMPUTED_VALUE"""),44655.6666666666)</f>
        <v>44655.666666666599</v>
      </c>
      <c r="B1828" s="1">
        <f ca="1">IFERROR(__xludf.DUMMYFUNCTION("""COMPUTED_VALUE"""),310.09)</f>
        <v>310.08999999999997</v>
      </c>
      <c r="C1828" s="1">
        <f ca="1">IFERROR(__xludf.DUMMYFUNCTION("""COMPUTED_VALUE"""),315.11)</f>
        <v>315.11</v>
      </c>
      <c r="D1828" s="1">
        <f ca="1">IFERROR(__xludf.DUMMYFUNCTION("""COMPUTED_VALUE"""),309.71)</f>
        <v>309.70999999999998</v>
      </c>
      <c r="E1828" s="1">
        <f ca="1">IFERROR(__xludf.DUMMYFUNCTION("""COMPUTED_VALUE"""),314.97)</f>
        <v>314.97000000000003</v>
      </c>
      <c r="F1828" s="1">
        <f ca="1">IFERROR(__xludf.DUMMYFUNCTION("""COMPUTED_VALUE"""),24335868)</f>
        <v>24335868</v>
      </c>
    </row>
    <row r="1829" spans="1:6" x14ac:dyDescent="0.35">
      <c r="A1829" s="2">
        <f ca="1">IFERROR(__xludf.DUMMYFUNCTION("""COMPUTED_VALUE"""),44656.6666666666)</f>
        <v>44656.666666666599</v>
      </c>
      <c r="B1829" s="1">
        <f ca="1">IFERROR(__xludf.DUMMYFUNCTION("""COMPUTED_VALUE"""),313.27)</f>
        <v>313.27</v>
      </c>
      <c r="C1829" s="1">
        <f ca="1">IFERROR(__xludf.DUMMYFUNCTION("""COMPUTED_VALUE"""),314.87)</f>
        <v>314.87</v>
      </c>
      <c r="D1829" s="1">
        <f ca="1">IFERROR(__xludf.DUMMYFUNCTION("""COMPUTED_VALUE"""),309.87)</f>
        <v>309.87</v>
      </c>
      <c r="E1829" s="1">
        <f ca="1">IFERROR(__xludf.DUMMYFUNCTION("""COMPUTED_VALUE"""),310.88)</f>
        <v>310.88</v>
      </c>
      <c r="F1829" s="1">
        <f ca="1">IFERROR(__xludf.DUMMYFUNCTION("""COMPUTED_VALUE"""),23156719)</f>
        <v>23156719</v>
      </c>
    </row>
    <row r="1830" spans="1:6" x14ac:dyDescent="0.35">
      <c r="A1830" s="2">
        <f ca="1">IFERROR(__xludf.DUMMYFUNCTION("""COMPUTED_VALUE"""),44657.6666666666)</f>
        <v>44657.666666666599</v>
      </c>
      <c r="B1830" s="1">
        <f ca="1">IFERROR(__xludf.DUMMYFUNCTION("""COMPUTED_VALUE"""),305.19)</f>
        <v>305.19</v>
      </c>
      <c r="C1830" s="1">
        <f ca="1">IFERROR(__xludf.DUMMYFUNCTION("""COMPUTED_VALUE"""),307)</f>
        <v>307</v>
      </c>
      <c r="D1830" s="1">
        <f ca="1">IFERROR(__xludf.DUMMYFUNCTION("""COMPUTED_VALUE"""),296.71)</f>
        <v>296.70999999999998</v>
      </c>
      <c r="E1830" s="1">
        <f ca="1">IFERROR(__xludf.DUMMYFUNCTION("""COMPUTED_VALUE"""),299.5)</f>
        <v>299.5</v>
      </c>
      <c r="F1830" s="1">
        <f ca="1">IFERROR(__xludf.DUMMYFUNCTION("""COMPUTED_VALUE"""),40110372)</f>
        <v>40110372</v>
      </c>
    </row>
    <row r="1831" spans="1:6" x14ac:dyDescent="0.35">
      <c r="A1831" s="2">
        <f ca="1">IFERROR(__xludf.DUMMYFUNCTION("""COMPUTED_VALUE"""),44658.6666666666)</f>
        <v>44658.666666666599</v>
      </c>
      <c r="B1831" s="1">
        <f ca="1">IFERROR(__xludf.DUMMYFUNCTION("""COMPUTED_VALUE"""),296.66)</f>
        <v>296.66000000000003</v>
      </c>
      <c r="C1831" s="1">
        <f ca="1">IFERROR(__xludf.DUMMYFUNCTION("""COMPUTED_VALUE"""),303.65)</f>
        <v>303.64999999999998</v>
      </c>
      <c r="D1831" s="1">
        <f ca="1">IFERROR(__xludf.DUMMYFUNCTION("""COMPUTED_VALUE"""),296.35)</f>
        <v>296.35000000000002</v>
      </c>
      <c r="E1831" s="1">
        <f ca="1">IFERROR(__xludf.DUMMYFUNCTION("""COMPUTED_VALUE"""),301.37)</f>
        <v>301.37</v>
      </c>
      <c r="F1831" s="1">
        <f ca="1">IFERROR(__xludf.DUMMYFUNCTION("""COMPUTED_VALUE"""),31411155)</f>
        <v>31411155</v>
      </c>
    </row>
    <row r="1832" spans="1:6" x14ac:dyDescent="0.35">
      <c r="A1832" s="2">
        <f ca="1">IFERROR(__xludf.DUMMYFUNCTION("""COMPUTED_VALUE"""),44659.6666666666)</f>
        <v>44659.666666666599</v>
      </c>
      <c r="B1832" s="1">
        <f ca="1">IFERROR(__xludf.DUMMYFUNCTION("""COMPUTED_VALUE"""),300.44)</f>
        <v>300.44</v>
      </c>
      <c r="C1832" s="1">
        <f ca="1">IFERROR(__xludf.DUMMYFUNCTION("""COMPUTED_VALUE"""),301.12)</f>
        <v>301.12</v>
      </c>
      <c r="D1832" s="1">
        <f ca="1">IFERROR(__xludf.DUMMYFUNCTION("""COMPUTED_VALUE"""),296.28)</f>
        <v>296.27999999999997</v>
      </c>
      <c r="E1832" s="1">
        <f ca="1">IFERROR(__xludf.DUMMYFUNCTION("""COMPUTED_VALUE"""),296.97)</f>
        <v>296.97000000000003</v>
      </c>
      <c r="F1832" s="1">
        <f ca="1">IFERROR(__xludf.DUMMYFUNCTION("""COMPUTED_VALUE"""),24361917)</f>
        <v>24361917</v>
      </c>
    </row>
    <row r="1833" spans="1:6" x14ac:dyDescent="0.35">
      <c r="A1833" s="2">
        <f ca="1">IFERROR(__xludf.DUMMYFUNCTION("""COMPUTED_VALUE"""),44662.6666666666)</f>
        <v>44662.666666666599</v>
      </c>
      <c r="B1833" s="1">
        <f ca="1">IFERROR(__xludf.DUMMYFUNCTION("""COMPUTED_VALUE"""),291.79)</f>
        <v>291.79000000000002</v>
      </c>
      <c r="C1833" s="1">
        <f ca="1">IFERROR(__xludf.DUMMYFUNCTION("""COMPUTED_VALUE"""),292.61)</f>
        <v>292.61</v>
      </c>
      <c r="D1833" s="1">
        <f ca="1">IFERROR(__xludf.DUMMYFUNCTION("""COMPUTED_VALUE"""),285)</f>
        <v>285</v>
      </c>
      <c r="E1833" s="1">
        <f ca="1">IFERROR(__xludf.DUMMYFUNCTION("""COMPUTED_VALUE"""),285.26)</f>
        <v>285.26</v>
      </c>
      <c r="F1833" s="1">
        <f ca="1">IFERROR(__xludf.DUMMYFUNCTION("""COMPUTED_VALUE"""),34569264)</f>
        <v>34569264</v>
      </c>
    </row>
    <row r="1834" spans="1:6" x14ac:dyDescent="0.35">
      <c r="A1834" s="2">
        <f ca="1">IFERROR(__xludf.DUMMYFUNCTION("""COMPUTED_VALUE"""),44663.6666666666)</f>
        <v>44663.666666666599</v>
      </c>
      <c r="B1834" s="1">
        <f ca="1">IFERROR(__xludf.DUMMYFUNCTION("""COMPUTED_VALUE"""),289.24)</f>
        <v>289.24</v>
      </c>
      <c r="C1834" s="1">
        <f ca="1">IFERROR(__xludf.DUMMYFUNCTION("""COMPUTED_VALUE"""),290.74)</f>
        <v>290.74</v>
      </c>
      <c r="D1834" s="1">
        <f ca="1">IFERROR(__xludf.DUMMYFUNCTION("""COMPUTED_VALUE"""),280.49)</f>
        <v>280.49</v>
      </c>
      <c r="E1834" s="1">
        <f ca="1">IFERROR(__xludf.DUMMYFUNCTION("""COMPUTED_VALUE"""),282.06)</f>
        <v>282.06</v>
      </c>
      <c r="F1834" s="1">
        <f ca="1">IFERROR(__xludf.DUMMYFUNCTION("""COMPUTED_VALUE"""),30966721)</f>
        <v>30966721</v>
      </c>
    </row>
    <row r="1835" spans="1:6" x14ac:dyDescent="0.35">
      <c r="A1835" s="2">
        <f ca="1">IFERROR(__xludf.DUMMYFUNCTION("""COMPUTED_VALUE"""),44664.6666666666)</f>
        <v>44664.666666666599</v>
      </c>
      <c r="B1835" s="1">
        <f ca="1">IFERROR(__xludf.DUMMYFUNCTION("""COMPUTED_VALUE"""),282.73)</f>
        <v>282.73</v>
      </c>
      <c r="C1835" s="1">
        <f ca="1">IFERROR(__xludf.DUMMYFUNCTION("""COMPUTED_VALUE"""),288.58)</f>
        <v>288.58</v>
      </c>
      <c r="D1835" s="1">
        <f ca="1">IFERROR(__xludf.DUMMYFUNCTION("""COMPUTED_VALUE"""),281.3)</f>
        <v>281.3</v>
      </c>
      <c r="E1835" s="1">
        <f ca="1">IFERROR(__xludf.DUMMYFUNCTION("""COMPUTED_VALUE"""),287.62)</f>
        <v>287.62</v>
      </c>
      <c r="F1835" s="1">
        <f ca="1">IFERROR(__xludf.DUMMYFUNCTION("""COMPUTED_VALUE"""),21907176)</f>
        <v>21907176</v>
      </c>
    </row>
    <row r="1836" spans="1:6" x14ac:dyDescent="0.35">
      <c r="A1836" s="2">
        <f ca="1">IFERROR(__xludf.DUMMYFUNCTION("""COMPUTED_VALUE"""),44665.6666666666)</f>
        <v>44665.666666666599</v>
      </c>
      <c r="B1836" s="1">
        <f ca="1">IFERROR(__xludf.DUMMYFUNCTION("""COMPUTED_VALUE"""),288.09)</f>
        <v>288.08999999999997</v>
      </c>
      <c r="C1836" s="1">
        <f ca="1">IFERROR(__xludf.DUMMYFUNCTION("""COMPUTED_VALUE"""),288.31)</f>
        <v>288.31</v>
      </c>
      <c r="D1836" s="1">
        <f ca="1">IFERROR(__xludf.DUMMYFUNCTION("""COMPUTED_VALUE"""),279.32)</f>
        <v>279.32</v>
      </c>
      <c r="E1836" s="1">
        <f ca="1">IFERROR(__xludf.DUMMYFUNCTION("""COMPUTED_VALUE"""),279.83)</f>
        <v>279.83</v>
      </c>
      <c r="F1836" s="1">
        <f ca="1">IFERROR(__xludf.DUMMYFUNCTION("""COMPUTED_VALUE"""),28221607)</f>
        <v>28221607</v>
      </c>
    </row>
    <row r="1837" spans="1:6" x14ac:dyDescent="0.35">
      <c r="A1837" s="2">
        <f ca="1">IFERROR(__xludf.DUMMYFUNCTION("""COMPUTED_VALUE"""),44669.6666666666)</f>
        <v>44669.666666666599</v>
      </c>
      <c r="B1837" s="1">
        <f ca="1">IFERROR(__xludf.DUMMYFUNCTION("""COMPUTED_VALUE"""),278.91)</f>
        <v>278.91000000000003</v>
      </c>
      <c r="C1837" s="1">
        <f ca="1">IFERROR(__xludf.DUMMYFUNCTION("""COMPUTED_VALUE"""),282.46)</f>
        <v>282.45999999999998</v>
      </c>
      <c r="D1837" s="1">
        <f ca="1">IFERROR(__xludf.DUMMYFUNCTION("""COMPUTED_VALUE"""),278.34)</f>
        <v>278.33999999999997</v>
      </c>
      <c r="E1837" s="1">
        <f ca="1">IFERROR(__xludf.DUMMYFUNCTION("""COMPUTED_VALUE"""),280.52)</f>
        <v>280.52</v>
      </c>
      <c r="F1837" s="1">
        <f ca="1">IFERROR(__xludf.DUMMYFUNCTION("""COMPUTED_VALUE"""),20778000)</f>
        <v>20778000</v>
      </c>
    </row>
    <row r="1838" spans="1:6" x14ac:dyDescent="0.35">
      <c r="A1838" s="2">
        <f ca="1">IFERROR(__xludf.DUMMYFUNCTION("""COMPUTED_VALUE"""),44670.6666666666)</f>
        <v>44670.666666666599</v>
      </c>
      <c r="B1838" s="1">
        <f ca="1">IFERROR(__xludf.DUMMYFUNCTION("""COMPUTED_VALUE"""),279.38)</f>
        <v>279.38</v>
      </c>
      <c r="C1838" s="1">
        <f ca="1">IFERROR(__xludf.DUMMYFUNCTION("""COMPUTED_VALUE"""),286.17)</f>
        <v>286.17</v>
      </c>
      <c r="D1838" s="1">
        <f ca="1">IFERROR(__xludf.DUMMYFUNCTION("""COMPUTED_VALUE"""),278.41)</f>
        <v>278.41000000000003</v>
      </c>
      <c r="E1838" s="1">
        <f ca="1">IFERROR(__xludf.DUMMYFUNCTION("""COMPUTED_VALUE"""),285.3)</f>
        <v>285.3</v>
      </c>
      <c r="F1838" s="1">
        <f ca="1">IFERROR(__xludf.DUMMYFUNCTION("""COMPUTED_VALUE"""),22297720)</f>
        <v>22297720</v>
      </c>
    </row>
    <row r="1839" spans="1:6" x14ac:dyDescent="0.35">
      <c r="A1839" s="2">
        <f ca="1">IFERROR(__xludf.DUMMYFUNCTION("""COMPUTED_VALUE"""),44671.6666666666)</f>
        <v>44671.666666666599</v>
      </c>
      <c r="B1839" s="1">
        <f ca="1">IFERROR(__xludf.DUMMYFUNCTION("""COMPUTED_VALUE"""),289.4)</f>
        <v>289.39999999999998</v>
      </c>
      <c r="C1839" s="1">
        <f ca="1">IFERROR(__xludf.DUMMYFUNCTION("""COMPUTED_VALUE"""),289.7)</f>
        <v>289.7</v>
      </c>
      <c r="D1839" s="1">
        <f ca="1">IFERROR(__xludf.DUMMYFUNCTION("""COMPUTED_VALUE"""),285.37)</f>
        <v>285.37</v>
      </c>
      <c r="E1839" s="1">
        <f ca="1">IFERROR(__xludf.DUMMYFUNCTION("""COMPUTED_VALUE"""),286.36)</f>
        <v>286.36</v>
      </c>
      <c r="F1839" s="1">
        <f ca="1">IFERROR(__xludf.DUMMYFUNCTION("""COMPUTED_VALUE"""),22906667)</f>
        <v>22906667</v>
      </c>
    </row>
    <row r="1840" spans="1:6" x14ac:dyDescent="0.35">
      <c r="A1840" s="2">
        <f ca="1">IFERROR(__xludf.DUMMYFUNCTION("""COMPUTED_VALUE"""),44672.6666666666)</f>
        <v>44672.666666666599</v>
      </c>
      <c r="B1840" s="1">
        <f ca="1">IFERROR(__xludf.DUMMYFUNCTION("""COMPUTED_VALUE"""),288.58)</f>
        <v>288.58</v>
      </c>
      <c r="C1840" s="1">
        <f ca="1">IFERROR(__xludf.DUMMYFUNCTION("""COMPUTED_VALUE"""),293.3)</f>
        <v>293.3</v>
      </c>
      <c r="D1840" s="1">
        <f ca="1">IFERROR(__xludf.DUMMYFUNCTION("""COMPUTED_VALUE"""),280.06)</f>
        <v>280.06</v>
      </c>
      <c r="E1840" s="1">
        <f ca="1">IFERROR(__xludf.DUMMYFUNCTION("""COMPUTED_VALUE"""),280.81)</f>
        <v>280.81</v>
      </c>
      <c r="F1840" s="1">
        <f ca="1">IFERROR(__xludf.DUMMYFUNCTION("""COMPUTED_VALUE"""),29454587)</f>
        <v>29454587</v>
      </c>
    </row>
    <row r="1841" spans="1:6" x14ac:dyDescent="0.35">
      <c r="A1841" s="2">
        <f ca="1">IFERROR(__xludf.DUMMYFUNCTION("""COMPUTED_VALUE"""),44673.6666666666)</f>
        <v>44673.666666666599</v>
      </c>
      <c r="B1841" s="1">
        <f ca="1">IFERROR(__xludf.DUMMYFUNCTION("""COMPUTED_VALUE"""),281.68)</f>
        <v>281.68</v>
      </c>
      <c r="C1841" s="1">
        <f ca="1">IFERROR(__xludf.DUMMYFUNCTION("""COMPUTED_VALUE"""),283.2)</f>
        <v>283.2</v>
      </c>
      <c r="D1841" s="1">
        <f ca="1">IFERROR(__xludf.DUMMYFUNCTION("""COMPUTED_VALUE"""),273.38)</f>
        <v>273.38</v>
      </c>
      <c r="E1841" s="1">
        <f ca="1">IFERROR(__xludf.DUMMYFUNCTION("""COMPUTED_VALUE"""),274.03)</f>
        <v>274.02999999999997</v>
      </c>
      <c r="F1841" s="1">
        <f ca="1">IFERROR(__xludf.DUMMYFUNCTION("""COMPUTED_VALUE"""),29405798)</f>
        <v>29405798</v>
      </c>
    </row>
    <row r="1842" spans="1:6" x14ac:dyDescent="0.35">
      <c r="A1842" s="2">
        <f ca="1">IFERROR(__xludf.DUMMYFUNCTION("""COMPUTED_VALUE"""),44676.6666666666)</f>
        <v>44676.666666666599</v>
      </c>
      <c r="B1842" s="1">
        <f ca="1">IFERROR(__xludf.DUMMYFUNCTION("""COMPUTED_VALUE"""),273.29)</f>
        <v>273.29000000000002</v>
      </c>
      <c r="C1842" s="1">
        <f ca="1">IFERROR(__xludf.DUMMYFUNCTION("""COMPUTED_VALUE"""),281.11)</f>
        <v>281.11</v>
      </c>
      <c r="D1842" s="1">
        <f ca="1">IFERROR(__xludf.DUMMYFUNCTION("""COMPUTED_VALUE"""),270.77)</f>
        <v>270.77</v>
      </c>
      <c r="E1842" s="1">
        <f ca="1">IFERROR(__xludf.DUMMYFUNCTION("""COMPUTED_VALUE"""),280.72)</f>
        <v>280.72000000000003</v>
      </c>
      <c r="F1842" s="1">
        <f ca="1">IFERROR(__xludf.DUMMYFUNCTION("""COMPUTED_VALUE"""),35678852)</f>
        <v>35678852</v>
      </c>
    </row>
    <row r="1843" spans="1:6" x14ac:dyDescent="0.35">
      <c r="A1843" s="2">
        <f ca="1">IFERROR(__xludf.DUMMYFUNCTION("""COMPUTED_VALUE"""),44677.6666666666)</f>
        <v>44677.666666666599</v>
      </c>
      <c r="B1843" s="1">
        <f ca="1">IFERROR(__xludf.DUMMYFUNCTION("""COMPUTED_VALUE"""),277.5)</f>
        <v>277.5</v>
      </c>
      <c r="C1843" s="1">
        <f ca="1">IFERROR(__xludf.DUMMYFUNCTION("""COMPUTED_VALUE"""),278.36)</f>
        <v>278.36</v>
      </c>
      <c r="D1843" s="1">
        <f ca="1">IFERROR(__xludf.DUMMYFUNCTION("""COMPUTED_VALUE"""),270)</f>
        <v>270</v>
      </c>
      <c r="E1843" s="1">
        <f ca="1">IFERROR(__xludf.DUMMYFUNCTION("""COMPUTED_VALUE"""),270.22)</f>
        <v>270.22000000000003</v>
      </c>
      <c r="F1843" s="1">
        <f ca="1">IFERROR(__xludf.DUMMYFUNCTION("""COMPUTED_VALUE"""),46518445)</f>
        <v>46518445</v>
      </c>
    </row>
    <row r="1844" spans="1:6" x14ac:dyDescent="0.35">
      <c r="A1844" s="2">
        <f ca="1">IFERROR(__xludf.DUMMYFUNCTION("""COMPUTED_VALUE"""),44678.6666666666)</f>
        <v>44678.666666666599</v>
      </c>
      <c r="B1844" s="1">
        <f ca="1">IFERROR(__xludf.DUMMYFUNCTION("""COMPUTED_VALUE"""),282.1)</f>
        <v>282.10000000000002</v>
      </c>
      <c r="C1844" s="1">
        <f ca="1">IFERROR(__xludf.DUMMYFUNCTION("""COMPUTED_VALUE"""),290.97)</f>
        <v>290.97000000000003</v>
      </c>
      <c r="D1844" s="1">
        <f ca="1">IFERROR(__xludf.DUMMYFUNCTION("""COMPUTED_VALUE"""),279.16)</f>
        <v>279.16000000000003</v>
      </c>
      <c r="E1844" s="1">
        <f ca="1">IFERROR(__xludf.DUMMYFUNCTION("""COMPUTED_VALUE"""),283.22)</f>
        <v>283.22000000000003</v>
      </c>
      <c r="F1844" s="1">
        <f ca="1">IFERROR(__xludf.DUMMYFUNCTION("""COMPUTED_VALUE"""),63477694)</f>
        <v>63477694</v>
      </c>
    </row>
    <row r="1845" spans="1:6" x14ac:dyDescent="0.35">
      <c r="A1845" s="2">
        <f ca="1">IFERROR(__xludf.DUMMYFUNCTION("""COMPUTED_VALUE"""),44679.6666666666)</f>
        <v>44679.666666666599</v>
      </c>
      <c r="B1845" s="1">
        <f ca="1">IFERROR(__xludf.DUMMYFUNCTION("""COMPUTED_VALUE"""),285.19)</f>
        <v>285.19</v>
      </c>
      <c r="C1845" s="1">
        <f ca="1">IFERROR(__xludf.DUMMYFUNCTION("""COMPUTED_VALUE"""),290.98)</f>
        <v>290.98</v>
      </c>
      <c r="D1845" s="1">
        <f ca="1">IFERROR(__xludf.DUMMYFUNCTION("""COMPUTED_VALUE"""),281.46)</f>
        <v>281.45999999999998</v>
      </c>
      <c r="E1845" s="1">
        <f ca="1">IFERROR(__xludf.DUMMYFUNCTION("""COMPUTED_VALUE"""),289.63)</f>
        <v>289.63</v>
      </c>
      <c r="F1845" s="1">
        <f ca="1">IFERROR(__xludf.DUMMYFUNCTION("""COMPUTED_VALUE"""),33646570)</f>
        <v>33646570</v>
      </c>
    </row>
    <row r="1846" spans="1:6" x14ac:dyDescent="0.35">
      <c r="A1846" s="2">
        <f ca="1">IFERROR(__xludf.DUMMYFUNCTION("""COMPUTED_VALUE"""),44680.6666666666)</f>
        <v>44680.666666666599</v>
      </c>
      <c r="B1846" s="1">
        <f ca="1">IFERROR(__xludf.DUMMYFUNCTION("""COMPUTED_VALUE"""),288.61)</f>
        <v>288.61</v>
      </c>
      <c r="C1846" s="1">
        <f ca="1">IFERROR(__xludf.DUMMYFUNCTION("""COMPUTED_VALUE"""),289.88)</f>
        <v>289.88</v>
      </c>
      <c r="D1846" s="1">
        <f ca="1">IFERROR(__xludf.DUMMYFUNCTION("""COMPUTED_VALUE"""),276.5)</f>
        <v>276.5</v>
      </c>
      <c r="E1846" s="1">
        <f ca="1">IFERROR(__xludf.DUMMYFUNCTION("""COMPUTED_VALUE"""),277.52)</f>
        <v>277.52</v>
      </c>
      <c r="F1846" s="1">
        <f ca="1">IFERROR(__xludf.DUMMYFUNCTION("""COMPUTED_VALUE"""),37073923)</f>
        <v>37073923</v>
      </c>
    </row>
    <row r="1847" spans="1:6" x14ac:dyDescent="0.35">
      <c r="A1847" s="2">
        <f ca="1">IFERROR(__xludf.DUMMYFUNCTION("""COMPUTED_VALUE"""),44683.6666666666)</f>
        <v>44683.666666666599</v>
      </c>
      <c r="B1847" s="1">
        <f ca="1">IFERROR(__xludf.DUMMYFUNCTION("""COMPUTED_VALUE"""),277.71)</f>
        <v>277.70999999999998</v>
      </c>
      <c r="C1847" s="1">
        <f ca="1">IFERROR(__xludf.DUMMYFUNCTION("""COMPUTED_VALUE"""),284.94)</f>
        <v>284.94</v>
      </c>
      <c r="D1847" s="1">
        <f ca="1">IFERROR(__xludf.DUMMYFUNCTION("""COMPUTED_VALUE"""),276.22)</f>
        <v>276.22000000000003</v>
      </c>
      <c r="E1847" s="1">
        <f ca="1">IFERROR(__xludf.DUMMYFUNCTION("""COMPUTED_VALUE"""),284.47)</f>
        <v>284.47000000000003</v>
      </c>
      <c r="F1847" s="1">
        <f ca="1">IFERROR(__xludf.DUMMYFUNCTION("""COMPUTED_VALUE"""),35151105)</f>
        <v>35151105</v>
      </c>
    </row>
    <row r="1848" spans="1:6" x14ac:dyDescent="0.35">
      <c r="A1848" s="2">
        <f ca="1">IFERROR(__xludf.DUMMYFUNCTION("""COMPUTED_VALUE"""),44684.6666666666)</f>
        <v>44684.666666666599</v>
      </c>
      <c r="B1848" s="1">
        <f ca="1">IFERROR(__xludf.DUMMYFUNCTION("""COMPUTED_VALUE"""),283.96)</f>
        <v>283.95999999999998</v>
      </c>
      <c r="C1848" s="1">
        <f ca="1">IFERROR(__xludf.DUMMYFUNCTION("""COMPUTED_VALUE"""),284.13)</f>
        <v>284.13</v>
      </c>
      <c r="D1848" s="1">
        <f ca="1">IFERROR(__xludf.DUMMYFUNCTION("""COMPUTED_VALUE"""),280.15)</f>
        <v>280.14999999999998</v>
      </c>
      <c r="E1848" s="1">
        <f ca="1">IFERROR(__xludf.DUMMYFUNCTION("""COMPUTED_VALUE"""),281.78)</f>
        <v>281.77999999999997</v>
      </c>
      <c r="F1848" s="1">
        <f ca="1">IFERROR(__xludf.DUMMYFUNCTION("""COMPUTED_VALUE"""),25978605)</f>
        <v>25978605</v>
      </c>
    </row>
    <row r="1849" spans="1:6" x14ac:dyDescent="0.35">
      <c r="A1849" s="2">
        <f ca="1">IFERROR(__xludf.DUMMYFUNCTION("""COMPUTED_VALUE"""),44685.6666666666)</f>
        <v>44685.666666666599</v>
      </c>
      <c r="B1849" s="1">
        <f ca="1">IFERROR(__xludf.DUMMYFUNCTION("""COMPUTED_VALUE"""),282.59)</f>
        <v>282.58999999999997</v>
      </c>
      <c r="C1849" s="1">
        <f ca="1">IFERROR(__xludf.DUMMYFUNCTION("""COMPUTED_VALUE"""),290.88)</f>
        <v>290.88</v>
      </c>
      <c r="D1849" s="1">
        <f ca="1">IFERROR(__xludf.DUMMYFUNCTION("""COMPUTED_VALUE"""),276.73)</f>
        <v>276.73</v>
      </c>
      <c r="E1849" s="1">
        <f ca="1">IFERROR(__xludf.DUMMYFUNCTION("""COMPUTED_VALUE"""),289.98)</f>
        <v>289.98</v>
      </c>
      <c r="F1849" s="1">
        <f ca="1">IFERROR(__xludf.DUMMYFUNCTION("""COMPUTED_VALUE"""),33599320)</f>
        <v>33599320</v>
      </c>
    </row>
    <row r="1850" spans="1:6" x14ac:dyDescent="0.35">
      <c r="A1850" s="2">
        <f ca="1">IFERROR(__xludf.DUMMYFUNCTION("""COMPUTED_VALUE"""),44686.6666666666)</f>
        <v>44686.666666666599</v>
      </c>
      <c r="B1850" s="1">
        <f ca="1">IFERROR(__xludf.DUMMYFUNCTION("""COMPUTED_VALUE"""),285.54)</f>
        <v>285.54000000000002</v>
      </c>
      <c r="C1850" s="1">
        <f ca="1">IFERROR(__xludf.DUMMYFUNCTION("""COMPUTED_VALUE"""),286.35)</f>
        <v>286.35000000000002</v>
      </c>
      <c r="D1850" s="1">
        <f ca="1">IFERROR(__xludf.DUMMYFUNCTION("""COMPUTED_VALUE"""),274.34)</f>
        <v>274.33999999999997</v>
      </c>
      <c r="E1850" s="1">
        <f ca="1">IFERROR(__xludf.DUMMYFUNCTION("""COMPUTED_VALUE"""),277.35)</f>
        <v>277.35000000000002</v>
      </c>
      <c r="F1850" s="1">
        <f ca="1">IFERROR(__xludf.DUMMYFUNCTION("""COMPUTED_VALUE"""),43260386)</f>
        <v>43260386</v>
      </c>
    </row>
    <row r="1851" spans="1:6" x14ac:dyDescent="0.35">
      <c r="A1851" s="2">
        <f ca="1">IFERROR(__xludf.DUMMYFUNCTION("""COMPUTED_VALUE"""),44687.6666666666)</f>
        <v>44687.666666666599</v>
      </c>
      <c r="B1851" s="1">
        <f ca="1">IFERROR(__xludf.DUMMYFUNCTION("""COMPUTED_VALUE"""),274.81)</f>
        <v>274.81</v>
      </c>
      <c r="C1851" s="1">
        <f ca="1">IFERROR(__xludf.DUMMYFUNCTION("""COMPUTED_VALUE"""),279.25)</f>
        <v>279.25</v>
      </c>
      <c r="D1851" s="1">
        <f ca="1">IFERROR(__xludf.DUMMYFUNCTION("""COMPUTED_VALUE"""),271.27)</f>
        <v>271.27</v>
      </c>
      <c r="E1851" s="1">
        <f ca="1">IFERROR(__xludf.DUMMYFUNCTION("""COMPUTED_VALUE"""),274.73)</f>
        <v>274.73</v>
      </c>
      <c r="F1851" s="1">
        <f ca="1">IFERROR(__xludf.DUMMYFUNCTION("""COMPUTED_VALUE"""),37780322)</f>
        <v>37780322</v>
      </c>
    </row>
    <row r="1852" spans="1:6" x14ac:dyDescent="0.35">
      <c r="A1852" s="2">
        <f ca="1">IFERROR(__xludf.DUMMYFUNCTION("""COMPUTED_VALUE"""),44690.6666666666)</f>
        <v>44690.666666666599</v>
      </c>
      <c r="B1852" s="1">
        <f ca="1">IFERROR(__xludf.DUMMYFUNCTION("""COMPUTED_VALUE"""),270.06)</f>
        <v>270.06</v>
      </c>
      <c r="C1852" s="1">
        <f ca="1">IFERROR(__xludf.DUMMYFUNCTION("""COMPUTED_VALUE"""),272.36)</f>
        <v>272.36</v>
      </c>
      <c r="D1852" s="1">
        <f ca="1">IFERROR(__xludf.DUMMYFUNCTION("""COMPUTED_VALUE"""),263.32)</f>
        <v>263.32</v>
      </c>
      <c r="E1852" s="1">
        <f ca="1">IFERROR(__xludf.DUMMYFUNCTION("""COMPUTED_VALUE"""),264.58)</f>
        <v>264.58</v>
      </c>
      <c r="F1852" s="1">
        <f ca="1">IFERROR(__xludf.DUMMYFUNCTION("""COMPUTED_VALUE"""),47725952)</f>
        <v>47725952</v>
      </c>
    </row>
    <row r="1853" spans="1:6" x14ac:dyDescent="0.35">
      <c r="A1853" s="2">
        <f ca="1">IFERROR(__xludf.DUMMYFUNCTION("""COMPUTED_VALUE"""),44691.6666666666)</f>
        <v>44691.666666666599</v>
      </c>
      <c r="B1853" s="1">
        <f ca="1">IFERROR(__xludf.DUMMYFUNCTION("""COMPUTED_VALUE"""),271.69)</f>
        <v>271.69</v>
      </c>
      <c r="C1853" s="1">
        <f ca="1">IFERROR(__xludf.DUMMYFUNCTION("""COMPUTED_VALUE"""),273.75)</f>
        <v>273.75</v>
      </c>
      <c r="D1853" s="1">
        <f ca="1">IFERROR(__xludf.DUMMYFUNCTION("""COMPUTED_VALUE"""),265.07)</f>
        <v>265.07</v>
      </c>
      <c r="E1853" s="1">
        <f ca="1">IFERROR(__xludf.DUMMYFUNCTION("""COMPUTED_VALUE"""),269.5)</f>
        <v>269.5</v>
      </c>
      <c r="F1853" s="1">
        <f ca="1">IFERROR(__xludf.DUMMYFUNCTION("""COMPUTED_VALUE"""),39336424)</f>
        <v>39336424</v>
      </c>
    </row>
    <row r="1854" spans="1:6" x14ac:dyDescent="0.35">
      <c r="A1854" s="2">
        <f ca="1">IFERROR(__xludf.DUMMYFUNCTION("""COMPUTED_VALUE"""),44692.6666666666)</f>
        <v>44692.666666666599</v>
      </c>
      <c r="B1854" s="1">
        <f ca="1">IFERROR(__xludf.DUMMYFUNCTION("""COMPUTED_VALUE"""),265.68)</f>
        <v>265.68</v>
      </c>
      <c r="C1854" s="1">
        <f ca="1">IFERROR(__xludf.DUMMYFUNCTION("""COMPUTED_VALUE"""),271.36)</f>
        <v>271.36</v>
      </c>
      <c r="D1854" s="1">
        <f ca="1">IFERROR(__xludf.DUMMYFUNCTION("""COMPUTED_VALUE"""),259.3)</f>
        <v>259.3</v>
      </c>
      <c r="E1854" s="1">
        <f ca="1">IFERROR(__xludf.DUMMYFUNCTION("""COMPUTED_VALUE"""),260.55)</f>
        <v>260.55</v>
      </c>
      <c r="F1854" s="1">
        <f ca="1">IFERROR(__xludf.DUMMYFUNCTION("""COMPUTED_VALUE"""),48975898)</f>
        <v>48975898</v>
      </c>
    </row>
    <row r="1855" spans="1:6" x14ac:dyDescent="0.35">
      <c r="A1855" s="2">
        <f ca="1">IFERROR(__xludf.DUMMYFUNCTION("""COMPUTED_VALUE"""),44693.6666666666)</f>
        <v>44693.666666666599</v>
      </c>
      <c r="B1855" s="1">
        <f ca="1">IFERROR(__xludf.DUMMYFUNCTION("""COMPUTED_VALUE"""),257.69)</f>
        <v>257.69</v>
      </c>
      <c r="C1855" s="1">
        <f ca="1">IFERROR(__xludf.DUMMYFUNCTION("""COMPUTED_VALUE"""),259.88)</f>
        <v>259.88</v>
      </c>
      <c r="D1855" s="1">
        <f ca="1">IFERROR(__xludf.DUMMYFUNCTION("""COMPUTED_VALUE"""),250.02)</f>
        <v>250.02</v>
      </c>
      <c r="E1855" s="1">
        <f ca="1">IFERROR(__xludf.DUMMYFUNCTION("""COMPUTED_VALUE"""),255.35)</f>
        <v>255.35</v>
      </c>
      <c r="F1855" s="1">
        <f ca="1">IFERROR(__xludf.DUMMYFUNCTION("""COMPUTED_VALUE"""),51033802)</f>
        <v>51033802</v>
      </c>
    </row>
    <row r="1856" spans="1:6" x14ac:dyDescent="0.35">
      <c r="A1856" s="2">
        <f ca="1">IFERROR(__xludf.DUMMYFUNCTION("""COMPUTED_VALUE"""),44694.6666666666)</f>
        <v>44694.666666666599</v>
      </c>
      <c r="B1856" s="1">
        <f ca="1">IFERROR(__xludf.DUMMYFUNCTION("""COMPUTED_VALUE"""),257.35)</f>
        <v>257.35000000000002</v>
      </c>
      <c r="C1856" s="1">
        <f ca="1">IFERROR(__xludf.DUMMYFUNCTION("""COMPUTED_VALUE"""),263.04)</f>
        <v>263.04000000000002</v>
      </c>
      <c r="D1856" s="1">
        <f ca="1">IFERROR(__xludf.DUMMYFUNCTION("""COMPUTED_VALUE"""),255.35)</f>
        <v>255.35</v>
      </c>
      <c r="E1856" s="1">
        <f ca="1">IFERROR(__xludf.DUMMYFUNCTION("""COMPUTED_VALUE"""),261.12)</f>
        <v>261.12</v>
      </c>
      <c r="F1856" s="1">
        <f ca="1">IFERROR(__xludf.DUMMYFUNCTION("""COMPUTED_VALUE"""),34925093)</f>
        <v>34925093</v>
      </c>
    </row>
    <row r="1857" spans="1:6" x14ac:dyDescent="0.35">
      <c r="A1857" s="2">
        <f ca="1">IFERROR(__xludf.DUMMYFUNCTION("""COMPUTED_VALUE"""),44697.6666666666)</f>
        <v>44697.666666666599</v>
      </c>
      <c r="B1857" s="1">
        <f ca="1">IFERROR(__xludf.DUMMYFUNCTION("""COMPUTED_VALUE"""),259.96)</f>
        <v>259.95999999999998</v>
      </c>
      <c r="C1857" s="1">
        <f ca="1">IFERROR(__xludf.DUMMYFUNCTION("""COMPUTED_VALUE"""),265.82)</f>
        <v>265.82</v>
      </c>
      <c r="D1857" s="1">
        <f ca="1">IFERROR(__xludf.DUMMYFUNCTION("""COMPUTED_VALUE"""),255.78)</f>
        <v>255.78</v>
      </c>
      <c r="E1857" s="1">
        <f ca="1">IFERROR(__xludf.DUMMYFUNCTION("""COMPUTED_VALUE"""),261.5)</f>
        <v>261.5</v>
      </c>
      <c r="F1857" s="1">
        <f ca="1">IFERROR(__xludf.DUMMYFUNCTION("""COMPUTED_VALUE"""),32550933)</f>
        <v>32550933</v>
      </c>
    </row>
    <row r="1858" spans="1:6" x14ac:dyDescent="0.35">
      <c r="A1858" s="2">
        <f ca="1">IFERROR(__xludf.DUMMYFUNCTION("""COMPUTED_VALUE"""),44698.6666666666)</f>
        <v>44698.666666666599</v>
      </c>
      <c r="B1858" s="1">
        <f ca="1">IFERROR(__xludf.DUMMYFUNCTION("""COMPUTED_VALUE"""),266.11)</f>
        <v>266.11</v>
      </c>
      <c r="C1858" s="1">
        <f ca="1">IFERROR(__xludf.DUMMYFUNCTION("""COMPUTED_VALUE"""),268.33)</f>
        <v>268.33</v>
      </c>
      <c r="D1858" s="1">
        <f ca="1">IFERROR(__xludf.DUMMYFUNCTION("""COMPUTED_VALUE"""),262.46)</f>
        <v>262.45999999999998</v>
      </c>
      <c r="E1858" s="1">
        <f ca="1">IFERROR(__xludf.DUMMYFUNCTION("""COMPUTED_VALUE"""),266.82)</f>
        <v>266.82</v>
      </c>
      <c r="F1858" s="1">
        <f ca="1">IFERROR(__xludf.DUMMYFUNCTION("""COMPUTED_VALUE"""),28828799)</f>
        <v>28828799</v>
      </c>
    </row>
    <row r="1859" spans="1:6" x14ac:dyDescent="0.35">
      <c r="A1859" s="2">
        <f ca="1">IFERROR(__xludf.DUMMYFUNCTION("""COMPUTED_VALUE"""),44699.6666666666)</f>
        <v>44699.666666666599</v>
      </c>
      <c r="B1859" s="1">
        <f ca="1">IFERROR(__xludf.DUMMYFUNCTION("""COMPUTED_VALUE"""),263)</f>
        <v>263</v>
      </c>
      <c r="C1859" s="1">
        <f ca="1">IFERROR(__xludf.DUMMYFUNCTION("""COMPUTED_VALUE"""),263.6)</f>
        <v>263.60000000000002</v>
      </c>
      <c r="D1859" s="1">
        <f ca="1">IFERROR(__xludf.DUMMYFUNCTION("""COMPUTED_VALUE"""),252.77)</f>
        <v>252.77</v>
      </c>
      <c r="E1859" s="1">
        <f ca="1">IFERROR(__xludf.DUMMYFUNCTION("""COMPUTED_VALUE"""),254.08)</f>
        <v>254.08</v>
      </c>
      <c r="F1859" s="1">
        <f ca="1">IFERROR(__xludf.DUMMYFUNCTION("""COMPUTED_VALUE"""),31355985)</f>
        <v>31355985</v>
      </c>
    </row>
    <row r="1860" spans="1:6" x14ac:dyDescent="0.35">
      <c r="A1860" s="2">
        <f ca="1">IFERROR(__xludf.DUMMYFUNCTION("""COMPUTED_VALUE"""),44700.6666666666)</f>
        <v>44700.666666666599</v>
      </c>
      <c r="B1860" s="1">
        <f ca="1">IFERROR(__xludf.DUMMYFUNCTION("""COMPUTED_VALUE"""),253.9)</f>
        <v>253.9</v>
      </c>
      <c r="C1860" s="1">
        <f ca="1">IFERROR(__xludf.DUMMYFUNCTION("""COMPUTED_VALUE"""),257.67)</f>
        <v>257.67</v>
      </c>
      <c r="D1860" s="1">
        <f ca="1">IFERROR(__xludf.DUMMYFUNCTION("""COMPUTED_VALUE"""),251.88)</f>
        <v>251.88</v>
      </c>
      <c r="E1860" s="1">
        <f ca="1">IFERROR(__xludf.DUMMYFUNCTION("""COMPUTED_VALUE"""),253.14)</f>
        <v>253.14</v>
      </c>
      <c r="F1860" s="1">
        <f ca="1">IFERROR(__xludf.DUMMYFUNCTION("""COMPUTED_VALUE"""),32692286)</f>
        <v>32692286</v>
      </c>
    </row>
    <row r="1861" spans="1:6" x14ac:dyDescent="0.35">
      <c r="A1861" s="2">
        <f ca="1">IFERROR(__xludf.DUMMYFUNCTION("""COMPUTED_VALUE"""),44701.6666666666)</f>
        <v>44701.666666666599</v>
      </c>
      <c r="B1861" s="1">
        <f ca="1">IFERROR(__xludf.DUMMYFUNCTION("""COMPUTED_VALUE"""),257.24)</f>
        <v>257.24</v>
      </c>
      <c r="C1861" s="1">
        <f ca="1">IFERROR(__xludf.DUMMYFUNCTION("""COMPUTED_VALUE"""),258.54)</f>
        <v>258.54000000000002</v>
      </c>
      <c r="D1861" s="1">
        <f ca="1">IFERROR(__xludf.DUMMYFUNCTION("""COMPUTED_VALUE"""),246.44)</f>
        <v>246.44</v>
      </c>
      <c r="E1861" s="1">
        <f ca="1">IFERROR(__xludf.DUMMYFUNCTION("""COMPUTED_VALUE"""),252.56)</f>
        <v>252.56</v>
      </c>
      <c r="F1861" s="1">
        <f ca="1">IFERROR(__xludf.DUMMYFUNCTION("""COMPUTED_VALUE"""),39199279)</f>
        <v>39199279</v>
      </c>
    </row>
    <row r="1862" spans="1:6" x14ac:dyDescent="0.35">
      <c r="A1862" s="2">
        <f ca="1">IFERROR(__xludf.DUMMYFUNCTION("""COMPUTED_VALUE"""),44704.6666666666)</f>
        <v>44704.666666666599</v>
      </c>
      <c r="B1862" s="1">
        <f ca="1">IFERROR(__xludf.DUMMYFUNCTION("""COMPUTED_VALUE"""),255.49)</f>
        <v>255.49</v>
      </c>
      <c r="C1862" s="1">
        <f ca="1">IFERROR(__xludf.DUMMYFUNCTION("""COMPUTED_VALUE"""),261.5)</f>
        <v>261.5</v>
      </c>
      <c r="D1862" s="1">
        <f ca="1">IFERROR(__xludf.DUMMYFUNCTION("""COMPUTED_VALUE"""),253.43)</f>
        <v>253.43</v>
      </c>
      <c r="E1862" s="1">
        <f ca="1">IFERROR(__xludf.DUMMYFUNCTION("""COMPUTED_VALUE"""),260.65)</f>
        <v>260.64999999999998</v>
      </c>
      <c r="F1862" s="1">
        <f ca="1">IFERROR(__xludf.DUMMYFUNCTION("""COMPUTED_VALUE"""),33175379)</f>
        <v>33175379</v>
      </c>
    </row>
    <row r="1863" spans="1:6" x14ac:dyDescent="0.35">
      <c r="A1863" s="2">
        <f ca="1">IFERROR(__xludf.DUMMYFUNCTION("""COMPUTED_VALUE"""),44705.6666666666)</f>
        <v>44705.666666666599</v>
      </c>
      <c r="B1863" s="1">
        <f ca="1">IFERROR(__xludf.DUMMYFUNCTION("""COMPUTED_VALUE"""),257.89)</f>
        <v>257.89</v>
      </c>
      <c r="C1863" s="1">
        <f ca="1">IFERROR(__xludf.DUMMYFUNCTION("""COMPUTED_VALUE"""),261.33)</f>
        <v>261.33</v>
      </c>
      <c r="D1863" s="1">
        <f ca="1">IFERROR(__xludf.DUMMYFUNCTION("""COMPUTED_VALUE"""),253.5)</f>
        <v>253.5</v>
      </c>
      <c r="E1863" s="1">
        <f ca="1">IFERROR(__xludf.DUMMYFUNCTION("""COMPUTED_VALUE"""),259.62)</f>
        <v>259.62</v>
      </c>
      <c r="F1863" s="1">
        <f ca="1">IFERROR(__xludf.DUMMYFUNCTION("""COMPUTED_VALUE"""),29043904)</f>
        <v>29043904</v>
      </c>
    </row>
    <row r="1864" spans="1:6" x14ac:dyDescent="0.35">
      <c r="A1864" s="2">
        <f ca="1">IFERROR(__xludf.DUMMYFUNCTION("""COMPUTED_VALUE"""),44706.6666666666)</f>
        <v>44706.666666666599</v>
      </c>
      <c r="B1864" s="1">
        <f ca="1">IFERROR(__xludf.DUMMYFUNCTION("""COMPUTED_VALUE"""),258.14)</f>
        <v>258.14</v>
      </c>
      <c r="C1864" s="1">
        <f ca="1">IFERROR(__xludf.DUMMYFUNCTION("""COMPUTED_VALUE"""),264.58)</f>
        <v>264.58</v>
      </c>
      <c r="D1864" s="1">
        <f ca="1">IFERROR(__xludf.DUMMYFUNCTION("""COMPUTED_VALUE"""),257.13)</f>
        <v>257.13</v>
      </c>
      <c r="E1864" s="1">
        <f ca="1">IFERROR(__xludf.DUMMYFUNCTION("""COMPUTED_VALUE"""),262.52)</f>
        <v>262.52</v>
      </c>
      <c r="F1864" s="1">
        <f ca="1">IFERROR(__xludf.DUMMYFUNCTION("""COMPUTED_VALUE"""),28547947)</f>
        <v>28547947</v>
      </c>
    </row>
    <row r="1865" spans="1:6" x14ac:dyDescent="0.35">
      <c r="A1865" s="2">
        <f ca="1">IFERROR(__xludf.DUMMYFUNCTION("""COMPUTED_VALUE"""),44707.6666666666)</f>
        <v>44707.666666666599</v>
      </c>
      <c r="B1865" s="1">
        <f ca="1">IFERROR(__xludf.DUMMYFUNCTION("""COMPUTED_VALUE"""),262.27)</f>
        <v>262.27</v>
      </c>
      <c r="C1865" s="1">
        <f ca="1">IFERROR(__xludf.DUMMYFUNCTION("""COMPUTED_VALUE"""),267.11)</f>
        <v>267.11</v>
      </c>
      <c r="D1865" s="1">
        <f ca="1">IFERROR(__xludf.DUMMYFUNCTION("""COMPUTED_VALUE"""),261.43)</f>
        <v>261.43</v>
      </c>
      <c r="E1865" s="1">
        <f ca="1">IFERROR(__xludf.DUMMYFUNCTION("""COMPUTED_VALUE"""),265.9)</f>
        <v>265.89999999999998</v>
      </c>
      <c r="F1865" s="1">
        <f ca="1">IFERROR(__xludf.DUMMYFUNCTION("""COMPUTED_VALUE"""),25002105)</f>
        <v>25002105</v>
      </c>
    </row>
    <row r="1866" spans="1:6" x14ac:dyDescent="0.35">
      <c r="A1866" s="2">
        <f ca="1">IFERROR(__xludf.DUMMYFUNCTION("""COMPUTED_VALUE"""),44708.6666666666)</f>
        <v>44708.666666666599</v>
      </c>
      <c r="B1866" s="1">
        <f ca="1">IFERROR(__xludf.DUMMYFUNCTION("""COMPUTED_VALUE"""),268.48)</f>
        <v>268.48</v>
      </c>
      <c r="C1866" s="1">
        <f ca="1">IFERROR(__xludf.DUMMYFUNCTION("""COMPUTED_VALUE"""),273.34)</f>
        <v>273.33999999999997</v>
      </c>
      <c r="D1866" s="1">
        <f ca="1">IFERROR(__xludf.DUMMYFUNCTION("""COMPUTED_VALUE"""),267.56)</f>
        <v>267.56</v>
      </c>
      <c r="E1866" s="1">
        <f ca="1">IFERROR(__xludf.DUMMYFUNCTION("""COMPUTED_VALUE"""),273.24)</f>
        <v>273.24</v>
      </c>
      <c r="F1866" s="1">
        <f ca="1">IFERROR(__xludf.DUMMYFUNCTION("""COMPUTED_VALUE"""),26910806)</f>
        <v>26910806</v>
      </c>
    </row>
    <row r="1867" spans="1:6" x14ac:dyDescent="0.35">
      <c r="A1867" s="2">
        <f ca="1">IFERROR(__xludf.DUMMYFUNCTION("""COMPUTED_VALUE"""),44712.6666666666)</f>
        <v>44712.666666666599</v>
      </c>
      <c r="B1867" s="1">
        <f ca="1">IFERROR(__xludf.DUMMYFUNCTION("""COMPUTED_VALUE"""),272.53)</f>
        <v>272.52999999999997</v>
      </c>
      <c r="C1867" s="1">
        <f ca="1">IFERROR(__xludf.DUMMYFUNCTION("""COMPUTED_VALUE"""),274.77)</f>
        <v>274.77</v>
      </c>
      <c r="D1867" s="1">
        <f ca="1">IFERROR(__xludf.DUMMYFUNCTION("""COMPUTED_VALUE"""),268.93)</f>
        <v>268.93</v>
      </c>
      <c r="E1867" s="1">
        <f ca="1">IFERROR(__xludf.DUMMYFUNCTION("""COMPUTED_VALUE"""),271.87)</f>
        <v>271.87</v>
      </c>
      <c r="F1867" s="1">
        <f ca="1">IFERROR(__xludf.DUMMYFUNCTION("""COMPUTED_VALUE"""),37827695)</f>
        <v>37827695</v>
      </c>
    </row>
    <row r="1868" spans="1:6" x14ac:dyDescent="0.35">
      <c r="A1868" s="2">
        <f ca="1">IFERROR(__xludf.DUMMYFUNCTION("""COMPUTED_VALUE"""),44713.6666666666)</f>
        <v>44713.666666666599</v>
      </c>
      <c r="B1868" s="1">
        <f ca="1">IFERROR(__xludf.DUMMYFUNCTION("""COMPUTED_VALUE"""),275.2)</f>
        <v>275.2</v>
      </c>
      <c r="C1868" s="1">
        <f ca="1">IFERROR(__xludf.DUMMYFUNCTION("""COMPUTED_VALUE"""),277.69)</f>
        <v>277.69</v>
      </c>
      <c r="D1868" s="1">
        <f ca="1">IFERROR(__xludf.DUMMYFUNCTION("""COMPUTED_VALUE"""),270.04)</f>
        <v>270.04000000000002</v>
      </c>
      <c r="E1868" s="1">
        <f ca="1">IFERROR(__xludf.DUMMYFUNCTION("""COMPUTED_VALUE"""),272.42)</f>
        <v>272.42</v>
      </c>
      <c r="F1868" s="1">
        <f ca="1">IFERROR(__xludf.DUMMYFUNCTION("""COMPUTED_VALUE"""),25292174)</f>
        <v>25292174</v>
      </c>
    </row>
    <row r="1869" spans="1:6" x14ac:dyDescent="0.35">
      <c r="A1869" s="2">
        <f ca="1">IFERROR(__xludf.DUMMYFUNCTION("""COMPUTED_VALUE"""),44714.6666666666)</f>
        <v>44714.666666666599</v>
      </c>
      <c r="B1869" s="1">
        <f ca="1">IFERROR(__xludf.DUMMYFUNCTION("""COMPUTED_VALUE"""),264.45)</f>
        <v>264.45</v>
      </c>
      <c r="C1869" s="1">
        <f ca="1">IFERROR(__xludf.DUMMYFUNCTION("""COMPUTED_VALUE"""),274.65)</f>
        <v>274.64999999999998</v>
      </c>
      <c r="D1869" s="1">
        <f ca="1">IFERROR(__xludf.DUMMYFUNCTION("""COMPUTED_VALUE"""),261.6)</f>
        <v>261.60000000000002</v>
      </c>
      <c r="E1869" s="1">
        <f ca="1">IFERROR(__xludf.DUMMYFUNCTION("""COMPUTED_VALUE"""),274.58)</f>
        <v>274.58</v>
      </c>
      <c r="F1869" s="1">
        <f ca="1">IFERROR(__xludf.DUMMYFUNCTION("""COMPUTED_VALUE"""),44008209)</f>
        <v>44008209</v>
      </c>
    </row>
    <row r="1870" spans="1:6" x14ac:dyDescent="0.35">
      <c r="A1870" s="2">
        <f ca="1">IFERROR(__xludf.DUMMYFUNCTION("""COMPUTED_VALUE"""),44715.6666666666)</f>
        <v>44715.666666666599</v>
      </c>
      <c r="B1870" s="1">
        <f ca="1">IFERROR(__xludf.DUMMYFUNCTION("""COMPUTED_VALUE"""),270.31)</f>
        <v>270.31</v>
      </c>
      <c r="C1870" s="1">
        <f ca="1">IFERROR(__xludf.DUMMYFUNCTION("""COMPUTED_VALUE"""),273.45)</f>
        <v>273.45</v>
      </c>
      <c r="D1870" s="1">
        <f ca="1">IFERROR(__xludf.DUMMYFUNCTION("""COMPUTED_VALUE"""),268.41)</f>
        <v>268.41000000000003</v>
      </c>
      <c r="E1870" s="1">
        <f ca="1">IFERROR(__xludf.DUMMYFUNCTION("""COMPUTED_VALUE"""),270.02)</f>
        <v>270.02</v>
      </c>
      <c r="F1870" s="1">
        <f ca="1">IFERROR(__xludf.DUMMYFUNCTION("""COMPUTED_VALUE"""),28058958)</f>
        <v>28058958</v>
      </c>
    </row>
    <row r="1871" spans="1:6" x14ac:dyDescent="0.35">
      <c r="A1871" s="2">
        <f ca="1">IFERROR(__xludf.DUMMYFUNCTION("""COMPUTED_VALUE"""),44718.6666666666)</f>
        <v>44718.666666666599</v>
      </c>
      <c r="B1871" s="1">
        <f ca="1">IFERROR(__xludf.DUMMYFUNCTION("""COMPUTED_VALUE"""),272.06)</f>
        <v>272.06</v>
      </c>
      <c r="C1871" s="1">
        <f ca="1">IFERROR(__xludf.DUMMYFUNCTION("""COMPUTED_VALUE"""),274.18)</f>
        <v>274.18</v>
      </c>
      <c r="D1871" s="1">
        <f ca="1">IFERROR(__xludf.DUMMYFUNCTION("""COMPUTED_VALUE"""),267.22)</f>
        <v>267.22000000000003</v>
      </c>
      <c r="E1871" s="1">
        <f ca="1">IFERROR(__xludf.DUMMYFUNCTION("""COMPUTED_VALUE"""),268.75)</f>
        <v>268.75</v>
      </c>
      <c r="F1871" s="1">
        <f ca="1">IFERROR(__xludf.DUMMYFUNCTION("""COMPUTED_VALUE"""),22400342)</f>
        <v>22400342</v>
      </c>
    </row>
    <row r="1872" spans="1:6" x14ac:dyDescent="0.35">
      <c r="A1872" s="2">
        <f ca="1">IFERROR(__xludf.DUMMYFUNCTION("""COMPUTED_VALUE"""),44719.6666666666)</f>
        <v>44719.666666666599</v>
      </c>
      <c r="B1872" s="1">
        <f ca="1">IFERROR(__xludf.DUMMYFUNCTION("""COMPUTED_VALUE"""),266.64)</f>
        <v>266.64</v>
      </c>
      <c r="C1872" s="1">
        <f ca="1">IFERROR(__xludf.DUMMYFUNCTION("""COMPUTED_VALUE"""),273.13)</f>
        <v>273.13</v>
      </c>
      <c r="D1872" s="1">
        <f ca="1">IFERROR(__xludf.DUMMYFUNCTION("""COMPUTED_VALUE"""),265.94)</f>
        <v>265.94</v>
      </c>
      <c r="E1872" s="1">
        <f ca="1">IFERROR(__xludf.DUMMYFUNCTION("""COMPUTED_VALUE"""),272.5)</f>
        <v>272.5</v>
      </c>
      <c r="F1872" s="1">
        <f ca="1">IFERROR(__xludf.DUMMYFUNCTION("""COMPUTED_VALUE"""),22860677)</f>
        <v>22860677</v>
      </c>
    </row>
    <row r="1873" spans="1:6" x14ac:dyDescent="0.35">
      <c r="A1873" s="2">
        <f ca="1">IFERROR(__xludf.DUMMYFUNCTION("""COMPUTED_VALUE"""),44720.6666666666)</f>
        <v>44720.666666666599</v>
      </c>
      <c r="B1873" s="1">
        <f ca="1">IFERROR(__xludf.DUMMYFUNCTION("""COMPUTED_VALUE"""),271.71)</f>
        <v>271.70999999999998</v>
      </c>
      <c r="C1873" s="1">
        <f ca="1">IFERROR(__xludf.DUMMYFUNCTION("""COMPUTED_VALUE"""),273)</f>
        <v>273</v>
      </c>
      <c r="D1873" s="1">
        <f ca="1">IFERROR(__xludf.DUMMYFUNCTION("""COMPUTED_VALUE"""),269.61)</f>
        <v>269.61</v>
      </c>
      <c r="E1873" s="1">
        <f ca="1">IFERROR(__xludf.DUMMYFUNCTION("""COMPUTED_VALUE"""),270.41)</f>
        <v>270.41000000000003</v>
      </c>
      <c r="F1873" s="1">
        <f ca="1">IFERROR(__xludf.DUMMYFUNCTION("""COMPUTED_VALUE"""),17372341)</f>
        <v>17372341</v>
      </c>
    </row>
    <row r="1874" spans="1:6" x14ac:dyDescent="0.35">
      <c r="A1874" s="2">
        <f ca="1">IFERROR(__xludf.DUMMYFUNCTION("""COMPUTED_VALUE"""),44721.6666666666)</f>
        <v>44721.666666666599</v>
      </c>
      <c r="B1874" s="1">
        <f ca="1">IFERROR(__xludf.DUMMYFUNCTION("""COMPUTED_VALUE"""),267.78)</f>
        <v>267.77999999999997</v>
      </c>
      <c r="C1874" s="1">
        <f ca="1">IFERROR(__xludf.DUMMYFUNCTION("""COMPUTED_VALUE"""),272.71)</f>
        <v>272.70999999999998</v>
      </c>
      <c r="D1874" s="1">
        <f ca="1">IFERROR(__xludf.DUMMYFUNCTION("""COMPUTED_VALUE"""),264.63)</f>
        <v>264.63</v>
      </c>
      <c r="E1874" s="1">
        <f ca="1">IFERROR(__xludf.DUMMYFUNCTION("""COMPUTED_VALUE"""),264.79)</f>
        <v>264.79000000000002</v>
      </c>
      <c r="F1874" s="1">
        <f ca="1">IFERROR(__xludf.DUMMYFUNCTION("""COMPUTED_VALUE"""),26439728)</f>
        <v>26439728</v>
      </c>
    </row>
    <row r="1875" spans="1:6" x14ac:dyDescent="0.35">
      <c r="A1875" s="2">
        <f ca="1">IFERROR(__xludf.DUMMYFUNCTION("""COMPUTED_VALUE"""),44722.6666666666)</f>
        <v>44722.666666666599</v>
      </c>
      <c r="B1875" s="1">
        <f ca="1">IFERROR(__xludf.DUMMYFUNCTION("""COMPUTED_VALUE"""),260.58)</f>
        <v>260.58</v>
      </c>
      <c r="C1875" s="1">
        <f ca="1">IFERROR(__xludf.DUMMYFUNCTION("""COMPUTED_VALUE"""),260.58)</f>
        <v>260.58</v>
      </c>
      <c r="D1875" s="1">
        <f ca="1">IFERROR(__xludf.DUMMYFUNCTION("""COMPUTED_VALUE"""),252.53)</f>
        <v>252.53</v>
      </c>
      <c r="E1875" s="1">
        <f ca="1">IFERROR(__xludf.DUMMYFUNCTION("""COMPUTED_VALUE"""),252.99)</f>
        <v>252.99</v>
      </c>
      <c r="F1875" s="1">
        <f ca="1">IFERROR(__xludf.DUMMYFUNCTION("""COMPUTED_VALUE"""),31445841)</f>
        <v>31445841</v>
      </c>
    </row>
    <row r="1876" spans="1:6" x14ac:dyDescent="0.35">
      <c r="A1876" s="2">
        <f ca="1">IFERROR(__xludf.DUMMYFUNCTION("""COMPUTED_VALUE"""),44725.6666666666)</f>
        <v>44725.666666666599</v>
      </c>
      <c r="B1876" s="1">
        <f ca="1">IFERROR(__xludf.DUMMYFUNCTION("""COMPUTED_VALUE"""),245.11)</f>
        <v>245.11</v>
      </c>
      <c r="C1876" s="1">
        <f ca="1">IFERROR(__xludf.DUMMYFUNCTION("""COMPUTED_VALUE"""),249.02)</f>
        <v>249.02</v>
      </c>
      <c r="D1876" s="1">
        <f ca="1">IFERROR(__xludf.DUMMYFUNCTION("""COMPUTED_VALUE"""),241.53)</f>
        <v>241.53</v>
      </c>
      <c r="E1876" s="1">
        <f ca="1">IFERROR(__xludf.DUMMYFUNCTION("""COMPUTED_VALUE"""),242.26)</f>
        <v>242.26</v>
      </c>
      <c r="F1876" s="1">
        <f ca="1">IFERROR(__xludf.DUMMYFUNCTION("""COMPUTED_VALUE"""),46135788)</f>
        <v>46135788</v>
      </c>
    </row>
    <row r="1877" spans="1:6" x14ac:dyDescent="0.35">
      <c r="A1877" s="2">
        <f ca="1">IFERROR(__xludf.DUMMYFUNCTION("""COMPUTED_VALUE"""),44726.6666666666)</f>
        <v>44726.666666666599</v>
      </c>
      <c r="B1877" s="1">
        <f ca="1">IFERROR(__xludf.DUMMYFUNCTION("""COMPUTED_VALUE"""),243.86)</f>
        <v>243.86</v>
      </c>
      <c r="C1877" s="1">
        <f ca="1">IFERROR(__xludf.DUMMYFUNCTION("""COMPUTED_VALUE"""),245.74)</f>
        <v>245.74</v>
      </c>
      <c r="D1877" s="1">
        <f ca="1">IFERROR(__xludf.DUMMYFUNCTION("""COMPUTED_VALUE"""),241.51)</f>
        <v>241.51</v>
      </c>
      <c r="E1877" s="1">
        <f ca="1">IFERROR(__xludf.DUMMYFUNCTION("""COMPUTED_VALUE"""),244.49)</f>
        <v>244.49</v>
      </c>
      <c r="F1877" s="1">
        <f ca="1">IFERROR(__xludf.DUMMYFUNCTION("""COMPUTED_VALUE"""),28651487)</f>
        <v>28651487</v>
      </c>
    </row>
    <row r="1878" spans="1:6" x14ac:dyDescent="0.35">
      <c r="A1878" s="2">
        <f ca="1">IFERROR(__xludf.DUMMYFUNCTION("""COMPUTED_VALUE"""),44727.6666666666)</f>
        <v>44727.666666666599</v>
      </c>
      <c r="B1878" s="1">
        <f ca="1">IFERROR(__xludf.DUMMYFUNCTION("""COMPUTED_VALUE"""),248.31)</f>
        <v>248.31</v>
      </c>
      <c r="C1878" s="1">
        <f ca="1">IFERROR(__xludf.DUMMYFUNCTION("""COMPUTED_VALUE"""),255.3)</f>
        <v>255.3</v>
      </c>
      <c r="D1878" s="1">
        <f ca="1">IFERROR(__xludf.DUMMYFUNCTION("""COMPUTED_VALUE"""),246.42)</f>
        <v>246.42</v>
      </c>
      <c r="E1878" s="1">
        <f ca="1">IFERROR(__xludf.DUMMYFUNCTION("""COMPUTED_VALUE"""),251.76)</f>
        <v>251.76</v>
      </c>
      <c r="F1878" s="1">
        <f ca="1">IFERROR(__xludf.DUMMYFUNCTION("""COMPUTED_VALUE"""),33111729)</f>
        <v>33111729</v>
      </c>
    </row>
    <row r="1879" spans="1:6" x14ac:dyDescent="0.35">
      <c r="A1879" s="2">
        <f ca="1">IFERROR(__xludf.DUMMYFUNCTION("""COMPUTED_VALUE"""),44728.6666666666)</f>
        <v>44728.666666666599</v>
      </c>
      <c r="B1879" s="1">
        <f ca="1">IFERROR(__xludf.DUMMYFUNCTION("""COMPUTED_VALUE"""),245.98)</f>
        <v>245.98</v>
      </c>
      <c r="C1879" s="1">
        <f ca="1">IFERROR(__xludf.DUMMYFUNCTION("""COMPUTED_VALUE"""),247.42)</f>
        <v>247.42</v>
      </c>
      <c r="D1879" s="1">
        <f ca="1">IFERROR(__xludf.DUMMYFUNCTION("""COMPUTED_VALUE"""),243.02)</f>
        <v>243.02</v>
      </c>
      <c r="E1879" s="1">
        <f ca="1">IFERROR(__xludf.DUMMYFUNCTION("""COMPUTED_VALUE"""),244.97)</f>
        <v>244.97</v>
      </c>
      <c r="F1879" s="1">
        <f ca="1">IFERROR(__xludf.DUMMYFUNCTION("""COMPUTED_VALUE"""),33169160)</f>
        <v>33169160</v>
      </c>
    </row>
    <row r="1880" spans="1:6" x14ac:dyDescent="0.35">
      <c r="A1880" s="2">
        <f ca="1">IFERROR(__xludf.DUMMYFUNCTION("""COMPUTED_VALUE"""),44729.6666666666)</f>
        <v>44729.666666666599</v>
      </c>
      <c r="B1880" s="1">
        <f ca="1">IFERROR(__xludf.DUMMYFUNCTION("""COMPUTED_VALUE"""),244.7)</f>
        <v>244.7</v>
      </c>
      <c r="C1880" s="1">
        <f ca="1">IFERROR(__xludf.DUMMYFUNCTION("""COMPUTED_VALUE"""),250.5)</f>
        <v>250.5</v>
      </c>
      <c r="D1880" s="1">
        <f ca="1">IFERROR(__xludf.DUMMYFUNCTION("""COMPUTED_VALUE"""),244.03)</f>
        <v>244.03</v>
      </c>
      <c r="E1880" s="1">
        <f ca="1">IFERROR(__xludf.DUMMYFUNCTION("""COMPUTED_VALUE"""),247.65)</f>
        <v>247.65</v>
      </c>
      <c r="F1880" s="1">
        <f ca="1">IFERROR(__xludf.DUMMYFUNCTION("""COMPUTED_VALUE"""),43084780)</f>
        <v>43084780</v>
      </c>
    </row>
    <row r="1881" spans="1:6" x14ac:dyDescent="0.35">
      <c r="A1881" s="2">
        <f ca="1">IFERROR(__xludf.DUMMYFUNCTION("""COMPUTED_VALUE"""),44733.6666666666)</f>
        <v>44733.666666666599</v>
      </c>
      <c r="B1881" s="1">
        <f ca="1">IFERROR(__xludf.DUMMYFUNCTION("""COMPUTED_VALUE"""),250.26)</f>
        <v>250.26</v>
      </c>
      <c r="C1881" s="1">
        <f ca="1">IFERROR(__xludf.DUMMYFUNCTION("""COMPUTED_VALUE"""),254.75)</f>
        <v>254.75</v>
      </c>
      <c r="D1881" s="1">
        <f ca="1">IFERROR(__xludf.DUMMYFUNCTION("""COMPUTED_VALUE"""),249.51)</f>
        <v>249.51</v>
      </c>
      <c r="E1881" s="1">
        <f ca="1">IFERROR(__xludf.DUMMYFUNCTION("""COMPUTED_VALUE"""),253.74)</f>
        <v>253.74</v>
      </c>
      <c r="F1881" s="1">
        <f ca="1">IFERROR(__xludf.DUMMYFUNCTION("""COMPUTED_VALUE"""),29928297)</f>
        <v>29928297</v>
      </c>
    </row>
    <row r="1882" spans="1:6" x14ac:dyDescent="0.35">
      <c r="A1882" s="2">
        <f ca="1">IFERROR(__xludf.DUMMYFUNCTION("""COMPUTED_VALUE"""),44734.6666666666)</f>
        <v>44734.666666666599</v>
      </c>
      <c r="B1882" s="1">
        <f ca="1">IFERROR(__xludf.DUMMYFUNCTION("""COMPUTED_VALUE"""),251.89)</f>
        <v>251.89</v>
      </c>
      <c r="C1882" s="1">
        <f ca="1">IFERROR(__xludf.DUMMYFUNCTION("""COMPUTED_VALUE"""),257.17)</f>
        <v>257.17</v>
      </c>
      <c r="D1882" s="1">
        <f ca="1">IFERROR(__xludf.DUMMYFUNCTION("""COMPUTED_VALUE"""),250.37)</f>
        <v>250.37</v>
      </c>
      <c r="E1882" s="1">
        <f ca="1">IFERROR(__xludf.DUMMYFUNCTION("""COMPUTED_VALUE"""),253.13)</f>
        <v>253.13</v>
      </c>
      <c r="F1882" s="1">
        <f ca="1">IFERROR(__xludf.DUMMYFUNCTION("""COMPUTED_VALUE"""),25961215)</f>
        <v>25961215</v>
      </c>
    </row>
    <row r="1883" spans="1:6" x14ac:dyDescent="0.35">
      <c r="A1883" s="2">
        <f ca="1">IFERROR(__xludf.DUMMYFUNCTION("""COMPUTED_VALUE"""),44735.6666666666)</f>
        <v>44735.666666666599</v>
      </c>
      <c r="B1883" s="1">
        <f ca="1">IFERROR(__xludf.DUMMYFUNCTION("""COMPUTED_VALUE"""),255.57)</f>
        <v>255.57</v>
      </c>
      <c r="C1883" s="1">
        <f ca="1">IFERROR(__xludf.DUMMYFUNCTION("""COMPUTED_VALUE"""),259.37)</f>
        <v>259.37</v>
      </c>
      <c r="D1883" s="1">
        <f ca="1">IFERROR(__xludf.DUMMYFUNCTION("""COMPUTED_VALUE"""),253.63)</f>
        <v>253.63</v>
      </c>
      <c r="E1883" s="1">
        <f ca="1">IFERROR(__xludf.DUMMYFUNCTION("""COMPUTED_VALUE"""),258.86)</f>
        <v>258.86</v>
      </c>
      <c r="F1883" s="1">
        <f ca="1">IFERROR(__xludf.DUMMYFUNCTION("""COMPUTED_VALUE"""),25861449)</f>
        <v>25861449</v>
      </c>
    </row>
    <row r="1884" spans="1:6" x14ac:dyDescent="0.35">
      <c r="A1884" s="2">
        <f ca="1">IFERROR(__xludf.DUMMYFUNCTION("""COMPUTED_VALUE"""),44736.6666666666)</f>
        <v>44736.666666666599</v>
      </c>
      <c r="B1884" s="1">
        <f ca="1">IFERROR(__xludf.DUMMYFUNCTION("""COMPUTED_VALUE"""),261.81)</f>
        <v>261.81</v>
      </c>
      <c r="C1884" s="1">
        <f ca="1">IFERROR(__xludf.DUMMYFUNCTION("""COMPUTED_VALUE"""),267.98)</f>
        <v>267.98</v>
      </c>
      <c r="D1884" s="1">
        <f ca="1">IFERROR(__xludf.DUMMYFUNCTION("""COMPUTED_VALUE"""),261.72)</f>
        <v>261.72000000000003</v>
      </c>
      <c r="E1884" s="1">
        <f ca="1">IFERROR(__xludf.DUMMYFUNCTION("""COMPUTED_VALUE"""),267.7)</f>
        <v>267.7</v>
      </c>
      <c r="F1884" s="1">
        <f ca="1">IFERROR(__xludf.DUMMYFUNCTION("""COMPUTED_VALUE"""),33923231)</f>
        <v>33923231</v>
      </c>
    </row>
    <row r="1885" spans="1:6" x14ac:dyDescent="0.35">
      <c r="A1885" s="2">
        <f ca="1">IFERROR(__xludf.DUMMYFUNCTION("""COMPUTED_VALUE"""),44739.6666666666)</f>
        <v>44739.666666666599</v>
      </c>
      <c r="B1885" s="1">
        <f ca="1">IFERROR(__xludf.DUMMYFUNCTION("""COMPUTED_VALUE"""),268.21)</f>
        <v>268.20999999999998</v>
      </c>
      <c r="C1885" s="1">
        <f ca="1">IFERROR(__xludf.DUMMYFUNCTION("""COMPUTED_VALUE"""),268.3)</f>
        <v>268.3</v>
      </c>
      <c r="D1885" s="1">
        <f ca="1">IFERROR(__xludf.DUMMYFUNCTION("""COMPUTED_VALUE"""),263.28)</f>
        <v>263.27999999999997</v>
      </c>
      <c r="E1885" s="1">
        <f ca="1">IFERROR(__xludf.DUMMYFUNCTION("""COMPUTED_VALUE"""),264.89)</f>
        <v>264.89</v>
      </c>
      <c r="F1885" s="1">
        <f ca="1">IFERROR(__xludf.DUMMYFUNCTION("""COMPUTED_VALUE"""),24615114)</f>
        <v>24615114</v>
      </c>
    </row>
    <row r="1886" spans="1:6" x14ac:dyDescent="0.35">
      <c r="A1886" s="2">
        <f ca="1">IFERROR(__xludf.DUMMYFUNCTION("""COMPUTED_VALUE"""),44740.6666666666)</f>
        <v>44740.666666666599</v>
      </c>
      <c r="B1886" s="1">
        <f ca="1">IFERROR(__xludf.DUMMYFUNCTION("""COMPUTED_VALUE"""),263.98)</f>
        <v>263.98</v>
      </c>
      <c r="C1886" s="1">
        <f ca="1">IFERROR(__xludf.DUMMYFUNCTION("""COMPUTED_VALUE"""),266.91)</f>
        <v>266.91000000000003</v>
      </c>
      <c r="D1886" s="1">
        <f ca="1">IFERROR(__xludf.DUMMYFUNCTION("""COMPUTED_VALUE"""),256.32)</f>
        <v>256.32</v>
      </c>
      <c r="E1886" s="1">
        <f ca="1">IFERROR(__xludf.DUMMYFUNCTION("""COMPUTED_VALUE"""),256.48)</f>
        <v>256.48</v>
      </c>
      <c r="F1886" s="1">
        <f ca="1">IFERROR(__xludf.DUMMYFUNCTION("""COMPUTED_VALUE"""),27380247)</f>
        <v>27380247</v>
      </c>
    </row>
    <row r="1887" spans="1:6" x14ac:dyDescent="0.35">
      <c r="A1887" s="2">
        <f ca="1">IFERROR(__xludf.DUMMYFUNCTION("""COMPUTED_VALUE"""),44741.6666666666)</f>
        <v>44741.666666666599</v>
      </c>
      <c r="B1887" s="1">
        <f ca="1">IFERROR(__xludf.DUMMYFUNCTION("""COMPUTED_VALUE"""),257.59)</f>
        <v>257.58999999999997</v>
      </c>
      <c r="C1887" s="1">
        <f ca="1">IFERROR(__xludf.DUMMYFUNCTION("""COMPUTED_VALUE"""),261.97)</f>
        <v>261.97000000000003</v>
      </c>
      <c r="D1887" s="1">
        <f ca="1">IFERROR(__xludf.DUMMYFUNCTION("""COMPUTED_VALUE"""),255.76)</f>
        <v>255.76</v>
      </c>
      <c r="E1887" s="1">
        <f ca="1">IFERROR(__xludf.DUMMYFUNCTION("""COMPUTED_VALUE"""),260.26)</f>
        <v>260.26</v>
      </c>
      <c r="F1887" s="1">
        <f ca="1">IFERROR(__xludf.DUMMYFUNCTION("""COMPUTED_VALUE"""),20069839)</f>
        <v>20069839</v>
      </c>
    </row>
    <row r="1888" spans="1:6" x14ac:dyDescent="0.35">
      <c r="A1888" s="2">
        <f ca="1">IFERROR(__xludf.DUMMYFUNCTION("""COMPUTED_VALUE"""),44742.6666666666)</f>
        <v>44742.666666666599</v>
      </c>
      <c r="B1888" s="1">
        <f ca="1">IFERROR(__xludf.DUMMYFUNCTION("""COMPUTED_VALUE"""),257.05)</f>
        <v>257.05</v>
      </c>
      <c r="C1888" s="1">
        <f ca="1">IFERROR(__xludf.DUMMYFUNCTION("""COMPUTED_VALUE"""),259.53)</f>
        <v>259.52999999999997</v>
      </c>
      <c r="D1888" s="1">
        <f ca="1">IFERROR(__xludf.DUMMYFUNCTION("""COMPUTED_VALUE"""),252.9)</f>
        <v>252.9</v>
      </c>
      <c r="E1888" s="1">
        <f ca="1">IFERROR(__xludf.DUMMYFUNCTION("""COMPUTED_VALUE"""),256.83)</f>
        <v>256.83</v>
      </c>
      <c r="F1888" s="1">
        <f ca="1">IFERROR(__xludf.DUMMYFUNCTION("""COMPUTED_VALUE"""),31730868)</f>
        <v>31730868</v>
      </c>
    </row>
    <row r="1889" spans="1:6" x14ac:dyDescent="0.35">
      <c r="A1889" s="2">
        <f ca="1">IFERROR(__xludf.DUMMYFUNCTION("""COMPUTED_VALUE"""),44743.6666666666)</f>
        <v>44743.666666666599</v>
      </c>
      <c r="B1889" s="1">
        <f ca="1">IFERROR(__xludf.DUMMYFUNCTION("""COMPUTED_VALUE"""),256.39)</f>
        <v>256.39</v>
      </c>
      <c r="C1889" s="1">
        <f ca="1">IFERROR(__xludf.DUMMYFUNCTION("""COMPUTED_VALUE"""),259.77)</f>
        <v>259.77</v>
      </c>
      <c r="D1889" s="1">
        <f ca="1">IFERROR(__xludf.DUMMYFUNCTION("""COMPUTED_VALUE"""),254.61)</f>
        <v>254.61</v>
      </c>
      <c r="E1889" s="1">
        <f ca="1">IFERROR(__xludf.DUMMYFUNCTION("""COMPUTED_VALUE"""),259.58)</f>
        <v>259.58</v>
      </c>
      <c r="F1889" s="1">
        <f ca="1">IFERROR(__xludf.DUMMYFUNCTION("""COMPUTED_VALUE"""),22837692)</f>
        <v>22837692</v>
      </c>
    </row>
    <row r="1890" spans="1:6" x14ac:dyDescent="0.35">
      <c r="A1890" s="2">
        <f ca="1">IFERROR(__xludf.DUMMYFUNCTION("""COMPUTED_VALUE"""),44747.6666666666)</f>
        <v>44747.666666666599</v>
      </c>
      <c r="B1890" s="1">
        <f ca="1">IFERROR(__xludf.DUMMYFUNCTION("""COMPUTED_VALUE"""),256.16)</f>
        <v>256.16000000000003</v>
      </c>
      <c r="C1890" s="1">
        <f ca="1">IFERROR(__xludf.DUMMYFUNCTION("""COMPUTED_VALUE"""),262.98)</f>
        <v>262.98</v>
      </c>
      <c r="D1890" s="1">
        <f ca="1">IFERROR(__xludf.DUMMYFUNCTION("""COMPUTED_VALUE"""),254.74)</f>
        <v>254.74</v>
      </c>
      <c r="E1890" s="1">
        <f ca="1">IFERROR(__xludf.DUMMYFUNCTION("""COMPUTED_VALUE"""),262.85)</f>
        <v>262.85000000000002</v>
      </c>
      <c r="F1890" s="1">
        <f ca="1">IFERROR(__xludf.DUMMYFUNCTION("""COMPUTED_VALUE"""),22971634)</f>
        <v>22971634</v>
      </c>
    </row>
    <row r="1891" spans="1:6" x14ac:dyDescent="0.35">
      <c r="A1891" s="2">
        <f ca="1">IFERROR(__xludf.DUMMYFUNCTION("""COMPUTED_VALUE"""),44748.6666666666)</f>
        <v>44748.666666666599</v>
      </c>
      <c r="B1891" s="1">
        <f ca="1">IFERROR(__xludf.DUMMYFUNCTION("""COMPUTED_VALUE"""),263.75)</f>
        <v>263.75</v>
      </c>
      <c r="C1891" s="1">
        <f ca="1">IFERROR(__xludf.DUMMYFUNCTION("""COMPUTED_VALUE"""),267.99)</f>
        <v>267.99</v>
      </c>
      <c r="D1891" s="1">
        <f ca="1">IFERROR(__xludf.DUMMYFUNCTION("""COMPUTED_VALUE"""),262.4)</f>
        <v>262.39999999999998</v>
      </c>
      <c r="E1891" s="1">
        <f ca="1">IFERROR(__xludf.DUMMYFUNCTION("""COMPUTED_VALUE"""),266.21)</f>
        <v>266.20999999999998</v>
      </c>
      <c r="F1891" s="1">
        <f ca="1">IFERROR(__xludf.DUMMYFUNCTION("""COMPUTED_VALUE"""),23824419)</f>
        <v>23824419</v>
      </c>
    </row>
    <row r="1892" spans="1:6" x14ac:dyDescent="0.35">
      <c r="A1892" s="2">
        <f ca="1">IFERROR(__xludf.DUMMYFUNCTION("""COMPUTED_VALUE"""),44749.6666666666)</f>
        <v>44749.666666666599</v>
      </c>
      <c r="B1892" s="1">
        <f ca="1">IFERROR(__xludf.DUMMYFUNCTION("""COMPUTED_VALUE"""),265.12)</f>
        <v>265.12</v>
      </c>
      <c r="C1892" s="1">
        <f ca="1">IFERROR(__xludf.DUMMYFUNCTION("""COMPUTED_VALUE"""),269.06)</f>
        <v>269.06</v>
      </c>
      <c r="D1892" s="1">
        <f ca="1">IFERROR(__xludf.DUMMYFUNCTION("""COMPUTED_VALUE"""),265.02)</f>
        <v>265.02</v>
      </c>
      <c r="E1892" s="1">
        <f ca="1">IFERROR(__xludf.DUMMYFUNCTION("""COMPUTED_VALUE"""),268.4)</f>
        <v>268.39999999999998</v>
      </c>
      <c r="F1892" s="1">
        <f ca="1">IFERROR(__xludf.DUMMYFUNCTION("""COMPUTED_VALUE"""),20859874)</f>
        <v>20859874</v>
      </c>
    </row>
    <row r="1893" spans="1:6" x14ac:dyDescent="0.35">
      <c r="A1893" s="2">
        <f ca="1">IFERROR(__xludf.DUMMYFUNCTION("""COMPUTED_VALUE"""),44750.6666666666)</f>
        <v>44750.666666666599</v>
      </c>
      <c r="B1893" s="1">
        <f ca="1">IFERROR(__xludf.DUMMYFUNCTION("""COMPUTED_VALUE"""),264.79)</f>
        <v>264.79000000000002</v>
      </c>
      <c r="C1893" s="1">
        <f ca="1">IFERROR(__xludf.DUMMYFUNCTION("""COMPUTED_VALUE"""),268.1)</f>
        <v>268.10000000000002</v>
      </c>
      <c r="D1893" s="1">
        <f ca="1">IFERROR(__xludf.DUMMYFUNCTION("""COMPUTED_VALUE"""),263.29)</f>
        <v>263.29000000000002</v>
      </c>
      <c r="E1893" s="1">
        <f ca="1">IFERROR(__xludf.DUMMYFUNCTION("""COMPUTED_VALUE"""),267.66)</f>
        <v>267.66000000000003</v>
      </c>
      <c r="F1893" s="1">
        <f ca="1">IFERROR(__xludf.DUMMYFUNCTION("""COMPUTED_VALUE"""),19658751)</f>
        <v>19658751</v>
      </c>
    </row>
    <row r="1894" spans="1:6" x14ac:dyDescent="0.35">
      <c r="A1894" s="2">
        <f ca="1">IFERROR(__xludf.DUMMYFUNCTION("""COMPUTED_VALUE"""),44753.6666666666)</f>
        <v>44753.666666666599</v>
      </c>
      <c r="B1894" s="1">
        <f ca="1">IFERROR(__xludf.DUMMYFUNCTION("""COMPUTED_VALUE"""),265.65)</f>
        <v>265.64999999999998</v>
      </c>
      <c r="C1894" s="1">
        <f ca="1">IFERROR(__xludf.DUMMYFUNCTION("""COMPUTED_VALUE"""),266.53)</f>
        <v>266.52999999999997</v>
      </c>
      <c r="D1894" s="1">
        <f ca="1">IFERROR(__xludf.DUMMYFUNCTION("""COMPUTED_VALUE"""),262.18)</f>
        <v>262.18</v>
      </c>
      <c r="E1894" s="1">
        <f ca="1">IFERROR(__xludf.DUMMYFUNCTION("""COMPUTED_VALUE"""),264.51)</f>
        <v>264.51</v>
      </c>
      <c r="F1894" s="1">
        <f ca="1">IFERROR(__xludf.DUMMYFUNCTION("""COMPUTED_VALUE"""),19519108)</f>
        <v>19519108</v>
      </c>
    </row>
    <row r="1895" spans="1:6" x14ac:dyDescent="0.35">
      <c r="A1895" s="2">
        <f ca="1">IFERROR(__xludf.DUMMYFUNCTION("""COMPUTED_VALUE"""),44754.6666666666)</f>
        <v>44754.666666666599</v>
      </c>
      <c r="B1895" s="1">
        <f ca="1">IFERROR(__xludf.DUMMYFUNCTION("""COMPUTED_VALUE"""),265.88)</f>
        <v>265.88</v>
      </c>
      <c r="C1895" s="1">
        <f ca="1">IFERROR(__xludf.DUMMYFUNCTION("""COMPUTED_VALUE"""),265.94)</f>
        <v>265.94</v>
      </c>
      <c r="D1895" s="1">
        <f ca="1">IFERROR(__xludf.DUMMYFUNCTION("""COMPUTED_VALUE"""),252.04)</f>
        <v>252.04</v>
      </c>
      <c r="E1895" s="1">
        <f ca="1">IFERROR(__xludf.DUMMYFUNCTION("""COMPUTED_VALUE"""),253.67)</f>
        <v>253.67</v>
      </c>
      <c r="F1895" s="1">
        <f ca="1">IFERROR(__xludf.DUMMYFUNCTION("""COMPUTED_VALUE"""),35868450)</f>
        <v>35868450</v>
      </c>
    </row>
    <row r="1896" spans="1:6" x14ac:dyDescent="0.35">
      <c r="A1896" s="2">
        <f ca="1">IFERROR(__xludf.DUMMYFUNCTION("""COMPUTED_VALUE"""),44755.6666666666)</f>
        <v>44755.666666666599</v>
      </c>
      <c r="B1896" s="1">
        <f ca="1">IFERROR(__xludf.DUMMYFUNCTION("""COMPUTED_VALUE"""),250.19)</f>
        <v>250.19</v>
      </c>
      <c r="C1896" s="1">
        <f ca="1">IFERROR(__xludf.DUMMYFUNCTION("""COMPUTED_VALUE"""),253.55)</f>
        <v>253.55</v>
      </c>
      <c r="D1896" s="1">
        <f ca="1">IFERROR(__xludf.DUMMYFUNCTION("""COMPUTED_VALUE"""),248.11)</f>
        <v>248.11</v>
      </c>
      <c r="E1896" s="1">
        <f ca="1">IFERROR(__xludf.DUMMYFUNCTION("""COMPUTED_VALUE"""),252.72)</f>
        <v>252.72</v>
      </c>
      <c r="F1896" s="1">
        <f ca="1">IFERROR(__xludf.DUMMYFUNCTION("""COMPUTED_VALUE"""),29497423)</f>
        <v>29497423</v>
      </c>
    </row>
    <row r="1897" spans="1:6" x14ac:dyDescent="0.35">
      <c r="A1897" s="2">
        <f ca="1">IFERROR(__xludf.DUMMYFUNCTION("""COMPUTED_VALUE"""),44756.6666666666)</f>
        <v>44756.666666666599</v>
      </c>
      <c r="B1897" s="1">
        <f ca="1">IFERROR(__xludf.DUMMYFUNCTION("""COMPUTED_VALUE"""),250.57)</f>
        <v>250.57</v>
      </c>
      <c r="C1897" s="1">
        <f ca="1">IFERROR(__xludf.DUMMYFUNCTION("""COMPUTED_VALUE"""),255.14)</f>
        <v>255.14</v>
      </c>
      <c r="D1897" s="1">
        <f ca="1">IFERROR(__xludf.DUMMYFUNCTION("""COMPUTED_VALUE"""),245.94)</f>
        <v>245.94</v>
      </c>
      <c r="E1897" s="1">
        <f ca="1">IFERROR(__xludf.DUMMYFUNCTION("""COMPUTED_VALUE"""),254.08)</f>
        <v>254.08</v>
      </c>
      <c r="F1897" s="1">
        <f ca="1">IFERROR(__xludf.DUMMYFUNCTION("""COMPUTED_VALUE"""),25102823)</f>
        <v>25102823</v>
      </c>
    </row>
    <row r="1898" spans="1:6" x14ac:dyDescent="0.35">
      <c r="A1898" s="2">
        <f ca="1">IFERROR(__xludf.DUMMYFUNCTION("""COMPUTED_VALUE"""),44757.6666666666)</f>
        <v>44757.666666666599</v>
      </c>
      <c r="B1898" s="1">
        <f ca="1">IFERROR(__xludf.DUMMYFUNCTION("""COMPUTED_VALUE"""),255.72)</f>
        <v>255.72</v>
      </c>
      <c r="C1898" s="1">
        <f ca="1">IFERROR(__xludf.DUMMYFUNCTION("""COMPUTED_VALUE"""),260.37)</f>
        <v>260.37</v>
      </c>
      <c r="D1898" s="1">
        <f ca="1">IFERROR(__xludf.DUMMYFUNCTION("""COMPUTED_VALUE"""),254.77)</f>
        <v>254.77</v>
      </c>
      <c r="E1898" s="1">
        <f ca="1">IFERROR(__xludf.DUMMYFUNCTION("""COMPUTED_VALUE"""),256.72)</f>
        <v>256.72000000000003</v>
      </c>
      <c r="F1898" s="1">
        <f ca="1">IFERROR(__xludf.DUMMYFUNCTION("""COMPUTED_VALUE"""),29774050)</f>
        <v>29774050</v>
      </c>
    </row>
    <row r="1899" spans="1:6" x14ac:dyDescent="0.35">
      <c r="A1899" s="2">
        <f ca="1">IFERROR(__xludf.DUMMYFUNCTION("""COMPUTED_VALUE"""),44760.6666666666)</f>
        <v>44760.666666666599</v>
      </c>
      <c r="B1899" s="1">
        <f ca="1">IFERROR(__xludf.DUMMYFUNCTION("""COMPUTED_VALUE"""),259.75)</f>
        <v>259.75</v>
      </c>
      <c r="C1899" s="1">
        <f ca="1">IFERROR(__xludf.DUMMYFUNCTION("""COMPUTED_VALUE"""),260.84)</f>
        <v>260.83999999999997</v>
      </c>
      <c r="D1899" s="1">
        <f ca="1">IFERROR(__xludf.DUMMYFUNCTION("""COMPUTED_VALUE"""),253.3)</f>
        <v>253.3</v>
      </c>
      <c r="E1899" s="1">
        <f ca="1">IFERROR(__xludf.DUMMYFUNCTION("""COMPUTED_VALUE"""),254.25)</f>
        <v>254.25</v>
      </c>
      <c r="F1899" s="1">
        <f ca="1">IFERROR(__xludf.DUMMYFUNCTION("""COMPUTED_VALUE"""),20975034)</f>
        <v>20975034</v>
      </c>
    </row>
    <row r="1900" spans="1:6" x14ac:dyDescent="0.35">
      <c r="A1900" s="2">
        <f ca="1">IFERROR(__xludf.DUMMYFUNCTION("""COMPUTED_VALUE"""),44761.6666666666)</f>
        <v>44761.666666666599</v>
      </c>
      <c r="B1900" s="1">
        <f ca="1">IFERROR(__xludf.DUMMYFUNCTION("""COMPUTED_VALUE"""),257.58)</f>
        <v>257.58</v>
      </c>
      <c r="C1900" s="1">
        <f ca="1">IFERROR(__xludf.DUMMYFUNCTION("""COMPUTED_VALUE"""),259.72)</f>
        <v>259.72000000000003</v>
      </c>
      <c r="D1900" s="1">
        <f ca="1">IFERROR(__xludf.DUMMYFUNCTION("""COMPUTED_VALUE"""),253.68)</f>
        <v>253.68</v>
      </c>
      <c r="E1900" s="1">
        <f ca="1">IFERROR(__xludf.DUMMYFUNCTION("""COMPUTED_VALUE"""),259.53)</f>
        <v>259.52999999999997</v>
      </c>
      <c r="F1900" s="1">
        <f ca="1">IFERROR(__xludf.DUMMYFUNCTION("""COMPUTED_VALUE"""),25012562)</f>
        <v>25012562</v>
      </c>
    </row>
    <row r="1901" spans="1:6" x14ac:dyDescent="0.35">
      <c r="A1901" s="2">
        <f ca="1">IFERROR(__xludf.DUMMYFUNCTION("""COMPUTED_VALUE"""),44762.6666666666)</f>
        <v>44762.666666666599</v>
      </c>
      <c r="B1901" s="1">
        <f ca="1">IFERROR(__xludf.DUMMYFUNCTION("""COMPUTED_VALUE"""),259.9)</f>
        <v>259.89999999999998</v>
      </c>
      <c r="C1901" s="1">
        <f ca="1">IFERROR(__xludf.DUMMYFUNCTION("""COMPUTED_VALUE"""),264.87)</f>
        <v>264.87</v>
      </c>
      <c r="D1901" s="1">
        <f ca="1">IFERROR(__xludf.DUMMYFUNCTION("""COMPUTED_VALUE"""),258.91)</f>
        <v>258.91000000000003</v>
      </c>
      <c r="E1901" s="1">
        <f ca="1">IFERROR(__xludf.DUMMYFUNCTION("""COMPUTED_VALUE"""),262.27)</f>
        <v>262.27</v>
      </c>
      <c r="F1901" s="1">
        <f ca="1">IFERROR(__xludf.DUMMYFUNCTION("""COMPUTED_VALUE"""),22788282)</f>
        <v>22788282</v>
      </c>
    </row>
    <row r="1902" spans="1:6" x14ac:dyDescent="0.35">
      <c r="A1902" s="2">
        <f ca="1">IFERROR(__xludf.DUMMYFUNCTION("""COMPUTED_VALUE"""),44763.6666666666)</f>
        <v>44763.666666666599</v>
      </c>
      <c r="B1902" s="1">
        <f ca="1">IFERROR(__xludf.DUMMYFUNCTION("""COMPUTED_VALUE"""),259.79)</f>
        <v>259.79000000000002</v>
      </c>
      <c r="C1902" s="1">
        <f ca="1">IFERROR(__xludf.DUMMYFUNCTION("""COMPUTED_VALUE"""),264.89)</f>
        <v>264.89</v>
      </c>
      <c r="D1902" s="1">
        <f ca="1">IFERROR(__xludf.DUMMYFUNCTION("""COMPUTED_VALUE"""),257.03)</f>
        <v>257.02999999999997</v>
      </c>
      <c r="E1902" s="1">
        <f ca="1">IFERROR(__xludf.DUMMYFUNCTION("""COMPUTED_VALUE"""),264.84)</f>
        <v>264.83999999999997</v>
      </c>
      <c r="F1902" s="1">
        <f ca="1">IFERROR(__xludf.DUMMYFUNCTION("""COMPUTED_VALUE"""),22404675)</f>
        <v>22404675</v>
      </c>
    </row>
    <row r="1903" spans="1:6" x14ac:dyDescent="0.35">
      <c r="A1903" s="2">
        <f ca="1">IFERROR(__xludf.DUMMYFUNCTION("""COMPUTED_VALUE"""),44764.6666666666)</f>
        <v>44764.666666666599</v>
      </c>
      <c r="B1903" s="1">
        <f ca="1">IFERROR(__xludf.DUMMYFUNCTION("""COMPUTED_VALUE"""),265.24)</f>
        <v>265.24</v>
      </c>
      <c r="C1903" s="1">
        <f ca="1">IFERROR(__xludf.DUMMYFUNCTION("""COMPUTED_VALUE"""),265.33)</f>
        <v>265.33</v>
      </c>
      <c r="D1903" s="1">
        <f ca="1">IFERROR(__xludf.DUMMYFUNCTION("""COMPUTED_VALUE"""),259.07)</f>
        <v>259.07</v>
      </c>
      <c r="E1903" s="1">
        <f ca="1">IFERROR(__xludf.DUMMYFUNCTION("""COMPUTED_VALUE"""),260.36)</f>
        <v>260.36</v>
      </c>
      <c r="F1903" s="1">
        <f ca="1">IFERROR(__xludf.DUMMYFUNCTION("""COMPUTED_VALUE"""),21881290)</f>
        <v>21881290</v>
      </c>
    </row>
    <row r="1904" spans="1:6" x14ac:dyDescent="0.35">
      <c r="A1904" s="2">
        <f ca="1">IFERROR(__xludf.DUMMYFUNCTION("""COMPUTED_VALUE"""),44767.6666666666)</f>
        <v>44767.666666666599</v>
      </c>
      <c r="B1904" s="1">
        <f ca="1">IFERROR(__xludf.DUMMYFUNCTION("""COMPUTED_VALUE"""),261)</f>
        <v>261</v>
      </c>
      <c r="C1904" s="1">
        <f ca="1">IFERROR(__xludf.DUMMYFUNCTION("""COMPUTED_VALUE"""),261.5)</f>
        <v>261.5</v>
      </c>
      <c r="D1904" s="1">
        <f ca="1">IFERROR(__xludf.DUMMYFUNCTION("""COMPUTED_VALUE"""),256.81)</f>
        <v>256.81</v>
      </c>
      <c r="E1904" s="1">
        <f ca="1">IFERROR(__xludf.DUMMYFUNCTION("""COMPUTED_VALUE"""),258.83)</f>
        <v>258.83</v>
      </c>
      <c r="F1904" s="1">
        <f ca="1">IFERROR(__xludf.DUMMYFUNCTION("""COMPUTED_VALUE"""),21055998)</f>
        <v>21055998</v>
      </c>
    </row>
    <row r="1905" spans="1:6" x14ac:dyDescent="0.35">
      <c r="A1905" s="2">
        <f ca="1">IFERROR(__xludf.DUMMYFUNCTION("""COMPUTED_VALUE"""),44768.6666666666)</f>
        <v>44768.666666666599</v>
      </c>
      <c r="B1905" s="1">
        <f ca="1">IFERROR(__xludf.DUMMYFUNCTION("""COMPUTED_VALUE"""),259.86)</f>
        <v>259.86</v>
      </c>
      <c r="C1905" s="1">
        <f ca="1">IFERROR(__xludf.DUMMYFUNCTION("""COMPUTED_VALUE"""),259.88)</f>
        <v>259.88</v>
      </c>
      <c r="D1905" s="1">
        <f ca="1">IFERROR(__xludf.DUMMYFUNCTION("""COMPUTED_VALUE"""),249.57)</f>
        <v>249.57</v>
      </c>
      <c r="E1905" s="1">
        <f ca="1">IFERROR(__xludf.DUMMYFUNCTION("""COMPUTED_VALUE"""),251.9)</f>
        <v>251.9</v>
      </c>
      <c r="F1905" s="1">
        <f ca="1">IFERROR(__xludf.DUMMYFUNCTION("""COMPUTED_VALUE"""),39347957)</f>
        <v>39347957</v>
      </c>
    </row>
    <row r="1906" spans="1:6" x14ac:dyDescent="0.35">
      <c r="A1906" s="2">
        <f ca="1">IFERROR(__xludf.DUMMYFUNCTION("""COMPUTED_VALUE"""),44769.6666666666)</f>
        <v>44769.666666666599</v>
      </c>
      <c r="B1906" s="1">
        <f ca="1">IFERROR(__xludf.DUMMYFUNCTION("""COMPUTED_VALUE"""),261.16)</f>
        <v>261.16000000000003</v>
      </c>
      <c r="C1906" s="1">
        <f ca="1">IFERROR(__xludf.DUMMYFUNCTION("""COMPUTED_VALUE"""),270.05)</f>
        <v>270.05</v>
      </c>
      <c r="D1906" s="1">
        <f ca="1">IFERROR(__xludf.DUMMYFUNCTION("""COMPUTED_VALUE"""),258.85)</f>
        <v>258.85000000000002</v>
      </c>
      <c r="E1906" s="1">
        <f ca="1">IFERROR(__xludf.DUMMYFUNCTION("""COMPUTED_VALUE"""),268.74)</f>
        <v>268.74</v>
      </c>
      <c r="F1906" s="1">
        <f ca="1">IFERROR(__xludf.DUMMYFUNCTION("""COMPUTED_VALUE"""),45994049)</f>
        <v>45994049</v>
      </c>
    </row>
    <row r="1907" spans="1:6" x14ac:dyDescent="0.35">
      <c r="A1907" s="2">
        <f ca="1">IFERROR(__xludf.DUMMYFUNCTION("""COMPUTED_VALUE"""),44770.6666666666)</f>
        <v>44770.666666666599</v>
      </c>
      <c r="B1907" s="1">
        <f ca="1">IFERROR(__xludf.DUMMYFUNCTION("""COMPUTED_VALUE"""),269.75)</f>
        <v>269.75</v>
      </c>
      <c r="C1907" s="1">
        <f ca="1">IFERROR(__xludf.DUMMYFUNCTION("""COMPUTED_VALUE"""),277.84)</f>
        <v>277.83999999999997</v>
      </c>
      <c r="D1907" s="1">
        <f ca="1">IFERROR(__xludf.DUMMYFUNCTION("""COMPUTED_VALUE"""),267.87)</f>
        <v>267.87</v>
      </c>
      <c r="E1907" s="1">
        <f ca="1">IFERROR(__xludf.DUMMYFUNCTION("""COMPUTED_VALUE"""),276.41)</f>
        <v>276.41000000000003</v>
      </c>
      <c r="F1907" s="1">
        <f ca="1">IFERROR(__xludf.DUMMYFUNCTION("""COMPUTED_VALUE"""),33459327)</f>
        <v>33459327</v>
      </c>
    </row>
    <row r="1908" spans="1:6" x14ac:dyDescent="0.35">
      <c r="A1908" s="2">
        <f ca="1">IFERROR(__xludf.DUMMYFUNCTION("""COMPUTED_VALUE"""),44771.6666666666)</f>
        <v>44771.666666666599</v>
      </c>
      <c r="B1908" s="1">
        <f ca="1">IFERROR(__xludf.DUMMYFUNCTION("""COMPUTED_VALUE"""),277.7)</f>
        <v>277.7</v>
      </c>
      <c r="C1908" s="1">
        <f ca="1">IFERROR(__xludf.DUMMYFUNCTION("""COMPUTED_VALUE"""),282)</f>
        <v>282</v>
      </c>
      <c r="D1908" s="1">
        <f ca="1">IFERROR(__xludf.DUMMYFUNCTION("""COMPUTED_VALUE"""),276.63)</f>
        <v>276.63</v>
      </c>
      <c r="E1908" s="1">
        <f ca="1">IFERROR(__xludf.DUMMYFUNCTION("""COMPUTED_VALUE"""),280.74)</f>
        <v>280.74</v>
      </c>
      <c r="F1908" s="1">
        <f ca="1">IFERROR(__xludf.DUMMYFUNCTION("""COMPUTED_VALUE"""),32152752)</f>
        <v>32152752</v>
      </c>
    </row>
    <row r="1909" spans="1:6" x14ac:dyDescent="0.35">
      <c r="A1909" s="2">
        <f ca="1">IFERROR(__xludf.DUMMYFUNCTION("""COMPUTED_VALUE"""),44774.6666666666)</f>
        <v>44774.666666666599</v>
      </c>
      <c r="B1909" s="1">
        <f ca="1">IFERROR(__xludf.DUMMYFUNCTION("""COMPUTED_VALUE"""),277.82)</f>
        <v>277.82</v>
      </c>
      <c r="C1909" s="1">
        <f ca="1">IFERROR(__xludf.DUMMYFUNCTION("""COMPUTED_VALUE"""),281.28)</f>
        <v>281.27999999999997</v>
      </c>
      <c r="D1909" s="1">
        <f ca="1">IFERROR(__xludf.DUMMYFUNCTION("""COMPUTED_VALUE"""),275.84)</f>
        <v>275.83999999999997</v>
      </c>
      <c r="E1909" s="1">
        <f ca="1">IFERROR(__xludf.DUMMYFUNCTION("""COMPUTED_VALUE"""),278.01)</f>
        <v>278.01</v>
      </c>
      <c r="F1909" s="1">
        <f ca="1">IFERROR(__xludf.DUMMYFUNCTION("""COMPUTED_VALUE"""),21539580)</f>
        <v>21539580</v>
      </c>
    </row>
    <row r="1910" spans="1:6" x14ac:dyDescent="0.35">
      <c r="A1910" s="2">
        <f ca="1">IFERROR(__xludf.DUMMYFUNCTION("""COMPUTED_VALUE"""),44775.6666666666)</f>
        <v>44775.666666666599</v>
      </c>
      <c r="B1910" s="1">
        <f ca="1">IFERROR(__xludf.DUMMYFUNCTION("""COMPUTED_VALUE"""),276)</f>
        <v>276</v>
      </c>
      <c r="C1910" s="1">
        <f ca="1">IFERROR(__xludf.DUMMYFUNCTION("""COMPUTED_VALUE"""),277.89)</f>
        <v>277.89</v>
      </c>
      <c r="D1910" s="1">
        <f ca="1">IFERROR(__xludf.DUMMYFUNCTION("""COMPUTED_VALUE"""),272.38)</f>
        <v>272.38</v>
      </c>
      <c r="E1910" s="1">
        <f ca="1">IFERROR(__xludf.DUMMYFUNCTION("""COMPUTED_VALUE"""),274.82)</f>
        <v>274.82</v>
      </c>
      <c r="F1910" s="1">
        <f ca="1">IFERROR(__xludf.DUMMYFUNCTION("""COMPUTED_VALUE"""),22754184)</f>
        <v>22754184</v>
      </c>
    </row>
    <row r="1911" spans="1:6" x14ac:dyDescent="0.35">
      <c r="A1911" s="2">
        <f ca="1">IFERROR(__xludf.DUMMYFUNCTION("""COMPUTED_VALUE"""),44776.6666666666)</f>
        <v>44776.666666666599</v>
      </c>
      <c r="B1911" s="1">
        <f ca="1">IFERROR(__xludf.DUMMYFUNCTION("""COMPUTED_VALUE"""),276.76)</f>
        <v>276.76</v>
      </c>
      <c r="C1911" s="1">
        <f ca="1">IFERROR(__xludf.DUMMYFUNCTION("""COMPUTED_VALUE"""),283.5)</f>
        <v>283.5</v>
      </c>
      <c r="D1911" s="1">
        <f ca="1">IFERROR(__xludf.DUMMYFUNCTION("""COMPUTED_VALUE"""),276.61)</f>
        <v>276.61</v>
      </c>
      <c r="E1911" s="1">
        <f ca="1">IFERROR(__xludf.DUMMYFUNCTION("""COMPUTED_VALUE"""),282.47)</f>
        <v>282.47000000000003</v>
      </c>
      <c r="F1911" s="1">
        <f ca="1">IFERROR(__xludf.DUMMYFUNCTION("""COMPUTED_VALUE"""),23518874)</f>
        <v>23518874</v>
      </c>
    </row>
    <row r="1912" spans="1:6" x14ac:dyDescent="0.35">
      <c r="A1912" s="2">
        <f ca="1">IFERROR(__xludf.DUMMYFUNCTION("""COMPUTED_VALUE"""),44777.6666666666)</f>
        <v>44777.666666666599</v>
      </c>
      <c r="B1912" s="1">
        <f ca="1">IFERROR(__xludf.DUMMYFUNCTION("""COMPUTED_VALUE"""),281.8)</f>
        <v>281.8</v>
      </c>
      <c r="C1912" s="1">
        <f ca="1">IFERROR(__xludf.DUMMYFUNCTION("""COMPUTED_VALUE"""),283.8)</f>
        <v>283.8</v>
      </c>
      <c r="D1912" s="1">
        <f ca="1">IFERROR(__xludf.DUMMYFUNCTION("""COMPUTED_VALUE"""),280.17)</f>
        <v>280.17</v>
      </c>
      <c r="E1912" s="1">
        <f ca="1">IFERROR(__xludf.DUMMYFUNCTION("""COMPUTED_VALUE"""),283.65)</f>
        <v>283.64999999999998</v>
      </c>
      <c r="F1912" s="1">
        <f ca="1">IFERROR(__xludf.DUMMYFUNCTION("""COMPUTED_VALUE"""),18098668)</f>
        <v>18098668</v>
      </c>
    </row>
    <row r="1913" spans="1:6" x14ac:dyDescent="0.35">
      <c r="A1913" s="2">
        <f ca="1">IFERROR(__xludf.DUMMYFUNCTION("""COMPUTED_VALUE"""),44778.6666666666)</f>
        <v>44778.666666666599</v>
      </c>
      <c r="B1913" s="1">
        <f ca="1">IFERROR(__xludf.DUMMYFUNCTION("""COMPUTED_VALUE"""),279.15)</f>
        <v>279.14999999999998</v>
      </c>
      <c r="C1913" s="1">
        <f ca="1">IFERROR(__xludf.DUMMYFUNCTION("""COMPUTED_VALUE"""),283.65)</f>
        <v>283.64999999999998</v>
      </c>
      <c r="D1913" s="1">
        <f ca="1">IFERROR(__xludf.DUMMYFUNCTION("""COMPUTED_VALUE"""),278.68)</f>
        <v>278.68</v>
      </c>
      <c r="E1913" s="1">
        <f ca="1">IFERROR(__xludf.DUMMYFUNCTION("""COMPUTED_VALUE"""),282.91)</f>
        <v>282.91000000000003</v>
      </c>
      <c r="F1913" s="1">
        <f ca="1">IFERROR(__xludf.DUMMYFUNCTION("""COMPUTED_VALUE"""),16774606)</f>
        <v>16774606</v>
      </c>
    </row>
    <row r="1914" spans="1:6" x14ac:dyDescent="0.35">
      <c r="A1914" s="2">
        <f ca="1">IFERROR(__xludf.DUMMYFUNCTION("""COMPUTED_VALUE"""),44781.6666666666)</f>
        <v>44781.666666666599</v>
      </c>
      <c r="B1914" s="1">
        <f ca="1">IFERROR(__xludf.DUMMYFUNCTION("""COMPUTED_VALUE"""),284.05)</f>
        <v>284.05</v>
      </c>
      <c r="C1914" s="1">
        <f ca="1">IFERROR(__xludf.DUMMYFUNCTION("""COMPUTED_VALUE"""),285.92)</f>
        <v>285.92</v>
      </c>
      <c r="D1914" s="1">
        <f ca="1">IFERROR(__xludf.DUMMYFUNCTION("""COMPUTED_VALUE"""),279.32)</f>
        <v>279.32</v>
      </c>
      <c r="E1914" s="1">
        <f ca="1">IFERROR(__xludf.DUMMYFUNCTION("""COMPUTED_VALUE"""),280.32)</f>
        <v>280.32</v>
      </c>
      <c r="F1914" s="1">
        <f ca="1">IFERROR(__xludf.DUMMYFUNCTION("""COMPUTED_VALUE"""),18757818)</f>
        <v>18757818</v>
      </c>
    </row>
    <row r="1915" spans="1:6" x14ac:dyDescent="0.35">
      <c r="A1915" s="2">
        <f ca="1">IFERROR(__xludf.DUMMYFUNCTION("""COMPUTED_VALUE"""),44782.6666666666)</f>
        <v>44782.666666666599</v>
      </c>
      <c r="B1915" s="1">
        <f ca="1">IFERROR(__xludf.DUMMYFUNCTION("""COMPUTED_VALUE"""),279.64)</f>
        <v>279.64</v>
      </c>
      <c r="C1915" s="1">
        <f ca="1">IFERROR(__xludf.DUMMYFUNCTION("""COMPUTED_VALUE"""),283.08)</f>
        <v>283.08</v>
      </c>
      <c r="D1915" s="1">
        <f ca="1">IFERROR(__xludf.DUMMYFUNCTION("""COMPUTED_VALUE"""),277.61)</f>
        <v>277.61</v>
      </c>
      <c r="E1915" s="1">
        <f ca="1">IFERROR(__xludf.DUMMYFUNCTION("""COMPUTED_VALUE"""),282.3)</f>
        <v>282.3</v>
      </c>
      <c r="F1915" s="1">
        <f ca="1">IFERROR(__xludf.DUMMYFUNCTION("""COMPUTED_VALUE"""),23405238)</f>
        <v>23405238</v>
      </c>
    </row>
    <row r="1916" spans="1:6" x14ac:dyDescent="0.35">
      <c r="A1916" s="2">
        <f ca="1">IFERROR(__xludf.DUMMYFUNCTION("""COMPUTED_VALUE"""),44783.6666666666)</f>
        <v>44783.666666666599</v>
      </c>
      <c r="B1916" s="1">
        <f ca="1">IFERROR(__xludf.DUMMYFUNCTION("""COMPUTED_VALUE"""),288.17)</f>
        <v>288.17</v>
      </c>
      <c r="C1916" s="1">
        <f ca="1">IFERROR(__xludf.DUMMYFUNCTION("""COMPUTED_VALUE"""),289.81)</f>
        <v>289.81</v>
      </c>
      <c r="D1916" s="1">
        <f ca="1">IFERROR(__xludf.DUMMYFUNCTION("""COMPUTED_VALUE"""),286.94)</f>
        <v>286.94</v>
      </c>
      <c r="E1916" s="1">
        <f ca="1">IFERROR(__xludf.DUMMYFUNCTION("""COMPUTED_VALUE"""),289.16)</f>
        <v>289.16000000000003</v>
      </c>
      <c r="F1916" s="1">
        <f ca="1">IFERROR(__xludf.DUMMYFUNCTION("""COMPUTED_VALUE"""),24687845)</f>
        <v>24687845</v>
      </c>
    </row>
    <row r="1917" spans="1:6" x14ac:dyDescent="0.35">
      <c r="A1917" s="2">
        <f ca="1">IFERROR(__xludf.DUMMYFUNCTION("""COMPUTED_VALUE"""),44784.6666666666)</f>
        <v>44784.666666666599</v>
      </c>
      <c r="B1917" s="1">
        <f ca="1">IFERROR(__xludf.DUMMYFUNCTION("""COMPUTED_VALUE"""),290.85)</f>
        <v>290.85000000000002</v>
      </c>
      <c r="C1917" s="1">
        <f ca="1">IFERROR(__xludf.DUMMYFUNCTION("""COMPUTED_VALUE"""),291.21)</f>
        <v>291.20999999999998</v>
      </c>
      <c r="D1917" s="1">
        <f ca="1">IFERROR(__xludf.DUMMYFUNCTION("""COMPUTED_VALUE"""),286.51)</f>
        <v>286.51</v>
      </c>
      <c r="E1917" s="1">
        <f ca="1">IFERROR(__xludf.DUMMYFUNCTION("""COMPUTED_VALUE"""),287.02)</f>
        <v>287.02</v>
      </c>
      <c r="F1917" s="1">
        <f ca="1">IFERROR(__xludf.DUMMYFUNCTION("""COMPUTED_VALUE"""),20065938)</f>
        <v>20065938</v>
      </c>
    </row>
    <row r="1918" spans="1:6" x14ac:dyDescent="0.35">
      <c r="A1918" s="2">
        <f ca="1">IFERROR(__xludf.DUMMYFUNCTION("""COMPUTED_VALUE"""),44785.6666666666)</f>
        <v>44785.666666666599</v>
      </c>
      <c r="B1918" s="1">
        <f ca="1">IFERROR(__xludf.DUMMYFUNCTION("""COMPUTED_VALUE"""),288.48)</f>
        <v>288.48</v>
      </c>
      <c r="C1918" s="1">
        <f ca="1">IFERROR(__xludf.DUMMYFUNCTION("""COMPUTED_VALUE"""),291.91)</f>
        <v>291.91000000000003</v>
      </c>
      <c r="D1918" s="1">
        <f ca="1">IFERROR(__xludf.DUMMYFUNCTION("""COMPUTED_VALUE"""),286.94)</f>
        <v>286.94</v>
      </c>
      <c r="E1918" s="1">
        <f ca="1">IFERROR(__xludf.DUMMYFUNCTION("""COMPUTED_VALUE"""),291.91)</f>
        <v>291.91000000000003</v>
      </c>
      <c r="F1918" s="1">
        <f ca="1">IFERROR(__xludf.DUMMYFUNCTION("""COMPUTED_VALUE"""),22619675)</f>
        <v>22619675</v>
      </c>
    </row>
    <row r="1919" spans="1:6" x14ac:dyDescent="0.35">
      <c r="A1919" s="2">
        <f ca="1">IFERROR(__xludf.DUMMYFUNCTION("""COMPUTED_VALUE"""),44788.6666666666)</f>
        <v>44788.666666666599</v>
      </c>
      <c r="B1919" s="1">
        <f ca="1">IFERROR(__xludf.DUMMYFUNCTION("""COMPUTED_VALUE"""),291)</f>
        <v>291</v>
      </c>
      <c r="C1919" s="1">
        <f ca="1">IFERROR(__xludf.DUMMYFUNCTION("""COMPUTED_VALUE"""),294.18)</f>
        <v>294.18</v>
      </c>
      <c r="D1919" s="1">
        <f ca="1">IFERROR(__xludf.DUMMYFUNCTION("""COMPUTED_VALUE"""),290.11)</f>
        <v>290.11</v>
      </c>
      <c r="E1919" s="1">
        <f ca="1">IFERROR(__xludf.DUMMYFUNCTION("""COMPUTED_VALUE"""),293.47)</f>
        <v>293.47000000000003</v>
      </c>
      <c r="F1919" s="1">
        <f ca="1">IFERROR(__xludf.DUMMYFUNCTION("""COMPUTED_VALUE"""),18085654)</f>
        <v>18085654</v>
      </c>
    </row>
    <row r="1920" spans="1:6" x14ac:dyDescent="0.35">
      <c r="A1920" s="2">
        <f ca="1">IFERROR(__xludf.DUMMYFUNCTION("""COMPUTED_VALUE"""),44789.6666666666)</f>
        <v>44789.666666666599</v>
      </c>
      <c r="B1920" s="1">
        <f ca="1">IFERROR(__xludf.DUMMYFUNCTION("""COMPUTED_VALUE"""),291.99)</f>
        <v>291.99</v>
      </c>
      <c r="C1920" s="1">
        <f ca="1">IFERROR(__xludf.DUMMYFUNCTION("""COMPUTED_VALUE"""),294.04)</f>
        <v>294.04000000000002</v>
      </c>
      <c r="D1920" s="1">
        <f ca="1">IFERROR(__xludf.DUMMYFUNCTION("""COMPUTED_VALUE"""),290.42)</f>
        <v>290.42</v>
      </c>
      <c r="E1920" s="1">
        <f ca="1">IFERROR(__xludf.DUMMYFUNCTION("""COMPUTED_VALUE"""),292.71)</f>
        <v>292.70999999999998</v>
      </c>
      <c r="F1920" s="1">
        <f ca="1">IFERROR(__xludf.DUMMYFUNCTION("""COMPUTED_VALUE"""),18102882)</f>
        <v>18102882</v>
      </c>
    </row>
    <row r="1921" spans="1:6" x14ac:dyDescent="0.35">
      <c r="A1921" s="2">
        <f ca="1">IFERROR(__xludf.DUMMYFUNCTION("""COMPUTED_VALUE"""),44790.6666666666)</f>
        <v>44790.666666666599</v>
      </c>
      <c r="B1921" s="1">
        <f ca="1">IFERROR(__xludf.DUMMYFUNCTION("""COMPUTED_VALUE"""),289.74)</f>
        <v>289.74</v>
      </c>
      <c r="C1921" s="1">
        <f ca="1">IFERROR(__xludf.DUMMYFUNCTION("""COMPUTED_VALUE"""),293.35)</f>
        <v>293.35000000000002</v>
      </c>
      <c r="D1921" s="1">
        <f ca="1">IFERROR(__xludf.DUMMYFUNCTION("""COMPUTED_VALUE"""),289.47)</f>
        <v>289.47000000000003</v>
      </c>
      <c r="E1921" s="1">
        <f ca="1">IFERROR(__xludf.DUMMYFUNCTION("""COMPUTED_VALUE"""),291.32)</f>
        <v>291.32</v>
      </c>
      <c r="F1921" s="1">
        <f ca="1">IFERROR(__xludf.DUMMYFUNCTION("""COMPUTED_VALUE"""),18253358)</f>
        <v>18253358</v>
      </c>
    </row>
    <row r="1922" spans="1:6" x14ac:dyDescent="0.35">
      <c r="A1922" s="2">
        <f ca="1">IFERROR(__xludf.DUMMYFUNCTION("""COMPUTED_VALUE"""),44791.6666666666)</f>
        <v>44791.666666666599</v>
      </c>
      <c r="B1922" s="1">
        <f ca="1">IFERROR(__xludf.DUMMYFUNCTION("""COMPUTED_VALUE"""),290.19)</f>
        <v>290.19</v>
      </c>
      <c r="C1922" s="1">
        <f ca="1">IFERROR(__xludf.DUMMYFUNCTION("""COMPUTED_VALUE"""),291.91)</f>
        <v>291.91000000000003</v>
      </c>
      <c r="D1922" s="1">
        <f ca="1">IFERROR(__xludf.DUMMYFUNCTION("""COMPUTED_VALUE"""),289.08)</f>
        <v>289.08</v>
      </c>
      <c r="E1922" s="1">
        <f ca="1">IFERROR(__xludf.DUMMYFUNCTION("""COMPUTED_VALUE"""),290.17)</f>
        <v>290.17</v>
      </c>
      <c r="F1922" s="1">
        <f ca="1">IFERROR(__xludf.DUMMYFUNCTION("""COMPUTED_VALUE"""),17186192)</f>
        <v>17186192</v>
      </c>
    </row>
    <row r="1923" spans="1:6" x14ac:dyDescent="0.35">
      <c r="A1923" s="2">
        <f ca="1">IFERROR(__xludf.DUMMYFUNCTION("""COMPUTED_VALUE"""),44792.6666666666)</f>
        <v>44792.666666666599</v>
      </c>
      <c r="B1923" s="1">
        <f ca="1">IFERROR(__xludf.DUMMYFUNCTION("""COMPUTED_VALUE"""),288.9)</f>
        <v>288.89999999999998</v>
      </c>
      <c r="C1923" s="1">
        <f ca="1">IFERROR(__xludf.DUMMYFUNCTION("""COMPUTED_VALUE"""),289.25)</f>
        <v>289.25</v>
      </c>
      <c r="D1923" s="1">
        <f ca="1">IFERROR(__xludf.DUMMYFUNCTION("""COMPUTED_VALUE"""),285.56)</f>
        <v>285.56</v>
      </c>
      <c r="E1923" s="1">
        <f ca="1">IFERROR(__xludf.DUMMYFUNCTION("""COMPUTED_VALUE"""),286.15)</f>
        <v>286.14999999999998</v>
      </c>
      <c r="F1923" s="1">
        <f ca="1">IFERROR(__xludf.DUMMYFUNCTION("""COMPUTED_VALUE"""),20570033)</f>
        <v>20570033</v>
      </c>
    </row>
    <row r="1924" spans="1:6" x14ac:dyDescent="0.35">
      <c r="A1924" s="2">
        <f ca="1">IFERROR(__xludf.DUMMYFUNCTION("""COMPUTED_VALUE"""),44795.6666666666)</f>
        <v>44795.666666666599</v>
      </c>
      <c r="B1924" s="1">
        <f ca="1">IFERROR(__xludf.DUMMYFUNCTION("""COMPUTED_VALUE"""),282.08)</f>
        <v>282.08</v>
      </c>
      <c r="C1924" s="1">
        <f ca="1">IFERROR(__xludf.DUMMYFUNCTION("""COMPUTED_VALUE"""),282.46)</f>
        <v>282.45999999999998</v>
      </c>
      <c r="D1924" s="1">
        <f ca="1">IFERROR(__xludf.DUMMYFUNCTION("""COMPUTED_VALUE"""),277.22)</f>
        <v>277.22000000000003</v>
      </c>
      <c r="E1924" s="1">
        <f ca="1">IFERROR(__xludf.DUMMYFUNCTION("""COMPUTED_VALUE"""),277.75)</f>
        <v>277.75</v>
      </c>
      <c r="F1924" s="1">
        <f ca="1">IFERROR(__xludf.DUMMYFUNCTION("""COMPUTED_VALUE"""),25061070)</f>
        <v>25061070</v>
      </c>
    </row>
    <row r="1925" spans="1:6" x14ac:dyDescent="0.35">
      <c r="A1925" s="2">
        <f ca="1">IFERROR(__xludf.DUMMYFUNCTION("""COMPUTED_VALUE"""),44796.6666666666)</f>
        <v>44796.666666666599</v>
      </c>
      <c r="B1925" s="1">
        <f ca="1">IFERROR(__xludf.DUMMYFUNCTION("""COMPUTED_VALUE"""),276.44)</f>
        <v>276.44</v>
      </c>
      <c r="C1925" s="1">
        <f ca="1">IFERROR(__xludf.DUMMYFUNCTION("""COMPUTED_VALUE"""),278.86)</f>
        <v>278.86</v>
      </c>
      <c r="D1925" s="1">
        <f ca="1">IFERROR(__xludf.DUMMYFUNCTION("""COMPUTED_VALUE"""),275.4)</f>
        <v>275.39999999999998</v>
      </c>
      <c r="E1925" s="1">
        <f ca="1">IFERROR(__xludf.DUMMYFUNCTION("""COMPUTED_VALUE"""),276.44)</f>
        <v>276.44</v>
      </c>
      <c r="F1925" s="1">
        <f ca="1">IFERROR(__xludf.DUMMYFUNCTION("""COMPUTED_VALUE"""),17527409)</f>
        <v>17527409</v>
      </c>
    </row>
    <row r="1926" spans="1:6" x14ac:dyDescent="0.35">
      <c r="A1926" s="2">
        <f ca="1">IFERROR(__xludf.DUMMYFUNCTION("""COMPUTED_VALUE"""),44797.6666666666)</f>
        <v>44797.666666666599</v>
      </c>
      <c r="B1926" s="1">
        <f ca="1">IFERROR(__xludf.DUMMYFUNCTION("""COMPUTED_VALUE"""),275.41)</f>
        <v>275.41000000000003</v>
      </c>
      <c r="C1926" s="1">
        <f ca="1">IFERROR(__xludf.DUMMYFUNCTION("""COMPUTED_VALUE"""),277.23)</f>
        <v>277.23</v>
      </c>
      <c r="D1926" s="1">
        <f ca="1">IFERROR(__xludf.DUMMYFUNCTION("""COMPUTED_VALUE"""),275.11)</f>
        <v>275.11</v>
      </c>
      <c r="E1926" s="1">
        <f ca="1">IFERROR(__xludf.DUMMYFUNCTION("""COMPUTED_VALUE"""),275.79)</f>
        <v>275.79000000000002</v>
      </c>
      <c r="F1926" s="1">
        <f ca="1">IFERROR(__xludf.DUMMYFUNCTION("""COMPUTED_VALUE"""),18137019)</f>
        <v>18137019</v>
      </c>
    </row>
    <row r="1927" spans="1:6" x14ac:dyDescent="0.35">
      <c r="A1927" s="2">
        <f ca="1">IFERROR(__xludf.DUMMYFUNCTION("""COMPUTED_VALUE"""),44798.6666666666)</f>
        <v>44798.666666666599</v>
      </c>
      <c r="B1927" s="1">
        <f ca="1">IFERROR(__xludf.DUMMYFUNCTION("""COMPUTED_VALUE"""),277.33)</f>
        <v>277.33</v>
      </c>
      <c r="C1927" s="1">
        <f ca="1">IFERROR(__xludf.DUMMYFUNCTION("""COMPUTED_VALUE"""),279.02)</f>
        <v>279.02</v>
      </c>
      <c r="D1927" s="1">
        <f ca="1">IFERROR(__xludf.DUMMYFUNCTION("""COMPUTED_VALUE"""),274.52)</f>
        <v>274.52</v>
      </c>
      <c r="E1927" s="1">
        <f ca="1">IFERROR(__xludf.DUMMYFUNCTION("""COMPUTED_VALUE"""),278.85)</f>
        <v>278.85000000000002</v>
      </c>
      <c r="F1927" s="1">
        <f ca="1">IFERROR(__xludf.DUMMYFUNCTION("""COMPUTED_VALUE"""),16583407)</f>
        <v>16583407</v>
      </c>
    </row>
    <row r="1928" spans="1:6" x14ac:dyDescent="0.35">
      <c r="A1928" s="2">
        <f ca="1">IFERROR(__xludf.DUMMYFUNCTION("""COMPUTED_VALUE"""),44799.6666666666)</f>
        <v>44799.666666666599</v>
      </c>
      <c r="B1928" s="1">
        <f ca="1">IFERROR(__xludf.DUMMYFUNCTION("""COMPUTED_VALUE"""),279.08)</f>
        <v>279.08</v>
      </c>
      <c r="C1928" s="1">
        <f ca="1">IFERROR(__xludf.DUMMYFUNCTION("""COMPUTED_VALUE"""),280.34)</f>
        <v>280.33999999999997</v>
      </c>
      <c r="D1928" s="1">
        <f ca="1">IFERROR(__xludf.DUMMYFUNCTION("""COMPUTED_VALUE"""),267.98)</f>
        <v>267.98</v>
      </c>
      <c r="E1928" s="1">
        <f ca="1">IFERROR(__xludf.DUMMYFUNCTION("""COMPUTED_VALUE"""),268.09)</f>
        <v>268.08999999999997</v>
      </c>
      <c r="F1928" s="1">
        <f ca="1">IFERROR(__xludf.DUMMYFUNCTION("""COMPUTED_VALUE"""),27549307)</f>
        <v>27549307</v>
      </c>
    </row>
    <row r="1929" spans="1:6" x14ac:dyDescent="0.35">
      <c r="A1929" s="2">
        <f ca="1">IFERROR(__xludf.DUMMYFUNCTION("""COMPUTED_VALUE"""),44802.6666666666)</f>
        <v>44802.666666666599</v>
      </c>
      <c r="B1929" s="1">
        <f ca="1">IFERROR(__xludf.DUMMYFUNCTION("""COMPUTED_VALUE"""),265.85)</f>
        <v>265.85000000000002</v>
      </c>
      <c r="C1929" s="1">
        <f ca="1">IFERROR(__xludf.DUMMYFUNCTION("""COMPUTED_VALUE"""),267.4)</f>
        <v>267.39999999999998</v>
      </c>
      <c r="D1929" s="1">
        <f ca="1">IFERROR(__xludf.DUMMYFUNCTION("""COMPUTED_VALUE"""),263.85)</f>
        <v>263.85000000000002</v>
      </c>
      <c r="E1929" s="1">
        <f ca="1">IFERROR(__xludf.DUMMYFUNCTION("""COMPUTED_VALUE"""),265.23)</f>
        <v>265.23</v>
      </c>
      <c r="F1929" s="1">
        <f ca="1">IFERROR(__xludf.DUMMYFUNCTION("""COMPUTED_VALUE"""),20338544)</f>
        <v>20338544</v>
      </c>
    </row>
    <row r="1930" spans="1:6" x14ac:dyDescent="0.35">
      <c r="A1930" s="2">
        <f ca="1">IFERROR(__xludf.DUMMYFUNCTION("""COMPUTED_VALUE"""),44803.6666666666)</f>
        <v>44803.666666666599</v>
      </c>
      <c r="B1930" s="1">
        <f ca="1">IFERROR(__xludf.DUMMYFUNCTION("""COMPUTED_VALUE"""),266.67)</f>
        <v>266.67</v>
      </c>
      <c r="C1930" s="1">
        <f ca="1">IFERROR(__xludf.DUMMYFUNCTION("""COMPUTED_VALUE"""),267.05)</f>
        <v>267.05</v>
      </c>
      <c r="D1930" s="1">
        <f ca="1">IFERROR(__xludf.DUMMYFUNCTION("""COMPUTED_VALUE"""),260.66)</f>
        <v>260.66000000000003</v>
      </c>
      <c r="E1930" s="1">
        <f ca="1">IFERROR(__xludf.DUMMYFUNCTION("""COMPUTED_VALUE"""),262.97)</f>
        <v>262.97000000000003</v>
      </c>
      <c r="F1930" s="1">
        <f ca="1">IFERROR(__xludf.DUMMYFUNCTION("""COMPUTED_VALUE"""),22767071)</f>
        <v>22767071</v>
      </c>
    </row>
    <row r="1931" spans="1:6" x14ac:dyDescent="0.35">
      <c r="A1931" s="2">
        <f ca="1">IFERROR(__xludf.DUMMYFUNCTION("""COMPUTED_VALUE"""),44804.6666666666)</f>
        <v>44804.666666666599</v>
      </c>
      <c r="B1931" s="1">
        <f ca="1">IFERROR(__xludf.DUMMYFUNCTION("""COMPUTED_VALUE"""),265.39)</f>
        <v>265.39</v>
      </c>
      <c r="C1931" s="1">
        <f ca="1">IFERROR(__xludf.DUMMYFUNCTION("""COMPUTED_VALUE"""),267.11)</f>
        <v>267.11</v>
      </c>
      <c r="D1931" s="1">
        <f ca="1">IFERROR(__xludf.DUMMYFUNCTION("""COMPUTED_VALUE"""),261.33)</f>
        <v>261.33</v>
      </c>
      <c r="E1931" s="1">
        <f ca="1">IFERROR(__xludf.DUMMYFUNCTION("""COMPUTED_VALUE"""),261.47)</f>
        <v>261.47000000000003</v>
      </c>
      <c r="F1931" s="1">
        <f ca="1">IFERROR(__xludf.DUMMYFUNCTION("""COMPUTED_VALUE"""),24791834)</f>
        <v>24791834</v>
      </c>
    </row>
    <row r="1932" spans="1:6" x14ac:dyDescent="0.35">
      <c r="A1932" s="2">
        <f ca="1">IFERROR(__xludf.DUMMYFUNCTION("""COMPUTED_VALUE"""),44805.6666666666)</f>
        <v>44805.666666666599</v>
      </c>
      <c r="B1932" s="1">
        <f ca="1">IFERROR(__xludf.DUMMYFUNCTION("""COMPUTED_VALUE"""),258.87)</f>
        <v>258.87</v>
      </c>
      <c r="C1932" s="1">
        <f ca="1">IFERROR(__xludf.DUMMYFUNCTION("""COMPUTED_VALUE"""),260.89)</f>
        <v>260.89</v>
      </c>
      <c r="D1932" s="1">
        <f ca="1">IFERROR(__xludf.DUMMYFUNCTION("""COMPUTED_VALUE"""),255.41)</f>
        <v>255.41</v>
      </c>
      <c r="E1932" s="1">
        <f ca="1">IFERROR(__xludf.DUMMYFUNCTION("""COMPUTED_VALUE"""),260.4)</f>
        <v>260.39999999999998</v>
      </c>
      <c r="F1932" s="1">
        <f ca="1">IFERROR(__xludf.DUMMYFUNCTION("""COMPUTED_VALUE"""),23263431)</f>
        <v>23263431</v>
      </c>
    </row>
    <row r="1933" spans="1:6" x14ac:dyDescent="0.35">
      <c r="A1933" s="2">
        <f ca="1">IFERROR(__xludf.DUMMYFUNCTION("""COMPUTED_VALUE"""),44806.6666666666)</f>
        <v>44806.666666666599</v>
      </c>
      <c r="B1933" s="1">
        <f ca="1">IFERROR(__xludf.DUMMYFUNCTION("""COMPUTED_VALUE"""),261.7)</f>
        <v>261.7</v>
      </c>
      <c r="C1933" s="1">
        <f ca="1">IFERROR(__xludf.DUMMYFUNCTION("""COMPUTED_VALUE"""),264.74)</f>
        <v>264.74</v>
      </c>
      <c r="D1933" s="1">
        <f ca="1">IFERROR(__xludf.DUMMYFUNCTION("""COMPUTED_VALUE"""),254.47)</f>
        <v>254.47</v>
      </c>
      <c r="E1933" s="1">
        <f ca="1">IFERROR(__xludf.DUMMYFUNCTION("""COMPUTED_VALUE"""),256.06)</f>
        <v>256.06</v>
      </c>
      <c r="F1933" s="1">
        <f ca="1">IFERROR(__xludf.DUMMYFUNCTION("""COMPUTED_VALUE"""),22855380)</f>
        <v>22855380</v>
      </c>
    </row>
    <row r="1934" spans="1:6" x14ac:dyDescent="0.35">
      <c r="A1934" s="2">
        <f ca="1">IFERROR(__xludf.DUMMYFUNCTION("""COMPUTED_VALUE"""),44810.6666666666)</f>
        <v>44810.666666666599</v>
      </c>
      <c r="B1934" s="1">
        <f ca="1">IFERROR(__xludf.DUMMYFUNCTION("""COMPUTED_VALUE"""),256.2)</f>
        <v>256.2</v>
      </c>
      <c r="C1934" s="1">
        <f ca="1">IFERROR(__xludf.DUMMYFUNCTION("""COMPUTED_VALUE"""),257.83)</f>
        <v>257.83</v>
      </c>
      <c r="D1934" s="1">
        <f ca="1">IFERROR(__xludf.DUMMYFUNCTION("""COMPUTED_VALUE"""),251.94)</f>
        <v>251.94</v>
      </c>
      <c r="E1934" s="1">
        <f ca="1">IFERROR(__xludf.DUMMYFUNCTION("""COMPUTED_VALUE"""),253.25)</f>
        <v>253.25</v>
      </c>
      <c r="F1934" s="1">
        <f ca="1">IFERROR(__xludf.DUMMYFUNCTION("""COMPUTED_VALUE"""),21328242)</f>
        <v>21328242</v>
      </c>
    </row>
    <row r="1935" spans="1:6" x14ac:dyDescent="0.35">
      <c r="A1935" s="2">
        <f ca="1">IFERROR(__xludf.DUMMYFUNCTION("""COMPUTED_VALUE"""),44811.6666666666)</f>
        <v>44811.666666666599</v>
      </c>
      <c r="B1935" s="1">
        <f ca="1">IFERROR(__xludf.DUMMYFUNCTION("""COMPUTED_VALUE"""),254.7)</f>
        <v>254.7</v>
      </c>
      <c r="C1935" s="1">
        <f ca="1">IFERROR(__xludf.DUMMYFUNCTION("""COMPUTED_VALUE"""),258.83)</f>
        <v>258.83</v>
      </c>
      <c r="D1935" s="1">
        <f ca="1">IFERROR(__xludf.DUMMYFUNCTION("""COMPUTED_VALUE"""),253.22)</f>
        <v>253.22</v>
      </c>
      <c r="E1935" s="1">
        <f ca="1">IFERROR(__xludf.DUMMYFUNCTION("""COMPUTED_VALUE"""),258.09)</f>
        <v>258.08999999999997</v>
      </c>
      <c r="F1935" s="1">
        <f ca="1">IFERROR(__xludf.DUMMYFUNCTION("""COMPUTED_VALUE"""),24126700)</f>
        <v>24126700</v>
      </c>
    </row>
    <row r="1936" spans="1:6" x14ac:dyDescent="0.35">
      <c r="A1936" s="2">
        <f ca="1">IFERROR(__xludf.DUMMYFUNCTION("""COMPUTED_VALUE"""),44812.6666666666)</f>
        <v>44812.666666666599</v>
      </c>
      <c r="B1936" s="1">
        <f ca="1">IFERROR(__xludf.DUMMYFUNCTION("""COMPUTED_VALUE"""),257.51)</f>
        <v>257.51</v>
      </c>
      <c r="C1936" s="1">
        <f ca="1">IFERROR(__xludf.DUMMYFUNCTION("""COMPUTED_VALUE"""),260.43)</f>
        <v>260.43</v>
      </c>
      <c r="D1936" s="1">
        <f ca="1">IFERROR(__xludf.DUMMYFUNCTION("""COMPUTED_VALUE"""),254.79)</f>
        <v>254.79</v>
      </c>
      <c r="E1936" s="1">
        <f ca="1">IFERROR(__xludf.DUMMYFUNCTION("""COMPUTED_VALUE"""),258.52)</f>
        <v>258.52</v>
      </c>
      <c r="F1936" s="1">
        <f ca="1">IFERROR(__xludf.DUMMYFUNCTION("""COMPUTED_VALUE"""),20319911)</f>
        <v>20319911</v>
      </c>
    </row>
    <row r="1937" spans="1:6" x14ac:dyDescent="0.35">
      <c r="A1937" s="2">
        <f ca="1">IFERROR(__xludf.DUMMYFUNCTION("""COMPUTED_VALUE"""),44813.6666666666)</f>
        <v>44813.666666666599</v>
      </c>
      <c r="B1937" s="1">
        <f ca="1">IFERROR(__xludf.DUMMYFUNCTION("""COMPUTED_VALUE"""),260.5)</f>
        <v>260.5</v>
      </c>
      <c r="C1937" s="1">
        <f ca="1">IFERROR(__xludf.DUMMYFUNCTION("""COMPUTED_VALUE"""),265.23)</f>
        <v>265.23</v>
      </c>
      <c r="D1937" s="1">
        <f ca="1">IFERROR(__xludf.DUMMYFUNCTION("""COMPUTED_VALUE"""),260.29)</f>
        <v>260.29000000000002</v>
      </c>
      <c r="E1937" s="1">
        <f ca="1">IFERROR(__xludf.DUMMYFUNCTION("""COMPUTED_VALUE"""),264.46)</f>
        <v>264.45999999999998</v>
      </c>
      <c r="F1937" s="1">
        <f ca="1">IFERROR(__xludf.DUMMYFUNCTION("""COMPUTED_VALUE"""),22093190)</f>
        <v>22093190</v>
      </c>
    </row>
    <row r="1938" spans="1:6" x14ac:dyDescent="0.35">
      <c r="A1938" s="2">
        <f ca="1">IFERROR(__xludf.DUMMYFUNCTION("""COMPUTED_VALUE"""),44816.6666666666)</f>
        <v>44816.666666666599</v>
      </c>
      <c r="B1938" s="1">
        <f ca="1">IFERROR(__xludf.DUMMYFUNCTION("""COMPUTED_VALUE"""),265.78)</f>
        <v>265.77999999999997</v>
      </c>
      <c r="C1938" s="1">
        <f ca="1">IFERROR(__xludf.DUMMYFUNCTION("""COMPUTED_VALUE"""),267.45)</f>
        <v>267.45</v>
      </c>
      <c r="D1938" s="1">
        <f ca="1">IFERROR(__xludf.DUMMYFUNCTION("""COMPUTED_VALUE"""),265.16)</f>
        <v>265.16000000000003</v>
      </c>
      <c r="E1938" s="1">
        <f ca="1">IFERROR(__xludf.DUMMYFUNCTION("""COMPUTED_VALUE"""),266.65)</f>
        <v>266.64999999999998</v>
      </c>
      <c r="F1938" s="1">
        <f ca="1">IFERROR(__xludf.DUMMYFUNCTION("""COMPUTED_VALUE"""),18747690)</f>
        <v>18747690</v>
      </c>
    </row>
    <row r="1939" spans="1:6" x14ac:dyDescent="0.35">
      <c r="A1939" s="2">
        <f ca="1">IFERROR(__xludf.DUMMYFUNCTION("""COMPUTED_VALUE"""),44817.6666666666)</f>
        <v>44817.666666666599</v>
      </c>
      <c r="B1939" s="1">
        <f ca="1">IFERROR(__xludf.DUMMYFUNCTION("""COMPUTED_VALUE"""),258.84)</f>
        <v>258.83999999999997</v>
      </c>
      <c r="C1939" s="1">
        <f ca="1">IFERROR(__xludf.DUMMYFUNCTION("""COMPUTED_VALUE"""),260.4)</f>
        <v>260.39999999999998</v>
      </c>
      <c r="D1939" s="1">
        <f ca="1">IFERROR(__xludf.DUMMYFUNCTION("""COMPUTED_VALUE"""),251.59)</f>
        <v>251.59</v>
      </c>
      <c r="E1939" s="1">
        <f ca="1">IFERROR(__xludf.DUMMYFUNCTION("""COMPUTED_VALUE"""),251.99)</f>
        <v>251.99</v>
      </c>
      <c r="F1939" s="1">
        <f ca="1">IFERROR(__xludf.DUMMYFUNCTION("""COMPUTED_VALUE"""),33353318)</f>
        <v>33353318</v>
      </c>
    </row>
    <row r="1940" spans="1:6" x14ac:dyDescent="0.35">
      <c r="A1940" s="2">
        <f ca="1">IFERROR(__xludf.DUMMYFUNCTION("""COMPUTED_VALUE"""),44818.6666666666)</f>
        <v>44818.666666666599</v>
      </c>
      <c r="B1940" s="1">
        <f ca="1">IFERROR(__xludf.DUMMYFUNCTION("""COMPUTED_VALUE"""),253.53)</f>
        <v>253.53</v>
      </c>
      <c r="C1940" s="1">
        <f ca="1">IFERROR(__xludf.DUMMYFUNCTION("""COMPUTED_VALUE"""),254.23)</f>
        <v>254.23</v>
      </c>
      <c r="D1940" s="1">
        <f ca="1">IFERROR(__xludf.DUMMYFUNCTION("""COMPUTED_VALUE"""),249.86)</f>
        <v>249.86</v>
      </c>
      <c r="E1940" s="1">
        <f ca="1">IFERROR(__xludf.DUMMYFUNCTION("""COMPUTED_VALUE"""),252.22)</f>
        <v>252.22</v>
      </c>
      <c r="F1940" s="1">
        <f ca="1">IFERROR(__xludf.DUMMYFUNCTION("""COMPUTED_VALUE"""),23912954)</f>
        <v>23912954</v>
      </c>
    </row>
    <row r="1941" spans="1:6" x14ac:dyDescent="0.35">
      <c r="A1941" s="2">
        <f ca="1">IFERROR(__xludf.DUMMYFUNCTION("""COMPUTED_VALUE"""),44819.6666666666)</f>
        <v>44819.666666666599</v>
      </c>
      <c r="B1941" s="1">
        <f ca="1">IFERROR(__xludf.DUMMYFUNCTION("""COMPUTED_VALUE"""),249.77)</f>
        <v>249.77</v>
      </c>
      <c r="C1941" s="1">
        <f ca="1">IFERROR(__xludf.DUMMYFUNCTION("""COMPUTED_VALUE"""),251.4)</f>
        <v>251.4</v>
      </c>
      <c r="D1941" s="1">
        <f ca="1">IFERROR(__xludf.DUMMYFUNCTION("""COMPUTED_VALUE"""),244.02)</f>
        <v>244.02</v>
      </c>
      <c r="E1941" s="1">
        <f ca="1">IFERROR(__xludf.DUMMYFUNCTION("""COMPUTED_VALUE"""),245.38)</f>
        <v>245.38</v>
      </c>
      <c r="F1941" s="1">
        <f ca="1">IFERROR(__xludf.DUMMYFUNCTION("""COMPUTED_VALUE"""),31530948)</f>
        <v>31530948</v>
      </c>
    </row>
    <row r="1942" spans="1:6" x14ac:dyDescent="0.35">
      <c r="A1942" s="2">
        <f ca="1">IFERROR(__xludf.DUMMYFUNCTION("""COMPUTED_VALUE"""),44820.6666666666)</f>
        <v>44820.666666666599</v>
      </c>
      <c r="B1942" s="1">
        <f ca="1">IFERROR(__xludf.DUMMYFUNCTION("""COMPUTED_VALUE"""),244.26)</f>
        <v>244.26</v>
      </c>
      <c r="C1942" s="1">
        <f ca="1">IFERROR(__xludf.DUMMYFUNCTION("""COMPUTED_VALUE"""),245.3)</f>
        <v>245.3</v>
      </c>
      <c r="D1942" s="1">
        <f ca="1">IFERROR(__xludf.DUMMYFUNCTION("""COMPUTED_VALUE"""),242.06)</f>
        <v>242.06</v>
      </c>
      <c r="E1942" s="1">
        <f ca="1">IFERROR(__xludf.DUMMYFUNCTION("""COMPUTED_VALUE"""),244.74)</f>
        <v>244.74</v>
      </c>
      <c r="F1942" s="1">
        <f ca="1">IFERROR(__xludf.DUMMYFUNCTION("""COMPUTED_VALUE"""),39791768)</f>
        <v>39791768</v>
      </c>
    </row>
    <row r="1943" spans="1:6" x14ac:dyDescent="0.35">
      <c r="A1943" s="2">
        <f ca="1">IFERROR(__xludf.DUMMYFUNCTION("""COMPUTED_VALUE"""),44823.6666666666)</f>
        <v>44823.666666666599</v>
      </c>
      <c r="B1943" s="1">
        <f ca="1">IFERROR(__xludf.DUMMYFUNCTION("""COMPUTED_VALUE"""),242.47)</f>
        <v>242.47</v>
      </c>
      <c r="C1943" s="1">
        <f ca="1">IFERROR(__xludf.DUMMYFUNCTION("""COMPUTED_VALUE"""),245.14)</f>
        <v>245.14</v>
      </c>
      <c r="D1943" s="1">
        <f ca="1">IFERROR(__xludf.DUMMYFUNCTION("""COMPUTED_VALUE"""),240.85)</f>
        <v>240.85</v>
      </c>
      <c r="E1943" s="1">
        <f ca="1">IFERROR(__xludf.DUMMYFUNCTION("""COMPUTED_VALUE"""),244.52)</f>
        <v>244.52</v>
      </c>
      <c r="F1943" s="1">
        <f ca="1">IFERROR(__xludf.DUMMYFUNCTION("""COMPUTED_VALUE"""),26826931)</f>
        <v>26826931</v>
      </c>
    </row>
    <row r="1944" spans="1:6" x14ac:dyDescent="0.35">
      <c r="A1944" s="2">
        <f ca="1">IFERROR(__xludf.DUMMYFUNCTION("""COMPUTED_VALUE"""),44824.6666666666)</f>
        <v>44824.666666666599</v>
      </c>
      <c r="B1944" s="1">
        <f ca="1">IFERROR(__xludf.DUMMYFUNCTION("""COMPUTED_VALUE"""),242.07)</f>
        <v>242.07</v>
      </c>
      <c r="C1944" s="1">
        <f ca="1">IFERROR(__xludf.DUMMYFUNCTION("""COMPUTED_VALUE"""),243.51)</f>
        <v>243.51</v>
      </c>
      <c r="D1944" s="1">
        <f ca="1">IFERROR(__xludf.DUMMYFUNCTION("""COMPUTED_VALUE"""),239.64)</f>
        <v>239.64</v>
      </c>
      <c r="E1944" s="1">
        <f ca="1">IFERROR(__xludf.DUMMYFUNCTION("""COMPUTED_VALUE"""),242.45)</f>
        <v>242.45</v>
      </c>
      <c r="F1944" s="1">
        <f ca="1">IFERROR(__xludf.DUMMYFUNCTION("""COMPUTED_VALUE"""),26660299)</f>
        <v>26660299</v>
      </c>
    </row>
    <row r="1945" spans="1:6" x14ac:dyDescent="0.35">
      <c r="A1945" s="2">
        <f ca="1">IFERROR(__xludf.DUMMYFUNCTION("""COMPUTED_VALUE"""),44825.6666666666)</f>
        <v>44825.666666666599</v>
      </c>
      <c r="B1945" s="1">
        <f ca="1">IFERROR(__xludf.DUMMYFUNCTION("""COMPUTED_VALUE"""),244.27)</f>
        <v>244.27</v>
      </c>
      <c r="C1945" s="1">
        <f ca="1">IFERROR(__xludf.DUMMYFUNCTION("""COMPUTED_VALUE"""),247.66)</f>
        <v>247.66</v>
      </c>
      <c r="D1945" s="1">
        <f ca="1">IFERROR(__xludf.DUMMYFUNCTION("""COMPUTED_VALUE"""),238.9)</f>
        <v>238.9</v>
      </c>
      <c r="E1945" s="1">
        <f ca="1">IFERROR(__xludf.DUMMYFUNCTION("""COMPUTED_VALUE"""),238.95)</f>
        <v>238.95</v>
      </c>
      <c r="F1945" s="1">
        <f ca="1">IFERROR(__xludf.DUMMYFUNCTION("""COMPUTED_VALUE"""),28625557)</f>
        <v>28625557</v>
      </c>
    </row>
    <row r="1946" spans="1:6" x14ac:dyDescent="0.35">
      <c r="A1946" s="2">
        <f ca="1">IFERROR(__xludf.DUMMYFUNCTION("""COMPUTED_VALUE"""),44826.6666666666)</f>
        <v>44826.666666666599</v>
      </c>
      <c r="B1946" s="1">
        <f ca="1">IFERROR(__xludf.DUMMYFUNCTION("""COMPUTED_VALUE"""),237.87)</f>
        <v>237.87</v>
      </c>
      <c r="C1946" s="1">
        <f ca="1">IFERROR(__xludf.DUMMYFUNCTION("""COMPUTED_VALUE"""),243.86)</f>
        <v>243.86</v>
      </c>
      <c r="D1946" s="1">
        <f ca="1">IFERROR(__xludf.DUMMYFUNCTION("""COMPUTED_VALUE"""),237.57)</f>
        <v>237.57</v>
      </c>
      <c r="E1946" s="1">
        <f ca="1">IFERROR(__xludf.DUMMYFUNCTION("""COMPUTED_VALUE"""),240.98)</f>
        <v>240.98</v>
      </c>
      <c r="F1946" s="1">
        <f ca="1">IFERROR(__xludf.DUMMYFUNCTION("""COMPUTED_VALUE"""),31061162)</f>
        <v>31061162</v>
      </c>
    </row>
    <row r="1947" spans="1:6" x14ac:dyDescent="0.35">
      <c r="A1947" s="2">
        <f ca="1">IFERROR(__xludf.DUMMYFUNCTION("""COMPUTED_VALUE"""),44827.6666666666)</f>
        <v>44827.666666666599</v>
      </c>
      <c r="B1947" s="1">
        <f ca="1">IFERROR(__xludf.DUMMYFUNCTION("""COMPUTED_VALUE"""),239.54)</f>
        <v>239.54</v>
      </c>
      <c r="C1947" s="1">
        <f ca="1">IFERROR(__xludf.DUMMYFUNCTION("""COMPUTED_VALUE"""),241.13)</f>
        <v>241.13</v>
      </c>
      <c r="D1947" s="1">
        <f ca="1">IFERROR(__xludf.DUMMYFUNCTION("""COMPUTED_VALUE"""),235.2)</f>
        <v>235.2</v>
      </c>
      <c r="E1947" s="1">
        <f ca="1">IFERROR(__xludf.DUMMYFUNCTION("""COMPUTED_VALUE"""),237.92)</f>
        <v>237.92</v>
      </c>
      <c r="F1947" s="1">
        <f ca="1">IFERROR(__xludf.DUMMYFUNCTION("""COMPUTED_VALUE"""),34176048)</f>
        <v>34176048</v>
      </c>
    </row>
    <row r="1948" spans="1:6" x14ac:dyDescent="0.35">
      <c r="A1948" s="2">
        <f ca="1">IFERROR(__xludf.DUMMYFUNCTION("""COMPUTED_VALUE"""),44830.6666666666)</f>
        <v>44830.666666666599</v>
      </c>
      <c r="B1948" s="1">
        <f ca="1">IFERROR(__xludf.DUMMYFUNCTION("""COMPUTED_VALUE"""),237.05)</f>
        <v>237.05</v>
      </c>
      <c r="C1948" s="1">
        <f ca="1">IFERROR(__xludf.DUMMYFUNCTION("""COMPUTED_VALUE"""),241.45)</f>
        <v>241.45</v>
      </c>
      <c r="D1948" s="1">
        <f ca="1">IFERROR(__xludf.DUMMYFUNCTION("""COMPUTED_VALUE"""),236.9)</f>
        <v>236.9</v>
      </c>
      <c r="E1948" s="1">
        <f ca="1">IFERROR(__xludf.DUMMYFUNCTION("""COMPUTED_VALUE"""),237.45)</f>
        <v>237.45</v>
      </c>
      <c r="F1948" s="1">
        <f ca="1">IFERROR(__xludf.DUMMYFUNCTION("""COMPUTED_VALUE"""),27694190)</f>
        <v>27694190</v>
      </c>
    </row>
    <row r="1949" spans="1:6" x14ac:dyDescent="0.35">
      <c r="A1949" s="2">
        <f ca="1">IFERROR(__xludf.DUMMYFUNCTION("""COMPUTED_VALUE"""),44831.6666666666)</f>
        <v>44831.666666666599</v>
      </c>
      <c r="B1949" s="1">
        <f ca="1">IFERROR(__xludf.DUMMYFUNCTION("""COMPUTED_VALUE"""),239.98)</f>
        <v>239.98</v>
      </c>
      <c r="C1949" s="1">
        <f ca="1">IFERROR(__xludf.DUMMYFUNCTION("""COMPUTED_VALUE"""),241.8)</f>
        <v>241.8</v>
      </c>
      <c r="D1949" s="1">
        <f ca="1">IFERROR(__xludf.DUMMYFUNCTION("""COMPUTED_VALUE"""),234.5)</f>
        <v>234.5</v>
      </c>
      <c r="E1949" s="1">
        <f ca="1">IFERROR(__xludf.DUMMYFUNCTION("""COMPUTED_VALUE"""),236.41)</f>
        <v>236.41</v>
      </c>
      <c r="F1949" s="1">
        <f ca="1">IFERROR(__xludf.DUMMYFUNCTION("""COMPUTED_VALUE"""),27018732)</f>
        <v>27018732</v>
      </c>
    </row>
    <row r="1950" spans="1:6" x14ac:dyDescent="0.35">
      <c r="A1950" s="2">
        <f ca="1">IFERROR(__xludf.DUMMYFUNCTION("""COMPUTED_VALUE"""),44832.6666666666)</f>
        <v>44832.666666666599</v>
      </c>
      <c r="B1950" s="1">
        <f ca="1">IFERROR(__xludf.DUMMYFUNCTION("""COMPUTED_VALUE"""),236.81)</f>
        <v>236.81</v>
      </c>
      <c r="C1950" s="1">
        <f ca="1">IFERROR(__xludf.DUMMYFUNCTION("""COMPUTED_VALUE"""),242.33)</f>
        <v>242.33</v>
      </c>
      <c r="D1950" s="1">
        <f ca="1">IFERROR(__xludf.DUMMYFUNCTION("""COMPUTED_VALUE"""),234.73)</f>
        <v>234.73</v>
      </c>
      <c r="E1950" s="1">
        <f ca="1">IFERROR(__xludf.DUMMYFUNCTION("""COMPUTED_VALUE"""),241.07)</f>
        <v>241.07</v>
      </c>
      <c r="F1950" s="1">
        <f ca="1">IFERROR(__xludf.DUMMYFUNCTION("""COMPUTED_VALUE"""),29029679)</f>
        <v>29029679</v>
      </c>
    </row>
    <row r="1951" spans="1:6" x14ac:dyDescent="0.35">
      <c r="A1951" s="2">
        <f ca="1">IFERROR(__xludf.DUMMYFUNCTION("""COMPUTED_VALUE"""),44833.6666666666)</f>
        <v>44833.666666666599</v>
      </c>
      <c r="B1951" s="1">
        <f ca="1">IFERROR(__xludf.DUMMYFUNCTION("""COMPUTED_VALUE"""),238.89)</f>
        <v>238.89</v>
      </c>
      <c r="C1951" s="1">
        <f ca="1">IFERROR(__xludf.DUMMYFUNCTION("""COMPUTED_VALUE"""),239.95)</f>
        <v>239.95</v>
      </c>
      <c r="D1951" s="1">
        <f ca="1">IFERROR(__xludf.DUMMYFUNCTION("""COMPUTED_VALUE"""),234.41)</f>
        <v>234.41</v>
      </c>
      <c r="E1951" s="1">
        <f ca="1">IFERROR(__xludf.DUMMYFUNCTION("""COMPUTED_VALUE"""),237.5)</f>
        <v>237.5</v>
      </c>
      <c r="F1951" s="1">
        <f ca="1">IFERROR(__xludf.DUMMYFUNCTION("""COMPUTED_VALUE"""),27484233)</f>
        <v>27484233</v>
      </c>
    </row>
    <row r="1952" spans="1:6" x14ac:dyDescent="0.35">
      <c r="A1952" s="2">
        <f ca="1">IFERROR(__xludf.DUMMYFUNCTION("""COMPUTED_VALUE"""),44834.6666666666)</f>
        <v>44834.666666666599</v>
      </c>
      <c r="B1952" s="1">
        <f ca="1">IFERROR(__xludf.DUMMYFUNCTION("""COMPUTED_VALUE"""),238.29)</f>
        <v>238.29</v>
      </c>
      <c r="C1952" s="1">
        <f ca="1">IFERROR(__xludf.DUMMYFUNCTION("""COMPUTED_VALUE"""),240.54)</f>
        <v>240.54</v>
      </c>
      <c r="D1952" s="1">
        <f ca="1">IFERROR(__xludf.DUMMYFUNCTION("""COMPUTED_VALUE"""),232.73)</f>
        <v>232.73</v>
      </c>
      <c r="E1952" s="1">
        <f ca="1">IFERROR(__xludf.DUMMYFUNCTION("""COMPUTED_VALUE"""),232.9)</f>
        <v>232.9</v>
      </c>
      <c r="F1952" s="1">
        <f ca="1">IFERROR(__xludf.DUMMYFUNCTION("""COMPUTED_VALUE"""),35694832)</f>
        <v>35694832</v>
      </c>
    </row>
    <row r="1953" spans="1:6" x14ac:dyDescent="0.35">
      <c r="A1953" s="2">
        <f ca="1">IFERROR(__xludf.DUMMYFUNCTION("""COMPUTED_VALUE"""),44837.6666666666)</f>
        <v>44837.666666666599</v>
      </c>
      <c r="B1953" s="1">
        <f ca="1">IFERROR(__xludf.DUMMYFUNCTION("""COMPUTED_VALUE"""),235.41)</f>
        <v>235.41</v>
      </c>
      <c r="C1953" s="1">
        <f ca="1">IFERROR(__xludf.DUMMYFUNCTION("""COMPUTED_VALUE"""),241.61)</f>
        <v>241.61</v>
      </c>
      <c r="D1953" s="1">
        <f ca="1">IFERROR(__xludf.DUMMYFUNCTION("""COMPUTED_VALUE"""),234.66)</f>
        <v>234.66</v>
      </c>
      <c r="E1953" s="1">
        <f ca="1">IFERROR(__xludf.DUMMYFUNCTION("""COMPUTED_VALUE"""),240.74)</f>
        <v>240.74</v>
      </c>
      <c r="F1953" s="1">
        <f ca="1">IFERROR(__xludf.DUMMYFUNCTION("""COMPUTED_VALUE"""),28880357)</f>
        <v>28880357</v>
      </c>
    </row>
    <row r="1954" spans="1:6" x14ac:dyDescent="0.35">
      <c r="A1954" s="2">
        <f ca="1">IFERROR(__xludf.DUMMYFUNCTION("""COMPUTED_VALUE"""),44838.6666666666)</f>
        <v>44838.666666666599</v>
      </c>
      <c r="B1954" s="1">
        <f ca="1">IFERROR(__xludf.DUMMYFUNCTION("""COMPUTED_VALUE"""),245.09)</f>
        <v>245.09</v>
      </c>
      <c r="C1954" s="1">
        <f ca="1">IFERROR(__xludf.DUMMYFUNCTION("""COMPUTED_VALUE"""),250.36)</f>
        <v>250.36</v>
      </c>
      <c r="D1954" s="1">
        <f ca="1">IFERROR(__xludf.DUMMYFUNCTION("""COMPUTED_VALUE"""),244.98)</f>
        <v>244.98</v>
      </c>
      <c r="E1954" s="1">
        <f ca="1">IFERROR(__xludf.DUMMYFUNCTION("""COMPUTED_VALUE"""),248.88)</f>
        <v>248.88</v>
      </c>
      <c r="F1954" s="1">
        <f ca="1">IFERROR(__xludf.DUMMYFUNCTION("""COMPUTED_VALUE"""),34888416)</f>
        <v>34888416</v>
      </c>
    </row>
    <row r="1955" spans="1:6" x14ac:dyDescent="0.35">
      <c r="A1955" s="2">
        <f ca="1">IFERROR(__xludf.DUMMYFUNCTION("""COMPUTED_VALUE"""),44839.6666666666)</f>
        <v>44839.666666666599</v>
      </c>
      <c r="B1955" s="1">
        <f ca="1">IFERROR(__xludf.DUMMYFUNCTION("""COMPUTED_VALUE"""),245.99)</f>
        <v>245.99</v>
      </c>
      <c r="C1955" s="1">
        <f ca="1">IFERROR(__xludf.DUMMYFUNCTION("""COMPUTED_VALUE"""),250.58)</f>
        <v>250.58</v>
      </c>
      <c r="D1955" s="1">
        <f ca="1">IFERROR(__xludf.DUMMYFUNCTION("""COMPUTED_VALUE"""),244.1)</f>
        <v>244.1</v>
      </c>
      <c r="E1955" s="1">
        <f ca="1">IFERROR(__xludf.DUMMYFUNCTION("""COMPUTED_VALUE"""),249.2)</f>
        <v>249.2</v>
      </c>
      <c r="F1955" s="1">
        <f ca="1">IFERROR(__xludf.DUMMYFUNCTION("""COMPUTED_VALUE"""),20347136)</f>
        <v>20347136</v>
      </c>
    </row>
    <row r="1956" spans="1:6" x14ac:dyDescent="0.35">
      <c r="A1956" s="2">
        <f ca="1">IFERROR(__xludf.DUMMYFUNCTION("""COMPUTED_VALUE"""),44840.6666666666)</f>
        <v>44840.666666666599</v>
      </c>
      <c r="B1956" s="1">
        <f ca="1">IFERROR(__xludf.DUMMYFUNCTION("""COMPUTED_VALUE"""),247.93)</f>
        <v>247.93</v>
      </c>
      <c r="C1956" s="1">
        <f ca="1">IFERROR(__xludf.DUMMYFUNCTION("""COMPUTED_VALUE"""),250.34)</f>
        <v>250.34</v>
      </c>
      <c r="D1956" s="1">
        <f ca="1">IFERROR(__xludf.DUMMYFUNCTION("""COMPUTED_VALUE"""),246.08)</f>
        <v>246.08</v>
      </c>
      <c r="E1956" s="1">
        <f ca="1">IFERROR(__xludf.DUMMYFUNCTION("""COMPUTED_VALUE"""),246.79)</f>
        <v>246.79</v>
      </c>
      <c r="F1956" s="1">
        <f ca="1">IFERROR(__xludf.DUMMYFUNCTION("""COMPUTED_VALUE"""),20239886)</f>
        <v>20239886</v>
      </c>
    </row>
    <row r="1957" spans="1:6" x14ac:dyDescent="0.35">
      <c r="A1957" s="2">
        <f ca="1">IFERROR(__xludf.DUMMYFUNCTION("""COMPUTED_VALUE"""),44841.6666666666)</f>
        <v>44841.666666666599</v>
      </c>
      <c r="B1957" s="1">
        <f ca="1">IFERROR(__xludf.DUMMYFUNCTION("""COMPUTED_VALUE"""),240.9)</f>
        <v>240.9</v>
      </c>
      <c r="C1957" s="1">
        <f ca="1">IFERROR(__xludf.DUMMYFUNCTION("""COMPUTED_VALUE"""),241.32)</f>
        <v>241.32</v>
      </c>
      <c r="D1957" s="1">
        <f ca="1">IFERROR(__xludf.DUMMYFUNCTION("""COMPUTED_VALUE"""),233.17)</f>
        <v>233.17</v>
      </c>
      <c r="E1957" s="1">
        <f ca="1">IFERROR(__xludf.DUMMYFUNCTION("""COMPUTED_VALUE"""),234.24)</f>
        <v>234.24</v>
      </c>
      <c r="F1957" s="1">
        <f ca="1">IFERROR(__xludf.DUMMYFUNCTION("""COMPUTED_VALUE"""),37769602)</f>
        <v>37769602</v>
      </c>
    </row>
    <row r="1958" spans="1:6" x14ac:dyDescent="0.35">
      <c r="A1958" s="2">
        <f ca="1">IFERROR(__xludf.DUMMYFUNCTION("""COMPUTED_VALUE"""),44844.6666666666)</f>
        <v>44844.666666666599</v>
      </c>
      <c r="B1958" s="1">
        <f ca="1">IFERROR(__xludf.DUMMYFUNCTION("""COMPUTED_VALUE"""),233.05)</f>
        <v>233.05</v>
      </c>
      <c r="C1958" s="1">
        <f ca="1">IFERROR(__xludf.DUMMYFUNCTION("""COMPUTED_VALUE"""),234.56)</f>
        <v>234.56</v>
      </c>
      <c r="D1958" s="1">
        <f ca="1">IFERROR(__xludf.DUMMYFUNCTION("""COMPUTED_VALUE"""),226.73)</f>
        <v>226.73</v>
      </c>
      <c r="E1958" s="1">
        <f ca="1">IFERROR(__xludf.DUMMYFUNCTION("""COMPUTED_VALUE"""),229.25)</f>
        <v>229.25</v>
      </c>
      <c r="F1958" s="1">
        <f ca="1">IFERROR(__xludf.DUMMYFUNCTION("""COMPUTED_VALUE"""),29743608)</f>
        <v>29743608</v>
      </c>
    </row>
    <row r="1959" spans="1:6" x14ac:dyDescent="0.35">
      <c r="A1959" s="2">
        <f ca="1">IFERROR(__xludf.DUMMYFUNCTION("""COMPUTED_VALUE"""),44845.6666666666)</f>
        <v>44845.666666666599</v>
      </c>
      <c r="B1959" s="1">
        <f ca="1">IFERROR(__xludf.DUMMYFUNCTION("""COMPUTED_VALUE"""),227.62)</f>
        <v>227.62</v>
      </c>
      <c r="C1959" s="1">
        <f ca="1">IFERROR(__xludf.DUMMYFUNCTION("""COMPUTED_VALUE"""),229.06)</f>
        <v>229.06</v>
      </c>
      <c r="D1959" s="1">
        <f ca="1">IFERROR(__xludf.DUMMYFUNCTION("""COMPUTED_VALUE"""),224.11)</f>
        <v>224.11</v>
      </c>
      <c r="E1959" s="1">
        <f ca="1">IFERROR(__xludf.DUMMYFUNCTION("""COMPUTED_VALUE"""),225.41)</f>
        <v>225.41</v>
      </c>
      <c r="F1959" s="1">
        <f ca="1">IFERROR(__xludf.DUMMYFUNCTION("""COMPUTED_VALUE"""),30473954)</f>
        <v>30473954</v>
      </c>
    </row>
    <row r="1960" spans="1:6" x14ac:dyDescent="0.35">
      <c r="A1960" s="2">
        <f ca="1">IFERROR(__xludf.DUMMYFUNCTION("""COMPUTED_VALUE"""),44846.6666666666)</f>
        <v>44846.666666666599</v>
      </c>
      <c r="B1960" s="1">
        <f ca="1">IFERROR(__xludf.DUMMYFUNCTION("""COMPUTED_VALUE"""),225.4)</f>
        <v>225.4</v>
      </c>
      <c r="C1960" s="1">
        <f ca="1">IFERROR(__xludf.DUMMYFUNCTION("""COMPUTED_VALUE"""),227.86)</f>
        <v>227.86</v>
      </c>
      <c r="D1960" s="1">
        <f ca="1">IFERROR(__xludf.DUMMYFUNCTION("""COMPUTED_VALUE"""),223.96)</f>
        <v>223.96</v>
      </c>
      <c r="E1960" s="1">
        <f ca="1">IFERROR(__xludf.DUMMYFUNCTION("""COMPUTED_VALUE"""),225.75)</f>
        <v>225.75</v>
      </c>
      <c r="F1960" s="1">
        <f ca="1">IFERROR(__xludf.DUMMYFUNCTION("""COMPUTED_VALUE"""),21903937)</f>
        <v>21903937</v>
      </c>
    </row>
    <row r="1961" spans="1:6" x14ac:dyDescent="0.35">
      <c r="A1961" s="2">
        <f ca="1">IFERROR(__xludf.DUMMYFUNCTION("""COMPUTED_VALUE"""),44847.6666666666)</f>
        <v>44847.666666666599</v>
      </c>
      <c r="B1961" s="1">
        <f ca="1">IFERROR(__xludf.DUMMYFUNCTION("""COMPUTED_VALUE"""),219.85)</f>
        <v>219.85</v>
      </c>
      <c r="C1961" s="1">
        <f ca="1">IFERROR(__xludf.DUMMYFUNCTION("""COMPUTED_VALUE"""),236.1)</f>
        <v>236.1</v>
      </c>
      <c r="D1961" s="1">
        <f ca="1">IFERROR(__xludf.DUMMYFUNCTION("""COMPUTED_VALUE"""),219.13)</f>
        <v>219.13</v>
      </c>
      <c r="E1961" s="1">
        <f ca="1">IFERROR(__xludf.DUMMYFUNCTION("""COMPUTED_VALUE"""),234.24)</f>
        <v>234.24</v>
      </c>
      <c r="F1961" s="1">
        <f ca="1">IFERROR(__xludf.DUMMYFUNCTION("""COMPUTED_VALUE"""),42551818)</f>
        <v>42551818</v>
      </c>
    </row>
    <row r="1962" spans="1:6" x14ac:dyDescent="0.35">
      <c r="A1962" s="2">
        <f ca="1">IFERROR(__xludf.DUMMYFUNCTION("""COMPUTED_VALUE"""),44848.6666666666)</f>
        <v>44848.666666666599</v>
      </c>
      <c r="B1962" s="1">
        <f ca="1">IFERROR(__xludf.DUMMYFUNCTION("""COMPUTED_VALUE"""),235.54)</f>
        <v>235.54</v>
      </c>
      <c r="C1962" s="1">
        <f ca="1">IFERROR(__xludf.DUMMYFUNCTION("""COMPUTED_VALUE"""),237.24)</f>
        <v>237.24</v>
      </c>
      <c r="D1962" s="1">
        <f ca="1">IFERROR(__xludf.DUMMYFUNCTION("""COMPUTED_VALUE"""),228.34)</f>
        <v>228.34</v>
      </c>
      <c r="E1962" s="1">
        <f ca="1">IFERROR(__xludf.DUMMYFUNCTION("""COMPUTED_VALUE"""),228.56)</f>
        <v>228.56</v>
      </c>
      <c r="F1962" s="1">
        <f ca="1">IFERROR(__xludf.DUMMYFUNCTION("""COMPUTED_VALUE"""),30198588)</f>
        <v>30198588</v>
      </c>
    </row>
    <row r="1963" spans="1:6" x14ac:dyDescent="0.35">
      <c r="A1963" s="2">
        <f ca="1">IFERROR(__xludf.DUMMYFUNCTION("""COMPUTED_VALUE"""),44851.6666666666)</f>
        <v>44851.666666666599</v>
      </c>
      <c r="B1963" s="1">
        <f ca="1">IFERROR(__xludf.DUMMYFUNCTION("""COMPUTED_VALUE"""),235.82)</f>
        <v>235.82</v>
      </c>
      <c r="C1963" s="1">
        <f ca="1">IFERROR(__xludf.DUMMYFUNCTION("""COMPUTED_VALUE"""),238.96)</f>
        <v>238.96</v>
      </c>
      <c r="D1963" s="1">
        <f ca="1">IFERROR(__xludf.DUMMYFUNCTION("""COMPUTED_VALUE"""),235.14)</f>
        <v>235.14</v>
      </c>
      <c r="E1963" s="1">
        <f ca="1">IFERROR(__xludf.DUMMYFUNCTION("""COMPUTED_VALUE"""),237.53)</f>
        <v>237.53</v>
      </c>
      <c r="F1963" s="1">
        <f ca="1">IFERROR(__xludf.DUMMYFUNCTION("""COMPUTED_VALUE"""),28142268)</f>
        <v>28142268</v>
      </c>
    </row>
    <row r="1964" spans="1:6" x14ac:dyDescent="0.35">
      <c r="A1964" s="2">
        <f ca="1">IFERROR(__xludf.DUMMYFUNCTION("""COMPUTED_VALUE"""),44852.6666666666)</f>
        <v>44852.666666666599</v>
      </c>
      <c r="B1964" s="1">
        <f ca="1">IFERROR(__xludf.DUMMYFUNCTION("""COMPUTED_VALUE"""),243.24)</f>
        <v>243.24</v>
      </c>
      <c r="C1964" s="1">
        <f ca="1">IFERROR(__xludf.DUMMYFUNCTION("""COMPUTED_VALUE"""),243.93)</f>
        <v>243.93</v>
      </c>
      <c r="D1964" s="1">
        <f ca="1">IFERROR(__xludf.DUMMYFUNCTION("""COMPUTED_VALUE"""),235.37)</f>
        <v>235.37</v>
      </c>
      <c r="E1964" s="1">
        <f ca="1">IFERROR(__xludf.DUMMYFUNCTION("""COMPUTED_VALUE"""),238.5)</f>
        <v>238.5</v>
      </c>
      <c r="F1964" s="1">
        <f ca="1">IFERROR(__xludf.DUMMYFUNCTION("""COMPUTED_VALUE"""),26329591)</f>
        <v>26329591</v>
      </c>
    </row>
    <row r="1965" spans="1:6" x14ac:dyDescent="0.35">
      <c r="A1965" s="2">
        <f ca="1">IFERROR(__xludf.DUMMYFUNCTION("""COMPUTED_VALUE"""),44853.6666666666)</f>
        <v>44853.666666666599</v>
      </c>
      <c r="B1965" s="1">
        <f ca="1">IFERROR(__xludf.DUMMYFUNCTION("""COMPUTED_VALUE"""),237.04)</f>
        <v>237.04</v>
      </c>
      <c r="C1965" s="1">
        <f ca="1">IFERROR(__xludf.DUMMYFUNCTION("""COMPUTED_VALUE"""),239.61)</f>
        <v>239.61</v>
      </c>
      <c r="D1965" s="1">
        <f ca="1">IFERROR(__xludf.DUMMYFUNCTION("""COMPUTED_VALUE"""),234.29)</f>
        <v>234.29</v>
      </c>
      <c r="E1965" s="1">
        <f ca="1">IFERROR(__xludf.DUMMYFUNCTION("""COMPUTED_VALUE"""),236.48)</f>
        <v>236.48</v>
      </c>
      <c r="F1965" s="1">
        <f ca="1">IFERROR(__xludf.DUMMYFUNCTION("""COMPUTED_VALUE"""),19985698)</f>
        <v>19985698</v>
      </c>
    </row>
    <row r="1966" spans="1:6" x14ac:dyDescent="0.35">
      <c r="A1966" s="2">
        <f ca="1">IFERROR(__xludf.DUMMYFUNCTION("""COMPUTED_VALUE"""),44854.6666666666)</f>
        <v>44854.666666666599</v>
      </c>
      <c r="B1966" s="1">
        <f ca="1">IFERROR(__xludf.DUMMYFUNCTION("""COMPUTED_VALUE"""),235.77)</f>
        <v>235.77</v>
      </c>
      <c r="C1966" s="1">
        <f ca="1">IFERROR(__xludf.DUMMYFUNCTION("""COMPUTED_VALUE"""),241.31)</f>
        <v>241.31</v>
      </c>
      <c r="D1966" s="1">
        <f ca="1">IFERROR(__xludf.DUMMYFUNCTION("""COMPUTED_VALUE"""),234.87)</f>
        <v>234.87</v>
      </c>
      <c r="E1966" s="1">
        <f ca="1">IFERROR(__xludf.DUMMYFUNCTION("""COMPUTED_VALUE"""),236.15)</f>
        <v>236.15</v>
      </c>
      <c r="F1966" s="1">
        <f ca="1">IFERROR(__xludf.DUMMYFUNCTION("""COMPUTED_VALUE"""),21811015)</f>
        <v>21811015</v>
      </c>
    </row>
    <row r="1967" spans="1:6" x14ac:dyDescent="0.35">
      <c r="A1967" s="2">
        <f ca="1">IFERROR(__xludf.DUMMYFUNCTION("""COMPUTED_VALUE"""),44855.6666666666)</f>
        <v>44855.666666666599</v>
      </c>
      <c r="B1967" s="1">
        <f ca="1">IFERROR(__xludf.DUMMYFUNCTION("""COMPUTED_VALUE"""),234.74)</f>
        <v>234.74</v>
      </c>
      <c r="C1967" s="1">
        <f ca="1">IFERROR(__xludf.DUMMYFUNCTION("""COMPUTED_VALUE"""),243)</f>
        <v>243</v>
      </c>
      <c r="D1967" s="1">
        <f ca="1">IFERROR(__xludf.DUMMYFUNCTION("""COMPUTED_VALUE"""),234.5)</f>
        <v>234.5</v>
      </c>
      <c r="E1967" s="1">
        <f ca="1">IFERROR(__xludf.DUMMYFUNCTION("""COMPUTED_VALUE"""),242.12)</f>
        <v>242.12</v>
      </c>
      <c r="F1967" s="1">
        <f ca="1">IFERROR(__xludf.DUMMYFUNCTION("""COMPUTED_VALUE"""),26299733)</f>
        <v>26299733</v>
      </c>
    </row>
    <row r="1968" spans="1:6" x14ac:dyDescent="0.35">
      <c r="A1968" s="2">
        <f ca="1">IFERROR(__xludf.DUMMYFUNCTION("""COMPUTED_VALUE"""),44858.6666666666)</f>
        <v>44858.666666666599</v>
      </c>
      <c r="B1968" s="1">
        <f ca="1">IFERROR(__xludf.DUMMYFUNCTION("""COMPUTED_VALUE"""),243.76)</f>
        <v>243.76</v>
      </c>
      <c r="C1968" s="1">
        <f ca="1">IFERROR(__xludf.DUMMYFUNCTION("""COMPUTED_VALUE"""),247.84)</f>
        <v>247.84</v>
      </c>
      <c r="D1968" s="1">
        <f ca="1">IFERROR(__xludf.DUMMYFUNCTION("""COMPUTED_VALUE"""),241.3)</f>
        <v>241.3</v>
      </c>
      <c r="E1968" s="1">
        <f ca="1">IFERROR(__xludf.DUMMYFUNCTION("""COMPUTED_VALUE"""),247.25)</f>
        <v>247.25</v>
      </c>
      <c r="F1968" s="1">
        <f ca="1">IFERROR(__xludf.DUMMYFUNCTION("""COMPUTED_VALUE"""),24911212)</f>
        <v>24911212</v>
      </c>
    </row>
    <row r="1969" spans="1:6" x14ac:dyDescent="0.35">
      <c r="A1969" s="2">
        <f ca="1">IFERROR(__xludf.DUMMYFUNCTION("""COMPUTED_VALUE"""),44859.6666666666)</f>
        <v>44859.666666666599</v>
      </c>
      <c r="B1969" s="1">
        <f ca="1">IFERROR(__xludf.DUMMYFUNCTION("""COMPUTED_VALUE"""),247.26)</f>
        <v>247.26</v>
      </c>
      <c r="C1969" s="1">
        <f ca="1">IFERROR(__xludf.DUMMYFUNCTION("""COMPUTED_VALUE"""),251.04)</f>
        <v>251.04</v>
      </c>
      <c r="D1969" s="1">
        <f ca="1">IFERROR(__xludf.DUMMYFUNCTION("""COMPUTED_VALUE"""),245.83)</f>
        <v>245.83</v>
      </c>
      <c r="E1969" s="1">
        <f ca="1">IFERROR(__xludf.DUMMYFUNCTION("""COMPUTED_VALUE"""),250.66)</f>
        <v>250.66</v>
      </c>
      <c r="F1969" s="1">
        <f ca="1">IFERROR(__xludf.DUMMYFUNCTION("""COMPUTED_VALUE"""),34775505)</f>
        <v>34775505</v>
      </c>
    </row>
    <row r="1970" spans="1:6" x14ac:dyDescent="0.35">
      <c r="A1970" s="2">
        <f ca="1">IFERROR(__xludf.DUMMYFUNCTION("""COMPUTED_VALUE"""),44860.6666666666)</f>
        <v>44860.666666666599</v>
      </c>
      <c r="B1970" s="1">
        <f ca="1">IFERROR(__xludf.DUMMYFUNCTION("""COMPUTED_VALUE"""),231.17)</f>
        <v>231.17</v>
      </c>
      <c r="C1970" s="1">
        <f ca="1">IFERROR(__xludf.DUMMYFUNCTION("""COMPUTED_VALUE"""),238.3)</f>
        <v>238.3</v>
      </c>
      <c r="D1970" s="1">
        <f ca="1">IFERROR(__xludf.DUMMYFUNCTION("""COMPUTED_VALUE"""),230.06)</f>
        <v>230.06</v>
      </c>
      <c r="E1970" s="1">
        <f ca="1">IFERROR(__xludf.DUMMYFUNCTION("""COMPUTED_VALUE"""),231.32)</f>
        <v>231.32</v>
      </c>
      <c r="F1970" s="1">
        <f ca="1">IFERROR(__xludf.DUMMYFUNCTION("""COMPUTED_VALUE"""),82684846)</f>
        <v>82684846</v>
      </c>
    </row>
    <row r="1971" spans="1:6" x14ac:dyDescent="0.35">
      <c r="A1971" s="2">
        <f ca="1">IFERROR(__xludf.DUMMYFUNCTION("""COMPUTED_VALUE"""),44861.6666666666)</f>
        <v>44861.666666666599</v>
      </c>
      <c r="B1971" s="1">
        <f ca="1">IFERROR(__xludf.DUMMYFUNCTION("""COMPUTED_VALUE"""),231.04)</f>
        <v>231.04</v>
      </c>
      <c r="C1971" s="1">
        <f ca="1">IFERROR(__xludf.DUMMYFUNCTION("""COMPUTED_VALUE"""),233.69)</f>
        <v>233.69</v>
      </c>
      <c r="D1971" s="1">
        <f ca="1">IFERROR(__xludf.DUMMYFUNCTION("""COMPUTED_VALUE"""),225.78)</f>
        <v>225.78</v>
      </c>
      <c r="E1971" s="1">
        <f ca="1">IFERROR(__xludf.DUMMYFUNCTION("""COMPUTED_VALUE"""),226.75)</f>
        <v>226.75</v>
      </c>
      <c r="F1971" s="1">
        <f ca="1">IFERROR(__xludf.DUMMYFUNCTION("""COMPUTED_VALUE"""),40424645)</f>
        <v>40424645</v>
      </c>
    </row>
    <row r="1972" spans="1:6" x14ac:dyDescent="0.35">
      <c r="A1972" s="2">
        <f ca="1">IFERROR(__xludf.DUMMYFUNCTION("""COMPUTED_VALUE"""),44862.6666666666)</f>
        <v>44862.666666666599</v>
      </c>
      <c r="B1972" s="1">
        <f ca="1">IFERROR(__xludf.DUMMYFUNCTION("""COMPUTED_VALUE"""),226.24)</f>
        <v>226.24</v>
      </c>
      <c r="C1972" s="1">
        <f ca="1">IFERROR(__xludf.DUMMYFUNCTION("""COMPUTED_VALUE"""),236.6)</f>
        <v>236.6</v>
      </c>
      <c r="D1972" s="1">
        <f ca="1">IFERROR(__xludf.DUMMYFUNCTION("""COMPUTED_VALUE"""),226.05)</f>
        <v>226.05</v>
      </c>
      <c r="E1972" s="1">
        <f ca="1">IFERROR(__xludf.DUMMYFUNCTION("""COMPUTED_VALUE"""),235.87)</f>
        <v>235.87</v>
      </c>
      <c r="F1972" s="1">
        <f ca="1">IFERROR(__xludf.DUMMYFUNCTION("""COMPUTED_VALUE"""),40647724)</f>
        <v>40647724</v>
      </c>
    </row>
    <row r="1973" spans="1:6" x14ac:dyDescent="0.35">
      <c r="A1973" s="2">
        <f ca="1">IFERROR(__xludf.DUMMYFUNCTION("""COMPUTED_VALUE"""),44865.6666666666)</f>
        <v>44865.666666666599</v>
      </c>
      <c r="B1973" s="1">
        <f ca="1">IFERROR(__xludf.DUMMYFUNCTION("""COMPUTED_VALUE"""),233.76)</f>
        <v>233.76</v>
      </c>
      <c r="C1973" s="1">
        <f ca="1">IFERROR(__xludf.DUMMYFUNCTION("""COMPUTED_VALUE"""),234.92)</f>
        <v>234.92</v>
      </c>
      <c r="D1973" s="1">
        <f ca="1">IFERROR(__xludf.DUMMYFUNCTION("""COMPUTED_VALUE"""),231.15)</f>
        <v>231.15</v>
      </c>
      <c r="E1973" s="1">
        <f ca="1">IFERROR(__xludf.DUMMYFUNCTION("""COMPUTED_VALUE"""),232.13)</f>
        <v>232.13</v>
      </c>
      <c r="F1973" s="1">
        <f ca="1">IFERROR(__xludf.DUMMYFUNCTION("""COMPUTED_VALUE"""),28357265)</f>
        <v>28357265</v>
      </c>
    </row>
    <row r="1974" spans="1:6" x14ac:dyDescent="0.35">
      <c r="A1974" s="2">
        <f ca="1">IFERROR(__xludf.DUMMYFUNCTION("""COMPUTED_VALUE"""),44866.6666666666)</f>
        <v>44866.666666666599</v>
      </c>
      <c r="B1974" s="1">
        <f ca="1">IFERROR(__xludf.DUMMYFUNCTION("""COMPUTED_VALUE"""),234.6)</f>
        <v>234.6</v>
      </c>
      <c r="C1974" s="1">
        <f ca="1">IFERROR(__xludf.DUMMYFUNCTION("""COMPUTED_VALUE"""),235.74)</f>
        <v>235.74</v>
      </c>
      <c r="D1974" s="1">
        <f ca="1">IFERROR(__xludf.DUMMYFUNCTION("""COMPUTED_VALUE"""),227.33)</f>
        <v>227.33</v>
      </c>
      <c r="E1974" s="1">
        <f ca="1">IFERROR(__xludf.DUMMYFUNCTION("""COMPUTED_VALUE"""),228.17)</f>
        <v>228.17</v>
      </c>
      <c r="F1974" s="1">
        <f ca="1">IFERROR(__xludf.DUMMYFUNCTION("""COMPUTED_VALUE"""),30592271)</f>
        <v>30592271</v>
      </c>
    </row>
    <row r="1975" spans="1:6" x14ac:dyDescent="0.35">
      <c r="A1975" s="2">
        <f ca="1">IFERROR(__xludf.DUMMYFUNCTION("""COMPUTED_VALUE"""),44867.6666666666)</f>
        <v>44867.666666666599</v>
      </c>
      <c r="B1975" s="1">
        <f ca="1">IFERROR(__xludf.DUMMYFUNCTION("""COMPUTED_VALUE"""),229.46)</f>
        <v>229.46</v>
      </c>
      <c r="C1975" s="1">
        <f ca="1">IFERROR(__xludf.DUMMYFUNCTION("""COMPUTED_VALUE"""),231.3)</f>
        <v>231.3</v>
      </c>
      <c r="D1975" s="1">
        <f ca="1">IFERROR(__xludf.DUMMYFUNCTION("""COMPUTED_VALUE"""),220.04)</f>
        <v>220.04</v>
      </c>
      <c r="E1975" s="1">
        <f ca="1">IFERROR(__xludf.DUMMYFUNCTION("""COMPUTED_VALUE"""),220.1)</f>
        <v>220.1</v>
      </c>
      <c r="F1975" s="1">
        <f ca="1">IFERROR(__xludf.DUMMYFUNCTION("""COMPUTED_VALUE"""),38407008)</f>
        <v>38407008</v>
      </c>
    </row>
    <row r="1976" spans="1:6" x14ac:dyDescent="0.35">
      <c r="A1976" s="2">
        <f ca="1">IFERROR(__xludf.DUMMYFUNCTION("""COMPUTED_VALUE"""),44868.6666666666)</f>
        <v>44868.666666666599</v>
      </c>
      <c r="B1976" s="1">
        <f ca="1">IFERROR(__xludf.DUMMYFUNCTION("""COMPUTED_VALUE"""),220.09)</f>
        <v>220.09</v>
      </c>
      <c r="C1976" s="1">
        <f ca="1">IFERROR(__xludf.DUMMYFUNCTION("""COMPUTED_VALUE"""),220.41)</f>
        <v>220.41</v>
      </c>
      <c r="D1976" s="1">
        <f ca="1">IFERROR(__xludf.DUMMYFUNCTION("""COMPUTED_VALUE"""),213.98)</f>
        <v>213.98</v>
      </c>
      <c r="E1976" s="1">
        <f ca="1">IFERROR(__xludf.DUMMYFUNCTION("""COMPUTED_VALUE"""),214.25)</f>
        <v>214.25</v>
      </c>
      <c r="F1976" s="1">
        <f ca="1">IFERROR(__xludf.DUMMYFUNCTION("""COMPUTED_VALUE"""),36633922)</f>
        <v>36633922</v>
      </c>
    </row>
    <row r="1977" spans="1:6" x14ac:dyDescent="0.35">
      <c r="A1977" s="2">
        <f ca="1">IFERROR(__xludf.DUMMYFUNCTION("""COMPUTED_VALUE"""),44869.6666666666)</f>
        <v>44869.666666666599</v>
      </c>
      <c r="B1977" s="1">
        <f ca="1">IFERROR(__xludf.DUMMYFUNCTION("""COMPUTED_VALUE"""),217.55)</f>
        <v>217.55</v>
      </c>
      <c r="C1977" s="1">
        <f ca="1">IFERROR(__xludf.DUMMYFUNCTION("""COMPUTED_VALUE"""),221.59)</f>
        <v>221.59</v>
      </c>
      <c r="D1977" s="1">
        <f ca="1">IFERROR(__xludf.DUMMYFUNCTION("""COMPUTED_VALUE"""),213.43)</f>
        <v>213.43</v>
      </c>
      <c r="E1977" s="1">
        <f ca="1">IFERROR(__xludf.DUMMYFUNCTION("""COMPUTED_VALUE"""),221.39)</f>
        <v>221.39</v>
      </c>
      <c r="F1977" s="1">
        <f ca="1">IFERROR(__xludf.DUMMYFUNCTION("""COMPUTED_VALUE"""),36789063)</f>
        <v>36789063</v>
      </c>
    </row>
    <row r="1978" spans="1:6" x14ac:dyDescent="0.35">
      <c r="A1978" s="2">
        <f ca="1">IFERROR(__xludf.DUMMYFUNCTION("""COMPUTED_VALUE"""),44872.6666666666)</f>
        <v>44872.666666666599</v>
      </c>
      <c r="B1978" s="1">
        <f ca="1">IFERROR(__xludf.DUMMYFUNCTION("""COMPUTED_VALUE"""),221.99)</f>
        <v>221.99</v>
      </c>
      <c r="C1978" s="1">
        <f ca="1">IFERROR(__xludf.DUMMYFUNCTION("""COMPUTED_VALUE"""),228.41)</f>
        <v>228.41</v>
      </c>
      <c r="D1978" s="1">
        <f ca="1">IFERROR(__xludf.DUMMYFUNCTION("""COMPUTED_VALUE"""),221.28)</f>
        <v>221.28</v>
      </c>
      <c r="E1978" s="1">
        <f ca="1">IFERROR(__xludf.DUMMYFUNCTION("""COMPUTED_VALUE"""),227.87)</f>
        <v>227.87</v>
      </c>
      <c r="F1978" s="1">
        <f ca="1">IFERROR(__xludf.DUMMYFUNCTION("""COMPUTED_VALUE"""),33497979)</f>
        <v>33497979</v>
      </c>
    </row>
    <row r="1979" spans="1:6" x14ac:dyDescent="0.35">
      <c r="A1979" s="2">
        <f ca="1">IFERROR(__xludf.DUMMYFUNCTION("""COMPUTED_VALUE"""),44873.6666666666)</f>
        <v>44873.666666666599</v>
      </c>
      <c r="B1979" s="1">
        <f ca="1">IFERROR(__xludf.DUMMYFUNCTION("""COMPUTED_VALUE"""),228.7)</f>
        <v>228.7</v>
      </c>
      <c r="C1979" s="1">
        <f ca="1">IFERROR(__xludf.DUMMYFUNCTION("""COMPUTED_VALUE"""),231.65)</f>
        <v>231.65</v>
      </c>
      <c r="D1979" s="1">
        <f ca="1">IFERROR(__xludf.DUMMYFUNCTION("""COMPUTED_VALUE"""),225.84)</f>
        <v>225.84</v>
      </c>
      <c r="E1979" s="1">
        <f ca="1">IFERROR(__xludf.DUMMYFUNCTION("""COMPUTED_VALUE"""),228.87)</f>
        <v>228.87</v>
      </c>
      <c r="F1979" s="1">
        <f ca="1">IFERROR(__xludf.DUMMYFUNCTION("""COMPUTED_VALUE"""),28192548)</f>
        <v>28192548</v>
      </c>
    </row>
    <row r="1980" spans="1:6" x14ac:dyDescent="0.35">
      <c r="A1980" s="2">
        <f ca="1">IFERROR(__xludf.DUMMYFUNCTION("""COMPUTED_VALUE"""),44874.6666666666)</f>
        <v>44874.666666666599</v>
      </c>
      <c r="B1980" s="1">
        <f ca="1">IFERROR(__xludf.DUMMYFUNCTION("""COMPUTED_VALUE"""),227.37)</f>
        <v>227.37</v>
      </c>
      <c r="C1980" s="1">
        <f ca="1">IFERROR(__xludf.DUMMYFUNCTION("""COMPUTED_VALUE"""),228.63)</f>
        <v>228.63</v>
      </c>
      <c r="D1980" s="1">
        <f ca="1">IFERROR(__xludf.DUMMYFUNCTION("""COMPUTED_VALUE"""),224.33)</f>
        <v>224.33</v>
      </c>
      <c r="E1980" s="1">
        <f ca="1">IFERROR(__xludf.DUMMYFUNCTION("""COMPUTED_VALUE"""),224.51)</f>
        <v>224.51</v>
      </c>
      <c r="F1980" s="1">
        <f ca="1">IFERROR(__xludf.DUMMYFUNCTION("""COMPUTED_VALUE"""),27852910)</f>
        <v>27852910</v>
      </c>
    </row>
    <row r="1981" spans="1:6" x14ac:dyDescent="0.35">
      <c r="A1981" s="2">
        <f ca="1">IFERROR(__xludf.DUMMYFUNCTION("""COMPUTED_VALUE"""),44875.6666666666)</f>
        <v>44875.666666666599</v>
      </c>
      <c r="B1981" s="1">
        <f ca="1">IFERROR(__xludf.DUMMYFUNCTION("""COMPUTED_VALUE"""),235.43)</f>
        <v>235.43</v>
      </c>
      <c r="C1981" s="1">
        <f ca="1">IFERROR(__xludf.DUMMYFUNCTION("""COMPUTED_VALUE"""),243.33)</f>
        <v>243.33</v>
      </c>
      <c r="D1981" s="1">
        <f ca="1">IFERROR(__xludf.DUMMYFUNCTION("""COMPUTED_VALUE"""),235)</f>
        <v>235</v>
      </c>
      <c r="E1981" s="1">
        <f ca="1">IFERROR(__xludf.DUMMYFUNCTION("""COMPUTED_VALUE"""),242.98)</f>
        <v>242.98</v>
      </c>
      <c r="F1981" s="1">
        <f ca="1">IFERROR(__xludf.DUMMYFUNCTION("""COMPUTED_VALUE"""),46268021)</f>
        <v>46268021</v>
      </c>
    </row>
    <row r="1982" spans="1:6" x14ac:dyDescent="0.35">
      <c r="A1982" s="2">
        <f ca="1">IFERROR(__xludf.DUMMYFUNCTION("""COMPUTED_VALUE"""),44876.6666666666)</f>
        <v>44876.666666666599</v>
      </c>
      <c r="B1982" s="1">
        <f ca="1">IFERROR(__xludf.DUMMYFUNCTION("""COMPUTED_VALUE"""),242.99)</f>
        <v>242.99</v>
      </c>
      <c r="C1982" s="1">
        <f ca="1">IFERROR(__xludf.DUMMYFUNCTION("""COMPUTED_VALUE"""),247.99)</f>
        <v>247.99</v>
      </c>
      <c r="D1982" s="1">
        <f ca="1">IFERROR(__xludf.DUMMYFUNCTION("""COMPUTED_VALUE"""),241.93)</f>
        <v>241.93</v>
      </c>
      <c r="E1982" s="1">
        <f ca="1">IFERROR(__xludf.DUMMYFUNCTION("""COMPUTED_VALUE"""),247.11)</f>
        <v>247.11</v>
      </c>
      <c r="F1982" s="1">
        <f ca="1">IFERROR(__xludf.DUMMYFUNCTION("""COMPUTED_VALUE"""),34620246)</f>
        <v>34620246</v>
      </c>
    </row>
    <row r="1983" spans="1:6" x14ac:dyDescent="0.35">
      <c r="A1983" s="2">
        <f ca="1">IFERROR(__xludf.DUMMYFUNCTION("""COMPUTED_VALUE"""),44879.6666666666)</f>
        <v>44879.666666666599</v>
      </c>
      <c r="B1983" s="1">
        <f ca="1">IFERROR(__xludf.DUMMYFUNCTION("""COMPUTED_VALUE"""),241.99)</f>
        <v>241.99</v>
      </c>
      <c r="C1983" s="1">
        <f ca="1">IFERROR(__xludf.DUMMYFUNCTION("""COMPUTED_VALUE"""),243.91)</f>
        <v>243.91</v>
      </c>
      <c r="D1983" s="1">
        <f ca="1">IFERROR(__xludf.DUMMYFUNCTION("""COMPUTED_VALUE"""),239.21)</f>
        <v>239.21</v>
      </c>
      <c r="E1983" s="1">
        <f ca="1">IFERROR(__xludf.DUMMYFUNCTION("""COMPUTED_VALUE"""),241.55)</f>
        <v>241.55</v>
      </c>
      <c r="F1983" s="1">
        <f ca="1">IFERROR(__xludf.DUMMYFUNCTION("""COMPUTED_VALUE"""),31123340)</f>
        <v>31123340</v>
      </c>
    </row>
    <row r="1984" spans="1:6" x14ac:dyDescent="0.35">
      <c r="A1984" s="2">
        <f ca="1">IFERROR(__xludf.DUMMYFUNCTION("""COMPUTED_VALUE"""),44880.6666666666)</f>
        <v>44880.666666666599</v>
      </c>
      <c r="B1984" s="1">
        <f ca="1">IFERROR(__xludf.DUMMYFUNCTION("""COMPUTED_VALUE"""),245.66)</f>
        <v>245.66</v>
      </c>
      <c r="C1984" s="1">
        <f ca="1">IFERROR(__xludf.DUMMYFUNCTION("""COMPUTED_VALUE"""),247)</f>
        <v>247</v>
      </c>
      <c r="D1984" s="1">
        <f ca="1">IFERROR(__xludf.DUMMYFUNCTION("""COMPUTED_VALUE"""),240.03)</f>
        <v>240.03</v>
      </c>
      <c r="E1984" s="1">
        <f ca="1">IFERROR(__xludf.DUMMYFUNCTION("""COMPUTED_VALUE"""),241.97)</f>
        <v>241.97</v>
      </c>
      <c r="F1984" s="1">
        <f ca="1">IFERROR(__xludf.DUMMYFUNCTION("""COMPUTED_VALUE"""),31390117)</f>
        <v>31390117</v>
      </c>
    </row>
    <row r="1985" spans="1:6" x14ac:dyDescent="0.35">
      <c r="A1985" s="2">
        <f ca="1">IFERROR(__xludf.DUMMYFUNCTION("""COMPUTED_VALUE"""),44881.6666666666)</f>
        <v>44881.666666666599</v>
      </c>
      <c r="B1985" s="1">
        <f ca="1">IFERROR(__xludf.DUMMYFUNCTION("""COMPUTED_VALUE"""),242.79)</f>
        <v>242.79</v>
      </c>
      <c r="C1985" s="1">
        <f ca="1">IFERROR(__xludf.DUMMYFUNCTION("""COMPUTED_VALUE"""),243.8)</f>
        <v>243.8</v>
      </c>
      <c r="D1985" s="1">
        <f ca="1">IFERROR(__xludf.DUMMYFUNCTION("""COMPUTED_VALUE"""),240.42)</f>
        <v>240.42</v>
      </c>
      <c r="E1985" s="1">
        <f ca="1">IFERROR(__xludf.DUMMYFUNCTION("""COMPUTED_VALUE"""),241.73)</f>
        <v>241.73</v>
      </c>
      <c r="F1985" s="1">
        <f ca="1">IFERROR(__xludf.DUMMYFUNCTION("""COMPUTED_VALUE"""),24093272)</f>
        <v>24093272</v>
      </c>
    </row>
    <row r="1986" spans="1:6" x14ac:dyDescent="0.35">
      <c r="A1986" s="2">
        <f ca="1">IFERROR(__xludf.DUMMYFUNCTION("""COMPUTED_VALUE"""),44882.6666666666)</f>
        <v>44882.666666666599</v>
      </c>
      <c r="B1986" s="1">
        <f ca="1">IFERROR(__xludf.DUMMYFUNCTION("""COMPUTED_VALUE"""),237.78)</f>
        <v>237.78</v>
      </c>
      <c r="C1986" s="1">
        <f ca="1">IFERROR(__xludf.DUMMYFUNCTION("""COMPUTED_VALUE"""),243.25)</f>
        <v>243.25</v>
      </c>
      <c r="D1986" s="1">
        <f ca="1">IFERROR(__xludf.DUMMYFUNCTION("""COMPUTED_VALUE"""),237.63)</f>
        <v>237.63</v>
      </c>
      <c r="E1986" s="1">
        <f ca="1">IFERROR(__xludf.DUMMYFUNCTION("""COMPUTED_VALUE"""),241.68)</f>
        <v>241.68</v>
      </c>
      <c r="F1986" s="1">
        <f ca="1">IFERROR(__xludf.DUMMYFUNCTION("""COMPUTED_VALUE"""),23123544)</f>
        <v>23123544</v>
      </c>
    </row>
    <row r="1987" spans="1:6" x14ac:dyDescent="0.35">
      <c r="A1987" s="2">
        <f ca="1">IFERROR(__xludf.DUMMYFUNCTION("""COMPUTED_VALUE"""),44883.6666666666)</f>
        <v>44883.666666666599</v>
      </c>
      <c r="B1987" s="1">
        <f ca="1">IFERROR(__xludf.DUMMYFUNCTION("""COMPUTED_VALUE"""),243.51)</f>
        <v>243.51</v>
      </c>
      <c r="C1987" s="1">
        <f ca="1">IFERROR(__xludf.DUMMYFUNCTION("""COMPUTED_VALUE"""),243.74)</f>
        <v>243.74</v>
      </c>
      <c r="D1987" s="1">
        <f ca="1">IFERROR(__xludf.DUMMYFUNCTION("""COMPUTED_VALUE"""),239.03)</f>
        <v>239.03</v>
      </c>
      <c r="E1987" s="1">
        <f ca="1">IFERROR(__xludf.DUMMYFUNCTION("""COMPUTED_VALUE"""),241.22)</f>
        <v>241.22</v>
      </c>
      <c r="F1987" s="1">
        <f ca="1">IFERROR(__xludf.DUMMYFUNCTION("""COMPUTED_VALUE"""),27613523)</f>
        <v>27613523</v>
      </c>
    </row>
    <row r="1988" spans="1:6" x14ac:dyDescent="0.35">
      <c r="A1988" s="2">
        <f ca="1">IFERROR(__xludf.DUMMYFUNCTION("""COMPUTED_VALUE"""),44886.6666666666)</f>
        <v>44886.666666666599</v>
      </c>
      <c r="B1988" s="1">
        <f ca="1">IFERROR(__xludf.DUMMYFUNCTION("""COMPUTED_VALUE"""),241.43)</f>
        <v>241.43</v>
      </c>
      <c r="C1988" s="1">
        <f ca="1">IFERROR(__xludf.DUMMYFUNCTION("""COMPUTED_VALUE"""),244.67)</f>
        <v>244.67</v>
      </c>
      <c r="D1988" s="1">
        <f ca="1">IFERROR(__xludf.DUMMYFUNCTION("""COMPUTED_VALUE"""),241.19)</f>
        <v>241.19</v>
      </c>
      <c r="E1988" s="1">
        <f ca="1">IFERROR(__xludf.DUMMYFUNCTION("""COMPUTED_VALUE"""),242.05)</f>
        <v>242.05</v>
      </c>
      <c r="F1988" s="1">
        <f ca="1">IFERROR(__xludf.DUMMYFUNCTION("""COMPUTED_VALUE"""),26394700)</f>
        <v>26394700</v>
      </c>
    </row>
    <row r="1989" spans="1:6" x14ac:dyDescent="0.35">
      <c r="A1989" s="2">
        <f ca="1">IFERROR(__xludf.DUMMYFUNCTION("""COMPUTED_VALUE"""),44887.6666666666)</f>
        <v>44887.666666666599</v>
      </c>
      <c r="B1989" s="1">
        <f ca="1">IFERROR(__xludf.DUMMYFUNCTION("""COMPUTED_VALUE"""),243.59)</f>
        <v>243.59</v>
      </c>
      <c r="C1989" s="1">
        <f ca="1">IFERROR(__xludf.DUMMYFUNCTION("""COMPUTED_VALUE"""),245.31)</f>
        <v>245.31</v>
      </c>
      <c r="D1989" s="1">
        <f ca="1">IFERROR(__xludf.DUMMYFUNCTION("""COMPUTED_VALUE"""),240.71)</f>
        <v>240.71</v>
      </c>
      <c r="E1989" s="1">
        <f ca="1">IFERROR(__xludf.DUMMYFUNCTION("""COMPUTED_VALUE"""),245.03)</f>
        <v>245.03</v>
      </c>
      <c r="F1989" s="1">
        <f ca="1">IFERROR(__xludf.DUMMYFUNCTION("""COMPUTED_VALUE"""),19665699)</f>
        <v>19665699</v>
      </c>
    </row>
    <row r="1990" spans="1:6" x14ac:dyDescent="0.35">
      <c r="A1990" s="2">
        <f ca="1">IFERROR(__xludf.DUMMYFUNCTION("""COMPUTED_VALUE"""),44888.6666666666)</f>
        <v>44888.666666666599</v>
      </c>
      <c r="B1990" s="1">
        <f ca="1">IFERROR(__xludf.DUMMYFUNCTION("""COMPUTED_VALUE"""),245.11)</f>
        <v>245.11</v>
      </c>
      <c r="C1990" s="1">
        <f ca="1">IFERROR(__xludf.DUMMYFUNCTION("""COMPUTED_VALUE"""),248.28)</f>
        <v>248.28</v>
      </c>
      <c r="D1990" s="1">
        <f ca="1">IFERROR(__xludf.DUMMYFUNCTION("""COMPUTED_VALUE"""),244.27)</f>
        <v>244.27</v>
      </c>
      <c r="E1990" s="1">
        <f ca="1">IFERROR(__xludf.DUMMYFUNCTION("""COMPUTED_VALUE"""),247.58)</f>
        <v>247.58</v>
      </c>
      <c r="F1990" s="1">
        <f ca="1">IFERROR(__xludf.DUMMYFUNCTION("""COMPUTED_VALUE"""),19508462)</f>
        <v>19508462</v>
      </c>
    </row>
    <row r="1991" spans="1:6" x14ac:dyDescent="0.35">
      <c r="A1991" s="2">
        <f ca="1">IFERROR(__xludf.DUMMYFUNCTION("""COMPUTED_VALUE"""),44890.5451388888)</f>
        <v>44890.545138888803</v>
      </c>
      <c r="B1991" s="1">
        <f ca="1">IFERROR(__xludf.DUMMYFUNCTION("""COMPUTED_VALUE"""),247.31)</f>
        <v>247.31</v>
      </c>
      <c r="C1991" s="1">
        <f ca="1">IFERROR(__xludf.DUMMYFUNCTION("""COMPUTED_VALUE"""),248.7)</f>
        <v>248.7</v>
      </c>
      <c r="D1991" s="1">
        <f ca="1">IFERROR(__xludf.DUMMYFUNCTION("""COMPUTED_VALUE"""),246.73)</f>
        <v>246.73</v>
      </c>
      <c r="E1991" s="1">
        <f ca="1">IFERROR(__xludf.DUMMYFUNCTION("""COMPUTED_VALUE"""),247.49)</f>
        <v>247.49</v>
      </c>
      <c r="F1991" s="1">
        <f ca="1">IFERROR(__xludf.DUMMYFUNCTION("""COMPUTED_VALUE"""),9200772)</f>
        <v>9200772</v>
      </c>
    </row>
    <row r="1992" spans="1:6" x14ac:dyDescent="0.35">
      <c r="A1992" s="2">
        <f ca="1">IFERROR(__xludf.DUMMYFUNCTION("""COMPUTED_VALUE"""),44893.6666666666)</f>
        <v>44893.666666666599</v>
      </c>
      <c r="B1992" s="1">
        <f ca="1">IFERROR(__xludf.DUMMYFUNCTION("""COMPUTED_VALUE"""),246.08)</f>
        <v>246.08</v>
      </c>
      <c r="C1992" s="1">
        <f ca="1">IFERROR(__xludf.DUMMYFUNCTION("""COMPUTED_VALUE"""),246.65)</f>
        <v>246.65</v>
      </c>
      <c r="D1992" s="1">
        <f ca="1">IFERROR(__xludf.DUMMYFUNCTION("""COMPUTED_VALUE"""),240.8)</f>
        <v>240.8</v>
      </c>
      <c r="E1992" s="1">
        <f ca="1">IFERROR(__xludf.DUMMYFUNCTION("""COMPUTED_VALUE"""),241.76)</f>
        <v>241.76</v>
      </c>
      <c r="F1992" s="1">
        <f ca="1">IFERROR(__xludf.DUMMYFUNCTION("""COMPUTED_VALUE"""),24810271)</f>
        <v>24810271</v>
      </c>
    </row>
    <row r="1993" spans="1:6" x14ac:dyDescent="0.35">
      <c r="A1993" s="2">
        <f ca="1">IFERROR(__xludf.DUMMYFUNCTION("""COMPUTED_VALUE"""),44894.6666666666)</f>
        <v>44894.666666666599</v>
      </c>
      <c r="B1993" s="1">
        <f ca="1">IFERROR(__xludf.DUMMYFUNCTION("""COMPUTED_VALUE"""),241.4)</f>
        <v>241.4</v>
      </c>
      <c r="C1993" s="1">
        <f ca="1">IFERROR(__xludf.DUMMYFUNCTION("""COMPUTED_VALUE"""),242.79)</f>
        <v>242.79</v>
      </c>
      <c r="D1993" s="1">
        <f ca="1">IFERROR(__xludf.DUMMYFUNCTION("""COMPUTED_VALUE"""),238.21)</f>
        <v>238.21</v>
      </c>
      <c r="E1993" s="1">
        <f ca="1">IFERROR(__xludf.DUMMYFUNCTION("""COMPUTED_VALUE"""),240.33)</f>
        <v>240.33</v>
      </c>
      <c r="F1993" s="1">
        <f ca="1">IFERROR(__xludf.DUMMYFUNCTION("""COMPUTED_VALUE"""),17956313)</f>
        <v>17956313</v>
      </c>
    </row>
    <row r="1994" spans="1:6" x14ac:dyDescent="0.35">
      <c r="A1994" s="2">
        <f ca="1">IFERROR(__xludf.DUMMYFUNCTION("""COMPUTED_VALUE"""),44895.6666666666)</f>
        <v>44895.666666666599</v>
      </c>
      <c r="B1994" s="1">
        <f ca="1">IFERROR(__xludf.DUMMYFUNCTION("""COMPUTED_VALUE"""),240.57)</f>
        <v>240.57</v>
      </c>
      <c r="C1994" s="1">
        <f ca="1">IFERROR(__xludf.DUMMYFUNCTION("""COMPUTED_VALUE"""),255.33)</f>
        <v>255.33</v>
      </c>
      <c r="D1994" s="1">
        <f ca="1">IFERROR(__xludf.DUMMYFUNCTION("""COMPUTED_VALUE"""),239.86)</f>
        <v>239.86</v>
      </c>
      <c r="E1994" s="1">
        <f ca="1">IFERROR(__xludf.DUMMYFUNCTION("""COMPUTED_VALUE"""),255.14)</f>
        <v>255.14</v>
      </c>
      <c r="F1994" s="1">
        <f ca="1">IFERROR(__xludf.DUMMYFUNCTION("""COMPUTED_VALUE"""),47594239)</f>
        <v>47594239</v>
      </c>
    </row>
    <row r="1995" spans="1:6" x14ac:dyDescent="0.35">
      <c r="A1995" s="2">
        <f ca="1">IFERROR(__xludf.DUMMYFUNCTION("""COMPUTED_VALUE"""),44896.6666666666)</f>
        <v>44896.666666666599</v>
      </c>
      <c r="B1995" s="1">
        <f ca="1">IFERROR(__xludf.DUMMYFUNCTION("""COMPUTED_VALUE"""),253.87)</f>
        <v>253.87</v>
      </c>
      <c r="C1995" s="1">
        <f ca="1">IFERROR(__xludf.DUMMYFUNCTION("""COMPUTED_VALUE"""),256.12)</f>
        <v>256.12</v>
      </c>
      <c r="D1995" s="1">
        <f ca="1">IFERROR(__xludf.DUMMYFUNCTION("""COMPUTED_VALUE"""),250.92)</f>
        <v>250.92</v>
      </c>
      <c r="E1995" s="1">
        <f ca="1">IFERROR(__xludf.DUMMYFUNCTION("""COMPUTED_VALUE"""),254.69)</f>
        <v>254.69</v>
      </c>
      <c r="F1995" s="1">
        <f ca="1">IFERROR(__xludf.DUMMYFUNCTION("""COMPUTED_VALUE"""),26041524)</f>
        <v>26041524</v>
      </c>
    </row>
    <row r="1996" spans="1:6" x14ac:dyDescent="0.35">
      <c r="A1996" s="2">
        <f ca="1">IFERROR(__xludf.DUMMYFUNCTION("""COMPUTED_VALUE"""),44897.6666666666)</f>
        <v>44897.666666666599</v>
      </c>
      <c r="B1996" s="1">
        <f ca="1">IFERROR(__xludf.DUMMYFUNCTION("""COMPUTED_VALUE"""),249.82)</f>
        <v>249.82</v>
      </c>
      <c r="C1996" s="1">
        <f ca="1">IFERROR(__xludf.DUMMYFUNCTION("""COMPUTED_VALUE"""),256.06)</f>
        <v>256.06</v>
      </c>
      <c r="D1996" s="1">
        <f ca="1">IFERROR(__xludf.DUMMYFUNCTION("""COMPUTED_VALUE"""),249.69)</f>
        <v>249.69</v>
      </c>
      <c r="E1996" s="1">
        <f ca="1">IFERROR(__xludf.DUMMYFUNCTION("""COMPUTED_VALUE"""),255.02)</f>
        <v>255.02</v>
      </c>
      <c r="F1996" s="1">
        <f ca="1">IFERROR(__xludf.DUMMYFUNCTION("""COMPUTED_VALUE"""),21528520)</f>
        <v>21528520</v>
      </c>
    </row>
    <row r="1997" spans="1:6" x14ac:dyDescent="0.35">
      <c r="A1997" s="2">
        <f ca="1">IFERROR(__xludf.DUMMYFUNCTION("""COMPUTED_VALUE"""),44900.6666666666)</f>
        <v>44900.666666666599</v>
      </c>
      <c r="B1997" s="1">
        <f ca="1">IFERROR(__xludf.DUMMYFUNCTION("""COMPUTED_VALUE"""),252.01)</f>
        <v>252.01</v>
      </c>
      <c r="C1997" s="1">
        <f ca="1">IFERROR(__xludf.DUMMYFUNCTION("""COMPUTED_VALUE"""),253.82)</f>
        <v>253.82</v>
      </c>
      <c r="D1997" s="1">
        <f ca="1">IFERROR(__xludf.DUMMYFUNCTION("""COMPUTED_VALUE"""),248.06)</f>
        <v>248.06</v>
      </c>
      <c r="E1997" s="1">
        <f ca="1">IFERROR(__xludf.DUMMYFUNCTION("""COMPUTED_VALUE"""),250.2)</f>
        <v>250.2</v>
      </c>
      <c r="F1997" s="1">
        <f ca="1">IFERROR(__xludf.DUMMYFUNCTION("""COMPUTED_VALUE"""),23435294)</f>
        <v>23435294</v>
      </c>
    </row>
    <row r="1998" spans="1:6" x14ac:dyDescent="0.35">
      <c r="A1998" s="2">
        <f ca="1">IFERROR(__xludf.DUMMYFUNCTION("""COMPUTED_VALUE"""),44901.6666666666)</f>
        <v>44901.666666666599</v>
      </c>
      <c r="B1998" s="1">
        <f ca="1">IFERROR(__xludf.DUMMYFUNCTION("""COMPUTED_VALUE"""),250.82)</f>
        <v>250.82</v>
      </c>
      <c r="C1998" s="1">
        <f ca="1">IFERROR(__xludf.DUMMYFUNCTION("""COMPUTED_VALUE"""),251.86)</f>
        <v>251.86</v>
      </c>
      <c r="D1998" s="1">
        <f ca="1">IFERROR(__xludf.DUMMYFUNCTION("""COMPUTED_VALUE"""),243.78)</f>
        <v>243.78</v>
      </c>
      <c r="E1998" s="1">
        <f ca="1">IFERROR(__xludf.DUMMYFUNCTION("""COMPUTED_VALUE"""),245.12)</f>
        <v>245.12</v>
      </c>
      <c r="F1998" s="1">
        <f ca="1">IFERROR(__xludf.DUMMYFUNCTION("""COMPUTED_VALUE"""),22463727)</f>
        <v>22463727</v>
      </c>
    </row>
    <row r="1999" spans="1:6" x14ac:dyDescent="0.35">
      <c r="A1999" s="2">
        <f ca="1">IFERROR(__xludf.DUMMYFUNCTION("""COMPUTED_VALUE"""),44902.6666666666)</f>
        <v>44902.666666666599</v>
      </c>
      <c r="B1999" s="1">
        <f ca="1">IFERROR(__xludf.DUMMYFUNCTION("""COMPUTED_VALUE"""),244.83)</f>
        <v>244.83</v>
      </c>
      <c r="C1999" s="1">
        <f ca="1">IFERROR(__xludf.DUMMYFUNCTION("""COMPUTED_VALUE"""),246.16)</f>
        <v>246.16</v>
      </c>
      <c r="D1999" s="1">
        <f ca="1">IFERROR(__xludf.DUMMYFUNCTION("""COMPUTED_VALUE"""),242.21)</f>
        <v>242.21</v>
      </c>
      <c r="E1999" s="1">
        <f ca="1">IFERROR(__xludf.DUMMYFUNCTION("""COMPUTED_VALUE"""),244.37)</f>
        <v>244.37</v>
      </c>
      <c r="F1999" s="1">
        <f ca="1">IFERROR(__xludf.DUMMYFUNCTION("""COMPUTED_VALUE"""),20481522)</f>
        <v>20481522</v>
      </c>
    </row>
    <row r="2000" spans="1:6" x14ac:dyDescent="0.35">
      <c r="A2000" s="2">
        <f ca="1">IFERROR(__xludf.DUMMYFUNCTION("""COMPUTED_VALUE"""),44903.6666666666)</f>
        <v>44903.666666666599</v>
      </c>
      <c r="B2000" s="1">
        <f ca="1">IFERROR(__xludf.DUMMYFUNCTION("""COMPUTED_VALUE"""),244.84)</f>
        <v>244.84</v>
      </c>
      <c r="C2000" s="1">
        <f ca="1">IFERROR(__xludf.DUMMYFUNCTION("""COMPUTED_VALUE"""),248.74)</f>
        <v>248.74</v>
      </c>
      <c r="D2000" s="1">
        <f ca="1">IFERROR(__xludf.DUMMYFUNCTION("""COMPUTED_VALUE"""),243.06)</f>
        <v>243.06</v>
      </c>
      <c r="E2000" s="1">
        <f ca="1">IFERROR(__xludf.DUMMYFUNCTION("""COMPUTED_VALUE"""),247.4)</f>
        <v>247.4</v>
      </c>
      <c r="F2000" s="1">
        <f ca="1">IFERROR(__xludf.DUMMYFUNCTION("""COMPUTED_VALUE"""),22611757)</f>
        <v>22611757</v>
      </c>
    </row>
    <row r="2001" spans="1:6" x14ac:dyDescent="0.35">
      <c r="A2001" s="2">
        <f ca="1">IFERROR(__xludf.DUMMYFUNCTION("""COMPUTED_VALUE"""),44904.6666666666)</f>
        <v>44904.666666666599</v>
      </c>
      <c r="B2001" s="1">
        <f ca="1">IFERROR(__xludf.DUMMYFUNCTION("""COMPUTED_VALUE"""),244.7)</f>
        <v>244.7</v>
      </c>
      <c r="C2001" s="1">
        <f ca="1">IFERROR(__xludf.DUMMYFUNCTION("""COMPUTED_VALUE"""),248.31)</f>
        <v>248.31</v>
      </c>
      <c r="D2001" s="1">
        <f ca="1">IFERROR(__xludf.DUMMYFUNCTION("""COMPUTED_VALUE"""),244.16)</f>
        <v>244.16</v>
      </c>
      <c r="E2001" s="1">
        <f ca="1">IFERROR(__xludf.DUMMYFUNCTION("""COMPUTED_VALUE"""),245.42)</f>
        <v>245.42</v>
      </c>
      <c r="F2001" s="1">
        <f ca="1">IFERROR(__xludf.DUMMYFUNCTION("""COMPUTED_VALUE"""),20609743)</f>
        <v>20609743</v>
      </c>
    </row>
    <row r="2002" spans="1:6" x14ac:dyDescent="0.35">
      <c r="A2002" s="2">
        <f ca="1">IFERROR(__xludf.DUMMYFUNCTION("""COMPUTED_VALUE"""),44907.6666666666)</f>
        <v>44907.666666666599</v>
      </c>
      <c r="B2002" s="1">
        <f ca="1">IFERROR(__xludf.DUMMYFUNCTION("""COMPUTED_VALUE"""),247.45)</f>
        <v>247.45</v>
      </c>
      <c r="C2002" s="1">
        <f ca="1">IFERROR(__xludf.DUMMYFUNCTION("""COMPUTED_VALUE"""),252.54)</f>
        <v>252.54</v>
      </c>
      <c r="D2002" s="1">
        <f ca="1">IFERROR(__xludf.DUMMYFUNCTION("""COMPUTED_VALUE"""),247.17)</f>
        <v>247.17</v>
      </c>
      <c r="E2002" s="1">
        <f ca="1">IFERROR(__xludf.DUMMYFUNCTION("""COMPUTED_VALUE"""),252.51)</f>
        <v>252.51</v>
      </c>
      <c r="F2002" s="1">
        <f ca="1">IFERROR(__xludf.DUMMYFUNCTION("""COMPUTED_VALUE"""),30665069)</f>
        <v>30665069</v>
      </c>
    </row>
    <row r="2003" spans="1:6" x14ac:dyDescent="0.35">
      <c r="A2003" s="2">
        <f ca="1">IFERROR(__xludf.DUMMYFUNCTION("""COMPUTED_VALUE"""),44908.6666666666)</f>
        <v>44908.666666666599</v>
      </c>
      <c r="B2003" s="1">
        <f ca="1">IFERROR(__xludf.DUMMYFUNCTION("""COMPUTED_VALUE"""),261.69)</f>
        <v>261.69</v>
      </c>
      <c r="C2003" s="1">
        <f ca="1">IFERROR(__xludf.DUMMYFUNCTION("""COMPUTED_VALUE"""),263.92)</f>
        <v>263.92</v>
      </c>
      <c r="D2003" s="1">
        <f ca="1">IFERROR(__xludf.DUMMYFUNCTION("""COMPUTED_VALUE"""),253.07)</f>
        <v>253.07</v>
      </c>
      <c r="E2003" s="1">
        <f ca="1">IFERROR(__xludf.DUMMYFUNCTION("""COMPUTED_VALUE"""),256.92)</f>
        <v>256.92</v>
      </c>
      <c r="F2003" s="1">
        <f ca="1">IFERROR(__xludf.DUMMYFUNCTION("""COMPUTED_VALUE"""),42196884)</f>
        <v>42196884</v>
      </c>
    </row>
    <row r="2004" spans="1:6" x14ac:dyDescent="0.35">
      <c r="A2004" s="2">
        <f ca="1">IFERROR(__xludf.DUMMYFUNCTION("""COMPUTED_VALUE"""),44909.6666666666)</f>
        <v>44909.666666666599</v>
      </c>
      <c r="B2004" s="1">
        <f ca="1">IFERROR(__xludf.DUMMYFUNCTION("""COMPUTED_VALUE"""),257.13)</f>
        <v>257.13</v>
      </c>
      <c r="C2004" s="1">
        <f ca="1">IFERROR(__xludf.DUMMYFUNCTION("""COMPUTED_VALUE"""),262.59)</f>
        <v>262.58999999999997</v>
      </c>
      <c r="D2004" s="1">
        <f ca="1">IFERROR(__xludf.DUMMYFUNCTION("""COMPUTED_VALUE"""),254.31)</f>
        <v>254.31</v>
      </c>
      <c r="E2004" s="1">
        <f ca="1">IFERROR(__xludf.DUMMYFUNCTION("""COMPUTED_VALUE"""),257.22)</f>
        <v>257.22000000000003</v>
      </c>
      <c r="F2004" s="1">
        <f ca="1">IFERROR(__xludf.DUMMYFUNCTION("""COMPUTED_VALUE"""),35410933)</f>
        <v>35410933</v>
      </c>
    </row>
    <row r="2005" spans="1:6" x14ac:dyDescent="0.35">
      <c r="A2005" s="2">
        <f ca="1">IFERROR(__xludf.DUMMYFUNCTION("""COMPUTED_VALUE"""),44910.6666666666)</f>
        <v>44910.666666666599</v>
      </c>
      <c r="B2005" s="1">
        <f ca="1">IFERROR(__xludf.DUMMYFUNCTION("""COMPUTED_VALUE"""),253.72)</f>
        <v>253.72</v>
      </c>
      <c r="C2005" s="1">
        <f ca="1">IFERROR(__xludf.DUMMYFUNCTION("""COMPUTED_VALUE"""),254.2)</f>
        <v>254.2</v>
      </c>
      <c r="D2005" s="1">
        <f ca="1">IFERROR(__xludf.DUMMYFUNCTION("""COMPUTED_VALUE"""),247.34)</f>
        <v>247.34</v>
      </c>
      <c r="E2005" s="1">
        <f ca="1">IFERROR(__xludf.DUMMYFUNCTION("""COMPUTED_VALUE"""),249.01)</f>
        <v>249.01</v>
      </c>
      <c r="F2005" s="1">
        <f ca="1">IFERROR(__xludf.DUMMYFUNCTION("""COMPUTED_VALUE"""),35568093)</f>
        <v>35568093</v>
      </c>
    </row>
    <row r="2006" spans="1:6" x14ac:dyDescent="0.35">
      <c r="A2006" s="2">
        <f ca="1">IFERROR(__xludf.DUMMYFUNCTION("""COMPUTED_VALUE"""),44911.6666666666)</f>
        <v>44911.666666666599</v>
      </c>
      <c r="B2006" s="1">
        <f ca="1">IFERROR(__xludf.DUMMYFUNCTION("""COMPUTED_VALUE"""),248.55)</f>
        <v>248.55</v>
      </c>
      <c r="C2006" s="1">
        <f ca="1">IFERROR(__xludf.DUMMYFUNCTION("""COMPUTED_VALUE"""),249.84)</f>
        <v>249.84</v>
      </c>
      <c r="D2006" s="1">
        <f ca="1">IFERROR(__xludf.DUMMYFUNCTION("""COMPUTED_VALUE"""),243.51)</f>
        <v>243.51</v>
      </c>
      <c r="E2006" s="1">
        <f ca="1">IFERROR(__xludf.DUMMYFUNCTION("""COMPUTED_VALUE"""),244.69)</f>
        <v>244.69</v>
      </c>
      <c r="F2006" s="1">
        <f ca="1">IFERROR(__xludf.DUMMYFUNCTION("""COMPUTED_VALUE"""),86101994)</f>
        <v>86101994</v>
      </c>
    </row>
    <row r="2007" spans="1:6" x14ac:dyDescent="0.35">
      <c r="A2007" s="2">
        <f ca="1">IFERROR(__xludf.DUMMYFUNCTION("""COMPUTED_VALUE"""),44914.6666666666)</f>
        <v>44914.666666666599</v>
      </c>
      <c r="B2007" s="1">
        <f ca="1">IFERROR(__xludf.DUMMYFUNCTION("""COMPUTED_VALUE"""),244.86)</f>
        <v>244.86</v>
      </c>
      <c r="C2007" s="1">
        <f ca="1">IFERROR(__xludf.DUMMYFUNCTION("""COMPUTED_VALUE"""),245.21)</f>
        <v>245.21</v>
      </c>
      <c r="D2007" s="1">
        <f ca="1">IFERROR(__xludf.DUMMYFUNCTION("""COMPUTED_VALUE"""),238.71)</f>
        <v>238.71</v>
      </c>
      <c r="E2007" s="1">
        <f ca="1">IFERROR(__xludf.DUMMYFUNCTION("""COMPUTED_VALUE"""),240.45)</f>
        <v>240.45</v>
      </c>
      <c r="F2007" s="1">
        <f ca="1">IFERROR(__xludf.DUMMYFUNCTION("""COMPUTED_VALUE"""),29696436)</f>
        <v>29696436</v>
      </c>
    </row>
    <row r="2008" spans="1:6" x14ac:dyDescent="0.35">
      <c r="A2008" s="2">
        <f ca="1">IFERROR(__xludf.DUMMYFUNCTION("""COMPUTED_VALUE"""),44915.6666666666)</f>
        <v>44915.666666666599</v>
      </c>
      <c r="B2008" s="1">
        <f ca="1">IFERROR(__xludf.DUMMYFUNCTION("""COMPUTED_VALUE"""),239.4)</f>
        <v>239.4</v>
      </c>
      <c r="C2008" s="1">
        <f ca="1">IFERROR(__xludf.DUMMYFUNCTION("""COMPUTED_VALUE"""),242.91)</f>
        <v>242.91</v>
      </c>
      <c r="D2008" s="1">
        <f ca="1">IFERROR(__xludf.DUMMYFUNCTION("""COMPUTED_VALUE"""),238.42)</f>
        <v>238.42</v>
      </c>
      <c r="E2008" s="1">
        <f ca="1">IFERROR(__xludf.DUMMYFUNCTION("""COMPUTED_VALUE"""),241.8)</f>
        <v>241.8</v>
      </c>
      <c r="F2008" s="1">
        <f ca="1">IFERROR(__xludf.DUMMYFUNCTION("""COMPUTED_VALUE"""),25150802)</f>
        <v>25150802</v>
      </c>
    </row>
    <row r="2009" spans="1:6" x14ac:dyDescent="0.35">
      <c r="A2009" s="2">
        <f ca="1">IFERROR(__xludf.DUMMYFUNCTION("""COMPUTED_VALUE"""),44916.6666666666)</f>
        <v>44916.666666666599</v>
      </c>
      <c r="B2009" s="1">
        <f ca="1">IFERROR(__xludf.DUMMYFUNCTION("""COMPUTED_VALUE"""),241.69)</f>
        <v>241.69</v>
      </c>
      <c r="C2009" s="1">
        <f ca="1">IFERROR(__xludf.DUMMYFUNCTION("""COMPUTED_VALUE"""),245.62)</f>
        <v>245.62</v>
      </c>
      <c r="D2009" s="1">
        <f ca="1">IFERROR(__xludf.DUMMYFUNCTION("""COMPUTED_VALUE"""),240.11)</f>
        <v>240.11</v>
      </c>
      <c r="E2009" s="1">
        <f ca="1">IFERROR(__xludf.DUMMYFUNCTION("""COMPUTED_VALUE"""),244.43)</f>
        <v>244.43</v>
      </c>
      <c r="F2009" s="1">
        <f ca="1">IFERROR(__xludf.DUMMYFUNCTION("""COMPUTED_VALUE"""),23690607)</f>
        <v>23690607</v>
      </c>
    </row>
    <row r="2010" spans="1:6" x14ac:dyDescent="0.35">
      <c r="A2010" s="2">
        <f ca="1">IFERROR(__xludf.DUMMYFUNCTION("""COMPUTED_VALUE"""),44917.6666666666)</f>
        <v>44917.666666666599</v>
      </c>
      <c r="B2010" s="1">
        <f ca="1">IFERROR(__xludf.DUMMYFUNCTION("""COMPUTED_VALUE"""),241.26)</f>
        <v>241.26</v>
      </c>
      <c r="C2010" s="1">
        <f ca="1">IFERROR(__xludf.DUMMYFUNCTION("""COMPUTED_VALUE"""),241.99)</f>
        <v>241.99</v>
      </c>
      <c r="D2010" s="1">
        <f ca="1">IFERROR(__xludf.DUMMYFUNCTION("""COMPUTED_VALUE"""),233.87)</f>
        <v>233.87</v>
      </c>
      <c r="E2010" s="1">
        <f ca="1">IFERROR(__xludf.DUMMYFUNCTION("""COMPUTED_VALUE"""),238.19)</f>
        <v>238.19</v>
      </c>
      <c r="F2010" s="1">
        <f ca="1">IFERROR(__xludf.DUMMYFUNCTION("""COMPUTED_VALUE"""),28651664)</f>
        <v>28651664</v>
      </c>
    </row>
    <row r="2011" spans="1:6" x14ac:dyDescent="0.35">
      <c r="A2011" s="2">
        <f ca="1">IFERROR(__xludf.DUMMYFUNCTION("""COMPUTED_VALUE"""),44918.6666666666)</f>
        <v>44918.666666666599</v>
      </c>
      <c r="B2011" s="1">
        <f ca="1">IFERROR(__xludf.DUMMYFUNCTION("""COMPUTED_VALUE"""),236.11)</f>
        <v>236.11</v>
      </c>
      <c r="C2011" s="1">
        <f ca="1">IFERROR(__xludf.DUMMYFUNCTION("""COMPUTED_VALUE"""),238.87)</f>
        <v>238.87</v>
      </c>
      <c r="D2011" s="1">
        <f ca="1">IFERROR(__xludf.DUMMYFUNCTION("""COMPUTED_VALUE"""),233.94)</f>
        <v>233.94</v>
      </c>
      <c r="E2011" s="1">
        <f ca="1">IFERROR(__xludf.DUMMYFUNCTION("""COMPUTED_VALUE"""),238.73)</f>
        <v>238.73</v>
      </c>
      <c r="F2011" s="1">
        <f ca="1">IFERROR(__xludf.DUMMYFUNCTION("""COMPUTED_VALUE"""),21206982)</f>
        <v>21206982</v>
      </c>
    </row>
    <row r="2012" spans="1:6" x14ac:dyDescent="0.35">
      <c r="A2012" s="2">
        <f ca="1">IFERROR(__xludf.DUMMYFUNCTION("""COMPUTED_VALUE"""),44922.6666666666)</f>
        <v>44922.666666666599</v>
      </c>
      <c r="B2012" s="1">
        <f ca="1">IFERROR(__xludf.DUMMYFUNCTION("""COMPUTED_VALUE"""),238.7)</f>
        <v>238.7</v>
      </c>
      <c r="C2012" s="1">
        <f ca="1">IFERROR(__xludf.DUMMYFUNCTION("""COMPUTED_VALUE"""),238.93)</f>
        <v>238.93</v>
      </c>
      <c r="D2012" s="1">
        <f ca="1">IFERROR(__xludf.DUMMYFUNCTION("""COMPUTED_VALUE"""),235.83)</f>
        <v>235.83</v>
      </c>
      <c r="E2012" s="1">
        <f ca="1">IFERROR(__xludf.DUMMYFUNCTION("""COMPUTED_VALUE"""),236.96)</f>
        <v>236.96</v>
      </c>
      <c r="F2012" s="1">
        <f ca="1">IFERROR(__xludf.DUMMYFUNCTION("""COMPUTED_VALUE"""),16688648)</f>
        <v>16688648</v>
      </c>
    </row>
    <row r="2013" spans="1:6" x14ac:dyDescent="0.35">
      <c r="A2013" s="2">
        <f ca="1">IFERROR(__xludf.DUMMYFUNCTION("""COMPUTED_VALUE"""),44923.6666666666)</f>
        <v>44923.666666666599</v>
      </c>
      <c r="B2013" s="1">
        <f ca="1">IFERROR(__xludf.DUMMYFUNCTION("""COMPUTED_VALUE"""),236.89)</f>
        <v>236.89</v>
      </c>
      <c r="C2013" s="1">
        <f ca="1">IFERROR(__xludf.DUMMYFUNCTION("""COMPUTED_VALUE"""),239.72)</f>
        <v>239.72</v>
      </c>
      <c r="D2013" s="1">
        <f ca="1">IFERROR(__xludf.DUMMYFUNCTION("""COMPUTED_VALUE"""),234.17)</f>
        <v>234.17</v>
      </c>
      <c r="E2013" s="1">
        <f ca="1">IFERROR(__xludf.DUMMYFUNCTION("""COMPUTED_VALUE"""),234.53)</f>
        <v>234.53</v>
      </c>
      <c r="F2013" s="1">
        <f ca="1">IFERROR(__xludf.DUMMYFUNCTION("""COMPUTED_VALUE"""),17457104)</f>
        <v>17457104</v>
      </c>
    </row>
    <row r="2014" spans="1:6" x14ac:dyDescent="0.35">
      <c r="A2014" s="2">
        <f ca="1">IFERROR(__xludf.DUMMYFUNCTION("""COMPUTED_VALUE"""),44924.6666666666)</f>
        <v>44924.666666666599</v>
      </c>
      <c r="B2014" s="1">
        <f ca="1">IFERROR(__xludf.DUMMYFUNCTION("""COMPUTED_VALUE"""),235.65)</f>
        <v>235.65</v>
      </c>
      <c r="C2014" s="1">
        <f ca="1">IFERROR(__xludf.DUMMYFUNCTION("""COMPUTED_VALUE"""),241.92)</f>
        <v>241.92</v>
      </c>
      <c r="D2014" s="1">
        <f ca="1">IFERROR(__xludf.DUMMYFUNCTION("""COMPUTED_VALUE"""),235.65)</f>
        <v>235.65</v>
      </c>
      <c r="E2014" s="1">
        <f ca="1">IFERROR(__xludf.DUMMYFUNCTION("""COMPUTED_VALUE"""),241.01)</f>
        <v>241.01</v>
      </c>
      <c r="F2014" s="1">
        <f ca="1">IFERROR(__xludf.DUMMYFUNCTION("""COMPUTED_VALUE"""),19770693)</f>
        <v>19770693</v>
      </c>
    </row>
    <row r="2015" spans="1:6" x14ac:dyDescent="0.35">
      <c r="A2015" s="2">
        <f ca="1">IFERROR(__xludf.DUMMYFUNCTION("""COMPUTED_VALUE"""),44925.6666666666)</f>
        <v>44925.666666666599</v>
      </c>
      <c r="B2015" s="1">
        <f ca="1">IFERROR(__xludf.DUMMYFUNCTION("""COMPUTED_VALUE"""),238.21)</f>
        <v>238.21</v>
      </c>
      <c r="C2015" s="1">
        <f ca="1">IFERROR(__xludf.DUMMYFUNCTION("""COMPUTED_VALUE"""),239.96)</f>
        <v>239.96</v>
      </c>
      <c r="D2015" s="1">
        <f ca="1">IFERROR(__xludf.DUMMYFUNCTION("""COMPUTED_VALUE"""),236.66)</f>
        <v>236.66</v>
      </c>
      <c r="E2015" s="1">
        <f ca="1">IFERROR(__xludf.DUMMYFUNCTION("""COMPUTED_VALUE"""),239.82)</f>
        <v>239.82</v>
      </c>
      <c r="F2015" s="1">
        <f ca="1">IFERROR(__xludf.DUMMYFUNCTION("""COMPUTED_VALUE"""),21938472)</f>
        <v>21938472</v>
      </c>
    </row>
    <row r="2016" spans="1:6" x14ac:dyDescent="0.35">
      <c r="A2016" s="2">
        <f ca="1">IFERROR(__xludf.DUMMYFUNCTION("""COMPUTED_VALUE"""),44929.6666666666)</f>
        <v>44929.666666666599</v>
      </c>
      <c r="B2016" s="1">
        <f ca="1">IFERROR(__xludf.DUMMYFUNCTION("""COMPUTED_VALUE"""),243.08)</f>
        <v>243.08</v>
      </c>
      <c r="C2016" s="1">
        <f ca="1">IFERROR(__xludf.DUMMYFUNCTION("""COMPUTED_VALUE"""),245.75)</f>
        <v>245.75</v>
      </c>
      <c r="D2016" s="1">
        <f ca="1">IFERROR(__xludf.DUMMYFUNCTION("""COMPUTED_VALUE"""),237.4)</f>
        <v>237.4</v>
      </c>
      <c r="E2016" s="1">
        <f ca="1">IFERROR(__xludf.DUMMYFUNCTION("""COMPUTED_VALUE"""),239.58)</f>
        <v>239.58</v>
      </c>
      <c r="F2016" s="1">
        <f ca="1">IFERROR(__xludf.DUMMYFUNCTION("""COMPUTED_VALUE"""),25740036)</f>
        <v>25740036</v>
      </c>
    </row>
    <row r="2017" spans="1:6" x14ac:dyDescent="0.35">
      <c r="A2017" s="2">
        <f ca="1">IFERROR(__xludf.DUMMYFUNCTION("""COMPUTED_VALUE"""),44930.6666666666)</f>
        <v>44930.666666666599</v>
      </c>
      <c r="B2017" s="1">
        <f ca="1">IFERROR(__xludf.DUMMYFUNCTION("""COMPUTED_VALUE"""),232.28)</f>
        <v>232.28</v>
      </c>
      <c r="C2017" s="1">
        <f ca="1">IFERROR(__xludf.DUMMYFUNCTION("""COMPUTED_VALUE"""),232.87)</f>
        <v>232.87</v>
      </c>
      <c r="D2017" s="1">
        <f ca="1">IFERROR(__xludf.DUMMYFUNCTION("""COMPUTED_VALUE"""),225.96)</f>
        <v>225.96</v>
      </c>
      <c r="E2017" s="1">
        <f ca="1">IFERROR(__xludf.DUMMYFUNCTION("""COMPUTED_VALUE"""),229.1)</f>
        <v>229.1</v>
      </c>
      <c r="F2017" s="1">
        <f ca="1">IFERROR(__xludf.DUMMYFUNCTION("""COMPUTED_VALUE"""),50623394)</f>
        <v>50623394</v>
      </c>
    </row>
    <row r="2018" spans="1:6" x14ac:dyDescent="0.35">
      <c r="A2018" s="2">
        <f ca="1">IFERROR(__xludf.DUMMYFUNCTION("""COMPUTED_VALUE"""),44931.6666666666)</f>
        <v>44931.666666666599</v>
      </c>
      <c r="B2018" s="1">
        <f ca="1">IFERROR(__xludf.DUMMYFUNCTION("""COMPUTED_VALUE"""),227.2)</f>
        <v>227.2</v>
      </c>
      <c r="C2018" s="1">
        <f ca="1">IFERROR(__xludf.DUMMYFUNCTION("""COMPUTED_VALUE"""),227.55)</f>
        <v>227.55</v>
      </c>
      <c r="D2018" s="1">
        <f ca="1">IFERROR(__xludf.DUMMYFUNCTION("""COMPUTED_VALUE"""),221.76)</f>
        <v>221.76</v>
      </c>
      <c r="E2018" s="1">
        <f ca="1">IFERROR(__xludf.DUMMYFUNCTION("""COMPUTED_VALUE"""),222.31)</f>
        <v>222.31</v>
      </c>
      <c r="F2018" s="1">
        <f ca="1">IFERROR(__xludf.DUMMYFUNCTION("""COMPUTED_VALUE"""),39585623)</f>
        <v>39585623</v>
      </c>
    </row>
    <row r="2019" spans="1:6" x14ac:dyDescent="0.35">
      <c r="A2019" s="2">
        <f ca="1">IFERROR(__xludf.DUMMYFUNCTION("""COMPUTED_VALUE"""),44932.6666666666)</f>
        <v>44932.666666666599</v>
      </c>
      <c r="B2019" s="1">
        <f ca="1">IFERROR(__xludf.DUMMYFUNCTION("""COMPUTED_VALUE"""),223)</f>
        <v>223</v>
      </c>
      <c r="C2019" s="1">
        <f ca="1">IFERROR(__xludf.DUMMYFUNCTION("""COMPUTED_VALUE"""),225.76)</f>
        <v>225.76</v>
      </c>
      <c r="D2019" s="1">
        <f ca="1">IFERROR(__xludf.DUMMYFUNCTION("""COMPUTED_VALUE"""),219.35)</f>
        <v>219.35</v>
      </c>
      <c r="E2019" s="1">
        <f ca="1">IFERROR(__xludf.DUMMYFUNCTION("""COMPUTED_VALUE"""),224.93)</f>
        <v>224.93</v>
      </c>
      <c r="F2019" s="1">
        <f ca="1">IFERROR(__xludf.DUMMYFUNCTION("""COMPUTED_VALUE"""),43613574)</f>
        <v>43613574</v>
      </c>
    </row>
    <row r="2020" spans="1:6" x14ac:dyDescent="0.35">
      <c r="A2020" s="2">
        <f ca="1">IFERROR(__xludf.DUMMYFUNCTION("""COMPUTED_VALUE"""),44935.6666666666)</f>
        <v>44935.666666666599</v>
      </c>
      <c r="B2020" s="1">
        <f ca="1">IFERROR(__xludf.DUMMYFUNCTION("""COMPUTED_VALUE"""),226.45)</f>
        <v>226.45</v>
      </c>
      <c r="C2020" s="1">
        <f ca="1">IFERROR(__xludf.DUMMYFUNCTION("""COMPUTED_VALUE"""),231.24)</f>
        <v>231.24</v>
      </c>
      <c r="D2020" s="1">
        <f ca="1">IFERROR(__xludf.DUMMYFUNCTION("""COMPUTED_VALUE"""),226.41)</f>
        <v>226.41</v>
      </c>
      <c r="E2020" s="1">
        <f ca="1">IFERROR(__xludf.DUMMYFUNCTION("""COMPUTED_VALUE"""),227.12)</f>
        <v>227.12</v>
      </c>
      <c r="F2020" s="1">
        <f ca="1">IFERROR(__xludf.DUMMYFUNCTION("""COMPUTED_VALUE"""),27369784)</f>
        <v>27369784</v>
      </c>
    </row>
    <row r="2021" spans="1:6" x14ac:dyDescent="0.35">
      <c r="A2021" s="2">
        <f ca="1">IFERROR(__xludf.DUMMYFUNCTION("""COMPUTED_VALUE"""),44936.6666666666)</f>
        <v>44936.666666666599</v>
      </c>
      <c r="B2021" s="1">
        <f ca="1">IFERROR(__xludf.DUMMYFUNCTION("""COMPUTED_VALUE"""),227.76)</f>
        <v>227.76</v>
      </c>
      <c r="C2021" s="1">
        <f ca="1">IFERROR(__xludf.DUMMYFUNCTION("""COMPUTED_VALUE"""),231.31)</f>
        <v>231.31</v>
      </c>
      <c r="D2021" s="1">
        <f ca="1">IFERROR(__xludf.DUMMYFUNCTION("""COMPUTED_VALUE"""),227.33)</f>
        <v>227.33</v>
      </c>
      <c r="E2021" s="1">
        <f ca="1">IFERROR(__xludf.DUMMYFUNCTION("""COMPUTED_VALUE"""),228.85)</f>
        <v>228.85</v>
      </c>
      <c r="F2021" s="1">
        <f ca="1">IFERROR(__xludf.DUMMYFUNCTION("""COMPUTED_VALUE"""),27033881)</f>
        <v>27033881</v>
      </c>
    </row>
    <row r="2022" spans="1:6" x14ac:dyDescent="0.35">
      <c r="A2022" s="2">
        <f ca="1">IFERROR(__xludf.DUMMYFUNCTION("""COMPUTED_VALUE"""),44937.6666666666)</f>
        <v>44937.666666666599</v>
      </c>
      <c r="B2022" s="1">
        <f ca="1">IFERROR(__xludf.DUMMYFUNCTION("""COMPUTED_VALUE"""),231.29)</f>
        <v>231.29</v>
      </c>
      <c r="C2022" s="1">
        <f ca="1">IFERROR(__xludf.DUMMYFUNCTION("""COMPUTED_VALUE"""),235.95)</f>
        <v>235.95</v>
      </c>
      <c r="D2022" s="1">
        <f ca="1">IFERROR(__xludf.DUMMYFUNCTION("""COMPUTED_VALUE"""),231.11)</f>
        <v>231.11</v>
      </c>
      <c r="E2022" s="1">
        <f ca="1">IFERROR(__xludf.DUMMYFUNCTION("""COMPUTED_VALUE"""),235.77)</f>
        <v>235.77</v>
      </c>
      <c r="F2022" s="1">
        <f ca="1">IFERROR(__xludf.DUMMYFUNCTION("""COMPUTED_VALUE"""),28669331)</f>
        <v>28669331</v>
      </c>
    </row>
    <row r="2023" spans="1:6" x14ac:dyDescent="0.35">
      <c r="A2023" s="2">
        <f ca="1">IFERROR(__xludf.DUMMYFUNCTION("""COMPUTED_VALUE"""),44938.6666666666)</f>
        <v>44938.666666666599</v>
      </c>
      <c r="B2023" s="1">
        <f ca="1">IFERROR(__xludf.DUMMYFUNCTION("""COMPUTED_VALUE"""),235.26)</f>
        <v>235.26</v>
      </c>
      <c r="C2023" s="1">
        <f ca="1">IFERROR(__xludf.DUMMYFUNCTION("""COMPUTED_VALUE"""),239.9)</f>
        <v>239.9</v>
      </c>
      <c r="D2023" s="1">
        <f ca="1">IFERROR(__xludf.DUMMYFUNCTION("""COMPUTED_VALUE"""),233.56)</f>
        <v>233.56</v>
      </c>
      <c r="E2023" s="1">
        <f ca="1">IFERROR(__xludf.DUMMYFUNCTION("""COMPUTED_VALUE"""),238.51)</f>
        <v>238.51</v>
      </c>
      <c r="F2023" s="1">
        <f ca="1">IFERROR(__xludf.DUMMYFUNCTION("""COMPUTED_VALUE"""),27269486)</f>
        <v>27269486</v>
      </c>
    </row>
    <row r="2024" spans="1:6" x14ac:dyDescent="0.35">
      <c r="A2024" s="2">
        <f ca="1">IFERROR(__xludf.DUMMYFUNCTION("""COMPUTED_VALUE"""),44939.6666666666)</f>
        <v>44939.666666666599</v>
      </c>
      <c r="B2024" s="1">
        <f ca="1">IFERROR(__xludf.DUMMYFUNCTION("""COMPUTED_VALUE"""),237)</f>
        <v>237</v>
      </c>
      <c r="C2024" s="1">
        <f ca="1">IFERROR(__xludf.DUMMYFUNCTION("""COMPUTED_VALUE"""),239.37)</f>
        <v>239.37</v>
      </c>
      <c r="D2024" s="1">
        <f ca="1">IFERROR(__xludf.DUMMYFUNCTION("""COMPUTED_VALUE"""),234.92)</f>
        <v>234.92</v>
      </c>
      <c r="E2024" s="1">
        <f ca="1">IFERROR(__xludf.DUMMYFUNCTION("""COMPUTED_VALUE"""),239.23)</f>
        <v>239.23</v>
      </c>
      <c r="F2024" s="1">
        <f ca="1">IFERROR(__xludf.DUMMYFUNCTION("""COMPUTED_VALUE"""),21333265)</f>
        <v>21333265</v>
      </c>
    </row>
    <row r="2025" spans="1:6" x14ac:dyDescent="0.35">
      <c r="A2025" s="2">
        <f ca="1">IFERROR(__xludf.DUMMYFUNCTION("""COMPUTED_VALUE"""),44943.6666666666)</f>
        <v>44943.666666666599</v>
      </c>
      <c r="B2025" s="1">
        <f ca="1">IFERROR(__xludf.DUMMYFUNCTION("""COMPUTED_VALUE"""),237.97)</f>
        <v>237.97</v>
      </c>
      <c r="C2025" s="1">
        <f ca="1">IFERROR(__xludf.DUMMYFUNCTION("""COMPUTED_VALUE"""),240.91)</f>
        <v>240.91</v>
      </c>
      <c r="D2025" s="1">
        <f ca="1">IFERROR(__xludf.DUMMYFUNCTION("""COMPUTED_VALUE"""),237.09)</f>
        <v>237.09</v>
      </c>
      <c r="E2025" s="1">
        <f ca="1">IFERROR(__xludf.DUMMYFUNCTION("""COMPUTED_VALUE"""),240.35)</f>
        <v>240.35</v>
      </c>
      <c r="F2025" s="1">
        <f ca="1">IFERROR(__xludf.DUMMYFUNCTION("""COMPUTED_VALUE"""),29831257)</f>
        <v>29831257</v>
      </c>
    </row>
    <row r="2026" spans="1:6" x14ac:dyDescent="0.35">
      <c r="A2026" s="2">
        <f ca="1">IFERROR(__xludf.DUMMYFUNCTION("""COMPUTED_VALUE"""),44944.6666666666)</f>
        <v>44944.666666666599</v>
      </c>
      <c r="B2026" s="1">
        <f ca="1">IFERROR(__xludf.DUMMYFUNCTION("""COMPUTED_VALUE"""),241.57)</f>
        <v>241.57</v>
      </c>
      <c r="C2026" s="1">
        <f ca="1">IFERROR(__xludf.DUMMYFUNCTION("""COMPUTED_VALUE"""),242.38)</f>
        <v>242.38</v>
      </c>
      <c r="D2026" s="1">
        <f ca="1">IFERROR(__xludf.DUMMYFUNCTION("""COMPUTED_VALUE"""),235.52)</f>
        <v>235.52</v>
      </c>
      <c r="E2026" s="1">
        <f ca="1">IFERROR(__xludf.DUMMYFUNCTION("""COMPUTED_VALUE"""),235.81)</f>
        <v>235.81</v>
      </c>
      <c r="F2026" s="1">
        <f ca="1">IFERROR(__xludf.DUMMYFUNCTION("""COMPUTED_VALUE"""),30028692)</f>
        <v>30028692</v>
      </c>
    </row>
    <row r="2027" spans="1:6" x14ac:dyDescent="0.35">
      <c r="A2027" s="2">
        <f ca="1">IFERROR(__xludf.DUMMYFUNCTION("""COMPUTED_VALUE"""),44945.6666666666)</f>
        <v>44945.666666666599</v>
      </c>
      <c r="B2027" s="1">
        <f ca="1">IFERROR(__xludf.DUMMYFUNCTION("""COMPUTED_VALUE"""),233.78)</f>
        <v>233.78</v>
      </c>
      <c r="C2027" s="1">
        <f ca="1">IFERROR(__xludf.DUMMYFUNCTION("""COMPUTED_VALUE"""),235.52)</f>
        <v>235.52</v>
      </c>
      <c r="D2027" s="1">
        <f ca="1">IFERROR(__xludf.DUMMYFUNCTION("""COMPUTED_VALUE"""),230.68)</f>
        <v>230.68</v>
      </c>
      <c r="E2027" s="1">
        <f ca="1">IFERROR(__xludf.DUMMYFUNCTION("""COMPUTED_VALUE"""),231.93)</f>
        <v>231.93</v>
      </c>
      <c r="F2027" s="1">
        <f ca="1">IFERROR(__xludf.DUMMYFUNCTION("""COMPUTED_VALUE"""),28623033)</f>
        <v>28623033</v>
      </c>
    </row>
    <row r="2028" spans="1:6" x14ac:dyDescent="0.35">
      <c r="A2028" s="2">
        <f ca="1">IFERROR(__xludf.DUMMYFUNCTION("""COMPUTED_VALUE"""),44946.6666666666)</f>
        <v>44946.666666666599</v>
      </c>
      <c r="B2028" s="1">
        <f ca="1">IFERROR(__xludf.DUMMYFUNCTION("""COMPUTED_VALUE"""),234.86)</f>
        <v>234.86</v>
      </c>
      <c r="C2028" s="1">
        <f ca="1">IFERROR(__xludf.DUMMYFUNCTION("""COMPUTED_VALUE"""),240.74)</f>
        <v>240.74</v>
      </c>
      <c r="D2028" s="1">
        <f ca="1">IFERROR(__xludf.DUMMYFUNCTION("""COMPUTED_VALUE"""),234.51)</f>
        <v>234.51</v>
      </c>
      <c r="E2028" s="1">
        <f ca="1">IFERROR(__xludf.DUMMYFUNCTION("""COMPUTED_VALUE"""),240.22)</f>
        <v>240.22</v>
      </c>
      <c r="F2028" s="1">
        <f ca="1">IFERROR(__xludf.DUMMYFUNCTION("""COMPUTED_VALUE"""),35389809)</f>
        <v>35389809</v>
      </c>
    </row>
    <row r="2029" spans="1:6" x14ac:dyDescent="0.35">
      <c r="A2029" s="2">
        <f ca="1">IFERROR(__xludf.DUMMYFUNCTION("""COMPUTED_VALUE"""),44949.6666666666)</f>
        <v>44949.666666666599</v>
      </c>
      <c r="B2029" s="1">
        <f ca="1">IFERROR(__xludf.DUMMYFUNCTION("""COMPUTED_VALUE"""),241.1)</f>
        <v>241.1</v>
      </c>
      <c r="C2029" s="1">
        <f ca="1">IFERROR(__xludf.DUMMYFUNCTION("""COMPUTED_VALUE"""),245.17)</f>
        <v>245.17</v>
      </c>
      <c r="D2029" s="1">
        <f ca="1">IFERROR(__xludf.DUMMYFUNCTION("""COMPUTED_VALUE"""),239.65)</f>
        <v>239.65</v>
      </c>
      <c r="E2029" s="1">
        <f ca="1">IFERROR(__xludf.DUMMYFUNCTION("""COMPUTED_VALUE"""),242.58)</f>
        <v>242.58</v>
      </c>
      <c r="F2029" s="1">
        <f ca="1">IFERROR(__xludf.DUMMYFUNCTION("""COMPUTED_VALUE"""),31933951)</f>
        <v>31933951</v>
      </c>
    </row>
    <row r="2030" spans="1:6" x14ac:dyDescent="0.35">
      <c r="A2030" s="2">
        <f ca="1">IFERROR(__xludf.DUMMYFUNCTION("""COMPUTED_VALUE"""),44950.6666666666)</f>
        <v>44950.666666666599</v>
      </c>
      <c r="B2030" s="1">
        <f ca="1">IFERROR(__xludf.DUMMYFUNCTION("""COMPUTED_VALUE"""),242.5)</f>
        <v>242.5</v>
      </c>
      <c r="C2030" s="1">
        <f ca="1">IFERROR(__xludf.DUMMYFUNCTION("""COMPUTED_VALUE"""),243.95)</f>
        <v>243.95</v>
      </c>
      <c r="D2030" s="1">
        <f ca="1">IFERROR(__xludf.DUMMYFUNCTION("""COMPUTED_VALUE"""),240.44)</f>
        <v>240.44</v>
      </c>
      <c r="E2030" s="1">
        <f ca="1">IFERROR(__xludf.DUMMYFUNCTION("""COMPUTED_VALUE"""),242.04)</f>
        <v>242.04</v>
      </c>
      <c r="F2030" s="1">
        <f ca="1">IFERROR(__xludf.DUMMYFUNCTION("""COMPUTED_VALUE"""),40234444)</f>
        <v>40234444</v>
      </c>
    </row>
    <row r="2031" spans="1:6" x14ac:dyDescent="0.35">
      <c r="A2031" s="2">
        <f ca="1">IFERROR(__xludf.DUMMYFUNCTION("""COMPUTED_VALUE"""),44951.6666666666)</f>
        <v>44951.666666666599</v>
      </c>
      <c r="B2031" s="1">
        <f ca="1">IFERROR(__xludf.DUMMYFUNCTION("""COMPUTED_VALUE"""),234.48)</f>
        <v>234.48</v>
      </c>
      <c r="C2031" s="1">
        <f ca="1">IFERROR(__xludf.DUMMYFUNCTION("""COMPUTED_VALUE"""),243.3)</f>
        <v>243.3</v>
      </c>
      <c r="D2031" s="1">
        <f ca="1">IFERROR(__xludf.DUMMYFUNCTION("""COMPUTED_VALUE"""),230.9)</f>
        <v>230.9</v>
      </c>
      <c r="E2031" s="1">
        <f ca="1">IFERROR(__xludf.DUMMYFUNCTION("""COMPUTED_VALUE"""),240.61)</f>
        <v>240.61</v>
      </c>
      <c r="F2031" s="1">
        <f ca="1">IFERROR(__xludf.DUMMYFUNCTION("""COMPUTED_VALUE"""),66526641)</f>
        <v>66526641</v>
      </c>
    </row>
    <row r="2032" spans="1:6" x14ac:dyDescent="0.35">
      <c r="A2032" s="2">
        <f ca="1">IFERROR(__xludf.DUMMYFUNCTION("""COMPUTED_VALUE"""),44952.6666666666)</f>
        <v>44952.666666666599</v>
      </c>
      <c r="B2032" s="1">
        <f ca="1">IFERROR(__xludf.DUMMYFUNCTION("""COMPUTED_VALUE"""),243.65)</f>
        <v>243.65</v>
      </c>
      <c r="C2032" s="1">
        <f ca="1">IFERROR(__xludf.DUMMYFUNCTION("""COMPUTED_VALUE"""),248.31)</f>
        <v>248.31</v>
      </c>
      <c r="D2032" s="1">
        <f ca="1">IFERROR(__xludf.DUMMYFUNCTION("""COMPUTED_VALUE"""),242)</f>
        <v>242</v>
      </c>
      <c r="E2032" s="1">
        <f ca="1">IFERROR(__xludf.DUMMYFUNCTION("""COMPUTED_VALUE"""),248)</f>
        <v>248</v>
      </c>
      <c r="F2032" s="1">
        <f ca="1">IFERROR(__xludf.DUMMYFUNCTION("""COMPUTED_VALUE"""),33454491)</f>
        <v>33454491</v>
      </c>
    </row>
    <row r="2033" spans="1:6" x14ac:dyDescent="0.35">
      <c r="A2033" s="2">
        <f ca="1">IFERROR(__xludf.DUMMYFUNCTION("""COMPUTED_VALUE"""),44953.6666666666)</f>
        <v>44953.666666666599</v>
      </c>
      <c r="B2033" s="1">
        <f ca="1">IFERROR(__xludf.DUMMYFUNCTION("""COMPUTED_VALUE"""),248.99)</f>
        <v>248.99</v>
      </c>
      <c r="C2033" s="1">
        <f ca="1">IFERROR(__xludf.DUMMYFUNCTION("""COMPUTED_VALUE"""),249.83)</f>
        <v>249.83</v>
      </c>
      <c r="D2033" s="1">
        <f ca="1">IFERROR(__xludf.DUMMYFUNCTION("""COMPUTED_VALUE"""),246.83)</f>
        <v>246.83</v>
      </c>
      <c r="E2033" s="1">
        <f ca="1">IFERROR(__xludf.DUMMYFUNCTION("""COMPUTED_VALUE"""),248.16)</f>
        <v>248.16</v>
      </c>
      <c r="F2033" s="1">
        <f ca="1">IFERROR(__xludf.DUMMYFUNCTION("""COMPUTED_VALUE"""),26498939)</f>
        <v>26498939</v>
      </c>
    </row>
    <row r="2034" spans="1:6" x14ac:dyDescent="0.35">
      <c r="A2034" s="2">
        <f ca="1">IFERROR(__xludf.DUMMYFUNCTION("""COMPUTED_VALUE"""),44956.6666666666)</f>
        <v>44956.666666666599</v>
      </c>
      <c r="B2034" s="1">
        <f ca="1">IFERROR(__xludf.DUMMYFUNCTION("""COMPUTED_VALUE"""),244.51)</f>
        <v>244.51</v>
      </c>
      <c r="C2034" s="1">
        <f ca="1">IFERROR(__xludf.DUMMYFUNCTION("""COMPUTED_VALUE"""),245.6)</f>
        <v>245.6</v>
      </c>
      <c r="D2034" s="1">
        <f ca="1">IFERROR(__xludf.DUMMYFUNCTION("""COMPUTED_VALUE"""),242.2)</f>
        <v>242.2</v>
      </c>
      <c r="E2034" s="1">
        <f ca="1">IFERROR(__xludf.DUMMYFUNCTION("""COMPUTED_VALUE"""),242.71)</f>
        <v>242.71</v>
      </c>
      <c r="F2034" s="1">
        <f ca="1">IFERROR(__xludf.DUMMYFUNCTION("""COMPUTED_VALUE"""),25867365)</f>
        <v>25867365</v>
      </c>
    </row>
    <row r="2035" spans="1:6" x14ac:dyDescent="0.35">
      <c r="A2035" s="2">
        <f ca="1">IFERROR(__xludf.DUMMYFUNCTION("""COMPUTED_VALUE"""),44957.6666666666)</f>
        <v>44957.666666666599</v>
      </c>
      <c r="B2035" s="1">
        <f ca="1">IFERROR(__xludf.DUMMYFUNCTION("""COMPUTED_VALUE"""),243.45)</f>
        <v>243.45</v>
      </c>
      <c r="C2035" s="1">
        <f ca="1">IFERROR(__xludf.DUMMYFUNCTION("""COMPUTED_VALUE"""),247.95)</f>
        <v>247.95</v>
      </c>
      <c r="D2035" s="1">
        <f ca="1">IFERROR(__xludf.DUMMYFUNCTION("""COMPUTED_VALUE"""),242.95)</f>
        <v>242.95</v>
      </c>
      <c r="E2035" s="1">
        <f ca="1">IFERROR(__xludf.DUMMYFUNCTION("""COMPUTED_VALUE"""),247.81)</f>
        <v>247.81</v>
      </c>
      <c r="F2035" s="1">
        <f ca="1">IFERROR(__xludf.DUMMYFUNCTION("""COMPUTED_VALUE"""),26541072)</f>
        <v>26541072</v>
      </c>
    </row>
    <row r="2036" spans="1:6" x14ac:dyDescent="0.35">
      <c r="A2036" s="2">
        <f ca="1">IFERROR(__xludf.DUMMYFUNCTION("""COMPUTED_VALUE"""),44958.6666666666)</f>
        <v>44958.666666666599</v>
      </c>
      <c r="B2036" s="1">
        <f ca="1">IFERROR(__xludf.DUMMYFUNCTION("""COMPUTED_VALUE"""),248)</f>
        <v>248</v>
      </c>
      <c r="C2036" s="1">
        <f ca="1">IFERROR(__xludf.DUMMYFUNCTION("""COMPUTED_VALUE"""),255.18)</f>
        <v>255.18</v>
      </c>
      <c r="D2036" s="1">
        <f ca="1">IFERROR(__xludf.DUMMYFUNCTION("""COMPUTED_VALUE"""),245.47)</f>
        <v>245.47</v>
      </c>
      <c r="E2036" s="1">
        <f ca="1">IFERROR(__xludf.DUMMYFUNCTION("""COMPUTED_VALUE"""),252.75)</f>
        <v>252.75</v>
      </c>
      <c r="F2036" s="1">
        <f ca="1">IFERROR(__xludf.DUMMYFUNCTION("""COMPUTED_VALUE"""),31259912)</f>
        <v>31259912</v>
      </c>
    </row>
    <row r="2037" spans="1:6" x14ac:dyDescent="0.35">
      <c r="A2037" s="2">
        <f ca="1">IFERROR(__xludf.DUMMYFUNCTION("""COMPUTED_VALUE"""),44959.6666666666)</f>
        <v>44959.666666666599</v>
      </c>
      <c r="B2037" s="1">
        <f ca="1">IFERROR(__xludf.DUMMYFUNCTION("""COMPUTED_VALUE"""),258.82)</f>
        <v>258.82</v>
      </c>
      <c r="C2037" s="1">
        <f ca="1">IFERROR(__xludf.DUMMYFUNCTION("""COMPUTED_VALUE"""),264.69)</f>
        <v>264.69</v>
      </c>
      <c r="D2037" s="1">
        <f ca="1">IFERROR(__xludf.DUMMYFUNCTION("""COMPUTED_VALUE"""),257.25)</f>
        <v>257.25</v>
      </c>
      <c r="E2037" s="1">
        <f ca="1">IFERROR(__xludf.DUMMYFUNCTION("""COMPUTED_VALUE"""),264.6)</f>
        <v>264.60000000000002</v>
      </c>
      <c r="F2037" s="1">
        <f ca="1">IFERROR(__xludf.DUMMYFUNCTION("""COMPUTED_VALUE"""),39940437)</f>
        <v>39940437</v>
      </c>
    </row>
    <row r="2038" spans="1:6" x14ac:dyDescent="0.35">
      <c r="A2038" s="2">
        <f ca="1">IFERROR(__xludf.DUMMYFUNCTION("""COMPUTED_VALUE"""),44960.6666666666)</f>
        <v>44960.666666666599</v>
      </c>
      <c r="B2038" s="1">
        <f ca="1">IFERROR(__xludf.DUMMYFUNCTION("""COMPUTED_VALUE"""),259.54)</f>
        <v>259.54000000000002</v>
      </c>
      <c r="C2038" s="1">
        <f ca="1">IFERROR(__xludf.DUMMYFUNCTION("""COMPUTED_VALUE"""),264.2)</f>
        <v>264.2</v>
      </c>
      <c r="D2038" s="1">
        <f ca="1">IFERROR(__xludf.DUMMYFUNCTION("""COMPUTED_VALUE"""),257.1)</f>
        <v>257.10000000000002</v>
      </c>
      <c r="E2038" s="1">
        <f ca="1">IFERROR(__xludf.DUMMYFUNCTION("""COMPUTED_VALUE"""),258.35)</f>
        <v>258.35000000000002</v>
      </c>
      <c r="F2038" s="1">
        <f ca="1">IFERROR(__xludf.DUMMYFUNCTION("""COMPUTED_VALUE"""),29077256)</f>
        <v>29077256</v>
      </c>
    </row>
    <row r="2039" spans="1:6" x14ac:dyDescent="0.35">
      <c r="A2039" s="2">
        <f ca="1">IFERROR(__xludf.DUMMYFUNCTION("""COMPUTED_VALUE"""),44963.6666666666)</f>
        <v>44963.666666666599</v>
      </c>
      <c r="B2039" s="1">
        <f ca="1">IFERROR(__xludf.DUMMYFUNCTION("""COMPUTED_VALUE"""),257.44)</f>
        <v>257.44</v>
      </c>
      <c r="C2039" s="1">
        <f ca="1">IFERROR(__xludf.DUMMYFUNCTION("""COMPUTED_VALUE"""),258.3)</f>
        <v>258.3</v>
      </c>
      <c r="D2039" s="1">
        <f ca="1">IFERROR(__xludf.DUMMYFUNCTION("""COMPUTED_VALUE"""),254.78)</f>
        <v>254.78</v>
      </c>
      <c r="E2039" s="1">
        <f ca="1">IFERROR(__xludf.DUMMYFUNCTION("""COMPUTED_VALUE"""),256.77)</f>
        <v>256.77</v>
      </c>
      <c r="F2039" s="1">
        <f ca="1">IFERROR(__xludf.DUMMYFUNCTION("""COMPUTED_VALUE"""),22517997)</f>
        <v>22517997</v>
      </c>
    </row>
    <row r="2040" spans="1:6" x14ac:dyDescent="0.35">
      <c r="A2040" s="2">
        <f ca="1">IFERROR(__xludf.DUMMYFUNCTION("""COMPUTED_VALUE"""),44964.6666666666)</f>
        <v>44964.666666666599</v>
      </c>
      <c r="B2040" s="1">
        <f ca="1">IFERROR(__xludf.DUMMYFUNCTION("""COMPUTED_VALUE"""),260.53)</f>
        <v>260.52999999999997</v>
      </c>
      <c r="C2040" s="1">
        <f ca="1">IFERROR(__xludf.DUMMYFUNCTION("""COMPUTED_VALUE"""),268.77)</f>
        <v>268.77</v>
      </c>
      <c r="D2040" s="1">
        <f ca="1">IFERROR(__xludf.DUMMYFUNCTION("""COMPUTED_VALUE"""),260.08)</f>
        <v>260.08</v>
      </c>
      <c r="E2040" s="1">
        <f ca="1">IFERROR(__xludf.DUMMYFUNCTION("""COMPUTED_VALUE"""),267.56)</f>
        <v>267.56</v>
      </c>
      <c r="F2040" s="1">
        <f ca="1">IFERROR(__xludf.DUMMYFUNCTION("""COMPUTED_VALUE"""),50841365)</f>
        <v>50841365</v>
      </c>
    </row>
    <row r="2041" spans="1:6" x14ac:dyDescent="0.35">
      <c r="A2041" s="2">
        <f ca="1">IFERROR(__xludf.DUMMYFUNCTION("""COMPUTED_VALUE"""),44965.6666666666)</f>
        <v>44965.666666666599</v>
      </c>
      <c r="B2041" s="1">
        <f ca="1">IFERROR(__xludf.DUMMYFUNCTION("""COMPUTED_VALUE"""),273.2)</f>
        <v>273.2</v>
      </c>
      <c r="C2041" s="1">
        <f ca="1">IFERROR(__xludf.DUMMYFUNCTION("""COMPUTED_VALUE"""),276.76)</f>
        <v>276.76</v>
      </c>
      <c r="D2041" s="1">
        <f ca="1">IFERROR(__xludf.DUMMYFUNCTION("""COMPUTED_VALUE"""),266.21)</f>
        <v>266.20999999999998</v>
      </c>
      <c r="E2041" s="1">
        <f ca="1">IFERROR(__xludf.DUMMYFUNCTION("""COMPUTED_VALUE"""),266.73)</f>
        <v>266.73</v>
      </c>
      <c r="F2041" s="1">
        <f ca="1">IFERROR(__xludf.DUMMYFUNCTION("""COMPUTED_VALUE"""),54686049)</f>
        <v>54686049</v>
      </c>
    </row>
    <row r="2042" spans="1:6" x14ac:dyDescent="0.35">
      <c r="A2042" s="2">
        <f ca="1">IFERROR(__xludf.DUMMYFUNCTION("""COMPUTED_VALUE"""),44966.6666666666)</f>
        <v>44966.666666666599</v>
      </c>
      <c r="B2042" s="1">
        <f ca="1">IFERROR(__xludf.DUMMYFUNCTION("""COMPUTED_VALUE"""),273.8)</f>
        <v>273.8</v>
      </c>
      <c r="C2042" s="1">
        <f ca="1">IFERROR(__xludf.DUMMYFUNCTION("""COMPUTED_VALUE"""),273.98)</f>
        <v>273.98</v>
      </c>
      <c r="D2042" s="1">
        <f ca="1">IFERROR(__xludf.DUMMYFUNCTION("""COMPUTED_VALUE"""),262.8)</f>
        <v>262.8</v>
      </c>
      <c r="E2042" s="1">
        <f ca="1">IFERROR(__xludf.DUMMYFUNCTION("""COMPUTED_VALUE"""),263.62)</f>
        <v>263.62</v>
      </c>
      <c r="F2042" s="1">
        <f ca="1">IFERROR(__xludf.DUMMYFUNCTION("""COMPUTED_VALUE"""),42375102)</f>
        <v>42375102</v>
      </c>
    </row>
    <row r="2043" spans="1:6" x14ac:dyDescent="0.35">
      <c r="A2043" s="2">
        <f ca="1">IFERROR(__xludf.DUMMYFUNCTION("""COMPUTED_VALUE"""),44967.6666666666)</f>
        <v>44967.666666666599</v>
      </c>
      <c r="B2043" s="1">
        <f ca="1">IFERROR(__xludf.DUMMYFUNCTION("""COMPUTED_VALUE"""),261.53)</f>
        <v>261.52999999999997</v>
      </c>
      <c r="C2043" s="1">
        <f ca="1">IFERROR(__xludf.DUMMYFUNCTION("""COMPUTED_VALUE"""),264.09)</f>
        <v>264.08999999999997</v>
      </c>
      <c r="D2043" s="1">
        <f ca="1">IFERROR(__xludf.DUMMYFUNCTION("""COMPUTED_VALUE"""),260.66)</f>
        <v>260.66000000000003</v>
      </c>
      <c r="E2043" s="1">
        <f ca="1">IFERROR(__xludf.DUMMYFUNCTION("""COMPUTED_VALUE"""),263.1)</f>
        <v>263.10000000000002</v>
      </c>
      <c r="F2043" s="1">
        <f ca="1">IFERROR(__xludf.DUMMYFUNCTION("""COMPUTED_VALUE"""),25818489)</f>
        <v>25818489</v>
      </c>
    </row>
    <row r="2044" spans="1:6" x14ac:dyDescent="0.35">
      <c r="A2044" s="2">
        <f ca="1">IFERROR(__xludf.DUMMYFUNCTION("""COMPUTED_VALUE"""),44970.6666666666)</f>
        <v>44970.666666666599</v>
      </c>
      <c r="B2044" s="1">
        <f ca="1">IFERROR(__xludf.DUMMYFUNCTION("""COMPUTED_VALUE"""),267.64)</f>
        <v>267.64</v>
      </c>
      <c r="C2044" s="1">
        <f ca="1">IFERROR(__xludf.DUMMYFUNCTION("""COMPUTED_VALUE"""),274.6)</f>
        <v>274.60000000000002</v>
      </c>
      <c r="D2044" s="1">
        <f ca="1">IFERROR(__xludf.DUMMYFUNCTION("""COMPUTED_VALUE"""),267.15)</f>
        <v>267.14999999999998</v>
      </c>
      <c r="E2044" s="1">
        <f ca="1">IFERROR(__xludf.DUMMYFUNCTION("""COMPUTED_VALUE"""),271.32)</f>
        <v>271.32</v>
      </c>
      <c r="F2044" s="1">
        <f ca="1">IFERROR(__xludf.DUMMYFUNCTION("""COMPUTED_VALUE"""),44630921)</f>
        <v>44630921</v>
      </c>
    </row>
    <row r="2045" spans="1:6" x14ac:dyDescent="0.35">
      <c r="A2045" s="2">
        <f ca="1">IFERROR(__xludf.DUMMYFUNCTION("""COMPUTED_VALUE"""),44971.6666666666)</f>
        <v>44971.666666666599</v>
      </c>
      <c r="B2045" s="1">
        <f ca="1">IFERROR(__xludf.DUMMYFUNCTION("""COMPUTED_VALUE"""),272.67)</f>
        <v>272.67</v>
      </c>
      <c r="C2045" s="1">
        <f ca="1">IFERROR(__xludf.DUMMYFUNCTION("""COMPUTED_VALUE"""),274.97)</f>
        <v>274.97000000000003</v>
      </c>
      <c r="D2045" s="1">
        <f ca="1">IFERROR(__xludf.DUMMYFUNCTION("""COMPUTED_VALUE"""),269.28)</f>
        <v>269.27999999999997</v>
      </c>
      <c r="E2045" s="1">
        <f ca="1">IFERROR(__xludf.DUMMYFUNCTION("""COMPUTED_VALUE"""),272.17)</f>
        <v>272.17</v>
      </c>
      <c r="F2045" s="1">
        <f ca="1">IFERROR(__xludf.DUMMYFUNCTION("""COMPUTED_VALUE"""),37047924)</f>
        <v>37047924</v>
      </c>
    </row>
    <row r="2046" spans="1:6" x14ac:dyDescent="0.35">
      <c r="A2046" s="2">
        <f ca="1">IFERROR(__xludf.DUMMYFUNCTION("""COMPUTED_VALUE"""),44972.6666666666)</f>
        <v>44972.666666666599</v>
      </c>
      <c r="B2046" s="1">
        <f ca="1">IFERROR(__xludf.DUMMYFUNCTION("""COMPUTED_VALUE"""),268.32)</f>
        <v>268.32</v>
      </c>
      <c r="C2046" s="1">
        <f ca="1">IFERROR(__xludf.DUMMYFUNCTION("""COMPUTED_VALUE"""),270.73)</f>
        <v>270.73</v>
      </c>
      <c r="D2046" s="1">
        <f ca="1">IFERROR(__xludf.DUMMYFUNCTION("""COMPUTED_VALUE"""),266.18)</f>
        <v>266.18</v>
      </c>
      <c r="E2046" s="1">
        <f ca="1">IFERROR(__xludf.DUMMYFUNCTION("""COMPUTED_VALUE"""),269.32)</f>
        <v>269.32</v>
      </c>
      <c r="F2046" s="1">
        <f ca="1">IFERROR(__xludf.DUMMYFUNCTION("""COMPUTED_VALUE"""),28962163)</f>
        <v>28962163</v>
      </c>
    </row>
    <row r="2047" spans="1:6" x14ac:dyDescent="0.35">
      <c r="A2047" s="2">
        <f ca="1">IFERROR(__xludf.DUMMYFUNCTION("""COMPUTED_VALUE"""),44973.6666666666)</f>
        <v>44973.666666666599</v>
      </c>
      <c r="B2047" s="1">
        <f ca="1">IFERROR(__xludf.DUMMYFUNCTION("""COMPUTED_VALUE"""),264.02)</f>
        <v>264.02</v>
      </c>
      <c r="C2047" s="1">
        <f ca="1">IFERROR(__xludf.DUMMYFUNCTION("""COMPUTED_VALUE"""),266.74)</f>
        <v>266.74</v>
      </c>
      <c r="D2047" s="1">
        <f ca="1">IFERROR(__xludf.DUMMYFUNCTION("""COMPUTED_VALUE"""),261.9)</f>
        <v>261.89999999999998</v>
      </c>
      <c r="E2047" s="1">
        <f ca="1">IFERROR(__xludf.DUMMYFUNCTION("""COMPUTED_VALUE"""),262.15)</f>
        <v>262.14999999999998</v>
      </c>
      <c r="F2047" s="1">
        <f ca="1">IFERROR(__xludf.DUMMYFUNCTION("""COMPUTED_VALUE"""),29603616)</f>
        <v>29603616</v>
      </c>
    </row>
    <row r="2048" spans="1:6" x14ac:dyDescent="0.35">
      <c r="A2048" s="2">
        <f ca="1">IFERROR(__xludf.DUMMYFUNCTION("""COMPUTED_VALUE"""),44974.6666666666)</f>
        <v>44974.666666666599</v>
      </c>
      <c r="B2048" s="1">
        <f ca="1">IFERROR(__xludf.DUMMYFUNCTION("""COMPUTED_VALUE"""),259.39)</f>
        <v>259.39</v>
      </c>
      <c r="C2048" s="1">
        <f ca="1">IFERROR(__xludf.DUMMYFUNCTION("""COMPUTED_VALUE"""),260.09)</f>
        <v>260.08999999999997</v>
      </c>
      <c r="D2048" s="1">
        <f ca="1">IFERROR(__xludf.DUMMYFUNCTION("""COMPUTED_VALUE"""),256)</f>
        <v>256</v>
      </c>
      <c r="E2048" s="1">
        <f ca="1">IFERROR(__xludf.DUMMYFUNCTION("""COMPUTED_VALUE"""),258.06)</f>
        <v>258.06</v>
      </c>
      <c r="F2048" s="1">
        <f ca="1">IFERROR(__xludf.DUMMYFUNCTION("""COMPUTED_VALUE"""),30000055)</f>
        <v>30000055</v>
      </c>
    </row>
    <row r="2049" spans="1:6" x14ac:dyDescent="0.35">
      <c r="A2049" s="2">
        <f ca="1">IFERROR(__xludf.DUMMYFUNCTION("""COMPUTED_VALUE"""),44978.6666666666)</f>
        <v>44978.666666666599</v>
      </c>
      <c r="B2049" s="1">
        <f ca="1">IFERROR(__xludf.DUMMYFUNCTION("""COMPUTED_VALUE"""),254.48)</f>
        <v>254.48</v>
      </c>
      <c r="C2049" s="1">
        <f ca="1">IFERROR(__xludf.DUMMYFUNCTION("""COMPUTED_VALUE"""),255.49)</f>
        <v>255.49</v>
      </c>
      <c r="D2049" s="1">
        <f ca="1">IFERROR(__xludf.DUMMYFUNCTION("""COMPUTED_VALUE"""),251.59)</f>
        <v>251.59</v>
      </c>
      <c r="E2049" s="1">
        <f ca="1">IFERROR(__xludf.DUMMYFUNCTION("""COMPUTED_VALUE"""),252.67)</f>
        <v>252.67</v>
      </c>
      <c r="F2049" s="1">
        <f ca="1">IFERROR(__xludf.DUMMYFUNCTION("""COMPUTED_VALUE"""),28397444)</f>
        <v>28397444</v>
      </c>
    </row>
    <row r="2050" spans="1:6" x14ac:dyDescent="0.35">
      <c r="A2050" s="2">
        <f ca="1">IFERROR(__xludf.DUMMYFUNCTION("""COMPUTED_VALUE"""),44979.6666666666)</f>
        <v>44979.666666666599</v>
      </c>
      <c r="B2050" s="1">
        <f ca="1">IFERROR(__xludf.DUMMYFUNCTION("""COMPUTED_VALUE"""),254.09)</f>
        <v>254.09</v>
      </c>
      <c r="C2050" s="1">
        <f ca="1">IFERROR(__xludf.DUMMYFUNCTION("""COMPUTED_VALUE"""),254.34)</f>
        <v>254.34</v>
      </c>
      <c r="D2050" s="1">
        <f ca="1">IFERROR(__xludf.DUMMYFUNCTION("""COMPUTED_VALUE"""),250.34)</f>
        <v>250.34</v>
      </c>
      <c r="E2050" s="1">
        <f ca="1">IFERROR(__xludf.DUMMYFUNCTION("""COMPUTED_VALUE"""),251.51)</f>
        <v>251.51</v>
      </c>
      <c r="F2050" s="1">
        <f ca="1">IFERROR(__xludf.DUMMYFUNCTION("""COMPUTED_VALUE"""),22491056)</f>
        <v>22491056</v>
      </c>
    </row>
    <row r="2051" spans="1:6" x14ac:dyDescent="0.35">
      <c r="A2051" s="2">
        <f ca="1">IFERROR(__xludf.DUMMYFUNCTION("""COMPUTED_VALUE"""),44980.6666666666)</f>
        <v>44980.666666666599</v>
      </c>
      <c r="B2051" s="1">
        <f ca="1">IFERROR(__xludf.DUMMYFUNCTION("""COMPUTED_VALUE"""),255.56)</f>
        <v>255.56</v>
      </c>
      <c r="C2051" s="1">
        <f ca="1">IFERROR(__xludf.DUMMYFUNCTION("""COMPUTED_VALUE"""),256.84)</f>
        <v>256.83999999999997</v>
      </c>
      <c r="D2051" s="1">
        <f ca="1">IFERROR(__xludf.DUMMYFUNCTION("""COMPUTED_VALUE"""),250.48)</f>
        <v>250.48</v>
      </c>
      <c r="E2051" s="1">
        <f ca="1">IFERROR(__xludf.DUMMYFUNCTION("""COMPUTED_VALUE"""),254.77)</f>
        <v>254.77</v>
      </c>
      <c r="F2051" s="1">
        <f ca="1">IFERROR(__xludf.DUMMYFUNCTION("""COMPUTED_VALUE"""),29219095)</f>
        <v>29219095</v>
      </c>
    </row>
    <row r="2052" spans="1:6" x14ac:dyDescent="0.35">
      <c r="A2052" s="2">
        <f ca="1">IFERROR(__xludf.DUMMYFUNCTION("""COMPUTED_VALUE"""),44981.6666666666)</f>
        <v>44981.666666666599</v>
      </c>
      <c r="B2052" s="1">
        <f ca="1">IFERROR(__xludf.DUMMYFUNCTION("""COMPUTED_VALUE"""),249.96)</f>
        <v>249.96</v>
      </c>
      <c r="C2052" s="1">
        <f ca="1">IFERROR(__xludf.DUMMYFUNCTION("""COMPUTED_VALUE"""),251)</f>
        <v>251</v>
      </c>
      <c r="D2052" s="1">
        <f ca="1">IFERROR(__xludf.DUMMYFUNCTION("""COMPUTED_VALUE"""),248.1)</f>
        <v>248.1</v>
      </c>
      <c r="E2052" s="1">
        <f ca="1">IFERROR(__xludf.DUMMYFUNCTION("""COMPUTED_VALUE"""),249.22)</f>
        <v>249.22</v>
      </c>
      <c r="F2052" s="1">
        <f ca="1">IFERROR(__xludf.DUMMYFUNCTION("""COMPUTED_VALUE"""),24990905)</f>
        <v>24990905</v>
      </c>
    </row>
    <row r="2053" spans="1:6" x14ac:dyDescent="0.35">
      <c r="A2053" s="2">
        <f ca="1">IFERROR(__xludf.DUMMYFUNCTION("""COMPUTED_VALUE"""),44984.6666666666)</f>
        <v>44984.666666666599</v>
      </c>
      <c r="B2053" s="1">
        <f ca="1">IFERROR(__xludf.DUMMYFUNCTION("""COMPUTED_VALUE"""),252.46)</f>
        <v>252.46</v>
      </c>
      <c r="C2053" s="1">
        <f ca="1">IFERROR(__xludf.DUMMYFUNCTION("""COMPUTED_VALUE"""),252.82)</f>
        <v>252.82</v>
      </c>
      <c r="D2053" s="1">
        <f ca="1">IFERROR(__xludf.DUMMYFUNCTION("""COMPUTED_VALUE"""),249.39)</f>
        <v>249.39</v>
      </c>
      <c r="E2053" s="1">
        <f ca="1">IFERROR(__xludf.DUMMYFUNCTION("""COMPUTED_VALUE"""),250.16)</f>
        <v>250.16</v>
      </c>
      <c r="F2053" s="1">
        <f ca="1">IFERROR(__xludf.DUMMYFUNCTION("""COMPUTED_VALUE"""),21190042)</f>
        <v>21190042</v>
      </c>
    </row>
    <row r="2054" spans="1:6" x14ac:dyDescent="0.35">
      <c r="A2054" s="2">
        <f ca="1">IFERROR(__xludf.DUMMYFUNCTION("""COMPUTED_VALUE"""),44985.6666666666)</f>
        <v>44985.666666666599</v>
      </c>
      <c r="B2054" s="1">
        <f ca="1">IFERROR(__xludf.DUMMYFUNCTION("""COMPUTED_VALUE"""),249.07)</f>
        <v>249.07</v>
      </c>
      <c r="C2054" s="1">
        <f ca="1">IFERROR(__xludf.DUMMYFUNCTION("""COMPUTED_VALUE"""),251.49)</f>
        <v>251.49</v>
      </c>
      <c r="D2054" s="1">
        <f ca="1">IFERROR(__xludf.DUMMYFUNCTION("""COMPUTED_VALUE"""),248.73)</f>
        <v>248.73</v>
      </c>
      <c r="E2054" s="1">
        <f ca="1">IFERROR(__xludf.DUMMYFUNCTION("""COMPUTED_VALUE"""),249.42)</f>
        <v>249.42</v>
      </c>
      <c r="F2054" s="1">
        <f ca="1">IFERROR(__xludf.DUMMYFUNCTION("""COMPUTED_VALUE"""),22490950)</f>
        <v>22490950</v>
      </c>
    </row>
    <row r="2055" spans="1:6" x14ac:dyDescent="0.35">
      <c r="A2055" s="2">
        <f ca="1">IFERROR(__xludf.DUMMYFUNCTION("""COMPUTED_VALUE"""),44986.6666666666)</f>
        <v>44986.666666666599</v>
      </c>
      <c r="B2055" s="1">
        <f ca="1">IFERROR(__xludf.DUMMYFUNCTION("""COMPUTED_VALUE"""),250.76)</f>
        <v>250.76</v>
      </c>
      <c r="C2055" s="1">
        <f ca="1">IFERROR(__xludf.DUMMYFUNCTION("""COMPUTED_VALUE"""),250.93)</f>
        <v>250.93</v>
      </c>
      <c r="D2055" s="1">
        <f ca="1">IFERROR(__xludf.DUMMYFUNCTION("""COMPUTED_VALUE"""),245.79)</f>
        <v>245.79</v>
      </c>
      <c r="E2055" s="1">
        <f ca="1">IFERROR(__xludf.DUMMYFUNCTION("""COMPUTED_VALUE"""),246.27)</f>
        <v>246.27</v>
      </c>
      <c r="F2055" s="1">
        <f ca="1">IFERROR(__xludf.DUMMYFUNCTION("""COMPUTED_VALUE"""),27565259)</f>
        <v>27565259</v>
      </c>
    </row>
    <row r="2056" spans="1:6" x14ac:dyDescent="0.35">
      <c r="A2056" s="2">
        <f ca="1">IFERROR(__xludf.DUMMYFUNCTION("""COMPUTED_VALUE"""),44987.6666666666)</f>
        <v>44987.666666666599</v>
      </c>
      <c r="B2056" s="1">
        <f ca="1">IFERROR(__xludf.DUMMYFUNCTION("""COMPUTED_VALUE"""),246.55)</f>
        <v>246.55</v>
      </c>
      <c r="C2056" s="1">
        <f ca="1">IFERROR(__xludf.DUMMYFUNCTION("""COMPUTED_VALUE"""),251.4)</f>
        <v>251.4</v>
      </c>
      <c r="D2056" s="1">
        <f ca="1">IFERROR(__xludf.DUMMYFUNCTION("""COMPUTED_VALUE"""),245.61)</f>
        <v>245.61</v>
      </c>
      <c r="E2056" s="1">
        <f ca="1">IFERROR(__xludf.DUMMYFUNCTION("""COMPUTED_VALUE"""),251.11)</f>
        <v>251.11</v>
      </c>
      <c r="F2056" s="1">
        <f ca="1">IFERROR(__xludf.DUMMYFUNCTION("""COMPUTED_VALUE"""),24833646)</f>
        <v>24833646</v>
      </c>
    </row>
    <row r="2057" spans="1:6" x14ac:dyDescent="0.35">
      <c r="A2057" s="2">
        <f ca="1">IFERROR(__xludf.DUMMYFUNCTION("""COMPUTED_VALUE"""),44988.6666666666)</f>
        <v>44988.666666666599</v>
      </c>
      <c r="B2057" s="1">
        <f ca="1">IFERROR(__xludf.DUMMYFUNCTION("""COMPUTED_VALUE"""),252.19)</f>
        <v>252.19</v>
      </c>
      <c r="C2057" s="1">
        <f ca="1">IFERROR(__xludf.DUMMYFUNCTION("""COMPUTED_VALUE"""),255.62)</f>
        <v>255.62</v>
      </c>
      <c r="D2057" s="1">
        <f ca="1">IFERROR(__xludf.DUMMYFUNCTION("""COMPUTED_VALUE"""),251.39)</f>
        <v>251.39</v>
      </c>
      <c r="E2057" s="1">
        <f ca="1">IFERROR(__xludf.DUMMYFUNCTION("""COMPUTED_VALUE"""),255.29)</f>
        <v>255.29</v>
      </c>
      <c r="F2057" s="1">
        <f ca="1">IFERROR(__xludf.DUMMYFUNCTION("""COMPUTED_VALUE"""),30760136)</f>
        <v>30760136</v>
      </c>
    </row>
    <row r="2058" spans="1:6" x14ac:dyDescent="0.35">
      <c r="A2058" s="2">
        <f ca="1">IFERROR(__xludf.DUMMYFUNCTION("""COMPUTED_VALUE"""),44991.6666666666)</f>
        <v>44991.666666666599</v>
      </c>
      <c r="B2058" s="1">
        <f ca="1">IFERROR(__xludf.DUMMYFUNCTION("""COMPUTED_VALUE"""),256.43)</f>
        <v>256.43</v>
      </c>
      <c r="C2058" s="1">
        <f ca="1">IFERROR(__xludf.DUMMYFUNCTION("""COMPUTED_VALUE"""),260.12)</f>
        <v>260.12</v>
      </c>
      <c r="D2058" s="1">
        <f ca="1">IFERROR(__xludf.DUMMYFUNCTION("""COMPUTED_VALUE"""),255.98)</f>
        <v>255.98</v>
      </c>
      <c r="E2058" s="1">
        <f ca="1">IFERROR(__xludf.DUMMYFUNCTION("""COMPUTED_VALUE"""),256.87)</f>
        <v>256.87</v>
      </c>
      <c r="F2058" s="1">
        <f ca="1">IFERROR(__xludf.DUMMYFUNCTION("""COMPUTED_VALUE"""),24109849)</f>
        <v>24109849</v>
      </c>
    </row>
    <row r="2059" spans="1:6" x14ac:dyDescent="0.35">
      <c r="A2059" s="2">
        <f ca="1">IFERROR(__xludf.DUMMYFUNCTION("""COMPUTED_VALUE"""),44992.6666666666)</f>
        <v>44992.666666666599</v>
      </c>
      <c r="B2059" s="1">
        <f ca="1">IFERROR(__xludf.DUMMYFUNCTION("""COMPUTED_VALUE"""),256.3)</f>
        <v>256.3</v>
      </c>
      <c r="C2059" s="1">
        <f ca="1">IFERROR(__xludf.DUMMYFUNCTION("""COMPUTED_VALUE"""),257.69)</f>
        <v>257.69</v>
      </c>
      <c r="D2059" s="1">
        <f ca="1">IFERROR(__xludf.DUMMYFUNCTION("""COMPUTED_VALUE"""),253.39)</f>
        <v>253.39</v>
      </c>
      <c r="E2059" s="1">
        <f ca="1">IFERROR(__xludf.DUMMYFUNCTION("""COMPUTED_VALUE"""),254.15)</f>
        <v>254.15</v>
      </c>
      <c r="F2059" s="1">
        <f ca="1">IFERROR(__xludf.DUMMYFUNCTION("""COMPUTED_VALUE"""),21473179)</f>
        <v>21473179</v>
      </c>
    </row>
    <row r="2060" spans="1:6" x14ac:dyDescent="0.35">
      <c r="A2060" s="2">
        <f ca="1">IFERROR(__xludf.DUMMYFUNCTION("""COMPUTED_VALUE"""),44993.6666666666)</f>
        <v>44993.666666666599</v>
      </c>
      <c r="B2060" s="1">
        <f ca="1">IFERROR(__xludf.DUMMYFUNCTION("""COMPUTED_VALUE"""),254.04)</f>
        <v>254.04</v>
      </c>
      <c r="C2060" s="1">
        <f ca="1">IFERROR(__xludf.DUMMYFUNCTION("""COMPUTED_VALUE"""),254.54)</f>
        <v>254.54</v>
      </c>
      <c r="D2060" s="1">
        <f ca="1">IFERROR(__xludf.DUMMYFUNCTION("""COMPUTED_VALUE"""),250.81)</f>
        <v>250.81</v>
      </c>
      <c r="E2060" s="1">
        <f ca="1">IFERROR(__xludf.DUMMYFUNCTION("""COMPUTED_VALUE"""),253.7)</f>
        <v>253.7</v>
      </c>
      <c r="F2060" s="1">
        <f ca="1">IFERROR(__xludf.DUMMYFUNCTION("""COMPUTED_VALUE"""),17340217)</f>
        <v>17340217</v>
      </c>
    </row>
    <row r="2061" spans="1:6" x14ac:dyDescent="0.35">
      <c r="A2061" s="2">
        <f ca="1">IFERROR(__xludf.DUMMYFUNCTION("""COMPUTED_VALUE"""),44994.6666666666)</f>
        <v>44994.666666666599</v>
      </c>
      <c r="B2061" s="1">
        <f ca="1">IFERROR(__xludf.DUMMYFUNCTION("""COMPUTED_VALUE"""),255.82)</f>
        <v>255.82</v>
      </c>
      <c r="C2061" s="1">
        <f ca="1">IFERROR(__xludf.DUMMYFUNCTION("""COMPUTED_VALUE"""),259.56)</f>
        <v>259.56</v>
      </c>
      <c r="D2061" s="1">
        <f ca="1">IFERROR(__xludf.DUMMYFUNCTION("""COMPUTED_VALUE"""),251.58)</f>
        <v>251.58</v>
      </c>
      <c r="E2061" s="1">
        <f ca="1">IFERROR(__xludf.DUMMYFUNCTION("""COMPUTED_VALUE"""),252.32)</f>
        <v>252.32</v>
      </c>
      <c r="F2061" s="1">
        <f ca="1">IFERROR(__xludf.DUMMYFUNCTION("""COMPUTED_VALUE"""),26653387)</f>
        <v>26653387</v>
      </c>
    </row>
    <row r="2062" spans="1:6" x14ac:dyDescent="0.35">
      <c r="A2062" s="2">
        <f ca="1">IFERROR(__xludf.DUMMYFUNCTION("""COMPUTED_VALUE"""),44995.6666666666)</f>
        <v>44995.666666666599</v>
      </c>
      <c r="B2062" s="1">
        <f ca="1">IFERROR(__xludf.DUMMYFUNCTION("""COMPUTED_VALUE"""),251.08)</f>
        <v>251.08</v>
      </c>
      <c r="C2062" s="1">
        <f ca="1">IFERROR(__xludf.DUMMYFUNCTION("""COMPUTED_VALUE"""),252.79)</f>
        <v>252.79</v>
      </c>
      <c r="D2062" s="1">
        <f ca="1">IFERROR(__xludf.DUMMYFUNCTION("""COMPUTED_VALUE"""),247.6)</f>
        <v>247.6</v>
      </c>
      <c r="E2062" s="1">
        <f ca="1">IFERROR(__xludf.DUMMYFUNCTION("""COMPUTED_VALUE"""),248.59)</f>
        <v>248.59</v>
      </c>
      <c r="F2062" s="1">
        <f ca="1">IFERROR(__xludf.DUMMYFUNCTION("""COMPUTED_VALUE"""),28333930)</f>
        <v>28333930</v>
      </c>
    </row>
    <row r="2063" spans="1:6" x14ac:dyDescent="0.35">
      <c r="A2063" s="2">
        <f ca="1">IFERROR(__xludf.DUMMYFUNCTION("""COMPUTED_VALUE"""),44998.6666666666)</f>
        <v>44998.666666666599</v>
      </c>
      <c r="B2063" s="1">
        <f ca="1">IFERROR(__xludf.DUMMYFUNCTION("""COMPUTED_VALUE"""),247.4)</f>
        <v>247.4</v>
      </c>
      <c r="C2063" s="1">
        <f ca="1">IFERROR(__xludf.DUMMYFUNCTION("""COMPUTED_VALUE"""),257.91)</f>
        <v>257.91000000000003</v>
      </c>
      <c r="D2063" s="1">
        <f ca="1">IFERROR(__xludf.DUMMYFUNCTION("""COMPUTED_VALUE"""),245.73)</f>
        <v>245.73</v>
      </c>
      <c r="E2063" s="1">
        <f ca="1">IFERROR(__xludf.DUMMYFUNCTION("""COMPUTED_VALUE"""),253.92)</f>
        <v>253.92</v>
      </c>
      <c r="F2063" s="1">
        <f ca="1">IFERROR(__xludf.DUMMYFUNCTION("""COMPUTED_VALUE"""),33339721)</f>
        <v>33339721</v>
      </c>
    </row>
    <row r="2064" spans="1:6" x14ac:dyDescent="0.35">
      <c r="A2064" s="2">
        <f ca="1">IFERROR(__xludf.DUMMYFUNCTION("""COMPUTED_VALUE"""),44999.6666666666)</f>
        <v>44999.666666666599</v>
      </c>
      <c r="B2064" s="1">
        <f ca="1">IFERROR(__xludf.DUMMYFUNCTION("""COMPUTED_VALUE"""),256.75)</f>
        <v>256.75</v>
      </c>
      <c r="C2064" s="1">
        <f ca="1">IFERROR(__xludf.DUMMYFUNCTION("""COMPUTED_VALUE"""),261.07)</f>
        <v>261.07</v>
      </c>
      <c r="D2064" s="1">
        <f ca="1">IFERROR(__xludf.DUMMYFUNCTION("""COMPUTED_VALUE"""),255.86)</f>
        <v>255.86</v>
      </c>
      <c r="E2064" s="1">
        <f ca="1">IFERROR(__xludf.DUMMYFUNCTION("""COMPUTED_VALUE"""),260.79)</f>
        <v>260.79000000000002</v>
      </c>
      <c r="F2064" s="1">
        <f ca="1">IFERROR(__xludf.DUMMYFUNCTION("""COMPUTED_VALUE"""),33620293)</f>
        <v>33620293</v>
      </c>
    </row>
    <row r="2065" spans="1:6" x14ac:dyDescent="0.35">
      <c r="A2065" s="2">
        <f ca="1">IFERROR(__xludf.DUMMYFUNCTION("""COMPUTED_VALUE"""),45000.6666666666)</f>
        <v>45000.666666666599</v>
      </c>
      <c r="B2065" s="1">
        <f ca="1">IFERROR(__xludf.DUMMYFUNCTION("""COMPUTED_VALUE"""),259.98)</f>
        <v>259.98</v>
      </c>
      <c r="C2065" s="1">
        <f ca="1">IFERROR(__xludf.DUMMYFUNCTION("""COMPUTED_VALUE"""),266.48)</f>
        <v>266.48</v>
      </c>
      <c r="D2065" s="1">
        <f ca="1">IFERROR(__xludf.DUMMYFUNCTION("""COMPUTED_VALUE"""),259.21)</f>
        <v>259.20999999999998</v>
      </c>
      <c r="E2065" s="1">
        <f ca="1">IFERROR(__xludf.DUMMYFUNCTION("""COMPUTED_VALUE"""),265.44)</f>
        <v>265.44</v>
      </c>
      <c r="F2065" s="1">
        <f ca="1">IFERROR(__xludf.DUMMYFUNCTION("""COMPUTED_VALUE"""),46028047)</f>
        <v>46028047</v>
      </c>
    </row>
    <row r="2066" spans="1:6" x14ac:dyDescent="0.35">
      <c r="A2066" s="2">
        <f ca="1">IFERROR(__xludf.DUMMYFUNCTION("""COMPUTED_VALUE"""),45001.6666666666)</f>
        <v>45001.666666666599</v>
      </c>
      <c r="B2066" s="1">
        <f ca="1">IFERROR(__xludf.DUMMYFUNCTION("""COMPUTED_VALUE"""),265.21)</f>
        <v>265.20999999999998</v>
      </c>
      <c r="C2066" s="1">
        <f ca="1">IFERROR(__xludf.DUMMYFUNCTION("""COMPUTED_VALUE"""),276.56)</f>
        <v>276.56</v>
      </c>
      <c r="D2066" s="1">
        <f ca="1">IFERROR(__xludf.DUMMYFUNCTION("""COMPUTED_VALUE"""),263.28)</f>
        <v>263.27999999999997</v>
      </c>
      <c r="E2066" s="1">
        <f ca="1">IFERROR(__xludf.DUMMYFUNCTION("""COMPUTED_VALUE"""),276.2)</f>
        <v>276.2</v>
      </c>
      <c r="F2066" s="1">
        <f ca="1">IFERROR(__xludf.DUMMYFUNCTION("""COMPUTED_VALUE"""),54832140)</f>
        <v>54832140</v>
      </c>
    </row>
    <row r="2067" spans="1:6" x14ac:dyDescent="0.35">
      <c r="A2067" s="2">
        <f ca="1">IFERROR(__xludf.DUMMYFUNCTION("""COMPUTED_VALUE"""),45002.6666666666)</f>
        <v>45002.666666666599</v>
      </c>
      <c r="B2067" s="1">
        <f ca="1">IFERROR(__xludf.DUMMYFUNCTION("""COMPUTED_VALUE"""),278.26)</f>
        <v>278.26</v>
      </c>
      <c r="C2067" s="1">
        <f ca="1">IFERROR(__xludf.DUMMYFUNCTION("""COMPUTED_VALUE"""),283.33)</f>
        <v>283.33</v>
      </c>
      <c r="D2067" s="1">
        <f ca="1">IFERROR(__xludf.DUMMYFUNCTION("""COMPUTED_VALUE"""),276.32)</f>
        <v>276.32</v>
      </c>
      <c r="E2067" s="1">
        <f ca="1">IFERROR(__xludf.DUMMYFUNCTION("""COMPUTED_VALUE"""),279.43)</f>
        <v>279.43</v>
      </c>
      <c r="F2067" s="1">
        <f ca="1">IFERROR(__xludf.DUMMYFUNCTION("""COMPUTED_VALUE"""),69527371)</f>
        <v>69527371</v>
      </c>
    </row>
    <row r="2068" spans="1:6" x14ac:dyDescent="0.35">
      <c r="A2068" s="2">
        <f ca="1">IFERROR(__xludf.DUMMYFUNCTION("""COMPUTED_VALUE"""),45005.6666666666)</f>
        <v>45005.666666666599</v>
      </c>
      <c r="B2068" s="1">
        <f ca="1">IFERROR(__xludf.DUMMYFUNCTION("""COMPUTED_VALUE"""),276.98)</f>
        <v>276.98</v>
      </c>
      <c r="C2068" s="1">
        <f ca="1">IFERROR(__xludf.DUMMYFUNCTION("""COMPUTED_VALUE"""),277.48)</f>
        <v>277.48</v>
      </c>
      <c r="D2068" s="1">
        <f ca="1">IFERROR(__xludf.DUMMYFUNCTION("""COMPUTED_VALUE"""),269.85)</f>
        <v>269.85000000000002</v>
      </c>
      <c r="E2068" s="1">
        <f ca="1">IFERROR(__xludf.DUMMYFUNCTION("""COMPUTED_VALUE"""),272.23)</f>
        <v>272.23</v>
      </c>
      <c r="F2068" s="1">
        <f ca="1">IFERROR(__xludf.DUMMYFUNCTION("""COMPUTED_VALUE"""),43466649)</f>
        <v>43466649</v>
      </c>
    </row>
    <row r="2069" spans="1:6" x14ac:dyDescent="0.35">
      <c r="A2069" s="2">
        <f ca="1">IFERROR(__xludf.DUMMYFUNCTION("""COMPUTED_VALUE"""),45006.6666666666)</f>
        <v>45006.666666666599</v>
      </c>
      <c r="B2069" s="1">
        <f ca="1">IFERROR(__xludf.DUMMYFUNCTION("""COMPUTED_VALUE"""),274.88)</f>
        <v>274.88</v>
      </c>
      <c r="C2069" s="1">
        <f ca="1">IFERROR(__xludf.DUMMYFUNCTION("""COMPUTED_VALUE"""),275)</f>
        <v>275</v>
      </c>
      <c r="D2069" s="1">
        <f ca="1">IFERROR(__xludf.DUMMYFUNCTION("""COMPUTED_VALUE"""),269.52)</f>
        <v>269.52</v>
      </c>
      <c r="E2069" s="1">
        <f ca="1">IFERROR(__xludf.DUMMYFUNCTION("""COMPUTED_VALUE"""),273.78)</f>
        <v>273.77999999999997</v>
      </c>
      <c r="F2069" s="1">
        <f ca="1">IFERROR(__xludf.DUMMYFUNCTION("""COMPUTED_VALUE"""),34558704)</f>
        <v>34558704</v>
      </c>
    </row>
    <row r="2070" spans="1:6" x14ac:dyDescent="0.35">
      <c r="A2070" s="2">
        <f ca="1">IFERROR(__xludf.DUMMYFUNCTION("""COMPUTED_VALUE"""),45007.6666666666)</f>
        <v>45007.666666666599</v>
      </c>
      <c r="B2070" s="1">
        <f ca="1">IFERROR(__xludf.DUMMYFUNCTION("""COMPUTED_VALUE"""),273.4)</f>
        <v>273.39999999999998</v>
      </c>
      <c r="C2070" s="1">
        <f ca="1">IFERROR(__xludf.DUMMYFUNCTION("""COMPUTED_VALUE"""),281.04)</f>
        <v>281.04000000000002</v>
      </c>
      <c r="D2070" s="1">
        <f ca="1">IFERROR(__xludf.DUMMYFUNCTION("""COMPUTED_VALUE"""),272.18)</f>
        <v>272.18</v>
      </c>
      <c r="E2070" s="1">
        <f ca="1">IFERROR(__xludf.DUMMYFUNCTION("""COMPUTED_VALUE"""),272.29)</f>
        <v>272.29000000000002</v>
      </c>
      <c r="F2070" s="1">
        <f ca="1">IFERROR(__xludf.DUMMYFUNCTION("""COMPUTED_VALUE"""),34873330)</f>
        <v>34873330</v>
      </c>
    </row>
    <row r="2071" spans="1:6" x14ac:dyDescent="0.35">
      <c r="A2071" s="2">
        <f ca="1">IFERROR(__xludf.DUMMYFUNCTION("""COMPUTED_VALUE"""),45008.6666666666)</f>
        <v>45008.666666666599</v>
      </c>
      <c r="B2071" s="1">
        <f ca="1">IFERROR(__xludf.DUMMYFUNCTION("""COMPUTED_VALUE"""),277.94)</f>
        <v>277.94</v>
      </c>
      <c r="C2071" s="1">
        <f ca="1">IFERROR(__xludf.DUMMYFUNCTION("""COMPUTED_VALUE"""),281.06)</f>
        <v>281.06</v>
      </c>
      <c r="D2071" s="1">
        <f ca="1">IFERROR(__xludf.DUMMYFUNCTION("""COMPUTED_VALUE"""),275.2)</f>
        <v>275.2</v>
      </c>
      <c r="E2071" s="1">
        <f ca="1">IFERROR(__xludf.DUMMYFUNCTION("""COMPUTED_VALUE"""),277.66)</f>
        <v>277.66000000000003</v>
      </c>
      <c r="F2071" s="1">
        <f ca="1">IFERROR(__xludf.DUMMYFUNCTION("""COMPUTED_VALUE"""),36610879)</f>
        <v>36610879</v>
      </c>
    </row>
    <row r="2072" spans="1:6" x14ac:dyDescent="0.35">
      <c r="A2072" s="2">
        <f ca="1">IFERROR(__xludf.DUMMYFUNCTION("""COMPUTED_VALUE"""),45009.6666666666)</f>
        <v>45009.666666666599</v>
      </c>
      <c r="B2072" s="1">
        <f ca="1">IFERROR(__xludf.DUMMYFUNCTION("""COMPUTED_VALUE"""),277.24)</f>
        <v>277.24</v>
      </c>
      <c r="C2072" s="1">
        <f ca="1">IFERROR(__xludf.DUMMYFUNCTION("""COMPUTED_VALUE"""),280.63)</f>
        <v>280.63</v>
      </c>
      <c r="D2072" s="1">
        <f ca="1">IFERROR(__xludf.DUMMYFUNCTION("""COMPUTED_VALUE"""),275.28)</f>
        <v>275.27999999999997</v>
      </c>
      <c r="E2072" s="1">
        <f ca="1">IFERROR(__xludf.DUMMYFUNCTION("""COMPUTED_VALUE"""),280.57)</f>
        <v>280.57</v>
      </c>
      <c r="F2072" s="1">
        <f ca="1">IFERROR(__xludf.DUMMYFUNCTION("""COMPUTED_VALUE"""),28199962)</f>
        <v>28199962</v>
      </c>
    </row>
    <row r="2073" spans="1:6" x14ac:dyDescent="0.35">
      <c r="A2073" s="2">
        <f ca="1">IFERROR(__xludf.DUMMYFUNCTION("""COMPUTED_VALUE"""),45012.6666666666)</f>
        <v>45012.666666666599</v>
      </c>
      <c r="B2073" s="1">
        <f ca="1">IFERROR(__xludf.DUMMYFUNCTION("""COMPUTED_VALUE"""),280.5)</f>
        <v>280.5</v>
      </c>
      <c r="C2073" s="1">
        <f ca="1">IFERROR(__xludf.DUMMYFUNCTION("""COMPUTED_VALUE"""),281.46)</f>
        <v>281.45999999999998</v>
      </c>
      <c r="D2073" s="1">
        <f ca="1">IFERROR(__xludf.DUMMYFUNCTION("""COMPUTED_VALUE"""),275.52)</f>
        <v>275.52</v>
      </c>
      <c r="E2073" s="1">
        <f ca="1">IFERROR(__xludf.DUMMYFUNCTION("""COMPUTED_VALUE"""),276.38)</f>
        <v>276.38</v>
      </c>
      <c r="F2073" s="1">
        <f ca="1">IFERROR(__xludf.DUMMYFUNCTION("""COMPUTED_VALUE"""),26840212)</f>
        <v>26840212</v>
      </c>
    </row>
    <row r="2074" spans="1:6" x14ac:dyDescent="0.35">
      <c r="A2074" s="2">
        <f ca="1">IFERROR(__xludf.DUMMYFUNCTION("""COMPUTED_VALUE"""),45013.6666666666)</f>
        <v>45013.666666666599</v>
      </c>
      <c r="B2074" s="1">
        <f ca="1">IFERROR(__xludf.DUMMYFUNCTION("""COMPUTED_VALUE"""),275.79)</f>
        <v>275.79000000000002</v>
      </c>
      <c r="C2074" s="1">
        <f ca="1">IFERROR(__xludf.DUMMYFUNCTION("""COMPUTED_VALUE"""),276.14)</f>
        <v>276.14</v>
      </c>
      <c r="D2074" s="1">
        <f ca="1">IFERROR(__xludf.DUMMYFUNCTION("""COMPUTED_VALUE"""),272.05)</f>
        <v>272.05</v>
      </c>
      <c r="E2074" s="1">
        <f ca="1">IFERROR(__xludf.DUMMYFUNCTION("""COMPUTED_VALUE"""),275.23)</f>
        <v>275.23</v>
      </c>
      <c r="F2074" s="1">
        <f ca="1">IFERROR(__xludf.DUMMYFUNCTION("""COMPUTED_VALUE"""),21878647)</f>
        <v>21878647</v>
      </c>
    </row>
    <row r="2075" spans="1:6" x14ac:dyDescent="0.35">
      <c r="A2075" s="2">
        <f ca="1">IFERROR(__xludf.DUMMYFUNCTION("""COMPUTED_VALUE"""),45014.6666666666)</f>
        <v>45014.666666666599</v>
      </c>
      <c r="B2075" s="1">
        <f ca="1">IFERROR(__xludf.DUMMYFUNCTION("""COMPUTED_VALUE"""),278.96)</f>
        <v>278.95999999999998</v>
      </c>
      <c r="C2075" s="1">
        <f ca="1">IFERROR(__xludf.DUMMYFUNCTION("""COMPUTED_VALUE"""),281.14)</f>
        <v>281.14</v>
      </c>
      <c r="D2075" s="1">
        <f ca="1">IFERROR(__xludf.DUMMYFUNCTION("""COMPUTED_VALUE"""),278.41)</f>
        <v>278.41000000000003</v>
      </c>
      <c r="E2075" s="1">
        <f ca="1">IFERROR(__xludf.DUMMYFUNCTION("""COMPUTED_VALUE"""),280.51)</f>
        <v>280.51</v>
      </c>
      <c r="F2075" s="1">
        <f ca="1">IFERROR(__xludf.DUMMYFUNCTION("""COMPUTED_VALUE"""),25087032)</f>
        <v>25087032</v>
      </c>
    </row>
    <row r="2076" spans="1:6" x14ac:dyDescent="0.35">
      <c r="A2076" s="2">
        <f ca="1">IFERROR(__xludf.DUMMYFUNCTION("""COMPUTED_VALUE"""),45015.6666666666)</f>
        <v>45015.666666666599</v>
      </c>
      <c r="B2076" s="1">
        <f ca="1">IFERROR(__xludf.DUMMYFUNCTION("""COMPUTED_VALUE"""),284.23)</f>
        <v>284.23</v>
      </c>
      <c r="C2076" s="1">
        <f ca="1">IFERROR(__xludf.DUMMYFUNCTION("""COMPUTED_VALUE"""),284.46)</f>
        <v>284.45999999999998</v>
      </c>
      <c r="D2076" s="1">
        <f ca="1">IFERROR(__xludf.DUMMYFUNCTION("""COMPUTED_VALUE"""),281.48)</f>
        <v>281.48</v>
      </c>
      <c r="E2076" s="1">
        <f ca="1">IFERROR(__xludf.DUMMYFUNCTION("""COMPUTED_VALUE"""),284.05)</f>
        <v>284.05</v>
      </c>
      <c r="F2076" s="1">
        <f ca="1">IFERROR(__xludf.DUMMYFUNCTION("""COMPUTED_VALUE"""),25053410)</f>
        <v>25053410</v>
      </c>
    </row>
    <row r="2077" spans="1:6" x14ac:dyDescent="0.35">
      <c r="A2077" s="2">
        <f ca="1">IFERROR(__xludf.DUMMYFUNCTION("""COMPUTED_VALUE"""),45016.6666666666)</f>
        <v>45016.666666666599</v>
      </c>
      <c r="B2077" s="1">
        <f ca="1">IFERROR(__xludf.DUMMYFUNCTION("""COMPUTED_VALUE"""),283.73)</f>
        <v>283.73</v>
      </c>
      <c r="C2077" s="1">
        <f ca="1">IFERROR(__xludf.DUMMYFUNCTION("""COMPUTED_VALUE"""),289.27)</f>
        <v>289.27</v>
      </c>
      <c r="D2077" s="1">
        <f ca="1">IFERROR(__xludf.DUMMYFUNCTION("""COMPUTED_VALUE"""),283)</f>
        <v>283</v>
      </c>
      <c r="E2077" s="1">
        <f ca="1">IFERROR(__xludf.DUMMYFUNCTION("""COMPUTED_VALUE"""),288.3)</f>
        <v>288.3</v>
      </c>
      <c r="F2077" s="1">
        <f ca="1">IFERROR(__xludf.DUMMYFUNCTION("""COMPUTED_VALUE"""),32765976)</f>
        <v>32765976</v>
      </c>
    </row>
    <row r="2078" spans="1:6" x14ac:dyDescent="0.35">
      <c r="A2078" s="2">
        <f ca="1">IFERROR(__xludf.DUMMYFUNCTION("""COMPUTED_VALUE"""),45019.6666666666)</f>
        <v>45019.666666666599</v>
      </c>
      <c r="B2078" s="1">
        <f ca="1">IFERROR(__xludf.DUMMYFUNCTION("""COMPUTED_VALUE"""),286.52)</f>
        <v>286.52</v>
      </c>
      <c r="C2078" s="1">
        <f ca="1">IFERROR(__xludf.DUMMYFUNCTION("""COMPUTED_VALUE"""),288.27)</f>
        <v>288.27</v>
      </c>
      <c r="D2078" s="1">
        <f ca="1">IFERROR(__xludf.DUMMYFUNCTION("""COMPUTED_VALUE"""),283.95)</f>
        <v>283.95</v>
      </c>
      <c r="E2078" s="1">
        <f ca="1">IFERROR(__xludf.DUMMYFUNCTION("""COMPUTED_VALUE"""),287.23)</f>
        <v>287.23</v>
      </c>
      <c r="F2078" s="1">
        <f ca="1">IFERROR(__xludf.DUMMYFUNCTION("""COMPUTED_VALUE"""),24883342)</f>
        <v>24883342</v>
      </c>
    </row>
    <row r="2079" spans="1:6" x14ac:dyDescent="0.35">
      <c r="A2079" s="2">
        <f ca="1">IFERROR(__xludf.DUMMYFUNCTION("""COMPUTED_VALUE"""),45020.6666666666)</f>
        <v>45020.666666666599</v>
      </c>
      <c r="B2079" s="1">
        <f ca="1">IFERROR(__xludf.DUMMYFUNCTION("""COMPUTED_VALUE"""),287.23)</f>
        <v>287.23</v>
      </c>
      <c r="C2079" s="1">
        <f ca="1">IFERROR(__xludf.DUMMYFUNCTION("""COMPUTED_VALUE"""),290.45)</f>
        <v>290.45</v>
      </c>
      <c r="D2079" s="1">
        <f ca="1">IFERROR(__xludf.DUMMYFUNCTION("""COMPUTED_VALUE"""),285.67)</f>
        <v>285.67</v>
      </c>
      <c r="E2079" s="1">
        <f ca="1">IFERROR(__xludf.DUMMYFUNCTION("""COMPUTED_VALUE"""),287.18)</f>
        <v>287.18</v>
      </c>
      <c r="F2079" s="1">
        <f ca="1">IFERROR(__xludf.DUMMYFUNCTION("""COMPUTED_VALUE"""),25824299)</f>
        <v>25824299</v>
      </c>
    </row>
    <row r="2080" spans="1:6" x14ac:dyDescent="0.35">
      <c r="A2080" s="2">
        <f ca="1">IFERROR(__xludf.DUMMYFUNCTION("""COMPUTED_VALUE"""),45021.6666666666)</f>
        <v>45021.666666666599</v>
      </c>
      <c r="B2080" s="1">
        <f ca="1">IFERROR(__xludf.DUMMYFUNCTION("""COMPUTED_VALUE"""),285.85)</f>
        <v>285.85000000000002</v>
      </c>
      <c r="C2080" s="1">
        <f ca="1">IFERROR(__xludf.DUMMYFUNCTION("""COMPUTED_VALUE"""),287.15)</f>
        <v>287.14999999999998</v>
      </c>
      <c r="D2080" s="1">
        <f ca="1">IFERROR(__xludf.DUMMYFUNCTION("""COMPUTED_VALUE"""),282.92)</f>
        <v>282.92</v>
      </c>
      <c r="E2080" s="1">
        <f ca="1">IFERROR(__xludf.DUMMYFUNCTION("""COMPUTED_VALUE"""),284.34)</f>
        <v>284.33999999999997</v>
      </c>
      <c r="F2080" s="1">
        <f ca="1">IFERROR(__xludf.DUMMYFUNCTION("""COMPUTED_VALUE"""),22064770)</f>
        <v>22064770</v>
      </c>
    </row>
    <row r="2081" spans="1:6" x14ac:dyDescent="0.35">
      <c r="A2081" s="2">
        <f ca="1">IFERROR(__xludf.DUMMYFUNCTION("""COMPUTED_VALUE"""),45022.6666666666)</f>
        <v>45022.666666666599</v>
      </c>
      <c r="B2081" s="1">
        <f ca="1">IFERROR(__xludf.DUMMYFUNCTION("""COMPUTED_VALUE"""),283.21)</f>
        <v>283.20999999999998</v>
      </c>
      <c r="C2081" s="1">
        <f ca="1">IFERROR(__xludf.DUMMYFUNCTION("""COMPUTED_VALUE"""),292.08)</f>
        <v>292.08</v>
      </c>
      <c r="D2081" s="1">
        <f ca="1">IFERROR(__xludf.DUMMYFUNCTION("""COMPUTED_VALUE"""),282.03)</f>
        <v>282.02999999999997</v>
      </c>
      <c r="E2081" s="1">
        <f ca="1">IFERROR(__xludf.DUMMYFUNCTION("""COMPUTED_VALUE"""),291.6)</f>
        <v>291.60000000000002</v>
      </c>
      <c r="F2081" s="1">
        <f ca="1">IFERROR(__xludf.DUMMYFUNCTION("""COMPUTED_VALUE"""),29770334)</f>
        <v>29770334</v>
      </c>
    </row>
    <row r="2082" spans="1:6" x14ac:dyDescent="0.35">
      <c r="A2082" s="2">
        <f ca="1">IFERROR(__xludf.DUMMYFUNCTION("""COMPUTED_VALUE"""),45026.6666666666)</f>
        <v>45026.666666666599</v>
      </c>
      <c r="B2082" s="1">
        <f ca="1">IFERROR(__xludf.DUMMYFUNCTION("""COMPUTED_VALUE"""),289.21)</f>
        <v>289.20999999999998</v>
      </c>
      <c r="C2082" s="1">
        <f ca="1">IFERROR(__xludf.DUMMYFUNCTION("""COMPUTED_VALUE"""),289.6)</f>
        <v>289.60000000000002</v>
      </c>
      <c r="D2082" s="1">
        <f ca="1">IFERROR(__xludf.DUMMYFUNCTION("""COMPUTED_VALUE"""),284.71)</f>
        <v>284.70999999999998</v>
      </c>
      <c r="E2082" s="1">
        <f ca="1">IFERROR(__xludf.DUMMYFUNCTION("""COMPUTED_VALUE"""),289.39)</f>
        <v>289.39</v>
      </c>
      <c r="F2082" s="1">
        <f ca="1">IFERROR(__xludf.DUMMYFUNCTION("""COMPUTED_VALUE"""),23102994)</f>
        <v>23102994</v>
      </c>
    </row>
    <row r="2083" spans="1:6" x14ac:dyDescent="0.35">
      <c r="A2083" s="2">
        <f ca="1">IFERROR(__xludf.DUMMYFUNCTION("""COMPUTED_VALUE"""),45027.6666666666)</f>
        <v>45027.666666666599</v>
      </c>
      <c r="B2083" s="1">
        <f ca="1">IFERROR(__xludf.DUMMYFUNCTION("""COMPUTED_VALUE"""),285.75)</f>
        <v>285.75</v>
      </c>
      <c r="C2083" s="1">
        <f ca="1">IFERROR(__xludf.DUMMYFUNCTION("""COMPUTED_VALUE"""),285.98)</f>
        <v>285.98</v>
      </c>
      <c r="D2083" s="1">
        <f ca="1">IFERROR(__xludf.DUMMYFUNCTION("""COMPUTED_VALUE"""),281.64)</f>
        <v>281.64</v>
      </c>
      <c r="E2083" s="1">
        <f ca="1">IFERROR(__xludf.DUMMYFUNCTION("""COMPUTED_VALUE"""),282.83)</f>
        <v>282.83</v>
      </c>
      <c r="F2083" s="1">
        <f ca="1">IFERROR(__xludf.DUMMYFUNCTION("""COMPUTED_VALUE"""),27276589)</f>
        <v>27276589</v>
      </c>
    </row>
    <row r="2084" spans="1:6" x14ac:dyDescent="0.35">
      <c r="A2084" s="2">
        <f ca="1">IFERROR(__xludf.DUMMYFUNCTION("""COMPUTED_VALUE"""),45028.6666666666)</f>
        <v>45028.666666666599</v>
      </c>
      <c r="B2084" s="1">
        <f ca="1">IFERROR(__xludf.DUMMYFUNCTION("""COMPUTED_VALUE"""),284.79)</f>
        <v>284.79000000000002</v>
      </c>
      <c r="C2084" s="1">
        <f ca="1">IFERROR(__xludf.DUMMYFUNCTION("""COMPUTED_VALUE"""),287.01)</f>
        <v>287.01</v>
      </c>
      <c r="D2084" s="1">
        <f ca="1">IFERROR(__xludf.DUMMYFUNCTION("""COMPUTED_VALUE"""),281.96)</f>
        <v>281.95999999999998</v>
      </c>
      <c r="E2084" s="1">
        <f ca="1">IFERROR(__xludf.DUMMYFUNCTION("""COMPUTED_VALUE"""),283.49)</f>
        <v>283.49</v>
      </c>
      <c r="F2084" s="1">
        <f ca="1">IFERROR(__xludf.DUMMYFUNCTION("""COMPUTED_VALUE"""),27403432)</f>
        <v>27403432</v>
      </c>
    </row>
    <row r="2085" spans="1:6" x14ac:dyDescent="0.35">
      <c r="A2085" s="2">
        <f ca="1">IFERROR(__xludf.DUMMYFUNCTION("""COMPUTED_VALUE"""),45029.6666666666)</f>
        <v>45029.666666666599</v>
      </c>
      <c r="B2085" s="1">
        <f ca="1">IFERROR(__xludf.DUMMYFUNCTION("""COMPUTED_VALUE"""),283.59)</f>
        <v>283.58999999999997</v>
      </c>
      <c r="C2085" s="1">
        <f ca="1">IFERROR(__xludf.DUMMYFUNCTION("""COMPUTED_VALUE"""),289.9)</f>
        <v>289.89999999999998</v>
      </c>
      <c r="D2085" s="1">
        <f ca="1">IFERROR(__xludf.DUMMYFUNCTION("""COMPUTED_VALUE"""),283.17)</f>
        <v>283.17</v>
      </c>
      <c r="E2085" s="1">
        <f ca="1">IFERROR(__xludf.DUMMYFUNCTION("""COMPUTED_VALUE"""),289.84)</f>
        <v>289.83999999999997</v>
      </c>
      <c r="F2085" s="1">
        <f ca="1">IFERROR(__xludf.DUMMYFUNCTION("""COMPUTED_VALUE"""),24222678)</f>
        <v>24222678</v>
      </c>
    </row>
    <row r="2086" spans="1:6" x14ac:dyDescent="0.35">
      <c r="A2086" s="2">
        <f ca="1">IFERROR(__xludf.DUMMYFUNCTION("""COMPUTED_VALUE"""),45030.6666666666)</f>
        <v>45030.666666666599</v>
      </c>
      <c r="B2086" s="1">
        <f ca="1">IFERROR(__xludf.DUMMYFUNCTION("""COMPUTED_VALUE"""),287)</f>
        <v>287</v>
      </c>
      <c r="C2086" s="1">
        <f ca="1">IFERROR(__xludf.DUMMYFUNCTION("""COMPUTED_VALUE"""),288.48)</f>
        <v>288.48</v>
      </c>
      <c r="D2086" s="1">
        <f ca="1">IFERROR(__xludf.DUMMYFUNCTION("""COMPUTED_VALUE"""),283.69)</f>
        <v>283.69</v>
      </c>
      <c r="E2086" s="1">
        <f ca="1">IFERROR(__xludf.DUMMYFUNCTION("""COMPUTED_VALUE"""),286.14)</f>
        <v>286.14</v>
      </c>
      <c r="F2086" s="1">
        <f ca="1">IFERROR(__xludf.DUMMYFUNCTION("""COMPUTED_VALUE"""),20987917)</f>
        <v>20987917</v>
      </c>
    </row>
    <row r="2087" spans="1:6" x14ac:dyDescent="0.35">
      <c r="A2087" s="2">
        <f ca="1">IFERROR(__xludf.DUMMYFUNCTION("""COMPUTED_VALUE"""),45033.6666666666)</f>
        <v>45033.666666666599</v>
      </c>
      <c r="B2087" s="1">
        <f ca="1">IFERROR(__xludf.DUMMYFUNCTION("""COMPUTED_VALUE"""),289.93)</f>
        <v>289.93</v>
      </c>
      <c r="C2087" s="1">
        <f ca="1">IFERROR(__xludf.DUMMYFUNCTION("""COMPUTED_VALUE"""),291.6)</f>
        <v>291.60000000000002</v>
      </c>
      <c r="D2087" s="1">
        <f ca="1">IFERROR(__xludf.DUMMYFUNCTION("""COMPUTED_VALUE"""),286.16)</f>
        <v>286.16000000000003</v>
      </c>
      <c r="E2087" s="1">
        <f ca="1">IFERROR(__xludf.DUMMYFUNCTION("""COMPUTED_VALUE"""),288.8)</f>
        <v>288.8</v>
      </c>
      <c r="F2087" s="1">
        <f ca="1">IFERROR(__xludf.DUMMYFUNCTION("""COMPUTED_VALUE"""),23836223)</f>
        <v>23836223</v>
      </c>
    </row>
    <row r="2088" spans="1:6" x14ac:dyDescent="0.35">
      <c r="A2088" s="2">
        <f ca="1">IFERROR(__xludf.DUMMYFUNCTION("""COMPUTED_VALUE"""),45034.6666666666)</f>
        <v>45034.666666666599</v>
      </c>
      <c r="B2088" s="1">
        <f ca="1">IFERROR(__xludf.DUMMYFUNCTION("""COMPUTED_VALUE"""),291.57)</f>
        <v>291.57</v>
      </c>
      <c r="C2088" s="1">
        <f ca="1">IFERROR(__xludf.DUMMYFUNCTION("""COMPUTED_VALUE"""),291.76)</f>
        <v>291.76</v>
      </c>
      <c r="D2088" s="1">
        <f ca="1">IFERROR(__xludf.DUMMYFUNCTION("""COMPUTED_VALUE"""),287.01)</f>
        <v>287.01</v>
      </c>
      <c r="E2088" s="1">
        <f ca="1">IFERROR(__xludf.DUMMYFUNCTION("""COMPUTED_VALUE"""),288.37)</f>
        <v>288.37</v>
      </c>
      <c r="F2088" s="1">
        <f ca="1">IFERROR(__xludf.DUMMYFUNCTION("""COMPUTED_VALUE"""),20161845)</f>
        <v>20161845</v>
      </c>
    </row>
    <row r="2089" spans="1:6" x14ac:dyDescent="0.35">
      <c r="A2089" s="2">
        <f ca="1">IFERROR(__xludf.DUMMYFUNCTION("""COMPUTED_VALUE"""),45035.6666666666)</f>
        <v>45035.666666666599</v>
      </c>
      <c r="B2089" s="1">
        <f ca="1">IFERROR(__xludf.DUMMYFUNCTION("""COMPUTED_VALUE"""),285.99)</f>
        <v>285.99</v>
      </c>
      <c r="C2089" s="1">
        <f ca="1">IFERROR(__xludf.DUMMYFUNCTION("""COMPUTED_VALUE"""),289.05)</f>
        <v>289.05</v>
      </c>
      <c r="D2089" s="1">
        <f ca="1">IFERROR(__xludf.DUMMYFUNCTION("""COMPUTED_VALUE"""),284.54)</f>
        <v>284.54000000000002</v>
      </c>
      <c r="E2089" s="1">
        <f ca="1">IFERROR(__xludf.DUMMYFUNCTION("""COMPUTED_VALUE"""),288.45)</f>
        <v>288.45</v>
      </c>
      <c r="F2089" s="1">
        <f ca="1">IFERROR(__xludf.DUMMYFUNCTION("""COMPUTED_VALUE"""),17150271)</f>
        <v>17150271</v>
      </c>
    </row>
    <row r="2090" spans="1:6" x14ac:dyDescent="0.35">
      <c r="A2090" s="2">
        <f ca="1">IFERROR(__xludf.DUMMYFUNCTION("""COMPUTED_VALUE"""),45036.6666666666)</f>
        <v>45036.666666666599</v>
      </c>
      <c r="B2090" s="1">
        <f ca="1">IFERROR(__xludf.DUMMYFUNCTION("""COMPUTED_VALUE"""),285.25)</f>
        <v>285.25</v>
      </c>
      <c r="C2090" s="1">
        <f ca="1">IFERROR(__xludf.DUMMYFUNCTION("""COMPUTED_VALUE"""),289.03)</f>
        <v>289.02999999999997</v>
      </c>
      <c r="D2090" s="1">
        <f ca="1">IFERROR(__xludf.DUMMYFUNCTION("""COMPUTED_VALUE"""),285.08)</f>
        <v>285.08</v>
      </c>
      <c r="E2090" s="1">
        <f ca="1">IFERROR(__xludf.DUMMYFUNCTION("""COMPUTED_VALUE"""),286.11)</f>
        <v>286.11</v>
      </c>
      <c r="F2090" s="1">
        <f ca="1">IFERROR(__xludf.DUMMYFUNCTION("""COMPUTED_VALUE"""),23244363)</f>
        <v>23244363</v>
      </c>
    </row>
    <row r="2091" spans="1:6" x14ac:dyDescent="0.35">
      <c r="A2091" s="2">
        <f ca="1">IFERROR(__xludf.DUMMYFUNCTION("""COMPUTED_VALUE"""),45037.6666666666)</f>
        <v>45037.666666666599</v>
      </c>
      <c r="B2091" s="1">
        <f ca="1">IFERROR(__xludf.DUMMYFUNCTION("""COMPUTED_VALUE"""),285.01)</f>
        <v>285.01</v>
      </c>
      <c r="C2091" s="1">
        <f ca="1">IFERROR(__xludf.DUMMYFUNCTION("""COMPUTED_VALUE"""),286.27)</f>
        <v>286.27</v>
      </c>
      <c r="D2091" s="1">
        <f ca="1">IFERROR(__xludf.DUMMYFUNCTION("""COMPUTED_VALUE"""),283.06)</f>
        <v>283.06</v>
      </c>
      <c r="E2091" s="1">
        <f ca="1">IFERROR(__xludf.DUMMYFUNCTION("""COMPUTED_VALUE"""),285.76)</f>
        <v>285.76</v>
      </c>
      <c r="F2091" s="1">
        <f ca="1">IFERROR(__xludf.DUMMYFUNCTION("""COMPUTED_VALUE"""),21676387)</f>
        <v>21676387</v>
      </c>
    </row>
    <row r="2092" spans="1:6" x14ac:dyDescent="0.35">
      <c r="A2092" s="2">
        <f ca="1">IFERROR(__xludf.DUMMYFUNCTION("""COMPUTED_VALUE"""),45040.6666666666)</f>
        <v>45040.666666666599</v>
      </c>
      <c r="B2092" s="1">
        <f ca="1">IFERROR(__xludf.DUMMYFUNCTION("""COMPUTED_VALUE"""),282.09)</f>
        <v>282.08999999999997</v>
      </c>
      <c r="C2092" s="1">
        <f ca="1">IFERROR(__xludf.DUMMYFUNCTION("""COMPUTED_VALUE"""),284.95)</f>
        <v>284.95</v>
      </c>
      <c r="D2092" s="1">
        <f ca="1">IFERROR(__xludf.DUMMYFUNCTION("""COMPUTED_VALUE"""),278.72)</f>
        <v>278.72000000000003</v>
      </c>
      <c r="E2092" s="1">
        <f ca="1">IFERROR(__xludf.DUMMYFUNCTION("""COMPUTED_VALUE"""),281.77)</f>
        <v>281.77</v>
      </c>
      <c r="F2092" s="1">
        <f ca="1">IFERROR(__xludf.DUMMYFUNCTION("""COMPUTED_VALUE"""),26611014)</f>
        <v>26611014</v>
      </c>
    </row>
    <row r="2093" spans="1:6" x14ac:dyDescent="0.35">
      <c r="A2093" s="2">
        <f ca="1">IFERROR(__xludf.DUMMYFUNCTION("""COMPUTED_VALUE"""),45041.6666666666)</f>
        <v>45041.666666666599</v>
      </c>
      <c r="B2093" s="1">
        <f ca="1">IFERROR(__xludf.DUMMYFUNCTION("""COMPUTED_VALUE"""),279.51)</f>
        <v>279.51</v>
      </c>
      <c r="C2093" s="1">
        <f ca="1">IFERROR(__xludf.DUMMYFUNCTION("""COMPUTED_VALUE"""),281.6)</f>
        <v>281.60000000000002</v>
      </c>
      <c r="D2093" s="1">
        <f ca="1">IFERROR(__xludf.DUMMYFUNCTION("""COMPUTED_VALUE"""),275.37)</f>
        <v>275.37</v>
      </c>
      <c r="E2093" s="1">
        <f ca="1">IFERROR(__xludf.DUMMYFUNCTION("""COMPUTED_VALUE"""),275.42)</f>
        <v>275.42</v>
      </c>
      <c r="F2093" s="1">
        <f ca="1">IFERROR(__xludf.DUMMYFUNCTION("""COMPUTED_VALUE"""),45772236)</f>
        <v>45772236</v>
      </c>
    </row>
    <row r="2094" spans="1:6" x14ac:dyDescent="0.35">
      <c r="A2094" s="2">
        <f ca="1">IFERROR(__xludf.DUMMYFUNCTION("""COMPUTED_VALUE"""),45042.6666666666)</f>
        <v>45042.666666666599</v>
      </c>
      <c r="B2094" s="1">
        <f ca="1">IFERROR(__xludf.DUMMYFUNCTION("""COMPUTED_VALUE"""),296.7)</f>
        <v>296.7</v>
      </c>
      <c r="C2094" s="1">
        <f ca="1">IFERROR(__xludf.DUMMYFUNCTION("""COMPUTED_VALUE"""),299.57)</f>
        <v>299.57</v>
      </c>
      <c r="D2094" s="1">
        <f ca="1">IFERROR(__xludf.DUMMYFUNCTION("""COMPUTED_VALUE"""),292.73)</f>
        <v>292.73</v>
      </c>
      <c r="E2094" s="1">
        <f ca="1">IFERROR(__xludf.DUMMYFUNCTION("""COMPUTED_VALUE"""),295.37)</f>
        <v>295.37</v>
      </c>
      <c r="F2094" s="1">
        <f ca="1">IFERROR(__xludf.DUMMYFUNCTION("""COMPUTED_VALUE"""),64599182)</f>
        <v>64599182</v>
      </c>
    </row>
    <row r="2095" spans="1:6" x14ac:dyDescent="0.35">
      <c r="A2095" s="2">
        <f ca="1">IFERROR(__xludf.DUMMYFUNCTION("""COMPUTED_VALUE"""),45043.6666666666)</f>
        <v>45043.666666666599</v>
      </c>
      <c r="B2095" s="1">
        <f ca="1">IFERROR(__xludf.DUMMYFUNCTION("""COMPUTED_VALUE"""),295.97)</f>
        <v>295.97000000000003</v>
      </c>
      <c r="C2095" s="1">
        <f ca="1">IFERROR(__xludf.DUMMYFUNCTION("""COMPUTED_VALUE"""),305.2)</f>
        <v>305.2</v>
      </c>
      <c r="D2095" s="1">
        <f ca="1">IFERROR(__xludf.DUMMYFUNCTION("""COMPUTED_VALUE"""),295.25)</f>
        <v>295.25</v>
      </c>
      <c r="E2095" s="1">
        <f ca="1">IFERROR(__xludf.DUMMYFUNCTION("""COMPUTED_VALUE"""),304.83)</f>
        <v>304.83</v>
      </c>
      <c r="F2095" s="1">
        <f ca="1">IFERROR(__xludf.DUMMYFUNCTION("""COMPUTED_VALUE"""),46462638)</f>
        <v>46462638</v>
      </c>
    </row>
    <row r="2096" spans="1:6" x14ac:dyDescent="0.35">
      <c r="A2096" s="2">
        <f ca="1">IFERROR(__xludf.DUMMYFUNCTION("""COMPUTED_VALUE"""),45044.6666666666)</f>
        <v>45044.666666666599</v>
      </c>
      <c r="B2096" s="1">
        <f ca="1">IFERROR(__xludf.DUMMYFUNCTION("""COMPUTED_VALUE"""),304.01)</f>
        <v>304.01</v>
      </c>
      <c r="C2096" s="1">
        <f ca="1">IFERROR(__xludf.DUMMYFUNCTION("""COMPUTED_VALUE"""),308.93)</f>
        <v>308.93</v>
      </c>
      <c r="D2096" s="1">
        <f ca="1">IFERROR(__xludf.DUMMYFUNCTION("""COMPUTED_VALUE"""),303.31)</f>
        <v>303.31</v>
      </c>
      <c r="E2096" s="1">
        <f ca="1">IFERROR(__xludf.DUMMYFUNCTION("""COMPUTED_VALUE"""),307.26)</f>
        <v>307.26</v>
      </c>
      <c r="F2096" s="1">
        <f ca="1">IFERROR(__xludf.DUMMYFUNCTION("""COMPUTED_VALUE"""),36469613)</f>
        <v>36469613</v>
      </c>
    </row>
    <row r="2097" spans="1:6" x14ac:dyDescent="0.35">
      <c r="A2097" s="2">
        <f ca="1">IFERROR(__xludf.DUMMYFUNCTION("""COMPUTED_VALUE"""),45047.6666666666)</f>
        <v>45047.666666666599</v>
      </c>
      <c r="B2097" s="1">
        <f ca="1">IFERROR(__xludf.DUMMYFUNCTION("""COMPUTED_VALUE"""),306.97)</f>
        <v>306.97000000000003</v>
      </c>
      <c r="C2097" s="1">
        <f ca="1">IFERROR(__xludf.DUMMYFUNCTION("""COMPUTED_VALUE"""),308.6)</f>
        <v>308.60000000000002</v>
      </c>
      <c r="D2097" s="1">
        <f ca="1">IFERROR(__xludf.DUMMYFUNCTION("""COMPUTED_VALUE"""),305.15)</f>
        <v>305.14999999999998</v>
      </c>
      <c r="E2097" s="1">
        <f ca="1">IFERROR(__xludf.DUMMYFUNCTION("""COMPUTED_VALUE"""),305.56)</f>
        <v>305.56</v>
      </c>
      <c r="F2097" s="1">
        <f ca="1">IFERROR(__xludf.DUMMYFUNCTION("""COMPUTED_VALUE"""),21294115)</f>
        <v>21294115</v>
      </c>
    </row>
    <row r="2098" spans="1:6" x14ac:dyDescent="0.35">
      <c r="A2098" s="2">
        <f ca="1">IFERROR(__xludf.DUMMYFUNCTION("""COMPUTED_VALUE"""),45048.6666666666)</f>
        <v>45048.666666666599</v>
      </c>
      <c r="B2098" s="1">
        <f ca="1">IFERROR(__xludf.DUMMYFUNCTION("""COMPUTED_VALUE"""),307.76)</f>
        <v>307.76</v>
      </c>
      <c r="C2098" s="1">
        <f ca="1">IFERROR(__xludf.DUMMYFUNCTION("""COMPUTED_VALUE"""),309.18)</f>
        <v>309.18</v>
      </c>
      <c r="D2098" s="1">
        <f ca="1">IFERROR(__xludf.DUMMYFUNCTION("""COMPUTED_VALUE"""),303.91)</f>
        <v>303.91000000000003</v>
      </c>
      <c r="E2098" s="1">
        <f ca="1">IFERROR(__xludf.DUMMYFUNCTION("""COMPUTED_VALUE"""),305.41)</f>
        <v>305.41000000000003</v>
      </c>
      <c r="F2098" s="1">
        <f ca="1">IFERROR(__xludf.DUMMYFUNCTION("""COMPUTED_VALUE"""),26404431)</f>
        <v>26404431</v>
      </c>
    </row>
    <row r="2099" spans="1:6" x14ac:dyDescent="0.35">
      <c r="A2099" s="2">
        <f ca="1">IFERROR(__xludf.DUMMYFUNCTION("""COMPUTED_VALUE"""),45049.6666666666)</f>
        <v>45049.666666666599</v>
      </c>
      <c r="B2099" s="1">
        <f ca="1">IFERROR(__xludf.DUMMYFUNCTION("""COMPUTED_VALUE"""),306.62)</f>
        <v>306.62</v>
      </c>
      <c r="C2099" s="1">
        <f ca="1">IFERROR(__xludf.DUMMYFUNCTION("""COMPUTED_VALUE"""),308.61)</f>
        <v>308.61</v>
      </c>
      <c r="D2099" s="1">
        <f ca="1">IFERROR(__xludf.DUMMYFUNCTION("""COMPUTED_VALUE"""),304.09)</f>
        <v>304.08999999999997</v>
      </c>
      <c r="E2099" s="1">
        <f ca="1">IFERROR(__xludf.DUMMYFUNCTION("""COMPUTED_VALUE"""),304.4)</f>
        <v>304.39999999999998</v>
      </c>
      <c r="F2099" s="1">
        <f ca="1">IFERROR(__xludf.DUMMYFUNCTION("""COMPUTED_VALUE"""),22360754)</f>
        <v>22360754</v>
      </c>
    </row>
    <row r="2100" spans="1:6" x14ac:dyDescent="0.35">
      <c r="A2100" s="2">
        <f ca="1">IFERROR(__xludf.DUMMYFUNCTION("""COMPUTED_VALUE"""),45050.6666666666)</f>
        <v>45050.666666666599</v>
      </c>
      <c r="B2100" s="1">
        <f ca="1">IFERROR(__xludf.DUMMYFUNCTION("""COMPUTED_VALUE"""),306.24)</f>
        <v>306.24</v>
      </c>
      <c r="C2100" s="1">
        <f ca="1">IFERROR(__xludf.DUMMYFUNCTION("""COMPUTED_VALUE"""),307.76)</f>
        <v>307.76</v>
      </c>
      <c r="D2100" s="1">
        <f ca="1">IFERROR(__xludf.DUMMYFUNCTION("""COMPUTED_VALUE"""),303.4)</f>
        <v>303.39999999999998</v>
      </c>
      <c r="E2100" s="1">
        <f ca="1">IFERROR(__xludf.DUMMYFUNCTION("""COMPUTED_VALUE"""),305.41)</f>
        <v>305.41000000000003</v>
      </c>
      <c r="F2100" s="1">
        <f ca="1">IFERROR(__xludf.DUMMYFUNCTION("""COMPUTED_VALUE"""),22519907)</f>
        <v>22519907</v>
      </c>
    </row>
    <row r="2101" spans="1:6" x14ac:dyDescent="0.35">
      <c r="A2101" s="2">
        <f ca="1">IFERROR(__xludf.DUMMYFUNCTION("""COMPUTED_VALUE"""),45051.6666666666)</f>
        <v>45051.666666666599</v>
      </c>
      <c r="B2101" s="1">
        <f ca="1">IFERROR(__xludf.DUMMYFUNCTION("""COMPUTED_VALUE"""),305.72)</f>
        <v>305.72000000000003</v>
      </c>
      <c r="C2101" s="1">
        <f ca="1">IFERROR(__xludf.DUMMYFUNCTION("""COMPUTED_VALUE"""),311.97)</f>
        <v>311.97000000000003</v>
      </c>
      <c r="D2101" s="1">
        <f ca="1">IFERROR(__xludf.DUMMYFUNCTION("""COMPUTED_VALUE"""),304.27)</f>
        <v>304.27</v>
      </c>
      <c r="E2101" s="1">
        <f ca="1">IFERROR(__xludf.DUMMYFUNCTION("""COMPUTED_VALUE"""),310.65)</f>
        <v>310.64999999999998</v>
      </c>
      <c r="F2101" s="1">
        <f ca="1">IFERROR(__xludf.DUMMYFUNCTION("""COMPUTED_VALUE"""),28197052)</f>
        <v>28197052</v>
      </c>
    </row>
    <row r="2102" spans="1:6" x14ac:dyDescent="0.35">
      <c r="A2102" s="2">
        <f ca="1">IFERROR(__xludf.DUMMYFUNCTION("""COMPUTED_VALUE"""),45054.6666666666)</f>
        <v>45054.666666666599</v>
      </c>
      <c r="B2102" s="1">
        <f ca="1">IFERROR(__xludf.DUMMYFUNCTION("""COMPUTED_VALUE"""),310.13)</f>
        <v>310.13</v>
      </c>
      <c r="C2102" s="1">
        <f ca="1">IFERROR(__xludf.DUMMYFUNCTION("""COMPUTED_VALUE"""),310.2)</f>
        <v>310.2</v>
      </c>
      <c r="D2102" s="1">
        <f ca="1">IFERROR(__xludf.DUMMYFUNCTION("""COMPUTED_VALUE"""),306.09)</f>
        <v>306.08999999999997</v>
      </c>
      <c r="E2102" s="1">
        <f ca="1">IFERROR(__xludf.DUMMYFUNCTION("""COMPUTED_VALUE"""),308.65)</f>
        <v>308.64999999999998</v>
      </c>
      <c r="F2102" s="1">
        <f ca="1">IFERROR(__xludf.DUMMYFUNCTION("""COMPUTED_VALUE"""),21318613)</f>
        <v>21318613</v>
      </c>
    </row>
    <row r="2103" spans="1:6" x14ac:dyDescent="0.35">
      <c r="A2103" s="2">
        <f ca="1">IFERROR(__xludf.DUMMYFUNCTION("""COMPUTED_VALUE"""),45055.6666666666)</f>
        <v>45055.666666666599</v>
      </c>
      <c r="B2103" s="1">
        <f ca="1">IFERROR(__xludf.DUMMYFUNCTION("""COMPUTED_VALUE"""),308)</f>
        <v>308</v>
      </c>
      <c r="C2103" s="1">
        <f ca="1">IFERROR(__xludf.DUMMYFUNCTION("""COMPUTED_VALUE"""),310.04)</f>
        <v>310.04000000000002</v>
      </c>
      <c r="D2103" s="1">
        <f ca="1">IFERROR(__xludf.DUMMYFUNCTION("""COMPUTED_VALUE"""),306.31)</f>
        <v>306.31</v>
      </c>
      <c r="E2103" s="1">
        <f ca="1">IFERROR(__xludf.DUMMYFUNCTION("""COMPUTED_VALUE"""),307)</f>
        <v>307</v>
      </c>
      <c r="F2103" s="1">
        <f ca="1">IFERROR(__xludf.DUMMYFUNCTION("""COMPUTED_VALUE"""),21340829)</f>
        <v>21340829</v>
      </c>
    </row>
    <row r="2104" spans="1:6" x14ac:dyDescent="0.35">
      <c r="A2104" s="2">
        <f ca="1">IFERROR(__xludf.DUMMYFUNCTION("""COMPUTED_VALUE"""),45056.6666666666)</f>
        <v>45056.666666666599</v>
      </c>
      <c r="B2104" s="1">
        <f ca="1">IFERROR(__xludf.DUMMYFUNCTION("""COMPUTED_VALUE"""),308.62)</f>
        <v>308.62</v>
      </c>
      <c r="C2104" s="1">
        <f ca="1">IFERROR(__xludf.DUMMYFUNCTION("""COMPUTED_VALUE"""),313)</f>
        <v>313</v>
      </c>
      <c r="D2104" s="1">
        <f ca="1">IFERROR(__xludf.DUMMYFUNCTION("""COMPUTED_VALUE"""),307.67)</f>
        <v>307.67</v>
      </c>
      <c r="E2104" s="1">
        <f ca="1">IFERROR(__xludf.DUMMYFUNCTION("""COMPUTED_VALUE"""),312.31)</f>
        <v>312.31</v>
      </c>
      <c r="F2104" s="1">
        <f ca="1">IFERROR(__xludf.DUMMYFUNCTION("""COMPUTED_VALUE"""),30078044)</f>
        <v>30078044</v>
      </c>
    </row>
    <row r="2105" spans="1:6" x14ac:dyDescent="0.35">
      <c r="A2105" s="2">
        <f ca="1">IFERROR(__xludf.DUMMYFUNCTION("""COMPUTED_VALUE"""),45057.6666666666)</f>
        <v>45057.666666666599</v>
      </c>
      <c r="B2105" s="1">
        <f ca="1">IFERROR(__xludf.DUMMYFUNCTION("""COMPUTED_VALUE"""),310.1)</f>
        <v>310.10000000000002</v>
      </c>
      <c r="C2105" s="1">
        <f ca="1">IFERROR(__xludf.DUMMYFUNCTION("""COMPUTED_VALUE"""),311.12)</f>
        <v>311.12</v>
      </c>
      <c r="D2105" s="1">
        <f ca="1">IFERROR(__xludf.DUMMYFUNCTION("""COMPUTED_VALUE"""),306.26)</f>
        <v>306.26</v>
      </c>
      <c r="E2105" s="1">
        <f ca="1">IFERROR(__xludf.DUMMYFUNCTION("""COMPUTED_VALUE"""),310.11)</f>
        <v>310.11</v>
      </c>
      <c r="F2105" s="1">
        <f ca="1">IFERROR(__xludf.DUMMYFUNCTION("""COMPUTED_VALUE"""),31680179)</f>
        <v>31680179</v>
      </c>
    </row>
    <row r="2106" spans="1:6" x14ac:dyDescent="0.35">
      <c r="A2106" s="2">
        <f ca="1">IFERROR(__xludf.DUMMYFUNCTION("""COMPUTED_VALUE"""),45058.6666666666)</f>
        <v>45058.666666666599</v>
      </c>
      <c r="B2106" s="1">
        <f ca="1">IFERROR(__xludf.DUMMYFUNCTION("""COMPUTED_VALUE"""),310.55)</f>
        <v>310.55</v>
      </c>
      <c r="C2106" s="1">
        <f ca="1">IFERROR(__xludf.DUMMYFUNCTION("""COMPUTED_VALUE"""),310.65)</f>
        <v>310.64999999999998</v>
      </c>
      <c r="D2106" s="1">
        <f ca="1">IFERROR(__xludf.DUMMYFUNCTION("""COMPUTED_VALUE"""),306.6)</f>
        <v>306.60000000000002</v>
      </c>
      <c r="E2106" s="1">
        <f ca="1">IFERROR(__xludf.DUMMYFUNCTION("""COMPUTED_VALUE"""),308.97)</f>
        <v>308.97000000000003</v>
      </c>
      <c r="F2106" s="1">
        <f ca="1">IFERROR(__xludf.DUMMYFUNCTION("""COMPUTED_VALUE"""),19774696)</f>
        <v>19774696</v>
      </c>
    </row>
    <row r="2107" spans="1:6" x14ac:dyDescent="0.35">
      <c r="A2107" s="2">
        <f ca="1">IFERROR(__xludf.DUMMYFUNCTION("""COMPUTED_VALUE"""),45061.6666666666)</f>
        <v>45061.666666666599</v>
      </c>
      <c r="B2107" s="1">
        <f ca="1">IFERROR(__xludf.DUMMYFUNCTION("""COMPUTED_VALUE"""),309.1)</f>
        <v>309.10000000000002</v>
      </c>
      <c r="C2107" s="1">
        <f ca="1">IFERROR(__xludf.DUMMYFUNCTION("""COMPUTED_VALUE"""),309.9)</f>
        <v>309.89999999999998</v>
      </c>
      <c r="D2107" s="1">
        <f ca="1">IFERROR(__xludf.DUMMYFUNCTION("""COMPUTED_VALUE"""),307.59)</f>
        <v>307.58999999999997</v>
      </c>
      <c r="E2107" s="1">
        <f ca="1">IFERROR(__xludf.DUMMYFUNCTION("""COMPUTED_VALUE"""),309.46)</f>
        <v>309.45999999999998</v>
      </c>
      <c r="F2107" s="1">
        <f ca="1">IFERROR(__xludf.DUMMYFUNCTION("""COMPUTED_VALUE"""),16336547)</f>
        <v>16336547</v>
      </c>
    </row>
    <row r="2108" spans="1:6" x14ac:dyDescent="0.35">
      <c r="A2108" s="2">
        <f ca="1">IFERROR(__xludf.DUMMYFUNCTION("""COMPUTED_VALUE"""),45062.6666666666)</f>
        <v>45062.666666666599</v>
      </c>
      <c r="B2108" s="1">
        <f ca="1">IFERROR(__xludf.DUMMYFUNCTION("""COMPUTED_VALUE"""),309.83)</f>
        <v>309.83</v>
      </c>
      <c r="C2108" s="1">
        <f ca="1">IFERROR(__xludf.DUMMYFUNCTION("""COMPUTED_VALUE"""),313.71)</f>
        <v>313.70999999999998</v>
      </c>
      <c r="D2108" s="1">
        <f ca="1">IFERROR(__xludf.DUMMYFUNCTION("""COMPUTED_VALUE"""),309.83)</f>
        <v>309.83</v>
      </c>
      <c r="E2108" s="1">
        <f ca="1">IFERROR(__xludf.DUMMYFUNCTION("""COMPUTED_VALUE"""),311.74)</f>
        <v>311.74</v>
      </c>
      <c r="F2108" s="1">
        <f ca="1">IFERROR(__xludf.DUMMYFUNCTION("""COMPUTED_VALUE"""),26730347)</f>
        <v>26730347</v>
      </c>
    </row>
    <row r="2109" spans="1:6" x14ac:dyDescent="0.35">
      <c r="A2109" s="2">
        <f ca="1">IFERROR(__xludf.DUMMYFUNCTION("""COMPUTED_VALUE"""),45063.6666666666)</f>
        <v>45063.666666666599</v>
      </c>
      <c r="B2109" s="1">
        <f ca="1">IFERROR(__xludf.DUMMYFUNCTION("""COMPUTED_VALUE"""),312.29)</f>
        <v>312.29000000000002</v>
      </c>
      <c r="C2109" s="1">
        <f ca="1">IFERROR(__xludf.DUMMYFUNCTION("""COMPUTED_VALUE"""),314.43)</f>
        <v>314.43</v>
      </c>
      <c r="D2109" s="1">
        <f ca="1">IFERROR(__xludf.DUMMYFUNCTION("""COMPUTED_VALUE"""),310.74)</f>
        <v>310.74</v>
      </c>
      <c r="E2109" s="1">
        <f ca="1">IFERROR(__xludf.DUMMYFUNCTION("""COMPUTED_VALUE"""),314)</f>
        <v>314</v>
      </c>
      <c r="F2109" s="1">
        <f ca="1">IFERROR(__xludf.DUMMYFUNCTION("""COMPUTED_VALUE"""),24315012)</f>
        <v>24315012</v>
      </c>
    </row>
    <row r="2110" spans="1:6" x14ac:dyDescent="0.35">
      <c r="A2110" s="2">
        <f ca="1">IFERROR(__xludf.DUMMYFUNCTION("""COMPUTED_VALUE"""),45064.6666666666)</f>
        <v>45064.666666666599</v>
      </c>
      <c r="B2110" s="1">
        <f ca="1">IFERROR(__xludf.DUMMYFUNCTION("""COMPUTED_VALUE"""),314.53)</f>
        <v>314.52999999999997</v>
      </c>
      <c r="C2110" s="1">
        <f ca="1">IFERROR(__xludf.DUMMYFUNCTION("""COMPUTED_VALUE"""),319.04)</f>
        <v>319.04000000000002</v>
      </c>
      <c r="D2110" s="1">
        <f ca="1">IFERROR(__xludf.DUMMYFUNCTION("""COMPUTED_VALUE"""),313.72)</f>
        <v>313.72000000000003</v>
      </c>
      <c r="E2110" s="1">
        <f ca="1">IFERROR(__xludf.DUMMYFUNCTION("""COMPUTED_VALUE"""),318.52)</f>
        <v>318.52</v>
      </c>
      <c r="F2110" s="1">
        <f ca="1">IFERROR(__xludf.DUMMYFUNCTION("""COMPUTED_VALUE"""),27275991)</f>
        <v>27275991</v>
      </c>
    </row>
    <row r="2111" spans="1:6" x14ac:dyDescent="0.35">
      <c r="A2111" s="2">
        <f ca="1">IFERROR(__xludf.DUMMYFUNCTION("""COMPUTED_VALUE"""),45065.6666666666)</f>
        <v>45065.666666666599</v>
      </c>
      <c r="B2111" s="1">
        <f ca="1">IFERROR(__xludf.DUMMYFUNCTION("""COMPUTED_VALUE"""),316.74)</f>
        <v>316.74</v>
      </c>
      <c r="C2111" s="1">
        <f ca="1">IFERROR(__xludf.DUMMYFUNCTION("""COMPUTED_VALUE"""),318.75)</f>
        <v>318.75</v>
      </c>
      <c r="D2111" s="1">
        <f ca="1">IFERROR(__xludf.DUMMYFUNCTION("""COMPUTED_VALUE"""),316.37)</f>
        <v>316.37</v>
      </c>
      <c r="E2111" s="1">
        <f ca="1">IFERROR(__xludf.DUMMYFUNCTION("""COMPUTED_VALUE"""),318.34)</f>
        <v>318.33999999999997</v>
      </c>
      <c r="F2111" s="1">
        <f ca="1">IFERROR(__xludf.DUMMYFUNCTION("""COMPUTED_VALUE"""),27546701)</f>
        <v>27546701</v>
      </c>
    </row>
    <row r="2112" spans="1:6" x14ac:dyDescent="0.35">
      <c r="A2112" s="2">
        <f ca="1">IFERROR(__xludf.DUMMYFUNCTION("""COMPUTED_VALUE"""),45068.6666666666)</f>
        <v>45068.666666666599</v>
      </c>
      <c r="B2112" s="1">
        <f ca="1">IFERROR(__xludf.DUMMYFUNCTION("""COMPUTED_VALUE"""),318.6)</f>
        <v>318.60000000000002</v>
      </c>
      <c r="C2112" s="1">
        <f ca="1">IFERROR(__xludf.DUMMYFUNCTION("""COMPUTED_VALUE"""),322.59)</f>
        <v>322.58999999999997</v>
      </c>
      <c r="D2112" s="1">
        <f ca="1">IFERROR(__xludf.DUMMYFUNCTION("""COMPUTED_VALUE"""),318.01)</f>
        <v>318.01</v>
      </c>
      <c r="E2112" s="1">
        <f ca="1">IFERROR(__xludf.DUMMYFUNCTION("""COMPUTED_VALUE"""),321.18)</f>
        <v>321.18</v>
      </c>
      <c r="F2112" s="1">
        <f ca="1">IFERROR(__xludf.DUMMYFUNCTION("""COMPUTED_VALUE"""),24115664)</f>
        <v>24115664</v>
      </c>
    </row>
    <row r="2113" spans="1:6" x14ac:dyDescent="0.35">
      <c r="A2113" s="2">
        <f ca="1">IFERROR(__xludf.DUMMYFUNCTION("""COMPUTED_VALUE"""),45069.6666666666)</f>
        <v>45069.666666666599</v>
      </c>
      <c r="B2113" s="1">
        <f ca="1">IFERROR(__xludf.DUMMYFUNCTION("""COMPUTED_VALUE"""),320.03)</f>
        <v>320.02999999999997</v>
      </c>
      <c r="C2113" s="1">
        <f ca="1">IFERROR(__xludf.DUMMYFUNCTION("""COMPUTED_VALUE"""),322.72)</f>
        <v>322.72000000000003</v>
      </c>
      <c r="D2113" s="1">
        <f ca="1">IFERROR(__xludf.DUMMYFUNCTION("""COMPUTED_VALUE"""),315.25)</f>
        <v>315.25</v>
      </c>
      <c r="E2113" s="1">
        <f ca="1">IFERROR(__xludf.DUMMYFUNCTION("""COMPUTED_VALUE"""),315.26)</f>
        <v>315.26</v>
      </c>
      <c r="F2113" s="1">
        <f ca="1">IFERROR(__xludf.DUMMYFUNCTION("""COMPUTED_VALUE"""),30797173)</f>
        <v>30797173</v>
      </c>
    </row>
    <row r="2114" spans="1:6" x14ac:dyDescent="0.35">
      <c r="A2114" s="2">
        <f ca="1">IFERROR(__xludf.DUMMYFUNCTION("""COMPUTED_VALUE"""),45070.6666666666)</f>
        <v>45070.666666666599</v>
      </c>
      <c r="B2114" s="1">
        <f ca="1">IFERROR(__xludf.DUMMYFUNCTION("""COMPUTED_VALUE"""),314.73)</f>
        <v>314.73</v>
      </c>
      <c r="C2114" s="1">
        <f ca="1">IFERROR(__xludf.DUMMYFUNCTION("""COMPUTED_VALUE"""),316.5)</f>
        <v>316.5</v>
      </c>
      <c r="D2114" s="1">
        <f ca="1">IFERROR(__xludf.DUMMYFUNCTION("""COMPUTED_VALUE"""),312.61)</f>
        <v>312.61</v>
      </c>
      <c r="E2114" s="1">
        <f ca="1">IFERROR(__xludf.DUMMYFUNCTION("""COMPUTED_VALUE"""),313.85)</f>
        <v>313.85000000000002</v>
      </c>
      <c r="F2114" s="1">
        <f ca="1">IFERROR(__xludf.DUMMYFUNCTION("""COMPUTED_VALUE"""),23384887)</f>
        <v>23384887</v>
      </c>
    </row>
    <row r="2115" spans="1:6" x14ac:dyDescent="0.35">
      <c r="A2115" s="2">
        <f ca="1">IFERROR(__xludf.DUMMYFUNCTION("""COMPUTED_VALUE"""),45071.6666666666)</f>
        <v>45071.666666666599</v>
      </c>
      <c r="B2115" s="1">
        <f ca="1">IFERROR(__xludf.DUMMYFUNCTION("""COMPUTED_VALUE"""),323.24)</f>
        <v>323.24</v>
      </c>
      <c r="C2115" s="1">
        <f ca="1">IFERROR(__xludf.DUMMYFUNCTION("""COMPUTED_VALUE"""),326.9)</f>
        <v>326.89999999999998</v>
      </c>
      <c r="D2115" s="1">
        <f ca="1">IFERROR(__xludf.DUMMYFUNCTION("""COMPUTED_VALUE"""),320)</f>
        <v>320</v>
      </c>
      <c r="E2115" s="1">
        <f ca="1">IFERROR(__xludf.DUMMYFUNCTION("""COMPUTED_VALUE"""),325.92)</f>
        <v>325.92</v>
      </c>
      <c r="F2115" s="1">
        <f ca="1">IFERROR(__xludf.DUMMYFUNCTION("""COMPUTED_VALUE"""),43301743)</f>
        <v>43301743</v>
      </c>
    </row>
    <row r="2116" spans="1:6" x14ac:dyDescent="0.35">
      <c r="A2116" s="2">
        <f ca="1">IFERROR(__xludf.DUMMYFUNCTION("""COMPUTED_VALUE"""),45072.6666666666)</f>
        <v>45072.666666666599</v>
      </c>
      <c r="B2116" s="1">
        <f ca="1">IFERROR(__xludf.DUMMYFUNCTION("""COMPUTED_VALUE"""),324.02)</f>
        <v>324.02</v>
      </c>
      <c r="C2116" s="1">
        <f ca="1">IFERROR(__xludf.DUMMYFUNCTION("""COMPUTED_VALUE"""),333.4)</f>
        <v>333.4</v>
      </c>
      <c r="D2116" s="1">
        <f ca="1">IFERROR(__xludf.DUMMYFUNCTION("""COMPUTED_VALUE"""),323.88)</f>
        <v>323.88</v>
      </c>
      <c r="E2116" s="1">
        <f ca="1">IFERROR(__xludf.DUMMYFUNCTION("""COMPUTED_VALUE"""),332.89)</f>
        <v>332.89</v>
      </c>
      <c r="F2116" s="1">
        <f ca="1">IFERROR(__xludf.DUMMYFUNCTION("""COMPUTED_VALUE"""),36630633)</f>
        <v>36630633</v>
      </c>
    </row>
    <row r="2117" spans="1:6" x14ac:dyDescent="0.35">
      <c r="A2117" s="2">
        <f ca="1">IFERROR(__xludf.DUMMYFUNCTION("""COMPUTED_VALUE"""),45076.6666666666)</f>
        <v>45076.666666666599</v>
      </c>
      <c r="B2117" s="1">
        <f ca="1">IFERROR(__xludf.DUMMYFUNCTION("""COMPUTED_VALUE"""),335.23)</f>
        <v>335.23</v>
      </c>
      <c r="C2117" s="1">
        <f ca="1">IFERROR(__xludf.DUMMYFUNCTION("""COMPUTED_VALUE"""),335.74)</f>
        <v>335.74</v>
      </c>
      <c r="D2117" s="1">
        <f ca="1">IFERROR(__xludf.DUMMYFUNCTION("""COMPUTED_VALUE"""),330.52)</f>
        <v>330.52</v>
      </c>
      <c r="E2117" s="1">
        <f ca="1">IFERROR(__xludf.DUMMYFUNCTION("""COMPUTED_VALUE"""),331.21)</f>
        <v>331.21</v>
      </c>
      <c r="F2117" s="1">
        <f ca="1">IFERROR(__xludf.DUMMYFUNCTION("""COMPUTED_VALUE"""),29503070)</f>
        <v>29503070</v>
      </c>
    </row>
    <row r="2118" spans="1:6" x14ac:dyDescent="0.35">
      <c r="A2118" s="2">
        <f ca="1">IFERROR(__xludf.DUMMYFUNCTION("""COMPUTED_VALUE"""),45077.6666666666)</f>
        <v>45077.666666666599</v>
      </c>
      <c r="B2118" s="1">
        <f ca="1">IFERROR(__xludf.DUMMYFUNCTION("""COMPUTED_VALUE"""),332.29)</f>
        <v>332.29</v>
      </c>
      <c r="C2118" s="1">
        <f ca="1">IFERROR(__xludf.DUMMYFUNCTION("""COMPUTED_VALUE"""),335.94)</f>
        <v>335.94</v>
      </c>
      <c r="D2118" s="1">
        <f ca="1">IFERROR(__xludf.DUMMYFUNCTION("""COMPUTED_VALUE"""),327.33)</f>
        <v>327.33</v>
      </c>
      <c r="E2118" s="1">
        <f ca="1">IFERROR(__xludf.DUMMYFUNCTION("""COMPUTED_VALUE"""),328.39)</f>
        <v>328.39</v>
      </c>
      <c r="F2118" s="1">
        <f ca="1">IFERROR(__xludf.DUMMYFUNCTION("""COMPUTED_VALUE"""),45950553)</f>
        <v>45950553</v>
      </c>
    </row>
    <row r="2119" spans="1:6" x14ac:dyDescent="0.35">
      <c r="A2119" s="2">
        <f ca="1">IFERROR(__xludf.DUMMYFUNCTION("""COMPUTED_VALUE"""),45078.6666666666)</f>
        <v>45078.666666666599</v>
      </c>
      <c r="B2119" s="1">
        <f ca="1">IFERROR(__xludf.DUMMYFUNCTION("""COMPUTED_VALUE"""),325.93)</f>
        <v>325.93</v>
      </c>
      <c r="C2119" s="1">
        <f ca="1">IFERROR(__xludf.DUMMYFUNCTION("""COMPUTED_VALUE"""),333.53)</f>
        <v>333.53</v>
      </c>
      <c r="D2119" s="1">
        <f ca="1">IFERROR(__xludf.DUMMYFUNCTION("""COMPUTED_VALUE"""),324.72)</f>
        <v>324.72000000000003</v>
      </c>
      <c r="E2119" s="1">
        <f ca="1">IFERROR(__xludf.DUMMYFUNCTION("""COMPUTED_VALUE"""),332.58)</f>
        <v>332.58</v>
      </c>
      <c r="F2119" s="1">
        <f ca="1">IFERROR(__xludf.DUMMYFUNCTION("""COMPUTED_VALUE"""),26773851)</f>
        <v>26773851</v>
      </c>
    </row>
    <row r="2120" spans="1:6" x14ac:dyDescent="0.35">
      <c r="A2120" s="2">
        <f ca="1">IFERROR(__xludf.DUMMYFUNCTION("""COMPUTED_VALUE"""),45079.6666666666)</f>
        <v>45079.666666666599</v>
      </c>
      <c r="B2120" s="1">
        <f ca="1">IFERROR(__xludf.DUMMYFUNCTION("""COMPUTED_VALUE"""),334.25)</f>
        <v>334.25</v>
      </c>
      <c r="C2120" s="1">
        <f ca="1">IFERROR(__xludf.DUMMYFUNCTION("""COMPUTED_VALUE"""),337.5)</f>
        <v>337.5</v>
      </c>
      <c r="D2120" s="1">
        <f ca="1">IFERROR(__xludf.DUMMYFUNCTION("""COMPUTED_VALUE"""),332.55)</f>
        <v>332.55</v>
      </c>
      <c r="E2120" s="1">
        <f ca="1">IFERROR(__xludf.DUMMYFUNCTION("""COMPUTED_VALUE"""),335.4)</f>
        <v>335.4</v>
      </c>
      <c r="F2120" s="1">
        <f ca="1">IFERROR(__xludf.DUMMYFUNCTION("""COMPUTED_VALUE"""),25873769)</f>
        <v>25873769</v>
      </c>
    </row>
    <row r="2121" spans="1:6" x14ac:dyDescent="0.35">
      <c r="A2121" s="2">
        <f ca="1">IFERROR(__xludf.DUMMYFUNCTION("""COMPUTED_VALUE"""),45082.6666666666)</f>
        <v>45082.666666666599</v>
      </c>
      <c r="B2121" s="1">
        <f ca="1">IFERROR(__xludf.DUMMYFUNCTION("""COMPUTED_VALUE"""),335.22)</f>
        <v>335.22</v>
      </c>
      <c r="C2121" s="1">
        <f ca="1">IFERROR(__xludf.DUMMYFUNCTION("""COMPUTED_VALUE"""),338.56)</f>
        <v>338.56</v>
      </c>
      <c r="D2121" s="1">
        <f ca="1">IFERROR(__xludf.DUMMYFUNCTION("""COMPUTED_VALUE"""),334.66)</f>
        <v>334.66</v>
      </c>
      <c r="E2121" s="1">
        <f ca="1">IFERROR(__xludf.DUMMYFUNCTION("""COMPUTED_VALUE"""),335.94)</f>
        <v>335.94</v>
      </c>
      <c r="F2121" s="1">
        <f ca="1">IFERROR(__xludf.DUMMYFUNCTION("""COMPUTED_VALUE"""),21307053)</f>
        <v>21307053</v>
      </c>
    </row>
    <row r="2122" spans="1:6" x14ac:dyDescent="0.35">
      <c r="A2122" s="2">
        <f ca="1">IFERROR(__xludf.DUMMYFUNCTION("""COMPUTED_VALUE"""),45083.6666666666)</f>
        <v>45083.666666666599</v>
      </c>
      <c r="B2122" s="1">
        <f ca="1">IFERROR(__xludf.DUMMYFUNCTION("""COMPUTED_VALUE"""),335.33)</f>
        <v>335.33</v>
      </c>
      <c r="C2122" s="1">
        <f ca="1">IFERROR(__xludf.DUMMYFUNCTION("""COMPUTED_VALUE"""),335.37)</f>
        <v>335.37</v>
      </c>
      <c r="D2122" s="1">
        <f ca="1">IFERROR(__xludf.DUMMYFUNCTION("""COMPUTED_VALUE"""),332.17)</f>
        <v>332.17</v>
      </c>
      <c r="E2122" s="1">
        <f ca="1">IFERROR(__xludf.DUMMYFUNCTION("""COMPUTED_VALUE"""),333.68)</f>
        <v>333.68</v>
      </c>
      <c r="F2122" s="1">
        <f ca="1">IFERROR(__xludf.DUMMYFUNCTION("""COMPUTED_VALUE"""),20396223)</f>
        <v>20396223</v>
      </c>
    </row>
    <row r="2123" spans="1:6" x14ac:dyDescent="0.35">
      <c r="A2123" s="2">
        <f ca="1">IFERROR(__xludf.DUMMYFUNCTION("""COMPUTED_VALUE"""),45084.6666666666)</f>
        <v>45084.666666666599</v>
      </c>
      <c r="B2123" s="1">
        <f ca="1">IFERROR(__xludf.DUMMYFUNCTION("""COMPUTED_VALUE"""),331.65)</f>
        <v>331.65</v>
      </c>
      <c r="C2123" s="1">
        <f ca="1">IFERROR(__xludf.DUMMYFUNCTION("""COMPUTED_VALUE"""),334.49)</f>
        <v>334.49</v>
      </c>
      <c r="D2123" s="1">
        <f ca="1">IFERROR(__xludf.DUMMYFUNCTION("""COMPUTED_VALUE"""),322.5)</f>
        <v>322.5</v>
      </c>
      <c r="E2123" s="1">
        <f ca="1">IFERROR(__xludf.DUMMYFUNCTION("""COMPUTED_VALUE"""),323.38)</f>
        <v>323.38</v>
      </c>
      <c r="F2123" s="1">
        <f ca="1">IFERROR(__xludf.DUMMYFUNCTION("""COMPUTED_VALUE"""),40717129)</f>
        <v>40717129</v>
      </c>
    </row>
    <row r="2124" spans="1:6" x14ac:dyDescent="0.35">
      <c r="A2124" s="2">
        <f ca="1">IFERROR(__xludf.DUMMYFUNCTION("""COMPUTED_VALUE"""),45085.6666666666)</f>
        <v>45085.666666666599</v>
      </c>
      <c r="B2124" s="1">
        <f ca="1">IFERROR(__xludf.DUMMYFUNCTION("""COMPUTED_VALUE"""),323.94)</f>
        <v>323.94</v>
      </c>
      <c r="C2124" s="1">
        <f ca="1">IFERROR(__xludf.DUMMYFUNCTION("""COMPUTED_VALUE"""),326.64)</f>
        <v>326.64</v>
      </c>
      <c r="D2124" s="1">
        <f ca="1">IFERROR(__xludf.DUMMYFUNCTION("""COMPUTED_VALUE"""),323.35)</f>
        <v>323.35000000000002</v>
      </c>
      <c r="E2124" s="1">
        <f ca="1">IFERROR(__xludf.DUMMYFUNCTION("""COMPUTED_VALUE"""),325.26)</f>
        <v>325.26</v>
      </c>
      <c r="F2124" s="1">
        <f ca="1">IFERROR(__xludf.DUMMYFUNCTION("""COMPUTED_VALUE"""),23277708)</f>
        <v>23277708</v>
      </c>
    </row>
    <row r="2125" spans="1:6" x14ac:dyDescent="0.35">
      <c r="A2125" s="2">
        <f ca="1">IFERROR(__xludf.DUMMYFUNCTION("""COMPUTED_VALUE"""),45086.6666666666)</f>
        <v>45086.666666666599</v>
      </c>
      <c r="B2125" s="1">
        <f ca="1">IFERROR(__xludf.DUMMYFUNCTION("""COMPUTED_VALUE"""),324.99)</f>
        <v>324.99</v>
      </c>
      <c r="C2125" s="1">
        <f ca="1">IFERROR(__xludf.DUMMYFUNCTION("""COMPUTED_VALUE"""),329.99)</f>
        <v>329.99</v>
      </c>
      <c r="D2125" s="1">
        <f ca="1">IFERROR(__xludf.DUMMYFUNCTION("""COMPUTED_VALUE"""),324.41)</f>
        <v>324.41000000000003</v>
      </c>
      <c r="E2125" s="1">
        <f ca="1">IFERROR(__xludf.DUMMYFUNCTION("""COMPUTED_VALUE"""),326.79)</f>
        <v>326.79000000000002</v>
      </c>
      <c r="F2125" s="1">
        <f ca="1">IFERROR(__xludf.DUMMYFUNCTION("""COMPUTED_VALUE"""),22528950)</f>
        <v>22528950</v>
      </c>
    </row>
    <row r="2126" spans="1:6" x14ac:dyDescent="0.35">
      <c r="A2126" s="2">
        <f ca="1">IFERROR(__xludf.DUMMYFUNCTION("""COMPUTED_VALUE"""),45089.6666666666)</f>
        <v>45089.666666666599</v>
      </c>
      <c r="B2126" s="1">
        <f ca="1">IFERROR(__xludf.DUMMYFUNCTION("""COMPUTED_VALUE"""),328.58)</f>
        <v>328.58</v>
      </c>
      <c r="C2126" s="1">
        <f ca="1">IFERROR(__xludf.DUMMYFUNCTION("""COMPUTED_VALUE"""),332.1)</f>
        <v>332.1</v>
      </c>
      <c r="D2126" s="1">
        <f ca="1">IFERROR(__xludf.DUMMYFUNCTION("""COMPUTED_VALUE"""),325.16)</f>
        <v>325.16000000000003</v>
      </c>
      <c r="E2126" s="1">
        <f ca="1">IFERROR(__xludf.DUMMYFUNCTION("""COMPUTED_VALUE"""),331.85)</f>
        <v>331.85</v>
      </c>
      <c r="F2126" s="1">
        <f ca="1">IFERROR(__xludf.DUMMYFUNCTION("""COMPUTED_VALUE"""),24306753)</f>
        <v>24306753</v>
      </c>
    </row>
    <row r="2127" spans="1:6" x14ac:dyDescent="0.35">
      <c r="A2127" s="2">
        <f ca="1">IFERROR(__xludf.DUMMYFUNCTION("""COMPUTED_VALUE"""),45090.6666666666)</f>
        <v>45090.666666666599</v>
      </c>
      <c r="B2127" s="1">
        <f ca="1">IFERROR(__xludf.DUMMYFUNCTION("""COMPUTED_VALUE"""),334.47)</f>
        <v>334.47</v>
      </c>
      <c r="C2127" s="1">
        <f ca="1">IFERROR(__xludf.DUMMYFUNCTION("""COMPUTED_VALUE"""),336.98)</f>
        <v>336.98</v>
      </c>
      <c r="D2127" s="1">
        <f ca="1">IFERROR(__xludf.DUMMYFUNCTION("""COMPUTED_VALUE"""),330.39)</f>
        <v>330.39</v>
      </c>
      <c r="E2127" s="1">
        <f ca="1">IFERROR(__xludf.DUMMYFUNCTION("""COMPUTED_VALUE"""),334.29)</f>
        <v>334.29</v>
      </c>
      <c r="F2127" s="1">
        <f ca="1">IFERROR(__xludf.DUMMYFUNCTION("""COMPUTED_VALUE"""),22951279)</f>
        <v>22951279</v>
      </c>
    </row>
    <row r="2128" spans="1:6" x14ac:dyDescent="0.35">
      <c r="A2128" s="2">
        <f ca="1">IFERROR(__xludf.DUMMYFUNCTION("""COMPUTED_VALUE"""),45091.6666666666)</f>
        <v>45091.666666666599</v>
      </c>
      <c r="B2128" s="1">
        <f ca="1">IFERROR(__xludf.DUMMYFUNCTION("""COMPUTED_VALUE"""),334.34)</f>
        <v>334.34</v>
      </c>
      <c r="C2128" s="1">
        <f ca="1">IFERROR(__xludf.DUMMYFUNCTION("""COMPUTED_VALUE"""),339.04)</f>
        <v>339.04</v>
      </c>
      <c r="D2128" s="1">
        <f ca="1">IFERROR(__xludf.DUMMYFUNCTION("""COMPUTED_VALUE"""),332.81)</f>
        <v>332.81</v>
      </c>
      <c r="E2128" s="1">
        <f ca="1">IFERROR(__xludf.DUMMYFUNCTION("""COMPUTED_VALUE"""),337.34)</f>
        <v>337.34</v>
      </c>
      <c r="F2128" s="1">
        <f ca="1">IFERROR(__xludf.DUMMYFUNCTION("""COMPUTED_VALUE"""),26003791)</f>
        <v>26003791</v>
      </c>
    </row>
    <row r="2129" spans="1:6" x14ac:dyDescent="0.35">
      <c r="A2129" s="2">
        <f ca="1">IFERROR(__xludf.DUMMYFUNCTION("""COMPUTED_VALUE"""),45092.6666666666)</f>
        <v>45092.666666666599</v>
      </c>
      <c r="B2129" s="1">
        <f ca="1">IFERROR(__xludf.DUMMYFUNCTION("""COMPUTED_VALUE"""),337.48)</f>
        <v>337.48</v>
      </c>
      <c r="C2129" s="1">
        <f ca="1">IFERROR(__xludf.DUMMYFUNCTION("""COMPUTED_VALUE"""),349.84)</f>
        <v>349.84</v>
      </c>
      <c r="D2129" s="1">
        <f ca="1">IFERROR(__xludf.DUMMYFUNCTION("""COMPUTED_VALUE"""),337.2)</f>
        <v>337.2</v>
      </c>
      <c r="E2129" s="1">
        <f ca="1">IFERROR(__xludf.DUMMYFUNCTION("""COMPUTED_VALUE"""),348.1)</f>
        <v>348.1</v>
      </c>
      <c r="F2129" s="1">
        <f ca="1">IFERROR(__xludf.DUMMYFUNCTION("""COMPUTED_VALUE"""),38899075)</f>
        <v>38899075</v>
      </c>
    </row>
    <row r="2130" spans="1:6" x14ac:dyDescent="0.35">
      <c r="A2130" s="2">
        <f ca="1">IFERROR(__xludf.DUMMYFUNCTION("""COMPUTED_VALUE"""),45093.6666666666)</f>
        <v>45093.666666666599</v>
      </c>
      <c r="B2130" s="1">
        <f ca="1">IFERROR(__xludf.DUMMYFUNCTION("""COMPUTED_VALUE"""),351.32)</f>
        <v>351.32</v>
      </c>
      <c r="C2130" s="1">
        <f ca="1">IFERROR(__xludf.DUMMYFUNCTION("""COMPUTED_VALUE"""),351.47)</f>
        <v>351.47</v>
      </c>
      <c r="D2130" s="1">
        <f ca="1">IFERROR(__xludf.DUMMYFUNCTION("""COMPUTED_VALUE"""),341.95)</f>
        <v>341.95</v>
      </c>
      <c r="E2130" s="1">
        <f ca="1">IFERROR(__xludf.DUMMYFUNCTION("""COMPUTED_VALUE"""),342.33)</f>
        <v>342.33</v>
      </c>
      <c r="F2130" s="1">
        <f ca="1">IFERROR(__xludf.DUMMYFUNCTION("""COMPUTED_VALUE"""),46551985)</f>
        <v>46551985</v>
      </c>
    </row>
    <row r="2131" spans="1:6" x14ac:dyDescent="0.35">
      <c r="A2131" s="2">
        <f ca="1">IFERROR(__xludf.DUMMYFUNCTION("""COMPUTED_VALUE"""),45097.6666666666)</f>
        <v>45097.666666666599</v>
      </c>
      <c r="B2131" s="1">
        <f ca="1">IFERROR(__xludf.DUMMYFUNCTION("""COMPUTED_VALUE"""),339.31)</f>
        <v>339.31</v>
      </c>
      <c r="C2131" s="1">
        <f ca="1">IFERROR(__xludf.DUMMYFUNCTION("""COMPUTED_VALUE"""),342.08)</f>
        <v>342.08</v>
      </c>
      <c r="D2131" s="1">
        <f ca="1">IFERROR(__xludf.DUMMYFUNCTION("""COMPUTED_VALUE"""),335.86)</f>
        <v>335.86</v>
      </c>
      <c r="E2131" s="1">
        <f ca="1">IFERROR(__xludf.DUMMYFUNCTION("""COMPUTED_VALUE"""),338.05)</f>
        <v>338.05</v>
      </c>
      <c r="F2131" s="1">
        <f ca="1">IFERROR(__xludf.DUMMYFUNCTION("""COMPUTED_VALUE"""),26375407)</f>
        <v>26375407</v>
      </c>
    </row>
    <row r="2132" spans="1:6" x14ac:dyDescent="0.35">
      <c r="A2132" s="2">
        <f ca="1">IFERROR(__xludf.DUMMYFUNCTION("""COMPUTED_VALUE"""),45098.6666666666)</f>
        <v>45098.666666666599</v>
      </c>
      <c r="B2132" s="1">
        <f ca="1">IFERROR(__xludf.DUMMYFUNCTION("""COMPUTED_VALUE"""),336.37)</f>
        <v>336.37</v>
      </c>
      <c r="C2132" s="1">
        <f ca="1">IFERROR(__xludf.DUMMYFUNCTION("""COMPUTED_VALUE"""),337.73)</f>
        <v>337.73</v>
      </c>
      <c r="D2132" s="1">
        <f ca="1">IFERROR(__xludf.DUMMYFUNCTION("""COMPUTED_VALUE"""),332.07)</f>
        <v>332.07</v>
      </c>
      <c r="E2132" s="1">
        <f ca="1">IFERROR(__xludf.DUMMYFUNCTION("""COMPUTED_VALUE"""),333.56)</f>
        <v>333.56</v>
      </c>
      <c r="F2132" s="1">
        <f ca="1">IFERROR(__xludf.DUMMYFUNCTION("""COMPUTED_VALUE"""),25117799)</f>
        <v>25117799</v>
      </c>
    </row>
    <row r="2133" spans="1:6" x14ac:dyDescent="0.35">
      <c r="A2133" s="2">
        <f ca="1">IFERROR(__xludf.DUMMYFUNCTION("""COMPUTED_VALUE"""),45099.6666666666)</f>
        <v>45099.666666666599</v>
      </c>
      <c r="B2133" s="1">
        <f ca="1">IFERROR(__xludf.DUMMYFUNCTION("""COMPUTED_VALUE"""),334.12)</f>
        <v>334.12</v>
      </c>
      <c r="C2133" s="1">
        <f ca="1">IFERROR(__xludf.DUMMYFUNCTION("""COMPUTED_VALUE"""),340.12)</f>
        <v>340.12</v>
      </c>
      <c r="D2133" s="1">
        <f ca="1">IFERROR(__xludf.DUMMYFUNCTION("""COMPUTED_VALUE"""),333.34)</f>
        <v>333.34</v>
      </c>
      <c r="E2133" s="1">
        <f ca="1">IFERROR(__xludf.DUMMYFUNCTION("""COMPUTED_VALUE"""),339.71)</f>
        <v>339.71</v>
      </c>
      <c r="F2133" s="1">
        <f ca="1">IFERROR(__xludf.DUMMYFUNCTION("""COMPUTED_VALUE"""),23556764)</f>
        <v>23556764</v>
      </c>
    </row>
    <row r="2134" spans="1:6" x14ac:dyDescent="0.35">
      <c r="A2134" s="2">
        <f ca="1">IFERROR(__xludf.DUMMYFUNCTION("""COMPUTED_VALUE"""),45100.6666666666)</f>
        <v>45100.666666666599</v>
      </c>
      <c r="B2134" s="1">
        <f ca="1">IFERROR(__xludf.DUMMYFUNCTION("""COMPUTED_VALUE"""),334.36)</f>
        <v>334.36</v>
      </c>
      <c r="C2134" s="1">
        <f ca="1">IFERROR(__xludf.DUMMYFUNCTION("""COMPUTED_VALUE"""),337.96)</f>
        <v>337.96</v>
      </c>
      <c r="D2134" s="1">
        <f ca="1">IFERROR(__xludf.DUMMYFUNCTION("""COMPUTED_VALUE"""),333.45)</f>
        <v>333.45</v>
      </c>
      <c r="E2134" s="1">
        <f ca="1">IFERROR(__xludf.DUMMYFUNCTION("""COMPUTED_VALUE"""),335.02)</f>
        <v>335.02</v>
      </c>
      <c r="F2134" s="1">
        <f ca="1">IFERROR(__xludf.DUMMYFUNCTION("""COMPUTED_VALUE"""),23146901)</f>
        <v>23146901</v>
      </c>
    </row>
    <row r="2135" spans="1:6" x14ac:dyDescent="0.35">
      <c r="A2135" s="2">
        <f ca="1">IFERROR(__xludf.DUMMYFUNCTION("""COMPUTED_VALUE"""),45103.6666666666)</f>
        <v>45103.666666666599</v>
      </c>
      <c r="B2135" s="1">
        <f ca="1">IFERROR(__xludf.DUMMYFUNCTION("""COMPUTED_VALUE"""),333.72)</f>
        <v>333.72</v>
      </c>
      <c r="C2135" s="1">
        <f ca="1">IFERROR(__xludf.DUMMYFUNCTION("""COMPUTED_VALUE"""),336.11)</f>
        <v>336.11</v>
      </c>
      <c r="D2135" s="1">
        <f ca="1">IFERROR(__xludf.DUMMYFUNCTION("""COMPUTED_VALUE"""),328.49)</f>
        <v>328.49</v>
      </c>
      <c r="E2135" s="1">
        <f ca="1">IFERROR(__xludf.DUMMYFUNCTION("""COMPUTED_VALUE"""),328.6)</f>
        <v>328.6</v>
      </c>
      <c r="F2135" s="1">
        <f ca="1">IFERROR(__xludf.DUMMYFUNCTION("""COMPUTED_VALUE"""),21520582)</f>
        <v>21520582</v>
      </c>
    </row>
    <row r="2136" spans="1:6" x14ac:dyDescent="0.35">
      <c r="A2136" s="2">
        <f ca="1">IFERROR(__xludf.DUMMYFUNCTION("""COMPUTED_VALUE"""),45104.6666666666)</f>
        <v>45104.666666666599</v>
      </c>
      <c r="B2136" s="1">
        <f ca="1">IFERROR(__xludf.DUMMYFUNCTION("""COMPUTED_VALUE"""),331.86)</f>
        <v>331.86</v>
      </c>
      <c r="C2136" s="1">
        <f ca="1">IFERROR(__xludf.DUMMYFUNCTION("""COMPUTED_VALUE"""),336.15)</f>
        <v>336.15</v>
      </c>
      <c r="D2136" s="1">
        <f ca="1">IFERROR(__xludf.DUMMYFUNCTION("""COMPUTED_VALUE"""),329.3)</f>
        <v>329.3</v>
      </c>
      <c r="E2136" s="1">
        <f ca="1">IFERROR(__xludf.DUMMYFUNCTION("""COMPUTED_VALUE"""),334.57)</f>
        <v>334.57</v>
      </c>
      <c r="F2136" s="1">
        <f ca="1">IFERROR(__xludf.DUMMYFUNCTION("""COMPUTED_VALUE"""),24354110)</f>
        <v>24354110</v>
      </c>
    </row>
    <row r="2137" spans="1:6" x14ac:dyDescent="0.35">
      <c r="A2137" s="2">
        <f ca="1">IFERROR(__xludf.DUMMYFUNCTION("""COMPUTED_VALUE"""),45105.6666666666)</f>
        <v>45105.666666666599</v>
      </c>
      <c r="B2137" s="1">
        <f ca="1">IFERROR(__xludf.DUMMYFUNCTION("""COMPUTED_VALUE"""),334.66)</f>
        <v>334.66</v>
      </c>
      <c r="C2137" s="1">
        <f ca="1">IFERROR(__xludf.DUMMYFUNCTION("""COMPUTED_VALUE"""),337.98)</f>
        <v>337.98</v>
      </c>
      <c r="D2137" s="1">
        <f ca="1">IFERROR(__xludf.DUMMYFUNCTION("""COMPUTED_VALUE"""),333.81)</f>
        <v>333.81</v>
      </c>
      <c r="E2137" s="1">
        <f ca="1">IFERROR(__xludf.DUMMYFUNCTION("""COMPUTED_VALUE"""),335.85)</f>
        <v>335.85</v>
      </c>
      <c r="F2137" s="1">
        <f ca="1">IFERROR(__xludf.DUMMYFUNCTION("""COMPUTED_VALUE"""),20259523)</f>
        <v>20259523</v>
      </c>
    </row>
    <row r="2138" spans="1:6" x14ac:dyDescent="0.35">
      <c r="A2138" s="2">
        <f ca="1">IFERROR(__xludf.DUMMYFUNCTION("""COMPUTED_VALUE"""),45106.6666666666)</f>
        <v>45106.666666666599</v>
      </c>
      <c r="B2138" s="1">
        <f ca="1">IFERROR(__xludf.DUMMYFUNCTION("""COMPUTED_VALUE"""),334.71)</f>
        <v>334.71</v>
      </c>
      <c r="C2138" s="1">
        <f ca="1">IFERROR(__xludf.DUMMYFUNCTION("""COMPUTED_VALUE"""),336.11)</f>
        <v>336.11</v>
      </c>
      <c r="D2138" s="1">
        <f ca="1">IFERROR(__xludf.DUMMYFUNCTION("""COMPUTED_VALUE"""),332.62)</f>
        <v>332.62</v>
      </c>
      <c r="E2138" s="1">
        <f ca="1">IFERROR(__xludf.DUMMYFUNCTION("""COMPUTED_VALUE"""),335.05)</f>
        <v>335.05</v>
      </c>
      <c r="F2138" s="1">
        <f ca="1">IFERROR(__xludf.DUMMYFUNCTION("""COMPUTED_VALUE"""),16997042)</f>
        <v>16997042</v>
      </c>
    </row>
    <row r="2139" spans="1:6" x14ac:dyDescent="0.35">
      <c r="A2139" s="2">
        <f ca="1">IFERROR(__xludf.DUMMYFUNCTION("""COMPUTED_VALUE"""),45107.6666666666)</f>
        <v>45107.666666666599</v>
      </c>
      <c r="B2139" s="1">
        <f ca="1">IFERROR(__xludf.DUMMYFUNCTION("""COMPUTED_VALUE"""),337.75)</f>
        <v>337.75</v>
      </c>
      <c r="C2139" s="1">
        <f ca="1">IFERROR(__xludf.DUMMYFUNCTION("""COMPUTED_VALUE"""),342.73)</f>
        <v>342.73</v>
      </c>
      <c r="D2139" s="1">
        <f ca="1">IFERROR(__xludf.DUMMYFUNCTION("""COMPUTED_VALUE"""),337.2)</f>
        <v>337.2</v>
      </c>
      <c r="E2139" s="1">
        <f ca="1">IFERROR(__xludf.DUMMYFUNCTION("""COMPUTED_VALUE"""),340.54)</f>
        <v>340.54</v>
      </c>
      <c r="F2139" s="1">
        <f ca="1">IFERROR(__xludf.DUMMYFUNCTION("""COMPUTED_VALUE"""),26832756)</f>
        <v>26832756</v>
      </c>
    </row>
    <row r="2140" spans="1:6" x14ac:dyDescent="0.35">
      <c r="A2140" s="2">
        <f ca="1">IFERROR(__xludf.DUMMYFUNCTION("""COMPUTED_VALUE"""),45110.5451388888)</f>
        <v>45110.545138888803</v>
      </c>
      <c r="B2140" s="1">
        <f ca="1">IFERROR(__xludf.DUMMYFUNCTION("""COMPUTED_VALUE"""),339.19)</f>
        <v>339.19</v>
      </c>
      <c r="C2140" s="1">
        <f ca="1">IFERROR(__xludf.DUMMYFUNCTION("""COMPUTED_VALUE"""),340.9)</f>
        <v>340.9</v>
      </c>
      <c r="D2140" s="1">
        <f ca="1">IFERROR(__xludf.DUMMYFUNCTION("""COMPUTED_VALUE"""),336.57)</f>
        <v>336.57</v>
      </c>
      <c r="E2140" s="1">
        <f ca="1">IFERROR(__xludf.DUMMYFUNCTION("""COMPUTED_VALUE"""),337.99)</f>
        <v>337.99</v>
      </c>
      <c r="F2140" s="1">
        <f ca="1">IFERROR(__xludf.DUMMYFUNCTION("""COMPUTED_VALUE"""),12508692)</f>
        <v>12508692</v>
      </c>
    </row>
    <row r="2141" spans="1:6" x14ac:dyDescent="0.35">
      <c r="A2141" s="2">
        <f ca="1">IFERROR(__xludf.DUMMYFUNCTION("""COMPUTED_VALUE"""),45112.6666666666)</f>
        <v>45112.666666666599</v>
      </c>
      <c r="B2141" s="1">
        <f ca="1">IFERROR(__xludf.DUMMYFUNCTION("""COMPUTED_VALUE"""),335.09)</f>
        <v>335.09</v>
      </c>
      <c r="C2141" s="1">
        <f ca="1">IFERROR(__xludf.DUMMYFUNCTION("""COMPUTED_VALUE"""),341.65)</f>
        <v>341.65</v>
      </c>
      <c r="D2141" s="1">
        <f ca="1">IFERROR(__xludf.DUMMYFUNCTION("""COMPUTED_VALUE"""),334.73)</f>
        <v>334.73</v>
      </c>
      <c r="E2141" s="1">
        <f ca="1">IFERROR(__xludf.DUMMYFUNCTION("""COMPUTED_VALUE"""),338.15)</f>
        <v>338.15</v>
      </c>
      <c r="F2141" s="1">
        <f ca="1">IFERROR(__xludf.DUMMYFUNCTION("""COMPUTED_VALUE"""),18172378)</f>
        <v>18172378</v>
      </c>
    </row>
    <row r="2142" spans="1:6" x14ac:dyDescent="0.35">
      <c r="A2142" s="2">
        <f ca="1">IFERROR(__xludf.DUMMYFUNCTION("""COMPUTED_VALUE"""),45113.6666666666)</f>
        <v>45113.666666666599</v>
      </c>
      <c r="B2142" s="1">
        <f ca="1">IFERROR(__xludf.DUMMYFUNCTION("""COMPUTED_VALUE"""),337.3)</f>
        <v>337.3</v>
      </c>
      <c r="C2142" s="1">
        <f ca="1">IFERROR(__xludf.DUMMYFUNCTION("""COMPUTED_VALUE"""),342.99)</f>
        <v>342.99</v>
      </c>
      <c r="D2142" s="1">
        <f ca="1">IFERROR(__xludf.DUMMYFUNCTION("""COMPUTED_VALUE"""),335.5)</f>
        <v>335.5</v>
      </c>
      <c r="E2142" s="1">
        <f ca="1">IFERROR(__xludf.DUMMYFUNCTION("""COMPUTED_VALUE"""),341.27)</f>
        <v>341.27</v>
      </c>
      <c r="F2142" s="1">
        <f ca="1">IFERROR(__xludf.DUMMYFUNCTION("""COMPUTED_VALUE"""),28195534)</f>
        <v>28195534</v>
      </c>
    </row>
    <row r="2143" spans="1:6" x14ac:dyDescent="0.35">
      <c r="A2143" s="2">
        <f ca="1">IFERROR(__xludf.DUMMYFUNCTION("""COMPUTED_VALUE"""),45114.6666666666)</f>
        <v>45114.666666666599</v>
      </c>
      <c r="B2143" s="1">
        <f ca="1">IFERROR(__xludf.DUMMYFUNCTION("""COMPUTED_VALUE"""),339.32)</f>
        <v>339.32</v>
      </c>
      <c r="C2143" s="1">
        <f ca="1">IFERROR(__xludf.DUMMYFUNCTION("""COMPUTED_VALUE"""),341.79)</f>
        <v>341.79</v>
      </c>
      <c r="D2143" s="1">
        <f ca="1">IFERROR(__xludf.DUMMYFUNCTION("""COMPUTED_VALUE"""),337)</f>
        <v>337</v>
      </c>
      <c r="E2143" s="1">
        <f ca="1">IFERROR(__xludf.DUMMYFUNCTION("""COMPUTED_VALUE"""),337.22)</f>
        <v>337.22</v>
      </c>
      <c r="F2143" s="1">
        <f ca="1">IFERROR(__xludf.DUMMYFUNCTION("""COMPUTED_VALUE"""),21214824)</f>
        <v>21214824</v>
      </c>
    </row>
    <row r="2144" spans="1:6" x14ac:dyDescent="0.35">
      <c r="A2144" s="2">
        <f ca="1">IFERROR(__xludf.DUMMYFUNCTION("""COMPUTED_VALUE"""),45117.6666666666)</f>
        <v>45117.666666666599</v>
      </c>
      <c r="B2144" s="1">
        <f ca="1">IFERROR(__xludf.DUMMYFUNCTION("""COMPUTED_VALUE"""),334.6)</f>
        <v>334.6</v>
      </c>
      <c r="C2144" s="1">
        <f ca="1">IFERROR(__xludf.DUMMYFUNCTION("""COMPUTED_VALUE"""),335.23)</f>
        <v>335.23</v>
      </c>
      <c r="D2144" s="1">
        <f ca="1">IFERROR(__xludf.DUMMYFUNCTION("""COMPUTED_VALUE"""),327.59)</f>
        <v>327.58999999999997</v>
      </c>
      <c r="E2144" s="1">
        <f ca="1">IFERROR(__xludf.DUMMYFUNCTION("""COMPUTED_VALUE"""),331.83)</f>
        <v>331.83</v>
      </c>
      <c r="F2144" s="1">
        <f ca="1">IFERROR(__xludf.DUMMYFUNCTION("""COMPUTED_VALUE"""),32791449)</f>
        <v>32791449</v>
      </c>
    </row>
    <row r="2145" spans="1:6" x14ac:dyDescent="0.35">
      <c r="A2145" s="2">
        <f ca="1">IFERROR(__xludf.DUMMYFUNCTION("""COMPUTED_VALUE"""),45118.6666666666)</f>
        <v>45118.666666666599</v>
      </c>
      <c r="B2145" s="1">
        <f ca="1">IFERROR(__xludf.DUMMYFUNCTION("""COMPUTED_VALUE"""),331.06)</f>
        <v>331.06</v>
      </c>
      <c r="C2145" s="1">
        <f ca="1">IFERROR(__xludf.DUMMYFUNCTION("""COMPUTED_VALUE"""),332.86)</f>
        <v>332.86</v>
      </c>
      <c r="D2145" s="1">
        <f ca="1">IFERROR(__xludf.DUMMYFUNCTION("""COMPUTED_VALUE"""),327)</f>
        <v>327</v>
      </c>
      <c r="E2145" s="1">
        <f ca="1">IFERROR(__xludf.DUMMYFUNCTION("""COMPUTED_VALUE"""),332.47)</f>
        <v>332.47</v>
      </c>
      <c r="F2145" s="1">
        <f ca="1">IFERROR(__xludf.DUMMYFUNCTION("""COMPUTED_VALUE"""),26698218)</f>
        <v>26698218</v>
      </c>
    </row>
    <row r="2146" spans="1:6" x14ac:dyDescent="0.35">
      <c r="A2146" s="2">
        <f ca="1">IFERROR(__xludf.DUMMYFUNCTION("""COMPUTED_VALUE"""),45119.6666666666)</f>
        <v>45119.666666666599</v>
      </c>
      <c r="B2146" s="1">
        <f ca="1">IFERROR(__xludf.DUMMYFUNCTION("""COMPUTED_VALUE"""),336.6)</f>
        <v>336.6</v>
      </c>
      <c r="C2146" s="1">
        <f ca="1">IFERROR(__xludf.DUMMYFUNCTION("""COMPUTED_VALUE"""),341.65)</f>
        <v>341.65</v>
      </c>
      <c r="D2146" s="1">
        <f ca="1">IFERROR(__xludf.DUMMYFUNCTION("""COMPUTED_VALUE"""),335.67)</f>
        <v>335.67</v>
      </c>
      <c r="E2146" s="1">
        <f ca="1">IFERROR(__xludf.DUMMYFUNCTION("""COMPUTED_VALUE"""),337.2)</f>
        <v>337.2</v>
      </c>
      <c r="F2146" s="1">
        <f ca="1">IFERROR(__xludf.DUMMYFUNCTION("""COMPUTED_VALUE"""),29995262)</f>
        <v>29995262</v>
      </c>
    </row>
    <row r="2147" spans="1:6" x14ac:dyDescent="0.35">
      <c r="A2147" s="2">
        <f ca="1">IFERROR(__xludf.DUMMYFUNCTION("""COMPUTED_VALUE"""),45120.6666666666)</f>
        <v>45120.666666666599</v>
      </c>
      <c r="B2147" s="1">
        <f ca="1">IFERROR(__xludf.DUMMYFUNCTION("""COMPUTED_VALUE"""),339.56)</f>
        <v>339.56</v>
      </c>
      <c r="C2147" s="1">
        <f ca="1">IFERROR(__xludf.DUMMYFUNCTION("""COMPUTED_VALUE"""),343.74)</f>
        <v>343.74</v>
      </c>
      <c r="D2147" s="1">
        <f ca="1">IFERROR(__xludf.DUMMYFUNCTION("""COMPUTED_VALUE"""),339.02)</f>
        <v>339.02</v>
      </c>
      <c r="E2147" s="1">
        <f ca="1">IFERROR(__xludf.DUMMYFUNCTION("""COMPUTED_VALUE"""),342.66)</f>
        <v>342.66</v>
      </c>
      <c r="F2147" s="1">
        <f ca="1">IFERROR(__xludf.DUMMYFUNCTION("""COMPUTED_VALUE"""),20567159)</f>
        <v>20567159</v>
      </c>
    </row>
    <row r="2148" spans="1:6" x14ac:dyDescent="0.35">
      <c r="A2148" s="2">
        <f ca="1">IFERROR(__xludf.DUMMYFUNCTION("""COMPUTED_VALUE"""),45121.6666666666)</f>
        <v>45121.666666666599</v>
      </c>
      <c r="B2148" s="1">
        <f ca="1">IFERROR(__xludf.DUMMYFUNCTION("""COMPUTED_VALUE"""),347.59)</f>
        <v>347.59</v>
      </c>
      <c r="C2148" s="1">
        <f ca="1">IFERROR(__xludf.DUMMYFUNCTION("""COMPUTED_VALUE"""),351.43)</f>
        <v>351.43</v>
      </c>
      <c r="D2148" s="1">
        <f ca="1">IFERROR(__xludf.DUMMYFUNCTION("""COMPUTED_VALUE"""),344.31)</f>
        <v>344.31</v>
      </c>
      <c r="E2148" s="1">
        <f ca="1">IFERROR(__xludf.DUMMYFUNCTION("""COMPUTED_VALUE"""),345.24)</f>
        <v>345.24</v>
      </c>
      <c r="F2148" s="1">
        <f ca="1">IFERROR(__xludf.DUMMYFUNCTION("""COMPUTED_VALUE"""),28352729)</f>
        <v>28352729</v>
      </c>
    </row>
    <row r="2149" spans="1:6" x14ac:dyDescent="0.35">
      <c r="A2149" s="2">
        <f ca="1">IFERROR(__xludf.DUMMYFUNCTION("""COMPUTED_VALUE"""),45124.6666666666)</f>
        <v>45124.666666666599</v>
      </c>
      <c r="B2149" s="1">
        <f ca="1">IFERROR(__xludf.DUMMYFUNCTION("""COMPUTED_VALUE"""),345.68)</f>
        <v>345.68</v>
      </c>
      <c r="C2149" s="1">
        <f ca="1">IFERROR(__xludf.DUMMYFUNCTION("""COMPUTED_VALUE"""),346.99)</f>
        <v>346.99</v>
      </c>
      <c r="D2149" s="1">
        <f ca="1">IFERROR(__xludf.DUMMYFUNCTION("""COMPUTED_VALUE"""),342.2)</f>
        <v>342.2</v>
      </c>
      <c r="E2149" s="1">
        <f ca="1">IFERROR(__xludf.DUMMYFUNCTION("""COMPUTED_VALUE"""),345.73)</f>
        <v>345.73</v>
      </c>
      <c r="F2149" s="1">
        <f ca="1">IFERROR(__xludf.DUMMYFUNCTION("""COMPUTED_VALUE"""),20363927)</f>
        <v>20363927</v>
      </c>
    </row>
    <row r="2150" spans="1:6" x14ac:dyDescent="0.35">
      <c r="A2150" s="2">
        <f ca="1">IFERROR(__xludf.DUMMYFUNCTION("""COMPUTED_VALUE"""),45125.6666666666)</f>
        <v>45125.666666666599</v>
      </c>
      <c r="B2150" s="1">
        <f ca="1">IFERROR(__xludf.DUMMYFUNCTION("""COMPUTED_VALUE"""),345.83)</f>
        <v>345.83</v>
      </c>
      <c r="C2150" s="1">
        <f ca="1">IFERROR(__xludf.DUMMYFUNCTION("""COMPUTED_VALUE"""),366.78)</f>
        <v>366.78</v>
      </c>
      <c r="D2150" s="1">
        <f ca="1">IFERROR(__xludf.DUMMYFUNCTION("""COMPUTED_VALUE"""),342.17)</f>
        <v>342.17</v>
      </c>
      <c r="E2150" s="1">
        <f ca="1">IFERROR(__xludf.DUMMYFUNCTION("""COMPUTED_VALUE"""),359.49)</f>
        <v>359.49</v>
      </c>
      <c r="F2150" s="1">
        <f ca="1">IFERROR(__xludf.DUMMYFUNCTION("""COMPUTED_VALUE"""),64872705)</f>
        <v>64872705</v>
      </c>
    </row>
    <row r="2151" spans="1:6" x14ac:dyDescent="0.35">
      <c r="A2151" s="2">
        <f ca="1">IFERROR(__xludf.DUMMYFUNCTION("""COMPUTED_VALUE"""),45126.6666666666)</f>
        <v>45126.666666666599</v>
      </c>
      <c r="B2151" s="1">
        <f ca="1">IFERROR(__xludf.DUMMYFUNCTION("""COMPUTED_VALUE"""),361.75)</f>
        <v>361.75</v>
      </c>
      <c r="C2151" s="1">
        <f ca="1">IFERROR(__xludf.DUMMYFUNCTION("""COMPUTED_VALUE"""),362.46)</f>
        <v>362.46</v>
      </c>
      <c r="D2151" s="1">
        <f ca="1">IFERROR(__xludf.DUMMYFUNCTION("""COMPUTED_VALUE"""),352.44)</f>
        <v>352.44</v>
      </c>
      <c r="E2151" s="1">
        <f ca="1">IFERROR(__xludf.DUMMYFUNCTION("""COMPUTED_VALUE"""),355.08)</f>
        <v>355.08</v>
      </c>
      <c r="F2151" s="1">
        <f ca="1">IFERROR(__xludf.DUMMYFUNCTION("""COMPUTED_VALUE"""),39732901)</f>
        <v>39732901</v>
      </c>
    </row>
    <row r="2152" spans="1:6" x14ac:dyDescent="0.35">
      <c r="A2152" s="2">
        <f ca="1">IFERROR(__xludf.DUMMYFUNCTION("""COMPUTED_VALUE"""),45127.6666666666)</f>
        <v>45127.666666666599</v>
      </c>
      <c r="B2152" s="1">
        <f ca="1">IFERROR(__xludf.DUMMYFUNCTION("""COMPUTED_VALUE"""),353.57)</f>
        <v>353.57</v>
      </c>
      <c r="C2152" s="1">
        <f ca="1">IFERROR(__xludf.DUMMYFUNCTION("""COMPUTED_VALUE"""),357.97)</f>
        <v>357.97</v>
      </c>
      <c r="D2152" s="1">
        <f ca="1">IFERROR(__xludf.DUMMYFUNCTION("""COMPUTED_VALUE"""),345.37)</f>
        <v>345.37</v>
      </c>
      <c r="E2152" s="1">
        <f ca="1">IFERROR(__xludf.DUMMYFUNCTION("""COMPUTED_VALUE"""),346.87)</f>
        <v>346.87</v>
      </c>
      <c r="F2152" s="1">
        <f ca="1">IFERROR(__xludf.DUMMYFUNCTION("""COMPUTED_VALUE"""),33778395)</f>
        <v>33778395</v>
      </c>
    </row>
    <row r="2153" spans="1:6" x14ac:dyDescent="0.35">
      <c r="A2153" s="2">
        <f ca="1">IFERROR(__xludf.DUMMYFUNCTION("""COMPUTED_VALUE"""),45128.6666666666)</f>
        <v>45128.666666666599</v>
      </c>
      <c r="B2153" s="1">
        <f ca="1">IFERROR(__xludf.DUMMYFUNCTION("""COMPUTED_VALUE"""),349.15)</f>
        <v>349.15</v>
      </c>
      <c r="C2153" s="1">
        <f ca="1">IFERROR(__xludf.DUMMYFUNCTION("""COMPUTED_VALUE"""),350.3)</f>
        <v>350.3</v>
      </c>
      <c r="D2153" s="1">
        <f ca="1">IFERROR(__xludf.DUMMYFUNCTION("""COMPUTED_VALUE"""),339.83)</f>
        <v>339.83</v>
      </c>
      <c r="E2153" s="1">
        <f ca="1">IFERROR(__xludf.DUMMYFUNCTION("""COMPUTED_VALUE"""),343.77)</f>
        <v>343.77</v>
      </c>
      <c r="F2153" s="1">
        <f ca="1">IFERROR(__xludf.DUMMYFUNCTION("""COMPUTED_VALUE"""),69405382)</f>
        <v>69405382</v>
      </c>
    </row>
    <row r="2154" spans="1:6" x14ac:dyDescent="0.35">
      <c r="A2154" s="2">
        <f ca="1">IFERROR(__xludf.DUMMYFUNCTION("""COMPUTED_VALUE"""),45131.6666666666)</f>
        <v>45131.666666666599</v>
      </c>
      <c r="B2154" s="1">
        <f ca="1">IFERROR(__xludf.DUMMYFUNCTION("""COMPUTED_VALUE"""),345.85)</f>
        <v>345.85</v>
      </c>
      <c r="C2154" s="1">
        <f ca="1">IFERROR(__xludf.DUMMYFUNCTION("""COMPUTED_VALUE"""),346.92)</f>
        <v>346.92</v>
      </c>
      <c r="D2154" s="1">
        <f ca="1">IFERROR(__xludf.DUMMYFUNCTION("""COMPUTED_VALUE"""),342.31)</f>
        <v>342.31</v>
      </c>
      <c r="E2154" s="1">
        <f ca="1">IFERROR(__xludf.DUMMYFUNCTION("""COMPUTED_VALUE"""),345.11)</f>
        <v>345.11</v>
      </c>
      <c r="F2154" s="1">
        <f ca="1">IFERROR(__xludf.DUMMYFUNCTION("""COMPUTED_VALUE"""),26719207)</f>
        <v>26719207</v>
      </c>
    </row>
    <row r="2155" spans="1:6" x14ac:dyDescent="0.35">
      <c r="A2155" s="2">
        <f ca="1">IFERROR(__xludf.DUMMYFUNCTION("""COMPUTED_VALUE"""),45132.6666666666)</f>
        <v>45132.666666666599</v>
      </c>
      <c r="B2155" s="1">
        <f ca="1">IFERROR(__xludf.DUMMYFUNCTION("""COMPUTED_VALUE"""),347.11)</f>
        <v>347.11</v>
      </c>
      <c r="C2155" s="1">
        <f ca="1">IFERROR(__xludf.DUMMYFUNCTION("""COMPUTED_VALUE"""),351.89)</f>
        <v>351.89</v>
      </c>
      <c r="D2155" s="1">
        <f ca="1">IFERROR(__xludf.DUMMYFUNCTION("""COMPUTED_VALUE"""),345.07)</f>
        <v>345.07</v>
      </c>
      <c r="E2155" s="1">
        <f ca="1">IFERROR(__xludf.DUMMYFUNCTION("""COMPUTED_VALUE"""),350.98)</f>
        <v>350.98</v>
      </c>
      <c r="F2155" s="1">
        <f ca="1">IFERROR(__xludf.DUMMYFUNCTION("""COMPUTED_VALUE"""),41637739)</f>
        <v>41637739</v>
      </c>
    </row>
    <row r="2156" spans="1:6" x14ac:dyDescent="0.35">
      <c r="A2156" s="2">
        <f ca="1">IFERROR(__xludf.DUMMYFUNCTION("""COMPUTED_VALUE"""),45133.6666666666)</f>
        <v>45133.666666666599</v>
      </c>
      <c r="B2156" s="1">
        <f ca="1">IFERROR(__xludf.DUMMYFUNCTION("""COMPUTED_VALUE"""),341.44)</f>
        <v>341.44</v>
      </c>
      <c r="C2156" s="1">
        <f ca="1">IFERROR(__xludf.DUMMYFUNCTION("""COMPUTED_VALUE"""),344.67)</f>
        <v>344.67</v>
      </c>
      <c r="D2156" s="1">
        <f ca="1">IFERROR(__xludf.DUMMYFUNCTION("""COMPUTED_VALUE"""),333.11)</f>
        <v>333.11</v>
      </c>
      <c r="E2156" s="1">
        <f ca="1">IFERROR(__xludf.DUMMYFUNCTION("""COMPUTED_VALUE"""),337.77)</f>
        <v>337.77</v>
      </c>
      <c r="F2156" s="1">
        <f ca="1">IFERROR(__xludf.DUMMYFUNCTION("""COMPUTED_VALUE"""),58383702)</f>
        <v>58383702</v>
      </c>
    </row>
    <row r="2157" spans="1:6" x14ac:dyDescent="0.35">
      <c r="A2157" s="2">
        <f ca="1">IFERROR(__xludf.DUMMYFUNCTION("""COMPUTED_VALUE"""),45134.6666666666)</f>
        <v>45134.666666666599</v>
      </c>
      <c r="B2157" s="1">
        <f ca="1">IFERROR(__xludf.DUMMYFUNCTION("""COMPUTED_VALUE"""),340.48)</f>
        <v>340.48</v>
      </c>
      <c r="C2157" s="1">
        <f ca="1">IFERROR(__xludf.DUMMYFUNCTION("""COMPUTED_VALUE"""),341.33)</f>
        <v>341.33</v>
      </c>
      <c r="D2157" s="1">
        <f ca="1">IFERROR(__xludf.DUMMYFUNCTION("""COMPUTED_VALUE"""),329.05)</f>
        <v>329.05</v>
      </c>
      <c r="E2157" s="1">
        <f ca="1">IFERROR(__xludf.DUMMYFUNCTION("""COMPUTED_VALUE"""),330.72)</f>
        <v>330.72</v>
      </c>
      <c r="F2157" s="1">
        <f ca="1">IFERROR(__xludf.DUMMYFUNCTION("""COMPUTED_VALUE"""),39635262)</f>
        <v>39635262</v>
      </c>
    </row>
    <row r="2158" spans="1:6" x14ac:dyDescent="0.35">
      <c r="A2158" s="2">
        <f ca="1">IFERROR(__xludf.DUMMYFUNCTION("""COMPUTED_VALUE"""),45135.6666666666)</f>
        <v>45135.666666666599</v>
      </c>
      <c r="B2158" s="1">
        <f ca="1">IFERROR(__xludf.DUMMYFUNCTION("""COMPUTED_VALUE"""),333.67)</f>
        <v>333.67</v>
      </c>
      <c r="C2158" s="1">
        <f ca="1">IFERROR(__xludf.DUMMYFUNCTION("""COMPUTED_VALUE"""),340.01)</f>
        <v>340.01</v>
      </c>
      <c r="D2158" s="1">
        <f ca="1">IFERROR(__xludf.DUMMYFUNCTION("""COMPUTED_VALUE"""),333.17)</f>
        <v>333.17</v>
      </c>
      <c r="E2158" s="1">
        <f ca="1">IFERROR(__xludf.DUMMYFUNCTION("""COMPUTED_VALUE"""),338.37)</f>
        <v>338.37</v>
      </c>
      <c r="F2158" s="1">
        <f ca="1">IFERROR(__xludf.DUMMYFUNCTION("""COMPUTED_VALUE"""),28484868)</f>
        <v>28484868</v>
      </c>
    </row>
    <row r="2159" spans="1:6" x14ac:dyDescent="0.35">
      <c r="A2159" s="2">
        <f ca="1">IFERROR(__xludf.DUMMYFUNCTION("""COMPUTED_VALUE"""),45138.6666666666)</f>
        <v>45138.666666666599</v>
      </c>
      <c r="B2159" s="1">
        <f ca="1">IFERROR(__xludf.DUMMYFUNCTION("""COMPUTED_VALUE"""),336.92)</f>
        <v>336.92</v>
      </c>
      <c r="C2159" s="1">
        <f ca="1">IFERROR(__xludf.DUMMYFUNCTION("""COMPUTED_VALUE"""),337.7)</f>
        <v>337.7</v>
      </c>
      <c r="D2159" s="1">
        <f ca="1">IFERROR(__xludf.DUMMYFUNCTION("""COMPUTED_VALUE"""),333.36)</f>
        <v>333.36</v>
      </c>
      <c r="E2159" s="1">
        <f ca="1">IFERROR(__xludf.DUMMYFUNCTION("""COMPUTED_VALUE"""),335.92)</f>
        <v>335.92</v>
      </c>
      <c r="F2159" s="1">
        <f ca="1">IFERROR(__xludf.DUMMYFUNCTION("""COMPUTED_VALUE"""),25446022)</f>
        <v>25446022</v>
      </c>
    </row>
    <row r="2160" spans="1:6" x14ac:dyDescent="0.35">
      <c r="A2160" s="2">
        <f ca="1">IFERROR(__xludf.DUMMYFUNCTION("""COMPUTED_VALUE"""),45139.6666666666)</f>
        <v>45139.666666666599</v>
      </c>
      <c r="B2160" s="1">
        <f ca="1">IFERROR(__xludf.DUMMYFUNCTION("""COMPUTED_VALUE"""),335.19)</f>
        <v>335.19</v>
      </c>
      <c r="C2160" s="1">
        <f ca="1">IFERROR(__xludf.DUMMYFUNCTION("""COMPUTED_VALUE"""),338.54)</f>
        <v>338.54</v>
      </c>
      <c r="D2160" s="1">
        <f ca="1">IFERROR(__xludf.DUMMYFUNCTION("""COMPUTED_VALUE"""),333.7)</f>
        <v>333.7</v>
      </c>
      <c r="E2160" s="1">
        <f ca="1">IFERROR(__xludf.DUMMYFUNCTION("""COMPUTED_VALUE"""),336.34)</f>
        <v>336.34</v>
      </c>
      <c r="F2160" s="1">
        <f ca="1">IFERROR(__xludf.DUMMYFUNCTION("""COMPUTED_VALUE"""),18381253)</f>
        <v>18381253</v>
      </c>
    </row>
    <row r="2161" spans="1:6" x14ac:dyDescent="0.35">
      <c r="A2161" s="2">
        <f ca="1">IFERROR(__xludf.DUMMYFUNCTION("""COMPUTED_VALUE"""),45140.6666666666)</f>
        <v>45140.666666666599</v>
      </c>
      <c r="B2161" s="1">
        <f ca="1">IFERROR(__xludf.DUMMYFUNCTION("""COMPUTED_VALUE"""),333.63)</f>
        <v>333.63</v>
      </c>
      <c r="C2161" s="1">
        <f ca="1">IFERROR(__xludf.DUMMYFUNCTION("""COMPUTED_VALUE"""),333.63)</f>
        <v>333.63</v>
      </c>
      <c r="D2161" s="1">
        <f ca="1">IFERROR(__xludf.DUMMYFUNCTION("""COMPUTED_VALUE"""),326.36)</f>
        <v>326.36</v>
      </c>
      <c r="E2161" s="1">
        <f ca="1">IFERROR(__xludf.DUMMYFUNCTION("""COMPUTED_VALUE"""),327.5)</f>
        <v>327.5</v>
      </c>
      <c r="F2161" s="1">
        <f ca="1">IFERROR(__xludf.DUMMYFUNCTION("""COMPUTED_VALUE"""),27761257)</f>
        <v>27761257</v>
      </c>
    </row>
    <row r="2162" spans="1:6" x14ac:dyDescent="0.35">
      <c r="A2162" s="2">
        <f ca="1">IFERROR(__xludf.DUMMYFUNCTION("""COMPUTED_VALUE"""),45141.6666666666)</f>
        <v>45141.666666666599</v>
      </c>
      <c r="B2162" s="1">
        <f ca="1">IFERROR(__xludf.DUMMYFUNCTION("""COMPUTED_VALUE"""),326)</f>
        <v>326</v>
      </c>
      <c r="C2162" s="1">
        <f ca="1">IFERROR(__xludf.DUMMYFUNCTION("""COMPUTED_VALUE"""),329.88)</f>
        <v>329.88</v>
      </c>
      <c r="D2162" s="1">
        <f ca="1">IFERROR(__xludf.DUMMYFUNCTION("""COMPUTED_VALUE"""),325.95)</f>
        <v>325.95</v>
      </c>
      <c r="E2162" s="1">
        <f ca="1">IFERROR(__xludf.DUMMYFUNCTION("""COMPUTED_VALUE"""),326.66)</f>
        <v>326.66000000000003</v>
      </c>
      <c r="F2162" s="1">
        <f ca="1">IFERROR(__xludf.DUMMYFUNCTION("""COMPUTED_VALUE"""),18360352)</f>
        <v>18360352</v>
      </c>
    </row>
    <row r="2163" spans="1:6" x14ac:dyDescent="0.35">
      <c r="A2163" s="2">
        <f ca="1">IFERROR(__xludf.DUMMYFUNCTION("""COMPUTED_VALUE"""),45142.6666666666)</f>
        <v>45142.666666666599</v>
      </c>
      <c r="B2163" s="1">
        <f ca="1">IFERROR(__xludf.DUMMYFUNCTION("""COMPUTED_VALUE"""),331.88)</f>
        <v>331.88</v>
      </c>
      <c r="C2163" s="1">
        <f ca="1">IFERROR(__xludf.DUMMYFUNCTION("""COMPUTED_VALUE"""),335.14)</f>
        <v>335.14</v>
      </c>
      <c r="D2163" s="1">
        <f ca="1">IFERROR(__xludf.DUMMYFUNCTION("""COMPUTED_VALUE"""),327.24)</f>
        <v>327.24</v>
      </c>
      <c r="E2163" s="1">
        <f ca="1">IFERROR(__xludf.DUMMYFUNCTION("""COMPUTED_VALUE"""),327.78)</f>
        <v>327.78</v>
      </c>
      <c r="F2163" s="1">
        <f ca="1">IFERROR(__xludf.DUMMYFUNCTION("""COMPUTED_VALUE"""),23741484)</f>
        <v>23741484</v>
      </c>
    </row>
    <row r="2164" spans="1:6" x14ac:dyDescent="0.35">
      <c r="A2164" s="2">
        <f ca="1">IFERROR(__xludf.DUMMYFUNCTION("""COMPUTED_VALUE"""),45145.6666666666)</f>
        <v>45145.666666666599</v>
      </c>
      <c r="B2164" s="1">
        <f ca="1">IFERROR(__xludf.DUMMYFUNCTION("""COMPUTED_VALUE"""),328.37)</f>
        <v>328.37</v>
      </c>
      <c r="C2164" s="1">
        <f ca="1">IFERROR(__xludf.DUMMYFUNCTION("""COMPUTED_VALUE"""),331.11)</f>
        <v>331.11</v>
      </c>
      <c r="D2164" s="1">
        <f ca="1">IFERROR(__xludf.DUMMYFUNCTION("""COMPUTED_VALUE"""),327.52)</f>
        <v>327.52</v>
      </c>
      <c r="E2164" s="1">
        <f ca="1">IFERROR(__xludf.DUMMYFUNCTION("""COMPUTED_VALUE"""),330.11)</f>
        <v>330.11</v>
      </c>
      <c r="F2164" s="1">
        <f ca="1">IFERROR(__xludf.DUMMYFUNCTION("""COMPUTED_VALUE"""),17741526)</f>
        <v>17741526</v>
      </c>
    </row>
    <row r="2165" spans="1:6" x14ac:dyDescent="0.35">
      <c r="A2165" s="2">
        <f ca="1">IFERROR(__xludf.DUMMYFUNCTION("""COMPUTED_VALUE"""),45146.6666666666)</f>
        <v>45146.666666666599</v>
      </c>
      <c r="B2165" s="1">
        <f ca="1">IFERROR(__xludf.DUMMYFUNCTION("""COMPUTED_VALUE"""),326.96)</f>
        <v>326.95999999999998</v>
      </c>
      <c r="C2165" s="1">
        <f ca="1">IFERROR(__xludf.DUMMYFUNCTION("""COMPUTED_VALUE"""),328.75)</f>
        <v>328.75</v>
      </c>
      <c r="D2165" s="1">
        <f ca="1">IFERROR(__xludf.DUMMYFUNCTION("""COMPUTED_VALUE"""),323)</f>
        <v>323</v>
      </c>
      <c r="E2165" s="1">
        <f ca="1">IFERROR(__xludf.DUMMYFUNCTION("""COMPUTED_VALUE"""),326.05)</f>
        <v>326.05</v>
      </c>
      <c r="F2165" s="1">
        <f ca="1">IFERROR(__xludf.DUMMYFUNCTION("""COMPUTED_VALUE"""),22327574)</f>
        <v>22327574</v>
      </c>
    </row>
    <row r="2166" spans="1:6" x14ac:dyDescent="0.35">
      <c r="A2166" s="2">
        <f ca="1">IFERROR(__xludf.DUMMYFUNCTION("""COMPUTED_VALUE"""),45147.6666666666)</f>
        <v>45147.666666666599</v>
      </c>
      <c r="B2166" s="1">
        <f ca="1">IFERROR(__xludf.DUMMYFUNCTION("""COMPUTED_VALUE"""),326.47)</f>
        <v>326.47000000000003</v>
      </c>
      <c r="C2166" s="1">
        <f ca="1">IFERROR(__xludf.DUMMYFUNCTION("""COMPUTED_VALUE"""),327.11)</f>
        <v>327.11</v>
      </c>
      <c r="D2166" s="1">
        <f ca="1">IFERROR(__xludf.DUMMYFUNCTION("""COMPUTED_VALUE"""),321.05)</f>
        <v>321.05</v>
      </c>
      <c r="E2166" s="1">
        <f ca="1">IFERROR(__xludf.DUMMYFUNCTION("""COMPUTED_VALUE"""),322.23)</f>
        <v>322.23</v>
      </c>
      <c r="F2166" s="1">
        <f ca="1">IFERROR(__xludf.DUMMYFUNCTION("""COMPUTED_VALUE"""),22373268)</f>
        <v>22373268</v>
      </c>
    </row>
    <row r="2167" spans="1:6" x14ac:dyDescent="0.35">
      <c r="A2167" s="2">
        <f ca="1">IFERROR(__xludf.DUMMYFUNCTION("""COMPUTED_VALUE"""),45148.6666666666)</f>
        <v>45148.666666666599</v>
      </c>
      <c r="B2167" s="1">
        <f ca="1">IFERROR(__xludf.DUMMYFUNCTION("""COMPUTED_VALUE"""),326.02)</f>
        <v>326.02</v>
      </c>
      <c r="C2167" s="1">
        <f ca="1">IFERROR(__xludf.DUMMYFUNCTION("""COMPUTED_VALUE"""),328.26)</f>
        <v>328.26</v>
      </c>
      <c r="D2167" s="1">
        <f ca="1">IFERROR(__xludf.DUMMYFUNCTION("""COMPUTED_VALUE"""),321.18)</f>
        <v>321.18</v>
      </c>
      <c r="E2167" s="1">
        <f ca="1">IFERROR(__xludf.DUMMYFUNCTION("""COMPUTED_VALUE"""),322.93)</f>
        <v>322.93</v>
      </c>
      <c r="F2167" s="1">
        <f ca="1">IFERROR(__xludf.DUMMYFUNCTION("""COMPUTED_VALUE"""),20113725)</f>
        <v>20113725</v>
      </c>
    </row>
    <row r="2168" spans="1:6" x14ac:dyDescent="0.35">
      <c r="A2168" s="2">
        <f ca="1">IFERROR(__xludf.DUMMYFUNCTION("""COMPUTED_VALUE"""),45149.6666666666)</f>
        <v>45149.666666666599</v>
      </c>
      <c r="B2168" s="1">
        <f ca="1">IFERROR(__xludf.DUMMYFUNCTION("""COMPUTED_VALUE"""),320.26)</f>
        <v>320.26</v>
      </c>
      <c r="C2168" s="1">
        <f ca="1">IFERROR(__xludf.DUMMYFUNCTION("""COMPUTED_VALUE"""),322.41)</f>
        <v>322.41000000000003</v>
      </c>
      <c r="D2168" s="1">
        <f ca="1">IFERROR(__xludf.DUMMYFUNCTION("""COMPUTED_VALUE"""),319.21)</f>
        <v>319.20999999999998</v>
      </c>
      <c r="E2168" s="1">
        <f ca="1">IFERROR(__xludf.DUMMYFUNCTION("""COMPUTED_VALUE"""),321.01)</f>
        <v>321.01</v>
      </c>
      <c r="F2168" s="1">
        <f ca="1">IFERROR(__xludf.DUMMYFUNCTION("""COMPUTED_VALUE"""),24355491)</f>
        <v>24355491</v>
      </c>
    </row>
    <row r="2169" spans="1:6" x14ac:dyDescent="0.35">
      <c r="A2169" s="2">
        <f ca="1">IFERROR(__xludf.DUMMYFUNCTION("""COMPUTED_VALUE"""),45152.6666666666)</f>
        <v>45152.666666666599</v>
      </c>
      <c r="B2169" s="1">
        <f ca="1">IFERROR(__xludf.DUMMYFUNCTION("""COMPUTED_VALUE"""),321.39)</f>
        <v>321.39</v>
      </c>
      <c r="C2169" s="1">
        <f ca="1">IFERROR(__xludf.DUMMYFUNCTION("""COMPUTED_VALUE"""),324.06)</f>
        <v>324.06</v>
      </c>
      <c r="D2169" s="1">
        <f ca="1">IFERROR(__xludf.DUMMYFUNCTION("""COMPUTED_VALUE"""),320.08)</f>
        <v>320.08</v>
      </c>
      <c r="E2169" s="1">
        <f ca="1">IFERROR(__xludf.DUMMYFUNCTION("""COMPUTED_VALUE"""),324.04)</f>
        <v>324.04000000000002</v>
      </c>
      <c r="F2169" s="1">
        <f ca="1">IFERROR(__xludf.DUMMYFUNCTION("""COMPUTED_VALUE"""),18836139)</f>
        <v>18836139</v>
      </c>
    </row>
    <row r="2170" spans="1:6" x14ac:dyDescent="0.35">
      <c r="A2170" s="2">
        <f ca="1">IFERROR(__xludf.DUMMYFUNCTION("""COMPUTED_VALUE"""),45153.6666666666)</f>
        <v>45153.666666666599</v>
      </c>
      <c r="B2170" s="1">
        <f ca="1">IFERROR(__xludf.DUMMYFUNCTION("""COMPUTED_VALUE"""),323)</f>
        <v>323</v>
      </c>
      <c r="C2170" s="1">
        <f ca="1">IFERROR(__xludf.DUMMYFUNCTION("""COMPUTED_VALUE"""),325.09)</f>
        <v>325.08999999999997</v>
      </c>
      <c r="D2170" s="1">
        <f ca="1">IFERROR(__xludf.DUMMYFUNCTION("""COMPUTED_VALUE"""),320.9)</f>
        <v>320.89999999999998</v>
      </c>
      <c r="E2170" s="1">
        <f ca="1">IFERROR(__xludf.DUMMYFUNCTION("""COMPUTED_VALUE"""),321.86)</f>
        <v>321.86</v>
      </c>
      <c r="F2170" s="1">
        <f ca="1">IFERROR(__xludf.DUMMYFUNCTION("""COMPUTED_VALUE"""),16966285)</f>
        <v>16966285</v>
      </c>
    </row>
    <row r="2171" spans="1:6" x14ac:dyDescent="0.35">
      <c r="A2171" s="2">
        <f ca="1">IFERROR(__xludf.DUMMYFUNCTION("""COMPUTED_VALUE"""),45154.6666666666)</f>
        <v>45154.666666666599</v>
      </c>
      <c r="B2171" s="1">
        <f ca="1">IFERROR(__xludf.DUMMYFUNCTION("""COMPUTED_VALUE"""),320.8)</f>
        <v>320.8</v>
      </c>
      <c r="C2171" s="1">
        <f ca="1">IFERROR(__xludf.DUMMYFUNCTION("""COMPUTED_VALUE"""),324.42)</f>
        <v>324.42</v>
      </c>
      <c r="D2171" s="1">
        <f ca="1">IFERROR(__xludf.DUMMYFUNCTION("""COMPUTED_VALUE"""),319.8)</f>
        <v>319.8</v>
      </c>
      <c r="E2171" s="1">
        <f ca="1">IFERROR(__xludf.DUMMYFUNCTION("""COMPUTED_VALUE"""),320.4)</f>
        <v>320.39999999999998</v>
      </c>
      <c r="F2171" s="1">
        <f ca="1">IFERROR(__xludf.DUMMYFUNCTION("""COMPUTED_VALUE"""),20698864)</f>
        <v>20698864</v>
      </c>
    </row>
    <row r="2172" spans="1:6" x14ac:dyDescent="0.35">
      <c r="A2172" s="2">
        <f ca="1">IFERROR(__xludf.DUMMYFUNCTION("""COMPUTED_VALUE"""),45155.6666666666)</f>
        <v>45155.666666666599</v>
      </c>
      <c r="B2172" s="1">
        <f ca="1">IFERROR(__xludf.DUMMYFUNCTION("""COMPUTED_VALUE"""),320.54)</f>
        <v>320.54000000000002</v>
      </c>
      <c r="C2172" s="1">
        <f ca="1">IFERROR(__xludf.DUMMYFUNCTION("""COMPUTED_VALUE"""),321.87)</f>
        <v>321.87</v>
      </c>
      <c r="D2172" s="1">
        <f ca="1">IFERROR(__xludf.DUMMYFUNCTION("""COMPUTED_VALUE"""),316.21)</f>
        <v>316.20999999999998</v>
      </c>
      <c r="E2172" s="1">
        <f ca="1">IFERROR(__xludf.DUMMYFUNCTION("""COMPUTED_VALUE"""),316.88)</f>
        <v>316.88</v>
      </c>
      <c r="F2172" s="1">
        <f ca="1">IFERROR(__xludf.DUMMYFUNCTION("""COMPUTED_VALUE"""),21257161)</f>
        <v>21257161</v>
      </c>
    </row>
    <row r="2173" spans="1:6" x14ac:dyDescent="0.35">
      <c r="A2173" s="2">
        <f ca="1">IFERROR(__xludf.DUMMYFUNCTION("""COMPUTED_VALUE"""),45156.6666666666)</f>
        <v>45156.666666666599</v>
      </c>
      <c r="B2173" s="1">
        <f ca="1">IFERROR(__xludf.DUMMYFUNCTION("""COMPUTED_VALUE"""),314.49)</f>
        <v>314.49</v>
      </c>
      <c r="C2173" s="1">
        <f ca="1">IFERROR(__xludf.DUMMYFUNCTION("""COMPUTED_VALUE"""),318.38)</f>
        <v>318.38</v>
      </c>
      <c r="D2173" s="1">
        <f ca="1">IFERROR(__xludf.DUMMYFUNCTION("""COMPUTED_VALUE"""),311.55)</f>
        <v>311.55</v>
      </c>
      <c r="E2173" s="1">
        <f ca="1">IFERROR(__xludf.DUMMYFUNCTION("""COMPUTED_VALUE"""),316.48)</f>
        <v>316.48</v>
      </c>
      <c r="F2173" s="1">
        <f ca="1">IFERROR(__xludf.DUMMYFUNCTION("""COMPUTED_VALUE"""),24755012)</f>
        <v>24755012</v>
      </c>
    </row>
    <row r="2174" spans="1:6" x14ac:dyDescent="0.35">
      <c r="A2174" s="2">
        <f ca="1">IFERROR(__xludf.DUMMYFUNCTION("""COMPUTED_VALUE"""),45159.6666666666)</f>
        <v>45159.666666666599</v>
      </c>
      <c r="B2174" s="1">
        <f ca="1">IFERROR(__xludf.DUMMYFUNCTION("""COMPUTED_VALUE"""),317.93)</f>
        <v>317.93</v>
      </c>
      <c r="C2174" s="1">
        <f ca="1">IFERROR(__xludf.DUMMYFUNCTION("""COMPUTED_VALUE"""),322.77)</f>
        <v>322.77</v>
      </c>
      <c r="D2174" s="1">
        <f ca="1">IFERROR(__xludf.DUMMYFUNCTION("""COMPUTED_VALUE"""),317.04)</f>
        <v>317.04000000000002</v>
      </c>
      <c r="E2174" s="1">
        <f ca="1">IFERROR(__xludf.DUMMYFUNCTION("""COMPUTED_VALUE"""),321.88)</f>
        <v>321.88</v>
      </c>
      <c r="F2174" s="1">
        <f ca="1">IFERROR(__xludf.DUMMYFUNCTION("""COMPUTED_VALUE"""),24039956)</f>
        <v>24039956</v>
      </c>
    </row>
    <row r="2175" spans="1:6" x14ac:dyDescent="0.35">
      <c r="A2175" s="2">
        <f ca="1">IFERROR(__xludf.DUMMYFUNCTION("""COMPUTED_VALUE"""),45160.6666666666)</f>
        <v>45160.666666666599</v>
      </c>
      <c r="B2175" s="1">
        <f ca="1">IFERROR(__xludf.DUMMYFUNCTION("""COMPUTED_VALUE"""),325.5)</f>
        <v>325.5</v>
      </c>
      <c r="C2175" s="1">
        <f ca="1">IFERROR(__xludf.DUMMYFUNCTION("""COMPUTED_VALUE"""),326.08)</f>
        <v>326.08</v>
      </c>
      <c r="D2175" s="1">
        <f ca="1">IFERROR(__xludf.DUMMYFUNCTION("""COMPUTED_VALUE"""),321.46)</f>
        <v>321.45999999999998</v>
      </c>
      <c r="E2175" s="1">
        <f ca="1">IFERROR(__xludf.DUMMYFUNCTION("""COMPUTED_VALUE"""),322.46)</f>
        <v>322.45999999999998</v>
      </c>
      <c r="F2175" s="1">
        <f ca="1">IFERROR(__xludf.DUMMYFUNCTION("""COMPUTED_VALUE"""),16102024)</f>
        <v>16102024</v>
      </c>
    </row>
    <row r="2176" spans="1:6" x14ac:dyDescent="0.35">
      <c r="A2176" s="2">
        <f ca="1">IFERROR(__xludf.DUMMYFUNCTION("""COMPUTED_VALUE"""),45161.6666666666)</f>
        <v>45161.666666666599</v>
      </c>
      <c r="B2176" s="1">
        <f ca="1">IFERROR(__xludf.DUMMYFUNCTION("""COMPUTED_VALUE"""),323.82)</f>
        <v>323.82</v>
      </c>
      <c r="C2176" s="1">
        <f ca="1">IFERROR(__xludf.DUMMYFUNCTION("""COMPUTED_VALUE"""),329.2)</f>
        <v>329.2</v>
      </c>
      <c r="D2176" s="1">
        <f ca="1">IFERROR(__xludf.DUMMYFUNCTION("""COMPUTED_VALUE"""),323.46)</f>
        <v>323.45999999999998</v>
      </c>
      <c r="E2176" s="1">
        <f ca="1">IFERROR(__xludf.DUMMYFUNCTION("""COMPUTED_VALUE"""),327)</f>
        <v>327</v>
      </c>
      <c r="F2176" s="1">
        <f ca="1">IFERROR(__xludf.DUMMYFUNCTION("""COMPUTED_VALUE"""),21166382)</f>
        <v>21166382</v>
      </c>
    </row>
    <row r="2177" spans="1:6" x14ac:dyDescent="0.35">
      <c r="A2177" s="2">
        <f ca="1">IFERROR(__xludf.DUMMYFUNCTION("""COMPUTED_VALUE"""),45162.6666666666)</f>
        <v>45162.666666666599</v>
      </c>
      <c r="B2177" s="1">
        <f ca="1">IFERROR(__xludf.DUMMYFUNCTION("""COMPUTED_VALUE"""),332.85)</f>
        <v>332.85</v>
      </c>
      <c r="C2177" s="1">
        <f ca="1">IFERROR(__xludf.DUMMYFUNCTION("""COMPUTED_VALUE"""),332.98)</f>
        <v>332.98</v>
      </c>
      <c r="D2177" s="1">
        <f ca="1">IFERROR(__xludf.DUMMYFUNCTION("""COMPUTED_VALUE"""),319.96)</f>
        <v>319.95999999999998</v>
      </c>
      <c r="E2177" s="1">
        <f ca="1">IFERROR(__xludf.DUMMYFUNCTION("""COMPUTED_VALUE"""),319.97)</f>
        <v>319.97000000000003</v>
      </c>
      <c r="F2177" s="1">
        <f ca="1">IFERROR(__xludf.DUMMYFUNCTION("""COMPUTED_VALUE"""),23281434)</f>
        <v>23281434</v>
      </c>
    </row>
    <row r="2178" spans="1:6" x14ac:dyDescent="0.35">
      <c r="A2178" s="2">
        <f ca="1">IFERROR(__xludf.DUMMYFUNCTION("""COMPUTED_VALUE"""),45163.6666666666)</f>
        <v>45163.666666666599</v>
      </c>
      <c r="B2178" s="1">
        <f ca="1">IFERROR(__xludf.DUMMYFUNCTION("""COMPUTED_VALUE"""),321.47)</f>
        <v>321.47000000000003</v>
      </c>
      <c r="C2178" s="1">
        <f ca="1">IFERROR(__xludf.DUMMYFUNCTION("""COMPUTED_VALUE"""),325.36)</f>
        <v>325.36</v>
      </c>
      <c r="D2178" s="1">
        <f ca="1">IFERROR(__xludf.DUMMYFUNCTION("""COMPUTED_VALUE"""),318.8)</f>
        <v>318.8</v>
      </c>
      <c r="E2178" s="1">
        <f ca="1">IFERROR(__xludf.DUMMYFUNCTION("""COMPUTED_VALUE"""),322.98)</f>
        <v>322.98</v>
      </c>
      <c r="F2178" s="1">
        <f ca="1">IFERROR(__xludf.DUMMYFUNCTION("""COMPUTED_VALUE"""),21684104)</f>
        <v>21684104</v>
      </c>
    </row>
    <row r="2179" spans="1:6" x14ac:dyDescent="0.35">
      <c r="A2179" s="2">
        <f ca="1">IFERROR(__xludf.DUMMYFUNCTION("""COMPUTED_VALUE"""),45166.6666666666)</f>
        <v>45166.666666666599</v>
      </c>
      <c r="B2179" s="1">
        <f ca="1">IFERROR(__xludf.DUMMYFUNCTION("""COMPUTED_VALUE"""),325.66)</f>
        <v>325.66000000000003</v>
      </c>
      <c r="C2179" s="1">
        <f ca="1">IFERROR(__xludf.DUMMYFUNCTION("""COMPUTED_VALUE"""),326.15)</f>
        <v>326.14999999999998</v>
      </c>
      <c r="D2179" s="1">
        <f ca="1">IFERROR(__xludf.DUMMYFUNCTION("""COMPUTED_VALUE"""),321.72)</f>
        <v>321.72000000000003</v>
      </c>
      <c r="E2179" s="1">
        <f ca="1">IFERROR(__xludf.DUMMYFUNCTION("""COMPUTED_VALUE"""),323.7)</f>
        <v>323.7</v>
      </c>
      <c r="F2179" s="1">
        <f ca="1">IFERROR(__xludf.DUMMYFUNCTION("""COMPUTED_VALUE"""),14808482)</f>
        <v>14808482</v>
      </c>
    </row>
    <row r="2180" spans="1:6" x14ac:dyDescent="0.35">
      <c r="A2180" s="2">
        <f ca="1">IFERROR(__xludf.DUMMYFUNCTION("""COMPUTED_VALUE"""),45167.6666666666)</f>
        <v>45167.666666666599</v>
      </c>
      <c r="B2180" s="1">
        <f ca="1">IFERROR(__xludf.DUMMYFUNCTION("""COMPUTED_VALUE"""),321.88)</f>
        <v>321.88</v>
      </c>
      <c r="C2180" s="1">
        <f ca="1">IFERROR(__xludf.DUMMYFUNCTION("""COMPUTED_VALUE"""),328.98)</f>
        <v>328.98</v>
      </c>
      <c r="D2180" s="1">
        <f ca="1">IFERROR(__xludf.DUMMYFUNCTION("""COMPUTED_VALUE"""),321.88)</f>
        <v>321.88</v>
      </c>
      <c r="E2180" s="1">
        <f ca="1">IFERROR(__xludf.DUMMYFUNCTION("""COMPUTED_VALUE"""),328.41)</f>
        <v>328.41</v>
      </c>
      <c r="F2180" s="1">
        <f ca="1">IFERROR(__xludf.DUMMYFUNCTION("""COMPUTED_VALUE"""),19284590)</f>
        <v>19284590</v>
      </c>
    </row>
    <row r="2181" spans="1:6" x14ac:dyDescent="0.35">
      <c r="A2181" s="2">
        <f ca="1">IFERROR(__xludf.DUMMYFUNCTION("""COMPUTED_VALUE"""),45168.6666666666)</f>
        <v>45168.666666666599</v>
      </c>
      <c r="B2181" s="1">
        <f ca="1">IFERROR(__xludf.DUMMYFUNCTION("""COMPUTED_VALUE"""),328.67)</f>
        <v>328.67</v>
      </c>
      <c r="C2181" s="1">
        <f ca="1">IFERROR(__xludf.DUMMYFUNCTION("""COMPUTED_VALUE"""),329.81)</f>
        <v>329.81</v>
      </c>
      <c r="D2181" s="1">
        <f ca="1">IFERROR(__xludf.DUMMYFUNCTION("""COMPUTED_VALUE"""),326.45)</f>
        <v>326.45</v>
      </c>
      <c r="E2181" s="1">
        <f ca="1">IFERROR(__xludf.DUMMYFUNCTION("""COMPUTED_VALUE"""),328.79)</f>
        <v>328.79</v>
      </c>
      <c r="F2181" s="1">
        <f ca="1">IFERROR(__xludf.DUMMYFUNCTION("""COMPUTED_VALUE"""),15222110)</f>
        <v>15222110</v>
      </c>
    </row>
    <row r="2182" spans="1:6" x14ac:dyDescent="0.35">
      <c r="A2182" s="2">
        <f ca="1">IFERROR(__xludf.DUMMYFUNCTION("""COMPUTED_VALUE"""),45169.6666666666)</f>
        <v>45169.666666666599</v>
      </c>
      <c r="B2182" s="1">
        <f ca="1">IFERROR(__xludf.DUMMYFUNCTION("""COMPUTED_VALUE"""),329.2)</f>
        <v>329.2</v>
      </c>
      <c r="C2182" s="1">
        <f ca="1">IFERROR(__xludf.DUMMYFUNCTION("""COMPUTED_VALUE"""),330.91)</f>
        <v>330.91</v>
      </c>
      <c r="D2182" s="1">
        <f ca="1">IFERROR(__xludf.DUMMYFUNCTION("""COMPUTED_VALUE"""),326.78)</f>
        <v>326.77999999999997</v>
      </c>
      <c r="E2182" s="1">
        <f ca="1">IFERROR(__xludf.DUMMYFUNCTION("""COMPUTED_VALUE"""),327.76)</f>
        <v>327.76</v>
      </c>
      <c r="F2182" s="1">
        <f ca="1">IFERROR(__xludf.DUMMYFUNCTION("""COMPUTED_VALUE"""),26410954)</f>
        <v>26410954</v>
      </c>
    </row>
    <row r="2183" spans="1:6" x14ac:dyDescent="0.35">
      <c r="A2183" s="2">
        <f ca="1">IFERROR(__xludf.DUMMYFUNCTION("""COMPUTED_VALUE"""),45170.6666666666)</f>
        <v>45170.666666666599</v>
      </c>
      <c r="B2183" s="1">
        <f ca="1">IFERROR(__xludf.DUMMYFUNCTION("""COMPUTED_VALUE"""),331.31)</f>
        <v>331.31</v>
      </c>
      <c r="C2183" s="1">
        <f ca="1">IFERROR(__xludf.DUMMYFUNCTION("""COMPUTED_VALUE"""),331.99)</f>
        <v>331.99</v>
      </c>
      <c r="D2183" s="1">
        <f ca="1">IFERROR(__xludf.DUMMYFUNCTION("""COMPUTED_VALUE"""),326.78)</f>
        <v>326.77999999999997</v>
      </c>
      <c r="E2183" s="1">
        <f ca="1">IFERROR(__xludf.DUMMYFUNCTION("""COMPUTED_VALUE"""),328.66)</f>
        <v>328.66</v>
      </c>
      <c r="F2183" s="1">
        <f ca="1">IFERROR(__xludf.DUMMYFUNCTION("""COMPUTED_VALUE"""),14942024)</f>
        <v>14942024</v>
      </c>
    </row>
    <row r="2184" spans="1:6" x14ac:dyDescent="0.35">
      <c r="A2184" s="2">
        <f ca="1">IFERROR(__xludf.DUMMYFUNCTION("""COMPUTED_VALUE"""),45174.6666666666)</f>
        <v>45174.666666666599</v>
      </c>
      <c r="B2184" s="1">
        <f ca="1">IFERROR(__xludf.DUMMYFUNCTION("""COMPUTED_VALUE"""),329)</f>
        <v>329</v>
      </c>
      <c r="C2184" s="1">
        <f ca="1">IFERROR(__xludf.DUMMYFUNCTION("""COMPUTED_VALUE"""),334.85)</f>
        <v>334.85</v>
      </c>
      <c r="D2184" s="1">
        <f ca="1">IFERROR(__xludf.DUMMYFUNCTION("""COMPUTED_VALUE"""),328.66)</f>
        <v>328.66</v>
      </c>
      <c r="E2184" s="1">
        <f ca="1">IFERROR(__xludf.DUMMYFUNCTION("""COMPUTED_VALUE"""),333.55)</f>
        <v>333.55</v>
      </c>
      <c r="F2184" s="1">
        <f ca="1">IFERROR(__xludf.DUMMYFUNCTION("""COMPUTED_VALUE"""),18553859)</f>
        <v>18553859</v>
      </c>
    </row>
    <row r="2185" spans="1:6" x14ac:dyDescent="0.35">
      <c r="A2185" s="2">
        <f ca="1">IFERROR(__xludf.DUMMYFUNCTION("""COMPUTED_VALUE"""),45175.6666666666)</f>
        <v>45175.666666666599</v>
      </c>
      <c r="B2185" s="1">
        <f ca="1">IFERROR(__xludf.DUMMYFUNCTION("""COMPUTED_VALUE"""),333.38)</f>
        <v>333.38</v>
      </c>
      <c r="C2185" s="1">
        <f ca="1">IFERROR(__xludf.DUMMYFUNCTION("""COMPUTED_VALUE"""),334.46)</f>
        <v>334.46</v>
      </c>
      <c r="D2185" s="1">
        <f ca="1">IFERROR(__xludf.DUMMYFUNCTION("""COMPUTED_VALUE"""),330.18)</f>
        <v>330.18</v>
      </c>
      <c r="E2185" s="1">
        <f ca="1">IFERROR(__xludf.DUMMYFUNCTION("""COMPUTED_VALUE"""),332.88)</f>
        <v>332.88</v>
      </c>
      <c r="F2185" s="1">
        <f ca="1">IFERROR(__xludf.DUMMYFUNCTION("""COMPUTED_VALUE"""),17535773)</f>
        <v>17535773</v>
      </c>
    </row>
    <row r="2186" spans="1:6" x14ac:dyDescent="0.35">
      <c r="A2186" s="2">
        <f ca="1">IFERROR(__xludf.DUMMYFUNCTION("""COMPUTED_VALUE"""),45176.6666666666)</f>
        <v>45176.666666666599</v>
      </c>
      <c r="B2186" s="1">
        <f ca="1">IFERROR(__xludf.DUMMYFUNCTION("""COMPUTED_VALUE"""),331.29)</f>
        <v>331.29</v>
      </c>
      <c r="C2186" s="1">
        <f ca="1">IFERROR(__xludf.DUMMYFUNCTION("""COMPUTED_VALUE"""),333.08)</f>
        <v>333.08</v>
      </c>
      <c r="D2186" s="1">
        <f ca="1">IFERROR(__xludf.DUMMYFUNCTION("""COMPUTED_VALUE"""),329.03)</f>
        <v>329.03</v>
      </c>
      <c r="E2186" s="1">
        <f ca="1">IFERROR(__xludf.DUMMYFUNCTION("""COMPUTED_VALUE"""),329.91)</f>
        <v>329.91</v>
      </c>
      <c r="F2186" s="1">
        <f ca="1">IFERROR(__xludf.DUMMYFUNCTION("""COMPUTED_VALUE"""),18380995)</f>
        <v>18380995</v>
      </c>
    </row>
    <row r="2187" spans="1:6" x14ac:dyDescent="0.35">
      <c r="A2187" s="2">
        <f ca="1">IFERROR(__xludf.DUMMYFUNCTION("""COMPUTED_VALUE"""),45177.6666666666)</f>
        <v>45177.666666666599</v>
      </c>
      <c r="B2187" s="1">
        <f ca="1">IFERROR(__xludf.DUMMYFUNCTION("""COMPUTED_VALUE"""),330.09)</f>
        <v>330.09</v>
      </c>
      <c r="C2187" s="1">
        <f ca="1">IFERROR(__xludf.DUMMYFUNCTION("""COMPUTED_VALUE"""),336.16)</f>
        <v>336.16</v>
      </c>
      <c r="D2187" s="1">
        <f ca="1">IFERROR(__xludf.DUMMYFUNCTION("""COMPUTED_VALUE"""),329.46)</f>
        <v>329.46</v>
      </c>
      <c r="E2187" s="1">
        <f ca="1">IFERROR(__xludf.DUMMYFUNCTION("""COMPUTED_VALUE"""),334.27)</f>
        <v>334.27</v>
      </c>
      <c r="F2187" s="1">
        <f ca="1">IFERROR(__xludf.DUMMYFUNCTION("""COMPUTED_VALUE"""),19548165)</f>
        <v>19548165</v>
      </c>
    </row>
    <row r="2188" spans="1:6" x14ac:dyDescent="0.35">
      <c r="A2188" s="2">
        <f ca="1">IFERROR(__xludf.DUMMYFUNCTION("""COMPUTED_VALUE"""),45180.6666666666)</f>
        <v>45180.666666666599</v>
      </c>
      <c r="B2188" s="1">
        <f ca="1">IFERROR(__xludf.DUMMYFUNCTION("""COMPUTED_VALUE"""),337.24)</f>
        <v>337.24</v>
      </c>
      <c r="C2188" s="1">
        <f ca="1">IFERROR(__xludf.DUMMYFUNCTION("""COMPUTED_VALUE"""),338.42)</f>
        <v>338.42</v>
      </c>
      <c r="D2188" s="1">
        <f ca="1">IFERROR(__xludf.DUMMYFUNCTION("""COMPUTED_VALUE"""),335.43)</f>
        <v>335.43</v>
      </c>
      <c r="E2188" s="1">
        <f ca="1">IFERROR(__xludf.DUMMYFUNCTION("""COMPUTED_VALUE"""),337.94)</f>
        <v>337.94</v>
      </c>
      <c r="F2188" s="1">
        <f ca="1">IFERROR(__xludf.DUMMYFUNCTION("""COMPUTED_VALUE"""),16583324)</f>
        <v>16583324</v>
      </c>
    </row>
    <row r="2189" spans="1:6" x14ac:dyDescent="0.35">
      <c r="A2189" s="2">
        <f ca="1">IFERROR(__xludf.DUMMYFUNCTION("""COMPUTED_VALUE"""),45181.6666666666)</f>
        <v>45181.666666666599</v>
      </c>
      <c r="B2189" s="1">
        <f ca="1">IFERROR(__xludf.DUMMYFUNCTION("""COMPUTED_VALUE"""),335.82)</f>
        <v>335.82</v>
      </c>
      <c r="C2189" s="1">
        <f ca="1">IFERROR(__xludf.DUMMYFUNCTION("""COMPUTED_VALUE"""),336.79)</f>
        <v>336.79</v>
      </c>
      <c r="D2189" s="1">
        <f ca="1">IFERROR(__xludf.DUMMYFUNCTION("""COMPUTED_VALUE"""),331.48)</f>
        <v>331.48</v>
      </c>
      <c r="E2189" s="1">
        <f ca="1">IFERROR(__xludf.DUMMYFUNCTION("""COMPUTED_VALUE"""),331.77)</f>
        <v>331.77</v>
      </c>
      <c r="F2189" s="1">
        <f ca="1">IFERROR(__xludf.DUMMYFUNCTION("""COMPUTED_VALUE"""),17565482)</f>
        <v>17565482</v>
      </c>
    </row>
    <row r="2190" spans="1:6" x14ac:dyDescent="0.35">
      <c r="A2190" s="2">
        <f ca="1">IFERROR(__xludf.DUMMYFUNCTION("""COMPUTED_VALUE"""),45182.6666666666)</f>
        <v>45182.666666666599</v>
      </c>
      <c r="B2190" s="1">
        <f ca="1">IFERROR(__xludf.DUMMYFUNCTION("""COMPUTED_VALUE"""),331.31)</f>
        <v>331.31</v>
      </c>
      <c r="C2190" s="1">
        <f ca="1">IFERROR(__xludf.DUMMYFUNCTION("""COMPUTED_VALUE"""),336.85)</f>
        <v>336.85</v>
      </c>
      <c r="D2190" s="1">
        <f ca="1">IFERROR(__xludf.DUMMYFUNCTION("""COMPUTED_VALUE"""),331.17)</f>
        <v>331.17</v>
      </c>
      <c r="E2190" s="1">
        <f ca="1">IFERROR(__xludf.DUMMYFUNCTION("""COMPUTED_VALUE"""),336.06)</f>
        <v>336.06</v>
      </c>
      <c r="F2190" s="1">
        <f ca="1">IFERROR(__xludf.DUMMYFUNCTION("""COMPUTED_VALUE"""),16544412)</f>
        <v>16544412</v>
      </c>
    </row>
    <row r="2191" spans="1:6" x14ac:dyDescent="0.35">
      <c r="A2191" s="2">
        <f ca="1">IFERROR(__xludf.DUMMYFUNCTION("""COMPUTED_VALUE"""),45183.6666666666)</f>
        <v>45183.666666666599</v>
      </c>
      <c r="B2191" s="1">
        <f ca="1">IFERROR(__xludf.DUMMYFUNCTION("""COMPUTED_VALUE"""),339.15)</f>
        <v>339.15</v>
      </c>
      <c r="C2191" s="1">
        <f ca="1">IFERROR(__xludf.DUMMYFUNCTION("""COMPUTED_VALUE"""),340.86)</f>
        <v>340.86</v>
      </c>
      <c r="D2191" s="1">
        <f ca="1">IFERROR(__xludf.DUMMYFUNCTION("""COMPUTED_VALUE"""),336.57)</f>
        <v>336.57</v>
      </c>
      <c r="E2191" s="1">
        <f ca="1">IFERROR(__xludf.DUMMYFUNCTION("""COMPUTED_VALUE"""),338.7)</f>
        <v>338.7</v>
      </c>
      <c r="F2191" s="1">
        <f ca="1">IFERROR(__xludf.DUMMYFUNCTION("""COMPUTED_VALUE"""),20267048)</f>
        <v>20267048</v>
      </c>
    </row>
    <row r="2192" spans="1:6" x14ac:dyDescent="0.35">
      <c r="A2192" s="2">
        <f ca="1">IFERROR(__xludf.DUMMYFUNCTION("""COMPUTED_VALUE"""),45184.6666666666)</f>
        <v>45184.666666666599</v>
      </c>
      <c r="B2192" s="1">
        <f ca="1">IFERROR(__xludf.DUMMYFUNCTION("""COMPUTED_VALUE"""),336.92)</f>
        <v>336.92</v>
      </c>
      <c r="C2192" s="1">
        <f ca="1">IFERROR(__xludf.DUMMYFUNCTION("""COMPUTED_VALUE"""),337.4)</f>
        <v>337.4</v>
      </c>
      <c r="D2192" s="1">
        <f ca="1">IFERROR(__xludf.DUMMYFUNCTION("""COMPUTED_VALUE"""),329.65)</f>
        <v>329.65</v>
      </c>
      <c r="E2192" s="1">
        <f ca="1">IFERROR(__xludf.DUMMYFUNCTION("""COMPUTED_VALUE"""),330.22)</f>
        <v>330.22</v>
      </c>
      <c r="F2192" s="1">
        <f ca="1">IFERROR(__xludf.DUMMYFUNCTION("""COMPUTED_VALUE"""),37679792)</f>
        <v>37679792</v>
      </c>
    </row>
    <row r="2193" spans="1:6" x14ac:dyDescent="0.35">
      <c r="A2193" s="2">
        <f ca="1">IFERROR(__xludf.DUMMYFUNCTION("""COMPUTED_VALUE"""),45187.6666666666)</f>
        <v>45187.666666666599</v>
      </c>
      <c r="B2193" s="1">
        <f ca="1">IFERROR(__xludf.DUMMYFUNCTION("""COMPUTED_VALUE"""),327.8)</f>
        <v>327.8</v>
      </c>
      <c r="C2193" s="1">
        <f ca="1">IFERROR(__xludf.DUMMYFUNCTION("""COMPUTED_VALUE"""),330.4)</f>
        <v>330.4</v>
      </c>
      <c r="D2193" s="1">
        <f ca="1">IFERROR(__xludf.DUMMYFUNCTION("""COMPUTED_VALUE"""),326.36)</f>
        <v>326.36</v>
      </c>
      <c r="E2193" s="1">
        <f ca="1">IFERROR(__xludf.DUMMYFUNCTION("""COMPUTED_VALUE"""),329.06)</f>
        <v>329.06</v>
      </c>
      <c r="F2193" s="1">
        <f ca="1">IFERROR(__xludf.DUMMYFUNCTION("""COMPUTED_VALUE"""),16834208)</f>
        <v>16834208</v>
      </c>
    </row>
    <row r="2194" spans="1:6" x14ac:dyDescent="0.35">
      <c r="A2194" s="2">
        <f ca="1">IFERROR(__xludf.DUMMYFUNCTION("""COMPUTED_VALUE"""),45188.6666666666)</f>
        <v>45188.666666666599</v>
      </c>
      <c r="B2194" s="1">
        <f ca="1">IFERROR(__xludf.DUMMYFUNCTION("""COMPUTED_VALUE"""),326.17)</f>
        <v>326.17</v>
      </c>
      <c r="C2194" s="1">
        <f ca="1">IFERROR(__xludf.DUMMYFUNCTION("""COMPUTED_VALUE"""),329.39)</f>
        <v>329.39</v>
      </c>
      <c r="D2194" s="1">
        <f ca="1">IFERROR(__xludf.DUMMYFUNCTION("""COMPUTED_VALUE"""),324.51)</f>
        <v>324.51</v>
      </c>
      <c r="E2194" s="1">
        <f ca="1">IFERROR(__xludf.DUMMYFUNCTION("""COMPUTED_VALUE"""),328.65)</f>
        <v>328.65</v>
      </c>
      <c r="F2194" s="1">
        <f ca="1">IFERROR(__xludf.DUMMYFUNCTION("""COMPUTED_VALUE"""),16514487)</f>
        <v>16514487</v>
      </c>
    </row>
    <row r="2195" spans="1:6" x14ac:dyDescent="0.35">
      <c r="A2195" s="2">
        <f ca="1">IFERROR(__xludf.DUMMYFUNCTION("""COMPUTED_VALUE"""),45189.6666666666)</f>
        <v>45189.666666666599</v>
      </c>
      <c r="B2195" s="1">
        <f ca="1">IFERROR(__xludf.DUMMYFUNCTION("""COMPUTED_VALUE"""),329.51)</f>
        <v>329.51</v>
      </c>
      <c r="C2195" s="1">
        <f ca="1">IFERROR(__xludf.DUMMYFUNCTION("""COMPUTED_VALUE"""),329.59)</f>
        <v>329.59</v>
      </c>
      <c r="D2195" s="1">
        <f ca="1">IFERROR(__xludf.DUMMYFUNCTION("""COMPUTED_VALUE"""),320.51)</f>
        <v>320.51</v>
      </c>
      <c r="E2195" s="1">
        <f ca="1">IFERROR(__xludf.DUMMYFUNCTION("""COMPUTED_VALUE"""),320.77)</f>
        <v>320.77</v>
      </c>
      <c r="F2195" s="1">
        <f ca="1">IFERROR(__xludf.DUMMYFUNCTION("""COMPUTED_VALUE"""),21436525)</f>
        <v>21436525</v>
      </c>
    </row>
    <row r="2196" spans="1:6" x14ac:dyDescent="0.35">
      <c r="A2196" s="2">
        <f ca="1">IFERROR(__xludf.DUMMYFUNCTION("""COMPUTED_VALUE"""),45190.6666666666)</f>
        <v>45190.666666666599</v>
      </c>
      <c r="B2196" s="1">
        <f ca="1">IFERROR(__xludf.DUMMYFUNCTION("""COMPUTED_VALUE"""),319.26)</f>
        <v>319.26</v>
      </c>
      <c r="C2196" s="1">
        <f ca="1">IFERROR(__xludf.DUMMYFUNCTION("""COMPUTED_VALUE"""),325.35)</f>
        <v>325.35000000000002</v>
      </c>
      <c r="D2196" s="1">
        <f ca="1">IFERROR(__xludf.DUMMYFUNCTION("""COMPUTED_VALUE"""),315)</f>
        <v>315</v>
      </c>
      <c r="E2196" s="1">
        <f ca="1">IFERROR(__xludf.DUMMYFUNCTION("""COMPUTED_VALUE"""),319.53)</f>
        <v>319.52999999999997</v>
      </c>
      <c r="F2196" s="1">
        <f ca="1">IFERROR(__xludf.DUMMYFUNCTION("""COMPUTED_VALUE"""),35560362)</f>
        <v>35560362</v>
      </c>
    </row>
    <row r="2197" spans="1:6" x14ac:dyDescent="0.35">
      <c r="A2197" s="2">
        <f ca="1">IFERROR(__xludf.DUMMYFUNCTION("""COMPUTED_VALUE"""),45191.6666666666)</f>
        <v>45191.666666666599</v>
      </c>
      <c r="B2197" s="1">
        <f ca="1">IFERROR(__xludf.DUMMYFUNCTION("""COMPUTED_VALUE"""),321.32)</f>
        <v>321.32</v>
      </c>
      <c r="C2197" s="1">
        <f ca="1">IFERROR(__xludf.DUMMYFUNCTION("""COMPUTED_VALUE"""),321.45)</f>
        <v>321.45</v>
      </c>
      <c r="D2197" s="1">
        <f ca="1">IFERROR(__xludf.DUMMYFUNCTION("""COMPUTED_VALUE"""),316.15)</f>
        <v>316.14999999999998</v>
      </c>
      <c r="E2197" s="1">
        <f ca="1">IFERROR(__xludf.DUMMYFUNCTION("""COMPUTED_VALUE"""),317.01)</f>
        <v>317.01</v>
      </c>
      <c r="F2197" s="1">
        <f ca="1">IFERROR(__xludf.DUMMYFUNCTION("""COMPUTED_VALUE"""),21447887)</f>
        <v>21447887</v>
      </c>
    </row>
    <row r="2198" spans="1:6" x14ac:dyDescent="0.35">
      <c r="A2198" s="2">
        <f ca="1">IFERROR(__xludf.DUMMYFUNCTION("""COMPUTED_VALUE"""),45194.6666666666)</f>
        <v>45194.666666666599</v>
      </c>
      <c r="B2198" s="1">
        <f ca="1">IFERROR(__xludf.DUMMYFUNCTION("""COMPUTED_VALUE"""),316.59)</f>
        <v>316.58999999999997</v>
      </c>
      <c r="C2198" s="1">
        <f ca="1">IFERROR(__xludf.DUMMYFUNCTION("""COMPUTED_VALUE"""),317.67)</f>
        <v>317.67</v>
      </c>
      <c r="D2198" s="1">
        <f ca="1">IFERROR(__xludf.DUMMYFUNCTION("""COMPUTED_VALUE"""),315)</f>
        <v>315</v>
      </c>
      <c r="E2198" s="1">
        <f ca="1">IFERROR(__xludf.DUMMYFUNCTION("""COMPUTED_VALUE"""),317.54)</f>
        <v>317.54000000000002</v>
      </c>
      <c r="F2198" s="1">
        <f ca="1">IFERROR(__xludf.DUMMYFUNCTION("""COMPUTED_VALUE"""),17835964)</f>
        <v>17835964</v>
      </c>
    </row>
    <row r="2199" spans="1:6" x14ac:dyDescent="0.35">
      <c r="A2199" s="2">
        <f ca="1">IFERROR(__xludf.DUMMYFUNCTION("""COMPUTED_VALUE"""),45195.6666666666)</f>
        <v>45195.666666666599</v>
      </c>
      <c r="B2199" s="1">
        <f ca="1">IFERROR(__xludf.DUMMYFUNCTION("""COMPUTED_VALUE"""),315.13)</f>
        <v>315.13</v>
      </c>
      <c r="C2199" s="1">
        <f ca="1">IFERROR(__xludf.DUMMYFUNCTION("""COMPUTED_VALUE"""),315.88)</f>
        <v>315.88</v>
      </c>
      <c r="D2199" s="1">
        <f ca="1">IFERROR(__xludf.DUMMYFUNCTION("""COMPUTED_VALUE"""),310.02)</f>
        <v>310.02</v>
      </c>
      <c r="E2199" s="1">
        <f ca="1">IFERROR(__xludf.DUMMYFUNCTION("""COMPUTED_VALUE"""),312.14)</f>
        <v>312.14</v>
      </c>
      <c r="F2199" s="1">
        <f ca="1">IFERROR(__xludf.DUMMYFUNCTION("""COMPUTED_VALUE"""),26297573)</f>
        <v>26297573</v>
      </c>
    </row>
    <row r="2200" spans="1:6" x14ac:dyDescent="0.35">
      <c r="A2200" s="2">
        <f ca="1">IFERROR(__xludf.DUMMYFUNCTION("""COMPUTED_VALUE"""),45196.6666666666)</f>
        <v>45196.666666666599</v>
      </c>
      <c r="B2200" s="1">
        <f ca="1">IFERROR(__xludf.DUMMYFUNCTION("""COMPUTED_VALUE"""),312.3)</f>
        <v>312.3</v>
      </c>
      <c r="C2200" s="1">
        <f ca="1">IFERROR(__xludf.DUMMYFUNCTION("""COMPUTED_VALUE"""),314.3)</f>
        <v>314.3</v>
      </c>
      <c r="D2200" s="1">
        <f ca="1">IFERROR(__xludf.DUMMYFUNCTION("""COMPUTED_VALUE"""),309.69)</f>
        <v>309.69</v>
      </c>
      <c r="E2200" s="1">
        <f ca="1">IFERROR(__xludf.DUMMYFUNCTION("""COMPUTED_VALUE"""),312.79)</f>
        <v>312.79000000000002</v>
      </c>
      <c r="F2200" s="1">
        <f ca="1">IFERROR(__xludf.DUMMYFUNCTION("""COMPUTED_VALUE"""),19410082)</f>
        <v>19410082</v>
      </c>
    </row>
    <row r="2201" spans="1:6" x14ac:dyDescent="0.35">
      <c r="A2201" s="2">
        <f ca="1">IFERROR(__xludf.DUMMYFUNCTION("""COMPUTED_VALUE"""),45197.6666666666)</f>
        <v>45197.666666666599</v>
      </c>
      <c r="B2201" s="1">
        <f ca="1">IFERROR(__xludf.DUMMYFUNCTION("""COMPUTED_VALUE"""),310.99)</f>
        <v>310.99</v>
      </c>
      <c r="C2201" s="1">
        <f ca="1">IFERROR(__xludf.DUMMYFUNCTION("""COMPUTED_VALUE"""),315.48)</f>
        <v>315.48</v>
      </c>
      <c r="D2201" s="1">
        <f ca="1">IFERROR(__xludf.DUMMYFUNCTION("""COMPUTED_VALUE"""),309.45)</f>
        <v>309.45</v>
      </c>
      <c r="E2201" s="1">
        <f ca="1">IFERROR(__xludf.DUMMYFUNCTION("""COMPUTED_VALUE"""),313.64)</f>
        <v>313.64</v>
      </c>
      <c r="F2201" s="1">
        <f ca="1">IFERROR(__xludf.DUMMYFUNCTION("""COMPUTED_VALUE"""),19683564)</f>
        <v>19683564</v>
      </c>
    </row>
    <row r="2202" spans="1:6" x14ac:dyDescent="0.35">
      <c r="A2202" s="2">
        <f ca="1">IFERROR(__xludf.DUMMYFUNCTION("""COMPUTED_VALUE"""),45198.6666666666)</f>
        <v>45198.666666666599</v>
      </c>
      <c r="B2202" s="1">
        <f ca="1">IFERROR(__xludf.DUMMYFUNCTION("""COMPUTED_VALUE"""),317.75)</f>
        <v>317.75</v>
      </c>
      <c r="C2202" s="1">
        <f ca="1">IFERROR(__xludf.DUMMYFUNCTION("""COMPUTED_VALUE"""),319.47)</f>
        <v>319.47000000000003</v>
      </c>
      <c r="D2202" s="1">
        <f ca="1">IFERROR(__xludf.DUMMYFUNCTION("""COMPUTED_VALUE"""),314.98)</f>
        <v>314.98</v>
      </c>
      <c r="E2202" s="1">
        <f ca="1">IFERROR(__xludf.DUMMYFUNCTION("""COMPUTED_VALUE"""),315.75)</f>
        <v>315.75</v>
      </c>
      <c r="F2202" s="1">
        <f ca="1">IFERROR(__xludf.DUMMYFUNCTION("""COMPUTED_VALUE"""),24147298)</f>
        <v>24147298</v>
      </c>
    </row>
    <row r="2203" spans="1:6" x14ac:dyDescent="0.35">
      <c r="A2203" s="2">
        <f ca="1">IFERROR(__xludf.DUMMYFUNCTION("""COMPUTED_VALUE"""),45201.6666666666)</f>
        <v>45201.666666666599</v>
      </c>
      <c r="B2203" s="1">
        <f ca="1">IFERROR(__xludf.DUMMYFUNCTION("""COMPUTED_VALUE"""),316.28)</f>
        <v>316.27999999999997</v>
      </c>
      <c r="C2203" s="1">
        <f ca="1">IFERROR(__xludf.DUMMYFUNCTION("""COMPUTED_VALUE"""),321.89)</f>
        <v>321.89</v>
      </c>
      <c r="D2203" s="1">
        <f ca="1">IFERROR(__xludf.DUMMYFUNCTION("""COMPUTED_VALUE"""),315.18)</f>
        <v>315.18</v>
      </c>
      <c r="E2203" s="1">
        <f ca="1">IFERROR(__xludf.DUMMYFUNCTION("""COMPUTED_VALUE"""),321.8)</f>
        <v>321.8</v>
      </c>
      <c r="F2203" s="1">
        <f ca="1">IFERROR(__xludf.DUMMYFUNCTION("""COMPUTED_VALUE"""),20570006)</f>
        <v>20570006</v>
      </c>
    </row>
    <row r="2204" spans="1:6" x14ac:dyDescent="0.35">
      <c r="A2204" s="2">
        <f ca="1">IFERROR(__xludf.DUMMYFUNCTION("""COMPUTED_VALUE"""),45202.6666666666)</f>
        <v>45202.666666666599</v>
      </c>
      <c r="B2204" s="1">
        <f ca="1">IFERROR(__xludf.DUMMYFUNCTION("""COMPUTED_VALUE"""),320.83)</f>
        <v>320.83</v>
      </c>
      <c r="C2204" s="1">
        <f ca="1">IFERROR(__xludf.DUMMYFUNCTION("""COMPUTED_VALUE"""),321.39)</f>
        <v>321.39</v>
      </c>
      <c r="D2204" s="1">
        <f ca="1">IFERROR(__xludf.DUMMYFUNCTION("""COMPUTED_VALUE"""),311.21)</f>
        <v>311.20999999999998</v>
      </c>
      <c r="E2204" s="1">
        <f ca="1">IFERROR(__xludf.DUMMYFUNCTION("""COMPUTED_VALUE"""),313.39)</f>
        <v>313.39</v>
      </c>
      <c r="F2204" s="1">
        <f ca="1">IFERROR(__xludf.DUMMYFUNCTION("""COMPUTED_VALUE"""),21033492)</f>
        <v>21033492</v>
      </c>
    </row>
    <row r="2205" spans="1:6" x14ac:dyDescent="0.35">
      <c r="A2205" s="2">
        <f ca="1">IFERROR(__xludf.DUMMYFUNCTION("""COMPUTED_VALUE"""),45203.6666666666)</f>
        <v>45203.666666666599</v>
      </c>
      <c r="B2205" s="1">
        <f ca="1">IFERROR(__xludf.DUMMYFUNCTION("""COMPUTED_VALUE"""),314.03)</f>
        <v>314.02999999999997</v>
      </c>
      <c r="C2205" s="1">
        <f ca="1">IFERROR(__xludf.DUMMYFUNCTION("""COMPUTED_VALUE"""),320.04)</f>
        <v>320.04000000000002</v>
      </c>
      <c r="D2205" s="1">
        <f ca="1">IFERROR(__xludf.DUMMYFUNCTION("""COMPUTED_VALUE"""),314)</f>
        <v>314</v>
      </c>
      <c r="E2205" s="1">
        <f ca="1">IFERROR(__xludf.DUMMYFUNCTION("""COMPUTED_VALUE"""),318.96)</f>
        <v>318.95999999999998</v>
      </c>
      <c r="F2205" s="1">
        <f ca="1">IFERROR(__xludf.DUMMYFUNCTION("""COMPUTED_VALUE"""),20720144)</f>
        <v>20720144</v>
      </c>
    </row>
    <row r="2206" spans="1:6" x14ac:dyDescent="0.35">
      <c r="A2206" s="2">
        <f ca="1">IFERROR(__xludf.DUMMYFUNCTION("""COMPUTED_VALUE"""),45204.6666666666)</f>
        <v>45204.666666666599</v>
      </c>
      <c r="B2206" s="1">
        <f ca="1">IFERROR(__xludf.DUMMYFUNCTION("""COMPUTED_VALUE"""),319.09)</f>
        <v>319.08999999999997</v>
      </c>
      <c r="C2206" s="1">
        <f ca="1">IFERROR(__xludf.DUMMYFUNCTION("""COMPUTED_VALUE"""),319.98)</f>
        <v>319.98</v>
      </c>
      <c r="D2206" s="1">
        <f ca="1">IFERROR(__xludf.DUMMYFUNCTION("""COMPUTED_VALUE"""),314.9)</f>
        <v>314.89999999999998</v>
      </c>
      <c r="E2206" s="1">
        <f ca="1">IFERROR(__xludf.DUMMYFUNCTION("""COMPUTED_VALUE"""),319.36)</f>
        <v>319.36</v>
      </c>
      <c r="F2206" s="1">
        <f ca="1">IFERROR(__xludf.DUMMYFUNCTION("""COMPUTED_VALUE"""),16965629)</f>
        <v>16965629</v>
      </c>
    </row>
    <row r="2207" spans="1:6" x14ac:dyDescent="0.35">
      <c r="A2207" s="2">
        <f ca="1">IFERROR(__xludf.DUMMYFUNCTION("""COMPUTED_VALUE"""),45205.6666666666)</f>
        <v>45205.666666666599</v>
      </c>
      <c r="B2207" s="1">
        <f ca="1">IFERROR(__xludf.DUMMYFUNCTION("""COMPUTED_VALUE"""),316.55)</f>
        <v>316.55</v>
      </c>
      <c r="C2207" s="1">
        <f ca="1">IFERROR(__xludf.DUMMYFUNCTION("""COMPUTED_VALUE"""),329.19)</f>
        <v>329.19</v>
      </c>
      <c r="D2207" s="1">
        <f ca="1">IFERROR(__xludf.DUMMYFUNCTION("""COMPUTED_VALUE"""),316.3)</f>
        <v>316.3</v>
      </c>
      <c r="E2207" s="1">
        <f ca="1">IFERROR(__xludf.DUMMYFUNCTION("""COMPUTED_VALUE"""),327.26)</f>
        <v>327.26</v>
      </c>
      <c r="F2207" s="1">
        <f ca="1">IFERROR(__xludf.DUMMYFUNCTION("""COMPUTED_VALUE"""),25673630)</f>
        <v>25673630</v>
      </c>
    </row>
    <row r="2208" spans="1:6" x14ac:dyDescent="0.35">
      <c r="A2208" s="2">
        <f ca="1">IFERROR(__xludf.DUMMYFUNCTION("""COMPUTED_VALUE"""),45208.6666666666)</f>
        <v>45208.666666666599</v>
      </c>
      <c r="B2208" s="1">
        <f ca="1">IFERROR(__xludf.DUMMYFUNCTION("""COMPUTED_VALUE"""),324.75)</f>
        <v>324.75</v>
      </c>
      <c r="C2208" s="1">
        <f ca="1">IFERROR(__xludf.DUMMYFUNCTION("""COMPUTED_VALUE"""),330.3)</f>
        <v>330.3</v>
      </c>
      <c r="D2208" s="1">
        <f ca="1">IFERROR(__xludf.DUMMYFUNCTION("""COMPUTED_VALUE"""),323.18)</f>
        <v>323.18</v>
      </c>
      <c r="E2208" s="1">
        <f ca="1">IFERROR(__xludf.DUMMYFUNCTION("""COMPUTED_VALUE"""),329.82)</f>
        <v>329.82</v>
      </c>
      <c r="F2208" s="1">
        <f ca="1">IFERROR(__xludf.DUMMYFUNCTION("""COMPUTED_VALUE"""),19891180)</f>
        <v>19891180</v>
      </c>
    </row>
    <row r="2209" spans="1:6" x14ac:dyDescent="0.35">
      <c r="A2209" s="2">
        <f ca="1">IFERROR(__xludf.DUMMYFUNCTION("""COMPUTED_VALUE"""),45209.6666666666)</f>
        <v>45209.666666666599</v>
      </c>
      <c r="B2209" s="1">
        <f ca="1">IFERROR(__xludf.DUMMYFUNCTION("""COMPUTED_VALUE"""),330.96)</f>
        <v>330.96</v>
      </c>
      <c r="C2209" s="1">
        <f ca="1">IFERROR(__xludf.DUMMYFUNCTION("""COMPUTED_VALUE"""),331.1)</f>
        <v>331.1</v>
      </c>
      <c r="D2209" s="1">
        <f ca="1">IFERROR(__xludf.DUMMYFUNCTION("""COMPUTED_VALUE"""),327.67)</f>
        <v>327.67</v>
      </c>
      <c r="E2209" s="1">
        <f ca="1">IFERROR(__xludf.DUMMYFUNCTION("""COMPUTED_VALUE"""),328.39)</f>
        <v>328.39</v>
      </c>
      <c r="F2209" s="1">
        <f ca="1">IFERROR(__xludf.DUMMYFUNCTION("""COMPUTED_VALUE"""),20557094)</f>
        <v>20557094</v>
      </c>
    </row>
    <row r="2210" spans="1:6" x14ac:dyDescent="0.35">
      <c r="A2210" s="2">
        <f ca="1">IFERROR(__xludf.DUMMYFUNCTION("""COMPUTED_VALUE"""),45210.6666666666)</f>
        <v>45210.666666666599</v>
      </c>
      <c r="B2210" s="1">
        <f ca="1">IFERROR(__xludf.DUMMYFUNCTION("""COMPUTED_VALUE"""),331.21)</f>
        <v>331.21</v>
      </c>
      <c r="C2210" s="1">
        <f ca="1">IFERROR(__xludf.DUMMYFUNCTION("""COMPUTED_VALUE"""),332.82)</f>
        <v>332.82</v>
      </c>
      <c r="D2210" s="1">
        <f ca="1">IFERROR(__xludf.DUMMYFUNCTION("""COMPUTED_VALUE"""),329.14)</f>
        <v>329.14</v>
      </c>
      <c r="E2210" s="1">
        <f ca="1">IFERROR(__xludf.DUMMYFUNCTION("""COMPUTED_VALUE"""),332.42)</f>
        <v>332.42</v>
      </c>
      <c r="F2210" s="1">
        <f ca="1">IFERROR(__xludf.DUMMYFUNCTION("""COMPUTED_VALUE"""),20063246)</f>
        <v>20063246</v>
      </c>
    </row>
    <row r="2211" spans="1:6" x14ac:dyDescent="0.35">
      <c r="A2211" s="2">
        <f ca="1">IFERROR(__xludf.DUMMYFUNCTION("""COMPUTED_VALUE"""),45211.6666666666)</f>
        <v>45211.666666666599</v>
      </c>
      <c r="B2211" s="1">
        <f ca="1">IFERROR(__xludf.DUMMYFUNCTION("""COMPUTED_VALUE"""),330.57)</f>
        <v>330.57</v>
      </c>
      <c r="C2211" s="1">
        <f ca="1">IFERROR(__xludf.DUMMYFUNCTION("""COMPUTED_VALUE"""),333.63)</f>
        <v>333.63</v>
      </c>
      <c r="D2211" s="1">
        <f ca="1">IFERROR(__xludf.DUMMYFUNCTION("""COMPUTED_VALUE"""),328.72)</f>
        <v>328.72</v>
      </c>
      <c r="E2211" s="1">
        <f ca="1">IFERROR(__xludf.DUMMYFUNCTION("""COMPUTED_VALUE"""),331.16)</f>
        <v>331.16</v>
      </c>
      <c r="F2211" s="1">
        <f ca="1">IFERROR(__xludf.DUMMYFUNCTION("""COMPUTED_VALUE"""),19313098)</f>
        <v>19313098</v>
      </c>
    </row>
    <row r="2212" spans="1:6" x14ac:dyDescent="0.35">
      <c r="A2212" s="2">
        <f ca="1">IFERROR(__xludf.DUMMYFUNCTION("""COMPUTED_VALUE"""),45212.6666666666)</f>
        <v>45212.666666666599</v>
      </c>
      <c r="B2212" s="1">
        <f ca="1">IFERROR(__xludf.DUMMYFUNCTION("""COMPUTED_VALUE"""),332.38)</f>
        <v>332.38</v>
      </c>
      <c r="C2212" s="1">
        <f ca="1">IFERROR(__xludf.DUMMYFUNCTION("""COMPUTED_VALUE"""),333.83)</f>
        <v>333.83</v>
      </c>
      <c r="D2212" s="1">
        <f ca="1">IFERROR(__xludf.DUMMYFUNCTION("""COMPUTED_VALUE"""),326.36)</f>
        <v>326.36</v>
      </c>
      <c r="E2212" s="1">
        <f ca="1">IFERROR(__xludf.DUMMYFUNCTION("""COMPUTED_VALUE"""),327.73)</f>
        <v>327.73</v>
      </c>
      <c r="F2212" s="1">
        <f ca="1">IFERROR(__xludf.DUMMYFUNCTION("""COMPUTED_VALUE"""),21085695)</f>
        <v>21085695</v>
      </c>
    </row>
    <row r="2213" spans="1:6" x14ac:dyDescent="0.35">
      <c r="A2213" s="2">
        <f ca="1">IFERROR(__xludf.DUMMYFUNCTION("""COMPUTED_VALUE"""),45215.6666666666)</f>
        <v>45215.666666666599</v>
      </c>
      <c r="B2213" s="1">
        <f ca="1">IFERROR(__xludf.DUMMYFUNCTION("""COMPUTED_VALUE"""),331.05)</f>
        <v>331.05</v>
      </c>
      <c r="C2213" s="1">
        <f ca="1">IFERROR(__xludf.DUMMYFUNCTION("""COMPUTED_VALUE"""),336.14)</f>
        <v>336.14</v>
      </c>
      <c r="D2213" s="1">
        <f ca="1">IFERROR(__xludf.DUMMYFUNCTION("""COMPUTED_VALUE"""),330.6)</f>
        <v>330.6</v>
      </c>
      <c r="E2213" s="1">
        <f ca="1">IFERROR(__xludf.DUMMYFUNCTION("""COMPUTED_VALUE"""),332.64)</f>
        <v>332.64</v>
      </c>
      <c r="F2213" s="1">
        <f ca="1">IFERROR(__xludf.DUMMYFUNCTION("""COMPUTED_VALUE"""),22158048)</f>
        <v>22158048</v>
      </c>
    </row>
    <row r="2214" spans="1:6" x14ac:dyDescent="0.35">
      <c r="A2214" s="2">
        <f ca="1">IFERROR(__xludf.DUMMYFUNCTION("""COMPUTED_VALUE"""),45216.6666666666)</f>
        <v>45216.666666666599</v>
      </c>
      <c r="B2214" s="1">
        <f ca="1">IFERROR(__xludf.DUMMYFUNCTION("""COMPUTED_VALUE"""),329.59)</f>
        <v>329.59</v>
      </c>
      <c r="C2214" s="1">
        <f ca="1">IFERROR(__xludf.DUMMYFUNCTION("""COMPUTED_VALUE"""),333.46)</f>
        <v>333.46</v>
      </c>
      <c r="D2214" s="1">
        <f ca="1">IFERROR(__xludf.DUMMYFUNCTION("""COMPUTED_VALUE"""),327.41)</f>
        <v>327.41000000000003</v>
      </c>
      <c r="E2214" s="1">
        <f ca="1">IFERROR(__xludf.DUMMYFUNCTION("""COMPUTED_VALUE"""),332.06)</f>
        <v>332.06</v>
      </c>
      <c r="F2214" s="1">
        <f ca="1">IFERROR(__xludf.DUMMYFUNCTION("""COMPUTED_VALUE"""),18338523)</f>
        <v>18338523</v>
      </c>
    </row>
    <row r="2215" spans="1:6" x14ac:dyDescent="0.35">
      <c r="A2215" s="2">
        <f ca="1">IFERROR(__xludf.DUMMYFUNCTION("""COMPUTED_VALUE"""),45217.6666666666)</f>
        <v>45217.666666666599</v>
      </c>
      <c r="B2215" s="1">
        <f ca="1">IFERROR(__xludf.DUMMYFUNCTION("""COMPUTED_VALUE"""),332.49)</f>
        <v>332.49</v>
      </c>
      <c r="C2215" s="1">
        <f ca="1">IFERROR(__xludf.DUMMYFUNCTION("""COMPUTED_VALUE"""),335.59)</f>
        <v>335.59</v>
      </c>
      <c r="D2215" s="1">
        <f ca="1">IFERROR(__xludf.DUMMYFUNCTION("""COMPUTED_VALUE"""),328.3)</f>
        <v>328.3</v>
      </c>
      <c r="E2215" s="1">
        <f ca="1">IFERROR(__xludf.DUMMYFUNCTION("""COMPUTED_VALUE"""),330.11)</f>
        <v>330.11</v>
      </c>
      <c r="F2215" s="1">
        <f ca="1">IFERROR(__xludf.DUMMYFUNCTION("""COMPUTED_VALUE"""),23153602)</f>
        <v>23153602</v>
      </c>
    </row>
    <row r="2216" spans="1:6" x14ac:dyDescent="0.35">
      <c r="A2216" s="2">
        <f ca="1">IFERROR(__xludf.DUMMYFUNCTION("""COMPUTED_VALUE"""),45218.6666666666)</f>
        <v>45218.666666666599</v>
      </c>
      <c r="B2216" s="1">
        <f ca="1">IFERROR(__xludf.DUMMYFUNCTION("""COMPUTED_VALUE"""),332.15)</f>
        <v>332.15</v>
      </c>
      <c r="C2216" s="1">
        <f ca="1">IFERROR(__xludf.DUMMYFUNCTION("""COMPUTED_VALUE"""),336.88)</f>
        <v>336.88</v>
      </c>
      <c r="D2216" s="1">
        <f ca="1">IFERROR(__xludf.DUMMYFUNCTION("""COMPUTED_VALUE"""),330.91)</f>
        <v>330.91</v>
      </c>
      <c r="E2216" s="1">
        <f ca="1">IFERROR(__xludf.DUMMYFUNCTION("""COMPUTED_VALUE"""),331.32)</f>
        <v>331.32</v>
      </c>
      <c r="F2216" s="1">
        <f ca="1">IFERROR(__xludf.DUMMYFUNCTION("""COMPUTED_VALUE"""),25052071)</f>
        <v>25052071</v>
      </c>
    </row>
    <row r="2217" spans="1:6" x14ac:dyDescent="0.35">
      <c r="A2217" s="2">
        <f ca="1">IFERROR(__xludf.DUMMYFUNCTION("""COMPUTED_VALUE"""),45219.6666666666)</f>
        <v>45219.666666666599</v>
      </c>
      <c r="B2217" s="1">
        <f ca="1">IFERROR(__xludf.DUMMYFUNCTION("""COMPUTED_VALUE"""),331.72)</f>
        <v>331.72</v>
      </c>
      <c r="C2217" s="1">
        <f ca="1">IFERROR(__xludf.DUMMYFUNCTION("""COMPUTED_VALUE"""),331.92)</f>
        <v>331.92</v>
      </c>
      <c r="D2217" s="1">
        <f ca="1">IFERROR(__xludf.DUMMYFUNCTION("""COMPUTED_VALUE"""),325.45)</f>
        <v>325.45</v>
      </c>
      <c r="E2217" s="1">
        <f ca="1">IFERROR(__xludf.DUMMYFUNCTION("""COMPUTED_VALUE"""),326.67)</f>
        <v>326.67</v>
      </c>
      <c r="F2217" s="1">
        <f ca="1">IFERROR(__xludf.DUMMYFUNCTION("""COMPUTED_VALUE"""),25027715)</f>
        <v>25027715</v>
      </c>
    </row>
    <row r="2218" spans="1:6" x14ac:dyDescent="0.35">
      <c r="A2218" s="2">
        <f ca="1">IFERROR(__xludf.DUMMYFUNCTION("""COMPUTED_VALUE"""),45222.6666666666)</f>
        <v>45222.666666666599</v>
      </c>
      <c r="B2218" s="1">
        <f ca="1">IFERROR(__xludf.DUMMYFUNCTION("""COMPUTED_VALUE"""),325.47)</f>
        <v>325.47000000000003</v>
      </c>
      <c r="C2218" s="1">
        <f ca="1">IFERROR(__xludf.DUMMYFUNCTION("""COMPUTED_VALUE"""),332.73)</f>
        <v>332.73</v>
      </c>
      <c r="D2218" s="1">
        <f ca="1">IFERROR(__xludf.DUMMYFUNCTION("""COMPUTED_VALUE"""),324.39)</f>
        <v>324.39</v>
      </c>
      <c r="E2218" s="1">
        <f ca="1">IFERROR(__xludf.DUMMYFUNCTION("""COMPUTED_VALUE"""),329.32)</f>
        <v>329.32</v>
      </c>
      <c r="F2218" s="1">
        <f ca="1">IFERROR(__xludf.DUMMYFUNCTION("""COMPUTED_VALUE"""),24374748)</f>
        <v>24374748</v>
      </c>
    </row>
    <row r="2219" spans="1:6" x14ac:dyDescent="0.35">
      <c r="A2219" s="2">
        <f ca="1">IFERROR(__xludf.DUMMYFUNCTION("""COMPUTED_VALUE"""),45223.6666666666)</f>
        <v>45223.666666666599</v>
      </c>
      <c r="B2219" s="1">
        <f ca="1">IFERROR(__xludf.DUMMYFUNCTION("""COMPUTED_VALUE"""),331.3)</f>
        <v>331.3</v>
      </c>
      <c r="C2219" s="1">
        <f ca="1">IFERROR(__xludf.DUMMYFUNCTION("""COMPUTED_VALUE"""),331.84)</f>
        <v>331.84</v>
      </c>
      <c r="D2219" s="1">
        <f ca="1">IFERROR(__xludf.DUMMYFUNCTION("""COMPUTED_VALUE"""),327.6)</f>
        <v>327.60000000000002</v>
      </c>
      <c r="E2219" s="1">
        <f ca="1">IFERROR(__xludf.DUMMYFUNCTION("""COMPUTED_VALUE"""),330.53)</f>
        <v>330.53</v>
      </c>
      <c r="F2219" s="1">
        <f ca="1">IFERROR(__xludf.DUMMYFUNCTION("""COMPUTED_VALUE"""),31153571)</f>
        <v>31153571</v>
      </c>
    </row>
    <row r="2220" spans="1:6" x14ac:dyDescent="0.35">
      <c r="A2220" s="2">
        <f ca="1">IFERROR(__xludf.DUMMYFUNCTION("""COMPUTED_VALUE"""),45224.6666666666)</f>
        <v>45224.666666666599</v>
      </c>
      <c r="B2220" s="1">
        <f ca="1">IFERROR(__xludf.DUMMYFUNCTION("""COMPUTED_VALUE"""),345.02)</f>
        <v>345.02</v>
      </c>
      <c r="C2220" s="1">
        <f ca="1">IFERROR(__xludf.DUMMYFUNCTION("""COMPUTED_VALUE"""),346.2)</f>
        <v>346.2</v>
      </c>
      <c r="D2220" s="1">
        <f ca="1">IFERROR(__xludf.DUMMYFUNCTION("""COMPUTED_VALUE"""),337.62)</f>
        <v>337.62</v>
      </c>
      <c r="E2220" s="1">
        <f ca="1">IFERROR(__xludf.DUMMYFUNCTION("""COMPUTED_VALUE"""),340.67)</f>
        <v>340.67</v>
      </c>
      <c r="F2220" s="1">
        <f ca="1">IFERROR(__xludf.DUMMYFUNCTION("""COMPUTED_VALUE"""),55053828)</f>
        <v>55053828</v>
      </c>
    </row>
    <row r="2221" spans="1:6" x14ac:dyDescent="0.35">
      <c r="A2221" s="2">
        <f ca="1">IFERROR(__xludf.DUMMYFUNCTION("""COMPUTED_VALUE"""),45225.6666666666)</f>
        <v>45225.666666666599</v>
      </c>
      <c r="B2221" s="1">
        <f ca="1">IFERROR(__xludf.DUMMYFUNCTION("""COMPUTED_VALUE"""),340.54)</f>
        <v>340.54</v>
      </c>
      <c r="C2221" s="1">
        <f ca="1">IFERROR(__xludf.DUMMYFUNCTION("""COMPUTED_VALUE"""),341.63)</f>
        <v>341.63</v>
      </c>
      <c r="D2221" s="1">
        <f ca="1">IFERROR(__xludf.DUMMYFUNCTION("""COMPUTED_VALUE"""),326.94)</f>
        <v>326.94</v>
      </c>
      <c r="E2221" s="1">
        <f ca="1">IFERROR(__xludf.DUMMYFUNCTION("""COMPUTED_VALUE"""),327.89)</f>
        <v>327.89</v>
      </c>
      <c r="F2221" s="1">
        <f ca="1">IFERROR(__xludf.DUMMYFUNCTION("""COMPUTED_VALUE"""),37828543)</f>
        <v>37828543</v>
      </c>
    </row>
    <row r="2222" spans="1:6" x14ac:dyDescent="0.35">
      <c r="A2222" s="2">
        <f ca="1">IFERROR(__xludf.DUMMYFUNCTION("""COMPUTED_VALUE"""),45226.6666666666)</f>
        <v>45226.666666666599</v>
      </c>
      <c r="B2222" s="1">
        <f ca="1">IFERROR(__xludf.DUMMYFUNCTION("""COMPUTED_VALUE"""),330.43)</f>
        <v>330.43</v>
      </c>
      <c r="C2222" s="1">
        <f ca="1">IFERROR(__xludf.DUMMYFUNCTION("""COMPUTED_VALUE"""),336.72)</f>
        <v>336.72</v>
      </c>
      <c r="D2222" s="1">
        <f ca="1">IFERROR(__xludf.DUMMYFUNCTION("""COMPUTED_VALUE"""),328.4)</f>
        <v>328.4</v>
      </c>
      <c r="E2222" s="1">
        <f ca="1">IFERROR(__xludf.DUMMYFUNCTION("""COMPUTED_VALUE"""),329.81)</f>
        <v>329.81</v>
      </c>
      <c r="F2222" s="1">
        <f ca="1">IFERROR(__xludf.DUMMYFUNCTION("""COMPUTED_VALUE"""),29856522)</f>
        <v>29856522</v>
      </c>
    </row>
    <row r="2223" spans="1:6" x14ac:dyDescent="0.35">
      <c r="A2223" s="2">
        <f ca="1">IFERROR(__xludf.DUMMYFUNCTION("""COMPUTED_VALUE"""),45229.6666666666)</f>
        <v>45229.666666666599</v>
      </c>
      <c r="B2223" s="1">
        <f ca="1">IFERROR(__xludf.DUMMYFUNCTION("""COMPUTED_VALUE"""),333.41)</f>
        <v>333.41</v>
      </c>
      <c r="C2223" s="1">
        <f ca="1">IFERROR(__xludf.DUMMYFUNCTION("""COMPUTED_VALUE"""),339.45)</f>
        <v>339.45</v>
      </c>
      <c r="D2223" s="1">
        <f ca="1">IFERROR(__xludf.DUMMYFUNCTION("""COMPUTED_VALUE"""),331.83)</f>
        <v>331.83</v>
      </c>
      <c r="E2223" s="1">
        <f ca="1">IFERROR(__xludf.DUMMYFUNCTION("""COMPUTED_VALUE"""),337.31)</f>
        <v>337.31</v>
      </c>
      <c r="F2223" s="1">
        <f ca="1">IFERROR(__xludf.DUMMYFUNCTION("""COMPUTED_VALUE"""),22828082)</f>
        <v>22828082</v>
      </c>
    </row>
    <row r="2224" spans="1:6" x14ac:dyDescent="0.35">
      <c r="A2224" s="2">
        <f ca="1">IFERROR(__xludf.DUMMYFUNCTION("""COMPUTED_VALUE"""),45230.6666666666)</f>
        <v>45230.666666666599</v>
      </c>
      <c r="B2224" s="1">
        <f ca="1">IFERROR(__xludf.DUMMYFUNCTION("""COMPUTED_VALUE"""),338.85)</f>
        <v>338.85</v>
      </c>
      <c r="C2224" s="1">
        <f ca="1">IFERROR(__xludf.DUMMYFUNCTION("""COMPUTED_VALUE"""),339)</f>
        <v>339</v>
      </c>
      <c r="D2224" s="1">
        <f ca="1">IFERROR(__xludf.DUMMYFUNCTION("""COMPUTED_VALUE"""),334.69)</f>
        <v>334.69</v>
      </c>
      <c r="E2224" s="1">
        <f ca="1">IFERROR(__xludf.DUMMYFUNCTION("""COMPUTED_VALUE"""),338.11)</f>
        <v>338.11</v>
      </c>
      <c r="F2224" s="1">
        <f ca="1">IFERROR(__xludf.DUMMYFUNCTION("""COMPUTED_VALUE"""),20265282)</f>
        <v>20265282</v>
      </c>
    </row>
    <row r="2225" spans="1:6" x14ac:dyDescent="0.35">
      <c r="A2225" s="2">
        <f ca="1">IFERROR(__xludf.DUMMYFUNCTION("""COMPUTED_VALUE"""),45231.6666666666)</f>
        <v>45231.666666666599</v>
      </c>
      <c r="B2225" s="1">
        <f ca="1">IFERROR(__xludf.DUMMYFUNCTION("""COMPUTED_VALUE"""),339.79)</f>
        <v>339.79</v>
      </c>
      <c r="C2225" s="1">
        <f ca="1">IFERROR(__xludf.DUMMYFUNCTION("""COMPUTED_VALUE"""),347.42)</f>
        <v>347.42</v>
      </c>
      <c r="D2225" s="1">
        <f ca="1">IFERROR(__xludf.DUMMYFUNCTION("""COMPUTED_VALUE"""),339.65)</f>
        <v>339.65</v>
      </c>
      <c r="E2225" s="1">
        <f ca="1">IFERROR(__xludf.DUMMYFUNCTION("""COMPUTED_VALUE"""),346.07)</f>
        <v>346.07</v>
      </c>
      <c r="F2225" s="1">
        <f ca="1">IFERROR(__xludf.DUMMYFUNCTION("""COMPUTED_VALUE"""),28158819)</f>
        <v>28158819</v>
      </c>
    </row>
    <row r="2226" spans="1:6" x14ac:dyDescent="0.35">
      <c r="A2226" s="2">
        <f ca="1">IFERROR(__xludf.DUMMYFUNCTION("""COMPUTED_VALUE"""),45232.6666666666)</f>
        <v>45232.666666666599</v>
      </c>
      <c r="B2226" s="1">
        <f ca="1">IFERROR(__xludf.DUMMYFUNCTION("""COMPUTED_VALUE"""),347.24)</f>
        <v>347.24</v>
      </c>
      <c r="C2226" s="1">
        <f ca="1">IFERROR(__xludf.DUMMYFUNCTION("""COMPUTED_VALUE"""),348.83)</f>
        <v>348.83</v>
      </c>
      <c r="D2226" s="1">
        <f ca="1">IFERROR(__xludf.DUMMYFUNCTION("""COMPUTED_VALUE"""),344.77)</f>
        <v>344.77</v>
      </c>
      <c r="E2226" s="1">
        <f ca="1">IFERROR(__xludf.DUMMYFUNCTION("""COMPUTED_VALUE"""),348.32)</f>
        <v>348.32</v>
      </c>
      <c r="F2226" s="1">
        <f ca="1">IFERROR(__xludf.DUMMYFUNCTION("""COMPUTED_VALUE"""),24348072)</f>
        <v>24348072</v>
      </c>
    </row>
    <row r="2227" spans="1:6" x14ac:dyDescent="0.35">
      <c r="A2227" s="2">
        <f ca="1">IFERROR(__xludf.DUMMYFUNCTION("""COMPUTED_VALUE"""),45233.6666666666)</f>
        <v>45233.666666666599</v>
      </c>
      <c r="B2227" s="1">
        <f ca="1">IFERROR(__xludf.DUMMYFUNCTION("""COMPUTED_VALUE"""),349.63)</f>
        <v>349.63</v>
      </c>
      <c r="C2227" s="1">
        <f ca="1">IFERROR(__xludf.DUMMYFUNCTION("""COMPUTED_VALUE"""),354.39)</f>
        <v>354.39</v>
      </c>
      <c r="D2227" s="1">
        <f ca="1">IFERROR(__xludf.DUMMYFUNCTION("""COMPUTED_VALUE"""),347.33)</f>
        <v>347.33</v>
      </c>
      <c r="E2227" s="1">
        <f ca="1">IFERROR(__xludf.DUMMYFUNCTION("""COMPUTED_VALUE"""),352.8)</f>
        <v>352.8</v>
      </c>
      <c r="F2227" s="1">
        <f ca="1">IFERROR(__xludf.DUMMYFUNCTION("""COMPUTED_VALUE"""),23637673)</f>
        <v>23637673</v>
      </c>
    </row>
    <row r="2228" spans="1:6" x14ac:dyDescent="0.35">
      <c r="A2228" s="2">
        <f ca="1">IFERROR(__xludf.DUMMYFUNCTION("""COMPUTED_VALUE"""),45236.6666666666)</f>
        <v>45236.666666666599</v>
      </c>
      <c r="B2228" s="1">
        <f ca="1">IFERROR(__xludf.DUMMYFUNCTION("""COMPUTED_VALUE"""),353.45)</f>
        <v>353.45</v>
      </c>
      <c r="C2228" s="1">
        <f ca="1">IFERROR(__xludf.DUMMYFUNCTION("""COMPUTED_VALUE"""),357.54)</f>
        <v>357.54</v>
      </c>
      <c r="D2228" s="1">
        <f ca="1">IFERROR(__xludf.DUMMYFUNCTION("""COMPUTED_VALUE"""),353.35)</f>
        <v>353.35</v>
      </c>
      <c r="E2228" s="1">
        <f ca="1">IFERROR(__xludf.DUMMYFUNCTION("""COMPUTED_VALUE"""),356.53)</f>
        <v>356.53</v>
      </c>
      <c r="F2228" s="1">
        <f ca="1">IFERROR(__xludf.DUMMYFUNCTION("""COMPUTED_VALUE"""),23828301)</f>
        <v>23828301</v>
      </c>
    </row>
    <row r="2229" spans="1:6" x14ac:dyDescent="0.35">
      <c r="A2229" s="2">
        <f ca="1">IFERROR(__xludf.DUMMYFUNCTION("""COMPUTED_VALUE"""),45237.6666666666)</f>
        <v>45237.666666666599</v>
      </c>
      <c r="B2229" s="1">
        <f ca="1">IFERROR(__xludf.DUMMYFUNCTION("""COMPUTED_VALUE"""),359.4)</f>
        <v>359.4</v>
      </c>
      <c r="C2229" s="1">
        <f ca="1">IFERROR(__xludf.DUMMYFUNCTION("""COMPUTED_VALUE"""),362.46)</f>
        <v>362.46</v>
      </c>
      <c r="D2229" s="1">
        <f ca="1">IFERROR(__xludf.DUMMYFUNCTION("""COMPUTED_VALUE"""),357.63)</f>
        <v>357.63</v>
      </c>
      <c r="E2229" s="1">
        <f ca="1">IFERROR(__xludf.DUMMYFUNCTION("""COMPUTED_VALUE"""),360.53)</f>
        <v>360.53</v>
      </c>
      <c r="F2229" s="1">
        <f ca="1">IFERROR(__xludf.DUMMYFUNCTION("""COMPUTED_VALUE"""),25833931)</f>
        <v>25833931</v>
      </c>
    </row>
    <row r="2230" spans="1:6" x14ac:dyDescent="0.35">
      <c r="A2230" s="2">
        <f ca="1">IFERROR(__xludf.DUMMYFUNCTION("""COMPUTED_VALUE"""),45238.6666666666)</f>
        <v>45238.666666666599</v>
      </c>
      <c r="B2230" s="1">
        <f ca="1">IFERROR(__xludf.DUMMYFUNCTION("""COMPUTED_VALUE"""),361.68)</f>
        <v>361.68</v>
      </c>
      <c r="C2230" s="1">
        <f ca="1">IFERROR(__xludf.DUMMYFUNCTION("""COMPUTED_VALUE"""),363.87)</f>
        <v>363.87</v>
      </c>
      <c r="D2230" s="1">
        <f ca="1">IFERROR(__xludf.DUMMYFUNCTION("""COMPUTED_VALUE"""),360.55)</f>
        <v>360.55</v>
      </c>
      <c r="E2230" s="1">
        <f ca="1">IFERROR(__xludf.DUMMYFUNCTION("""COMPUTED_VALUE"""),363.2)</f>
        <v>363.2</v>
      </c>
      <c r="F2230" s="1">
        <f ca="1">IFERROR(__xludf.DUMMYFUNCTION("""COMPUTED_VALUE"""),26767828)</f>
        <v>26767828</v>
      </c>
    </row>
    <row r="2231" spans="1:6" x14ac:dyDescent="0.35">
      <c r="A2231" s="2">
        <f ca="1">IFERROR(__xludf.DUMMYFUNCTION("""COMPUTED_VALUE"""),45239.6666666666)</f>
        <v>45239.666666666599</v>
      </c>
      <c r="B2231" s="1">
        <f ca="1">IFERROR(__xludf.DUMMYFUNCTION("""COMPUTED_VALUE"""),362.3)</f>
        <v>362.3</v>
      </c>
      <c r="C2231" s="1">
        <f ca="1">IFERROR(__xludf.DUMMYFUNCTION("""COMPUTED_VALUE"""),364.79)</f>
        <v>364.79</v>
      </c>
      <c r="D2231" s="1">
        <f ca="1">IFERROR(__xludf.DUMMYFUNCTION("""COMPUTED_VALUE"""),360.36)</f>
        <v>360.36</v>
      </c>
      <c r="E2231" s="1">
        <f ca="1">IFERROR(__xludf.DUMMYFUNCTION("""COMPUTED_VALUE"""),360.69)</f>
        <v>360.69</v>
      </c>
      <c r="F2231" s="1">
        <f ca="1">IFERROR(__xludf.DUMMYFUNCTION("""COMPUTED_VALUE"""),24847331)</f>
        <v>24847331</v>
      </c>
    </row>
    <row r="2232" spans="1:6" x14ac:dyDescent="0.35">
      <c r="A2232" s="2">
        <f ca="1">IFERROR(__xludf.DUMMYFUNCTION("""COMPUTED_VALUE"""),45240.6666666666)</f>
        <v>45240.666666666599</v>
      </c>
      <c r="B2232" s="1">
        <f ca="1">IFERROR(__xludf.DUMMYFUNCTION("""COMPUTED_VALUE"""),361.49)</f>
        <v>361.49</v>
      </c>
      <c r="C2232" s="1">
        <f ca="1">IFERROR(__xludf.DUMMYFUNCTION("""COMPUTED_VALUE"""),370.1)</f>
        <v>370.1</v>
      </c>
      <c r="D2232" s="1">
        <f ca="1">IFERROR(__xludf.DUMMYFUNCTION("""COMPUTED_VALUE"""),361.07)</f>
        <v>361.07</v>
      </c>
      <c r="E2232" s="1">
        <f ca="1">IFERROR(__xludf.DUMMYFUNCTION("""COMPUTED_VALUE"""),369.67)</f>
        <v>369.67</v>
      </c>
      <c r="F2232" s="1">
        <f ca="1">IFERROR(__xludf.DUMMYFUNCTION("""COMPUTED_VALUE"""),28065164)</f>
        <v>28065164</v>
      </c>
    </row>
    <row r="2233" spans="1:6" x14ac:dyDescent="0.35">
      <c r="A2233" s="2">
        <f ca="1">IFERROR(__xludf.DUMMYFUNCTION("""COMPUTED_VALUE"""),45243.6666666666)</f>
        <v>45243.666666666599</v>
      </c>
      <c r="B2233" s="1">
        <f ca="1">IFERROR(__xludf.DUMMYFUNCTION("""COMPUTED_VALUE"""),368.22)</f>
        <v>368.22</v>
      </c>
      <c r="C2233" s="1">
        <f ca="1">IFERROR(__xludf.DUMMYFUNCTION("""COMPUTED_VALUE"""),368.47)</f>
        <v>368.47</v>
      </c>
      <c r="D2233" s="1">
        <f ca="1">IFERROR(__xludf.DUMMYFUNCTION("""COMPUTED_VALUE"""),365.9)</f>
        <v>365.9</v>
      </c>
      <c r="E2233" s="1">
        <f ca="1">IFERROR(__xludf.DUMMYFUNCTION("""COMPUTED_VALUE"""),366.68)</f>
        <v>366.68</v>
      </c>
      <c r="F2233" s="1">
        <f ca="1">IFERROR(__xludf.DUMMYFUNCTION("""COMPUTED_VALUE"""),19986506)</f>
        <v>19986506</v>
      </c>
    </row>
    <row r="2234" spans="1:6" x14ac:dyDescent="0.35">
      <c r="A2234" s="2">
        <f ca="1">IFERROR(__xludf.DUMMYFUNCTION("""COMPUTED_VALUE"""),45244.6666666666)</f>
        <v>45244.666666666599</v>
      </c>
      <c r="B2234" s="1">
        <f ca="1">IFERROR(__xludf.DUMMYFUNCTION("""COMPUTED_VALUE"""),371.01)</f>
        <v>371.01</v>
      </c>
      <c r="C2234" s="1">
        <f ca="1">IFERROR(__xludf.DUMMYFUNCTION("""COMPUTED_VALUE"""),371.95)</f>
        <v>371.95</v>
      </c>
      <c r="D2234" s="1">
        <f ca="1">IFERROR(__xludf.DUMMYFUNCTION("""COMPUTED_VALUE"""),367.35)</f>
        <v>367.35</v>
      </c>
      <c r="E2234" s="1">
        <f ca="1">IFERROR(__xludf.DUMMYFUNCTION("""COMPUTED_VALUE"""),370.27)</f>
        <v>370.27</v>
      </c>
      <c r="F2234" s="1">
        <f ca="1">IFERROR(__xludf.DUMMYFUNCTION("""COMPUTED_VALUE"""),27683862)</f>
        <v>27683862</v>
      </c>
    </row>
    <row r="2235" spans="1:6" x14ac:dyDescent="0.35">
      <c r="A2235" s="2">
        <f ca="1">IFERROR(__xludf.DUMMYFUNCTION("""COMPUTED_VALUE"""),45245.6666666666)</f>
        <v>45245.666666666599</v>
      </c>
      <c r="B2235" s="1">
        <f ca="1">IFERROR(__xludf.DUMMYFUNCTION("""COMPUTED_VALUE"""),371.28)</f>
        <v>371.28</v>
      </c>
      <c r="C2235" s="1">
        <f ca="1">IFERROR(__xludf.DUMMYFUNCTION("""COMPUTED_VALUE"""),373.13)</f>
        <v>373.13</v>
      </c>
      <c r="D2235" s="1">
        <f ca="1">IFERROR(__xludf.DUMMYFUNCTION("""COMPUTED_VALUE"""),367.11)</f>
        <v>367.11</v>
      </c>
      <c r="E2235" s="1">
        <f ca="1">IFERROR(__xludf.DUMMYFUNCTION("""COMPUTED_VALUE"""),369.67)</f>
        <v>369.67</v>
      </c>
      <c r="F2235" s="1">
        <f ca="1">IFERROR(__xludf.DUMMYFUNCTION("""COMPUTED_VALUE"""),26860095)</f>
        <v>26860095</v>
      </c>
    </row>
    <row r="2236" spans="1:6" x14ac:dyDescent="0.35">
      <c r="A2236" s="2">
        <f ca="1">IFERROR(__xludf.DUMMYFUNCTION("""COMPUTED_VALUE"""),45246.6666666666)</f>
        <v>45246.666666666599</v>
      </c>
      <c r="B2236" s="1">
        <f ca="1">IFERROR(__xludf.DUMMYFUNCTION("""COMPUTED_VALUE"""),370.96)</f>
        <v>370.96</v>
      </c>
      <c r="C2236" s="1">
        <f ca="1">IFERROR(__xludf.DUMMYFUNCTION("""COMPUTED_VALUE"""),376.35)</f>
        <v>376.35</v>
      </c>
      <c r="D2236" s="1">
        <f ca="1">IFERROR(__xludf.DUMMYFUNCTION("""COMPUTED_VALUE"""),370.18)</f>
        <v>370.18</v>
      </c>
      <c r="E2236" s="1">
        <f ca="1">IFERROR(__xludf.DUMMYFUNCTION("""COMPUTED_VALUE"""),376.17)</f>
        <v>376.17</v>
      </c>
      <c r="F2236" s="1">
        <f ca="1">IFERROR(__xludf.DUMMYFUNCTION("""COMPUTED_VALUE"""),27182315)</f>
        <v>27182315</v>
      </c>
    </row>
    <row r="2237" spans="1:6" x14ac:dyDescent="0.35">
      <c r="A2237" s="2">
        <f ca="1">IFERROR(__xludf.DUMMYFUNCTION("""COMPUTED_VALUE"""),45247.6666666666)</f>
        <v>45247.666666666599</v>
      </c>
      <c r="B2237" s="1">
        <f ca="1">IFERROR(__xludf.DUMMYFUNCTION("""COMPUTED_VALUE"""),373.61)</f>
        <v>373.61</v>
      </c>
      <c r="C2237" s="1">
        <f ca="1">IFERROR(__xludf.DUMMYFUNCTION("""COMPUTED_VALUE"""),374.37)</f>
        <v>374.37</v>
      </c>
      <c r="D2237" s="1">
        <f ca="1">IFERROR(__xludf.DUMMYFUNCTION("""COMPUTED_VALUE"""),367)</f>
        <v>367</v>
      </c>
      <c r="E2237" s="1">
        <f ca="1">IFERROR(__xludf.DUMMYFUNCTION("""COMPUTED_VALUE"""),369.85)</f>
        <v>369.85</v>
      </c>
      <c r="F2237" s="1">
        <f ca="1">IFERROR(__xludf.DUMMYFUNCTION("""COMPUTED_VALUE"""),40325371)</f>
        <v>40325371</v>
      </c>
    </row>
    <row r="2238" spans="1:6" x14ac:dyDescent="0.35">
      <c r="A2238" s="2">
        <f ca="1">IFERROR(__xludf.DUMMYFUNCTION("""COMPUTED_VALUE"""),45250.6666666666)</f>
        <v>45250.666666666599</v>
      </c>
      <c r="B2238" s="1">
        <f ca="1">IFERROR(__xludf.DUMMYFUNCTION("""COMPUTED_VALUE"""),371.22)</f>
        <v>371.22</v>
      </c>
      <c r="C2238" s="1">
        <f ca="1">IFERROR(__xludf.DUMMYFUNCTION("""COMPUTED_VALUE"""),378.87)</f>
        <v>378.87</v>
      </c>
      <c r="D2238" s="1">
        <f ca="1">IFERROR(__xludf.DUMMYFUNCTION("""COMPUTED_VALUE"""),371)</f>
        <v>371</v>
      </c>
      <c r="E2238" s="1">
        <f ca="1">IFERROR(__xludf.DUMMYFUNCTION("""COMPUTED_VALUE"""),377.44)</f>
        <v>377.44</v>
      </c>
      <c r="F2238" s="1">
        <f ca="1">IFERROR(__xludf.DUMMYFUNCTION("""COMPUTED_VALUE"""),52528964)</f>
        <v>52528964</v>
      </c>
    </row>
    <row r="2239" spans="1:6" x14ac:dyDescent="0.35">
      <c r="A2239" s="2">
        <f ca="1">IFERROR(__xludf.DUMMYFUNCTION("""COMPUTED_VALUE"""),45251.6666666666)</f>
        <v>45251.666666666599</v>
      </c>
      <c r="B2239" s="1">
        <f ca="1">IFERROR(__xludf.DUMMYFUNCTION("""COMPUTED_VALUE"""),375.67)</f>
        <v>375.67</v>
      </c>
      <c r="C2239" s="1">
        <f ca="1">IFERROR(__xludf.DUMMYFUNCTION("""COMPUTED_VALUE"""),376.22)</f>
        <v>376.22</v>
      </c>
      <c r="D2239" s="1">
        <f ca="1">IFERROR(__xludf.DUMMYFUNCTION("""COMPUTED_VALUE"""),371.12)</f>
        <v>371.12</v>
      </c>
      <c r="E2239" s="1">
        <f ca="1">IFERROR(__xludf.DUMMYFUNCTION("""COMPUTED_VALUE"""),373.07)</f>
        <v>373.07</v>
      </c>
      <c r="F2239" s="1">
        <f ca="1">IFERROR(__xludf.DUMMYFUNCTION("""COMPUTED_VALUE"""),28423145)</f>
        <v>28423145</v>
      </c>
    </row>
    <row r="2240" spans="1:6" x14ac:dyDescent="0.35">
      <c r="A2240" s="2">
        <f ca="1">IFERROR(__xludf.DUMMYFUNCTION("""COMPUTED_VALUE"""),45252.6666666666)</f>
        <v>45252.666666666599</v>
      </c>
      <c r="B2240" s="1">
        <f ca="1">IFERROR(__xludf.DUMMYFUNCTION("""COMPUTED_VALUE"""),378)</f>
        <v>378</v>
      </c>
      <c r="C2240" s="1">
        <f ca="1">IFERROR(__xludf.DUMMYFUNCTION("""COMPUTED_VALUE"""),379.79)</f>
        <v>379.79</v>
      </c>
      <c r="D2240" s="1">
        <f ca="1">IFERROR(__xludf.DUMMYFUNCTION("""COMPUTED_VALUE"""),374.97)</f>
        <v>374.97</v>
      </c>
      <c r="E2240" s="1">
        <f ca="1">IFERROR(__xludf.DUMMYFUNCTION("""COMPUTED_VALUE"""),377.85)</f>
        <v>377.85</v>
      </c>
      <c r="F2240" s="1">
        <f ca="1">IFERROR(__xludf.DUMMYFUNCTION("""COMPUTED_VALUE"""),23361184)</f>
        <v>23361184</v>
      </c>
    </row>
    <row r="2241" spans="1:6" x14ac:dyDescent="0.35">
      <c r="A2241" s="2">
        <f ca="1">IFERROR(__xludf.DUMMYFUNCTION("""COMPUTED_VALUE"""),45254.5451388888)</f>
        <v>45254.545138888803</v>
      </c>
      <c r="B2241" s="1">
        <f ca="1">IFERROR(__xludf.DUMMYFUNCTION("""COMPUTED_VALUE"""),377.33)</f>
        <v>377.33</v>
      </c>
      <c r="C2241" s="1">
        <f ca="1">IFERROR(__xludf.DUMMYFUNCTION("""COMPUTED_VALUE"""),377.97)</f>
        <v>377.97</v>
      </c>
      <c r="D2241" s="1">
        <f ca="1">IFERROR(__xludf.DUMMYFUNCTION("""COMPUTED_VALUE"""),375.14)</f>
        <v>375.14</v>
      </c>
      <c r="E2241" s="1">
        <f ca="1">IFERROR(__xludf.DUMMYFUNCTION("""COMPUTED_VALUE"""),377.43)</f>
        <v>377.43</v>
      </c>
      <c r="F2241" s="1">
        <f ca="1">IFERROR(__xludf.DUMMYFUNCTION("""COMPUTED_VALUE"""),10176649)</f>
        <v>10176649</v>
      </c>
    </row>
    <row r="2242" spans="1:6" x14ac:dyDescent="0.35">
      <c r="A2242" s="2">
        <f ca="1">IFERROR(__xludf.DUMMYFUNCTION("""COMPUTED_VALUE"""),45257.6666666666)</f>
        <v>45257.666666666599</v>
      </c>
      <c r="B2242" s="1">
        <f ca="1">IFERROR(__xludf.DUMMYFUNCTION("""COMPUTED_VALUE"""),376.78)</f>
        <v>376.78</v>
      </c>
      <c r="C2242" s="1">
        <f ca="1">IFERROR(__xludf.DUMMYFUNCTION("""COMPUTED_VALUE"""),380.64)</f>
        <v>380.64</v>
      </c>
      <c r="D2242" s="1">
        <f ca="1">IFERROR(__xludf.DUMMYFUNCTION("""COMPUTED_VALUE"""),376.2)</f>
        <v>376.2</v>
      </c>
      <c r="E2242" s="1">
        <f ca="1">IFERROR(__xludf.DUMMYFUNCTION("""COMPUTED_VALUE"""),378.61)</f>
        <v>378.61</v>
      </c>
      <c r="F2242" s="1">
        <f ca="1">IFERROR(__xludf.DUMMYFUNCTION("""COMPUTED_VALUE"""),22179228)</f>
        <v>22179228</v>
      </c>
    </row>
    <row r="2243" spans="1:6" x14ac:dyDescent="0.35">
      <c r="A2243" s="2">
        <f ca="1">IFERROR(__xludf.DUMMYFUNCTION("""COMPUTED_VALUE"""),45258.6666666666)</f>
        <v>45258.666666666599</v>
      </c>
      <c r="B2243" s="1">
        <f ca="1">IFERROR(__xludf.DUMMYFUNCTION("""COMPUTED_VALUE"""),378.35)</f>
        <v>378.35</v>
      </c>
      <c r="C2243" s="1">
        <f ca="1">IFERROR(__xludf.DUMMYFUNCTION("""COMPUTED_VALUE"""),383)</f>
        <v>383</v>
      </c>
      <c r="D2243" s="1">
        <f ca="1">IFERROR(__xludf.DUMMYFUNCTION("""COMPUTED_VALUE"""),378.16)</f>
        <v>378.16</v>
      </c>
      <c r="E2243" s="1">
        <f ca="1">IFERROR(__xludf.DUMMYFUNCTION("""COMPUTED_VALUE"""),382.7)</f>
        <v>382.7</v>
      </c>
      <c r="F2243" s="1">
        <f ca="1">IFERROR(__xludf.DUMMYFUNCTION("""COMPUTED_VALUE"""),20453112)</f>
        <v>20453112</v>
      </c>
    </row>
    <row r="2244" spans="1:6" x14ac:dyDescent="0.35">
      <c r="A2244" s="2">
        <f ca="1">IFERROR(__xludf.DUMMYFUNCTION("""COMPUTED_VALUE"""),45259.6666666666)</f>
        <v>45259.666666666599</v>
      </c>
      <c r="B2244" s="1">
        <f ca="1">IFERROR(__xludf.DUMMYFUNCTION("""COMPUTED_VALUE"""),383.76)</f>
        <v>383.76</v>
      </c>
      <c r="C2244" s="1">
        <f ca="1">IFERROR(__xludf.DUMMYFUNCTION("""COMPUTED_VALUE"""),384.3)</f>
        <v>384.3</v>
      </c>
      <c r="D2244" s="1">
        <f ca="1">IFERROR(__xludf.DUMMYFUNCTION("""COMPUTED_VALUE"""),377.44)</f>
        <v>377.44</v>
      </c>
      <c r="E2244" s="1">
        <f ca="1">IFERROR(__xludf.DUMMYFUNCTION("""COMPUTED_VALUE"""),378.85)</f>
        <v>378.85</v>
      </c>
      <c r="F2244" s="1">
        <f ca="1">IFERROR(__xludf.DUMMYFUNCTION("""COMPUTED_VALUE"""),28963399)</f>
        <v>28963399</v>
      </c>
    </row>
    <row r="2245" spans="1:6" x14ac:dyDescent="0.35">
      <c r="A2245" s="2">
        <f ca="1">IFERROR(__xludf.DUMMYFUNCTION("""COMPUTED_VALUE"""),45260.6666666666)</f>
        <v>45260.666666666599</v>
      </c>
      <c r="B2245" s="1">
        <f ca="1">IFERROR(__xludf.DUMMYFUNCTION("""COMPUTED_VALUE"""),378.49)</f>
        <v>378.49</v>
      </c>
      <c r="C2245" s="1">
        <f ca="1">IFERROR(__xludf.DUMMYFUNCTION("""COMPUTED_VALUE"""),380.09)</f>
        <v>380.09</v>
      </c>
      <c r="D2245" s="1">
        <f ca="1">IFERROR(__xludf.DUMMYFUNCTION("""COMPUTED_VALUE"""),375.47)</f>
        <v>375.47</v>
      </c>
      <c r="E2245" s="1">
        <f ca="1">IFERROR(__xludf.DUMMYFUNCTION("""COMPUTED_VALUE"""),378.91)</f>
        <v>378.91</v>
      </c>
      <c r="F2245" s="1">
        <f ca="1">IFERROR(__xludf.DUMMYFUNCTION("""COMPUTED_VALUE"""),30554415)</f>
        <v>30554415</v>
      </c>
    </row>
    <row r="2246" spans="1:6" x14ac:dyDescent="0.35">
      <c r="A2246" s="2">
        <f ca="1">IFERROR(__xludf.DUMMYFUNCTION("""COMPUTED_VALUE"""),45261.6666666666)</f>
        <v>45261.666666666599</v>
      </c>
      <c r="B2246" s="1">
        <f ca="1">IFERROR(__xludf.DUMMYFUNCTION("""COMPUTED_VALUE"""),376.76)</f>
        <v>376.76</v>
      </c>
      <c r="C2246" s="1">
        <f ca="1">IFERROR(__xludf.DUMMYFUNCTION("""COMPUTED_VALUE"""),378.16)</f>
        <v>378.16</v>
      </c>
      <c r="D2246" s="1">
        <f ca="1">IFERROR(__xludf.DUMMYFUNCTION("""COMPUTED_VALUE"""),371.31)</f>
        <v>371.31</v>
      </c>
      <c r="E2246" s="1">
        <f ca="1">IFERROR(__xludf.DUMMYFUNCTION("""COMPUTED_VALUE"""),374.51)</f>
        <v>374.51</v>
      </c>
      <c r="F2246" s="1">
        <f ca="1">IFERROR(__xludf.DUMMYFUNCTION("""COMPUTED_VALUE"""),33040472)</f>
        <v>33040472</v>
      </c>
    </row>
    <row r="2247" spans="1:6" x14ac:dyDescent="0.35">
      <c r="A2247" s="2">
        <f ca="1">IFERROR(__xludf.DUMMYFUNCTION("""COMPUTED_VALUE"""),45264.6666666666)</f>
        <v>45264.666666666599</v>
      </c>
      <c r="B2247" s="1">
        <f ca="1">IFERROR(__xludf.DUMMYFUNCTION("""COMPUTED_VALUE"""),369.1)</f>
        <v>369.1</v>
      </c>
      <c r="C2247" s="1">
        <f ca="1">IFERROR(__xludf.DUMMYFUNCTION("""COMPUTED_VALUE"""),369.52)</f>
        <v>369.52</v>
      </c>
      <c r="D2247" s="1">
        <f ca="1">IFERROR(__xludf.DUMMYFUNCTION("""COMPUTED_VALUE"""),362.9)</f>
        <v>362.9</v>
      </c>
      <c r="E2247" s="1">
        <f ca="1">IFERROR(__xludf.DUMMYFUNCTION("""COMPUTED_VALUE"""),369.14)</f>
        <v>369.14</v>
      </c>
      <c r="F2247" s="1">
        <f ca="1">IFERROR(__xludf.DUMMYFUNCTION("""COMPUTED_VALUE"""),32063305)</f>
        <v>32063305</v>
      </c>
    </row>
    <row r="2248" spans="1:6" x14ac:dyDescent="0.35">
      <c r="A2248" s="2">
        <f ca="1">IFERROR(__xludf.DUMMYFUNCTION("""COMPUTED_VALUE"""),45265.6666666666)</f>
        <v>45265.666666666599</v>
      </c>
      <c r="B2248" s="1">
        <f ca="1">IFERROR(__xludf.DUMMYFUNCTION("""COMPUTED_VALUE"""),366.45)</f>
        <v>366.45</v>
      </c>
      <c r="C2248" s="1">
        <f ca="1">IFERROR(__xludf.DUMMYFUNCTION("""COMPUTED_VALUE"""),373.08)</f>
        <v>373.08</v>
      </c>
      <c r="D2248" s="1">
        <f ca="1">IFERROR(__xludf.DUMMYFUNCTION("""COMPUTED_VALUE"""),365.62)</f>
        <v>365.62</v>
      </c>
      <c r="E2248" s="1">
        <f ca="1">IFERROR(__xludf.DUMMYFUNCTION("""COMPUTED_VALUE"""),372.52)</f>
        <v>372.52</v>
      </c>
      <c r="F2248" s="1">
        <f ca="1">IFERROR(__xludf.DUMMYFUNCTION("""COMPUTED_VALUE"""),23065035)</f>
        <v>23065035</v>
      </c>
    </row>
    <row r="2249" spans="1:6" x14ac:dyDescent="0.35">
      <c r="A2249" s="2">
        <f ca="1">IFERROR(__xludf.DUMMYFUNCTION("""COMPUTED_VALUE"""),45266.6666666666)</f>
        <v>45266.666666666599</v>
      </c>
      <c r="B2249" s="1">
        <f ca="1">IFERROR(__xludf.DUMMYFUNCTION("""COMPUTED_VALUE"""),373.54)</f>
        <v>373.54</v>
      </c>
      <c r="C2249" s="1">
        <f ca="1">IFERROR(__xludf.DUMMYFUNCTION("""COMPUTED_VALUE"""),374.18)</f>
        <v>374.18</v>
      </c>
      <c r="D2249" s="1">
        <f ca="1">IFERROR(__xludf.DUMMYFUNCTION("""COMPUTED_VALUE"""),368.03)</f>
        <v>368.03</v>
      </c>
      <c r="E2249" s="1">
        <f ca="1">IFERROR(__xludf.DUMMYFUNCTION("""COMPUTED_VALUE"""),368.8)</f>
        <v>368.8</v>
      </c>
      <c r="F2249" s="1">
        <f ca="1">IFERROR(__xludf.DUMMYFUNCTION("""COMPUTED_VALUE"""),21182072)</f>
        <v>21182072</v>
      </c>
    </row>
    <row r="2250" spans="1:6" x14ac:dyDescent="0.35">
      <c r="A2250" s="2">
        <f ca="1">IFERROR(__xludf.DUMMYFUNCTION("""COMPUTED_VALUE"""),45267.6666666666)</f>
        <v>45267.666666666599</v>
      </c>
      <c r="B2250" s="1">
        <f ca="1">IFERROR(__xludf.DUMMYFUNCTION("""COMPUTED_VALUE"""),368.23)</f>
        <v>368.23</v>
      </c>
      <c r="C2250" s="1">
        <f ca="1">IFERROR(__xludf.DUMMYFUNCTION("""COMPUTED_VALUE"""),371.45)</f>
        <v>371.45</v>
      </c>
      <c r="D2250" s="1">
        <f ca="1">IFERROR(__xludf.DUMMYFUNCTION("""COMPUTED_VALUE"""),366.32)</f>
        <v>366.32</v>
      </c>
      <c r="E2250" s="1">
        <f ca="1">IFERROR(__xludf.DUMMYFUNCTION("""COMPUTED_VALUE"""),370.95)</f>
        <v>370.95</v>
      </c>
      <c r="F2250" s="1">
        <f ca="1">IFERROR(__xludf.DUMMYFUNCTION("""COMPUTED_VALUE"""),23118864)</f>
        <v>23118864</v>
      </c>
    </row>
    <row r="2251" spans="1:6" x14ac:dyDescent="0.35">
      <c r="A2251" s="2">
        <f ca="1">IFERROR(__xludf.DUMMYFUNCTION("""COMPUTED_VALUE"""),45268.6666666666)</f>
        <v>45268.666666666599</v>
      </c>
      <c r="B2251" s="1">
        <f ca="1">IFERROR(__xludf.DUMMYFUNCTION("""COMPUTED_VALUE"""),369.2)</f>
        <v>369.2</v>
      </c>
      <c r="C2251" s="1">
        <f ca="1">IFERROR(__xludf.DUMMYFUNCTION("""COMPUTED_VALUE"""),374.46)</f>
        <v>374.46</v>
      </c>
      <c r="D2251" s="1">
        <f ca="1">IFERROR(__xludf.DUMMYFUNCTION("""COMPUTED_VALUE"""),368.23)</f>
        <v>368.23</v>
      </c>
      <c r="E2251" s="1">
        <f ca="1">IFERROR(__xludf.DUMMYFUNCTION("""COMPUTED_VALUE"""),374.23)</f>
        <v>374.23</v>
      </c>
      <c r="F2251" s="1">
        <f ca="1">IFERROR(__xludf.DUMMYFUNCTION("""COMPUTED_VALUE"""),20154366)</f>
        <v>20154366</v>
      </c>
    </row>
    <row r="2252" spans="1:6" x14ac:dyDescent="0.35">
      <c r="A2252" s="2">
        <f ca="1">IFERROR(__xludf.DUMMYFUNCTION("""COMPUTED_VALUE"""),45271.6666666666)</f>
        <v>45271.666666666599</v>
      </c>
      <c r="B2252" s="1">
        <f ca="1">IFERROR(__xludf.DUMMYFUNCTION("""COMPUTED_VALUE"""),368.48)</f>
        <v>368.48</v>
      </c>
      <c r="C2252" s="1">
        <f ca="1">IFERROR(__xludf.DUMMYFUNCTION("""COMPUTED_VALUE"""),371.6)</f>
        <v>371.6</v>
      </c>
      <c r="D2252" s="1">
        <f ca="1">IFERROR(__xludf.DUMMYFUNCTION("""COMPUTED_VALUE"""),366.1)</f>
        <v>366.1</v>
      </c>
      <c r="E2252" s="1">
        <f ca="1">IFERROR(__xludf.DUMMYFUNCTION("""COMPUTED_VALUE"""),371.3)</f>
        <v>371.3</v>
      </c>
      <c r="F2252" s="1">
        <f ca="1">IFERROR(__xludf.DUMMYFUNCTION("""COMPUTED_VALUE"""),27708757)</f>
        <v>27708757</v>
      </c>
    </row>
    <row r="2253" spans="1:6" x14ac:dyDescent="0.35">
      <c r="A2253" s="2">
        <f ca="1">IFERROR(__xludf.DUMMYFUNCTION("""COMPUTED_VALUE"""),45272.6666666666)</f>
        <v>45272.666666666599</v>
      </c>
      <c r="B2253" s="1">
        <f ca="1">IFERROR(__xludf.DUMMYFUNCTION("""COMPUTED_VALUE"""),370.85)</f>
        <v>370.85</v>
      </c>
      <c r="C2253" s="1">
        <f ca="1">IFERROR(__xludf.DUMMYFUNCTION("""COMPUTED_VALUE"""),374.42)</f>
        <v>374.42</v>
      </c>
      <c r="D2253" s="1">
        <f ca="1">IFERROR(__xludf.DUMMYFUNCTION("""COMPUTED_VALUE"""),370.46)</f>
        <v>370.46</v>
      </c>
      <c r="E2253" s="1">
        <f ca="1">IFERROR(__xludf.DUMMYFUNCTION("""COMPUTED_VALUE"""),374.38)</f>
        <v>374.38</v>
      </c>
      <c r="F2253" s="1">
        <f ca="1">IFERROR(__xludf.DUMMYFUNCTION("""COMPUTED_VALUE"""),24838253)</f>
        <v>24838253</v>
      </c>
    </row>
    <row r="2254" spans="1:6" x14ac:dyDescent="0.35">
      <c r="A2254" s="2">
        <f ca="1">IFERROR(__xludf.DUMMYFUNCTION("""COMPUTED_VALUE"""),45273.6666666666)</f>
        <v>45273.666666666599</v>
      </c>
      <c r="B2254" s="1">
        <f ca="1">IFERROR(__xludf.DUMMYFUNCTION("""COMPUTED_VALUE"""),376.02)</f>
        <v>376.02</v>
      </c>
      <c r="C2254" s="1">
        <f ca="1">IFERROR(__xludf.DUMMYFUNCTION("""COMPUTED_VALUE"""),377.64)</f>
        <v>377.64</v>
      </c>
      <c r="D2254" s="1">
        <f ca="1">IFERROR(__xludf.DUMMYFUNCTION("""COMPUTED_VALUE"""),370.77)</f>
        <v>370.77</v>
      </c>
      <c r="E2254" s="1">
        <f ca="1">IFERROR(__xludf.DUMMYFUNCTION("""COMPUTED_VALUE"""),374.37)</f>
        <v>374.37</v>
      </c>
      <c r="F2254" s="1">
        <f ca="1">IFERROR(__xludf.DUMMYFUNCTION("""COMPUTED_VALUE"""),30955531)</f>
        <v>30955531</v>
      </c>
    </row>
    <row r="2255" spans="1:6" x14ac:dyDescent="0.35">
      <c r="A2255" s="2">
        <f ca="1">IFERROR(__xludf.DUMMYFUNCTION("""COMPUTED_VALUE"""),45274.6666666666)</f>
        <v>45274.666666666599</v>
      </c>
      <c r="B2255" s="1">
        <f ca="1">IFERROR(__xludf.DUMMYFUNCTION("""COMPUTED_VALUE"""),373.31)</f>
        <v>373.31</v>
      </c>
      <c r="C2255" s="1">
        <f ca="1">IFERROR(__xludf.DUMMYFUNCTION("""COMPUTED_VALUE"""),373.76)</f>
        <v>373.76</v>
      </c>
      <c r="D2255" s="1">
        <f ca="1">IFERROR(__xludf.DUMMYFUNCTION("""COMPUTED_VALUE"""),364.13)</f>
        <v>364.13</v>
      </c>
      <c r="E2255" s="1">
        <f ca="1">IFERROR(__xludf.DUMMYFUNCTION("""COMPUTED_VALUE"""),365.93)</f>
        <v>365.93</v>
      </c>
      <c r="F2255" s="1">
        <f ca="1">IFERROR(__xludf.DUMMYFUNCTION("""COMPUTED_VALUE"""),43277461)</f>
        <v>43277461</v>
      </c>
    </row>
    <row r="2256" spans="1:6" x14ac:dyDescent="0.35">
      <c r="A2256" s="2">
        <f ca="1">IFERROR(__xludf.DUMMYFUNCTION("""COMPUTED_VALUE"""),45275.6666666666)</f>
        <v>45275.666666666599</v>
      </c>
      <c r="B2256" s="1">
        <f ca="1">IFERROR(__xludf.DUMMYFUNCTION("""COMPUTED_VALUE"""),366.85)</f>
        <v>366.85</v>
      </c>
      <c r="C2256" s="1">
        <f ca="1">IFERROR(__xludf.DUMMYFUNCTION("""COMPUTED_VALUE"""),372.4)</f>
        <v>372.4</v>
      </c>
      <c r="D2256" s="1">
        <f ca="1">IFERROR(__xludf.DUMMYFUNCTION("""COMPUTED_VALUE"""),366.28)</f>
        <v>366.28</v>
      </c>
      <c r="E2256" s="1">
        <f ca="1">IFERROR(__xludf.DUMMYFUNCTION("""COMPUTED_VALUE"""),370.73)</f>
        <v>370.73</v>
      </c>
      <c r="F2256" s="1">
        <f ca="1">IFERROR(__xludf.DUMMYFUNCTION("""COMPUTED_VALUE"""),78502324)</f>
        <v>78502324</v>
      </c>
    </row>
    <row r="2257" spans="1:6" x14ac:dyDescent="0.35">
      <c r="A2257" s="2">
        <f ca="1">IFERROR(__xludf.DUMMYFUNCTION("""COMPUTED_VALUE"""),45278.6666666666)</f>
        <v>45278.666666666599</v>
      </c>
      <c r="B2257" s="1">
        <f ca="1">IFERROR(__xludf.DUMMYFUNCTION("""COMPUTED_VALUE"""),369.45)</f>
        <v>369.45</v>
      </c>
      <c r="C2257" s="1">
        <f ca="1">IFERROR(__xludf.DUMMYFUNCTION("""COMPUTED_VALUE"""),373)</f>
        <v>373</v>
      </c>
      <c r="D2257" s="1">
        <f ca="1">IFERROR(__xludf.DUMMYFUNCTION("""COMPUTED_VALUE"""),368.68)</f>
        <v>368.68</v>
      </c>
      <c r="E2257" s="1">
        <f ca="1">IFERROR(__xludf.DUMMYFUNCTION("""COMPUTED_VALUE"""),372.65)</f>
        <v>372.65</v>
      </c>
      <c r="F2257" s="1">
        <f ca="1">IFERROR(__xludf.DUMMYFUNCTION("""COMPUTED_VALUE"""),21802878)</f>
        <v>21802878</v>
      </c>
    </row>
    <row r="2258" spans="1:6" x14ac:dyDescent="0.35">
      <c r="A2258" s="2">
        <f ca="1">IFERROR(__xludf.DUMMYFUNCTION("""COMPUTED_VALUE"""),45279.6666666666)</f>
        <v>45279.666666666599</v>
      </c>
      <c r="B2258" s="1">
        <f ca="1">IFERROR(__xludf.DUMMYFUNCTION("""COMPUTED_VALUE"""),371.49)</f>
        <v>371.49</v>
      </c>
      <c r="C2258" s="1">
        <f ca="1">IFERROR(__xludf.DUMMYFUNCTION("""COMPUTED_VALUE"""),373.26)</f>
        <v>373.26</v>
      </c>
      <c r="D2258" s="1">
        <f ca="1">IFERROR(__xludf.DUMMYFUNCTION("""COMPUTED_VALUE"""),369.84)</f>
        <v>369.84</v>
      </c>
      <c r="E2258" s="1">
        <f ca="1">IFERROR(__xludf.DUMMYFUNCTION("""COMPUTED_VALUE"""),373.26)</f>
        <v>373.26</v>
      </c>
      <c r="F2258" s="1">
        <f ca="1">IFERROR(__xludf.DUMMYFUNCTION("""COMPUTED_VALUE"""),20603658)</f>
        <v>20603658</v>
      </c>
    </row>
    <row r="2259" spans="1:6" x14ac:dyDescent="0.35">
      <c r="A2259" s="2">
        <f ca="1">IFERROR(__xludf.DUMMYFUNCTION("""COMPUTED_VALUE"""),45280.6666666666)</f>
        <v>45280.666666666599</v>
      </c>
      <c r="B2259" s="1">
        <f ca="1">IFERROR(__xludf.DUMMYFUNCTION("""COMPUTED_VALUE"""),375)</f>
        <v>375</v>
      </c>
      <c r="C2259" s="1">
        <f ca="1">IFERROR(__xludf.DUMMYFUNCTION("""COMPUTED_VALUE"""),376.03)</f>
        <v>376.03</v>
      </c>
      <c r="D2259" s="1">
        <f ca="1">IFERROR(__xludf.DUMMYFUNCTION("""COMPUTED_VALUE"""),370.53)</f>
        <v>370.53</v>
      </c>
      <c r="E2259" s="1">
        <f ca="1">IFERROR(__xludf.DUMMYFUNCTION("""COMPUTED_VALUE"""),370.62)</f>
        <v>370.62</v>
      </c>
      <c r="F2259" s="1">
        <f ca="1">IFERROR(__xludf.DUMMYFUNCTION("""COMPUTED_VALUE"""),26316650)</f>
        <v>26316650</v>
      </c>
    </row>
    <row r="2260" spans="1:6" x14ac:dyDescent="0.35">
      <c r="A2260" s="2">
        <f ca="1">IFERROR(__xludf.DUMMYFUNCTION("""COMPUTED_VALUE"""),45281.6666666666)</f>
        <v>45281.666666666599</v>
      </c>
      <c r="B2260" s="1">
        <f ca="1">IFERROR(__xludf.DUMMYFUNCTION("""COMPUTED_VALUE"""),372.56)</f>
        <v>372.56</v>
      </c>
      <c r="C2260" s="1">
        <f ca="1">IFERROR(__xludf.DUMMYFUNCTION("""COMPUTED_VALUE"""),374.41)</f>
        <v>374.41</v>
      </c>
      <c r="D2260" s="1">
        <f ca="1">IFERROR(__xludf.DUMMYFUNCTION("""COMPUTED_VALUE"""),370.04)</f>
        <v>370.04</v>
      </c>
      <c r="E2260" s="1">
        <f ca="1">IFERROR(__xludf.DUMMYFUNCTION("""COMPUTED_VALUE"""),373.54)</f>
        <v>373.54</v>
      </c>
      <c r="F2260" s="1">
        <f ca="1">IFERROR(__xludf.DUMMYFUNCTION("""COMPUTED_VALUE"""),17708006)</f>
        <v>17708006</v>
      </c>
    </row>
    <row r="2261" spans="1:6" x14ac:dyDescent="0.35">
      <c r="A2261" s="2">
        <f ca="1">IFERROR(__xludf.DUMMYFUNCTION("""COMPUTED_VALUE"""),45282.6666666666)</f>
        <v>45282.666666666599</v>
      </c>
      <c r="B2261" s="1">
        <f ca="1">IFERROR(__xludf.DUMMYFUNCTION("""COMPUTED_VALUE"""),373.68)</f>
        <v>373.68</v>
      </c>
      <c r="C2261" s="1">
        <f ca="1">IFERROR(__xludf.DUMMYFUNCTION("""COMPUTED_VALUE"""),375.18)</f>
        <v>375.18</v>
      </c>
      <c r="D2261" s="1">
        <f ca="1">IFERROR(__xludf.DUMMYFUNCTION("""COMPUTED_VALUE"""),372.71)</f>
        <v>372.71</v>
      </c>
      <c r="E2261" s="1">
        <f ca="1">IFERROR(__xludf.DUMMYFUNCTION("""COMPUTED_VALUE"""),374.58)</f>
        <v>374.58</v>
      </c>
      <c r="F2261" s="1">
        <f ca="1">IFERROR(__xludf.DUMMYFUNCTION("""COMPUTED_VALUE"""),17107484)</f>
        <v>17107484</v>
      </c>
    </row>
    <row r="2262" spans="1:6" x14ac:dyDescent="0.35">
      <c r="A2262" s="2">
        <f ca="1">IFERROR(__xludf.DUMMYFUNCTION("""COMPUTED_VALUE"""),45286.6666666666)</f>
        <v>45286.666666666599</v>
      </c>
      <c r="B2262" s="1">
        <f ca="1">IFERROR(__xludf.DUMMYFUNCTION("""COMPUTED_VALUE"""),375)</f>
        <v>375</v>
      </c>
      <c r="C2262" s="1">
        <f ca="1">IFERROR(__xludf.DUMMYFUNCTION("""COMPUTED_VALUE"""),376.94)</f>
        <v>376.94</v>
      </c>
      <c r="D2262" s="1">
        <f ca="1">IFERROR(__xludf.DUMMYFUNCTION("""COMPUTED_VALUE"""),373.5)</f>
        <v>373.5</v>
      </c>
      <c r="E2262" s="1">
        <f ca="1">IFERROR(__xludf.DUMMYFUNCTION("""COMPUTED_VALUE"""),374.66)</f>
        <v>374.66</v>
      </c>
      <c r="F2262" s="1">
        <f ca="1">IFERROR(__xludf.DUMMYFUNCTION("""COMPUTED_VALUE"""),12673050)</f>
        <v>12673050</v>
      </c>
    </row>
    <row r="2263" spans="1:6" x14ac:dyDescent="0.35">
      <c r="A2263" s="2">
        <f ca="1">IFERROR(__xludf.DUMMYFUNCTION("""COMPUTED_VALUE"""),45287.6666666666)</f>
        <v>45287.666666666599</v>
      </c>
      <c r="B2263" s="1">
        <f ca="1">IFERROR(__xludf.DUMMYFUNCTION("""COMPUTED_VALUE"""),373.69)</f>
        <v>373.69</v>
      </c>
      <c r="C2263" s="1">
        <f ca="1">IFERROR(__xludf.DUMMYFUNCTION("""COMPUTED_VALUE"""),375.06)</f>
        <v>375.06</v>
      </c>
      <c r="D2263" s="1">
        <f ca="1">IFERROR(__xludf.DUMMYFUNCTION("""COMPUTED_VALUE"""),372.81)</f>
        <v>372.81</v>
      </c>
      <c r="E2263" s="1">
        <f ca="1">IFERROR(__xludf.DUMMYFUNCTION("""COMPUTED_VALUE"""),374.07)</f>
        <v>374.07</v>
      </c>
      <c r="F2263" s="1">
        <f ca="1">IFERROR(__xludf.DUMMYFUNCTION("""COMPUTED_VALUE"""),14905412)</f>
        <v>14905412</v>
      </c>
    </row>
    <row r="2264" spans="1:6" x14ac:dyDescent="0.35">
      <c r="A2264" s="2">
        <f ca="1">IFERROR(__xludf.DUMMYFUNCTION("""COMPUTED_VALUE"""),45288.6666666666)</f>
        <v>45288.666666666599</v>
      </c>
      <c r="B2264" s="1">
        <f ca="1">IFERROR(__xludf.DUMMYFUNCTION("""COMPUTED_VALUE"""),375.37)</f>
        <v>375.37</v>
      </c>
      <c r="C2264" s="1">
        <f ca="1">IFERROR(__xludf.DUMMYFUNCTION("""COMPUTED_VALUE"""),376.46)</f>
        <v>376.46</v>
      </c>
      <c r="D2264" s="1">
        <f ca="1">IFERROR(__xludf.DUMMYFUNCTION("""COMPUTED_VALUE"""),374.16)</f>
        <v>374.16</v>
      </c>
      <c r="E2264" s="1">
        <f ca="1">IFERROR(__xludf.DUMMYFUNCTION("""COMPUTED_VALUE"""),375.28)</f>
        <v>375.28</v>
      </c>
      <c r="F2264" s="1">
        <f ca="1">IFERROR(__xludf.DUMMYFUNCTION("""COMPUTED_VALUE"""),14327013)</f>
        <v>14327013</v>
      </c>
    </row>
    <row r="2265" spans="1:6" x14ac:dyDescent="0.35">
      <c r="A2265" s="2">
        <f ca="1">IFERROR(__xludf.DUMMYFUNCTION("""COMPUTED_VALUE"""),45289.6666666666)</f>
        <v>45289.666666666599</v>
      </c>
      <c r="B2265" s="1">
        <f ca="1">IFERROR(__xludf.DUMMYFUNCTION("""COMPUTED_VALUE"""),376)</f>
        <v>376</v>
      </c>
      <c r="C2265" s="1">
        <f ca="1">IFERROR(__xludf.DUMMYFUNCTION("""COMPUTED_VALUE"""),377.16)</f>
        <v>377.16</v>
      </c>
      <c r="D2265" s="1">
        <f ca="1">IFERROR(__xludf.DUMMYFUNCTION("""COMPUTED_VALUE"""),373.48)</f>
        <v>373.48</v>
      </c>
      <c r="E2265" s="1">
        <f ca="1">IFERROR(__xludf.DUMMYFUNCTION("""COMPUTED_VALUE"""),376.04)</f>
        <v>376.04</v>
      </c>
      <c r="F2265" s="1">
        <f ca="1">IFERROR(__xludf.DUMMYFUNCTION("""COMPUTED_VALUE"""),18730838)</f>
        <v>18730838</v>
      </c>
    </row>
    <row r="2266" spans="1:6" x14ac:dyDescent="0.35">
      <c r="A2266" s="2">
        <f ca="1">IFERROR(__xludf.DUMMYFUNCTION("""COMPUTED_VALUE"""),45293.6666666666)</f>
        <v>45293.666666666599</v>
      </c>
      <c r="B2266" s="1">
        <f ca="1">IFERROR(__xludf.DUMMYFUNCTION("""COMPUTED_VALUE"""),373.86)</f>
        <v>373.86</v>
      </c>
      <c r="C2266" s="1">
        <f ca="1">IFERROR(__xludf.DUMMYFUNCTION("""COMPUTED_VALUE"""),375.9)</f>
        <v>375.9</v>
      </c>
      <c r="D2266" s="1">
        <f ca="1">IFERROR(__xludf.DUMMYFUNCTION("""COMPUTED_VALUE"""),366.77)</f>
        <v>366.77</v>
      </c>
      <c r="E2266" s="1">
        <f ca="1">IFERROR(__xludf.DUMMYFUNCTION("""COMPUTED_VALUE"""),370.87)</f>
        <v>370.87</v>
      </c>
      <c r="F2266" s="1">
        <f ca="1">IFERROR(__xludf.DUMMYFUNCTION("""COMPUTED_VALUE"""),25258633)</f>
        <v>25258633</v>
      </c>
    </row>
    <row r="2267" spans="1:6" x14ac:dyDescent="0.35">
      <c r="A2267" s="2">
        <f ca="1">IFERROR(__xludf.DUMMYFUNCTION("""COMPUTED_VALUE"""),45294.6666666666)</f>
        <v>45294.666666666599</v>
      </c>
      <c r="B2267" s="1">
        <f ca="1">IFERROR(__xludf.DUMMYFUNCTION("""COMPUTED_VALUE"""),369.01)</f>
        <v>369.01</v>
      </c>
      <c r="C2267" s="1">
        <f ca="1">IFERROR(__xludf.DUMMYFUNCTION("""COMPUTED_VALUE"""),373.26)</f>
        <v>373.26</v>
      </c>
      <c r="D2267" s="1">
        <f ca="1">IFERROR(__xludf.DUMMYFUNCTION("""COMPUTED_VALUE"""),368.51)</f>
        <v>368.51</v>
      </c>
      <c r="E2267" s="1">
        <f ca="1">IFERROR(__xludf.DUMMYFUNCTION("""COMPUTED_VALUE"""),370.6)</f>
        <v>370.6</v>
      </c>
      <c r="F2267" s="1">
        <f ca="1">IFERROR(__xludf.DUMMYFUNCTION("""COMPUTED_VALUE"""),23083465)</f>
        <v>23083465</v>
      </c>
    </row>
    <row r="2268" spans="1:6" x14ac:dyDescent="0.35">
      <c r="A2268" s="2">
        <f ca="1">IFERROR(__xludf.DUMMYFUNCTION("""COMPUTED_VALUE"""),45295.6666666666)</f>
        <v>45295.666666666599</v>
      </c>
      <c r="B2268" s="1">
        <f ca="1">IFERROR(__xludf.DUMMYFUNCTION("""COMPUTED_VALUE"""),370.67)</f>
        <v>370.67</v>
      </c>
      <c r="C2268" s="1">
        <f ca="1">IFERROR(__xludf.DUMMYFUNCTION("""COMPUTED_VALUE"""),373.1)</f>
        <v>373.1</v>
      </c>
      <c r="D2268" s="1">
        <f ca="1">IFERROR(__xludf.DUMMYFUNCTION("""COMPUTED_VALUE"""),367.17)</f>
        <v>367.17</v>
      </c>
      <c r="E2268" s="1">
        <f ca="1">IFERROR(__xludf.DUMMYFUNCTION("""COMPUTED_VALUE"""),367.94)</f>
        <v>367.94</v>
      </c>
      <c r="F2268" s="1">
        <f ca="1">IFERROR(__xludf.DUMMYFUNCTION("""COMPUTED_VALUE"""),20901502)</f>
        <v>20901502</v>
      </c>
    </row>
    <row r="2269" spans="1:6" x14ac:dyDescent="0.35">
      <c r="A2269" s="2">
        <f ca="1">IFERROR(__xludf.DUMMYFUNCTION("""COMPUTED_VALUE"""),45296.6666666666)</f>
        <v>45296.666666666599</v>
      </c>
      <c r="B2269" s="1">
        <f ca="1">IFERROR(__xludf.DUMMYFUNCTION("""COMPUTED_VALUE"""),368.97)</f>
        <v>368.97</v>
      </c>
      <c r="C2269" s="1">
        <f ca="1">IFERROR(__xludf.DUMMYFUNCTION("""COMPUTED_VALUE"""),372.06)</f>
        <v>372.06</v>
      </c>
      <c r="D2269" s="1">
        <f ca="1">IFERROR(__xludf.DUMMYFUNCTION("""COMPUTED_VALUE"""),366.5)</f>
        <v>366.5</v>
      </c>
      <c r="E2269" s="1">
        <f ca="1">IFERROR(__xludf.DUMMYFUNCTION("""COMPUTED_VALUE"""),367.75)</f>
        <v>367.75</v>
      </c>
      <c r="F2269" s="1">
        <f ca="1">IFERROR(__xludf.DUMMYFUNCTION("""COMPUTED_VALUE"""),21004575)</f>
        <v>21004575</v>
      </c>
    </row>
    <row r="2270" spans="1:6" x14ac:dyDescent="0.35">
      <c r="A2270" s="2">
        <f ca="1">IFERROR(__xludf.DUMMYFUNCTION("""COMPUTED_VALUE"""),45299.6666666666)</f>
        <v>45299.666666666599</v>
      </c>
      <c r="B2270" s="1">
        <f ca="1">IFERROR(__xludf.DUMMYFUNCTION("""COMPUTED_VALUE"""),369.3)</f>
        <v>369.3</v>
      </c>
      <c r="C2270" s="1">
        <f ca="1">IFERROR(__xludf.DUMMYFUNCTION("""COMPUTED_VALUE"""),375.2)</f>
        <v>375.2</v>
      </c>
      <c r="D2270" s="1">
        <f ca="1">IFERROR(__xludf.DUMMYFUNCTION("""COMPUTED_VALUE"""),369.01)</f>
        <v>369.01</v>
      </c>
      <c r="E2270" s="1">
        <f ca="1">IFERROR(__xludf.DUMMYFUNCTION("""COMPUTED_VALUE"""),374.69)</f>
        <v>374.69</v>
      </c>
      <c r="F2270" s="1">
        <f ca="1">IFERROR(__xludf.DUMMYFUNCTION("""COMPUTED_VALUE"""),23133967)</f>
        <v>23133967</v>
      </c>
    </row>
    <row r="2271" spans="1:6" x14ac:dyDescent="0.35">
      <c r="A2271" s="2">
        <f ca="1">IFERROR(__xludf.DUMMYFUNCTION("""COMPUTED_VALUE"""),45300.6666666666)</f>
        <v>45300.666666666599</v>
      </c>
      <c r="B2271" s="1">
        <f ca="1">IFERROR(__xludf.DUMMYFUNCTION("""COMPUTED_VALUE"""),372.01)</f>
        <v>372.01</v>
      </c>
      <c r="C2271" s="1">
        <f ca="1">IFERROR(__xludf.DUMMYFUNCTION("""COMPUTED_VALUE"""),375.99)</f>
        <v>375.99</v>
      </c>
      <c r="D2271" s="1">
        <f ca="1">IFERROR(__xludf.DUMMYFUNCTION("""COMPUTED_VALUE"""),371.19)</f>
        <v>371.19</v>
      </c>
      <c r="E2271" s="1">
        <f ca="1">IFERROR(__xludf.DUMMYFUNCTION("""COMPUTED_VALUE"""),375.79)</f>
        <v>375.79</v>
      </c>
      <c r="F2271" s="1">
        <f ca="1">IFERROR(__xludf.DUMMYFUNCTION("""COMPUTED_VALUE"""),20829953)</f>
        <v>20829953</v>
      </c>
    </row>
    <row r="2272" spans="1:6" x14ac:dyDescent="0.35">
      <c r="A2272" s="2">
        <f ca="1">IFERROR(__xludf.DUMMYFUNCTION("""COMPUTED_VALUE"""),45301.6666666666)</f>
        <v>45301.666666666599</v>
      </c>
      <c r="B2272" s="1">
        <f ca="1">IFERROR(__xludf.DUMMYFUNCTION("""COMPUTED_VALUE"""),376.37)</f>
        <v>376.37</v>
      </c>
      <c r="C2272" s="1">
        <f ca="1">IFERROR(__xludf.DUMMYFUNCTION("""COMPUTED_VALUE"""),384.17)</f>
        <v>384.17</v>
      </c>
      <c r="D2272" s="1">
        <f ca="1">IFERROR(__xludf.DUMMYFUNCTION("""COMPUTED_VALUE"""),376.32)</f>
        <v>376.32</v>
      </c>
      <c r="E2272" s="1">
        <f ca="1">IFERROR(__xludf.DUMMYFUNCTION("""COMPUTED_VALUE"""),382.77)</f>
        <v>382.77</v>
      </c>
      <c r="F2272" s="1">
        <f ca="1">IFERROR(__xludf.DUMMYFUNCTION("""COMPUTED_VALUE"""),25514245)</f>
        <v>25514245</v>
      </c>
    </row>
    <row r="2273" spans="1:6" x14ac:dyDescent="0.35">
      <c r="A2273" s="2">
        <f ca="1">IFERROR(__xludf.DUMMYFUNCTION("""COMPUTED_VALUE"""),45302.6666666666)</f>
        <v>45302.666666666599</v>
      </c>
      <c r="B2273" s="1">
        <f ca="1">IFERROR(__xludf.DUMMYFUNCTION("""COMPUTED_VALUE"""),386)</f>
        <v>386</v>
      </c>
      <c r="C2273" s="1">
        <f ca="1">IFERROR(__xludf.DUMMYFUNCTION("""COMPUTED_VALUE"""),390.68)</f>
        <v>390.68</v>
      </c>
      <c r="D2273" s="1">
        <f ca="1">IFERROR(__xludf.DUMMYFUNCTION("""COMPUTED_VALUE"""),380.38)</f>
        <v>380.38</v>
      </c>
      <c r="E2273" s="1">
        <f ca="1">IFERROR(__xludf.DUMMYFUNCTION("""COMPUTED_VALUE"""),384.63)</f>
        <v>384.63</v>
      </c>
      <c r="F2273" s="1">
        <f ca="1">IFERROR(__xludf.DUMMYFUNCTION("""COMPUTED_VALUE"""),27850846)</f>
        <v>27850846</v>
      </c>
    </row>
    <row r="2274" spans="1:6" x14ac:dyDescent="0.35">
      <c r="A2274" s="2">
        <f ca="1">IFERROR(__xludf.DUMMYFUNCTION("""COMPUTED_VALUE"""),45303.6666666666)</f>
        <v>45303.666666666599</v>
      </c>
      <c r="B2274" s="1">
        <f ca="1">IFERROR(__xludf.DUMMYFUNCTION("""COMPUTED_VALUE"""),385.49)</f>
        <v>385.49</v>
      </c>
      <c r="C2274" s="1">
        <f ca="1">IFERROR(__xludf.DUMMYFUNCTION("""COMPUTED_VALUE"""),388.68)</f>
        <v>388.68</v>
      </c>
      <c r="D2274" s="1">
        <f ca="1">IFERROR(__xludf.DUMMYFUNCTION("""COMPUTED_VALUE"""),384.65)</f>
        <v>384.65</v>
      </c>
      <c r="E2274" s="1">
        <f ca="1">IFERROR(__xludf.DUMMYFUNCTION("""COMPUTED_VALUE"""),388.47)</f>
        <v>388.47</v>
      </c>
      <c r="F2274" s="1">
        <f ca="1">IFERROR(__xludf.DUMMYFUNCTION("""COMPUTED_VALUE"""),21661153)</f>
        <v>21661153</v>
      </c>
    </row>
    <row r="2275" spans="1:6" x14ac:dyDescent="0.35">
      <c r="A2275" s="2">
        <f ca="1">IFERROR(__xludf.DUMMYFUNCTION("""COMPUTED_VALUE"""),45307.6666666666)</f>
        <v>45307.666666666599</v>
      </c>
      <c r="B2275" s="1">
        <f ca="1">IFERROR(__xludf.DUMMYFUNCTION("""COMPUTED_VALUE"""),393.66)</f>
        <v>393.66</v>
      </c>
      <c r="C2275" s="1">
        <f ca="1">IFERROR(__xludf.DUMMYFUNCTION("""COMPUTED_VALUE"""),394.03)</f>
        <v>394.03</v>
      </c>
      <c r="D2275" s="1">
        <f ca="1">IFERROR(__xludf.DUMMYFUNCTION("""COMPUTED_VALUE"""),387.62)</f>
        <v>387.62</v>
      </c>
      <c r="E2275" s="1">
        <f ca="1">IFERROR(__xludf.DUMMYFUNCTION("""COMPUTED_VALUE"""),390.27)</f>
        <v>390.27</v>
      </c>
      <c r="F2275" s="1">
        <f ca="1">IFERROR(__xludf.DUMMYFUNCTION("""COMPUTED_VALUE"""),27202268)</f>
        <v>27202268</v>
      </c>
    </row>
    <row r="2276" spans="1:6" x14ac:dyDescent="0.35">
      <c r="A2276" s="2">
        <f ca="1">IFERROR(__xludf.DUMMYFUNCTION("""COMPUTED_VALUE"""),45308.6666666666)</f>
        <v>45308.666666666599</v>
      </c>
      <c r="B2276" s="1">
        <f ca="1">IFERROR(__xludf.DUMMYFUNCTION("""COMPUTED_VALUE"""),387.98)</f>
        <v>387.98</v>
      </c>
      <c r="C2276" s="1">
        <f ca="1">IFERROR(__xludf.DUMMYFUNCTION("""COMPUTED_VALUE"""),390.11)</f>
        <v>390.11</v>
      </c>
      <c r="D2276" s="1">
        <f ca="1">IFERROR(__xludf.DUMMYFUNCTION("""COMPUTED_VALUE"""),384.81)</f>
        <v>384.81</v>
      </c>
      <c r="E2276" s="1">
        <f ca="1">IFERROR(__xludf.DUMMYFUNCTION("""COMPUTED_VALUE"""),389.47)</f>
        <v>389.47</v>
      </c>
      <c r="F2276" s="1">
        <f ca="1">IFERROR(__xludf.DUMMYFUNCTION("""COMPUTED_VALUE"""),22234108)</f>
        <v>22234108</v>
      </c>
    </row>
    <row r="2277" spans="1:6" x14ac:dyDescent="0.35">
      <c r="A2277" s="2">
        <f ca="1">IFERROR(__xludf.DUMMYFUNCTION("""COMPUTED_VALUE"""),45309.6666666666)</f>
        <v>45309.666666666599</v>
      </c>
      <c r="B2277" s="1">
        <f ca="1">IFERROR(__xludf.DUMMYFUNCTION("""COMPUTED_VALUE"""),391.72)</f>
        <v>391.72</v>
      </c>
      <c r="C2277" s="1">
        <f ca="1">IFERROR(__xludf.DUMMYFUNCTION("""COMPUTED_VALUE"""),393.99)</f>
        <v>393.99</v>
      </c>
      <c r="D2277" s="1">
        <f ca="1">IFERROR(__xludf.DUMMYFUNCTION("""COMPUTED_VALUE"""),390.12)</f>
        <v>390.12</v>
      </c>
      <c r="E2277" s="1">
        <f ca="1">IFERROR(__xludf.DUMMYFUNCTION("""COMPUTED_VALUE"""),393.87)</f>
        <v>393.87</v>
      </c>
      <c r="F2277" s="1">
        <f ca="1">IFERROR(__xludf.DUMMYFUNCTION("""COMPUTED_VALUE"""),23392068)</f>
        <v>23392068</v>
      </c>
    </row>
    <row r="2278" spans="1:6" x14ac:dyDescent="0.35">
      <c r="A2278" s="2">
        <f ca="1">IFERROR(__xludf.DUMMYFUNCTION("""COMPUTED_VALUE"""),45310.6666666666)</f>
        <v>45310.666666666599</v>
      </c>
      <c r="B2278" s="1">
        <f ca="1">IFERROR(__xludf.DUMMYFUNCTION("""COMPUTED_VALUE"""),395.76)</f>
        <v>395.76</v>
      </c>
      <c r="C2278" s="1">
        <f ca="1">IFERROR(__xludf.DUMMYFUNCTION("""COMPUTED_VALUE"""),398.67)</f>
        <v>398.67</v>
      </c>
      <c r="D2278" s="1">
        <f ca="1">IFERROR(__xludf.DUMMYFUNCTION("""COMPUTED_VALUE"""),393.5)</f>
        <v>393.5</v>
      </c>
      <c r="E2278" s="1">
        <f ca="1">IFERROR(__xludf.DUMMYFUNCTION("""COMPUTED_VALUE"""),398.67)</f>
        <v>398.67</v>
      </c>
      <c r="F2278" s="1">
        <f ca="1">IFERROR(__xludf.DUMMYFUNCTION("""COMPUTED_VALUE"""),29331136)</f>
        <v>29331136</v>
      </c>
    </row>
    <row r="2279" spans="1:6" x14ac:dyDescent="0.35">
      <c r="A2279" s="2">
        <f ca="1">IFERROR(__xludf.DUMMYFUNCTION("""COMPUTED_VALUE"""),45313.6666666666)</f>
        <v>45313.666666666599</v>
      </c>
      <c r="B2279" s="1">
        <f ca="1">IFERROR(__xludf.DUMMYFUNCTION("""COMPUTED_VALUE"""),400.02)</f>
        <v>400.02</v>
      </c>
      <c r="C2279" s="1">
        <f ca="1">IFERROR(__xludf.DUMMYFUNCTION("""COMPUTED_VALUE"""),400.62)</f>
        <v>400.62</v>
      </c>
      <c r="D2279" s="1">
        <f ca="1">IFERROR(__xludf.DUMMYFUNCTION("""COMPUTED_VALUE"""),393.59)</f>
        <v>393.59</v>
      </c>
      <c r="E2279" s="1">
        <f ca="1">IFERROR(__xludf.DUMMYFUNCTION("""COMPUTED_VALUE"""),396.51)</f>
        <v>396.51</v>
      </c>
      <c r="F2279" s="1">
        <f ca="1">IFERROR(__xludf.DUMMYFUNCTION("""COMPUTED_VALUE"""),27016902)</f>
        <v>27016902</v>
      </c>
    </row>
    <row r="2280" spans="1:6" x14ac:dyDescent="0.35">
      <c r="A2280" s="2">
        <f ca="1">IFERROR(__xludf.DUMMYFUNCTION("""COMPUTED_VALUE"""),45314.6666666666)</f>
        <v>45314.666666666599</v>
      </c>
      <c r="B2280" s="1">
        <f ca="1">IFERROR(__xludf.DUMMYFUNCTION("""COMPUTED_VALUE"""),395.75)</f>
        <v>395.75</v>
      </c>
      <c r="C2280" s="1">
        <f ca="1">IFERROR(__xludf.DUMMYFUNCTION("""COMPUTED_VALUE"""),399.38)</f>
        <v>399.38</v>
      </c>
      <c r="D2280" s="1">
        <f ca="1">IFERROR(__xludf.DUMMYFUNCTION("""COMPUTED_VALUE"""),393.93)</f>
        <v>393.93</v>
      </c>
      <c r="E2280" s="1">
        <f ca="1">IFERROR(__xludf.DUMMYFUNCTION("""COMPUTED_VALUE"""),398.9)</f>
        <v>398.9</v>
      </c>
      <c r="F2280" s="1">
        <f ca="1">IFERROR(__xludf.DUMMYFUNCTION("""COMPUTED_VALUE"""),20525882)</f>
        <v>20525882</v>
      </c>
    </row>
    <row r="2281" spans="1:6" x14ac:dyDescent="0.35">
      <c r="A2281" s="2">
        <f ca="1">IFERROR(__xludf.DUMMYFUNCTION("""COMPUTED_VALUE"""),45315.6666666666)</f>
        <v>45315.666666666599</v>
      </c>
      <c r="B2281" s="1">
        <f ca="1">IFERROR(__xludf.DUMMYFUNCTION("""COMPUTED_VALUE"""),401.54)</f>
        <v>401.54</v>
      </c>
      <c r="C2281" s="1">
        <f ca="1">IFERROR(__xludf.DUMMYFUNCTION("""COMPUTED_VALUE"""),405.63)</f>
        <v>405.63</v>
      </c>
      <c r="D2281" s="1">
        <f ca="1">IFERROR(__xludf.DUMMYFUNCTION("""COMPUTED_VALUE"""),400.45)</f>
        <v>400.45</v>
      </c>
      <c r="E2281" s="1">
        <f ca="1">IFERROR(__xludf.DUMMYFUNCTION("""COMPUTED_VALUE"""),402.56)</f>
        <v>402.56</v>
      </c>
      <c r="F2281" s="1">
        <f ca="1">IFERROR(__xludf.DUMMYFUNCTION("""COMPUTED_VALUE"""),24866953)</f>
        <v>24866953</v>
      </c>
    </row>
    <row r="2282" spans="1:6" x14ac:dyDescent="0.35">
      <c r="A2282" s="2">
        <f ca="1">IFERROR(__xludf.DUMMYFUNCTION("""COMPUTED_VALUE"""),45316.6666666666)</f>
        <v>45316.666666666599</v>
      </c>
      <c r="B2282" s="1">
        <f ca="1">IFERROR(__xludf.DUMMYFUNCTION("""COMPUTED_VALUE"""),404.32)</f>
        <v>404.32</v>
      </c>
      <c r="C2282" s="1">
        <f ca="1">IFERROR(__xludf.DUMMYFUNCTION("""COMPUTED_VALUE"""),407.01)</f>
        <v>407.01</v>
      </c>
      <c r="D2282" s="1">
        <f ca="1">IFERROR(__xludf.DUMMYFUNCTION("""COMPUTED_VALUE"""),402.53)</f>
        <v>402.53</v>
      </c>
      <c r="E2282" s="1">
        <f ca="1">IFERROR(__xludf.DUMMYFUNCTION("""COMPUTED_VALUE"""),404.87)</f>
        <v>404.87</v>
      </c>
      <c r="F2282" s="1">
        <f ca="1">IFERROR(__xludf.DUMMYFUNCTION("""COMPUTED_VALUE"""),21021155)</f>
        <v>21021155</v>
      </c>
    </row>
    <row r="2283" spans="1:6" x14ac:dyDescent="0.35">
      <c r="A2283" s="2">
        <f ca="1">IFERROR(__xludf.DUMMYFUNCTION("""COMPUTED_VALUE"""),45317.6666666666)</f>
        <v>45317.666666666599</v>
      </c>
      <c r="B2283" s="1">
        <f ca="1">IFERROR(__xludf.DUMMYFUNCTION("""COMPUTED_VALUE"""),404.37)</f>
        <v>404.37</v>
      </c>
      <c r="C2283" s="1">
        <f ca="1">IFERROR(__xludf.DUMMYFUNCTION("""COMPUTED_VALUE"""),406.17)</f>
        <v>406.17</v>
      </c>
      <c r="D2283" s="1">
        <f ca="1">IFERROR(__xludf.DUMMYFUNCTION("""COMPUTED_VALUE"""),402.43)</f>
        <v>402.43</v>
      </c>
      <c r="E2283" s="1">
        <f ca="1">IFERROR(__xludf.DUMMYFUNCTION("""COMPUTED_VALUE"""),403.93)</f>
        <v>403.93</v>
      </c>
      <c r="F2283" s="1">
        <f ca="1">IFERROR(__xludf.DUMMYFUNCTION("""COMPUTED_VALUE"""),17803271)</f>
        <v>17803271</v>
      </c>
    </row>
    <row r="2284" spans="1:6" x14ac:dyDescent="0.35">
      <c r="A2284" s="2">
        <f ca="1">IFERROR(__xludf.DUMMYFUNCTION("""COMPUTED_VALUE"""),45320.6666666666)</f>
        <v>45320.666666666599</v>
      </c>
      <c r="B2284" s="1">
        <f ca="1">IFERROR(__xludf.DUMMYFUNCTION("""COMPUTED_VALUE"""),406.06)</f>
        <v>406.06</v>
      </c>
      <c r="C2284" s="1">
        <f ca="1">IFERROR(__xludf.DUMMYFUNCTION("""COMPUTED_VALUE"""),409.98)</f>
        <v>409.98</v>
      </c>
      <c r="D2284" s="1">
        <f ca="1">IFERROR(__xludf.DUMMYFUNCTION("""COMPUTED_VALUE"""),404.33)</f>
        <v>404.33</v>
      </c>
      <c r="E2284" s="1">
        <f ca="1">IFERROR(__xludf.DUMMYFUNCTION("""COMPUTED_VALUE"""),409.72)</f>
        <v>409.72</v>
      </c>
      <c r="F2284" s="1">
        <f ca="1">IFERROR(__xludf.DUMMYFUNCTION("""COMPUTED_VALUE"""),24510236)</f>
        <v>24510236</v>
      </c>
    </row>
    <row r="2285" spans="1:6" x14ac:dyDescent="0.35">
      <c r="A2285" s="2">
        <f ca="1">IFERROR(__xludf.DUMMYFUNCTION("""COMPUTED_VALUE"""),45321.6666666666)</f>
        <v>45321.666666666599</v>
      </c>
      <c r="B2285" s="1">
        <f ca="1">IFERROR(__xludf.DUMMYFUNCTION("""COMPUTED_VALUE"""),412.26)</f>
        <v>412.26</v>
      </c>
      <c r="C2285" s="1">
        <f ca="1">IFERROR(__xludf.DUMMYFUNCTION("""COMPUTED_VALUE"""),413.05)</f>
        <v>413.05</v>
      </c>
      <c r="D2285" s="1">
        <f ca="1">IFERROR(__xludf.DUMMYFUNCTION("""COMPUTED_VALUE"""),406.45)</f>
        <v>406.45</v>
      </c>
      <c r="E2285" s="1">
        <f ca="1">IFERROR(__xludf.DUMMYFUNCTION("""COMPUTED_VALUE"""),408.59)</f>
        <v>408.59</v>
      </c>
      <c r="F2285" s="1">
        <f ca="1">IFERROR(__xludf.DUMMYFUNCTION("""COMPUTED_VALUE"""),33477610)</f>
        <v>33477610</v>
      </c>
    </row>
    <row r="2286" spans="1:6" x14ac:dyDescent="0.35">
      <c r="A2286" s="2">
        <f ca="1">IFERROR(__xludf.DUMMYFUNCTION("""COMPUTED_VALUE"""),45322.6666666666)</f>
        <v>45322.666666666599</v>
      </c>
      <c r="B2286" s="1">
        <f ca="1">IFERROR(__xludf.DUMMYFUNCTION("""COMPUTED_VALUE"""),406.96)</f>
        <v>406.96</v>
      </c>
      <c r="C2286" s="1">
        <f ca="1">IFERROR(__xludf.DUMMYFUNCTION("""COMPUTED_VALUE"""),415.32)</f>
        <v>415.32</v>
      </c>
      <c r="D2286" s="1">
        <f ca="1">IFERROR(__xludf.DUMMYFUNCTION("""COMPUTED_VALUE"""),397.21)</f>
        <v>397.21</v>
      </c>
      <c r="E2286" s="1">
        <f ca="1">IFERROR(__xludf.DUMMYFUNCTION("""COMPUTED_VALUE"""),397.58)</f>
        <v>397.58</v>
      </c>
      <c r="F2286" s="1">
        <f ca="1">IFERROR(__xludf.DUMMYFUNCTION("""COMPUTED_VALUE"""),47871097)</f>
        <v>47871097</v>
      </c>
    </row>
    <row r="2287" spans="1:6" x14ac:dyDescent="0.35">
      <c r="A2287" s="2">
        <f ca="1">IFERROR(__xludf.DUMMYFUNCTION("""COMPUTED_VALUE"""),45323.6666666666)</f>
        <v>45323.666666666599</v>
      </c>
      <c r="B2287" s="1">
        <f ca="1">IFERROR(__xludf.DUMMYFUNCTION("""COMPUTED_VALUE"""),401.83)</f>
        <v>401.83</v>
      </c>
      <c r="C2287" s="1">
        <f ca="1">IFERROR(__xludf.DUMMYFUNCTION("""COMPUTED_VALUE"""),408)</f>
        <v>408</v>
      </c>
      <c r="D2287" s="1">
        <f ca="1">IFERROR(__xludf.DUMMYFUNCTION("""COMPUTED_VALUE"""),401.8)</f>
        <v>401.8</v>
      </c>
      <c r="E2287" s="1">
        <f ca="1">IFERROR(__xludf.DUMMYFUNCTION("""COMPUTED_VALUE"""),403.78)</f>
        <v>403.78</v>
      </c>
      <c r="F2287" s="1">
        <f ca="1">IFERROR(__xludf.DUMMYFUNCTION("""COMPUTED_VALUE"""),30657726)</f>
        <v>30657726</v>
      </c>
    </row>
    <row r="2288" spans="1:6" x14ac:dyDescent="0.35">
      <c r="A2288" s="2">
        <f ca="1">IFERROR(__xludf.DUMMYFUNCTION("""COMPUTED_VALUE"""),45324.6666666666)</f>
        <v>45324.666666666599</v>
      </c>
      <c r="B2288" s="1">
        <f ca="1">IFERROR(__xludf.DUMMYFUNCTION("""COMPUTED_VALUE"""),403.81)</f>
        <v>403.81</v>
      </c>
      <c r="C2288" s="1">
        <f ca="1">IFERROR(__xludf.DUMMYFUNCTION("""COMPUTED_VALUE"""),412.65)</f>
        <v>412.65</v>
      </c>
      <c r="D2288" s="1">
        <f ca="1">IFERROR(__xludf.DUMMYFUNCTION("""COMPUTED_VALUE"""),403.56)</f>
        <v>403.56</v>
      </c>
      <c r="E2288" s="1">
        <f ca="1">IFERROR(__xludf.DUMMYFUNCTION("""COMPUTED_VALUE"""),411.22)</f>
        <v>411.22</v>
      </c>
      <c r="F2288" s="1">
        <f ca="1">IFERROR(__xludf.DUMMYFUNCTION("""COMPUTED_VALUE"""),28256670)</f>
        <v>28256670</v>
      </c>
    </row>
    <row r="2289" spans="1:6" x14ac:dyDescent="0.35">
      <c r="A2289" s="2">
        <f ca="1">IFERROR(__xludf.DUMMYFUNCTION("""COMPUTED_VALUE"""),45327.6666666666)</f>
        <v>45327.666666666599</v>
      </c>
      <c r="B2289" s="1">
        <f ca="1">IFERROR(__xludf.DUMMYFUNCTION("""COMPUTED_VALUE"""),409.9)</f>
        <v>409.9</v>
      </c>
      <c r="C2289" s="1">
        <f ca="1">IFERROR(__xludf.DUMMYFUNCTION("""COMPUTED_VALUE"""),411.16)</f>
        <v>411.16</v>
      </c>
      <c r="D2289" s="1">
        <f ca="1">IFERROR(__xludf.DUMMYFUNCTION("""COMPUTED_VALUE"""),403.99)</f>
        <v>403.99</v>
      </c>
      <c r="E2289" s="1">
        <f ca="1">IFERROR(__xludf.DUMMYFUNCTION("""COMPUTED_VALUE"""),405.65)</f>
        <v>405.65</v>
      </c>
      <c r="F2289" s="1">
        <f ca="1">IFERROR(__xludf.DUMMYFUNCTION("""COMPUTED_VALUE"""),25352286)</f>
        <v>25352286</v>
      </c>
    </row>
    <row r="2290" spans="1:6" x14ac:dyDescent="0.35">
      <c r="A2290" s="2">
        <f ca="1">IFERROR(__xludf.DUMMYFUNCTION("""COMPUTED_VALUE"""),45328.6666666666)</f>
        <v>45328.666666666599</v>
      </c>
      <c r="B2290" s="1">
        <f ca="1">IFERROR(__xludf.DUMMYFUNCTION("""COMPUTED_VALUE"""),405.88)</f>
        <v>405.88</v>
      </c>
      <c r="C2290" s="1">
        <f ca="1">IFERROR(__xludf.DUMMYFUNCTION("""COMPUTED_VALUE"""),407.97)</f>
        <v>407.97</v>
      </c>
      <c r="D2290" s="1">
        <f ca="1">IFERROR(__xludf.DUMMYFUNCTION("""COMPUTED_VALUE"""),402.91)</f>
        <v>402.91</v>
      </c>
      <c r="E2290" s="1">
        <f ca="1">IFERROR(__xludf.DUMMYFUNCTION("""COMPUTED_VALUE"""),405.49)</f>
        <v>405.49</v>
      </c>
      <c r="F2290" s="1">
        <f ca="1">IFERROR(__xludf.DUMMYFUNCTION("""COMPUTED_VALUE"""),18382624)</f>
        <v>18382624</v>
      </c>
    </row>
    <row r="2291" spans="1:6" x14ac:dyDescent="0.35">
      <c r="A2291" s="2">
        <f ca="1">IFERROR(__xludf.DUMMYFUNCTION("""COMPUTED_VALUE"""),45329.6666666666)</f>
        <v>45329.666666666599</v>
      </c>
      <c r="B2291" s="1">
        <f ca="1">IFERROR(__xludf.DUMMYFUNCTION("""COMPUTED_VALUE"""),407.44)</f>
        <v>407.44</v>
      </c>
      <c r="C2291" s="1">
        <f ca="1">IFERROR(__xludf.DUMMYFUNCTION("""COMPUTED_VALUE"""),414.3)</f>
        <v>414.3</v>
      </c>
      <c r="D2291" s="1">
        <f ca="1">IFERROR(__xludf.DUMMYFUNCTION("""COMPUTED_VALUE"""),407.4)</f>
        <v>407.4</v>
      </c>
      <c r="E2291" s="1">
        <f ca="1">IFERROR(__xludf.DUMMYFUNCTION("""COMPUTED_VALUE"""),414.05)</f>
        <v>414.05</v>
      </c>
      <c r="F2291" s="1">
        <f ca="1">IFERROR(__xludf.DUMMYFUNCTION("""COMPUTED_VALUE"""),22340526)</f>
        <v>22340526</v>
      </c>
    </row>
    <row r="2292" spans="1:6" x14ac:dyDescent="0.35">
      <c r="A2292" s="2">
        <f ca="1">IFERROR(__xludf.DUMMYFUNCTION("""COMPUTED_VALUE"""),45330.6666666666)</f>
        <v>45330.666666666599</v>
      </c>
      <c r="B2292" s="1">
        <f ca="1">IFERROR(__xludf.DUMMYFUNCTION("""COMPUTED_VALUE"""),414.05)</f>
        <v>414.05</v>
      </c>
      <c r="C2292" s="1">
        <f ca="1">IFERROR(__xludf.DUMMYFUNCTION("""COMPUTED_VALUE"""),415.56)</f>
        <v>415.56</v>
      </c>
      <c r="D2292" s="1">
        <f ca="1">IFERROR(__xludf.DUMMYFUNCTION("""COMPUTED_VALUE"""),412.53)</f>
        <v>412.53</v>
      </c>
      <c r="E2292" s="1">
        <f ca="1">IFERROR(__xludf.DUMMYFUNCTION("""COMPUTED_VALUE"""),414.11)</f>
        <v>414.11</v>
      </c>
      <c r="F2292" s="1">
        <f ca="1">IFERROR(__xludf.DUMMYFUNCTION("""COMPUTED_VALUE"""),21225257)</f>
        <v>21225257</v>
      </c>
    </row>
    <row r="2293" spans="1:6" x14ac:dyDescent="0.35">
      <c r="A2293" s="2">
        <f ca="1">IFERROR(__xludf.DUMMYFUNCTION("""COMPUTED_VALUE"""),45331.6666666666)</f>
        <v>45331.666666666599</v>
      </c>
      <c r="B2293" s="1">
        <f ca="1">IFERROR(__xludf.DUMMYFUNCTION("""COMPUTED_VALUE"""),415.25)</f>
        <v>415.25</v>
      </c>
      <c r="C2293" s="1">
        <f ca="1">IFERROR(__xludf.DUMMYFUNCTION("""COMPUTED_VALUE"""),420.82)</f>
        <v>420.82</v>
      </c>
      <c r="D2293" s="1">
        <f ca="1">IFERROR(__xludf.DUMMYFUNCTION("""COMPUTED_VALUE"""),415.09)</f>
        <v>415.09</v>
      </c>
      <c r="E2293" s="1">
        <f ca="1">IFERROR(__xludf.DUMMYFUNCTION("""COMPUTED_VALUE"""),420.55)</f>
        <v>420.55</v>
      </c>
      <c r="F2293" s="1">
        <f ca="1">IFERROR(__xludf.DUMMYFUNCTION("""COMPUTED_VALUE"""),22032844)</f>
        <v>22032844</v>
      </c>
    </row>
    <row r="2294" spans="1:6" x14ac:dyDescent="0.35">
      <c r="A2294" s="2">
        <f ca="1">IFERROR(__xludf.DUMMYFUNCTION("""COMPUTED_VALUE"""),45334.6666666666)</f>
        <v>45334.666666666599</v>
      </c>
      <c r="B2294" s="1">
        <f ca="1">IFERROR(__xludf.DUMMYFUNCTION("""COMPUTED_VALUE"""),420.56)</f>
        <v>420.56</v>
      </c>
      <c r="C2294" s="1">
        <f ca="1">IFERROR(__xludf.DUMMYFUNCTION("""COMPUTED_VALUE"""),420.74)</f>
        <v>420.74</v>
      </c>
      <c r="D2294" s="1">
        <f ca="1">IFERROR(__xludf.DUMMYFUNCTION("""COMPUTED_VALUE"""),414.75)</f>
        <v>414.75</v>
      </c>
      <c r="E2294" s="1">
        <f ca="1">IFERROR(__xludf.DUMMYFUNCTION("""COMPUTED_VALUE"""),415.26)</f>
        <v>415.26</v>
      </c>
      <c r="F2294" s="1">
        <f ca="1">IFERROR(__xludf.DUMMYFUNCTION("""COMPUTED_VALUE"""),21202921)</f>
        <v>21202921</v>
      </c>
    </row>
    <row r="2295" spans="1:6" x14ac:dyDescent="0.35">
      <c r="A2295" s="2">
        <f ca="1">IFERROR(__xludf.DUMMYFUNCTION("""COMPUTED_VALUE"""),45335.6666666666)</f>
        <v>45335.666666666599</v>
      </c>
      <c r="B2295" s="1">
        <f ca="1">IFERROR(__xludf.DUMMYFUNCTION("""COMPUTED_VALUE"""),404.94)</f>
        <v>404.94</v>
      </c>
      <c r="C2295" s="1">
        <f ca="1">IFERROR(__xludf.DUMMYFUNCTION("""COMPUTED_VALUE"""),410.07)</f>
        <v>410.07</v>
      </c>
      <c r="D2295" s="1">
        <f ca="1">IFERROR(__xludf.DUMMYFUNCTION("""COMPUTED_VALUE"""),403.39)</f>
        <v>403.39</v>
      </c>
      <c r="E2295" s="1">
        <f ca="1">IFERROR(__xludf.DUMMYFUNCTION("""COMPUTED_VALUE"""),406.32)</f>
        <v>406.32</v>
      </c>
      <c r="F2295" s="1">
        <f ca="1">IFERROR(__xludf.DUMMYFUNCTION("""COMPUTED_VALUE"""),27824936)</f>
        <v>27824936</v>
      </c>
    </row>
    <row r="2296" spans="1:6" x14ac:dyDescent="0.35">
      <c r="A2296" s="2">
        <f ca="1">IFERROR(__xludf.DUMMYFUNCTION("""COMPUTED_VALUE"""),45336.6666666666)</f>
        <v>45336.666666666599</v>
      </c>
      <c r="B2296" s="1">
        <f ca="1">IFERROR(__xludf.DUMMYFUNCTION("""COMPUTED_VALUE"""),408.07)</f>
        <v>408.07</v>
      </c>
      <c r="C2296" s="1">
        <f ca="1">IFERROR(__xludf.DUMMYFUNCTION("""COMPUTED_VALUE"""),409.84)</f>
        <v>409.84</v>
      </c>
      <c r="D2296" s="1">
        <f ca="1">IFERROR(__xludf.DUMMYFUNCTION("""COMPUTED_VALUE"""),404.57)</f>
        <v>404.57</v>
      </c>
      <c r="E2296" s="1">
        <f ca="1">IFERROR(__xludf.DUMMYFUNCTION("""COMPUTED_VALUE"""),409.49)</f>
        <v>409.49</v>
      </c>
      <c r="F2296" s="1">
        <f ca="1">IFERROR(__xludf.DUMMYFUNCTION("""COMPUTED_VALUE"""),20401190)</f>
        <v>20401190</v>
      </c>
    </row>
    <row r="2297" spans="1:6" x14ac:dyDescent="0.35">
      <c r="A2297" s="2">
        <f ca="1">IFERROR(__xludf.DUMMYFUNCTION("""COMPUTED_VALUE"""),45337.6666666666)</f>
        <v>45337.666666666599</v>
      </c>
      <c r="B2297" s="1">
        <f ca="1">IFERROR(__xludf.DUMMYFUNCTION("""COMPUTED_VALUE"""),408.14)</f>
        <v>408.14</v>
      </c>
      <c r="C2297" s="1">
        <f ca="1">IFERROR(__xludf.DUMMYFUNCTION("""COMPUTED_VALUE"""),409.13)</f>
        <v>409.13</v>
      </c>
      <c r="D2297" s="1">
        <f ca="1">IFERROR(__xludf.DUMMYFUNCTION("""COMPUTED_VALUE"""),404.29)</f>
        <v>404.29</v>
      </c>
      <c r="E2297" s="1">
        <f ca="1">IFERROR(__xludf.DUMMYFUNCTION("""COMPUTED_VALUE"""),406.56)</f>
        <v>406.56</v>
      </c>
      <c r="F2297" s="1">
        <f ca="1">IFERROR(__xludf.DUMMYFUNCTION("""COMPUTED_VALUE"""),21825525)</f>
        <v>21825525</v>
      </c>
    </row>
    <row r="2298" spans="1:6" x14ac:dyDescent="0.35">
      <c r="A2298" s="2">
        <f ca="1">IFERROR(__xludf.DUMMYFUNCTION("""COMPUTED_VALUE"""),45338.6666666666)</f>
        <v>45338.666666666599</v>
      </c>
      <c r="B2298" s="1">
        <f ca="1">IFERROR(__xludf.DUMMYFUNCTION("""COMPUTED_VALUE"""),407.96)</f>
        <v>407.96</v>
      </c>
      <c r="C2298" s="1">
        <f ca="1">IFERROR(__xludf.DUMMYFUNCTION("""COMPUTED_VALUE"""),408.29)</f>
        <v>408.29</v>
      </c>
      <c r="D2298" s="1">
        <f ca="1">IFERROR(__xludf.DUMMYFUNCTION("""COMPUTED_VALUE"""),403.44)</f>
        <v>403.44</v>
      </c>
      <c r="E2298" s="1">
        <f ca="1">IFERROR(__xludf.DUMMYFUNCTION("""COMPUTED_VALUE"""),404.06)</f>
        <v>404.06</v>
      </c>
      <c r="F2298" s="1">
        <f ca="1">IFERROR(__xludf.DUMMYFUNCTION("""COMPUTED_VALUE"""),22296495)</f>
        <v>22296495</v>
      </c>
    </row>
    <row r="2299" spans="1:6" x14ac:dyDescent="0.35">
      <c r="A2299" s="2">
        <f ca="1">IFERROR(__xludf.DUMMYFUNCTION("""COMPUTED_VALUE"""),45342.6666666666)</f>
        <v>45342.666666666599</v>
      </c>
      <c r="B2299" s="1">
        <f ca="1">IFERROR(__xludf.DUMMYFUNCTION("""COMPUTED_VALUE"""),403.24)</f>
        <v>403.24</v>
      </c>
      <c r="C2299" s="1">
        <f ca="1">IFERROR(__xludf.DUMMYFUNCTION("""COMPUTED_VALUE"""),404.49)</f>
        <v>404.49</v>
      </c>
      <c r="D2299" s="1">
        <f ca="1">IFERROR(__xludf.DUMMYFUNCTION("""COMPUTED_VALUE"""),398.01)</f>
        <v>398.01</v>
      </c>
      <c r="E2299" s="1">
        <f ca="1">IFERROR(__xludf.DUMMYFUNCTION("""COMPUTED_VALUE"""),402.79)</f>
        <v>402.79</v>
      </c>
      <c r="F2299" s="1">
        <f ca="1">IFERROR(__xludf.DUMMYFUNCTION("""COMPUTED_VALUE"""),24307915)</f>
        <v>24307915</v>
      </c>
    </row>
    <row r="2300" spans="1:6" x14ac:dyDescent="0.35">
      <c r="A2300" s="2">
        <f ca="1">IFERROR(__xludf.DUMMYFUNCTION("""COMPUTED_VALUE"""),45343.6666666666)</f>
        <v>45343.666666666599</v>
      </c>
      <c r="B2300" s="1">
        <f ca="1">IFERROR(__xludf.DUMMYFUNCTION("""COMPUTED_VALUE"""),400.17)</f>
        <v>400.17</v>
      </c>
      <c r="C2300" s="1">
        <f ca="1">IFERROR(__xludf.DUMMYFUNCTION("""COMPUTED_VALUE"""),402.29)</f>
        <v>402.29</v>
      </c>
      <c r="D2300" s="1">
        <f ca="1">IFERROR(__xludf.DUMMYFUNCTION("""COMPUTED_VALUE"""),397.22)</f>
        <v>397.22</v>
      </c>
      <c r="E2300" s="1">
        <f ca="1">IFERROR(__xludf.DUMMYFUNCTION("""COMPUTED_VALUE"""),402.18)</f>
        <v>402.18</v>
      </c>
      <c r="F2300" s="1">
        <f ca="1">IFERROR(__xludf.DUMMYFUNCTION("""COMPUTED_VALUE"""),18631072)</f>
        <v>18631072</v>
      </c>
    </row>
    <row r="2301" spans="1:6" x14ac:dyDescent="0.35">
      <c r="A2301" s="2">
        <f ca="1">IFERROR(__xludf.DUMMYFUNCTION("""COMPUTED_VALUE"""),45344.6666666666)</f>
        <v>45344.666666666599</v>
      </c>
      <c r="B2301" s="1">
        <f ca="1">IFERROR(__xludf.DUMMYFUNCTION("""COMPUTED_VALUE"""),410.19)</f>
        <v>410.19</v>
      </c>
      <c r="C2301" s="1">
        <f ca="1">IFERROR(__xludf.DUMMYFUNCTION("""COMPUTED_VALUE"""),412.83)</f>
        <v>412.83</v>
      </c>
      <c r="D2301" s="1">
        <f ca="1">IFERROR(__xludf.DUMMYFUNCTION("""COMPUTED_VALUE"""),408.57)</f>
        <v>408.57</v>
      </c>
      <c r="E2301" s="1">
        <f ca="1">IFERROR(__xludf.DUMMYFUNCTION("""COMPUTED_VALUE"""),411.65)</f>
        <v>411.65</v>
      </c>
      <c r="F2301" s="1">
        <f ca="1">IFERROR(__xludf.DUMMYFUNCTION("""COMPUTED_VALUE"""),27009869)</f>
        <v>27009869</v>
      </c>
    </row>
    <row r="2302" spans="1:6" x14ac:dyDescent="0.35">
      <c r="A2302" s="2">
        <f ca="1">IFERROR(__xludf.DUMMYFUNCTION("""COMPUTED_VALUE"""),45345.6666666666)</f>
        <v>45345.666666666599</v>
      </c>
      <c r="B2302" s="1">
        <f ca="1">IFERROR(__xludf.DUMMYFUNCTION("""COMPUTED_VALUE"""),415.67)</f>
        <v>415.67</v>
      </c>
      <c r="C2302" s="1">
        <f ca="1">IFERROR(__xludf.DUMMYFUNCTION("""COMPUTED_VALUE"""),415.86)</f>
        <v>415.86</v>
      </c>
      <c r="D2302" s="1">
        <f ca="1">IFERROR(__xludf.DUMMYFUNCTION("""COMPUTED_VALUE"""),408.97)</f>
        <v>408.97</v>
      </c>
      <c r="E2302" s="1">
        <f ca="1">IFERROR(__xludf.DUMMYFUNCTION("""COMPUTED_VALUE"""),410.34)</f>
        <v>410.34</v>
      </c>
      <c r="F2302" s="1">
        <f ca="1">IFERROR(__xludf.DUMMYFUNCTION("""COMPUTED_VALUE"""),16295879)</f>
        <v>16295879</v>
      </c>
    </row>
    <row r="2303" spans="1:6" x14ac:dyDescent="0.35">
      <c r="A2303" s="2">
        <f ca="1">IFERROR(__xludf.DUMMYFUNCTION("""COMPUTED_VALUE"""),45348.6666666666)</f>
        <v>45348.666666666599</v>
      </c>
      <c r="B2303" s="1">
        <f ca="1">IFERROR(__xludf.DUMMYFUNCTION("""COMPUTED_VALUE"""),411.46)</f>
        <v>411.46</v>
      </c>
      <c r="C2303" s="1">
        <f ca="1">IFERROR(__xludf.DUMMYFUNCTION("""COMPUTED_VALUE"""),412.16)</f>
        <v>412.16</v>
      </c>
      <c r="D2303" s="1">
        <f ca="1">IFERROR(__xludf.DUMMYFUNCTION("""COMPUTED_VALUE"""),407.36)</f>
        <v>407.36</v>
      </c>
      <c r="E2303" s="1">
        <f ca="1">IFERROR(__xludf.DUMMYFUNCTION("""COMPUTED_VALUE"""),407.54)</f>
        <v>407.54</v>
      </c>
      <c r="F2303" s="1">
        <f ca="1">IFERROR(__xludf.DUMMYFUNCTION("""COMPUTED_VALUE"""),16193505)</f>
        <v>16193505</v>
      </c>
    </row>
    <row r="2304" spans="1:6" x14ac:dyDescent="0.35">
      <c r="A2304" s="2">
        <f ca="1">IFERROR(__xludf.DUMMYFUNCTION("""COMPUTED_VALUE"""),45349.6666666666)</f>
        <v>45349.666666666599</v>
      </c>
      <c r="B2304" s="1">
        <f ca="1">IFERROR(__xludf.DUMMYFUNCTION("""COMPUTED_VALUE"""),407.99)</f>
        <v>407.99</v>
      </c>
      <c r="C2304" s="1">
        <f ca="1">IFERROR(__xludf.DUMMYFUNCTION("""COMPUTED_VALUE"""),408.32)</f>
        <v>408.32</v>
      </c>
      <c r="D2304" s="1">
        <f ca="1">IFERROR(__xludf.DUMMYFUNCTION("""COMPUTED_VALUE"""),403.85)</f>
        <v>403.85</v>
      </c>
      <c r="E2304" s="1">
        <f ca="1">IFERROR(__xludf.DUMMYFUNCTION("""COMPUTED_VALUE"""),407.48)</f>
        <v>407.48</v>
      </c>
      <c r="F2304" s="1">
        <f ca="1">IFERROR(__xludf.DUMMYFUNCTION("""COMPUTED_VALUE"""),14835827)</f>
        <v>14835827</v>
      </c>
    </row>
    <row r="2305" spans="1:6" x14ac:dyDescent="0.35">
      <c r="A2305" s="2">
        <f ca="1">IFERROR(__xludf.DUMMYFUNCTION("""COMPUTED_VALUE"""),45350.6666666666)</f>
        <v>45350.666666666599</v>
      </c>
      <c r="B2305" s="1">
        <f ca="1">IFERROR(__xludf.DUMMYFUNCTION("""COMPUTED_VALUE"""),408.18)</f>
        <v>408.18</v>
      </c>
      <c r="C2305" s="1">
        <f ca="1">IFERROR(__xludf.DUMMYFUNCTION("""COMPUTED_VALUE"""),409.3)</f>
        <v>409.3</v>
      </c>
      <c r="D2305" s="1">
        <f ca="1">IFERROR(__xludf.DUMMYFUNCTION("""COMPUTED_VALUE"""),405.32)</f>
        <v>405.32</v>
      </c>
      <c r="E2305" s="1">
        <f ca="1">IFERROR(__xludf.DUMMYFUNCTION("""COMPUTED_VALUE"""),407.72)</f>
        <v>407.72</v>
      </c>
      <c r="F2305" s="1">
        <f ca="1">IFERROR(__xludf.DUMMYFUNCTION("""COMPUTED_VALUE"""),13183125)</f>
        <v>13183125</v>
      </c>
    </row>
    <row r="2306" spans="1:6" x14ac:dyDescent="0.35">
      <c r="A2306" s="2">
        <f ca="1">IFERROR(__xludf.DUMMYFUNCTION("""COMPUTED_VALUE"""),45351.6666666666)</f>
        <v>45351.666666666599</v>
      </c>
      <c r="B2306" s="1">
        <f ca="1">IFERROR(__xludf.DUMMYFUNCTION("""COMPUTED_VALUE"""),408.64)</f>
        <v>408.64</v>
      </c>
      <c r="C2306" s="1">
        <f ca="1">IFERROR(__xludf.DUMMYFUNCTION("""COMPUTED_VALUE"""),414.2)</f>
        <v>414.2</v>
      </c>
      <c r="D2306" s="1">
        <f ca="1">IFERROR(__xludf.DUMMYFUNCTION("""COMPUTED_VALUE"""),405.92)</f>
        <v>405.92</v>
      </c>
      <c r="E2306" s="1">
        <f ca="1">IFERROR(__xludf.DUMMYFUNCTION("""COMPUTED_VALUE"""),413.64)</f>
        <v>413.64</v>
      </c>
      <c r="F2306" s="1">
        <f ca="1">IFERROR(__xludf.DUMMYFUNCTION("""COMPUTED_VALUE"""),31947263)</f>
        <v>31947263</v>
      </c>
    </row>
    <row r="2307" spans="1:6" x14ac:dyDescent="0.35">
      <c r="A2307" s="2">
        <f ca="1">IFERROR(__xludf.DUMMYFUNCTION("""COMPUTED_VALUE"""),45352.6666666666)</f>
        <v>45352.666666666599</v>
      </c>
      <c r="B2307" s="1">
        <f ca="1">IFERROR(__xludf.DUMMYFUNCTION("""COMPUTED_VALUE"""),411.27)</f>
        <v>411.27</v>
      </c>
      <c r="C2307" s="1">
        <f ca="1">IFERROR(__xludf.DUMMYFUNCTION("""COMPUTED_VALUE"""),415.87)</f>
        <v>415.87</v>
      </c>
      <c r="D2307" s="1">
        <f ca="1">IFERROR(__xludf.DUMMYFUNCTION("""COMPUTED_VALUE"""),410.88)</f>
        <v>410.88</v>
      </c>
      <c r="E2307" s="1">
        <f ca="1">IFERROR(__xludf.DUMMYFUNCTION("""COMPUTED_VALUE"""),415.5)</f>
        <v>415.5</v>
      </c>
      <c r="F2307" s="1">
        <f ca="1">IFERROR(__xludf.DUMMYFUNCTION("""COMPUTED_VALUE"""),17823445)</f>
        <v>17823445</v>
      </c>
    </row>
    <row r="2308" spans="1:6" x14ac:dyDescent="0.35">
      <c r="A2308" s="2">
        <f ca="1">IFERROR(__xludf.DUMMYFUNCTION("""COMPUTED_VALUE"""),45355.6666666666)</f>
        <v>45355.666666666599</v>
      </c>
      <c r="B2308" s="1">
        <f ca="1">IFERROR(__xludf.DUMMYFUNCTION("""COMPUTED_VALUE"""),413.44)</f>
        <v>413.44</v>
      </c>
      <c r="C2308" s="1">
        <f ca="1">IFERROR(__xludf.DUMMYFUNCTION("""COMPUTED_VALUE"""),417.35)</f>
        <v>417.35</v>
      </c>
      <c r="D2308" s="1">
        <f ca="1">IFERROR(__xludf.DUMMYFUNCTION("""COMPUTED_VALUE"""),412.32)</f>
        <v>412.32</v>
      </c>
      <c r="E2308" s="1">
        <f ca="1">IFERROR(__xludf.DUMMYFUNCTION("""COMPUTED_VALUE"""),414.92)</f>
        <v>414.92</v>
      </c>
      <c r="F2308" s="1">
        <f ca="1">IFERROR(__xludf.DUMMYFUNCTION("""COMPUTED_VALUE"""),17595956)</f>
        <v>17595956</v>
      </c>
    </row>
    <row r="2309" spans="1:6" x14ac:dyDescent="0.35">
      <c r="A2309" s="2">
        <f ca="1">IFERROR(__xludf.DUMMYFUNCTION("""COMPUTED_VALUE"""),45356.6666666666)</f>
        <v>45356.666666666599</v>
      </c>
      <c r="B2309" s="1">
        <f ca="1">IFERROR(__xludf.DUMMYFUNCTION("""COMPUTED_VALUE"""),413.96)</f>
        <v>413.96</v>
      </c>
      <c r="C2309" s="1">
        <f ca="1">IFERROR(__xludf.DUMMYFUNCTION("""COMPUTED_VALUE"""),414.25)</f>
        <v>414.25</v>
      </c>
      <c r="D2309" s="1">
        <f ca="1">IFERROR(__xludf.DUMMYFUNCTION("""COMPUTED_VALUE"""),400.64)</f>
        <v>400.64</v>
      </c>
      <c r="E2309" s="1">
        <f ca="1">IFERROR(__xludf.DUMMYFUNCTION("""COMPUTED_VALUE"""),402.65)</f>
        <v>402.65</v>
      </c>
      <c r="F2309" s="1">
        <f ca="1">IFERROR(__xludf.DUMMYFUNCTION("""COMPUTED_VALUE"""),26919177)</f>
        <v>26919177</v>
      </c>
    </row>
    <row r="2310" spans="1:6" x14ac:dyDescent="0.35">
      <c r="A2310" s="2">
        <f ca="1">IFERROR(__xludf.DUMMYFUNCTION("""COMPUTED_VALUE"""),45357.6666666666)</f>
        <v>45357.666666666599</v>
      </c>
      <c r="B2310" s="1">
        <f ca="1">IFERROR(__xludf.DUMMYFUNCTION("""COMPUTED_VALUE"""),402.97)</f>
        <v>402.97</v>
      </c>
      <c r="C2310" s="1">
        <f ca="1">IFERROR(__xludf.DUMMYFUNCTION("""COMPUTED_VALUE"""),405.16)</f>
        <v>405.16</v>
      </c>
      <c r="D2310" s="1">
        <f ca="1">IFERROR(__xludf.DUMMYFUNCTION("""COMPUTED_VALUE"""),398.39)</f>
        <v>398.39</v>
      </c>
      <c r="E2310" s="1">
        <f ca="1">IFERROR(__xludf.DUMMYFUNCTION("""COMPUTED_VALUE"""),402.09)</f>
        <v>402.09</v>
      </c>
      <c r="F2310" s="1">
        <f ca="1">IFERROR(__xludf.DUMMYFUNCTION("""COMPUTED_VALUE"""),22344149)</f>
        <v>22344149</v>
      </c>
    </row>
    <row r="2311" spans="1:6" x14ac:dyDescent="0.35">
      <c r="A2311" s="2">
        <f ca="1">IFERROR(__xludf.DUMMYFUNCTION("""COMPUTED_VALUE"""),45358.6666666666)</f>
        <v>45358.666666666599</v>
      </c>
      <c r="B2311" s="1">
        <f ca="1">IFERROR(__xludf.DUMMYFUNCTION("""COMPUTED_VALUE"""),406.12)</f>
        <v>406.12</v>
      </c>
      <c r="C2311" s="1">
        <f ca="1">IFERROR(__xludf.DUMMYFUNCTION("""COMPUTED_VALUE"""),409.78)</f>
        <v>409.78</v>
      </c>
      <c r="D2311" s="1">
        <f ca="1">IFERROR(__xludf.DUMMYFUNCTION("""COMPUTED_VALUE"""),402.24)</f>
        <v>402.24</v>
      </c>
      <c r="E2311" s="1">
        <f ca="1">IFERROR(__xludf.DUMMYFUNCTION("""COMPUTED_VALUE"""),409.14)</f>
        <v>409.14</v>
      </c>
      <c r="F2311" s="1">
        <f ca="1">IFERROR(__xludf.DUMMYFUNCTION("""COMPUTED_VALUE"""),18718479)</f>
        <v>18718479</v>
      </c>
    </row>
    <row r="2312" spans="1:6" x14ac:dyDescent="0.35">
      <c r="A2312" s="2">
        <f ca="1">IFERROR(__xludf.DUMMYFUNCTION("""COMPUTED_VALUE"""),45359.6666666666)</f>
        <v>45359.666666666599</v>
      </c>
      <c r="B2312" s="1">
        <f ca="1">IFERROR(__xludf.DUMMYFUNCTION("""COMPUTED_VALUE"""),407.96)</f>
        <v>407.96</v>
      </c>
      <c r="C2312" s="1">
        <f ca="1">IFERROR(__xludf.DUMMYFUNCTION("""COMPUTED_VALUE"""),410.42)</f>
        <v>410.42</v>
      </c>
      <c r="D2312" s="1">
        <f ca="1">IFERROR(__xludf.DUMMYFUNCTION("""COMPUTED_VALUE"""),404.33)</f>
        <v>404.33</v>
      </c>
      <c r="E2312" s="1">
        <f ca="1">IFERROR(__xludf.DUMMYFUNCTION("""COMPUTED_VALUE"""),406.22)</f>
        <v>406.22</v>
      </c>
      <c r="F2312" s="1">
        <f ca="1">IFERROR(__xludf.DUMMYFUNCTION("""COMPUTED_VALUE"""),18002186)</f>
        <v>18002186</v>
      </c>
    </row>
    <row r="2313" spans="1:6" x14ac:dyDescent="0.35">
      <c r="A2313" s="2">
        <f ca="1">IFERROR(__xludf.DUMMYFUNCTION("""COMPUTED_VALUE"""),45362.6666666666)</f>
        <v>45362.666666666599</v>
      </c>
      <c r="B2313" s="1">
        <f ca="1">IFERROR(__xludf.DUMMYFUNCTION("""COMPUTED_VALUE"""),403.76)</f>
        <v>403.76</v>
      </c>
      <c r="C2313" s="1">
        <f ca="1">IFERROR(__xludf.DUMMYFUNCTION("""COMPUTED_VALUE"""),405.68)</f>
        <v>405.68</v>
      </c>
      <c r="D2313" s="1">
        <f ca="1">IFERROR(__xludf.DUMMYFUNCTION("""COMPUTED_VALUE"""),401.26)</f>
        <v>401.26</v>
      </c>
      <c r="E2313" s="1">
        <f ca="1">IFERROR(__xludf.DUMMYFUNCTION("""COMPUTED_VALUE"""),404.52)</f>
        <v>404.52</v>
      </c>
      <c r="F2313" s="1">
        <f ca="1">IFERROR(__xludf.DUMMYFUNCTION("""COMPUTED_VALUE"""),16120752)</f>
        <v>16120752</v>
      </c>
    </row>
    <row r="2314" spans="1:6" x14ac:dyDescent="0.35">
      <c r="A2314" s="2">
        <f ca="1">IFERROR(__xludf.DUMMYFUNCTION("""COMPUTED_VALUE"""),45363.6666666666)</f>
        <v>45363.666666666599</v>
      </c>
      <c r="B2314" s="1">
        <f ca="1">IFERROR(__xludf.DUMMYFUNCTION("""COMPUTED_VALUE"""),407.62)</f>
        <v>407.62</v>
      </c>
      <c r="C2314" s="1">
        <f ca="1">IFERROR(__xludf.DUMMYFUNCTION("""COMPUTED_VALUE"""),415.57)</f>
        <v>415.57</v>
      </c>
      <c r="D2314" s="1">
        <f ca="1">IFERROR(__xludf.DUMMYFUNCTION("""COMPUTED_VALUE"""),406.79)</f>
        <v>406.79</v>
      </c>
      <c r="E2314" s="1">
        <f ca="1">IFERROR(__xludf.DUMMYFUNCTION("""COMPUTED_VALUE"""),415.28)</f>
        <v>415.28</v>
      </c>
      <c r="F2314" s="1">
        <f ca="1">IFERROR(__xludf.DUMMYFUNCTION("""COMPUTED_VALUE"""),22457003)</f>
        <v>22457003</v>
      </c>
    </row>
    <row r="2315" spans="1:6" x14ac:dyDescent="0.35">
      <c r="A2315" s="2">
        <f ca="1">IFERROR(__xludf.DUMMYFUNCTION("""COMPUTED_VALUE"""),45364.6666666666)</f>
        <v>45364.666666666599</v>
      </c>
      <c r="B2315" s="1">
        <f ca="1">IFERROR(__xludf.DUMMYFUNCTION("""COMPUTED_VALUE"""),418.1)</f>
        <v>418.1</v>
      </c>
      <c r="C2315" s="1">
        <f ca="1">IFERROR(__xludf.DUMMYFUNCTION("""COMPUTED_VALUE"""),418.18)</f>
        <v>418.18</v>
      </c>
      <c r="D2315" s="1">
        <f ca="1">IFERROR(__xludf.DUMMYFUNCTION("""COMPUTED_VALUE"""),411.45)</f>
        <v>411.45</v>
      </c>
      <c r="E2315" s="1">
        <f ca="1">IFERROR(__xludf.DUMMYFUNCTION("""COMPUTED_VALUE"""),415.1)</f>
        <v>415.1</v>
      </c>
      <c r="F2315" s="1">
        <f ca="1">IFERROR(__xludf.DUMMYFUNCTION("""COMPUTED_VALUE"""),17115931)</f>
        <v>17115931</v>
      </c>
    </row>
    <row r="2316" spans="1:6" x14ac:dyDescent="0.35">
      <c r="A2316" s="2">
        <f ca="1">IFERROR(__xludf.DUMMYFUNCTION("""COMPUTED_VALUE"""),45365.6666666666)</f>
        <v>45365.666666666599</v>
      </c>
      <c r="B2316" s="1">
        <f ca="1">IFERROR(__xludf.DUMMYFUNCTION("""COMPUTED_VALUE"""),420.24)</f>
        <v>420.24</v>
      </c>
      <c r="C2316" s="1">
        <f ca="1">IFERROR(__xludf.DUMMYFUNCTION("""COMPUTED_VALUE"""),427.82)</f>
        <v>427.82</v>
      </c>
      <c r="D2316" s="1">
        <f ca="1">IFERROR(__xludf.DUMMYFUNCTION("""COMPUTED_VALUE"""),417.99)</f>
        <v>417.99</v>
      </c>
      <c r="E2316" s="1">
        <f ca="1">IFERROR(__xludf.DUMMYFUNCTION("""COMPUTED_VALUE"""),425.22)</f>
        <v>425.22</v>
      </c>
      <c r="F2316" s="1">
        <f ca="1">IFERROR(__xludf.DUMMYFUNCTION("""COMPUTED_VALUE"""),34157299)</f>
        <v>34157299</v>
      </c>
    </row>
    <row r="2317" spans="1:6" x14ac:dyDescent="0.35">
      <c r="A2317" s="2">
        <f ca="1">IFERROR(__xludf.DUMMYFUNCTION("""COMPUTED_VALUE"""),45366.6666666666)</f>
        <v>45366.666666666599</v>
      </c>
      <c r="B2317" s="1">
        <f ca="1">IFERROR(__xludf.DUMMYFUNCTION("""COMPUTED_VALUE"""),419.29)</f>
        <v>419.29</v>
      </c>
      <c r="C2317" s="1">
        <f ca="1">IFERROR(__xludf.DUMMYFUNCTION("""COMPUTED_VALUE"""),422.6)</f>
        <v>422.6</v>
      </c>
      <c r="D2317" s="1">
        <f ca="1">IFERROR(__xludf.DUMMYFUNCTION("""COMPUTED_VALUE"""),412.79)</f>
        <v>412.79</v>
      </c>
      <c r="E2317" s="1">
        <f ca="1">IFERROR(__xludf.DUMMYFUNCTION("""COMPUTED_VALUE"""),416.42)</f>
        <v>416.42</v>
      </c>
      <c r="F2317" s="1">
        <f ca="1">IFERROR(__xludf.DUMMYFUNCTION("""COMPUTED_VALUE"""),45079903)</f>
        <v>45079903</v>
      </c>
    </row>
    <row r="2318" spans="1:6" x14ac:dyDescent="0.35">
      <c r="A2318" s="2">
        <f ca="1">IFERROR(__xludf.DUMMYFUNCTION("""COMPUTED_VALUE"""),45369.6666666666)</f>
        <v>45369.666666666599</v>
      </c>
      <c r="B2318" s="1">
        <f ca="1">IFERROR(__xludf.DUMMYFUNCTION("""COMPUTED_VALUE"""),414.25)</f>
        <v>414.25</v>
      </c>
      <c r="C2318" s="1">
        <f ca="1">IFERROR(__xludf.DUMMYFUNCTION("""COMPUTED_VALUE"""),420.73)</f>
        <v>420.73</v>
      </c>
      <c r="D2318" s="1">
        <f ca="1">IFERROR(__xludf.DUMMYFUNCTION("""COMPUTED_VALUE"""),413.78)</f>
        <v>413.78</v>
      </c>
      <c r="E2318" s="1">
        <f ca="1">IFERROR(__xludf.DUMMYFUNCTION("""COMPUTED_VALUE"""),417.32)</f>
        <v>417.32</v>
      </c>
      <c r="F2318" s="1">
        <f ca="1">IFERROR(__xludf.DUMMYFUNCTION("""COMPUTED_VALUE"""),20105977)</f>
        <v>20105977</v>
      </c>
    </row>
    <row r="2319" spans="1:6" x14ac:dyDescent="0.35">
      <c r="A2319" s="2">
        <f ca="1">IFERROR(__xludf.DUMMYFUNCTION("""COMPUTED_VALUE"""),45370.6666666666)</f>
        <v>45370.666666666599</v>
      </c>
      <c r="B2319" s="1">
        <f ca="1">IFERROR(__xludf.DUMMYFUNCTION("""COMPUTED_VALUE"""),417.83)</f>
        <v>417.83</v>
      </c>
      <c r="C2319" s="1">
        <f ca="1">IFERROR(__xludf.DUMMYFUNCTION("""COMPUTED_VALUE"""),421.67)</f>
        <v>421.67</v>
      </c>
      <c r="D2319" s="1">
        <f ca="1">IFERROR(__xludf.DUMMYFUNCTION("""COMPUTED_VALUE"""),415.55)</f>
        <v>415.55</v>
      </c>
      <c r="E2319" s="1">
        <f ca="1">IFERROR(__xludf.DUMMYFUNCTION("""COMPUTED_VALUE"""),421.41)</f>
        <v>421.41</v>
      </c>
      <c r="F2319" s="1">
        <f ca="1">IFERROR(__xludf.DUMMYFUNCTION("""COMPUTED_VALUE"""),19837915)</f>
        <v>19837915</v>
      </c>
    </row>
    <row r="2320" spans="1:6" x14ac:dyDescent="0.35">
      <c r="A2320" s="2">
        <f ca="1">IFERROR(__xludf.DUMMYFUNCTION("""COMPUTED_VALUE"""),45371.6666666666)</f>
        <v>45371.666666666599</v>
      </c>
      <c r="B2320" s="1">
        <f ca="1">IFERROR(__xludf.DUMMYFUNCTION("""COMPUTED_VALUE"""),422)</f>
        <v>422</v>
      </c>
      <c r="C2320" s="1">
        <f ca="1">IFERROR(__xludf.DUMMYFUNCTION("""COMPUTED_VALUE"""),425.96)</f>
        <v>425.96</v>
      </c>
      <c r="D2320" s="1">
        <f ca="1">IFERROR(__xludf.DUMMYFUNCTION("""COMPUTED_VALUE"""),420.66)</f>
        <v>420.66</v>
      </c>
      <c r="E2320" s="1">
        <f ca="1">IFERROR(__xludf.DUMMYFUNCTION("""COMPUTED_VALUE"""),425.23)</f>
        <v>425.23</v>
      </c>
      <c r="F2320" s="1">
        <f ca="1">IFERROR(__xludf.DUMMYFUNCTION("""COMPUTED_VALUE"""),17860085)</f>
        <v>17860085</v>
      </c>
    </row>
    <row r="2321" spans="1:6" x14ac:dyDescent="0.35">
      <c r="A2321" s="2">
        <f ca="1">IFERROR(__xludf.DUMMYFUNCTION("""COMPUTED_VALUE"""),45372.6666666666)</f>
        <v>45372.666666666599</v>
      </c>
      <c r="B2321" s="1">
        <f ca="1">IFERROR(__xludf.DUMMYFUNCTION("""COMPUTED_VALUE"""),429.83)</f>
        <v>429.83</v>
      </c>
      <c r="C2321" s="1">
        <f ca="1">IFERROR(__xludf.DUMMYFUNCTION("""COMPUTED_VALUE"""),430.82)</f>
        <v>430.82</v>
      </c>
      <c r="D2321" s="1">
        <f ca="1">IFERROR(__xludf.DUMMYFUNCTION("""COMPUTED_VALUE"""),427.16)</f>
        <v>427.16</v>
      </c>
      <c r="E2321" s="1">
        <f ca="1">IFERROR(__xludf.DUMMYFUNCTION("""COMPUTED_VALUE"""),429.37)</f>
        <v>429.37</v>
      </c>
      <c r="F2321" s="1">
        <f ca="1">IFERROR(__xludf.DUMMYFUNCTION("""COMPUTED_VALUE"""),21296222)</f>
        <v>21296222</v>
      </c>
    </row>
    <row r="2322" spans="1:6" x14ac:dyDescent="0.35">
      <c r="A2322" s="2">
        <f ca="1">IFERROR(__xludf.DUMMYFUNCTION("""COMPUTED_VALUE"""),45373.6666666666)</f>
        <v>45373.666666666599</v>
      </c>
      <c r="B2322" s="1">
        <f ca="1">IFERROR(__xludf.DUMMYFUNCTION("""COMPUTED_VALUE"""),429.7)</f>
        <v>429.7</v>
      </c>
      <c r="C2322" s="1">
        <f ca="1">IFERROR(__xludf.DUMMYFUNCTION("""COMPUTED_VALUE"""),429.86)</f>
        <v>429.86</v>
      </c>
      <c r="D2322" s="1">
        <f ca="1">IFERROR(__xludf.DUMMYFUNCTION("""COMPUTED_VALUE"""),426.07)</f>
        <v>426.07</v>
      </c>
      <c r="E2322" s="1">
        <f ca="1">IFERROR(__xludf.DUMMYFUNCTION("""COMPUTED_VALUE"""),428.74)</f>
        <v>428.74</v>
      </c>
      <c r="F2322" s="1">
        <f ca="1">IFERROR(__xludf.DUMMYFUNCTION("""COMPUTED_VALUE"""),17648473)</f>
        <v>17648473</v>
      </c>
    </row>
    <row r="2323" spans="1:6" x14ac:dyDescent="0.35">
      <c r="A2323" s="2">
        <f ca="1">IFERROR(__xludf.DUMMYFUNCTION("""COMPUTED_VALUE"""),45376.6666666666)</f>
        <v>45376.666666666599</v>
      </c>
      <c r="B2323" s="1">
        <f ca="1">IFERROR(__xludf.DUMMYFUNCTION("""COMPUTED_VALUE"""),425.24)</f>
        <v>425.24</v>
      </c>
      <c r="C2323" s="1">
        <f ca="1">IFERROR(__xludf.DUMMYFUNCTION("""COMPUTED_VALUE"""),427.41)</f>
        <v>427.41</v>
      </c>
      <c r="D2323" s="1">
        <f ca="1">IFERROR(__xludf.DUMMYFUNCTION("""COMPUTED_VALUE"""),421.61)</f>
        <v>421.61</v>
      </c>
      <c r="E2323" s="1">
        <f ca="1">IFERROR(__xludf.DUMMYFUNCTION("""COMPUTED_VALUE"""),422.86)</f>
        <v>422.86</v>
      </c>
      <c r="F2323" s="1">
        <f ca="1">IFERROR(__xludf.DUMMYFUNCTION("""COMPUTED_VALUE"""),18060450)</f>
        <v>18060450</v>
      </c>
    </row>
    <row r="2324" spans="1:6" x14ac:dyDescent="0.35">
      <c r="A2324" s="2">
        <f ca="1">IFERROR(__xludf.DUMMYFUNCTION("""COMPUTED_VALUE"""),45377.6666666666)</f>
        <v>45377.666666666599</v>
      </c>
      <c r="B2324" s="1">
        <f ca="1">IFERROR(__xludf.DUMMYFUNCTION("""COMPUTED_VALUE"""),425.61)</f>
        <v>425.61</v>
      </c>
      <c r="C2324" s="1">
        <f ca="1">IFERROR(__xludf.DUMMYFUNCTION("""COMPUTED_VALUE"""),425.99)</f>
        <v>425.99</v>
      </c>
      <c r="D2324" s="1">
        <f ca="1">IFERROR(__xludf.DUMMYFUNCTION("""COMPUTED_VALUE"""),421.35)</f>
        <v>421.35</v>
      </c>
      <c r="E2324" s="1">
        <f ca="1">IFERROR(__xludf.DUMMYFUNCTION("""COMPUTED_VALUE"""),421.65)</f>
        <v>421.65</v>
      </c>
      <c r="F2324" s="1">
        <f ca="1">IFERROR(__xludf.DUMMYFUNCTION("""COMPUTED_VALUE"""),16725647)</f>
        <v>16725647</v>
      </c>
    </row>
    <row r="2325" spans="1:6" x14ac:dyDescent="0.35">
      <c r="A2325" s="2">
        <f ca="1">IFERROR(__xludf.DUMMYFUNCTION("""COMPUTED_VALUE"""),45378.6666666666)</f>
        <v>45378.666666666599</v>
      </c>
      <c r="B2325" s="1">
        <f ca="1">IFERROR(__xludf.DUMMYFUNCTION("""COMPUTED_VALUE"""),424.44)</f>
        <v>424.44</v>
      </c>
      <c r="C2325" s="1">
        <f ca="1">IFERROR(__xludf.DUMMYFUNCTION("""COMPUTED_VALUE"""),424.45)</f>
        <v>424.45</v>
      </c>
      <c r="D2325" s="1">
        <f ca="1">IFERROR(__xludf.DUMMYFUNCTION("""COMPUTED_VALUE"""),419.01)</f>
        <v>419.01</v>
      </c>
      <c r="E2325" s="1">
        <f ca="1">IFERROR(__xludf.DUMMYFUNCTION("""COMPUTED_VALUE"""),421.43)</f>
        <v>421.43</v>
      </c>
      <c r="F2325" s="1">
        <f ca="1">IFERROR(__xludf.DUMMYFUNCTION("""COMPUTED_VALUE"""),16704978)</f>
        <v>16704978</v>
      </c>
    </row>
    <row r="2326" spans="1:6" x14ac:dyDescent="0.35">
      <c r="A2326" s="2">
        <f ca="1">IFERROR(__xludf.DUMMYFUNCTION("""COMPUTED_VALUE"""),45379.6666666666)</f>
        <v>45379.666666666599</v>
      </c>
      <c r="B2326" s="1">
        <f ca="1">IFERROR(__xludf.DUMMYFUNCTION("""COMPUTED_VALUE"""),420.96)</f>
        <v>420.96</v>
      </c>
      <c r="C2326" s="1">
        <f ca="1">IFERROR(__xludf.DUMMYFUNCTION("""COMPUTED_VALUE"""),421.87)</f>
        <v>421.87</v>
      </c>
      <c r="D2326" s="1">
        <f ca="1">IFERROR(__xludf.DUMMYFUNCTION("""COMPUTED_VALUE"""),419.12)</f>
        <v>419.12</v>
      </c>
      <c r="E2326" s="1">
        <f ca="1">IFERROR(__xludf.DUMMYFUNCTION("""COMPUTED_VALUE"""),420.72)</f>
        <v>420.72</v>
      </c>
      <c r="F2326" s="1">
        <f ca="1">IFERROR(__xludf.DUMMYFUNCTION("""COMPUTED_VALUE"""),21871161)</f>
        <v>21871161</v>
      </c>
    </row>
    <row r="2327" spans="1:6" x14ac:dyDescent="0.35">
      <c r="A2327" s="2">
        <f ca="1">IFERROR(__xludf.DUMMYFUNCTION("""COMPUTED_VALUE"""),45383.6666666666)</f>
        <v>45383.666666666599</v>
      </c>
      <c r="B2327" s="1">
        <f ca="1">IFERROR(__xludf.DUMMYFUNCTION("""COMPUTED_VALUE"""),423.95)</f>
        <v>423.95</v>
      </c>
      <c r="C2327" s="1">
        <f ca="1">IFERROR(__xludf.DUMMYFUNCTION("""COMPUTED_VALUE"""),427.89)</f>
        <v>427.89</v>
      </c>
      <c r="D2327" s="1">
        <f ca="1">IFERROR(__xludf.DUMMYFUNCTION("""COMPUTED_VALUE"""),422.22)</f>
        <v>422.22</v>
      </c>
      <c r="E2327" s="1">
        <f ca="1">IFERROR(__xludf.DUMMYFUNCTION("""COMPUTED_VALUE"""),424.57)</f>
        <v>424.57</v>
      </c>
      <c r="F2327" s="1">
        <f ca="1">IFERROR(__xludf.DUMMYFUNCTION("""COMPUTED_VALUE"""),16315961)</f>
        <v>16315961</v>
      </c>
    </row>
    <row r="2328" spans="1:6" x14ac:dyDescent="0.35">
      <c r="A2328" s="2">
        <f ca="1">IFERROR(__xludf.DUMMYFUNCTION("""COMPUTED_VALUE"""),45384.6666666666)</f>
        <v>45384.666666666599</v>
      </c>
      <c r="B2328" s="1">
        <f ca="1">IFERROR(__xludf.DUMMYFUNCTION("""COMPUTED_VALUE"""),420.11)</f>
        <v>420.11</v>
      </c>
      <c r="C2328" s="1">
        <f ca="1">IFERROR(__xludf.DUMMYFUNCTION("""COMPUTED_VALUE"""),422.38)</f>
        <v>422.38</v>
      </c>
      <c r="D2328" s="1">
        <f ca="1">IFERROR(__xludf.DUMMYFUNCTION("""COMPUTED_VALUE"""),417.84)</f>
        <v>417.84</v>
      </c>
      <c r="E2328" s="1">
        <f ca="1">IFERROR(__xludf.DUMMYFUNCTION("""COMPUTED_VALUE"""),421.44)</f>
        <v>421.44</v>
      </c>
      <c r="F2328" s="1">
        <f ca="1">IFERROR(__xludf.DUMMYFUNCTION("""COMPUTED_VALUE"""),17911992)</f>
        <v>17911992</v>
      </c>
    </row>
    <row r="2329" spans="1:6" x14ac:dyDescent="0.35">
      <c r="A2329" s="2">
        <f ca="1">IFERROR(__xludf.DUMMYFUNCTION("""COMPUTED_VALUE"""),45385.6666666666)</f>
        <v>45385.666666666599</v>
      </c>
      <c r="B2329" s="1">
        <f ca="1">IFERROR(__xludf.DUMMYFUNCTION("""COMPUTED_VALUE"""),419.73)</f>
        <v>419.73</v>
      </c>
      <c r="C2329" s="1">
        <f ca="1">IFERROR(__xludf.DUMMYFUNCTION("""COMPUTED_VALUE"""),423.26)</f>
        <v>423.26</v>
      </c>
      <c r="D2329" s="1">
        <f ca="1">IFERROR(__xludf.DUMMYFUNCTION("""COMPUTED_VALUE"""),419.09)</f>
        <v>419.09</v>
      </c>
      <c r="E2329" s="1">
        <f ca="1">IFERROR(__xludf.DUMMYFUNCTION("""COMPUTED_VALUE"""),420.45)</f>
        <v>420.45</v>
      </c>
      <c r="F2329" s="1">
        <f ca="1">IFERROR(__xludf.DUMMYFUNCTION("""COMPUTED_VALUE"""),16502264)</f>
        <v>16502264</v>
      </c>
    </row>
    <row r="2330" spans="1:6" x14ac:dyDescent="0.35">
      <c r="A2330" s="2">
        <f ca="1">IFERROR(__xludf.DUMMYFUNCTION("""COMPUTED_VALUE"""),45386.6666666666)</f>
        <v>45386.666666666599</v>
      </c>
      <c r="B2330" s="1">
        <f ca="1">IFERROR(__xludf.DUMMYFUNCTION("""COMPUTED_VALUE"""),424.99)</f>
        <v>424.99</v>
      </c>
      <c r="C2330" s="1">
        <f ca="1">IFERROR(__xludf.DUMMYFUNCTION("""COMPUTED_VALUE"""),428.67)</f>
        <v>428.67</v>
      </c>
      <c r="D2330" s="1">
        <f ca="1">IFERROR(__xludf.DUMMYFUNCTION("""COMPUTED_VALUE"""),417.57)</f>
        <v>417.57</v>
      </c>
      <c r="E2330" s="1">
        <f ca="1">IFERROR(__xludf.DUMMYFUNCTION("""COMPUTED_VALUE"""),417.88)</f>
        <v>417.88</v>
      </c>
      <c r="F2330" s="1">
        <f ca="1">IFERROR(__xludf.DUMMYFUNCTION("""COMPUTED_VALUE"""),19370875)</f>
        <v>19370875</v>
      </c>
    </row>
    <row r="2331" spans="1:6" x14ac:dyDescent="0.35">
      <c r="A2331" s="2">
        <f ca="1">IFERROR(__xludf.DUMMYFUNCTION("""COMPUTED_VALUE"""),45387.6666666666)</f>
        <v>45387.666666666599</v>
      </c>
      <c r="B2331" s="1">
        <f ca="1">IFERROR(__xludf.DUMMYFUNCTION("""COMPUTED_VALUE"""),420.01)</f>
        <v>420.01</v>
      </c>
      <c r="C2331" s="1">
        <f ca="1">IFERROR(__xludf.DUMMYFUNCTION("""COMPUTED_VALUE"""),426.51)</f>
        <v>426.51</v>
      </c>
      <c r="D2331" s="1">
        <f ca="1">IFERROR(__xludf.DUMMYFUNCTION("""COMPUTED_VALUE"""),418.32)</f>
        <v>418.32</v>
      </c>
      <c r="E2331" s="1">
        <f ca="1">IFERROR(__xludf.DUMMYFUNCTION("""COMPUTED_VALUE"""),425.52)</f>
        <v>425.52</v>
      </c>
      <c r="F2331" s="1">
        <f ca="1">IFERROR(__xludf.DUMMYFUNCTION("""COMPUTED_VALUE"""),16554761)</f>
        <v>16554761</v>
      </c>
    </row>
    <row r="2332" spans="1:6" x14ac:dyDescent="0.35">
      <c r="A2332" s="2">
        <f ca="1">IFERROR(__xludf.DUMMYFUNCTION("""COMPUTED_VALUE"""),45390.6666666666)</f>
        <v>45390.666666666599</v>
      </c>
      <c r="B2332" s="1">
        <f ca="1">IFERROR(__xludf.DUMMYFUNCTION("""COMPUTED_VALUE"""),425.17)</f>
        <v>425.17</v>
      </c>
      <c r="C2332" s="1">
        <f ca="1">IFERROR(__xludf.DUMMYFUNCTION("""COMPUTED_VALUE"""),427.28)</f>
        <v>427.28</v>
      </c>
      <c r="D2332" s="1">
        <f ca="1">IFERROR(__xludf.DUMMYFUNCTION("""COMPUTED_VALUE"""),423.3)</f>
        <v>423.3</v>
      </c>
      <c r="E2332" s="1">
        <f ca="1">IFERROR(__xludf.DUMMYFUNCTION("""COMPUTED_VALUE"""),424.59)</f>
        <v>424.59</v>
      </c>
      <c r="F2332" s="1">
        <f ca="1">IFERROR(__xludf.DUMMYFUNCTION("""COMPUTED_VALUE"""),14272387)</f>
        <v>14272387</v>
      </c>
    </row>
    <row r="2333" spans="1:6" x14ac:dyDescent="0.35">
      <c r="A2333" s="2">
        <f ca="1">IFERROR(__xludf.DUMMYFUNCTION("""COMPUTED_VALUE"""),45391.6666666666)</f>
        <v>45391.666666666599</v>
      </c>
      <c r="B2333" s="1">
        <f ca="1">IFERROR(__xludf.DUMMYFUNCTION("""COMPUTED_VALUE"""),426.44)</f>
        <v>426.44</v>
      </c>
      <c r="C2333" s="1">
        <f ca="1">IFERROR(__xludf.DUMMYFUNCTION("""COMPUTED_VALUE"""),427.74)</f>
        <v>427.74</v>
      </c>
      <c r="D2333" s="1">
        <f ca="1">IFERROR(__xludf.DUMMYFUNCTION("""COMPUTED_VALUE"""),421.62)</f>
        <v>421.62</v>
      </c>
      <c r="E2333" s="1">
        <f ca="1">IFERROR(__xludf.DUMMYFUNCTION("""COMPUTED_VALUE"""),426.28)</f>
        <v>426.28</v>
      </c>
      <c r="F2333" s="1">
        <f ca="1">IFERROR(__xludf.DUMMYFUNCTION("""COMPUTED_VALUE"""),12512289)</f>
        <v>12512289</v>
      </c>
    </row>
    <row r="2334" spans="1:6" x14ac:dyDescent="0.35">
      <c r="A2334" s="2">
        <f ca="1">IFERROR(__xludf.DUMMYFUNCTION("""COMPUTED_VALUE"""),45392.6666666666)</f>
        <v>45392.666666666599</v>
      </c>
      <c r="B2334" s="1">
        <f ca="1">IFERROR(__xludf.DUMMYFUNCTION("""COMPUTED_VALUE"""),422.19)</f>
        <v>422.19</v>
      </c>
      <c r="C2334" s="1">
        <f ca="1">IFERROR(__xludf.DUMMYFUNCTION("""COMPUTED_VALUE"""),424.03)</f>
        <v>424.03</v>
      </c>
      <c r="D2334" s="1">
        <f ca="1">IFERROR(__xludf.DUMMYFUNCTION("""COMPUTED_VALUE"""),419.7)</f>
        <v>419.7</v>
      </c>
      <c r="E2334" s="1">
        <f ca="1">IFERROR(__xludf.DUMMYFUNCTION("""COMPUTED_VALUE"""),423.26)</f>
        <v>423.26</v>
      </c>
      <c r="F2334" s="1">
        <f ca="1">IFERROR(__xludf.DUMMYFUNCTION("""COMPUTED_VALUE"""),16216581)</f>
        <v>16216581</v>
      </c>
    </row>
    <row r="2335" spans="1:6" x14ac:dyDescent="0.35">
      <c r="A2335" s="2">
        <f ca="1">IFERROR(__xludf.DUMMYFUNCTION("""COMPUTED_VALUE"""),45393.6666666666)</f>
        <v>45393.666666666599</v>
      </c>
      <c r="B2335" s="1">
        <f ca="1">IFERROR(__xludf.DUMMYFUNCTION("""COMPUTED_VALUE"""),425.82)</f>
        <v>425.82</v>
      </c>
      <c r="C2335" s="1">
        <f ca="1">IFERROR(__xludf.DUMMYFUNCTION("""COMPUTED_VALUE"""),429.37)</f>
        <v>429.37</v>
      </c>
      <c r="D2335" s="1">
        <f ca="1">IFERROR(__xludf.DUMMYFUNCTION("""COMPUTED_VALUE"""),422.36)</f>
        <v>422.36</v>
      </c>
      <c r="E2335" s="1">
        <f ca="1">IFERROR(__xludf.DUMMYFUNCTION("""COMPUTED_VALUE"""),427.93)</f>
        <v>427.93</v>
      </c>
      <c r="F2335" s="1">
        <f ca="1">IFERROR(__xludf.DUMMYFUNCTION("""COMPUTED_VALUE"""),17966423)</f>
        <v>17966423</v>
      </c>
    </row>
    <row r="2336" spans="1:6" x14ac:dyDescent="0.35">
      <c r="A2336" s="2">
        <f ca="1">IFERROR(__xludf.DUMMYFUNCTION("""COMPUTED_VALUE"""),45394.6666666666)</f>
        <v>45394.666666666599</v>
      </c>
      <c r="B2336" s="1">
        <f ca="1">IFERROR(__xludf.DUMMYFUNCTION("""COMPUTED_VALUE"""),424.05)</f>
        <v>424.05</v>
      </c>
      <c r="C2336" s="1">
        <f ca="1">IFERROR(__xludf.DUMMYFUNCTION("""COMPUTED_VALUE"""),425.18)</f>
        <v>425.18</v>
      </c>
      <c r="D2336" s="1">
        <f ca="1">IFERROR(__xludf.DUMMYFUNCTION("""COMPUTED_VALUE"""),419.77)</f>
        <v>419.77</v>
      </c>
      <c r="E2336" s="1">
        <f ca="1">IFERROR(__xludf.DUMMYFUNCTION("""COMPUTED_VALUE"""),421.9)</f>
        <v>421.9</v>
      </c>
      <c r="F2336" s="1">
        <f ca="1">IFERROR(__xludf.DUMMYFUNCTION("""COMPUTED_VALUE"""),19253750)</f>
        <v>19253750</v>
      </c>
    </row>
    <row r="2337" spans="1:6" x14ac:dyDescent="0.35">
      <c r="A2337" s="2">
        <f ca="1">IFERROR(__xludf.DUMMYFUNCTION("""COMPUTED_VALUE"""),45397.6666666666)</f>
        <v>45397.666666666599</v>
      </c>
      <c r="B2337" s="1">
        <f ca="1">IFERROR(__xludf.DUMMYFUNCTION("""COMPUTED_VALUE"""),426.6)</f>
        <v>426.6</v>
      </c>
      <c r="C2337" s="1">
        <f ca="1">IFERROR(__xludf.DUMMYFUNCTION("""COMPUTED_VALUE"""),426.82)</f>
        <v>426.82</v>
      </c>
      <c r="D2337" s="1">
        <f ca="1">IFERROR(__xludf.DUMMYFUNCTION("""COMPUTED_VALUE"""),413.43)</f>
        <v>413.43</v>
      </c>
      <c r="E2337" s="1">
        <f ca="1">IFERROR(__xludf.DUMMYFUNCTION("""COMPUTED_VALUE"""),413.64)</f>
        <v>413.64</v>
      </c>
      <c r="F2337" s="1">
        <f ca="1">IFERROR(__xludf.DUMMYFUNCTION("""COMPUTED_VALUE"""),20273538)</f>
        <v>20273538</v>
      </c>
    </row>
    <row r="2338" spans="1:6" x14ac:dyDescent="0.35">
      <c r="A2338" s="2">
        <f ca="1">IFERROR(__xludf.DUMMYFUNCTION("""COMPUTED_VALUE"""),45398.6666666666)</f>
        <v>45398.666666666599</v>
      </c>
      <c r="B2338" s="1">
        <f ca="1">IFERROR(__xludf.DUMMYFUNCTION("""COMPUTED_VALUE"""),414.57)</f>
        <v>414.57</v>
      </c>
      <c r="C2338" s="1">
        <f ca="1">IFERROR(__xludf.DUMMYFUNCTION("""COMPUTED_VALUE"""),418.4)</f>
        <v>418.4</v>
      </c>
      <c r="D2338" s="1">
        <f ca="1">IFERROR(__xludf.DUMMYFUNCTION("""COMPUTED_VALUE"""),413.73)</f>
        <v>413.73</v>
      </c>
      <c r="E2338" s="1">
        <f ca="1">IFERROR(__xludf.DUMMYFUNCTION("""COMPUTED_VALUE"""),414.58)</f>
        <v>414.58</v>
      </c>
      <c r="F2338" s="1">
        <f ca="1">IFERROR(__xludf.DUMMYFUNCTION("""COMPUTED_VALUE"""),16765616)</f>
        <v>16765616</v>
      </c>
    </row>
    <row r="2339" spans="1:6" x14ac:dyDescent="0.35">
      <c r="A2339" s="2">
        <f ca="1">IFERROR(__xludf.DUMMYFUNCTION("""COMPUTED_VALUE"""),45399.6666666666)</f>
        <v>45399.666666666599</v>
      </c>
      <c r="B2339" s="1">
        <f ca="1">IFERROR(__xludf.DUMMYFUNCTION("""COMPUTED_VALUE"""),417.25)</f>
        <v>417.25</v>
      </c>
      <c r="C2339" s="1">
        <f ca="1">IFERROR(__xludf.DUMMYFUNCTION("""COMPUTED_VALUE"""),418.88)</f>
        <v>418.88</v>
      </c>
      <c r="D2339" s="1">
        <f ca="1">IFERROR(__xludf.DUMMYFUNCTION("""COMPUTED_VALUE"""),410.33)</f>
        <v>410.33</v>
      </c>
      <c r="E2339" s="1">
        <f ca="1">IFERROR(__xludf.DUMMYFUNCTION("""COMPUTED_VALUE"""),411.84)</f>
        <v>411.84</v>
      </c>
      <c r="F2339" s="1">
        <f ca="1">IFERROR(__xludf.DUMMYFUNCTION("""COMPUTED_VALUE"""),15855485)</f>
        <v>15855485</v>
      </c>
    </row>
    <row r="2340" spans="1:6" x14ac:dyDescent="0.35">
      <c r="A2340" s="2">
        <f ca="1">IFERROR(__xludf.DUMMYFUNCTION("""COMPUTED_VALUE"""),45400.6666666666)</f>
        <v>45400.666666666599</v>
      </c>
      <c r="B2340" s="1">
        <f ca="1">IFERROR(__xludf.DUMMYFUNCTION("""COMPUTED_VALUE"""),410.63)</f>
        <v>410.63</v>
      </c>
      <c r="C2340" s="1">
        <f ca="1">IFERROR(__xludf.DUMMYFUNCTION("""COMPUTED_VALUE"""),411.89)</f>
        <v>411.89</v>
      </c>
      <c r="D2340" s="1">
        <f ca="1">IFERROR(__xludf.DUMMYFUNCTION("""COMPUTED_VALUE"""),403.95)</f>
        <v>403.95</v>
      </c>
      <c r="E2340" s="1">
        <f ca="1">IFERROR(__xludf.DUMMYFUNCTION("""COMPUTED_VALUE"""),404.27)</f>
        <v>404.27</v>
      </c>
      <c r="F2340" s="1">
        <f ca="1">IFERROR(__xludf.DUMMYFUNCTION("""COMPUTED_VALUE"""),21029917)</f>
        <v>21029917</v>
      </c>
    </row>
    <row r="2341" spans="1:6" x14ac:dyDescent="0.35">
      <c r="A2341" s="2">
        <f ca="1">IFERROR(__xludf.DUMMYFUNCTION("""COMPUTED_VALUE"""),45401.6666666666)</f>
        <v>45401.666666666599</v>
      </c>
      <c r="B2341" s="1">
        <f ca="1">IFERROR(__xludf.DUMMYFUNCTION("""COMPUTED_VALUE"""),404.03)</f>
        <v>404.03</v>
      </c>
      <c r="C2341" s="1">
        <f ca="1">IFERROR(__xludf.DUMMYFUNCTION("""COMPUTED_VALUE"""),405.48)</f>
        <v>405.48</v>
      </c>
      <c r="D2341" s="1">
        <f ca="1">IFERROR(__xludf.DUMMYFUNCTION("""COMPUTED_VALUE"""),397.77)</f>
        <v>397.77</v>
      </c>
      <c r="E2341" s="1">
        <f ca="1">IFERROR(__xludf.DUMMYFUNCTION("""COMPUTED_VALUE"""),399.12)</f>
        <v>399.12</v>
      </c>
      <c r="F2341" s="1">
        <f ca="1">IFERROR(__xludf.DUMMYFUNCTION("""COMPUTED_VALUE"""),30565789)</f>
        <v>30565789</v>
      </c>
    </row>
    <row r="2342" spans="1:6" x14ac:dyDescent="0.35">
      <c r="A2342" s="2">
        <f ca="1">IFERROR(__xludf.DUMMYFUNCTION("""COMPUTED_VALUE"""),45404.6666666666)</f>
        <v>45404.666666666599</v>
      </c>
      <c r="B2342" s="1">
        <f ca="1">IFERROR(__xludf.DUMMYFUNCTION("""COMPUTED_VALUE"""),400.08)</f>
        <v>400.08</v>
      </c>
      <c r="C2342" s="1">
        <f ca="1">IFERROR(__xludf.DUMMYFUNCTION("""COMPUTED_VALUE"""),402.85)</f>
        <v>402.85</v>
      </c>
      <c r="D2342" s="1">
        <f ca="1">IFERROR(__xludf.DUMMYFUNCTION("""COMPUTED_VALUE"""),395.75)</f>
        <v>395.75</v>
      </c>
      <c r="E2342" s="1">
        <f ca="1">IFERROR(__xludf.DUMMYFUNCTION("""COMPUTED_VALUE"""),400.96)</f>
        <v>400.96</v>
      </c>
      <c r="F2342" s="1">
        <f ca="1">IFERROR(__xludf.DUMMYFUNCTION("""COMPUTED_VALUE"""),20286875)</f>
        <v>20286875</v>
      </c>
    </row>
    <row r="2343" spans="1:6" x14ac:dyDescent="0.35">
      <c r="A2343" s="2">
        <f ca="1">IFERROR(__xludf.DUMMYFUNCTION("""COMPUTED_VALUE"""),45405.6666666666)</f>
        <v>45405.666666666599</v>
      </c>
      <c r="B2343" s="1">
        <f ca="1">IFERROR(__xludf.DUMMYFUNCTION("""COMPUTED_VALUE"""),404.24)</f>
        <v>404.24</v>
      </c>
      <c r="C2343" s="1">
        <f ca="1">IFERROR(__xludf.DUMMYFUNCTION("""COMPUTED_VALUE"""),408.2)</f>
        <v>408.2</v>
      </c>
      <c r="D2343" s="1">
        <f ca="1">IFERROR(__xludf.DUMMYFUNCTION("""COMPUTED_VALUE"""),403.06)</f>
        <v>403.06</v>
      </c>
      <c r="E2343" s="1">
        <f ca="1">IFERROR(__xludf.DUMMYFUNCTION("""COMPUTED_VALUE"""),407.57)</f>
        <v>407.57</v>
      </c>
      <c r="F2343" s="1">
        <f ca="1">IFERROR(__xludf.DUMMYFUNCTION("""COMPUTED_VALUE"""),15734501)</f>
        <v>15734501</v>
      </c>
    </row>
    <row r="2344" spans="1:6" x14ac:dyDescent="0.35">
      <c r="A2344" s="2">
        <f ca="1">IFERROR(__xludf.DUMMYFUNCTION("""COMPUTED_VALUE"""),45406.6666666666)</f>
        <v>45406.666666666599</v>
      </c>
      <c r="B2344" s="1">
        <f ca="1">IFERROR(__xludf.DUMMYFUNCTION("""COMPUTED_VALUE"""),409.56)</f>
        <v>409.56</v>
      </c>
      <c r="C2344" s="1">
        <f ca="1">IFERROR(__xludf.DUMMYFUNCTION("""COMPUTED_VALUE"""),412.47)</f>
        <v>412.47</v>
      </c>
      <c r="D2344" s="1">
        <f ca="1">IFERROR(__xludf.DUMMYFUNCTION("""COMPUTED_VALUE"""),406.78)</f>
        <v>406.78</v>
      </c>
      <c r="E2344" s="1">
        <f ca="1">IFERROR(__xludf.DUMMYFUNCTION("""COMPUTED_VALUE"""),409.06)</f>
        <v>409.06</v>
      </c>
      <c r="F2344" s="1">
        <f ca="1">IFERROR(__xludf.DUMMYFUNCTION("""COMPUTED_VALUE"""),15065330)</f>
        <v>15065330</v>
      </c>
    </row>
    <row r="2345" spans="1:6" x14ac:dyDescent="0.35">
      <c r="A2345" s="2">
        <f ca="1">IFERROR(__xludf.DUMMYFUNCTION("""COMPUTED_VALUE"""),45407.6666666666)</f>
        <v>45407.666666666599</v>
      </c>
      <c r="B2345" s="1">
        <f ca="1">IFERROR(__xludf.DUMMYFUNCTION("""COMPUTED_VALUE"""),394.03)</f>
        <v>394.03</v>
      </c>
      <c r="C2345" s="1">
        <f ca="1">IFERROR(__xludf.DUMMYFUNCTION("""COMPUTED_VALUE"""),399.89)</f>
        <v>399.89</v>
      </c>
      <c r="D2345" s="1">
        <f ca="1">IFERROR(__xludf.DUMMYFUNCTION("""COMPUTED_VALUE"""),388.03)</f>
        <v>388.03</v>
      </c>
      <c r="E2345" s="1">
        <f ca="1">IFERROR(__xludf.DUMMYFUNCTION("""COMPUTED_VALUE"""),399.04)</f>
        <v>399.04</v>
      </c>
      <c r="F2345" s="1">
        <f ca="1">IFERROR(__xludf.DUMMYFUNCTION("""COMPUTED_VALUE"""),40586450)</f>
        <v>40586450</v>
      </c>
    </row>
    <row r="2346" spans="1:6" x14ac:dyDescent="0.35">
      <c r="A2346" s="2">
        <f ca="1">IFERROR(__xludf.DUMMYFUNCTION("""COMPUTED_VALUE"""),45408.6666666666)</f>
        <v>45408.666666666599</v>
      </c>
      <c r="B2346" s="1">
        <f ca="1">IFERROR(__xludf.DUMMYFUNCTION("""COMPUTED_VALUE"""),412.17)</f>
        <v>412.17</v>
      </c>
      <c r="C2346" s="1">
        <f ca="1">IFERROR(__xludf.DUMMYFUNCTION("""COMPUTED_VALUE"""),413)</f>
        <v>413</v>
      </c>
      <c r="D2346" s="1">
        <f ca="1">IFERROR(__xludf.DUMMYFUNCTION("""COMPUTED_VALUE"""),405.76)</f>
        <v>405.76</v>
      </c>
      <c r="E2346" s="1">
        <f ca="1">IFERROR(__xludf.DUMMYFUNCTION("""COMPUTED_VALUE"""),406.32)</f>
        <v>406.32</v>
      </c>
      <c r="F2346" s="1">
        <f ca="1">IFERROR(__xludf.DUMMYFUNCTION("""COMPUTED_VALUE"""),29694654)</f>
        <v>29694654</v>
      </c>
    </row>
    <row r="2347" spans="1:6" x14ac:dyDescent="0.35">
      <c r="A2347" s="2">
        <f ca="1">IFERROR(__xludf.DUMMYFUNCTION("""COMPUTED_VALUE"""),45411.6666666666)</f>
        <v>45411.666666666599</v>
      </c>
      <c r="B2347" s="1">
        <f ca="1">IFERROR(__xludf.DUMMYFUNCTION("""COMPUTED_VALUE"""),405.25)</f>
        <v>405.25</v>
      </c>
      <c r="C2347" s="1">
        <f ca="1">IFERROR(__xludf.DUMMYFUNCTION("""COMPUTED_VALUE"""),406.32)</f>
        <v>406.32</v>
      </c>
      <c r="D2347" s="1">
        <f ca="1">IFERROR(__xludf.DUMMYFUNCTION("""COMPUTED_VALUE"""),399.19)</f>
        <v>399.19</v>
      </c>
      <c r="E2347" s="1">
        <f ca="1">IFERROR(__xludf.DUMMYFUNCTION("""COMPUTED_VALUE"""),402.25)</f>
        <v>402.25</v>
      </c>
      <c r="F2347" s="1">
        <f ca="1">IFERROR(__xludf.DUMMYFUNCTION("""COMPUTED_VALUE"""),19582091)</f>
        <v>19582091</v>
      </c>
    </row>
    <row r="2348" spans="1:6" x14ac:dyDescent="0.35">
      <c r="A2348" s="2">
        <f ca="1">IFERROR(__xludf.DUMMYFUNCTION("""COMPUTED_VALUE"""),45412.6666666666)</f>
        <v>45412.666666666599</v>
      </c>
      <c r="B2348" s="1">
        <f ca="1">IFERROR(__xludf.DUMMYFUNCTION("""COMPUTED_VALUE"""),401.49)</f>
        <v>401.49</v>
      </c>
      <c r="C2348" s="1">
        <f ca="1">IFERROR(__xludf.DUMMYFUNCTION("""COMPUTED_VALUE"""),402.16)</f>
        <v>402.16</v>
      </c>
      <c r="D2348" s="1">
        <f ca="1">IFERROR(__xludf.DUMMYFUNCTION("""COMPUTED_VALUE"""),389.17)</f>
        <v>389.17</v>
      </c>
      <c r="E2348" s="1">
        <f ca="1">IFERROR(__xludf.DUMMYFUNCTION("""COMPUTED_VALUE"""),389.33)</f>
        <v>389.33</v>
      </c>
      <c r="F2348" s="1">
        <f ca="1">IFERROR(__xludf.DUMMYFUNCTION("""COMPUTED_VALUE"""),28781374)</f>
        <v>28781374</v>
      </c>
    </row>
    <row r="2349" spans="1:6" x14ac:dyDescent="0.35">
      <c r="A2349" s="2">
        <f ca="1">IFERROR(__xludf.DUMMYFUNCTION("""COMPUTED_VALUE"""),45413.6666666666)</f>
        <v>45413.666666666599</v>
      </c>
      <c r="B2349" s="1">
        <f ca="1">IFERROR(__xludf.DUMMYFUNCTION("""COMPUTED_VALUE"""),392.61)</f>
        <v>392.61</v>
      </c>
      <c r="C2349" s="1">
        <f ca="1">IFERROR(__xludf.DUMMYFUNCTION("""COMPUTED_VALUE"""),401.72)</f>
        <v>401.72</v>
      </c>
      <c r="D2349" s="1">
        <f ca="1">IFERROR(__xludf.DUMMYFUNCTION("""COMPUTED_VALUE"""),390.31)</f>
        <v>390.31</v>
      </c>
      <c r="E2349" s="1">
        <f ca="1">IFERROR(__xludf.DUMMYFUNCTION("""COMPUTED_VALUE"""),394.94)</f>
        <v>394.94</v>
      </c>
      <c r="F2349" s="1">
        <f ca="1">IFERROR(__xludf.DUMMYFUNCTION("""COMPUTED_VALUE"""),23562481)</f>
        <v>23562481</v>
      </c>
    </row>
    <row r="2350" spans="1:6" x14ac:dyDescent="0.35">
      <c r="A2350" s="2">
        <f ca="1">IFERROR(__xludf.DUMMYFUNCTION("""COMPUTED_VALUE"""),45414.6666666666)</f>
        <v>45414.666666666599</v>
      </c>
      <c r="B2350" s="1">
        <f ca="1">IFERROR(__xludf.DUMMYFUNCTION("""COMPUTED_VALUE"""),397.66)</f>
        <v>397.66</v>
      </c>
      <c r="C2350" s="1">
        <f ca="1">IFERROR(__xludf.DUMMYFUNCTION("""COMPUTED_VALUE"""),399.93)</f>
        <v>399.93</v>
      </c>
      <c r="D2350" s="1">
        <f ca="1">IFERROR(__xludf.DUMMYFUNCTION("""COMPUTED_VALUE"""),394.65)</f>
        <v>394.65</v>
      </c>
      <c r="E2350" s="1">
        <f ca="1">IFERROR(__xludf.DUMMYFUNCTION("""COMPUTED_VALUE"""),397.84)</f>
        <v>397.84</v>
      </c>
      <c r="F2350" s="1">
        <f ca="1">IFERROR(__xludf.DUMMYFUNCTION("""COMPUTED_VALUE"""),17709364)</f>
        <v>17709364</v>
      </c>
    </row>
    <row r="2351" spans="1:6" x14ac:dyDescent="0.35">
      <c r="A2351" s="2">
        <f ca="1">IFERROR(__xludf.DUMMYFUNCTION("""COMPUTED_VALUE"""),45415.6666666666)</f>
        <v>45415.666666666599</v>
      </c>
      <c r="B2351" s="1">
        <f ca="1">IFERROR(__xludf.DUMMYFUNCTION("""COMPUTED_VALUE"""),402.28)</f>
        <v>402.28</v>
      </c>
      <c r="C2351" s="1">
        <f ca="1">IFERROR(__xludf.DUMMYFUNCTION("""COMPUTED_VALUE"""),407.15)</f>
        <v>407.15</v>
      </c>
      <c r="D2351" s="1">
        <f ca="1">IFERROR(__xludf.DUMMYFUNCTION("""COMPUTED_VALUE"""),401.86)</f>
        <v>401.86</v>
      </c>
      <c r="E2351" s="1">
        <f ca="1">IFERROR(__xludf.DUMMYFUNCTION("""COMPUTED_VALUE"""),406.66)</f>
        <v>406.66</v>
      </c>
      <c r="F2351" s="1">
        <f ca="1">IFERROR(__xludf.DUMMYFUNCTION("""COMPUTED_VALUE"""),17446724)</f>
        <v>17446724</v>
      </c>
    </row>
    <row r="2352" spans="1:6" x14ac:dyDescent="0.35">
      <c r="A2352" s="2">
        <f ca="1">IFERROR(__xludf.DUMMYFUNCTION("""COMPUTED_VALUE"""),45418.6666666666)</f>
        <v>45418.666666666599</v>
      </c>
      <c r="B2352" s="1">
        <f ca="1">IFERROR(__xludf.DUMMYFUNCTION("""COMPUTED_VALUE"""),408.76)</f>
        <v>408.76</v>
      </c>
      <c r="C2352" s="1">
        <f ca="1">IFERROR(__xludf.DUMMYFUNCTION("""COMPUTED_VALUE"""),413.93)</f>
        <v>413.93</v>
      </c>
      <c r="D2352" s="1">
        <f ca="1">IFERROR(__xludf.DUMMYFUNCTION("""COMPUTED_VALUE"""),406.37)</f>
        <v>406.37</v>
      </c>
      <c r="E2352" s="1">
        <f ca="1">IFERROR(__xludf.DUMMYFUNCTION("""COMPUTED_VALUE"""),413.54)</f>
        <v>413.54</v>
      </c>
      <c r="F2352" s="1">
        <f ca="1">IFERROR(__xludf.DUMMYFUNCTION("""COMPUTED_VALUE"""),16996639)</f>
        <v>16996639</v>
      </c>
    </row>
    <row r="2353" spans="1:6" x14ac:dyDescent="0.35">
      <c r="A2353" s="2">
        <f ca="1">IFERROR(__xludf.DUMMYFUNCTION("""COMPUTED_VALUE"""),45419.6666666666)</f>
        <v>45419.666666666599</v>
      </c>
      <c r="B2353" s="1">
        <f ca="1">IFERROR(__xludf.DUMMYFUNCTION("""COMPUTED_VALUE"""),414.66)</f>
        <v>414.66</v>
      </c>
      <c r="C2353" s="1">
        <f ca="1">IFERROR(__xludf.DUMMYFUNCTION("""COMPUTED_VALUE"""),414.67)</f>
        <v>414.67</v>
      </c>
      <c r="D2353" s="1">
        <f ca="1">IFERROR(__xludf.DUMMYFUNCTION("""COMPUTED_VALUE"""),409.09)</f>
        <v>409.09</v>
      </c>
      <c r="E2353" s="1">
        <f ca="1">IFERROR(__xludf.DUMMYFUNCTION("""COMPUTED_VALUE"""),409.34)</f>
        <v>409.34</v>
      </c>
      <c r="F2353" s="1">
        <f ca="1">IFERROR(__xludf.DUMMYFUNCTION("""COMPUTED_VALUE"""),20018228)</f>
        <v>20018228</v>
      </c>
    </row>
    <row r="2354" spans="1:6" x14ac:dyDescent="0.35">
      <c r="A2354" s="2">
        <f ca="1">IFERROR(__xludf.DUMMYFUNCTION("""COMPUTED_VALUE"""),45420.6666666666)</f>
        <v>45420.666666666599</v>
      </c>
      <c r="B2354" s="1">
        <f ca="1">IFERROR(__xludf.DUMMYFUNCTION("""COMPUTED_VALUE"""),408.17)</f>
        <v>408.17</v>
      </c>
      <c r="C2354" s="1">
        <f ca="1">IFERROR(__xludf.DUMMYFUNCTION("""COMPUTED_VALUE"""),412.23)</f>
        <v>412.23</v>
      </c>
      <c r="D2354" s="1">
        <f ca="1">IFERROR(__xludf.DUMMYFUNCTION("""COMPUTED_VALUE"""),406.71)</f>
        <v>406.71</v>
      </c>
      <c r="E2354" s="1">
        <f ca="1">IFERROR(__xludf.DUMMYFUNCTION("""COMPUTED_VALUE"""),410.54)</f>
        <v>410.54</v>
      </c>
      <c r="F2354" s="1">
        <f ca="1">IFERROR(__xludf.DUMMYFUNCTION("""COMPUTED_VALUE"""),11792308)</f>
        <v>11792308</v>
      </c>
    </row>
    <row r="2355" spans="1:6" x14ac:dyDescent="0.35">
      <c r="A2355" s="2">
        <f ca="1">IFERROR(__xludf.DUMMYFUNCTION("""COMPUTED_VALUE"""),45421.6666666666)</f>
        <v>45421.666666666599</v>
      </c>
      <c r="B2355" s="1">
        <f ca="1">IFERROR(__xludf.DUMMYFUNCTION("""COMPUTED_VALUE"""),410.57)</f>
        <v>410.57</v>
      </c>
      <c r="C2355" s="1">
        <f ca="1">IFERROR(__xludf.DUMMYFUNCTION("""COMPUTED_VALUE"""),412.72)</f>
        <v>412.72</v>
      </c>
      <c r="D2355" s="1">
        <f ca="1">IFERROR(__xludf.DUMMYFUNCTION("""COMPUTED_VALUE"""),409.1)</f>
        <v>409.1</v>
      </c>
      <c r="E2355" s="1">
        <f ca="1">IFERROR(__xludf.DUMMYFUNCTION("""COMPUTED_VALUE"""),412.32)</f>
        <v>412.32</v>
      </c>
      <c r="F2355" s="1">
        <f ca="1">IFERROR(__xludf.DUMMYFUNCTION("""COMPUTED_VALUE"""),14689727)</f>
        <v>14689727</v>
      </c>
    </row>
    <row r="2356" spans="1:6" x14ac:dyDescent="0.35">
      <c r="A2356" s="2">
        <f ca="1">IFERROR(__xludf.DUMMYFUNCTION("""COMPUTED_VALUE"""),45422.6666666666)</f>
        <v>45422.666666666599</v>
      </c>
      <c r="B2356" s="1">
        <f ca="1">IFERROR(__xludf.DUMMYFUNCTION("""COMPUTED_VALUE"""),412.94)</f>
        <v>412.94</v>
      </c>
      <c r="C2356" s="1">
        <f ca="1">IFERROR(__xludf.DUMMYFUNCTION("""COMPUTED_VALUE"""),415.38)</f>
        <v>415.38</v>
      </c>
      <c r="D2356" s="1">
        <f ca="1">IFERROR(__xludf.DUMMYFUNCTION("""COMPUTED_VALUE"""),411.8)</f>
        <v>411.8</v>
      </c>
      <c r="E2356" s="1">
        <f ca="1">IFERROR(__xludf.DUMMYFUNCTION("""COMPUTED_VALUE"""),414.74)</f>
        <v>414.74</v>
      </c>
      <c r="F2356" s="1">
        <f ca="1">IFERROR(__xludf.DUMMYFUNCTION("""COMPUTED_VALUE"""),13402281)</f>
        <v>13402281</v>
      </c>
    </row>
    <row r="2357" spans="1:6" x14ac:dyDescent="0.35">
      <c r="A2357" s="2">
        <f ca="1">IFERROR(__xludf.DUMMYFUNCTION("""COMPUTED_VALUE"""),45425.6666666666)</f>
        <v>45425.666666666599</v>
      </c>
      <c r="B2357" s="1">
        <f ca="1">IFERROR(__xludf.DUMMYFUNCTION("""COMPUTED_VALUE"""),418.01)</f>
        <v>418.01</v>
      </c>
      <c r="C2357" s="1">
        <f ca="1">IFERROR(__xludf.DUMMYFUNCTION("""COMPUTED_VALUE"""),418.35)</f>
        <v>418.35</v>
      </c>
      <c r="D2357" s="1">
        <f ca="1">IFERROR(__xludf.DUMMYFUNCTION("""COMPUTED_VALUE"""),410.82)</f>
        <v>410.82</v>
      </c>
      <c r="E2357" s="1">
        <f ca="1">IFERROR(__xludf.DUMMYFUNCTION("""COMPUTED_VALUE"""),413.72)</f>
        <v>413.72</v>
      </c>
      <c r="F2357" s="1">
        <f ca="1">IFERROR(__xludf.DUMMYFUNCTION("""COMPUTED_VALUE"""),15440226)</f>
        <v>15440226</v>
      </c>
    </row>
    <row r="2358" spans="1:6" x14ac:dyDescent="0.35">
      <c r="A2358" s="2">
        <f ca="1">IFERROR(__xludf.DUMMYFUNCTION("""COMPUTED_VALUE"""),45426.6666666666)</f>
        <v>45426.666666666599</v>
      </c>
      <c r="B2358" s="1">
        <f ca="1">IFERROR(__xludf.DUMMYFUNCTION("""COMPUTED_VALUE"""),412.02)</f>
        <v>412.02</v>
      </c>
      <c r="C2358" s="1">
        <f ca="1">IFERROR(__xludf.DUMMYFUNCTION("""COMPUTED_VALUE"""),417.49)</f>
        <v>417.49</v>
      </c>
      <c r="D2358" s="1">
        <f ca="1">IFERROR(__xludf.DUMMYFUNCTION("""COMPUTED_VALUE"""),411.55)</f>
        <v>411.55</v>
      </c>
      <c r="E2358" s="1">
        <f ca="1">IFERROR(__xludf.DUMMYFUNCTION("""COMPUTED_VALUE"""),416.56)</f>
        <v>416.56</v>
      </c>
      <c r="F2358" s="1">
        <f ca="1">IFERROR(__xludf.DUMMYFUNCTION("""COMPUTED_VALUE"""),15109306)</f>
        <v>15109306</v>
      </c>
    </row>
    <row r="2359" spans="1:6" x14ac:dyDescent="0.35">
      <c r="A2359" s="2">
        <f ca="1">IFERROR(__xludf.DUMMYFUNCTION("""COMPUTED_VALUE"""),45427.6666666666)</f>
        <v>45427.666666666599</v>
      </c>
      <c r="B2359" s="1">
        <f ca="1">IFERROR(__xludf.DUMMYFUNCTION("""COMPUTED_VALUE"""),417.9)</f>
        <v>417.9</v>
      </c>
      <c r="C2359" s="1">
        <f ca="1">IFERROR(__xludf.DUMMYFUNCTION("""COMPUTED_VALUE"""),423.81)</f>
        <v>423.81</v>
      </c>
      <c r="D2359" s="1">
        <f ca="1">IFERROR(__xludf.DUMMYFUNCTION("""COMPUTED_VALUE"""),417.27)</f>
        <v>417.27</v>
      </c>
      <c r="E2359" s="1">
        <f ca="1">IFERROR(__xludf.DUMMYFUNCTION("""COMPUTED_VALUE"""),423.08)</f>
        <v>423.08</v>
      </c>
      <c r="F2359" s="1">
        <f ca="1">IFERROR(__xludf.DUMMYFUNCTION("""COMPUTED_VALUE"""),22239533)</f>
        <v>22239533</v>
      </c>
    </row>
    <row r="2360" spans="1:6" x14ac:dyDescent="0.35">
      <c r="A2360" s="2">
        <f ca="1">IFERROR(__xludf.DUMMYFUNCTION("""COMPUTED_VALUE"""),45428.6666666666)</f>
        <v>45428.666666666599</v>
      </c>
      <c r="B2360" s="1">
        <f ca="1">IFERROR(__xludf.DUMMYFUNCTION("""COMPUTED_VALUE"""),421.8)</f>
        <v>421.8</v>
      </c>
      <c r="C2360" s="1">
        <f ca="1">IFERROR(__xludf.DUMMYFUNCTION("""COMPUTED_VALUE"""),425.42)</f>
        <v>425.42</v>
      </c>
      <c r="D2360" s="1">
        <f ca="1">IFERROR(__xludf.DUMMYFUNCTION("""COMPUTED_VALUE"""),420.35)</f>
        <v>420.35</v>
      </c>
      <c r="E2360" s="1">
        <f ca="1">IFERROR(__xludf.DUMMYFUNCTION("""COMPUTED_VALUE"""),420.99)</f>
        <v>420.99</v>
      </c>
      <c r="F2360" s="1">
        <f ca="1">IFERROR(__xludf.DUMMYFUNCTION("""COMPUTED_VALUE"""),17530050)</f>
        <v>17530050</v>
      </c>
    </row>
    <row r="2361" spans="1:6" x14ac:dyDescent="0.35">
      <c r="A2361" s="2">
        <f ca="1">IFERROR(__xludf.DUMMYFUNCTION("""COMPUTED_VALUE"""),45429.6666666666)</f>
        <v>45429.666666666599</v>
      </c>
      <c r="B2361" s="1">
        <f ca="1">IFERROR(__xludf.DUMMYFUNCTION("""COMPUTED_VALUE"""),422.54)</f>
        <v>422.54</v>
      </c>
      <c r="C2361" s="1">
        <f ca="1">IFERROR(__xludf.DUMMYFUNCTION("""COMPUTED_VALUE"""),422.92)</f>
        <v>422.92</v>
      </c>
      <c r="D2361" s="1">
        <f ca="1">IFERROR(__xludf.DUMMYFUNCTION("""COMPUTED_VALUE"""),418.03)</f>
        <v>418.03</v>
      </c>
      <c r="E2361" s="1">
        <f ca="1">IFERROR(__xludf.DUMMYFUNCTION("""COMPUTED_VALUE"""),420.21)</f>
        <v>420.21</v>
      </c>
      <c r="F2361" s="1">
        <f ca="1">IFERROR(__xludf.DUMMYFUNCTION("""COMPUTED_VALUE"""),15352239)</f>
        <v>15352239</v>
      </c>
    </row>
    <row r="2362" spans="1:6" x14ac:dyDescent="0.35">
      <c r="A2362" s="2">
        <f ca="1">IFERROR(__xludf.DUMMYFUNCTION("""COMPUTED_VALUE"""),45432.6666666666)</f>
        <v>45432.666666666599</v>
      </c>
      <c r="B2362" s="1">
        <f ca="1">IFERROR(__xludf.DUMMYFUNCTION("""COMPUTED_VALUE"""),420.21)</f>
        <v>420.21</v>
      </c>
      <c r="C2362" s="1">
        <f ca="1">IFERROR(__xludf.DUMMYFUNCTION("""COMPUTED_VALUE"""),426.77)</f>
        <v>426.77</v>
      </c>
      <c r="D2362" s="1">
        <f ca="1">IFERROR(__xludf.DUMMYFUNCTION("""COMPUTED_VALUE"""),419.99)</f>
        <v>419.99</v>
      </c>
      <c r="E2362" s="1">
        <f ca="1">IFERROR(__xludf.DUMMYFUNCTION("""COMPUTED_VALUE"""),425.34)</f>
        <v>425.34</v>
      </c>
      <c r="F2362" s="1">
        <f ca="1">IFERROR(__xludf.DUMMYFUNCTION("""COMPUTED_VALUE"""),16272137)</f>
        <v>16272137</v>
      </c>
    </row>
    <row r="2363" spans="1:6" x14ac:dyDescent="0.35">
      <c r="A2363" s="2">
        <f ca="1">IFERROR(__xludf.DUMMYFUNCTION("""COMPUTED_VALUE"""),45433.6666666666)</f>
        <v>45433.666666666599</v>
      </c>
      <c r="B2363" s="1">
        <f ca="1">IFERROR(__xludf.DUMMYFUNCTION("""COMPUTED_VALUE"""),426.83)</f>
        <v>426.83</v>
      </c>
      <c r="C2363" s="1">
        <f ca="1">IFERROR(__xludf.DUMMYFUNCTION("""COMPUTED_VALUE"""),432.97)</f>
        <v>432.97</v>
      </c>
      <c r="D2363" s="1">
        <f ca="1">IFERROR(__xludf.DUMMYFUNCTION("""COMPUTED_VALUE"""),424.85)</f>
        <v>424.85</v>
      </c>
      <c r="E2363" s="1">
        <f ca="1">IFERROR(__xludf.DUMMYFUNCTION("""COMPUTED_VALUE"""),429.04)</f>
        <v>429.04</v>
      </c>
      <c r="F2363" s="1">
        <f ca="1">IFERROR(__xludf.DUMMYFUNCTION("""COMPUTED_VALUE"""),21453255)</f>
        <v>21453255</v>
      </c>
    </row>
    <row r="2364" spans="1:6" x14ac:dyDescent="0.35">
      <c r="A2364" s="2">
        <f ca="1">IFERROR(__xludf.DUMMYFUNCTION("""COMPUTED_VALUE"""),45434.6666666666)</f>
        <v>45434.666666666599</v>
      </c>
      <c r="B2364" s="1">
        <f ca="1">IFERROR(__xludf.DUMMYFUNCTION("""COMPUTED_VALUE"""),430.09)</f>
        <v>430.09</v>
      </c>
      <c r="C2364" s="1">
        <f ca="1">IFERROR(__xludf.DUMMYFUNCTION("""COMPUTED_VALUE"""),432.41)</f>
        <v>432.41</v>
      </c>
      <c r="D2364" s="1">
        <f ca="1">IFERROR(__xludf.DUMMYFUNCTION("""COMPUTED_VALUE"""),427.13)</f>
        <v>427.13</v>
      </c>
      <c r="E2364" s="1">
        <f ca="1">IFERROR(__xludf.DUMMYFUNCTION("""COMPUTED_VALUE"""),430.52)</f>
        <v>430.52</v>
      </c>
      <c r="F2364" s="1">
        <f ca="1">IFERROR(__xludf.DUMMYFUNCTION("""COMPUTED_VALUE"""),18073698)</f>
        <v>18073698</v>
      </c>
    </row>
    <row r="2365" spans="1:6" x14ac:dyDescent="0.35">
      <c r="A2365" s="2">
        <f ca="1">IFERROR(__xludf.DUMMYFUNCTION("""COMPUTED_VALUE"""),45435.6666666666)</f>
        <v>45435.666666666599</v>
      </c>
      <c r="B2365" s="1">
        <f ca="1">IFERROR(__xludf.DUMMYFUNCTION("""COMPUTED_VALUE"""),432.97)</f>
        <v>432.97</v>
      </c>
      <c r="C2365" s="1">
        <f ca="1">IFERROR(__xludf.DUMMYFUNCTION("""COMPUTED_VALUE"""),433.6)</f>
        <v>433.6</v>
      </c>
      <c r="D2365" s="1">
        <f ca="1">IFERROR(__xludf.DUMMYFUNCTION("""COMPUTED_VALUE"""),425.42)</f>
        <v>425.42</v>
      </c>
      <c r="E2365" s="1">
        <f ca="1">IFERROR(__xludf.DUMMYFUNCTION("""COMPUTED_VALUE"""),427)</f>
        <v>427</v>
      </c>
      <c r="F2365" s="1">
        <f ca="1">IFERROR(__xludf.DUMMYFUNCTION("""COMPUTED_VALUE"""),17211689)</f>
        <v>17211689</v>
      </c>
    </row>
    <row r="2366" spans="1:6" x14ac:dyDescent="0.35">
      <c r="A2366" s="2">
        <f ca="1">IFERROR(__xludf.DUMMYFUNCTION("""COMPUTED_VALUE"""),45436.6666666666)</f>
        <v>45436.666666666599</v>
      </c>
      <c r="B2366" s="1">
        <f ca="1">IFERROR(__xludf.DUMMYFUNCTION("""COMPUTED_VALUE"""),427.19)</f>
        <v>427.19</v>
      </c>
      <c r="C2366" s="1">
        <f ca="1">IFERROR(__xludf.DUMMYFUNCTION("""COMPUTED_VALUE"""),431.06)</f>
        <v>431.06</v>
      </c>
      <c r="D2366" s="1">
        <f ca="1">IFERROR(__xludf.DUMMYFUNCTION("""COMPUTED_VALUE"""),424.41)</f>
        <v>424.41</v>
      </c>
      <c r="E2366" s="1">
        <f ca="1">IFERROR(__xludf.DUMMYFUNCTION("""COMPUTED_VALUE"""),430.16)</f>
        <v>430.16</v>
      </c>
      <c r="F2366" s="1">
        <f ca="1">IFERROR(__xludf.DUMMYFUNCTION("""COMPUTED_VALUE"""),11855285)</f>
        <v>11855285</v>
      </c>
    </row>
    <row r="2367" spans="1:6" x14ac:dyDescent="0.35">
      <c r="A2367" s="2">
        <f ca="1">IFERROR(__xludf.DUMMYFUNCTION("""COMPUTED_VALUE"""),45440.6666666666)</f>
        <v>45440.666666666599</v>
      </c>
      <c r="B2367" s="1">
        <f ca="1">IFERROR(__xludf.DUMMYFUNCTION("""COMPUTED_VALUE"""),429.63)</f>
        <v>429.63</v>
      </c>
      <c r="C2367" s="1">
        <f ca="1">IFERROR(__xludf.DUMMYFUNCTION("""COMPUTED_VALUE"""),430.82)</f>
        <v>430.82</v>
      </c>
      <c r="D2367" s="1">
        <f ca="1">IFERROR(__xludf.DUMMYFUNCTION("""COMPUTED_VALUE"""),426.6)</f>
        <v>426.6</v>
      </c>
      <c r="E2367" s="1">
        <f ca="1">IFERROR(__xludf.DUMMYFUNCTION("""COMPUTED_VALUE"""),430.32)</f>
        <v>430.32</v>
      </c>
      <c r="F2367" s="1">
        <f ca="1">IFERROR(__xludf.DUMMYFUNCTION("""COMPUTED_VALUE"""),15718024)</f>
        <v>15718024</v>
      </c>
    </row>
    <row r="2368" spans="1:6" x14ac:dyDescent="0.35">
      <c r="A2368" s="2">
        <f ca="1">IFERROR(__xludf.DUMMYFUNCTION("""COMPUTED_VALUE"""),45441.6666666666)</f>
        <v>45441.666666666599</v>
      </c>
      <c r="B2368" s="1">
        <f ca="1">IFERROR(__xludf.DUMMYFUNCTION("""COMPUTED_VALUE"""),425.69)</f>
        <v>425.69</v>
      </c>
      <c r="C2368" s="1">
        <f ca="1">IFERROR(__xludf.DUMMYFUNCTION("""COMPUTED_VALUE"""),430.94)</f>
        <v>430.94</v>
      </c>
      <c r="D2368" s="1">
        <f ca="1">IFERROR(__xludf.DUMMYFUNCTION("""COMPUTED_VALUE"""),425.69)</f>
        <v>425.69</v>
      </c>
      <c r="E2368" s="1">
        <f ca="1">IFERROR(__xludf.DUMMYFUNCTION("""COMPUTED_VALUE"""),429.17)</f>
        <v>429.17</v>
      </c>
      <c r="F2368" s="1">
        <f ca="1">IFERROR(__xludf.DUMMYFUNCTION("""COMPUTED_VALUE"""),15517130)</f>
        <v>15517130</v>
      </c>
    </row>
    <row r="2369" spans="1:6" x14ac:dyDescent="0.35">
      <c r="A2369" s="2">
        <f ca="1">IFERROR(__xludf.DUMMYFUNCTION("""COMPUTED_VALUE"""),45442.6666666666)</f>
        <v>45442.666666666599</v>
      </c>
      <c r="B2369" s="1">
        <f ca="1">IFERROR(__xludf.DUMMYFUNCTION("""COMPUTED_VALUE"""),424.3)</f>
        <v>424.3</v>
      </c>
      <c r="C2369" s="1">
        <f ca="1">IFERROR(__xludf.DUMMYFUNCTION("""COMPUTED_VALUE"""),424.3)</f>
        <v>424.3</v>
      </c>
      <c r="D2369" s="1">
        <f ca="1">IFERROR(__xludf.DUMMYFUNCTION("""COMPUTED_VALUE"""),414.24)</f>
        <v>414.24</v>
      </c>
      <c r="E2369" s="1">
        <f ca="1">IFERROR(__xludf.DUMMYFUNCTION("""COMPUTED_VALUE"""),414.67)</f>
        <v>414.67</v>
      </c>
      <c r="F2369" s="1">
        <f ca="1">IFERROR(__xludf.DUMMYFUNCTION("""COMPUTED_VALUE"""),28424847)</f>
        <v>28424847</v>
      </c>
    </row>
    <row r="2370" spans="1:6" x14ac:dyDescent="0.35">
      <c r="A2370" s="2">
        <f ca="1">IFERROR(__xludf.DUMMYFUNCTION("""COMPUTED_VALUE"""),45443.6666666666)</f>
        <v>45443.666666666599</v>
      </c>
      <c r="B2370" s="1">
        <f ca="1">IFERROR(__xludf.DUMMYFUNCTION("""COMPUTED_VALUE"""),416.75)</f>
        <v>416.75</v>
      </c>
      <c r="C2370" s="1">
        <f ca="1">IFERROR(__xludf.DUMMYFUNCTION("""COMPUTED_VALUE"""),416.75)</f>
        <v>416.75</v>
      </c>
      <c r="D2370" s="1">
        <f ca="1">IFERROR(__xludf.DUMMYFUNCTION("""COMPUTED_VALUE"""),404.51)</f>
        <v>404.51</v>
      </c>
      <c r="E2370" s="1">
        <f ca="1">IFERROR(__xludf.DUMMYFUNCTION("""COMPUTED_VALUE"""),415.13)</f>
        <v>415.13</v>
      </c>
      <c r="F2370" s="1">
        <f ca="1">IFERROR(__xludf.DUMMYFUNCTION("""COMPUTED_VALUE"""),47995250)</f>
        <v>47995250</v>
      </c>
    </row>
    <row r="2371" spans="1:6" x14ac:dyDescent="0.35">
      <c r="A2371" s="2">
        <f ca="1">IFERROR(__xludf.DUMMYFUNCTION("""COMPUTED_VALUE"""),45446.6666666666)</f>
        <v>45446.666666666599</v>
      </c>
      <c r="B2371" s="1">
        <f ca="1">IFERROR(__xludf.DUMMYFUNCTION("""COMPUTED_VALUE"""),415.53)</f>
        <v>415.53</v>
      </c>
      <c r="C2371" s="1">
        <f ca="1">IFERROR(__xludf.DUMMYFUNCTION("""COMPUTED_VALUE"""),416.43)</f>
        <v>416.43</v>
      </c>
      <c r="D2371" s="1">
        <f ca="1">IFERROR(__xludf.DUMMYFUNCTION("""COMPUTED_VALUE"""),408.92)</f>
        <v>408.92</v>
      </c>
      <c r="E2371" s="1">
        <f ca="1">IFERROR(__xludf.DUMMYFUNCTION("""COMPUTED_VALUE"""),413.52)</f>
        <v>413.52</v>
      </c>
      <c r="F2371" s="1">
        <f ca="1">IFERROR(__xludf.DUMMYFUNCTION("""COMPUTED_VALUE"""),17484675)</f>
        <v>17484675</v>
      </c>
    </row>
    <row r="2372" spans="1:6" x14ac:dyDescent="0.35">
      <c r="A2372" s="2">
        <f ca="1">IFERROR(__xludf.DUMMYFUNCTION("""COMPUTED_VALUE"""),45447.6666666666)</f>
        <v>45447.666666666599</v>
      </c>
      <c r="B2372" s="1">
        <f ca="1">IFERROR(__xludf.DUMMYFUNCTION("""COMPUTED_VALUE"""),412.43)</f>
        <v>412.43</v>
      </c>
      <c r="C2372" s="1">
        <f ca="1">IFERROR(__xludf.DUMMYFUNCTION("""COMPUTED_VALUE"""),416.44)</f>
        <v>416.44</v>
      </c>
      <c r="D2372" s="1">
        <f ca="1">IFERROR(__xludf.DUMMYFUNCTION("""COMPUTED_VALUE"""),409.68)</f>
        <v>409.68</v>
      </c>
      <c r="E2372" s="1">
        <f ca="1">IFERROR(__xludf.DUMMYFUNCTION("""COMPUTED_VALUE"""),416.07)</f>
        <v>416.07</v>
      </c>
      <c r="F2372" s="1">
        <f ca="1">IFERROR(__xludf.DUMMYFUNCTION("""COMPUTED_VALUE"""),14348917)</f>
        <v>14348917</v>
      </c>
    </row>
    <row r="2373" spans="1:6" x14ac:dyDescent="0.35">
      <c r="A2373" s="2">
        <f ca="1">IFERROR(__xludf.DUMMYFUNCTION("""COMPUTED_VALUE"""),45448.6666666666)</f>
        <v>45448.666666666599</v>
      </c>
      <c r="B2373" s="1">
        <f ca="1">IFERROR(__xludf.DUMMYFUNCTION("""COMPUTED_VALUE"""),417.81)</f>
        <v>417.81</v>
      </c>
      <c r="C2373" s="1">
        <f ca="1">IFERROR(__xludf.DUMMYFUNCTION("""COMPUTED_VALUE"""),424.08)</f>
        <v>424.08</v>
      </c>
      <c r="D2373" s="1">
        <f ca="1">IFERROR(__xludf.DUMMYFUNCTION("""COMPUTED_VALUE"""),416.3)</f>
        <v>416.3</v>
      </c>
      <c r="E2373" s="1">
        <f ca="1">IFERROR(__xludf.DUMMYFUNCTION("""COMPUTED_VALUE"""),424.01)</f>
        <v>424.01</v>
      </c>
      <c r="F2373" s="1">
        <f ca="1">IFERROR(__xludf.DUMMYFUNCTION("""COMPUTED_VALUE"""),16988038)</f>
        <v>16988038</v>
      </c>
    </row>
    <row r="2374" spans="1:6" x14ac:dyDescent="0.35">
      <c r="A2374" s="2">
        <f ca="1">IFERROR(__xludf.DUMMYFUNCTION("""COMPUTED_VALUE"""),45449.6666666666)</f>
        <v>45449.666666666599</v>
      </c>
      <c r="B2374" s="1">
        <f ca="1">IFERROR(__xludf.DUMMYFUNCTION("""COMPUTED_VALUE"""),424.01)</f>
        <v>424.01</v>
      </c>
      <c r="C2374" s="1">
        <f ca="1">IFERROR(__xludf.DUMMYFUNCTION("""COMPUTED_VALUE"""),425.31)</f>
        <v>425.31</v>
      </c>
      <c r="D2374" s="1">
        <f ca="1">IFERROR(__xludf.DUMMYFUNCTION("""COMPUTED_VALUE"""),420.58)</f>
        <v>420.58</v>
      </c>
      <c r="E2374" s="1">
        <f ca="1">IFERROR(__xludf.DUMMYFUNCTION("""COMPUTED_VALUE"""),424.52)</f>
        <v>424.52</v>
      </c>
      <c r="F2374" s="1">
        <f ca="1">IFERROR(__xludf.DUMMYFUNCTION("""COMPUTED_VALUE"""),14861251)</f>
        <v>14861251</v>
      </c>
    </row>
    <row r="2375" spans="1:6" x14ac:dyDescent="0.35">
      <c r="A2375" s="2">
        <f ca="1">IFERROR(__xludf.DUMMYFUNCTION("""COMPUTED_VALUE"""),45450.6666666666)</f>
        <v>45450.666666666599</v>
      </c>
      <c r="B2375" s="1">
        <f ca="1">IFERROR(__xludf.DUMMYFUNCTION("""COMPUTED_VALUE"""),426.2)</f>
        <v>426.2</v>
      </c>
      <c r="C2375" s="1">
        <f ca="1">IFERROR(__xludf.DUMMYFUNCTION("""COMPUTED_VALUE"""),426.28)</f>
        <v>426.28</v>
      </c>
      <c r="D2375" s="1">
        <f ca="1">IFERROR(__xludf.DUMMYFUNCTION("""COMPUTED_VALUE"""),423)</f>
        <v>423</v>
      </c>
      <c r="E2375" s="1">
        <f ca="1">IFERROR(__xludf.DUMMYFUNCTION("""COMPUTED_VALUE"""),423.85)</f>
        <v>423.85</v>
      </c>
      <c r="F2375" s="1">
        <f ca="1">IFERROR(__xludf.DUMMYFUNCTION("""COMPUTED_VALUE"""),13621650)</f>
        <v>13621650</v>
      </c>
    </row>
    <row r="2376" spans="1:6" x14ac:dyDescent="0.35">
      <c r="A2376" s="2">
        <f ca="1">IFERROR(__xludf.DUMMYFUNCTION("""COMPUTED_VALUE"""),45453.6666666666)</f>
        <v>45453.666666666599</v>
      </c>
      <c r="B2376" s="1">
        <f ca="1">IFERROR(__xludf.DUMMYFUNCTION("""COMPUTED_VALUE"""),424.7)</f>
        <v>424.7</v>
      </c>
      <c r="C2376" s="1">
        <f ca="1">IFERROR(__xludf.DUMMYFUNCTION("""COMPUTED_VALUE"""),428.08)</f>
        <v>428.08</v>
      </c>
      <c r="D2376" s="1">
        <f ca="1">IFERROR(__xludf.DUMMYFUNCTION("""COMPUTED_VALUE"""),423.89)</f>
        <v>423.89</v>
      </c>
      <c r="E2376" s="1">
        <f ca="1">IFERROR(__xludf.DUMMYFUNCTION("""COMPUTED_VALUE"""),427.87)</f>
        <v>427.87</v>
      </c>
      <c r="F2376" s="1">
        <f ca="1">IFERROR(__xludf.DUMMYFUNCTION("""COMPUTED_VALUE"""),14003034)</f>
        <v>14003034</v>
      </c>
    </row>
    <row r="2377" spans="1:6" x14ac:dyDescent="0.35">
      <c r="A2377" s="2">
        <f ca="1">IFERROR(__xludf.DUMMYFUNCTION("""COMPUTED_VALUE"""),45454.6666666666)</f>
        <v>45454.666666666599</v>
      </c>
      <c r="B2377" s="1">
        <f ca="1">IFERROR(__xludf.DUMMYFUNCTION("""COMPUTED_VALUE"""),425.48)</f>
        <v>425.48</v>
      </c>
      <c r="C2377" s="1">
        <f ca="1">IFERROR(__xludf.DUMMYFUNCTION("""COMPUTED_VALUE"""),432.82)</f>
        <v>432.82</v>
      </c>
      <c r="D2377" s="1">
        <f ca="1">IFERROR(__xludf.DUMMYFUNCTION("""COMPUTED_VALUE"""),425.25)</f>
        <v>425.25</v>
      </c>
      <c r="E2377" s="1">
        <f ca="1">IFERROR(__xludf.DUMMYFUNCTION("""COMPUTED_VALUE"""),432.68)</f>
        <v>432.68</v>
      </c>
      <c r="F2377" s="1">
        <f ca="1">IFERROR(__xludf.DUMMYFUNCTION("""COMPUTED_VALUE"""),14551101)</f>
        <v>14551101</v>
      </c>
    </row>
    <row r="2378" spans="1:6" x14ac:dyDescent="0.35">
      <c r="A2378" s="2">
        <f ca="1">IFERROR(__xludf.DUMMYFUNCTION("""COMPUTED_VALUE"""),45455.6666666666)</f>
        <v>45455.666666666599</v>
      </c>
      <c r="B2378" s="1">
        <f ca="1">IFERROR(__xludf.DUMMYFUNCTION("""COMPUTED_VALUE"""),435.32)</f>
        <v>435.32</v>
      </c>
      <c r="C2378" s="1">
        <f ca="1">IFERROR(__xludf.DUMMYFUNCTION("""COMPUTED_VALUE"""),443.4)</f>
        <v>443.4</v>
      </c>
      <c r="D2378" s="1">
        <f ca="1">IFERROR(__xludf.DUMMYFUNCTION("""COMPUTED_VALUE"""),433.25)</f>
        <v>433.25</v>
      </c>
      <c r="E2378" s="1">
        <f ca="1">IFERROR(__xludf.DUMMYFUNCTION("""COMPUTED_VALUE"""),441.06)</f>
        <v>441.06</v>
      </c>
      <c r="F2378" s="1">
        <f ca="1">IFERROR(__xludf.DUMMYFUNCTION("""COMPUTED_VALUE"""),22366233)</f>
        <v>22366233</v>
      </c>
    </row>
    <row r="2379" spans="1:6" x14ac:dyDescent="0.35">
      <c r="A2379" s="2">
        <f ca="1">IFERROR(__xludf.DUMMYFUNCTION("""COMPUTED_VALUE"""),45456.6666666666)</f>
        <v>45456.666666666599</v>
      </c>
      <c r="B2379" s="1">
        <f ca="1">IFERROR(__xludf.DUMMYFUNCTION("""COMPUTED_VALUE"""),440.85)</f>
        <v>440.85</v>
      </c>
      <c r="C2379" s="1">
        <f ca="1">IFERROR(__xludf.DUMMYFUNCTION("""COMPUTED_VALUE"""),443.39)</f>
        <v>443.39</v>
      </c>
      <c r="D2379" s="1">
        <f ca="1">IFERROR(__xludf.DUMMYFUNCTION("""COMPUTED_VALUE"""),439.37)</f>
        <v>439.37</v>
      </c>
      <c r="E2379" s="1">
        <f ca="1">IFERROR(__xludf.DUMMYFUNCTION("""COMPUTED_VALUE"""),441.58)</f>
        <v>441.58</v>
      </c>
      <c r="F2379" s="1">
        <f ca="1">IFERROR(__xludf.DUMMYFUNCTION("""COMPUTED_VALUE"""),15960565)</f>
        <v>15960565</v>
      </c>
    </row>
    <row r="2380" spans="1:6" x14ac:dyDescent="0.35">
      <c r="A2380" s="2">
        <f ca="1">IFERROR(__xludf.DUMMYFUNCTION("""COMPUTED_VALUE"""),45457.6666666666)</f>
        <v>45457.666666666599</v>
      </c>
      <c r="B2380" s="1">
        <f ca="1">IFERROR(__xludf.DUMMYFUNCTION("""COMPUTED_VALUE"""),438.28)</f>
        <v>438.28</v>
      </c>
      <c r="C2380" s="1">
        <f ca="1">IFERROR(__xludf.DUMMYFUNCTION("""COMPUTED_VALUE"""),443.14)</f>
        <v>443.14</v>
      </c>
      <c r="D2380" s="1">
        <f ca="1">IFERROR(__xludf.DUMMYFUNCTION("""COMPUTED_VALUE"""),436.72)</f>
        <v>436.72</v>
      </c>
      <c r="E2380" s="1">
        <f ca="1">IFERROR(__xludf.DUMMYFUNCTION("""COMPUTED_VALUE"""),442.57)</f>
        <v>442.57</v>
      </c>
      <c r="F2380" s="1">
        <f ca="1">IFERROR(__xludf.DUMMYFUNCTION("""COMPUTED_VALUE"""),13581985)</f>
        <v>13581985</v>
      </c>
    </row>
    <row r="2381" spans="1:6" x14ac:dyDescent="0.35">
      <c r="A2381" s="2">
        <f ca="1">IFERROR(__xludf.DUMMYFUNCTION("""COMPUTED_VALUE"""),45460.6666666666)</f>
        <v>45460.666666666599</v>
      </c>
      <c r="B2381" s="1">
        <f ca="1">IFERROR(__xludf.DUMMYFUNCTION("""COMPUTED_VALUE"""),442.59)</f>
        <v>442.59</v>
      </c>
      <c r="C2381" s="1">
        <f ca="1">IFERROR(__xludf.DUMMYFUNCTION("""COMPUTED_VALUE"""),450.94)</f>
        <v>450.94</v>
      </c>
      <c r="D2381" s="1">
        <f ca="1">IFERROR(__xludf.DUMMYFUNCTION("""COMPUTED_VALUE"""),440.72)</f>
        <v>440.72</v>
      </c>
      <c r="E2381" s="1">
        <f ca="1">IFERROR(__xludf.DUMMYFUNCTION("""COMPUTED_VALUE"""),448.37)</f>
        <v>448.37</v>
      </c>
      <c r="F2381" s="1">
        <f ca="1">IFERROR(__xludf.DUMMYFUNCTION("""COMPUTED_VALUE"""),20790030)</f>
        <v>20790030</v>
      </c>
    </row>
    <row r="2382" spans="1:6" x14ac:dyDescent="0.35">
      <c r="A2382" s="2">
        <f ca="1">IFERROR(__xludf.DUMMYFUNCTION("""COMPUTED_VALUE"""),45461.6666666666)</f>
        <v>45461.666666666599</v>
      </c>
      <c r="B2382" s="1">
        <f ca="1">IFERROR(__xludf.DUMMYFUNCTION("""COMPUTED_VALUE"""),449.71)</f>
        <v>449.71</v>
      </c>
      <c r="C2382" s="1">
        <f ca="1">IFERROR(__xludf.DUMMYFUNCTION("""COMPUTED_VALUE"""),450.14)</f>
        <v>450.14</v>
      </c>
      <c r="D2382" s="1">
        <f ca="1">IFERROR(__xludf.DUMMYFUNCTION("""COMPUTED_VALUE"""),444.89)</f>
        <v>444.89</v>
      </c>
      <c r="E2382" s="1">
        <f ca="1">IFERROR(__xludf.DUMMYFUNCTION("""COMPUTED_VALUE"""),446.34)</f>
        <v>446.34</v>
      </c>
      <c r="F2382" s="1">
        <f ca="1">IFERROR(__xludf.DUMMYFUNCTION("""COMPUTED_VALUE"""),17112504)</f>
        <v>17112504</v>
      </c>
    </row>
    <row r="2383" spans="1:6" x14ac:dyDescent="0.35">
      <c r="A2383" s="2">
        <f ca="1">IFERROR(__xludf.DUMMYFUNCTION("""COMPUTED_VALUE"""),45463.6666666666)</f>
        <v>45463.666666666599</v>
      </c>
      <c r="B2383" s="1">
        <f ca="1">IFERROR(__xludf.DUMMYFUNCTION("""COMPUTED_VALUE"""),446.3)</f>
        <v>446.3</v>
      </c>
      <c r="C2383" s="1">
        <f ca="1">IFERROR(__xludf.DUMMYFUNCTION("""COMPUTED_VALUE"""),446.53)</f>
        <v>446.53</v>
      </c>
      <c r="D2383" s="1">
        <f ca="1">IFERROR(__xludf.DUMMYFUNCTION("""COMPUTED_VALUE"""),441.27)</f>
        <v>441.27</v>
      </c>
      <c r="E2383" s="1">
        <f ca="1">IFERROR(__xludf.DUMMYFUNCTION("""COMPUTED_VALUE"""),445.7)</f>
        <v>445.7</v>
      </c>
      <c r="F2383" s="1">
        <f ca="1">IFERROR(__xludf.DUMMYFUNCTION("""COMPUTED_VALUE"""),19877378)</f>
        <v>19877378</v>
      </c>
    </row>
    <row r="2384" spans="1:6" x14ac:dyDescent="0.35">
      <c r="A2384" s="2">
        <f ca="1">IFERROR(__xludf.DUMMYFUNCTION("""COMPUTED_VALUE"""),45464.6666666666)</f>
        <v>45464.666666666599</v>
      </c>
      <c r="B2384" s="1">
        <f ca="1">IFERROR(__xludf.DUMMYFUNCTION("""COMPUTED_VALUE"""),447.38)</f>
        <v>447.38</v>
      </c>
      <c r="C2384" s="1">
        <f ca="1">IFERROR(__xludf.DUMMYFUNCTION("""COMPUTED_VALUE"""),450.58)</f>
        <v>450.58</v>
      </c>
      <c r="D2384" s="1">
        <f ca="1">IFERROR(__xludf.DUMMYFUNCTION("""COMPUTED_VALUE"""),446.51)</f>
        <v>446.51</v>
      </c>
      <c r="E2384" s="1">
        <f ca="1">IFERROR(__xludf.DUMMYFUNCTION("""COMPUTED_VALUE"""),449.78)</f>
        <v>449.78</v>
      </c>
      <c r="F2384" s="1">
        <f ca="1">IFERROR(__xludf.DUMMYFUNCTION("""COMPUTED_VALUE"""),34486172)</f>
        <v>34486172</v>
      </c>
    </row>
    <row r="2385" spans="1:6" x14ac:dyDescent="0.35">
      <c r="A2385" s="2">
        <f ca="1">IFERROR(__xludf.DUMMYFUNCTION("""COMPUTED_VALUE"""),45467.6666666666)</f>
        <v>45467.666666666599</v>
      </c>
      <c r="B2385" s="1">
        <f ca="1">IFERROR(__xludf.DUMMYFUNCTION("""COMPUTED_VALUE"""),449.8)</f>
        <v>449.8</v>
      </c>
      <c r="C2385" s="1">
        <f ca="1">IFERROR(__xludf.DUMMYFUNCTION("""COMPUTED_VALUE"""),452.75)</f>
        <v>452.75</v>
      </c>
      <c r="D2385" s="1">
        <f ca="1">IFERROR(__xludf.DUMMYFUNCTION("""COMPUTED_VALUE"""),446.41)</f>
        <v>446.41</v>
      </c>
      <c r="E2385" s="1">
        <f ca="1">IFERROR(__xludf.DUMMYFUNCTION("""COMPUTED_VALUE"""),447.67)</f>
        <v>447.67</v>
      </c>
      <c r="F2385" s="1">
        <f ca="1">IFERROR(__xludf.DUMMYFUNCTION("""COMPUTED_VALUE"""),15913719)</f>
        <v>15913719</v>
      </c>
    </row>
    <row r="2386" spans="1:6" x14ac:dyDescent="0.35">
      <c r="A2386" s="2">
        <f ca="1">IFERROR(__xludf.DUMMYFUNCTION("""COMPUTED_VALUE"""),45468.6666666666)</f>
        <v>45468.666666666599</v>
      </c>
      <c r="B2386" s="1">
        <f ca="1">IFERROR(__xludf.DUMMYFUNCTION("""COMPUTED_VALUE"""),448.25)</f>
        <v>448.25</v>
      </c>
      <c r="C2386" s="1">
        <f ca="1">IFERROR(__xludf.DUMMYFUNCTION("""COMPUTED_VALUE"""),451.42)</f>
        <v>451.42</v>
      </c>
      <c r="D2386" s="1">
        <f ca="1">IFERROR(__xludf.DUMMYFUNCTION("""COMPUTED_VALUE"""),446.75)</f>
        <v>446.75</v>
      </c>
      <c r="E2386" s="1">
        <f ca="1">IFERROR(__xludf.DUMMYFUNCTION("""COMPUTED_VALUE"""),450.95)</f>
        <v>450.95</v>
      </c>
      <c r="F2386" s="1">
        <f ca="1">IFERROR(__xludf.DUMMYFUNCTION("""COMPUTED_VALUE"""),16747529)</f>
        <v>16747529</v>
      </c>
    </row>
    <row r="2387" spans="1:6" x14ac:dyDescent="0.35">
      <c r="A2387" s="2">
        <f ca="1">IFERROR(__xludf.DUMMYFUNCTION("""COMPUTED_VALUE"""),45469.6666666666)</f>
        <v>45469.666666666599</v>
      </c>
      <c r="B2387" s="1">
        <f ca="1">IFERROR(__xludf.DUMMYFUNCTION("""COMPUTED_VALUE"""),449)</f>
        <v>449</v>
      </c>
      <c r="C2387" s="1">
        <f ca="1">IFERROR(__xludf.DUMMYFUNCTION("""COMPUTED_VALUE"""),453.6)</f>
        <v>453.6</v>
      </c>
      <c r="D2387" s="1">
        <f ca="1">IFERROR(__xludf.DUMMYFUNCTION("""COMPUTED_VALUE"""),448.19)</f>
        <v>448.19</v>
      </c>
      <c r="E2387" s="1">
        <f ca="1">IFERROR(__xludf.DUMMYFUNCTION("""COMPUTED_VALUE"""),452.16)</f>
        <v>452.16</v>
      </c>
      <c r="F2387" s="1">
        <f ca="1">IFERROR(__xludf.DUMMYFUNCTION("""COMPUTED_VALUE"""),16507030)</f>
        <v>16507030</v>
      </c>
    </row>
    <row r="2388" spans="1:6" x14ac:dyDescent="0.35">
      <c r="A2388" s="2">
        <f ca="1">IFERROR(__xludf.DUMMYFUNCTION("""COMPUTED_VALUE"""),45470.6666666666)</f>
        <v>45470.666666666599</v>
      </c>
      <c r="B2388" s="1">
        <f ca="1">IFERROR(__xludf.DUMMYFUNCTION("""COMPUTED_VALUE"""),452.18)</f>
        <v>452.18</v>
      </c>
      <c r="C2388" s="1">
        <f ca="1">IFERROR(__xludf.DUMMYFUNCTION("""COMPUTED_VALUE"""),456.17)</f>
        <v>456.17</v>
      </c>
      <c r="D2388" s="1">
        <f ca="1">IFERROR(__xludf.DUMMYFUNCTION("""COMPUTED_VALUE"""),451.77)</f>
        <v>451.77</v>
      </c>
      <c r="E2388" s="1">
        <f ca="1">IFERROR(__xludf.DUMMYFUNCTION("""COMPUTED_VALUE"""),452.85)</f>
        <v>452.85</v>
      </c>
      <c r="F2388" s="1">
        <f ca="1">IFERROR(__xludf.DUMMYFUNCTION("""COMPUTED_VALUE"""),14806324)</f>
        <v>14806324</v>
      </c>
    </row>
    <row r="2389" spans="1:6" x14ac:dyDescent="0.35">
      <c r="A2389" s="2">
        <f ca="1">IFERROR(__xludf.DUMMYFUNCTION("""COMPUTED_VALUE"""),45471.6666666666)</f>
        <v>45471.666666666599</v>
      </c>
      <c r="B2389" s="1">
        <f ca="1">IFERROR(__xludf.DUMMYFUNCTION("""COMPUTED_VALUE"""),453.07)</f>
        <v>453.07</v>
      </c>
      <c r="C2389" s="1">
        <f ca="1">IFERROR(__xludf.DUMMYFUNCTION("""COMPUTED_VALUE"""),455.38)</f>
        <v>455.38</v>
      </c>
      <c r="D2389" s="1">
        <f ca="1">IFERROR(__xludf.DUMMYFUNCTION("""COMPUTED_VALUE"""),446.41)</f>
        <v>446.41</v>
      </c>
      <c r="E2389" s="1">
        <f ca="1">IFERROR(__xludf.DUMMYFUNCTION("""COMPUTED_VALUE"""),446.95)</f>
        <v>446.95</v>
      </c>
      <c r="F2389" s="1">
        <f ca="1">IFERROR(__xludf.DUMMYFUNCTION("""COMPUTED_VALUE"""),28362271)</f>
        <v>28362271</v>
      </c>
    </row>
    <row r="2390" spans="1:6" x14ac:dyDescent="0.35">
      <c r="A2390" s="2">
        <f ca="1">IFERROR(__xludf.DUMMYFUNCTION("""COMPUTED_VALUE"""),45474.6666666666)</f>
        <v>45474.666666666599</v>
      </c>
      <c r="B2390" s="1">
        <f ca="1">IFERROR(__xludf.DUMMYFUNCTION("""COMPUTED_VALUE"""),448.66)</f>
        <v>448.66</v>
      </c>
      <c r="C2390" s="1">
        <f ca="1">IFERROR(__xludf.DUMMYFUNCTION("""COMPUTED_VALUE"""),457.37)</f>
        <v>457.37</v>
      </c>
      <c r="D2390" s="1">
        <f ca="1">IFERROR(__xludf.DUMMYFUNCTION("""COMPUTED_VALUE"""),445.66)</f>
        <v>445.66</v>
      </c>
      <c r="E2390" s="1">
        <f ca="1">IFERROR(__xludf.DUMMYFUNCTION("""COMPUTED_VALUE"""),456.73)</f>
        <v>456.73</v>
      </c>
      <c r="F2390" s="1">
        <f ca="1">IFERROR(__xludf.DUMMYFUNCTION("""COMPUTED_VALUE"""),17662818)</f>
        <v>17662818</v>
      </c>
    </row>
    <row r="2391" spans="1:6" x14ac:dyDescent="0.35">
      <c r="A2391" s="2">
        <f ca="1">IFERROR(__xludf.DUMMYFUNCTION("""COMPUTED_VALUE"""),45475.6666666666)</f>
        <v>45475.666666666599</v>
      </c>
      <c r="B2391" s="1">
        <f ca="1">IFERROR(__xludf.DUMMYFUNCTION("""COMPUTED_VALUE"""),453.2)</f>
        <v>453.2</v>
      </c>
      <c r="C2391" s="1">
        <f ca="1">IFERROR(__xludf.DUMMYFUNCTION("""COMPUTED_VALUE"""),459.59)</f>
        <v>459.59</v>
      </c>
      <c r="D2391" s="1">
        <f ca="1">IFERROR(__xludf.DUMMYFUNCTION("""COMPUTED_VALUE"""),453.11)</f>
        <v>453.11</v>
      </c>
      <c r="E2391" s="1">
        <f ca="1">IFERROR(__xludf.DUMMYFUNCTION("""COMPUTED_VALUE"""),459.28)</f>
        <v>459.28</v>
      </c>
      <c r="F2391" s="1">
        <f ca="1">IFERROR(__xludf.DUMMYFUNCTION("""COMPUTED_VALUE"""),13979779)</f>
        <v>13979779</v>
      </c>
    </row>
    <row r="2392" spans="1:6" x14ac:dyDescent="0.35">
      <c r="A2392" s="2">
        <f ca="1">IFERROR(__xludf.DUMMYFUNCTION("""COMPUTED_VALUE"""),45476.5451388888)</f>
        <v>45476.545138888803</v>
      </c>
      <c r="B2392" s="1">
        <f ca="1">IFERROR(__xludf.DUMMYFUNCTION("""COMPUTED_VALUE"""),458.19)</f>
        <v>458.19</v>
      </c>
      <c r="C2392" s="1">
        <f ca="1">IFERROR(__xludf.DUMMYFUNCTION("""COMPUTED_VALUE"""),461.02)</f>
        <v>461.02</v>
      </c>
      <c r="D2392" s="1">
        <f ca="1">IFERROR(__xludf.DUMMYFUNCTION("""COMPUTED_VALUE"""),457.88)</f>
        <v>457.88</v>
      </c>
      <c r="E2392" s="1">
        <f ca="1">IFERROR(__xludf.DUMMYFUNCTION("""COMPUTED_VALUE"""),460.77)</f>
        <v>460.77</v>
      </c>
      <c r="F2392" s="1">
        <f ca="1">IFERROR(__xludf.DUMMYFUNCTION("""COMPUTED_VALUE"""),9932830)</f>
        <v>9932830</v>
      </c>
    </row>
    <row r="2393" spans="1:6" x14ac:dyDescent="0.35">
      <c r="A2393" s="2">
        <f ca="1">IFERROR(__xludf.DUMMYFUNCTION("""COMPUTED_VALUE"""),45478.6666666666)</f>
        <v>45478.666666666599</v>
      </c>
      <c r="B2393" s="1">
        <f ca="1">IFERROR(__xludf.DUMMYFUNCTION("""COMPUTED_VALUE"""),459.61)</f>
        <v>459.61</v>
      </c>
      <c r="C2393" s="1">
        <f ca="1">IFERROR(__xludf.DUMMYFUNCTION("""COMPUTED_VALUE"""),468.35)</f>
        <v>468.35</v>
      </c>
      <c r="D2393" s="1">
        <f ca="1">IFERROR(__xludf.DUMMYFUNCTION("""COMPUTED_VALUE"""),458.97)</f>
        <v>458.97</v>
      </c>
      <c r="E2393" s="1">
        <f ca="1">IFERROR(__xludf.DUMMYFUNCTION("""COMPUTED_VALUE"""),467.56)</f>
        <v>467.56</v>
      </c>
      <c r="F2393" s="1">
        <f ca="1">IFERROR(__xludf.DUMMYFUNCTION("""COMPUTED_VALUE"""),16000290)</f>
        <v>16000290</v>
      </c>
    </row>
    <row r="2394" spans="1:6" x14ac:dyDescent="0.35">
      <c r="A2394" s="2">
        <f ca="1">IFERROR(__xludf.DUMMYFUNCTION("""COMPUTED_VALUE"""),45481.6666666666)</f>
        <v>45481.666666666599</v>
      </c>
      <c r="B2394" s="1">
        <f ca="1">IFERROR(__xludf.DUMMYFUNCTION("""COMPUTED_VALUE"""),466.55)</f>
        <v>466.55</v>
      </c>
      <c r="C2394" s="1">
        <f ca="1">IFERROR(__xludf.DUMMYFUNCTION("""COMPUTED_VALUE"""),467.7)</f>
        <v>467.7</v>
      </c>
      <c r="D2394" s="1">
        <f ca="1">IFERROR(__xludf.DUMMYFUNCTION("""COMPUTED_VALUE"""),464.46)</f>
        <v>464.46</v>
      </c>
      <c r="E2394" s="1">
        <f ca="1">IFERROR(__xludf.DUMMYFUNCTION("""COMPUTED_VALUE"""),466.24)</f>
        <v>466.24</v>
      </c>
      <c r="F2394" s="1">
        <f ca="1">IFERROR(__xludf.DUMMYFUNCTION("""COMPUTED_VALUE"""),12962321)</f>
        <v>12962321</v>
      </c>
    </row>
    <row r="2395" spans="1:6" x14ac:dyDescent="0.35">
      <c r="A2395" s="2">
        <f ca="1">IFERROR(__xludf.DUMMYFUNCTION("""COMPUTED_VALUE"""),45482.6666666666)</f>
        <v>45482.666666666599</v>
      </c>
      <c r="B2395" s="1">
        <f ca="1">IFERROR(__xludf.DUMMYFUNCTION("""COMPUTED_VALUE"""),467)</f>
        <v>467</v>
      </c>
      <c r="C2395" s="1">
        <f ca="1">IFERROR(__xludf.DUMMYFUNCTION("""COMPUTED_VALUE"""),467.33)</f>
        <v>467.33</v>
      </c>
      <c r="D2395" s="1">
        <f ca="1">IFERROR(__xludf.DUMMYFUNCTION("""COMPUTED_VALUE"""),458)</f>
        <v>458</v>
      </c>
      <c r="E2395" s="1">
        <f ca="1">IFERROR(__xludf.DUMMYFUNCTION("""COMPUTED_VALUE"""),459.54)</f>
        <v>459.54</v>
      </c>
      <c r="F2395" s="1">
        <f ca="1">IFERROR(__xludf.DUMMYFUNCTION("""COMPUTED_VALUE"""),17228507)</f>
        <v>17228507</v>
      </c>
    </row>
    <row r="2396" spans="1:6" x14ac:dyDescent="0.35">
      <c r="A2396" s="2">
        <f ca="1">IFERROR(__xludf.DUMMYFUNCTION("""COMPUTED_VALUE"""),45483.6666666666)</f>
        <v>45483.666666666599</v>
      </c>
      <c r="B2396" s="1">
        <f ca="1">IFERROR(__xludf.DUMMYFUNCTION("""COMPUTED_VALUE"""),461.22)</f>
        <v>461.22</v>
      </c>
      <c r="C2396" s="1">
        <f ca="1">IFERROR(__xludf.DUMMYFUNCTION("""COMPUTED_VALUE"""),466.46)</f>
        <v>466.46</v>
      </c>
      <c r="D2396" s="1">
        <f ca="1">IFERROR(__xludf.DUMMYFUNCTION("""COMPUTED_VALUE"""),458.86)</f>
        <v>458.86</v>
      </c>
      <c r="E2396" s="1">
        <f ca="1">IFERROR(__xludf.DUMMYFUNCTION("""COMPUTED_VALUE"""),466.25)</f>
        <v>466.25</v>
      </c>
      <c r="F2396" s="1">
        <f ca="1">IFERROR(__xludf.DUMMYFUNCTION("""COMPUTED_VALUE"""),18196100)</f>
        <v>18196100</v>
      </c>
    </row>
    <row r="2397" spans="1:6" x14ac:dyDescent="0.35">
      <c r="A2397" s="2">
        <f ca="1">IFERROR(__xludf.DUMMYFUNCTION("""COMPUTED_VALUE"""),45484.6666666666)</f>
        <v>45484.666666666599</v>
      </c>
      <c r="B2397" s="1">
        <f ca="1">IFERROR(__xludf.DUMMYFUNCTION("""COMPUTED_VALUE"""),462.98)</f>
        <v>462.98</v>
      </c>
      <c r="C2397" s="1">
        <f ca="1">IFERROR(__xludf.DUMMYFUNCTION("""COMPUTED_VALUE"""),464.78)</f>
        <v>464.78</v>
      </c>
      <c r="D2397" s="1">
        <f ca="1">IFERROR(__xludf.DUMMYFUNCTION("""COMPUTED_VALUE"""),451.55)</f>
        <v>451.55</v>
      </c>
      <c r="E2397" s="1">
        <f ca="1">IFERROR(__xludf.DUMMYFUNCTION("""COMPUTED_VALUE"""),454.7)</f>
        <v>454.7</v>
      </c>
      <c r="F2397" s="1">
        <f ca="1">IFERROR(__xludf.DUMMYFUNCTION("""COMPUTED_VALUE"""),23111175)</f>
        <v>23111175</v>
      </c>
    </row>
    <row r="2398" spans="1:6" x14ac:dyDescent="0.35">
      <c r="A2398" s="2">
        <f ca="1">IFERROR(__xludf.DUMMYFUNCTION("""COMPUTED_VALUE"""),45485.6666666666)</f>
        <v>45485.666666666599</v>
      </c>
      <c r="B2398" s="1">
        <f ca="1">IFERROR(__xludf.DUMMYFUNCTION("""COMPUTED_VALUE"""),454.33)</f>
        <v>454.33</v>
      </c>
      <c r="C2398" s="1">
        <f ca="1">IFERROR(__xludf.DUMMYFUNCTION("""COMPUTED_VALUE"""),456.36)</f>
        <v>456.36</v>
      </c>
      <c r="D2398" s="1">
        <f ca="1">IFERROR(__xludf.DUMMYFUNCTION("""COMPUTED_VALUE"""),450.65)</f>
        <v>450.65</v>
      </c>
      <c r="E2398" s="1">
        <f ca="1">IFERROR(__xludf.DUMMYFUNCTION("""COMPUTED_VALUE"""),453.55)</f>
        <v>453.55</v>
      </c>
      <c r="F2398" s="1">
        <f ca="1">IFERROR(__xludf.DUMMYFUNCTION("""COMPUTED_VALUE"""),16324274)</f>
        <v>16324274</v>
      </c>
    </row>
    <row r="2399" spans="1:6" x14ac:dyDescent="0.35">
      <c r="A2399" s="2">
        <f ca="1">IFERROR(__xludf.DUMMYFUNCTION("""COMPUTED_VALUE"""),45488.6666666666)</f>
        <v>45488.666666666599</v>
      </c>
      <c r="B2399" s="1">
        <f ca="1">IFERROR(__xludf.DUMMYFUNCTION("""COMPUTED_VALUE"""),453.3)</f>
        <v>453.3</v>
      </c>
      <c r="C2399" s="1">
        <f ca="1">IFERROR(__xludf.DUMMYFUNCTION("""COMPUTED_VALUE"""),457.26)</f>
        <v>457.26</v>
      </c>
      <c r="D2399" s="1">
        <f ca="1">IFERROR(__xludf.DUMMYFUNCTION("""COMPUTED_VALUE"""),451.43)</f>
        <v>451.43</v>
      </c>
      <c r="E2399" s="1">
        <f ca="1">IFERROR(__xludf.DUMMYFUNCTION("""COMPUTED_VALUE"""),453.96)</f>
        <v>453.96</v>
      </c>
      <c r="F2399" s="1">
        <f ca="1">IFERROR(__xludf.DUMMYFUNCTION("""COMPUTED_VALUE"""),14429447)</f>
        <v>14429447</v>
      </c>
    </row>
    <row r="2400" spans="1:6" x14ac:dyDescent="0.35">
      <c r="A2400" s="2">
        <f ca="1">IFERROR(__xludf.DUMMYFUNCTION("""COMPUTED_VALUE"""),45489.6666666666)</f>
        <v>45489.666666666599</v>
      </c>
      <c r="B2400" s="1">
        <f ca="1">IFERROR(__xludf.DUMMYFUNCTION("""COMPUTED_VALUE"""),454.22)</f>
        <v>454.22</v>
      </c>
      <c r="C2400" s="1">
        <f ca="1">IFERROR(__xludf.DUMMYFUNCTION("""COMPUTED_VALUE"""),454.3)</f>
        <v>454.3</v>
      </c>
      <c r="D2400" s="1">
        <f ca="1">IFERROR(__xludf.DUMMYFUNCTION("""COMPUTED_VALUE"""),446.66)</f>
        <v>446.66</v>
      </c>
      <c r="E2400" s="1">
        <f ca="1">IFERROR(__xludf.DUMMYFUNCTION("""COMPUTED_VALUE"""),449.52)</f>
        <v>449.52</v>
      </c>
      <c r="F2400" s="1">
        <f ca="1">IFERROR(__xludf.DUMMYFUNCTION("""COMPUTED_VALUE"""),17175679)</f>
        <v>17175679</v>
      </c>
    </row>
    <row r="2401" spans="1:6" x14ac:dyDescent="0.35">
      <c r="A2401" s="2">
        <f ca="1">IFERROR(__xludf.DUMMYFUNCTION("""COMPUTED_VALUE"""),45490.6666666666)</f>
        <v>45490.666666666599</v>
      </c>
      <c r="B2401" s="1">
        <f ca="1">IFERROR(__xludf.DUMMYFUNCTION("""COMPUTED_VALUE"""),442.59)</f>
        <v>442.59</v>
      </c>
      <c r="C2401" s="1">
        <f ca="1">IFERROR(__xludf.DUMMYFUNCTION("""COMPUTED_VALUE"""),444.85)</f>
        <v>444.85</v>
      </c>
      <c r="D2401" s="1">
        <f ca="1">IFERROR(__xludf.DUMMYFUNCTION("""COMPUTED_VALUE"""),439.18)</f>
        <v>439.18</v>
      </c>
      <c r="E2401" s="1">
        <f ca="1">IFERROR(__xludf.DUMMYFUNCTION("""COMPUTED_VALUE"""),443.52)</f>
        <v>443.52</v>
      </c>
      <c r="F2401" s="1">
        <f ca="1">IFERROR(__xludf.DUMMYFUNCTION("""COMPUTED_VALUE"""),21754021)</f>
        <v>21754021</v>
      </c>
    </row>
    <row r="2402" spans="1:6" x14ac:dyDescent="0.35">
      <c r="A2402" s="2">
        <f ca="1">IFERROR(__xludf.DUMMYFUNCTION("""COMPUTED_VALUE"""),45491.6666666666)</f>
        <v>45491.666666666599</v>
      </c>
      <c r="B2402" s="1">
        <f ca="1">IFERROR(__xludf.DUMMYFUNCTION("""COMPUTED_VALUE"""),444.34)</f>
        <v>444.34</v>
      </c>
      <c r="C2402" s="1">
        <f ca="1">IFERROR(__xludf.DUMMYFUNCTION("""COMPUTED_VALUE"""),444.65)</f>
        <v>444.65</v>
      </c>
      <c r="D2402" s="1">
        <f ca="1">IFERROR(__xludf.DUMMYFUNCTION("""COMPUTED_VALUE"""),434.4)</f>
        <v>434.4</v>
      </c>
      <c r="E2402" s="1">
        <f ca="1">IFERROR(__xludf.DUMMYFUNCTION("""COMPUTED_VALUE"""),440.37)</f>
        <v>440.37</v>
      </c>
      <c r="F2402" s="1">
        <f ca="1">IFERROR(__xludf.DUMMYFUNCTION("""COMPUTED_VALUE"""),20794822)</f>
        <v>20794822</v>
      </c>
    </row>
    <row r="2403" spans="1:6" x14ac:dyDescent="0.35">
      <c r="A2403" s="2">
        <f ca="1">IFERROR(__xludf.DUMMYFUNCTION("""COMPUTED_VALUE"""),45492.6666666666)</f>
        <v>45492.666666666599</v>
      </c>
      <c r="B2403" s="1">
        <f ca="1">IFERROR(__xludf.DUMMYFUNCTION("""COMPUTED_VALUE"""),433.1)</f>
        <v>433.1</v>
      </c>
      <c r="C2403" s="1">
        <f ca="1">IFERROR(__xludf.DUMMYFUNCTION("""COMPUTED_VALUE"""),441.14)</f>
        <v>441.14</v>
      </c>
      <c r="D2403" s="1">
        <f ca="1">IFERROR(__xludf.DUMMYFUNCTION("""COMPUTED_VALUE"""),432)</f>
        <v>432</v>
      </c>
      <c r="E2403" s="1">
        <f ca="1">IFERROR(__xludf.DUMMYFUNCTION("""COMPUTED_VALUE"""),437.11)</f>
        <v>437.11</v>
      </c>
      <c r="F2403" s="1">
        <f ca="1">IFERROR(__xludf.DUMMYFUNCTION("""COMPUTED_VALUE"""),20940417)</f>
        <v>20940417</v>
      </c>
    </row>
    <row r="2404" spans="1:6" x14ac:dyDescent="0.35">
      <c r="A2404" s="2">
        <f ca="1">IFERROR(__xludf.DUMMYFUNCTION("""COMPUTED_VALUE"""),45495.6666666666)</f>
        <v>45495.666666666599</v>
      </c>
      <c r="B2404" s="1">
        <f ca="1">IFERROR(__xludf.DUMMYFUNCTION("""COMPUTED_VALUE"""),441.79)</f>
        <v>441.79</v>
      </c>
      <c r="C2404" s="1">
        <f ca="1">IFERROR(__xludf.DUMMYFUNCTION("""COMPUTED_VALUE"""),444.6)</f>
        <v>444.6</v>
      </c>
      <c r="D2404" s="1">
        <f ca="1">IFERROR(__xludf.DUMMYFUNCTION("""COMPUTED_VALUE"""),438.91)</f>
        <v>438.91</v>
      </c>
      <c r="E2404" s="1">
        <f ca="1">IFERROR(__xludf.DUMMYFUNCTION("""COMPUTED_VALUE"""),442.94)</f>
        <v>442.94</v>
      </c>
      <c r="F2404" s="1">
        <f ca="1">IFERROR(__xludf.DUMMYFUNCTION("""COMPUTED_VALUE"""),15808755)</f>
        <v>15808755</v>
      </c>
    </row>
    <row r="2405" spans="1:6" x14ac:dyDescent="0.35">
      <c r="A2405" s="2">
        <f ca="1">IFERROR(__xludf.DUMMYFUNCTION("""COMPUTED_VALUE"""),45496.6666666666)</f>
        <v>45496.666666666599</v>
      </c>
      <c r="B2405" s="1">
        <f ca="1">IFERROR(__xludf.DUMMYFUNCTION("""COMPUTED_VALUE"""),443.9)</f>
        <v>443.9</v>
      </c>
      <c r="C2405" s="1">
        <f ca="1">IFERROR(__xludf.DUMMYFUNCTION("""COMPUTED_VALUE"""),448.39)</f>
        <v>448.39</v>
      </c>
      <c r="D2405" s="1">
        <f ca="1">IFERROR(__xludf.DUMMYFUNCTION("""COMPUTED_VALUE"""),443.1)</f>
        <v>443.1</v>
      </c>
      <c r="E2405" s="1">
        <f ca="1">IFERROR(__xludf.DUMMYFUNCTION("""COMPUTED_VALUE"""),444.85)</f>
        <v>444.85</v>
      </c>
      <c r="F2405" s="1">
        <f ca="1">IFERROR(__xludf.DUMMYFUNCTION("""COMPUTED_VALUE"""),13107050)</f>
        <v>13107050</v>
      </c>
    </row>
    <row r="2406" spans="1:6" x14ac:dyDescent="0.35">
      <c r="A2406" s="2">
        <f ca="1">IFERROR(__xludf.DUMMYFUNCTION("""COMPUTED_VALUE"""),45497.6666666666)</f>
        <v>45497.666666666599</v>
      </c>
      <c r="B2406" s="1">
        <f ca="1">IFERROR(__xludf.DUMMYFUNCTION("""COMPUTED_VALUE"""),440.45)</f>
        <v>440.45</v>
      </c>
      <c r="C2406" s="1">
        <f ca="1">IFERROR(__xludf.DUMMYFUNCTION("""COMPUTED_VALUE"""),441.48)</f>
        <v>441.48</v>
      </c>
      <c r="D2406" s="1">
        <f ca="1">IFERROR(__xludf.DUMMYFUNCTION("""COMPUTED_VALUE"""),427.59)</f>
        <v>427.59</v>
      </c>
      <c r="E2406" s="1">
        <f ca="1">IFERROR(__xludf.DUMMYFUNCTION("""COMPUTED_VALUE"""),428.9)</f>
        <v>428.9</v>
      </c>
      <c r="F2406" s="1">
        <f ca="1">IFERROR(__xludf.DUMMYFUNCTION("""COMPUTED_VALUE"""),26805800)</f>
        <v>26805800</v>
      </c>
    </row>
    <row r="2407" spans="1:6" x14ac:dyDescent="0.35">
      <c r="A2407" s="2">
        <f ca="1">IFERROR(__xludf.DUMMYFUNCTION("""COMPUTED_VALUE"""),45498.6666666666)</f>
        <v>45498.666666666599</v>
      </c>
      <c r="B2407" s="1">
        <f ca="1">IFERROR(__xludf.DUMMYFUNCTION("""COMPUTED_VALUE"""),428.8)</f>
        <v>428.8</v>
      </c>
      <c r="C2407" s="1">
        <f ca="1">IFERROR(__xludf.DUMMYFUNCTION("""COMPUTED_VALUE"""),429.8)</f>
        <v>429.8</v>
      </c>
      <c r="D2407" s="1">
        <f ca="1">IFERROR(__xludf.DUMMYFUNCTION("""COMPUTED_VALUE"""),417.51)</f>
        <v>417.51</v>
      </c>
      <c r="E2407" s="1">
        <f ca="1">IFERROR(__xludf.DUMMYFUNCTION("""COMPUTED_VALUE"""),418.4)</f>
        <v>418.4</v>
      </c>
      <c r="F2407" s="1">
        <f ca="1">IFERROR(__xludf.DUMMYFUNCTION("""COMPUTED_VALUE"""),29943795)</f>
        <v>29943795</v>
      </c>
    </row>
    <row r="2408" spans="1:6" x14ac:dyDescent="0.35">
      <c r="A2408" s="2">
        <f ca="1">IFERROR(__xludf.DUMMYFUNCTION("""COMPUTED_VALUE"""),45499.6666666666)</f>
        <v>45499.666666666599</v>
      </c>
      <c r="B2408" s="1">
        <f ca="1">IFERROR(__xludf.DUMMYFUNCTION("""COMPUTED_VALUE"""),418.2)</f>
        <v>418.2</v>
      </c>
      <c r="C2408" s="1">
        <f ca="1">IFERROR(__xludf.DUMMYFUNCTION("""COMPUTED_VALUE"""),428.92)</f>
        <v>428.92</v>
      </c>
      <c r="D2408" s="1">
        <f ca="1">IFERROR(__xludf.DUMMYFUNCTION("""COMPUTED_VALUE"""),417.27)</f>
        <v>417.27</v>
      </c>
      <c r="E2408" s="1">
        <f ca="1">IFERROR(__xludf.DUMMYFUNCTION("""COMPUTED_VALUE"""),425.27)</f>
        <v>425.27</v>
      </c>
      <c r="F2408" s="1">
        <f ca="1">IFERROR(__xludf.DUMMYFUNCTION("""COMPUTED_VALUE"""),23583839)</f>
        <v>23583839</v>
      </c>
    </row>
    <row r="2409" spans="1:6" x14ac:dyDescent="0.35">
      <c r="A2409" s="2">
        <f ca="1">IFERROR(__xludf.DUMMYFUNCTION("""COMPUTED_VALUE"""),45502.6666666666)</f>
        <v>45502.666666666599</v>
      </c>
      <c r="B2409" s="1">
        <f ca="1">IFERROR(__xludf.DUMMYFUNCTION("""COMPUTED_VALUE"""),431.58)</f>
        <v>431.58</v>
      </c>
      <c r="C2409" s="1">
        <f ca="1">IFERROR(__xludf.DUMMYFUNCTION("""COMPUTED_VALUE"""),432.15)</f>
        <v>432.15</v>
      </c>
      <c r="D2409" s="1">
        <f ca="1">IFERROR(__xludf.DUMMYFUNCTION("""COMPUTED_VALUE"""),424.7)</f>
        <v>424.7</v>
      </c>
      <c r="E2409" s="1">
        <f ca="1">IFERROR(__xludf.DUMMYFUNCTION("""COMPUTED_VALUE"""),426.73)</f>
        <v>426.73</v>
      </c>
      <c r="F2409" s="1">
        <f ca="1">IFERROR(__xludf.DUMMYFUNCTION("""COMPUTED_VALUE"""),15125836)</f>
        <v>15125836</v>
      </c>
    </row>
    <row r="2410" spans="1:6" x14ac:dyDescent="0.35">
      <c r="A2410" s="2">
        <f ca="1">IFERROR(__xludf.DUMMYFUNCTION("""COMPUTED_VALUE"""),45503.6666666666)</f>
        <v>45503.666666666599</v>
      </c>
      <c r="B2410" s="1">
        <f ca="1">IFERROR(__xludf.DUMMYFUNCTION("""COMPUTED_VALUE"""),427.72)</f>
        <v>427.72</v>
      </c>
      <c r="C2410" s="1">
        <f ca="1">IFERROR(__xludf.DUMMYFUNCTION("""COMPUTED_VALUE"""),429.05)</f>
        <v>429.05</v>
      </c>
      <c r="D2410" s="1">
        <f ca="1">IFERROR(__xludf.DUMMYFUNCTION("""COMPUTED_VALUE"""),417.36)</f>
        <v>417.36</v>
      </c>
      <c r="E2410" s="1">
        <f ca="1">IFERROR(__xludf.DUMMYFUNCTION("""COMPUTED_VALUE"""),422.92)</f>
        <v>422.92</v>
      </c>
      <c r="F2410" s="1">
        <f ca="1">IFERROR(__xludf.DUMMYFUNCTION("""COMPUTED_VALUE"""),32687578)</f>
        <v>32687578</v>
      </c>
    </row>
    <row r="2411" spans="1:6" x14ac:dyDescent="0.35">
      <c r="A2411" s="2">
        <f ca="1">IFERROR(__xludf.DUMMYFUNCTION("""COMPUTED_VALUE"""),45504.6666666666)</f>
        <v>45504.666666666599</v>
      </c>
      <c r="B2411" s="1">
        <f ca="1">IFERROR(__xludf.DUMMYFUNCTION("""COMPUTED_VALUE"""),420.5)</f>
        <v>420.5</v>
      </c>
      <c r="C2411" s="1">
        <f ca="1">IFERROR(__xludf.DUMMYFUNCTION("""COMPUTED_VALUE"""),421.78)</f>
        <v>421.78</v>
      </c>
      <c r="D2411" s="1">
        <f ca="1">IFERROR(__xludf.DUMMYFUNCTION("""COMPUTED_VALUE"""),412.21)</f>
        <v>412.21</v>
      </c>
      <c r="E2411" s="1">
        <f ca="1">IFERROR(__xludf.DUMMYFUNCTION("""COMPUTED_VALUE"""),418.35)</f>
        <v>418.35</v>
      </c>
      <c r="F2411" s="1">
        <f ca="1">IFERROR(__xludf.DUMMYFUNCTION("""COMPUTED_VALUE"""),42891366)</f>
        <v>42891366</v>
      </c>
    </row>
    <row r="2412" spans="1:6" x14ac:dyDescent="0.35">
      <c r="A2412" s="2">
        <f ca="1">IFERROR(__xludf.DUMMYFUNCTION("""COMPUTED_VALUE"""),45505.6666666666)</f>
        <v>45505.666666666599</v>
      </c>
      <c r="B2412" s="1">
        <f ca="1">IFERROR(__xludf.DUMMYFUNCTION("""COMPUTED_VALUE"""),420.79)</f>
        <v>420.79</v>
      </c>
      <c r="C2412" s="1">
        <f ca="1">IFERROR(__xludf.DUMMYFUNCTION("""COMPUTED_VALUE"""),427.46)</f>
        <v>427.46</v>
      </c>
      <c r="D2412" s="1">
        <f ca="1">IFERROR(__xludf.DUMMYFUNCTION("""COMPUTED_VALUE"""),413.09)</f>
        <v>413.09</v>
      </c>
      <c r="E2412" s="1">
        <f ca="1">IFERROR(__xludf.DUMMYFUNCTION("""COMPUTED_VALUE"""),417.11)</f>
        <v>417.11</v>
      </c>
      <c r="F2412" s="1">
        <f ca="1">IFERROR(__xludf.DUMMYFUNCTION("""COMPUTED_VALUE"""),30296400)</f>
        <v>30296400</v>
      </c>
    </row>
    <row r="2413" spans="1:6" x14ac:dyDescent="0.35">
      <c r="A2413" s="2">
        <f ca="1">IFERROR(__xludf.DUMMYFUNCTION("""COMPUTED_VALUE"""),45506.6666666666)</f>
        <v>45506.666666666599</v>
      </c>
      <c r="B2413" s="1">
        <f ca="1">IFERROR(__xludf.DUMMYFUNCTION("""COMPUTED_VALUE"""),412.49)</f>
        <v>412.49</v>
      </c>
      <c r="C2413" s="1">
        <f ca="1">IFERROR(__xludf.DUMMYFUNCTION("""COMPUTED_VALUE"""),415)</f>
        <v>415</v>
      </c>
      <c r="D2413" s="1">
        <f ca="1">IFERROR(__xludf.DUMMYFUNCTION("""COMPUTED_VALUE"""),404.34)</f>
        <v>404.34</v>
      </c>
      <c r="E2413" s="1">
        <f ca="1">IFERROR(__xludf.DUMMYFUNCTION("""COMPUTED_VALUE"""),408.49)</f>
        <v>408.49</v>
      </c>
      <c r="F2413" s="1">
        <f ca="1">IFERROR(__xludf.DUMMYFUNCTION("""COMPUTED_VALUE"""),29437900)</f>
        <v>29437900</v>
      </c>
    </row>
    <row r="2414" spans="1:6" x14ac:dyDescent="0.35">
      <c r="A2414" s="2">
        <f ca="1">IFERROR(__xludf.DUMMYFUNCTION("""COMPUTED_VALUE"""),45509.6666666666)</f>
        <v>45509.666666666599</v>
      </c>
      <c r="B2414" s="1">
        <f ca="1">IFERROR(__xludf.DUMMYFUNCTION("""COMPUTED_VALUE"""),389.17)</f>
        <v>389.17</v>
      </c>
      <c r="C2414" s="1">
        <f ca="1">IFERROR(__xludf.DUMMYFUNCTION("""COMPUTED_VALUE"""),401.04)</f>
        <v>401.04</v>
      </c>
      <c r="D2414" s="1">
        <f ca="1">IFERROR(__xludf.DUMMYFUNCTION("""COMPUTED_VALUE"""),385.58)</f>
        <v>385.58</v>
      </c>
      <c r="E2414" s="1">
        <f ca="1">IFERROR(__xludf.DUMMYFUNCTION("""COMPUTED_VALUE"""),395.15)</f>
        <v>395.15</v>
      </c>
      <c r="F2414" s="1">
        <f ca="1">IFERROR(__xludf.DUMMYFUNCTION("""COMPUTED_VALUE"""),40709238)</f>
        <v>40709238</v>
      </c>
    </row>
    <row r="2415" spans="1:6" x14ac:dyDescent="0.35">
      <c r="A2415" s="2">
        <f ca="1">IFERROR(__xludf.DUMMYFUNCTION("""COMPUTED_VALUE"""),45510.6666666666)</f>
        <v>45510.666666666599</v>
      </c>
      <c r="B2415" s="1">
        <f ca="1">IFERROR(__xludf.DUMMYFUNCTION("""COMPUTED_VALUE"""),400)</f>
        <v>400</v>
      </c>
      <c r="C2415" s="1">
        <f ca="1">IFERROR(__xludf.DUMMYFUNCTION("""COMPUTED_VALUE"""),405.67)</f>
        <v>405.67</v>
      </c>
      <c r="D2415" s="1">
        <f ca="1">IFERROR(__xludf.DUMMYFUNCTION("""COMPUTED_VALUE"""),398.5)</f>
        <v>398.5</v>
      </c>
      <c r="E2415" s="1">
        <f ca="1">IFERROR(__xludf.DUMMYFUNCTION("""COMPUTED_VALUE"""),399.61)</f>
        <v>399.61</v>
      </c>
      <c r="F2415" s="1">
        <f ca="1">IFERROR(__xludf.DUMMYFUNCTION("""COMPUTED_VALUE"""),24946525)</f>
        <v>24946525</v>
      </c>
    </row>
    <row r="2416" spans="1:6" x14ac:dyDescent="0.35">
      <c r="A2416" s="2">
        <f ca="1">IFERROR(__xludf.DUMMYFUNCTION("""COMPUTED_VALUE"""),45511.6666666666)</f>
        <v>45511.666666666599</v>
      </c>
      <c r="B2416" s="1">
        <f ca="1">IFERROR(__xludf.DUMMYFUNCTION("""COMPUTED_VALUE"""),408.64)</f>
        <v>408.64</v>
      </c>
      <c r="C2416" s="1">
        <f ca="1">IFERROR(__xludf.DUMMYFUNCTION("""COMPUTED_VALUE"""),410.08)</f>
        <v>410.08</v>
      </c>
      <c r="D2416" s="1">
        <f ca="1">IFERROR(__xludf.DUMMYFUNCTION("""COMPUTED_VALUE"""),397.47)</f>
        <v>397.47</v>
      </c>
      <c r="E2416" s="1">
        <f ca="1">IFERROR(__xludf.DUMMYFUNCTION("""COMPUTED_VALUE"""),398.43)</f>
        <v>398.43</v>
      </c>
      <c r="F2416" s="1">
        <f ca="1">IFERROR(__xludf.DUMMYFUNCTION("""COMPUTED_VALUE"""),20650906)</f>
        <v>20650906</v>
      </c>
    </row>
    <row r="2417" spans="1:6" x14ac:dyDescent="0.35">
      <c r="A2417" s="2">
        <f ca="1">IFERROR(__xludf.DUMMYFUNCTION("""COMPUTED_VALUE"""),45512.6666666666)</f>
        <v>45512.666666666599</v>
      </c>
      <c r="B2417" s="1">
        <f ca="1">IFERROR(__xludf.DUMMYFUNCTION("""COMPUTED_VALUE"""),402.44)</f>
        <v>402.44</v>
      </c>
      <c r="C2417" s="1">
        <f ca="1">IFERROR(__xludf.DUMMYFUNCTION("""COMPUTED_VALUE"""),405.86)</f>
        <v>405.86</v>
      </c>
      <c r="D2417" s="1">
        <f ca="1">IFERROR(__xludf.DUMMYFUNCTION("""COMPUTED_VALUE"""),399.94)</f>
        <v>399.94</v>
      </c>
      <c r="E2417" s="1">
        <f ca="1">IFERROR(__xludf.DUMMYFUNCTION("""COMPUTED_VALUE"""),402.69)</f>
        <v>402.69</v>
      </c>
      <c r="F2417" s="1">
        <f ca="1">IFERROR(__xludf.DUMMYFUNCTION("""COMPUTED_VALUE"""),20203030)</f>
        <v>20203030</v>
      </c>
    </row>
    <row r="2418" spans="1:6" x14ac:dyDescent="0.35">
      <c r="A2418" s="2">
        <f ca="1">IFERROR(__xludf.DUMMYFUNCTION("""COMPUTED_VALUE"""),45513.6666666666)</f>
        <v>45513.666666666599</v>
      </c>
      <c r="B2418" s="1">
        <f ca="1">IFERROR(__xludf.DUMMYFUNCTION("""COMPUTED_VALUE"""),404.03)</f>
        <v>404.03</v>
      </c>
      <c r="C2418" s="1">
        <f ca="1">IFERROR(__xludf.DUMMYFUNCTION("""COMPUTED_VALUE"""),408.05)</f>
        <v>408.05</v>
      </c>
      <c r="D2418" s="1">
        <f ca="1">IFERROR(__xludf.DUMMYFUNCTION("""COMPUTED_VALUE"""),402.26)</f>
        <v>402.26</v>
      </c>
      <c r="E2418" s="1">
        <f ca="1">IFERROR(__xludf.DUMMYFUNCTION("""COMPUTED_VALUE"""),406.02)</f>
        <v>406.02</v>
      </c>
      <c r="F2418" s="1">
        <f ca="1">IFERROR(__xludf.DUMMYFUNCTION("""COMPUTED_VALUE"""),19276666)</f>
        <v>19276666</v>
      </c>
    </row>
    <row r="2419" spans="1:6" x14ac:dyDescent="0.35">
      <c r="A2419" s="2">
        <f ca="1">IFERROR(__xludf.DUMMYFUNCTION("""COMPUTED_VALUE"""),45516.6666666666)</f>
        <v>45516.666666666599</v>
      </c>
      <c r="B2419" s="1">
        <f ca="1">IFERROR(__xludf.DUMMYFUNCTION("""COMPUTED_VALUE"""),407.06)</f>
        <v>407.06</v>
      </c>
      <c r="C2419" s="1">
        <f ca="1">IFERROR(__xludf.DUMMYFUNCTION("""COMPUTED_VALUE"""),408.76)</f>
        <v>408.76</v>
      </c>
      <c r="D2419" s="1">
        <f ca="1">IFERROR(__xludf.DUMMYFUNCTION("""COMPUTED_VALUE"""),404.24)</f>
        <v>404.24</v>
      </c>
      <c r="E2419" s="1">
        <f ca="1">IFERROR(__xludf.DUMMYFUNCTION("""COMPUTED_VALUE"""),406.81)</f>
        <v>406.81</v>
      </c>
      <c r="F2419" s="1">
        <f ca="1">IFERROR(__xludf.DUMMYFUNCTION("""COMPUTED_VALUE"""),16762883)</f>
        <v>16762883</v>
      </c>
    </row>
    <row r="2420" spans="1:6" x14ac:dyDescent="0.35">
      <c r="A2420" s="2">
        <f ca="1">IFERROR(__xludf.DUMMYFUNCTION("""COMPUTED_VALUE"""),45517.6666666666)</f>
        <v>45517.666666666599</v>
      </c>
      <c r="B2420" s="1">
        <f ca="1">IFERROR(__xludf.DUMMYFUNCTION("""COMPUTED_VALUE"""),409.59)</f>
        <v>409.59</v>
      </c>
      <c r="C2420" s="1">
        <f ca="1">IFERROR(__xludf.DUMMYFUNCTION("""COMPUTED_VALUE"""),414.95)</f>
        <v>414.95</v>
      </c>
      <c r="D2420" s="1">
        <f ca="1">IFERROR(__xludf.DUMMYFUNCTION("""COMPUTED_VALUE"""),409.57)</f>
        <v>409.57</v>
      </c>
      <c r="E2420" s="1">
        <f ca="1">IFERROR(__xludf.DUMMYFUNCTION("""COMPUTED_VALUE"""),414.01)</f>
        <v>414.01</v>
      </c>
      <c r="F2420" s="1">
        <f ca="1">IFERROR(__xludf.DUMMYFUNCTION("""COMPUTED_VALUE"""),19414271)</f>
        <v>19414271</v>
      </c>
    </row>
    <row r="2421" spans="1:6" x14ac:dyDescent="0.35">
      <c r="A2421" s="2">
        <f ca="1">IFERROR(__xludf.DUMMYFUNCTION("""COMPUTED_VALUE"""),45518.6666666666)</f>
        <v>45518.666666666599</v>
      </c>
      <c r="B2421" s="1">
        <f ca="1">IFERROR(__xludf.DUMMYFUNCTION("""COMPUTED_VALUE"""),414.8)</f>
        <v>414.8</v>
      </c>
      <c r="C2421" s="1">
        <f ca="1">IFERROR(__xludf.DUMMYFUNCTION("""COMPUTED_VALUE"""),417.72)</f>
        <v>417.72</v>
      </c>
      <c r="D2421" s="1">
        <f ca="1">IFERROR(__xludf.DUMMYFUNCTION("""COMPUTED_VALUE"""),412.45)</f>
        <v>412.45</v>
      </c>
      <c r="E2421" s="1">
        <f ca="1">IFERROR(__xludf.DUMMYFUNCTION("""COMPUTED_VALUE"""),416.86)</f>
        <v>416.86</v>
      </c>
      <c r="F2421" s="1">
        <f ca="1">IFERROR(__xludf.DUMMYFUNCTION("""COMPUTED_VALUE"""),18266980)</f>
        <v>18266980</v>
      </c>
    </row>
    <row r="2422" spans="1:6" x14ac:dyDescent="0.35">
      <c r="A2422" s="2">
        <f ca="1">IFERROR(__xludf.DUMMYFUNCTION("""COMPUTED_VALUE"""),45519.6666666666)</f>
        <v>45519.666666666599</v>
      </c>
      <c r="B2422" s="1">
        <f ca="1">IFERROR(__xludf.DUMMYFUNCTION("""COMPUTED_VALUE"""),419.8)</f>
        <v>419.8</v>
      </c>
      <c r="C2422" s="1">
        <f ca="1">IFERROR(__xludf.DUMMYFUNCTION("""COMPUTED_VALUE"""),421.11)</f>
        <v>421.11</v>
      </c>
      <c r="D2422" s="1">
        <f ca="1">IFERROR(__xludf.DUMMYFUNCTION("""COMPUTED_VALUE"""),417.66)</f>
        <v>417.66</v>
      </c>
      <c r="E2422" s="1">
        <f ca="1">IFERROR(__xludf.DUMMYFUNCTION("""COMPUTED_VALUE"""),421.03)</f>
        <v>421.03</v>
      </c>
      <c r="F2422" s="1">
        <f ca="1">IFERROR(__xludf.DUMMYFUNCTION("""COMPUTED_VALUE"""),20752144)</f>
        <v>20752144</v>
      </c>
    </row>
    <row r="2423" spans="1:6" x14ac:dyDescent="0.35">
      <c r="A2423" s="2">
        <f ca="1">IFERROR(__xludf.DUMMYFUNCTION("""COMPUTED_VALUE"""),45520.6666666666)</f>
        <v>45520.666666666599</v>
      </c>
      <c r="B2423" s="1">
        <f ca="1">IFERROR(__xludf.DUMMYFUNCTION("""COMPUTED_VALUE"""),420.6)</f>
        <v>420.6</v>
      </c>
      <c r="C2423" s="1">
        <f ca="1">IFERROR(__xludf.DUMMYFUNCTION("""COMPUTED_VALUE"""),421.34)</f>
        <v>421.34</v>
      </c>
      <c r="D2423" s="1">
        <f ca="1">IFERROR(__xludf.DUMMYFUNCTION("""COMPUTED_VALUE"""),417.3)</f>
        <v>417.3</v>
      </c>
      <c r="E2423" s="1">
        <f ca="1">IFERROR(__xludf.DUMMYFUNCTION("""COMPUTED_VALUE"""),418.47)</f>
        <v>418.47</v>
      </c>
      <c r="F2423" s="1">
        <f ca="1">IFERROR(__xludf.DUMMYFUNCTION("""COMPUTED_VALUE"""),22775593)</f>
        <v>22775593</v>
      </c>
    </row>
    <row r="2424" spans="1:6" x14ac:dyDescent="0.35">
      <c r="A2424" s="2">
        <f ca="1">IFERROR(__xludf.DUMMYFUNCTION("""COMPUTED_VALUE"""),45523.6666666666)</f>
        <v>45523.666666666599</v>
      </c>
      <c r="B2424" s="1">
        <f ca="1">IFERROR(__xludf.DUMMYFUNCTION("""COMPUTED_VALUE"""),418.96)</f>
        <v>418.96</v>
      </c>
      <c r="C2424" s="1">
        <f ca="1">IFERROR(__xludf.DUMMYFUNCTION("""COMPUTED_VALUE"""),421.75)</f>
        <v>421.75</v>
      </c>
      <c r="D2424" s="1">
        <f ca="1">IFERROR(__xludf.DUMMYFUNCTION("""COMPUTED_VALUE"""),416.46)</f>
        <v>416.46</v>
      </c>
      <c r="E2424" s="1">
        <f ca="1">IFERROR(__xludf.DUMMYFUNCTION("""COMPUTED_VALUE"""),421.53)</f>
        <v>421.53</v>
      </c>
      <c r="F2424" s="1">
        <f ca="1">IFERROR(__xludf.DUMMYFUNCTION("""COMPUTED_VALUE"""),15233957)</f>
        <v>15233957</v>
      </c>
    </row>
    <row r="2425" spans="1:6" x14ac:dyDescent="0.35">
      <c r="A2425" s="2">
        <f ca="1">IFERROR(__xludf.DUMMYFUNCTION("""COMPUTED_VALUE"""),45524.6666666666)</f>
        <v>45524.666666666599</v>
      </c>
      <c r="B2425" s="1">
        <f ca="1">IFERROR(__xludf.DUMMYFUNCTION("""COMPUTED_VALUE"""),421.7)</f>
        <v>421.7</v>
      </c>
      <c r="C2425" s="1">
        <f ca="1">IFERROR(__xludf.DUMMYFUNCTION("""COMPUTED_VALUE"""),425.86)</f>
        <v>425.86</v>
      </c>
      <c r="D2425" s="1">
        <f ca="1">IFERROR(__xludf.DUMMYFUNCTION("""COMPUTED_VALUE"""),421.64)</f>
        <v>421.64</v>
      </c>
      <c r="E2425" s="1">
        <f ca="1">IFERROR(__xludf.DUMMYFUNCTION("""COMPUTED_VALUE"""),424.8)</f>
        <v>424.8</v>
      </c>
      <c r="F2425" s="1">
        <f ca="1">IFERROR(__xludf.DUMMYFUNCTION("""COMPUTED_VALUE"""),16387581)</f>
        <v>16387581</v>
      </c>
    </row>
    <row r="2426" spans="1:6" x14ac:dyDescent="0.35">
      <c r="A2426" s="2">
        <f ca="1">IFERROR(__xludf.DUMMYFUNCTION("""COMPUTED_VALUE"""),45525.6666666666)</f>
        <v>45525.666666666599</v>
      </c>
      <c r="B2426" s="1">
        <f ca="1">IFERROR(__xludf.DUMMYFUNCTION("""COMPUTED_VALUE"""),424.08)</f>
        <v>424.08</v>
      </c>
      <c r="C2426" s="1">
        <f ca="1">IFERROR(__xludf.DUMMYFUNCTION("""COMPUTED_VALUE"""),426.4)</f>
        <v>426.4</v>
      </c>
      <c r="D2426" s="1">
        <f ca="1">IFERROR(__xludf.DUMMYFUNCTION("""COMPUTED_VALUE"""),421.72)</f>
        <v>421.72</v>
      </c>
      <c r="E2426" s="1">
        <f ca="1">IFERROR(__xludf.DUMMYFUNCTION("""COMPUTED_VALUE"""),424.14)</f>
        <v>424.14</v>
      </c>
      <c r="F2426" s="1">
        <f ca="1">IFERROR(__xludf.DUMMYFUNCTION("""COMPUTED_VALUE"""),16067298)</f>
        <v>16067298</v>
      </c>
    </row>
    <row r="2427" spans="1:6" x14ac:dyDescent="0.35">
      <c r="A2427" s="2">
        <f ca="1">IFERROR(__xludf.DUMMYFUNCTION("""COMPUTED_VALUE"""),45526.6666666666)</f>
        <v>45526.666666666599</v>
      </c>
      <c r="B2427" s="1">
        <f ca="1">IFERROR(__xludf.DUMMYFUNCTION("""COMPUTED_VALUE"""),424.36)</f>
        <v>424.36</v>
      </c>
      <c r="C2427" s="1">
        <f ca="1">IFERROR(__xludf.DUMMYFUNCTION("""COMPUTED_VALUE"""),426.79)</f>
        <v>426.79</v>
      </c>
      <c r="D2427" s="1">
        <f ca="1">IFERROR(__xludf.DUMMYFUNCTION("""COMPUTED_VALUE"""),414.61)</f>
        <v>414.61</v>
      </c>
      <c r="E2427" s="1">
        <f ca="1">IFERROR(__xludf.DUMMYFUNCTION("""COMPUTED_VALUE"""),415.55)</f>
        <v>415.55</v>
      </c>
      <c r="F2427" s="1">
        <f ca="1">IFERROR(__xludf.DUMMYFUNCTION("""COMPUTED_VALUE"""),19361901)</f>
        <v>19361901</v>
      </c>
    </row>
    <row r="2428" spans="1:6" x14ac:dyDescent="0.35">
      <c r="A2428" s="2">
        <f ca="1">IFERROR(__xludf.DUMMYFUNCTION("""COMPUTED_VALUE"""),45527.6666666666)</f>
        <v>45527.666666666599</v>
      </c>
      <c r="B2428" s="1">
        <f ca="1">IFERROR(__xludf.DUMMYFUNCTION("""COMPUTED_VALUE"""),416.98)</f>
        <v>416.98</v>
      </c>
      <c r="C2428" s="1">
        <f ca="1">IFERROR(__xludf.DUMMYFUNCTION("""COMPUTED_VALUE"""),419.26)</f>
        <v>419.26</v>
      </c>
      <c r="D2428" s="1">
        <f ca="1">IFERROR(__xludf.DUMMYFUNCTION("""COMPUTED_VALUE"""),412.09)</f>
        <v>412.09</v>
      </c>
      <c r="E2428" s="1">
        <f ca="1">IFERROR(__xludf.DUMMYFUNCTION("""COMPUTED_VALUE"""),416.79)</f>
        <v>416.79</v>
      </c>
      <c r="F2428" s="1">
        <f ca="1">IFERROR(__xludf.DUMMYFUNCTION("""COMPUTED_VALUE"""),18493784)</f>
        <v>18493784</v>
      </c>
    </row>
    <row r="2429" spans="1:6" x14ac:dyDescent="0.35">
      <c r="A2429" s="2">
        <f ca="1">IFERROR(__xludf.DUMMYFUNCTION("""COMPUTED_VALUE"""),45530.6666666666)</f>
        <v>45530.666666666599</v>
      </c>
      <c r="B2429" s="1">
        <f ca="1">IFERROR(__xludf.DUMMYFUNCTION("""COMPUTED_VALUE"""),416.37)</f>
        <v>416.37</v>
      </c>
      <c r="C2429" s="1">
        <f ca="1">IFERROR(__xludf.DUMMYFUNCTION("""COMPUTED_VALUE"""),417.28)</f>
        <v>417.28</v>
      </c>
      <c r="D2429" s="1">
        <f ca="1">IFERROR(__xludf.DUMMYFUNCTION("""COMPUTED_VALUE"""),411.34)</f>
        <v>411.34</v>
      </c>
      <c r="E2429" s="1">
        <f ca="1">IFERROR(__xludf.DUMMYFUNCTION("""COMPUTED_VALUE"""),413.49)</f>
        <v>413.49</v>
      </c>
      <c r="F2429" s="1">
        <f ca="1">IFERROR(__xludf.DUMMYFUNCTION("""COMPUTED_VALUE"""),13152830)</f>
        <v>13152830</v>
      </c>
    </row>
    <row r="2430" spans="1:6" x14ac:dyDescent="0.35">
      <c r="A2430" s="2">
        <f ca="1">IFERROR(__xludf.DUMMYFUNCTION("""COMPUTED_VALUE"""),45531.6666666666)</f>
        <v>45531.666666666599</v>
      </c>
      <c r="B2430" s="1">
        <f ca="1">IFERROR(__xludf.DUMMYFUNCTION("""COMPUTED_VALUE"""),412.86)</f>
        <v>412.86</v>
      </c>
      <c r="C2430" s="1">
        <f ca="1">IFERROR(__xludf.DUMMYFUNCTION("""COMPUTED_VALUE"""),414.36)</f>
        <v>414.36</v>
      </c>
      <c r="D2430" s="1">
        <f ca="1">IFERROR(__xludf.DUMMYFUNCTION("""COMPUTED_VALUE"""),410.25)</f>
        <v>410.25</v>
      </c>
      <c r="E2430" s="1">
        <f ca="1">IFERROR(__xludf.DUMMYFUNCTION("""COMPUTED_VALUE"""),413.84)</f>
        <v>413.84</v>
      </c>
      <c r="F2430" s="1">
        <f ca="1">IFERROR(__xludf.DUMMYFUNCTION("""COMPUTED_VALUE"""),13492911)</f>
        <v>13492911</v>
      </c>
    </row>
    <row r="2431" spans="1:6" x14ac:dyDescent="0.35">
      <c r="A2431" s="2">
        <f ca="1">IFERROR(__xludf.DUMMYFUNCTION("""COMPUTED_VALUE"""),45532.6666666666)</f>
        <v>45532.666666666599</v>
      </c>
      <c r="B2431" s="1">
        <f ca="1">IFERROR(__xludf.DUMMYFUNCTION("""COMPUTED_VALUE"""),414.88)</f>
        <v>414.88</v>
      </c>
      <c r="C2431" s="1">
        <f ca="1">IFERROR(__xludf.DUMMYFUNCTION("""COMPUTED_VALUE"""),415)</f>
        <v>415</v>
      </c>
      <c r="D2431" s="1">
        <f ca="1">IFERROR(__xludf.DUMMYFUNCTION("""COMPUTED_VALUE"""),407.31)</f>
        <v>407.31</v>
      </c>
      <c r="E2431" s="1">
        <f ca="1">IFERROR(__xludf.DUMMYFUNCTION("""COMPUTED_VALUE"""),410.6)</f>
        <v>410.6</v>
      </c>
      <c r="F2431" s="1">
        <f ca="1">IFERROR(__xludf.DUMMYFUNCTION("""COMPUTED_VALUE"""),14882660)</f>
        <v>14882660</v>
      </c>
    </row>
    <row r="2432" spans="1:6" x14ac:dyDescent="0.35">
      <c r="A2432" s="2">
        <f ca="1">IFERROR(__xludf.DUMMYFUNCTION("""COMPUTED_VALUE"""),45533.6666666666)</f>
        <v>45533.666666666599</v>
      </c>
      <c r="B2432" s="1">
        <f ca="1">IFERROR(__xludf.DUMMYFUNCTION("""COMPUTED_VALUE"""),414.94)</f>
        <v>414.94</v>
      </c>
      <c r="C2432" s="1">
        <f ca="1">IFERROR(__xludf.DUMMYFUNCTION("""COMPUTED_VALUE"""),422.05)</f>
        <v>422.05</v>
      </c>
      <c r="D2432" s="1">
        <f ca="1">IFERROR(__xludf.DUMMYFUNCTION("""COMPUTED_VALUE"""),410.6)</f>
        <v>410.6</v>
      </c>
      <c r="E2432" s="1">
        <f ca="1">IFERROR(__xludf.DUMMYFUNCTION("""COMPUTED_VALUE"""),413.12)</f>
        <v>413.12</v>
      </c>
      <c r="F2432" s="1">
        <f ca="1">IFERROR(__xludf.DUMMYFUNCTION("""COMPUTED_VALUE"""),17045241)</f>
        <v>17045241</v>
      </c>
    </row>
    <row r="2433" spans="1:6" x14ac:dyDescent="0.35">
      <c r="A2433" s="2">
        <f ca="1">IFERROR(__xludf.DUMMYFUNCTION("""COMPUTED_VALUE"""),45534.6666666666)</f>
        <v>45534.666666666599</v>
      </c>
      <c r="B2433" s="1">
        <f ca="1">IFERROR(__xludf.DUMMYFUNCTION("""COMPUTED_VALUE"""),415.6)</f>
        <v>415.6</v>
      </c>
      <c r="C2433" s="1">
        <f ca="1">IFERROR(__xludf.DUMMYFUNCTION("""COMPUTED_VALUE"""),417.49)</f>
        <v>417.49</v>
      </c>
      <c r="D2433" s="1">
        <f ca="1">IFERROR(__xludf.DUMMYFUNCTION("""COMPUTED_VALUE"""),412.13)</f>
        <v>412.13</v>
      </c>
      <c r="E2433" s="1">
        <f ca="1">IFERROR(__xludf.DUMMYFUNCTION("""COMPUTED_VALUE"""),417.14)</f>
        <v>417.14</v>
      </c>
      <c r="F2433" s="1">
        <f ca="1">IFERROR(__xludf.DUMMYFUNCTION("""COMPUTED_VALUE"""),24308324)</f>
        <v>24308324</v>
      </c>
    </row>
    <row r="2434" spans="1:6" x14ac:dyDescent="0.35">
      <c r="A2434" s="2">
        <f ca="1">IFERROR(__xludf.DUMMYFUNCTION("""COMPUTED_VALUE"""),45538.6666666666)</f>
        <v>45538.666666666599</v>
      </c>
      <c r="B2434" s="1">
        <f ca="1">IFERROR(__xludf.DUMMYFUNCTION("""COMPUTED_VALUE"""),417.91)</f>
        <v>417.91</v>
      </c>
      <c r="C2434" s="1">
        <f ca="1">IFERROR(__xludf.DUMMYFUNCTION("""COMPUTED_VALUE"""),419.88)</f>
        <v>419.88</v>
      </c>
      <c r="D2434" s="1">
        <f ca="1">IFERROR(__xludf.DUMMYFUNCTION("""COMPUTED_VALUE"""),407.03)</f>
        <v>407.03</v>
      </c>
      <c r="E2434" s="1">
        <f ca="1">IFERROR(__xludf.DUMMYFUNCTION("""COMPUTED_VALUE"""),409.44)</f>
        <v>409.44</v>
      </c>
      <c r="F2434" s="1">
        <f ca="1">IFERROR(__xludf.DUMMYFUNCTION("""COMPUTED_VALUE"""),20313603)</f>
        <v>20313603</v>
      </c>
    </row>
    <row r="2435" spans="1:6" x14ac:dyDescent="0.35">
      <c r="A2435" s="2">
        <f ca="1">IFERROR(__xludf.DUMMYFUNCTION("""COMPUTED_VALUE"""),45539.6666666666)</f>
        <v>45539.666666666599</v>
      </c>
      <c r="B2435" s="1">
        <f ca="1">IFERROR(__xludf.DUMMYFUNCTION("""COMPUTED_VALUE"""),405.91)</f>
        <v>405.91</v>
      </c>
      <c r="C2435" s="1">
        <f ca="1">IFERROR(__xludf.DUMMYFUNCTION("""COMPUTED_VALUE"""),411.24)</f>
        <v>411.24</v>
      </c>
      <c r="D2435" s="1">
        <f ca="1">IFERROR(__xludf.DUMMYFUNCTION("""COMPUTED_VALUE"""),404.37)</f>
        <v>404.37</v>
      </c>
      <c r="E2435" s="1">
        <f ca="1">IFERROR(__xludf.DUMMYFUNCTION("""COMPUTED_VALUE"""),408.9)</f>
        <v>408.9</v>
      </c>
      <c r="F2435" s="1">
        <f ca="1">IFERROR(__xludf.DUMMYFUNCTION("""COMPUTED_VALUE"""),15135806)</f>
        <v>15135806</v>
      </c>
    </row>
    <row r="2436" spans="1:6" x14ac:dyDescent="0.35">
      <c r="A2436" s="2">
        <f ca="1">IFERROR(__xludf.DUMMYFUNCTION("""COMPUTED_VALUE"""),45540.6666666666)</f>
        <v>45540.666666666599</v>
      </c>
      <c r="B2436" s="1">
        <f ca="1">IFERROR(__xludf.DUMMYFUNCTION("""COMPUTED_VALUE"""),407.62)</f>
        <v>407.62</v>
      </c>
      <c r="C2436" s="1">
        <f ca="1">IFERROR(__xludf.DUMMYFUNCTION("""COMPUTED_VALUE"""),413.1)</f>
        <v>413.1</v>
      </c>
      <c r="D2436" s="1">
        <f ca="1">IFERROR(__xludf.DUMMYFUNCTION("""COMPUTED_VALUE"""),406.13)</f>
        <v>406.13</v>
      </c>
      <c r="E2436" s="1">
        <f ca="1">IFERROR(__xludf.DUMMYFUNCTION("""COMPUTED_VALUE"""),408.39)</f>
        <v>408.39</v>
      </c>
      <c r="F2436" s="1">
        <f ca="1">IFERROR(__xludf.DUMMYFUNCTION("""COMPUTED_VALUE"""),14195516)</f>
        <v>14195516</v>
      </c>
    </row>
    <row r="2437" spans="1:6" x14ac:dyDescent="0.35">
      <c r="A2437" s="2">
        <f ca="1">IFERROR(__xludf.DUMMYFUNCTION("""COMPUTED_VALUE"""),45541.6666666666)</f>
        <v>45541.666666666599</v>
      </c>
      <c r="B2437" s="1">
        <f ca="1">IFERROR(__xludf.DUMMYFUNCTION("""COMPUTED_VALUE"""),409.06)</f>
        <v>409.06</v>
      </c>
      <c r="C2437" s="1">
        <f ca="1">IFERROR(__xludf.DUMMYFUNCTION("""COMPUTED_VALUE"""),410.65)</f>
        <v>410.65</v>
      </c>
      <c r="D2437" s="1">
        <f ca="1">IFERROR(__xludf.DUMMYFUNCTION("""COMPUTED_VALUE"""),400.8)</f>
        <v>400.8</v>
      </c>
      <c r="E2437" s="1">
        <f ca="1">IFERROR(__xludf.DUMMYFUNCTION("""COMPUTED_VALUE"""),401.7)</f>
        <v>401.7</v>
      </c>
      <c r="F2437" s="1">
        <f ca="1">IFERROR(__xludf.DUMMYFUNCTION("""COMPUTED_VALUE"""),19609526)</f>
        <v>19609526</v>
      </c>
    </row>
    <row r="2438" spans="1:6" x14ac:dyDescent="0.35">
      <c r="A2438" s="2">
        <f ca="1">IFERROR(__xludf.DUMMYFUNCTION("""COMPUTED_VALUE"""),45544.6666666666)</f>
        <v>45544.666666666599</v>
      </c>
      <c r="B2438" s="1">
        <f ca="1">IFERROR(__xludf.DUMMYFUNCTION("""COMPUTED_VALUE"""),407.24)</f>
        <v>407.24</v>
      </c>
      <c r="C2438" s="1">
        <f ca="1">IFERROR(__xludf.DUMMYFUNCTION("""COMPUTED_VALUE"""),408.65)</f>
        <v>408.65</v>
      </c>
      <c r="D2438" s="1">
        <f ca="1">IFERROR(__xludf.DUMMYFUNCTION("""COMPUTED_VALUE"""),402.15)</f>
        <v>402.15</v>
      </c>
      <c r="E2438" s="1">
        <f ca="1">IFERROR(__xludf.DUMMYFUNCTION("""COMPUTED_VALUE"""),405.72)</f>
        <v>405.72</v>
      </c>
      <c r="F2438" s="1">
        <f ca="1">IFERROR(__xludf.DUMMYFUNCTION("""COMPUTED_VALUE"""),15295134)</f>
        <v>15295134</v>
      </c>
    </row>
    <row r="2439" spans="1:6" x14ac:dyDescent="0.35">
      <c r="A2439" s="2">
        <f ca="1">IFERROR(__xludf.DUMMYFUNCTION("""COMPUTED_VALUE"""),45545.6666666666)</f>
        <v>45545.666666666599</v>
      </c>
      <c r="B2439" s="1">
        <f ca="1">IFERROR(__xludf.DUMMYFUNCTION("""COMPUTED_VALUE"""),408.2)</f>
        <v>408.2</v>
      </c>
      <c r="C2439" s="1">
        <f ca="1">IFERROR(__xludf.DUMMYFUNCTION("""COMPUTED_VALUE"""),416.33)</f>
        <v>416.33</v>
      </c>
      <c r="D2439" s="1">
        <f ca="1">IFERROR(__xludf.DUMMYFUNCTION("""COMPUTED_VALUE"""),407.7)</f>
        <v>407.7</v>
      </c>
      <c r="E2439" s="1">
        <f ca="1">IFERROR(__xludf.DUMMYFUNCTION("""COMPUTED_VALUE"""),414.2)</f>
        <v>414.2</v>
      </c>
      <c r="F2439" s="1">
        <f ca="1">IFERROR(__xludf.DUMMYFUNCTION("""COMPUTED_VALUE"""),19594287)</f>
        <v>19594287</v>
      </c>
    </row>
    <row r="2440" spans="1:6" x14ac:dyDescent="0.35">
      <c r="A2440" s="2">
        <f ca="1">IFERROR(__xludf.DUMMYFUNCTION("""COMPUTED_VALUE"""),45546.6666666666)</f>
        <v>45546.666666666599</v>
      </c>
      <c r="B2440" s="1">
        <f ca="1">IFERROR(__xludf.DUMMYFUNCTION("""COMPUTED_VALUE"""),415.5)</f>
        <v>415.5</v>
      </c>
      <c r="C2440" s="1">
        <f ca="1">IFERROR(__xludf.DUMMYFUNCTION("""COMPUTED_VALUE"""),423.99)</f>
        <v>423.99</v>
      </c>
      <c r="D2440" s="1">
        <f ca="1">IFERROR(__xludf.DUMMYFUNCTION("""COMPUTED_VALUE"""),409.58)</f>
        <v>409.58</v>
      </c>
      <c r="E2440" s="1">
        <f ca="1">IFERROR(__xludf.DUMMYFUNCTION("""COMPUTED_VALUE"""),423.04)</f>
        <v>423.04</v>
      </c>
      <c r="F2440" s="1">
        <f ca="1">IFERROR(__xludf.DUMMYFUNCTION("""COMPUTED_VALUE"""),19266923)</f>
        <v>19266923</v>
      </c>
    </row>
    <row r="2441" spans="1:6" x14ac:dyDescent="0.35">
      <c r="A2441" s="2">
        <f ca="1">IFERROR(__xludf.DUMMYFUNCTION("""COMPUTED_VALUE"""),45547.6666666666)</f>
        <v>45547.666666666599</v>
      </c>
      <c r="B2441" s="1">
        <f ca="1">IFERROR(__xludf.DUMMYFUNCTION("""COMPUTED_VALUE"""),423.31)</f>
        <v>423.31</v>
      </c>
      <c r="C2441" s="1">
        <f ca="1">IFERROR(__xludf.DUMMYFUNCTION("""COMPUTED_VALUE"""),427.37)</f>
        <v>427.37</v>
      </c>
      <c r="D2441" s="1">
        <f ca="1">IFERROR(__xludf.DUMMYFUNCTION("""COMPUTED_VALUE"""),419.75)</f>
        <v>419.75</v>
      </c>
      <c r="E2441" s="1">
        <f ca="1">IFERROR(__xludf.DUMMYFUNCTION("""COMPUTED_VALUE"""),427)</f>
        <v>427</v>
      </c>
      <c r="F2441" s="1">
        <f ca="1">IFERROR(__xludf.DUMMYFUNCTION("""COMPUTED_VALUE"""),17418759)</f>
        <v>17418759</v>
      </c>
    </row>
    <row r="2442" spans="1:6" x14ac:dyDescent="0.35">
      <c r="A2442" s="2">
        <f ca="1">IFERROR(__xludf.DUMMYFUNCTION("""COMPUTED_VALUE"""),45548.6666666666)</f>
        <v>45548.666666666599</v>
      </c>
      <c r="B2442" s="1">
        <f ca="1">IFERROR(__xludf.DUMMYFUNCTION("""COMPUTED_VALUE"""),425.83)</f>
        <v>425.83</v>
      </c>
      <c r="C2442" s="1">
        <f ca="1">IFERROR(__xludf.DUMMYFUNCTION("""COMPUTED_VALUE"""),431.83)</f>
        <v>431.83</v>
      </c>
      <c r="D2442" s="1">
        <f ca="1">IFERROR(__xludf.DUMMYFUNCTION("""COMPUTED_VALUE"""),425.46)</f>
        <v>425.46</v>
      </c>
      <c r="E2442" s="1">
        <f ca="1">IFERROR(__xludf.DUMMYFUNCTION("""COMPUTED_VALUE"""),430.59)</f>
        <v>430.59</v>
      </c>
      <c r="F2442" s="1">
        <f ca="1">IFERROR(__xludf.DUMMYFUNCTION("""COMPUTED_VALUE"""),15874555)</f>
        <v>15874555</v>
      </c>
    </row>
    <row r="2443" spans="1:6" x14ac:dyDescent="0.35">
      <c r="A2443" s="2">
        <f ca="1">IFERROR(__xludf.DUMMYFUNCTION("""COMPUTED_VALUE"""),45551.6666666666)</f>
        <v>45551.666666666599</v>
      </c>
      <c r="B2443" s="1">
        <f ca="1">IFERROR(__xludf.DUMMYFUNCTION("""COMPUTED_VALUE"""),430.6)</f>
        <v>430.6</v>
      </c>
      <c r="C2443" s="1">
        <f ca="1">IFERROR(__xludf.DUMMYFUNCTION("""COMPUTED_VALUE"""),433.53)</f>
        <v>433.53</v>
      </c>
      <c r="D2443" s="1">
        <f ca="1">IFERROR(__xludf.DUMMYFUNCTION("""COMPUTED_VALUE"""),428.22)</f>
        <v>428.22</v>
      </c>
      <c r="E2443" s="1">
        <f ca="1">IFERROR(__xludf.DUMMYFUNCTION("""COMPUTED_VALUE"""),431.34)</f>
        <v>431.34</v>
      </c>
      <c r="F2443" s="1">
        <f ca="1">IFERROR(__xludf.DUMMYFUNCTION("""COMPUTED_VALUE"""),13834697)</f>
        <v>13834697</v>
      </c>
    </row>
    <row r="2444" spans="1:6" x14ac:dyDescent="0.35">
      <c r="A2444" s="2">
        <f ca="1">IFERROR(__xludf.DUMMYFUNCTION("""COMPUTED_VALUE"""),45552.6666666666)</f>
        <v>45552.666666666599</v>
      </c>
      <c r="B2444" s="1">
        <f ca="1">IFERROR(__xludf.DUMMYFUNCTION("""COMPUTED_VALUE"""),440.23)</f>
        <v>440.23</v>
      </c>
      <c r="C2444" s="1">
        <f ca="1">IFERROR(__xludf.DUMMYFUNCTION("""COMPUTED_VALUE"""),441.85)</f>
        <v>441.85</v>
      </c>
      <c r="D2444" s="1">
        <f ca="1">IFERROR(__xludf.DUMMYFUNCTION("""COMPUTED_VALUE"""),432.27)</f>
        <v>432.27</v>
      </c>
      <c r="E2444" s="1">
        <f ca="1">IFERROR(__xludf.DUMMYFUNCTION("""COMPUTED_VALUE"""),435.15)</f>
        <v>435.15</v>
      </c>
      <c r="F2444" s="1">
        <f ca="1">IFERROR(__xludf.DUMMYFUNCTION("""COMPUTED_VALUE"""),18874231)</f>
        <v>18874231</v>
      </c>
    </row>
    <row r="2445" spans="1:6" x14ac:dyDescent="0.35">
      <c r="A2445" s="2">
        <f ca="1">IFERROR(__xludf.DUMMYFUNCTION("""COMPUTED_VALUE"""),45553.6666666666)</f>
        <v>45553.666666666599</v>
      </c>
      <c r="B2445" s="1">
        <f ca="1">IFERROR(__xludf.DUMMYFUNCTION("""COMPUTED_VALUE"""),435)</f>
        <v>435</v>
      </c>
      <c r="C2445" s="1">
        <f ca="1">IFERROR(__xludf.DUMMYFUNCTION("""COMPUTED_VALUE"""),436.03)</f>
        <v>436.03</v>
      </c>
      <c r="D2445" s="1">
        <f ca="1">IFERROR(__xludf.DUMMYFUNCTION("""COMPUTED_VALUE"""),430.41)</f>
        <v>430.41</v>
      </c>
      <c r="E2445" s="1">
        <f ca="1">IFERROR(__xludf.DUMMYFUNCTION("""COMPUTED_VALUE"""),430.81)</f>
        <v>430.81</v>
      </c>
      <c r="F2445" s="1">
        <f ca="1">IFERROR(__xludf.DUMMYFUNCTION("""COMPUTED_VALUE"""),18898042)</f>
        <v>18898042</v>
      </c>
    </row>
    <row r="2446" spans="1:6" x14ac:dyDescent="0.35">
      <c r="A2446" s="2">
        <f ca="1">IFERROR(__xludf.DUMMYFUNCTION("""COMPUTED_VALUE"""),45554.6666666666)</f>
        <v>45554.666666666599</v>
      </c>
      <c r="B2446" s="1">
        <f ca="1">IFERROR(__xludf.DUMMYFUNCTION("""COMPUTED_VALUE"""),441.23)</f>
        <v>441.23</v>
      </c>
      <c r="C2446" s="1">
        <f ca="1">IFERROR(__xludf.DUMMYFUNCTION("""COMPUTED_VALUE"""),441.5)</f>
        <v>441.5</v>
      </c>
      <c r="D2446" s="1">
        <f ca="1">IFERROR(__xludf.DUMMYFUNCTION("""COMPUTED_VALUE"""),436.9)</f>
        <v>436.9</v>
      </c>
      <c r="E2446" s="1">
        <f ca="1">IFERROR(__xludf.DUMMYFUNCTION("""COMPUTED_VALUE"""),438.69)</f>
        <v>438.69</v>
      </c>
      <c r="F2446" s="1">
        <f ca="1">IFERROR(__xludf.DUMMYFUNCTION("""COMPUTED_VALUE"""),21706559)</f>
        <v>21706559</v>
      </c>
    </row>
    <row r="2447" spans="1:6" x14ac:dyDescent="0.35">
      <c r="A2447" s="2">
        <f ca="1">IFERROR(__xludf.DUMMYFUNCTION("""COMPUTED_VALUE"""),45555.6666666666)</f>
        <v>45555.666666666599</v>
      </c>
      <c r="B2447" s="1">
        <f ca="1">IFERROR(__xludf.DUMMYFUNCTION("""COMPUTED_VALUE"""),437.22)</f>
        <v>437.22</v>
      </c>
      <c r="C2447" s="1">
        <f ca="1">IFERROR(__xludf.DUMMYFUNCTION("""COMPUTED_VALUE"""),439.24)</f>
        <v>439.24</v>
      </c>
      <c r="D2447" s="1">
        <f ca="1">IFERROR(__xludf.DUMMYFUNCTION("""COMPUTED_VALUE"""),434.22)</f>
        <v>434.22</v>
      </c>
      <c r="E2447" s="1">
        <f ca="1">IFERROR(__xludf.DUMMYFUNCTION("""COMPUTED_VALUE"""),435.27)</f>
        <v>435.27</v>
      </c>
      <c r="F2447" s="1">
        <f ca="1">IFERROR(__xludf.DUMMYFUNCTION("""COMPUTED_VALUE"""),55167106)</f>
        <v>55167106</v>
      </c>
    </row>
    <row r="2448" spans="1:6" x14ac:dyDescent="0.35">
      <c r="A2448" s="2">
        <f ca="1">IFERROR(__xludf.DUMMYFUNCTION("""COMPUTED_VALUE"""),45558.6666666666)</f>
        <v>45558.666666666599</v>
      </c>
      <c r="B2448" s="1">
        <f ca="1">IFERROR(__xludf.DUMMYFUNCTION("""COMPUTED_VALUE"""),434.28)</f>
        <v>434.28</v>
      </c>
      <c r="C2448" s="1">
        <f ca="1">IFERROR(__xludf.DUMMYFUNCTION("""COMPUTED_VALUE"""),436.46)</f>
        <v>436.46</v>
      </c>
      <c r="D2448" s="1">
        <f ca="1">IFERROR(__xludf.DUMMYFUNCTION("""COMPUTED_VALUE"""),430.39)</f>
        <v>430.39</v>
      </c>
      <c r="E2448" s="1">
        <f ca="1">IFERROR(__xludf.DUMMYFUNCTION("""COMPUTED_VALUE"""),433.51)</f>
        <v>433.51</v>
      </c>
      <c r="F2448" s="1">
        <f ca="1">IFERROR(__xludf.DUMMYFUNCTION("""COMPUTED_VALUE"""),15128891)</f>
        <v>15128891</v>
      </c>
    </row>
    <row r="2449" spans="1:6" x14ac:dyDescent="0.35">
      <c r="A2449" s="2">
        <f ca="1">IFERROR(__xludf.DUMMYFUNCTION("""COMPUTED_VALUE"""),45559.6666666666)</f>
        <v>45559.666666666599</v>
      </c>
      <c r="B2449" s="1">
        <f ca="1">IFERROR(__xludf.DUMMYFUNCTION("""COMPUTED_VALUE"""),433)</f>
        <v>433</v>
      </c>
      <c r="C2449" s="1">
        <f ca="1">IFERROR(__xludf.DUMMYFUNCTION("""COMPUTED_VALUE"""),433.35)</f>
        <v>433.35</v>
      </c>
      <c r="D2449" s="1">
        <f ca="1">IFERROR(__xludf.DUMMYFUNCTION("""COMPUTED_VALUE"""),426.1)</f>
        <v>426.1</v>
      </c>
      <c r="E2449" s="1">
        <f ca="1">IFERROR(__xludf.DUMMYFUNCTION("""COMPUTED_VALUE"""),429.17)</f>
        <v>429.17</v>
      </c>
      <c r="F2449" s="1">
        <f ca="1">IFERROR(__xludf.DUMMYFUNCTION("""COMPUTED_VALUE"""),17015754)</f>
        <v>17015754</v>
      </c>
    </row>
    <row r="2450" spans="1:6" x14ac:dyDescent="0.35">
      <c r="A2450" s="2">
        <f ca="1">IFERROR(__xludf.DUMMYFUNCTION("""COMPUTED_VALUE"""),45560.6666666666)</f>
        <v>45560.666666666599</v>
      </c>
      <c r="B2450" s="1">
        <f ca="1">IFERROR(__xludf.DUMMYFUNCTION("""COMPUTED_VALUE"""),429.83)</f>
        <v>429.83</v>
      </c>
      <c r="C2450" s="1">
        <f ca="1">IFERROR(__xludf.DUMMYFUNCTION("""COMPUTED_VALUE"""),433.12)</f>
        <v>433.12</v>
      </c>
      <c r="D2450" s="1">
        <f ca="1">IFERROR(__xludf.DUMMYFUNCTION("""COMPUTED_VALUE"""),428.57)</f>
        <v>428.57</v>
      </c>
      <c r="E2450" s="1">
        <f ca="1">IFERROR(__xludf.DUMMYFUNCTION("""COMPUTED_VALUE"""),432.11)</f>
        <v>432.11</v>
      </c>
      <c r="F2450" s="1">
        <f ca="1">IFERROR(__xludf.DUMMYFUNCTION("""COMPUTED_VALUE"""),13396364)</f>
        <v>13396364</v>
      </c>
    </row>
    <row r="2451" spans="1:6" x14ac:dyDescent="0.35">
      <c r="A2451" s="2">
        <f ca="1">IFERROR(__xludf.DUMMYFUNCTION("""COMPUTED_VALUE"""),45561.6666666666)</f>
        <v>45561.666666666599</v>
      </c>
      <c r="B2451" s="1">
        <f ca="1">IFERROR(__xludf.DUMMYFUNCTION("""COMPUTED_VALUE"""),435.09)</f>
        <v>435.09</v>
      </c>
      <c r="C2451" s="1">
        <f ca="1">IFERROR(__xludf.DUMMYFUNCTION("""COMPUTED_VALUE"""),435.3)</f>
        <v>435.3</v>
      </c>
      <c r="D2451" s="1">
        <f ca="1">IFERROR(__xludf.DUMMYFUNCTION("""COMPUTED_VALUE"""),429.13)</f>
        <v>429.13</v>
      </c>
      <c r="E2451" s="1">
        <f ca="1">IFERROR(__xludf.DUMMYFUNCTION("""COMPUTED_VALUE"""),431.31)</f>
        <v>431.31</v>
      </c>
      <c r="F2451" s="1">
        <f ca="1">IFERROR(__xludf.DUMMYFUNCTION("""COMPUTED_VALUE"""),14492044)</f>
        <v>14492044</v>
      </c>
    </row>
    <row r="2452" spans="1:6" x14ac:dyDescent="0.35">
      <c r="A2452" s="2">
        <f ca="1">IFERROR(__xludf.DUMMYFUNCTION("""COMPUTED_VALUE"""),45562.6666666666)</f>
        <v>45562.666666666599</v>
      </c>
      <c r="B2452" s="1">
        <f ca="1">IFERROR(__xludf.DUMMYFUNCTION("""COMPUTED_VALUE"""),431.52)</f>
        <v>431.52</v>
      </c>
      <c r="C2452" s="1">
        <f ca="1">IFERROR(__xludf.DUMMYFUNCTION("""COMPUTED_VALUE"""),431.85)</f>
        <v>431.85</v>
      </c>
      <c r="D2452" s="1">
        <f ca="1">IFERROR(__xludf.DUMMYFUNCTION("""COMPUTED_VALUE"""),427.47)</f>
        <v>427.47</v>
      </c>
      <c r="E2452" s="1">
        <f ca="1">IFERROR(__xludf.DUMMYFUNCTION("""COMPUTED_VALUE"""),428.02)</f>
        <v>428.02</v>
      </c>
      <c r="F2452" s="1">
        <f ca="1">IFERROR(__xludf.DUMMYFUNCTION("""COMPUTED_VALUE"""),14896131)</f>
        <v>14896131</v>
      </c>
    </row>
    <row r="2453" spans="1:6" x14ac:dyDescent="0.35">
      <c r="A2453" s="2">
        <f ca="1">IFERROR(__xludf.DUMMYFUNCTION("""COMPUTED_VALUE"""),45565.6666666666)</f>
        <v>45565.666666666599</v>
      </c>
      <c r="B2453" s="1">
        <f ca="1">IFERROR(__xludf.DUMMYFUNCTION("""COMPUTED_VALUE"""),428.21)</f>
        <v>428.21</v>
      </c>
      <c r="C2453" s="1">
        <f ca="1">IFERROR(__xludf.DUMMYFUNCTION("""COMPUTED_VALUE"""),430.42)</f>
        <v>430.42</v>
      </c>
      <c r="D2453" s="1">
        <f ca="1">IFERROR(__xludf.DUMMYFUNCTION("""COMPUTED_VALUE"""),425.37)</f>
        <v>425.37</v>
      </c>
      <c r="E2453" s="1">
        <f ca="1">IFERROR(__xludf.DUMMYFUNCTION("""COMPUTED_VALUE"""),430.3)</f>
        <v>430.3</v>
      </c>
      <c r="F2453" s="1">
        <f ca="1">IFERROR(__xludf.DUMMYFUNCTION("""COMPUTED_VALUE"""),16854606)</f>
        <v>16854606</v>
      </c>
    </row>
    <row r="2454" spans="1:6" x14ac:dyDescent="0.35">
      <c r="A2454" s="2">
        <f ca="1">IFERROR(__xludf.DUMMYFUNCTION("""COMPUTED_VALUE"""),45566.6666666666)</f>
        <v>45566.666666666599</v>
      </c>
      <c r="B2454" s="1">
        <f ca="1">IFERROR(__xludf.DUMMYFUNCTION("""COMPUTED_VALUE"""),428.45)</f>
        <v>428.45</v>
      </c>
      <c r="C2454" s="1">
        <f ca="1">IFERROR(__xludf.DUMMYFUNCTION("""COMPUTED_VALUE"""),428.48)</f>
        <v>428.48</v>
      </c>
      <c r="D2454" s="1">
        <f ca="1">IFERROR(__xludf.DUMMYFUNCTION("""COMPUTED_VALUE"""),418.81)</f>
        <v>418.81</v>
      </c>
      <c r="E2454" s="1">
        <f ca="1">IFERROR(__xludf.DUMMYFUNCTION("""COMPUTED_VALUE"""),420.69)</f>
        <v>420.69</v>
      </c>
      <c r="F2454" s="1">
        <f ca="1">IFERROR(__xludf.DUMMYFUNCTION("""COMPUTED_VALUE"""),19092945)</f>
        <v>19092945</v>
      </c>
    </row>
    <row r="2455" spans="1:6" x14ac:dyDescent="0.35">
      <c r="A2455" s="2">
        <f ca="1">IFERROR(__xludf.DUMMYFUNCTION("""COMPUTED_VALUE"""),45567.6666666666)</f>
        <v>45567.666666666599</v>
      </c>
      <c r="B2455" s="1">
        <f ca="1">IFERROR(__xludf.DUMMYFUNCTION("""COMPUTED_VALUE"""),422.58)</f>
        <v>422.58</v>
      </c>
      <c r="C2455" s="1">
        <f ca="1">IFERROR(__xludf.DUMMYFUNCTION("""COMPUTED_VALUE"""),422.82)</f>
        <v>422.82</v>
      </c>
      <c r="D2455" s="1">
        <f ca="1">IFERROR(__xludf.DUMMYFUNCTION("""COMPUTED_VALUE"""),416.71)</f>
        <v>416.71</v>
      </c>
      <c r="E2455" s="1">
        <f ca="1">IFERROR(__xludf.DUMMYFUNCTION("""COMPUTED_VALUE"""),417.13)</f>
        <v>417.13</v>
      </c>
      <c r="F2455" s="1">
        <f ca="1">IFERROR(__xludf.DUMMYFUNCTION("""COMPUTED_VALUE"""),16582257)</f>
        <v>16582257</v>
      </c>
    </row>
    <row r="2456" spans="1:6" x14ac:dyDescent="0.35">
      <c r="A2456" s="2">
        <f ca="1">IFERROR(__xludf.DUMMYFUNCTION("""COMPUTED_VALUE"""),45568.6666666666)</f>
        <v>45568.666666666599</v>
      </c>
      <c r="B2456" s="1">
        <f ca="1">IFERROR(__xludf.DUMMYFUNCTION("""COMPUTED_VALUE"""),417.63)</f>
        <v>417.63</v>
      </c>
      <c r="C2456" s="1">
        <f ca="1">IFERROR(__xludf.DUMMYFUNCTION("""COMPUTED_VALUE"""),419.55)</f>
        <v>419.55</v>
      </c>
      <c r="D2456" s="1">
        <f ca="1">IFERROR(__xludf.DUMMYFUNCTION("""COMPUTED_VALUE"""),414.29)</f>
        <v>414.29</v>
      </c>
      <c r="E2456" s="1">
        <f ca="1">IFERROR(__xludf.DUMMYFUNCTION("""COMPUTED_VALUE"""),416.54)</f>
        <v>416.54</v>
      </c>
      <c r="F2456" s="1">
        <f ca="1">IFERROR(__xludf.DUMMYFUNCTION("""COMPUTED_VALUE"""),13686421)</f>
        <v>13686421</v>
      </c>
    </row>
    <row r="2457" spans="1:6" x14ac:dyDescent="0.35">
      <c r="A2457" s="2">
        <f ca="1">IFERROR(__xludf.DUMMYFUNCTION("""COMPUTED_VALUE"""),45569.6666666666)</f>
        <v>45569.666666666599</v>
      </c>
      <c r="B2457" s="1">
        <f ca="1">IFERROR(__xludf.DUMMYFUNCTION("""COMPUTED_VALUE"""),418.24)</f>
        <v>418.24</v>
      </c>
      <c r="C2457" s="1">
        <f ca="1">IFERROR(__xludf.DUMMYFUNCTION("""COMPUTED_VALUE"""),419.75)</f>
        <v>419.75</v>
      </c>
      <c r="D2457" s="1">
        <f ca="1">IFERROR(__xludf.DUMMYFUNCTION("""COMPUTED_VALUE"""),414.97)</f>
        <v>414.97</v>
      </c>
      <c r="E2457" s="1">
        <f ca="1">IFERROR(__xludf.DUMMYFUNCTION("""COMPUTED_VALUE"""),416.06)</f>
        <v>416.06</v>
      </c>
      <c r="F2457" s="1">
        <f ca="1">IFERROR(__xludf.DUMMYFUNCTION("""COMPUTED_VALUE"""),19190913)</f>
        <v>19190913</v>
      </c>
    </row>
    <row r="2458" spans="1:6" x14ac:dyDescent="0.35">
      <c r="A2458" s="2">
        <f ca="1">IFERROR(__xludf.DUMMYFUNCTION("""COMPUTED_VALUE"""),45572.6666666666)</f>
        <v>45572.666666666599</v>
      </c>
      <c r="B2458" s="1">
        <f ca="1">IFERROR(__xludf.DUMMYFUNCTION("""COMPUTED_VALUE"""),416)</f>
        <v>416</v>
      </c>
      <c r="C2458" s="1">
        <f ca="1">IFERROR(__xludf.DUMMYFUNCTION("""COMPUTED_VALUE"""),417.11)</f>
        <v>417.11</v>
      </c>
      <c r="D2458" s="1">
        <f ca="1">IFERROR(__xludf.DUMMYFUNCTION("""COMPUTED_VALUE"""),409)</f>
        <v>409</v>
      </c>
      <c r="E2458" s="1">
        <f ca="1">IFERROR(__xludf.DUMMYFUNCTION("""COMPUTED_VALUE"""),409.54)</f>
        <v>409.54</v>
      </c>
      <c r="F2458" s="1">
        <f ca="1">IFERROR(__xludf.DUMMYFUNCTION("""COMPUTED_VALUE"""),20919761)</f>
        <v>20919761</v>
      </c>
    </row>
    <row r="2459" spans="1:6" x14ac:dyDescent="0.35">
      <c r="A2459" s="2">
        <f ca="1">IFERROR(__xludf.DUMMYFUNCTION("""COMPUTED_VALUE"""),45573.6666666666)</f>
        <v>45573.666666666599</v>
      </c>
      <c r="B2459" s="1">
        <f ca="1">IFERROR(__xludf.DUMMYFUNCTION("""COMPUTED_VALUE"""),410.9)</f>
        <v>410.9</v>
      </c>
      <c r="C2459" s="1">
        <f ca="1">IFERROR(__xludf.DUMMYFUNCTION("""COMPUTED_VALUE"""),415.66)</f>
        <v>415.66</v>
      </c>
      <c r="D2459" s="1">
        <f ca="1">IFERROR(__xludf.DUMMYFUNCTION("""COMPUTED_VALUE"""),408.17)</f>
        <v>408.17</v>
      </c>
      <c r="E2459" s="1">
        <f ca="1">IFERROR(__xludf.DUMMYFUNCTION("""COMPUTED_VALUE"""),414.71)</f>
        <v>414.71</v>
      </c>
      <c r="F2459" s="1">
        <f ca="1">IFERROR(__xludf.DUMMYFUNCTION("""COMPUTED_VALUE"""),19229261)</f>
        <v>19229261</v>
      </c>
    </row>
    <row r="2460" spans="1:6" x14ac:dyDescent="0.35">
      <c r="A2460" s="2">
        <f ca="1">IFERROR(__xludf.DUMMYFUNCTION("""COMPUTED_VALUE"""),45574.6666666666)</f>
        <v>45574.666666666599</v>
      </c>
      <c r="B2460" s="1">
        <f ca="1">IFERROR(__xludf.DUMMYFUNCTION("""COMPUTED_VALUE"""),415.86)</f>
        <v>415.86</v>
      </c>
      <c r="C2460" s="1">
        <f ca="1">IFERROR(__xludf.DUMMYFUNCTION("""COMPUTED_VALUE"""),420.38)</f>
        <v>420.38</v>
      </c>
      <c r="D2460" s="1">
        <f ca="1">IFERROR(__xludf.DUMMYFUNCTION("""COMPUTED_VALUE"""),414.3)</f>
        <v>414.3</v>
      </c>
      <c r="E2460" s="1">
        <f ca="1">IFERROR(__xludf.DUMMYFUNCTION("""COMPUTED_VALUE"""),417.46)</f>
        <v>417.46</v>
      </c>
      <c r="F2460" s="1">
        <f ca="1">IFERROR(__xludf.DUMMYFUNCTION("""COMPUTED_VALUE"""),14974257)</f>
        <v>14974257</v>
      </c>
    </row>
    <row r="2461" spans="1:6" x14ac:dyDescent="0.35">
      <c r="A2461" s="2">
        <f ca="1">IFERROR(__xludf.DUMMYFUNCTION("""COMPUTED_VALUE"""),45575.6666666666)</f>
        <v>45575.666666666599</v>
      </c>
      <c r="B2461" s="1">
        <f ca="1">IFERROR(__xludf.DUMMYFUNCTION("""COMPUTED_VALUE"""),415.23)</f>
        <v>415.23</v>
      </c>
      <c r="C2461" s="1">
        <f ca="1">IFERROR(__xludf.DUMMYFUNCTION("""COMPUTED_VALUE"""),417.35)</f>
        <v>417.35</v>
      </c>
      <c r="D2461" s="1">
        <f ca="1">IFERROR(__xludf.DUMMYFUNCTION("""COMPUTED_VALUE"""),413.15)</f>
        <v>413.15</v>
      </c>
      <c r="E2461" s="1">
        <f ca="1">IFERROR(__xludf.DUMMYFUNCTION("""COMPUTED_VALUE"""),415.84)</f>
        <v>415.84</v>
      </c>
      <c r="F2461" s="1">
        <f ca="1">IFERROR(__xludf.DUMMYFUNCTION("""COMPUTED_VALUE"""),13848376)</f>
        <v>13848376</v>
      </c>
    </row>
    <row r="2462" spans="1:6" x14ac:dyDescent="0.35">
      <c r="A2462" s="2">
        <f ca="1">IFERROR(__xludf.DUMMYFUNCTION("""COMPUTED_VALUE"""),45576.6666666666)</f>
        <v>45576.666666666599</v>
      </c>
      <c r="B2462" s="1">
        <f ca="1">IFERROR(__xludf.DUMMYFUNCTION("""COMPUTED_VALUE"""),416.14)</f>
        <v>416.14</v>
      </c>
      <c r="C2462" s="1">
        <f ca="1">IFERROR(__xludf.DUMMYFUNCTION("""COMPUTED_VALUE"""),417.13)</f>
        <v>417.13</v>
      </c>
      <c r="D2462" s="1">
        <f ca="1">IFERROR(__xludf.DUMMYFUNCTION("""COMPUTED_VALUE"""),413.25)</f>
        <v>413.25</v>
      </c>
      <c r="E2462" s="1">
        <f ca="1">IFERROR(__xludf.DUMMYFUNCTION("""COMPUTED_VALUE"""),416.32)</f>
        <v>416.32</v>
      </c>
      <c r="F2462" s="1">
        <f ca="1">IFERROR(__xludf.DUMMYFUNCTION("""COMPUTED_VALUE"""),14144944)</f>
        <v>14144944</v>
      </c>
    </row>
    <row r="2463" spans="1:6" x14ac:dyDescent="0.35">
      <c r="A2463" s="2">
        <f ca="1">IFERROR(__xludf.DUMMYFUNCTION("""COMPUTED_VALUE"""),45579.6666666666)</f>
        <v>45579.666666666599</v>
      </c>
      <c r="B2463" s="1">
        <f ca="1">IFERROR(__xludf.DUMMYFUNCTION("""COMPUTED_VALUE"""),417.77)</f>
        <v>417.77</v>
      </c>
      <c r="C2463" s="1">
        <f ca="1">IFERROR(__xludf.DUMMYFUNCTION("""COMPUTED_VALUE"""),424.04)</f>
        <v>424.04</v>
      </c>
      <c r="D2463" s="1">
        <f ca="1">IFERROR(__xludf.DUMMYFUNCTION("""COMPUTED_VALUE"""),417.52)</f>
        <v>417.52</v>
      </c>
      <c r="E2463" s="1">
        <f ca="1">IFERROR(__xludf.DUMMYFUNCTION("""COMPUTED_VALUE"""),419.14)</f>
        <v>419.14</v>
      </c>
      <c r="F2463" s="1">
        <f ca="1">IFERROR(__xludf.DUMMYFUNCTION("""COMPUTED_VALUE"""),16653086)</f>
        <v>16653086</v>
      </c>
    </row>
    <row r="2464" spans="1:6" x14ac:dyDescent="0.35">
      <c r="A2464" s="2">
        <f ca="1">IFERROR(__xludf.DUMMYFUNCTION("""COMPUTED_VALUE"""),45580.6666666666)</f>
        <v>45580.666666666599</v>
      </c>
      <c r="B2464" s="1">
        <f ca="1">IFERROR(__xludf.DUMMYFUNCTION("""COMPUTED_VALUE"""),417.77)</f>
        <v>417.77</v>
      </c>
      <c r="C2464" s="1">
        <f ca="1">IFERROR(__xludf.DUMMYFUNCTION("""COMPUTED_VALUE"""),424.04)</f>
        <v>424.04</v>
      </c>
      <c r="D2464" s="1">
        <f ca="1">IFERROR(__xludf.DUMMYFUNCTION("""COMPUTED_VALUE"""),417.52)</f>
        <v>417.52</v>
      </c>
      <c r="E2464" s="1">
        <f ca="1">IFERROR(__xludf.DUMMYFUNCTION("""COMPUTED_VALUE"""),419.14)</f>
        <v>419.14</v>
      </c>
      <c r="F2464" s="1">
        <f ca="1">IFERROR(__xludf.DUMMYFUNCTION("""COMPUTED_VALUE"""),1364087)</f>
        <v>1364087</v>
      </c>
    </row>
    <row r="2465" spans="1:6" x14ac:dyDescent="0.35">
      <c r="A2465" s="2">
        <f ca="1">IFERROR(__xludf.DUMMYFUNCTION("""COMPUTED_VALUE"""),45581.6666666666)</f>
        <v>45581.666666666599</v>
      </c>
      <c r="B2465" s="1">
        <f ca="1">IFERROR(__xludf.DUMMYFUNCTION("""COMPUTED_VALUE"""),415.17)</f>
        <v>415.17</v>
      </c>
      <c r="C2465" s="1">
        <f ca="1">IFERROR(__xludf.DUMMYFUNCTION("""COMPUTED_VALUE"""),416.36)</f>
        <v>416.36</v>
      </c>
      <c r="D2465" s="1">
        <f ca="1">IFERROR(__xludf.DUMMYFUNCTION("""COMPUTED_VALUE"""),410.48)</f>
        <v>410.48</v>
      </c>
      <c r="E2465" s="1">
        <f ca="1">IFERROR(__xludf.DUMMYFUNCTION("""COMPUTED_VALUE"""),416.12)</f>
        <v>416.12</v>
      </c>
      <c r="F2465" s="1">
        <f ca="1">IFERROR(__xludf.DUMMYFUNCTION("""COMPUTED_VALUE"""),15508932)</f>
        <v>15508932</v>
      </c>
    </row>
    <row r="2466" spans="1:6" x14ac:dyDescent="0.35">
      <c r="A2466" s="2">
        <f ca="1">IFERROR(__xludf.DUMMYFUNCTION("""COMPUTED_VALUE"""),45582.6666666666)</f>
        <v>45582.666666666599</v>
      </c>
      <c r="B2466" s="1">
        <f ca="1">IFERROR(__xludf.DUMMYFUNCTION("""COMPUTED_VALUE"""),422.36)</f>
        <v>422.36</v>
      </c>
      <c r="C2466" s="1">
        <f ca="1">IFERROR(__xludf.DUMMYFUNCTION("""COMPUTED_VALUE"""),422.5)</f>
        <v>422.5</v>
      </c>
      <c r="D2466" s="1">
        <f ca="1">IFERROR(__xludf.DUMMYFUNCTION("""COMPUTED_VALUE"""),415.59)</f>
        <v>415.59</v>
      </c>
      <c r="E2466" s="1">
        <f ca="1">IFERROR(__xludf.DUMMYFUNCTION("""COMPUTED_VALUE"""),416.72)</f>
        <v>416.72</v>
      </c>
      <c r="F2466" s="1">
        <f ca="1">IFERROR(__xludf.DUMMYFUNCTION("""COMPUTED_VALUE"""),14820004)</f>
        <v>14820004</v>
      </c>
    </row>
    <row r="2467" spans="1:6" x14ac:dyDescent="0.35">
      <c r="A2467" s="2">
        <f ca="1">IFERROR(__xludf.DUMMYFUNCTION("""COMPUTED_VALUE"""),45583.6666666666)</f>
        <v>45583.666666666599</v>
      </c>
      <c r="B2467" s="1">
        <f ca="1">IFERROR(__xludf.DUMMYFUNCTION("""COMPUTED_VALUE"""),417.14)</f>
        <v>417.14</v>
      </c>
      <c r="C2467" s="1">
        <f ca="1">IFERROR(__xludf.DUMMYFUNCTION("""COMPUTED_VALUE"""),419.65)</f>
        <v>419.65</v>
      </c>
      <c r="D2467" s="1">
        <f ca="1">IFERROR(__xludf.DUMMYFUNCTION("""COMPUTED_VALUE"""),416.26)</f>
        <v>416.26</v>
      </c>
      <c r="E2467" s="1">
        <f ca="1">IFERROR(__xludf.DUMMYFUNCTION("""COMPUTED_VALUE"""),418.16)</f>
        <v>418.16</v>
      </c>
      <c r="F2467" s="1">
        <f ca="1">IFERROR(__xludf.DUMMYFUNCTION("""COMPUTED_VALUE"""),17145317)</f>
        <v>17145317</v>
      </c>
    </row>
    <row r="2468" spans="1:6" x14ac:dyDescent="0.35">
      <c r="A2468" s="2">
        <f ca="1">IFERROR(__xludf.DUMMYFUNCTION("""COMPUTED_VALUE"""),45586.6666666666)</f>
        <v>45586.666666666599</v>
      </c>
      <c r="B2468" s="1">
        <f ca="1">IFERROR(__xludf.DUMMYFUNCTION("""COMPUTED_VALUE"""),416.12)</f>
        <v>416.12</v>
      </c>
      <c r="C2468" s="1">
        <f ca="1">IFERROR(__xludf.DUMMYFUNCTION("""COMPUTED_VALUE"""),418.96)</f>
        <v>418.96</v>
      </c>
      <c r="D2468" s="1">
        <f ca="1">IFERROR(__xludf.DUMMYFUNCTION("""COMPUTED_VALUE"""),413.75)</f>
        <v>413.75</v>
      </c>
      <c r="E2468" s="1">
        <f ca="1">IFERROR(__xludf.DUMMYFUNCTION("""COMPUTED_VALUE"""),418.78)</f>
        <v>418.78</v>
      </c>
      <c r="F2468" s="1">
        <f ca="1">IFERROR(__xludf.DUMMYFUNCTION("""COMPUTED_VALUE"""),14206115)</f>
        <v>14206115</v>
      </c>
    </row>
    <row r="2469" spans="1:6" x14ac:dyDescent="0.35">
      <c r="A2469" s="2">
        <f ca="1">IFERROR(__xludf.DUMMYFUNCTION("""COMPUTED_VALUE"""),45587.6666666666)</f>
        <v>45587.666666666599</v>
      </c>
      <c r="B2469" s="1">
        <f ca="1">IFERROR(__xludf.DUMMYFUNCTION("""COMPUTED_VALUE"""),418.49)</f>
        <v>418.49</v>
      </c>
      <c r="C2469" s="1">
        <f ca="1">IFERROR(__xludf.DUMMYFUNCTION("""COMPUTED_VALUE"""),430.58)</f>
        <v>430.58</v>
      </c>
      <c r="D2469" s="1">
        <f ca="1">IFERROR(__xludf.DUMMYFUNCTION("""COMPUTED_VALUE"""),418.04)</f>
        <v>418.04</v>
      </c>
      <c r="E2469" s="1">
        <f ca="1">IFERROR(__xludf.DUMMYFUNCTION("""COMPUTED_VALUE"""),427.51)</f>
        <v>427.51</v>
      </c>
      <c r="F2469" s="1">
        <f ca="1">IFERROR(__xludf.DUMMYFUNCTION("""COMPUTED_VALUE"""),25482197)</f>
        <v>25482197</v>
      </c>
    </row>
    <row r="2470" spans="1:6" x14ac:dyDescent="0.35">
      <c r="A2470" s="2">
        <f ca="1">IFERROR(__xludf.DUMMYFUNCTION("""COMPUTED_VALUE"""),45588.6666666666)</f>
        <v>45588.666666666599</v>
      </c>
      <c r="B2470" s="1">
        <f ca="1">IFERROR(__xludf.DUMMYFUNCTION("""COMPUTED_VALUE"""),430.86)</f>
        <v>430.86</v>
      </c>
      <c r="C2470" s="1">
        <f ca="1">IFERROR(__xludf.DUMMYFUNCTION("""COMPUTED_VALUE"""),431.08)</f>
        <v>431.08</v>
      </c>
      <c r="D2470" s="1">
        <f ca="1">IFERROR(__xludf.DUMMYFUNCTION("""COMPUTED_VALUE"""),422.53)</f>
        <v>422.53</v>
      </c>
      <c r="E2470" s="1">
        <f ca="1">IFERROR(__xludf.DUMMYFUNCTION("""COMPUTED_VALUE"""),424.6)</f>
        <v>424.6</v>
      </c>
      <c r="F2470" s="1">
        <f ca="1">IFERROR(__xludf.DUMMYFUNCTION("""COMPUTED_VALUE"""),19654379)</f>
        <v>19654379</v>
      </c>
    </row>
    <row r="2471" spans="1:6" x14ac:dyDescent="0.35">
      <c r="A2471" s="2">
        <f ca="1">IFERROR(__xludf.DUMMYFUNCTION("""COMPUTED_VALUE"""),45589.6666666666)</f>
        <v>45589.666666666599</v>
      </c>
      <c r="B2471" s="1">
        <f ca="1">IFERROR(__xludf.DUMMYFUNCTION("""COMPUTED_VALUE"""),425.33)</f>
        <v>425.33</v>
      </c>
      <c r="C2471" s="1">
        <f ca="1">IFERROR(__xludf.DUMMYFUNCTION("""COMPUTED_VALUE"""),425.98)</f>
        <v>425.98</v>
      </c>
      <c r="D2471" s="1">
        <f ca="1">IFERROR(__xludf.DUMMYFUNCTION("""COMPUTED_VALUE"""),422.4)</f>
        <v>422.4</v>
      </c>
      <c r="E2471" s="1">
        <f ca="1">IFERROR(__xludf.DUMMYFUNCTION("""COMPUTED_VALUE"""),424.73)</f>
        <v>424.73</v>
      </c>
      <c r="F2471" s="1">
        <f ca="1">IFERROR(__xludf.DUMMYFUNCTION("""COMPUTED_VALUE"""),13581631)</f>
        <v>13581631</v>
      </c>
    </row>
    <row r="2472" spans="1:6" x14ac:dyDescent="0.35">
      <c r="A2472" s="2">
        <f ca="1">IFERROR(__xludf.DUMMYFUNCTION("""COMPUTED_VALUE"""),45590.6666666666)</f>
        <v>45590.666666666599</v>
      </c>
      <c r="B2472" s="1">
        <f ca="1">IFERROR(__xludf.DUMMYFUNCTION("""COMPUTED_VALUE"""),426.76)</f>
        <v>426.76</v>
      </c>
      <c r="C2472" s="1">
        <f ca="1">IFERROR(__xludf.DUMMYFUNCTION("""COMPUTED_VALUE"""),432.52)</f>
        <v>432.52</v>
      </c>
      <c r="D2472" s="1">
        <f ca="1">IFERROR(__xludf.DUMMYFUNCTION("""COMPUTED_VALUE"""),426.57)</f>
        <v>426.57</v>
      </c>
      <c r="E2472" s="1">
        <f ca="1">IFERROR(__xludf.DUMMYFUNCTION("""COMPUTED_VALUE"""),428.15)</f>
        <v>428.15</v>
      </c>
      <c r="F2472" s="1">
        <f ca="1">IFERROR(__xludf.DUMMYFUNCTION("""COMPUTED_VALUE"""),16899064)</f>
        <v>16899064</v>
      </c>
    </row>
    <row r="2473" spans="1:6" x14ac:dyDescent="0.35">
      <c r="A2473" s="2">
        <f ca="1">IFERROR(__xludf.DUMMYFUNCTION("""COMPUTED_VALUE"""),45593.6666666666)</f>
        <v>45593.666666666599</v>
      </c>
      <c r="B2473" s="1">
        <f ca="1">IFERROR(__xludf.DUMMYFUNCTION("""COMPUTED_VALUE"""),431.66)</f>
        <v>431.66</v>
      </c>
      <c r="C2473" s="1">
        <f ca="1">IFERROR(__xludf.DUMMYFUNCTION("""COMPUTED_VALUE"""),431.94)</f>
        <v>431.94</v>
      </c>
      <c r="D2473" s="1">
        <f ca="1">IFERROR(__xludf.DUMMYFUNCTION("""COMPUTED_VALUE"""),426.3)</f>
        <v>426.3</v>
      </c>
      <c r="E2473" s="1">
        <f ca="1">IFERROR(__xludf.DUMMYFUNCTION("""COMPUTED_VALUE"""),426.59)</f>
        <v>426.59</v>
      </c>
      <c r="F2473" s="1">
        <f ca="1">IFERROR(__xludf.DUMMYFUNCTION("""COMPUTED_VALUE"""),14882444)</f>
        <v>14882444</v>
      </c>
    </row>
    <row r="2474" spans="1:6" x14ac:dyDescent="0.35">
      <c r="A2474" s="2">
        <f ca="1">IFERROR(__xludf.DUMMYFUNCTION("""COMPUTED_VALUE"""),45595.6666666666)</f>
        <v>45595.666666666599</v>
      </c>
      <c r="B2474" s="1">
        <f ca="1">IFERROR(__xludf.DUMMYFUNCTION("""COMPUTED_VALUE"""),437.44)</f>
        <v>437.44</v>
      </c>
      <c r="C2474" s="1">
        <f ca="1">IFERROR(__xludf.DUMMYFUNCTION("""COMPUTED_VALUE"""),438.5)</f>
        <v>438.5</v>
      </c>
      <c r="D2474" s="1">
        <f ca="1">IFERROR(__xludf.DUMMYFUNCTION("""COMPUTED_VALUE"""),432.1)</f>
        <v>432.1</v>
      </c>
      <c r="E2474" s="1">
        <f ca="1">IFERROR(__xludf.DUMMYFUNCTION("""COMPUTED_VALUE"""),432.53)</f>
        <v>432.53</v>
      </c>
      <c r="F2474" s="1">
        <f ca="1">IFERROR(__xludf.DUMMYFUNCTION("""COMPUTED_VALUE"""),29749149)</f>
        <v>29749149</v>
      </c>
    </row>
    <row r="2475" spans="1:6" x14ac:dyDescent="0.35">
      <c r="A2475" s="2">
        <f ca="1">IFERROR(__xludf.DUMMYFUNCTION("""COMPUTED_VALUE"""),45596.6666666666)</f>
        <v>45596.666666666599</v>
      </c>
      <c r="B2475" s="1">
        <f ca="1">IFERROR(__xludf.DUMMYFUNCTION("""COMPUTED_VALUE"""),415.36)</f>
        <v>415.36</v>
      </c>
      <c r="C2475" s="1">
        <f ca="1">IFERROR(__xludf.DUMMYFUNCTION("""COMPUTED_VALUE"""),416.16)</f>
        <v>416.16</v>
      </c>
      <c r="D2475" s="1">
        <f ca="1">IFERROR(__xludf.DUMMYFUNCTION("""COMPUTED_VALUE"""),406.3)</f>
        <v>406.3</v>
      </c>
      <c r="E2475" s="1">
        <f ca="1">IFERROR(__xludf.DUMMYFUNCTION("""COMPUTED_VALUE"""),406.35)</f>
        <v>406.35</v>
      </c>
      <c r="F2475" s="1">
        <f ca="1">IFERROR(__xludf.DUMMYFUNCTION("""COMPUTED_VALUE"""),53970981)</f>
        <v>53970981</v>
      </c>
    </row>
    <row r="2476" spans="1:6" x14ac:dyDescent="0.35">
      <c r="A2476" s="2">
        <f ca="1">IFERROR(__xludf.DUMMYFUNCTION("""COMPUTED_VALUE"""),45597.6666666666)</f>
        <v>45597.666666666599</v>
      </c>
      <c r="B2476" s="1">
        <f ca="1">IFERROR(__xludf.DUMMYFUNCTION("""COMPUTED_VALUE"""),409.01)</f>
        <v>409.01</v>
      </c>
      <c r="C2476" s="1">
        <f ca="1">IFERROR(__xludf.DUMMYFUNCTION("""COMPUTED_VALUE"""),415.5)</f>
        <v>415.5</v>
      </c>
      <c r="D2476" s="1">
        <f ca="1">IFERROR(__xludf.DUMMYFUNCTION("""COMPUTED_VALUE"""),407.5)</f>
        <v>407.5</v>
      </c>
      <c r="E2476" s="1">
        <f ca="1">IFERROR(__xludf.DUMMYFUNCTION("""COMPUTED_VALUE"""),410.37)</f>
        <v>410.37</v>
      </c>
      <c r="F2476" s="1">
        <f ca="1">IFERROR(__xludf.DUMMYFUNCTION("""COMPUTED_VALUE"""),24230442)</f>
        <v>24230442</v>
      </c>
    </row>
    <row r="2477" spans="1:6" x14ac:dyDescent="0.35">
      <c r="A2477" s="2">
        <f ca="1">IFERROR(__xludf.DUMMYFUNCTION("""COMPUTED_VALUE"""),45600.6666666666)</f>
        <v>45600.666666666599</v>
      </c>
      <c r="B2477" s="1">
        <f ca="1">IFERROR(__xludf.DUMMYFUNCTION("""COMPUTED_VALUE"""),409.8)</f>
        <v>409.8</v>
      </c>
      <c r="C2477" s="1">
        <f ca="1">IFERROR(__xludf.DUMMYFUNCTION("""COMPUTED_VALUE"""),410.42)</f>
        <v>410.42</v>
      </c>
      <c r="D2477" s="1">
        <f ca="1">IFERROR(__xludf.DUMMYFUNCTION("""COMPUTED_VALUE"""),405.57)</f>
        <v>405.57</v>
      </c>
      <c r="E2477" s="1">
        <f ca="1">IFERROR(__xludf.DUMMYFUNCTION("""COMPUTED_VALUE"""),408.46)</f>
        <v>408.46</v>
      </c>
      <c r="F2477" s="1">
        <f ca="1">IFERROR(__xludf.DUMMYFUNCTION("""COMPUTED_VALUE"""),19672286)</f>
        <v>19672286</v>
      </c>
    </row>
    <row r="2478" spans="1:6" x14ac:dyDescent="0.35">
      <c r="A2478" s="2">
        <f ca="1">IFERROR(__xludf.DUMMYFUNCTION("""COMPUTED_VALUE"""),45601.6666666666)</f>
        <v>45601.666666666599</v>
      </c>
      <c r="B2478" s="1">
        <f ca="1">IFERROR(__xludf.DUMMYFUNCTION("""COMPUTED_VALUE"""),408.37)</f>
        <v>408.37</v>
      </c>
      <c r="C2478" s="1">
        <f ca="1">IFERROR(__xludf.DUMMYFUNCTION("""COMPUTED_VALUE"""),414.9)</f>
        <v>414.9</v>
      </c>
      <c r="D2478" s="1">
        <f ca="1">IFERROR(__xludf.DUMMYFUNCTION("""COMPUTED_VALUE"""),408.08)</f>
        <v>408.08</v>
      </c>
      <c r="E2478" s="1">
        <f ca="1">IFERROR(__xludf.DUMMYFUNCTION("""COMPUTED_VALUE"""),411.46)</f>
        <v>411.46</v>
      </c>
      <c r="F2478" s="1">
        <f ca="1">IFERROR(__xludf.DUMMYFUNCTION("""COMPUTED_VALUE"""),17626011)</f>
        <v>17626011</v>
      </c>
    </row>
    <row r="2479" spans="1:6" x14ac:dyDescent="0.35">
      <c r="A2479" s="2">
        <f ca="1">IFERROR(__xludf.DUMMYFUNCTION("""COMPUTED_VALUE"""),45602.6666666666)</f>
        <v>45602.666666666599</v>
      </c>
      <c r="B2479" s="1">
        <f ca="1">IFERROR(__xludf.DUMMYFUNCTION("""COMPUTED_VALUE"""),412.42)</f>
        <v>412.42</v>
      </c>
      <c r="C2479" s="1">
        <f ca="1">IFERROR(__xludf.DUMMYFUNCTION("""COMPUTED_VALUE"""),420.45)</f>
        <v>420.45</v>
      </c>
      <c r="D2479" s="1">
        <f ca="1">IFERROR(__xludf.DUMMYFUNCTION("""COMPUTED_VALUE"""),410.52)</f>
        <v>410.52</v>
      </c>
      <c r="E2479" s="1">
        <f ca="1">IFERROR(__xludf.DUMMYFUNCTION("""COMPUTED_VALUE"""),420.18)</f>
        <v>420.18</v>
      </c>
      <c r="F2479" s="1">
        <f ca="1">IFERROR(__xludf.DUMMYFUNCTION("""COMPUTED_VALUE"""),26681842)</f>
        <v>26681842</v>
      </c>
    </row>
    <row r="2480" spans="1:6" x14ac:dyDescent="0.35">
      <c r="A2480" s="2">
        <f ca="1">IFERROR(__xludf.DUMMYFUNCTION("""COMPUTED_VALUE"""),45603.6666666666)</f>
        <v>45603.666666666599</v>
      </c>
      <c r="B2480" s="1">
        <f ca="1">IFERROR(__xludf.DUMMYFUNCTION("""COMPUTED_VALUE"""),421.28)</f>
        <v>421.28</v>
      </c>
      <c r="C2480" s="1">
        <f ca="1">IFERROR(__xludf.DUMMYFUNCTION("""COMPUTED_VALUE"""),426.85)</f>
        <v>426.85</v>
      </c>
      <c r="D2480" s="1">
        <f ca="1">IFERROR(__xludf.DUMMYFUNCTION("""COMPUTED_VALUE"""),419.88)</f>
        <v>419.88</v>
      </c>
      <c r="E2480" s="1">
        <f ca="1">IFERROR(__xludf.DUMMYFUNCTION("""COMPUTED_VALUE"""),425.43)</f>
        <v>425.43</v>
      </c>
      <c r="F2480" s="1">
        <f ca="1">IFERROR(__xludf.DUMMYFUNCTION("""COMPUTED_VALUE"""),19901782)</f>
        <v>19901782</v>
      </c>
    </row>
    <row r="2481" spans="1:6" x14ac:dyDescent="0.35">
      <c r="A2481" s="2">
        <f ca="1">IFERROR(__xludf.DUMMYFUNCTION("""COMPUTED_VALUE"""),45604.6666666666)</f>
        <v>45604.666666666599</v>
      </c>
      <c r="B2481" s="1">
        <f ca="1">IFERROR(__xludf.DUMMYFUNCTION("""COMPUTED_VALUE"""),425.32)</f>
        <v>425.32</v>
      </c>
      <c r="C2481" s="1">
        <f ca="1">IFERROR(__xludf.DUMMYFUNCTION("""COMPUTED_VALUE"""),426.5)</f>
        <v>426.5</v>
      </c>
      <c r="D2481" s="1">
        <f ca="1">IFERROR(__xludf.DUMMYFUNCTION("""COMPUTED_VALUE"""),421.78)</f>
        <v>421.78</v>
      </c>
      <c r="E2481" s="1">
        <f ca="1">IFERROR(__xludf.DUMMYFUNCTION("""COMPUTED_VALUE"""),422.54)</f>
        <v>422.54</v>
      </c>
      <c r="F2481" s="1">
        <f ca="1">IFERROR(__xludf.DUMMYFUNCTION("""COMPUTED_VALUE"""),16891414)</f>
        <v>16891414</v>
      </c>
    </row>
    <row r="2482" spans="1:6" x14ac:dyDescent="0.35">
      <c r="A2482" s="2">
        <f ca="1">IFERROR(__xludf.DUMMYFUNCTION("""COMPUTED_VALUE"""),45607.6666666666)</f>
        <v>45607.666666666599</v>
      </c>
      <c r="B2482" s="1">
        <f ca="1">IFERROR(__xludf.DUMMYFUNCTION("""COMPUTED_VALUE"""),422.52)</f>
        <v>422.52</v>
      </c>
      <c r="C2482" s="1">
        <f ca="1">IFERROR(__xludf.DUMMYFUNCTION("""COMPUTED_VALUE"""),424.81)</f>
        <v>424.81</v>
      </c>
      <c r="D2482" s="1">
        <f ca="1">IFERROR(__xludf.DUMMYFUNCTION("""COMPUTED_VALUE"""),416)</f>
        <v>416</v>
      </c>
      <c r="E2482" s="1">
        <f ca="1">IFERROR(__xludf.DUMMYFUNCTION("""COMPUTED_VALUE"""),418.01)</f>
        <v>418.01</v>
      </c>
      <c r="F2482" s="1">
        <f ca="1">IFERROR(__xludf.DUMMYFUNCTION("""COMPUTED_VALUE"""),24503321)</f>
        <v>24503321</v>
      </c>
    </row>
    <row r="2483" spans="1:6" x14ac:dyDescent="0.35">
      <c r="A2483" s="2">
        <f ca="1">IFERROR(__xludf.DUMMYFUNCTION("""COMPUTED_VALUE"""),45608.6666666666)</f>
        <v>45608.666666666599</v>
      </c>
      <c r="B2483" s="1">
        <f ca="1">IFERROR(__xludf.DUMMYFUNCTION("""COMPUTED_VALUE"""),418.25)</f>
        <v>418.25</v>
      </c>
      <c r="C2483" s="1">
        <f ca="1">IFERROR(__xludf.DUMMYFUNCTION("""COMPUTED_VALUE"""),424.44)</f>
        <v>424.44</v>
      </c>
      <c r="D2483" s="1">
        <f ca="1">IFERROR(__xludf.DUMMYFUNCTION("""COMPUTED_VALUE"""),417.2)</f>
        <v>417.2</v>
      </c>
      <c r="E2483" s="1">
        <f ca="1">IFERROR(__xludf.DUMMYFUNCTION("""COMPUTED_VALUE"""),423.03)</f>
        <v>423.03</v>
      </c>
      <c r="F2483" s="1">
        <f ca="1">IFERROR(__xludf.DUMMYFUNCTION("""COMPUTED_VALUE"""),19401204)</f>
        <v>19401204</v>
      </c>
    </row>
    <row r="2484" spans="1:6" x14ac:dyDescent="0.35">
      <c r="A2484" s="2">
        <f ca="1">IFERROR(__xludf.DUMMYFUNCTION("""COMPUTED_VALUE"""),45609.6666666666)</f>
        <v>45609.666666666599</v>
      </c>
      <c r="B2484" s="1">
        <f ca="1">IFERROR(__xludf.DUMMYFUNCTION("""COMPUTED_VALUE"""),421.64)</f>
        <v>421.64</v>
      </c>
      <c r="C2484" s="1">
        <f ca="1">IFERROR(__xludf.DUMMYFUNCTION("""COMPUTED_VALUE"""),429.33)</f>
        <v>429.33</v>
      </c>
      <c r="D2484" s="1">
        <f ca="1">IFERROR(__xludf.DUMMYFUNCTION("""COMPUTED_VALUE"""),418.21)</f>
        <v>418.21</v>
      </c>
      <c r="E2484" s="1">
        <f ca="1">IFERROR(__xludf.DUMMYFUNCTION("""COMPUTED_VALUE"""),425.2)</f>
        <v>425.2</v>
      </c>
      <c r="F2484" s="1">
        <f ca="1">IFERROR(__xludf.DUMMYFUNCTION("""COMPUTED_VALUE"""),21502185)</f>
        <v>21502185</v>
      </c>
    </row>
    <row r="2485" spans="1:6" x14ac:dyDescent="0.35">
      <c r="A2485" s="2">
        <f ca="1">IFERROR(__xludf.DUMMYFUNCTION("""COMPUTED_VALUE"""),45610.6666666666)</f>
        <v>45610.666666666599</v>
      </c>
      <c r="B2485" s="1">
        <f ca="1">IFERROR(__xludf.DUMMYFUNCTION("""COMPUTED_VALUE"""),425)</f>
        <v>425</v>
      </c>
      <c r="C2485" s="1">
        <f ca="1">IFERROR(__xludf.DUMMYFUNCTION("""COMPUTED_VALUE"""),428.17)</f>
        <v>428.17</v>
      </c>
      <c r="D2485" s="1">
        <f ca="1">IFERROR(__xludf.DUMMYFUNCTION("""COMPUTED_VALUE"""),420)</f>
        <v>420</v>
      </c>
      <c r="E2485" s="1">
        <f ca="1">IFERROR(__xludf.DUMMYFUNCTION("""COMPUTED_VALUE"""),426.89)</f>
        <v>426.89</v>
      </c>
      <c r="F2485" s="1">
        <f ca="1">IFERROR(__xludf.DUMMYFUNCTION("""COMPUTED_VALUE"""),30246881)</f>
        <v>30246881</v>
      </c>
    </row>
    <row r="2486" spans="1:6" x14ac:dyDescent="0.35">
      <c r="A2486" s="2">
        <f ca="1">IFERROR(__xludf.DUMMYFUNCTION("""COMPUTED_VALUE"""),45611.6666666666)</f>
        <v>45611.666666666599</v>
      </c>
      <c r="B2486" s="1">
        <f ca="1">IFERROR(__xludf.DUMMYFUNCTION("""COMPUTED_VALUE"""),419.82)</f>
        <v>419.82</v>
      </c>
      <c r="C2486" s="1">
        <f ca="1">IFERROR(__xludf.DUMMYFUNCTION("""COMPUTED_VALUE"""),422.8)</f>
        <v>422.8</v>
      </c>
      <c r="D2486" s="1">
        <f ca="1">IFERROR(__xludf.DUMMYFUNCTION("""COMPUTED_VALUE"""),413.64)</f>
        <v>413.64</v>
      </c>
      <c r="E2486" s="1">
        <f ca="1">IFERROR(__xludf.DUMMYFUNCTION("""COMPUTED_VALUE"""),415)</f>
        <v>415</v>
      </c>
      <c r="F2486" s="1">
        <f ca="1">IFERROR(__xludf.DUMMYFUNCTION("""COMPUTED_VALUE"""),28247644)</f>
        <v>28247644</v>
      </c>
    </row>
    <row r="2487" spans="1:6" x14ac:dyDescent="0.35">
      <c r="A2487" s="2">
        <f ca="1">IFERROR(__xludf.DUMMYFUNCTION("""COMPUTED_VALUE"""),45614.6666666666)</f>
        <v>45614.666666666599</v>
      </c>
      <c r="B2487" s="1">
        <f ca="1">IFERROR(__xludf.DUMMYFUNCTION("""COMPUTED_VALUE"""),414.87)</f>
        <v>414.87</v>
      </c>
      <c r="C2487" s="1">
        <f ca="1">IFERROR(__xludf.DUMMYFUNCTION("""COMPUTED_VALUE"""),418.4)</f>
        <v>418.4</v>
      </c>
      <c r="D2487" s="1">
        <f ca="1">IFERROR(__xludf.DUMMYFUNCTION("""COMPUTED_VALUE"""),412.1)</f>
        <v>412.1</v>
      </c>
      <c r="E2487" s="1">
        <f ca="1">IFERROR(__xludf.DUMMYFUNCTION("""COMPUTED_VALUE"""),415.76)</f>
        <v>415.76</v>
      </c>
      <c r="F2487" s="1">
        <f ca="1">IFERROR(__xludf.DUMMYFUNCTION("""COMPUTED_VALUE"""),24742013)</f>
        <v>24742013</v>
      </c>
    </row>
    <row r="2488" spans="1:6" x14ac:dyDescent="0.35">
      <c r="A2488" s="2">
        <f ca="1">IFERROR(__xludf.DUMMYFUNCTION("""COMPUTED_VALUE"""),45615.6666666666)</f>
        <v>45615.666666666599</v>
      </c>
      <c r="B2488" s="1">
        <f ca="1">IFERROR(__xludf.DUMMYFUNCTION("""COMPUTED_VALUE"""),413.11)</f>
        <v>413.11</v>
      </c>
      <c r="C2488" s="1">
        <f ca="1">IFERROR(__xludf.DUMMYFUNCTION("""COMPUTED_VALUE"""),417.94)</f>
        <v>417.94</v>
      </c>
      <c r="D2488" s="1">
        <f ca="1">IFERROR(__xludf.DUMMYFUNCTION("""COMPUTED_VALUE"""),411.55)</f>
        <v>411.55</v>
      </c>
      <c r="E2488" s="1">
        <f ca="1">IFERROR(__xludf.DUMMYFUNCTION("""COMPUTED_VALUE"""),417.79)</f>
        <v>417.79</v>
      </c>
      <c r="F2488" s="1">
        <f ca="1">IFERROR(__xludf.DUMMYFUNCTION("""COMPUTED_VALUE"""),18133529)</f>
        <v>18133529</v>
      </c>
    </row>
    <row r="2489" spans="1:6" x14ac:dyDescent="0.35">
      <c r="A2489" s="2">
        <f ca="1">IFERROR(__xludf.DUMMYFUNCTION("""COMPUTED_VALUE"""),45616.6666666666)</f>
        <v>45616.666666666599</v>
      </c>
      <c r="B2489" s="1">
        <f ca="1">IFERROR(__xludf.DUMMYFUNCTION("""COMPUTED_VALUE"""),416.87)</f>
        <v>416.87</v>
      </c>
      <c r="C2489" s="1">
        <f ca="1">IFERROR(__xludf.DUMMYFUNCTION("""COMPUTED_VALUE"""),417.29)</f>
        <v>417.29</v>
      </c>
      <c r="D2489" s="1">
        <f ca="1">IFERROR(__xludf.DUMMYFUNCTION("""COMPUTED_VALUE"""),410.58)</f>
        <v>410.58</v>
      </c>
      <c r="E2489" s="1">
        <f ca="1">IFERROR(__xludf.DUMMYFUNCTION("""COMPUTED_VALUE"""),415.49)</f>
        <v>415.49</v>
      </c>
      <c r="F2489" s="1">
        <f ca="1">IFERROR(__xludf.DUMMYFUNCTION("""COMPUTED_VALUE"""),19191655)</f>
        <v>19191655</v>
      </c>
    </row>
    <row r="2490" spans="1:6" x14ac:dyDescent="0.35">
      <c r="A2490" s="2">
        <f ca="1">IFERROR(__xludf.DUMMYFUNCTION("""COMPUTED_VALUE"""),45617.6666666666)</f>
        <v>45617.666666666599</v>
      </c>
      <c r="B2490" s="1">
        <f ca="1">IFERROR(__xludf.DUMMYFUNCTION("""COMPUTED_VALUE"""),419.5)</f>
        <v>419.5</v>
      </c>
      <c r="C2490" s="1">
        <f ca="1">IFERROR(__xludf.DUMMYFUNCTION("""COMPUTED_VALUE"""),419.78)</f>
        <v>419.78</v>
      </c>
      <c r="D2490" s="1">
        <f ca="1">IFERROR(__xludf.DUMMYFUNCTION("""COMPUTED_VALUE"""),410.29)</f>
        <v>410.29</v>
      </c>
      <c r="E2490" s="1">
        <f ca="1">IFERROR(__xludf.DUMMYFUNCTION("""COMPUTED_VALUE"""),412.87)</f>
        <v>412.87</v>
      </c>
      <c r="F2490" s="1">
        <f ca="1">IFERROR(__xludf.DUMMYFUNCTION("""COMPUTED_VALUE"""),20780162)</f>
        <v>20780162</v>
      </c>
    </row>
    <row r="2491" spans="1:6" x14ac:dyDescent="0.35">
      <c r="A2491" s="2">
        <f ca="1">IFERROR(__xludf.DUMMYFUNCTION("""COMPUTED_VALUE"""),45618.6666666666)</f>
        <v>45618.666666666599</v>
      </c>
      <c r="B2491" s="1">
        <f ca="1">IFERROR(__xludf.DUMMYFUNCTION("""COMPUTED_VALUE"""),411.37)</f>
        <v>411.37</v>
      </c>
      <c r="C2491" s="1">
        <f ca="1">IFERROR(__xludf.DUMMYFUNCTION("""COMPUTED_VALUE"""),417.4)</f>
        <v>417.4</v>
      </c>
      <c r="D2491" s="1">
        <f ca="1">IFERROR(__xludf.DUMMYFUNCTION("""COMPUTED_VALUE"""),411.06)</f>
        <v>411.06</v>
      </c>
      <c r="E2491" s="1">
        <f ca="1">IFERROR(__xludf.DUMMYFUNCTION("""COMPUTED_VALUE"""),417)</f>
        <v>417</v>
      </c>
      <c r="F2491" s="1">
        <f ca="1">IFERROR(__xludf.DUMMYFUNCTION("""COMPUTED_VALUE"""),24814626)</f>
        <v>24814626</v>
      </c>
    </row>
    <row r="2492" spans="1:6" x14ac:dyDescent="0.35">
      <c r="A2492" s="2">
        <f ca="1">IFERROR(__xludf.DUMMYFUNCTION("""COMPUTED_VALUE"""),45621.6666666666)</f>
        <v>45621.666666666599</v>
      </c>
      <c r="B2492" s="1">
        <f ca="1">IFERROR(__xludf.DUMMYFUNCTION("""COMPUTED_VALUE"""),418.38)</f>
        <v>418.38</v>
      </c>
      <c r="C2492" s="1">
        <f ca="1">IFERROR(__xludf.DUMMYFUNCTION("""COMPUTED_VALUE"""),421.08)</f>
        <v>421.08</v>
      </c>
      <c r="D2492" s="1">
        <f ca="1">IFERROR(__xludf.DUMMYFUNCTION("""COMPUTED_VALUE"""),414.85)</f>
        <v>414.85</v>
      </c>
      <c r="E2492" s="1">
        <f ca="1">IFERROR(__xludf.DUMMYFUNCTION("""COMPUTED_VALUE"""),418.79)</f>
        <v>418.79</v>
      </c>
      <c r="F2492" s="1">
        <f ca="1">IFERROR(__xludf.DUMMYFUNCTION("""COMPUTED_VALUE"""),27691090)</f>
        <v>27691090</v>
      </c>
    </row>
    <row r="2493" spans="1:6" x14ac:dyDescent="0.35">
      <c r="A2493" s="2">
        <f ca="1">IFERROR(__xludf.DUMMYFUNCTION("""COMPUTED_VALUE"""),45622.6666666666)</f>
        <v>45622.666666666599</v>
      </c>
      <c r="B2493" s="1">
        <f ca="1">IFERROR(__xludf.DUMMYFUNCTION("""COMPUTED_VALUE"""),419.59)</f>
        <v>419.59</v>
      </c>
      <c r="C2493" s="1">
        <f ca="1">IFERROR(__xludf.DUMMYFUNCTION("""COMPUTED_VALUE"""),429.04)</f>
        <v>429.04</v>
      </c>
      <c r="D2493" s="1">
        <f ca="1">IFERROR(__xludf.DUMMYFUNCTION("""COMPUTED_VALUE"""),418.85)</f>
        <v>418.85</v>
      </c>
      <c r="E2493" s="1">
        <f ca="1">IFERROR(__xludf.DUMMYFUNCTION("""COMPUTED_VALUE"""),427.99)</f>
        <v>427.99</v>
      </c>
      <c r="F2493" s="1">
        <f ca="1">IFERROR(__xludf.DUMMYFUNCTION("""COMPUTED_VALUE"""),23458889)</f>
        <v>23458889</v>
      </c>
    </row>
    <row r="2494" spans="1:6" x14ac:dyDescent="0.35">
      <c r="A2494" s="2">
        <f ca="1">IFERROR(__xludf.DUMMYFUNCTION("""COMPUTED_VALUE"""),45623.6666666666)</f>
        <v>45623.666666666599</v>
      </c>
      <c r="B2494" s="1">
        <f ca="1">IFERROR(__xludf.DUMMYFUNCTION("""COMPUTED_VALUE"""),425.11)</f>
        <v>425.11</v>
      </c>
      <c r="C2494" s="1">
        <f ca="1">IFERROR(__xludf.DUMMYFUNCTION("""COMPUTED_VALUE"""),427.23)</f>
        <v>427.23</v>
      </c>
      <c r="D2494" s="1">
        <f ca="1">IFERROR(__xludf.DUMMYFUNCTION("""COMPUTED_VALUE"""),422.02)</f>
        <v>422.02</v>
      </c>
      <c r="E2494" s="1">
        <f ca="1">IFERROR(__xludf.DUMMYFUNCTION("""COMPUTED_VALUE"""),422.99)</f>
        <v>422.99</v>
      </c>
      <c r="F2494" s="1">
        <f ca="1">IFERROR(__xludf.DUMMYFUNCTION("""COMPUTED_VALUE"""),18332444)</f>
        <v>18332444</v>
      </c>
    </row>
    <row r="2495" spans="1:6" x14ac:dyDescent="0.35">
      <c r="A2495" s="2">
        <f ca="1">IFERROR(__xludf.DUMMYFUNCTION("""COMPUTED_VALUE"""),45625.5451388888)</f>
        <v>45625.545138888803</v>
      </c>
      <c r="B2495" s="1">
        <f ca="1">IFERROR(__xludf.DUMMYFUNCTION("""COMPUTED_VALUE"""),420.09)</f>
        <v>420.09</v>
      </c>
      <c r="C2495" s="1">
        <f ca="1">IFERROR(__xludf.DUMMYFUNCTION("""COMPUTED_VALUE"""),424.88)</f>
        <v>424.88</v>
      </c>
      <c r="D2495" s="1">
        <f ca="1">IFERROR(__xludf.DUMMYFUNCTION("""COMPUTED_VALUE"""),417.8)</f>
        <v>417.8</v>
      </c>
      <c r="E2495" s="1">
        <f ca="1">IFERROR(__xludf.DUMMYFUNCTION("""COMPUTED_VALUE"""),423.46)</f>
        <v>423.46</v>
      </c>
      <c r="F2495" s="1">
        <f ca="1">IFERROR(__xludf.DUMMYFUNCTION("""COMPUTED_VALUE"""),16271921)</f>
        <v>16271921</v>
      </c>
    </row>
    <row r="2496" spans="1:6" x14ac:dyDescent="0.35">
      <c r="A2496" s="2">
        <f ca="1">IFERROR(__xludf.DUMMYFUNCTION("""COMPUTED_VALUE"""),45628.6666666666)</f>
        <v>45628.666666666599</v>
      </c>
      <c r="B2496" s="1">
        <f ca="1">IFERROR(__xludf.DUMMYFUNCTION("""COMPUTED_VALUE"""),421.57)</f>
        <v>421.57</v>
      </c>
      <c r="C2496" s="1">
        <f ca="1">IFERROR(__xludf.DUMMYFUNCTION("""COMPUTED_VALUE"""),433)</f>
        <v>433</v>
      </c>
      <c r="D2496" s="1">
        <f ca="1">IFERROR(__xludf.DUMMYFUNCTION("""COMPUTED_VALUE"""),421.31)</f>
        <v>421.31</v>
      </c>
      <c r="E2496" s="1">
        <f ca="1">IFERROR(__xludf.DUMMYFUNCTION("""COMPUTED_VALUE"""),430.98)</f>
        <v>430.98</v>
      </c>
      <c r="F2496" s="1">
        <f ca="1">IFERROR(__xludf.DUMMYFUNCTION("""COMPUTED_VALUE"""),20207223)</f>
        <v>20207223</v>
      </c>
    </row>
    <row r="2497" spans="1:6" x14ac:dyDescent="0.35">
      <c r="A2497" s="2">
        <f ca="1">IFERROR(__xludf.DUMMYFUNCTION("""COMPUTED_VALUE"""),45629.6666666666)</f>
        <v>45629.666666666599</v>
      </c>
      <c r="B2497" s="1">
        <f ca="1">IFERROR(__xludf.DUMMYFUNCTION("""COMPUTED_VALUE"""),429.84)</f>
        <v>429.84</v>
      </c>
      <c r="C2497" s="1">
        <f ca="1">IFERROR(__xludf.DUMMYFUNCTION("""COMPUTED_VALUE"""),432.47)</f>
        <v>432.47</v>
      </c>
      <c r="D2497" s="1">
        <f ca="1">IFERROR(__xludf.DUMMYFUNCTION("""COMPUTED_VALUE"""),427.74)</f>
        <v>427.74</v>
      </c>
      <c r="E2497" s="1">
        <f ca="1">IFERROR(__xludf.DUMMYFUNCTION("""COMPUTED_VALUE"""),431.2)</f>
        <v>431.2</v>
      </c>
      <c r="F2497" s="1">
        <f ca="1">IFERROR(__xludf.DUMMYFUNCTION("""COMPUTED_VALUE"""),18301987)</f>
        <v>18301987</v>
      </c>
    </row>
    <row r="2498" spans="1:6" x14ac:dyDescent="0.35">
      <c r="A2498" s="2">
        <f ca="1">IFERROR(__xludf.DUMMYFUNCTION("""COMPUTED_VALUE"""),45630.6666666666)</f>
        <v>45630.666666666599</v>
      </c>
      <c r="B2498" s="1">
        <f ca="1">IFERROR(__xludf.DUMMYFUNCTION("""COMPUTED_VALUE"""),433.03)</f>
        <v>433.03</v>
      </c>
      <c r="C2498" s="1">
        <f ca="1">IFERROR(__xludf.DUMMYFUNCTION("""COMPUTED_VALUE"""),439.67)</f>
        <v>439.67</v>
      </c>
      <c r="D2498" s="1">
        <f ca="1">IFERROR(__xludf.DUMMYFUNCTION("""COMPUTED_VALUE"""),432.63)</f>
        <v>432.63</v>
      </c>
      <c r="E2498" s="1">
        <f ca="1">IFERROR(__xludf.DUMMYFUNCTION("""COMPUTED_VALUE"""),437.42)</f>
        <v>437.42</v>
      </c>
      <c r="F2498" s="1">
        <f ca="1">IFERROR(__xludf.DUMMYFUNCTION("""COMPUTED_VALUE"""),26009429)</f>
        <v>26009429</v>
      </c>
    </row>
    <row r="2499" spans="1:6" x14ac:dyDescent="0.35">
      <c r="A2499" s="2">
        <f ca="1">IFERROR(__xludf.DUMMYFUNCTION("""COMPUTED_VALUE"""),45631.6666666666)</f>
        <v>45631.666666666599</v>
      </c>
      <c r="B2499" s="1">
        <f ca="1">IFERROR(__xludf.DUMMYFUNCTION("""COMPUTED_VALUE"""),437.92)</f>
        <v>437.92</v>
      </c>
      <c r="C2499" s="1">
        <f ca="1">IFERROR(__xludf.DUMMYFUNCTION("""COMPUTED_VALUE"""),444.66)</f>
        <v>444.66</v>
      </c>
      <c r="D2499" s="1">
        <f ca="1">IFERROR(__xludf.DUMMYFUNCTION("""COMPUTED_VALUE"""),436.17)</f>
        <v>436.17</v>
      </c>
      <c r="E2499" s="1">
        <f ca="1">IFERROR(__xludf.DUMMYFUNCTION("""COMPUTED_VALUE"""),442.62)</f>
        <v>442.62</v>
      </c>
      <c r="F2499" s="1">
        <f ca="1">IFERROR(__xludf.DUMMYFUNCTION("""COMPUTED_VALUE"""),21697775)</f>
        <v>21697775</v>
      </c>
    </row>
    <row r="2500" spans="1:6" x14ac:dyDescent="0.35">
      <c r="A2500" s="2">
        <f ca="1">IFERROR(__xludf.DUMMYFUNCTION("""COMPUTED_VALUE"""),45632.6666666666)</f>
        <v>45632.666666666599</v>
      </c>
      <c r="B2500" s="1">
        <f ca="1">IFERROR(__xludf.DUMMYFUNCTION("""COMPUTED_VALUE"""),442.3)</f>
        <v>442.3</v>
      </c>
      <c r="C2500" s="1">
        <f ca="1">IFERROR(__xludf.DUMMYFUNCTION("""COMPUTED_VALUE"""),446.1)</f>
        <v>446.1</v>
      </c>
      <c r="D2500" s="1">
        <f ca="1">IFERROR(__xludf.DUMMYFUNCTION("""COMPUTED_VALUE"""),441.77)</f>
        <v>441.77</v>
      </c>
      <c r="E2500" s="1">
        <f ca="1">IFERROR(__xludf.DUMMYFUNCTION("""COMPUTED_VALUE"""),443.57)</f>
        <v>443.57</v>
      </c>
      <c r="F2500" s="1">
        <f ca="1">IFERROR(__xludf.DUMMYFUNCTION("""COMPUTED_VALUE"""),18821002)</f>
        <v>18821002</v>
      </c>
    </row>
    <row r="2501" spans="1:6" x14ac:dyDescent="0.35">
      <c r="A2501" s="2">
        <f ca="1">IFERROR(__xludf.DUMMYFUNCTION("""COMPUTED_VALUE"""),45635.6666666666)</f>
        <v>45635.666666666599</v>
      </c>
      <c r="B2501" s="1">
        <f ca="1">IFERROR(__xludf.DUMMYFUNCTION("""COMPUTED_VALUE"""),442.6)</f>
        <v>442.6</v>
      </c>
      <c r="C2501" s="1">
        <f ca="1">IFERROR(__xludf.DUMMYFUNCTION("""COMPUTED_VALUE"""),448.33)</f>
        <v>448.33</v>
      </c>
      <c r="D2501" s="1">
        <f ca="1">IFERROR(__xludf.DUMMYFUNCTION("""COMPUTED_VALUE"""),440.5)</f>
        <v>440.5</v>
      </c>
      <c r="E2501" s="1">
        <f ca="1">IFERROR(__xludf.DUMMYFUNCTION("""COMPUTED_VALUE"""),446.02)</f>
        <v>446.02</v>
      </c>
      <c r="F2501" s="1">
        <f ca="1">IFERROR(__xludf.DUMMYFUNCTION("""COMPUTED_VALUE"""),19144388)</f>
        <v>19144388</v>
      </c>
    </row>
    <row r="2502" spans="1:6" x14ac:dyDescent="0.35">
      <c r="A2502" s="2">
        <f ca="1">IFERROR(__xludf.DUMMYFUNCTION("""COMPUTED_VALUE"""),45636.6666666666)</f>
        <v>45636.666666666599</v>
      </c>
      <c r="B2502" s="1">
        <f ca="1">IFERROR(__xludf.DUMMYFUNCTION("""COMPUTED_VALUE"""),444.39)</f>
        <v>444.39</v>
      </c>
      <c r="C2502" s="1">
        <f ca="1">IFERROR(__xludf.DUMMYFUNCTION("""COMPUTED_VALUE"""),449.62)</f>
        <v>449.62</v>
      </c>
      <c r="D2502" s="1">
        <f ca="1">IFERROR(__xludf.DUMMYFUNCTION("""COMPUTED_VALUE"""),441.6)</f>
        <v>441.6</v>
      </c>
      <c r="E2502" s="1">
        <f ca="1">IFERROR(__xludf.DUMMYFUNCTION("""COMPUTED_VALUE"""),443.33)</f>
        <v>443.33</v>
      </c>
      <c r="F2502" s="1">
        <f ca="1">IFERROR(__xludf.DUMMYFUNCTION("""COMPUTED_VALUE"""),18469459)</f>
        <v>18469459</v>
      </c>
    </row>
    <row r="2503" spans="1:6" x14ac:dyDescent="0.35">
      <c r="A2503" s="2">
        <f ca="1">IFERROR(__xludf.DUMMYFUNCTION("""COMPUTED_VALUE"""),45637.6666666666)</f>
        <v>45637.666666666599</v>
      </c>
      <c r="B2503" s="1">
        <f ca="1">IFERROR(__xludf.DUMMYFUNCTION("""COMPUTED_VALUE"""),444.05)</f>
        <v>444.05</v>
      </c>
      <c r="C2503" s="1">
        <f ca="1">IFERROR(__xludf.DUMMYFUNCTION("""COMPUTED_VALUE"""),450.35)</f>
        <v>450.35</v>
      </c>
      <c r="D2503" s="1">
        <f ca="1">IFERROR(__xludf.DUMMYFUNCTION("""COMPUTED_VALUE"""),444.05)</f>
        <v>444.05</v>
      </c>
      <c r="E2503" s="1">
        <f ca="1">IFERROR(__xludf.DUMMYFUNCTION("""COMPUTED_VALUE"""),448.99)</f>
        <v>448.99</v>
      </c>
      <c r="F2503" s="1">
        <f ca="1">IFERROR(__xludf.DUMMYFUNCTION("""COMPUTED_VALUE"""),19200208)</f>
        <v>19200208</v>
      </c>
    </row>
    <row r="2504" spans="1:6" x14ac:dyDescent="0.35">
      <c r="A2504" s="2">
        <f ca="1">IFERROR(__xludf.DUMMYFUNCTION("""COMPUTED_VALUE"""),45638.6666666666)</f>
        <v>45638.666666666599</v>
      </c>
      <c r="B2504" s="1">
        <f ca="1">IFERROR(__xludf.DUMMYFUNCTION("""COMPUTED_VALUE"""),449.11)</f>
        <v>449.11</v>
      </c>
      <c r="C2504" s="1">
        <f ca="1">IFERROR(__xludf.DUMMYFUNCTION("""COMPUTED_VALUE"""),456.16)</f>
        <v>456.16</v>
      </c>
      <c r="D2504" s="1">
        <f ca="1">IFERROR(__xludf.DUMMYFUNCTION("""COMPUTED_VALUE"""),449.11)</f>
        <v>449.11</v>
      </c>
      <c r="E2504" s="1">
        <f ca="1">IFERROR(__xludf.DUMMYFUNCTION("""COMPUTED_VALUE"""),449.56)</f>
        <v>449.56</v>
      </c>
      <c r="F2504" s="1">
        <f ca="1">IFERROR(__xludf.DUMMYFUNCTION("""COMPUTED_VALUE"""),20834779)</f>
        <v>20834779</v>
      </c>
    </row>
    <row r="2505" spans="1:6" x14ac:dyDescent="0.35">
      <c r="A2505" s="2">
        <f ca="1">IFERROR(__xludf.DUMMYFUNCTION("""COMPUTED_VALUE"""),45639.6666666666)</f>
        <v>45639.666666666599</v>
      </c>
      <c r="B2505" s="1">
        <f ca="1">IFERROR(__xludf.DUMMYFUNCTION("""COMPUTED_VALUE"""),448.44)</f>
        <v>448.44</v>
      </c>
      <c r="C2505" s="1">
        <f ca="1">IFERROR(__xludf.DUMMYFUNCTION("""COMPUTED_VALUE"""),451.43)</f>
        <v>451.43</v>
      </c>
      <c r="D2505" s="1">
        <f ca="1">IFERROR(__xludf.DUMMYFUNCTION("""COMPUTED_VALUE"""),445.58)</f>
        <v>445.58</v>
      </c>
      <c r="E2505" s="1">
        <f ca="1">IFERROR(__xludf.DUMMYFUNCTION("""COMPUTED_VALUE"""),447.27)</f>
        <v>447.27</v>
      </c>
      <c r="F2505" s="1">
        <f ca="1">IFERROR(__xludf.DUMMYFUNCTION("""COMPUTED_VALUE"""),20177833)</f>
        <v>20177833</v>
      </c>
    </row>
    <row r="2506" spans="1:6" x14ac:dyDescent="0.35">
      <c r="A2506" s="2">
        <f ca="1">IFERROR(__xludf.DUMMYFUNCTION("""COMPUTED_VALUE"""),45642.6666666666)</f>
        <v>45642.666666666599</v>
      </c>
      <c r="B2506" s="1">
        <f ca="1">IFERROR(__xludf.DUMMYFUNCTION("""COMPUTED_VALUE"""),447.27)</f>
        <v>447.27</v>
      </c>
      <c r="C2506" s="1">
        <f ca="1">IFERROR(__xludf.DUMMYFUNCTION("""COMPUTED_VALUE"""),452.18)</f>
        <v>452.18</v>
      </c>
      <c r="D2506" s="1">
        <f ca="1">IFERROR(__xludf.DUMMYFUNCTION("""COMPUTED_VALUE"""),445.28)</f>
        <v>445.28</v>
      </c>
      <c r="E2506" s="1">
        <f ca="1">IFERROR(__xludf.DUMMYFUNCTION("""COMPUTED_VALUE"""),451.59)</f>
        <v>451.59</v>
      </c>
      <c r="F2506" s="1">
        <f ca="1">IFERROR(__xludf.DUMMYFUNCTION("""COMPUTED_VALUE"""),23598834)</f>
        <v>23598834</v>
      </c>
    </row>
    <row r="2507" spans="1:6" x14ac:dyDescent="0.35">
      <c r="A2507" s="2">
        <f ca="1">IFERROR(__xludf.DUMMYFUNCTION("""COMPUTED_VALUE"""),45643.6666666666)</f>
        <v>45643.666666666599</v>
      </c>
      <c r="B2507" s="1">
        <f ca="1">IFERROR(__xludf.DUMMYFUNCTION("""COMPUTED_VALUE"""),451.01)</f>
        <v>451.01</v>
      </c>
      <c r="C2507" s="1">
        <f ca="1">IFERROR(__xludf.DUMMYFUNCTION("""COMPUTED_VALUE"""),455.29)</f>
        <v>455.29</v>
      </c>
      <c r="D2507" s="1">
        <f ca="1">IFERROR(__xludf.DUMMYFUNCTION("""COMPUTED_VALUE"""),449.57)</f>
        <v>449.57</v>
      </c>
      <c r="E2507" s="1">
        <f ca="1">IFERROR(__xludf.DUMMYFUNCTION("""COMPUTED_VALUE"""),454.46)</f>
        <v>454.46</v>
      </c>
      <c r="F2507" s="1">
        <f ca="1">IFERROR(__xludf.DUMMYFUNCTION("""COMPUTED_VALUE"""),22733494)</f>
        <v>22733494</v>
      </c>
    </row>
    <row r="2508" spans="1:6" x14ac:dyDescent="0.35">
      <c r="A2508" s="2">
        <f ca="1">IFERROR(__xludf.DUMMYFUNCTION("""COMPUTED_VALUE"""),45644.6666666666)</f>
        <v>45644.666666666599</v>
      </c>
      <c r="B2508" s="1">
        <f ca="1">IFERROR(__xludf.DUMMYFUNCTION("""COMPUTED_VALUE"""),451.32)</f>
        <v>451.32</v>
      </c>
      <c r="C2508" s="1">
        <f ca="1">IFERROR(__xludf.DUMMYFUNCTION("""COMPUTED_VALUE"""),452.65)</f>
        <v>452.65</v>
      </c>
      <c r="D2508" s="1">
        <f ca="1">IFERROR(__xludf.DUMMYFUNCTION("""COMPUTED_VALUE"""),437.02)</f>
        <v>437.02</v>
      </c>
      <c r="E2508" s="1">
        <f ca="1">IFERROR(__xludf.DUMMYFUNCTION("""COMPUTED_VALUE"""),437.39)</f>
        <v>437.39</v>
      </c>
      <c r="F2508" s="1">
        <f ca="1">IFERROR(__xludf.DUMMYFUNCTION("""COMPUTED_VALUE"""),24444545)</f>
        <v>24444545</v>
      </c>
    </row>
    <row r="2509" spans="1:6" x14ac:dyDescent="0.35">
      <c r="A2509" s="2">
        <f ca="1">IFERROR(__xludf.DUMMYFUNCTION("""COMPUTED_VALUE"""),45645.6666666666)</f>
        <v>45645.666666666599</v>
      </c>
      <c r="B2509" s="1">
        <f ca="1">IFERROR(__xludf.DUMMYFUNCTION("""COMPUTED_VALUE"""),441.62)</f>
        <v>441.62</v>
      </c>
      <c r="C2509" s="1">
        <f ca="1">IFERROR(__xludf.DUMMYFUNCTION("""COMPUTED_VALUE"""),443.18)</f>
        <v>443.18</v>
      </c>
      <c r="D2509" s="1">
        <f ca="1">IFERROR(__xludf.DUMMYFUNCTION("""COMPUTED_VALUE"""),436.32)</f>
        <v>436.32</v>
      </c>
      <c r="E2509" s="1">
        <f ca="1">IFERROR(__xludf.DUMMYFUNCTION("""COMPUTED_VALUE"""),437.03)</f>
        <v>437.03</v>
      </c>
      <c r="F2509" s="1">
        <f ca="1">IFERROR(__xludf.DUMMYFUNCTION("""COMPUTED_VALUE"""),22963681)</f>
        <v>22963681</v>
      </c>
    </row>
    <row r="2510" spans="1:6" x14ac:dyDescent="0.35">
      <c r="A2510" s="2">
        <f ca="1">IFERROR(__xludf.DUMMYFUNCTION("""COMPUTED_VALUE"""),45646.6666666666)</f>
        <v>45646.666666666599</v>
      </c>
      <c r="B2510" s="1">
        <f ca="1">IFERROR(__xludf.DUMMYFUNCTION("""COMPUTED_VALUE"""),433.11)</f>
        <v>433.11</v>
      </c>
      <c r="C2510" s="1">
        <f ca="1">IFERROR(__xludf.DUMMYFUNCTION("""COMPUTED_VALUE"""),443.74)</f>
        <v>443.74</v>
      </c>
      <c r="D2510" s="1">
        <f ca="1">IFERROR(__xludf.DUMMYFUNCTION("""COMPUTED_VALUE"""),428.63)</f>
        <v>428.63</v>
      </c>
      <c r="E2510" s="1">
        <f ca="1">IFERROR(__xludf.DUMMYFUNCTION("""COMPUTED_VALUE"""),436.6)</f>
        <v>436.6</v>
      </c>
      <c r="F2510" s="1">
        <f ca="1">IFERROR(__xludf.DUMMYFUNCTION("""COMPUTED_VALUE"""),64263694)</f>
        <v>64263694</v>
      </c>
    </row>
    <row r="2511" spans="1:6" x14ac:dyDescent="0.35">
      <c r="A2511" s="2">
        <f ca="1">IFERROR(__xludf.DUMMYFUNCTION("""COMPUTED_VALUE"""),45649.6666666666)</f>
        <v>45649.666666666599</v>
      </c>
      <c r="B2511" s="1">
        <f ca="1">IFERROR(__xludf.DUMMYFUNCTION("""COMPUTED_VALUE"""),436.74)</f>
        <v>436.74</v>
      </c>
      <c r="C2511" s="1">
        <f ca="1">IFERROR(__xludf.DUMMYFUNCTION("""COMPUTED_VALUE"""),437.65)</f>
        <v>437.65</v>
      </c>
      <c r="D2511" s="1">
        <f ca="1">IFERROR(__xludf.DUMMYFUNCTION("""COMPUTED_VALUE"""),432.83)</f>
        <v>432.83</v>
      </c>
      <c r="E2511" s="1">
        <f ca="1">IFERROR(__xludf.DUMMYFUNCTION("""COMPUTED_VALUE"""),435.25)</f>
        <v>435.25</v>
      </c>
      <c r="F2511" s="1">
        <f ca="1">IFERROR(__xludf.DUMMYFUNCTION("""COMPUTED_VALUE"""),19152519)</f>
        <v>19152519</v>
      </c>
    </row>
    <row r="2512" spans="1:6" x14ac:dyDescent="0.35">
      <c r="A2512" s="2">
        <f ca="1">IFERROR(__xludf.DUMMYFUNCTION("""COMPUTED_VALUE"""),45650.5451388888)</f>
        <v>45650.545138888803</v>
      </c>
      <c r="B2512" s="1">
        <f ca="1">IFERROR(__xludf.DUMMYFUNCTION("""COMPUTED_VALUE"""),434.65)</f>
        <v>434.65</v>
      </c>
      <c r="C2512" s="1">
        <f ca="1">IFERROR(__xludf.DUMMYFUNCTION("""COMPUTED_VALUE"""),439.6)</f>
        <v>439.6</v>
      </c>
      <c r="D2512" s="1">
        <f ca="1">IFERROR(__xludf.DUMMYFUNCTION("""COMPUTED_VALUE"""),434.19)</f>
        <v>434.19</v>
      </c>
      <c r="E2512" s="1">
        <f ca="1">IFERROR(__xludf.DUMMYFUNCTION("""COMPUTED_VALUE"""),439.33)</f>
        <v>439.33</v>
      </c>
      <c r="F2512" s="1">
        <f ca="1">IFERROR(__xludf.DUMMYFUNCTION("""COMPUTED_VALUE"""),7164543)</f>
        <v>7164543</v>
      </c>
    </row>
    <row r="2513" spans="1:6" x14ac:dyDescent="0.35">
      <c r="A2513" s="2">
        <f ca="1">IFERROR(__xludf.DUMMYFUNCTION("""COMPUTED_VALUE"""),45652.6666666666)</f>
        <v>45652.666666666599</v>
      </c>
      <c r="B2513" s="1">
        <f ca="1">IFERROR(__xludf.DUMMYFUNCTION("""COMPUTED_VALUE"""),439.08)</f>
        <v>439.08</v>
      </c>
      <c r="C2513" s="1">
        <f ca="1">IFERROR(__xludf.DUMMYFUNCTION("""COMPUTED_VALUE"""),440.94)</f>
        <v>440.94</v>
      </c>
      <c r="D2513" s="1">
        <f ca="1">IFERROR(__xludf.DUMMYFUNCTION("""COMPUTED_VALUE"""),436.63)</f>
        <v>436.63</v>
      </c>
      <c r="E2513" s="1">
        <f ca="1">IFERROR(__xludf.DUMMYFUNCTION("""COMPUTED_VALUE"""),438.11)</f>
        <v>438.11</v>
      </c>
      <c r="F2513" s="1">
        <f ca="1">IFERROR(__xludf.DUMMYFUNCTION("""COMPUTED_VALUE"""),8199927)</f>
        <v>8199927</v>
      </c>
    </row>
    <row r="2514" spans="1:6" x14ac:dyDescent="0.35">
      <c r="A2514" s="2">
        <f ca="1">IFERROR(__xludf.DUMMYFUNCTION("""COMPUTED_VALUE"""),45653.6666666666)</f>
        <v>45653.666666666599</v>
      </c>
      <c r="B2514" s="1">
        <f ca="1">IFERROR(__xludf.DUMMYFUNCTION("""COMPUTED_VALUE"""),434.6)</f>
        <v>434.6</v>
      </c>
      <c r="C2514" s="1">
        <f ca="1">IFERROR(__xludf.DUMMYFUNCTION("""COMPUTED_VALUE"""),435.22)</f>
        <v>435.22</v>
      </c>
      <c r="D2514" s="1">
        <f ca="1">IFERROR(__xludf.DUMMYFUNCTION("""COMPUTED_VALUE"""),426.35)</f>
        <v>426.35</v>
      </c>
      <c r="E2514" s="1">
        <f ca="1">IFERROR(__xludf.DUMMYFUNCTION("""COMPUTED_VALUE"""),430.53)</f>
        <v>430.53</v>
      </c>
      <c r="F2514" s="1">
        <f ca="1">IFERROR(__xludf.DUMMYFUNCTION("""COMPUTED_VALUE"""),18117713)</f>
        <v>18117713</v>
      </c>
    </row>
    <row r="2515" spans="1:6" x14ac:dyDescent="0.35">
      <c r="A2515" s="2">
        <f ca="1">IFERROR(__xludf.DUMMYFUNCTION("""COMPUTED_VALUE"""),45656.6666666666)</f>
        <v>45656.666666666599</v>
      </c>
      <c r="B2515" s="1">
        <f ca="1">IFERROR(__xludf.DUMMYFUNCTION("""COMPUTED_VALUE"""),426.06)</f>
        <v>426.06</v>
      </c>
      <c r="C2515" s="1">
        <f ca="1">IFERROR(__xludf.DUMMYFUNCTION("""COMPUTED_VALUE"""),427.55)</f>
        <v>427.55</v>
      </c>
      <c r="D2515" s="1">
        <f ca="1">IFERROR(__xludf.DUMMYFUNCTION("""COMPUTED_VALUE"""),421.9)</f>
        <v>421.9</v>
      </c>
      <c r="E2515" s="1">
        <f ca="1">IFERROR(__xludf.DUMMYFUNCTION("""COMPUTED_VALUE"""),424.83)</f>
        <v>424.83</v>
      </c>
      <c r="F2515" s="1">
        <f ca="1">IFERROR(__xludf.DUMMYFUNCTION("""COMPUTED_VALUE"""),13158703)</f>
        <v>13158703</v>
      </c>
    </row>
    <row r="2516" spans="1:6" x14ac:dyDescent="0.35">
      <c r="A2516" s="2">
        <f ca="1">IFERROR(__xludf.DUMMYFUNCTION("""COMPUTED_VALUE"""),45657.6666666666)</f>
        <v>45657.666666666599</v>
      </c>
      <c r="B2516" s="1">
        <f ca="1">IFERROR(__xludf.DUMMYFUNCTION("""COMPUTED_VALUE"""),426.1)</f>
        <v>426.1</v>
      </c>
      <c r="C2516" s="1">
        <f ca="1">IFERROR(__xludf.DUMMYFUNCTION("""COMPUTED_VALUE"""),426.73)</f>
        <v>426.73</v>
      </c>
      <c r="D2516" s="1">
        <f ca="1">IFERROR(__xludf.DUMMYFUNCTION("""COMPUTED_VALUE"""),420.66)</f>
        <v>420.66</v>
      </c>
      <c r="E2516" s="1">
        <f ca="1">IFERROR(__xludf.DUMMYFUNCTION("""COMPUTED_VALUE"""),421.5)</f>
        <v>421.5</v>
      </c>
      <c r="F2516" s="1">
        <f ca="1">IFERROR(__xludf.DUMMYFUNCTION("""COMPUTED_VALUE"""),13246509)</f>
        <v>13246509</v>
      </c>
    </row>
    <row r="2517" spans="1:6" x14ac:dyDescent="0.35">
      <c r="A2517" s="2">
        <f ca="1">IFERROR(__xludf.DUMMYFUNCTION("""COMPUTED_VALUE"""),45659.6666666666)</f>
        <v>45659.666666666599</v>
      </c>
      <c r="B2517" s="1">
        <f ca="1">IFERROR(__xludf.DUMMYFUNCTION("""COMPUTED_VALUE"""),425.53)</f>
        <v>425.53</v>
      </c>
      <c r="C2517" s="1">
        <f ca="1">IFERROR(__xludf.DUMMYFUNCTION("""COMPUTED_VALUE"""),426.07)</f>
        <v>426.07</v>
      </c>
      <c r="D2517" s="1">
        <f ca="1">IFERROR(__xludf.DUMMYFUNCTION("""COMPUTED_VALUE"""),414.85)</f>
        <v>414.85</v>
      </c>
      <c r="E2517" s="1">
        <f ca="1">IFERROR(__xludf.DUMMYFUNCTION("""COMPUTED_VALUE"""),418.58)</f>
        <v>418.58</v>
      </c>
      <c r="F2517" s="1">
        <f ca="1">IFERROR(__xludf.DUMMYFUNCTION("""COMPUTED_VALUE"""),16896469)</f>
        <v>16896469</v>
      </c>
    </row>
    <row r="2518" spans="1:6" x14ac:dyDescent="0.35">
      <c r="A2518" s="2">
        <f ca="1">IFERROR(__xludf.DUMMYFUNCTION("""COMPUTED_VALUE"""),45660.6666666666)</f>
        <v>45660.666666666599</v>
      </c>
      <c r="B2518" s="1">
        <f ca="1">IFERROR(__xludf.DUMMYFUNCTION("""COMPUTED_VALUE"""),421.08)</f>
        <v>421.08</v>
      </c>
      <c r="C2518" s="1">
        <f ca="1">IFERROR(__xludf.DUMMYFUNCTION("""COMPUTED_VALUE"""),424.03)</f>
        <v>424.03</v>
      </c>
      <c r="D2518" s="1">
        <f ca="1">IFERROR(__xludf.DUMMYFUNCTION("""COMPUTED_VALUE"""),419.54)</f>
        <v>419.54</v>
      </c>
      <c r="E2518" s="1">
        <f ca="1">IFERROR(__xludf.DUMMYFUNCTION("""COMPUTED_VALUE"""),423.35)</f>
        <v>423.35</v>
      </c>
      <c r="F2518" s="1">
        <f ca="1">IFERROR(__xludf.DUMMYFUNCTION("""COMPUTED_VALUE"""),16662943)</f>
        <v>16662943</v>
      </c>
    </row>
    <row r="2519" spans="1:6" x14ac:dyDescent="0.35">
      <c r="A2519" s="2">
        <f ca="1">IFERROR(__xludf.DUMMYFUNCTION("""COMPUTED_VALUE"""),45663.6666666666)</f>
        <v>45663.666666666599</v>
      </c>
      <c r="B2519" s="1">
        <f ca="1">IFERROR(__xludf.DUMMYFUNCTION("""COMPUTED_VALUE"""),428)</f>
        <v>428</v>
      </c>
      <c r="C2519" s="1">
        <f ca="1">IFERROR(__xludf.DUMMYFUNCTION("""COMPUTED_VALUE"""),434.32)</f>
        <v>434.32</v>
      </c>
      <c r="D2519" s="1">
        <f ca="1">IFERROR(__xludf.DUMMYFUNCTION("""COMPUTED_VALUE"""),425.48)</f>
        <v>425.48</v>
      </c>
      <c r="E2519" s="1">
        <f ca="1">IFERROR(__xludf.DUMMYFUNCTION("""COMPUTED_VALUE"""),427.85)</f>
        <v>427.85</v>
      </c>
      <c r="F2519" s="1">
        <f ca="1">IFERROR(__xludf.DUMMYFUNCTION("""COMPUTED_VALUE"""),20573648)</f>
        <v>20573648</v>
      </c>
    </row>
    <row r="2520" spans="1:6" x14ac:dyDescent="0.35">
      <c r="A2520" s="2">
        <f ca="1">IFERROR(__xludf.DUMMYFUNCTION("""COMPUTED_VALUE"""),45664.6666666666)</f>
        <v>45664.666666666599</v>
      </c>
      <c r="B2520" s="1">
        <f ca="1">IFERROR(__xludf.DUMMYFUNCTION("""COMPUTED_VALUE"""),429)</f>
        <v>429</v>
      </c>
      <c r="C2520" s="1">
        <f ca="1">IFERROR(__xludf.DUMMYFUNCTION("""COMPUTED_VALUE"""),430.65)</f>
        <v>430.65</v>
      </c>
      <c r="D2520" s="1">
        <f ca="1">IFERROR(__xludf.DUMMYFUNCTION("""COMPUTED_VALUE"""),420.8)</f>
        <v>420.8</v>
      </c>
      <c r="E2520" s="1">
        <f ca="1">IFERROR(__xludf.DUMMYFUNCTION("""COMPUTED_VALUE"""),422.37)</f>
        <v>422.37</v>
      </c>
      <c r="F2520" s="1">
        <f ca="1">IFERROR(__xludf.DUMMYFUNCTION("""COMPUTED_VALUE"""),18139065)</f>
        <v>18139065</v>
      </c>
    </row>
    <row r="2521" spans="1:6" x14ac:dyDescent="0.35">
      <c r="A2521" s="2">
        <f ca="1">IFERROR(__xludf.DUMMYFUNCTION("""COMPUTED_VALUE"""),45665.6666666666)</f>
        <v>45665.666666666599</v>
      </c>
      <c r="B2521" s="1">
        <f ca="1">IFERROR(__xludf.DUMMYFUNCTION("""COMPUTED_VALUE"""),423.46)</f>
        <v>423.46</v>
      </c>
      <c r="C2521" s="1">
        <f ca="1">IFERROR(__xludf.DUMMYFUNCTION("""COMPUTED_VALUE"""),426.97)</f>
        <v>426.97</v>
      </c>
      <c r="D2521" s="1">
        <f ca="1">IFERROR(__xludf.DUMMYFUNCTION("""COMPUTED_VALUE"""),421.54)</f>
        <v>421.54</v>
      </c>
      <c r="E2521" s="1">
        <f ca="1">IFERROR(__xludf.DUMMYFUNCTION("""COMPUTED_VALUE"""),424.56)</f>
        <v>424.56</v>
      </c>
      <c r="F2521" s="1">
        <f ca="1">IFERROR(__xludf.DUMMYFUNCTION("""COMPUTED_VALUE"""),15054575)</f>
        <v>15054575</v>
      </c>
    </row>
    <row r="2522" spans="1:6" x14ac:dyDescent="0.35">
      <c r="A2522" s="2">
        <f ca="1">IFERROR(__xludf.DUMMYFUNCTION("""COMPUTED_VALUE"""),45667.6666666666)</f>
        <v>45667.666666666599</v>
      </c>
      <c r="B2522" s="1">
        <f ca="1">IFERROR(__xludf.DUMMYFUNCTION("""COMPUTED_VALUE"""),424.63)</f>
        <v>424.63</v>
      </c>
      <c r="C2522" s="1">
        <f ca="1">IFERROR(__xludf.DUMMYFUNCTION("""COMPUTED_VALUE"""),424.71)</f>
        <v>424.71</v>
      </c>
      <c r="D2522" s="1">
        <f ca="1">IFERROR(__xludf.DUMMYFUNCTION("""COMPUTED_VALUE"""),415.02)</f>
        <v>415.02</v>
      </c>
      <c r="E2522" s="1">
        <f ca="1">IFERROR(__xludf.DUMMYFUNCTION("""COMPUTED_VALUE"""),418.95)</f>
        <v>418.95</v>
      </c>
      <c r="F2522" s="1">
        <f ca="1">IFERROR(__xludf.DUMMYFUNCTION("""COMPUTED_VALUE"""),20201132)</f>
        <v>20201132</v>
      </c>
    </row>
    <row r="2523" spans="1:6" x14ac:dyDescent="0.35">
      <c r="A2523" s="2">
        <f ca="1">IFERROR(__xludf.DUMMYFUNCTION("""COMPUTED_VALUE"""),45670.6666666666)</f>
        <v>45670.666666666599</v>
      </c>
      <c r="B2523" s="1">
        <f ca="1">IFERROR(__xludf.DUMMYFUNCTION("""COMPUTED_VALUE"""),415.24)</f>
        <v>415.24</v>
      </c>
      <c r="C2523" s="1">
        <f ca="1">IFERROR(__xludf.DUMMYFUNCTION("""COMPUTED_VALUE"""),418.5)</f>
        <v>418.5</v>
      </c>
      <c r="D2523" s="1">
        <f ca="1">IFERROR(__xludf.DUMMYFUNCTION("""COMPUTED_VALUE"""),412.29)</f>
        <v>412.29</v>
      </c>
      <c r="E2523" s="1">
        <f ca="1">IFERROR(__xludf.DUMMYFUNCTION("""COMPUTED_VALUE"""),417.19)</f>
        <v>417.19</v>
      </c>
      <c r="F2523" s="1">
        <f ca="1">IFERROR(__xludf.DUMMYFUNCTION("""COMPUTED_VALUE"""),17604780)</f>
        <v>17604780</v>
      </c>
    </row>
    <row r="2524" spans="1:6" x14ac:dyDescent="0.35">
      <c r="A2524" s="2">
        <f ca="1">IFERROR(__xludf.DUMMYFUNCTION("""COMPUTED_VALUE"""),45671.6666666666)</f>
        <v>45671.666666666599</v>
      </c>
      <c r="B2524" s="1">
        <f ca="1">IFERROR(__xludf.DUMMYFUNCTION("""COMPUTED_VALUE"""),417.81)</f>
        <v>417.81</v>
      </c>
      <c r="C2524" s="1">
        <f ca="1">IFERROR(__xludf.DUMMYFUNCTION("""COMPUTED_VALUE"""),419.74)</f>
        <v>419.74</v>
      </c>
      <c r="D2524" s="1">
        <f ca="1">IFERROR(__xludf.DUMMYFUNCTION("""COMPUTED_VALUE"""),410.72)</f>
        <v>410.72</v>
      </c>
      <c r="E2524" s="1">
        <f ca="1">IFERROR(__xludf.DUMMYFUNCTION("""COMPUTED_VALUE"""),415.67)</f>
        <v>415.67</v>
      </c>
      <c r="F2524" s="1">
        <f ca="1">IFERROR(__xludf.DUMMYFUNCTION("""COMPUTED_VALUE"""),16935856)</f>
        <v>16935856</v>
      </c>
    </row>
    <row r="2525" spans="1:6" x14ac:dyDescent="0.35">
      <c r="A2525" s="2">
        <f ca="1">IFERROR(__xludf.DUMMYFUNCTION("""COMPUTED_VALUE"""),45672.6666666666)</f>
        <v>45672.666666666599</v>
      </c>
      <c r="B2525" s="1">
        <f ca="1">IFERROR(__xludf.DUMMYFUNCTION("""COMPUTED_VALUE"""),419.13)</f>
        <v>419.13</v>
      </c>
      <c r="C2525" s="1">
        <f ca="1">IFERROR(__xludf.DUMMYFUNCTION("""COMPUTED_VALUE"""),428.15)</f>
        <v>428.15</v>
      </c>
      <c r="D2525" s="1">
        <f ca="1">IFERROR(__xludf.DUMMYFUNCTION("""COMPUTED_VALUE"""),418.27)</f>
        <v>418.27</v>
      </c>
      <c r="E2525" s="1">
        <f ca="1">IFERROR(__xludf.DUMMYFUNCTION("""COMPUTED_VALUE"""),426.31)</f>
        <v>426.31</v>
      </c>
      <c r="F2525" s="1">
        <f ca="1">IFERROR(__xludf.DUMMYFUNCTION("""COMPUTED_VALUE"""),19637838)</f>
        <v>19637838</v>
      </c>
    </row>
    <row r="2526" spans="1:6" x14ac:dyDescent="0.35">
      <c r="A2526" s="2">
        <f ca="1">IFERROR(__xludf.DUMMYFUNCTION("""COMPUTED_VALUE"""),45673.6666666666)</f>
        <v>45673.666666666599</v>
      </c>
      <c r="B2526" s="1">
        <f ca="1">IFERROR(__xludf.DUMMYFUNCTION("""COMPUTED_VALUE"""),428.7)</f>
        <v>428.7</v>
      </c>
      <c r="C2526" s="1">
        <f ca="1">IFERROR(__xludf.DUMMYFUNCTION("""COMPUTED_VALUE"""),429.49)</f>
        <v>429.49</v>
      </c>
      <c r="D2526" s="1">
        <f ca="1">IFERROR(__xludf.DUMMYFUNCTION("""COMPUTED_VALUE"""),424.39)</f>
        <v>424.39</v>
      </c>
      <c r="E2526" s="1">
        <f ca="1">IFERROR(__xludf.DUMMYFUNCTION("""COMPUTED_VALUE"""),424.58)</f>
        <v>424.58</v>
      </c>
      <c r="F2526" s="1">
        <f ca="1">IFERROR(__xludf.DUMMYFUNCTION("""COMPUTED_VALUE"""),15300023)</f>
        <v>15300023</v>
      </c>
    </row>
    <row r="2527" spans="1:6" x14ac:dyDescent="0.35">
      <c r="A2527" s="2">
        <f ca="1">IFERROR(__xludf.DUMMYFUNCTION("""COMPUTED_VALUE"""),45674.6666666666)</f>
        <v>45674.666666666599</v>
      </c>
      <c r="B2527" s="1">
        <f ca="1">IFERROR(__xludf.DUMMYFUNCTION("""COMPUTED_VALUE"""),434.09)</f>
        <v>434.09</v>
      </c>
      <c r="C2527" s="1">
        <f ca="1">IFERROR(__xludf.DUMMYFUNCTION("""COMPUTED_VALUE"""),434.48)</f>
        <v>434.48</v>
      </c>
      <c r="D2527" s="1">
        <f ca="1">IFERROR(__xludf.DUMMYFUNCTION("""COMPUTED_VALUE"""),428.17)</f>
        <v>428.17</v>
      </c>
      <c r="E2527" s="1">
        <f ca="1">IFERROR(__xludf.DUMMYFUNCTION("""COMPUTED_VALUE"""),429.03)</f>
        <v>429.03</v>
      </c>
      <c r="F2527" s="1">
        <f ca="1">IFERROR(__xludf.DUMMYFUNCTION("""COMPUTED_VALUE"""),26197507)</f>
        <v>26197507</v>
      </c>
    </row>
    <row r="2528" spans="1:6" x14ac:dyDescent="0.35">
      <c r="A2528" s="2">
        <f ca="1">IFERROR(__xludf.DUMMYFUNCTION("""COMPUTED_VALUE"""),45678.6666666666)</f>
        <v>45678.666666666599</v>
      </c>
      <c r="B2528" s="1">
        <f ca="1">IFERROR(__xludf.DUMMYFUNCTION("""COMPUTED_VALUE"""),430.2)</f>
        <v>430.2</v>
      </c>
      <c r="C2528" s="1">
        <f ca="1">IFERROR(__xludf.DUMMYFUNCTION("""COMPUTED_VALUE"""),430.9)</f>
        <v>430.9</v>
      </c>
      <c r="D2528" s="1">
        <f ca="1">IFERROR(__xludf.DUMMYFUNCTION("""COMPUTED_VALUE"""),425.6)</f>
        <v>425.6</v>
      </c>
      <c r="E2528" s="1">
        <f ca="1">IFERROR(__xludf.DUMMYFUNCTION("""COMPUTED_VALUE"""),428.5)</f>
        <v>428.5</v>
      </c>
      <c r="F2528" s="1">
        <f ca="1">IFERROR(__xludf.DUMMYFUNCTION("""COMPUTED_VALUE"""),26085703)</f>
        <v>26085703</v>
      </c>
    </row>
    <row r="2529" spans="1:6" x14ac:dyDescent="0.35">
      <c r="A2529" s="2">
        <f ca="1">IFERROR(__xludf.DUMMYFUNCTION("""COMPUTED_VALUE"""),45679.6666666666)</f>
        <v>45679.666666666599</v>
      </c>
      <c r="B2529" s="1">
        <f ca="1">IFERROR(__xludf.DUMMYFUNCTION("""COMPUTED_VALUE"""),437.56)</f>
        <v>437.56</v>
      </c>
      <c r="C2529" s="1">
        <f ca="1">IFERROR(__xludf.DUMMYFUNCTION("""COMPUTED_VALUE"""),447.27)</f>
        <v>447.27</v>
      </c>
      <c r="D2529" s="1">
        <f ca="1">IFERROR(__xludf.DUMMYFUNCTION("""COMPUTED_VALUE"""),436)</f>
        <v>436</v>
      </c>
      <c r="E2529" s="1">
        <f ca="1">IFERROR(__xludf.DUMMYFUNCTION("""COMPUTED_VALUE"""),446.2)</f>
        <v>446.2</v>
      </c>
      <c r="F2529" s="1">
        <f ca="1">IFERROR(__xludf.DUMMYFUNCTION("""COMPUTED_VALUE"""),27803811)</f>
        <v>27803811</v>
      </c>
    </row>
    <row r="2530" spans="1:6" x14ac:dyDescent="0.35">
      <c r="A2530" s="2">
        <f ca="1">IFERROR(__xludf.DUMMYFUNCTION("""COMPUTED_VALUE"""),45680.6666666666)</f>
        <v>45680.666666666599</v>
      </c>
      <c r="B2530" s="1">
        <f ca="1">IFERROR(__xludf.DUMMYFUNCTION("""COMPUTED_VALUE"""),442)</f>
        <v>442</v>
      </c>
      <c r="C2530" s="1">
        <f ca="1">IFERROR(__xludf.DUMMYFUNCTION("""COMPUTED_VALUE"""),446.75)</f>
        <v>446.75</v>
      </c>
      <c r="D2530" s="1">
        <f ca="1">IFERROR(__xludf.DUMMYFUNCTION("""COMPUTED_VALUE"""),441.5)</f>
        <v>441.5</v>
      </c>
      <c r="E2530" s="1">
        <f ca="1">IFERROR(__xludf.DUMMYFUNCTION("""COMPUTED_VALUE"""),446.71)</f>
        <v>446.71</v>
      </c>
      <c r="F2530" s="1">
        <f ca="1">IFERROR(__xludf.DUMMYFUNCTION("""COMPUTED_VALUE"""),18389270)</f>
        <v>18389270</v>
      </c>
    </row>
    <row r="2531" spans="1:6" x14ac:dyDescent="0.35">
      <c r="A2531" s="2">
        <f ca="1">IFERROR(__xludf.DUMMYFUNCTION("""COMPUTED_VALUE"""),45681.6666666666)</f>
        <v>45681.666666666599</v>
      </c>
      <c r="B2531" s="1">
        <f ca="1">IFERROR(__xludf.DUMMYFUNCTION("""COMPUTED_VALUE"""),445.16)</f>
        <v>445.16</v>
      </c>
      <c r="C2531" s="1">
        <f ca="1">IFERROR(__xludf.DUMMYFUNCTION("""COMPUTED_VALUE"""),446.65)</f>
        <v>446.65</v>
      </c>
      <c r="D2531" s="1">
        <f ca="1">IFERROR(__xludf.DUMMYFUNCTION("""COMPUTED_VALUE"""),441.4)</f>
        <v>441.4</v>
      </c>
      <c r="E2531" s="1">
        <f ca="1">IFERROR(__xludf.DUMMYFUNCTION("""COMPUTED_VALUE"""),444.06)</f>
        <v>444.06</v>
      </c>
      <c r="F2531" s="1">
        <f ca="1">IFERROR(__xludf.DUMMYFUNCTION("""COMPUTED_VALUE"""),15549453)</f>
        <v>15549453</v>
      </c>
    </row>
    <row r="2532" spans="1:6" x14ac:dyDescent="0.35">
      <c r="A2532" s="2">
        <f ca="1">IFERROR(__xludf.DUMMYFUNCTION("""COMPUTED_VALUE"""),45684.6666666666)</f>
        <v>45684.666666666599</v>
      </c>
      <c r="B2532" s="1">
        <f ca="1">IFERROR(__xludf.DUMMYFUNCTION("""COMPUTED_VALUE"""),424.01)</f>
        <v>424.01</v>
      </c>
      <c r="C2532" s="1">
        <f ca="1">IFERROR(__xludf.DUMMYFUNCTION("""COMPUTED_VALUE"""),435.2)</f>
        <v>435.2</v>
      </c>
      <c r="D2532" s="1">
        <f ca="1">IFERROR(__xludf.DUMMYFUNCTION("""COMPUTED_VALUE"""),423.5)</f>
        <v>423.5</v>
      </c>
      <c r="E2532" s="1">
        <f ca="1">IFERROR(__xludf.DUMMYFUNCTION("""COMPUTED_VALUE"""),434.56)</f>
        <v>434.56</v>
      </c>
      <c r="F2532" s="1">
        <f ca="1">IFERROR(__xludf.DUMMYFUNCTION("""COMPUTED_VALUE"""),35647805)</f>
        <v>35647805</v>
      </c>
    </row>
    <row r="2533" spans="1:6" x14ac:dyDescent="0.35">
      <c r="A2533" s="2">
        <f ca="1">IFERROR(__xludf.DUMMYFUNCTION("""COMPUTED_VALUE"""),45685.6666666666)</f>
        <v>45685.666666666599</v>
      </c>
      <c r="B2533" s="1">
        <f ca="1">IFERROR(__xludf.DUMMYFUNCTION("""COMPUTED_VALUE"""),434.6)</f>
        <v>434.6</v>
      </c>
      <c r="C2533" s="1">
        <f ca="1">IFERROR(__xludf.DUMMYFUNCTION("""COMPUTED_VALUE"""),448.38)</f>
        <v>448.38</v>
      </c>
      <c r="D2533" s="1">
        <f ca="1">IFERROR(__xludf.DUMMYFUNCTION("""COMPUTED_VALUE"""),431.38)</f>
        <v>431.38</v>
      </c>
      <c r="E2533" s="1">
        <f ca="1">IFERROR(__xludf.DUMMYFUNCTION("""COMPUTED_VALUE"""),447.2)</f>
        <v>447.2</v>
      </c>
      <c r="F2533" s="1">
        <f ca="1">IFERROR(__xludf.DUMMYFUNCTION("""COMPUTED_VALUE"""),23491703)</f>
        <v>23491703</v>
      </c>
    </row>
    <row r="2534" spans="1:6" x14ac:dyDescent="0.35">
      <c r="A2534" s="2">
        <f ca="1">IFERROR(__xludf.DUMMYFUNCTION("""COMPUTED_VALUE"""),45686.6666666666)</f>
        <v>45686.666666666599</v>
      </c>
      <c r="B2534" s="1">
        <f ca="1">IFERROR(__xludf.DUMMYFUNCTION("""COMPUTED_VALUE"""),446.69)</f>
        <v>446.69</v>
      </c>
      <c r="C2534" s="1">
        <f ca="1">IFERROR(__xludf.DUMMYFUNCTION("""COMPUTED_VALUE"""),446.88)</f>
        <v>446.88</v>
      </c>
      <c r="D2534" s="1">
        <f ca="1">IFERROR(__xludf.DUMMYFUNCTION("""COMPUTED_VALUE"""),440.4)</f>
        <v>440.4</v>
      </c>
      <c r="E2534" s="1">
        <f ca="1">IFERROR(__xludf.DUMMYFUNCTION("""COMPUTED_VALUE"""),442.33)</f>
        <v>442.33</v>
      </c>
      <c r="F2534" s="1">
        <f ca="1">IFERROR(__xludf.DUMMYFUNCTION("""COMPUTED_VALUE"""),23581370)</f>
        <v>23581370</v>
      </c>
    </row>
    <row r="2535" spans="1:6" x14ac:dyDescent="0.35">
      <c r="A2535" s="2">
        <f ca="1">IFERROR(__xludf.DUMMYFUNCTION("""COMPUTED_VALUE"""),45687.6666666666)</f>
        <v>45687.666666666599</v>
      </c>
      <c r="B2535" s="1">
        <f ca="1">IFERROR(__xludf.DUMMYFUNCTION("""COMPUTED_VALUE"""),418.77)</f>
        <v>418.77</v>
      </c>
      <c r="C2535" s="1">
        <f ca="1">IFERROR(__xludf.DUMMYFUNCTION("""COMPUTED_VALUE"""),422.86)</f>
        <v>422.86</v>
      </c>
      <c r="D2535" s="1">
        <f ca="1">IFERROR(__xludf.DUMMYFUNCTION("""COMPUTED_VALUE"""),413.16)</f>
        <v>413.16</v>
      </c>
      <c r="E2535" s="1">
        <f ca="1">IFERROR(__xludf.DUMMYFUNCTION("""COMPUTED_VALUE"""),414.99)</f>
        <v>414.99</v>
      </c>
      <c r="F2535" s="1">
        <f ca="1">IFERROR(__xludf.DUMMYFUNCTION("""COMPUTED_VALUE"""),54586260)</f>
        <v>54586260</v>
      </c>
    </row>
    <row r="2536" spans="1:6" x14ac:dyDescent="0.35">
      <c r="A2536" s="2">
        <f ca="1">IFERROR(__xludf.DUMMYFUNCTION("""COMPUTED_VALUE"""),45688.6666666666)</f>
        <v>45688.666666666599</v>
      </c>
      <c r="B2536" s="1">
        <f ca="1">IFERROR(__xludf.DUMMYFUNCTION("""COMPUTED_VALUE"""),418.98)</f>
        <v>418.98</v>
      </c>
      <c r="C2536" s="1">
        <f ca="1">IFERROR(__xludf.DUMMYFUNCTION("""COMPUTED_VALUE"""),420.69)</f>
        <v>420.69</v>
      </c>
      <c r="D2536" s="1">
        <f ca="1">IFERROR(__xludf.DUMMYFUNCTION("""COMPUTED_VALUE"""),414.91)</f>
        <v>414.91</v>
      </c>
      <c r="E2536" s="1">
        <f ca="1">IFERROR(__xludf.DUMMYFUNCTION("""COMPUTED_VALUE"""),415.06)</f>
        <v>415.06</v>
      </c>
      <c r="F2536" s="1">
        <f ca="1">IFERROR(__xludf.DUMMYFUNCTION("""COMPUTED_VALUE"""),34223388)</f>
        <v>34223388</v>
      </c>
    </row>
    <row r="2537" spans="1:6" x14ac:dyDescent="0.35">
      <c r="A2537" s="2">
        <f ca="1">IFERROR(__xludf.DUMMYFUNCTION("""COMPUTED_VALUE"""),45691.6666666666)</f>
        <v>45691.666666666599</v>
      </c>
      <c r="B2537" s="1">
        <f ca="1">IFERROR(__xludf.DUMMYFUNCTION("""COMPUTED_VALUE"""),411.6)</f>
        <v>411.6</v>
      </c>
      <c r="C2537" s="1">
        <f ca="1">IFERROR(__xludf.DUMMYFUNCTION("""COMPUTED_VALUE"""),415.41)</f>
        <v>415.41</v>
      </c>
      <c r="D2537" s="1">
        <f ca="1">IFERROR(__xludf.DUMMYFUNCTION("""COMPUTED_VALUE"""),408.66)</f>
        <v>408.66</v>
      </c>
      <c r="E2537" s="1">
        <f ca="1">IFERROR(__xludf.DUMMYFUNCTION("""COMPUTED_VALUE"""),410.92)</f>
        <v>410.92</v>
      </c>
      <c r="F2537" s="1">
        <f ca="1">IFERROR(__xludf.DUMMYFUNCTION("""COMPUTED_VALUE"""),25679149)</f>
        <v>25679149</v>
      </c>
    </row>
    <row r="2538" spans="1:6" x14ac:dyDescent="0.35">
      <c r="A2538" s="2">
        <f ca="1">IFERROR(__xludf.DUMMYFUNCTION("""COMPUTED_VALUE"""),45692.6666666666)</f>
        <v>45692.666666666599</v>
      </c>
      <c r="B2538" s="1">
        <f ca="1">IFERROR(__xludf.DUMMYFUNCTION("""COMPUTED_VALUE"""),412.69)</f>
        <v>412.69</v>
      </c>
      <c r="C2538" s="1">
        <f ca="1">IFERROR(__xludf.DUMMYFUNCTION("""COMPUTED_VALUE"""),413.92)</f>
        <v>413.92</v>
      </c>
      <c r="D2538" s="1">
        <f ca="1">IFERROR(__xludf.DUMMYFUNCTION("""COMPUTED_VALUE"""),409.74)</f>
        <v>409.74</v>
      </c>
      <c r="E2538" s="1">
        <f ca="1">IFERROR(__xludf.DUMMYFUNCTION("""COMPUTED_VALUE"""),412.37)</f>
        <v>412.37</v>
      </c>
      <c r="F2538" s="1">
        <f ca="1">IFERROR(__xludf.DUMMYFUNCTION("""COMPUTED_VALUE"""),20532096)</f>
        <v>20532096</v>
      </c>
    </row>
    <row r="2539" spans="1:6" x14ac:dyDescent="0.35">
      <c r="A2539" s="2">
        <f ca="1">IFERROR(__xludf.DUMMYFUNCTION("""COMPUTED_VALUE"""),45693.6666666666)</f>
        <v>45693.666666666599</v>
      </c>
      <c r="B2539" s="1">
        <f ca="1">IFERROR(__xludf.DUMMYFUNCTION("""COMPUTED_VALUE"""),412.35)</f>
        <v>412.35</v>
      </c>
      <c r="C2539" s="1">
        <f ca="1">IFERROR(__xludf.DUMMYFUNCTION("""COMPUTED_VALUE"""),413.83)</f>
        <v>413.83</v>
      </c>
      <c r="D2539" s="1">
        <f ca="1">IFERROR(__xludf.DUMMYFUNCTION("""COMPUTED_VALUE"""),410.4)</f>
        <v>410.4</v>
      </c>
      <c r="E2539" s="1">
        <f ca="1">IFERROR(__xludf.DUMMYFUNCTION("""COMPUTED_VALUE"""),413.29)</f>
        <v>413.29</v>
      </c>
      <c r="F2539" s="1">
        <f ca="1">IFERROR(__xludf.DUMMYFUNCTION("""COMPUTED_VALUE"""),16336188)</f>
        <v>16336188</v>
      </c>
    </row>
    <row r="2540" spans="1:6" x14ac:dyDescent="0.35">
      <c r="A2540" s="2">
        <f ca="1">IFERROR(__xludf.DUMMYFUNCTION("""COMPUTED_VALUE"""),45694.6666666666)</f>
        <v>45694.666666666599</v>
      </c>
      <c r="B2540" s="1">
        <f ca="1">IFERROR(__xludf.DUMMYFUNCTION("""COMPUTED_VALUE"""),414)</f>
        <v>414</v>
      </c>
      <c r="C2540" s="1">
        <f ca="1">IFERROR(__xludf.DUMMYFUNCTION("""COMPUTED_VALUE"""),418.2)</f>
        <v>418.2</v>
      </c>
      <c r="D2540" s="1">
        <f ca="1">IFERROR(__xludf.DUMMYFUNCTION("""COMPUTED_VALUE"""),414)</f>
        <v>414</v>
      </c>
      <c r="E2540" s="1">
        <f ca="1">IFERROR(__xludf.DUMMYFUNCTION("""COMPUTED_VALUE"""),415.82)</f>
        <v>415.82</v>
      </c>
      <c r="F2540" s="1">
        <f ca="1">IFERROR(__xludf.DUMMYFUNCTION("""COMPUTED_VALUE"""),16309755)</f>
        <v>16309755</v>
      </c>
    </row>
    <row r="2541" spans="1:6" x14ac:dyDescent="0.35">
      <c r="A2541" s="2">
        <f ca="1">IFERROR(__xludf.DUMMYFUNCTION("""COMPUTED_VALUE"""),45695.6666666666)</f>
        <v>45695.666666666599</v>
      </c>
      <c r="B2541" s="1">
        <f ca="1">IFERROR(__xludf.DUMMYFUNCTION("""COMPUTED_VALUE"""),416.48)</f>
        <v>416.48</v>
      </c>
      <c r="C2541" s="1">
        <f ca="1">IFERROR(__xludf.DUMMYFUNCTION("""COMPUTED_VALUE"""),418.65)</f>
        <v>418.65</v>
      </c>
      <c r="D2541" s="1">
        <f ca="1">IFERROR(__xludf.DUMMYFUNCTION("""COMPUTED_VALUE"""),408.1)</f>
        <v>408.1</v>
      </c>
      <c r="E2541" s="1">
        <f ca="1">IFERROR(__xludf.DUMMYFUNCTION("""COMPUTED_VALUE"""),409.75)</f>
        <v>409.75</v>
      </c>
      <c r="F2541" s="1">
        <f ca="1">IFERROR(__xludf.DUMMYFUNCTION("""COMPUTED_VALUE"""),22886844)</f>
        <v>22886844</v>
      </c>
    </row>
    <row r="2542" spans="1:6" x14ac:dyDescent="0.35">
      <c r="A2542" s="2">
        <f ca="1">IFERROR(__xludf.DUMMYFUNCTION("""COMPUTED_VALUE"""),45698.6666666666)</f>
        <v>45698.666666666599</v>
      </c>
      <c r="B2542" s="1">
        <f ca="1">IFERROR(__xludf.DUMMYFUNCTION("""COMPUTED_VALUE"""),413.71)</f>
        <v>413.71</v>
      </c>
      <c r="C2542" s="1">
        <f ca="1">IFERROR(__xludf.DUMMYFUNCTION("""COMPUTED_VALUE"""),415.46)</f>
        <v>415.46</v>
      </c>
      <c r="D2542" s="1">
        <f ca="1">IFERROR(__xludf.DUMMYFUNCTION("""COMPUTED_VALUE"""),410.92)</f>
        <v>410.92</v>
      </c>
      <c r="E2542" s="1">
        <f ca="1">IFERROR(__xludf.DUMMYFUNCTION("""COMPUTED_VALUE"""),412.22)</f>
        <v>412.22</v>
      </c>
      <c r="F2542" s="1">
        <f ca="1">IFERROR(__xludf.DUMMYFUNCTION("""COMPUTED_VALUE"""),20817919)</f>
        <v>20817919</v>
      </c>
    </row>
    <row r="2543" spans="1:6" x14ac:dyDescent="0.35">
      <c r="A2543" s="2">
        <f ca="1">IFERROR(__xludf.DUMMYFUNCTION("""COMPUTED_VALUE"""),45699.6666666666)</f>
        <v>45699.666666666599</v>
      </c>
      <c r="B2543" s="1">
        <f ca="1">IFERROR(__xludf.DUMMYFUNCTION("""COMPUTED_VALUE"""),409.64)</f>
        <v>409.64</v>
      </c>
      <c r="C2543" s="1">
        <f ca="1">IFERROR(__xludf.DUMMYFUNCTION("""COMPUTED_VALUE"""),412.49)</f>
        <v>412.49</v>
      </c>
      <c r="D2543" s="1">
        <f ca="1">IFERROR(__xludf.DUMMYFUNCTION("""COMPUTED_VALUE"""),409.3)</f>
        <v>409.3</v>
      </c>
      <c r="E2543" s="1">
        <f ca="1">IFERROR(__xludf.DUMMYFUNCTION("""COMPUTED_VALUE"""),411.44)</f>
        <v>411.44</v>
      </c>
      <c r="F2543" s="1">
        <f ca="1">IFERROR(__xludf.DUMMYFUNCTION("""COMPUTED_VALUE"""),18140592)</f>
        <v>18140592</v>
      </c>
    </row>
    <row r="2544" spans="1:6" x14ac:dyDescent="0.35">
      <c r="A2544" s="2">
        <f ca="1">IFERROR(__xludf.DUMMYFUNCTION("""COMPUTED_VALUE"""),45700.6666666666)</f>
        <v>45700.666666666599</v>
      </c>
      <c r="B2544" s="1">
        <f ca="1">IFERROR(__xludf.DUMMYFUNCTION("""COMPUTED_VALUE"""),407.21)</f>
        <v>407.21</v>
      </c>
      <c r="C2544" s="1">
        <f ca="1">IFERROR(__xludf.DUMMYFUNCTION("""COMPUTED_VALUE"""),410.75)</f>
        <v>410.75</v>
      </c>
      <c r="D2544" s="1">
        <f ca="1">IFERROR(__xludf.DUMMYFUNCTION("""COMPUTED_VALUE"""),404.37)</f>
        <v>404.37</v>
      </c>
      <c r="E2544" s="1">
        <f ca="1">IFERROR(__xludf.DUMMYFUNCTION("""COMPUTED_VALUE"""),409.04)</f>
        <v>409.04</v>
      </c>
      <c r="F2544" s="1">
        <f ca="1">IFERROR(__xludf.DUMMYFUNCTION("""COMPUTED_VALUE"""),19121734)</f>
        <v>19121734</v>
      </c>
    </row>
    <row r="2545" spans="1:6" x14ac:dyDescent="0.35">
      <c r="A2545" s="2">
        <f ca="1">IFERROR(__xludf.DUMMYFUNCTION("""COMPUTED_VALUE"""),45701.6666666666)</f>
        <v>45701.666666666599</v>
      </c>
      <c r="B2545" s="1">
        <f ca="1">IFERROR(__xludf.DUMMYFUNCTION("""COMPUTED_VALUE"""),407)</f>
        <v>407</v>
      </c>
      <c r="C2545" s="1">
        <f ca="1">IFERROR(__xludf.DUMMYFUNCTION("""COMPUTED_VALUE"""),411)</f>
        <v>411</v>
      </c>
      <c r="D2545" s="1">
        <f ca="1">IFERROR(__xludf.DUMMYFUNCTION("""COMPUTED_VALUE"""),406.36)</f>
        <v>406.36</v>
      </c>
      <c r="E2545" s="1">
        <f ca="1">IFERROR(__xludf.DUMMYFUNCTION("""COMPUTED_VALUE"""),410.54)</f>
        <v>410.54</v>
      </c>
      <c r="F2545" s="1">
        <f ca="1">IFERROR(__xludf.DUMMYFUNCTION("""COMPUTED_VALUE"""),23891731)</f>
        <v>23891731</v>
      </c>
    </row>
    <row r="2546" spans="1:6" x14ac:dyDescent="0.35">
      <c r="A2546" s="2">
        <f ca="1">IFERROR(__xludf.DUMMYFUNCTION("""COMPUTED_VALUE"""),45702.6666666666)</f>
        <v>45702.666666666599</v>
      </c>
      <c r="B2546" s="1">
        <f ca="1">IFERROR(__xludf.DUMMYFUNCTION("""COMPUTED_VALUE"""),407.79)</f>
        <v>407.79</v>
      </c>
      <c r="C2546" s="1">
        <f ca="1">IFERROR(__xludf.DUMMYFUNCTION("""COMPUTED_VALUE"""),408.91)</f>
        <v>408.91</v>
      </c>
      <c r="D2546" s="1">
        <f ca="1">IFERROR(__xludf.DUMMYFUNCTION("""COMPUTED_VALUE"""),405.88)</f>
        <v>405.88</v>
      </c>
      <c r="E2546" s="1">
        <f ca="1">IFERROR(__xludf.DUMMYFUNCTION("""COMPUTED_VALUE"""),408.43)</f>
        <v>408.43</v>
      </c>
      <c r="F2546" s="1">
        <f ca="1">IFERROR(__xludf.DUMMYFUNCTION("""COMPUTED_VALUE"""),22758464)</f>
        <v>22758464</v>
      </c>
    </row>
    <row r="2547" spans="1:6" x14ac:dyDescent="0.35">
      <c r="A2547" s="2">
        <f ca="1">IFERROR(__xludf.DUMMYFUNCTION("""COMPUTED_VALUE"""),45706.6666666666)</f>
        <v>45706.666666666599</v>
      </c>
      <c r="B2547" s="1">
        <f ca="1">IFERROR(__xludf.DUMMYFUNCTION("""COMPUTED_VALUE"""),408)</f>
        <v>408</v>
      </c>
      <c r="C2547" s="1">
        <f ca="1">IFERROR(__xludf.DUMMYFUNCTION("""COMPUTED_VALUE"""),410.6)</f>
        <v>410.6</v>
      </c>
      <c r="D2547" s="1">
        <f ca="1">IFERROR(__xludf.DUMMYFUNCTION("""COMPUTED_VALUE"""),406.5)</f>
        <v>406.5</v>
      </c>
      <c r="E2547" s="1">
        <f ca="1">IFERROR(__xludf.DUMMYFUNCTION("""COMPUTED_VALUE"""),409.64)</f>
        <v>409.64</v>
      </c>
      <c r="F2547" s="1">
        <f ca="1">IFERROR(__xludf.DUMMYFUNCTION("""COMPUTED_VALUE"""),21423051)</f>
        <v>21423051</v>
      </c>
    </row>
    <row r="2548" spans="1:6" x14ac:dyDescent="0.35">
      <c r="A2548" s="2">
        <f ca="1">IFERROR(__xludf.DUMMYFUNCTION("""COMPUTED_VALUE"""),45707.6666666666)</f>
        <v>45707.666666666599</v>
      </c>
      <c r="B2548" s="1">
        <f ca="1">IFERROR(__xludf.DUMMYFUNCTION("""COMPUTED_VALUE"""),407.88)</f>
        <v>407.88</v>
      </c>
      <c r="C2548" s="1">
        <f ca="1">IFERROR(__xludf.DUMMYFUNCTION("""COMPUTED_VALUE"""),415.49)</f>
        <v>415.49</v>
      </c>
      <c r="D2548" s="1">
        <f ca="1">IFERROR(__xludf.DUMMYFUNCTION("""COMPUTED_VALUE"""),407.65)</f>
        <v>407.65</v>
      </c>
      <c r="E2548" s="1">
        <f ca="1">IFERROR(__xludf.DUMMYFUNCTION("""COMPUTED_VALUE"""),414.77)</f>
        <v>414.77</v>
      </c>
      <c r="F2548" s="1">
        <f ca="1">IFERROR(__xludf.DUMMYFUNCTION("""COMPUTED_VALUE"""),24114197)</f>
        <v>24114197</v>
      </c>
    </row>
    <row r="2549" spans="1:6" x14ac:dyDescent="0.35">
      <c r="A2549" s="2">
        <f ca="1">IFERROR(__xludf.DUMMYFUNCTION("""COMPUTED_VALUE"""),45708.6666666666)</f>
        <v>45708.666666666599</v>
      </c>
      <c r="B2549" s="1">
        <f ca="1">IFERROR(__xludf.DUMMYFUNCTION("""COMPUTED_VALUE"""),415.29)</f>
        <v>415.29</v>
      </c>
      <c r="C2549" s="1">
        <f ca="1">IFERROR(__xludf.DUMMYFUNCTION("""COMPUTED_VALUE"""),419.31)</f>
        <v>419.31</v>
      </c>
      <c r="D2549" s="1">
        <f ca="1">IFERROR(__xludf.DUMMYFUNCTION("""COMPUTED_VALUE"""),412.54)</f>
        <v>412.54</v>
      </c>
      <c r="E2549" s="1">
        <f ca="1">IFERROR(__xludf.DUMMYFUNCTION("""COMPUTED_VALUE"""),416.13)</f>
        <v>416.13</v>
      </c>
      <c r="F2549" s="1">
        <f ca="1">IFERROR(__xludf.DUMMYFUNCTION("""COMPUTED_VALUE"""),23508728)</f>
        <v>23508728</v>
      </c>
    </row>
    <row r="2550" spans="1:6" x14ac:dyDescent="0.35">
      <c r="A2550" s="2">
        <f ca="1">IFERROR(__xludf.DUMMYFUNCTION("""COMPUTED_VALUE"""),45709.6666666666)</f>
        <v>45709.666666666599</v>
      </c>
      <c r="B2550" s="1">
        <f ca="1">IFERROR(__xludf.DUMMYFUNCTION("""COMPUTED_VALUE"""),417.34)</f>
        <v>417.34</v>
      </c>
      <c r="C2550" s="1">
        <f ca="1">IFERROR(__xludf.DUMMYFUNCTION("""COMPUTED_VALUE"""),418.05)</f>
        <v>418.05</v>
      </c>
      <c r="D2550" s="1">
        <f ca="1">IFERROR(__xludf.DUMMYFUNCTION("""COMPUTED_VALUE"""),407.89)</f>
        <v>407.89</v>
      </c>
      <c r="E2550" s="1">
        <f ca="1">IFERROR(__xludf.DUMMYFUNCTION("""COMPUTED_VALUE"""),408.21)</f>
        <v>408.21</v>
      </c>
      <c r="F2550" s="1">
        <f ca="1">IFERROR(__xludf.DUMMYFUNCTION("""COMPUTED_VALUE"""),27524799)</f>
        <v>27524799</v>
      </c>
    </row>
    <row r="2551" spans="1:6" x14ac:dyDescent="0.35">
      <c r="A2551" s="2">
        <f ca="1">IFERROR(__xludf.DUMMYFUNCTION("""COMPUTED_VALUE"""),45712.6666666666)</f>
        <v>45712.666666666599</v>
      </c>
      <c r="B2551" s="1">
        <f ca="1">IFERROR(__xludf.DUMMYFUNCTION("""COMPUTED_VALUE"""),408.51)</f>
        <v>408.51</v>
      </c>
      <c r="C2551" s="1">
        <f ca="1">IFERROR(__xludf.DUMMYFUNCTION("""COMPUTED_VALUE"""),409.37)</f>
        <v>409.37</v>
      </c>
      <c r="D2551" s="1">
        <f ca="1">IFERROR(__xludf.DUMMYFUNCTION("""COMPUTED_VALUE"""),399.32)</f>
        <v>399.32</v>
      </c>
      <c r="E2551" s="1">
        <f ca="1">IFERROR(__xludf.DUMMYFUNCTION("""COMPUTED_VALUE"""),404)</f>
        <v>404</v>
      </c>
      <c r="F2551" s="1">
        <f ca="1">IFERROR(__xludf.DUMMYFUNCTION("""COMPUTED_VALUE"""),26443656)</f>
        <v>26443656</v>
      </c>
    </row>
    <row r="2552" spans="1:6" x14ac:dyDescent="0.35">
      <c r="A2552" s="2">
        <f ca="1">IFERROR(__xludf.DUMMYFUNCTION("""COMPUTED_VALUE"""),45713.6666666666)</f>
        <v>45713.666666666599</v>
      </c>
      <c r="B2552" s="1">
        <f ca="1">IFERROR(__xludf.DUMMYFUNCTION("""COMPUTED_VALUE"""),401.1)</f>
        <v>401.1</v>
      </c>
      <c r="C2552" s="1">
        <f ca="1">IFERROR(__xludf.DUMMYFUNCTION("""COMPUTED_VALUE"""),401.92)</f>
        <v>401.92</v>
      </c>
      <c r="D2552" s="1">
        <f ca="1">IFERROR(__xludf.DUMMYFUNCTION("""COMPUTED_VALUE"""),396.7)</f>
        <v>396.7</v>
      </c>
      <c r="E2552" s="1">
        <f ca="1">IFERROR(__xludf.DUMMYFUNCTION("""COMPUTED_VALUE"""),397.9)</f>
        <v>397.9</v>
      </c>
      <c r="F2552" s="1">
        <f ca="1">IFERROR(__xludf.DUMMYFUNCTION("""COMPUTED_VALUE"""),29387402)</f>
        <v>29387402</v>
      </c>
    </row>
    <row r="2553" spans="1:6" x14ac:dyDescent="0.35">
      <c r="A2553" s="2">
        <f ca="1">IFERROR(__xludf.DUMMYFUNCTION("""COMPUTED_VALUE"""),45714.6666666666)</f>
        <v>45714.666666666599</v>
      </c>
      <c r="B2553" s="1">
        <f ca="1">IFERROR(__xludf.DUMMYFUNCTION("""COMPUTED_VALUE"""),398.01)</f>
        <v>398.01</v>
      </c>
      <c r="C2553" s="1">
        <f ca="1">IFERROR(__xludf.DUMMYFUNCTION("""COMPUTED_VALUE"""),403.6)</f>
        <v>403.6</v>
      </c>
      <c r="D2553" s="1">
        <f ca="1">IFERROR(__xludf.DUMMYFUNCTION("""COMPUTED_VALUE"""),394.25)</f>
        <v>394.25</v>
      </c>
      <c r="E2553" s="1">
        <f ca="1">IFERROR(__xludf.DUMMYFUNCTION("""COMPUTED_VALUE"""),399.73)</f>
        <v>399.73</v>
      </c>
      <c r="F2553" s="1">
        <f ca="1">IFERROR(__xludf.DUMMYFUNCTION("""COMPUTED_VALUE"""),19618954)</f>
        <v>19618954</v>
      </c>
    </row>
    <row r="2554" spans="1:6" x14ac:dyDescent="0.35">
      <c r="A2554" s="2">
        <f ca="1">IFERROR(__xludf.DUMMYFUNCTION("""COMPUTED_VALUE"""),45715.6666666666)</f>
        <v>45715.666666666599</v>
      </c>
      <c r="B2554" s="1">
        <f ca="1">IFERROR(__xludf.DUMMYFUNCTION("""COMPUTED_VALUE"""),401.27)</f>
        <v>401.27</v>
      </c>
      <c r="C2554" s="1">
        <f ca="1">IFERROR(__xludf.DUMMYFUNCTION("""COMPUTED_VALUE"""),405.74)</f>
        <v>405.74</v>
      </c>
      <c r="D2554" s="1">
        <f ca="1">IFERROR(__xludf.DUMMYFUNCTION("""COMPUTED_VALUE"""),392.17)</f>
        <v>392.17</v>
      </c>
      <c r="E2554" s="1">
        <f ca="1">IFERROR(__xludf.DUMMYFUNCTION("""COMPUTED_VALUE"""),392.53)</f>
        <v>392.53</v>
      </c>
      <c r="F2554" s="1">
        <f ca="1">IFERROR(__xludf.DUMMYFUNCTION("""COMPUTED_VALUE"""),21127406)</f>
        <v>21127406</v>
      </c>
    </row>
    <row r="2555" spans="1:6" x14ac:dyDescent="0.35">
      <c r="A2555" s="2">
        <f ca="1">IFERROR(__xludf.DUMMYFUNCTION("""COMPUTED_VALUE"""),45716.6666666666)</f>
        <v>45716.666666666599</v>
      </c>
      <c r="B2555" s="1">
        <f ca="1">IFERROR(__xludf.DUMMYFUNCTION("""COMPUTED_VALUE"""),392.66)</f>
        <v>392.66</v>
      </c>
      <c r="C2555" s="1">
        <f ca="1">IFERROR(__xludf.DUMMYFUNCTION("""COMPUTED_VALUE"""),397.63)</f>
        <v>397.63</v>
      </c>
      <c r="D2555" s="1">
        <f ca="1">IFERROR(__xludf.DUMMYFUNCTION("""COMPUTED_VALUE"""),386.57)</f>
        <v>386.57</v>
      </c>
      <c r="E2555" s="1">
        <f ca="1">IFERROR(__xludf.DUMMYFUNCTION("""COMPUTED_VALUE"""),396.99)</f>
        <v>396.99</v>
      </c>
      <c r="F2555" s="1">
        <f ca="1">IFERROR(__xludf.DUMMYFUNCTION("""COMPUTED_VALUE"""),32845658)</f>
        <v>32845658</v>
      </c>
    </row>
    <row r="2556" spans="1:6" x14ac:dyDescent="0.35">
      <c r="A2556" s="2">
        <f ca="1">IFERROR(__xludf.DUMMYFUNCTION("""COMPUTED_VALUE"""),45719.6666666666)</f>
        <v>45719.666666666599</v>
      </c>
      <c r="B2556" s="1">
        <f ca="1">IFERROR(__xludf.DUMMYFUNCTION("""COMPUTED_VALUE"""),398.82)</f>
        <v>398.82</v>
      </c>
      <c r="C2556" s="1">
        <f ca="1">IFERROR(__xludf.DUMMYFUNCTION("""COMPUTED_VALUE"""),398.82)</f>
        <v>398.82</v>
      </c>
      <c r="D2556" s="1">
        <f ca="1">IFERROR(__xludf.DUMMYFUNCTION("""COMPUTED_VALUE"""),386.16)</f>
        <v>386.16</v>
      </c>
      <c r="E2556" s="1">
        <f ca="1">IFERROR(__xludf.DUMMYFUNCTION("""COMPUTED_VALUE"""),388.49)</f>
        <v>388.49</v>
      </c>
      <c r="F2556" s="1">
        <f ca="1">IFERROR(__xludf.DUMMYFUNCTION("""COMPUTED_VALUE"""),23007726)</f>
        <v>23007726</v>
      </c>
    </row>
    <row r="2557" spans="1:6" x14ac:dyDescent="0.35">
      <c r="A2557" s="2">
        <f ca="1">IFERROR(__xludf.DUMMYFUNCTION("""COMPUTED_VALUE"""),45720.6666666666)</f>
        <v>45720.666666666599</v>
      </c>
      <c r="B2557" s="1">
        <f ca="1">IFERROR(__xludf.DUMMYFUNCTION("""COMPUTED_VALUE"""),383.4)</f>
        <v>383.4</v>
      </c>
      <c r="C2557" s="1">
        <f ca="1">IFERROR(__xludf.DUMMYFUNCTION("""COMPUTED_VALUE"""),392.58)</f>
        <v>392.58</v>
      </c>
      <c r="D2557" s="1">
        <f ca="1">IFERROR(__xludf.DUMMYFUNCTION("""COMPUTED_VALUE"""),381)</f>
        <v>381</v>
      </c>
      <c r="E2557" s="1">
        <f ca="1">IFERROR(__xludf.DUMMYFUNCTION("""COMPUTED_VALUE"""),388.61)</f>
        <v>388.61</v>
      </c>
      <c r="F2557" s="1">
        <f ca="1">IFERROR(__xludf.DUMMYFUNCTION("""COMPUTED_VALUE"""),29342923)</f>
        <v>29342923</v>
      </c>
    </row>
    <row r="2558" spans="1:6" x14ac:dyDescent="0.35">
      <c r="A2558" s="2">
        <f ca="1">IFERROR(__xludf.DUMMYFUNCTION("""COMPUTED_VALUE"""),45721.6666666666)</f>
        <v>45721.666666666599</v>
      </c>
      <c r="B2558" s="1">
        <f ca="1">IFERROR(__xludf.DUMMYFUNCTION("""COMPUTED_VALUE"""),389.34)</f>
        <v>389.34</v>
      </c>
      <c r="C2558" s="1">
        <f ca="1">IFERROR(__xludf.DUMMYFUNCTION("""COMPUTED_VALUE"""),401.67)</f>
        <v>401.67</v>
      </c>
      <c r="D2558" s="1">
        <f ca="1">IFERROR(__xludf.DUMMYFUNCTION("""COMPUTED_VALUE"""),388.81)</f>
        <v>388.81</v>
      </c>
      <c r="E2558" s="1">
        <f ca="1">IFERROR(__xludf.DUMMYFUNCTION("""COMPUTED_VALUE"""),401.02)</f>
        <v>401.02</v>
      </c>
      <c r="F2558" s="1">
        <f ca="1">IFERROR(__xludf.DUMMYFUNCTION("""COMPUTED_VALUE"""),23433132)</f>
        <v>23433132</v>
      </c>
    </row>
    <row r="2559" spans="1:6" x14ac:dyDescent="0.35">
      <c r="A2559" s="2">
        <f ca="1">IFERROR(__xludf.DUMMYFUNCTION("""COMPUTED_VALUE"""),45722.6666666666)</f>
        <v>45722.666666666599</v>
      </c>
      <c r="B2559" s="1">
        <f ca="1">IFERROR(__xludf.DUMMYFUNCTION("""COMPUTED_VALUE"""),394.28)</f>
        <v>394.28</v>
      </c>
      <c r="C2559" s="1">
        <f ca="1">IFERROR(__xludf.DUMMYFUNCTION("""COMPUTED_VALUE"""),402.15)</f>
        <v>402.15</v>
      </c>
      <c r="D2559" s="1">
        <f ca="1">IFERROR(__xludf.DUMMYFUNCTION("""COMPUTED_VALUE"""),392.68)</f>
        <v>392.68</v>
      </c>
      <c r="E2559" s="1">
        <f ca="1">IFERROR(__xludf.DUMMYFUNCTION("""COMPUTED_VALUE"""),396.89)</f>
        <v>396.89</v>
      </c>
      <c r="F2559" s="1">
        <f ca="1">IFERROR(__xludf.DUMMYFUNCTION("""COMPUTED_VALUE"""),23304625)</f>
        <v>23304625</v>
      </c>
    </row>
    <row r="2560" spans="1:6" x14ac:dyDescent="0.35">
      <c r="A2560" s="2">
        <f ca="1">IFERROR(__xludf.DUMMYFUNCTION("""COMPUTED_VALUE"""),45723.6666666666)</f>
        <v>45723.666666666599</v>
      </c>
      <c r="B2560" s="1">
        <f ca="1">IFERROR(__xludf.DUMMYFUNCTION("""COMPUTED_VALUE"""),392.32)</f>
        <v>392.32</v>
      </c>
      <c r="C2560" s="1">
        <f ca="1">IFERROR(__xludf.DUMMYFUNCTION("""COMPUTED_VALUE"""),394.8)</f>
        <v>394.8</v>
      </c>
      <c r="D2560" s="1">
        <f ca="1">IFERROR(__xludf.DUMMYFUNCTION("""COMPUTED_VALUE"""),385.54)</f>
        <v>385.54</v>
      </c>
      <c r="E2560" s="1">
        <f ca="1">IFERROR(__xludf.DUMMYFUNCTION("""COMPUTED_VALUE"""),393.31)</f>
        <v>393.31</v>
      </c>
      <c r="F2560" s="1">
        <f ca="1">IFERROR(__xludf.DUMMYFUNCTION("""COMPUTED_VALUE"""),22034087)</f>
        <v>22034087</v>
      </c>
    </row>
    <row r="2561" spans="1:6" x14ac:dyDescent="0.35">
      <c r="A2561" s="2">
        <f ca="1">IFERROR(__xludf.DUMMYFUNCTION("""COMPUTED_VALUE"""),45726.6666666666)</f>
        <v>45726.666666666599</v>
      </c>
      <c r="B2561" s="1">
        <f ca="1">IFERROR(__xludf.DUMMYFUNCTION("""COMPUTED_VALUE"""),385.84)</f>
        <v>385.84</v>
      </c>
      <c r="C2561" s="1">
        <f ca="1">IFERROR(__xludf.DUMMYFUNCTION("""COMPUTED_VALUE"""),386.4)</f>
        <v>386.4</v>
      </c>
      <c r="D2561" s="1">
        <f ca="1">IFERROR(__xludf.DUMMYFUNCTION("""COMPUTED_VALUE"""),377.22)</f>
        <v>377.22</v>
      </c>
      <c r="E2561" s="1">
        <f ca="1">IFERROR(__xludf.DUMMYFUNCTION("""COMPUTED_VALUE"""),380.16)</f>
        <v>380.16</v>
      </c>
      <c r="F2561" s="1">
        <f ca="1">IFERROR(__xludf.DUMMYFUNCTION("""COMPUTED_VALUE"""),32840134)</f>
        <v>32840134</v>
      </c>
    </row>
    <row r="2562" spans="1:6" x14ac:dyDescent="0.35">
      <c r="A2562" s="2">
        <f ca="1">IFERROR(__xludf.DUMMYFUNCTION("""COMPUTED_VALUE"""),45727.6666666666)</f>
        <v>45727.666666666599</v>
      </c>
      <c r="B2562" s="1">
        <f ca="1">IFERROR(__xludf.DUMMYFUNCTION("""COMPUTED_VALUE"""),379)</f>
        <v>379</v>
      </c>
      <c r="C2562" s="1">
        <f ca="1">IFERROR(__xludf.DUMMYFUNCTION("""COMPUTED_VALUE"""),386)</f>
        <v>386</v>
      </c>
      <c r="D2562" s="1">
        <f ca="1">IFERROR(__xludf.DUMMYFUNCTION("""COMPUTED_VALUE"""),376.91)</f>
        <v>376.91</v>
      </c>
      <c r="E2562" s="1">
        <f ca="1">IFERROR(__xludf.DUMMYFUNCTION("""COMPUTED_VALUE"""),380.45)</f>
        <v>380.45</v>
      </c>
      <c r="F2562" s="1">
        <f ca="1">IFERROR(__xludf.DUMMYFUNCTION("""COMPUTED_VALUE"""),30380177)</f>
        <v>30380177</v>
      </c>
    </row>
    <row r="2563" spans="1:6" x14ac:dyDescent="0.35">
      <c r="A2563" s="2">
        <f ca="1">IFERROR(__xludf.DUMMYFUNCTION("""COMPUTED_VALUE"""),45728.6666666666)</f>
        <v>45728.666666666599</v>
      </c>
      <c r="B2563" s="1">
        <f ca="1">IFERROR(__xludf.DUMMYFUNCTION("""COMPUTED_VALUE"""),382.95)</f>
        <v>382.95</v>
      </c>
      <c r="C2563" s="1">
        <f ca="1">IFERROR(__xludf.DUMMYFUNCTION("""COMPUTED_VALUE"""),385.22)</f>
        <v>385.22</v>
      </c>
      <c r="D2563" s="1">
        <f ca="1">IFERROR(__xludf.DUMMYFUNCTION("""COMPUTED_VALUE"""),378.95)</f>
        <v>378.95</v>
      </c>
      <c r="E2563" s="1">
        <f ca="1">IFERROR(__xludf.DUMMYFUNCTION("""COMPUTED_VALUE"""),383.27)</f>
        <v>383.27</v>
      </c>
      <c r="F2563" s="1">
        <f ca="1">IFERROR(__xludf.DUMMYFUNCTION("""COMPUTED_VALUE"""),24253567)</f>
        <v>24253567</v>
      </c>
    </row>
    <row r="2564" spans="1:6" x14ac:dyDescent="0.35">
      <c r="A2564" s="2">
        <f ca="1">IFERROR(__xludf.DUMMYFUNCTION("""COMPUTED_VALUE"""),45729.6666666666)</f>
        <v>45729.666666666599</v>
      </c>
      <c r="B2564" s="1">
        <f ca="1">IFERROR(__xludf.DUMMYFUNCTION("""COMPUTED_VALUE"""),383.16)</f>
        <v>383.16</v>
      </c>
      <c r="C2564" s="1">
        <f ca="1">IFERROR(__xludf.DUMMYFUNCTION("""COMPUTED_VALUE"""),385.32)</f>
        <v>385.32</v>
      </c>
      <c r="D2564" s="1">
        <f ca="1">IFERROR(__xludf.DUMMYFUNCTION("""COMPUTED_VALUE"""),377.45)</f>
        <v>377.45</v>
      </c>
      <c r="E2564" s="1">
        <f ca="1">IFERROR(__xludf.DUMMYFUNCTION("""COMPUTED_VALUE"""),378.77)</f>
        <v>378.77</v>
      </c>
      <c r="F2564" s="1">
        <f ca="1">IFERROR(__xludf.DUMMYFUNCTION("""COMPUTED_VALUE"""),20473017)</f>
        <v>20473017</v>
      </c>
    </row>
    <row r="2565" spans="1:6" x14ac:dyDescent="0.35">
      <c r="A2565" s="2">
        <f ca="1">IFERROR(__xludf.DUMMYFUNCTION("""COMPUTED_VALUE"""),45730.6666666666)</f>
        <v>45730.666666666599</v>
      </c>
      <c r="B2565" s="1">
        <f ca="1">IFERROR(__xludf.DUMMYFUNCTION("""COMPUTED_VALUE"""),379.78)</f>
        <v>379.78</v>
      </c>
      <c r="C2565" s="1">
        <f ca="1">IFERROR(__xludf.DUMMYFUNCTION("""COMPUTED_VALUE"""),390.23)</f>
        <v>390.23</v>
      </c>
      <c r="D2565" s="1">
        <f ca="1">IFERROR(__xludf.DUMMYFUNCTION("""COMPUTED_VALUE"""),379.51)</f>
        <v>379.51</v>
      </c>
      <c r="E2565" s="1">
        <f ca="1">IFERROR(__xludf.DUMMYFUNCTION("""COMPUTED_VALUE"""),388.56)</f>
        <v>388.56</v>
      </c>
      <c r="F2565" s="1">
        <f ca="1">IFERROR(__xludf.DUMMYFUNCTION("""COMPUTED_VALUE"""),19952846)</f>
        <v>19952846</v>
      </c>
    </row>
    <row r="2566" spans="1:6" x14ac:dyDescent="0.35">
      <c r="A2566" s="2">
        <f ca="1">IFERROR(__xludf.DUMMYFUNCTION("""COMPUTED_VALUE"""),45733.6666666666)</f>
        <v>45733.666666666599</v>
      </c>
      <c r="B2566" s="1">
        <f ca="1">IFERROR(__xludf.DUMMYFUNCTION("""COMPUTED_VALUE"""),386.7)</f>
        <v>386.7</v>
      </c>
      <c r="C2566" s="1">
        <f ca="1">IFERROR(__xludf.DUMMYFUNCTION("""COMPUTED_VALUE"""),392.71)</f>
        <v>392.71</v>
      </c>
      <c r="D2566" s="1">
        <f ca="1">IFERROR(__xludf.DUMMYFUNCTION("""COMPUTED_VALUE"""),385.57)</f>
        <v>385.57</v>
      </c>
      <c r="E2566" s="1">
        <f ca="1">IFERROR(__xludf.DUMMYFUNCTION("""COMPUTED_VALUE"""),388.7)</f>
        <v>388.7</v>
      </c>
      <c r="F2566" s="1">
        <f ca="1">IFERROR(__xludf.DUMMYFUNCTION("""COMPUTED_VALUE"""),22474272)</f>
        <v>22474272</v>
      </c>
    </row>
    <row r="2567" spans="1:6" x14ac:dyDescent="0.35">
      <c r="A2567" s="2">
        <f ca="1">IFERROR(__xludf.DUMMYFUNCTION("""COMPUTED_VALUE"""),45734.6666666666)</f>
        <v>45734.666666666599</v>
      </c>
      <c r="B2567" s="1">
        <f ca="1">IFERROR(__xludf.DUMMYFUNCTION("""COMPUTED_VALUE"""),387.07)</f>
        <v>387.07</v>
      </c>
      <c r="C2567" s="1">
        <f ca="1">IFERROR(__xludf.DUMMYFUNCTION("""COMPUTED_VALUE"""),387.37)</f>
        <v>387.37</v>
      </c>
      <c r="D2567" s="1">
        <f ca="1">IFERROR(__xludf.DUMMYFUNCTION("""COMPUTED_VALUE"""),381.1)</f>
        <v>381.1</v>
      </c>
      <c r="E2567" s="1">
        <f ca="1">IFERROR(__xludf.DUMMYFUNCTION("""COMPUTED_VALUE"""),383.52)</f>
        <v>383.52</v>
      </c>
      <c r="F2567" s="1">
        <f ca="1">IFERROR(__xludf.DUMMYFUNCTION("""COMPUTED_VALUE"""),19486850)</f>
        <v>19486850</v>
      </c>
    </row>
    <row r="2568" spans="1:6" x14ac:dyDescent="0.35">
      <c r="A2568" s="2">
        <f ca="1">IFERROR(__xludf.DUMMYFUNCTION("""COMPUTED_VALUE"""),45735.6666666666)</f>
        <v>45735.666666666599</v>
      </c>
      <c r="B2568" s="1">
        <f ca="1">IFERROR(__xludf.DUMMYFUNCTION("""COMPUTED_VALUE"""),385.53)</f>
        <v>385.53</v>
      </c>
      <c r="C2568" s="1">
        <f ca="1">IFERROR(__xludf.DUMMYFUNCTION("""COMPUTED_VALUE"""),389.68)</f>
        <v>389.68</v>
      </c>
      <c r="D2568" s="1">
        <f ca="1">IFERROR(__xludf.DUMMYFUNCTION("""COMPUTED_VALUE"""),384)</f>
        <v>384</v>
      </c>
      <c r="E2568" s="1">
        <f ca="1">IFERROR(__xludf.DUMMYFUNCTION("""COMPUTED_VALUE"""),387.82)</f>
        <v>387.82</v>
      </c>
      <c r="F2568" s="1">
        <f ca="1">IFERROR(__xludf.DUMMYFUNCTION("""COMPUTED_VALUE"""),19185532)</f>
        <v>19185532</v>
      </c>
    </row>
    <row r="2569" spans="1:6" x14ac:dyDescent="0.35">
      <c r="A2569" s="2">
        <f ca="1">IFERROR(__xludf.DUMMYFUNCTION("""COMPUTED_VALUE"""),45736.6666666666)</f>
        <v>45736.666666666599</v>
      </c>
      <c r="B2569" s="1">
        <f ca="1">IFERROR(__xludf.DUMMYFUNCTION("""COMPUTED_VALUE"""),385.74)</f>
        <v>385.74</v>
      </c>
      <c r="C2569" s="1">
        <f ca="1">IFERROR(__xludf.DUMMYFUNCTION("""COMPUTED_VALUE"""),391.79)</f>
        <v>391.79</v>
      </c>
      <c r="D2569" s="1">
        <f ca="1">IFERROR(__xludf.DUMMYFUNCTION("""COMPUTED_VALUE"""),383.28)</f>
        <v>383.28</v>
      </c>
      <c r="E2569" s="1">
        <f ca="1">IFERROR(__xludf.DUMMYFUNCTION("""COMPUTED_VALUE"""),386.84)</f>
        <v>386.84</v>
      </c>
      <c r="F2569" s="1">
        <f ca="1">IFERROR(__xludf.DUMMYFUNCTION("""COMPUTED_VALUE"""),18470542)</f>
        <v>18470542</v>
      </c>
    </row>
    <row r="2570" spans="1:6" x14ac:dyDescent="0.35">
      <c r="A2570" s="2">
        <f ca="1">IFERROR(__xludf.DUMMYFUNCTION("""COMPUTED_VALUE"""),45737.6666666666)</f>
        <v>45737.666666666599</v>
      </c>
      <c r="B2570" s="1">
        <f ca="1">IFERROR(__xludf.DUMMYFUNCTION("""COMPUTED_VALUE"""),383.22)</f>
        <v>383.22</v>
      </c>
      <c r="C2570" s="1">
        <f ca="1">IFERROR(__xludf.DUMMYFUNCTION("""COMPUTED_VALUE"""),391.74)</f>
        <v>391.74</v>
      </c>
      <c r="D2570" s="1">
        <f ca="1">IFERROR(__xludf.DUMMYFUNCTION("""COMPUTED_VALUE"""),382.8)</f>
        <v>382.8</v>
      </c>
      <c r="E2570" s="1">
        <f ca="1">IFERROR(__xludf.DUMMYFUNCTION("""COMPUTED_VALUE"""),391.26)</f>
        <v>391.26</v>
      </c>
      <c r="F2570" s="1">
        <f ca="1">IFERROR(__xludf.DUMMYFUNCTION("""COMPUTED_VALUE"""),39675928)</f>
        <v>39675928</v>
      </c>
    </row>
    <row r="2571" spans="1:6" x14ac:dyDescent="0.35">
      <c r="A2571" s="2">
        <f ca="1">IFERROR(__xludf.DUMMYFUNCTION("""COMPUTED_VALUE"""),45740.6666666666)</f>
        <v>45740.666666666599</v>
      </c>
      <c r="B2571" s="1">
        <f ca="1">IFERROR(__xludf.DUMMYFUNCTION("""COMPUTED_VALUE"""),395.4)</f>
        <v>395.4</v>
      </c>
      <c r="C2571" s="1">
        <f ca="1">IFERROR(__xludf.DUMMYFUNCTION("""COMPUTED_VALUE"""),395.4)</f>
        <v>395.4</v>
      </c>
      <c r="D2571" s="1">
        <f ca="1">IFERROR(__xludf.DUMMYFUNCTION("""COMPUTED_VALUE"""),389.81)</f>
        <v>389.81</v>
      </c>
      <c r="E2571" s="1">
        <f ca="1">IFERROR(__xludf.DUMMYFUNCTION("""COMPUTED_VALUE"""),393.08)</f>
        <v>393.08</v>
      </c>
      <c r="F2571" s="1">
        <f ca="1">IFERROR(__xludf.DUMMYFUNCTION("""COMPUTED_VALUE"""),21004548)</f>
        <v>21004548</v>
      </c>
    </row>
    <row r="2572" spans="1:6" x14ac:dyDescent="0.35">
      <c r="A2572" s="2">
        <f ca="1">IFERROR(__xludf.DUMMYFUNCTION("""COMPUTED_VALUE"""),45741.6666666666)</f>
        <v>45741.666666666599</v>
      </c>
      <c r="B2572" s="1">
        <f ca="1">IFERROR(__xludf.DUMMYFUNCTION("""COMPUTED_VALUE"""),393.92)</f>
        <v>393.92</v>
      </c>
      <c r="C2572" s="1">
        <f ca="1">IFERROR(__xludf.DUMMYFUNCTION("""COMPUTED_VALUE"""),396.36)</f>
        <v>396.36</v>
      </c>
      <c r="D2572" s="1">
        <f ca="1">IFERROR(__xludf.DUMMYFUNCTION("""COMPUTED_VALUE"""),392.64)</f>
        <v>392.64</v>
      </c>
      <c r="E2572" s="1">
        <f ca="1">IFERROR(__xludf.DUMMYFUNCTION("""COMPUTED_VALUE"""),395.16)</f>
        <v>395.16</v>
      </c>
      <c r="F2572" s="1">
        <f ca="1">IFERROR(__xludf.DUMMYFUNCTION("""COMPUTED_VALUE"""),15774968)</f>
        <v>15774968</v>
      </c>
    </row>
    <row r="2573" spans="1:6" x14ac:dyDescent="0.35">
      <c r="A2573" s="2">
        <f ca="1">IFERROR(__xludf.DUMMYFUNCTION("""COMPUTED_VALUE"""),45742.6666666666)</f>
        <v>45742.666666666599</v>
      </c>
      <c r="B2573" s="1">
        <f ca="1">IFERROR(__xludf.DUMMYFUNCTION("""COMPUTED_VALUE"""),395)</f>
        <v>395</v>
      </c>
      <c r="C2573" s="1">
        <f ca="1">IFERROR(__xludf.DUMMYFUNCTION("""COMPUTED_VALUE"""),395.31)</f>
        <v>395.31</v>
      </c>
      <c r="D2573" s="1">
        <f ca="1">IFERROR(__xludf.DUMMYFUNCTION("""COMPUTED_VALUE"""),388.57)</f>
        <v>388.57</v>
      </c>
      <c r="E2573" s="1">
        <f ca="1">IFERROR(__xludf.DUMMYFUNCTION("""COMPUTED_VALUE"""),389.97)</f>
        <v>389.97</v>
      </c>
      <c r="F2573" s="1">
        <f ca="1">IFERROR(__xludf.DUMMYFUNCTION("""COMPUTED_VALUE"""),16132906)</f>
        <v>16132906</v>
      </c>
    </row>
    <row r="2574" spans="1:6" x14ac:dyDescent="0.35">
      <c r="A2574" s="2">
        <f ca="1">IFERROR(__xludf.DUMMYFUNCTION("""COMPUTED_VALUE"""),45743.6666666666)</f>
        <v>45743.666666666599</v>
      </c>
      <c r="B2574" s="1">
        <f ca="1">IFERROR(__xludf.DUMMYFUNCTION("""COMPUTED_VALUE"""),390.13)</f>
        <v>390.13</v>
      </c>
      <c r="C2574" s="1">
        <f ca="1">IFERROR(__xludf.DUMMYFUNCTION("""COMPUTED_VALUE"""),392.24)</f>
        <v>392.24</v>
      </c>
      <c r="D2574" s="1">
        <f ca="1">IFERROR(__xludf.DUMMYFUNCTION("""COMPUTED_VALUE"""),387.4)</f>
        <v>387.4</v>
      </c>
      <c r="E2574" s="1">
        <f ca="1">IFERROR(__xludf.DUMMYFUNCTION("""COMPUTED_VALUE"""),390.58)</f>
        <v>390.58</v>
      </c>
      <c r="F2574" s="1">
        <f ca="1">IFERROR(__xludf.DUMMYFUNCTION("""COMPUTED_VALUE"""),13766761)</f>
        <v>13766761</v>
      </c>
    </row>
    <row r="2575" spans="1:6" x14ac:dyDescent="0.35">
      <c r="A2575" s="2">
        <f ca="1">IFERROR(__xludf.DUMMYFUNCTION("""COMPUTED_VALUE"""),45744.6666666666)</f>
        <v>45744.666666666599</v>
      </c>
      <c r="B2575" s="1">
        <f ca="1">IFERROR(__xludf.DUMMYFUNCTION("""COMPUTED_VALUE"""),388.08)</f>
        <v>388.08</v>
      </c>
      <c r="C2575" s="1">
        <f ca="1">IFERROR(__xludf.DUMMYFUNCTION("""COMPUTED_VALUE"""),389.13)</f>
        <v>389.13</v>
      </c>
      <c r="D2575" s="1">
        <f ca="1">IFERROR(__xludf.DUMMYFUNCTION("""COMPUTED_VALUE"""),376.93)</f>
        <v>376.93</v>
      </c>
      <c r="E2575" s="1">
        <f ca="1">IFERROR(__xludf.DUMMYFUNCTION("""COMPUTED_VALUE"""),378.8)</f>
        <v>378.8</v>
      </c>
      <c r="F2575" s="1">
        <f ca="1">IFERROR(__xludf.DUMMYFUNCTION("""COMPUTED_VALUE"""),21632016)</f>
        <v>21632016</v>
      </c>
    </row>
    <row r="2576" spans="1:6" x14ac:dyDescent="0.35">
      <c r="A2576" s="2">
        <f ca="1">IFERROR(__xludf.DUMMYFUNCTION("""COMPUTED_VALUE"""),45747.6666666666)</f>
        <v>45747.666666666599</v>
      </c>
      <c r="B2576" s="1">
        <f ca="1">IFERROR(__xludf.DUMMYFUNCTION("""COMPUTED_VALUE"""),372.54)</f>
        <v>372.54</v>
      </c>
      <c r="C2576" s="1">
        <f ca="1">IFERROR(__xludf.DUMMYFUNCTION("""COMPUTED_VALUE"""),377.07)</f>
        <v>377.07</v>
      </c>
      <c r="D2576" s="1">
        <f ca="1">IFERROR(__xludf.DUMMYFUNCTION("""COMPUTED_VALUE"""),367.24)</f>
        <v>367.24</v>
      </c>
      <c r="E2576" s="1">
        <f ca="1">IFERROR(__xludf.DUMMYFUNCTION("""COMPUTED_VALUE"""),375.39)</f>
        <v>375.39</v>
      </c>
      <c r="F2576" s="1">
        <f ca="1">IFERROR(__xludf.DUMMYFUNCTION("""COMPUTED_VALUE"""),35184676)</f>
        <v>35184676</v>
      </c>
    </row>
    <row r="2577" spans="1:6" x14ac:dyDescent="0.35">
      <c r="A2577" s="2">
        <f ca="1">IFERROR(__xludf.DUMMYFUNCTION("""COMPUTED_VALUE"""),45748.6666666666)</f>
        <v>45748.666666666599</v>
      </c>
      <c r="B2577" s="1">
        <f ca="1">IFERROR(__xludf.DUMMYFUNCTION("""COMPUTED_VALUE"""),374.65)</f>
        <v>374.65</v>
      </c>
      <c r="C2577" s="1">
        <f ca="1">IFERROR(__xludf.DUMMYFUNCTION("""COMPUTED_VALUE"""),382.85)</f>
        <v>382.85</v>
      </c>
      <c r="D2577" s="1">
        <f ca="1">IFERROR(__xludf.DUMMYFUNCTION("""COMPUTED_VALUE"""),373.23)</f>
        <v>373.23</v>
      </c>
      <c r="E2577" s="1">
        <f ca="1">IFERROR(__xludf.DUMMYFUNCTION("""COMPUTED_VALUE"""),382.19)</f>
        <v>382.19</v>
      </c>
      <c r="F2577" s="1">
        <f ca="1">IFERROR(__xludf.DUMMYFUNCTION("""COMPUTED_VALUE"""),19689503)</f>
        <v>19689503</v>
      </c>
    </row>
    <row r="2578" spans="1:6" x14ac:dyDescent="0.35">
      <c r="A2578" s="2">
        <f ca="1">IFERROR(__xludf.DUMMYFUNCTION("""COMPUTED_VALUE"""),45749.6666666666)</f>
        <v>45749.666666666599</v>
      </c>
      <c r="B2578" s="1">
        <f ca="1">IFERROR(__xludf.DUMMYFUNCTION("""COMPUTED_VALUE"""),377.97)</f>
        <v>377.97</v>
      </c>
      <c r="C2578" s="1">
        <f ca="1">IFERROR(__xludf.DUMMYFUNCTION("""COMPUTED_VALUE"""),385.08)</f>
        <v>385.08</v>
      </c>
      <c r="D2578" s="1">
        <f ca="1">IFERROR(__xludf.DUMMYFUNCTION("""COMPUTED_VALUE"""),376.62)</f>
        <v>376.62</v>
      </c>
      <c r="E2578" s="1">
        <f ca="1">IFERROR(__xludf.DUMMYFUNCTION("""COMPUTED_VALUE"""),382.14)</f>
        <v>382.14</v>
      </c>
      <c r="F2578" s="1">
        <f ca="1">IFERROR(__xludf.DUMMYFUNCTION("""COMPUTED_VALUE"""),16092555)</f>
        <v>16092555</v>
      </c>
    </row>
    <row r="2579" spans="1:6" x14ac:dyDescent="0.35">
      <c r="A2579" s="2">
        <f ca="1">IFERROR(__xludf.DUMMYFUNCTION("""COMPUTED_VALUE"""),45750.6666666666)</f>
        <v>45750.666666666599</v>
      </c>
      <c r="B2579" s="1">
        <f ca="1">IFERROR(__xludf.DUMMYFUNCTION("""COMPUTED_VALUE"""),374.79)</f>
        <v>374.79</v>
      </c>
      <c r="C2579" s="1">
        <f ca="1">IFERROR(__xludf.DUMMYFUNCTION("""COMPUTED_VALUE"""),377.48)</f>
        <v>377.48</v>
      </c>
      <c r="D2579" s="1">
        <f ca="1">IFERROR(__xludf.DUMMYFUNCTION("""COMPUTED_VALUE"""),369.35)</f>
        <v>369.35</v>
      </c>
      <c r="E2579" s="1">
        <f ca="1">IFERROR(__xludf.DUMMYFUNCTION("""COMPUTED_VALUE"""),373.11)</f>
        <v>373.11</v>
      </c>
      <c r="F2579" s="1">
        <f ca="1">IFERROR(__xludf.DUMMYFUNCTION("""COMPUTED_VALUE"""),30197997)</f>
        <v>30197997</v>
      </c>
    </row>
    <row r="2580" spans="1:6" x14ac:dyDescent="0.35">
      <c r="A2580" s="2">
        <f ca="1">IFERROR(__xludf.DUMMYFUNCTION("""COMPUTED_VALUE"""),45751.6666666666)</f>
        <v>45751.666666666599</v>
      </c>
      <c r="B2580" s="1">
        <f ca="1">IFERROR(__xludf.DUMMYFUNCTION("""COMPUTED_VALUE"""),364.13)</f>
        <v>364.13</v>
      </c>
      <c r="C2580" s="1">
        <f ca="1">IFERROR(__xludf.DUMMYFUNCTION("""COMPUTED_VALUE"""),374.59)</f>
        <v>374.59</v>
      </c>
      <c r="D2580" s="1">
        <f ca="1">IFERROR(__xludf.DUMMYFUNCTION("""COMPUTED_VALUE"""),359.48)</f>
        <v>359.48</v>
      </c>
      <c r="E2580" s="1">
        <f ca="1">IFERROR(__xludf.DUMMYFUNCTION("""COMPUTED_VALUE"""),359.84)</f>
        <v>359.84</v>
      </c>
      <c r="F2580" s="1">
        <f ca="1">IFERROR(__xludf.DUMMYFUNCTION("""COMPUTED_VALUE"""),49209854)</f>
        <v>49209854</v>
      </c>
    </row>
    <row r="2581" spans="1:6" x14ac:dyDescent="0.35">
      <c r="A2581" s="2">
        <f ca="1">IFERROR(__xludf.DUMMYFUNCTION("""COMPUTED_VALUE"""),45754.6666666666)</f>
        <v>45754.666666666599</v>
      </c>
      <c r="B2581" s="1">
        <f ca="1">IFERROR(__xludf.DUMMYFUNCTION("""COMPUTED_VALUE"""),350.88)</f>
        <v>350.88</v>
      </c>
      <c r="C2581" s="1">
        <f ca="1">IFERROR(__xludf.DUMMYFUNCTION("""COMPUTED_VALUE"""),371)</f>
        <v>371</v>
      </c>
      <c r="D2581" s="1">
        <f ca="1">IFERROR(__xludf.DUMMYFUNCTION("""COMPUTED_VALUE"""),344.79)</f>
        <v>344.79</v>
      </c>
      <c r="E2581" s="1">
        <f ca="1">IFERROR(__xludf.DUMMYFUNCTION("""COMPUTED_VALUE"""),357.86)</f>
        <v>357.86</v>
      </c>
      <c r="F2581" s="1">
        <f ca="1">IFERROR(__xludf.DUMMYFUNCTION("""COMPUTED_VALUE"""),50424998)</f>
        <v>50424998</v>
      </c>
    </row>
    <row r="2582" spans="1:6" x14ac:dyDescent="0.35">
      <c r="A2582" s="2">
        <f ca="1">IFERROR(__xludf.DUMMYFUNCTION("""COMPUTED_VALUE"""),45755.6666666666)</f>
        <v>45755.666666666599</v>
      </c>
      <c r="B2582" s="1">
        <f ca="1">IFERROR(__xludf.DUMMYFUNCTION("""COMPUTED_VALUE"""),368.26)</f>
        <v>368.26</v>
      </c>
      <c r="C2582" s="1">
        <f ca="1">IFERROR(__xludf.DUMMYFUNCTION("""COMPUTED_VALUE"""),373.65)</f>
        <v>373.65</v>
      </c>
      <c r="D2582" s="1">
        <f ca="1">IFERROR(__xludf.DUMMYFUNCTION("""COMPUTED_VALUE"""),350.25)</f>
        <v>350.25</v>
      </c>
      <c r="E2582" s="1">
        <f ca="1">IFERROR(__xludf.DUMMYFUNCTION("""COMPUTED_VALUE"""),354.56)</f>
        <v>354.56</v>
      </c>
      <c r="F2582" s="1">
        <f ca="1">IFERROR(__xludf.DUMMYFUNCTION("""COMPUTED_VALUE"""),35868918)</f>
        <v>35868918</v>
      </c>
    </row>
    <row r="2583" spans="1:6" x14ac:dyDescent="0.35">
      <c r="A2583" s="2">
        <f ca="1">IFERROR(__xludf.DUMMYFUNCTION("""COMPUTED_VALUE"""),45756.6666666666)</f>
        <v>45756.666666666599</v>
      </c>
      <c r="B2583" s="1">
        <f ca="1">IFERROR(__xludf.DUMMYFUNCTION("""COMPUTED_VALUE"""),353.54)</f>
        <v>353.54</v>
      </c>
      <c r="C2583" s="1">
        <f ca="1">IFERROR(__xludf.DUMMYFUNCTION("""COMPUTED_VALUE"""),393.23)</f>
        <v>393.23</v>
      </c>
      <c r="D2583" s="1">
        <f ca="1">IFERROR(__xludf.DUMMYFUNCTION("""COMPUTED_VALUE"""),353.1)</f>
        <v>353.1</v>
      </c>
      <c r="E2583" s="1">
        <f ca="1">IFERROR(__xludf.DUMMYFUNCTION("""COMPUTED_VALUE"""),390.49)</f>
        <v>390.49</v>
      </c>
      <c r="F2583" s="1">
        <f ca="1">IFERROR(__xludf.DUMMYFUNCTION("""COMPUTED_VALUE"""),50199696)</f>
        <v>50199696</v>
      </c>
    </row>
    <row r="2584" spans="1:6" x14ac:dyDescent="0.35">
      <c r="A2584" s="2">
        <f ca="1">IFERROR(__xludf.DUMMYFUNCTION("""COMPUTED_VALUE"""),45757.6666666666)</f>
        <v>45757.666666666599</v>
      </c>
      <c r="B2584" s="1">
        <f ca="1">IFERROR(__xludf.DUMMYFUNCTION("""COMPUTED_VALUE"""),382.06)</f>
        <v>382.06</v>
      </c>
      <c r="C2584" s="1">
        <f ca="1">IFERROR(__xludf.DUMMYFUNCTION("""COMPUTED_VALUE"""),383.9)</f>
        <v>383.9</v>
      </c>
      <c r="D2584" s="1">
        <f ca="1">IFERROR(__xludf.DUMMYFUNCTION("""COMPUTED_VALUE"""),367.8)</f>
        <v>367.8</v>
      </c>
      <c r="E2584" s="1">
        <f ca="1">IFERROR(__xludf.DUMMYFUNCTION("""COMPUTED_VALUE"""),381.35)</f>
        <v>381.35</v>
      </c>
      <c r="F2584" s="1">
        <f ca="1">IFERROR(__xludf.DUMMYFUNCTION("""COMPUTED_VALUE"""),38024368)</f>
        <v>38024368</v>
      </c>
    </row>
    <row r="2585" spans="1:6" x14ac:dyDescent="0.35">
      <c r="A2585" s="2">
        <f ca="1">IFERROR(__xludf.DUMMYFUNCTION("""COMPUTED_VALUE"""),45758.6666666666)</f>
        <v>45758.666666666599</v>
      </c>
      <c r="B2585" s="1">
        <f ca="1">IFERROR(__xludf.DUMMYFUNCTION("""COMPUTED_VALUE"""),380.64)</f>
        <v>380.64</v>
      </c>
      <c r="C2585" s="1">
        <f ca="1">IFERROR(__xludf.DUMMYFUNCTION("""COMPUTED_VALUE"""),390.05)</f>
        <v>390.05</v>
      </c>
      <c r="D2585" s="1">
        <f ca="1">IFERROR(__xludf.DUMMYFUNCTION("""COMPUTED_VALUE"""),378.89)</f>
        <v>378.89</v>
      </c>
      <c r="E2585" s="1">
        <f ca="1">IFERROR(__xludf.DUMMYFUNCTION("""COMPUTED_VALUE"""),388.45)</f>
        <v>388.45</v>
      </c>
      <c r="F2585" s="1">
        <f ca="1">IFERROR(__xludf.DUMMYFUNCTION("""COMPUTED_VALUE"""),23839220)</f>
        <v>23839220</v>
      </c>
    </row>
    <row r="2586" spans="1:6" x14ac:dyDescent="0.35">
      <c r="A2586" s="2">
        <f ca="1">IFERROR(__xludf.DUMMYFUNCTION("""COMPUTED_VALUE"""),45761.6666666666)</f>
        <v>45761.666666666599</v>
      </c>
      <c r="B2586" s="1">
        <f ca="1">IFERROR(__xludf.DUMMYFUNCTION("""COMPUTED_VALUE"""),393.22)</f>
        <v>393.22</v>
      </c>
      <c r="C2586" s="1">
        <f ca="1">IFERROR(__xludf.DUMMYFUNCTION("""COMPUTED_VALUE"""),394.65)</f>
        <v>394.65</v>
      </c>
      <c r="D2586" s="1">
        <f ca="1">IFERROR(__xludf.DUMMYFUNCTION("""COMPUTED_VALUE"""),384.21)</f>
        <v>384.21</v>
      </c>
      <c r="E2586" s="1">
        <f ca="1">IFERROR(__xludf.DUMMYFUNCTION("""COMPUTED_VALUE"""),387.81)</f>
        <v>387.81</v>
      </c>
      <c r="F2586" s="1">
        <f ca="1">IFERROR(__xludf.DUMMYFUNCTION("""COMPUTED_VALUE"""),19251172)</f>
        <v>19251172</v>
      </c>
    </row>
    <row r="2587" spans="1:6" x14ac:dyDescent="0.35">
      <c r="A2587" s="2">
        <f ca="1">IFERROR(__xludf.DUMMYFUNCTION("""COMPUTED_VALUE"""),45762.6666666666)</f>
        <v>45762.666666666599</v>
      </c>
      <c r="B2587" s="1">
        <f ca="1">IFERROR(__xludf.DUMMYFUNCTION("""COMPUTED_VALUE"""),388.51)</f>
        <v>388.51</v>
      </c>
      <c r="C2587" s="1">
        <f ca="1">IFERROR(__xludf.DUMMYFUNCTION("""COMPUTED_VALUE"""),391.89)</f>
        <v>391.89</v>
      </c>
      <c r="D2587" s="1">
        <f ca="1">IFERROR(__xludf.DUMMYFUNCTION("""COMPUTED_VALUE"""),384.16)</f>
        <v>384.16</v>
      </c>
      <c r="E2587" s="1">
        <f ca="1">IFERROR(__xludf.DUMMYFUNCTION("""COMPUTED_VALUE"""),385.73)</f>
        <v>385.73</v>
      </c>
      <c r="F2587" s="1">
        <f ca="1">IFERROR(__xludf.DUMMYFUNCTION("""COMPUTED_VALUE"""),17199890)</f>
        <v>17199890</v>
      </c>
    </row>
    <row r="2588" spans="1:6" x14ac:dyDescent="0.35">
      <c r="A2588" s="2">
        <f ca="1">IFERROR(__xludf.DUMMYFUNCTION("""COMPUTED_VALUE"""),45763.6666666666)</f>
        <v>45763.666666666599</v>
      </c>
      <c r="B2588" s="1">
        <f ca="1">IFERROR(__xludf.DUMMYFUNCTION("""COMPUTED_VALUE"""),380.67)</f>
        <v>380.67</v>
      </c>
      <c r="C2588" s="1">
        <f ca="1">IFERROR(__xludf.DUMMYFUNCTION("""COMPUTED_VALUE"""),381.61)</f>
        <v>381.61</v>
      </c>
      <c r="D2588" s="1">
        <f ca="1">IFERROR(__xludf.DUMMYFUNCTION("""COMPUTED_VALUE"""),368)</f>
        <v>368</v>
      </c>
      <c r="E2588" s="1">
        <f ca="1">IFERROR(__xludf.DUMMYFUNCTION("""COMPUTED_VALUE"""),371.61)</f>
        <v>371.61</v>
      </c>
      <c r="F2588" s="1">
        <f ca="1">IFERROR(__xludf.DUMMYFUNCTION("""COMPUTED_VALUE"""),21967826)</f>
        <v>21967826</v>
      </c>
    </row>
    <row r="2589" spans="1:6" x14ac:dyDescent="0.35">
      <c r="A2589" s="2">
        <f ca="1">IFERROR(__xludf.DUMMYFUNCTION("""COMPUTED_VALUE"""),45764.6666666666)</f>
        <v>45764.666666666599</v>
      </c>
      <c r="B2589" s="1">
        <f ca="1">IFERROR(__xludf.DUMMYFUNCTION("""COMPUTED_VALUE"""),373.75)</f>
        <v>373.75</v>
      </c>
      <c r="C2589" s="1">
        <f ca="1">IFERROR(__xludf.DUMMYFUNCTION("""COMPUTED_VALUE"""),374.32)</f>
        <v>374.32</v>
      </c>
      <c r="D2589" s="1">
        <f ca="1">IFERROR(__xludf.DUMMYFUNCTION("""COMPUTED_VALUE"""),366.89)</f>
        <v>366.89</v>
      </c>
      <c r="E2589" s="1">
        <f ca="1">IFERROR(__xludf.DUMMYFUNCTION("""COMPUTED_VALUE"""),367.78)</f>
        <v>367.78</v>
      </c>
      <c r="F2589" s="1">
        <f ca="1">IFERROR(__xludf.DUMMYFUNCTION("""COMPUTED_VALUE"""),21120192)</f>
        <v>21120192</v>
      </c>
    </row>
    <row r="2590" spans="1:6" x14ac:dyDescent="0.35">
      <c r="A2590" s="2">
        <f ca="1">IFERROR(__xludf.DUMMYFUNCTION("""COMPUTED_VALUE"""),45768.6666666666)</f>
        <v>45768.666666666599</v>
      </c>
      <c r="B2590" s="1">
        <f ca="1">IFERROR(__xludf.DUMMYFUNCTION("""COMPUTED_VALUE"""),362.82)</f>
        <v>362.82</v>
      </c>
      <c r="C2590" s="1">
        <f ca="1">IFERROR(__xludf.DUMMYFUNCTION("""COMPUTED_VALUE"""),364.48)</f>
        <v>364.48</v>
      </c>
      <c r="D2590" s="1">
        <f ca="1">IFERROR(__xludf.DUMMYFUNCTION("""COMPUTED_VALUE"""),355.67)</f>
        <v>355.67</v>
      </c>
      <c r="E2590" s="1">
        <f ca="1">IFERROR(__xludf.DUMMYFUNCTION("""COMPUTED_VALUE"""),359.12)</f>
        <v>359.12</v>
      </c>
      <c r="F2590" s="1">
        <f ca="1">IFERROR(__xludf.DUMMYFUNCTION("""COMPUTED_VALUE"""),20807279)</f>
        <v>20807279</v>
      </c>
    </row>
    <row r="2591" spans="1:6" x14ac:dyDescent="0.35">
      <c r="A2591" s="2">
        <f ca="1">IFERROR(__xludf.DUMMYFUNCTION("""COMPUTED_VALUE"""),45769.6666666666)</f>
        <v>45769.666666666599</v>
      </c>
      <c r="B2591" s="1">
        <f ca="1">IFERROR(__xludf.DUMMYFUNCTION("""COMPUTED_VALUE"""),363.38)</f>
        <v>363.38</v>
      </c>
      <c r="C2591" s="1">
        <f ca="1">IFERROR(__xludf.DUMMYFUNCTION("""COMPUTED_VALUE"""),367.77)</f>
        <v>367.77</v>
      </c>
      <c r="D2591" s="1">
        <f ca="1">IFERROR(__xludf.DUMMYFUNCTION("""COMPUTED_VALUE"""),359.86)</f>
        <v>359.86</v>
      </c>
      <c r="E2591" s="1">
        <f ca="1">IFERROR(__xludf.DUMMYFUNCTION("""COMPUTED_VALUE"""),366.82)</f>
        <v>366.82</v>
      </c>
      <c r="F2591" s="1">
        <f ca="1">IFERROR(__xludf.DUMMYFUNCTION("""COMPUTED_VALUE"""),19484993)</f>
        <v>19484993</v>
      </c>
    </row>
    <row r="2592" spans="1:6" x14ac:dyDescent="0.35">
      <c r="A2592" s="2">
        <f ca="1">IFERROR(__xludf.DUMMYFUNCTION("""COMPUTED_VALUE"""),45770.6666666666)</f>
        <v>45770.666666666599</v>
      </c>
      <c r="B2592" s="1">
        <f ca="1">IFERROR(__xludf.DUMMYFUNCTION("""COMPUTED_VALUE"""),376.06)</f>
        <v>376.06</v>
      </c>
      <c r="C2592" s="1">
        <f ca="1">IFERROR(__xludf.DUMMYFUNCTION("""COMPUTED_VALUE"""),380.39)</f>
        <v>380.39</v>
      </c>
      <c r="D2592" s="1">
        <f ca="1">IFERROR(__xludf.DUMMYFUNCTION("""COMPUTED_VALUE"""),373.02)</f>
        <v>373.02</v>
      </c>
      <c r="E2592" s="1">
        <f ca="1">IFERROR(__xludf.DUMMYFUNCTION("""COMPUTED_VALUE"""),374.39)</f>
        <v>374.39</v>
      </c>
      <c r="F2592" s="1">
        <f ca="1">IFERROR(__xludf.DUMMYFUNCTION("""COMPUTED_VALUE"""),20545526)</f>
        <v>20545526</v>
      </c>
    </row>
    <row r="2593" spans="1:6" x14ac:dyDescent="0.35">
      <c r="A2593" s="2">
        <f ca="1">IFERROR(__xludf.DUMMYFUNCTION("""COMPUTED_VALUE"""),45771.6666666666)</f>
        <v>45771.666666666599</v>
      </c>
      <c r="B2593" s="1">
        <f ca="1">IFERROR(__xludf.DUMMYFUNCTION("""COMPUTED_VALUE"""),375.7)</f>
        <v>375.7</v>
      </c>
      <c r="C2593" s="1">
        <f ca="1">IFERROR(__xludf.DUMMYFUNCTION("""COMPUTED_VALUE"""),388.45)</f>
        <v>388.45</v>
      </c>
      <c r="D2593" s="1">
        <f ca="1">IFERROR(__xludf.DUMMYFUNCTION("""COMPUTED_VALUE"""),375.19)</f>
        <v>375.19</v>
      </c>
      <c r="E2593" s="1">
        <f ca="1">IFERROR(__xludf.DUMMYFUNCTION("""COMPUTED_VALUE"""),387.3)</f>
        <v>387.3</v>
      </c>
      <c r="F2593" s="1">
        <f ca="1">IFERROR(__xludf.DUMMYFUNCTION("""COMPUTED_VALUE"""),22232289)</f>
        <v>22232289</v>
      </c>
    </row>
    <row r="2594" spans="1:6" x14ac:dyDescent="0.35">
      <c r="A2594" s="2">
        <f ca="1">IFERROR(__xludf.DUMMYFUNCTION("""COMPUTED_VALUE"""),45772.6666666666)</f>
        <v>45772.666666666599</v>
      </c>
      <c r="B2594" s="1">
        <f ca="1">IFERROR(__xludf.DUMMYFUNCTION("""COMPUTED_VALUE"""),387)</f>
        <v>387</v>
      </c>
      <c r="C2594" s="1">
        <f ca="1">IFERROR(__xludf.DUMMYFUNCTION("""COMPUTED_VALUE"""),392.16)</f>
        <v>392.16</v>
      </c>
      <c r="D2594" s="1">
        <f ca="1">IFERROR(__xludf.DUMMYFUNCTION("""COMPUTED_VALUE"""),384.6)</f>
        <v>384.6</v>
      </c>
      <c r="E2594" s="1">
        <f ca="1">IFERROR(__xludf.DUMMYFUNCTION("""COMPUTED_VALUE"""),391.85)</f>
        <v>391.85</v>
      </c>
      <c r="F2594" s="1">
        <f ca="1">IFERROR(__xludf.DUMMYFUNCTION("""COMPUTED_VALUE"""),18973165)</f>
        <v>18973165</v>
      </c>
    </row>
    <row r="2595" spans="1:6" x14ac:dyDescent="0.35">
      <c r="A2595" s="2">
        <f ca="1">IFERROR(__xludf.DUMMYFUNCTION("""COMPUTED_VALUE"""),45775.6666666666)</f>
        <v>45775.666666666599</v>
      </c>
      <c r="B2595" s="1">
        <f ca="1">IFERROR(__xludf.DUMMYFUNCTION("""COMPUTED_VALUE"""),391.96)</f>
        <v>391.96</v>
      </c>
      <c r="C2595" s="1">
        <f ca="1">IFERROR(__xludf.DUMMYFUNCTION("""COMPUTED_VALUE"""),392.74)</f>
        <v>392.74</v>
      </c>
      <c r="D2595" s="1">
        <f ca="1">IFERROR(__xludf.DUMMYFUNCTION("""COMPUTED_VALUE"""),386.64)</f>
        <v>386.64</v>
      </c>
      <c r="E2595" s="1">
        <f ca="1">IFERROR(__xludf.DUMMYFUNCTION("""COMPUTED_VALUE"""),391.16)</f>
        <v>391.16</v>
      </c>
      <c r="F2595" s="1">
        <f ca="1">IFERROR(__xludf.DUMMYFUNCTION("""COMPUTED_VALUE"""),16579430)</f>
        <v>16579430</v>
      </c>
    </row>
    <row r="2596" spans="1:6" x14ac:dyDescent="0.35">
      <c r="A2596" s="2">
        <f ca="1">IFERROR(__xludf.DUMMYFUNCTION("""COMPUTED_VALUE"""),45776.6666666666)</f>
        <v>45776.666666666599</v>
      </c>
      <c r="B2596" s="1">
        <f ca="1">IFERROR(__xludf.DUMMYFUNCTION("""COMPUTED_VALUE"""),391.3)</f>
        <v>391.3</v>
      </c>
      <c r="C2596" s="1">
        <f ca="1">IFERROR(__xludf.DUMMYFUNCTION("""COMPUTED_VALUE"""),395.1)</f>
        <v>395.1</v>
      </c>
      <c r="D2596" s="1">
        <f ca="1">IFERROR(__xludf.DUMMYFUNCTION("""COMPUTED_VALUE"""),390.38)</f>
        <v>390.38</v>
      </c>
      <c r="E2596" s="1">
        <f ca="1">IFERROR(__xludf.DUMMYFUNCTION("""COMPUTED_VALUE"""),394.04)</f>
        <v>394.04</v>
      </c>
      <c r="F2596" s="1">
        <f ca="1">IFERROR(__xludf.DUMMYFUNCTION("""COMPUTED_VALUE"""),14973976)</f>
        <v>14973976</v>
      </c>
    </row>
    <row r="2597" spans="1:6" x14ac:dyDescent="0.35">
      <c r="A2597" s="2">
        <f ca="1">IFERROR(__xludf.DUMMYFUNCTION("""COMPUTED_VALUE"""),45777.6666666666)</f>
        <v>45777.666666666599</v>
      </c>
      <c r="B2597" s="1">
        <f ca="1">IFERROR(__xludf.DUMMYFUNCTION("""COMPUTED_VALUE"""),390.3)</f>
        <v>390.3</v>
      </c>
      <c r="C2597" s="1">
        <f ca="1">IFERROR(__xludf.DUMMYFUNCTION("""COMPUTED_VALUE"""),396.66)</f>
        <v>396.66</v>
      </c>
      <c r="D2597" s="1">
        <f ca="1">IFERROR(__xludf.DUMMYFUNCTION("""COMPUTED_VALUE"""),384.44)</f>
        <v>384.44</v>
      </c>
      <c r="E2597" s="1">
        <f ca="1">IFERROR(__xludf.DUMMYFUNCTION("""COMPUTED_VALUE"""),395.26)</f>
        <v>395.26</v>
      </c>
      <c r="F2597" s="1">
        <f ca="1">IFERROR(__xludf.DUMMYFUNCTION("""COMPUTED_VALUE"""),36461075)</f>
        <v>36461075</v>
      </c>
    </row>
    <row r="2598" spans="1:6" x14ac:dyDescent="0.35">
      <c r="A2598" s="2">
        <f ca="1">IFERROR(__xludf.DUMMYFUNCTION("""COMPUTED_VALUE"""),45778.6666666666)</f>
        <v>45778.666666666599</v>
      </c>
      <c r="B2598" s="1">
        <f ca="1">IFERROR(__xludf.DUMMYFUNCTION("""COMPUTED_VALUE"""),431.11)</f>
        <v>431.11</v>
      </c>
      <c r="C2598" s="1">
        <f ca="1">IFERROR(__xludf.DUMMYFUNCTION("""COMPUTED_VALUE"""),436.99)</f>
        <v>436.99</v>
      </c>
      <c r="D2598" s="1">
        <f ca="1">IFERROR(__xludf.DUMMYFUNCTION("""COMPUTED_VALUE"""),424.9)</f>
        <v>424.9</v>
      </c>
      <c r="E2598" s="1">
        <f ca="1">IFERROR(__xludf.DUMMYFUNCTION("""COMPUTED_VALUE"""),425.4)</f>
        <v>425.4</v>
      </c>
      <c r="F2598" s="1">
        <f ca="1">IFERROR(__xludf.DUMMYFUNCTION("""COMPUTED_VALUE"""),58938100)</f>
        <v>58938100</v>
      </c>
    </row>
    <row r="2599" spans="1:6" x14ac:dyDescent="0.35">
      <c r="A2599" s="2">
        <f ca="1">IFERROR(__xludf.DUMMYFUNCTION("""COMPUTED_VALUE"""),45779.6666666666)</f>
        <v>45779.666666666599</v>
      </c>
      <c r="B2599" s="1">
        <f ca="1">IFERROR(__xludf.DUMMYFUNCTION("""COMPUTED_VALUE"""),431.74)</f>
        <v>431.74</v>
      </c>
      <c r="C2599" s="1">
        <f ca="1">IFERROR(__xludf.DUMMYFUNCTION("""COMPUTED_VALUE"""),439.44)</f>
        <v>439.44</v>
      </c>
      <c r="D2599" s="1">
        <f ca="1">IFERROR(__xludf.DUMMYFUNCTION("""COMPUTED_VALUE"""),429.99)</f>
        <v>429.99</v>
      </c>
      <c r="E2599" s="1">
        <f ca="1">IFERROR(__xludf.DUMMYFUNCTION("""COMPUTED_VALUE"""),435.28)</f>
        <v>435.28</v>
      </c>
      <c r="F2599" s="1">
        <f ca="1">IFERROR(__xludf.DUMMYFUNCTION("""COMPUTED_VALUE"""),30757434)</f>
        <v>30757434</v>
      </c>
    </row>
    <row r="2600" spans="1:6" x14ac:dyDescent="0.35">
      <c r="A2600" s="2">
        <f ca="1">IFERROR(__xludf.DUMMYFUNCTION("""COMPUTED_VALUE"""),45782.6666666666)</f>
        <v>45782.666666666599</v>
      </c>
      <c r="B2600" s="1">
        <f ca="1">IFERROR(__xludf.DUMMYFUNCTION("""COMPUTED_VALUE"""),432.87)</f>
        <v>432.87</v>
      </c>
      <c r="C2600" s="1">
        <f ca="1">IFERROR(__xludf.DUMMYFUNCTION("""COMPUTED_VALUE"""),439.5)</f>
        <v>439.5</v>
      </c>
      <c r="D2600" s="1">
        <f ca="1">IFERROR(__xludf.DUMMYFUNCTION("""COMPUTED_VALUE"""),432.11)</f>
        <v>432.11</v>
      </c>
      <c r="E2600" s="1">
        <f ca="1">IFERROR(__xludf.DUMMYFUNCTION("""COMPUTED_VALUE"""),436.17)</f>
        <v>436.17</v>
      </c>
      <c r="F2600" s="1">
        <f ca="1">IFERROR(__xludf.DUMMYFUNCTION("""COMPUTED_VALUE"""),20136053)</f>
        <v>20136053</v>
      </c>
    </row>
    <row r="2601" spans="1:6" x14ac:dyDescent="0.35">
      <c r="A2601" s="2">
        <f ca="1">IFERROR(__xludf.DUMMYFUNCTION("""COMPUTED_VALUE"""),45783.6666666666)</f>
        <v>45783.666666666599</v>
      </c>
      <c r="B2601" s="1">
        <f ca="1">IFERROR(__xludf.DUMMYFUNCTION("""COMPUTED_VALUE"""),432.2)</f>
        <v>432.2</v>
      </c>
      <c r="C2601" s="1">
        <f ca="1">IFERROR(__xludf.DUMMYFUNCTION("""COMPUTED_VALUE"""),437.73)</f>
        <v>437.73</v>
      </c>
      <c r="D2601" s="1">
        <f ca="1">IFERROR(__xludf.DUMMYFUNCTION("""COMPUTED_VALUE"""),431.17)</f>
        <v>431.17</v>
      </c>
      <c r="E2601" s="1">
        <f ca="1">IFERROR(__xludf.DUMMYFUNCTION("""COMPUTED_VALUE"""),433.31)</f>
        <v>433.31</v>
      </c>
      <c r="F2601" s="1">
        <f ca="1">IFERROR(__xludf.DUMMYFUNCTION("""COMPUTED_VALUE"""),15104204)</f>
        <v>15104204</v>
      </c>
    </row>
    <row r="2602" spans="1:6" x14ac:dyDescent="0.35">
      <c r="A2602" s="2">
        <f ca="1">IFERROR(__xludf.DUMMYFUNCTION("""COMPUTED_VALUE"""),45784.6666666666)</f>
        <v>45784.666666666599</v>
      </c>
      <c r="B2602" s="1">
        <f ca="1">IFERROR(__xludf.DUMMYFUNCTION("""COMPUTED_VALUE"""),433.84)</f>
        <v>433.84</v>
      </c>
      <c r="C2602" s="1">
        <f ca="1">IFERROR(__xludf.DUMMYFUNCTION("""COMPUTED_VALUE"""),438.12)</f>
        <v>438.12</v>
      </c>
      <c r="D2602" s="1">
        <f ca="1">IFERROR(__xludf.DUMMYFUNCTION("""COMPUTED_VALUE"""),431.11)</f>
        <v>431.11</v>
      </c>
      <c r="E2602" s="1">
        <f ca="1">IFERROR(__xludf.DUMMYFUNCTION("""COMPUTED_VALUE"""),433.35)</f>
        <v>433.35</v>
      </c>
      <c r="F2602" s="1">
        <f ca="1">IFERROR(__xludf.DUMMYFUNCTION("""COMPUTED_VALUE"""),23307241)</f>
        <v>23307241</v>
      </c>
    </row>
    <row r="2603" spans="1:6" x14ac:dyDescent="0.35">
      <c r="A2603" s="2">
        <f ca="1">IFERROR(__xludf.DUMMYFUNCTION("""COMPUTED_VALUE"""),45785.6666666666)</f>
        <v>45785.666666666599</v>
      </c>
      <c r="B2603" s="1">
        <f ca="1">IFERROR(__xludf.DUMMYFUNCTION("""COMPUTED_VALUE"""),437.93)</f>
        <v>437.93</v>
      </c>
      <c r="C2603" s="1">
        <f ca="1">IFERROR(__xludf.DUMMYFUNCTION("""COMPUTED_VALUE"""),443.67)</f>
        <v>443.67</v>
      </c>
      <c r="D2603" s="1">
        <f ca="1">IFERROR(__xludf.DUMMYFUNCTION("""COMPUTED_VALUE"""),435.66)</f>
        <v>435.66</v>
      </c>
      <c r="E2603" s="1">
        <f ca="1">IFERROR(__xludf.DUMMYFUNCTION("""COMPUTED_VALUE"""),438.17)</f>
        <v>438.17</v>
      </c>
      <c r="F2603" s="1">
        <f ca="1">IFERROR(__xludf.DUMMYFUNCTION("""COMPUTED_VALUE"""),23491330)</f>
        <v>23491330</v>
      </c>
    </row>
    <row r="2604" spans="1:6" x14ac:dyDescent="0.35">
      <c r="A2604" s="2">
        <f ca="1">IFERROR(__xludf.DUMMYFUNCTION("""COMPUTED_VALUE"""),45786.6666666666)</f>
        <v>45786.666666666599</v>
      </c>
      <c r="B2604" s="1">
        <f ca="1">IFERROR(__xludf.DUMMYFUNCTION("""COMPUTED_VALUE"""),440)</f>
        <v>440</v>
      </c>
      <c r="C2604" s="1">
        <f ca="1">IFERROR(__xludf.DUMMYFUNCTION("""COMPUTED_VALUE"""),440.74)</f>
        <v>440.74</v>
      </c>
      <c r="D2604" s="1">
        <f ca="1">IFERROR(__xludf.DUMMYFUNCTION("""COMPUTED_VALUE"""),435.88)</f>
        <v>435.88</v>
      </c>
      <c r="E2604" s="1">
        <f ca="1">IFERROR(__xludf.DUMMYFUNCTION("""COMPUTED_VALUE"""),438.73)</f>
        <v>438.73</v>
      </c>
      <c r="F2604" s="1">
        <f ca="1">IFERROR(__xludf.DUMMYFUNCTION("""COMPUTED_VALUE"""),15324233)</f>
        <v>15324233</v>
      </c>
    </row>
    <row r="2605" spans="1:6" x14ac:dyDescent="0.35">
      <c r="A2605" s="2">
        <f ca="1">IFERROR(__xludf.DUMMYFUNCTION("""COMPUTED_VALUE"""),45789.6666666666)</f>
        <v>45789.666666666599</v>
      </c>
      <c r="B2605" s="1">
        <f ca="1">IFERROR(__xludf.DUMMYFUNCTION("""COMPUTED_VALUE"""),445.94)</f>
        <v>445.94</v>
      </c>
      <c r="C2605" s="1">
        <f ca="1">IFERROR(__xludf.DUMMYFUNCTION("""COMPUTED_VALUE"""),449.37)</f>
        <v>449.37</v>
      </c>
      <c r="D2605" s="1">
        <f ca="1">IFERROR(__xludf.DUMMYFUNCTION("""COMPUTED_VALUE"""),439.78)</f>
        <v>439.78</v>
      </c>
      <c r="E2605" s="1">
        <f ca="1">IFERROR(__xludf.DUMMYFUNCTION("""COMPUTED_VALUE"""),449.26)</f>
        <v>449.26</v>
      </c>
      <c r="F2605" s="1">
        <f ca="1">IFERROR(__xludf.DUMMYFUNCTION("""COMPUTED_VALUE"""),22821935)</f>
        <v>22821935</v>
      </c>
    </row>
    <row r="2606" spans="1:6" x14ac:dyDescent="0.35">
      <c r="A2606" s="2">
        <f ca="1">IFERROR(__xludf.DUMMYFUNCTION("""COMPUTED_VALUE"""),45790.6666666666)</f>
        <v>45790.666666666599</v>
      </c>
      <c r="B2606" s="1">
        <f ca="1">IFERROR(__xludf.DUMMYFUNCTION("""COMPUTED_VALUE"""),447.78)</f>
        <v>447.78</v>
      </c>
      <c r="C2606" s="1">
        <f ca="1">IFERROR(__xludf.DUMMYFUNCTION("""COMPUTED_VALUE"""),450.67)</f>
        <v>450.67</v>
      </c>
      <c r="D2606" s="1">
        <f ca="1">IFERROR(__xludf.DUMMYFUNCTION("""COMPUTED_VALUE"""),445.36)</f>
        <v>445.36</v>
      </c>
      <c r="E2606" s="1">
        <f ca="1">IFERROR(__xludf.DUMMYFUNCTION("""COMPUTED_VALUE"""),449.14)</f>
        <v>449.14</v>
      </c>
      <c r="F2606" s="1">
        <f ca="1">IFERROR(__xludf.DUMMYFUNCTION("""COMPUTED_VALUE"""),23618819)</f>
        <v>23618819</v>
      </c>
    </row>
    <row r="2607" spans="1:6" x14ac:dyDescent="0.35">
      <c r="A2607" s="2">
        <f ca="1">IFERROR(__xludf.DUMMYFUNCTION("""COMPUTED_VALUE"""),45791.6666666666)</f>
        <v>45791.666666666599</v>
      </c>
      <c r="B2607" s="1">
        <f ca="1">IFERROR(__xludf.DUMMYFUNCTION("""COMPUTED_VALUE"""),448.14)</f>
        <v>448.14</v>
      </c>
      <c r="C2607" s="1">
        <f ca="1">IFERROR(__xludf.DUMMYFUNCTION("""COMPUTED_VALUE"""),453.9)</f>
        <v>453.9</v>
      </c>
      <c r="D2607" s="1">
        <f ca="1">IFERROR(__xludf.DUMMYFUNCTION("""COMPUTED_VALUE"""),448.14)</f>
        <v>448.14</v>
      </c>
      <c r="E2607" s="1">
        <f ca="1">IFERROR(__xludf.DUMMYFUNCTION("""COMPUTED_VALUE"""),452.94)</f>
        <v>452.94</v>
      </c>
      <c r="F2607" s="1">
        <f ca="1">IFERROR(__xludf.DUMMYFUNCTION("""COMPUTED_VALUE"""),19902796)</f>
        <v>19902796</v>
      </c>
    </row>
    <row r="2608" spans="1:6" x14ac:dyDescent="0.35">
      <c r="A2608" s="2">
        <f ca="1">IFERROR(__xludf.DUMMYFUNCTION("""COMPUTED_VALUE"""),45792.6666666666)</f>
        <v>45792.666666666599</v>
      </c>
      <c r="B2608" s="1">
        <f ca="1">IFERROR(__xludf.DUMMYFUNCTION("""COMPUTED_VALUE"""),450.77)</f>
        <v>450.77</v>
      </c>
      <c r="C2608" s="1">
        <f ca="1">IFERROR(__xludf.DUMMYFUNCTION("""COMPUTED_VALUE"""),456.19)</f>
        <v>456.19</v>
      </c>
      <c r="D2608" s="1">
        <f ca="1">IFERROR(__xludf.DUMMYFUNCTION("""COMPUTED_VALUE"""),450.43)</f>
        <v>450.43</v>
      </c>
      <c r="E2608" s="1">
        <f ca="1">IFERROR(__xludf.DUMMYFUNCTION("""COMPUTED_VALUE"""),453.13)</f>
        <v>453.13</v>
      </c>
      <c r="F2608" s="1">
        <f ca="1">IFERROR(__xludf.DUMMYFUNCTION("""COMPUTED_VALUE"""),21992323)</f>
        <v>21992323</v>
      </c>
    </row>
    <row r="2609" spans="1:6" x14ac:dyDescent="0.35">
      <c r="A2609" s="2">
        <f ca="1">IFERROR(__xludf.DUMMYFUNCTION("""COMPUTED_VALUE"""),45793.6666666666)</f>
        <v>45793.666666666599</v>
      </c>
      <c r="B2609" s="1">
        <f ca="1">IFERROR(__xludf.DUMMYFUNCTION("""COMPUTED_VALUE"""),452.05)</f>
        <v>452.05</v>
      </c>
      <c r="C2609" s="1">
        <f ca="1">IFERROR(__xludf.DUMMYFUNCTION("""COMPUTED_VALUE"""),454.36)</f>
        <v>454.36</v>
      </c>
      <c r="D2609" s="1">
        <f ca="1">IFERROR(__xludf.DUMMYFUNCTION("""COMPUTED_VALUE"""),448.73)</f>
        <v>448.73</v>
      </c>
      <c r="E2609" s="1">
        <f ca="1">IFERROR(__xludf.DUMMYFUNCTION("""COMPUTED_VALUE"""),454.27)</f>
        <v>454.27</v>
      </c>
      <c r="F2609" s="1">
        <f ca="1">IFERROR(__xludf.DUMMYFUNCTION("""COMPUTED_VALUE"""),23849781)</f>
        <v>23849781</v>
      </c>
    </row>
    <row r="2610" spans="1:6" x14ac:dyDescent="0.35">
      <c r="A2610" s="2">
        <f ca="1">IFERROR(__xludf.DUMMYFUNCTION("""COMPUTED_VALUE"""),45796.6666666666)</f>
        <v>45796.666666666599</v>
      </c>
      <c r="B2610" s="1">
        <f ca="1">IFERROR(__xludf.DUMMYFUNCTION("""COMPUTED_VALUE"""),450.88)</f>
        <v>450.88</v>
      </c>
      <c r="C2610" s="1">
        <f ca="1">IFERROR(__xludf.DUMMYFUNCTION("""COMPUTED_VALUE"""),459.59)</f>
        <v>459.59</v>
      </c>
      <c r="D2610" s="1">
        <f ca="1">IFERROR(__xludf.DUMMYFUNCTION("""COMPUTED_VALUE"""),450.8)</f>
        <v>450.8</v>
      </c>
      <c r="E2610" s="1">
        <f ca="1">IFERROR(__xludf.DUMMYFUNCTION("""COMPUTED_VALUE"""),458.87)</f>
        <v>458.87</v>
      </c>
      <c r="F2610" s="1">
        <f ca="1">IFERROR(__xludf.DUMMYFUNCTION("""COMPUTED_VALUE"""),21336509)</f>
        <v>21336509</v>
      </c>
    </row>
    <row r="2611" spans="1:6" x14ac:dyDescent="0.35">
      <c r="A2611" s="2">
        <f ca="1">IFERROR(__xludf.DUMMYFUNCTION("""COMPUTED_VALUE"""),45797.6666666666)</f>
        <v>45797.666666666599</v>
      </c>
      <c r="B2611" s="1">
        <f ca="1">IFERROR(__xludf.DUMMYFUNCTION("""COMPUTED_VALUE"""),455.59)</f>
        <v>455.59</v>
      </c>
      <c r="C2611" s="1">
        <f ca="1">IFERROR(__xludf.DUMMYFUNCTION("""COMPUTED_VALUE"""),458.34)</f>
        <v>458.34</v>
      </c>
      <c r="D2611" s="1">
        <f ca="1">IFERROR(__xludf.DUMMYFUNCTION("""COMPUTED_VALUE"""),454.32)</f>
        <v>454.32</v>
      </c>
      <c r="E2611" s="1">
        <f ca="1">IFERROR(__xludf.DUMMYFUNCTION("""COMPUTED_VALUE"""),458.17)</f>
        <v>458.17</v>
      </c>
      <c r="F2611" s="1">
        <f ca="1">IFERROR(__xludf.DUMMYFUNCTION("""COMPUTED_VALUE"""),15441808)</f>
        <v>15441808</v>
      </c>
    </row>
    <row r="2612" spans="1:6" x14ac:dyDescent="0.35">
      <c r="A2612" s="2">
        <f ca="1">IFERROR(__xludf.DUMMYFUNCTION("""COMPUTED_VALUE"""),45798.6666666666)</f>
        <v>45798.666666666599</v>
      </c>
      <c r="B2612" s="1">
        <f ca="1">IFERROR(__xludf.DUMMYFUNCTION("""COMPUTED_VALUE"""),454.57)</f>
        <v>454.57</v>
      </c>
      <c r="C2612" s="1">
        <f ca="1">IFERROR(__xludf.DUMMYFUNCTION("""COMPUTED_VALUE"""),457.78)</f>
        <v>457.78</v>
      </c>
      <c r="D2612" s="1">
        <f ca="1">IFERROR(__xludf.DUMMYFUNCTION("""COMPUTED_VALUE"""),451.81)</f>
        <v>451.81</v>
      </c>
      <c r="E2612" s="1">
        <f ca="1">IFERROR(__xludf.DUMMYFUNCTION("""COMPUTED_VALUE"""),452.57)</f>
        <v>452.57</v>
      </c>
      <c r="F2612" s="1">
        <f ca="1">IFERROR(__xludf.DUMMYFUNCTION("""COMPUTED_VALUE"""),19216906)</f>
        <v>19216906</v>
      </c>
    </row>
    <row r="2613" spans="1:6" x14ac:dyDescent="0.35">
      <c r="A2613" s="2">
        <f ca="1">IFERROR(__xludf.DUMMYFUNCTION("""COMPUTED_VALUE"""),45799.6666666666)</f>
        <v>45799.666666666599</v>
      </c>
      <c r="B2613" s="1">
        <f ca="1">IFERROR(__xludf.DUMMYFUNCTION("""COMPUTED_VALUE"""),454.95)</f>
        <v>454.95</v>
      </c>
      <c r="C2613" s="1">
        <f ca="1">IFERROR(__xludf.DUMMYFUNCTION("""COMPUTED_VALUE"""),460.25)</f>
        <v>460.25</v>
      </c>
      <c r="D2613" s="1">
        <f ca="1">IFERROR(__xludf.DUMMYFUNCTION("""COMPUTED_VALUE"""),453.9)</f>
        <v>453.9</v>
      </c>
      <c r="E2613" s="1">
        <f ca="1">IFERROR(__xludf.DUMMYFUNCTION("""COMPUTED_VALUE"""),454.86)</f>
        <v>454.86</v>
      </c>
      <c r="F2613" s="1">
        <f ca="1">IFERROR(__xludf.DUMMYFUNCTION("""COMPUTED_VALUE"""),18025612)</f>
        <v>18025612</v>
      </c>
    </row>
    <row r="2614" spans="1:6" x14ac:dyDescent="0.35">
      <c r="A2614" s="2">
        <f ca="1">IFERROR(__xludf.DUMMYFUNCTION("""COMPUTED_VALUE"""),45800.6666666666)</f>
        <v>45800.666666666599</v>
      </c>
      <c r="B2614" s="1">
        <f ca="1">IFERROR(__xludf.DUMMYFUNCTION("""COMPUTED_VALUE"""),449.98)</f>
        <v>449.98</v>
      </c>
      <c r="C2614" s="1">
        <f ca="1">IFERROR(__xludf.DUMMYFUNCTION("""COMPUTED_VALUE"""),453.69)</f>
        <v>453.69</v>
      </c>
      <c r="D2614" s="1">
        <f ca="1">IFERROR(__xludf.DUMMYFUNCTION("""COMPUTED_VALUE"""),448.91)</f>
        <v>448.91</v>
      </c>
      <c r="E2614" s="1">
        <f ca="1">IFERROR(__xludf.DUMMYFUNCTION("""COMPUTED_VALUE"""),450.18)</f>
        <v>450.18</v>
      </c>
      <c r="F2614" s="1">
        <f ca="1">IFERROR(__xludf.DUMMYFUNCTION("""COMPUTED_VALUE"""),16883509)</f>
        <v>16883509</v>
      </c>
    </row>
    <row r="2615" spans="1:6" x14ac:dyDescent="0.35">
      <c r="A2615" s="2">
        <f ca="1">IFERROR(__xludf.DUMMYFUNCTION("""COMPUTED_VALUE"""),45804.6666666666)</f>
        <v>45804.666666666599</v>
      </c>
      <c r="B2615" s="1">
        <f ca="1">IFERROR(__xludf.DUMMYFUNCTION("""COMPUTED_VALUE"""),456.48)</f>
        <v>456.48</v>
      </c>
      <c r="C2615" s="1">
        <f ca="1">IFERROR(__xludf.DUMMYFUNCTION("""COMPUTED_VALUE"""),460.95)</f>
        <v>460.95</v>
      </c>
      <c r="D2615" s="1">
        <f ca="1">IFERROR(__xludf.DUMMYFUNCTION("""COMPUTED_VALUE"""),456.12)</f>
        <v>456.12</v>
      </c>
      <c r="E2615" s="1">
        <f ca="1">IFERROR(__xludf.DUMMYFUNCTION("""COMPUTED_VALUE"""),460.69)</f>
        <v>460.69</v>
      </c>
      <c r="F2615" s="1">
        <f ca="1">IFERROR(__xludf.DUMMYFUNCTION("""COMPUTED_VALUE"""),20974293)</f>
        <v>20974293</v>
      </c>
    </row>
    <row r="2616" spans="1:6" x14ac:dyDescent="0.35">
      <c r="A2616" s="2">
        <f ca="1">IFERROR(__xludf.DUMMYFUNCTION("""COMPUTED_VALUE"""),45805.6666666666)</f>
        <v>45805.666666666599</v>
      </c>
      <c r="B2616" s="1">
        <f ca="1">IFERROR(__xludf.DUMMYFUNCTION("""COMPUTED_VALUE"""),461.22)</f>
        <v>461.22</v>
      </c>
      <c r="C2616" s="1">
        <f ca="1">IFERROR(__xludf.DUMMYFUNCTION("""COMPUTED_VALUE"""),462.52)</f>
        <v>462.52</v>
      </c>
      <c r="D2616" s="1">
        <f ca="1">IFERROR(__xludf.DUMMYFUNCTION("""COMPUTED_VALUE"""),456.93)</f>
        <v>456.93</v>
      </c>
      <c r="E2616" s="1">
        <f ca="1">IFERROR(__xludf.DUMMYFUNCTION("""COMPUTED_VALUE"""),457.36)</f>
        <v>457.36</v>
      </c>
      <c r="F2616" s="1">
        <f ca="1">IFERROR(__xludf.DUMMYFUNCTION("""COMPUTED_VALUE"""),17086261)</f>
        <v>17086261</v>
      </c>
    </row>
    <row r="2617" spans="1:6" x14ac:dyDescent="0.35">
      <c r="A2617" s="2">
        <f ca="1">IFERROR(__xludf.DUMMYFUNCTION("""COMPUTED_VALUE"""),45806.6666666666)</f>
        <v>45806.666666666599</v>
      </c>
      <c r="B2617" s="1">
        <f ca="1">IFERROR(__xludf.DUMMYFUNCTION("""COMPUTED_VALUE"""),461.55)</f>
        <v>461.55</v>
      </c>
      <c r="C2617" s="1">
        <f ca="1">IFERROR(__xludf.DUMMYFUNCTION("""COMPUTED_VALUE"""),461.72)</f>
        <v>461.72</v>
      </c>
      <c r="D2617" s="1">
        <f ca="1">IFERROR(__xludf.DUMMYFUNCTION("""COMPUTED_VALUE"""),455.31)</f>
        <v>455.31</v>
      </c>
      <c r="E2617" s="1">
        <f ca="1">IFERROR(__xludf.DUMMYFUNCTION("""COMPUTED_VALUE"""),458.68)</f>
        <v>458.68</v>
      </c>
      <c r="F2617" s="1">
        <f ca="1">IFERROR(__xludf.DUMMYFUNCTION("""COMPUTED_VALUE"""),13982211)</f>
        <v>13982211</v>
      </c>
    </row>
    <row r="2618" spans="1:6" x14ac:dyDescent="0.35">
      <c r="A2618" s="2">
        <f ca="1">IFERROR(__xludf.DUMMYFUNCTION("""COMPUTED_VALUE"""),45807.6666666666)</f>
        <v>45807.666666666599</v>
      </c>
      <c r="B2618" s="1">
        <f ca="1">IFERROR(__xludf.DUMMYFUNCTION("""COMPUTED_VALUE"""),459.72)</f>
        <v>459.72</v>
      </c>
      <c r="C2618" s="1">
        <f ca="1">IFERROR(__xludf.DUMMYFUNCTION("""COMPUTED_VALUE"""),461.68)</f>
        <v>461.68</v>
      </c>
      <c r="D2618" s="1">
        <f ca="1">IFERROR(__xludf.DUMMYFUNCTION("""COMPUTED_VALUE"""),455.54)</f>
        <v>455.54</v>
      </c>
      <c r="E2618" s="1">
        <f ca="1">IFERROR(__xludf.DUMMYFUNCTION("""COMPUTED_VALUE"""),460.36)</f>
        <v>460.36</v>
      </c>
      <c r="F2618" s="1">
        <f ca="1">IFERROR(__xludf.DUMMYFUNCTION("""COMPUTED_VALUE"""),34770475)</f>
        <v>34770475</v>
      </c>
    </row>
    <row r="2619" spans="1:6" x14ac:dyDescent="0.35">
      <c r="A2619" s="2">
        <f ca="1">IFERROR(__xludf.DUMMYFUNCTION("""COMPUTED_VALUE"""),45810.6666666666)</f>
        <v>45810.666666666599</v>
      </c>
      <c r="B2619" s="1">
        <f ca="1">IFERROR(__xludf.DUMMYFUNCTION("""COMPUTED_VALUE"""),457.14)</f>
        <v>457.14</v>
      </c>
      <c r="C2619" s="1">
        <f ca="1">IFERROR(__xludf.DUMMYFUNCTION("""COMPUTED_VALUE"""),462.11)</f>
        <v>462.11</v>
      </c>
      <c r="D2619" s="1">
        <f ca="1">IFERROR(__xludf.DUMMYFUNCTION("""COMPUTED_VALUE"""),456.89)</f>
        <v>456.89</v>
      </c>
      <c r="E2619" s="1">
        <f ca="1">IFERROR(__xludf.DUMMYFUNCTION("""COMPUTED_VALUE"""),461.97)</f>
        <v>461.97</v>
      </c>
      <c r="F2619" s="1">
        <f ca="1">IFERROR(__xludf.DUMMYFUNCTION("""COMPUTED_VALUE"""),16626495)</f>
        <v>16626495</v>
      </c>
    </row>
    <row r="2620" spans="1:6" x14ac:dyDescent="0.35">
      <c r="A2620" s="2">
        <f ca="1">IFERROR(__xludf.DUMMYFUNCTION("""COMPUTED_VALUE"""),45811.6666666666)</f>
        <v>45811.666666666599</v>
      </c>
      <c r="B2620" s="1">
        <f ca="1">IFERROR(__xludf.DUMMYFUNCTION("""COMPUTED_VALUE"""),461.47)</f>
        <v>461.47</v>
      </c>
      <c r="C2620" s="1">
        <f ca="1">IFERROR(__xludf.DUMMYFUNCTION("""COMPUTED_VALUE"""),464.14)</f>
        <v>464.14</v>
      </c>
      <c r="D2620" s="1">
        <f ca="1">IFERROR(__xludf.DUMMYFUNCTION("""COMPUTED_VALUE"""),460.86)</f>
        <v>460.86</v>
      </c>
      <c r="E2620" s="1">
        <f ca="1">IFERROR(__xludf.DUMMYFUNCTION("""COMPUTED_VALUE"""),462.97)</f>
        <v>462.97</v>
      </c>
      <c r="F2620" s="1">
        <f ca="1">IFERROR(__xludf.DUMMYFUNCTION("""COMPUTED_VALUE"""),15743760)</f>
        <v>15743760</v>
      </c>
    </row>
    <row r="2621" spans="1:6" x14ac:dyDescent="0.35">
      <c r="A2621" s="2">
        <f ca="1">IFERROR(__xludf.DUMMYFUNCTION("""COMPUTED_VALUE"""),45812.6666666666)</f>
        <v>45812.666666666599</v>
      </c>
      <c r="B2621" s="1">
        <f ca="1">IFERROR(__xludf.DUMMYFUNCTION("""COMPUTED_VALUE"""),464)</f>
        <v>464</v>
      </c>
      <c r="C2621" s="1">
        <f ca="1">IFERROR(__xludf.DUMMYFUNCTION("""COMPUTED_VALUE"""),465.69)</f>
        <v>465.69</v>
      </c>
      <c r="D2621" s="1">
        <f ca="1">IFERROR(__xludf.DUMMYFUNCTION("""COMPUTED_VALUE"""),463.02)</f>
        <v>463.02</v>
      </c>
      <c r="E2621" s="1">
        <f ca="1">IFERROR(__xludf.DUMMYFUNCTION("""COMPUTED_VALUE"""),463.87)</f>
        <v>463.87</v>
      </c>
      <c r="F2621" s="1">
        <f ca="1">IFERROR(__xludf.DUMMYFUNCTION("""COMPUTED_VALUE"""),14162688)</f>
        <v>14162688</v>
      </c>
    </row>
    <row r="2622" spans="1:6" x14ac:dyDescent="0.35">
      <c r="A2622" s="2">
        <f ca="1">IFERROR(__xludf.DUMMYFUNCTION("""COMPUTED_VALUE"""),45813.6666666666)</f>
        <v>45813.666666666599</v>
      </c>
      <c r="B2622" s="1">
        <f ca="1">IFERROR(__xludf.DUMMYFUNCTION("""COMPUTED_VALUE"""),464.96)</f>
        <v>464.96</v>
      </c>
      <c r="C2622" s="1">
        <f ca="1">IFERROR(__xludf.DUMMYFUNCTION("""COMPUTED_VALUE"""),469.65)</f>
        <v>469.65</v>
      </c>
      <c r="D2622" s="1">
        <f ca="1">IFERROR(__xludf.DUMMYFUNCTION("""COMPUTED_VALUE"""),464.03)</f>
        <v>464.03</v>
      </c>
      <c r="E2622" s="1">
        <f ca="1">IFERROR(__xludf.DUMMYFUNCTION("""COMPUTED_VALUE"""),467.68)</f>
        <v>467.68</v>
      </c>
      <c r="F2622" s="1">
        <f ca="1">IFERROR(__xludf.DUMMYFUNCTION("""COMPUTED_VALUE"""),20154460)</f>
        <v>20154460</v>
      </c>
    </row>
    <row r="2623" spans="1:6" x14ac:dyDescent="0.35">
      <c r="A2623" s="2">
        <f ca="1">IFERROR(__xludf.DUMMYFUNCTION("""COMPUTED_VALUE"""),45814.6666666666)</f>
        <v>45814.666666666599</v>
      </c>
      <c r="B2623" s="1">
        <f ca="1">IFERROR(__xludf.DUMMYFUNCTION("""COMPUTED_VALUE"""),470.09)</f>
        <v>470.09</v>
      </c>
      <c r="C2623" s="1">
        <f ca="1">IFERROR(__xludf.DUMMYFUNCTION("""COMPUTED_VALUE"""),473.34)</f>
        <v>473.34</v>
      </c>
      <c r="D2623" s="1">
        <f ca="1">IFERROR(__xludf.DUMMYFUNCTION("""COMPUTED_VALUE"""),468.78)</f>
        <v>468.78</v>
      </c>
      <c r="E2623" s="1">
        <f ca="1">IFERROR(__xludf.DUMMYFUNCTION("""COMPUTED_VALUE"""),470.38)</f>
        <v>470.38</v>
      </c>
      <c r="F2623" s="1">
        <f ca="1">IFERROR(__xludf.DUMMYFUNCTION("""COMPUTED_VALUE"""),15285624)</f>
        <v>15285624</v>
      </c>
    </row>
    <row r="2624" spans="1:6" x14ac:dyDescent="0.35">
      <c r="A2624" s="2">
        <f ca="1">IFERROR(__xludf.DUMMYFUNCTION("""COMPUTED_VALUE"""),45817.6666666666)</f>
        <v>45817.666666666599</v>
      </c>
      <c r="B2624" s="1">
        <f ca="1">IFERROR(__xludf.DUMMYFUNCTION("""COMPUTED_VALUE"""),469.7)</f>
        <v>469.7</v>
      </c>
      <c r="C2624" s="1">
        <f ca="1">IFERROR(__xludf.DUMMYFUNCTION("""COMPUTED_VALUE"""),473.43)</f>
        <v>473.43</v>
      </c>
      <c r="D2624" s="1">
        <f ca="1">IFERROR(__xludf.DUMMYFUNCTION("""COMPUTED_VALUE"""),468.62)</f>
        <v>468.62</v>
      </c>
      <c r="E2624" s="1">
        <f ca="1">IFERROR(__xludf.DUMMYFUNCTION("""COMPUTED_VALUE"""),472.75)</f>
        <v>472.75</v>
      </c>
      <c r="F2624" s="1">
        <f ca="1">IFERROR(__xludf.DUMMYFUNCTION("""COMPUTED_VALUE"""),16469932)</f>
        <v>16469932</v>
      </c>
    </row>
    <row r="2625" spans="1:6" x14ac:dyDescent="0.35">
      <c r="A2625" s="2">
        <f ca="1">IFERROR(__xludf.DUMMYFUNCTION("""COMPUTED_VALUE"""),45818.6666666666)</f>
        <v>45818.666666666599</v>
      </c>
      <c r="B2625" s="1">
        <f ca="1">IFERROR(__xludf.DUMMYFUNCTION("""COMPUTED_VALUE"""),471.19)</f>
        <v>471.19</v>
      </c>
      <c r="C2625" s="1">
        <f ca="1">IFERROR(__xludf.DUMMYFUNCTION("""COMPUTED_VALUE"""),472.8)</f>
        <v>472.8</v>
      </c>
      <c r="D2625" s="1">
        <f ca="1">IFERROR(__xludf.DUMMYFUNCTION("""COMPUTED_VALUE"""),466.96)</f>
        <v>466.96</v>
      </c>
      <c r="E2625" s="1">
        <f ca="1">IFERROR(__xludf.DUMMYFUNCTION("""COMPUTED_VALUE"""),470.92)</f>
        <v>470.92</v>
      </c>
      <c r="F2625" s="1">
        <f ca="1">IFERROR(__xludf.DUMMYFUNCTION("""COMPUTED_VALUE"""),15375944)</f>
        <v>15375944</v>
      </c>
    </row>
    <row r="2626" spans="1:6" x14ac:dyDescent="0.35">
      <c r="A2626" s="2">
        <f ca="1">IFERROR(__xludf.DUMMYFUNCTION("""COMPUTED_VALUE"""),45819.6666666666)</f>
        <v>45819.666666666599</v>
      </c>
      <c r="B2626" s="1">
        <f ca="1">IFERROR(__xludf.DUMMYFUNCTION("""COMPUTED_VALUE"""),470.02)</f>
        <v>470.02</v>
      </c>
      <c r="C2626" s="1">
        <f ca="1">IFERROR(__xludf.DUMMYFUNCTION("""COMPUTED_VALUE"""),475.47)</f>
        <v>475.47</v>
      </c>
      <c r="D2626" s="1">
        <f ca="1">IFERROR(__xludf.DUMMYFUNCTION("""COMPUTED_VALUE"""),469.66)</f>
        <v>469.66</v>
      </c>
      <c r="E2626" s="1">
        <f ca="1">IFERROR(__xludf.DUMMYFUNCTION("""COMPUTED_VALUE"""),472.62)</f>
        <v>472.62</v>
      </c>
      <c r="F2626" s="1">
        <f ca="1">IFERROR(__xludf.DUMMYFUNCTION("""COMPUTED_VALUE"""),16399176)</f>
        <v>16399176</v>
      </c>
    </row>
    <row r="2627" spans="1:6" x14ac:dyDescent="0.35">
      <c r="A2627" s="2">
        <f ca="1">IFERROR(__xludf.DUMMYFUNCTION("""COMPUTED_VALUE"""),45820.6666666666)</f>
        <v>45820.666666666599</v>
      </c>
      <c r="B2627" s="1">
        <f ca="1">IFERROR(__xludf.DUMMYFUNCTION("""COMPUTED_VALUE"""),475.02)</f>
        <v>475.02</v>
      </c>
      <c r="C2627" s="1">
        <f ca="1">IFERROR(__xludf.DUMMYFUNCTION("""COMPUTED_VALUE"""),480.42)</f>
        <v>480.42</v>
      </c>
      <c r="D2627" s="1">
        <f ca="1">IFERROR(__xludf.DUMMYFUNCTION("""COMPUTED_VALUE"""),473.52)</f>
        <v>473.52</v>
      </c>
      <c r="E2627" s="1">
        <f ca="1">IFERROR(__xludf.DUMMYFUNCTION("""COMPUTED_VALUE"""),478.87)</f>
        <v>478.87</v>
      </c>
      <c r="F2627" s="1">
        <f ca="1">IFERROR(__xludf.DUMMYFUNCTION("""COMPUTED_VALUE"""),18950582)</f>
        <v>18950582</v>
      </c>
    </row>
    <row r="2628" spans="1:6" x14ac:dyDescent="0.35">
      <c r="A2628" s="2">
        <f ca="1">IFERROR(__xludf.DUMMYFUNCTION("""COMPUTED_VALUE"""),45821.6666666666)</f>
        <v>45821.666666666599</v>
      </c>
      <c r="B2628" s="1">
        <f ca="1">IFERROR(__xludf.DUMMYFUNCTION("""COMPUTED_VALUE"""),476.41)</f>
        <v>476.41</v>
      </c>
      <c r="C2628" s="1">
        <f ca="1">IFERROR(__xludf.DUMMYFUNCTION("""COMPUTED_VALUE"""),479.18)</f>
        <v>479.18</v>
      </c>
      <c r="D2628" s="1">
        <f ca="1">IFERROR(__xludf.DUMMYFUNCTION("""COMPUTED_VALUE"""),472.76)</f>
        <v>472.76</v>
      </c>
      <c r="E2628" s="1">
        <f ca="1">IFERROR(__xludf.DUMMYFUNCTION("""COMPUTED_VALUE"""),474.96)</f>
        <v>474.96</v>
      </c>
      <c r="F2628" s="1">
        <f ca="1">IFERROR(__xludf.DUMMYFUNCTION("""COMPUTED_VALUE"""),16814456)</f>
        <v>16814456</v>
      </c>
    </row>
    <row r="2629" spans="1:6" x14ac:dyDescent="0.35">
      <c r="A2629" s="2">
        <f ca="1">IFERROR(__xludf.DUMMYFUNCTION("""COMPUTED_VALUE"""),45824.6666666666)</f>
        <v>45824.666666666599</v>
      </c>
      <c r="B2629" s="1">
        <f ca="1">IFERROR(__xludf.DUMMYFUNCTION("""COMPUTED_VALUE"""),475.21)</f>
        <v>475.21</v>
      </c>
      <c r="C2629" s="1">
        <f ca="1">IFERROR(__xludf.DUMMYFUNCTION("""COMPUTED_VALUE"""),480.69)</f>
        <v>480.69</v>
      </c>
      <c r="D2629" s="1">
        <f ca="1">IFERROR(__xludf.DUMMYFUNCTION("""COMPUTED_VALUE"""),475)</f>
        <v>475</v>
      </c>
      <c r="E2629" s="1">
        <f ca="1">IFERROR(__xludf.DUMMYFUNCTION("""COMPUTED_VALUE"""),479.14)</f>
        <v>479.14</v>
      </c>
      <c r="F2629" s="1">
        <f ca="1">IFERROR(__xludf.DUMMYFUNCTION("""COMPUTED_VALUE"""),15626104)</f>
        <v>15626104</v>
      </c>
    </row>
    <row r="2630" spans="1:6" x14ac:dyDescent="0.35">
      <c r="A2630" s="2">
        <f ca="1">IFERROR(__xludf.DUMMYFUNCTION("""COMPUTED_VALUE"""),45825.6666666666)</f>
        <v>45825.666666666599</v>
      </c>
      <c r="B2630" s="1">
        <f ca="1">IFERROR(__xludf.DUMMYFUNCTION("""COMPUTED_VALUE"""),475.4)</f>
        <v>475.4</v>
      </c>
      <c r="C2630" s="1">
        <f ca="1">IFERROR(__xludf.DUMMYFUNCTION("""COMPUTED_VALUE"""),478.74)</f>
        <v>478.74</v>
      </c>
      <c r="D2630" s="1">
        <f ca="1">IFERROR(__xludf.DUMMYFUNCTION("""COMPUTED_VALUE"""),474.08)</f>
        <v>474.08</v>
      </c>
      <c r="E2630" s="1">
        <f ca="1">IFERROR(__xludf.DUMMYFUNCTION("""COMPUTED_VALUE"""),478.04)</f>
        <v>478.04</v>
      </c>
      <c r="F2630" s="1">
        <f ca="1">IFERROR(__xludf.DUMMYFUNCTION("""COMPUTED_VALUE"""),15414128)</f>
        <v>15414128</v>
      </c>
    </row>
    <row r="2631" spans="1:6" x14ac:dyDescent="0.35">
      <c r="A2631" s="2">
        <f ca="1">IFERROR(__xludf.DUMMYFUNCTION("""COMPUTED_VALUE"""),45826.6666666666)</f>
        <v>45826.666666666599</v>
      </c>
      <c r="B2631" s="1">
        <f ca="1">IFERROR(__xludf.DUMMYFUNCTION("""COMPUTED_VALUE"""),478)</f>
        <v>478</v>
      </c>
      <c r="C2631" s="1">
        <f ca="1">IFERROR(__xludf.DUMMYFUNCTION("""COMPUTED_VALUE"""),481)</f>
        <v>481</v>
      </c>
      <c r="D2631" s="1">
        <f ca="1">IFERROR(__xludf.DUMMYFUNCTION("""COMPUTED_VALUE"""),474.46)</f>
        <v>474.46</v>
      </c>
      <c r="E2631" s="1">
        <f ca="1">IFERROR(__xludf.DUMMYFUNCTION("""COMPUTED_VALUE"""),480.24)</f>
        <v>480.24</v>
      </c>
      <c r="F2631" s="1">
        <f ca="1">IFERROR(__xludf.DUMMYFUNCTION("""COMPUTED_VALUE"""),17526452)</f>
        <v>17526452</v>
      </c>
    </row>
    <row r="2632" spans="1:6" x14ac:dyDescent="0.35">
      <c r="A2632" s="2">
        <f ca="1">IFERROR(__xludf.DUMMYFUNCTION("""COMPUTED_VALUE"""),45828.6666666666)</f>
        <v>45828.666666666599</v>
      </c>
      <c r="B2632" s="1">
        <f ca="1">IFERROR(__xludf.DUMMYFUNCTION("""COMPUTED_VALUE"""),482.23)</f>
        <v>482.23</v>
      </c>
      <c r="C2632" s="1">
        <f ca="1">IFERROR(__xludf.DUMMYFUNCTION("""COMPUTED_VALUE"""),483.46)</f>
        <v>483.46</v>
      </c>
      <c r="D2632" s="1">
        <f ca="1">IFERROR(__xludf.DUMMYFUNCTION("""COMPUTED_VALUE"""),476.87)</f>
        <v>476.87</v>
      </c>
      <c r="E2632" s="1">
        <f ca="1">IFERROR(__xludf.DUMMYFUNCTION("""COMPUTED_VALUE"""),477.4)</f>
        <v>477.4</v>
      </c>
      <c r="F2632" s="1">
        <f ca="1">IFERROR(__xludf.DUMMYFUNCTION("""COMPUTED_VALUE"""),37576206)</f>
        <v>37576206</v>
      </c>
    </row>
    <row r="2633" spans="1:6" x14ac:dyDescent="0.35">
      <c r="A2633" s="2">
        <f ca="1">IFERROR(__xludf.DUMMYFUNCTION("""COMPUTED_VALUE"""),45831.6666666666)</f>
        <v>45831.666666666599</v>
      </c>
      <c r="B2633" s="1">
        <f ca="1">IFERROR(__xludf.DUMMYFUNCTION("""COMPUTED_VALUE"""),478.21)</f>
        <v>478.21</v>
      </c>
      <c r="C2633" s="1">
        <f ca="1">IFERROR(__xludf.DUMMYFUNCTION("""COMPUTED_VALUE"""),487.75)</f>
        <v>487.75</v>
      </c>
      <c r="D2633" s="1">
        <f ca="1">IFERROR(__xludf.DUMMYFUNCTION("""COMPUTED_VALUE"""),472.51)</f>
        <v>472.51</v>
      </c>
      <c r="E2633" s="1">
        <f ca="1">IFERROR(__xludf.DUMMYFUNCTION("""COMPUTED_VALUE"""),486)</f>
        <v>486</v>
      </c>
      <c r="F2633" s="1">
        <f ca="1">IFERROR(__xludf.DUMMYFUNCTION("""COMPUTED_VALUE"""),24863952)</f>
        <v>24863952</v>
      </c>
    </row>
    <row r="2634" spans="1:6" x14ac:dyDescent="0.35">
      <c r="A2634" s="2">
        <f ca="1">IFERROR(__xludf.DUMMYFUNCTION("""COMPUTED_VALUE"""),45832.6666666666)</f>
        <v>45832.666666666599</v>
      </c>
      <c r="B2634" s="1">
        <f ca="1">IFERROR(__xludf.DUMMYFUNCTION("""COMPUTED_VALUE"""),488.95)</f>
        <v>488.95</v>
      </c>
      <c r="C2634" s="1">
        <f ca="1">IFERROR(__xludf.DUMMYFUNCTION("""COMPUTED_VALUE"""),491.85)</f>
        <v>491.85</v>
      </c>
      <c r="D2634" s="1">
        <f ca="1">IFERROR(__xludf.DUMMYFUNCTION("""COMPUTED_VALUE"""),486.8)</f>
        <v>486.8</v>
      </c>
      <c r="E2634" s="1">
        <f ca="1">IFERROR(__xludf.DUMMYFUNCTION("""COMPUTED_VALUE"""),490.11)</f>
        <v>490.11</v>
      </c>
      <c r="F2634" s="1">
        <f ca="1">IFERROR(__xludf.DUMMYFUNCTION("""COMPUTED_VALUE"""),22305642)</f>
        <v>22305642</v>
      </c>
    </row>
    <row r="2635" spans="1:6" x14ac:dyDescent="0.35">
      <c r="A2635" s="2">
        <f ca="1">IFERROR(__xludf.DUMMYFUNCTION("""COMPUTED_VALUE"""),45833.6666666666)</f>
        <v>45833.666666666599</v>
      </c>
      <c r="B2635" s="1">
        <f ca="1">IFERROR(__xludf.DUMMYFUNCTION("""COMPUTED_VALUE"""),492.04)</f>
        <v>492.04</v>
      </c>
      <c r="C2635" s="1">
        <f ca="1">IFERROR(__xludf.DUMMYFUNCTION("""COMPUTED_VALUE"""),494.56)</f>
        <v>494.56</v>
      </c>
      <c r="D2635" s="1">
        <f ca="1">IFERROR(__xludf.DUMMYFUNCTION("""COMPUTED_VALUE"""),489.39)</f>
        <v>489.39</v>
      </c>
      <c r="E2635" s="1">
        <f ca="1">IFERROR(__xludf.DUMMYFUNCTION("""COMPUTED_VALUE"""),492.27)</f>
        <v>492.27</v>
      </c>
      <c r="F2635" s="1">
        <f ca="1">IFERROR(__xludf.DUMMYFUNCTION("""COMPUTED_VALUE"""),17495099)</f>
        <v>17495099</v>
      </c>
    </row>
    <row r="2636" spans="1:6" x14ac:dyDescent="0.35">
      <c r="A2636" s="2">
        <f ca="1">IFERROR(__xludf.DUMMYFUNCTION("""COMPUTED_VALUE"""),45834.6666666666)</f>
        <v>45834.666666666599</v>
      </c>
      <c r="B2636" s="1">
        <f ca="1">IFERROR(__xludf.DUMMYFUNCTION("""COMPUTED_VALUE"""),492.98)</f>
        <v>492.98</v>
      </c>
      <c r="C2636" s="1">
        <f ca="1">IFERROR(__xludf.DUMMYFUNCTION("""COMPUTED_VALUE"""),498.04)</f>
        <v>498.04</v>
      </c>
      <c r="D2636" s="1">
        <f ca="1">IFERROR(__xludf.DUMMYFUNCTION("""COMPUTED_VALUE"""),492.81)</f>
        <v>492.81</v>
      </c>
      <c r="E2636" s="1">
        <f ca="1">IFERROR(__xludf.DUMMYFUNCTION("""COMPUTED_VALUE"""),497.45)</f>
        <v>497.45</v>
      </c>
      <c r="F2636" s="1">
        <f ca="1">IFERROR(__xludf.DUMMYFUNCTION("""COMPUTED_VALUE"""),21578853)</f>
        <v>21578853</v>
      </c>
    </row>
    <row r="2637" spans="1:6" x14ac:dyDescent="0.35">
      <c r="A2637" s="2">
        <f ca="1">IFERROR(__xludf.DUMMYFUNCTION("""COMPUTED_VALUE"""),45835.6666666666)</f>
        <v>45835.666666666599</v>
      </c>
      <c r="B2637" s="1">
        <f ca="1">IFERROR(__xludf.DUMMYFUNCTION("""COMPUTED_VALUE"""),497.55)</f>
        <v>497.55</v>
      </c>
      <c r="C2637" s="1">
        <f ca="1">IFERROR(__xludf.DUMMYFUNCTION("""COMPUTED_VALUE"""),499.3)</f>
        <v>499.3</v>
      </c>
      <c r="D2637" s="1">
        <f ca="1">IFERROR(__xludf.DUMMYFUNCTION("""COMPUTED_VALUE"""),493.03)</f>
        <v>493.03</v>
      </c>
      <c r="E2637" s="1">
        <f ca="1">IFERROR(__xludf.DUMMYFUNCTION("""COMPUTED_VALUE"""),495.94)</f>
        <v>495.94</v>
      </c>
      <c r="F2637" s="1">
        <f ca="1">IFERROR(__xludf.DUMMYFUNCTION("""COMPUTED_VALUE"""),34539236)</f>
        <v>34539236</v>
      </c>
    </row>
    <row r="2638" spans="1:6" x14ac:dyDescent="0.35">
      <c r="A2638" s="2">
        <f ca="1">IFERROR(__xludf.DUMMYFUNCTION("""COMPUTED_VALUE"""),45838.6666666666)</f>
        <v>45838.666666666599</v>
      </c>
      <c r="B2638" s="1">
        <f ca="1">IFERROR(__xludf.DUMMYFUNCTION("""COMPUTED_VALUE"""),497.04)</f>
        <v>497.04</v>
      </c>
      <c r="C2638" s="1">
        <f ca="1">IFERROR(__xludf.DUMMYFUNCTION("""COMPUTED_VALUE"""),500.76)</f>
        <v>500.76</v>
      </c>
      <c r="D2638" s="1">
        <f ca="1">IFERROR(__xludf.DUMMYFUNCTION("""COMPUTED_VALUE"""),495.33)</f>
        <v>495.33</v>
      </c>
      <c r="E2638" s="1">
        <f ca="1">IFERROR(__xludf.DUMMYFUNCTION("""COMPUTED_VALUE"""),497.41)</f>
        <v>497.41</v>
      </c>
      <c r="F2638" s="1">
        <f ca="1">IFERROR(__xludf.DUMMYFUNCTION("""COMPUTED_VALUE"""),28368991)</f>
        <v>28368991</v>
      </c>
    </row>
    <row r="2639" spans="1:6" x14ac:dyDescent="0.35">
      <c r="A2639" s="2">
        <f ca="1">IFERROR(__xludf.DUMMYFUNCTION("""COMPUTED_VALUE"""),45839.6666666666)</f>
        <v>45839.666666666599</v>
      </c>
      <c r="B2639" s="1">
        <f ca="1">IFERROR(__xludf.DUMMYFUNCTION("""COMPUTED_VALUE"""),496.47)</f>
        <v>496.47</v>
      </c>
      <c r="C2639" s="1">
        <f ca="1">IFERROR(__xludf.DUMMYFUNCTION("""COMPUTED_VALUE"""),498.05)</f>
        <v>498.05</v>
      </c>
      <c r="D2639" s="1">
        <f ca="1">IFERROR(__xludf.DUMMYFUNCTION("""COMPUTED_VALUE"""),490.98)</f>
        <v>490.98</v>
      </c>
      <c r="E2639" s="1">
        <f ca="1">IFERROR(__xludf.DUMMYFUNCTION("""COMPUTED_VALUE"""),492.05)</f>
        <v>492.05</v>
      </c>
      <c r="F2639" s="1">
        <f ca="1">IFERROR(__xludf.DUMMYFUNCTION("""COMPUTED_VALUE"""),19945375)</f>
        <v>19945375</v>
      </c>
    </row>
    <row r="2640" spans="1:6" x14ac:dyDescent="0.35">
      <c r="A2640" s="2">
        <f ca="1">IFERROR(__xludf.DUMMYFUNCTION("""COMPUTED_VALUE"""),45840.6666666666)</f>
        <v>45840.666666666599</v>
      </c>
      <c r="B2640" s="1">
        <f ca="1">IFERROR(__xludf.DUMMYFUNCTION("""COMPUTED_VALUE"""),489.99)</f>
        <v>489.99</v>
      </c>
      <c r="C2640" s="1">
        <f ca="1">IFERROR(__xludf.DUMMYFUNCTION("""COMPUTED_VALUE"""),493.5)</f>
        <v>493.5</v>
      </c>
      <c r="D2640" s="1">
        <f ca="1">IFERROR(__xludf.DUMMYFUNCTION("""COMPUTED_VALUE"""),488.7)</f>
        <v>488.7</v>
      </c>
      <c r="E2640" s="1">
        <f ca="1">IFERROR(__xludf.DUMMYFUNCTION("""COMPUTED_VALUE"""),491.09)</f>
        <v>491.09</v>
      </c>
      <c r="F2640" s="1">
        <f ca="1">IFERROR(__xludf.DUMMYFUNCTION("""COMPUTED_VALUE"""),16319641)</f>
        <v>16319641</v>
      </c>
    </row>
    <row r="2641" spans="1:6" x14ac:dyDescent="0.35">
      <c r="A2641" s="2">
        <f ca="1">IFERROR(__xludf.DUMMYFUNCTION("""COMPUTED_VALUE"""),45841.5451388888)</f>
        <v>45841.545138888803</v>
      </c>
      <c r="B2641" s="1">
        <f ca="1">IFERROR(__xludf.DUMMYFUNCTION("""COMPUTED_VALUE"""),493.81)</f>
        <v>493.81</v>
      </c>
      <c r="C2641" s="1">
        <f ca="1">IFERROR(__xludf.DUMMYFUNCTION("""COMPUTED_VALUE"""),500.13)</f>
        <v>500.13</v>
      </c>
      <c r="D2641" s="1">
        <f ca="1">IFERROR(__xludf.DUMMYFUNCTION("""COMPUTED_VALUE"""),493.44)</f>
        <v>493.44</v>
      </c>
      <c r="E2641" s="1">
        <f ca="1">IFERROR(__xludf.DUMMYFUNCTION("""COMPUTED_VALUE"""),498.84)</f>
        <v>498.84</v>
      </c>
      <c r="F2641" s="1">
        <f ca="1">IFERROR(__xludf.DUMMYFUNCTION("""COMPUTED_VALUE"""),13984829)</f>
        <v>13984829</v>
      </c>
    </row>
    <row r="2642" spans="1:6" x14ac:dyDescent="0.35">
      <c r="A2642" s="2">
        <f ca="1">IFERROR(__xludf.DUMMYFUNCTION("""COMPUTED_VALUE"""),45845.6666666666)</f>
        <v>45845.666666666599</v>
      </c>
      <c r="B2642" s="1">
        <f ca="1">IFERROR(__xludf.DUMMYFUNCTION("""COMPUTED_VALUE"""),497.38)</f>
        <v>497.38</v>
      </c>
      <c r="C2642" s="1">
        <f ca="1">IFERROR(__xludf.DUMMYFUNCTION("""COMPUTED_VALUE"""),498.75)</f>
        <v>498.75</v>
      </c>
      <c r="D2642" s="1">
        <f ca="1">IFERROR(__xludf.DUMMYFUNCTION("""COMPUTED_VALUE"""),495.23)</f>
        <v>495.23</v>
      </c>
      <c r="E2642" s="1">
        <f ca="1">IFERROR(__xludf.DUMMYFUNCTION("""COMPUTED_VALUE"""),497.72)</f>
        <v>497.72</v>
      </c>
      <c r="F2642" s="1">
        <f ca="1">IFERROR(__xludf.DUMMYFUNCTION("""COMPUTED_VALUE"""),13981605)</f>
        <v>13981605</v>
      </c>
    </row>
    <row r="2643" spans="1:6" x14ac:dyDescent="0.35">
      <c r="A2643" s="2">
        <f ca="1">IFERROR(__xludf.DUMMYFUNCTION("""COMPUTED_VALUE"""),45846.6666666666)</f>
        <v>45846.666666666599</v>
      </c>
      <c r="B2643" s="1">
        <f ca="1">IFERROR(__xludf.DUMMYFUNCTION("""COMPUTED_VALUE"""),497.24)</f>
        <v>497.24</v>
      </c>
      <c r="C2643" s="1">
        <f ca="1">IFERROR(__xludf.DUMMYFUNCTION("""COMPUTED_VALUE"""),498.2)</f>
        <v>498.2</v>
      </c>
      <c r="D2643" s="1">
        <f ca="1">IFERROR(__xludf.DUMMYFUNCTION("""COMPUTED_VALUE"""),494.11)</f>
        <v>494.11</v>
      </c>
      <c r="E2643" s="1">
        <f ca="1">IFERROR(__xludf.DUMMYFUNCTION("""COMPUTED_VALUE"""),496.62)</f>
        <v>496.62</v>
      </c>
      <c r="F2643" s="1">
        <f ca="1">IFERROR(__xludf.DUMMYFUNCTION("""COMPUTED_VALUE"""),11846586)</f>
        <v>11846586</v>
      </c>
    </row>
    <row r="2644" spans="1:6" x14ac:dyDescent="0.35">
      <c r="A2644" s="2">
        <f ca="1">IFERROR(__xludf.DUMMYFUNCTION("""COMPUTED_VALUE"""),45847.6666666666)</f>
        <v>45847.666666666599</v>
      </c>
      <c r="B2644" s="1">
        <f ca="1">IFERROR(__xludf.DUMMYFUNCTION("""COMPUTED_VALUE"""),500.3)</f>
        <v>500.3</v>
      </c>
      <c r="C2644" s="1">
        <f ca="1">IFERROR(__xludf.DUMMYFUNCTION("""COMPUTED_VALUE"""),506.78)</f>
        <v>506.78</v>
      </c>
      <c r="D2644" s="1">
        <f ca="1">IFERROR(__xludf.DUMMYFUNCTION("""COMPUTED_VALUE"""),499.74)</f>
        <v>499.74</v>
      </c>
      <c r="E2644" s="1">
        <f ca="1">IFERROR(__xludf.DUMMYFUNCTION("""COMPUTED_VALUE"""),503.51)</f>
        <v>503.51</v>
      </c>
      <c r="F2644" s="1">
        <f ca="1">IFERROR(__xludf.DUMMYFUNCTION("""COMPUTED_VALUE"""),18659538)</f>
        <v>18659538</v>
      </c>
    </row>
    <row r="2645" spans="1:6" x14ac:dyDescent="0.35">
      <c r="A2645" s="2">
        <f ca="1">IFERROR(__xludf.DUMMYFUNCTION("""COMPUTED_VALUE"""),45848.6666666666)</f>
        <v>45848.666666666599</v>
      </c>
      <c r="B2645" s="1">
        <f ca="1">IFERROR(__xludf.DUMMYFUNCTION("""COMPUTED_VALUE"""),503.05)</f>
        <v>503.05</v>
      </c>
      <c r="C2645" s="1">
        <f ca="1">IFERROR(__xludf.DUMMYFUNCTION("""COMPUTED_VALUE"""),504.44)</f>
        <v>504.44</v>
      </c>
      <c r="D2645" s="1">
        <f ca="1">IFERROR(__xludf.DUMMYFUNCTION("""COMPUTED_VALUE"""),497.75)</f>
        <v>497.75</v>
      </c>
      <c r="E2645" s="1">
        <f ca="1">IFERROR(__xludf.DUMMYFUNCTION("""COMPUTED_VALUE"""),501.48)</f>
        <v>501.48</v>
      </c>
      <c r="F2645" s="1">
        <f ca="1">IFERROR(__xludf.DUMMYFUNCTION("""COMPUTED_VALUE"""),16498740)</f>
        <v>16498740</v>
      </c>
    </row>
    <row r="2646" spans="1:6" x14ac:dyDescent="0.35">
      <c r="A2646" s="2">
        <f ca="1">IFERROR(__xludf.DUMMYFUNCTION("""COMPUTED_VALUE"""),45849.6666666666)</f>
        <v>45849.666666666599</v>
      </c>
      <c r="B2646" s="1">
        <f ca="1">IFERROR(__xludf.DUMMYFUNCTION("""COMPUTED_VALUE"""),498.47)</f>
        <v>498.47</v>
      </c>
      <c r="C2646" s="1">
        <f ca="1">IFERROR(__xludf.DUMMYFUNCTION("""COMPUTED_VALUE"""),505.03)</f>
        <v>505.03</v>
      </c>
      <c r="D2646" s="1">
        <f ca="1">IFERROR(__xludf.DUMMYFUNCTION("""COMPUTED_VALUE"""),497.8)</f>
        <v>497.8</v>
      </c>
      <c r="E2646" s="1">
        <f ca="1">IFERROR(__xludf.DUMMYFUNCTION("""COMPUTED_VALUE"""),503.32)</f>
        <v>503.32</v>
      </c>
      <c r="F2646" s="1">
        <f ca="1">IFERROR(__xludf.DUMMYFUNCTION("""COMPUTED_VALUE"""),16459512)</f>
        <v>16459512</v>
      </c>
    </row>
    <row r="2647" spans="1:6" x14ac:dyDescent="0.35">
      <c r="A2647" s="2">
        <f ca="1">IFERROR(__xludf.DUMMYFUNCTION("""COMPUTED_VALUE"""),45852.6666666666)</f>
        <v>45852.666666666599</v>
      </c>
      <c r="B2647" s="1">
        <f ca="1">IFERROR(__xludf.DUMMYFUNCTION("""COMPUTED_VALUE"""),501.52)</f>
        <v>501.52</v>
      </c>
      <c r="C2647" s="1">
        <f ca="1">IFERROR(__xludf.DUMMYFUNCTION("""COMPUTED_VALUE"""),503.97)</f>
        <v>503.97</v>
      </c>
      <c r="D2647" s="1">
        <f ca="1">IFERROR(__xludf.DUMMYFUNCTION("""COMPUTED_VALUE"""),501.03)</f>
        <v>501.03</v>
      </c>
      <c r="E2647" s="1">
        <f ca="1">IFERROR(__xludf.DUMMYFUNCTION("""COMPUTED_VALUE"""),503.02)</f>
        <v>503.02</v>
      </c>
      <c r="F2647" s="1">
        <f ca="1">IFERROR(__xludf.DUMMYFUNCTION("""COMPUTED_VALUE"""),12058848)</f>
        <v>12058848</v>
      </c>
    </row>
    <row r="2648" spans="1:6" x14ac:dyDescent="0.35">
      <c r="A2648" s="2">
        <f ca="1">IFERROR(__xludf.DUMMYFUNCTION("""COMPUTED_VALUE"""),45853.6666666666)</f>
        <v>45853.666666666599</v>
      </c>
      <c r="B2648" s="1">
        <f ca="1">IFERROR(__xludf.DUMMYFUNCTION("""COMPUTED_VALUE"""),503.02)</f>
        <v>503.02</v>
      </c>
      <c r="C2648" s="1">
        <f ca="1">IFERROR(__xludf.DUMMYFUNCTION("""COMPUTED_VALUE"""),508.3)</f>
        <v>508.3</v>
      </c>
      <c r="D2648" s="1">
        <f ca="1">IFERROR(__xludf.DUMMYFUNCTION("""COMPUTED_VALUE"""),502.79)</f>
        <v>502.79</v>
      </c>
      <c r="E2648" s="1">
        <f ca="1">IFERROR(__xludf.DUMMYFUNCTION("""COMPUTED_VALUE"""),505.82)</f>
        <v>505.82</v>
      </c>
      <c r="F2648" s="1">
        <f ca="1">IFERROR(__xludf.DUMMYFUNCTION("""COMPUTED_VALUE"""),14927202)</f>
        <v>14927202</v>
      </c>
    </row>
    <row r="2649" spans="1:6" x14ac:dyDescent="0.35">
      <c r="A2649" s="2">
        <f ca="1">IFERROR(__xludf.DUMMYFUNCTION("""COMPUTED_VALUE"""),45854.6666666666)</f>
        <v>45854.666666666599</v>
      </c>
      <c r="B2649" s="1">
        <f ca="1">IFERROR(__xludf.DUMMYFUNCTION("""COMPUTED_VALUE"""),505.18)</f>
        <v>505.18</v>
      </c>
      <c r="C2649" s="1">
        <f ca="1">IFERROR(__xludf.DUMMYFUNCTION("""COMPUTED_VALUE"""),506.72)</f>
        <v>506.72</v>
      </c>
      <c r="D2649" s="1">
        <f ca="1">IFERROR(__xludf.DUMMYFUNCTION("""COMPUTED_VALUE"""),501.89)</f>
        <v>501.89</v>
      </c>
      <c r="E2649" s="1">
        <f ca="1">IFERROR(__xludf.DUMMYFUNCTION("""COMPUTED_VALUE"""),505.62)</f>
        <v>505.62</v>
      </c>
      <c r="F2649" s="1">
        <f ca="1">IFERROR(__xludf.DUMMYFUNCTION("""COMPUTED_VALUE"""),15154374)</f>
        <v>15154374</v>
      </c>
    </row>
    <row r="2650" spans="1:6" x14ac:dyDescent="0.35">
      <c r="A2650" s="2">
        <f ca="1">IFERROR(__xludf.DUMMYFUNCTION("""COMPUTED_VALUE"""),45855.6666666666)</f>
        <v>45855.666666666599</v>
      </c>
      <c r="B2650" s="1">
        <f ca="1">IFERROR(__xludf.DUMMYFUNCTION("""COMPUTED_VALUE"""),505.68)</f>
        <v>505.68</v>
      </c>
      <c r="C2650" s="1">
        <f ca="1">IFERROR(__xludf.DUMMYFUNCTION("""COMPUTED_VALUE"""),513.37)</f>
        <v>513.37</v>
      </c>
      <c r="D2650" s="1">
        <f ca="1">IFERROR(__xludf.DUMMYFUNCTION("""COMPUTED_VALUE"""),505.62)</f>
        <v>505.62</v>
      </c>
      <c r="E2650" s="1">
        <f ca="1">IFERROR(__xludf.DUMMYFUNCTION("""COMPUTED_VALUE"""),511.7)</f>
        <v>511.7</v>
      </c>
      <c r="F2650" s="1">
        <f ca="1">IFERROR(__xludf.DUMMYFUNCTION("""COMPUTED_VALUE"""),17503129)</f>
        <v>17503129</v>
      </c>
    </row>
    <row r="2651" spans="1:6" x14ac:dyDescent="0.35">
      <c r="A2651" s="2">
        <f ca="1">IFERROR(__xludf.DUMMYFUNCTION("""COMPUTED_VALUE"""),45856.6666666666)</f>
        <v>45856.666666666599</v>
      </c>
      <c r="B2651" s="1">
        <f ca="1">IFERROR(__xludf.DUMMYFUNCTION("""COMPUTED_VALUE"""),514.48)</f>
        <v>514.48</v>
      </c>
      <c r="C2651" s="1">
        <f ca="1">IFERROR(__xludf.DUMMYFUNCTION("""COMPUTED_VALUE"""),514.64)</f>
        <v>514.64</v>
      </c>
      <c r="D2651" s="1">
        <f ca="1">IFERROR(__xludf.DUMMYFUNCTION("""COMPUTED_VALUE"""),507.43)</f>
        <v>507.43</v>
      </c>
      <c r="E2651" s="1">
        <f ca="1">IFERROR(__xludf.DUMMYFUNCTION("""COMPUTED_VALUE"""),510.05)</f>
        <v>510.05</v>
      </c>
      <c r="F2651" s="1">
        <f ca="1">IFERROR(__xludf.DUMMYFUNCTION("""COMPUTED_VALUE"""),21209666)</f>
        <v>21209666</v>
      </c>
    </row>
    <row r="2652" spans="1:6" x14ac:dyDescent="0.35">
      <c r="A2652" s="2">
        <f ca="1">IFERROR(__xludf.DUMMYFUNCTION("""COMPUTED_VALUE"""),45859.6666666666)</f>
        <v>45859.666666666599</v>
      </c>
      <c r="B2652" s="1">
        <f ca="1">IFERROR(__xludf.DUMMYFUNCTION("""COMPUTED_VALUE"""),506.71)</f>
        <v>506.71</v>
      </c>
      <c r="C2652" s="1">
        <f ca="1">IFERROR(__xludf.DUMMYFUNCTION("""COMPUTED_VALUE"""),512.09)</f>
        <v>512.09</v>
      </c>
      <c r="D2652" s="1">
        <f ca="1">IFERROR(__xludf.DUMMYFUNCTION("""COMPUTED_VALUE"""),505.55)</f>
        <v>505.55</v>
      </c>
      <c r="E2652" s="1">
        <f ca="1">IFERROR(__xludf.DUMMYFUNCTION("""COMPUTED_VALUE"""),510.06)</f>
        <v>510.06</v>
      </c>
      <c r="F2652" s="1">
        <f ca="1">IFERROR(__xludf.DUMMYFUNCTION("""COMPUTED_VALUE"""),14066805)</f>
        <v>14066805</v>
      </c>
    </row>
    <row r="2653" spans="1:6" x14ac:dyDescent="0.35">
      <c r="A2653" s="2">
        <f ca="1">IFERROR(__xludf.DUMMYFUNCTION("""COMPUTED_VALUE"""),45860.6666666666)</f>
        <v>45860.666666666599</v>
      </c>
      <c r="B2653" s="1">
        <f ca="1">IFERROR(__xludf.DUMMYFUNCTION("""COMPUTED_VALUE"""),510.97)</f>
        <v>510.97</v>
      </c>
      <c r="C2653" s="1">
        <f ca="1">IFERROR(__xludf.DUMMYFUNCTION("""COMPUTED_VALUE"""),511.2)</f>
        <v>511.2</v>
      </c>
      <c r="D2653" s="1">
        <f ca="1">IFERROR(__xludf.DUMMYFUNCTION("""COMPUTED_VALUE"""),505.27)</f>
        <v>505.27</v>
      </c>
      <c r="E2653" s="1">
        <f ca="1">IFERROR(__xludf.DUMMYFUNCTION("""COMPUTED_VALUE"""),505.27)</f>
        <v>505.27</v>
      </c>
      <c r="F2653" s="1">
        <f ca="1">IFERROR(__xludf.DUMMYFUNCTION("""COMPUTED_VALUE"""),13868644)</f>
        <v>13868644</v>
      </c>
    </row>
    <row r="2654" spans="1:6" x14ac:dyDescent="0.35">
      <c r="A2654" s="2">
        <f ca="1">IFERROR(__xludf.DUMMYFUNCTION("""COMPUTED_VALUE"""),45861.6666666666)</f>
        <v>45861.666666666599</v>
      </c>
      <c r="B2654" s="1">
        <f ca="1">IFERROR(__xludf.DUMMYFUNCTION("""COMPUTED_VALUE"""),506.75)</f>
        <v>506.75</v>
      </c>
      <c r="C2654" s="1">
        <f ca="1">IFERROR(__xludf.DUMMYFUNCTION("""COMPUTED_VALUE"""),506.79)</f>
        <v>506.79</v>
      </c>
      <c r="D2654" s="1">
        <f ca="1">IFERROR(__xludf.DUMMYFUNCTION("""COMPUTED_VALUE"""),500.7)</f>
        <v>500.7</v>
      </c>
      <c r="E2654" s="1">
        <f ca="1">IFERROR(__xludf.DUMMYFUNCTION("""COMPUTED_VALUE"""),505.87)</f>
        <v>505.87</v>
      </c>
      <c r="F2654" s="1">
        <f ca="1">IFERROR(__xludf.DUMMYFUNCTION("""COMPUTED_VALUE"""),16396585)</f>
        <v>16396585</v>
      </c>
    </row>
    <row r="2655" spans="1:6" x14ac:dyDescent="0.35">
      <c r="A2655" s="2">
        <f ca="1">IFERROR(__xludf.DUMMYFUNCTION("""COMPUTED_VALUE"""),45862.6666666666)</f>
        <v>45862.666666666599</v>
      </c>
      <c r="B2655" s="1">
        <f ca="1">IFERROR(__xludf.DUMMYFUNCTION("""COMPUTED_VALUE"""),508.77)</f>
        <v>508.77</v>
      </c>
      <c r="C2655" s="1">
        <f ca="1">IFERROR(__xludf.DUMMYFUNCTION("""COMPUTED_VALUE"""),513.67)</f>
        <v>513.66999999999996</v>
      </c>
      <c r="D2655" s="1">
        <f ca="1">IFERROR(__xludf.DUMMYFUNCTION("""COMPUTED_VALUE"""),507.3)</f>
        <v>507.3</v>
      </c>
      <c r="E2655" s="1">
        <f ca="1">IFERROR(__xludf.DUMMYFUNCTION("""COMPUTED_VALUE"""),510.88)</f>
        <v>510.88</v>
      </c>
      <c r="F2655" s="1">
        <f ca="1">IFERROR(__xludf.DUMMYFUNCTION("""COMPUTED_VALUE"""),16107000)</f>
        <v>16107000</v>
      </c>
    </row>
    <row r="2656" spans="1:6" x14ac:dyDescent="0.35">
      <c r="A2656" s="2">
        <f ca="1">IFERROR(__xludf.DUMMYFUNCTION("""COMPUTED_VALUE"""),45863.6666666666)</f>
        <v>45863.666666666599</v>
      </c>
      <c r="B2656" s="1">
        <f ca="1">IFERROR(__xludf.DUMMYFUNCTION("""COMPUTED_VALUE"""),512.47)</f>
        <v>512.47</v>
      </c>
      <c r="C2656" s="1">
        <f ca="1">IFERROR(__xludf.DUMMYFUNCTION("""COMPUTED_VALUE"""),518.29)</f>
        <v>518.29</v>
      </c>
      <c r="D2656" s="1">
        <f ca="1">IFERROR(__xludf.DUMMYFUNCTION("""COMPUTED_VALUE"""),510.36)</f>
        <v>510.36</v>
      </c>
      <c r="E2656" s="1">
        <f ca="1">IFERROR(__xludf.DUMMYFUNCTION("""COMPUTED_VALUE"""),513.71)</f>
        <v>513.71</v>
      </c>
      <c r="F2656" s="1">
        <f ca="1">IFERROR(__xludf.DUMMYFUNCTION("""COMPUTED_VALUE"""),19125699)</f>
        <v>19125699</v>
      </c>
    </row>
    <row r="2657" spans="1:6" x14ac:dyDescent="0.35">
      <c r="A2657" s="2">
        <f ca="1">IFERROR(__xludf.DUMMYFUNCTION("""COMPUTED_VALUE"""),45866.6666666666)</f>
        <v>45866.666666666599</v>
      </c>
      <c r="B2657" s="1">
        <f ca="1">IFERROR(__xludf.DUMMYFUNCTION("""COMPUTED_VALUE"""),514.08)</f>
        <v>514.08000000000004</v>
      </c>
      <c r="C2657" s="1">
        <f ca="1">IFERROR(__xludf.DUMMYFUNCTION("""COMPUTED_VALUE"""),515)</f>
        <v>515</v>
      </c>
      <c r="D2657" s="1">
        <f ca="1">IFERROR(__xludf.DUMMYFUNCTION("""COMPUTED_VALUE"""),510.12)</f>
        <v>510.12</v>
      </c>
      <c r="E2657" s="1">
        <f ca="1">IFERROR(__xludf.DUMMYFUNCTION("""COMPUTED_VALUE"""),512.5)</f>
        <v>512.5</v>
      </c>
      <c r="F2657" s="1">
        <f ca="1">IFERROR(__xludf.DUMMYFUNCTION("""COMPUTED_VALUE"""),14308027)</f>
        <v>14308027</v>
      </c>
    </row>
    <row r="2658" spans="1:6" x14ac:dyDescent="0.35">
      <c r="A2658" s="2">
        <f ca="1">IFERROR(__xludf.DUMMYFUNCTION("""COMPUTED_VALUE"""),45867.6666666666)</f>
        <v>45867.666666666599</v>
      </c>
      <c r="B2658" s="1">
        <f ca="1">IFERROR(__xludf.DUMMYFUNCTION("""COMPUTED_VALUE"""),515.53)</f>
        <v>515.53</v>
      </c>
      <c r="C2658" s="1">
        <f ca="1">IFERROR(__xludf.DUMMYFUNCTION("""COMPUTED_VALUE"""),517.62)</f>
        <v>517.62</v>
      </c>
      <c r="D2658" s="1">
        <f ca="1">IFERROR(__xludf.DUMMYFUNCTION("""COMPUTED_VALUE"""),511.56)</f>
        <v>511.56</v>
      </c>
      <c r="E2658" s="1">
        <f ca="1">IFERROR(__xludf.DUMMYFUNCTION("""COMPUTED_VALUE"""),512.57)</f>
        <v>512.57000000000005</v>
      </c>
      <c r="F2658" s="1">
        <f ca="1">IFERROR(__xludf.DUMMYFUNCTION("""COMPUTED_VALUE"""),16469235)</f>
        <v>16469235</v>
      </c>
    </row>
    <row r="2659" spans="1:6" x14ac:dyDescent="0.35">
      <c r="A2659" s="2">
        <f ca="1">IFERROR(__xludf.DUMMYFUNCTION("""COMPUTED_VALUE"""),45868.6666666666)</f>
        <v>45868.666666666599</v>
      </c>
      <c r="B2659" s="1">
        <f ca="1">IFERROR(__xludf.DUMMYFUNCTION("""COMPUTED_VALUE"""),515.17)</f>
        <v>515.16999999999996</v>
      </c>
      <c r="C2659" s="1">
        <f ca="1">IFERROR(__xludf.DUMMYFUNCTION("""COMPUTED_VALUE"""),515.95)</f>
        <v>515.95000000000005</v>
      </c>
      <c r="D2659" s="1">
        <f ca="1">IFERROR(__xludf.DUMMYFUNCTION("""COMPUTED_VALUE"""),509.44)</f>
        <v>509.44</v>
      </c>
      <c r="E2659" s="1">
        <f ca="1">IFERROR(__xludf.DUMMYFUNCTION("""COMPUTED_VALUE"""),513.24)</f>
        <v>513.24</v>
      </c>
      <c r="F2659" s="1">
        <f ca="1">IFERROR(__xludf.DUMMYFUNCTION("""COMPUTED_VALUE"""),26380434)</f>
        <v>26380434</v>
      </c>
    </row>
    <row r="2660" spans="1:6" x14ac:dyDescent="0.35">
      <c r="A2660" s="2">
        <f ca="1">IFERROR(__xludf.DUMMYFUNCTION("""COMPUTED_VALUE"""),45869.6666666666)</f>
        <v>45869.666666666599</v>
      </c>
      <c r="B2660" s="1">
        <f ca="1">IFERROR(__xludf.DUMMYFUNCTION("""COMPUTED_VALUE"""),555.23)</f>
        <v>555.23</v>
      </c>
      <c r="C2660" s="1">
        <f ca="1">IFERROR(__xludf.DUMMYFUNCTION("""COMPUTED_VALUE"""),555.45)</f>
        <v>555.45000000000005</v>
      </c>
      <c r="D2660" s="1">
        <f ca="1">IFERROR(__xludf.DUMMYFUNCTION("""COMPUTED_VALUE"""),531.9)</f>
        <v>531.9</v>
      </c>
      <c r="E2660" s="1">
        <f ca="1">IFERROR(__xludf.DUMMYFUNCTION("""COMPUTED_VALUE"""),533.5)</f>
        <v>533.5</v>
      </c>
      <c r="F2660" s="1">
        <f ca="1">IFERROR(__xludf.DUMMYFUNCTION("""COMPUTED_VALUE"""),51617326)</f>
        <v>51617326</v>
      </c>
    </row>
    <row r="2661" spans="1:6" x14ac:dyDescent="0.35">
      <c r="A2661" s="2">
        <f ca="1">IFERROR(__xludf.DUMMYFUNCTION("""COMPUTED_VALUE"""),45870.6666666666)</f>
        <v>45870.666666666599</v>
      </c>
      <c r="B2661" s="1">
        <f ca="1">IFERROR(__xludf.DUMMYFUNCTION("""COMPUTED_VALUE"""),535)</f>
        <v>535</v>
      </c>
      <c r="C2661" s="1">
        <f ca="1">IFERROR(__xludf.DUMMYFUNCTION("""COMPUTED_VALUE"""),535.8)</f>
        <v>535.79999999999995</v>
      </c>
      <c r="D2661" s="1">
        <f ca="1">IFERROR(__xludf.DUMMYFUNCTION("""COMPUTED_VALUE"""),520.86)</f>
        <v>520.86</v>
      </c>
      <c r="E2661" s="1">
        <f ca="1">IFERROR(__xludf.DUMMYFUNCTION("""COMPUTED_VALUE"""),524.11)</f>
        <v>524.11</v>
      </c>
      <c r="F2661" s="1">
        <f ca="1">IFERROR(__xludf.DUMMYFUNCTION("""COMPUTED_VALUE"""),28977628)</f>
        <v>28977628</v>
      </c>
    </row>
    <row r="2662" spans="1:6" x14ac:dyDescent="0.35">
      <c r="A2662" s="2">
        <f ca="1">IFERROR(__xludf.DUMMYFUNCTION("""COMPUTED_VALUE"""),45873.6666666666)</f>
        <v>45873.666666666599</v>
      </c>
      <c r="B2662" s="1">
        <f ca="1">IFERROR(__xludf.DUMMYFUNCTION("""COMPUTED_VALUE"""),528.27)</f>
        <v>528.27</v>
      </c>
      <c r="C2662" s="1">
        <f ca="1">IFERROR(__xludf.DUMMYFUNCTION("""COMPUTED_VALUE"""),538.25)</f>
        <v>538.25</v>
      </c>
      <c r="D2662" s="1">
        <f ca="1">IFERROR(__xludf.DUMMYFUNCTION("""COMPUTED_VALUE"""),528.13)</f>
        <v>528.13</v>
      </c>
      <c r="E2662" s="1">
        <f ca="1">IFERROR(__xludf.DUMMYFUNCTION("""COMPUTED_VALUE"""),535.64)</f>
        <v>535.64</v>
      </c>
      <c r="F2662" s="1">
        <f ca="1">IFERROR(__xludf.DUMMYFUNCTION("""COMPUTED_VALUE"""),25349004)</f>
        <v>25349004</v>
      </c>
    </row>
    <row r="2663" spans="1:6" x14ac:dyDescent="0.35">
      <c r="A2663" s="2">
        <f ca="1">IFERROR(__xludf.DUMMYFUNCTION("""COMPUTED_VALUE"""),45874.6666666666)</f>
        <v>45874.666666666599</v>
      </c>
      <c r="B2663" s="1">
        <f ca="1">IFERROR(__xludf.DUMMYFUNCTION("""COMPUTED_VALUE"""),537.18)</f>
        <v>537.17999999999995</v>
      </c>
      <c r="C2663" s="1">
        <f ca="1">IFERROR(__xludf.DUMMYFUNCTION("""COMPUTED_VALUE"""),537.3)</f>
        <v>537.29999999999995</v>
      </c>
      <c r="D2663" s="1">
        <f ca="1">IFERROR(__xludf.DUMMYFUNCTION("""COMPUTED_VALUE"""),527.24)</f>
        <v>527.24</v>
      </c>
      <c r="E2663" s="1">
        <f ca="1">IFERROR(__xludf.DUMMYFUNCTION("""COMPUTED_VALUE"""),527.75)</f>
        <v>527.75</v>
      </c>
      <c r="F2663" s="1">
        <f ca="1">IFERROR(__xludf.DUMMYFUNCTION("""COMPUTED_VALUE"""),19171569)</f>
        <v>19171569</v>
      </c>
    </row>
    <row r="2664" spans="1:6" x14ac:dyDescent="0.35">
      <c r="A2664" s="2">
        <f ca="1">IFERROR(__xludf.DUMMYFUNCTION("""COMPUTED_VALUE"""),45875.6666666666)</f>
        <v>45875.666666666599</v>
      </c>
      <c r="B2664" s="1">
        <f ca="1">IFERROR(__xludf.DUMMYFUNCTION("""COMPUTED_VALUE"""),530.9)</f>
        <v>530.9</v>
      </c>
      <c r="C2664" s="1">
        <f ca="1">IFERROR(__xludf.DUMMYFUNCTION("""COMPUTED_VALUE"""),531.7)</f>
        <v>531.70000000000005</v>
      </c>
      <c r="D2664" s="1">
        <f ca="1">IFERROR(__xludf.DUMMYFUNCTION("""COMPUTED_VALUE"""),524.03)</f>
        <v>524.03</v>
      </c>
      <c r="E2664" s="1">
        <f ca="1">IFERROR(__xludf.DUMMYFUNCTION("""COMPUTED_VALUE"""),524.94)</f>
        <v>524.94000000000005</v>
      </c>
      <c r="F2664" s="1">
        <f ca="1">IFERROR(__xludf.DUMMYFUNCTION("""COMPUTED_VALUE"""),21355702)</f>
        <v>21355702</v>
      </c>
    </row>
    <row r="2665" spans="1:6" x14ac:dyDescent="0.35">
      <c r="A2665" s="2">
        <f ca="1">IFERROR(__xludf.DUMMYFUNCTION("""COMPUTED_VALUE"""),45876.6666666666)</f>
        <v>45876.666666666599</v>
      </c>
      <c r="B2665" s="1">
        <f ca="1">IFERROR(__xludf.DUMMYFUNCTION("""COMPUTED_VALUE"""),526.8)</f>
        <v>526.79999999999995</v>
      </c>
      <c r="C2665" s="1">
        <f ca="1">IFERROR(__xludf.DUMMYFUNCTION("""COMPUTED_VALUE"""),528.09)</f>
        <v>528.09</v>
      </c>
      <c r="D2665" s="1">
        <f ca="1">IFERROR(__xludf.DUMMYFUNCTION("""COMPUTED_VALUE"""),517.55)</f>
        <v>517.54999999999995</v>
      </c>
      <c r="E2665" s="1">
        <f ca="1">IFERROR(__xludf.DUMMYFUNCTION("""COMPUTED_VALUE"""),520.84)</f>
        <v>520.84</v>
      </c>
      <c r="F2665" s="1">
        <f ca="1">IFERROR(__xludf.DUMMYFUNCTION("""COMPUTED_VALUE"""),16079144)</f>
        <v>16079144</v>
      </c>
    </row>
    <row r="2666" spans="1:6" x14ac:dyDescent="0.35">
      <c r="A2666" s="2">
        <f ca="1">IFERROR(__xludf.DUMMYFUNCTION("""COMPUTED_VALUE"""),45877.6666666666)</f>
        <v>45877.666666666599</v>
      </c>
      <c r="B2666" s="1">
        <f ca="1">IFERROR(__xludf.DUMMYFUNCTION("""COMPUTED_VALUE"""),522.6)</f>
        <v>522.6</v>
      </c>
      <c r="C2666" s="1">
        <f ca="1">IFERROR(__xludf.DUMMYFUNCTION("""COMPUTED_VALUE"""),524.66)</f>
        <v>524.66</v>
      </c>
      <c r="D2666" s="1">
        <f ca="1">IFERROR(__xludf.DUMMYFUNCTION("""COMPUTED_VALUE"""),519.41)</f>
        <v>519.41</v>
      </c>
      <c r="E2666" s="1">
        <f ca="1">IFERROR(__xludf.DUMMYFUNCTION("""COMPUTED_VALUE"""),522.04)</f>
        <v>522.04</v>
      </c>
      <c r="F2666" s="1">
        <f ca="1">IFERROR(__xludf.DUMMYFUNCTION("""COMPUTED_VALUE"""),15531009)</f>
        <v>15531009</v>
      </c>
    </row>
    <row r="2667" spans="1:6" x14ac:dyDescent="0.35">
      <c r="A2667" s="2">
        <f ca="1">IFERROR(__xludf.DUMMYFUNCTION("""COMPUTED_VALUE"""),45880.6666666666)</f>
        <v>45880.666666666599</v>
      </c>
      <c r="B2667" s="1">
        <f ca="1">IFERROR(__xludf.DUMMYFUNCTION("""COMPUTED_VALUE"""),522.3)</f>
        <v>522.29999999999995</v>
      </c>
      <c r="C2667" s="1">
        <f ca="1">IFERROR(__xludf.DUMMYFUNCTION("""COMPUTED_VALUE"""),527.59)</f>
        <v>527.59</v>
      </c>
      <c r="D2667" s="1">
        <f ca="1">IFERROR(__xludf.DUMMYFUNCTION("""COMPUTED_VALUE"""),519.72)</f>
        <v>519.72</v>
      </c>
      <c r="E2667" s="1">
        <f ca="1">IFERROR(__xludf.DUMMYFUNCTION("""COMPUTED_VALUE"""),521.77)</f>
        <v>521.77</v>
      </c>
      <c r="F2667" s="1">
        <f ca="1">IFERROR(__xludf.DUMMYFUNCTION("""COMPUTED_VALUE"""),20194372)</f>
        <v>20194372</v>
      </c>
    </row>
    <row r="2668" spans="1:6" x14ac:dyDescent="0.35">
      <c r="A2668" s="2">
        <f ca="1">IFERROR(__xludf.DUMMYFUNCTION("""COMPUTED_VALUE"""),45881.6666666666)</f>
        <v>45881.666666666599</v>
      </c>
      <c r="B2668" s="1">
        <f ca="1">IFERROR(__xludf.DUMMYFUNCTION("""COMPUTED_VALUE"""),523.75)</f>
        <v>523.75</v>
      </c>
      <c r="C2668" s="1">
        <f ca="1">IFERROR(__xludf.DUMMYFUNCTION("""COMPUTED_VALUE"""),530.98)</f>
        <v>530.98</v>
      </c>
      <c r="D2668" s="1">
        <f ca="1">IFERROR(__xludf.DUMMYFUNCTION("""COMPUTED_VALUE"""),522.7)</f>
        <v>522.70000000000005</v>
      </c>
      <c r="E2668" s="1">
        <f ca="1">IFERROR(__xludf.DUMMYFUNCTION("""COMPUTED_VALUE"""),529.24)</f>
        <v>529.24</v>
      </c>
      <c r="F2668" s="1">
        <f ca="1">IFERROR(__xludf.DUMMYFUNCTION("""COMPUTED_VALUE"""),18688921)</f>
        <v>18688921</v>
      </c>
    </row>
    <row r="2669" spans="1:6" x14ac:dyDescent="0.35">
      <c r="A2669" s="2">
        <f ca="1">IFERROR(__xludf.DUMMYFUNCTION("""COMPUTED_VALUE"""),45882.6666666666)</f>
        <v>45882.666666666599</v>
      </c>
      <c r="B2669" s="1">
        <f ca="1">IFERROR(__xludf.DUMMYFUNCTION("""COMPUTED_VALUE"""),532.11)</f>
        <v>532.11</v>
      </c>
      <c r="C2669" s="1">
        <f ca="1">IFERROR(__xludf.DUMMYFUNCTION("""COMPUTED_VALUE"""),532.7)</f>
        <v>532.70000000000005</v>
      </c>
      <c r="D2669" s="1">
        <f ca="1">IFERROR(__xludf.DUMMYFUNCTION("""COMPUTED_VALUE"""),519.37)</f>
        <v>519.37</v>
      </c>
      <c r="E2669" s="1">
        <f ca="1">IFERROR(__xludf.DUMMYFUNCTION("""COMPUTED_VALUE"""),520.58)</f>
        <v>520.58000000000004</v>
      </c>
      <c r="F2669" s="1">
        <f ca="1">IFERROR(__xludf.DUMMYFUNCTION("""COMPUTED_VALUE"""),19619160)</f>
        <v>19619160</v>
      </c>
    </row>
    <row r="2670" spans="1:6" x14ac:dyDescent="0.35">
      <c r="A2670" s="2">
        <f ca="1">IFERROR(__xludf.DUMMYFUNCTION("""COMPUTED_VALUE"""),45883.6666666666)</f>
        <v>45883.666666666599</v>
      </c>
      <c r="B2670" s="1">
        <f ca="1">IFERROR(__xludf.DUMMYFUNCTION("""COMPUTED_VALUE"""),522.56)</f>
        <v>522.55999999999995</v>
      </c>
      <c r="C2670" s="1">
        <f ca="1">IFERROR(__xludf.DUMMYFUNCTION("""COMPUTED_VALUE"""),525.95)</f>
        <v>525.95000000000005</v>
      </c>
      <c r="D2670" s="1">
        <f ca="1">IFERROR(__xludf.DUMMYFUNCTION("""COMPUTED_VALUE"""),520.14)</f>
        <v>520.14</v>
      </c>
      <c r="E2670" s="1">
        <f ca="1">IFERROR(__xludf.DUMMYFUNCTION("""COMPUTED_VALUE"""),522.48)</f>
        <v>522.48</v>
      </c>
      <c r="F2670" s="1">
        <f ca="1">IFERROR(__xludf.DUMMYFUNCTION("""COMPUTED_VALUE"""),20269074)</f>
        <v>20269074</v>
      </c>
    </row>
    <row r="2671" spans="1:6" x14ac:dyDescent="0.35">
      <c r="A2671" s="2">
        <f ca="1">IFERROR(__xludf.DUMMYFUNCTION("""COMPUTED_VALUE"""),45884.6666666666)</f>
        <v>45884.666666666599</v>
      </c>
      <c r="B2671" s="1">
        <f ca="1">IFERROR(__xludf.DUMMYFUNCTION("""COMPUTED_VALUE"""),522.77)</f>
        <v>522.77</v>
      </c>
      <c r="C2671" s="1">
        <f ca="1">IFERROR(__xludf.DUMMYFUNCTION("""COMPUTED_VALUE"""),526.1)</f>
        <v>526.1</v>
      </c>
      <c r="D2671" s="1">
        <f ca="1">IFERROR(__xludf.DUMMYFUNCTION("""COMPUTED_VALUE"""),519.08)</f>
        <v>519.08000000000004</v>
      </c>
      <c r="E2671" s="1">
        <f ca="1">IFERROR(__xludf.DUMMYFUNCTION("""COMPUTED_VALUE"""),520.17)</f>
        <v>520.16999999999996</v>
      </c>
      <c r="F2671" s="1">
        <f ca="1">IFERROR(__xludf.DUMMYFUNCTION("""COMPUTED_VALUE"""),25213272)</f>
        <v>25213272</v>
      </c>
    </row>
    <row r="2672" spans="1:6" x14ac:dyDescent="0.35">
      <c r="A2672" s="2">
        <f ca="1">IFERROR(__xludf.DUMMYFUNCTION("""COMPUTED_VALUE"""),45887.6666666666)</f>
        <v>45887.666666666599</v>
      </c>
      <c r="B2672" s="1">
        <f ca="1">IFERROR(__xludf.DUMMYFUNCTION("""COMPUTED_VALUE"""),521.59)</f>
        <v>521.59</v>
      </c>
      <c r="C2672" s="1">
        <f ca="1">IFERROR(__xludf.DUMMYFUNCTION("""COMPUTED_VALUE"""),522.82)</f>
        <v>522.82000000000005</v>
      </c>
      <c r="D2672" s="1">
        <f ca="1">IFERROR(__xludf.DUMMYFUNCTION("""COMPUTED_VALUE"""),514.02)</f>
        <v>514.02</v>
      </c>
      <c r="E2672" s="1">
        <f ca="1">IFERROR(__xludf.DUMMYFUNCTION("""COMPUTED_VALUE"""),517.1)</f>
        <v>517.1</v>
      </c>
      <c r="F2672" s="1">
        <f ca="1">IFERROR(__xludf.DUMMYFUNCTION("""COMPUTED_VALUE"""),23760583)</f>
        <v>23760583</v>
      </c>
    </row>
    <row r="2673" spans="1:6" x14ac:dyDescent="0.35">
      <c r="A2673" s="2">
        <f ca="1">IFERROR(__xludf.DUMMYFUNCTION("""COMPUTED_VALUE"""),45888.6666666666)</f>
        <v>45888.666666666599</v>
      </c>
      <c r="B2673" s="1">
        <f ca="1">IFERROR(__xludf.DUMMYFUNCTION("""COMPUTED_VALUE"""),515)</f>
        <v>515</v>
      </c>
      <c r="C2673" s="1">
        <f ca="1">IFERROR(__xludf.DUMMYFUNCTION("""COMPUTED_VALUE"""),515.16)</f>
        <v>515.16</v>
      </c>
      <c r="D2673" s="1">
        <f ca="1">IFERROR(__xludf.DUMMYFUNCTION("""COMPUTED_VALUE"""),508.55)</f>
        <v>508.55</v>
      </c>
      <c r="E2673" s="1">
        <f ca="1">IFERROR(__xludf.DUMMYFUNCTION("""COMPUTED_VALUE"""),509.77)</f>
        <v>509.77</v>
      </c>
      <c r="F2673" s="1">
        <f ca="1">IFERROR(__xludf.DUMMYFUNCTION("""COMPUTED_VALUE"""),21481016)</f>
        <v>21481016</v>
      </c>
    </row>
    <row r="2674" spans="1:6" x14ac:dyDescent="0.35">
      <c r="A2674" s="2">
        <f ca="1">IFERROR(__xludf.DUMMYFUNCTION("""COMPUTED_VALUE"""),45889.6666666666)</f>
        <v>45889.666666666599</v>
      </c>
      <c r="B2674" s="1">
        <f ca="1">IFERROR(__xludf.DUMMYFUNCTION("""COMPUTED_VALUE"""),509.87)</f>
        <v>509.87</v>
      </c>
      <c r="C2674" s="1">
        <f ca="1">IFERROR(__xludf.DUMMYFUNCTION("""COMPUTED_VALUE"""),511)</f>
        <v>511</v>
      </c>
      <c r="D2674" s="1">
        <f ca="1">IFERROR(__xludf.DUMMYFUNCTION("""COMPUTED_VALUE"""),504.44)</f>
        <v>504.44</v>
      </c>
      <c r="E2674" s="1">
        <f ca="1">IFERROR(__xludf.DUMMYFUNCTION("""COMPUTED_VALUE"""),505.72)</f>
        <v>505.72</v>
      </c>
      <c r="F2674" s="1">
        <f ca="1">IFERROR(__xludf.DUMMYFUNCTION("""COMPUTED_VALUE"""),27723025)</f>
        <v>27723025</v>
      </c>
    </row>
    <row r="2675" spans="1:6" x14ac:dyDescent="0.35">
      <c r="A2675" s="2">
        <f ca="1">IFERROR(__xludf.DUMMYFUNCTION("""COMPUTED_VALUE"""),45890.6666666666)</f>
        <v>45890.666666666599</v>
      </c>
      <c r="B2675" s="1">
        <f ca="1">IFERROR(__xludf.DUMMYFUNCTION("""COMPUTED_VALUE"""),503.69)</f>
        <v>503.69</v>
      </c>
      <c r="C2675" s="1">
        <f ca="1">IFERROR(__xludf.DUMMYFUNCTION("""COMPUTED_VALUE"""),507.63)</f>
        <v>507.63</v>
      </c>
      <c r="D2675" s="1">
        <f ca="1">IFERROR(__xludf.DUMMYFUNCTION("""COMPUTED_VALUE"""),502.72)</f>
        <v>502.72</v>
      </c>
      <c r="E2675" s="1">
        <f ca="1">IFERROR(__xludf.DUMMYFUNCTION("""COMPUTED_VALUE"""),504.24)</f>
        <v>504.24</v>
      </c>
      <c r="F2675" s="1">
        <f ca="1">IFERROR(__xludf.DUMMYFUNCTION("""COMPUTED_VALUE"""),18443254)</f>
        <v>18443254</v>
      </c>
    </row>
    <row r="2676" spans="1:6" x14ac:dyDescent="0.35">
      <c r="A2676" s="2">
        <f ca="1">IFERROR(__xludf.DUMMYFUNCTION("""COMPUTED_VALUE"""),45891.6666666666)</f>
        <v>45891.666666666599</v>
      </c>
      <c r="B2676" s="1">
        <f ca="1">IFERROR(__xludf.DUMMYFUNCTION("""COMPUTED_VALUE"""),504.25)</f>
        <v>504.25</v>
      </c>
      <c r="C2676" s="1">
        <f ca="1">IFERROR(__xludf.DUMMYFUNCTION("""COMPUTED_VALUE"""),510.73)</f>
        <v>510.73</v>
      </c>
      <c r="D2676" s="1">
        <f ca="1">IFERROR(__xludf.DUMMYFUNCTION("""COMPUTED_VALUE"""),502.41)</f>
        <v>502.41</v>
      </c>
      <c r="E2676" s="1">
        <f ca="1">IFERROR(__xludf.DUMMYFUNCTION("""COMPUTED_VALUE"""),507.23)</f>
        <v>507.23</v>
      </c>
      <c r="F2676" s="1">
        <f ca="1">IFERROR(__xludf.DUMMYFUNCTION("""COMPUTED_VALUE"""),24324161)</f>
        <v>24324161</v>
      </c>
    </row>
    <row r="2677" spans="1:6" x14ac:dyDescent="0.35">
      <c r="A2677" s="2">
        <f ca="1">IFERROR(__xludf.DUMMYFUNCTION("""COMPUTED_VALUE"""),45894.6666666666)</f>
        <v>45894.666666666599</v>
      </c>
      <c r="B2677" s="1">
        <f ca="1">IFERROR(__xludf.DUMMYFUNCTION("""COMPUTED_VALUE"""),506.63)</f>
        <v>506.63</v>
      </c>
      <c r="C2677" s="1">
        <f ca="1">IFERROR(__xludf.DUMMYFUNCTION("""COMPUTED_VALUE"""),508.19)</f>
        <v>508.19</v>
      </c>
      <c r="D2677" s="1">
        <f ca="1">IFERROR(__xludf.DUMMYFUNCTION("""COMPUTED_VALUE"""),504.12)</f>
        <v>504.12</v>
      </c>
      <c r="E2677" s="1">
        <f ca="1">IFERROR(__xludf.DUMMYFUNCTION("""COMPUTED_VALUE"""),504.26)</f>
        <v>504.26</v>
      </c>
      <c r="F2677" s="1">
        <f ca="1">IFERROR(__xludf.DUMMYFUNCTION("""COMPUTED_VALUE"""),21638579)</f>
        <v>21638579</v>
      </c>
    </row>
    <row r="2678" spans="1:6" x14ac:dyDescent="0.35">
      <c r="A2678" s="2">
        <f ca="1">IFERROR(__xludf.DUMMYFUNCTION("""COMPUTED_VALUE"""),45895.6666666666)</f>
        <v>45895.666666666599</v>
      </c>
      <c r="B2678" s="1">
        <f ca="1">IFERROR(__xludf.DUMMYFUNCTION("""COMPUTED_VALUE"""),504.36)</f>
        <v>504.36</v>
      </c>
      <c r="C2678" s="1">
        <f ca="1">IFERROR(__xludf.DUMMYFUNCTION("""COMPUTED_VALUE"""),504.98)</f>
        <v>504.98</v>
      </c>
      <c r="D2678" s="1">
        <f ca="1">IFERROR(__xludf.DUMMYFUNCTION("""COMPUTED_VALUE"""),498.51)</f>
        <v>498.51</v>
      </c>
      <c r="E2678" s="1">
        <f ca="1">IFERROR(__xludf.DUMMYFUNCTION("""COMPUTED_VALUE"""),502.04)</f>
        <v>502.04</v>
      </c>
      <c r="F2678" s="1">
        <f ca="1">IFERROR(__xludf.DUMMYFUNCTION("""COMPUTED_VALUE"""),30835709)</f>
        <v>30835709</v>
      </c>
    </row>
    <row r="2679" spans="1:6" x14ac:dyDescent="0.35">
      <c r="A2679" s="2">
        <f ca="1">IFERROR(__xludf.DUMMYFUNCTION("""COMPUTED_VALUE"""),45896.6666666666)</f>
        <v>45896.666666666599</v>
      </c>
      <c r="B2679" s="1">
        <f ca="1">IFERROR(__xludf.DUMMYFUNCTION("""COMPUTED_VALUE"""),502)</f>
        <v>502</v>
      </c>
      <c r="C2679" s="1">
        <f ca="1">IFERROR(__xludf.DUMMYFUNCTION("""COMPUTED_VALUE"""),507.29)</f>
        <v>507.29</v>
      </c>
      <c r="D2679" s="1">
        <f ca="1">IFERROR(__xludf.DUMMYFUNCTION("""COMPUTED_VALUE"""),499.9)</f>
        <v>499.9</v>
      </c>
      <c r="E2679" s="1">
        <f ca="1">IFERROR(__xludf.DUMMYFUNCTION("""COMPUTED_VALUE"""),506.74)</f>
        <v>506.74</v>
      </c>
      <c r="F2679" s="1">
        <f ca="1">IFERROR(__xludf.DUMMYFUNCTION("""COMPUTED_VALUE"""),17277893)</f>
        <v>17277893</v>
      </c>
    </row>
    <row r="2680" spans="1:6" x14ac:dyDescent="0.35">
      <c r="A2680" s="2">
        <f ca="1">IFERROR(__xludf.DUMMYFUNCTION("""COMPUTED_VALUE"""),45897.6666666666)</f>
        <v>45897.666666666599</v>
      </c>
      <c r="B2680" s="1">
        <f ca="1">IFERROR(__xludf.DUMMYFUNCTION("""COMPUTED_VALUE"""),507.09)</f>
        <v>507.09</v>
      </c>
      <c r="C2680" s="1">
        <f ca="1">IFERROR(__xludf.DUMMYFUNCTION("""COMPUTED_VALUE"""),511.09)</f>
        <v>511.09</v>
      </c>
      <c r="D2680" s="1">
        <f ca="1">IFERROR(__xludf.DUMMYFUNCTION("""COMPUTED_VALUE"""),505.5)</f>
        <v>505.5</v>
      </c>
      <c r="E2680" s="1">
        <f ca="1">IFERROR(__xludf.DUMMYFUNCTION("""COMPUTED_VALUE"""),509.64)</f>
        <v>509.64</v>
      </c>
      <c r="F2680" s="1">
        <f ca="1">IFERROR(__xludf.DUMMYFUNCTION("""COMPUTED_VALUE"""),18015593)</f>
        <v>18015593</v>
      </c>
    </row>
    <row r="2681" spans="1:6" x14ac:dyDescent="0.35">
      <c r="A2681" s="2">
        <f ca="1">IFERROR(__xludf.DUMMYFUNCTION("""COMPUTED_VALUE"""),45898.6666666666)</f>
        <v>45898.666666666599</v>
      </c>
      <c r="B2681" s="1">
        <f ca="1">IFERROR(__xludf.DUMMYFUNCTION("""COMPUTED_VALUE"""),508.66)</f>
        <v>508.66</v>
      </c>
      <c r="C2681" s="1">
        <f ca="1">IFERROR(__xludf.DUMMYFUNCTION("""COMPUTED_VALUE"""),509.6)</f>
        <v>509.6</v>
      </c>
      <c r="D2681" s="1">
        <f ca="1">IFERROR(__xludf.DUMMYFUNCTION("""COMPUTED_VALUE"""),504.49)</f>
        <v>504.49</v>
      </c>
      <c r="E2681" s="1">
        <f ca="1">IFERROR(__xludf.DUMMYFUNCTION("""COMPUTED_VALUE"""),506.69)</f>
        <v>506.69</v>
      </c>
      <c r="F2681" s="1">
        <f ca="1">IFERROR(__xludf.DUMMYFUNCTION("""COMPUTED_VALUE"""),20961569)</f>
        <v>20961569</v>
      </c>
    </row>
    <row r="2682" spans="1:6" x14ac:dyDescent="0.35">
      <c r="A2682" s="2">
        <f ca="1">IFERROR(__xludf.DUMMYFUNCTION("""COMPUTED_VALUE"""),45902.6666666666)</f>
        <v>45902.666666666599</v>
      </c>
      <c r="B2682" s="1">
        <f ca="1">IFERROR(__xludf.DUMMYFUNCTION("""COMPUTED_VALUE"""),500.47)</f>
        <v>500.47</v>
      </c>
      <c r="C2682" s="1">
        <f ca="1">IFERROR(__xludf.DUMMYFUNCTION("""COMPUTED_VALUE"""),506)</f>
        <v>506</v>
      </c>
      <c r="D2682" s="1">
        <f ca="1">IFERROR(__xludf.DUMMYFUNCTION("""COMPUTED_VALUE"""),496.81)</f>
        <v>496.81</v>
      </c>
      <c r="E2682" s="1">
        <f ca="1">IFERROR(__xludf.DUMMYFUNCTION("""COMPUTED_VALUE"""),505.12)</f>
        <v>505.12</v>
      </c>
      <c r="F2682" s="1">
        <f ca="1">IFERROR(__xludf.DUMMYFUNCTION("""COMPUTED_VALUE"""),18127995)</f>
        <v>18127995</v>
      </c>
    </row>
    <row r="2683" spans="1:6" x14ac:dyDescent="0.35">
      <c r="A2683" s="2">
        <f ca="1">IFERROR(__xludf.DUMMYFUNCTION("""COMPUTED_VALUE"""),45903.6666666666)</f>
        <v>45903.666666666599</v>
      </c>
      <c r="B2683" s="1">
        <f ca="1">IFERROR(__xludf.DUMMYFUNCTION("""COMPUTED_VALUE"""),503.79)</f>
        <v>503.79</v>
      </c>
      <c r="C2683" s="1">
        <f ca="1">IFERROR(__xludf.DUMMYFUNCTION("""COMPUTED_VALUE"""),507.79)</f>
        <v>507.79</v>
      </c>
      <c r="D2683" s="1">
        <f ca="1">IFERROR(__xludf.DUMMYFUNCTION("""COMPUTED_VALUE"""),502.32)</f>
        <v>502.32</v>
      </c>
      <c r="E2683" s="1">
        <f ca="1">IFERROR(__xludf.DUMMYFUNCTION("""COMPUTED_VALUE"""),505.35)</f>
        <v>505.35</v>
      </c>
      <c r="F2683" s="1">
        <f ca="1">IFERROR(__xludf.DUMMYFUNCTION("""COMPUTED_VALUE"""),16345078)</f>
        <v>16345078</v>
      </c>
    </row>
    <row r="2684" spans="1:6" x14ac:dyDescent="0.35">
      <c r="A2684" s="2">
        <f ca="1">IFERROR(__xludf.DUMMYFUNCTION("""COMPUTED_VALUE"""),45904.6666666666)</f>
        <v>45904.666666666599</v>
      </c>
      <c r="B2684" s="1">
        <f ca="1">IFERROR(__xludf.DUMMYFUNCTION("""COMPUTED_VALUE"""),504.3)</f>
        <v>504.3</v>
      </c>
      <c r="C2684" s="1">
        <f ca="1">IFERROR(__xludf.DUMMYFUNCTION("""COMPUTED_VALUE"""),508.15)</f>
        <v>508.15</v>
      </c>
      <c r="D2684" s="1">
        <f ca="1">IFERROR(__xludf.DUMMYFUNCTION("""COMPUTED_VALUE"""),503.15)</f>
        <v>503.15</v>
      </c>
      <c r="E2684" s="1">
        <f ca="1">IFERROR(__xludf.DUMMYFUNCTION("""COMPUTED_VALUE"""),507.97)</f>
        <v>507.97</v>
      </c>
      <c r="F2684" s="1">
        <f ca="1">IFERROR(__xludf.DUMMYFUNCTION("""COMPUTED_VALUE"""),15509486)</f>
        <v>15509486</v>
      </c>
    </row>
    <row r="2685" spans="1:6" x14ac:dyDescent="0.35">
      <c r="A2685" s="2">
        <f ca="1">IFERROR(__xludf.DUMMYFUNCTION("""COMPUTED_VALUE"""),45905.6666666666)</f>
        <v>45905.666666666599</v>
      </c>
      <c r="B2685" s="1">
        <f ca="1">IFERROR(__xludf.DUMMYFUNCTION("""COMPUTED_VALUE"""),509.07)</f>
        <v>509.07</v>
      </c>
      <c r="C2685" s="1">
        <f ca="1">IFERROR(__xludf.DUMMYFUNCTION("""COMPUTED_VALUE"""),511.97)</f>
        <v>511.97</v>
      </c>
      <c r="D2685" s="1">
        <f ca="1">IFERROR(__xludf.DUMMYFUNCTION("""COMPUTED_VALUE"""),492.37)</f>
        <v>492.37</v>
      </c>
      <c r="E2685" s="1">
        <f ca="1">IFERROR(__xludf.DUMMYFUNCTION("""COMPUTED_VALUE"""),495)</f>
        <v>495</v>
      </c>
      <c r="F2685" s="1">
        <f ca="1">IFERROR(__xludf.DUMMYFUNCTION("""COMPUTED_VALUE"""),31994846)</f>
        <v>31994846</v>
      </c>
    </row>
    <row r="2686" spans="1:6" x14ac:dyDescent="0.35">
      <c r="A2686" s="2">
        <f ca="1">IFERROR(__xludf.DUMMYFUNCTION("""COMPUTED_VALUE"""),45908.6666666666)</f>
        <v>45908.666666666599</v>
      </c>
      <c r="B2686" s="1">
        <f ca="1">IFERROR(__xludf.DUMMYFUNCTION("""COMPUTED_VALUE"""),498.11)</f>
        <v>498.11</v>
      </c>
      <c r="C2686" s="1">
        <f ca="1">IFERROR(__xludf.DUMMYFUNCTION("""COMPUTED_VALUE"""),501.2)</f>
        <v>501.2</v>
      </c>
      <c r="D2686" s="1">
        <f ca="1">IFERROR(__xludf.DUMMYFUNCTION("""COMPUTED_VALUE"""),495.03)</f>
        <v>495.03</v>
      </c>
      <c r="E2686" s="1">
        <f ca="1">IFERROR(__xludf.DUMMYFUNCTION("""COMPUTED_VALUE"""),498.2)</f>
        <v>498.2</v>
      </c>
      <c r="F2686" s="1">
        <f ca="1">IFERROR(__xludf.DUMMYFUNCTION("""COMPUTED_VALUE"""),16771015)</f>
        <v>16771015</v>
      </c>
    </row>
    <row r="2687" spans="1:6" x14ac:dyDescent="0.35">
      <c r="A2687" s="2">
        <f ca="1">IFERROR(__xludf.DUMMYFUNCTION("""COMPUTED_VALUE"""),45909.6666666666)</f>
        <v>45909.666666666599</v>
      </c>
      <c r="B2687" s="1">
        <f ca="1">IFERROR(__xludf.DUMMYFUNCTION("""COMPUTED_VALUE"""),501.43)</f>
        <v>501.43</v>
      </c>
      <c r="C2687" s="1">
        <f ca="1">IFERROR(__xludf.DUMMYFUNCTION("""COMPUTED_VALUE"""),502.25)</f>
        <v>502.25</v>
      </c>
      <c r="D2687" s="1">
        <f ca="1">IFERROR(__xludf.DUMMYFUNCTION("""COMPUTED_VALUE"""),497.7)</f>
        <v>497.7</v>
      </c>
      <c r="E2687" s="1">
        <f ca="1">IFERROR(__xludf.DUMMYFUNCTION("""COMPUTED_VALUE"""),498.41)</f>
        <v>498.41</v>
      </c>
      <c r="F2687" s="1">
        <f ca="1">IFERROR(__xludf.DUMMYFUNCTION("""COMPUTED_VALUE"""),14410542)</f>
        <v>14410542</v>
      </c>
    </row>
    <row r="2688" spans="1:6" x14ac:dyDescent="0.35">
      <c r="A2688" s="2">
        <f ca="1">IFERROR(__xludf.DUMMYFUNCTION("""COMPUTED_VALUE"""),45910.6666666666)</f>
        <v>45910.666666666599</v>
      </c>
      <c r="B2688" s="1">
        <f ca="1">IFERROR(__xludf.DUMMYFUNCTION("""COMPUTED_VALUE"""),502.98)</f>
        <v>502.98</v>
      </c>
      <c r="C2688" s="1">
        <f ca="1">IFERROR(__xludf.DUMMYFUNCTION("""COMPUTED_VALUE"""),503.23)</f>
        <v>503.23</v>
      </c>
      <c r="D2688" s="1">
        <f ca="1">IFERROR(__xludf.DUMMYFUNCTION("""COMPUTED_VALUE"""),496.72)</f>
        <v>496.72</v>
      </c>
      <c r="E2688" s="1">
        <f ca="1">IFERROR(__xludf.DUMMYFUNCTION("""COMPUTED_VALUE"""),500.37)</f>
        <v>500.37</v>
      </c>
      <c r="F2688" s="1">
        <f ca="1">IFERROR(__xludf.DUMMYFUNCTION("""COMPUTED_VALUE"""),21611816)</f>
        <v>21611816</v>
      </c>
    </row>
    <row r="2689" spans="1:6" x14ac:dyDescent="0.35">
      <c r="A2689" s="2">
        <f ca="1">IFERROR(__xludf.DUMMYFUNCTION("""COMPUTED_VALUE"""),45911.6666666666)</f>
        <v>45911.666666666599</v>
      </c>
      <c r="B2689" s="1">
        <f ca="1">IFERROR(__xludf.DUMMYFUNCTION("""COMPUTED_VALUE"""),502.25)</f>
        <v>502.25</v>
      </c>
      <c r="C2689" s="1">
        <f ca="1">IFERROR(__xludf.DUMMYFUNCTION("""COMPUTED_VALUE"""),503.17)</f>
        <v>503.17</v>
      </c>
      <c r="D2689" s="1">
        <f ca="1">IFERROR(__xludf.DUMMYFUNCTION("""COMPUTED_VALUE"""),497.88)</f>
        <v>497.88</v>
      </c>
      <c r="E2689" s="1">
        <f ca="1">IFERROR(__xludf.DUMMYFUNCTION("""COMPUTED_VALUE"""),501.01)</f>
        <v>501.01</v>
      </c>
      <c r="F2689" s="1">
        <f ca="1">IFERROR(__xludf.DUMMYFUNCTION("""COMPUTED_VALUE"""),18881608)</f>
        <v>18881608</v>
      </c>
    </row>
    <row r="2690" spans="1:6" x14ac:dyDescent="0.35">
      <c r="A2690" s="2">
        <f ca="1">IFERROR(__xludf.DUMMYFUNCTION("""COMPUTED_VALUE"""),45912.6666666666)</f>
        <v>45912.666666666599</v>
      </c>
      <c r="B2690" s="1">
        <f ca="1">IFERROR(__xludf.DUMMYFUNCTION("""COMPUTED_VALUE"""),506.65)</f>
        <v>506.65</v>
      </c>
      <c r="C2690" s="1">
        <f ca="1">IFERROR(__xludf.DUMMYFUNCTION("""COMPUTED_VALUE"""),512.55)</f>
        <v>512.54999999999995</v>
      </c>
      <c r="D2690" s="1">
        <f ca="1">IFERROR(__xludf.DUMMYFUNCTION("""COMPUTED_VALUE"""),503.85)</f>
        <v>503.85</v>
      </c>
      <c r="E2690" s="1">
        <f ca="1">IFERROR(__xludf.DUMMYFUNCTION("""COMPUTED_VALUE"""),509.9)</f>
        <v>509.9</v>
      </c>
      <c r="F2690" s="1">
        <f ca="1">IFERROR(__xludf.DUMMYFUNCTION("""COMPUTED_VALUE"""),23624884)</f>
        <v>23624884</v>
      </c>
    </row>
    <row r="2691" spans="1:6" x14ac:dyDescent="0.35">
      <c r="A2691" s="2">
        <f ca="1">IFERROR(__xludf.DUMMYFUNCTION("""COMPUTED_VALUE"""),45915.6666666666)</f>
        <v>45915.666666666599</v>
      </c>
      <c r="B2691" s="1">
        <f ca="1">IFERROR(__xludf.DUMMYFUNCTION("""COMPUTED_VALUE"""),508.79)</f>
        <v>508.79</v>
      </c>
      <c r="C2691" s="1">
        <f ca="1">IFERROR(__xludf.DUMMYFUNCTION("""COMPUTED_VALUE"""),515.47)</f>
        <v>515.47</v>
      </c>
      <c r="D2691" s="1">
        <f ca="1">IFERROR(__xludf.DUMMYFUNCTION("""COMPUTED_VALUE"""),507)</f>
        <v>507</v>
      </c>
      <c r="E2691" s="1">
        <f ca="1">IFERROR(__xludf.DUMMYFUNCTION("""COMPUTED_VALUE"""),515.36)</f>
        <v>515.36</v>
      </c>
      <c r="F2691" s="1">
        <f ca="1">IFERROR(__xludf.DUMMYFUNCTION("""COMPUTED_VALUE"""),17143786)</f>
        <v>17143786</v>
      </c>
    </row>
    <row r="2692" spans="1:6" x14ac:dyDescent="0.35">
      <c r="A2692" s="2">
        <f ca="1">IFERROR(__xludf.DUMMYFUNCTION("""COMPUTED_VALUE"""),45916.6666666666)</f>
        <v>45916.666666666599</v>
      </c>
      <c r="B2692" s="1">
        <f ca="1">IFERROR(__xludf.DUMMYFUNCTION("""COMPUTED_VALUE"""),516.88)</f>
        <v>516.88</v>
      </c>
      <c r="C2692" s="1">
        <f ca="1">IFERROR(__xludf.DUMMYFUNCTION("""COMPUTED_VALUE"""),517.23)</f>
        <v>517.23</v>
      </c>
      <c r="D2692" s="1">
        <f ca="1">IFERROR(__xludf.DUMMYFUNCTION("""COMPUTED_VALUE"""),508.6)</f>
        <v>508.6</v>
      </c>
      <c r="E2692" s="1">
        <f ca="1">IFERROR(__xludf.DUMMYFUNCTION("""COMPUTED_VALUE"""),509.04)</f>
        <v>509.04</v>
      </c>
      <c r="F2692" s="1">
        <f ca="1">IFERROR(__xludf.DUMMYFUNCTION("""COMPUTED_VALUE"""),19711922)</f>
        <v>19711922</v>
      </c>
    </row>
    <row r="2693" spans="1:6" x14ac:dyDescent="0.35">
      <c r="A2693" s="2">
        <f ca="1">IFERROR(__xludf.DUMMYFUNCTION("""COMPUTED_VALUE"""),45917.6666666666)</f>
        <v>45917.666666666599</v>
      </c>
      <c r="B2693" s="1">
        <f ca="1">IFERROR(__xludf.DUMMYFUNCTION("""COMPUTED_VALUE"""),510.62)</f>
        <v>510.62</v>
      </c>
      <c r="C2693" s="1">
        <f ca="1">IFERROR(__xludf.DUMMYFUNCTION("""COMPUTED_VALUE"""),511.29)</f>
        <v>511.29</v>
      </c>
      <c r="D2693" s="1">
        <f ca="1">IFERROR(__xludf.DUMMYFUNCTION("""COMPUTED_VALUE"""),505.93)</f>
        <v>505.93</v>
      </c>
      <c r="E2693" s="1">
        <f ca="1">IFERROR(__xludf.DUMMYFUNCTION("""COMPUTED_VALUE"""),510.02)</f>
        <v>510.02</v>
      </c>
      <c r="F2693" s="1">
        <f ca="1">IFERROR(__xludf.DUMMYFUNCTION("""COMPUTED_VALUE"""),15816585)</f>
        <v>15816585</v>
      </c>
    </row>
    <row r="2694" spans="1:6" x14ac:dyDescent="0.35">
      <c r="A2694" s="2">
        <f ca="1">IFERROR(__xludf.DUMMYFUNCTION("""COMPUTED_VALUE"""),45918.6666666666)</f>
        <v>45918.666666666599</v>
      </c>
      <c r="B2694" s="1">
        <f ca="1">IFERROR(__xludf.DUMMYFUNCTION("""COMPUTED_VALUE"""),511.49)</f>
        <v>511.49</v>
      </c>
      <c r="C2694" s="1">
        <f ca="1">IFERROR(__xludf.DUMMYFUNCTION("""COMPUTED_VALUE"""),513.07)</f>
        <v>513.07000000000005</v>
      </c>
      <c r="D2694" s="1">
        <f ca="1">IFERROR(__xludf.DUMMYFUNCTION("""COMPUTED_VALUE"""),507.66)</f>
        <v>507.66</v>
      </c>
      <c r="E2694" s="1">
        <f ca="1">IFERROR(__xludf.DUMMYFUNCTION("""COMPUTED_VALUE"""),508.45)</f>
        <v>508.45</v>
      </c>
      <c r="F2694" s="1">
        <f ca="1">IFERROR(__xludf.DUMMYFUNCTION("""COMPUTED_VALUE"""),18913696)</f>
        <v>18913696</v>
      </c>
    </row>
    <row r="2695" spans="1:6" x14ac:dyDescent="0.35">
      <c r="A2695" s="2">
        <f ca="1">IFERROR(__xludf.DUMMYFUNCTION("""COMPUTED_VALUE"""),45919.6666666666)</f>
        <v>45919.666666666599</v>
      </c>
      <c r="B2695" s="1">
        <f ca="1">IFERROR(__xludf.DUMMYFUNCTION("""COMPUTED_VALUE"""),510.56)</f>
        <v>510.56</v>
      </c>
      <c r="C2695" s="1">
        <f ca="1">IFERROR(__xludf.DUMMYFUNCTION("""COMPUTED_VALUE"""),519.3)</f>
        <v>519.29999999999995</v>
      </c>
      <c r="D2695" s="1">
        <f ca="1">IFERROR(__xludf.DUMMYFUNCTION("""COMPUTED_VALUE"""),510.31)</f>
        <v>510.31</v>
      </c>
      <c r="E2695" s="1">
        <f ca="1">IFERROR(__xludf.DUMMYFUNCTION("""COMPUTED_VALUE"""),517.93)</f>
        <v>517.92999999999995</v>
      </c>
      <c r="F2695" s="1">
        <f ca="1">IFERROR(__xludf.DUMMYFUNCTION("""COMPUTED_VALUE"""),52474093)</f>
        <v>52474093</v>
      </c>
    </row>
    <row r="2696" spans="1:6" x14ac:dyDescent="0.35">
      <c r="A2696" s="2">
        <f ca="1">IFERROR(__xludf.DUMMYFUNCTION("""COMPUTED_VALUE"""),45922.6666666666)</f>
        <v>45922.666666666599</v>
      </c>
      <c r="B2696" s="1">
        <f ca="1">IFERROR(__xludf.DUMMYFUNCTION("""COMPUTED_VALUE"""),515.59)</f>
        <v>515.59</v>
      </c>
      <c r="C2696" s="1">
        <f ca="1">IFERROR(__xludf.DUMMYFUNCTION("""COMPUTED_VALUE"""),517.74)</f>
        <v>517.74</v>
      </c>
      <c r="D2696" s="1">
        <f ca="1">IFERROR(__xludf.DUMMYFUNCTION("""COMPUTED_VALUE"""),512.54)</f>
        <v>512.54</v>
      </c>
      <c r="E2696" s="1">
        <f ca="1">IFERROR(__xludf.DUMMYFUNCTION("""COMPUTED_VALUE"""),514.45)</f>
        <v>514.45000000000005</v>
      </c>
      <c r="F2696" s="1">
        <f ca="1">IFERROR(__xludf.DUMMYFUNCTION("""COMPUTED_VALUE"""),20009314)</f>
        <v>20009314</v>
      </c>
    </row>
    <row r="2697" spans="1:6" x14ac:dyDescent="0.35">
      <c r="A2697" s="2">
        <f ca="1">IFERROR(__xludf.DUMMYFUNCTION("""COMPUTED_VALUE"""),45923.6666666666)</f>
        <v>45923.666666666599</v>
      </c>
      <c r="B2697" s="1">
        <f ca="1">IFERROR(__xludf.DUMMYFUNCTION("""COMPUTED_VALUE"""),513.8)</f>
        <v>513.79999999999995</v>
      </c>
      <c r="C2697" s="1">
        <f ca="1">IFERROR(__xludf.DUMMYFUNCTION("""COMPUTED_VALUE"""),514.59)</f>
        <v>514.59</v>
      </c>
      <c r="D2697" s="1">
        <f ca="1">IFERROR(__xludf.DUMMYFUNCTION("""COMPUTED_VALUE"""),507.31)</f>
        <v>507.31</v>
      </c>
      <c r="E2697" s="1">
        <f ca="1">IFERROR(__xludf.DUMMYFUNCTION("""COMPUTED_VALUE"""),509.23)</f>
        <v>509.23</v>
      </c>
      <c r="F2697" s="1">
        <f ca="1">IFERROR(__xludf.DUMMYFUNCTION("""COMPUTED_VALUE"""),19799580)</f>
        <v>19799580</v>
      </c>
    </row>
    <row r="2698" spans="1:6" x14ac:dyDescent="0.35">
      <c r="A2698" s="2">
        <f ca="1">IFERROR(__xludf.DUMMYFUNCTION("""COMPUTED_VALUE"""),45924.6666666666)</f>
        <v>45924.666666666599</v>
      </c>
      <c r="B2698" s="1">
        <f ca="1">IFERROR(__xludf.DUMMYFUNCTION("""COMPUTED_VALUE"""),513.8)</f>
        <v>513.79999999999995</v>
      </c>
      <c r="C2698" s="1">
        <f ca="1">IFERROR(__xludf.DUMMYFUNCTION("""COMPUTED_VALUE"""),514.59)</f>
        <v>514.59</v>
      </c>
      <c r="D2698" s="1">
        <f ca="1">IFERROR(__xludf.DUMMYFUNCTION("""COMPUTED_VALUE"""),507.31)</f>
        <v>507.31</v>
      </c>
      <c r="E2698" s="1">
        <f ca="1">IFERROR(__xludf.DUMMYFUNCTION("""COMPUTED_VALUE"""),509.23)</f>
        <v>509.23</v>
      </c>
      <c r="F2698" s="1">
        <f ca="1">IFERROR(__xludf.DUMMYFUNCTION("""COMPUTED_VALUE"""),98063)</f>
        <v>98063</v>
      </c>
    </row>
    <row r="2699" spans="1:6" x14ac:dyDescent="0.35">
      <c r="A2699" s="2">
        <f ca="1">IFERROR(__xludf.DUMMYFUNCTION("""COMPUTED_VALUE"""),45926.6666666666)</f>
        <v>45926.666666666599</v>
      </c>
      <c r="B2699" s="1">
        <f ca="1">IFERROR(__xludf.DUMMYFUNCTION("""COMPUTED_VALUE"""),510.06)</f>
        <v>510.06</v>
      </c>
      <c r="C2699" s="1">
        <f ca="1">IFERROR(__xludf.DUMMYFUNCTION("""COMPUTED_VALUE"""),513.94)</f>
        <v>513.94000000000005</v>
      </c>
      <c r="D2699" s="1">
        <f ca="1">IFERROR(__xludf.DUMMYFUNCTION("""COMPUTED_VALUE"""),506.62)</f>
        <v>506.62</v>
      </c>
      <c r="E2699" s="1">
        <f ca="1">IFERROR(__xludf.DUMMYFUNCTION("""COMPUTED_VALUE"""),511.46)</f>
        <v>511.46</v>
      </c>
      <c r="F2699" s="1">
        <f ca="1">IFERROR(__xludf.DUMMYFUNCTION("""COMPUTED_VALUE"""),16213129)</f>
        <v>16213129</v>
      </c>
    </row>
    <row r="2700" spans="1:6" x14ac:dyDescent="0.35">
      <c r="A2700" s="2">
        <f ca="1">IFERROR(__xludf.DUMMYFUNCTION("""COMPUTED_VALUE"""),45929.6666666666)</f>
        <v>45929.666666666599</v>
      </c>
      <c r="B2700" s="1">
        <f ca="1">IFERROR(__xludf.DUMMYFUNCTION("""COMPUTED_VALUE"""),511.5)</f>
        <v>511.5</v>
      </c>
      <c r="C2700" s="1">
        <f ca="1">IFERROR(__xludf.DUMMYFUNCTION("""COMPUTED_VALUE"""),516.85)</f>
        <v>516.85</v>
      </c>
      <c r="D2700" s="1">
        <f ca="1">IFERROR(__xludf.DUMMYFUNCTION("""COMPUTED_VALUE"""),508.88)</f>
        <v>508.88</v>
      </c>
      <c r="E2700" s="1">
        <f ca="1">IFERROR(__xludf.DUMMYFUNCTION("""COMPUTED_VALUE"""),514.6)</f>
        <v>514.6</v>
      </c>
      <c r="F2700" s="1">
        <f ca="1">IFERROR(__xludf.DUMMYFUNCTION("""COMPUTED_VALUE"""),17617775)</f>
        <v>17617775</v>
      </c>
    </row>
    <row r="2701" spans="1:6" x14ac:dyDescent="0.35">
      <c r="A2701" s="2">
        <f ca="1">IFERROR(__xludf.DUMMYFUNCTION("""COMPUTED_VALUE"""),45930.6666666666)</f>
        <v>45930.666666666599</v>
      </c>
      <c r="B2701" s="1">
        <f ca="1">IFERROR(__xludf.DUMMYFUNCTION("""COMPUTED_VALUE"""),513.24)</f>
        <v>513.24</v>
      </c>
      <c r="C2701" s="1">
        <f ca="1">IFERROR(__xludf.DUMMYFUNCTION("""COMPUTED_VALUE"""),518.16)</f>
        <v>518.16</v>
      </c>
      <c r="D2701" s="1">
        <f ca="1">IFERROR(__xludf.DUMMYFUNCTION("""COMPUTED_VALUE"""),509.66)</f>
        <v>509.66</v>
      </c>
      <c r="E2701" s="1">
        <f ca="1">IFERROR(__xludf.DUMMYFUNCTION("""COMPUTED_VALUE"""),517.95)</f>
        <v>517.95000000000005</v>
      </c>
      <c r="F2701" s="1">
        <f ca="1">IFERROR(__xludf.DUMMYFUNCTION("""COMPUTED_VALUE"""),19728229)</f>
        <v>19728229</v>
      </c>
    </row>
    <row r="2702" spans="1:6" x14ac:dyDescent="0.35">
      <c r="A2702" s="2">
        <f ca="1">IFERROR(__xludf.DUMMYFUNCTION("""COMPUTED_VALUE"""),45931.6666666666)</f>
        <v>45931.666666666599</v>
      </c>
      <c r="B2702" s="1">
        <f ca="1">IFERROR(__xludf.DUMMYFUNCTION("""COMPUTED_VALUE"""),514.8)</f>
        <v>514.79999999999995</v>
      </c>
      <c r="C2702" s="1">
        <f ca="1">IFERROR(__xludf.DUMMYFUNCTION("""COMPUTED_VALUE"""),520.51)</f>
        <v>520.51</v>
      </c>
      <c r="D2702" s="1">
        <f ca="1">IFERROR(__xludf.DUMMYFUNCTION("""COMPUTED_VALUE"""),511.69)</f>
        <v>511.69</v>
      </c>
      <c r="E2702" s="1">
        <f ca="1">IFERROR(__xludf.DUMMYFUNCTION("""COMPUTED_VALUE"""),519.71)</f>
        <v>519.71</v>
      </c>
      <c r="F2702" s="1">
        <f ca="1">IFERROR(__xludf.DUMMYFUNCTION("""COMPUTED_VALUE"""),22632336)</f>
        <v>22632336</v>
      </c>
    </row>
    <row r="2703" spans="1:6" x14ac:dyDescent="0.35">
      <c r="A2703" s="2">
        <f ca="1">IFERROR(__xludf.DUMMYFUNCTION("""COMPUTED_VALUE"""),45932.6666666666)</f>
        <v>45932.666666666599</v>
      </c>
      <c r="B2703" s="1">
        <f ca="1">IFERROR(__xludf.DUMMYFUNCTION("""COMPUTED_VALUE"""),517.64)</f>
        <v>517.64</v>
      </c>
      <c r="C2703" s="1">
        <f ca="1">IFERROR(__xludf.DUMMYFUNCTION("""COMPUTED_VALUE"""),521.6)</f>
        <v>521.6</v>
      </c>
      <c r="D2703" s="1">
        <f ca="1">IFERROR(__xludf.DUMMYFUNCTION("""COMPUTED_VALUE"""),510.68)</f>
        <v>510.68</v>
      </c>
      <c r="E2703" s="1">
        <f ca="1">IFERROR(__xludf.DUMMYFUNCTION("""COMPUTED_VALUE"""),515.74)</f>
        <v>515.74</v>
      </c>
      <c r="F2703" s="1">
        <f ca="1">IFERROR(__xludf.DUMMYFUNCTION("""COMPUTED_VALUE"""),21222886)</f>
        <v>21222886</v>
      </c>
    </row>
    <row r="2704" spans="1:6" x14ac:dyDescent="0.35">
      <c r="A2704" s="2">
        <f ca="1">IFERROR(__xludf.DUMMYFUNCTION("""COMPUTED_VALUE"""),45933.6666666666)</f>
        <v>45933.666666666599</v>
      </c>
      <c r="B2704" s="1">
        <f ca="1">IFERROR(__xludf.DUMMYFUNCTION("""COMPUTED_VALUE"""),517.1)</f>
        <v>517.1</v>
      </c>
      <c r="C2704" s="1">
        <f ca="1">IFERROR(__xludf.DUMMYFUNCTION("""COMPUTED_VALUE"""),520.49)</f>
        <v>520.49</v>
      </c>
      <c r="D2704" s="1">
        <f ca="1">IFERROR(__xludf.DUMMYFUNCTION("""COMPUTED_VALUE"""),515)</f>
        <v>515</v>
      </c>
      <c r="E2704" s="1">
        <f ca="1">IFERROR(__xludf.DUMMYFUNCTION("""COMPUTED_VALUE"""),517.35)</f>
        <v>517.35</v>
      </c>
      <c r="F2704" s="1">
        <f ca="1">IFERROR(__xludf.DUMMYFUNCTION("""COMPUTED_VALUE"""),15112321)</f>
        <v>15112321</v>
      </c>
    </row>
    <row r="2705" spans="1:6" x14ac:dyDescent="0.35">
      <c r="A2705" s="2">
        <f ca="1">IFERROR(__xludf.DUMMYFUNCTION("""COMPUTED_VALUE"""),45936.6666666666)</f>
        <v>45936.666666666599</v>
      </c>
      <c r="B2705" s="1">
        <f ca="1">IFERROR(__xludf.DUMMYFUNCTION("""COMPUTED_VALUE"""),518.61)</f>
        <v>518.61</v>
      </c>
      <c r="C2705" s="1">
        <f ca="1">IFERROR(__xludf.DUMMYFUNCTION("""COMPUTED_VALUE"""),531.03)</f>
        <v>531.03</v>
      </c>
      <c r="D2705" s="1">
        <f ca="1">IFERROR(__xludf.DUMMYFUNCTION("""COMPUTED_VALUE"""),518.2)</f>
        <v>518.20000000000005</v>
      </c>
      <c r="E2705" s="1">
        <f ca="1">IFERROR(__xludf.DUMMYFUNCTION("""COMPUTED_VALUE"""),528.57)</f>
        <v>528.57000000000005</v>
      </c>
      <c r="F2705" s="1">
        <f ca="1">IFERROR(__xludf.DUMMYFUNCTION("""COMPUTED_VALUE"""),21388581)</f>
        <v>21388581</v>
      </c>
    </row>
    <row r="2706" spans="1:6" x14ac:dyDescent="0.35">
      <c r="A2706" s="2">
        <f ca="1">IFERROR(__xludf.DUMMYFUNCTION("""COMPUTED_VALUE"""),45937.6666666666)</f>
        <v>45937.666666666599</v>
      </c>
      <c r="B2706" s="1">
        <f ca="1">IFERROR(__xludf.DUMMYFUNCTION("""COMPUTED_VALUE"""),528.29)</f>
        <v>528.29</v>
      </c>
      <c r="C2706" s="1">
        <f ca="1">IFERROR(__xludf.DUMMYFUNCTION("""COMPUTED_VALUE"""),529.8)</f>
        <v>529.79999999999995</v>
      </c>
      <c r="D2706" s="1">
        <f ca="1">IFERROR(__xludf.DUMMYFUNCTION("""COMPUTED_VALUE"""),521.44)</f>
        <v>521.44000000000005</v>
      </c>
      <c r="E2706" s="1">
        <f ca="1">IFERROR(__xludf.DUMMYFUNCTION("""COMPUTED_VALUE"""),523.98)</f>
        <v>523.98</v>
      </c>
      <c r="F2706" s="1">
        <f ca="1">IFERROR(__xludf.DUMMYFUNCTION("""COMPUTED_VALUE"""),14615208)</f>
        <v>14615208</v>
      </c>
    </row>
    <row r="2707" spans="1:6" x14ac:dyDescent="0.35">
      <c r="A2707" s="2">
        <f ca="1">IFERROR(__xludf.DUMMYFUNCTION("""COMPUTED_VALUE"""),45938.6666666666)</f>
        <v>45938.666666666599</v>
      </c>
      <c r="B2707" s="1">
        <f ca="1">IFERROR(__xludf.DUMMYFUNCTION("""COMPUTED_VALUE"""),523.28)</f>
        <v>523.28</v>
      </c>
      <c r="C2707" s="1">
        <f ca="1">IFERROR(__xludf.DUMMYFUNCTION("""COMPUTED_VALUE"""),526.95)</f>
        <v>526.95000000000005</v>
      </c>
      <c r="D2707" s="1">
        <f ca="1">IFERROR(__xludf.DUMMYFUNCTION("""COMPUTED_VALUE"""),523.09)</f>
        <v>523.09</v>
      </c>
      <c r="E2707" s="1">
        <f ca="1">IFERROR(__xludf.DUMMYFUNCTION("""COMPUTED_VALUE"""),524.85)</f>
        <v>524.85</v>
      </c>
      <c r="F2707" s="1">
        <f ca="1">IFERROR(__xludf.DUMMYFUNCTION("""COMPUTED_VALUE"""),13363447)</f>
        <v>13363447</v>
      </c>
    </row>
    <row r="2708" spans="1:6" x14ac:dyDescent="0.35">
      <c r="A2708" s="2">
        <f ca="1">IFERROR(__xludf.DUMMYFUNCTION("""COMPUTED_VALUE"""),45939.6666666666)</f>
        <v>45939.666666666599</v>
      </c>
      <c r="B2708" s="1">
        <f ca="1">IFERROR(__xludf.DUMMYFUNCTION("""COMPUTED_VALUE"""),522.34)</f>
        <v>522.34</v>
      </c>
      <c r="C2708" s="1">
        <f ca="1">IFERROR(__xludf.DUMMYFUNCTION("""COMPUTED_VALUE"""),524.33)</f>
        <v>524.33000000000004</v>
      </c>
      <c r="D2708" s="1">
        <f ca="1">IFERROR(__xludf.DUMMYFUNCTION("""COMPUTED_VALUE"""),517.4)</f>
        <v>517.4</v>
      </c>
      <c r="E2708" s="1">
        <f ca="1">IFERROR(__xludf.DUMMYFUNCTION("""COMPUTED_VALUE"""),522.4)</f>
        <v>522.4</v>
      </c>
      <c r="F2708" s="1">
        <f ca="1">IFERROR(__xludf.DUMMYFUNCTION("""COMPUTED_VALUE"""),18343602)</f>
        <v>18343602</v>
      </c>
    </row>
    <row r="2709" spans="1:6" x14ac:dyDescent="0.35">
      <c r="A2709" s="2">
        <f ca="1">IFERROR(__xludf.DUMMYFUNCTION("""COMPUTED_VALUE"""),45940.6666666666)</f>
        <v>45940.666666666599</v>
      </c>
      <c r="B2709" s="1">
        <f ca="1">IFERROR(__xludf.DUMMYFUNCTION("""COMPUTED_VALUE"""),519.64)</f>
        <v>519.64</v>
      </c>
      <c r="C2709" s="1">
        <f ca="1">IFERROR(__xludf.DUMMYFUNCTION("""COMPUTED_VALUE"""),523.58)</f>
        <v>523.58000000000004</v>
      </c>
      <c r="D2709" s="1">
        <f ca="1">IFERROR(__xludf.DUMMYFUNCTION("""COMPUTED_VALUE"""),509.63)</f>
        <v>509.63</v>
      </c>
      <c r="E2709" s="1">
        <f ca="1">IFERROR(__xludf.DUMMYFUNCTION("""COMPUTED_VALUE"""),510.96)</f>
        <v>510.96</v>
      </c>
      <c r="F2709" s="1">
        <f ca="1">IFERROR(__xludf.DUMMYFUNCTION("""COMPUTED_VALUE"""),24133840)</f>
        <v>24133840</v>
      </c>
    </row>
    <row r="2710" spans="1:6" x14ac:dyDescent="0.35">
      <c r="A2710" s="2">
        <f ca="1">IFERROR(__xludf.DUMMYFUNCTION("""COMPUTED_VALUE"""),45943.6666666666)</f>
        <v>45943.666666666599</v>
      </c>
      <c r="B2710" s="1">
        <f ca="1">IFERROR(__xludf.DUMMYFUNCTION("""COMPUTED_VALUE"""),516.41)</f>
        <v>516.41</v>
      </c>
      <c r="C2710" s="1">
        <f ca="1">IFERROR(__xludf.DUMMYFUNCTION("""COMPUTED_VALUE"""),516.41)</f>
        <v>516.41</v>
      </c>
      <c r="D2710" s="1">
        <f ca="1">IFERROR(__xludf.DUMMYFUNCTION("""COMPUTED_VALUE"""),511.68)</f>
        <v>511.68</v>
      </c>
      <c r="E2710" s="1">
        <f ca="1">IFERROR(__xludf.DUMMYFUNCTION("""COMPUTED_VALUE"""),514.05)</f>
        <v>514.04999999999995</v>
      </c>
      <c r="F2710" s="1">
        <f ca="1">IFERROR(__xludf.DUMMYFUNCTION("""COMPUTED_VALUE"""),14284238)</f>
        <v>14284238</v>
      </c>
    </row>
    <row r="2711" spans="1:6" x14ac:dyDescent="0.35">
      <c r="A2711" s="2">
        <f ca="1">IFERROR(__xludf.DUMMYFUNCTION("""COMPUTED_VALUE"""),45944.6666666666)</f>
        <v>45944.666666666599</v>
      </c>
      <c r="B2711" s="1">
        <f ca="1">IFERROR(__xludf.DUMMYFUNCTION("""COMPUTED_VALUE"""),510.23)</f>
        <v>510.23</v>
      </c>
      <c r="C2711" s="1">
        <f ca="1">IFERROR(__xludf.DUMMYFUNCTION("""COMPUTED_VALUE"""),515.28)</f>
        <v>515.28</v>
      </c>
      <c r="D2711" s="1">
        <f ca="1">IFERROR(__xludf.DUMMYFUNCTION("""COMPUTED_VALUE"""),506)</f>
        <v>506</v>
      </c>
      <c r="E2711" s="1">
        <f ca="1">IFERROR(__xludf.DUMMYFUNCTION("""COMPUTED_VALUE"""),513.57)</f>
        <v>513.57000000000005</v>
      </c>
      <c r="F2711" s="1">
        <f ca="1">IFERROR(__xludf.DUMMYFUNCTION("""COMPUTED_VALUE"""),14684300)</f>
        <v>14684300</v>
      </c>
    </row>
    <row r="2712" spans="1:6" x14ac:dyDescent="0.35">
      <c r="A2712" s="2">
        <f ca="1">IFERROR(__xludf.DUMMYFUNCTION("""COMPUTED_VALUE"""),45945.6666666666)</f>
        <v>45945.666666666599</v>
      </c>
      <c r="B2712" s="1">
        <f ca="1">IFERROR(__xludf.DUMMYFUNCTION("""COMPUTED_VALUE"""),514.96)</f>
        <v>514.96</v>
      </c>
      <c r="C2712" s="1">
        <f ca="1">IFERROR(__xludf.DUMMYFUNCTION("""COMPUTED_VALUE"""),517.19)</f>
        <v>517.19000000000005</v>
      </c>
      <c r="D2712" s="1">
        <f ca="1">IFERROR(__xludf.DUMMYFUNCTION("""COMPUTED_VALUE"""),510)</f>
        <v>510</v>
      </c>
      <c r="E2712" s="1">
        <f ca="1">IFERROR(__xludf.DUMMYFUNCTION("""COMPUTED_VALUE"""),513.43)</f>
        <v>513.42999999999995</v>
      </c>
      <c r="F2712" s="1">
        <f ca="1">IFERROR(__xludf.DUMMYFUNCTION("""COMPUTED_VALUE"""),14694654)</f>
        <v>14694654</v>
      </c>
    </row>
    <row r="2713" spans="1:6" x14ac:dyDescent="0.35">
      <c r="A2713" s="2">
        <f ca="1">IFERROR(__xludf.DUMMYFUNCTION("""COMPUTED_VALUE"""),45946.6666666666)</f>
        <v>45946.666666666599</v>
      </c>
      <c r="B2713" s="1">
        <f ca="1">IFERROR(__xludf.DUMMYFUNCTION("""COMPUTED_VALUE"""),512.58)</f>
        <v>512.58000000000004</v>
      </c>
      <c r="C2713" s="1">
        <f ca="1">IFERROR(__xludf.DUMMYFUNCTION("""COMPUTED_VALUE"""),516.85)</f>
        <v>516.85</v>
      </c>
      <c r="D2713" s="1">
        <f ca="1">IFERROR(__xludf.DUMMYFUNCTION("""COMPUTED_VALUE"""),508.13)</f>
        <v>508.13</v>
      </c>
      <c r="E2713" s="1">
        <f ca="1">IFERROR(__xludf.DUMMYFUNCTION("""COMPUTED_VALUE"""),511.61)</f>
        <v>511.61</v>
      </c>
      <c r="F2713" s="1">
        <f ca="1">IFERROR(__xludf.DUMMYFUNCTION("""COMPUTED_VALUE"""),15559565)</f>
        <v>15559565</v>
      </c>
    </row>
    <row r="2714" spans="1:6" x14ac:dyDescent="0.35">
      <c r="A2714" s="2">
        <f ca="1">IFERROR(__xludf.DUMMYFUNCTION("""COMPUTED_VALUE"""),45947.6666666666)</f>
        <v>45947.666666666599</v>
      </c>
      <c r="B2714" s="1">
        <f ca="1">IFERROR(__xludf.DUMMYFUNCTION("""COMPUTED_VALUE"""),509.04)</f>
        <v>509.04</v>
      </c>
      <c r="C2714" s="1">
        <f ca="1">IFERROR(__xludf.DUMMYFUNCTION("""COMPUTED_VALUE"""),515.48)</f>
        <v>515.48</v>
      </c>
      <c r="D2714" s="1">
        <f ca="1">IFERROR(__xludf.DUMMYFUNCTION("""COMPUTED_VALUE"""),507.31)</f>
        <v>507.31</v>
      </c>
      <c r="E2714" s="1">
        <f ca="1">IFERROR(__xludf.DUMMYFUNCTION("""COMPUTED_VALUE"""),513.58)</f>
        <v>513.58000000000004</v>
      </c>
      <c r="F2714" s="1">
        <f ca="1">IFERROR(__xludf.DUMMYFUNCTION("""COMPUTED_VALUE"""),19867765)</f>
        <v>19867765</v>
      </c>
    </row>
    <row r="2715" spans="1:6" x14ac:dyDescent="0.35">
      <c r="A2715" s="2">
        <f ca="1">IFERROR(__xludf.DUMMYFUNCTION("""COMPUTED_VALUE"""),45950.6666666666)</f>
        <v>45950.666666666599</v>
      </c>
      <c r="B2715" s="1">
        <f ca="1">IFERROR(__xludf.DUMMYFUNCTION("""COMPUTED_VALUE"""),514.61)</f>
        <v>514.61</v>
      </c>
      <c r="C2715" s="1">
        <f ca="1">IFERROR(__xludf.DUMMYFUNCTION("""COMPUTED_VALUE"""),518.7)</f>
        <v>518.70000000000005</v>
      </c>
      <c r="D2715" s="1">
        <f ca="1">IFERROR(__xludf.DUMMYFUNCTION("""COMPUTED_VALUE"""),513.43)</f>
        <v>513.42999999999995</v>
      </c>
      <c r="E2715" s="1">
        <f ca="1">IFERROR(__xludf.DUMMYFUNCTION("""COMPUTED_VALUE"""),516.79)</f>
        <v>516.79</v>
      </c>
      <c r="F2715" s="1">
        <f ca="1">IFERROR(__xludf.DUMMYFUNCTION("""COMPUTED_VALUE"""),14665620)</f>
        <v>14665620</v>
      </c>
    </row>
    <row r="2716" spans="1:6" x14ac:dyDescent="0.35">
      <c r="A2716" s="2">
        <f ca="1">IFERROR(__xludf.DUMMYFUNCTION("""COMPUTED_VALUE"""),45951.6666666666)</f>
        <v>45951.666666666599</v>
      </c>
      <c r="B2716" s="1">
        <f ca="1">IFERROR(__xludf.DUMMYFUNCTION("""COMPUTED_VALUE"""),517.5)</f>
        <v>517.5</v>
      </c>
      <c r="C2716" s="1">
        <f ca="1">IFERROR(__xludf.DUMMYFUNCTION("""COMPUTED_VALUE"""),518.69)</f>
        <v>518.69000000000005</v>
      </c>
      <c r="D2716" s="1">
        <f ca="1">IFERROR(__xludf.DUMMYFUNCTION("""COMPUTED_VALUE"""),513.04)</f>
        <v>513.04</v>
      </c>
      <c r="E2716" s="1">
        <f ca="1">IFERROR(__xludf.DUMMYFUNCTION("""COMPUTED_VALUE"""),517.66)</f>
        <v>517.66</v>
      </c>
      <c r="F2716" s="1">
        <f ca="1">IFERROR(__xludf.DUMMYFUNCTION("""COMPUTED_VALUE"""),15586204)</f>
        <v>15586204</v>
      </c>
    </row>
    <row r="2717" spans="1:6" x14ac:dyDescent="0.35">
      <c r="A2717" s="2">
        <f ca="1">IFERROR(__xludf.DUMMYFUNCTION("""COMPUTED_VALUE"""),45952.6666666666)</f>
        <v>45952.666666666599</v>
      </c>
      <c r="B2717" s="1">
        <f ca="1">IFERROR(__xludf.DUMMYFUNCTION("""COMPUTED_VALUE"""),521.15)</f>
        <v>521.15</v>
      </c>
      <c r="C2717" s="1">
        <f ca="1">IFERROR(__xludf.DUMMYFUNCTION("""COMPUTED_VALUE"""),525.23)</f>
        <v>525.23</v>
      </c>
      <c r="D2717" s="1">
        <f ca="1">IFERROR(__xludf.DUMMYFUNCTION("""COMPUTED_VALUE"""),517.71)</f>
        <v>517.71</v>
      </c>
      <c r="E2717" s="1">
        <f ca="1">IFERROR(__xludf.DUMMYFUNCTION("""COMPUTED_VALUE"""),520.54)</f>
        <v>520.54</v>
      </c>
      <c r="F2717" s="1">
        <f ca="1">IFERROR(__xludf.DUMMYFUNCTION("""COMPUTED_VALUE"""),18962694)</f>
        <v>18962694</v>
      </c>
    </row>
    <row r="2718" spans="1:6" x14ac:dyDescent="0.35">
      <c r="A2718" s="2">
        <f ca="1">IFERROR(__xludf.DUMMYFUNCTION("""COMPUTED_VALUE"""),45953.6666666666)</f>
        <v>45953.666666666599</v>
      </c>
      <c r="B2718" s="1">
        <f ca="1">IFERROR(__xludf.DUMMYFUNCTION("""COMPUTED_VALUE"""),522.46)</f>
        <v>522.46</v>
      </c>
      <c r="C2718" s="1">
        <f ca="1">IFERROR(__xludf.DUMMYFUNCTION("""COMPUTED_VALUE"""),523.95)</f>
        <v>523.95000000000005</v>
      </c>
      <c r="D2718" s="1">
        <f ca="1">IFERROR(__xludf.DUMMYFUNCTION("""COMPUTED_VALUE"""),518.61)</f>
        <v>518.61</v>
      </c>
      <c r="E2718" s="1">
        <f ca="1">IFERROR(__xludf.DUMMYFUNCTION("""COMPUTED_VALUE"""),520.56)</f>
        <v>520.55999999999995</v>
      </c>
      <c r="F2718" s="1">
        <f ca="1">IFERROR(__xludf.DUMMYFUNCTION("""COMPUTED_VALUE"""),14023532)</f>
        <v>14023532</v>
      </c>
    </row>
    <row r="2719" spans="1:6" x14ac:dyDescent="0.35">
      <c r="A2719" s="2">
        <f ca="1">IFERROR(__xludf.DUMMYFUNCTION("""COMPUTED_VALUE"""),45954.6666666666)</f>
        <v>45954.666666666599</v>
      </c>
      <c r="B2719" s="1">
        <f ca="1">IFERROR(__xludf.DUMMYFUNCTION("""COMPUTED_VALUE"""),522.79)</f>
        <v>522.79</v>
      </c>
      <c r="C2719" s="1">
        <f ca="1">IFERROR(__xludf.DUMMYFUNCTION("""COMPUTED_VALUE"""),525.35)</f>
        <v>525.35</v>
      </c>
      <c r="D2719" s="1">
        <f ca="1">IFERROR(__xludf.DUMMYFUNCTION("""COMPUTED_VALUE"""),520.71)</f>
        <v>520.71</v>
      </c>
      <c r="E2719" s="1">
        <f ca="1">IFERROR(__xludf.DUMMYFUNCTION("""COMPUTED_VALUE"""),523.61)</f>
        <v>523.61</v>
      </c>
      <c r="F2719" s="1">
        <f ca="1">IFERROR(__xludf.DUMMYFUNCTION("""COMPUTED_VALUE"""),15532360)</f>
        <v>15532360</v>
      </c>
    </row>
    <row r="2720" spans="1:6" x14ac:dyDescent="0.35">
      <c r="A2720" s="2">
        <f ca="1">IFERROR(__xludf.DUMMYFUNCTION("""COMPUTED_VALUE"""),45957.6666666666)</f>
        <v>45957.666666666599</v>
      </c>
      <c r="B2720" s="1">
        <f ca="1">IFERROR(__xludf.DUMMYFUNCTION("""COMPUTED_VALUE"""),531.78)</f>
        <v>531.78</v>
      </c>
      <c r="C2720" s="1">
        <f ca="1">IFERROR(__xludf.DUMMYFUNCTION("""COMPUTED_VALUE"""),534.58)</f>
        <v>534.58000000000004</v>
      </c>
      <c r="D2720" s="1">
        <f ca="1">IFERROR(__xludf.DUMMYFUNCTION("""COMPUTED_VALUE"""),529.01)</f>
        <v>529.01</v>
      </c>
      <c r="E2720" s="1">
        <f ca="1">IFERROR(__xludf.DUMMYFUNCTION("""COMPUTED_VALUE"""),531.52)</f>
        <v>531.52</v>
      </c>
      <c r="F2720" s="1">
        <f ca="1">IFERROR(__xludf.DUMMYFUNCTION("""COMPUTED_VALUE"""),18734716)</f>
        <v>18734716</v>
      </c>
    </row>
    <row r="2721" spans="1:6" x14ac:dyDescent="0.35">
      <c r="A2721" s="2">
        <f ca="1">IFERROR(__xludf.DUMMYFUNCTION("""COMPUTED_VALUE"""),45958.6666666666)</f>
        <v>45958.666666666599</v>
      </c>
      <c r="B2721" s="1">
        <f ca="1">IFERROR(__xludf.DUMMYFUNCTION("""COMPUTED_VALUE"""),550)</f>
        <v>550</v>
      </c>
      <c r="C2721" s="1">
        <f ca="1">IFERROR(__xludf.DUMMYFUNCTION("""COMPUTED_VALUE"""),553.72)</f>
        <v>553.72</v>
      </c>
      <c r="D2721" s="1">
        <f ca="1">IFERROR(__xludf.DUMMYFUNCTION("""COMPUTED_VALUE"""),540.77)</f>
        <v>540.77</v>
      </c>
      <c r="E2721" s="1">
        <f ca="1">IFERROR(__xludf.DUMMYFUNCTION("""COMPUTED_VALUE"""),542.07)</f>
        <v>542.07000000000005</v>
      </c>
      <c r="F2721" s="1">
        <f ca="1">IFERROR(__xludf.DUMMYFUNCTION("""COMPUTED_VALUE"""),29986683)</f>
        <v>29986683</v>
      </c>
    </row>
    <row r="2722" spans="1:6" x14ac:dyDescent="0.35">
      <c r="A2722" s="2">
        <f ca="1">IFERROR(__xludf.DUMMYFUNCTION("""COMPUTED_VALUE"""),45959.6666666666)</f>
        <v>45959.666666666599</v>
      </c>
      <c r="B2722" s="1">
        <f ca="1">IFERROR(__xludf.DUMMYFUNCTION("""COMPUTED_VALUE"""),544.94)</f>
        <v>544.94000000000005</v>
      </c>
      <c r="C2722" s="1">
        <f ca="1">IFERROR(__xludf.DUMMYFUNCTION("""COMPUTED_VALUE"""),546.27)</f>
        <v>546.27</v>
      </c>
      <c r="D2722" s="1">
        <f ca="1">IFERROR(__xludf.DUMMYFUNCTION("""COMPUTED_VALUE"""),536.73)</f>
        <v>536.73</v>
      </c>
      <c r="E2722" s="1">
        <f ca="1">IFERROR(__xludf.DUMMYFUNCTION("""COMPUTED_VALUE"""),541.55)</f>
        <v>541.54999999999995</v>
      </c>
      <c r="F2722" s="1">
        <f ca="1">IFERROR(__xludf.DUMMYFUNCTION("""COMPUTED_VALUE"""),36023004)</f>
        <v>36023004</v>
      </c>
    </row>
    <row r="2723" spans="1:6" x14ac:dyDescent="0.35">
      <c r="A2723" s="2">
        <f ca="1">IFERROR(__xludf.DUMMYFUNCTION("""COMPUTED_VALUE"""),45960.6666666666)</f>
        <v>45960.666666666599</v>
      </c>
      <c r="B2723" s="1">
        <f ca="1">IFERROR(__xludf.DUMMYFUNCTION("""COMPUTED_VALUE"""),530.48)</f>
        <v>530.48</v>
      </c>
      <c r="C2723" s="1">
        <f ca="1">IFERROR(__xludf.DUMMYFUNCTION("""COMPUTED_VALUE"""),534.97)</f>
        <v>534.97</v>
      </c>
      <c r="D2723" s="1">
        <f ca="1">IFERROR(__xludf.DUMMYFUNCTION("""COMPUTED_VALUE"""),522.12)</f>
        <v>522.12</v>
      </c>
      <c r="E2723" s="1">
        <f ca="1">IFERROR(__xludf.DUMMYFUNCTION("""COMPUTED_VALUE"""),525.76)</f>
        <v>525.76</v>
      </c>
      <c r="F2723" s="1">
        <f ca="1">IFERROR(__xludf.DUMMYFUNCTION("""COMPUTED_VALUE"""),41023088)</f>
        <v>41023088</v>
      </c>
    </row>
    <row r="2724" spans="1:6" x14ac:dyDescent="0.35">
      <c r="A2724" s="2">
        <f ca="1">IFERROR(__xludf.DUMMYFUNCTION("""COMPUTED_VALUE"""),45961.6666666666)</f>
        <v>45961.666666666599</v>
      </c>
      <c r="B2724" s="1">
        <f ca="1">IFERROR(__xludf.DUMMYFUNCTION("""COMPUTED_VALUE"""),528.88)</f>
        <v>528.88</v>
      </c>
      <c r="C2724" s="1">
        <f ca="1">IFERROR(__xludf.DUMMYFUNCTION("""COMPUTED_VALUE"""),529.32)</f>
        <v>529.32000000000005</v>
      </c>
      <c r="D2724" s="1">
        <f ca="1">IFERROR(__xludf.DUMMYFUNCTION("""COMPUTED_VALUE"""),515.1)</f>
        <v>515.1</v>
      </c>
      <c r="E2724" s="1">
        <f ca="1">IFERROR(__xludf.DUMMYFUNCTION("""COMPUTED_VALUE"""),517.81)</f>
        <v>517.80999999999995</v>
      </c>
      <c r="F2724" s="1">
        <f ca="1">IFERROR(__xludf.DUMMYFUNCTION("""COMPUTED_VALUE"""),34006424)</f>
        <v>34006424</v>
      </c>
    </row>
    <row r="2725" spans="1:6" x14ac:dyDescent="0.35">
      <c r="A2725" s="2">
        <f ca="1">IFERROR(__xludf.DUMMYFUNCTION("""COMPUTED_VALUE"""),45964.6666666666)</f>
        <v>45964.666666666599</v>
      </c>
      <c r="B2725" s="1">
        <f ca="1">IFERROR(__xludf.DUMMYFUNCTION("""COMPUTED_VALUE"""),519.8)</f>
        <v>519.79999999999995</v>
      </c>
      <c r="C2725" s="1">
        <f ca="1">IFERROR(__xludf.DUMMYFUNCTION("""COMPUTED_VALUE"""),524.96)</f>
        <v>524.96</v>
      </c>
      <c r="D2725" s="1">
        <f ca="1">IFERROR(__xludf.DUMMYFUNCTION("""COMPUTED_VALUE"""),514.59)</f>
        <v>514.59</v>
      </c>
      <c r="E2725" s="1">
        <f ca="1">IFERROR(__xludf.DUMMYFUNCTION("""COMPUTED_VALUE"""),517.03)</f>
        <v>517.03</v>
      </c>
      <c r="F2725" s="1">
        <f ca="1">IFERROR(__xludf.DUMMYFUNCTION("""COMPUTED_VALUE"""),22374742)</f>
        <v>22374742</v>
      </c>
    </row>
    <row r="2726" spans="1:6" x14ac:dyDescent="0.35">
      <c r="A2726" s="2">
        <f ca="1">IFERROR(__xludf.DUMMYFUNCTION("""COMPUTED_VALUE"""),45965.6666666666)</f>
        <v>45965.666666666599</v>
      </c>
      <c r="B2726" s="1">
        <f ca="1">IFERROR(__xludf.DUMMYFUNCTION("""COMPUTED_VALUE"""),511.76)</f>
        <v>511.76</v>
      </c>
      <c r="C2726" s="1">
        <f ca="1">IFERROR(__xludf.DUMMYFUNCTION("""COMPUTED_VALUE"""),515.55)</f>
        <v>515.54999999999995</v>
      </c>
      <c r="D2726" s="1">
        <f ca="1">IFERROR(__xludf.DUMMYFUNCTION("""COMPUTED_VALUE"""),507.84)</f>
        <v>507.84</v>
      </c>
      <c r="E2726" s="1">
        <f ca="1">IFERROR(__xludf.DUMMYFUNCTION("""COMPUTED_VALUE"""),514.33)</f>
        <v>514.33000000000004</v>
      </c>
      <c r="F2726" s="1">
        <f ca="1">IFERROR(__xludf.DUMMYFUNCTION("""COMPUTED_VALUE"""),20958663)</f>
        <v>20958663</v>
      </c>
    </row>
    <row r="2727" spans="1:6" x14ac:dyDescent="0.35">
      <c r="A2727" s="2">
        <f ca="1">IFERROR(__xludf.DUMMYFUNCTION("""COMPUTED_VALUE"""),45966.6666666666)</f>
        <v>45966.666666666599</v>
      </c>
      <c r="B2727" s="1">
        <f ca="1">IFERROR(__xludf.DUMMYFUNCTION("""COMPUTED_VALUE"""),513.3)</f>
        <v>513.29999999999995</v>
      </c>
      <c r="C2727" s="1">
        <f ca="1">IFERROR(__xludf.DUMMYFUNCTION("""COMPUTED_VALUE"""),514.83)</f>
        <v>514.83000000000004</v>
      </c>
      <c r="D2727" s="1">
        <f ca="1">IFERROR(__xludf.DUMMYFUNCTION("""COMPUTED_VALUE"""),506.58)</f>
        <v>506.58</v>
      </c>
      <c r="E2727" s="1">
        <f ca="1">IFERROR(__xludf.DUMMYFUNCTION("""COMPUTED_VALUE"""),507.16)</f>
        <v>507.16</v>
      </c>
      <c r="F2727" s="1">
        <f ca="1">IFERROR(__xludf.DUMMYFUNCTION("""COMPUTED_VALUE"""),23024342)</f>
        <v>23024342</v>
      </c>
    </row>
    <row r="2728" spans="1:6" x14ac:dyDescent="0.35">
      <c r="A2728" s="2">
        <f ca="1">IFERROR(__xludf.DUMMYFUNCTION("""COMPUTED_VALUE"""),45967.6666666666)</f>
        <v>45967.666666666599</v>
      </c>
      <c r="B2728" s="1">
        <f ca="1">IFERROR(__xludf.DUMMYFUNCTION("""COMPUTED_VALUE"""),505.66)</f>
        <v>505.66</v>
      </c>
      <c r="C2728" s="1">
        <f ca="1">IFERROR(__xludf.DUMMYFUNCTION("""COMPUTED_VALUE"""),505.7)</f>
        <v>505.7</v>
      </c>
      <c r="D2728" s="1">
        <f ca="1">IFERROR(__xludf.DUMMYFUNCTION("""COMPUTED_VALUE"""),495.81)</f>
        <v>495.81</v>
      </c>
      <c r="E2728" s="1">
        <f ca="1">IFERROR(__xludf.DUMMYFUNCTION("""COMPUTED_VALUE"""),497.1)</f>
        <v>497.1</v>
      </c>
      <c r="F2728" s="1">
        <f ca="1">IFERROR(__xludf.DUMMYFUNCTION("""COMPUTED_VALUE"""),27406496)</f>
        <v>27406496</v>
      </c>
    </row>
    <row r="2729" spans="1:6" x14ac:dyDescent="0.35">
      <c r="A2729" s="2">
        <f ca="1">IFERROR(__xludf.DUMMYFUNCTION("""COMPUTED_VALUE"""),45968.6666666666)</f>
        <v>45968.666666666599</v>
      </c>
      <c r="B2729" s="1">
        <f ca="1">IFERROR(__xludf.DUMMYFUNCTION("""COMPUTED_VALUE"""),496.95)</f>
        <v>496.95</v>
      </c>
      <c r="C2729" s="1">
        <f ca="1">IFERROR(__xludf.DUMMYFUNCTION("""COMPUTED_VALUE"""),499.38)</f>
        <v>499.38</v>
      </c>
      <c r="D2729" s="1">
        <f ca="1">IFERROR(__xludf.DUMMYFUNCTION("""COMPUTED_VALUE"""),493.25)</f>
        <v>493.25</v>
      </c>
      <c r="E2729" s="1">
        <f ca="1">IFERROR(__xludf.DUMMYFUNCTION("""COMPUTED_VALUE"""),496.82)</f>
        <v>496.82</v>
      </c>
      <c r="F2729" s="1">
        <f ca="1">IFERROR(__xludf.DUMMYFUNCTION("""COMPUTED_VALUE"""),24019764)</f>
        <v>24019764</v>
      </c>
    </row>
    <row r="2730" spans="1:6" x14ac:dyDescent="0.35">
      <c r="A2730" s="2">
        <f ca="1">IFERROR(__xludf.DUMMYFUNCTION("""COMPUTED_VALUE"""),45971.6666666666)</f>
        <v>45971.666666666599</v>
      </c>
      <c r="B2730" s="1">
        <f ca="1">IFERROR(__xludf.DUMMYFUNCTION("""COMPUTED_VALUE"""),500.04)</f>
        <v>500.04</v>
      </c>
      <c r="C2730" s="1">
        <f ca="1">IFERROR(__xludf.DUMMYFUNCTION("""COMPUTED_VALUE"""),506.85)</f>
        <v>506.85</v>
      </c>
      <c r="D2730" s="1">
        <f ca="1">IFERROR(__xludf.DUMMYFUNCTION("""COMPUTED_VALUE"""),498.8)</f>
        <v>498.8</v>
      </c>
      <c r="E2730" s="1">
        <f ca="1">IFERROR(__xludf.DUMMYFUNCTION("""COMPUTED_VALUE"""),506)</f>
        <v>506</v>
      </c>
      <c r="F2730" s="1">
        <f ca="1">IFERROR(__xludf.DUMMYFUNCTION("""COMPUTED_VALUE"""),26101480)</f>
        <v>26101480</v>
      </c>
    </row>
    <row r="2731" spans="1:6" x14ac:dyDescent="0.35">
      <c r="A2731" s="2">
        <f ca="1">IFERROR(__xludf.DUMMYFUNCTION("""COMPUTED_VALUE"""),45972.6666666666)</f>
        <v>45972.666666666599</v>
      </c>
      <c r="B2731" s="1">
        <f ca="1">IFERROR(__xludf.DUMMYFUNCTION("""COMPUTED_VALUE"""),504.8)</f>
        <v>504.8</v>
      </c>
      <c r="C2731" s="1">
        <f ca="1">IFERROR(__xludf.DUMMYFUNCTION("""COMPUTED_VALUE"""),509.6)</f>
        <v>509.6</v>
      </c>
      <c r="D2731" s="1">
        <f ca="1">IFERROR(__xludf.DUMMYFUNCTION("""COMPUTED_VALUE"""),502.35)</f>
        <v>502.35</v>
      </c>
      <c r="E2731" s="1">
        <f ca="1">IFERROR(__xludf.DUMMYFUNCTION("""COMPUTED_VALUE"""),508.68)</f>
        <v>508.68</v>
      </c>
      <c r="F2731" s="1">
        <f ca="1">IFERROR(__xludf.DUMMYFUNCTION("""COMPUTED_VALUE"""),17980020)</f>
        <v>17980020</v>
      </c>
    </row>
    <row r="2732" spans="1:6" x14ac:dyDescent="0.35">
      <c r="A2732" s="2">
        <f ca="1">IFERROR(__xludf.DUMMYFUNCTION("""COMPUTED_VALUE"""),45973.6666666666)</f>
        <v>45973.666666666599</v>
      </c>
      <c r="B2732" s="1">
        <f ca="1">IFERROR(__xludf.DUMMYFUNCTION("""COMPUTED_VALUE"""),509.36)</f>
        <v>509.36</v>
      </c>
      <c r="C2732" s="1">
        <f ca="1">IFERROR(__xludf.DUMMYFUNCTION("""COMPUTED_VALUE"""),511.67)</f>
        <v>511.67</v>
      </c>
      <c r="D2732" s="1">
        <f ca="1">IFERROR(__xludf.DUMMYFUNCTION("""COMPUTED_VALUE"""),499.12)</f>
        <v>499.12</v>
      </c>
      <c r="E2732" s="1">
        <f ca="1">IFERROR(__xludf.DUMMYFUNCTION("""COMPUTED_VALUE"""),511.14)</f>
        <v>511.14</v>
      </c>
      <c r="F2732" s="1">
        <f ca="1">IFERROR(__xludf.DUMMYFUNCTION("""COMPUTED_VALUE"""),26574851)</f>
        <v>26574851</v>
      </c>
    </row>
    <row r="2733" spans="1:6" x14ac:dyDescent="0.35">
      <c r="A2733" s="2">
        <f ca="1">IFERROR(__xludf.DUMMYFUNCTION("""COMPUTED_VALUE"""),45974.6666666666)</f>
        <v>45974.666666666599</v>
      </c>
      <c r="B2733" s="1">
        <f ca="1">IFERROR(__xludf.DUMMYFUNCTION("""COMPUTED_VALUE"""),510.31)</f>
        <v>510.31</v>
      </c>
      <c r="C2733" s="1">
        <f ca="1">IFERROR(__xludf.DUMMYFUNCTION("""COMPUTED_VALUE"""),513.5)</f>
        <v>513.5</v>
      </c>
      <c r="D2733" s="1">
        <f ca="1">IFERROR(__xludf.DUMMYFUNCTION("""COMPUTED_VALUE"""),501.29)</f>
        <v>501.29</v>
      </c>
      <c r="E2733" s="1">
        <f ca="1">IFERROR(__xludf.DUMMYFUNCTION("""COMPUTED_VALUE"""),503.29)</f>
        <v>503.29</v>
      </c>
      <c r="F2733" s="1">
        <f ca="1">IFERROR(__xludf.DUMMYFUNCTION("""COMPUTED_VALUE"""),25273114)</f>
        <v>25273114</v>
      </c>
    </row>
    <row r="2734" spans="1:6" x14ac:dyDescent="0.35">
      <c r="A2734" s="2">
        <f ca="1">IFERROR(__xludf.DUMMYFUNCTION("""COMPUTED_VALUE"""),45975.6666666666)</f>
        <v>45975.666666666599</v>
      </c>
      <c r="B2734" s="1">
        <f ca="1">IFERROR(__xludf.DUMMYFUNCTION("""COMPUTED_VALUE"""),498.23)</f>
        <v>498.23</v>
      </c>
      <c r="C2734" s="1">
        <f ca="1">IFERROR(__xludf.DUMMYFUNCTION("""COMPUTED_VALUE"""),511.6)</f>
        <v>511.6</v>
      </c>
      <c r="D2734" s="1">
        <f ca="1">IFERROR(__xludf.DUMMYFUNCTION("""COMPUTED_VALUE"""),497.44)</f>
        <v>497.44</v>
      </c>
      <c r="E2734" s="1">
        <f ca="1">IFERROR(__xludf.DUMMYFUNCTION("""COMPUTED_VALUE"""),510.18)</f>
        <v>510.18</v>
      </c>
      <c r="F2734" s="1">
        <f ca="1">IFERROR(__xludf.DUMMYFUNCTION("""COMPUTED_VALUE"""),28505746)</f>
        <v>28505746</v>
      </c>
    </row>
    <row r="2735" spans="1:6" x14ac:dyDescent="0.35">
      <c r="A2735" s="2">
        <f ca="1">IFERROR(__xludf.DUMMYFUNCTION("""COMPUTED_VALUE"""),45978.6666666666)</f>
        <v>45978.666666666599</v>
      </c>
      <c r="B2735" s="1">
        <f ca="1">IFERROR(__xludf.DUMMYFUNCTION("""COMPUTED_VALUE"""),508.45)</f>
        <v>508.45</v>
      </c>
      <c r="C2735" s="1">
        <f ca="1">IFERROR(__xludf.DUMMYFUNCTION("""COMPUTED_VALUE"""),512.12)</f>
        <v>512.12</v>
      </c>
      <c r="D2735" s="1">
        <f ca="1">IFERROR(__xludf.DUMMYFUNCTION("""COMPUTED_VALUE"""),504.91)</f>
        <v>504.91</v>
      </c>
      <c r="E2735" s="1">
        <f ca="1">IFERROR(__xludf.DUMMYFUNCTION("""COMPUTED_VALUE"""),507.49)</f>
        <v>507.49</v>
      </c>
      <c r="F2735" s="1">
        <f ca="1">IFERROR(__xludf.DUMMYFUNCTION("""COMPUTED_VALUE"""),19092752)</f>
        <v>19092752</v>
      </c>
    </row>
    <row r="2736" spans="1:6" x14ac:dyDescent="0.35">
      <c r="A2736" s="2">
        <f ca="1">IFERROR(__xludf.DUMMYFUNCTION("""COMPUTED_VALUE"""),45979.6666666666)</f>
        <v>45979.666666666599</v>
      </c>
      <c r="B2736" s="1">
        <f ca="1">IFERROR(__xludf.DUMMYFUNCTION("""COMPUTED_VALUE"""),495.37)</f>
        <v>495.37</v>
      </c>
      <c r="C2736" s="1">
        <f ca="1">IFERROR(__xludf.DUMMYFUNCTION("""COMPUTED_VALUE"""),502.98)</f>
        <v>502.98</v>
      </c>
      <c r="D2736" s="1">
        <f ca="1">IFERROR(__xludf.DUMMYFUNCTION("""COMPUTED_VALUE"""),486.78)</f>
        <v>486.78</v>
      </c>
      <c r="E2736" s="1">
        <f ca="1">IFERROR(__xludf.DUMMYFUNCTION("""COMPUTED_VALUE"""),493.79)</f>
        <v>493.79</v>
      </c>
      <c r="F2736" s="1">
        <f ca="1">IFERROR(__xludf.DUMMYFUNCTION("""COMPUTED_VALUE"""),33815114)</f>
        <v>33815114</v>
      </c>
    </row>
    <row r="2737" spans="1:6" x14ac:dyDescent="0.35">
      <c r="A2737" s="2">
        <f ca="1">IFERROR(__xludf.DUMMYFUNCTION("""COMPUTED_VALUE"""),45980.6666666666)</f>
        <v>45980.666666666599</v>
      </c>
      <c r="B2737" s="1">
        <f ca="1">IFERROR(__xludf.DUMMYFUNCTION("""COMPUTED_VALUE"""),490.1)</f>
        <v>490.1</v>
      </c>
      <c r="C2737" s="1">
        <f ca="1">IFERROR(__xludf.DUMMYFUNCTION("""COMPUTED_VALUE"""),495.19)</f>
        <v>495.19</v>
      </c>
      <c r="D2737" s="1">
        <f ca="1">IFERROR(__xludf.DUMMYFUNCTION("""COMPUTED_VALUE"""),482.83)</f>
        <v>482.83</v>
      </c>
      <c r="E2737" s="1">
        <f ca="1">IFERROR(__xludf.DUMMYFUNCTION("""COMPUTED_VALUE"""),487.12)</f>
        <v>487.12</v>
      </c>
      <c r="F2737" s="1">
        <f ca="1">IFERROR(__xludf.DUMMYFUNCTION("""COMPUTED_VALUE"""),23245314)</f>
        <v>23245314</v>
      </c>
    </row>
    <row r="2738" spans="1:6" x14ac:dyDescent="0.35">
      <c r="A2738" s="2">
        <f ca="1">IFERROR(__xludf.DUMMYFUNCTION("""COMPUTED_VALUE"""),45981.6666666666)</f>
        <v>45981.666666666599</v>
      </c>
      <c r="B2738" s="1">
        <f ca="1">IFERROR(__xludf.DUMMYFUNCTION("""COMPUTED_VALUE"""),492.71)</f>
        <v>492.71</v>
      </c>
      <c r="C2738" s="1">
        <f ca="1">IFERROR(__xludf.DUMMYFUNCTION("""COMPUTED_VALUE"""),493.57)</f>
        <v>493.57</v>
      </c>
      <c r="D2738" s="1">
        <f ca="1">IFERROR(__xludf.DUMMYFUNCTION("""COMPUTED_VALUE"""),475.5)</f>
        <v>475.5</v>
      </c>
      <c r="E2738" s="1">
        <f ca="1">IFERROR(__xludf.DUMMYFUNCTION("""COMPUTED_VALUE"""),478.43)</f>
        <v>478.43</v>
      </c>
      <c r="F2738" s="1">
        <f ca="1">IFERROR(__xludf.DUMMYFUNCTION("""COMPUTED_VALUE"""),26802542)</f>
        <v>26802542</v>
      </c>
    </row>
    <row r="2739" spans="1:6" x14ac:dyDescent="0.35">
      <c r="A2739" s="2">
        <f ca="1">IFERROR(__xludf.DUMMYFUNCTION("""COMPUTED_VALUE"""),45982.6666666666)</f>
        <v>45982.666666666599</v>
      </c>
      <c r="B2739" s="1">
        <f ca="1">IFERROR(__xludf.DUMMYFUNCTION("""COMPUTED_VALUE"""),478.5)</f>
        <v>478.5</v>
      </c>
      <c r="C2739" s="1">
        <f ca="1">IFERROR(__xludf.DUMMYFUNCTION("""COMPUTED_VALUE"""),478.92)</f>
        <v>478.92</v>
      </c>
      <c r="D2739" s="1">
        <f ca="1">IFERROR(__xludf.DUMMYFUNCTION("""COMPUTED_VALUE"""),468.27)</f>
        <v>468.27</v>
      </c>
      <c r="E2739" s="1">
        <f ca="1">IFERROR(__xludf.DUMMYFUNCTION("""COMPUTED_VALUE"""),472.12)</f>
        <v>472.12</v>
      </c>
      <c r="F2739" s="1">
        <f ca="1">IFERROR(__xludf.DUMMYFUNCTION("""COMPUTED_VALUE"""),31769248)</f>
        <v>31769248</v>
      </c>
    </row>
    <row r="2740" spans="1:6" x14ac:dyDescent="0.35">
      <c r="A2740" s="2">
        <f ca="1">IFERROR(__xludf.DUMMYFUNCTION("""COMPUTED_VALUE"""),45985.6666666666)</f>
        <v>45985.666666666599</v>
      </c>
      <c r="B2740" s="1">
        <f ca="1">IFERROR(__xludf.DUMMYFUNCTION("""COMPUTED_VALUE"""),475)</f>
        <v>475</v>
      </c>
      <c r="C2740" s="1">
        <f ca="1">IFERROR(__xludf.DUMMYFUNCTION("""COMPUTED_VALUE"""),476.9)</f>
        <v>476.9</v>
      </c>
      <c r="D2740" s="1">
        <f ca="1">IFERROR(__xludf.DUMMYFUNCTION("""COMPUTED_VALUE"""),468.02)</f>
        <v>468.02</v>
      </c>
      <c r="E2740" s="1">
        <f ca="1">IFERROR(__xludf.DUMMYFUNCTION("""COMPUTED_VALUE"""),474)</f>
        <v>474</v>
      </c>
      <c r="F2740" s="1">
        <f ca="1">IFERROR(__xludf.DUMMYFUNCTION("""COMPUTED_VALUE"""),32599667)</f>
        <v>32599667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2739"/>
  <sheetViews>
    <sheetView workbookViewId="0"/>
  </sheetViews>
  <sheetFormatPr defaultColWidth="12.59765625" defaultRowHeight="15.75" customHeight="1" x14ac:dyDescent="0.35"/>
  <cols>
    <col min="1" max="1" width="18.33203125" bestFit="1" customWidth="1"/>
  </cols>
  <sheetData>
    <row r="1" spans="1:6" x14ac:dyDescent="0.35">
      <c r="A1" s="1" t="str">
        <f ca="1">IFERROR(__xludf.DUMMYFUNCTION("GOOGLEFINANCE(""NVDA"",""all"",DATE(2015,1,1),TODAY())"),"Date")</f>
        <v>Date</v>
      </c>
      <c r="B1" s="1" t="str">
        <f ca="1">IFERROR(__xludf.DUMMYFUNCTION("""COMPUTED_VALUE"""),"Open")</f>
        <v>Open</v>
      </c>
      <c r="C1" s="1" t="str">
        <f ca="1">IFERROR(__xludf.DUMMYFUNCTION("""COMPUTED_VALUE"""),"High")</f>
        <v>High</v>
      </c>
      <c r="D1" s="1" t="str">
        <f ca="1">IFERROR(__xludf.DUMMYFUNCTION("""COMPUTED_VALUE"""),"Low")</f>
        <v>Low</v>
      </c>
      <c r="E1" s="1" t="str">
        <f ca="1">IFERROR(__xludf.DUMMYFUNCTION("""COMPUTED_VALUE"""),"Close")</f>
        <v>Close</v>
      </c>
      <c r="F1" s="1" t="str">
        <f ca="1">IFERROR(__xludf.DUMMYFUNCTION("""COMPUTED_VALUE"""),"Volume")</f>
        <v>Volume</v>
      </c>
    </row>
    <row r="2" spans="1:6" x14ac:dyDescent="0.35">
      <c r="A2" s="2">
        <f ca="1">IFERROR(__xludf.DUMMYFUNCTION("""COMPUTED_VALUE"""),42006.6666666666)</f>
        <v>42006.666666666599</v>
      </c>
      <c r="B2" s="1">
        <f ca="1">IFERROR(__xludf.DUMMYFUNCTION("""COMPUTED_VALUE"""),0.51)</f>
        <v>0.51</v>
      </c>
      <c r="C2" s="1">
        <f ca="1">IFERROR(__xludf.DUMMYFUNCTION("""COMPUTED_VALUE"""),0.51)</f>
        <v>0.51</v>
      </c>
      <c r="D2" s="1">
        <f ca="1">IFERROR(__xludf.DUMMYFUNCTION("""COMPUTED_VALUE"""),0.5)</f>
        <v>0.5</v>
      </c>
      <c r="E2" s="1">
        <f ca="1">IFERROR(__xludf.DUMMYFUNCTION("""COMPUTED_VALUE"""),0.5)</f>
        <v>0.5</v>
      </c>
      <c r="F2" s="1">
        <f ca="1">IFERROR(__xludf.DUMMYFUNCTION("""COMPUTED_VALUE"""),2842012)</f>
        <v>2842012</v>
      </c>
    </row>
    <row r="3" spans="1:6" x14ac:dyDescent="0.35">
      <c r="A3" s="2">
        <f ca="1">IFERROR(__xludf.DUMMYFUNCTION("""COMPUTED_VALUE"""),42009.6666666666)</f>
        <v>42009.666666666599</v>
      </c>
      <c r="B3" s="1">
        <f ca="1">IFERROR(__xludf.DUMMYFUNCTION("""COMPUTED_VALUE"""),0.5)</f>
        <v>0.5</v>
      </c>
      <c r="C3" s="1">
        <f ca="1">IFERROR(__xludf.DUMMYFUNCTION("""COMPUTED_VALUE"""),0.5)</f>
        <v>0.5</v>
      </c>
      <c r="D3" s="1">
        <f ca="1">IFERROR(__xludf.DUMMYFUNCTION("""COMPUTED_VALUE"""),0.49)</f>
        <v>0.49</v>
      </c>
      <c r="E3" s="1">
        <f ca="1">IFERROR(__xludf.DUMMYFUNCTION("""COMPUTED_VALUE"""),0.49)</f>
        <v>0.49</v>
      </c>
      <c r="F3" s="1">
        <f ca="1">IFERROR(__xludf.DUMMYFUNCTION("""COMPUTED_VALUE"""),4948799)</f>
        <v>4948799</v>
      </c>
    </row>
    <row r="4" spans="1:6" x14ac:dyDescent="0.35">
      <c r="A4" s="2">
        <f ca="1">IFERROR(__xludf.DUMMYFUNCTION("""COMPUTED_VALUE"""),42010.6666666666)</f>
        <v>42010.666666666599</v>
      </c>
      <c r="B4" s="1">
        <f ca="1">IFERROR(__xludf.DUMMYFUNCTION("""COMPUTED_VALUE"""),0.5)</f>
        <v>0.5</v>
      </c>
      <c r="C4" s="1">
        <f ca="1">IFERROR(__xludf.DUMMYFUNCTION("""COMPUTED_VALUE"""),0.5)</f>
        <v>0.5</v>
      </c>
      <c r="D4" s="1">
        <f ca="1">IFERROR(__xludf.DUMMYFUNCTION("""COMPUTED_VALUE"""),0.48)</f>
        <v>0.48</v>
      </c>
      <c r="E4" s="1">
        <f ca="1">IFERROR(__xludf.DUMMYFUNCTION("""COMPUTED_VALUE"""),0.48)</f>
        <v>0.48</v>
      </c>
      <c r="F4" s="1">
        <f ca="1">IFERROR(__xludf.DUMMYFUNCTION("""COMPUTED_VALUE"""),4944121)</f>
        <v>4944121</v>
      </c>
    </row>
    <row r="5" spans="1:6" x14ac:dyDescent="0.35">
      <c r="A5" s="2">
        <f ca="1">IFERROR(__xludf.DUMMYFUNCTION("""COMPUTED_VALUE"""),42011.6666666666)</f>
        <v>42011.666666666599</v>
      </c>
      <c r="B5" s="1">
        <f ca="1">IFERROR(__xludf.DUMMYFUNCTION("""COMPUTED_VALUE"""),0.48)</f>
        <v>0.48</v>
      </c>
      <c r="C5" s="1">
        <f ca="1">IFERROR(__xludf.DUMMYFUNCTION("""COMPUTED_VALUE"""),0.49)</f>
        <v>0.49</v>
      </c>
      <c r="D5" s="1">
        <f ca="1">IFERROR(__xludf.DUMMYFUNCTION("""COMPUTED_VALUE"""),0.48)</f>
        <v>0.48</v>
      </c>
      <c r="E5" s="1">
        <f ca="1">IFERROR(__xludf.DUMMYFUNCTION("""COMPUTED_VALUE"""),0.48)</f>
        <v>0.48</v>
      </c>
      <c r="F5" s="1">
        <f ca="1">IFERROR(__xludf.DUMMYFUNCTION("""COMPUTED_VALUE"""),8045186)</f>
        <v>8045186</v>
      </c>
    </row>
    <row r="6" spans="1:6" x14ac:dyDescent="0.35">
      <c r="A6" s="2">
        <f ca="1">IFERROR(__xludf.DUMMYFUNCTION("""COMPUTED_VALUE"""),42012.6666666666)</f>
        <v>42012.666666666599</v>
      </c>
      <c r="B6" s="1">
        <f ca="1">IFERROR(__xludf.DUMMYFUNCTION("""COMPUTED_VALUE"""),0.48)</f>
        <v>0.48</v>
      </c>
      <c r="C6" s="1">
        <f ca="1">IFERROR(__xludf.DUMMYFUNCTION("""COMPUTED_VALUE"""),0.5)</f>
        <v>0.5</v>
      </c>
      <c r="D6" s="1">
        <f ca="1">IFERROR(__xludf.DUMMYFUNCTION("""COMPUTED_VALUE"""),0.48)</f>
        <v>0.48</v>
      </c>
      <c r="E6" s="1">
        <f ca="1">IFERROR(__xludf.DUMMYFUNCTION("""COMPUTED_VALUE"""),0.5)</f>
        <v>0.5</v>
      </c>
      <c r="F6" s="1">
        <f ca="1">IFERROR(__xludf.DUMMYFUNCTION("""COMPUTED_VALUE"""),7094534)</f>
        <v>7094534</v>
      </c>
    </row>
    <row r="7" spans="1:6" x14ac:dyDescent="0.35">
      <c r="A7" s="2">
        <f ca="1">IFERROR(__xludf.DUMMYFUNCTION("""COMPUTED_VALUE"""),42013.6666666666)</f>
        <v>42013.666666666599</v>
      </c>
      <c r="B7" s="1">
        <f ca="1">IFERROR(__xludf.DUMMYFUNCTION("""COMPUTED_VALUE"""),0.5)</f>
        <v>0.5</v>
      </c>
      <c r="C7" s="1">
        <f ca="1">IFERROR(__xludf.DUMMYFUNCTION("""COMPUTED_VALUE"""),0.5)</f>
        <v>0.5</v>
      </c>
      <c r="D7" s="1">
        <f ca="1">IFERROR(__xludf.DUMMYFUNCTION("""COMPUTED_VALUE"""),0.49)</f>
        <v>0.49</v>
      </c>
      <c r="E7" s="1">
        <f ca="1">IFERROR(__xludf.DUMMYFUNCTION("""COMPUTED_VALUE"""),0.5)</f>
        <v>0.5</v>
      </c>
      <c r="F7" s="1">
        <f ca="1">IFERROR(__xludf.DUMMYFUNCTION("""COMPUTED_VALUE"""),5238601)</f>
        <v>5238601</v>
      </c>
    </row>
    <row r="8" spans="1:6" x14ac:dyDescent="0.35">
      <c r="A8" s="2">
        <f ca="1">IFERROR(__xludf.DUMMYFUNCTION("""COMPUTED_VALUE"""),42016.6666666666)</f>
        <v>42016.666666666599</v>
      </c>
      <c r="B8" s="1">
        <f ca="1">IFERROR(__xludf.DUMMYFUNCTION("""COMPUTED_VALUE"""),0.5)</f>
        <v>0.5</v>
      </c>
      <c r="C8" s="1">
        <f ca="1">IFERROR(__xludf.DUMMYFUNCTION("""COMPUTED_VALUE"""),0.5)</f>
        <v>0.5</v>
      </c>
      <c r="D8" s="1">
        <f ca="1">IFERROR(__xludf.DUMMYFUNCTION("""COMPUTED_VALUE"""),0.49)</f>
        <v>0.49</v>
      </c>
      <c r="E8" s="1">
        <f ca="1">IFERROR(__xludf.DUMMYFUNCTION("""COMPUTED_VALUE"""),0.49)</f>
        <v>0.49</v>
      </c>
      <c r="F8" s="1">
        <f ca="1">IFERROR(__xludf.DUMMYFUNCTION("""COMPUTED_VALUE"""),4768307)</f>
        <v>4768307</v>
      </c>
    </row>
    <row r="9" spans="1:6" x14ac:dyDescent="0.35">
      <c r="A9" s="2">
        <f ca="1">IFERROR(__xludf.DUMMYFUNCTION("""COMPUTED_VALUE"""),42017.6666666666)</f>
        <v>42017.666666666599</v>
      </c>
      <c r="B9" s="1">
        <f ca="1">IFERROR(__xludf.DUMMYFUNCTION("""COMPUTED_VALUE"""),0.49)</f>
        <v>0.49</v>
      </c>
      <c r="C9" s="1">
        <f ca="1">IFERROR(__xludf.DUMMYFUNCTION("""COMPUTED_VALUE"""),0.51)</f>
        <v>0.51</v>
      </c>
      <c r="D9" s="1">
        <f ca="1">IFERROR(__xludf.DUMMYFUNCTION("""COMPUTED_VALUE"""),0.49)</f>
        <v>0.49</v>
      </c>
      <c r="E9" s="1">
        <f ca="1">IFERROR(__xludf.DUMMYFUNCTION("""COMPUTED_VALUE"""),0.49)</f>
        <v>0.49</v>
      </c>
      <c r="F9" s="1">
        <f ca="1">IFERROR(__xludf.DUMMYFUNCTION("""COMPUTED_VALUE"""),5917960)</f>
        <v>5917960</v>
      </c>
    </row>
    <row r="10" spans="1:6" x14ac:dyDescent="0.35">
      <c r="A10" s="2">
        <f ca="1">IFERROR(__xludf.DUMMYFUNCTION("""COMPUTED_VALUE"""),42018.6666666666)</f>
        <v>42018.666666666599</v>
      </c>
      <c r="B10" s="1">
        <f ca="1">IFERROR(__xludf.DUMMYFUNCTION("""COMPUTED_VALUE"""),0.49)</f>
        <v>0.49</v>
      </c>
      <c r="C10" s="1">
        <f ca="1">IFERROR(__xludf.DUMMYFUNCTION("""COMPUTED_VALUE"""),0.5)</f>
        <v>0.5</v>
      </c>
      <c r="D10" s="1">
        <f ca="1">IFERROR(__xludf.DUMMYFUNCTION("""COMPUTED_VALUE"""),0.49)</f>
        <v>0.49</v>
      </c>
      <c r="E10" s="1">
        <f ca="1">IFERROR(__xludf.DUMMYFUNCTION("""COMPUTED_VALUE"""),0.49)</f>
        <v>0.49</v>
      </c>
      <c r="F10" s="1">
        <f ca="1">IFERROR(__xludf.DUMMYFUNCTION("""COMPUTED_VALUE"""),3881531)</f>
        <v>3881531</v>
      </c>
    </row>
    <row r="11" spans="1:6" x14ac:dyDescent="0.35">
      <c r="A11" s="2">
        <f ca="1">IFERROR(__xludf.DUMMYFUNCTION("""COMPUTED_VALUE"""),42019.6666666666)</f>
        <v>42019.666666666599</v>
      </c>
      <c r="B11" s="1">
        <f ca="1">IFERROR(__xludf.DUMMYFUNCTION("""COMPUTED_VALUE"""),0.5)</f>
        <v>0.5</v>
      </c>
      <c r="C11" s="1">
        <f ca="1">IFERROR(__xludf.DUMMYFUNCTION("""COMPUTED_VALUE"""),0.5)</f>
        <v>0.5</v>
      </c>
      <c r="D11" s="1">
        <f ca="1">IFERROR(__xludf.DUMMYFUNCTION("""COMPUTED_VALUE"""),0.49)</f>
        <v>0.49</v>
      </c>
      <c r="E11" s="1">
        <f ca="1">IFERROR(__xludf.DUMMYFUNCTION("""COMPUTED_VALUE"""),0.49)</f>
        <v>0.49</v>
      </c>
      <c r="F11" s="1">
        <f ca="1">IFERROR(__xludf.DUMMYFUNCTION("""COMPUTED_VALUE"""),4723757)</f>
        <v>4723757</v>
      </c>
    </row>
    <row r="12" spans="1:6" x14ac:dyDescent="0.35">
      <c r="A12" s="2">
        <f ca="1">IFERROR(__xludf.DUMMYFUNCTION("""COMPUTED_VALUE"""),42020.6666666666)</f>
        <v>42020.666666666599</v>
      </c>
      <c r="B12" s="1">
        <f ca="1">IFERROR(__xludf.DUMMYFUNCTION("""COMPUTED_VALUE"""),0.49)</f>
        <v>0.49</v>
      </c>
      <c r="C12" s="1">
        <f ca="1">IFERROR(__xludf.DUMMYFUNCTION("""COMPUTED_VALUE"""),0.5)</f>
        <v>0.5</v>
      </c>
      <c r="D12" s="1">
        <f ca="1">IFERROR(__xludf.DUMMYFUNCTION("""COMPUTED_VALUE"""),0.49)</f>
        <v>0.49</v>
      </c>
      <c r="E12" s="1">
        <f ca="1">IFERROR(__xludf.DUMMYFUNCTION("""COMPUTED_VALUE"""),0.5)</f>
        <v>0.5</v>
      </c>
      <c r="F12" s="1">
        <f ca="1">IFERROR(__xludf.DUMMYFUNCTION("""COMPUTED_VALUE"""),4537800)</f>
        <v>4537800</v>
      </c>
    </row>
    <row r="13" spans="1:6" x14ac:dyDescent="0.35">
      <c r="A13" s="2">
        <f ca="1">IFERROR(__xludf.DUMMYFUNCTION("""COMPUTED_VALUE"""),42024.6666666666)</f>
        <v>42024.666666666599</v>
      </c>
      <c r="B13" s="1">
        <f ca="1">IFERROR(__xludf.DUMMYFUNCTION("""COMPUTED_VALUE"""),0.5)</f>
        <v>0.5</v>
      </c>
      <c r="C13" s="1">
        <f ca="1">IFERROR(__xludf.DUMMYFUNCTION("""COMPUTED_VALUE"""),0.51)</f>
        <v>0.51</v>
      </c>
      <c r="D13" s="1">
        <f ca="1">IFERROR(__xludf.DUMMYFUNCTION("""COMPUTED_VALUE"""),0.49)</f>
        <v>0.49</v>
      </c>
      <c r="E13" s="1">
        <f ca="1">IFERROR(__xludf.DUMMYFUNCTION("""COMPUTED_VALUE"""),0.5)</f>
        <v>0.5</v>
      </c>
      <c r="F13" s="1">
        <f ca="1">IFERROR(__xludf.DUMMYFUNCTION("""COMPUTED_VALUE"""),3507719)</f>
        <v>3507719</v>
      </c>
    </row>
    <row r="14" spans="1:6" x14ac:dyDescent="0.35">
      <c r="A14" s="2">
        <f ca="1">IFERROR(__xludf.DUMMYFUNCTION("""COMPUTED_VALUE"""),42025.6666666666)</f>
        <v>42025.666666666599</v>
      </c>
      <c r="B14" s="1">
        <f ca="1">IFERROR(__xludf.DUMMYFUNCTION("""COMPUTED_VALUE"""),0.5)</f>
        <v>0.5</v>
      </c>
      <c r="C14" s="1">
        <f ca="1">IFERROR(__xludf.DUMMYFUNCTION("""COMPUTED_VALUE"""),0.51)</f>
        <v>0.51</v>
      </c>
      <c r="D14" s="1">
        <f ca="1">IFERROR(__xludf.DUMMYFUNCTION("""COMPUTED_VALUE"""),0.49)</f>
        <v>0.49</v>
      </c>
      <c r="E14" s="1">
        <f ca="1">IFERROR(__xludf.DUMMYFUNCTION("""COMPUTED_VALUE"""),0.51)</f>
        <v>0.51</v>
      </c>
      <c r="F14" s="1">
        <f ca="1">IFERROR(__xludf.DUMMYFUNCTION("""COMPUTED_VALUE"""),3619494)</f>
        <v>3619494</v>
      </c>
    </row>
    <row r="15" spans="1:6" x14ac:dyDescent="0.35">
      <c r="A15" s="2">
        <f ca="1">IFERROR(__xludf.DUMMYFUNCTION("""COMPUTED_VALUE"""),42026.6666666666)</f>
        <v>42026.666666666599</v>
      </c>
      <c r="B15" s="1">
        <f ca="1">IFERROR(__xludf.DUMMYFUNCTION("""COMPUTED_VALUE"""),0.51)</f>
        <v>0.51</v>
      </c>
      <c r="C15" s="1">
        <f ca="1">IFERROR(__xludf.DUMMYFUNCTION("""COMPUTED_VALUE"""),0.52)</f>
        <v>0.52</v>
      </c>
      <c r="D15" s="1">
        <f ca="1">IFERROR(__xludf.DUMMYFUNCTION("""COMPUTED_VALUE"""),0.5)</f>
        <v>0.5</v>
      </c>
      <c r="E15" s="1">
        <f ca="1">IFERROR(__xludf.DUMMYFUNCTION("""COMPUTED_VALUE"""),0.52)</f>
        <v>0.52</v>
      </c>
      <c r="F15" s="1">
        <f ca="1">IFERROR(__xludf.DUMMYFUNCTION("""COMPUTED_VALUE"""),3992810)</f>
        <v>3992810</v>
      </c>
    </row>
    <row r="16" spans="1:6" x14ac:dyDescent="0.35">
      <c r="A16" s="2">
        <f ca="1">IFERROR(__xludf.DUMMYFUNCTION("""COMPUTED_VALUE"""),42027.6666666666)</f>
        <v>42027.666666666599</v>
      </c>
      <c r="B16" s="1">
        <f ca="1">IFERROR(__xludf.DUMMYFUNCTION("""COMPUTED_VALUE"""),0.52)</f>
        <v>0.52</v>
      </c>
      <c r="C16" s="1">
        <f ca="1">IFERROR(__xludf.DUMMYFUNCTION("""COMPUTED_VALUE"""),0.52)</f>
        <v>0.52</v>
      </c>
      <c r="D16" s="1">
        <f ca="1">IFERROR(__xludf.DUMMYFUNCTION("""COMPUTED_VALUE"""),0.51)</f>
        <v>0.51</v>
      </c>
      <c r="E16" s="1">
        <f ca="1">IFERROR(__xludf.DUMMYFUNCTION("""COMPUTED_VALUE"""),0.52)</f>
        <v>0.52</v>
      </c>
      <c r="F16" s="1">
        <f ca="1">IFERROR(__xludf.DUMMYFUNCTION("""COMPUTED_VALUE"""),3010389)</f>
        <v>3010389</v>
      </c>
    </row>
    <row r="17" spans="1:6" x14ac:dyDescent="0.35">
      <c r="A17" s="2">
        <f ca="1">IFERROR(__xludf.DUMMYFUNCTION("""COMPUTED_VALUE"""),42030.6666666666)</f>
        <v>42030.666666666599</v>
      </c>
      <c r="B17" s="1">
        <f ca="1">IFERROR(__xludf.DUMMYFUNCTION("""COMPUTED_VALUE"""),0.52)</f>
        <v>0.52</v>
      </c>
      <c r="C17" s="1">
        <f ca="1">IFERROR(__xludf.DUMMYFUNCTION("""COMPUTED_VALUE"""),0.52)</f>
        <v>0.52</v>
      </c>
      <c r="D17" s="1">
        <f ca="1">IFERROR(__xludf.DUMMYFUNCTION("""COMPUTED_VALUE"""),0.51)</f>
        <v>0.51</v>
      </c>
      <c r="E17" s="1">
        <f ca="1">IFERROR(__xludf.DUMMYFUNCTION("""COMPUTED_VALUE"""),0.52)</f>
        <v>0.52</v>
      </c>
      <c r="F17" s="1">
        <f ca="1">IFERROR(__xludf.DUMMYFUNCTION("""COMPUTED_VALUE"""),3331008)</f>
        <v>3331008</v>
      </c>
    </row>
    <row r="18" spans="1:6" x14ac:dyDescent="0.35">
      <c r="A18" s="2">
        <f ca="1">IFERROR(__xludf.DUMMYFUNCTION("""COMPUTED_VALUE"""),42031.6666666666)</f>
        <v>42031.666666666599</v>
      </c>
      <c r="B18" s="1">
        <f ca="1">IFERROR(__xludf.DUMMYFUNCTION("""COMPUTED_VALUE"""),0.51)</f>
        <v>0.51</v>
      </c>
      <c r="C18" s="1">
        <f ca="1">IFERROR(__xludf.DUMMYFUNCTION("""COMPUTED_VALUE"""),0.51)</f>
        <v>0.51</v>
      </c>
      <c r="D18" s="1">
        <f ca="1">IFERROR(__xludf.DUMMYFUNCTION("""COMPUTED_VALUE"""),0.49)</f>
        <v>0.49</v>
      </c>
      <c r="E18" s="1">
        <f ca="1">IFERROR(__xludf.DUMMYFUNCTION("""COMPUTED_VALUE"""),0.49)</f>
        <v>0.49</v>
      </c>
      <c r="F18" s="1">
        <f ca="1">IFERROR(__xludf.DUMMYFUNCTION("""COMPUTED_VALUE"""),8948721)</f>
        <v>8948721</v>
      </c>
    </row>
    <row r="19" spans="1:6" x14ac:dyDescent="0.35">
      <c r="A19" s="2">
        <f ca="1">IFERROR(__xludf.DUMMYFUNCTION("""COMPUTED_VALUE"""),42032.6666666666)</f>
        <v>42032.666666666599</v>
      </c>
      <c r="B19" s="1">
        <f ca="1">IFERROR(__xludf.DUMMYFUNCTION("""COMPUTED_VALUE"""),0.5)</f>
        <v>0.5</v>
      </c>
      <c r="C19" s="1">
        <f ca="1">IFERROR(__xludf.DUMMYFUNCTION("""COMPUTED_VALUE"""),0.5)</f>
        <v>0.5</v>
      </c>
      <c r="D19" s="1">
        <f ca="1">IFERROR(__xludf.DUMMYFUNCTION("""COMPUTED_VALUE"""),0.48)</f>
        <v>0.48</v>
      </c>
      <c r="E19" s="1">
        <f ca="1">IFERROR(__xludf.DUMMYFUNCTION("""COMPUTED_VALUE"""),0.48)</f>
        <v>0.48</v>
      </c>
      <c r="F19" s="1">
        <f ca="1">IFERROR(__xludf.DUMMYFUNCTION("""COMPUTED_VALUE"""),6818214)</f>
        <v>6818214</v>
      </c>
    </row>
    <row r="20" spans="1:6" x14ac:dyDescent="0.35">
      <c r="A20" s="2">
        <f ca="1">IFERROR(__xludf.DUMMYFUNCTION("""COMPUTED_VALUE"""),42033.6666666666)</f>
        <v>42033.666666666599</v>
      </c>
      <c r="B20" s="1">
        <f ca="1">IFERROR(__xludf.DUMMYFUNCTION("""COMPUTED_VALUE"""),0.48)</f>
        <v>0.48</v>
      </c>
      <c r="C20" s="1">
        <f ca="1">IFERROR(__xludf.DUMMYFUNCTION("""COMPUTED_VALUE"""),0.5)</f>
        <v>0.5</v>
      </c>
      <c r="D20" s="1">
        <f ca="1">IFERROR(__xludf.DUMMYFUNCTION("""COMPUTED_VALUE"""),0.48)</f>
        <v>0.48</v>
      </c>
      <c r="E20" s="1">
        <f ca="1">IFERROR(__xludf.DUMMYFUNCTION("""COMPUTED_VALUE"""),0.49)</f>
        <v>0.49</v>
      </c>
      <c r="F20" s="1">
        <f ca="1">IFERROR(__xludf.DUMMYFUNCTION("""COMPUTED_VALUE"""),5883531)</f>
        <v>5883531</v>
      </c>
    </row>
    <row r="21" spans="1:6" x14ac:dyDescent="0.35">
      <c r="A21" s="2">
        <f ca="1">IFERROR(__xludf.DUMMYFUNCTION("""COMPUTED_VALUE"""),42034.6666666666)</f>
        <v>42034.666666666599</v>
      </c>
      <c r="B21" s="1">
        <f ca="1">IFERROR(__xludf.DUMMYFUNCTION("""COMPUTED_VALUE"""),0.49)</f>
        <v>0.49</v>
      </c>
      <c r="C21" s="1">
        <f ca="1">IFERROR(__xludf.DUMMYFUNCTION("""COMPUTED_VALUE"""),0.5)</f>
        <v>0.5</v>
      </c>
      <c r="D21" s="1">
        <f ca="1">IFERROR(__xludf.DUMMYFUNCTION("""COMPUTED_VALUE"""),0.48)</f>
        <v>0.48</v>
      </c>
      <c r="E21" s="1">
        <f ca="1">IFERROR(__xludf.DUMMYFUNCTION("""COMPUTED_VALUE"""),0.48)</f>
        <v>0.48</v>
      </c>
      <c r="F21" s="1">
        <f ca="1">IFERROR(__xludf.DUMMYFUNCTION("""COMPUTED_VALUE"""),7454968)</f>
        <v>7454968</v>
      </c>
    </row>
    <row r="22" spans="1:6" x14ac:dyDescent="0.35">
      <c r="A22" s="2">
        <f ca="1">IFERROR(__xludf.DUMMYFUNCTION("""COMPUTED_VALUE"""),42037.6666666666)</f>
        <v>42037.666666666599</v>
      </c>
      <c r="B22" s="1">
        <f ca="1">IFERROR(__xludf.DUMMYFUNCTION("""COMPUTED_VALUE"""),0.48)</f>
        <v>0.48</v>
      </c>
      <c r="C22" s="1">
        <f ca="1">IFERROR(__xludf.DUMMYFUNCTION("""COMPUTED_VALUE"""),0.49)</f>
        <v>0.49</v>
      </c>
      <c r="D22" s="1">
        <f ca="1">IFERROR(__xludf.DUMMYFUNCTION("""COMPUTED_VALUE"""),0.47)</f>
        <v>0.47</v>
      </c>
      <c r="E22" s="1">
        <f ca="1">IFERROR(__xludf.DUMMYFUNCTION("""COMPUTED_VALUE"""),0.49)</f>
        <v>0.49</v>
      </c>
      <c r="F22" s="1">
        <f ca="1">IFERROR(__xludf.DUMMYFUNCTION("""COMPUTED_VALUE"""),6490149)</f>
        <v>6490149</v>
      </c>
    </row>
    <row r="23" spans="1:6" x14ac:dyDescent="0.35">
      <c r="A23" s="2">
        <f ca="1">IFERROR(__xludf.DUMMYFUNCTION("""COMPUTED_VALUE"""),42038.6666666666)</f>
        <v>42038.666666666599</v>
      </c>
      <c r="B23" s="1">
        <f ca="1">IFERROR(__xludf.DUMMYFUNCTION("""COMPUTED_VALUE"""),0.49)</f>
        <v>0.49</v>
      </c>
      <c r="C23" s="1">
        <f ca="1">IFERROR(__xludf.DUMMYFUNCTION("""COMPUTED_VALUE"""),0.5)</f>
        <v>0.5</v>
      </c>
      <c r="D23" s="1">
        <f ca="1">IFERROR(__xludf.DUMMYFUNCTION("""COMPUTED_VALUE"""),0.49)</f>
        <v>0.49</v>
      </c>
      <c r="E23" s="1">
        <f ca="1">IFERROR(__xludf.DUMMYFUNCTION("""COMPUTED_VALUE"""),0.5)</f>
        <v>0.5</v>
      </c>
      <c r="F23" s="1">
        <f ca="1">IFERROR(__xludf.DUMMYFUNCTION("""COMPUTED_VALUE"""),4586670)</f>
        <v>4586670</v>
      </c>
    </row>
    <row r="24" spans="1:6" x14ac:dyDescent="0.35">
      <c r="A24" s="2">
        <f ca="1">IFERROR(__xludf.DUMMYFUNCTION("""COMPUTED_VALUE"""),42039.6666666666)</f>
        <v>42039.666666666599</v>
      </c>
      <c r="B24" s="1">
        <f ca="1">IFERROR(__xludf.DUMMYFUNCTION("""COMPUTED_VALUE"""),0.5)</f>
        <v>0.5</v>
      </c>
      <c r="C24" s="1">
        <f ca="1">IFERROR(__xludf.DUMMYFUNCTION("""COMPUTED_VALUE"""),0.51)</f>
        <v>0.51</v>
      </c>
      <c r="D24" s="1">
        <f ca="1">IFERROR(__xludf.DUMMYFUNCTION("""COMPUTED_VALUE"""),0.5)</f>
        <v>0.5</v>
      </c>
      <c r="E24" s="1">
        <f ca="1">IFERROR(__xludf.DUMMYFUNCTION("""COMPUTED_VALUE"""),0.5)</f>
        <v>0.5</v>
      </c>
      <c r="F24" s="1">
        <f ca="1">IFERROR(__xludf.DUMMYFUNCTION("""COMPUTED_VALUE"""),4537872)</f>
        <v>4537872</v>
      </c>
    </row>
    <row r="25" spans="1:6" x14ac:dyDescent="0.35">
      <c r="A25" s="2">
        <f ca="1">IFERROR(__xludf.DUMMYFUNCTION("""COMPUTED_VALUE"""),42040.6666666666)</f>
        <v>42040.666666666599</v>
      </c>
      <c r="B25" s="1">
        <f ca="1">IFERROR(__xludf.DUMMYFUNCTION("""COMPUTED_VALUE"""),0.5)</f>
        <v>0.5</v>
      </c>
      <c r="C25" s="1">
        <f ca="1">IFERROR(__xludf.DUMMYFUNCTION("""COMPUTED_VALUE"""),0.51)</f>
        <v>0.51</v>
      </c>
      <c r="D25" s="1">
        <f ca="1">IFERROR(__xludf.DUMMYFUNCTION("""COMPUTED_VALUE"""),0.5)</f>
        <v>0.5</v>
      </c>
      <c r="E25" s="1">
        <f ca="1">IFERROR(__xludf.DUMMYFUNCTION("""COMPUTED_VALUE"""),0.51)</f>
        <v>0.51</v>
      </c>
      <c r="F25" s="1">
        <f ca="1">IFERROR(__xludf.DUMMYFUNCTION("""COMPUTED_VALUE"""),3511195)</f>
        <v>3511195</v>
      </c>
    </row>
    <row r="26" spans="1:6" x14ac:dyDescent="0.35">
      <c r="A26" s="2">
        <f ca="1">IFERROR(__xludf.DUMMYFUNCTION("""COMPUTED_VALUE"""),42041.6666666666)</f>
        <v>42041.666666666599</v>
      </c>
      <c r="B26" s="1">
        <f ca="1">IFERROR(__xludf.DUMMYFUNCTION("""COMPUTED_VALUE"""),0.51)</f>
        <v>0.51</v>
      </c>
      <c r="C26" s="1">
        <f ca="1">IFERROR(__xludf.DUMMYFUNCTION("""COMPUTED_VALUE"""),0.52)</f>
        <v>0.52</v>
      </c>
      <c r="D26" s="1">
        <f ca="1">IFERROR(__xludf.DUMMYFUNCTION("""COMPUTED_VALUE"""),0.51)</f>
        <v>0.51</v>
      </c>
      <c r="E26" s="1">
        <f ca="1">IFERROR(__xludf.DUMMYFUNCTION("""COMPUTED_VALUE"""),0.51)</f>
        <v>0.51</v>
      </c>
      <c r="F26" s="1">
        <f ca="1">IFERROR(__xludf.DUMMYFUNCTION("""COMPUTED_VALUE"""),5263073)</f>
        <v>5263073</v>
      </c>
    </row>
    <row r="27" spans="1:6" x14ac:dyDescent="0.35">
      <c r="A27" s="2">
        <f ca="1">IFERROR(__xludf.DUMMYFUNCTION("""COMPUTED_VALUE"""),42044.6666666666)</f>
        <v>42044.666666666599</v>
      </c>
      <c r="B27" s="1">
        <f ca="1">IFERROR(__xludf.DUMMYFUNCTION("""COMPUTED_VALUE"""),0.51)</f>
        <v>0.51</v>
      </c>
      <c r="C27" s="1">
        <f ca="1">IFERROR(__xludf.DUMMYFUNCTION("""COMPUTED_VALUE"""),0.51)</f>
        <v>0.51</v>
      </c>
      <c r="D27" s="1">
        <f ca="1">IFERROR(__xludf.DUMMYFUNCTION("""COMPUTED_VALUE"""),0.5)</f>
        <v>0.5</v>
      </c>
      <c r="E27" s="1">
        <f ca="1">IFERROR(__xludf.DUMMYFUNCTION("""COMPUTED_VALUE"""),0.51)</f>
        <v>0.51</v>
      </c>
      <c r="F27" s="1">
        <f ca="1">IFERROR(__xludf.DUMMYFUNCTION("""COMPUTED_VALUE"""),6849193)</f>
        <v>6849193</v>
      </c>
    </row>
    <row r="28" spans="1:6" x14ac:dyDescent="0.35">
      <c r="A28" s="2">
        <f ca="1">IFERROR(__xludf.DUMMYFUNCTION("""COMPUTED_VALUE"""),42045.6666666666)</f>
        <v>42045.666666666599</v>
      </c>
      <c r="B28" s="1">
        <f ca="1">IFERROR(__xludf.DUMMYFUNCTION("""COMPUTED_VALUE"""),0.51)</f>
        <v>0.51</v>
      </c>
      <c r="C28" s="1">
        <f ca="1">IFERROR(__xludf.DUMMYFUNCTION("""COMPUTED_VALUE"""),0.52)</f>
        <v>0.52</v>
      </c>
      <c r="D28" s="1">
        <f ca="1">IFERROR(__xludf.DUMMYFUNCTION("""COMPUTED_VALUE"""),0.51)</f>
        <v>0.51</v>
      </c>
      <c r="E28" s="1">
        <f ca="1">IFERROR(__xludf.DUMMYFUNCTION("""COMPUTED_VALUE"""),0.52)</f>
        <v>0.52</v>
      </c>
      <c r="F28" s="1">
        <f ca="1">IFERROR(__xludf.DUMMYFUNCTION("""COMPUTED_VALUE"""),5655113)</f>
        <v>5655113</v>
      </c>
    </row>
    <row r="29" spans="1:6" x14ac:dyDescent="0.35">
      <c r="A29" s="2">
        <f ca="1">IFERROR(__xludf.DUMMYFUNCTION("""COMPUTED_VALUE"""),42046.6666666666)</f>
        <v>42046.666666666599</v>
      </c>
      <c r="B29" s="1">
        <f ca="1">IFERROR(__xludf.DUMMYFUNCTION("""COMPUTED_VALUE"""),0.53)</f>
        <v>0.53</v>
      </c>
      <c r="C29" s="1">
        <f ca="1">IFERROR(__xludf.DUMMYFUNCTION("""COMPUTED_VALUE"""),0.53)</f>
        <v>0.53</v>
      </c>
      <c r="D29" s="1">
        <f ca="1">IFERROR(__xludf.DUMMYFUNCTION("""COMPUTED_VALUE"""),0.52)</f>
        <v>0.52</v>
      </c>
      <c r="E29" s="1">
        <f ca="1">IFERROR(__xludf.DUMMYFUNCTION("""COMPUTED_VALUE"""),0.52)</f>
        <v>0.52</v>
      </c>
      <c r="F29" s="1">
        <f ca="1">IFERROR(__xludf.DUMMYFUNCTION("""COMPUTED_VALUE"""),8020778)</f>
        <v>8020778</v>
      </c>
    </row>
    <row r="30" spans="1:6" x14ac:dyDescent="0.35">
      <c r="A30" s="2">
        <f ca="1">IFERROR(__xludf.DUMMYFUNCTION("""COMPUTED_VALUE"""),42047.6666666666)</f>
        <v>42047.666666666599</v>
      </c>
      <c r="B30" s="1">
        <f ca="1">IFERROR(__xludf.DUMMYFUNCTION("""COMPUTED_VALUE"""),0.55)</f>
        <v>0.55000000000000004</v>
      </c>
      <c r="C30" s="1">
        <f ca="1">IFERROR(__xludf.DUMMYFUNCTION("""COMPUTED_VALUE"""),0.56)</f>
        <v>0.56000000000000005</v>
      </c>
      <c r="D30" s="1">
        <f ca="1">IFERROR(__xludf.DUMMYFUNCTION("""COMPUTED_VALUE"""),0.55)</f>
        <v>0.55000000000000004</v>
      </c>
      <c r="E30" s="1">
        <f ca="1">IFERROR(__xludf.DUMMYFUNCTION("""COMPUTED_VALUE"""),0.56)</f>
        <v>0.56000000000000005</v>
      </c>
      <c r="F30" s="1">
        <f ca="1">IFERROR(__xludf.DUMMYFUNCTION("""COMPUTED_VALUE"""),16922588)</f>
        <v>16922588</v>
      </c>
    </row>
    <row r="31" spans="1:6" x14ac:dyDescent="0.35">
      <c r="A31" s="2">
        <f ca="1">IFERROR(__xludf.DUMMYFUNCTION("""COMPUTED_VALUE"""),42048.6666666666)</f>
        <v>42048.666666666599</v>
      </c>
      <c r="B31" s="1">
        <f ca="1">IFERROR(__xludf.DUMMYFUNCTION("""COMPUTED_VALUE"""),0.56)</f>
        <v>0.56000000000000005</v>
      </c>
      <c r="C31" s="1">
        <f ca="1">IFERROR(__xludf.DUMMYFUNCTION("""COMPUTED_VALUE"""),0.56)</f>
        <v>0.56000000000000005</v>
      </c>
      <c r="D31" s="1">
        <f ca="1">IFERROR(__xludf.DUMMYFUNCTION("""COMPUTED_VALUE"""),0.55)</f>
        <v>0.55000000000000004</v>
      </c>
      <c r="E31" s="1">
        <f ca="1">IFERROR(__xludf.DUMMYFUNCTION("""COMPUTED_VALUE"""),0.56)</f>
        <v>0.56000000000000005</v>
      </c>
      <c r="F31" s="1">
        <f ca="1">IFERROR(__xludf.DUMMYFUNCTION("""COMPUTED_VALUE"""),7752149)</f>
        <v>7752149</v>
      </c>
    </row>
    <row r="32" spans="1:6" x14ac:dyDescent="0.35">
      <c r="A32" s="2">
        <f ca="1">IFERROR(__xludf.DUMMYFUNCTION("""COMPUTED_VALUE"""),42052.6666666666)</f>
        <v>42052.666666666599</v>
      </c>
      <c r="B32" s="1">
        <f ca="1">IFERROR(__xludf.DUMMYFUNCTION("""COMPUTED_VALUE"""),0.56)</f>
        <v>0.56000000000000005</v>
      </c>
      <c r="C32" s="1">
        <f ca="1">IFERROR(__xludf.DUMMYFUNCTION("""COMPUTED_VALUE"""),0.56)</f>
        <v>0.56000000000000005</v>
      </c>
      <c r="D32" s="1">
        <f ca="1">IFERROR(__xludf.DUMMYFUNCTION("""COMPUTED_VALUE"""),0.55)</f>
        <v>0.55000000000000004</v>
      </c>
      <c r="E32" s="1">
        <f ca="1">IFERROR(__xludf.DUMMYFUNCTION("""COMPUTED_VALUE"""),0.56)</f>
        <v>0.56000000000000005</v>
      </c>
      <c r="F32" s="1">
        <f ca="1">IFERROR(__xludf.DUMMYFUNCTION("""COMPUTED_VALUE"""),5083466)</f>
        <v>5083466</v>
      </c>
    </row>
    <row r="33" spans="1:6" x14ac:dyDescent="0.35">
      <c r="A33" s="2">
        <f ca="1">IFERROR(__xludf.DUMMYFUNCTION("""COMPUTED_VALUE"""),42053.6666666666)</f>
        <v>42053.666666666599</v>
      </c>
      <c r="B33" s="1">
        <f ca="1">IFERROR(__xludf.DUMMYFUNCTION("""COMPUTED_VALUE"""),0.56)</f>
        <v>0.56000000000000005</v>
      </c>
      <c r="C33" s="1">
        <f ca="1">IFERROR(__xludf.DUMMYFUNCTION("""COMPUTED_VALUE"""),0.56)</f>
        <v>0.56000000000000005</v>
      </c>
      <c r="D33" s="1">
        <f ca="1">IFERROR(__xludf.DUMMYFUNCTION("""COMPUTED_VALUE"""),0.55)</f>
        <v>0.55000000000000004</v>
      </c>
      <c r="E33" s="1">
        <f ca="1">IFERROR(__xludf.DUMMYFUNCTION("""COMPUTED_VALUE"""),0.55)</f>
        <v>0.55000000000000004</v>
      </c>
      <c r="F33" s="1">
        <f ca="1">IFERROR(__xludf.DUMMYFUNCTION("""COMPUTED_VALUE"""),4273997)</f>
        <v>4273997</v>
      </c>
    </row>
    <row r="34" spans="1:6" x14ac:dyDescent="0.35">
      <c r="A34" s="2">
        <f ca="1">IFERROR(__xludf.DUMMYFUNCTION("""COMPUTED_VALUE"""),42054.6666666666)</f>
        <v>42054.666666666599</v>
      </c>
      <c r="B34" s="1">
        <f ca="1">IFERROR(__xludf.DUMMYFUNCTION("""COMPUTED_VALUE"""),0.56)</f>
        <v>0.56000000000000005</v>
      </c>
      <c r="C34" s="1">
        <f ca="1">IFERROR(__xludf.DUMMYFUNCTION("""COMPUTED_VALUE"""),0.56)</f>
        <v>0.56000000000000005</v>
      </c>
      <c r="D34" s="1">
        <f ca="1">IFERROR(__xludf.DUMMYFUNCTION("""COMPUTED_VALUE"""),0.55)</f>
        <v>0.55000000000000004</v>
      </c>
      <c r="E34" s="1">
        <f ca="1">IFERROR(__xludf.DUMMYFUNCTION("""COMPUTED_VALUE"""),0.55)</f>
        <v>0.55000000000000004</v>
      </c>
      <c r="F34" s="1">
        <f ca="1">IFERROR(__xludf.DUMMYFUNCTION("""COMPUTED_VALUE"""),4235760)</f>
        <v>4235760</v>
      </c>
    </row>
    <row r="35" spans="1:6" x14ac:dyDescent="0.35">
      <c r="A35" s="2">
        <f ca="1">IFERROR(__xludf.DUMMYFUNCTION("""COMPUTED_VALUE"""),42055.6666666666)</f>
        <v>42055.666666666599</v>
      </c>
      <c r="B35" s="1">
        <f ca="1">IFERROR(__xludf.DUMMYFUNCTION("""COMPUTED_VALUE"""),0.55)</f>
        <v>0.55000000000000004</v>
      </c>
      <c r="C35" s="1">
        <f ca="1">IFERROR(__xludf.DUMMYFUNCTION("""COMPUTED_VALUE"""),0.56)</f>
        <v>0.56000000000000005</v>
      </c>
      <c r="D35" s="1">
        <f ca="1">IFERROR(__xludf.DUMMYFUNCTION("""COMPUTED_VALUE"""),0.55)</f>
        <v>0.55000000000000004</v>
      </c>
      <c r="E35" s="1">
        <f ca="1">IFERROR(__xludf.DUMMYFUNCTION("""COMPUTED_VALUE"""),0.56)</f>
        <v>0.56000000000000005</v>
      </c>
      <c r="F35" s="1">
        <f ca="1">IFERROR(__xludf.DUMMYFUNCTION("""COMPUTED_VALUE"""),3943820)</f>
        <v>3943820</v>
      </c>
    </row>
    <row r="36" spans="1:6" x14ac:dyDescent="0.35">
      <c r="A36" s="2">
        <f ca="1">IFERROR(__xludf.DUMMYFUNCTION("""COMPUTED_VALUE"""),42058.6666666666)</f>
        <v>42058.666666666599</v>
      </c>
      <c r="B36" s="1">
        <f ca="1">IFERROR(__xludf.DUMMYFUNCTION("""COMPUTED_VALUE"""),0.56)</f>
        <v>0.56000000000000005</v>
      </c>
      <c r="C36" s="1">
        <f ca="1">IFERROR(__xludf.DUMMYFUNCTION("""COMPUTED_VALUE"""),0.56)</f>
        <v>0.56000000000000005</v>
      </c>
      <c r="D36" s="1">
        <f ca="1">IFERROR(__xludf.DUMMYFUNCTION("""COMPUTED_VALUE"""),0.55)</f>
        <v>0.55000000000000004</v>
      </c>
      <c r="E36" s="1">
        <f ca="1">IFERROR(__xludf.DUMMYFUNCTION("""COMPUTED_VALUE"""),0.55)</f>
        <v>0.55000000000000004</v>
      </c>
      <c r="F36" s="1">
        <f ca="1">IFERROR(__xludf.DUMMYFUNCTION("""COMPUTED_VALUE"""),3125918)</f>
        <v>3125918</v>
      </c>
    </row>
    <row r="37" spans="1:6" x14ac:dyDescent="0.35">
      <c r="A37" s="2">
        <f ca="1">IFERROR(__xludf.DUMMYFUNCTION("""COMPUTED_VALUE"""),42059.6666666666)</f>
        <v>42059.666666666599</v>
      </c>
      <c r="B37" s="1">
        <f ca="1">IFERROR(__xludf.DUMMYFUNCTION("""COMPUTED_VALUE"""),0.55)</f>
        <v>0.55000000000000004</v>
      </c>
      <c r="C37" s="1">
        <f ca="1">IFERROR(__xludf.DUMMYFUNCTION("""COMPUTED_VALUE"""),0.56)</f>
        <v>0.56000000000000005</v>
      </c>
      <c r="D37" s="1">
        <f ca="1">IFERROR(__xludf.DUMMYFUNCTION("""COMPUTED_VALUE"""),0.55)</f>
        <v>0.55000000000000004</v>
      </c>
      <c r="E37" s="1">
        <f ca="1">IFERROR(__xludf.DUMMYFUNCTION("""COMPUTED_VALUE"""),0.56)</f>
        <v>0.56000000000000005</v>
      </c>
      <c r="F37" s="1">
        <f ca="1">IFERROR(__xludf.DUMMYFUNCTION("""COMPUTED_VALUE"""),3733318)</f>
        <v>3733318</v>
      </c>
    </row>
    <row r="38" spans="1:6" x14ac:dyDescent="0.35">
      <c r="A38" s="2">
        <f ca="1">IFERROR(__xludf.DUMMYFUNCTION("""COMPUTED_VALUE"""),42060.6666666666)</f>
        <v>42060.666666666599</v>
      </c>
      <c r="B38" s="1">
        <f ca="1">IFERROR(__xludf.DUMMYFUNCTION("""COMPUTED_VALUE"""),0.56)</f>
        <v>0.56000000000000005</v>
      </c>
      <c r="C38" s="1">
        <f ca="1">IFERROR(__xludf.DUMMYFUNCTION("""COMPUTED_VALUE"""),0.56)</f>
        <v>0.56000000000000005</v>
      </c>
      <c r="D38" s="1">
        <f ca="1">IFERROR(__xludf.DUMMYFUNCTION("""COMPUTED_VALUE"""),0.55)</f>
        <v>0.55000000000000004</v>
      </c>
      <c r="E38" s="1">
        <f ca="1">IFERROR(__xludf.DUMMYFUNCTION("""COMPUTED_VALUE"""),0.55)</f>
        <v>0.55000000000000004</v>
      </c>
      <c r="F38" s="1">
        <f ca="1">IFERROR(__xludf.DUMMYFUNCTION("""COMPUTED_VALUE"""),3095526)</f>
        <v>3095526</v>
      </c>
    </row>
    <row r="39" spans="1:6" x14ac:dyDescent="0.35">
      <c r="A39" s="2">
        <f ca="1">IFERROR(__xludf.DUMMYFUNCTION("""COMPUTED_VALUE"""),42061.6666666666)</f>
        <v>42061.666666666599</v>
      </c>
      <c r="B39" s="1">
        <f ca="1">IFERROR(__xludf.DUMMYFUNCTION("""COMPUTED_VALUE"""),0.56)</f>
        <v>0.56000000000000005</v>
      </c>
      <c r="C39" s="1">
        <f ca="1">IFERROR(__xludf.DUMMYFUNCTION("""COMPUTED_VALUE"""),0.56)</f>
        <v>0.56000000000000005</v>
      </c>
      <c r="D39" s="1">
        <f ca="1">IFERROR(__xludf.DUMMYFUNCTION("""COMPUTED_VALUE"""),0.55)</f>
        <v>0.55000000000000004</v>
      </c>
      <c r="E39" s="1">
        <f ca="1">IFERROR(__xludf.DUMMYFUNCTION("""COMPUTED_VALUE"""),0.56)</f>
        <v>0.56000000000000005</v>
      </c>
      <c r="F39" s="1">
        <f ca="1">IFERROR(__xludf.DUMMYFUNCTION("""COMPUTED_VALUE"""),3821597)</f>
        <v>3821597</v>
      </c>
    </row>
    <row r="40" spans="1:6" x14ac:dyDescent="0.35">
      <c r="A40" s="2">
        <f ca="1">IFERROR(__xludf.DUMMYFUNCTION("""COMPUTED_VALUE"""),42062.6666666666)</f>
        <v>42062.666666666599</v>
      </c>
      <c r="B40" s="1">
        <f ca="1">IFERROR(__xludf.DUMMYFUNCTION("""COMPUTED_VALUE"""),0.55)</f>
        <v>0.55000000000000004</v>
      </c>
      <c r="C40" s="1">
        <f ca="1">IFERROR(__xludf.DUMMYFUNCTION("""COMPUTED_VALUE"""),0.55)</f>
        <v>0.55000000000000004</v>
      </c>
      <c r="D40" s="1">
        <f ca="1">IFERROR(__xludf.DUMMYFUNCTION("""COMPUTED_VALUE"""),0.55)</f>
        <v>0.55000000000000004</v>
      </c>
      <c r="E40" s="1">
        <f ca="1">IFERROR(__xludf.DUMMYFUNCTION("""COMPUTED_VALUE"""),0.55)</f>
        <v>0.55000000000000004</v>
      </c>
      <c r="F40" s="1">
        <f ca="1">IFERROR(__xludf.DUMMYFUNCTION("""COMPUTED_VALUE"""),3937273)</f>
        <v>3937273</v>
      </c>
    </row>
    <row r="41" spans="1:6" x14ac:dyDescent="0.35">
      <c r="A41" s="2">
        <f ca="1">IFERROR(__xludf.DUMMYFUNCTION("""COMPUTED_VALUE"""),42065.6666666666)</f>
        <v>42065.666666666599</v>
      </c>
      <c r="B41" s="1">
        <f ca="1">IFERROR(__xludf.DUMMYFUNCTION("""COMPUTED_VALUE"""),0.55)</f>
        <v>0.55000000000000004</v>
      </c>
      <c r="C41" s="1">
        <f ca="1">IFERROR(__xludf.DUMMYFUNCTION("""COMPUTED_VALUE"""),0.57)</f>
        <v>0.56999999999999995</v>
      </c>
      <c r="D41" s="1">
        <f ca="1">IFERROR(__xludf.DUMMYFUNCTION("""COMPUTED_VALUE"""),0.55)</f>
        <v>0.55000000000000004</v>
      </c>
      <c r="E41" s="1">
        <f ca="1">IFERROR(__xludf.DUMMYFUNCTION("""COMPUTED_VALUE"""),0.56)</f>
        <v>0.56000000000000005</v>
      </c>
      <c r="F41" s="1">
        <f ca="1">IFERROR(__xludf.DUMMYFUNCTION("""COMPUTED_VALUE"""),7537781)</f>
        <v>7537781</v>
      </c>
    </row>
    <row r="42" spans="1:6" x14ac:dyDescent="0.35">
      <c r="A42" s="2">
        <f ca="1">IFERROR(__xludf.DUMMYFUNCTION("""COMPUTED_VALUE"""),42066.6666666666)</f>
        <v>42066.666666666599</v>
      </c>
      <c r="B42" s="1">
        <f ca="1">IFERROR(__xludf.DUMMYFUNCTION("""COMPUTED_VALUE"""),0.56)</f>
        <v>0.56000000000000005</v>
      </c>
      <c r="C42" s="1">
        <f ca="1">IFERROR(__xludf.DUMMYFUNCTION("""COMPUTED_VALUE"""),0.56)</f>
        <v>0.56000000000000005</v>
      </c>
      <c r="D42" s="1">
        <f ca="1">IFERROR(__xludf.DUMMYFUNCTION("""COMPUTED_VALUE"""),0.55)</f>
        <v>0.55000000000000004</v>
      </c>
      <c r="E42" s="1">
        <f ca="1">IFERROR(__xludf.DUMMYFUNCTION("""COMPUTED_VALUE"""),0.55)</f>
        <v>0.55000000000000004</v>
      </c>
      <c r="F42" s="1">
        <f ca="1">IFERROR(__xludf.DUMMYFUNCTION("""COMPUTED_VALUE"""),4008638)</f>
        <v>4008638</v>
      </c>
    </row>
    <row r="43" spans="1:6" x14ac:dyDescent="0.35">
      <c r="A43" s="2">
        <f ca="1">IFERROR(__xludf.DUMMYFUNCTION("""COMPUTED_VALUE"""),42067.6666666666)</f>
        <v>42067.666666666599</v>
      </c>
      <c r="B43" s="1">
        <f ca="1">IFERROR(__xludf.DUMMYFUNCTION("""COMPUTED_VALUE"""),0.55)</f>
        <v>0.55000000000000004</v>
      </c>
      <c r="C43" s="1">
        <f ca="1">IFERROR(__xludf.DUMMYFUNCTION("""COMPUTED_VALUE"""),0.56)</f>
        <v>0.56000000000000005</v>
      </c>
      <c r="D43" s="1">
        <f ca="1">IFERROR(__xludf.DUMMYFUNCTION("""COMPUTED_VALUE"""),0.55)</f>
        <v>0.55000000000000004</v>
      </c>
      <c r="E43" s="1">
        <f ca="1">IFERROR(__xludf.DUMMYFUNCTION("""COMPUTED_VALUE"""),0.56)</f>
        <v>0.56000000000000005</v>
      </c>
      <c r="F43" s="1">
        <f ca="1">IFERROR(__xludf.DUMMYFUNCTION("""COMPUTED_VALUE"""),5670997)</f>
        <v>5670997</v>
      </c>
    </row>
    <row r="44" spans="1:6" x14ac:dyDescent="0.35">
      <c r="A44" s="2">
        <f ca="1">IFERROR(__xludf.DUMMYFUNCTION("""COMPUTED_VALUE"""),42068.6666666666)</f>
        <v>42068.666666666599</v>
      </c>
      <c r="B44" s="1">
        <f ca="1">IFERROR(__xludf.DUMMYFUNCTION("""COMPUTED_VALUE"""),0.56)</f>
        <v>0.56000000000000005</v>
      </c>
      <c r="C44" s="1">
        <f ca="1">IFERROR(__xludf.DUMMYFUNCTION("""COMPUTED_VALUE"""),0.57)</f>
        <v>0.56999999999999995</v>
      </c>
      <c r="D44" s="1">
        <f ca="1">IFERROR(__xludf.DUMMYFUNCTION("""COMPUTED_VALUE"""),0.56)</f>
        <v>0.56000000000000005</v>
      </c>
      <c r="E44" s="1">
        <f ca="1">IFERROR(__xludf.DUMMYFUNCTION("""COMPUTED_VALUE"""),0.57)</f>
        <v>0.56999999999999995</v>
      </c>
      <c r="F44" s="1">
        <f ca="1">IFERROR(__xludf.DUMMYFUNCTION("""COMPUTED_VALUE"""),8076425)</f>
        <v>8076425</v>
      </c>
    </row>
    <row r="45" spans="1:6" x14ac:dyDescent="0.35">
      <c r="A45" s="2">
        <f ca="1">IFERROR(__xludf.DUMMYFUNCTION("""COMPUTED_VALUE"""),42069.6666666666)</f>
        <v>42069.666666666599</v>
      </c>
      <c r="B45" s="1">
        <f ca="1">IFERROR(__xludf.DUMMYFUNCTION("""COMPUTED_VALUE"""),0.57)</f>
        <v>0.56999999999999995</v>
      </c>
      <c r="C45" s="1">
        <f ca="1">IFERROR(__xludf.DUMMYFUNCTION("""COMPUTED_VALUE"""),0.57)</f>
        <v>0.56999999999999995</v>
      </c>
      <c r="D45" s="1">
        <f ca="1">IFERROR(__xludf.DUMMYFUNCTION("""COMPUTED_VALUE"""),0.56)</f>
        <v>0.56000000000000005</v>
      </c>
      <c r="E45" s="1">
        <f ca="1">IFERROR(__xludf.DUMMYFUNCTION("""COMPUTED_VALUE"""),0.56)</f>
        <v>0.56000000000000005</v>
      </c>
      <c r="F45" s="1">
        <f ca="1">IFERROR(__xludf.DUMMYFUNCTION("""COMPUTED_VALUE"""),6434807)</f>
        <v>6434807</v>
      </c>
    </row>
    <row r="46" spans="1:6" x14ac:dyDescent="0.35">
      <c r="A46" s="2">
        <f ca="1">IFERROR(__xludf.DUMMYFUNCTION("""COMPUTED_VALUE"""),42072.6666666666)</f>
        <v>42072.666666666599</v>
      </c>
      <c r="B46" s="1">
        <f ca="1">IFERROR(__xludf.DUMMYFUNCTION("""COMPUTED_VALUE"""),0.56)</f>
        <v>0.56000000000000005</v>
      </c>
      <c r="C46" s="1">
        <f ca="1">IFERROR(__xludf.DUMMYFUNCTION("""COMPUTED_VALUE"""),0.57)</f>
        <v>0.56999999999999995</v>
      </c>
      <c r="D46" s="1">
        <f ca="1">IFERROR(__xludf.DUMMYFUNCTION("""COMPUTED_VALUE"""),0.56)</f>
        <v>0.56000000000000005</v>
      </c>
      <c r="E46" s="1">
        <f ca="1">IFERROR(__xludf.DUMMYFUNCTION("""COMPUTED_VALUE"""),0.57)</f>
        <v>0.56999999999999995</v>
      </c>
      <c r="F46" s="1">
        <f ca="1">IFERROR(__xludf.DUMMYFUNCTION("""COMPUTED_VALUE"""),5559693)</f>
        <v>5559693</v>
      </c>
    </row>
    <row r="47" spans="1:6" x14ac:dyDescent="0.35">
      <c r="A47" s="2">
        <f ca="1">IFERROR(__xludf.DUMMYFUNCTION("""COMPUTED_VALUE"""),42073.6666666666)</f>
        <v>42073.666666666599</v>
      </c>
      <c r="B47" s="1">
        <f ca="1">IFERROR(__xludf.DUMMYFUNCTION("""COMPUTED_VALUE"""),0.57)</f>
        <v>0.56999999999999995</v>
      </c>
      <c r="C47" s="1">
        <f ca="1">IFERROR(__xludf.DUMMYFUNCTION("""COMPUTED_VALUE"""),0.58)</f>
        <v>0.57999999999999996</v>
      </c>
      <c r="D47" s="1">
        <f ca="1">IFERROR(__xludf.DUMMYFUNCTION("""COMPUTED_VALUE"""),0.57)</f>
        <v>0.56999999999999995</v>
      </c>
      <c r="E47" s="1">
        <f ca="1">IFERROR(__xludf.DUMMYFUNCTION("""COMPUTED_VALUE"""),0.57)</f>
        <v>0.56999999999999995</v>
      </c>
      <c r="F47" s="1">
        <f ca="1">IFERROR(__xludf.DUMMYFUNCTION("""COMPUTED_VALUE"""),13180267)</f>
        <v>13180267</v>
      </c>
    </row>
    <row r="48" spans="1:6" x14ac:dyDescent="0.35">
      <c r="A48" s="2">
        <f ca="1">IFERROR(__xludf.DUMMYFUNCTION("""COMPUTED_VALUE"""),42074.6666666666)</f>
        <v>42074.666666666599</v>
      </c>
      <c r="B48" s="1">
        <f ca="1">IFERROR(__xludf.DUMMYFUNCTION("""COMPUTED_VALUE"""),0.57)</f>
        <v>0.56999999999999995</v>
      </c>
      <c r="C48" s="1">
        <f ca="1">IFERROR(__xludf.DUMMYFUNCTION("""COMPUTED_VALUE"""),0.58)</f>
        <v>0.57999999999999996</v>
      </c>
      <c r="D48" s="1">
        <f ca="1">IFERROR(__xludf.DUMMYFUNCTION("""COMPUTED_VALUE"""),0.57)</f>
        <v>0.56999999999999995</v>
      </c>
      <c r="E48" s="1">
        <f ca="1">IFERROR(__xludf.DUMMYFUNCTION("""COMPUTED_VALUE"""),0.57)</f>
        <v>0.56999999999999995</v>
      </c>
      <c r="F48" s="1">
        <f ca="1">IFERROR(__xludf.DUMMYFUNCTION("""COMPUTED_VALUE"""),6552965)</f>
        <v>6552965</v>
      </c>
    </row>
    <row r="49" spans="1:6" x14ac:dyDescent="0.35">
      <c r="A49" s="2">
        <f ca="1">IFERROR(__xludf.DUMMYFUNCTION("""COMPUTED_VALUE"""),42075.6666666666)</f>
        <v>42075.666666666599</v>
      </c>
      <c r="B49" s="1">
        <f ca="1">IFERROR(__xludf.DUMMYFUNCTION("""COMPUTED_VALUE"""),0.57)</f>
        <v>0.56999999999999995</v>
      </c>
      <c r="C49" s="1">
        <f ca="1">IFERROR(__xludf.DUMMYFUNCTION("""COMPUTED_VALUE"""),0.57)</f>
        <v>0.56999999999999995</v>
      </c>
      <c r="D49" s="1">
        <f ca="1">IFERROR(__xludf.DUMMYFUNCTION("""COMPUTED_VALUE"""),0.56)</f>
        <v>0.56000000000000005</v>
      </c>
      <c r="E49" s="1">
        <f ca="1">IFERROR(__xludf.DUMMYFUNCTION("""COMPUTED_VALUE"""),0.57)</f>
        <v>0.56999999999999995</v>
      </c>
      <c r="F49" s="1">
        <f ca="1">IFERROR(__xludf.DUMMYFUNCTION("""COMPUTED_VALUE"""),10174260)</f>
        <v>10174260</v>
      </c>
    </row>
    <row r="50" spans="1:6" x14ac:dyDescent="0.35">
      <c r="A50" s="2">
        <f ca="1">IFERROR(__xludf.DUMMYFUNCTION("""COMPUTED_VALUE"""),42076.6666666666)</f>
        <v>42076.666666666599</v>
      </c>
      <c r="B50" s="1">
        <f ca="1">IFERROR(__xludf.DUMMYFUNCTION("""COMPUTED_VALUE"""),0.56)</f>
        <v>0.56000000000000005</v>
      </c>
      <c r="C50" s="1">
        <f ca="1">IFERROR(__xludf.DUMMYFUNCTION("""COMPUTED_VALUE"""),0.57)</f>
        <v>0.56999999999999995</v>
      </c>
      <c r="D50" s="1">
        <f ca="1">IFERROR(__xludf.DUMMYFUNCTION("""COMPUTED_VALUE"""),0.56)</f>
        <v>0.56000000000000005</v>
      </c>
      <c r="E50" s="1">
        <f ca="1">IFERROR(__xludf.DUMMYFUNCTION("""COMPUTED_VALUE"""),0.57)</f>
        <v>0.56999999999999995</v>
      </c>
      <c r="F50" s="1">
        <f ca="1">IFERROR(__xludf.DUMMYFUNCTION("""COMPUTED_VALUE"""),8982188)</f>
        <v>8982188</v>
      </c>
    </row>
    <row r="51" spans="1:6" x14ac:dyDescent="0.35">
      <c r="A51" s="2">
        <f ca="1">IFERROR(__xludf.DUMMYFUNCTION("""COMPUTED_VALUE"""),42079.6666666666)</f>
        <v>42079.666666666599</v>
      </c>
      <c r="B51" s="1">
        <f ca="1">IFERROR(__xludf.DUMMYFUNCTION("""COMPUTED_VALUE"""),0.57)</f>
        <v>0.56999999999999995</v>
      </c>
      <c r="C51" s="1">
        <f ca="1">IFERROR(__xludf.DUMMYFUNCTION("""COMPUTED_VALUE"""),0.58)</f>
        <v>0.57999999999999996</v>
      </c>
      <c r="D51" s="1">
        <f ca="1">IFERROR(__xludf.DUMMYFUNCTION("""COMPUTED_VALUE"""),0.57)</f>
        <v>0.56999999999999995</v>
      </c>
      <c r="E51" s="1">
        <f ca="1">IFERROR(__xludf.DUMMYFUNCTION("""COMPUTED_VALUE"""),0.57)</f>
        <v>0.56999999999999995</v>
      </c>
      <c r="F51" s="1">
        <f ca="1">IFERROR(__xludf.DUMMYFUNCTION("""COMPUTED_VALUE"""),5923864)</f>
        <v>5923864</v>
      </c>
    </row>
    <row r="52" spans="1:6" x14ac:dyDescent="0.35">
      <c r="A52" s="2">
        <f ca="1">IFERROR(__xludf.DUMMYFUNCTION("""COMPUTED_VALUE"""),42080.6666666666)</f>
        <v>42080.666666666599</v>
      </c>
      <c r="B52" s="1">
        <f ca="1">IFERROR(__xludf.DUMMYFUNCTION("""COMPUTED_VALUE"""),0.57)</f>
        <v>0.56999999999999995</v>
      </c>
      <c r="C52" s="1">
        <f ca="1">IFERROR(__xludf.DUMMYFUNCTION("""COMPUTED_VALUE"""),0.58)</f>
        <v>0.57999999999999996</v>
      </c>
      <c r="D52" s="1">
        <f ca="1">IFERROR(__xludf.DUMMYFUNCTION("""COMPUTED_VALUE"""),0.57)</f>
        <v>0.56999999999999995</v>
      </c>
      <c r="E52" s="1">
        <f ca="1">IFERROR(__xludf.DUMMYFUNCTION("""COMPUTED_VALUE"""),0.58)</f>
        <v>0.57999999999999996</v>
      </c>
      <c r="F52" s="1">
        <f ca="1">IFERROR(__xludf.DUMMYFUNCTION("""COMPUTED_VALUE"""),7498556)</f>
        <v>7498556</v>
      </c>
    </row>
    <row r="53" spans="1:6" x14ac:dyDescent="0.35">
      <c r="A53" s="2">
        <f ca="1">IFERROR(__xludf.DUMMYFUNCTION("""COMPUTED_VALUE"""),42081.6666666666)</f>
        <v>42081.666666666599</v>
      </c>
      <c r="B53" s="1">
        <f ca="1">IFERROR(__xludf.DUMMYFUNCTION("""COMPUTED_VALUE"""),0.58)</f>
        <v>0.57999999999999996</v>
      </c>
      <c r="C53" s="1">
        <f ca="1">IFERROR(__xludf.DUMMYFUNCTION("""COMPUTED_VALUE"""),0.58)</f>
        <v>0.57999999999999996</v>
      </c>
      <c r="D53" s="1">
        <f ca="1">IFERROR(__xludf.DUMMYFUNCTION("""COMPUTED_VALUE"""),0.57)</f>
        <v>0.56999999999999995</v>
      </c>
      <c r="E53" s="1">
        <f ca="1">IFERROR(__xludf.DUMMYFUNCTION("""COMPUTED_VALUE"""),0.57)</f>
        <v>0.56999999999999995</v>
      </c>
      <c r="F53" s="1">
        <f ca="1">IFERROR(__xludf.DUMMYFUNCTION("""COMPUTED_VALUE"""),10346084)</f>
        <v>10346084</v>
      </c>
    </row>
    <row r="54" spans="1:6" x14ac:dyDescent="0.35">
      <c r="A54" s="2">
        <f ca="1">IFERROR(__xludf.DUMMYFUNCTION("""COMPUTED_VALUE"""),42082.6666666666)</f>
        <v>42082.666666666599</v>
      </c>
      <c r="B54" s="1">
        <f ca="1">IFERROR(__xludf.DUMMYFUNCTION("""COMPUTED_VALUE"""),0.57)</f>
        <v>0.56999999999999995</v>
      </c>
      <c r="C54" s="1">
        <f ca="1">IFERROR(__xludf.DUMMYFUNCTION("""COMPUTED_VALUE"""),0.58)</f>
        <v>0.57999999999999996</v>
      </c>
      <c r="D54" s="1">
        <f ca="1">IFERROR(__xludf.DUMMYFUNCTION("""COMPUTED_VALUE"""),0.57)</f>
        <v>0.56999999999999995</v>
      </c>
      <c r="E54" s="1">
        <f ca="1">IFERROR(__xludf.DUMMYFUNCTION("""COMPUTED_VALUE"""),0.58)</f>
        <v>0.57999999999999996</v>
      </c>
      <c r="F54" s="1">
        <f ca="1">IFERROR(__xludf.DUMMYFUNCTION("""COMPUTED_VALUE"""),7768859)</f>
        <v>7768859</v>
      </c>
    </row>
    <row r="55" spans="1:6" x14ac:dyDescent="0.35">
      <c r="A55" s="2">
        <f ca="1">IFERROR(__xludf.DUMMYFUNCTION("""COMPUTED_VALUE"""),42083.6666666666)</f>
        <v>42083.666666666599</v>
      </c>
      <c r="B55" s="1">
        <f ca="1">IFERROR(__xludf.DUMMYFUNCTION("""COMPUTED_VALUE"""),0.59)</f>
        <v>0.59</v>
      </c>
      <c r="C55" s="1">
        <f ca="1">IFERROR(__xludf.DUMMYFUNCTION("""COMPUTED_VALUE"""),0.59)</f>
        <v>0.59</v>
      </c>
      <c r="D55" s="1">
        <f ca="1">IFERROR(__xludf.DUMMYFUNCTION("""COMPUTED_VALUE"""),0.58)</f>
        <v>0.57999999999999996</v>
      </c>
      <c r="E55" s="1">
        <f ca="1">IFERROR(__xludf.DUMMYFUNCTION("""COMPUTED_VALUE"""),0.59)</f>
        <v>0.59</v>
      </c>
      <c r="F55" s="1">
        <f ca="1">IFERROR(__xludf.DUMMYFUNCTION("""COMPUTED_VALUE"""),11552119)</f>
        <v>11552119</v>
      </c>
    </row>
    <row r="56" spans="1:6" x14ac:dyDescent="0.35">
      <c r="A56" s="2">
        <f ca="1">IFERROR(__xludf.DUMMYFUNCTION("""COMPUTED_VALUE"""),42086.6666666666)</f>
        <v>42086.666666666599</v>
      </c>
      <c r="B56" s="1">
        <f ca="1">IFERROR(__xludf.DUMMYFUNCTION("""COMPUTED_VALUE"""),0.57)</f>
        <v>0.56999999999999995</v>
      </c>
      <c r="C56" s="1">
        <f ca="1">IFERROR(__xludf.DUMMYFUNCTION("""COMPUTED_VALUE"""),0.58)</f>
        <v>0.57999999999999996</v>
      </c>
      <c r="D56" s="1">
        <f ca="1">IFERROR(__xludf.DUMMYFUNCTION("""COMPUTED_VALUE"""),0.57)</f>
        <v>0.56999999999999995</v>
      </c>
      <c r="E56" s="1">
        <f ca="1">IFERROR(__xludf.DUMMYFUNCTION("""COMPUTED_VALUE"""),0.57)</f>
        <v>0.56999999999999995</v>
      </c>
      <c r="F56" s="1">
        <f ca="1">IFERROR(__xludf.DUMMYFUNCTION("""COMPUTED_VALUE"""),10650277)</f>
        <v>10650277</v>
      </c>
    </row>
    <row r="57" spans="1:6" x14ac:dyDescent="0.35">
      <c r="A57" s="2">
        <f ca="1">IFERROR(__xludf.DUMMYFUNCTION("""COMPUTED_VALUE"""),42087.6666666666)</f>
        <v>42087.666666666599</v>
      </c>
      <c r="B57" s="1">
        <f ca="1">IFERROR(__xludf.DUMMYFUNCTION("""COMPUTED_VALUE"""),0.57)</f>
        <v>0.56999999999999995</v>
      </c>
      <c r="C57" s="1">
        <f ca="1">IFERROR(__xludf.DUMMYFUNCTION("""COMPUTED_VALUE"""),0.57)</f>
        <v>0.56999999999999995</v>
      </c>
      <c r="D57" s="1">
        <f ca="1">IFERROR(__xludf.DUMMYFUNCTION("""COMPUTED_VALUE"""),0.56)</f>
        <v>0.56000000000000005</v>
      </c>
      <c r="E57" s="1">
        <f ca="1">IFERROR(__xludf.DUMMYFUNCTION("""COMPUTED_VALUE"""),0.56)</f>
        <v>0.56000000000000005</v>
      </c>
      <c r="F57" s="1">
        <f ca="1">IFERROR(__xludf.DUMMYFUNCTION("""COMPUTED_VALUE"""),8262025)</f>
        <v>8262025</v>
      </c>
    </row>
    <row r="58" spans="1:6" x14ac:dyDescent="0.35">
      <c r="A58" s="2">
        <f ca="1">IFERROR(__xludf.DUMMYFUNCTION("""COMPUTED_VALUE"""),42088.6666666666)</f>
        <v>42088.666666666599</v>
      </c>
      <c r="B58" s="1">
        <f ca="1">IFERROR(__xludf.DUMMYFUNCTION("""COMPUTED_VALUE"""),0.56)</f>
        <v>0.56000000000000005</v>
      </c>
      <c r="C58" s="1">
        <f ca="1">IFERROR(__xludf.DUMMYFUNCTION("""COMPUTED_VALUE"""),0.56)</f>
        <v>0.56000000000000005</v>
      </c>
      <c r="D58" s="1">
        <f ca="1">IFERROR(__xludf.DUMMYFUNCTION("""COMPUTED_VALUE"""),0.52)</f>
        <v>0.52</v>
      </c>
      <c r="E58" s="1">
        <f ca="1">IFERROR(__xludf.DUMMYFUNCTION("""COMPUTED_VALUE"""),0.53)</f>
        <v>0.53</v>
      </c>
      <c r="F58" s="1">
        <f ca="1">IFERROR(__xludf.DUMMYFUNCTION("""COMPUTED_VALUE"""),13563840)</f>
        <v>13563840</v>
      </c>
    </row>
    <row r="59" spans="1:6" x14ac:dyDescent="0.35">
      <c r="A59" s="2">
        <f ca="1">IFERROR(__xludf.DUMMYFUNCTION("""COMPUTED_VALUE"""),42089.6666666666)</f>
        <v>42089.666666666599</v>
      </c>
      <c r="B59" s="1">
        <f ca="1">IFERROR(__xludf.DUMMYFUNCTION("""COMPUTED_VALUE"""),0.52)</f>
        <v>0.52</v>
      </c>
      <c r="C59" s="1">
        <f ca="1">IFERROR(__xludf.DUMMYFUNCTION("""COMPUTED_VALUE"""),0.53)</f>
        <v>0.53</v>
      </c>
      <c r="D59" s="1">
        <f ca="1">IFERROR(__xludf.DUMMYFUNCTION("""COMPUTED_VALUE"""),0.51)</f>
        <v>0.51</v>
      </c>
      <c r="E59" s="1">
        <f ca="1">IFERROR(__xludf.DUMMYFUNCTION("""COMPUTED_VALUE"""),0.52)</f>
        <v>0.52</v>
      </c>
      <c r="F59" s="1">
        <f ca="1">IFERROR(__xludf.DUMMYFUNCTION("""COMPUTED_VALUE"""),7797997)</f>
        <v>7797997</v>
      </c>
    </row>
    <row r="60" spans="1:6" x14ac:dyDescent="0.35">
      <c r="A60" s="2">
        <f ca="1">IFERROR(__xludf.DUMMYFUNCTION("""COMPUTED_VALUE"""),42090.6666666666)</f>
        <v>42090.666666666599</v>
      </c>
      <c r="B60" s="1">
        <f ca="1">IFERROR(__xludf.DUMMYFUNCTION("""COMPUTED_VALUE"""),0.53)</f>
        <v>0.53</v>
      </c>
      <c r="C60" s="1">
        <f ca="1">IFERROR(__xludf.DUMMYFUNCTION("""COMPUTED_VALUE"""),0.54)</f>
        <v>0.54</v>
      </c>
      <c r="D60" s="1">
        <f ca="1">IFERROR(__xludf.DUMMYFUNCTION("""COMPUTED_VALUE"""),0.52)</f>
        <v>0.52</v>
      </c>
      <c r="E60" s="1">
        <f ca="1">IFERROR(__xludf.DUMMYFUNCTION("""COMPUTED_VALUE"""),0.53)</f>
        <v>0.53</v>
      </c>
      <c r="F60" s="1">
        <f ca="1">IFERROR(__xludf.DUMMYFUNCTION("""COMPUTED_VALUE"""),7957152)</f>
        <v>7957152</v>
      </c>
    </row>
    <row r="61" spans="1:6" x14ac:dyDescent="0.35">
      <c r="A61" s="2">
        <f ca="1">IFERROR(__xludf.DUMMYFUNCTION("""COMPUTED_VALUE"""),42093.6666666666)</f>
        <v>42093.666666666599</v>
      </c>
      <c r="B61" s="1">
        <f ca="1">IFERROR(__xludf.DUMMYFUNCTION("""COMPUTED_VALUE"""),0.54)</f>
        <v>0.54</v>
      </c>
      <c r="C61" s="1">
        <f ca="1">IFERROR(__xludf.DUMMYFUNCTION("""COMPUTED_VALUE"""),0.54)</f>
        <v>0.54</v>
      </c>
      <c r="D61" s="1">
        <f ca="1">IFERROR(__xludf.DUMMYFUNCTION("""COMPUTED_VALUE"""),0.53)</f>
        <v>0.53</v>
      </c>
      <c r="E61" s="1">
        <f ca="1">IFERROR(__xludf.DUMMYFUNCTION("""COMPUTED_VALUE"""),0.54)</f>
        <v>0.54</v>
      </c>
      <c r="F61" s="1">
        <f ca="1">IFERROR(__xludf.DUMMYFUNCTION("""COMPUTED_VALUE"""),6331256)</f>
        <v>6331256</v>
      </c>
    </row>
    <row r="62" spans="1:6" x14ac:dyDescent="0.35">
      <c r="A62" s="2">
        <f ca="1">IFERROR(__xludf.DUMMYFUNCTION("""COMPUTED_VALUE"""),42094.6666666666)</f>
        <v>42094.666666666599</v>
      </c>
      <c r="B62" s="1">
        <f ca="1">IFERROR(__xludf.DUMMYFUNCTION("""COMPUTED_VALUE"""),0.54)</f>
        <v>0.54</v>
      </c>
      <c r="C62" s="1">
        <f ca="1">IFERROR(__xludf.DUMMYFUNCTION("""COMPUTED_VALUE"""),0.54)</f>
        <v>0.54</v>
      </c>
      <c r="D62" s="1">
        <f ca="1">IFERROR(__xludf.DUMMYFUNCTION("""COMPUTED_VALUE"""),0.52)</f>
        <v>0.52</v>
      </c>
      <c r="E62" s="1">
        <f ca="1">IFERROR(__xludf.DUMMYFUNCTION("""COMPUTED_VALUE"""),0.52)</f>
        <v>0.52</v>
      </c>
      <c r="F62" s="1">
        <f ca="1">IFERROR(__xludf.DUMMYFUNCTION("""COMPUTED_VALUE"""),8931942)</f>
        <v>8931942</v>
      </c>
    </row>
    <row r="63" spans="1:6" x14ac:dyDescent="0.35">
      <c r="A63" s="2">
        <f ca="1">IFERROR(__xludf.DUMMYFUNCTION("""COMPUTED_VALUE"""),42095.6666666666)</f>
        <v>42095.666666666599</v>
      </c>
      <c r="B63" s="1">
        <f ca="1">IFERROR(__xludf.DUMMYFUNCTION("""COMPUTED_VALUE"""),0.53)</f>
        <v>0.53</v>
      </c>
      <c r="C63" s="1">
        <f ca="1">IFERROR(__xludf.DUMMYFUNCTION("""COMPUTED_VALUE"""),0.53)</f>
        <v>0.53</v>
      </c>
      <c r="D63" s="1">
        <f ca="1">IFERROR(__xludf.DUMMYFUNCTION("""COMPUTED_VALUE"""),0.52)</f>
        <v>0.52</v>
      </c>
      <c r="E63" s="1">
        <f ca="1">IFERROR(__xludf.DUMMYFUNCTION("""COMPUTED_VALUE"""),0.53)</f>
        <v>0.53</v>
      </c>
      <c r="F63" s="1">
        <f ca="1">IFERROR(__xludf.DUMMYFUNCTION("""COMPUTED_VALUE"""),8269223)</f>
        <v>8269223</v>
      </c>
    </row>
    <row r="64" spans="1:6" x14ac:dyDescent="0.35">
      <c r="A64" s="2">
        <f ca="1">IFERROR(__xludf.DUMMYFUNCTION("""COMPUTED_VALUE"""),42096.6666666666)</f>
        <v>42096.666666666599</v>
      </c>
      <c r="B64" s="1">
        <f ca="1">IFERROR(__xludf.DUMMYFUNCTION("""COMPUTED_VALUE"""),0.53)</f>
        <v>0.53</v>
      </c>
      <c r="C64" s="1">
        <f ca="1">IFERROR(__xludf.DUMMYFUNCTION("""COMPUTED_VALUE"""),0.53)</f>
        <v>0.53</v>
      </c>
      <c r="D64" s="1">
        <f ca="1">IFERROR(__xludf.DUMMYFUNCTION("""COMPUTED_VALUE"""),0.52)</f>
        <v>0.52</v>
      </c>
      <c r="E64" s="1">
        <f ca="1">IFERROR(__xludf.DUMMYFUNCTION("""COMPUTED_VALUE"""),0.53)</f>
        <v>0.53</v>
      </c>
      <c r="F64" s="1">
        <f ca="1">IFERROR(__xludf.DUMMYFUNCTION("""COMPUTED_VALUE"""),4805086)</f>
        <v>4805086</v>
      </c>
    </row>
    <row r="65" spans="1:6" x14ac:dyDescent="0.35">
      <c r="A65" s="2">
        <f ca="1">IFERROR(__xludf.DUMMYFUNCTION("""COMPUTED_VALUE"""),42100.6666666666)</f>
        <v>42100.666666666599</v>
      </c>
      <c r="B65" s="1">
        <f ca="1">IFERROR(__xludf.DUMMYFUNCTION("""COMPUTED_VALUE"""),0.52)</f>
        <v>0.52</v>
      </c>
      <c r="C65" s="1">
        <f ca="1">IFERROR(__xludf.DUMMYFUNCTION("""COMPUTED_VALUE"""),0.54)</f>
        <v>0.54</v>
      </c>
      <c r="D65" s="1">
        <f ca="1">IFERROR(__xludf.DUMMYFUNCTION("""COMPUTED_VALUE"""),0.52)</f>
        <v>0.52</v>
      </c>
      <c r="E65" s="1">
        <f ca="1">IFERROR(__xludf.DUMMYFUNCTION("""COMPUTED_VALUE"""),0.54)</f>
        <v>0.54</v>
      </c>
      <c r="F65" s="1">
        <f ca="1">IFERROR(__xludf.DUMMYFUNCTION("""COMPUTED_VALUE"""),12896584)</f>
        <v>12896584</v>
      </c>
    </row>
    <row r="66" spans="1:6" x14ac:dyDescent="0.35">
      <c r="A66" s="2">
        <f ca="1">IFERROR(__xludf.DUMMYFUNCTION("""COMPUTED_VALUE"""),42101.6666666666)</f>
        <v>42101.666666666599</v>
      </c>
      <c r="B66" s="1">
        <f ca="1">IFERROR(__xludf.DUMMYFUNCTION("""COMPUTED_VALUE"""),0.54)</f>
        <v>0.54</v>
      </c>
      <c r="C66" s="1">
        <f ca="1">IFERROR(__xludf.DUMMYFUNCTION("""COMPUTED_VALUE"""),0.55)</f>
        <v>0.55000000000000004</v>
      </c>
      <c r="D66" s="1">
        <f ca="1">IFERROR(__xludf.DUMMYFUNCTION("""COMPUTED_VALUE"""),0.54)</f>
        <v>0.54</v>
      </c>
      <c r="E66" s="1">
        <f ca="1">IFERROR(__xludf.DUMMYFUNCTION("""COMPUTED_VALUE"""),0.55)</f>
        <v>0.55000000000000004</v>
      </c>
      <c r="F66" s="1">
        <f ca="1">IFERROR(__xludf.DUMMYFUNCTION("""COMPUTED_VALUE"""),10349069)</f>
        <v>10349069</v>
      </c>
    </row>
    <row r="67" spans="1:6" x14ac:dyDescent="0.35">
      <c r="A67" s="2">
        <f ca="1">IFERROR(__xludf.DUMMYFUNCTION("""COMPUTED_VALUE"""),42102.6666666666)</f>
        <v>42102.666666666599</v>
      </c>
      <c r="B67" s="1">
        <f ca="1">IFERROR(__xludf.DUMMYFUNCTION("""COMPUTED_VALUE"""),0.55)</f>
        <v>0.55000000000000004</v>
      </c>
      <c r="C67" s="1">
        <f ca="1">IFERROR(__xludf.DUMMYFUNCTION("""COMPUTED_VALUE"""),0.55)</f>
        <v>0.55000000000000004</v>
      </c>
      <c r="D67" s="1">
        <f ca="1">IFERROR(__xludf.DUMMYFUNCTION("""COMPUTED_VALUE"""),0.54)</f>
        <v>0.54</v>
      </c>
      <c r="E67" s="1">
        <f ca="1">IFERROR(__xludf.DUMMYFUNCTION("""COMPUTED_VALUE"""),0.55)</f>
        <v>0.55000000000000004</v>
      </c>
      <c r="F67" s="1">
        <f ca="1">IFERROR(__xludf.DUMMYFUNCTION("""COMPUTED_VALUE"""),9160786)</f>
        <v>9160786</v>
      </c>
    </row>
    <row r="68" spans="1:6" x14ac:dyDescent="0.35">
      <c r="A68" s="2">
        <f ca="1">IFERROR(__xludf.DUMMYFUNCTION("""COMPUTED_VALUE"""),42103.6666666666)</f>
        <v>42103.666666666599</v>
      </c>
      <c r="B68" s="1">
        <f ca="1">IFERROR(__xludf.DUMMYFUNCTION("""COMPUTED_VALUE"""),0.55)</f>
        <v>0.55000000000000004</v>
      </c>
      <c r="C68" s="1">
        <f ca="1">IFERROR(__xludf.DUMMYFUNCTION("""COMPUTED_VALUE"""),0.56)</f>
        <v>0.56000000000000005</v>
      </c>
      <c r="D68" s="1">
        <f ca="1">IFERROR(__xludf.DUMMYFUNCTION("""COMPUTED_VALUE"""),0.55)</f>
        <v>0.55000000000000004</v>
      </c>
      <c r="E68" s="1">
        <f ca="1">IFERROR(__xludf.DUMMYFUNCTION("""COMPUTED_VALUE"""),0.56)</f>
        <v>0.56000000000000005</v>
      </c>
      <c r="F68" s="1">
        <f ca="1">IFERROR(__xludf.DUMMYFUNCTION("""COMPUTED_VALUE"""),9485827)</f>
        <v>9485827</v>
      </c>
    </row>
    <row r="69" spans="1:6" x14ac:dyDescent="0.35">
      <c r="A69" s="2">
        <f ca="1">IFERROR(__xludf.DUMMYFUNCTION("""COMPUTED_VALUE"""),42104.6666666666)</f>
        <v>42104.666666666599</v>
      </c>
      <c r="B69" s="1">
        <f ca="1">IFERROR(__xludf.DUMMYFUNCTION("""COMPUTED_VALUE"""),0.56)</f>
        <v>0.56000000000000005</v>
      </c>
      <c r="C69" s="1">
        <f ca="1">IFERROR(__xludf.DUMMYFUNCTION("""COMPUTED_VALUE"""),0.57)</f>
        <v>0.56999999999999995</v>
      </c>
      <c r="D69" s="1">
        <f ca="1">IFERROR(__xludf.DUMMYFUNCTION("""COMPUTED_VALUE"""),0.56)</f>
        <v>0.56000000000000005</v>
      </c>
      <c r="E69" s="1">
        <f ca="1">IFERROR(__xludf.DUMMYFUNCTION("""COMPUTED_VALUE"""),0.57)</f>
        <v>0.56999999999999995</v>
      </c>
      <c r="F69" s="1">
        <f ca="1">IFERROR(__xludf.DUMMYFUNCTION("""COMPUTED_VALUE"""),6468219)</f>
        <v>6468219</v>
      </c>
    </row>
    <row r="70" spans="1:6" x14ac:dyDescent="0.35">
      <c r="A70" s="2">
        <f ca="1">IFERROR(__xludf.DUMMYFUNCTION("""COMPUTED_VALUE"""),42107.6666666666)</f>
        <v>42107.666666666599</v>
      </c>
      <c r="B70" s="1">
        <f ca="1">IFERROR(__xludf.DUMMYFUNCTION("""COMPUTED_VALUE"""),0.57)</f>
        <v>0.56999999999999995</v>
      </c>
      <c r="C70" s="1">
        <f ca="1">IFERROR(__xludf.DUMMYFUNCTION("""COMPUTED_VALUE"""),0.57)</f>
        <v>0.56999999999999995</v>
      </c>
      <c r="D70" s="1">
        <f ca="1">IFERROR(__xludf.DUMMYFUNCTION("""COMPUTED_VALUE"""),0.56)</f>
        <v>0.56000000000000005</v>
      </c>
      <c r="E70" s="1">
        <f ca="1">IFERROR(__xludf.DUMMYFUNCTION("""COMPUTED_VALUE"""),0.56)</f>
        <v>0.56000000000000005</v>
      </c>
      <c r="F70" s="1">
        <f ca="1">IFERROR(__xludf.DUMMYFUNCTION("""COMPUTED_VALUE"""),5918106)</f>
        <v>5918106</v>
      </c>
    </row>
    <row r="71" spans="1:6" x14ac:dyDescent="0.35">
      <c r="A71" s="2">
        <f ca="1">IFERROR(__xludf.DUMMYFUNCTION("""COMPUTED_VALUE"""),42108.6666666666)</f>
        <v>42108.666666666599</v>
      </c>
      <c r="B71" s="1">
        <f ca="1">IFERROR(__xludf.DUMMYFUNCTION("""COMPUTED_VALUE"""),0.56)</f>
        <v>0.56000000000000005</v>
      </c>
      <c r="C71" s="1">
        <f ca="1">IFERROR(__xludf.DUMMYFUNCTION("""COMPUTED_VALUE"""),0.56)</f>
        <v>0.56000000000000005</v>
      </c>
      <c r="D71" s="1">
        <f ca="1">IFERROR(__xludf.DUMMYFUNCTION("""COMPUTED_VALUE"""),0.55)</f>
        <v>0.55000000000000004</v>
      </c>
      <c r="E71" s="1">
        <f ca="1">IFERROR(__xludf.DUMMYFUNCTION("""COMPUTED_VALUE"""),0.56)</f>
        <v>0.56000000000000005</v>
      </c>
      <c r="F71" s="1">
        <f ca="1">IFERROR(__xludf.DUMMYFUNCTION("""COMPUTED_VALUE"""),5506852)</f>
        <v>5506852</v>
      </c>
    </row>
    <row r="72" spans="1:6" x14ac:dyDescent="0.35">
      <c r="A72" s="2">
        <f ca="1">IFERROR(__xludf.DUMMYFUNCTION("""COMPUTED_VALUE"""),42109.6666666666)</f>
        <v>42109.666666666599</v>
      </c>
      <c r="B72" s="1">
        <f ca="1">IFERROR(__xludf.DUMMYFUNCTION("""COMPUTED_VALUE"""),0.56)</f>
        <v>0.56000000000000005</v>
      </c>
      <c r="C72" s="1">
        <f ca="1">IFERROR(__xludf.DUMMYFUNCTION("""COMPUTED_VALUE"""),0.57)</f>
        <v>0.56999999999999995</v>
      </c>
      <c r="D72" s="1">
        <f ca="1">IFERROR(__xludf.DUMMYFUNCTION("""COMPUTED_VALUE"""),0.56)</f>
        <v>0.56000000000000005</v>
      </c>
      <c r="E72" s="1">
        <f ca="1">IFERROR(__xludf.DUMMYFUNCTION("""COMPUTED_VALUE"""),0.57)</f>
        <v>0.56999999999999995</v>
      </c>
      <c r="F72" s="1">
        <f ca="1">IFERROR(__xludf.DUMMYFUNCTION("""COMPUTED_VALUE"""),6088960)</f>
        <v>6088960</v>
      </c>
    </row>
    <row r="73" spans="1:6" x14ac:dyDescent="0.35">
      <c r="A73" s="2">
        <f ca="1">IFERROR(__xludf.DUMMYFUNCTION("""COMPUTED_VALUE"""),42110.6666666666)</f>
        <v>42110.666666666599</v>
      </c>
      <c r="B73" s="1">
        <f ca="1">IFERROR(__xludf.DUMMYFUNCTION("""COMPUTED_VALUE"""),0.56)</f>
        <v>0.56000000000000005</v>
      </c>
      <c r="C73" s="1">
        <f ca="1">IFERROR(__xludf.DUMMYFUNCTION("""COMPUTED_VALUE"""),0.57)</f>
        <v>0.56999999999999995</v>
      </c>
      <c r="D73" s="1">
        <f ca="1">IFERROR(__xludf.DUMMYFUNCTION("""COMPUTED_VALUE"""),0.56)</f>
        <v>0.56000000000000005</v>
      </c>
      <c r="E73" s="1">
        <f ca="1">IFERROR(__xludf.DUMMYFUNCTION("""COMPUTED_VALUE"""),0.56)</f>
        <v>0.56000000000000005</v>
      </c>
      <c r="F73" s="1">
        <f ca="1">IFERROR(__xludf.DUMMYFUNCTION("""COMPUTED_VALUE"""),3882058)</f>
        <v>3882058</v>
      </c>
    </row>
    <row r="74" spans="1:6" x14ac:dyDescent="0.35">
      <c r="A74" s="2">
        <f ca="1">IFERROR(__xludf.DUMMYFUNCTION("""COMPUTED_VALUE"""),42111.6666666666)</f>
        <v>42111.666666666599</v>
      </c>
      <c r="B74" s="1">
        <f ca="1">IFERROR(__xludf.DUMMYFUNCTION("""COMPUTED_VALUE"""),0.55)</f>
        <v>0.55000000000000004</v>
      </c>
      <c r="C74" s="1">
        <f ca="1">IFERROR(__xludf.DUMMYFUNCTION("""COMPUTED_VALUE"""),0.56)</f>
        <v>0.56000000000000005</v>
      </c>
      <c r="D74" s="1">
        <f ca="1">IFERROR(__xludf.DUMMYFUNCTION("""COMPUTED_VALUE"""),0.55)</f>
        <v>0.55000000000000004</v>
      </c>
      <c r="E74" s="1">
        <f ca="1">IFERROR(__xludf.DUMMYFUNCTION("""COMPUTED_VALUE"""),0.56)</f>
        <v>0.56000000000000005</v>
      </c>
      <c r="F74" s="1">
        <f ca="1">IFERROR(__xludf.DUMMYFUNCTION("""COMPUTED_VALUE"""),7340917)</f>
        <v>7340917</v>
      </c>
    </row>
    <row r="75" spans="1:6" x14ac:dyDescent="0.35">
      <c r="A75" s="2">
        <f ca="1">IFERROR(__xludf.DUMMYFUNCTION("""COMPUTED_VALUE"""),42114.6666666666)</f>
        <v>42114.666666666599</v>
      </c>
      <c r="B75" s="1">
        <f ca="1">IFERROR(__xludf.DUMMYFUNCTION("""COMPUTED_VALUE"""),0.56)</f>
        <v>0.56000000000000005</v>
      </c>
      <c r="C75" s="1">
        <f ca="1">IFERROR(__xludf.DUMMYFUNCTION("""COMPUTED_VALUE"""),0.56)</f>
        <v>0.56000000000000005</v>
      </c>
      <c r="D75" s="1">
        <f ca="1">IFERROR(__xludf.DUMMYFUNCTION("""COMPUTED_VALUE"""),0.55)</f>
        <v>0.55000000000000004</v>
      </c>
      <c r="E75" s="1">
        <f ca="1">IFERROR(__xludf.DUMMYFUNCTION("""COMPUTED_VALUE"""),0.55)</f>
        <v>0.55000000000000004</v>
      </c>
      <c r="F75" s="1">
        <f ca="1">IFERROR(__xludf.DUMMYFUNCTION("""COMPUTED_VALUE"""),5790646)</f>
        <v>5790646</v>
      </c>
    </row>
    <row r="76" spans="1:6" x14ac:dyDescent="0.35">
      <c r="A76" s="2">
        <f ca="1">IFERROR(__xludf.DUMMYFUNCTION("""COMPUTED_VALUE"""),42115.6666666666)</f>
        <v>42115.666666666599</v>
      </c>
      <c r="B76" s="1">
        <f ca="1">IFERROR(__xludf.DUMMYFUNCTION("""COMPUTED_VALUE"""),0.55)</f>
        <v>0.55000000000000004</v>
      </c>
      <c r="C76" s="1">
        <f ca="1">IFERROR(__xludf.DUMMYFUNCTION("""COMPUTED_VALUE"""),0.56)</f>
        <v>0.56000000000000005</v>
      </c>
      <c r="D76" s="1">
        <f ca="1">IFERROR(__xludf.DUMMYFUNCTION("""COMPUTED_VALUE"""),0.55)</f>
        <v>0.55000000000000004</v>
      </c>
      <c r="E76" s="1">
        <f ca="1">IFERROR(__xludf.DUMMYFUNCTION("""COMPUTED_VALUE"""),0.55)</f>
        <v>0.55000000000000004</v>
      </c>
      <c r="F76" s="1">
        <f ca="1">IFERROR(__xludf.DUMMYFUNCTION("""COMPUTED_VALUE"""),5761365)</f>
        <v>5761365</v>
      </c>
    </row>
    <row r="77" spans="1:6" x14ac:dyDescent="0.35">
      <c r="A77" s="2">
        <f ca="1">IFERROR(__xludf.DUMMYFUNCTION("""COMPUTED_VALUE"""),42116.6666666666)</f>
        <v>42116.666666666599</v>
      </c>
      <c r="B77" s="1">
        <f ca="1">IFERROR(__xludf.DUMMYFUNCTION("""COMPUTED_VALUE"""),0.55)</f>
        <v>0.55000000000000004</v>
      </c>
      <c r="C77" s="1">
        <f ca="1">IFERROR(__xludf.DUMMYFUNCTION("""COMPUTED_VALUE"""),0.56)</f>
        <v>0.56000000000000005</v>
      </c>
      <c r="D77" s="1">
        <f ca="1">IFERROR(__xludf.DUMMYFUNCTION("""COMPUTED_VALUE"""),0.55)</f>
        <v>0.55000000000000004</v>
      </c>
      <c r="E77" s="1">
        <f ca="1">IFERROR(__xludf.DUMMYFUNCTION("""COMPUTED_VALUE"""),0.56)</f>
        <v>0.56000000000000005</v>
      </c>
      <c r="F77" s="1">
        <f ca="1">IFERROR(__xludf.DUMMYFUNCTION("""COMPUTED_VALUE"""),5185481)</f>
        <v>5185481</v>
      </c>
    </row>
    <row r="78" spans="1:6" x14ac:dyDescent="0.35">
      <c r="A78" s="2">
        <f ca="1">IFERROR(__xludf.DUMMYFUNCTION("""COMPUTED_VALUE"""),42117.6666666666)</f>
        <v>42117.666666666599</v>
      </c>
      <c r="B78" s="1">
        <f ca="1">IFERROR(__xludf.DUMMYFUNCTION("""COMPUTED_VALUE"""),0.55)</f>
        <v>0.55000000000000004</v>
      </c>
      <c r="C78" s="1">
        <f ca="1">IFERROR(__xludf.DUMMYFUNCTION("""COMPUTED_VALUE"""),0.56)</f>
        <v>0.56000000000000005</v>
      </c>
      <c r="D78" s="1">
        <f ca="1">IFERROR(__xludf.DUMMYFUNCTION("""COMPUTED_VALUE"""),0.54)</f>
        <v>0.54</v>
      </c>
      <c r="E78" s="1">
        <f ca="1">IFERROR(__xludf.DUMMYFUNCTION("""COMPUTED_VALUE"""),0.56)</f>
        <v>0.56000000000000005</v>
      </c>
      <c r="F78" s="1">
        <f ca="1">IFERROR(__xludf.DUMMYFUNCTION("""COMPUTED_VALUE"""),6484469)</f>
        <v>6484469</v>
      </c>
    </row>
    <row r="79" spans="1:6" x14ac:dyDescent="0.35">
      <c r="A79" s="2">
        <f ca="1">IFERROR(__xludf.DUMMYFUNCTION("""COMPUTED_VALUE"""),42118.6666666666)</f>
        <v>42118.666666666599</v>
      </c>
      <c r="B79" s="1">
        <f ca="1">IFERROR(__xludf.DUMMYFUNCTION("""COMPUTED_VALUE"""),0.56)</f>
        <v>0.56000000000000005</v>
      </c>
      <c r="C79" s="1">
        <f ca="1">IFERROR(__xludf.DUMMYFUNCTION("""COMPUTED_VALUE"""),0.56)</f>
        <v>0.56000000000000005</v>
      </c>
      <c r="D79" s="1">
        <f ca="1">IFERROR(__xludf.DUMMYFUNCTION("""COMPUTED_VALUE"""),0.54)</f>
        <v>0.54</v>
      </c>
      <c r="E79" s="1">
        <f ca="1">IFERROR(__xludf.DUMMYFUNCTION("""COMPUTED_VALUE"""),0.55)</f>
        <v>0.55000000000000004</v>
      </c>
      <c r="F79" s="1">
        <f ca="1">IFERROR(__xludf.DUMMYFUNCTION("""COMPUTED_VALUE"""),6023972)</f>
        <v>6023972</v>
      </c>
    </row>
    <row r="80" spans="1:6" x14ac:dyDescent="0.35">
      <c r="A80" s="2">
        <f ca="1">IFERROR(__xludf.DUMMYFUNCTION("""COMPUTED_VALUE"""),42121.6666666666)</f>
        <v>42121.666666666599</v>
      </c>
      <c r="B80" s="1">
        <f ca="1">IFERROR(__xludf.DUMMYFUNCTION("""COMPUTED_VALUE"""),0.55)</f>
        <v>0.55000000000000004</v>
      </c>
      <c r="C80" s="1">
        <f ca="1">IFERROR(__xludf.DUMMYFUNCTION("""COMPUTED_VALUE"""),0.56)</f>
        <v>0.56000000000000005</v>
      </c>
      <c r="D80" s="1">
        <f ca="1">IFERROR(__xludf.DUMMYFUNCTION("""COMPUTED_VALUE"""),0.55)</f>
        <v>0.55000000000000004</v>
      </c>
      <c r="E80" s="1">
        <f ca="1">IFERROR(__xludf.DUMMYFUNCTION("""COMPUTED_VALUE"""),0.56)</f>
        <v>0.56000000000000005</v>
      </c>
      <c r="F80" s="1">
        <f ca="1">IFERROR(__xludf.DUMMYFUNCTION("""COMPUTED_VALUE"""),6211356)</f>
        <v>6211356</v>
      </c>
    </row>
    <row r="81" spans="1:6" x14ac:dyDescent="0.35">
      <c r="A81" s="2">
        <f ca="1">IFERROR(__xludf.DUMMYFUNCTION("""COMPUTED_VALUE"""),42122.6666666666)</f>
        <v>42122.666666666599</v>
      </c>
      <c r="B81" s="1">
        <f ca="1">IFERROR(__xludf.DUMMYFUNCTION("""COMPUTED_VALUE"""),0.55)</f>
        <v>0.55000000000000004</v>
      </c>
      <c r="C81" s="1">
        <f ca="1">IFERROR(__xludf.DUMMYFUNCTION("""COMPUTED_VALUE"""),0.56)</f>
        <v>0.56000000000000005</v>
      </c>
      <c r="D81" s="1">
        <f ca="1">IFERROR(__xludf.DUMMYFUNCTION("""COMPUTED_VALUE"""),0.55)</f>
        <v>0.55000000000000004</v>
      </c>
      <c r="E81" s="1">
        <f ca="1">IFERROR(__xludf.DUMMYFUNCTION("""COMPUTED_VALUE"""),0.56)</f>
        <v>0.56000000000000005</v>
      </c>
      <c r="F81" s="1">
        <f ca="1">IFERROR(__xludf.DUMMYFUNCTION("""COMPUTED_VALUE"""),5862106)</f>
        <v>5862106</v>
      </c>
    </row>
    <row r="82" spans="1:6" x14ac:dyDescent="0.35">
      <c r="A82" s="2">
        <f ca="1">IFERROR(__xludf.DUMMYFUNCTION("""COMPUTED_VALUE"""),42123.6666666666)</f>
        <v>42123.666666666599</v>
      </c>
      <c r="B82" s="1">
        <f ca="1">IFERROR(__xludf.DUMMYFUNCTION("""COMPUTED_VALUE"""),0.55)</f>
        <v>0.55000000000000004</v>
      </c>
      <c r="C82" s="1">
        <f ca="1">IFERROR(__xludf.DUMMYFUNCTION("""COMPUTED_VALUE"""),0.56)</f>
        <v>0.56000000000000005</v>
      </c>
      <c r="D82" s="1">
        <f ca="1">IFERROR(__xludf.DUMMYFUNCTION("""COMPUTED_VALUE"""),0.55)</f>
        <v>0.55000000000000004</v>
      </c>
      <c r="E82" s="1">
        <f ca="1">IFERROR(__xludf.DUMMYFUNCTION("""COMPUTED_VALUE"""),0.55)</f>
        <v>0.55000000000000004</v>
      </c>
      <c r="F82" s="1">
        <f ca="1">IFERROR(__xludf.DUMMYFUNCTION("""COMPUTED_VALUE"""),4878919)</f>
        <v>4878919</v>
      </c>
    </row>
    <row r="83" spans="1:6" x14ac:dyDescent="0.35">
      <c r="A83" s="2">
        <f ca="1">IFERROR(__xludf.DUMMYFUNCTION("""COMPUTED_VALUE"""),42124.6666666666)</f>
        <v>42124.666666666599</v>
      </c>
      <c r="B83" s="1">
        <f ca="1">IFERROR(__xludf.DUMMYFUNCTION("""COMPUTED_VALUE"""),0.55)</f>
        <v>0.55000000000000004</v>
      </c>
      <c r="C83" s="1">
        <f ca="1">IFERROR(__xludf.DUMMYFUNCTION("""COMPUTED_VALUE"""),0.56)</f>
        <v>0.56000000000000005</v>
      </c>
      <c r="D83" s="1">
        <f ca="1">IFERROR(__xludf.DUMMYFUNCTION("""COMPUTED_VALUE"""),0.55)</f>
        <v>0.55000000000000004</v>
      </c>
      <c r="E83" s="1">
        <f ca="1">IFERROR(__xludf.DUMMYFUNCTION("""COMPUTED_VALUE"""),0.55)</f>
        <v>0.55000000000000004</v>
      </c>
      <c r="F83" s="1">
        <f ca="1">IFERROR(__xludf.DUMMYFUNCTION("""COMPUTED_VALUE"""),5471083)</f>
        <v>5471083</v>
      </c>
    </row>
    <row r="84" spans="1:6" x14ac:dyDescent="0.35">
      <c r="A84" s="2">
        <f ca="1">IFERROR(__xludf.DUMMYFUNCTION("""COMPUTED_VALUE"""),42125.6666666666)</f>
        <v>42125.666666666599</v>
      </c>
      <c r="B84" s="1">
        <f ca="1">IFERROR(__xludf.DUMMYFUNCTION("""COMPUTED_VALUE"""),0.56)</f>
        <v>0.56000000000000005</v>
      </c>
      <c r="C84" s="1">
        <f ca="1">IFERROR(__xludf.DUMMYFUNCTION("""COMPUTED_VALUE"""),0.57)</f>
        <v>0.56999999999999995</v>
      </c>
      <c r="D84" s="1">
        <f ca="1">IFERROR(__xludf.DUMMYFUNCTION("""COMPUTED_VALUE"""),0.56)</f>
        <v>0.56000000000000005</v>
      </c>
      <c r="E84" s="1">
        <f ca="1">IFERROR(__xludf.DUMMYFUNCTION("""COMPUTED_VALUE"""),0.57)</f>
        <v>0.56999999999999995</v>
      </c>
      <c r="F84" s="1">
        <f ca="1">IFERROR(__xludf.DUMMYFUNCTION("""COMPUTED_VALUE"""),6424185)</f>
        <v>6424185</v>
      </c>
    </row>
    <row r="85" spans="1:6" x14ac:dyDescent="0.35">
      <c r="A85" s="2">
        <f ca="1">IFERROR(__xludf.DUMMYFUNCTION("""COMPUTED_VALUE"""),42128.6666666666)</f>
        <v>42128.666666666599</v>
      </c>
      <c r="B85" s="1">
        <f ca="1">IFERROR(__xludf.DUMMYFUNCTION("""COMPUTED_VALUE"""),0.57)</f>
        <v>0.56999999999999995</v>
      </c>
      <c r="C85" s="1">
        <f ca="1">IFERROR(__xludf.DUMMYFUNCTION("""COMPUTED_VALUE"""),0.57)</f>
        <v>0.56999999999999995</v>
      </c>
      <c r="D85" s="1">
        <f ca="1">IFERROR(__xludf.DUMMYFUNCTION("""COMPUTED_VALUE"""),0.56)</f>
        <v>0.56000000000000005</v>
      </c>
      <c r="E85" s="1">
        <f ca="1">IFERROR(__xludf.DUMMYFUNCTION("""COMPUTED_VALUE"""),0.57)</f>
        <v>0.56999999999999995</v>
      </c>
      <c r="F85" s="1">
        <f ca="1">IFERROR(__xludf.DUMMYFUNCTION("""COMPUTED_VALUE"""),5018024)</f>
        <v>5018024</v>
      </c>
    </row>
    <row r="86" spans="1:6" x14ac:dyDescent="0.35">
      <c r="A86" s="2">
        <f ca="1">IFERROR(__xludf.DUMMYFUNCTION("""COMPUTED_VALUE"""),42129.6666666666)</f>
        <v>42129.666666666599</v>
      </c>
      <c r="B86" s="1">
        <f ca="1">IFERROR(__xludf.DUMMYFUNCTION("""COMPUTED_VALUE"""),0.56)</f>
        <v>0.56000000000000005</v>
      </c>
      <c r="C86" s="1">
        <f ca="1">IFERROR(__xludf.DUMMYFUNCTION("""COMPUTED_VALUE"""),0.56)</f>
        <v>0.56000000000000005</v>
      </c>
      <c r="D86" s="1">
        <f ca="1">IFERROR(__xludf.DUMMYFUNCTION("""COMPUTED_VALUE"""),0.55)</f>
        <v>0.55000000000000004</v>
      </c>
      <c r="E86" s="1">
        <f ca="1">IFERROR(__xludf.DUMMYFUNCTION("""COMPUTED_VALUE"""),0.55)</f>
        <v>0.55000000000000004</v>
      </c>
      <c r="F86" s="1">
        <f ca="1">IFERROR(__xludf.DUMMYFUNCTION("""COMPUTED_VALUE"""),7323195)</f>
        <v>7323195</v>
      </c>
    </row>
    <row r="87" spans="1:6" x14ac:dyDescent="0.35">
      <c r="A87" s="2">
        <f ca="1">IFERROR(__xludf.DUMMYFUNCTION("""COMPUTED_VALUE"""),42130.6666666666)</f>
        <v>42130.666666666599</v>
      </c>
      <c r="B87" s="1">
        <f ca="1">IFERROR(__xludf.DUMMYFUNCTION("""COMPUTED_VALUE"""),0.55)</f>
        <v>0.55000000000000004</v>
      </c>
      <c r="C87" s="1">
        <f ca="1">IFERROR(__xludf.DUMMYFUNCTION("""COMPUTED_VALUE"""),0.56)</f>
        <v>0.56000000000000005</v>
      </c>
      <c r="D87" s="1">
        <f ca="1">IFERROR(__xludf.DUMMYFUNCTION("""COMPUTED_VALUE"""),0.55)</f>
        <v>0.55000000000000004</v>
      </c>
      <c r="E87" s="1">
        <f ca="1">IFERROR(__xludf.DUMMYFUNCTION("""COMPUTED_VALUE"""),0.55)</f>
        <v>0.55000000000000004</v>
      </c>
      <c r="F87" s="1">
        <f ca="1">IFERROR(__xludf.DUMMYFUNCTION("""COMPUTED_VALUE"""),7912111)</f>
        <v>7912111</v>
      </c>
    </row>
    <row r="88" spans="1:6" x14ac:dyDescent="0.35">
      <c r="A88" s="2">
        <f ca="1">IFERROR(__xludf.DUMMYFUNCTION("""COMPUTED_VALUE"""),42131.6666666666)</f>
        <v>42131.666666666599</v>
      </c>
      <c r="B88" s="1">
        <f ca="1">IFERROR(__xludf.DUMMYFUNCTION("""COMPUTED_VALUE"""),0.55)</f>
        <v>0.55000000000000004</v>
      </c>
      <c r="C88" s="1">
        <f ca="1">IFERROR(__xludf.DUMMYFUNCTION("""COMPUTED_VALUE"""),0.56)</f>
        <v>0.56000000000000005</v>
      </c>
      <c r="D88" s="1">
        <f ca="1">IFERROR(__xludf.DUMMYFUNCTION("""COMPUTED_VALUE"""),0.55)</f>
        <v>0.55000000000000004</v>
      </c>
      <c r="E88" s="1">
        <f ca="1">IFERROR(__xludf.DUMMYFUNCTION("""COMPUTED_VALUE"""),0.56)</f>
        <v>0.56000000000000005</v>
      </c>
      <c r="F88" s="1">
        <f ca="1">IFERROR(__xludf.DUMMYFUNCTION("""COMPUTED_VALUE"""),13364077)</f>
        <v>13364077</v>
      </c>
    </row>
    <row r="89" spans="1:6" x14ac:dyDescent="0.35">
      <c r="A89" s="2">
        <f ca="1">IFERROR(__xludf.DUMMYFUNCTION("""COMPUTED_VALUE"""),42132.6666666666)</f>
        <v>42132.666666666599</v>
      </c>
      <c r="B89" s="1">
        <f ca="1">IFERROR(__xludf.DUMMYFUNCTION("""COMPUTED_VALUE"""),0.53)</f>
        <v>0.53</v>
      </c>
      <c r="C89" s="1">
        <f ca="1">IFERROR(__xludf.DUMMYFUNCTION("""COMPUTED_VALUE"""),0.55)</f>
        <v>0.55000000000000004</v>
      </c>
      <c r="D89" s="1">
        <f ca="1">IFERROR(__xludf.DUMMYFUNCTION("""COMPUTED_VALUE"""),0.51)</f>
        <v>0.51</v>
      </c>
      <c r="E89" s="1">
        <f ca="1">IFERROR(__xludf.DUMMYFUNCTION("""COMPUTED_VALUE"""),0.52)</f>
        <v>0.52</v>
      </c>
      <c r="F89" s="1">
        <f ca="1">IFERROR(__xludf.DUMMYFUNCTION("""COMPUTED_VALUE"""),28663778)</f>
        <v>28663778</v>
      </c>
    </row>
    <row r="90" spans="1:6" x14ac:dyDescent="0.35">
      <c r="A90" s="2">
        <f ca="1">IFERROR(__xludf.DUMMYFUNCTION("""COMPUTED_VALUE"""),42135.6666666666)</f>
        <v>42135.666666666599</v>
      </c>
      <c r="B90" s="1">
        <f ca="1">IFERROR(__xludf.DUMMYFUNCTION("""COMPUTED_VALUE"""),0.51)</f>
        <v>0.51</v>
      </c>
      <c r="C90" s="1">
        <f ca="1">IFERROR(__xludf.DUMMYFUNCTION("""COMPUTED_VALUE"""),0.52)</f>
        <v>0.52</v>
      </c>
      <c r="D90" s="1">
        <f ca="1">IFERROR(__xludf.DUMMYFUNCTION("""COMPUTED_VALUE"""),0.51)</f>
        <v>0.51</v>
      </c>
      <c r="E90" s="1">
        <f ca="1">IFERROR(__xludf.DUMMYFUNCTION("""COMPUTED_VALUE"""),0.52)</f>
        <v>0.52</v>
      </c>
      <c r="F90" s="1">
        <f ca="1">IFERROR(__xludf.DUMMYFUNCTION("""COMPUTED_VALUE"""),13603644)</f>
        <v>13603644</v>
      </c>
    </row>
    <row r="91" spans="1:6" x14ac:dyDescent="0.35">
      <c r="A91" s="2">
        <f ca="1">IFERROR(__xludf.DUMMYFUNCTION("""COMPUTED_VALUE"""),42136.6666666666)</f>
        <v>42136.666666666599</v>
      </c>
      <c r="B91" s="1">
        <f ca="1">IFERROR(__xludf.DUMMYFUNCTION("""COMPUTED_VALUE"""),0.51)</f>
        <v>0.51</v>
      </c>
      <c r="C91" s="1">
        <f ca="1">IFERROR(__xludf.DUMMYFUNCTION("""COMPUTED_VALUE"""),0.53)</f>
        <v>0.53</v>
      </c>
      <c r="D91" s="1">
        <f ca="1">IFERROR(__xludf.DUMMYFUNCTION("""COMPUTED_VALUE"""),0.51)</f>
        <v>0.51</v>
      </c>
      <c r="E91" s="1">
        <f ca="1">IFERROR(__xludf.DUMMYFUNCTION("""COMPUTED_VALUE"""),0.52)</f>
        <v>0.52</v>
      </c>
      <c r="F91" s="1">
        <f ca="1">IFERROR(__xludf.DUMMYFUNCTION("""COMPUTED_VALUE"""),9719994)</f>
        <v>9719994</v>
      </c>
    </row>
    <row r="92" spans="1:6" x14ac:dyDescent="0.35">
      <c r="A92" s="2">
        <f ca="1">IFERROR(__xludf.DUMMYFUNCTION("""COMPUTED_VALUE"""),42137.6666666666)</f>
        <v>42137.666666666599</v>
      </c>
      <c r="B92" s="1">
        <f ca="1">IFERROR(__xludf.DUMMYFUNCTION("""COMPUTED_VALUE"""),0.52)</f>
        <v>0.52</v>
      </c>
      <c r="C92" s="1">
        <f ca="1">IFERROR(__xludf.DUMMYFUNCTION("""COMPUTED_VALUE"""),0.53)</f>
        <v>0.53</v>
      </c>
      <c r="D92" s="1">
        <f ca="1">IFERROR(__xludf.DUMMYFUNCTION("""COMPUTED_VALUE"""),0.52)</f>
        <v>0.52</v>
      </c>
      <c r="E92" s="1">
        <f ca="1">IFERROR(__xludf.DUMMYFUNCTION("""COMPUTED_VALUE"""),0.52)</f>
        <v>0.52</v>
      </c>
      <c r="F92" s="1">
        <f ca="1">IFERROR(__xludf.DUMMYFUNCTION("""COMPUTED_VALUE"""),7713070)</f>
        <v>7713070</v>
      </c>
    </row>
    <row r="93" spans="1:6" x14ac:dyDescent="0.35">
      <c r="A93" s="2">
        <f ca="1">IFERROR(__xludf.DUMMYFUNCTION("""COMPUTED_VALUE"""),42138.6666666666)</f>
        <v>42138.666666666599</v>
      </c>
      <c r="B93" s="1">
        <f ca="1">IFERROR(__xludf.DUMMYFUNCTION("""COMPUTED_VALUE"""),0.53)</f>
        <v>0.53</v>
      </c>
      <c r="C93" s="1">
        <f ca="1">IFERROR(__xludf.DUMMYFUNCTION("""COMPUTED_VALUE"""),0.54)</f>
        <v>0.54</v>
      </c>
      <c r="D93" s="1">
        <f ca="1">IFERROR(__xludf.DUMMYFUNCTION("""COMPUTED_VALUE"""),0.52)</f>
        <v>0.52</v>
      </c>
      <c r="E93" s="1">
        <f ca="1">IFERROR(__xludf.DUMMYFUNCTION("""COMPUTED_VALUE"""),0.53)</f>
        <v>0.53</v>
      </c>
      <c r="F93" s="1">
        <f ca="1">IFERROR(__xludf.DUMMYFUNCTION("""COMPUTED_VALUE"""),7326280)</f>
        <v>7326280</v>
      </c>
    </row>
    <row r="94" spans="1:6" x14ac:dyDescent="0.35">
      <c r="A94" s="2">
        <f ca="1">IFERROR(__xludf.DUMMYFUNCTION("""COMPUTED_VALUE"""),42139.6666666666)</f>
        <v>42139.666666666599</v>
      </c>
      <c r="B94" s="1">
        <f ca="1">IFERROR(__xludf.DUMMYFUNCTION("""COMPUTED_VALUE"""),0.53)</f>
        <v>0.53</v>
      </c>
      <c r="C94" s="1">
        <f ca="1">IFERROR(__xludf.DUMMYFUNCTION("""COMPUTED_VALUE"""),0.54)</f>
        <v>0.54</v>
      </c>
      <c r="D94" s="1">
        <f ca="1">IFERROR(__xludf.DUMMYFUNCTION("""COMPUTED_VALUE"""),0.53)</f>
        <v>0.53</v>
      </c>
      <c r="E94" s="1">
        <f ca="1">IFERROR(__xludf.DUMMYFUNCTION("""COMPUTED_VALUE"""),0.53)</f>
        <v>0.53</v>
      </c>
      <c r="F94" s="1">
        <f ca="1">IFERROR(__xludf.DUMMYFUNCTION("""COMPUTED_VALUE"""),5395619)</f>
        <v>5395619</v>
      </c>
    </row>
    <row r="95" spans="1:6" x14ac:dyDescent="0.35">
      <c r="A95" s="2">
        <f ca="1">IFERROR(__xludf.DUMMYFUNCTION("""COMPUTED_VALUE"""),42142.6666666666)</f>
        <v>42142.666666666599</v>
      </c>
      <c r="B95" s="1">
        <f ca="1">IFERROR(__xludf.DUMMYFUNCTION("""COMPUTED_VALUE"""),0.53)</f>
        <v>0.53</v>
      </c>
      <c r="C95" s="1">
        <f ca="1">IFERROR(__xludf.DUMMYFUNCTION("""COMPUTED_VALUE"""),0.54)</f>
        <v>0.54</v>
      </c>
      <c r="D95" s="1">
        <f ca="1">IFERROR(__xludf.DUMMYFUNCTION("""COMPUTED_VALUE"""),0.53)</f>
        <v>0.53</v>
      </c>
      <c r="E95" s="1">
        <f ca="1">IFERROR(__xludf.DUMMYFUNCTION("""COMPUTED_VALUE"""),0.53)</f>
        <v>0.53</v>
      </c>
      <c r="F95" s="1">
        <f ca="1">IFERROR(__xludf.DUMMYFUNCTION("""COMPUTED_VALUE"""),8124292)</f>
        <v>8124292</v>
      </c>
    </row>
    <row r="96" spans="1:6" x14ac:dyDescent="0.35">
      <c r="A96" s="2">
        <f ca="1">IFERROR(__xludf.DUMMYFUNCTION("""COMPUTED_VALUE"""),42143.6666666666)</f>
        <v>42143.666666666599</v>
      </c>
      <c r="B96" s="1">
        <f ca="1">IFERROR(__xludf.DUMMYFUNCTION("""COMPUTED_VALUE"""),0.53)</f>
        <v>0.53</v>
      </c>
      <c r="C96" s="1">
        <f ca="1">IFERROR(__xludf.DUMMYFUNCTION("""COMPUTED_VALUE"""),0.53)</f>
        <v>0.53</v>
      </c>
      <c r="D96" s="1">
        <f ca="1">IFERROR(__xludf.DUMMYFUNCTION("""COMPUTED_VALUE"""),0.53)</f>
        <v>0.53</v>
      </c>
      <c r="E96" s="1">
        <f ca="1">IFERROR(__xludf.DUMMYFUNCTION("""COMPUTED_VALUE"""),0.53)</f>
        <v>0.53</v>
      </c>
      <c r="F96" s="1">
        <f ca="1">IFERROR(__xludf.DUMMYFUNCTION("""COMPUTED_VALUE"""),6345222)</f>
        <v>6345222</v>
      </c>
    </row>
    <row r="97" spans="1:6" x14ac:dyDescent="0.35">
      <c r="A97" s="2">
        <f ca="1">IFERROR(__xludf.DUMMYFUNCTION("""COMPUTED_VALUE"""),42144.6666666666)</f>
        <v>42144.666666666599</v>
      </c>
      <c r="B97" s="1">
        <f ca="1">IFERROR(__xludf.DUMMYFUNCTION("""COMPUTED_VALUE"""),0.53)</f>
        <v>0.53</v>
      </c>
      <c r="C97" s="1">
        <f ca="1">IFERROR(__xludf.DUMMYFUNCTION("""COMPUTED_VALUE"""),0.53)</f>
        <v>0.53</v>
      </c>
      <c r="D97" s="1">
        <f ca="1">IFERROR(__xludf.DUMMYFUNCTION("""COMPUTED_VALUE"""),0.53)</f>
        <v>0.53</v>
      </c>
      <c r="E97" s="1">
        <f ca="1">IFERROR(__xludf.DUMMYFUNCTION("""COMPUTED_VALUE"""),0.53)</f>
        <v>0.53</v>
      </c>
      <c r="F97" s="1">
        <f ca="1">IFERROR(__xludf.DUMMYFUNCTION("""COMPUTED_VALUE"""),4920581)</f>
        <v>4920581</v>
      </c>
    </row>
    <row r="98" spans="1:6" x14ac:dyDescent="0.35">
      <c r="A98" s="2">
        <f ca="1">IFERROR(__xludf.DUMMYFUNCTION("""COMPUTED_VALUE"""),42145.6666666666)</f>
        <v>42145.666666666599</v>
      </c>
      <c r="B98" s="1">
        <f ca="1">IFERROR(__xludf.DUMMYFUNCTION("""COMPUTED_VALUE"""),0.53)</f>
        <v>0.53</v>
      </c>
      <c r="C98" s="1">
        <f ca="1">IFERROR(__xludf.DUMMYFUNCTION("""COMPUTED_VALUE"""),0.53)</f>
        <v>0.53</v>
      </c>
      <c r="D98" s="1">
        <f ca="1">IFERROR(__xludf.DUMMYFUNCTION("""COMPUTED_VALUE"""),0.52)</f>
        <v>0.52</v>
      </c>
      <c r="E98" s="1">
        <f ca="1">IFERROR(__xludf.DUMMYFUNCTION("""COMPUTED_VALUE"""),0.52)</f>
        <v>0.52</v>
      </c>
      <c r="F98" s="1">
        <f ca="1">IFERROR(__xludf.DUMMYFUNCTION("""COMPUTED_VALUE"""),5992250)</f>
        <v>5992250</v>
      </c>
    </row>
    <row r="99" spans="1:6" x14ac:dyDescent="0.35">
      <c r="A99" s="2">
        <f ca="1">IFERROR(__xludf.DUMMYFUNCTION("""COMPUTED_VALUE"""),42146.6666666666)</f>
        <v>42146.666666666599</v>
      </c>
      <c r="B99" s="1">
        <f ca="1">IFERROR(__xludf.DUMMYFUNCTION("""COMPUTED_VALUE"""),0.52)</f>
        <v>0.52</v>
      </c>
      <c r="C99" s="1">
        <f ca="1">IFERROR(__xludf.DUMMYFUNCTION("""COMPUTED_VALUE"""),0.53)</f>
        <v>0.53</v>
      </c>
      <c r="D99" s="1">
        <f ca="1">IFERROR(__xludf.DUMMYFUNCTION("""COMPUTED_VALUE"""),0.52)</f>
        <v>0.52</v>
      </c>
      <c r="E99" s="1">
        <f ca="1">IFERROR(__xludf.DUMMYFUNCTION("""COMPUTED_VALUE"""),0.52)</f>
        <v>0.52</v>
      </c>
      <c r="F99" s="1">
        <f ca="1">IFERROR(__xludf.DUMMYFUNCTION("""COMPUTED_VALUE"""),5315282)</f>
        <v>5315282</v>
      </c>
    </row>
    <row r="100" spans="1:6" x14ac:dyDescent="0.35">
      <c r="A100" s="2">
        <f ca="1">IFERROR(__xludf.DUMMYFUNCTION("""COMPUTED_VALUE"""),42150.6666666666)</f>
        <v>42150.666666666599</v>
      </c>
      <c r="B100" s="1">
        <f ca="1">IFERROR(__xludf.DUMMYFUNCTION("""COMPUTED_VALUE"""),0.52)</f>
        <v>0.52</v>
      </c>
      <c r="C100" s="1">
        <f ca="1">IFERROR(__xludf.DUMMYFUNCTION("""COMPUTED_VALUE"""),0.52)</f>
        <v>0.52</v>
      </c>
      <c r="D100" s="1">
        <f ca="1">IFERROR(__xludf.DUMMYFUNCTION("""COMPUTED_VALUE"""),0.51)</f>
        <v>0.51</v>
      </c>
      <c r="E100" s="1">
        <f ca="1">IFERROR(__xludf.DUMMYFUNCTION("""COMPUTED_VALUE"""),0.52)</f>
        <v>0.52</v>
      </c>
      <c r="F100" s="1">
        <f ca="1">IFERROR(__xludf.DUMMYFUNCTION("""COMPUTED_VALUE"""),6493277)</f>
        <v>6493277</v>
      </c>
    </row>
    <row r="101" spans="1:6" x14ac:dyDescent="0.35">
      <c r="A101" s="2">
        <f ca="1">IFERROR(__xludf.DUMMYFUNCTION("""COMPUTED_VALUE"""),42151.6666666666)</f>
        <v>42151.666666666599</v>
      </c>
      <c r="B101" s="1">
        <f ca="1">IFERROR(__xludf.DUMMYFUNCTION("""COMPUTED_VALUE"""),0.52)</f>
        <v>0.52</v>
      </c>
      <c r="C101" s="1">
        <f ca="1">IFERROR(__xludf.DUMMYFUNCTION("""COMPUTED_VALUE"""),0.55)</f>
        <v>0.55000000000000004</v>
      </c>
      <c r="D101" s="1">
        <f ca="1">IFERROR(__xludf.DUMMYFUNCTION("""COMPUTED_VALUE"""),0.52)</f>
        <v>0.52</v>
      </c>
      <c r="E101" s="1">
        <f ca="1">IFERROR(__xludf.DUMMYFUNCTION("""COMPUTED_VALUE"""),0.55)</f>
        <v>0.55000000000000004</v>
      </c>
      <c r="F101" s="1">
        <f ca="1">IFERROR(__xludf.DUMMYFUNCTION("""COMPUTED_VALUE"""),10808271)</f>
        <v>10808271</v>
      </c>
    </row>
    <row r="102" spans="1:6" x14ac:dyDescent="0.35">
      <c r="A102" s="2">
        <f ca="1">IFERROR(__xludf.DUMMYFUNCTION("""COMPUTED_VALUE"""),42152.6666666666)</f>
        <v>42152.666666666599</v>
      </c>
      <c r="B102" s="1">
        <f ca="1">IFERROR(__xludf.DUMMYFUNCTION("""COMPUTED_VALUE"""),0.55)</f>
        <v>0.55000000000000004</v>
      </c>
      <c r="C102" s="1">
        <f ca="1">IFERROR(__xludf.DUMMYFUNCTION("""COMPUTED_VALUE"""),0.56)</f>
        <v>0.56000000000000005</v>
      </c>
      <c r="D102" s="1">
        <f ca="1">IFERROR(__xludf.DUMMYFUNCTION("""COMPUTED_VALUE"""),0.55)</f>
        <v>0.55000000000000004</v>
      </c>
      <c r="E102" s="1">
        <f ca="1">IFERROR(__xludf.DUMMYFUNCTION("""COMPUTED_VALUE"""),0.55)</f>
        <v>0.55000000000000004</v>
      </c>
      <c r="F102" s="1">
        <f ca="1">IFERROR(__xludf.DUMMYFUNCTION("""COMPUTED_VALUE"""),8191431)</f>
        <v>8191431</v>
      </c>
    </row>
    <row r="103" spans="1:6" x14ac:dyDescent="0.35">
      <c r="A103" s="2">
        <f ca="1">IFERROR(__xludf.DUMMYFUNCTION("""COMPUTED_VALUE"""),42153.6666666666)</f>
        <v>42153.666666666599</v>
      </c>
      <c r="B103" s="1">
        <f ca="1">IFERROR(__xludf.DUMMYFUNCTION("""COMPUTED_VALUE"""),0.55)</f>
        <v>0.55000000000000004</v>
      </c>
      <c r="C103" s="1">
        <f ca="1">IFERROR(__xludf.DUMMYFUNCTION("""COMPUTED_VALUE"""),0.56)</f>
        <v>0.56000000000000005</v>
      </c>
      <c r="D103" s="1">
        <f ca="1">IFERROR(__xludf.DUMMYFUNCTION("""COMPUTED_VALUE"""),0.55)</f>
        <v>0.55000000000000004</v>
      </c>
      <c r="E103" s="1">
        <f ca="1">IFERROR(__xludf.DUMMYFUNCTION("""COMPUTED_VALUE"""),0.55)</f>
        <v>0.55000000000000004</v>
      </c>
      <c r="F103" s="1">
        <f ca="1">IFERROR(__xludf.DUMMYFUNCTION("""COMPUTED_VALUE"""),8379244)</f>
        <v>8379244</v>
      </c>
    </row>
    <row r="104" spans="1:6" x14ac:dyDescent="0.35">
      <c r="A104" s="2">
        <f ca="1">IFERROR(__xludf.DUMMYFUNCTION("""COMPUTED_VALUE"""),42156.6666666666)</f>
        <v>42156.666666666599</v>
      </c>
      <c r="B104" s="1">
        <f ca="1">IFERROR(__xludf.DUMMYFUNCTION("""COMPUTED_VALUE"""),0.56)</f>
        <v>0.56000000000000005</v>
      </c>
      <c r="C104" s="1">
        <f ca="1">IFERROR(__xludf.DUMMYFUNCTION("""COMPUTED_VALUE"""),0.57)</f>
        <v>0.56999999999999995</v>
      </c>
      <c r="D104" s="1">
        <f ca="1">IFERROR(__xludf.DUMMYFUNCTION("""COMPUTED_VALUE"""),0.55)</f>
        <v>0.55000000000000004</v>
      </c>
      <c r="E104" s="1">
        <f ca="1">IFERROR(__xludf.DUMMYFUNCTION("""COMPUTED_VALUE"""),0.56)</f>
        <v>0.56000000000000005</v>
      </c>
      <c r="F104" s="1">
        <f ca="1">IFERROR(__xludf.DUMMYFUNCTION("""COMPUTED_VALUE"""),9316504)</f>
        <v>9316504</v>
      </c>
    </row>
    <row r="105" spans="1:6" x14ac:dyDescent="0.35">
      <c r="A105" s="2">
        <f ca="1">IFERROR(__xludf.DUMMYFUNCTION("""COMPUTED_VALUE"""),42157.6666666666)</f>
        <v>42157.666666666599</v>
      </c>
      <c r="B105" s="1">
        <f ca="1">IFERROR(__xludf.DUMMYFUNCTION("""COMPUTED_VALUE"""),0.56)</f>
        <v>0.56000000000000005</v>
      </c>
      <c r="C105" s="1">
        <f ca="1">IFERROR(__xludf.DUMMYFUNCTION("""COMPUTED_VALUE"""),0.56)</f>
        <v>0.56000000000000005</v>
      </c>
      <c r="D105" s="1">
        <f ca="1">IFERROR(__xludf.DUMMYFUNCTION("""COMPUTED_VALUE"""),0.55)</f>
        <v>0.55000000000000004</v>
      </c>
      <c r="E105" s="1">
        <f ca="1">IFERROR(__xludf.DUMMYFUNCTION("""COMPUTED_VALUE"""),0.55)</f>
        <v>0.55000000000000004</v>
      </c>
      <c r="F105" s="1">
        <f ca="1">IFERROR(__xludf.DUMMYFUNCTION("""COMPUTED_VALUE"""),5607582)</f>
        <v>5607582</v>
      </c>
    </row>
    <row r="106" spans="1:6" x14ac:dyDescent="0.35">
      <c r="A106" s="2">
        <f ca="1">IFERROR(__xludf.DUMMYFUNCTION("""COMPUTED_VALUE"""),42158.6666666666)</f>
        <v>42158.666666666599</v>
      </c>
      <c r="B106" s="1">
        <f ca="1">IFERROR(__xludf.DUMMYFUNCTION("""COMPUTED_VALUE"""),0.55)</f>
        <v>0.55000000000000004</v>
      </c>
      <c r="C106" s="1">
        <f ca="1">IFERROR(__xludf.DUMMYFUNCTION("""COMPUTED_VALUE"""),0.55)</f>
        <v>0.55000000000000004</v>
      </c>
      <c r="D106" s="1">
        <f ca="1">IFERROR(__xludf.DUMMYFUNCTION("""COMPUTED_VALUE"""),0.54)</f>
        <v>0.54</v>
      </c>
      <c r="E106" s="1">
        <f ca="1">IFERROR(__xludf.DUMMYFUNCTION("""COMPUTED_VALUE"""),0.54)</f>
        <v>0.54</v>
      </c>
      <c r="F106" s="1">
        <f ca="1">IFERROR(__xludf.DUMMYFUNCTION("""COMPUTED_VALUE"""),6269692)</f>
        <v>6269692</v>
      </c>
    </row>
    <row r="107" spans="1:6" x14ac:dyDescent="0.35">
      <c r="A107" s="2">
        <f ca="1">IFERROR(__xludf.DUMMYFUNCTION("""COMPUTED_VALUE"""),42159.6666666666)</f>
        <v>42159.666666666599</v>
      </c>
      <c r="B107" s="1">
        <f ca="1">IFERROR(__xludf.DUMMYFUNCTION("""COMPUTED_VALUE"""),0.54)</f>
        <v>0.54</v>
      </c>
      <c r="C107" s="1">
        <f ca="1">IFERROR(__xludf.DUMMYFUNCTION("""COMPUTED_VALUE"""),0.55)</f>
        <v>0.55000000000000004</v>
      </c>
      <c r="D107" s="1">
        <f ca="1">IFERROR(__xludf.DUMMYFUNCTION("""COMPUTED_VALUE"""),0.54)</f>
        <v>0.54</v>
      </c>
      <c r="E107" s="1">
        <f ca="1">IFERROR(__xludf.DUMMYFUNCTION("""COMPUTED_VALUE"""),0.55)</f>
        <v>0.55000000000000004</v>
      </c>
      <c r="F107" s="1">
        <f ca="1">IFERROR(__xludf.DUMMYFUNCTION("""COMPUTED_VALUE"""),8092765)</f>
        <v>8092765</v>
      </c>
    </row>
    <row r="108" spans="1:6" x14ac:dyDescent="0.35">
      <c r="A108" s="2">
        <f ca="1">IFERROR(__xludf.DUMMYFUNCTION("""COMPUTED_VALUE"""),42160.6666666666)</f>
        <v>42160.666666666599</v>
      </c>
      <c r="B108" s="1">
        <f ca="1">IFERROR(__xludf.DUMMYFUNCTION("""COMPUTED_VALUE"""),0.55)</f>
        <v>0.55000000000000004</v>
      </c>
      <c r="C108" s="1">
        <f ca="1">IFERROR(__xludf.DUMMYFUNCTION("""COMPUTED_VALUE"""),0.56)</f>
        <v>0.56000000000000005</v>
      </c>
      <c r="D108" s="1">
        <f ca="1">IFERROR(__xludf.DUMMYFUNCTION("""COMPUTED_VALUE"""),0.54)</f>
        <v>0.54</v>
      </c>
      <c r="E108" s="1">
        <f ca="1">IFERROR(__xludf.DUMMYFUNCTION("""COMPUTED_VALUE"""),0.56)</f>
        <v>0.56000000000000005</v>
      </c>
      <c r="F108" s="1">
        <f ca="1">IFERROR(__xludf.DUMMYFUNCTION("""COMPUTED_VALUE"""),7833001)</f>
        <v>7833001</v>
      </c>
    </row>
    <row r="109" spans="1:6" x14ac:dyDescent="0.35">
      <c r="A109" s="2">
        <f ca="1">IFERROR(__xludf.DUMMYFUNCTION("""COMPUTED_VALUE"""),42163.6666666666)</f>
        <v>42163.666666666599</v>
      </c>
      <c r="B109" s="1">
        <f ca="1">IFERROR(__xludf.DUMMYFUNCTION("""COMPUTED_VALUE"""),0.56)</f>
        <v>0.56000000000000005</v>
      </c>
      <c r="C109" s="1">
        <f ca="1">IFERROR(__xludf.DUMMYFUNCTION("""COMPUTED_VALUE"""),0.56)</f>
        <v>0.56000000000000005</v>
      </c>
      <c r="D109" s="1">
        <f ca="1">IFERROR(__xludf.DUMMYFUNCTION("""COMPUTED_VALUE"""),0.54)</f>
        <v>0.54</v>
      </c>
      <c r="E109" s="1">
        <f ca="1">IFERROR(__xludf.DUMMYFUNCTION("""COMPUTED_VALUE"""),0.54)</f>
        <v>0.54</v>
      </c>
      <c r="F109" s="1">
        <f ca="1">IFERROR(__xludf.DUMMYFUNCTION("""COMPUTED_VALUE"""),8570301)</f>
        <v>8570301</v>
      </c>
    </row>
    <row r="110" spans="1:6" x14ac:dyDescent="0.35">
      <c r="A110" s="2">
        <f ca="1">IFERROR(__xludf.DUMMYFUNCTION("""COMPUTED_VALUE"""),42164.6666666666)</f>
        <v>42164.666666666599</v>
      </c>
      <c r="B110" s="1">
        <f ca="1">IFERROR(__xludf.DUMMYFUNCTION("""COMPUTED_VALUE"""),0.54)</f>
        <v>0.54</v>
      </c>
      <c r="C110" s="1">
        <f ca="1">IFERROR(__xludf.DUMMYFUNCTION("""COMPUTED_VALUE"""),0.55)</f>
        <v>0.55000000000000004</v>
      </c>
      <c r="D110" s="1">
        <f ca="1">IFERROR(__xludf.DUMMYFUNCTION("""COMPUTED_VALUE"""),0.54)</f>
        <v>0.54</v>
      </c>
      <c r="E110" s="1">
        <f ca="1">IFERROR(__xludf.DUMMYFUNCTION("""COMPUTED_VALUE"""),0.55)</f>
        <v>0.55000000000000004</v>
      </c>
      <c r="F110" s="1">
        <f ca="1">IFERROR(__xludf.DUMMYFUNCTION("""COMPUTED_VALUE"""),6422222)</f>
        <v>6422222</v>
      </c>
    </row>
    <row r="111" spans="1:6" x14ac:dyDescent="0.35">
      <c r="A111" s="2">
        <f ca="1">IFERROR(__xludf.DUMMYFUNCTION("""COMPUTED_VALUE"""),42165.6666666666)</f>
        <v>42165.666666666599</v>
      </c>
      <c r="B111" s="1">
        <f ca="1">IFERROR(__xludf.DUMMYFUNCTION("""COMPUTED_VALUE"""),0.54)</f>
        <v>0.54</v>
      </c>
      <c r="C111" s="1">
        <f ca="1">IFERROR(__xludf.DUMMYFUNCTION("""COMPUTED_VALUE"""),0.54)</f>
        <v>0.54</v>
      </c>
      <c r="D111" s="1">
        <f ca="1">IFERROR(__xludf.DUMMYFUNCTION("""COMPUTED_VALUE"""),0.53)</f>
        <v>0.53</v>
      </c>
      <c r="E111" s="1">
        <f ca="1">IFERROR(__xludf.DUMMYFUNCTION("""COMPUTED_VALUE"""),0.54)</f>
        <v>0.54</v>
      </c>
      <c r="F111" s="1">
        <f ca="1">IFERROR(__xludf.DUMMYFUNCTION("""COMPUTED_VALUE"""),13236526)</f>
        <v>13236526</v>
      </c>
    </row>
    <row r="112" spans="1:6" x14ac:dyDescent="0.35">
      <c r="A112" s="2">
        <f ca="1">IFERROR(__xludf.DUMMYFUNCTION("""COMPUTED_VALUE"""),42166.6666666666)</f>
        <v>42166.666666666599</v>
      </c>
      <c r="B112" s="1">
        <f ca="1">IFERROR(__xludf.DUMMYFUNCTION("""COMPUTED_VALUE"""),0.54)</f>
        <v>0.54</v>
      </c>
      <c r="C112" s="1">
        <f ca="1">IFERROR(__xludf.DUMMYFUNCTION("""COMPUTED_VALUE"""),0.55)</f>
        <v>0.55000000000000004</v>
      </c>
      <c r="D112" s="1">
        <f ca="1">IFERROR(__xludf.DUMMYFUNCTION("""COMPUTED_VALUE"""),0.54)</f>
        <v>0.54</v>
      </c>
      <c r="E112" s="1">
        <f ca="1">IFERROR(__xludf.DUMMYFUNCTION("""COMPUTED_VALUE"""),0.54)</f>
        <v>0.54</v>
      </c>
      <c r="F112" s="1">
        <f ca="1">IFERROR(__xludf.DUMMYFUNCTION("""COMPUTED_VALUE"""),7076296)</f>
        <v>7076296</v>
      </c>
    </row>
    <row r="113" spans="1:6" x14ac:dyDescent="0.35">
      <c r="A113" s="2">
        <f ca="1">IFERROR(__xludf.DUMMYFUNCTION("""COMPUTED_VALUE"""),42167.6666666666)</f>
        <v>42167.666666666599</v>
      </c>
      <c r="B113" s="1">
        <f ca="1">IFERROR(__xludf.DUMMYFUNCTION("""COMPUTED_VALUE"""),0.54)</f>
        <v>0.54</v>
      </c>
      <c r="C113" s="1">
        <f ca="1">IFERROR(__xludf.DUMMYFUNCTION("""COMPUTED_VALUE"""),0.54)</f>
        <v>0.54</v>
      </c>
      <c r="D113" s="1">
        <f ca="1">IFERROR(__xludf.DUMMYFUNCTION("""COMPUTED_VALUE"""),0.53)</f>
        <v>0.53</v>
      </c>
      <c r="E113" s="1">
        <f ca="1">IFERROR(__xludf.DUMMYFUNCTION("""COMPUTED_VALUE"""),0.53)</f>
        <v>0.53</v>
      </c>
      <c r="F113" s="1">
        <f ca="1">IFERROR(__xludf.DUMMYFUNCTION("""COMPUTED_VALUE"""),8093164)</f>
        <v>8093164</v>
      </c>
    </row>
    <row r="114" spans="1:6" x14ac:dyDescent="0.35">
      <c r="A114" s="2">
        <f ca="1">IFERROR(__xludf.DUMMYFUNCTION("""COMPUTED_VALUE"""),42170.6666666666)</f>
        <v>42170.666666666599</v>
      </c>
      <c r="B114" s="1">
        <f ca="1">IFERROR(__xludf.DUMMYFUNCTION("""COMPUTED_VALUE"""),0.53)</f>
        <v>0.53</v>
      </c>
      <c r="C114" s="1">
        <f ca="1">IFERROR(__xludf.DUMMYFUNCTION("""COMPUTED_VALUE"""),0.53)</f>
        <v>0.53</v>
      </c>
      <c r="D114" s="1">
        <f ca="1">IFERROR(__xludf.DUMMYFUNCTION("""COMPUTED_VALUE"""),0.52)</f>
        <v>0.52</v>
      </c>
      <c r="E114" s="1">
        <f ca="1">IFERROR(__xludf.DUMMYFUNCTION("""COMPUTED_VALUE"""),0.53)</f>
        <v>0.53</v>
      </c>
      <c r="F114" s="1">
        <f ca="1">IFERROR(__xludf.DUMMYFUNCTION("""COMPUTED_VALUE"""),7663673)</f>
        <v>7663673</v>
      </c>
    </row>
    <row r="115" spans="1:6" x14ac:dyDescent="0.35">
      <c r="A115" s="2">
        <f ca="1">IFERROR(__xludf.DUMMYFUNCTION("""COMPUTED_VALUE"""),42171.6666666666)</f>
        <v>42171.666666666599</v>
      </c>
      <c r="B115" s="1">
        <f ca="1">IFERROR(__xludf.DUMMYFUNCTION("""COMPUTED_VALUE"""),0.53)</f>
        <v>0.53</v>
      </c>
      <c r="C115" s="1">
        <f ca="1">IFERROR(__xludf.DUMMYFUNCTION("""COMPUTED_VALUE"""),0.53)</f>
        <v>0.53</v>
      </c>
      <c r="D115" s="1">
        <f ca="1">IFERROR(__xludf.DUMMYFUNCTION("""COMPUTED_VALUE"""),0.52)</f>
        <v>0.52</v>
      </c>
      <c r="E115" s="1">
        <f ca="1">IFERROR(__xludf.DUMMYFUNCTION("""COMPUTED_VALUE"""),0.53)</f>
        <v>0.53</v>
      </c>
      <c r="F115" s="1">
        <f ca="1">IFERROR(__xludf.DUMMYFUNCTION("""COMPUTED_VALUE"""),6422253)</f>
        <v>6422253</v>
      </c>
    </row>
    <row r="116" spans="1:6" x14ac:dyDescent="0.35">
      <c r="A116" s="2">
        <f ca="1">IFERROR(__xludf.DUMMYFUNCTION("""COMPUTED_VALUE"""),42172.6666666666)</f>
        <v>42172.666666666599</v>
      </c>
      <c r="B116" s="1">
        <f ca="1">IFERROR(__xludf.DUMMYFUNCTION("""COMPUTED_VALUE"""),0.53)</f>
        <v>0.53</v>
      </c>
      <c r="C116" s="1">
        <f ca="1">IFERROR(__xludf.DUMMYFUNCTION("""COMPUTED_VALUE"""),0.54)</f>
        <v>0.54</v>
      </c>
      <c r="D116" s="1">
        <f ca="1">IFERROR(__xludf.DUMMYFUNCTION("""COMPUTED_VALUE"""),0.53)</f>
        <v>0.53</v>
      </c>
      <c r="E116" s="1">
        <f ca="1">IFERROR(__xludf.DUMMYFUNCTION("""COMPUTED_VALUE"""),0.54)</f>
        <v>0.54</v>
      </c>
      <c r="F116" s="1">
        <f ca="1">IFERROR(__xludf.DUMMYFUNCTION("""COMPUTED_VALUE"""),5838648)</f>
        <v>5838648</v>
      </c>
    </row>
    <row r="117" spans="1:6" x14ac:dyDescent="0.35">
      <c r="A117" s="2">
        <f ca="1">IFERROR(__xludf.DUMMYFUNCTION("""COMPUTED_VALUE"""),42173.6666666666)</f>
        <v>42173.666666666599</v>
      </c>
      <c r="B117" s="1">
        <f ca="1">IFERROR(__xludf.DUMMYFUNCTION("""COMPUTED_VALUE"""),0.54)</f>
        <v>0.54</v>
      </c>
      <c r="C117" s="1">
        <f ca="1">IFERROR(__xludf.DUMMYFUNCTION("""COMPUTED_VALUE"""),0.55)</f>
        <v>0.55000000000000004</v>
      </c>
      <c r="D117" s="1">
        <f ca="1">IFERROR(__xludf.DUMMYFUNCTION("""COMPUTED_VALUE"""),0.54)</f>
        <v>0.54</v>
      </c>
      <c r="E117" s="1">
        <f ca="1">IFERROR(__xludf.DUMMYFUNCTION("""COMPUTED_VALUE"""),0.55)</f>
        <v>0.55000000000000004</v>
      </c>
      <c r="F117" s="1">
        <f ca="1">IFERROR(__xludf.DUMMYFUNCTION("""COMPUTED_VALUE"""),7485090)</f>
        <v>7485090</v>
      </c>
    </row>
    <row r="118" spans="1:6" x14ac:dyDescent="0.35">
      <c r="A118" s="2">
        <f ca="1">IFERROR(__xludf.DUMMYFUNCTION("""COMPUTED_VALUE"""),42174.6666666666)</f>
        <v>42174.666666666599</v>
      </c>
      <c r="B118" s="1">
        <f ca="1">IFERROR(__xludf.DUMMYFUNCTION("""COMPUTED_VALUE"""),0.55)</f>
        <v>0.55000000000000004</v>
      </c>
      <c r="C118" s="1">
        <f ca="1">IFERROR(__xludf.DUMMYFUNCTION("""COMPUTED_VALUE"""),0.55)</f>
        <v>0.55000000000000004</v>
      </c>
      <c r="D118" s="1">
        <f ca="1">IFERROR(__xludf.DUMMYFUNCTION("""COMPUTED_VALUE"""),0.54)</f>
        <v>0.54</v>
      </c>
      <c r="E118" s="1">
        <f ca="1">IFERROR(__xludf.DUMMYFUNCTION("""COMPUTED_VALUE"""),0.55)</f>
        <v>0.55000000000000004</v>
      </c>
      <c r="F118" s="1">
        <f ca="1">IFERROR(__xludf.DUMMYFUNCTION("""COMPUTED_VALUE"""),8891427)</f>
        <v>8891427</v>
      </c>
    </row>
    <row r="119" spans="1:6" x14ac:dyDescent="0.35">
      <c r="A119" s="2">
        <f ca="1">IFERROR(__xludf.DUMMYFUNCTION("""COMPUTED_VALUE"""),42177.6666666666)</f>
        <v>42177.666666666599</v>
      </c>
      <c r="B119" s="1">
        <f ca="1">IFERROR(__xludf.DUMMYFUNCTION("""COMPUTED_VALUE"""),0.55)</f>
        <v>0.55000000000000004</v>
      </c>
      <c r="C119" s="1">
        <f ca="1">IFERROR(__xludf.DUMMYFUNCTION("""COMPUTED_VALUE"""),0.55)</f>
        <v>0.55000000000000004</v>
      </c>
      <c r="D119" s="1">
        <f ca="1">IFERROR(__xludf.DUMMYFUNCTION("""COMPUTED_VALUE"""),0.54)</f>
        <v>0.54</v>
      </c>
      <c r="E119" s="1">
        <f ca="1">IFERROR(__xludf.DUMMYFUNCTION("""COMPUTED_VALUE"""),0.54)</f>
        <v>0.54</v>
      </c>
      <c r="F119" s="1">
        <f ca="1">IFERROR(__xludf.DUMMYFUNCTION("""COMPUTED_VALUE"""),12855929)</f>
        <v>12855929</v>
      </c>
    </row>
    <row r="120" spans="1:6" x14ac:dyDescent="0.35">
      <c r="A120" s="2">
        <f ca="1">IFERROR(__xludf.DUMMYFUNCTION("""COMPUTED_VALUE"""),42178.6666666666)</f>
        <v>42178.666666666599</v>
      </c>
      <c r="B120" s="1">
        <f ca="1">IFERROR(__xludf.DUMMYFUNCTION("""COMPUTED_VALUE"""),0.55)</f>
        <v>0.55000000000000004</v>
      </c>
      <c r="C120" s="1">
        <f ca="1">IFERROR(__xludf.DUMMYFUNCTION("""COMPUTED_VALUE"""),0.55)</f>
        <v>0.55000000000000004</v>
      </c>
      <c r="D120" s="1">
        <f ca="1">IFERROR(__xludf.DUMMYFUNCTION("""COMPUTED_VALUE"""),0.53)</f>
        <v>0.53</v>
      </c>
      <c r="E120" s="1">
        <f ca="1">IFERROR(__xludf.DUMMYFUNCTION("""COMPUTED_VALUE"""),0.53)</f>
        <v>0.53</v>
      </c>
      <c r="F120" s="1">
        <f ca="1">IFERROR(__xludf.DUMMYFUNCTION("""COMPUTED_VALUE"""),10351627)</f>
        <v>10351627</v>
      </c>
    </row>
    <row r="121" spans="1:6" x14ac:dyDescent="0.35">
      <c r="A121" s="2">
        <f ca="1">IFERROR(__xludf.DUMMYFUNCTION("""COMPUTED_VALUE"""),42179.6666666666)</f>
        <v>42179.666666666599</v>
      </c>
      <c r="B121" s="1">
        <f ca="1">IFERROR(__xludf.DUMMYFUNCTION("""COMPUTED_VALUE"""),0.53)</f>
        <v>0.53</v>
      </c>
      <c r="C121" s="1">
        <f ca="1">IFERROR(__xludf.DUMMYFUNCTION("""COMPUTED_VALUE"""),0.53)</f>
        <v>0.53</v>
      </c>
      <c r="D121" s="1">
        <f ca="1">IFERROR(__xludf.DUMMYFUNCTION("""COMPUTED_VALUE"""),0.52)</f>
        <v>0.52</v>
      </c>
      <c r="E121" s="1">
        <f ca="1">IFERROR(__xludf.DUMMYFUNCTION("""COMPUTED_VALUE"""),0.53)</f>
        <v>0.53</v>
      </c>
      <c r="F121" s="1">
        <f ca="1">IFERROR(__xludf.DUMMYFUNCTION("""COMPUTED_VALUE"""),6334204)</f>
        <v>6334204</v>
      </c>
    </row>
    <row r="122" spans="1:6" x14ac:dyDescent="0.35">
      <c r="A122" s="2">
        <f ca="1">IFERROR(__xludf.DUMMYFUNCTION("""COMPUTED_VALUE"""),42180.6666666666)</f>
        <v>42180.666666666599</v>
      </c>
      <c r="B122" s="1">
        <f ca="1">IFERROR(__xludf.DUMMYFUNCTION("""COMPUTED_VALUE"""),0.53)</f>
        <v>0.53</v>
      </c>
      <c r="C122" s="1">
        <f ca="1">IFERROR(__xludf.DUMMYFUNCTION("""COMPUTED_VALUE"""),0.53)</f>
        <v>0.53</v>
      </c>
      <c r="D122" s="1">
        <f ca="1">IFERROR(__xludf.DUMMYFUNCTION("""COMPUTED_VALUE"""),0.53)</f>
        <v>0.53</v>
      </c>
      <c r="E122" s="1">
        <f ca="1">IFERROR(__xludf.DUMMYFUNCTION("""COMPUTED_VALUE"""),0.53)</f>
        <v>0.53</v>
      </c>
      <c r="F122" s="1">
        <f ca="1">IFERROR(__xludf.DUMMYFUNCTION("""COMPUTED_VALUE"""),8761548)</f>
        <v>8761548</v>
      </c>
    </row>
    <row r="123" spans="1:6" x14ac:dyDescent="0.35">
      <c r="A123" s="2">
        <f ca="1">IFERROR(__xludf.DUMMYFUNCTION("""COMPUTED_VALUE"""),42181.6666666666)</f>
        <v>42181.666666666599</v>
      </c>
      <c r="B123" s="1">
        <f ca="1">IFERROR(__xludf.DUMMYFUNCTION("""COMPUTED_VALUE"""),0.53)</f>
        <v>0.53</v>
      </c>
      <c r="C123" s="1">
        <f ca="1">IFERROR(__xludf.DUMMYFUNCTION("""COMPUTED_VALUE"""),0.53)</f>
        <v>0.53</v>
      </c>
      <c r="D123" s="1">
        <f ca="1">IFERROR(__xludf.DUMMYFUNCTION("""COMPUTED_VALUE"""),0.52)</f>
        <v>0.52</v>
      </c>
      <c r="E123" s="1">
        <f ca="1">IFERROR(__xludf.DUMMYFUNCTION("""COMPUTED_VALUE"""),0.52)</f>
        <v>0.52</v>
      </c>
      <c r="F123" s="1">
        <f ca="1">IFERROR(__xludf.DUMMYFUNCTION("""COMPUTED_VALUE"""),10532373)</f>
        <v>10532373</v>
      </c>
    </row>
    <row r="124" spans="1:6" x14ac:dyDescent="0.35">
      <c r="A124" s="2">
        <f ca="1">IFERROR(__xludf.DUMMYFUNCTION("""COMPUTED_VALUE"""),42184.6666666666)</f>
        <v>42184.666666666599</v>
      </c>
      <c r="B124" s="1">
        <f ca="1">IFERROR(__xludf.DUMMYFUNCTION("""COMPUTED_VALUE"""),0.51)</f>
        <v>0.51</v>
      </c>
      <c r="C124" s="1">
        <f ca="1">IFERROR(__xludf.DUMMYFUNCTION("""COMPUTED_VALUE"""),0.52)</f>
        <v>0.52</v>
      </c>
      <c r="D124" s="1">
        <f ca="1">IFERROR(__xludf.DUMMYFUNCTION("""COMPUTED_VALUE"""),0.5)</f>
        <v>0.5</v>
      </c>
      <c r="E124" s="1">
        <f ca="1">IFERROR(__xludf.DUMMYFUNCTION("""COMPUTED_VALUE"""),0.5)</f>
        <v>0.5</v>
      </c>
      <c r="F124" s="1">
        <f ca="1">IFERROR(__xludf.DUMMYFUNCTION("""COMPUTED_VALUE"""),9793096)</f>
        <v>9793096</v>
      </c>
    </row>
    <row r="125" spans="1:6" x14ac:dyDescent="0.35">
      <c r="A125" s="2">
        <f ca="1">IFERROR(__xludf.DUMMYFUNCTION("""COMPUTED_VALUE"""),42185.6666666666)</f>
        <v>42185.666666666599</v>
      </c>
      <c r="B125" s="1">
        <f ca="1">IFERROR(__xludf.DUMMYFUNCTION("""COMPUTED_VALUE"""),0.51)</f>
        <v>0.51</v>
      </c>
      <c r="C125" s="1">
        <f ca="1">IFERROR(__xludf.DUMMYFUNCTION("""COMPUTED_VALUE"""),0.51)</f>
        <v>0.51</v>
      </c>
      <c r="D125" s="1">
        <f ca="1">IFERROR(__xludf.DUMMYFUNCTION("""COMPUTED_VALUE"""),0.5)</f>
        <v>0.5</v>
      </c>
      <c r="E125" s="1">
        <f ca="1">IFERROR(__xludf.DUMMYFUNCTION("""COMPUTED_VALUE"""),0.5)</f>
        <v>0.5</v>
      </c>
      <c r="F125" s="1">
        <f ca="1">IFERROR(__xludf.DUMMYFUNCTION("""COMPUTED_VALUE"""),7897857)</f>
        <v>7897857</v>
      </c>
    </row>
    <row r="126" spans="1:6" x14ac:dyDescent="0.35">
      <c r="A126" s="2">
        <f ca="1">IFERROR(__xludf.DUMMYFUNCTION("""COMPUTED_VALUE"""),42186.6666666666)</f>
        <v>42186.666666666599</v>
      </c>
      <c r="B126" s="1">
        <f ca="1">IFERROR(__xludf.DUMMYFUNCTION("""COMPUTED_VALUE"""),0.52)</f>
        <v>0.52</v>
      </c>
      <c r="C126" s="1">
        <f ca="1">IFERROR(__xludf.DUMMYFUNCTION("""COMPUTED_VALUE"""),0.52)</f>
        <v>0.52</v>
      </c>
      <c r="D126" s="1">
        <f ca="1">IFERROR(__xludf.DUMMYFUNCTION("""COMPUTED_VALUE"""),0.51)</f>
        <v>0.51</v>
      </c>
      <c r="E126" s="1">
        <f ca="1">IFERROR(__xludf.DUMMYFUNCTION("""COMPUTED_VALUE"""),0.51)</f>
        <v>0.51</v>
      </c>
      <c r="F126" s="1">
        <f ca="1">IFERROR(__xludf.DUMMYFUNCTION("""COMPUTED_VALUE"""),7573001)</f>
        <v>7573001</v>
      </c>
    </row>
    <row r="127" spans="1:6" x14ac:dyDescent="0.35">
      <c r="A127" s="2">
        <f ca="1">IFERROR(__xludf.DUMMYFUNCTION("""COMPUTED_VALUE"""),42187.6666666666)</f>
        <v>42187.666666666599</v>
      </c>
      <c r="B127" s="1">
        <f ca="1">IFERROR(__xludf.DUMMYFUNCTION("""COMPUTED_VALUE"""),0.51)</f>
        <v>0.51</v>
      </c>
      <c r="C127" s="1">
        <f ca="1">IFERROR(__xludf.DUMMYFUNCTION("""COMPUTED_VALUE"""),0.51)</f>
        <v>0.51</v>
      </c>
      <c r="D127" s="1">
        <f ca="1">IFERROR(__xludf.DUMMYFUNCTION("""COMPUTED_VALUE"""),0.51)</f>
        <v>0.51</v>
      </c>
      <c r="E127" s="1">
        <f ca="1">IFERROR(__xludf.DUMMYFUNCTION("""COMPUTED_VALUE"""),0.51)</f>
        <v>0.51</v>
      </c>
      <c r="F127" s="1">
        <f ca="1">IFERROR(__xludf.DUMMYFUNCTION("""COMPUTED_VALUE"""),3644115)</f>
        <v>3644115</v>
      </c>
    </row>
    <row r="128" spans="1:6" x14ac:dyDescent="0.35">
      <c r="A128" s="2">
        <f ca="1">IFERROR(__xludf.DUMMYFUNCTION("""COMPUTED_VALUE"""),42191.6666666666)</f>
        <v>42191.666666666599</v>
      </c>
      <c r="B128" s="1">
        <f ca="1">IFERROR(__xludf.DUMMYFUNCTION("""COMPUTED_VALUE"""),0.51)</f>
        <v>0.51</v>
      </c>
      <c r="C128" s="1">
        <f ca="1">IFERROR(__xludf.DUMMYFUNCTION("""COMPUTED_VALUE"""),0.51)</f>
        <v>0.51</v>
      </c>
      <c r="D128" s="1">
        <f ca="1">IFERROR(__xludf.DUMMYFUNCTION("""COMPUTED_VALUE"""),0.5)</f>
        <v>0.5</v>
      </c>
      <c r="E128" s="1">
        <f ca="1">IFERROR(__xludf.DUMMYFUNCTION("""COMPUTED_VALUE"""),0.5)</f>
        <v>0.5</v>
      </c>
      <c r="F128" s="1">
        <f ca="1">IFERROR(__xludf.DUMMYFUNCTION("""COMPUTED_VALUE"""),5369413)</f>
        <v>5369413</v>
      </c>
    </row>
    <row r="129" spans="1:6" x14ac:dyDescent="0.35">
      <c r="A129" s="2">
        <f ca="1">IFERROR(__xludf.DUMMYFUNCTION("""COMPUTED_VALUE"""),42192.6666666666)</f>
        <v>42192.666666666599</v>
      </c>
      <c r="B129" s="1">
        <f ca="1">IFERROR(__xludf.DUMMYFUNCTION("""COMPUTED_VALUE"""),0.5)</f>
        <v>0.5</v>
      </c>
      <c r="C129" s="1">
        <f ca="1">IFERROR(__xludf.DUMMYFUNCTION("""COMPUTED_VALUE"""),0.5)</f>
        <v>0.5</v>
      </c>
      <c r="D129" s="1">
        <f ca="1">IFERROR(__xludf.DUMMYFUNCTION("""COMPUTED_VALUE"""),0.48)</f>
        <v>0.48</v>
      </c>
      <c r="E129" s="1">
        <f ca="1">IFERROR(__xludf.DUMMYFUNCTION("""COMPUTED_VALUE"""),0.49)</f>
        <v>0.49</v>
      </c>
      <c r="F129" s="1">
        <f ca="1">IFERROR(__xludf.DUMMYFUNCTION("""COMPUTED_VALUE"""),14856327)</f>
        <v>14856327</v>
      </c>
    </row>
    <row r="130" spans="1:6" x14ac:dyDescent="0.35">
      <c r="A130" s="2">
        <f ca="1">IFERROR(__xludf.DUMMYFUNCTION("""COMPUTED_VALUE"""),42193.6666666666)</f>
        <v>42193.666666666599</v>
      </c>
      <c r="B130" s="1">
        <f ca="1">IFERROR(__xludf.DUMMYFUNCTION("""COMPUTED_VALUE"""),0.49)</f>
        <v>0.49</v>
      </c>
      <c r="C130" s="1">
        <f ca="1">IFERROR(__xludf.DUMMYFUNCTION("""COMPUTED_VALUE"""),0.5)</f>
        <v>0.5</v>
      </c>
      <c r="D130" s="1">
        <f ca="1">IFERROR(__xludf.DUMMYFUNCTION("""COMPUTED_VALUE"""),0.49)</f>
        <v>0.49</v>
      </c>
      <c r="E130" s="1">
        <f ca="1">IFERROR(__xludf.DUMMYFUNCTION("""COMPUTED_VALUE"""),0.49)</f>
        <v>0.49</v>
      </c>
      <c r="F130" s="1">
        <f ca="1">IFERROR(__xludf.DUMMYFUNCTION("""COMPUTED_VALUE"""),8312287)</f>
        <v>8312287</v>
      </c>
    </row>
    <row r="131" spans="1:6" x14ac:dyDescent="0.35">
      <c r="A131" s="2">
        <f ca="1">IFERROR(__xludf.DUMMYFUNCTION("""COMPUTED_VALUE"""),42194.6666666666)</f>
        <v>42194.666666666599</v>
      </c>
      <c r="B131" s="1">
        <f ca="1">IFERROR(__xludf.DUMMYFUNCTION("""COMPUTED_VALUE"""),0.5)</f>
        <v>0.5</v>
      </c>
      <c r="C131" s="1">
        <f ca="1">IFERROR(__xludf.DUMMYFUNCTION("""COMPUTED_VALUE"""),0.5)</f>
        <v>0.5</v>
      </c>
      <c r="D131" s="1">
        <f ca="1">IFERROR(__xludf.DUMMYFUNCTION("""COMPUTED_VALUE"""),0.48)</f>
        <v>0.48</v>
      </c>
      <c r="E131" s="1">
        <f ca="1">IFERROR(__xludf.DUMMYFUNCTION("""COMPUTED_VALUE"""),0.49)</f>
        <v>0.49</v>
      </c>
      <c r="F131" s="1">
        <f ca="1">IFERROR(__xludf.DUMMYFUNCTION("""COMPUTED_VALUE"""),8939745)</f>
        <v>8939745</v>
      </c>
    </row>
    <row r="132" spans="1:6" x14ac:dyDescent="0.35">
      <c r="A132" s="2">
        <f ca="1">IFERROR(__xludf.DUMMYFUNCTION("""COMPUTED_VALUE"""),42195.6666666666)</f>
        <v>42195.666666666599</v>
      </c>
      <c r="B132" s="1">
        <f ca="1">IFERROR(__xludf.DUMMYFUNCTION("""COMPUTED_VALUE"""),0.49)</f>
        <v>0.49</v>
      </c>
      <c r="C132" s="1">
        <f ca="1">IFERROR(__xludf.DUMMYFUNCTION("""COMPUTED_VALUE"""),0.5)</f>
        <v>0.5</v>
      </c>
      <c r="D132" s="1">
        <f ca="1">IFERROR(__xludf.DUMMYFUNCTION("""COMPUTED_VALUE"""),0.49)</f>
        <v>0.49</v>
      </c>
      <c r="E132" s="1">
        <f ca="1">IFERROR(__xludf.DUMMYFUNCTION("""COMPUTED_VALUE"""),0.49)</f>
        <v>0.49</v>
      </c>
      <c r="F132" s="1">
        <f ca="1">IFERROR(__xludf.DUMMYFUNCTION("""COMPUTED_VALUE"""),5417717)</f>
        <v>5417717</v>
      </c>
    </row>
    <row r="133" spans="1:6" x14ac:dyDescent="0.35">
      <c r="A133" s="2">
        <f ca="1">IFERROR(__xludf.DUMMYFUNCTION("""COMPUTED_VALUE"""),42198.6666666666)</f>
        <v>42198.666666666599</v>
      </c>
      <c r="B133" s="1">
        <f ca="1">IFERROR(__xludf.DUMMYFUNCTION("""COMPUTED_VALUE"""),0.5)</f>
        <v>0.5</v>
      </c>
      <c r="C133" s="1">
        <f ca="1">IFERROR(__xludf.DUMMYFUNCTION("""COMPUTED_VALUE"""),0.5)</f>
        <v>0.5</v>
      </c>
      <c r="D133" s="1">
        <f ca="1">IFERROR(__xludf.DUMMYFUNCTION("""COMPUTED_VALUE"""),0.49)</f>
        <v>0.49</v>
      </c>
      <c r="E133" s="1">
        <f ca="1">IFERROR(__xludf.DUMMYFUNCTION("""COMPUTED_VALUE"""),0.5)</f>
        <v>0.5</v>
      </c>
      <c r="F133" s="1">
        <f ca="1">IFERROR(__xludf.DUMMYFUNCTION("""COMPUTED_VALUE"""),5311791)</f>
        <v>5311791</v>
      </c>
    </row>
    <row r="134" spans="1:6" x14ac:dyDescent="0.35">
      <c r="A134" s="2">
        <f ca="1">IFERROR(__xludf.DUMMYFUNCTION("""COMPUTED_VALUE"""),42199.6666666666)</f>
        <v>42199.666666666599</v>
      </c>
      <c r="B134" s="1">
        <f ca="1">IFERROR(__xludf.DUMMYFUNCTION("""COMPUTED_VALUE"""),0.5)</f>
        <v>0.5</v>
      </c>
      <c r="C134" s="1">
        <f ca="1">IFERROR(__xludf.DUMMYFUNCTION("""COMPUTED_VALUE"""),0.5)</f>
        <v>0.5</v>
      </c>
      <c r="D134" s="1">
        <f ca="1">IFERROR(__xludf.DUMMYFUNCTION("""COMPUTED_VALUE"""),0.49)</f>
        <v>0.49</v>
      </c>
      <c r="E134" s="1">
        <f ca="1">IFERROR(__xludf.DUMMYFUNCTION("""COMPUTED_VALUE"""),0.5)</f>
        <v>0.5</v>
      </c>
      <c r="F134" s="1">
        <f ca="1">IFERROR(__xludf.DUMMYFUNCTION("""COMPUTED_VALUE"""),6230429)</f>
        <v>6230429</v>
      </c>
    </row>
    <row r="135" spans="1:6" x14ac:dyDescent="0.35">
      <c r="A135" s="2">
        <f ca="1">IFERROR(__xludf.DUMMYFUNCTION("""COMPUTED_VALUE"""),42200.6666666666)</f>
        <v>42200.666666666599</v>
      </c>
      <c r="B135" s="1">
        <f ca="1">IFERROR(__xludf.DUMMYFUNCTION("""COMPUTED_VALUE"""),0.5)</f>
        <v>0.5</v>
      </c>
      <c r="C135" s="1">
        <f ca="1">IFERROR(__xludf.DUMMYFUNCTION("""COMPUTED_VALUE"""),0.5)</f>
        <v>0.5</v>
      </c>
      <c r="D135" s="1">
        <f ca="1">IFERROR(__xludf.DUMMYFUNCTION("""COMPUTED_VALUE"""),0.49)</f>
        <v>0.49</v>
      </c>
      <c r="E135" s="1">
        <f ca="1">IFERROR(__xludf.DUMMYFUNCTION("""COMPUTED_VALUE"""),0.49)</f>
        <v>0.49</v>
      </c>
      <c r="F135" s="1">
        <f ca="1">IFERROR(__xludf.DUMMYFUNCTION("""COMPUTED_VALUE"""),6643348)</f>
        <v>6643348</v>
      </c>
    </row>
    <row r="136" spans="1:6" x14ac:dyDescent="0.35">
      <c r="A136" s="2">
        <f ca="1">IFERROR(__xludf.DUMMYFUNCTION("""COMPUTED_VALUE"""),42201.6666666666)</f>
        <v>42201.666666666599</v>
      </c>
      <c r="B136" s="1">
        <f ca="1">IFERROR(__xludf.DUMMYFUNCTION("""COMPUTED_VALUE"""),0.5)</f>
        <v>0.5</v>
      </c>
      <c r="C136" s="1">
        <f ca="1">IFERROR(__xludf.DUMMYFUNCTION("""COMPUTED_VALUE"""),0.5)</f>
        <v>0.5</v>
      </c>
      <c r="D136" s="1">
        <f ca="1">IFERROR(__xludf.DUMMYFUNCTION("""COMPUTED_VALUE"""),0.5)</f>
        <v>0.5</v>
      </c>
      <c r="E136" s="1">
        <f ca="1">IFERROR(__xludf.DUMMYFUNCTION("""COMPUTED_VALUE"""),0.5)</f>
        <v>0.5</v>
      </c>
      <c r="F136" s="1">
        <f ca="1">IFERROR(__xludf.DUMMYFUNCTION("""COMPUTED_VALUE"""),7072291)</f>
        <v>7072291</v>
      </c>
    </row>
    <row r="137" spans="1:6" x14ac:dyDescent="0.35">
      <c r="A137" s="2">
        <f ca="1">IFERROR(__xludf.DUMMYFUNCTION("""COMPUTED_VALUE"""),42202.6666666666)</f>
        <v>42202.666666666599</v>
      </c>
      <c r="B137" s="1">
        <f ca="1">IFERROR(__xludf.DUMMYFUNCTION("""COMPUTED_VALUE"""),0.5)</f>
        <v>0.5</v>
      </c>
      <c r="C137" s="1">
        <f ca="1">IFERROR(__xludf.DUMMYFUNCTION("""COMPUTED_VALUE"""),0.5)</f>
        <v>0.5</v>
      </c>
      <c r="D137" s="1">
        <f ca="1">IFERROR(__xludf.DUMMYFUNCTION("""COMPUTED_VALUE"""),0.5)</f>
        <v>0.5</v>
      </c>
      <c r="E137" s="1">
        <f ca="1">IFERROR(__xludf.DUMMYFUNCTION("""COMPUTED_VALUE"""),0.5)</f>
        <v>0.5</v>
      </c>
      <c r="F137" s="1">
        <f ca="1">IFERROR(__xludf.DUMMYFUNCTION("""COMPUTED_VALUE"""),5509308)</f>
        <v>5509308</v>
      </c>
    </row>
    <row r="138" spans="1:6" x14ac:dyDescent="0.35">
      <c r="A138" s="2">
        <f ca="1">IFERROR(__xludf.DUMMYFUNCTION("""COMPUTED_VALUE"""),42205.6666666666)</f>
        <v>42205.666666666599</v>
      </c>
      <c r="B138" s="1">
        <f ca="1">IFERROR(__xludf.DUMMYFUNCTION("""COMPUTED_VALUE"""),0.5)</f>
        <v>0.5</v>
      </c>
      <c r="C138" s="1">
        <f ca="1">IFERROR(__xludf.DUMMYFUNCTION("""COMPUTED_VALUE"""),0.5)</f>
        <v>0.5</v>
      </c>
      <c r="D138" s="1">
        <f ca="1">IFERROR(__xludf.DUMMYFUNCTION("""COMPUTED_VALUE"""),0.49)</f>
        <v>0.49</v>
      </c>
      <c r="E138" s="1">
        <f ca="1">IFERROR(__xludf.DUMMYFUNCTION("""COMPUTED_VALUE"""),0.49)</f>
        <v>0.49</v>
      </c>
      <c r="F138" s="1">
        <f ca="1">IFERROR(__xludf.DUMMYFUNCTION("""COMPUTED_VALUE"""),4710259)</f>
        <v>4710259</v>
      </c>
    </row>
    <row r="139" spans="1:6" x14ac:dyDescent="0.35">
      <c r="A139" s="2">
        <f ca="1">IFERROR(__xludf.DUMMYFUNCTION("""COMPUTED_VALUE"""),42206.6666666666)</f>
        <v>42206.666666666599</v>
      </c>
      <c r="B139" s="1">
        <f ca="1">IFERROR(__xludf.DUMMYFUNCTION("""COMPUTED_VALUE"""),0.49)</f>
        <v>0.49</v>
      </c>
      <c r="C139" s="1">
        <f ca="1">IFERROR(__xludf.DUMMYFUNCTION("""COMPUTED_VALUE"""),0.5)</f>
        <v>0.5</v>
      </c>
      <c r="D139" s="1">
        <f ca="1">IFERROR(__xludf.DUMMYFUNCTION("""COMPUTED_VALUE"""),0.49)</f>
        <v>0.49</v>
      </c>
      <c r="E139" s="1">
        <f ca="1">IFERROR(__xludf.DUMMYFUNCTION("""COMPUTED_VALUE"""),0.49)</f>
        <v>0.49</v>
      </c>
      <c r="F139" s="1">
        <f ca="1">IFERROR(__xludf.DUMMYFUNCTION("""COMPUTED_VALUE"""),3743010)</f>
        <v>3743010</v>
      </c>
    </row>
    <row r="140" spans="1:6" x14ac:dyDescent="0.35">
      <c r="A140" s="2">
        <f ca="1">IFERROR(__xludf.DUMMYFUNCTION("""COMPUTED_VALUE"""),42207.6666666666)</f>
        <v>42207.666666666599</v>
      </c>
      <c r="B140" s="1">
        <f ca="1">IFERROR(__xludf.DUMMYFUNCTION("""COMPUTED_VALUE"""),0.49)</f>
        <v>0.49</v>
      </c>
      <c r="C140" s="1">
        <f ca="1">IFERROR(__xludf.DUMMYFUNCTION("""COMPUTED_VALUE"""),0.49)</f>
        <v>0.49</v>
      </c>
      <c r="D140" s="1">
        <f ca="1">IFERROR(__xludf.DUMMYFUNCTION("""COMPUTED_VALUE"""),0.48)</f>
        <v>0.48</v>
      </c>
      <c r="E140" s="1">
        <f ca="1">IFERROR(__xludf.DUMMYFUNCTION("""COMPUTED_VALUE"""),0.49)</f>
        <v>0.49</v>
      </c>
      <c r="F140" s="1">
        <f ca="1">IFERROR(__xludf.DUMMYFUNCTION("""COMPUTED_VALUE"""),8911819)</f>
        <v>8911819</v>
      </c>
    </row>
    <row r="141" spans="1:6" x14ac:dyDescent="0.35">
      <c r="A141" s="2">
        <f ca="1">IFERROR(__xludf.DUMMYFUNCTION("""COMPUTED_VALUE"""),42208.6666666666)</f>
        <v>42208.666666666599</v>
      </c>
      <c r="B141" s="1">
        <f ca="1">IFERROR(__xludf.DUMMYFUNCTION("""COMPUTED_VALUE"""),0.49)</f>
        <v>0.49</v>
      </c>
      <c r="C141" s="1">
        <f ca="1">IFERROR(__xludf.DUMMYFUNCTION("""COMPUTED_VALUE"""),0.5)</f>
        <v>0.5</v>
      </c>
      <c r="D141" s="1">
        <f ca="1">IFERROR(__xludf.DUMMYFUNCTION("""COMPUTED_VALUE"""),0.49)</f>
        <v>0.49</v>
      </c>
      <c r="E141" s="1">
        <f ca="1">IFERROR(__xludf.DUMMYFUNCTION("""COMPUTED_VALUE"""),0.49)</f>
        <v>0.49</v>
      </c>
      <c r="F141" s="1">
        <f ca="1">IFERROR(__xludf.DUMMYFUNCTION("""COMPUTED_VALUE"""),4247872)</f>
        <v>4247872</v>
      </c>
    </row>
    <row r="142" spans="1:6" x14ac:dyDescent="0.35">
      <c r="A142" s="2">
        <f ca="1">IFERROR(__xludf.DUMMYFUNCTION("""COMPUTED_VALUE"""),42209.6666666666)</f>
        <v>42209.666666666599</v>
      </c>
      <c r="B142" s="1">
        <f ca="1">IFERROR(__xludf.DUMMYFUNCTION("""COMPUTED_VALUE"""),0.49)</f>
        <v>0.49</v>
      </c>
      <c r="C142" s="1">
        <f ca="1">IFERROR(__xludf.DUMMYFUNCTION("""COMPUTED_VALUE"""),0.5)</f>
        <v>0.5</v>
      </c>
      <c r="D142" s="1">
        <f ca="1">IFERROR(__xludf.DUMMYFUNCTION("""COMPUTED_VALUE"""),0.48)</f>
        <v>0.48</v>
      </c>
      <c r="E142" s="1">
        <f ca="1">IFERROR(__xludf.DUMMYFUNCTION("""COMPUTED_VALUE"""),0.49)</f>
        <v>0.49</v>
      </c>
      <c r="F142" s="1">
        <f ca="1">IFERROR(__xludf.DUMMYFUNCTION("""COMPUTED_VALUE"""),4721099)</f>
        <v>4721099</v>
      </c>
    </row>
    <row r="143" spans="1:6" x14ac:dyDescent="0.35">
      <c r="A143" s="2">
        <f ca="1">IFERROR(__xludf.DUMMYFUNCTION("""COMPUTED_VALUE"""),42212.6666666666)</f>
        <v>42212.666666666599</v>
      </c>
      <c r="B143" s="1">
        <f ca="1">IFERROR(__xludf.DUMMYFUNCTION("""COMPUTED_VALUE"""),0.48)</f>
        <v>0.48</v>
      </c>
      <c r="C143" s="1">
        <f ca="1">IFERROR(__xludf.DUMMYFUNCTION("""COMPUTED_VALUE"""),0.49)</f>
        <v>0.49</v>
      </c>
      <c r="D143" s="1">
        <f ca="1">IFERROR(__xludf.DUMMYFUNCTION("""COMPUTED_VALUE"""),0.48)</f>
        <v>0.48</v>
      </c>
      <c r="E143" s="1">
        <f ca="1">IFERROR(__xludf.DUMMYFUNCTION("""COMPUTED_VALUE"""),0.48)</f>
        <v>0.48</v>
      </c>
      <c r="F143" s="1">
        <f ca="1">IFERROR(__xludf.DUMMYFUNCTION("""COMPUTED_VALUE"""),4810520)</f>
        <v>4810520</v>
      </c>
    </row>
    <row r="144" spans="1:6" x14ac:dyDescent="0.35">
      <c r="A144" s="2">
        <f ca="1">IFERROR(__xludf.DUMMYFUNCTION("""COMPUTED_VALUE"""),42213.6666666666)</f>
        <v>42213.666666666599</v>
      </c>
      <c r="B144" s="1">
        <f ca="1">IFERROR(__xludf.DUMMYFUNCTION("""COMPUTED_VALUE"""),0.48)</f>
        <v>0.48</v>
      </c>
      <c r="C144" s="1">
        <f ca="1">IFERROR(__xludf.DUMMYFUNCTION("""COMPUTED_VALUE"""),0.5)</f>
        <v>0.5</v>
      </c>
      <c r="D144" s="1">
        <f ca="1">IFERROR(__xludf.DUMMYFUNCTION("""COMPUTED_VALUE"""),0.48)</f>
        <v>0.48</v>
      </c>
      <c r="E144" s="1">
        <f ca="1">IFERROR(__xludf.DUMMYFUNCTION("""COMPUTED_VALUE"""),0.49)</f>
        <v>0.49</v>
      </c>
      <c r="F144" s="1">
        <f ca="1">IFERROR(__xludf.DUMMYFUNCTION("""COMPUTED_VALUE"""),4957733)</f>
        <v>4957733</v>
      </c>
    </row>
    <row r="145" spans="1:6" x14ac:dyDescent="0.35">
      <c r="A145" s="2">
        <f ca="1">IFERROR(__xludf.DUMMYFUNCTION("""COMPUTED_VALUE"""),42214.6666666666)</f>
        <v>42214.666666666599</v>
      </c>
      <c r="B145" s="1">
        <f ca="1">IFERROR(__xludf.DUMMYFUNCTION("""COMPUTED_VALUE"""),0.49)</f>
        <v>0.49</v>
      </c>
      <c r="C145" s="1">
        <f ca="1">IFERROR(__xludf.DUMMYFUNCTION("""COMPUTED_VALUE"""),0.5)</f>
        <v>0.5</v>
      </c>
      <c r="D145" s="1">
        <f ca="1">IFERROR(__xludf.DUMMYFUNCTION("""COMPUTED_VALUE"""),0.49)</f>
        <v>0.49</v>
      </c>
      <c r="E145" s="1">
        <f ca="1">IFERROR(__xludf.DUMMYFUNCTION("""COMPUTED_VALUE"""),0.5)</f>
        <v>0.5</v>
      </c>
      <c r="F145" s="1">
        <f ca="1">IFERROR(__xludf.DUMMYFUNCTION("""COMPUTED_VALUE"""),5817033)</f>
        <v>5817033</v>
      </c>
    </row>
    <row r="146" spans="1:6" x14ac:dyDescent="0.35">
      <c r="A146" s="2">
        <f ca="1">IFERROR(__xludf.DUMMYFUNCTION("""COMPUTED_VALUE"""),42215.6666666666)</f>
        <v>42215.666666666599</v>
      </c>
      <c r="B146" s="1">
        <f ca="1">IFERROR(__xludf.DUMMYFUNCTION("""COMPUTED_VALUE"""),0.5)</f>
        <v>0.5</v>
      </c>
      <c r="C146" s="1">
        <f ca="1">IFERROR(__xludf.DUMMYFUNCTION("""COMPUTED_VALUE"""),0.51)</f>
        <v>0.51</v>
      </c>
      <c r="D146" s="1">
        <f ca="1">IFERROR(__xludf.DUMMYFUNCTION("""COMPUTED_VALUE"""),0.5)</f>
        <v>0.5</v>
      </c>
      <c r="E146" s="1">
        <f ca="1">IFERROR(__xludf.DUMMYFUNCTION("""COMPUTED_VALUE"""),0.5)</f>
        <v>0.5</v>
      </c>
      <c r="F146" s="1">
        <f ca="1">IFERROR(__xludf.DUMMYFUNCTION("""COMPUTED_VALUE"""),4754479)</f>
        <v>4754479</v>
      </c>
    </row>
    <row r="147" spans="1:6" x14ac:dyDescent="0.35">
      <c r="A147" s="2">
        <f ca="1">IFERROR(__xludf.DUMMYFUNCTION("""COMPUTED_VALUE"""),42216.6666666666)</f>
        <v>42216.666666666599</v>
      </c>
      <c r="B147" s="1">
        <f ca="1">IFERROR(__xludf.DUMMYFUNCTION("""COMPUTED_VALUE"""),0.5)</f>
        <v>0.5</v>
      </c>
      <c r="C147" s="1">
        <f ca="1">IFERROR(__xludf.DUMMYFUNCTION("""COMPUTED_VALUE"""),0.5)</f>
        <v>0.5</v>
      </c>
      <c r="D147" s="1">
        <f ca="1">IFERROR(__xludf.DUMMYFUNCTION("""COMPUTED_VALUE"""),0.5)</f>
        <v>0.5</v>
      </c>
      <c r="E147" s="1">
        <f ca="1">IFERROR(__xludf.DUMMYFUNCTION("""COMPUTED_VALUE"""),0.5)</f>
        <v>0.5</v>
      </c>
      <c r="F147" s="1">
        <f ca="1">IFERROR(__xludf.DUMMYFUNCTION("""COMPUTED_VALUE"""),5459211)</f>
        <v>5459211</v>
      </c>
    </row>
    <row r="148" spans="1:6" x14ac:dyDescent="0.35">
      <c r="A148" s="2">
        <f ca="1">IFERROR(__xludf.DUMMYFUNCTION("""COMPUTED_VALUE"""),42219.6666666666)</f>
        <v>42219.666666666599</v>
      </c>
      <c r="B148" s="1">
        <f ca="1">IFERROR(__xludf.DUMMYFUNCTION("""COMPUTED_VALUE"""),0.5)</f>
        <v>0.5</v>
      </c>
      <c r="C148" s="1">
        <f ca="1">IFERROR(__xludf.DUMMYFUNCTION("""COMPUTED_VALUE"""),0.51)</f>
        <v>0.51</v>
      </c>
      <c r="D148" s="1">
        <f ca="1">IFERROR(__xludf.DUMMYFUNCTION("""COMPUTED_VALUE"""),0.5)</f>
        <v>0.5</v>
      </c>
      <c r="E148" s="1">
        <f ca="1">IFERROR(__xludf.DUMMYFUNCTION("""COMPUTED_VALUE"""),0.51)</f>
        <v>0.51</v>
      </c>
      <c r="F148" s="1">
        <f ca="1">IFERROR(__xludf.DUMMYFUNCTION("""COMPUTED_VALUE"""),9928278)</f>
        <v>9928278</v>
      </c>
    </row>
    <row r="149" spans="1:6" x14ac:dyDescent="0.35">
      <c r="A149" s="2">
        <f ca="1">IFERROR(__xludf.DUMMYFUNCTION("""COMPUTED_VALUE"""),42220.6666666666)</f>
        <v>42220.666666666599</v>
      </c>
      <c r="B149" s="1">
        <f ca="1">IFERROR(__xludf.DUMMYFUNCTION("""COMPUTED_VALUE"""),0.51)</f>
        <v>0.51</v>
      </c>
      <c r="C149" s="1">
        <f ca="1">IFERROR(__xludf.DUMMYFUNCTION("""COMPUTED_VALUE"""),0.51)</f>
        <v>0.51</v>
      </c>
      <c r="D149" s="1">
        <f ca="1">IFERROR(__xludf.DUMMYFUNCTION("""COMPUTED_VALUE"""),0.5)</f>
        <v>0.5</v>
      </c>
      <c r="E149" s="1">
        <f ca="1">IFERROR(__xludf.DUMMYFUNCTION("""COMPUTED_VALUE"""),0.51)</f>
        <v>0.51</v>
      </c>
      <c r="F149" s="1">
        <f ca="1">IFERROR(__xludf.DUMMYFUNCTION("""COMPUTED_VALUE"""),6502514)</f>
        <v>6502514</v>
      </c>
    </row>
    <row r="150" spans="1:6" x14ac:dyDescent="0.35">
      <c r="A150" s="2">
        <f ca="1">IFERROR(__xludf.DUMMYFUNCTION("""COMPUTED_VALUE"""),42221.6666666666)</f>
        <v>42221.666666666599</v>
      </c>
      <c r="B150" s="1">
        <f ca="1">IFERROR(__xludf.DUMMYFUNCTION("""COMPUTED_VALUE"""),0.52)</f>
        <v>0.52</v>
      </c>
      <c r="C150" s="1">
        <f ca="1">IFERROR(__xludf.DUMMYFUNCTION("""COMPUTED_VALUE"""),0.52)</f>
        <v>0.52</v>
      </c>
      <c r="D150" s="1">
        <f ca="1">IFERROR(__xludf.DUMMYFUNCTION("""COMPUTED_VALUE"""),0.51)</f>
        <v>0.51</v>
      </c>
      <c r="E150" s="1">
        <f ca="1">IFERROR(__xludf.DUMMYFUNCTION("""COMPUTED_VALUE"""),0.51)</f>
        <v>0.51</v>
      </c>
      <c r="F150" s="1">
        <f ca="1">IFERROR(__xludf.DUMMYFUNCTION("""COMPUTED_VALUE"""),5865652)</f>
        <v>5865652</v>
      </c>
    </row>
    <row r="151" spans="1:6" x14ac:dyDescent="0.35">
      <c r="A151" s="2">
        <f ca="1">IFERROR(__xludf.DUMMYFUNCTION("""COMPUTED_VALUE"""),42222.6666666666)</f>
        <v>42222.666666666599</v>
      </c>
      <c r="B151" s="1">
        <f ca="1">IFERROR(__xludf.DUMMYFUNCTION("""COMPUTED_VALUE"""),0.51)</f>
        <v>0.51</v>
      </c>
      <c r="C151" s="1">
        <f ca="1">IFERROR(__xludf.DUMMYFUNCTION("""COMPUTED_VALUE"""),0.52)</f>
        <v>0.52</v>
      </c>
      <c r="D151" s="1">
        <f ca="1">IFERROR(__xludf.DUMMYFUNCTION("""COMPUTED_VALUE"""),0.5)</f>
        <v>0.5</v>
      </c>
      <c r="E151" s="1">
        <f ca="1">IFERROR(__xludf.DUMMYFUNCTION("""COMPUTED_VALUE"""),0.51)</f>
        <v>0.51</v>
      </c>
      <c r="F151" s="1">
        <f ca="1">IFERROR(__xludf.DUMMYFUNCTION("""COMPUTED_VALUE"""),16391890)</f>
        <v>16391890</v>
      </c>
    </row>
    <row r="152" spans="1:6" x14ac:dyDescent="0.35">
      <c r="A152" s="2">
        <f ca="1">IFERROR(__xludf.DUMMYFUNCTION("""COMPUTED_VALUE"""),42223.6666666666)</f>
        <v>42223.666666666599</v>
      </c>
      <c r="B152" s="1">
        <f ca="1">IFERROR(__xludf.DUMMYFUNCTION("""COMPUTED_VALUE"""),0.56)</f>
        <v>0.56000000000000005</v>
      </c>
      <c r="C152" s="1">
        <f ca="1">IFERROR(__xludf.DUMMYFUNCTION("""COMPUTED_VALUE"""),0.58)</f>
        <v>0.57999999999999996</v>
      </c>
      <c r="D152" s="1">
        <f ca="1">IFERROR(__xludf.DUMMYFUNCTION("""COMPUTED_VALUE"""),0.55)</f>
        <v>0.55000000000000004</v>
      </c>
      <c r="E152" s="1">
        <f ca="1">IFERROR(__xludf.DUMMYFUNCTION("""COMPUTED_VALUE"""),0.57)</f>
        <v>0.56999999999999995</v>
      </c>
      <c r="F152" s="1">
        <f ca="1">IFERROR(__xludf.DUMMYFUNCTION("""COMPUTED_VALUE"""),35131171)</f>
        <v>35131171</v>
      </c>
    </row>
    <row r="153" spans="1:6" x14ac:dyDescent="0.35">
      <c r="A153" s="2">
        <f ca="1">IFERROR(__xludf.DUMMYFUNCTION("""COMPUTED_VALUE"""),42226.6666666666)</f>
        <v>42226.666666666599</v>
      </c>
      <c r="B153" s="1">
        <f ca="1">IFERROR(__xludf.DUMMYFUNCTION("""COMPUTED_VALUE"""),0.57)</f>
        <v>0.56999999999999995</v>
      </c>
      <c r="C153" s="1">
        <f ca="1">IFERROR(__xludf.DUMMYFUNCTION("""COMPUTED_VALUE"""),0.6)</f>
        <v>0.6</v>
      </c>
      <c r="D153" s="1">
        <f ca="1">IFERROR(__xludf.DUMMYFUNCTION("""COMPUTED_VALUE"""),0.57)</f>
        <v>0.56999999999999995</v>
      </c>
      <c r="E153" s="1">
        <f ca="1">IFERROR(__xludf.DUMMYFUNCTION("""COMPUTED_VALUE"""),0.59)</f>
        <v>0.59</v>
      </c>
      <c r="F153" s="1">
        <f ca="1">IFERROR(__xludf.DUMMYFUNCTION("""COMPUTED_VALUE"""),16557636)</f>
        <v>16557636</v>
      </c>
    </row>
    <row r="154" spans="1:6" x14ac:dyDescent="0.35">
      <c r="A154" s="2">
        <f ca="1">IFERROR(__xludf.DUMMYFUNCTION("""COMPUTED_VALUE"""),42227.6666666666)</f>
        <v>42227.666666666599</v>
      </c>
      <c r="B154" s="1">
        <f ca="1">IFERROR(__xludf.DUMMYFUNCTION("""COMPUTED_VALUE"""),0.59)</f>
        <v>0.59</v>
      </c>
      <c r="C154" s="1">
        <f ca="1">IFERROR(__xludf.DUMMYFUNCTION("""COMPUTED_VALUE"""),0.6)</f>
        <v>0.6</v>
      </c>
      <c r="D154" s="1">
        <f ca="1">IFERROR(__xludf.DUMMYFUNCTION("""COMPUTED_VALUE"""),0.59)</f>
        <v>0.59</v>
      </c>
      <c r="E154" s="1">
        <f ca="1">IFERROR(__xludf.DUMMYFUNCTION("""COMPUTED_VALUE"""),0.59)</f>
        <v>0.59</v>
      </c>
      <c r="F154" s="1">
        <f ca="1">IFERROR(__xludf.DUMMYFUNCTION("""COMPUTED_VALUE"""),10875209)</f>
        <v>10875209</v>
      </c>
    </row>
    <row r="155" spans="1:6" x14ac:dyDescent="0.35">
      <c r="A155" s="2">
        <f ca="1">IFERROR(__xludf.DUMMYFUNCTION("""COMPUTED_VALUE"""),42228.6666666666)</f>
        <v>42228.666666666599</v>
      </c>
      <c r="B155" s="1">
        <f ca="1">IFERROR(__xludf.DUMMYFUNCTION("""COMPUTED_VALUE"""),0.58)</f>
        <v>0.57999999999999996</v>
      </c>
      <c r="C155" s="1">
        <f ca="1">IFERROR(__xludf.DUMMYFUNCTION("""COMPUTED_VALUE"""),0.6)</f>
        <v>0.6</v>
      </c>
      <c r="D155" s="1">
        <f ca="1">IFERROR(__xludf.DUMMYFUNCTION("""COMPUTED_VALUE"""),0.58)</f>
        <v>0.57999999999999996</v>
      </c>
      <c r="E155" s="1">
        <f ca="1">IFERROR(__xludf.DUMMYFUNCTION("""COMPUTED_VALUE"""),0.59)</f>
        <v>0.59</v>
      </c>
      <c r="F155" s="1">
        <f ca="1">IFERROR(__xludf.DUMMYFUNCTION("""COMPUTED_VALUE"""),9602012)</f>
        <v>9602012</v>
      </c>
    </row>
    <row r="156" spans="1:6" x14ac:dyDescent="0.35">
      <c r="A156" s="2">
        <f ca="1">IFERROR(__xludf.DUMMYFUNCTION("""COMPUTED_VALUE"""),42229.6666666666)</f>
        <v>42229.666666666599</v>
      </c>
      <c r="B156" s="1">
        <f ca="1">IFERROR(__xludf.DUMMYFUNCTION("""COMPUTED_VALUE"""),0.59)</f>
        <v>0.59</v>
      </c>
      <c r="C156" s="1">
        <f ca="1">IFERROR(__xludf.DUMMYFUNCTION("""COMPUTED_VALUE"""),0.6)</f>
        <v>0.6</v>
      </c>
      <c r="D156" s="1">
        <f ca="1">IFERROR(__xludf.DUMMYFUNCTION("""COMPUTED_VALUE"""),0.59)</f>
        <v>0.59</v>
      </c>
      <c r="E156" s="1">
        <f ca="1">IFERROR(__xludf.DUMMYFUNCTION("""COMPUTED_VALUE"""),0.59)</f>
        <v>0.59</v>
      </c>
      <c r="F156" s="1">
        <f ca="1">IFERROR(__xludf.DUMMYFUNCTION("""COMPUTED_VALUE"""),6922146)</f>
        <v>6922146</v>
      </c>
    </row>
    <row r="157" spans="1:6" x14ac:dyDescent="0.35">
      <c r="A157" s="2">
        <f ca="1">IFERROR(__xludf.DUMMYFUNCTION("""COMPUTED_VALUE"""),42230.6666666666)</f>
        <v>42230.666666666599</v>
      </c>
      <c r="B157" s="1">
        <f ca="1">IFERROR(__xludf.DUMMYFUNCTION("""COMPUTED_VALUE"""),0.59)</f>
        <v>0.59</v>
      </c>
      <c r="C157" s="1">
        <f ca="1">IFERROR(__xludf.DUMMYFUNCTION("""COMPUTED_VALUE"""),0.59)</f>
        <v>0.59</v>
      </c>
      <c r="D157" s="1">
        <f ca="1">IFERROR(__xludf.DUMMYFUNCTION("""COMPUTED_VALUE"""),0.58)</f>
        <v>0.57999999999999996</v>
      </c>
      <c r="E157" s="1">
        <f ca="1">IFERROR(__xludf.DUMMYFUNCTION("""COMPUTED_VALUE"""),0.59)</f>
        <v>0.59</v>
      </c>
      <c r="F157" s="1">
        <f ca="1">IFERROR(__xludf.DUMMYFUNCTION("""COMPUTED_VALUE"""),5366261)</f>
        <v>5366261</v>
      </c>
    </row>
    <row r="158" spans="1:6" x14ac:dyDescent="0.35">
      <c r="A158" s="2">
        <f ca="1">IFERROR(__xludf.DUMMYFUNCTION("""COMPUTED_VALUE"""),42233.6666666666)</f>
        <v>42233.666666666599</v>
      </c>
      <c r="B158" s="1">
        <f ca="1">IFERROR(__xludf.DUMMYFUNCTION("""COMPUTED_VALUE"""),0.59)</f>
        <v>0.59</v>
      </c>
      <c r="C158" s="1">
        <f ca="1">IFERROR(__xludf.DUMMYFUNCTION("""COMPUTED_VALUE"""),0.59)</f>
        <v>0.59</v>
      </c>
      <c r="D158" s="1">
        <f ca="1">IFERROR(__xludf.DUMMYFUNCTION("""COMPUTED_VALUE"""),0.58)</f>
        <v>0.57999999999999996</v>
      </c>
      <c r="E158" s="1">
        <f ca="1">IFERROR(__xludf.DUMMYFUNCTION("""COMPUTED_VALUE"""),0.58)</f>
        <v>0.57999999999999996</v>
      </c>
      <c r="F158" s="1">
        <f ca="1">IFERROR(__xludf.DUMMYFUNCTION("""COMPUTED_VALUE"""),6846973)</f>
        <v>6846973</v>
      </c>
    </row>
    <row r="159" spans="1:6" x14ac:dyDescent="0.35">
      <c r="A159" s="2">
        <f ca="1">IFERROR(__xludf.DUMMYFUNCTION("""COMPUTED_VALUE"""),42234.6666666666)</f>
        <v>42234.666666666599</v>
      </c>
      <c r="B159" s="1">
        <f ca="1">IFERROR(__xludf.DUMMYFUNCTION("""COMPUTED_VALUE"""),0.58)</f>
        <v>0.57999999999999996</v>
      </c>
      <c r="C159" s="1">
        <f ca="1">IFERROR(__xludf.DUMMYFUNCTION("""COMPUTED_VALUE"""),0.58)</f>
        <v>0.57999999999999996</v>
      </c>
      <c r="D159" s="1">
        <f ca="1">IFERROR(__xludf.DUMMYFUNCTION("""COMPUTED_VALUE"""),0.57)</f>
        <v>0.56999999999999995</v>
      </c>
      <c r="E159" s="1">
        <f ca="1">IFERROR(__xludf.DUMMYFUNCTION("""COMPUTED_VALUE"""),0.58)</f>
        <v>0.57999999999999996</v>
      </c>
      <c r="F159" s="1">
        <f ca="1">IFERROR(__xludf.DUMMYFUNCTION("""COMPUTED_VALUE"""),7177055)</f>
        <v>7177055</v>
      </c>
    </row>
    <row r="160" spans="1:6" x14ac:dyDescent="0.35">
      <c r="A160" s="2">
        <f ca="1">IFERROR(__xludf.DUMMYFUNCTION("""COMPUTED_VALUE"""),42235.6666666666)</f>
        <v>42235.666666666599</v>
      </c>
      <c r="B160" s="1">
        <f ca="1">IFERROR(__xludf.DUMMYFUNCTION("""COMPUTED_VALUE"""),0.58)</f>
        <v>0.57999999999999996</v>
      </c>
      <c r="C160" s="1">
        <f ca="1">IFERROR(__xludf.DUMMYFUNCTION("""COMPUTED_VALUE"""),0.58)</f>
        <v>0.57999999999999996</v>
      </c>
      <c r="D160" s="1">
        <f ca="1">IFERROR(__xludf.DUMMYFUNCTION("""COMPUTED_VALUE"""),0.57)</f>
        <v>0.56999999999999995</v>
      </c>
      <c r="E160" s="1">
        <f ca="1">IFERROR(__xludf.DUMMYFUNCTION("""COMPUTED_VALUE"""),0.57)</f>
        <v>0.56999999999999995</v>
      </c>
      <c r="F160" s="1">
        <f ca="1">IFERROR(__xludf.DUMMYFUNCTION("""COMPUTED_VALUE"""),6231842)</f>
        <v>6231842</v>
      </c>
    </row>
    <row r="161" spans="1:6" x14ac:dyDescent="0.35">
      <c r="A161" s="2">
        <f ca="1">IFERROR(__xludf.DUMMYFUNCTION("""COMPUTED_VALUE"""),42236.6666666666)</f>
        <v>42236.666666666599</v>
      </c>
      <c r="B161" s="1">
        <f ca="1">IFERROR(__xludf.DUMMYFUNCTION("""COMPUTED_VALUE"""),0.57)</f>
        <v>0.56999999999999995</v>
      </c>
      <c r="C161" s="1">
        <f ca="1">IFERROR(__xludf.DUMMYFUNCTION("""COMPUTED_VALUE"""),0.57)</f>
        <v>0.56999999999999995</v>
      </c>
      <c r="D161" s="1">
        <f ca="1">IFERROR(__xludf.DUMMYFUNCTION("""COMPUTED_VALUE"""),0.55)</f>
        <v>0.55000000000000004</v>
      </c>
      <c r="E161" s="1">
        <f ca="1">IFERROR(__xludf.DUMMYFUNCTION("""COMPUTED_VALUE"""),0.55)</f>
        <v>0.55000000000000004</v>
      </c>
      <c r="F161" s="1">
        <f ca="1">IFERROR(__xludf.DUMMYFUNCTION("""COMPUTED_VALUE"""),10673329)</f>
        <v>10673329</v>
      </c>
    </row>
    <row r="162" spans="1:6" x14ac:dyDescent="0.35">
      <c r="A162" s="2">
        <f ca="1">IFERROR(__xludf.DUMMYFUNCTION("""COMPUTED_VALUE"""),42237.6666666666)</f>
        <v>42237.666666666599</v>
      </c>
      <c r="B162" s="1">
        <f ca="1">IFERROR(__xludf.DUMMYFUNCTION("""COMPUTED_VALUE"""),0.55)</f>
        <v>0.55000000000000004</v>
      </c>
      <c r="C162" s="1">
        <f ca="1">IFERROR(__xludf.DUMMYFUNCTION("""COMPUTED_VALUE"""),0.56)</f>
        <v>0.56000000000000005</v>
      </c>
      <c r="D162" s="1">
        <f ca="1">IFERROR(__xludf.DUMMYFUNCTION("""COMPUTED_VALUE"""),0.54)</f>
        <v>0.54</v>
      </c>
      <c r="E162" s="1">
        <f ca="1">IFERROR(__xludf.DUMMYFUNCTION("""COMPUTED_VALUE"""),0.54)</f>
        <v>0.54</v>
      </c>
      <c r="F162" s="1">
        <f ca="1">IFERROR(__xludf.DUMMYFUNCTION("""COMPUTED_VALUE"""),9566639)</f>
        <v>9566639</v>
      </c>
    </row>
    <row r="163" spans="1:6" x14ac:dyDescent="0.35">
      <c r="A163" s="2">
        <f ca="1">IFERROR(__xludf.DUMMYFUNCTION("""COMPUTED_VALUE"""),42240.6666666666)</f>
        <v>42240.666666666599</v>
      </c>
      <c r="B163" s="1">
        <f ca="1">IFERROR(__xludf.DUMMYFUNCTION("""COMPUTED_VALUE"""),0.51)</f>
        <v>0.51</v>
      </c>
      <c r="C163" s="1">
        <f ca="1">IFERROR(__xludf.DUMMYFUNCTION("""COMPUTED_VALUE"""),0.55)</f>
        <v>0.55000000000000004</v>
      </c>
      <c r="D163" s="1">
        <f ca="1">IFERROR(__xludf.DUMMYFUNCTION("""COMPUTED_VALUE"""),0.5)</f>
        <v>0.5</v>
      </c>
      <c r="E163" s="1">
        <f ca="1">IFERROR(__xludf.DUMMYFUNCTION("""COMPUTED_VALUE"""),0.52)</f>
        <v>0.52</v>
      </c>
      <c r="F163" s="1">
        <f ca="1">IFERROR(__xludf.DUMMYFUNCTION("""COMPUTED_VALUE"""),17057073)</f>
        <v>17057073</v>
      </c>
    </row>
    <row r="164" spans="1:6" x14ac:dyDescent="0.35">
      <c r="A164" s="2">
        <f ca="1">IFERROR(__xludf.DUMMYFUNCTION("""COMPUTED_VALUE"""),42241.6666666666)</f>
        <v>42241.666666666599</v>
      </c>
      <c r="B164" s="1">
        <f ca="1">IFERROR(__xludf.DUMMYFUNCTION("""COMPUTED_VALUE"""),0.54)</f>
        <v>0.54</v>
      </c>
      <c r="C164" s="1">
        <f ca="1">IFERROR(__xludf.DUMMYFUNCTION("""COMPUTED_VALUE"""),0.54)</f>
        <v>0.54</v>
      </c>
      <c r="D164" s="1">
        <f ca="1">IFERROR(__xludf.DUMMYFUNCTION("""COMPUTED_VALUE"""),0.51)</f>
        <v>0.51</v>
      </c>
      <c r="E164" s="1">
        <f ca="1">IFERROR(__xludf.DUMMYFUNCTION("""COMPUTED_VALUE"""),0.51)</f>
        <v>0.51</v>
      </c>
      <c r="F164" s="1">
        <f ca="1">IFERROR(__xludf.DUMMYFUNCTION("""COMPUTED_VALUE"""),15567110)</f>
        <v>15567110</v>
      </c>
    </row>
    <row r="165" spans="1:6" x14ac:dyDescent="0.35">
      <c r="A165" s="2">
        <f ca="1">IFERROR(__xludf.DUMMYFUNCTION("""COMPUTED_VALUE"""),42242.6666666666)</f>
        <v>42242.666666666599</v>
      </c>
      <c r="B165" s="1">
        <f ca="1">IFERROR(__xludf.DUMMYFUNCTION("""COMPUTED_VALUE"""),0.52)</f>
        <v>0.52</v>
      </c>
      <c r="C165" s="1">
        <f ca="1">IFERROR(__xludf.DUMMYFUNCTION("""COMPUTED_VALUE"""),0.55)</f>
        <v>0.55000000000000004</v>
      </c>
      <c r="D165" s="1">
        <f ca="1">IFERROR(__xludf.DUMMYFUNCTION("""COMPUTED_VALUE"""),0.52)</f>
        <v>0.52</v>
      </c>
      <c r="E165" s="1">
        <f ca="1">IFERROR(__xludf.DUMMYFUNCTION("""COMPUTED_VALUE"""),0.55)</f>
        <v>0.55000000000000004</v>
      </c>
      <c r="F165" s="1">
        <f ca="1">IFERROR(__xludf.DUMMYFUNCTION("""COMPUTED_VALUE"""),15374439)</f>
        <v>15374439</v>
      </c>
    </row>
    <row r="166" spans="1:6" x14ac:dyDescent="0.35">
      <c r="A166" s="2">
        <f ca="1">IFERROR(__xludf.DUMMYFUNCTION("""COMPUTED_VALUE"""),42243.6666666666)</f>
        <v>42243.666666666599</v>
      </c>
      <c r="B166" s="1">
        <f ca="1">IFERROR(__xludf.DUMMYFUNCTION("""COMPUTED_VALUE"""),0.55)</f>
        <v>0.55000000000000004</v>
      </c>
      <c r="C166" s="1">
        <f ca="1">IFERROR(__xludf.DUMMYFUNCTION("""COMPUTED_VALUE"""),0.57)</f>
        <v>0.56999999999999995</v>
      </c>
      <c r="D166" s="1">
        <f ca="1">IFERROR(__xludf.DUMMYFUNCTION("""COMPUTED_VALUE"""),0.55)</f>
        <v>0.55000000000000004</v>
      </c>
      <c r="E166" s="1">
        <f ca="1">IFERROR(__xludf.DUMMYFUNCTION("""COMPUTED_VALUE"""),0.57)</f>
        <v>0.56999999999999995</v>
      </c>
      <c r="F166" s="1">
        <f ca="1">IFERROR(__xludf.DUMMYFUNCTION("""COMPUTED_VALUE"""),11594083)</f>
        <v>11594083</v>
      </c>
    </row>
    <row r="167" spans="1:6" x14ac:dyDescent="0.35">
      <c r="A167" s="2">
        <f ca="1">IFERROR(__xludf.DUMMYFUNCTION("""COMPUTED_VALUE"""),42244.6666666666)</f>
        <v>42244.666666666599</v>
      </c>
      <c r="B167" s="1">
        <f ca="1">IFERROR(__xludf.DUMMYFUNCTION("""COMPUTED_VALUE"""),0.57)</f>
        <v>0.56999999999999995</v>
      </c>
      <c r="C167" s="1">
        <f ca="1">IFERROR(__xludf.DUMMYFUNCTION("""COMPUTED_VALUE"""),0.57)</f>
        <v>0.56999999999999995</v>
      </c>
      <c r="D167" s="1">
        <f ca="1">IFERROR(__xludf.DUMMYFUNCTION("""COMPUTED_VALUE"""),0.56)</f>
        <v>0.56000000000000005</v>
      </c>
      <c r="E167" s="1">
        <f ca="1">IFERROR(__xludf.DUMMYFUNCTION("""COMPUTED_VALUE"""),0.57)</f>
        <v>0.56999999999999995</v>
      </c>
      <c r="F167" s="1">
        <f ca="1">IFERROR(__xludf.DUMMYFUNCTION("""COMPUTED_VALUE"""),8023632)</f>
        <v>8023632</v>
      </c>
    </row>
    <row r="168" spans="1:6" x14ac:dyDescent="0.35">
      <c r="A168" s="2">
        <f ca="1">IFERROR(__xludf.DUMMYFUNCTION("""COMPUTED_VALUE"""),42247.6666666666)</f>
        <v>42247.666666666599</v>
      </c>
      <c r="B168" s="1">
        <f ca="1">IFERROR(__xludf.DUMMYFUNCTION("""COMPUTED_VALUE"""),0.57)</f>
        <v>0.56999999999999995</v>
      </c>
      <c r="C168" s="1">
        <f ca="1">IFERROR(__xludf.DUMMYFUNCTION("""COMPUTED_VALUE"""),0.57)</f>
        <v>0.56999999999999995</v>
      </c>
      <c r="D168" s="1">
        <f ca="1">IFERROR(__xludf.DUMMYFUNCTION("""COMPUTED_VALUE"""),0.56)</f>
        <v>0.56000000000000005</v>
      </c>
      <c r="E168" s="1">
        <f ca="1">IFERROR(__xludf.DUMMYFUNCTION("""COMPUTED_VALUE"""),0.56)</f>
        <v>0.56000000000000005</v>
      </c>
      <c r="F168" s="1">
        <f ca="1">IFERROR(__xludf.DUMMYFUNCTION("""COMPUTED_VALUE"""),5483810)</f>
        <v>5483810</v>
      </c>
    </row>
    <row r="169" spans="1:6" x14ac:dyDescent="0.35">
      <c r="A169" s="2">
        <f ca="1">IFERROR(__xludf.DUMMYFUNCTION("""COMPUTED_VALUE"""),42248.6666666666)</f>
        <v>42248.666666666599</v>
      </c>
      <c r="B169" s="1">
        <f ca="1">IFERROR(__xludf.DUMMYFUNCTION("""COMPUTED_VALUE"""),0.55)</f>
        <v>0.55000000000000004</v>
      </c>
      <c r="C169" s="1">
        <f ca="1">IFERROR(__xludf.DUMMYFUNCTION("""COMPUTED_VALUE"""),0.56)</f>
        <v>0.56000000000000005</v>
      </c>
      <c r="D169" s="1">
        <f ca="1">IFERROR(__xludf.DUMMYFUNCTION("""COMPUTED_VALUE"""),0.54)</f>
        <v>0.54</v>
      </c>
      <c r="E169" s="1">
        <f ca="1">IFERROR(__xludf.DUMMYFUNCTION("""COMPUTED_VALUE"""),0.54)</f>
        <v>0.54</v>
      </c>
      <c r="F169" s="1">
        <f ca="1">IFERROR(__xludf.DUMMYFUNCTION("""COMPUTED_VALUE"""),8835220)</f>
        <v>8835220</v>
      </c>
    </row>
    <row r="170" spans="1:6" x14ac:dyDescent="0.35">
      <c r="A170" s="2">
        <f ca="1">IFERROR(__xludf.DUMMYFUNCTION("""COMPUTED_VALUE"""),42249.6666666666)</f>
        <v>42249.666666666599</v>
      </c>
      <c r="B170" s="1">
        <f ca="1">IFERROR(__xludf.DUMMYFUNCTION("""COMPUTED_VALUE"""),0.55)</f>
        <v>0.55000000000000004</v>
      </c>
      <c r="C170" s="1">
        <f ca="1">IFERROR(__xludf.DUMMYFUNCTION("""COMPUTED_VALUE"""),0.56)</f>
        <v>0.56000000000000005</v>
      </c>
      <c r="D170" s="1">
        <f ca="1">IFERROR(__xludf.DUMMYFUNCTION("""COMPUTED_VALUE"""),0.54)</f>
        <v>0.54</v>
      </c>
      <c r="E170" s="1">
        <f ca="1">IFERROR(__xludf.DUMMYFUNCTION("""COMPUTED_VALUE"""),0.56)</f>
        <v>0.56000000000000005</v>
      </c>
      <c r="F170" s="1">
        <f ca="1">IFERROR(__xludf.DUMMYFUNCTION("""COMPUTED_VALUE"""),8601065)</f>
        <v>8601065</v>
      </c>
    </row>
    <row r="171" spans="1:6" x14ac:dyDescent="0.35">
      <c r="A171" s="2">
        <f ca="1">IFERROR(__xludf.DUMMYFUNCTION("""COMPUTED_VALUE"""),42250.6666666666)</f>
        <v>42250.666666666599</v>
      </c>
      <c r="B171" s="1">
        <f ca="1">IFERROR(__xludf.DUMMYFUNCTION("""COMPUTED_VALUE"""),0.56)</f>
        <v>0.56000000000000005</v>
      </c>
      <c r="C171" s="1">
        <f ca="1">IFERROR(__xludf.DUMMYFUNCTION("""COMPUTED_VALUE"""),0.57)</f>
        <v>0.56999999999999995</v>
      </c>
      <c r="D171" s="1">
        <f ca="1">IFERROR(__xludf.DUMMYFUNCTION("""COMPUTED_VALUE"""),0.56)</f>
        <v>0.56000000000000005</v>
      </c>
      <c r="E171" s="1">
        <f ca="1">IFERROR(__xludf.DUMMYFUNCTION("""COMPUTED_VALUE"""),0.56)</f>
        <v>0.56000000000000005</v>
      </c>
      <c r="F171" s="1">
        <f ca="1">IFERROR(__xludf.DUMMYFUNCTION("""COMPUTED_VALUE"""),6563938)</f>
        <v>6563938</v>
      </c>
    </row>
    <row r="172" spans="1:6" x14ac:dyDescent="0.35">
      <c r="A172" s="2">
        <f ca="1">IFERROR(__xludf.DUMMYFUNCTION("""COMPUTED_VALUE"""),42251.6666666666)</f>
        <v>42251.666666666599</v>
      </c>
      <c r="B172" s="1">
        <f ca="1">IFERROR(__xludf.DUMMYFUNCTION("""COMPUTED_VALUE"""),0.55)</f>
        <v>0.55000000000000004</v>
      </c>
      <c r="C172" s="1">
        <f ca="1">IFERROR(__xludf.DUMMYFUNCTION("""COMPUTED_VALUE"""),0.56)</f>
        <v>0.56000000000000005</v>
      </c>
      <c r="D172" s="1">
        <f ca="1">IFERROR(__xludf.DUMMYFUNCTION("""COMPUTED_VALUE"""),0.54)</f>
        <v>0.54</v>
      </c>
      <c r="E172" s="1">
        <f ca="1">IFERROR(__xludf.DUMMYFUNCTION("""COMPUTED_VALUE"""),0.54)</f>
        <v>0.54</v>
      </c>
      <c r="F172" s="1">
        <f ca="1">IFERROR(__xludf.DUMMYFUNCTION("""COMPUTED_VALUE"""),7200245)</f>
        <v>7200245</v>
      </c>
    </row>
    <row r="173" spans="1:6" x14ac:dyDescent="0.35">
      <c r="A173" s="2">
        <f ca="1">IFERROR(__xludf.DUMMYFUNCTION("""COMPUTED_VALUE"""),42255.6666666666)</f>
        <v>42255.666666666599</v>
      </c>
      <c r="B173" s="1">
        <f ca="1">IFERROR(__xludf.DUMMYFUNCTION("""COMPUTED_VALUE"""),0.56)</f>
        <v>0.56000000000000005</v>
      </c>
      <c r="C173" s="1">
        <f ca="1">IFERROR(__xludf.DUMMYFUNCTION("""COMPUTED_VALUE"""),0.57)</f>
        <v>0.56999999999999995</v>
      </c>
      <c r="D173" s="1">
        <f ca="1">IFERROR(__xludf.DUMMYFUNCTION("""COMPUTED_VALUE"""),0.55)</f>
        <v>0.55000000000000004</v>
      </c>
      <c r="E173" s="1">
        <f ca="1">IFERROR(__xludf.DUMMYFUNCTION("""COMPUTED_VALUE"""),0.57)</f>
        <v>0.56999999999999995</v>
      </c>
      <c r="F173" s="1">
        <f ca="1">IFERROR(__xludf.DUMMYFUNCTION("""COMPUTED_VALUE"""),5961218)</f>
        <v>5961218</v>
      </c>
    </row>
    <row r="174" spans="1:6" x14ac:dyDescent="0.35">
      <c r="A174" s="2">
        <f ca="1">IFERROR(__xludf.DUMMYFUNCTION("""COMPUTED_VALUE"""),42256.6666666666)</f>
        <v>42256.666666666599</v>
      </c>
      <c r="B174" s="1">
        <f ca="1">IFERROR(__xludf.DUMMYFUNCTION("""COMPUTED_VALUE"""),0.57)</f>
        <v>0.56999999999999995</v>
      </c>
      <c r="C174" s="1">
        <f ca="1">IFERROR(__xludf.DUMMYFUNCTION("""COMPUTED_VALUE"""),0.57)</f>
        <v>0.56999999999999995</v>
      </c>
      <c r="D174" s="1">
        <f ca="1">IFERROR(__xludf.DUMMYFUNCTION("""COMPUTED_VALUE"""),0.55)</f>
        <v>0.55000000000000004</v>
      </c>
      <c r="E174" s="1">
        <f ca="1">IFERROR(__xludf.DUMMYFUNCTION("""COMPUTED_VALUE"""),0.56)</f>
        <v>0.56000000000000005</v>
      </c>
      <c r="F174" s="1">
        <f ca="1">IFERROR(__xludf.DUMMYFUNCTION("""COMPUTED_VALUE"""),7234849)</f>
        <v>7234849</v>
      </c>
    </row>
    <row r="175" spans="1:6" x14ac:dyDescent="0.35">
      <c r="A175" s="2">
        <f ca="1">IFERROR(__xludf.DUMMYFUNCTION("""COMPUTED_VALUE"""),42257.6666666666)</f>
        <v>42257.666666666599</v>
      </c>
      <c r="B175" s="1">
        <f ca="1">IFERROR(__xludf.DUMMYFUNCTION("""COMPUTED_VALUE"""),0.55)</f>
        <v>0.55000000000000004</v>
      </c>
      <c r="C175" s="1">
        <f ca="1">IFERROR(__xludf.DUMMYFUNCTION("""COMPUTED_VALUE"""),0.57)</f>
        <v>0.56999999999999995</v>
      </c>
      <c r="D175" s="1">
        <f ca="1">IFERROR(__xludf.DUMMYFUNCTION("""COMPUTED_VALUE"""),0.55)</f>
        <v>0.55000000000000004</v>
      </c>
      <c r="E175" s="1">
        <f ca="1">IFERROR(__xludf.DUMMYFUNCTION("""COMPUTED_VALUE"""),0.56)</f>
        <v>0.56000000000000005</v>
      </c>
      <c r="F175" s="1">
        <f ca="1">IFERROR(__xludf.DUMMYFUNCTION("""COMPUTED_VALUE"""),8926896)</f>
        <v>8926896</v>
      </c>
    </row>
    <row r="176" spans="1:6" x14ac:dyDescent="0.35">
      <c r="A176" s="2">
        <f ca="1">IFERROR(__xludf.DUMMYFUNCTION("""COMPUTED_VALUE"""),42258.6666666666)</f>
        <v>42258.666666666599</v>
      </c>
      <c r="B176" s="1">
        <f ca="1">IFERROR(__xludf.DUMMYFUNCTION("""COMPUTED_VALUE"""),0.56)</f>
        <v>0.56000000000000005</v>
      </c>
      <c r="C176" s="1">
        <f ca="1">IFERROR(__xludf.DUMMYFUNCTION("""COMPUTED_VALUE"""),0.57)</f>
        <v>0.56999999999999995</v>
      </c>
      <c r="D176" s="1">
        <f ca="1">IFERROR(__xludf.DUMMYFUNCTION("""COMPUTED_VALUE"""),0.56)</f>
        <v>0.56000000000000005</v>
      </c>
      <c r="E176" s="1">
        <f ca="1">IFERROR(__xludf.DUMMYFUNCTION("""COMPUTED_VALUE"""),0.57)</f>
        <v>0.56999999999999995</v>
      </c>
      <c r="F176" s="1">
        <f ca="1">IFERROR(__xludf.DUMMYFUNCTION("""COMPUTED_VALUE"""),7539608)</f>
        <v>7539608</v>
      </c>
    </row>
    <row r="177" spans="1:6" x14ac:dyDescent="0.35">
      <c r="A177" s="2">
        <f ca="1">IFERROR(__xludf.DUMMYFUNCTION("""COMPUTED_VALUE"""),42261.6666666666)</f>
        <v>42261.666666666599</v>
      </c>
      <c r="B177" s="1">
        <f ca="1">IFERROR(__xludf.DUMMYFUNCTION("""COMPUTED_VALUE"""),0.57)</f>
        <v>0.56999999999999995</v>
      </c>
      <c r="C177" s="1">
        <f ca="1">IFERROR(__xludf.DUMMYFUNCTION("""COMPUTED_VALUE"""),0.57)</f>
        <v>0.56999999999999995</v>
      </c>
      <c r="D177" s="1">
        <f ca="1">IFERROR(__xludf.DUMMYFUNCTION("""COMPUTED_VALUE"""),0.56)</f>
        <v>0.56000000000000005</v>
      </c>
      <c r="E177" s="1">
        <f ca="1">IFERROR(__xludf.DUMMYFUNCTION("""COMPUTED_VALUE"""),0.57)</f>
        <v>0.56999999999999995</v>
      </c>
      <c r="F177" s="1">
        <f ca="1">IFERROR(__xludf.DUMMYFUNCTION("""COMPUTED_VALUE"""),4811636)</f>
        <v>4811636</v>
      </c>
    </row>
    <row r="178" spans="1:6" x14ac:dyDescent="0.35">
      <c r="A178" s="2">
        <f ca="1">IFERROR(__xludf.DUMMYFUNCTION("""COMPUTED_VALUE"""),42262.6666666666)</f>
        <v>42262.666666666599</v>
      </c>
      <c r="B178" s="1">
        <f ca="1">IFERROR(__xludf.DUMMYFUNCTION("""COMPUTED_VALUE"""),0.57)</f>
        <v>0.56999999999999995</v>
      </c>
      <c r="C178" s="1">
        <f ca="1">IFERROR(__xludf.DUMMYFUNCTION("""COMPUTED_VALUE"""),0.58)</f>
        <v>0.57999999999999996</v>
      </c>
      <c r="D178" s="1">
        <f ca="1">IFERROR(__xludf.DUMMYFUNCTION("""COMPUTED_VALUE"""),0.57)</f>
        <v>0.56999999999999995</v>
      </c>
      <c r="E178" s="1">
        <f ca="1">IFERROR(__xludf.DUMMYFUNCTION("""COMPUTED_VALUE"""),0.57)</f>
        <v>0.56999999999999995</v>
      </c>
      <c r="F178" s="1">
        <f ca="1">IFERROR(__xludf.DUMMYFUNCTION("""COMPUTED_VALUE"""),8199412)</f>
        <v>8199412</v>
      </c>
    </row>
    <row r="179" spans="1:6" x14ac:dyDescent="0.35">
      <c r="A179" s="2">
        <f ca="1">IFERROR(__xludf.DUMMYFUNCTION("""COMPUTED_VALUE"""),42263.6666666666)</f>
        <v>42263.666666666599</v>
      </c>
      <c r="B179" s="1">
        <f ca="1">IFERROR(__xludf.DUMMYFUNCTION("""COMPUTED_VALUE"""),0.57)</f>
        <v>0.56999999999999995</v>
      </c>
      <c r="C179" s="1">
        <f ca="1">IFERROR(__xludf.DUMMYFUNCTION("""COMPUTED_VALUE"""),0.58)</f>
        <v>0.57999999999999996</v>
      </c>
      <c r="D179" s="1">
        <f ca="1">IFERROR(__xludf.DUMMYFUNCTION("""COMPUTED_VALUE"""),0.57)</f>
        <v>0.56999999999999995</v>
      </c>
      <c r="E179" s="1">
        <f ca="1">IFERROR(__xludf.DUMMYFUNCTION("""COMPUTED_VALUE"""),0.58)</f>
        <v>0.57999999999999996</v>
      </c>
      <c r="F179" s="1">
        <f ca="1">IFERROR(__xludf.DUMMYFUNCTION("""COMPUTED_VALUE"""),4337684)</f>
        <v>4337684</v>
      </c>
    </row>
    <row r="180" spans="1:6" x14ac:dyDescent="0.35">
      <c r="A180" s="2">
        <f ca="1">IFERROR(__xludf.DUMMYFUNCTION("""COMPUTED_VALUE"""),42264.6666666666)</f>
        <v>42264.666666666599</v>
      </c>
      <c r="B180" s="1">
        <f ca="1">IFERROR(__xludf.DUMMYFUNCTION("""COMPUTED_VALUE"""),0.59)</f>
        <v>0.59</v>
      </c>
      <c r="C180" s="1">
        <f ca="1">IFERROR(__xludf.DUMMYFUNCTION("""COMPUTED_VALUE"""),0.59)</f>
        <v>0.59</v>
      </c>
      <c r="D180" s="1">
        <f ca="1">IFERROR(__xludf.DUMMYFUNCTION("""COMPUTED_VALUE"""),0.58)</f>
        <v>0.57999999999999996</v>
      </c>
      <c r="E180" s="1">
        <f ca="1">IFERROR(__xludf.DUMMYFUNCTION("""COMPUTED_VALUE"""),0.58)</f>
        <v>0.57999999999999996</v>
      </c>
      <c r="F180" s="1">
        <f ca="1">IFERROR(__xludf.DUMMYFUNCTION("""COMPUTED_VALUE"""),6717769)</f>
        <v>6717769</v>
      </c>
    </row>
    <row r="181" spans="1:6" x14ac:dyDescent="0.35">
      <c r="A181" s="2">
        <f ca="1">IFERROR(__xludf.DUMMYFUNCTION("""COMPUTED_VALUE"""),42265.6666666666)</f>
        <v>42265.666666666599</v>
      </c>
      <c r="B181" s="1">
        <f ca="1">IFERROR(__xludf.DUMMYFUNCTION("""COMPUTED_VALUE"""),0.57)</f>
        <v>0.56999999999999995</v>
      </c>
      <c r="C181" s="1">
        <f ca="1">IFERROR(__xludf.DUMMYFUNCTION("""COMPUTED_VALUE"""),0.59)</f>
        <v>0.59</v>
      </c>
      <c r="D181" s="1">
        <f ca="1">IFERROR(__xludf.DUMMYFUNCTION("""COMPUTED_VALUE"""),0.57)</f>
        <v>0.56999999999999995</v>
      </c>
      <c r="E181" s="1">
        <f ca="1">IFERROR(__xludf.DUMMYFUNCTION("""COMPUTED_VALUE"""),0.58)</f>
        <v>0.57999999999999996</v>
      </c>
      <c r="F181" s="1">
        <f ca="1">IFERROR(__xludf.DUMMYFUNCTION("""COMPUTED_VALUE"""),8160255)</f>
        <v>8160255</v>
      </c>
    </row>
    <row r="182" spans="1:6" x14ac:dyDescent="0.35">
      <c r="A182" s="2">
        <f ca="1">IFERROR(__xludf.DUMMYFUNCTION("""COMPUTED_VALUE"""),42268.6666666666)</f>
        <v>42268.666666666599</v>
      </c>
      <c r="B182" s="1">
        <f ca="1">IFERROR(__xludf.DUMMYFUNCTION("""COMPUTED_VALUE"""),0.58)</f>
        <v>0.57999999999999996</v>
      </c>
      <c r="C182" s="1">
        <f ca="1">IFERROR(__xludf.DUMMYFUNCTION("""COMPUTED_VALUE"""),0.59)</f>
        <v>0.59</v>
      </c>
      <c r="D182" s="1">
        <f ca="1">IFERROR(__xludf.DUMMYFUNCTION("""COMPUTED_VALUE"""),0.58)</f>
        <v>0.57999999999999996</v>
      </c>
      <c r="E182" s="1">
        <f ca="1">IFERROR(__xludf.DUMMYFUNCTION("""COMPUTED_VALUE"""),0.59)</f>
        <v>0.59</v>
      </c>
      <c r="F182" s="1">
        <f ca="1">IFERROR(__xludf.DUMMYFUNCTION("""COMPUTED_VALUE"""),7046616)</f>
        <v>7046616</v>
      </c>
    </row>
    <row r="183" spans="1:6" x14ac:dyDescent="0.35">
      <c r="A183" s="2">
        <f ca="1">IFERROR(__xludf.DUMMYFUNCTION("""COMPUTED_VALUE"""),42269.6666666666)</f>
        <v>42269.666666666599</v>
      </c>
      <c r="B183" s="1">
        <f ca="1">IFERROR(__xludf.DUMMYFUNCTION("""COMPUTED_VALUE"""),0.58)</f>
        <v>0.57999999999999996</v>
      </c>
      <c r="C183" s="1">
        <f ca="1">IFERROR(__xludf.DUMMYFUNCTION("""COMPUTED_VALUE"""),0.58)</f>
        <v>0.57999999999999996</v>
      </c>
      <c r="D183" s="1">
        <f ca="1">IFERROR(__xludf.DUMMYFUNCTION("""COMPUTED_VALUE"""),0.57)</f>
        <v>0.56999999999999995</v>
      </c>
      <c r="E183" s="1">
        <f ca="1">IFERROR(__xludf.DUMMYFUNCTION("""COMPUTED_VALUE"""),0.57)</f>
        <v>0.56999999999999995</v>
      </c>
      <c r="F183" s="1">
        <f ca="1">IFERROR(__xludf.DUMMYFUNCTION("""COMPUTED_VALUE"""),5708923)</f>
        <v>5708923</v>
      </c>
    </row>
    <row r="184" spans="1:6" x14ac:dyDescent="0.35">
      <c r="A184" s="2">
        <f ca="1">IFERROR(__xludf.DUMMYFUNCTION("""COMPUTED_VALUE"""),42270.6666666666)</f>
        <v>42270.666666666599</v>
      </c>
      <c r="B184" s="1">
        <f ca="1">IFERROR(__xludf.DUMMYFUNCTION("""COMPUTED_VALUE"""),0.57)</f>
        <v>0.56999999999999995</v>
      </c>
      <c r="C184" s="1">
        <f ca="1">IFERROR(__xludf.DUMMYFUNCTION("""COMPUTED_VALUE"""),0.58)</f>
        <v>0.57999999999999996</v>
      </c>
      <c r="D184" s="1">
        <f ca="1">IFERROR(__xludf.DUMMYFUNCTION("""COMPUTED_VALUE"""),0.57)</f>
        <v>0.56999999999999995</v>
      </c>
      <c r="E184" s="1">
        <f ca="1">IFERROR(__xludf.DUMMYFUNCTION("""COMPUTED_VALUE"""),0.57)</f>
        <v>0.56999999999999995</v>
      </c>
      <c r="F184" s="1">
        <f ca="1">IFERROR(__xludf.DUMMYFUNCTION("""COMPUTED_VALUE"""),4040849)</f>
        <v>4040849</v>
      </c>
    </row>
    <row r="185" spans="1:6" x14ac:dyDescent="0.35">
      <c r="A185" s="2">
        <f ca="1">IFERROR(__xludf.DUMMYFUNCTION("""COMPUTED_VALUE"""),42271.6666666666)</f>
        <v>42271.666666666599</v>
      </c>
      <c r="B185" s="1">
        <f ca="1">IFERROR(__xludf.DUMMYFUNCTION("""COMPUTED_VALUE"""),0.57)</f>
        <v>0.56999999999999995</v>
      </c>
      <c r="C185" s="1">
        <f ca="1">IFERROR(__xludf.DUMMYFUNCTION("""COMPUTED_VALUE"""),0.59)</f>
        <v>0.59</v>
      </c>
      <c r="D185" s="1">
        <f ca="1">IFERROR(__xludf.DUMMYFUNCTION("""COMPUTED_VALUE"""),0.56)</f>
        <v>0.56000000000000005</v>
      </c>
      <c r="E185" s="1">
        <f ca="1">IFERROR(__xludf.DUMMYFUNCTION("""COMPUTED_VALUE"""),0.59)</f>
        <v>0.59</v>
      </c>
      <c r="F185" s="1">
        <f ca="1">IFERROR(__xludf.DUMMYFUNCTION("""COMPUTED_VALUE"""),9561031)</f>
        <v>9561031</v>
      </c>
    </row>
    <row r="186" spans="1:6" x14ac:dyDescent="0.35">
      <c r="A186" s="2">
        <f ca="1">IFERROR(__xludf.DUMMYFUNCTION("""COMPUTED_VALUE"""),42272.6666666666)</f>
        <v>42272.666666666599</v>
      </c>
      <c r="B186" s="1">
        <f ca="1">IFERROR(__xludf.DUMMYFUNCTION("""COMPUTED_VALUE"""),0.59)</f>
        <v>0.59</v>
      </c>
      <c r="C186" s="1">
        <f ca="1">IFERROR(__xludf.DUMMYFUNCTION("""COMPUTED_VALUE"""),0.6)</f>
        <v>0.6</v>
      </c>
      <c r="D186" s="1">
        <f ca="1">IFERROR(__xludf.DUMMYFUNCTION("""COMPUTED_VALUE"""),0.58)</f>
        <v>0.57999999999999996</v>
      </c>
      <c r="E186" s="1">
        <f ca="1">IFERROR(__xludf.DUMMYFUNCTION("""COMPUTED_VALUE"""),0.59)</f>
        <v>0.59</v>
      </c>
      <c r="F186" s="1">
        <f ca="1">IFERROR(__xludf.DUMMYFUNCTION("""COMPUTED_VALUE"""),9242268)</f>
        <v>9242268</v>
      </c>
    </row>
    <row r="187" spans="1:6" x14ac:dyDescent="0.35">
      <c r="A187" s="2">
        <f ca="1">IFERROR(__xludf.DUMMYFUNCTION("""COMPUTED_VALUE"""),42275.6666666666)</f>
        <v>42275.666666666599</v>
      </c>
      <c r="B187" s="1">
        <f ca="1">IFERROR(__xludf.DUMMYFUNCTION("""COMPUTED_VALUE"""),0.59)</f>
        <v>0.59</v>
      </c>
      <c r="C187" s="1">
        <f ca="1">IFERROR(__xludf.DUMMYFUNCTION("""COMPUTED_VALUE"""),0.59)</f>
        <v>0.59</v>
      </c>
      <c r="D187" s="1">
        <f ca="1">IFERROR(__xludf.DUMMYFUNCTION("""COMPUTED_VALUE"""),0.58)</f>
        <v>0.57999999999999996</v>
      </c>
      <c r="E187" s="1">
        <f ca="1">IFERROR(__xludf.DUMMYFUNCTION("""COMPUTED_VALUE"""),0.58)</f>
        <v>0.57999999999999996</v>
      </c>
      <c r="F187" s="1">
        <f ca="1">IFERROR(__xludf.DUMMYFUNCTION("""COMPUTED_VALUE"""),9889576)</f>
        <v>9889576</v>
      </c>
    </row>
    <row r="188" spans="1:6" x14ac:dyDescent="0.35">
      <c r="A188" s="2">
        <f ca="1">IFERROR(__xludf.DUMMYFUNCTION("""COMPUTED_VALUE"""),42276.6666666666)</f>
        <v>42276.666666666599</v>
      </c>
      <c r="B188" s="1">
        <f ca="1">IFERROR(__xludf.DUMMYFUNCTION("""COMPUTED_VALUE"""),0.59)</f>
        <v>0.59</v>
      </c>
      <c r="C188" s="1">
        <f ca="1">IFERROR(__xludf.DUMMYFUNCTION("""COMPUTED_VALUE"""),0.59)</f>
        <v>0.59</v>
      </c>
      <c r="D188" s="1">
        <f ca="1">IFERROR(__xludf.DUMMYFUNCTION("""COMPUTED_VALUE"""),0.58)</f>
        <v>0.57999999999999996</v>
      </c>
      <c r="E188" s="1">
        <f ca="1">IFERROR(__xludf.DUMMYFUNCTION("""COMPUTED_VALUE"""),0.59)</f>
        <v>0.59</v>
      </c>
      <c r="F188" s="1">
        <f ca="1">IFERROR(__xludf.DUMMYFUNCTION("""COMPUTED_VALUE"""),9518373)</f>
        <v>9518373</v>
      </c>
    </row>
    <row r="189" spans="1:6" x14ac:dyDescent="0.35">
      <c r="A189" s="2">
        <f ca="1">IFERROR(__xludf.DUMMYFUNCTION("""COMPUTED_VALUE"""),42277.6666666666)</f>
        <v>42277.666666666599</v>
      </c>
      <c r="B189" s="1">
        <f ca="1">IFERROR(__xludf.DUMMYFUNCTION("""COMPUTED_VALUE"""),0.6)</f>
        <v>0.6</v>
      </c>
      <c r="C189" s="1">
        <f ca="1">IFERROR(__xludf.DUMMYFUNCTION("""COMPUTED_VALUE"""),0.62)</f>
        <v>0.62</v>
      </c>
      <c r="D189" s="1">
        <f ca="1">IFERROR(__xludf.DUMMYFUNCTION("""COMPUTED_VALUE"""),0.59)</f>
        <v>0.59</v>
      </c>
      <c r="E189" s="1">
        <f ca="1">IFERROR(__xludf.DUMMYFUNCTION("""COMPUTED_VALUE"""),0.62)</f>
        <v>0.62</v>
      </c>
      <c r="F189" s="1">
        <f ca="1">IFERROR(__xludf.DUMMYFUNCTION("""COMPUTED_VALUE"""),13909541)</f>
        <v>13909541</v>
      </c>
    </row>
    <row r="190" spans="1:6" x14ac:dyDescent="0.35">
      <c r="A190" s="2">
        <f ca="1">IFERROR(__xludf.DUMMYFUNCTION("""COMPUTED_VALUE"""),42278.6666666666)</f>
        <v>42278.666666666599</v>
      </c>
      <c r="B190" s="1">
        <f ca="1">IFERROR(__xludf.DUMMYFUNCTION("""COMPUTED_VALUE"""),0.62)</f>
        <v>0.62</v>
      </c>
      <c r="C190" s="1">
        <f ca="1">IFERROR(__xludf.DUMMYFUNCTION("""COMPUTED_VALUE"""),0.62)</f>
        <v>0.62</v>
      </c>
      <c r="D190" s="1">
        <f ca="1">IFERROR(__xludf.DUMMYFUNCTION("""COMPUTED_VALUE"""),0.59)</f>
        <v>0.59</v>
      </c>
      <c r="E190" s="1">
        <f ca="1">IFERROR(__xludf.DUMMYFUNCTION("""COMPUTED_VALUE"""),0.6)</f>
        <v>0.6</v>
      </c>
      <c r="F190" s="1">
        <f ca="1">IFERROR(__xludf.DUMMYFUNCTION("""COMPUTED_VALUE"""),12232427)</f>
        <v>12232427</v>
      </c>
    </row>
    <row r="191" spans="1:6" x14ac:dyDescent="0.35">
      <c r="A191" s="2">
        <f ca="1">IFERROR(__xludf.DUMMYFUNCTION("""COMPUTED_VALUE"""),42279.6666666666)</f>
        <v>42279.666666666599</v>
      </c>
      <c r="B191" s="1">
        <f ca="1">IFERROR(__xludf.DUMMYFUNCTION("""COMPUTED_VALUE"""),0.6)</f>
        <v>0.6</v>
      </c>
      <c r="C191" s="1">
        <f ca="1">IFERROR(__xludf.DUMMYFUNCTION("""COMPUTED_VALUE"""),0.62)</f>
        <v>0.62</v>
      </c>
      <c r="D191" s="1">
        <f ca="1">IFERROR(__xludf.DUMMYFUNCTION("""COMPUTED_VALUE"""),0.59)</f>
        <v>0.59</v>
      </c>
      <c r="E191" s="1">
        <f ca="1">IFERROR(__xludf.DUMMYFUNCTION("""COMPUTED_VALUE"""),0.62)</f>
        <v>0.62</v>
      </c>
      <c r="F191" s="1">
        <f ca="1">IFERROR(__xludf.DUMMYFUNCTION("""COMPUTED_VALUE"""),9653639)</f>
        <v>9653639</v>
      </c>
    </row>
    <row r="192" spans="1:6" x14ac:dyDescent="0.35">
      <c r="A192" s="2">
        <f ca="1">IFERROR(__xludf.DUMMYFUNCTION("""COMPUTED_VALUE"""),42282.6666666666)</f>
        <v>42282.666666666599</v>
      </c>
      <c r="B192" s="1">
        <f ca="1">IFERROR(__xludf.DUMMYFUNCTION("""COMPUTED_VALUE"""),0.62)</f>
        <v>0.62</v>
      </c>
      <c r="C192" s="1">
        <f ca="1">IFERROR(__xludf.DUMMYFUNCTION("""COMPUTED_VALUE"""),0.64)</f>
        <v>0.64</v>
      </c>
      <c r="D192" s="1">
        <f ca="1">IFERROR(__xludf.DUMMYFUNCTION("""COMPUTED_VALUE"""),0.62)</f>
        <v>0.62</v>
      </c>
      <c r="E192" s="1">
        <f ca="1">IFERROR(__xludf.DUMMYFUNCTION("""COMPUTED_VALUE"""),0.64)</f>
        <v>0.64</v>
      </c>
      <c r="F192" s="1">
        <f ca="1">IFERROR(__xludf.DUMMYFUNCTION("""COMPUTED_VALUE"""),12050571)</f>
        <v>12050571</v>
      </c>
    </row>
    <row r="193" spans="1:6" x14ac:dyDescent="0.35">
      <c r="A193" s="2">
        <f ca="1">IFERROR(__xludf.DUMMYFUNCTION("""COMPUTED_VALUE"""),42283.6666666666)</f>
        <v>42283.666666666599</v>
      </c>
      <c r="B193" s="1">
        <f ca="1">IFERROR(__xludf.DUMMYFUNCTION("""COMPUTED_VALUE"""),0.63)</f>
        <v>0.63</v>
      </c>
      <c r="C193" s="1">
        <f ca="1">IFERROR(__xludf.DUMMYFUNCTION("""COMPUTED_VALUE"""),0.65)</f>
        <v>0.65</v>
      </c>
      <c r="D193" s="1">
        <f ca="1">IFERROR(__xludf.DUMMYFUNCTION("""COMPUTED_VALUE"""),0.63)</f>
        <v>0.63</v>
      </c>
      <c r="E193" s="1">
        <f ca="1">IFERROR(__xludf.DUMMYFUNCTION("""COMPUTED_VALUE"""),0.64)</f>
        <v>0.64</v>
      </c>
      <c r="F193" s="1">
        <f ca="1">IFERROR(__xludf.DUMMYFUNCTION("""COMPUTED_VALUE"""),11360526)</f>
        <v>11360526</v>
      </c>
    </row>
    <row r="194" spans="1:6" x14ac:dyDescent="0.35">
      <c r="A194" s="2">
        <f ca="1">IFERROR(__xludf.DUMMYFUNCTION("""COMPUTED_VALUE"""),42284.6666666666)</f>
        <v>42284.666666666599</v>
      </c>
      <c r="B194" s="1">
        <f ca="1">IFERROR(__xludf.DUMMYFUNCTION("""COMPUTED_VALUE"""),0.65)</f>
        <v>0.65</v>
      </c>
      <c r="C194" s="1">
        <f ca="1">IFERROR(__xludf.DUMMYFUNCTION("""COMPUTED_VALUE"""),0.66)</f>
        <v>0.66</v>
      </c>
      <c r="D194" s="1">
        <f ca="1">IFERROR(__xludf.DUMMYFUNCTION("""COMPUTED_VALUE"""),0.63)</f>
        <v>0.63</v>
      </c>
      <c r="E194" s="1">
        <f ca="1">IFERROR(__xludf.DUMMYFUNCTION("""COMPUTED_VALUE"""),0.65)</f>
        <v>0.65</v>
      </c>
      <c r="F194" s="1">
        <f ca="1">IFERROR(__xludf.DUMMYFUNCTION("""COMPUTED_VALUE"""),7753799)</f>
        <v>7753799</v>
      </c>
    </row>
    <row r="195" spans="1:6" x14ac:dyDescent="0.35">
      <c r="A195" s="2">
        <f ca="1">IFERROR(__xludf.DUMMYFUNCTION("""COMPUTED_VALUE"""),42285.6666666666)</f>
        <v>42285.666666666599</v>
      </c>
      <c r="B195" s="1">
        <f ca="1">IFERROR(__xludf.DUMMYFUNCTION("""COMPUTED_VALUE"""),0.65)</f>
        <v>0.65</v>
      </c>
      <c r="C195" s="1">
        <f ca="1">IFERROR(__xludf.DUMMYFUNCTION("""COMPUTED_VALUE"""),0.66)</f>
        <v>0.66</v>
      </c>
      <c r="D195" s="1">
        <f ca="1">IFERROR(__xludf.DUMMYFUNCTION("""COMPUTED_VALUE"""),0.64)</f>
        <v>0.64</v>
      </c>
      <c r="E195" s="1">
        <f ca="1">IFERROR(__xludf.DUMMYFUNCTION("""COMPUTED_VALUE"""),0.65)</f>
        <v>0.65</v>
      </c>
      <c r="F195" s="1">
        <f ca="1">IFERROR(__xludf.DUMMYFUNCTION("""COMPUTED_VALUE"""),11501741)</f>
        <v>11501741</v>
      </c>
    </row>
    <row r="196" spans="1:6" x14ac:dyDescent="0.35">
      <c r="A196" s="2">
        <f ca="1">IFERROR(__xludf.DUMMYFUNCTION("""COMPUTED_VALUE"""),42286.6666666666)</f>
        <v>42286.666666666599</v>
      </c>
      <c r="B196" s="1">
        <f ca="1">IFERROR(__xludf.DUMMYFUNCTION("""COMPUTED_VALUE"""),0.65)</f>
        <v>0.65</v>
      </c>
      <c r="C196" s="1">
        <f ca="1">IFERROR(__xludf.DUMMYFUNCTION("""COMPUTED_VALUE"""),0.66)</f>
        <v>0.66</v>
      </c>
      <c r="D196" s="1">
        <f ca="1">IFERROR(__xludf.DUMMYFUNCTION("""COMPUTED_VALUE"""),0.64)</f>
        <v>0.64</v>
      </c>
      <c r="E196" s="1">
        <f ca="1">IFERROR(__xludf.DUMMYFUNCTION("""COMPUTED_VALUE"""),0.65)</f>
        <v>0.65</v>
      </c>
      <c r="F196" s="1">
        <f ca="1">IFERROR(__xludf.DUMMYFUNCTION("""COMPUTED_VALUE"""),10581210)</f>
        <v>10581210</v>
      </c>
    </row>
    <row r="197" spans="1:6" x14ac:dyDescent="0.35">
      <c r="A197" s="2">
        <f ca="1">IFERROR(__xludf.DUMMYFUNCTION("""COMPUTED_VALUE"""),42289.6666666666)</f>
        <v>42289.666666666599</v>
      </c>
      <c r="B197" s="1">
        <f ca="1">IFERROR(__xludf.DUMMYFUNCTION("""COMPUTED_VALUE"""),0.65)</f>
        <v>0.65</v>
      </c>
      <c r="C197" s="1">
        <f ca="1">IFERROR(__xludf.DUMMYFUNCTION("""COMPUTED_VALUE"""),0.66)</f>
        <v>0.66</v>
      </c>
      <c r="D197" s="1">
        <f ca="1">IFERROR(__xludf.DUMMYFUNCTION("""COMPUTED_VALUE"""),0.65)</f>
        <v>0.65</v>
      </c>
      <c r="E197" s="1">
        <f ca="1">IFERROR(__xludf.DUMMYFUNCTION("""COMPUTED_VALUE"""),0.66)</f>
        <v>0.66</v>
      </c>
      <c r="F197" s="1">
        <f ca="1">IFERROR(__xludf.DUMMYFUNCTION("""COMPUTED_VALUE"""),5689727)</f>
        <v>5689727</v>
      </c>
    </row>
    <row r="198" spans="1:6" x14ac:dyDescent="0.35">
      <c r="A198" s="2">
        <f ca="1">IFERROR(__xludf.DUMMYFUNCTION("""COMPUTED_VALUE"""),42290.6666666666)</f>
        <v>42290.666666666599</v>
      </c>
      <c r="B198" s="1">
        <f ca="1">IFERROR(__xludf.DUMMYFUNCTION("""COMPUTED_VALUE"""),0.65)</f>
        <v>0.65</v>
      </c>
      <c r="C198" s="1">
        <f ca="1">IFERROR(__xludf.DUMMYFUNCTION("""COMPUTED_VALUE"""),0.66)</f>
        <v>0.66</v>
      </c>
      <c r="D198" s="1">
        <f ca="1">IFERROR(__xludf.DUMMYFUNCTION("""COMPUTED_VALUE"""),0.65)</f>
        <v>0.65</v>
      </c>
      <c r="E198" s="1">
        <f ca="1">IFERROR(__xludf.DUMMYFUNCTION("""COMPUTED_VALUE"""),0.66)</f>
        <v>0.66</v>
      </c>
      <c r="F198" s="1">
        <f ca="1">IFERROR(__xludf.DUMMYFUNCTION("""COMPUTED_VALUE"""),7461071)</f>
        <v>7461071</v>
      </c>
    </row>
    <row r="199" spans="1:6" x14ac:dyDescent="0.35">
      <c r="A199" s="2">
        <f ca="1">IFERROR(__xludf.DUMMYFUNCTION("""COMPUTED_VALUE"""),42291.6666666666)</f>
        <v>42291.666666666599</v>
      </c>
      <c r="B199" s="1">
        <f ca="1">IFERROR(__xludf.DUMMYFUNCTION("""COMPUTED_VALUE"""),0.66)</f>
        <v>0.66</v>
      </c>
      <c r="C199" s="1">
        <f ca="1">IFERROR(__xludf.DUMMYFUNCTION("""COMPUTED_VALUE"""),0.69)</f>
        <v>0.69</v>
      </c>
      <c r="D199" s="1">
        <f ca="1">IFERROR(__xludf.DUMMYFUNCTION("""COMPUTED_VALUE"""),0.66)</f>
        <v>0.66</v>
      </c>
      <c r="E199" s="1">
        <f ca="1">IFERROR(__xludf.DUMMYFUNCTION("""COMPUTED_VALUE"""),0.68)</f>
        <v>0.68</v>
      </c>
      <c r="F199" s="1">
        <f ca="1">IFERROR(__xludf.DUMMYFUNCTION("""COMPUTED_VALUE"""),15304756)</f>
        <v>15304756</v>
      </c>
    </row>
    <row r="200" spans="1:6" x14ac:dyDescent="0.35">
      <c r="A200" s="2">
        <f ca="1">IFERROR(__xludf.DUMMYFUNCTION("""COMPUTED_VALUE"""),42292.6666666666)</f>
        <v>42292.666666666599</v>
      </c>
      <c r="B200" s="1">
        <f ca="1">IFERROR(__xludf.DUMMYFUNCTION("""COMPUTED_VALUE"""),0.69)</f>
        <v>0.69</v>
      </c>
      <c r="C200" s="1">
        <f ca="1">IFERROR(__xludf.DUMMYFUNCTION("""COMPUTED_VALUE"""),0.7)</f>
        <v>0.7</v>
      </c>
      <c r="D200" s="1">
        <f ca="1">IFERROR(__xludf.DUMMYFUNCTION("""COMPUTED_VALUE"""),0.68)</f>
        <v>0.68</v>
      </c>
      <c r="E200" s="1">
        <f ca="1">IFERROR(__xludf.DUMMYFUNCTION("""COMPUTED_VALUE"""),0.69)</f>
        <v>0.69</v>
      </c>
      <c r="F200" s="1">
        <f ca="1">IFERROR(__xludf.DUMMYFUNCTION("""COMPUTED_VALUE"""),13151151)</f>
        <v>13151151</v>
      </c>
    </row>
    <row r="201" spans="1:6" x14ac:dyDescent="0.35">
      <c r="A201" s="2">
        <f ca="1">IFERROR(__xludf.DUMMYFUNCTION("""COMPUTED_VALUE"""),42293.6666666666)</f>
        <v>42293.666666666599</v>
      </c>
      <c r="B201" s="1">
        <f ca="1">IFERROR(__xludf.DUMMYFUNCTION("""COMPUTED_VALUE"""),0.69)</f>
        <v>0.69</v>
      </c>
      <c r="C201" s="1">
        <f ca="1">IFERROR(__xludf.DUMMYFUNCTION("""COMPUTED_VALUE"""),0.7)</f>
        <v>0.7</v>
      </c>
      <c r="D201" s="1">
        <f ca="1">IFERROR(__xludf.DUMMYFUNCTION("""COMPUTED_VALUE"""),0.69)</f>
        <v>0.69</v>
      </c>
      <c r="E201" s="1">
        <f ca="1">IFERROR(__xludf.DUMMYFUNCTION("""COMPUTED_VALUE"""),0.7)</f>
        <v>0.7</v>
      </c>
      <c r="F201" s="1">
        <f ca="1">IFERROR(__xludf.DUMMYFUNCTION("""COMPUTED_VALUE"""),11209897)</f>
        <v>11209897</v>
      </c>
    </row>
    <row r="202" spans="1:6" x14ac:dyDescent="0.35">
      <c r="A202" s="2">
        <f ca="1">IFERROR(__xludf.DUMMYFUNCTION("""COMPUTED_VALUE"""),42296.6666666666)</f>
        <v>42296.666666666599</v>
      </c>
      <c r="B202" s="1">
        <f ca="1">IFERROR(__xludf.DUMMYFUNCTION("""COMPUTED_VALUE"""),0.7)</f>
        <v>0.7</v>
      </c>
      <c r="C202" s="1">
        <f ca="1">IFERROR(__xludf.DUMMYFUNCTION("""COMPUTED_VALUE"""),0.7)</f>
        <v>0.7</v>
      </c>
      <c r="D202" s="1">
        <f ca="1">IFERROR(__xludf.DUMMYFUNCTION("""COMPUTED_VALUE"""),0.69)</f>
        <v>0.69</v>
      </c>
      <c r="E202" s="1">
        <f ca="1">IFERROR(__xludf.DUMMYFUNCTION("""COMPUTED_VALUE"""),0.7)</f>
        <v>0.7</v>
      </c>
      <c r="F202" s="1">
        <f ca="1">IFERROR(__xludf.DUMMYFUNCTION("""COMPUTED_VALUE"""),7367780)</f>
        <v>7367780</v>
      </c>
    </row>
    <row r="203" spans="1:6" x14ac:dyDescent="0.35">
      <c r="A203" s="2">
        <f ca="1">IFERROR(__xludf.DUMMYFUNCTION("""COMPUTED_VALUE"""),42297.6666666666)</f>
        <v>42297.666666666599</v>
      </c>
      <c r="B203" s="1">
        <f ca="1">IFERROR(__xludf.DUMMYFUNCTION("""COMPUTED_VALUE"""),0.69)</f>
        <v>0.69</v>
      </c>
      <c r="C203" s="1">
        <f ca="1">IFERROR(__xludf.DUMMYFUNCTION("""COMPUTED_VALUE"""),0.7)</f>
        <v>0.7</v>
      </c>
      <c r="D203" s="1">
        <f ca="1">IFERROR(__xludf.DUMMYFUNCTION("""COMPUTED_VALUE"""),0.69)</f>
        <v>0.69</v>
      </c>
      <c r="E203" s="1">
        <f ca="1">IFERROR(__xludf.DUMMYFUNCTION("""COMPUTED_VALUE"""),0.69)</f>
        <v>0.69</v>
      </c>
      <c r="F203" s="1">
        <f ca="1">IFERROR(__xludf.DUMMYFUNCTION("""COMPUTED_VALUE"""),6620614)</f>
        <v>6620614</v>
      </c>
    </row>
    <row r="204" spans="1:6" x14ac:dyDescent="0.35">
      <c r="A204" s="2">
        <f ca="1">IFERROR(__xludf.DUMMYFUNCTION("""COMPUTED_VALUE"""),42298.6666666666)</f>
        <v>42298.666666666599</v>
      </c>
      <c r="B204" s="1">
        <f ca="1">IFERROR(__xludf.DUMMYFUNCTION("""COMPUTED_VALUE"""),0.7)</f>
        <v>0.7</v>
      </c>
      <c r="C204" s="1">
        <f ca="1">IFERROR(__xludf.DUMMYFUNCTION("""COMPUTED_VALUE"""),0.7)</f>
        <v>0.7</v>
      </c>
      <c r="D204" s="1">
        <f ca="1">IFERROR(__xludf.DUMMYFUNCTION("""COMPUTED_VALUE"""),0.68)</f>
        <v>0.68</v>
      </c>
      <c r="E204" s="1">
        <f ca="1">IFERROR(__xludf.DUMMYFUNCTION("""COMPUTED_VALUE"""),0.69)</f>
        <v>0.69</v>
      </c>
      <c r="F204" s="1">
        <f ca="1">IFERROR(__xludf.DUMMYFUNCTION("""COMPUTED_VALUE"""),9667049)</f>
        <v>9667049</v>
      </c>
    </row>
    <row r="205" spans="1:6" x14ac:dyDescent="0.35">
      <c r="A205" s="2">
        <f ca="1">IFERROR(__xludf.DUMMYFUNCTION("""COMPUTED_VALUE"""),42299.6666666666)</f>
        <v>42299.666666666599</v>
      </c>
      <c r="B205" s="1">
        <f ca="1">IFERROR(__xludf.DUMMYFUNCTION("""COMPUTED_VALUE"""),0.69)</f>
        <v>0.69</v>
      </c>
      <c r="C205" s="1">
        <f ca="1">IFERROR(__xludf.DUMMYFUNCTION("""COMPUTED_VALUE"""),0.71)</f>
        <v>0.71</v>
      </c>
      <c r="D205" s="1">
        <f ca="1">IFERROR(__xludf.DUMMYFUNCTION("""COMPUTED_VALUE"""),0.69)</f>
        <v>0.69</v>
      </c>
      <c r="E205" s="1">
        <f ca="1">IFERROR(__xludf.DUMMYFUNCTION("""COMPUTED_VALUE"""),0.71)</f>
        <v>0.71</v>
      </c>
      <c r="F205" s="1">
        <f ca="1">IFERROR(__xludf.DUMMYFUNCTION("""COMPUTED_VALUE"""),7672091)</f>
        <v>7672091</v>
      </c>
    </row>
    <row r="206" spans="1:6" x14ac:dyDescent="0.35">
      <c r="A206" s="2">
        <f ca="1">IFERROR(__xludf.DUMMYFUNCTION("""COMPUTED_VALUE"""),42300.6666666666)</f>
        <v>42300.666666666599</v>
      </c>
      <c r="B206" s="1">
        <f ca="1">IFERROR(__xludf.DUMMYFUNCTION("""COMPUTED_VALUE"""),0.72)</f>
        <v>0.72</v>
      </c>
      <c r="C206" s="1">
        <f ca="1">IFERROR(__xludf.DUMMYFUNCTION("""COMPUTED_VALUE"""),0.72)</f>
        <v>0.72</v>
      </c>
      <c r="D206" s="1">
        <f ca="1">IFERROR(__xludf.DUMMYFUNCTION("""COMPUTED_VALUE"""),0.71)</f>
        <v>0.71</v>
      </c>
      <c r="E206" s="1">
        <f ca="1">IFERROR(__xludf.DUMMYFUNCTION("""COMPUTED_VALUE"""),0.71)</f>
        <v>0.71</v>
      </c>
      <c r="F206" s="1">
        <f ca="1">IFERROR(__xludf.DUMMYFUNCTION("""COMPUTED_VALUE"""),9544357)</f>
        <v>9544357</v>
      </c>
    </row>
    <row r="207" spans="1:6" x14ac:dyDescent="0.35">
      <c r="A207" s="2">
        <f ca="1">IFERROR(__xludf.DUMMYFUNCTION("""COMPUTED_VALUE"""),42303.6666666666)</f>
        <v>42303.666666666599</v>
      </c>
      <c r="B207" s="1">
        <f ca="1">IFERROR(__xludf.DUMMYFUNCTION("""COMPUTED_VALUE"""),0.72)</f>
        <v>0.72</v>
      </c>
      <c r="C207" s="1">
        <f ca="1">IFERROR(__xludf.DUMMYFUNCTION("""COMPUTED_VALUE"""),0.72)</f>
        <v>0.72</v>
      </c>
      <c r="D207" s="1">
        <f ca="1">IFERROR(__xludf.DUMMYFUNCTION("""COMPUTED_VALUE"""),0.71)</f>
        <v>0.71</v>
      </c>
      <c r="E207" s="1">
        <f ca="1">IFERROR(__xludf.DUMMYFUNCTION("""COMPUTED_VALUE"""),0.71)</f>
        <v>0.71</v>
      </c>
      <c r="F207" s="1">
        <f ca="1">IFERROR(__xludf.DUMMYFUNCTION("""COMPUTED_VALUE"""),6185935)</f>
        <v>6185935</v>
      </c>
    </row>
    <row r="208" spans="1:6" x14ac:dyDescent="0.35">
      <c r="A208" s="2">
        <f ca="1">IFERROR(__xludf.DUMMYFUNCTION("""COMPUTED_VALUE"""),42304.6666666666)</f>
        <v>42304.666666666599</v>
      </c>
      <c r="B208" s="1">
        <f ca="1">IFERROR(__xludf.DUMMYFUNCTION("""COMPUTED_VALUE"""),0.71)</f>
        <v>0.71</v>
      </c>
      <c r="C208" s="1">
        <f ca="1">IFERROR(__xludf.DUMMYFUNCTION("""COMPUTED_VALUE"""),0.72)</f>
        <v>0.72</v>
      </c>
      <c r="D208" s="1">
        <f ca="1">IFERROR(__xludf.DUMMYFUNCTION("""COMPUTED_VALUE"""),0.71)</f>
        <v>0.71</v>
      </c>
      <c r="E208" s="1">
        <f ca="1">IFERROR(__xludf.DUMMYFUNCTION("""COMPUTED_VALUE"""),0.71)</f>
        <v>0.71</v>
      </c>
      <c r="F208" s="1">
        <f ca="1">IFERROR(__xludf.DUMMYFUNCTION("""COMPUTED_VALUE"""),5206678)</f>
        <v>5206678</v>
      </c>
    </row>
    <row r="209" spans="1:6" x14ac:dyDescent="0.35">
      <c r="A209" s="2">
        <f ca="1">IFERROR(__xludf.DUMMYFUNCTION("""COMPUTED_VALUE"""),42305.6666666666)</f>
        <v>42305.666666666599</v>
      </c>
      <c r="B209" s="1">
        <f ca="1">IFERROR(__xludf.DUMMYFUNCTION("""COMPUTED_VALUE"""),0.72)</f>
        <v>0.72</v>
      </c>
      <c r="C209" s="1">
        <f ca="1">IFERROR(__xludf.DUMMYFUNCTION("""COMPUTED_VALUE"""),0.72)</f>
        <v>0.72</v>
      </c>
      <c r="D209" s="1">
        <f ca="1">IFERROR(__xludf.DUMMYFUNCTION("""COMPUTED_VALUE"""),0.71)</f>
        <v>0.71</v>
      </c>
      <c r="E209" s="1">
        <f ca="1">IFERROR(__xludf.DUMMYFUNCTION("""COMPUTED_VALUE"""),0.72)</f>
        <v>0.72</v>
      </c>
      <c r="F209" s="1">
        <f ca="1">IFERROR(__xludf.DUMMYFUNCTION("""COMPUTED_VALUE"""),5425852)</f>
        <v>5425852</v>
      </c>
    </row>
    <row r="210" spans="1:6" x14ac:dyDescent="0.35">
      <c r="A210" s="2">
        <f ca="1">IFERROR(__xludf.DUMMYFUNCTION("""COMPUTED_VALUE"""),42306.6666666666)</f>
        <v>42306.666666666599</v>
      </c>
      <c r="B210" s="1">
        <f ca="1">IFERROR(__xludf.DUMMYFUNCTION("""COMPUTED_VALUE"""),0.71)</f>
        <v>0.71</v>
      </c>
      <c r="C210" s="1">
        <f ca="1">IFERROR(__xludf.DUMMYFUNCTION("""COMPUTED_VALUE"""),0.71)</f>
        <v>0.71</v>
      </c>
      <c r="D210" s="1">
        <f ca="1">IFERROR(__xludf.DUMMYFUNCTION("""COMPUTED_VALUE"""),0.69)</f>
        <v>0.69</v>
      </c>
      <c r="E210" s="1">
        <f ca="1">IFERROR(__xludf.DUMMYFUNCTION("""COMPUTED_VALUE"""),0.69)</f>
        <v>0.69</v>
      </c>
      <c r="F210" s="1">
        <f ca="1">IFERROR(__xludf.DUMMYFUNCTION("""COMPUTED_VALUE"""),8179177)</f>
        <v>8179177</v>
      </c>
    </row>
    <row r="211" spans="1:6" x14ac:dyDescent="0.35">
      <c r="A211" s="2">
        <f ca="1">IFERROR(__xludf.DUMMYFUNCTION("""COMPUTED_VALUE"""),42307.6666666666)</f>
        <v>42307.666666666599</v>
      </c>
      <c r="B211" s="1">
        <f ca="1">IFERROR(__xludf.DUMMYFUNCTION("""COMPUTED_VALUE"""),0.7)</f>
        <v>0.7</v>
      </c>
      <c r="C211" s="1">
        <f ca="1">IFERROR(__xludf.DUMMYFUNCTION("""COMPUTED_VALUE"""),0.71)</f>
        <v>0.71</v>
      </c>
      <c r="D211" s="1">
        <f ca="1">IFERROR(__xludf.DUMMYFUNCTION("""COMPUTED_VALUE"""),0.69)</f>
        <v>0.69</v>
      </c>
      <c r="E211" s="1">
        <f ca="1">IFERROR(__xludf.DUMMYFUNCTION("""COMPUTED_VALUE"""),0.71)</f>
        <v>0.71</v>
      </c>
      <c r="F211" s="1">
        <f ca="1">IFERROR(__xludf.DUMMYFUNCTION("""COMPUTED_VALUE"""),7528965)</f>
        <v>7528965</v>
      </c>
    </row>
    <row r="212" spans="1:6" x14ac:dyDescent="0.35">
      <c r="A212" s="2">
        <f ca="1">IFERROR(__xludf.DUMMYFUNCTION("""COMPUTED_VALUE"""),42310.6666666666)</f>
        <v>42310.666666666599</v>
      </c>
      <c r="B212" s="1">
        <f ca="1">IFERROR(__xludf.DUMMYFUNCTION("""COMPUTED_VALUE"""),0.71)</f>
        <v>0.71</v>
      </c>
      <c r="C212" s="1">
        <f ca="1">IFERROR(__xludf.DUMMYFUNCTION("""COMPUTED_VALUE"""),0.72)</f>
        <v>0.72</v>
      </c>
      <c r="D212" s="1">
        <f ca="1">IFERROR(__xludf.DUMMYFUNCTION("""COMPUTED_VALUE"""),0.71)</f>
        <v>0.71</v>
      </c>
      <c r="E212" s="1">
        <f ca="1">IFERROR(__xludf.DUMMYFUNCTION("""COMPUTED_VALUE"""),0.72)</f>
        <v>0.72</v>
      </c>
      <c r="F212" s="1">
        <f ca="1">IFERROR(__xludf.DUMMYFUNCTION("""COMPUTED_VALUE"""),4752197)</f>
        <v>4752197</v>
      </c>
    </row>
    <row r="213" spans="1:6" x14ac:dyDescent="0.35">
      <c r="A213" s="2">
        <f ca="1">IFERROR(__xludf.DUMMYFUNCTION("""COMPUTED_VALUE"""),42311.6666666666)</f>
        <v>42311.666666666599</v>
      </c>
      <c r="B213" s="1">
        <f ca="1">IFERROR(__xludf.DUMMYFUNCTION("""COMPUTED_VALUE"""),0.71)</f>
        <v>0.71</v>
      </c>
      <c r="C213" s="1">
        <f ca="1">IFERROR(__xludf.DUMMYFUNCTION("""COMPUTED_VALUE"""),0.72)</f>
        <v>0.72</v>
      </c>
      <c r="D213" s="1">
        <f ca="1">IFERROR(__xludf.DUMMYFUNCTION("""COMPUTED_VALUE"""),0.7)</f>
        <v>0.7</v>
      </c>
      <c r="E213" s="1">
        <f ca="1">IFERROR(__xludf.DUMMYFUNCTION("""COMPUTED_VALUE"""),0.71)</f>
        <v>0.71</v>
      </c>
      <c r="F213" s="1">
        <f ca="1">IFERROR(__xludf.DUMMYFUNCTION("""COMPUTED_VALUE"""),9419230)</f>
        <v>9419230</v>
      </c>
    </row>
    <row r="214" spans="1:6" x14ac:dyDescent="0.35">
      <c r="A214" s="2">
        <f ca="1">IFERROR(__xludf.DUMMYFUNCTION("""COMPUTED_VALUE"""),42312.6666666666)</f>
        <v>42312.666666666599</v>
      </c>
      <c r="B214" s="1">
        <f ca="1">IFERROR(__xludf.DUMMYFUNCTION("""COMPUTED_VALUE"""),0.71)</f>
        <v>0.71</v>
      </c>
      <c r="C214" s="1">
        <f ca="1">IFERROR(__xludf.DUMMYFUNCTION("""COMPUTED_VALUE"""),0.72)</f>
        <v>0.72</v>
      </c>
      <c r="D214" s="1">
        <f ca="1">IFERROR(__xludf.DUMMYFUNCTION("""COMPUTED_VALUE"""),0.7)</f>
        <v>0.7</v>
      </c>
      <c r="E214" s="1">
        <f ca="1">IFERROR(__xludf.DUMMYFUNCTION("""COMPUTED_VALUE"""),0.7)</f>
        <v>0.7</v>
      </c>
      <c r="F214" s="1">
        <f ca="1">IFERROR(__xludf.DUMMYFUNCTION("""COMPUTED_VALUE"""),11056571)</f>
        <v>11056571</v>
      </c>
    </row>
    <row r="215" spans="1:6" x14ac:dyDescent="0.35">
      <c r="A215" s="2">
        <f ca="1">IFERROR(__xludf.DUMMYFUNCTION("""COMPUTED_VALUE"""),42313.6666666666)</f>
        <v>42313.666666666599</v>
      </c>
      <c r="B215" s="1">
        <f ca="1">IFERROR(__xludf.DUMMYFUNCTION("""COMPUTED_VALUE"""),0.7)</f>
        <v>0.7</v>
      </c>
      <c r="C215" s="1">
        <f ca="1">IFERROR(__xludf.DUMMYFUNCTION("""COMPUTED_VALUE"""),0.71)</f>
        <v>0.71</v>
      </c>
      <c r="D215" s="1">
        <f ca="1">IFERROR(__xludf.DUMMYFUNCTION("""COMPUTED_VALUE"""),0.69)</f>
        <v>0.69</v>
      </c>
      <c r="E215" s="1">
        <f ca="1">IFERROR(__xludf.DUMMYFUNCTION("""COMPUTED_VALUE"""),0.69)</f>
        <v>0.69</v>
      </c>
      <c r="F215" s="1">
        <f ca="1">IFERROR(__xludf.DUMMYFUNCTION("""COMPUTED_VALUE"""),11969974)</f>
        <v>11969974</v>
      </c>
    </row>
    <row r="216" spans="1:6" x14ac:dyDescent="0.35">
      <c r="A216" s="2">
        <f ca="1">IFERROR(__xludf.DUMMYFUNCTION("""COMPUTED_VALUE"""),42314.6666666666)</f>
        <v>42314.666666666599</v>
      </c>
      <c r="B216" s="1">
        <f ca="1">IFERROR(__xludf.DUMMYFUNCTION("""COMPUTED_VALUE"""),0.76)</f>
        <v>0.76</v>
      </c>
      <c r="C216" s="1">
        <f ca="1">IFERROR(__xludf.DUMMYFUNCTION("""COMPUTED_VALUE"""),0.8)</f>
        <v>0.8</v>
      </c>
      <c r="D216" s="1">
        <f ca="1">IFERROR(__xludf.DUMMYFUNCTION("""COMPUTED_VALUE"""),0.75)</f>
        <v>0.75</v>
      </c>
      <c r="E216" s="1">
        <f ca="1">IFERROR(__xludf.DUMMYFUNCTION("""COMPUTED_VALUE"""),0.79)</f>
        <v>0.79</v>
      </c>
      <c r="F216" s="1">
        <f ca="1">IFERROR(__xludf.DUMMYFUNCTION("""COMPUTED_VALUE"""),29306777)</f>
        <v>29306777</v>
      </c>
    </row>
    <row r="217" spans="1:6" x14ac:dyDescent="0.35">
      <c r="A217" s="2">
        <f ca="1">IFERROR(__xludf.DUMMYFUNCTION("""COMPUTED_VALUE"""),42317.6666666666)</f>
        <v>42317.666666666599</v>
      </c>
      <c r="B217" s="1">
        <f ca="1">IFERROR(__xludf.DUMMYFUNCTION("""COMPUTED_VALUE"""),0.78)</f>
        <v>0.78</v>
      </c>
      <c r="C217" s="1">
        <f ca="1">IFERROR(__xludf.DUMMYFUNCTION("""COMPUTED_VALUE"""),0.79)</f>
        <v>0.79</v>
      </c>
      <c r="D217" s="1">
        <f ca="1">IFERROR(__xludf.DUMMYFUNCTION("""COMPUTED_VALUE"""),0.77)</f>
        <v>0.77</v>
      </c>
      <c r="E217" s="1">
        <f ca="1">IFERROR(__xludf.DUMMYFUNCTION("""COMPUTED_VALUE"""),0.79)</f>
        <v>0.79</v>
      </c>
      <c r="F217" s="1">
        <f ca="1">IFERROR(__xludf.DUMMYFUNCTION("""COMPUTED_VALUE"""),12314225)</f>
        <v>12314225</v>
      </c>
    </row>
    <row r="218" spans="1:6" x14ac:dyDescent="0.35">
      <c r="A218" s="2">
        <f ca="1">IFERROR(__xludf.DUMMYFUNCTION("""COMPUTED_VALUE"""),42318.6666666666)</f>
        <v>42318.666666666599</v>
      </c>
      <c r="B218" s="1">
        <f ca="1">IFERROR(__xludf.DUMMYFUNCTION("""COMPUTED_VALUE"""),0.78)</f>
        <v>0.78</v>
      </c>
      <c r="C218" s="1">
        <f ca="1">IFERROR(__xludf.DUMMYFUNCTION("""COMPUTED_VALUE"""),0.78)</f>
        <v>0.78</v>
      </c>
      <c r="D218" s="1">
        <f ca="1">IFERROR(__xludf.DUMMYFUNCTION("""COMPUTED_VALUE"""),0.75)</f>
        <v>0.75</v>
      </c>
      <c r="E218" s="1">
        <f ca="1">IFERROR(__xludf.DUMMYFUNCTION("""COMPUTED_VALUE"""),0.77)</f>
        <v>0.77</v>
      </c>
      <c r="F218" s="1">
        <f ca="1">IFERROR(__xludf.DUMMYFUNCTION("""COMPUTED_VALUE"""),13806497)</f>
        <v>13806497</v>
      </c>
    </row>
    <row r="219" spans="1:6" x14ac:dyDescent="0.35">
      <c r="A219" s="2">
        <f ca="1">IFERROR(__xludf.DUMMYFUNCTION("""COMPUTED_VALUE"""),42319.6666666666)</f>
        <v>42319.666666666599</v>
      </c>
      <c r="B219" s="1">
        <f ca="1">IFERROR(__xludf.DUMMYFUNCTION("""COMPUTED_VALUE"""),0.77)</f>
        <v>0.77</v>
      </c>
      <c r="C219" s="1">
        <f ca="1">IFERROR(__xludf.DUMMYFUNCTION("""COMPUTED_VALUE"""),0.78)</f>
        <v>0.78</v>
      </c>
      <c r="D219" s="1">
        <f ca="1">IFERROR(__xludf.DUMMYFUNCTION("""COMPUTED_VALUE"""),0.76)</f>
        <v>0.76</v>
      </c>
      <c r="E219" s="1">
        <f ca="1">IFERROR(__xludf.DUMMYFUNCTION("""COMPUTED_VALUE"""),0.76)</f>
        <v>0.76</v>
      </c>
      <c r="F219" s="1">
        <f ca="1">IFERROR(__xludf.DUMMYFUNCTION("""COMPUTED_VALUE"""),15503157)</f>
        <v>15503157</v>
      </c>
    </row>
    <row r="220" spans="1:6" x14ac:dyDescent="0.35">
      <c r="A220" s="2">
        <f ca="1">IFERROR(__xludf.DUMMYFUNCTION("""COMPUTED_VALUE"""),42320.6666666666)</f>
        <v>42320.666666666599</v>
      </c>
      <c r="B220" s="1">
        <f ca="1">IFERROR(__xludf.DUMMYFUNCTION("""COMPUTED_VALUE"""),0.76)</f>
        <v>0.76</v>
      </c>
      <c r="C220" s="1">
        <f ca="1">IFERROR(__xludf.DUMMYFUNCTION("""COMPUTED_VALUE"""),0.77)</f>
        <v>0.77</v>
      </c>
      <c r="D220" s="1">
        <f ca="1">IFERROR(__xludf.DUMMYFUNCTION("""COMPUTED_VALUE"""),0.76)</f>
        <v>0.76</v>
      </c>
      <c r="E220" s="1">
        <f ca="1">IFERROR(__xludf.DUMMYFUNCTION("""COMPUTED_VALUE"""),0.76)</f>
        <v>0.76</v>
      </c>
      <c r="F220" s="1">
        <f ca="1">IFERROR(__xludf.DUMMYFUNCTION("""COMPUTED_VALUE"""),7277017)</f>
        <v>7277017</v>
      </c>
    </row>
    <row r="221" spans="1:6" x14ac:dyDescent="0.35">
      <c r="A221" s="2">
        <f ca="1">IFERROR(__xludf.DUMMYFUNCTION("""COMPUTED_VALUE"""),42321.6666666666)</f>
        <v>42321.666666666599</v>
      </c>
      <c r="B221" s="1">
        <f ca="1">IFERROR(__xludf.DUMMYFUNCTION("""COMPUTED_VALUE"""),0.76)</f>
        <v>0.76</v>
      </c>
      <c r="C221" s="1">
        <f ca="1">IFERROR(__xludf.DUMMYFUNCTION("""COMPUTED_VALUE"""),0.76)</f>
        <v>0.76</v>
      </c>
      <c r="D221" s="1">
        <f ca="1">IFERROR(__xludf.DUMMYFUNCTION("""COMPUTED_VALUE"""),0.74)</f>
        <v>0.74</v>
      </c>
      <c r="E221" s="1">
        <f ca="1">IFERROR(__xludf.DUMMYFUNCTION("""COMPUTED_VALUE"""),0.75)</f>
        <v>0.75</v>
      </c>
      <c r="F221" s="1">
        <f ca="1">IFERROR(__xludf.DUMMYFUNCTION("""COMPUTED_VALUE"""),7323501)</f>
        <v>7323501</v>
      </c>
    </row>
    <row r="222" spans="1:6" x14ac:dyDescent="0.35">
      <c r="A222" s="2">
        <f ca="1">IFERROR(__xludf.DUMMYFUNCTION("""COMPUTED_VALUE"""),42324.6666666666)</f>
        <v>42324.666666666599</v>
      </c>
      <c r="B222" s="1">
        <f ca="1">IFERROR(__xludf.DUMMYFUNCTION("""COMPUTED_VALUE"""),0.75)</f>
        <v>0.75</v>
      </c>
      <c r="C222" s="1">
        <f ca="1">IFERROR(__xludf.DUMMYFUNCTION("""COMPUTED_VALUE"""),0.76)</f>
        <v>0.76</v>
      </c>
      <c r="D222" s="1">
        <f ca="1">IFERROR(__xludf.DUMMYFUNCTION("""COMPUTED_VALUE"""),0.75)</f>
        <v>0.75</v>
      </c>
      <c r="E222" s="1">
        <f ca="1">IFERROR(__xludf.DUMMYFUNCTION("""COMPUTED_VALUE"""),0.76)</f>
        <v>0.76</v>
      </c>
      <c r="F222" s="1">
        <f ca="1">IFERROR(__xludf.DUMMYFUNCTION("""COMPUTED_VALUE"""),8607008)</f>
        <v>8607008</v>
      </c>
    </row>
    <row r="223" spans="1:6" x14ac:dyDescent="0.35">
      <c r="A223" s="2">
        <f ca="1">IFERROR(__xludf.DUMMYFUNCTION("""COMPUTED_VALUE"""),42325.6666666666)</f>
        <v>42325.666666666599</v>
      </c>
      <c r="B223" s="1">
        <f ca="1">IFERROR(__xludf.DUMMYFUNCTION("""COMPUTED_VALUE"""),0.76)</f>
        <v>0.76</v>
      </c>
      <c r="C223" s="1">
        <f ca="1">IFERROR(__xludf.DUMMYFUNCTION("""COMPUTED_VALUE"""),0.77)</f>
        <v>0.77</v>
      </c>
      <c r="D223" s="1">
        <f ca="1">IFERROR(__xludf.DUMMYFUNCTION("""COMPUTED_VALUE"""),0.76)</f>
        <v>0.76</v>
      </c>
      <c r="E223" s="1">
        <f ca="1">IFERROR(__xludf.DUMMYFUNCTION("""COMPUTED_VALUE"""),0.76)</f>
        <v>0.76</v>
      </c>
      <c r="F223" s="1">
        <f ca="1">IFERROR(__xludf.DUMMYFUNCTION("""COMPUTED_VALUE"""),6426235)</f>
        <v>6426235</v>
      </c>
    </row>
    <row r="224" spans="1:6" x14ac:dyDescent="0.35">
      <c r="A224" s="2">
        <f ca="1">IFERROR(__xludf.DUMMYFUNCTION("""COMPUTED_VALUE"""),42326.6666666666)</f>
        <v>42326.666666666599</v>
      </c>
      <c r="B224" s="1">
        <f ca="1">IFERROR(__xludf.DUMMYFUNCTION("""COMPUTED_VALUE"""),0.76)</f>
        <v>0.76</v>
      </c>
      <c r="C224" s="1">
        <f ca="1">IFERROR(__xludf.DUMMYFUNCTION("""COMPUTED_VALUE"""),0.78)</f>
        <v>0.78</v>
      </c>
      <c r="D224" s="1">
        <f ca="1">IFERROR(__xludf.DUMMYFUNCTION("""COMPUTED_VALUE"""),0.75)</f>
        <v>0.75</v>
      </c>
      <c r="E224" s="1">
        <f ca="1">IFERROR(__xludf.DUMMYFUNCTION("""COMPUTED_VALUE"""),0.78)</f>
        <v>0.78</v>
      </c>
      <c r="F224" s="1">
        <f ca="1">IFERROR(__xludf.DUMMYFUNCTION("""COMPUTED_VALUE"""),8755358)</f>
        <v>8755358</v>
      </c>
    </row>
    <row r="225" spans="1:6" x14ac:dyDescent="0.35">
      <c r="A225" s="2">
        <f ca="1">IFERROR(__xludf.DUMMYFUNCTION("""COMPUTED_VALUE"""),42327.6666666666)</f>
        <v>42327.666666666599</v>
      </c>
      <c r="B225" s="1">
        <f ca="1">IFERROR(__xludf.DUMMYFUNCTION("""COMPUTED_VALUE"""),0.78)</f>
        <v>0.78</v>
      </c>
      <c r="C225" s="1">
        <f ca="1">IFERROR(__xludf.DUMMYFUNCTION("""COMPUTED_VALUE"""),0.79)</f>
        <v>0.79</v>
      </c>
      <c r="D225" s="1">
        <f ca="1">IFERROR(__xludf.DUMMYFUNCTION("""COMPUTED_VALUE"""),0.77)</f>
        <v>0.77</v>
      </c>
      <c r="E225" s="1">
        <f ca="1">IFERROR(__xludf.DUMMYFUNCTION("""COMPUTED_VALUE"""),0.78)</f>
        <v>0.78</v>
      </c>
      <c r="F225" s="1">
        <f ca="1">IFERROR(__xludf.DUMMYFUNCTION("""COMPUTED_VALUE"""),6351803)</f>
        <v>6351803</v>
      </c>
    </row>
    <row r="226" spans="1:6" x14ac:dyDescent="0.35">
      <c r="A226" s="2">
        <f ca="1">IFERROR(__xludf.DUMMYFUNCTION("""COMPUTED_VALUE"""),42328.6666666666)</f>
        <v>42328.666666666599</v>
      </c>
      <c r="B226" s="1">
        <f ca="1">IFERROR(__xludf.DUMMYFUNCTION("""COMPUTED_VALUE"""),0.78)</f>
        <v>0.78</v>
      </c>
      <c r="C226" s="1">
        <f ca="1">IFERROR(__xludf.DUMMYFUNCTION("""COMPUTED_VALUE"""),0.79)</f>
        <v>0.79</v>
      </c>
      <c r="D226" s="1">
        <f ca="1">IFERROR(__xludf.DUMMYFUNCTION("""COMPUTED_VALUE"""),0.78)</f>
        <v>0.78</v>
      </c>
      <c r="E226" s="1">
        <f ca="1">IFERROR(__xludf.DUMMYFUNCTION("""COMPUTED_VALUE"""),0.78)</f>
        <v>0.78</v>
      </c>
      <c r="F226" s="1">
        <f ca="1">IFERROR(__xludf.DUMMYFUNCTION("""COMPUTED_VALUE"""),5993587)</f>
        <v>5993587</v>
      </c>
    </row>
    <row r="227" spans="1:6" x14ac:dyDescent="0.35">
      <c r="A227" s="2">
        <f ca="1">IFERROR(__xludf.DUMMYFUNCTION("""COMPUTED_VALUE"""),42331.6666666666)</f>
        <v>42331.666666666599</v>
      </c>
      <c r="B227" s="1">
        <f ca="1">IFERROR(__xludf.DUMMYFUNCTION("""COMPUTED_VALUE"""),0.79)</f>
        <v>0.79</v>
      </c>
      <c r="C227" s="1">
        <f ca="1">IFERROR(__xludf.DUMMYFUNCTION("""COMPUTED_VALUE"""),0.79)</f>
        <v>0.79</v>
      </c>
      <c r="D227" s="1">
        <f ca="1">IFERROR(__xludf.DUMMYFUNCTION("""COMPUTED_VALUE"""),0.77)</f>
        <v>0.77</v>
      </c>
      <c r="E227" s="1">
        <f ca="1">IFERROR(__xludf.DUMMYFUNCTION("""COMPUTED_VALUE"""),0.77)</f>
        <v>0.77</v>
      </c>
      <c r="F227" s="1">
        <f ca="1">IFERROR(__xludf.DUMMYFUNCTION("""COMPUTED_VALUE"""),6063751)</f>
        <v>6063751</v>
      </c>
    </row>
    <row r="228" spans="1:6" x14ac:dyDescent="0.35">
      <c r="A228" s="2">
        <f ca="1">IFERROR(__xludf.DUMMYFUNCTION("""COMPUTED_VALUE"""),42332.6666666666)</f>
        <v>42332.666666666599</v>
      </c>
      <c r="B228" s="1">
        <f ca="1">IFERROR(__xludf.DUMMYFUNCTION("""COMPUTED_VALUE"""),0.77)</f>
        <v>0.77</v>
      </c>
      <c r="C228" s="1">
        <f ca="1">IFERROR(__xludf.DUMMYFUNCTION("""COMPUTED_VALUE"""),0.79)</f>
        <v>0.79</v>
      </c>
      <c r="D228" s="1">
        <f ca="1">IFERROR(__xludf.DUMMYFUNCTION("""COMPUTED_VALUE"""),0.77)</f>
        <v>0.77</v>
      </c>
      <c r="E228" s="1">
        <f ca="1">IFERROR(__xludf.DUMMYFUNCTION("""COMPUTED_VALUE"""),0.78)</f>
        <v>0.78</v>
      </c>
      <c r="F228" s="1">
        <f ca="1">IFERROR(__xludf.DUMMYFUNCTION("""COMPUTED_VALUE"""),4885692)</f>
        <v>4885692</v>
      </c>
    </row>
    <row r="229" spans="1:6" x14ac:dyDescent="0.35">
      <c r="A229" s="2">
        <f ca="1">IFERROR(__xludf.DUMMYFUNCTION("""COMPUTED_VALUE"""),42333.6666666666)</f>
        <v>42333.666666666599</v>
      </c>
      <c r="B229" s="1">
        <f ca="1">IFERROR(__xludf.DUMMYFUNCTION("""COMPUTED_VALUE"""),0.78)</f>
        <v>0.78</v>
      </c>
      <c r="C229" s="1">
        <f ca="1">IFERROR(__xludf.DUMMYFUNCTION("""COMPUTED_VALUE"""),0.79)</f>
        <v>0.79</v>
      </c>
      <c r="D229" s="1">
        <f ca="1">IFERROR(__xludf.DUMMYFUNCTION("""COMPUTED_VALUE"""),0.78)</f>
        <v>0.78</v>
      </c>
      <c r="E229" s="1">
        <f ca="1">IFERROR(__xludf.DUMMYFUNCTION("""COMPUTED_VALUE"""),0.78)</f>
        <v>0.78</v>
      </c>
      <c r="F229" s="1">
        <f ca="1">IFERROR(__xludf.DUMMYFUNCTION("""COMPUTED_VALUE"""),3457476)</f>
        <v>3457476</v>
      </c>
    </row>
    <row r="230" spans="1:6" x14ac:dyDescent="0.35">
      <c r="A230" s="2">
        <f ca="1">IFERROR(__xludf.DUMMYFUNCTION("""COMPUTED_VALUE"""),42335.6666666666)</f>
        <v>42335.666666666599</v>
      </c>
      <c r="B230" s="1">
        <f ca="1">IFERROR(__xludf.DUMMYFUNCTION("""COMPUTED_VALUE"""),0.78)</f>
        <v>0.78</v>
      </c>
      <c r="C230" s="1">
        <f ca="1">IFERROR(__xludf.DUMMYFUNCTION("""COMPUTED_VALUE"""),0.79)</f>
        <v>0.79</v>
      </c>
      <c r="D230" s="1">
        <f ca="1">IFERROR(__xludf.DUMMYFUNCTION("""COMPUTED_VALUE"""),0.78)</f>
        <v>0.78</v>
      </c>
      <c r="E230" s="1">
        <f ca="1">IFERROR(__xludf.DUMMYFUNCTION("""COMPUTED_VALUE"""),0.78)</f>
        <v>0.78</v>
      </c>
      <c r="F230" s="1">
        <f ca="1">IFERROR(__xludf.DUMMYFUNCTION("""COMPUTED_VALUE"""),2175202)</f>
        <v>2175202</v>
      </c>
    </row>
    <row r="231" spans="1:6" x14ac:dyDescent="0.35">
      <c r="A231" s="2">
        <f ca="1">IFERROR(__xludf.DUMMYFUNCTION("""COMPUTED_VALUE"""),42338.6666666666)</f>
        <v>42338.666666666599</v>
      </c>
      <c r="B231" s="1">
        <f ca="1">IFERROR(__xludf.DUMMYFUNCTION("""COMPUTED_VALUE"""),0.79)</f>
        <v>0.79</v>
      </c>
      <c r="C231" s="1">
        <f ca="1">IFERROR(__xludf.DUMMYFUNCTION("""COMPUTED_VALUE"""),0.8)</f>
        <v>0.8</v>
      </c>
      <c r="D231" s="1">
        <f ca="1">IFERROR(__xludf.DUMMYFUNCTION("""COMPUTED_VALUE"""),0.78)</f>
        <v>0.78</v>
      </c>
      <c r="E231" s="1">
        <f ca="1">IFERROR(__xludf.DUMMYFUNCTION("""COMPUTED_VALUE"""),0.79)</f>
        <v>0.79</v>
      </c>
      <c r="F231" s="1">
        <f ca="1">IFERROR(__xludf.DUMMYFUNCTION("""COMPUTED_VALUE"""),8181080)</f>
        <v>8181080</v>
      </c>
    </row>
    <row r="232" spans="1:6" x14ac:dyDescent="0.35">
      <c r="A232" s="2">
        <f ca="1">IFERROR(__xludf.DUMMYFUNCTION("""COMPUTED_VALUE"""),42339.6666666666)</f>
        <v>42339.666666666599</v>
      </c>
      <c r="B232" s="1">
        <f ca="1">IFERROR(__xludf.DUMMYFUNCTION("""COMPUTED_VALUE"""),0.8)</f>
        <v>0.8</v>
      </c>
      <c r="C232" s="1">
        <f ca="1">IFERROR(__xludf.DUMMYFUNCTION("""COMPUTED_VALUE"""),0.82)</f>
        <v>0.82</v>
      </c>
      <c r="D232" s="1">
        <f ca="1">IFERROR(__xludf.DUMMYFUNCTION("""COMPUTED_VALUE"""),0.8)</f>
        <v>0.8</v>
      </c>
      <c r="E232" s="1">
        <f ca="1">IFERROR(__xludf.DUMMYFUNCTION("""COMPUTED_VALUE"""),0.82)</f>
        <v>0.82</v>
      </c>
      <c r="F232" s="1">
        <f ca="1">IFERROR(__xludf.DUMMYFUNCTION("""COMPUTED_VALUE"""),10237433)</f>
        <v>10237433</v>
      </c>
    </row>
    <row r="233" spans="1:6" x14ac:dyDescent="0.35">
      <c r="A233" s="2">
        <f ca="1">IFERROR(__xludf.DUMMYFUNCTION("""COMPUTED_VALUE"""),42340.6666666666)</f>
        <v>42340.666666666599</v>
      </c>
      <c r="B233" s="1">
        <f ca="1">IFERROR(__xludf.DUMMYFUNCTION("""COMPUTED_VALUE"""),0.82)</f>
        <v>0.82</v>
      </c>
      <c r="C233" s="1">
        <f ca="1">IFERROR(__xludf.DUMMYFUNCTION("""COMPUTED_VALUE"""),0.83)</f>
        <v>0.83</v>
      </c>
      <c r="D233" s="1">
        <f ca="1">IFERROR(__xludf.DUMMYFUNCTION("""COMPUTED_VALUE"""),0.81)</f>
        <v>0.81</v>
      </c>
      <c r="E233" s="1">
        <f ca="1">IFERROR(__xludf.DUMMYFUNCTION("""COMPUTED_VALUE"""),0.81)</f>
        <v>0.81</v>
      </c>
      <c r="F233" s="1">
        <f ca="1">IFERROR(__xludf.DUMMYFUNCTION("""COMPUTED_VALUE"""),7356004)</f>
        <v>7356004</v>
      </c>
    </row>
    <row r="234" spans="1:6" x14ac:dyDescent="0.35">
      <c r="A234" s="2">
        <f ca="1">IFERROR(__xludf.DUMMYFUNCTION("""COMPUTED_VALUE"""),42341.6666666666)</f>
        <v>42341.666666666599</v>
      </c>
      <c r="B234" s="1">
        <f ca="1">IFERROR(__xludf.DUMMYFUNCTION("""COMPUTED_VALUE"""),0.82)</f>
        <v>0.82</v>
      </c>
      <c r="C234" s="1">
        <f ca="1">IFERROR(__xludf.DUMMYFUNCTION("""COMPUTED_VALUE"""),0.83)</f>
        <v>0.83</v>
      </c>
      <c r="D234" s="1">
        <f ca="1">IFERROR(__xludf.DUMMYFUNCTION("""COMPUTED_VALUE"""),0.81)</f>
        <v>0.81</v>
      </c>
      <c r="E234" s="1">
        <f ca="1">IFERROR(__xludf.DUMMYFUNCTION("""COMPUTED_VALUE"""),0.81)</f>
        <v>0.81</v>
      </c>
      <c r="F234" s="1">
        <f ca="1">IFERROR(__xludf.DUMMYFUNCTION("""COMPUTED_VALUE"""),6166405)</f>
        <v>6166405</v>
      </c>
    </row>
    <row r="235" spans="1:6" x14ac:dyDescent="0.35">
      <c r="A235" s="2">
        <f ca="1">IFERROR(__xludf.DUMMYFUNCTION("""COMPUTED_VALUE"""),42342.6666666666)</f>
        <v>42342.666666666599</v>
      </c>
      <c r="B235" s="1">
        <f ca="1">IFERROR(__xludf.DUMMYFUNCTION("""COMPUTED_VALUE"""),0.81)</f>
        <v>0.81</v>
      </c>
      <c r="C235" s="1">
        <f ca="1">IFERROR(__xludf.DUMMYFUNCTION("""COMPUTED_VALUE"""),0.85)</f>
        <v>0.85</v>
      </c>
      <c r="D235" s="1">
        <f ca="1">IFERROR(__xludf.DUMMYFUNCTION("""COMPUTED_VALUE"""),0.81)</f>
        <v>0.81</v>
      </c>
      <c r="E235" s="1">
        <f ca="1">IFERROR(__xludf.DUMMYFUNCTION("""COMPUTED_VALUE"""),0.84)</f>
        <v>0.84</v>
      </c>
      <c r="F235" s="1">
        <f ca="1">IFERROR(__xludf.DUMMYFUNCTION("""COMPUTED_VALUE"""),11468924)</f>
        <v>11468924</v>
      </c>
    </row>
    <row r="236" spans="1:6" x14ac:dyDescent="0.35">
      <c r="A236" s="2">
        <f ca="1">IFERROR(__xludf.DUMMYFUNCTION("""COMPUTED_VALUE"""),42345.6666666666)</f>
        <v>42345.666666666599</v>
      </c>
      <c r="B236" s="1">
        <f ca="1">IFERROR(__xludf.DUMMYFUNCTION("""COMPUTED_VALUE"""),0.84)</f>
        <v>0.84</v>
      </c>
      <c r="C236" s="1">
        <f ca="1">IFERROR(__xludf.DUMMYFUNCTION("""COMPUTED_VALUE"""),0.84)</f>
        <v>0.84</v>
      </c>
      <c r="D236" s="1">
        <f ca="1">IFERROR(__xludf.DUMMYFUNCTION("""COMPUTED_VALUE"""),0.83)</f>
        <v>0.83</v>
      </c>
      <c r="E236" s="1">
        <f ca="1">IFERROR(__xludf.DUMMYFUNCTION("""COMPUTED_VALUE"""),0.83)</f>
        <v>0.83</v>
      </c>
      <c r="F236" s="1">
        <f ca="1">IFERROR(__xludf.DUMMYFUNCTION("""COMPUTED_VALUE"""),8339679)</f>
        <v>8339679</v>
      </c>
    </row>
    <row r="237" spans="1:6" x14ac:dyDescent="0.35">
      <c r="A237" s="2">
        <f ca="1">IFERROR(__xludf.DUMMYFUNCTION("""COMPUTED_VALUE"""),42346.6666666666)</f>
        <v>42346.666666666599</v>
      </c>
      <c r="B237" s="1">
        <f ca="1">IFERROR(__xludf.DUMMYFUNCTION("""COMPUTED_VALUE"""),0.82)</f>
        <v>0.82</v>
      </c>
      <c r="C237" s="1">
        <f ca="1">IFERROR(__xludf.DUMMYFUNCTION("""COMPUTED_VALUE"""),0.84)</f>
        <v>0.84</v>
      </c>
      <c r="D237" s="1">
        <f ca="1">IFERROR(__xludf.DUMMYFUNCTION("""COMPUTED_VALUE"""),0.81)</f>
        <v>0.81</v>
      </c>
      <c r="E237" s="1">
        <f ca="1">IFERROR(__xludf.DUMMYFUNCTION("""COMPUTED_VALUE"""),0.84)</f>
        <v>0.84</v>
      </c>
      <c r="F237" s="1">
        <f ca="1">IFERROR(__xludf.DUMMYFUNCTION("""COMPUTED_VALUE"""),7862233)</f>
        <v>7862233</v>
      </c>
    </row>
    <row r="238" spans="1:6" x14ac:dyDescent="0.35">
      <c r="A238" s="2">
        <f ca="1">IFERROR(__xludf.DUMMYFUNCTION("""COMPUTED_VALUE"""),42347.6666666666)</f>
        <v>42347.666666666599</v>
      </c>
      <c r="B238" s="1">
        <f ca="1">IFERROR(__xludf.DUMMYFUNCTION("""COMPUTED_VALUE"""),0.84)</f>
        <v>0.84</v>
      </c>
      <c r="C238" s="1">
        <f ca="1">IFERROR(__xludf.DUMMYFUNCTION("""COMPUTED_VALUE"""),0.84)</f>
        <v>0.84</v>
      </c>
      <c r="D238" s="1">
        <f ca="1">IFERROR(__xludf.DUMMYFUNCTION("""COMPUTED_VALUE"""),0.81)</f>
        <v>0.81</v>
      </c>
      <c r="E238" s="1">
        <f ca="1">IFERROR(__xludf.DUMMYFUNCTION("""COMPUTED_VALUE"""),0.82)</f>
        <v>0.82</v>
      </c>
      <c r="F238" s="1">
        <f ca="1">IFERROR(__xludf.DUMMYFUNCTION("""COMPUTED_VALUE"""),9316871)</f>
        <v>9316871</v>
      </c>
    </row>
    <row r="239" spans="1:6" x14ac:dyDescent="0.35">
      <c r="A239" s="2">
        <f ca="1">IFERROR(__xludf.DUMMYFUNCTION("""COMPUTED_VALUE"""),42348.6666666666)</f>
        <v>42348.666666666599</v>
      </c>
      <c r="B239" s="1">
        <f ca="1">IFERROR(__xludf.DUMMYFUNCTION("""COMPUTED_VALUE"""),0.82)</f>
        <v>0.82</v>
      </c>
      <c r="C239" s="1">
        <f ca="1">IFERROR(__xludf.DUMMYFUNCTION("""COMPUTED_VALUE"""),0.83)</f>
        <v>0.83</v>
      </c>
      <c r="D239" s="1">
        <f ca="1">IFERROR(__xludf.DUMMYFUNCTION("""COMPUTED_VALUE"""),0.82)</f>
        <v>0.82</v>
      </c>
      <c r="E239" s="1">
        <f ca="1">IFERROR(__xludf.DUMMYFUNCTION("""COMPUTED_VALUE"""),0.82)</f>
        <v>0.82</v>
      </c>
      <c r="F239" s="1">
        <f ca="1">IFERROR(__xludf.DUMMYFUNCTION("""COMPUTED_VALUE"""),5914923)</f>
        <v>5914923</v>
      </c>
    </row>
    <row r="240" spans="1:6" x14ac:dyDescent="0.35">
      <c r="A240" s="2">
        <f ca="1">IFERROR(__xludf.DUMMYFUNCTION("""COMPUTED_VALUE"""),42349.6666666666)</f>
        <v>42349.666666666599</v>
      </c>
      <c r="B240" s="1">
        <f ca="1">IFERROR(__xludf.DUMMYFUNCTION("""COMPUTED_VALUE"""),0.82)</f>
        <v>0.82</v>
      </c>
      <c r="C240" s="1">
        <f ca="1">IFERROR(__xludf.DUMMYFUNCTION("""COMPUTED_VALUE"""),0.82)</f>
        <v>0.82</v>
      </c>
      <c r="D240" s="1">
        <f ca="1">IFERROR(__xludf.DUMMYFUNCTION("""COMPUTED_VALUE"""),0.81)</f>
        <v>0.81</v>
      </c>
      <c r="E240" s="1">
        <f ca="1">IFERROR(__xludf.DUMMYFUNCTION("""COMPUTED_VALUE"""),0.81)</f>
        <v>0.81</v>
      </c>
      <c r="F240" s="1">
        <f ca="1">IFERROR(__xludf.DUMMYFUNCTION("""COMPUTED_VALUE"""),5683038)</f>
        <v>5683038</v>
      </c>
    </row>
    <row r="241" spans="1:6" x14ac:dyDescent="0.35">
      <c r="A241" s="2">
        <f ca="1">IFERROR(__xludf.DUMMYFUNCTION("""COMPUTED_VALUE"""),42352.6666666666)</f>
        <v>42352.666666666599</v>
      </c>
      <c r="B241" s="1">
        <f ca="1">IFERROR(__xludf.DUMMYFUNCTION("""COMPUTED_VALUE"""),0.81)</f>
        <v>0.81</v>
      </c>
      <c r="C241" s="1">
        <f ca="1">IFERROR(__xludf.DUMMYFUNCTION("""COMPUTED_VALUE"""),0.82)</f>
        <v>0.82</v>
      </c>
      <c r="D241" s="1">
        <f ca="1">IFERROR(__xludf.DUMMYFUNCTION("""COMPUTED_VALUE"""),0.8)</f>
        <v>0.8</v>
      </c>
      <c r="E241" s="1">
        <f ca="1">IFERROR(__xludf.DUMMYFUNCTION("""COMPUTED_VALUE"""),0.81)</f>
        <v>0.81</v>
      </c>
      <c r="F241" s="1">
        <f ca="1">IFERROR(__xludf.DUMMYFUNCTION("""COMPUTED_VALUE"""),6908645)</f>
        <v>6908645</v>
      </c>
    </row>
    <row r="242" spans="1:6" x14ac:dyDescent="0.35">
      <c r="A242" s="2">
        <f ca="1">IFERROR(__xludf.DUMMYFUNCTION("""COMPUTED_VALUE"""),42353.6666666666)</f>
        <v>42353.666666666599</v>
      </c>
      <c r="B242" s="1">
        <f ca="1">IFERROR(__xludf.DUMMYFUNCTION("""COMPUTED_VALUE"""),0.82)</f>
        <v>0.82</v>
      </c>
      <c r="C242" s="1">
        <f ca="1">IFERROR(__xludf.DUMMYFUNCTION("""COMPUTED_VALUE"""),0.83)</f>
        <v>0.83</v>
      </c>
      <c r="D242" s="1">
        <f ca="1">IFERROR(__xludf.DUMMYFUNCTION("""COMPUTED_VALUE"""),0.82)</f>
        <v>0.82</v>
      </c>
      <c r="E242" s="1">
        <f ca="1">IFERROR(__xludf.DUMMYFUNCTION("""COMPUTED_VALUE"""),0.82)</f>
        <v>0.82</v>
      </c>
      <c r="F242" s="1">
        <f ca="1">IFERROR(__xludf.DUMMYFUNCTION("""COMPUTED_VALUE"""),7682354)</f>
        <v>7682354</v>
      </c>
    </row>
    <row r="243" spans="1:6" x14ac:dyDescent="0.35">
      <c r="A243" s="2">
        <f ca="1">IFERROR(__xludf.DUMMYFUNCTION("""COMPUTED_VALUE"""),42354.6666666666)</f>
        <v>42354.666666666599</v>
      </c>
      <c r="B243" s="1">
        <f ca="1">IFERROR(__xludf.DUMMYFUNCTION("""COMPUTED_VALUE"""),0.83)</f>
        <v>0.83</v>
      </c>
      <c r="C243" s="1">
        <f ca="1">IFERROR(__xludf.DUMMYFUNCTION("""COMPUTED_VALUE"""),0.83)</f>
        <v>0.83</v>
      </c>
      <c r="D243" s="1">
        <f ca="1">IFERROR(__xludf.DUMMYFUNCTION("""COMPUTED_VALUE"""),0.82)</f>
        <v>0.82</v>
      </c>
      <c r="E243" s="1">
        <f ca="1">IFERROR(__xludf.DUMMYFUNCTION("""COMPUTED_VALUE"""),0.83)</f>
        <v>0.83</v>
      </c>
      <c r="F243" s="1">
        <f ca="1">IFERROR(__xludf.DUMMYFUNCTION("""COMPUTED_VALUE"""),5908874)</f>
        <v>5908874</v>
      </c>
    </row>
    <row r="244" spans="1:6" x14ac:dyDescent="0.35">
      <c r="A244" s="2">
        <f ca="1">IFERROR(__xludf.DUMMYFUNCTION("""COMPUTED_VALUE"""),42355.6666666666)</f>
        <v>42355.666666666599</v>
      </c>
      <c r="B244" s="1">
        <f ca="1">IFERROR(__xludf.DUMMYFUNCTION("""COMPUTED_VALUE"""),0.83)</f>
        <v>0.83</v>
      </c>
      <c r="C244" s="1">
        <f ca="1">IFERROR(__xludf.DUMMYFUNCTION("""COMPUTED_VALUE"""),0.84)</f>
        <v>0.84</v>
      </c>
      <c r="D244" s="1">
        <f ca="1">IFERROR(__xludf.DUMMYFUNCTION("""COMPUTED_VALUE"""),0.82)</f>
        <v>0.82</v>
      </c>
      <c r="E244" s="1">
        <f ca="1">IFERROR(__xludf.DUMMYFUNCTION("""COMPUTED_VALUE"""),0.82)</f>
        <v>0.82</v>
      </c>
      <c r="F244" s="1">
        <f ca="1">IFERROR(__xludf.DUMMYFUNCTION("""COMPUTED_VALUE"""),6354044)</f>
        <v>6354044</v>
      </c>
    </row>
    <row r="245" spans="1:6" x14ac:dyDescent="0.35">
      <c r="A245" s="2">
        <f ca="1">IFERROR(__xludf.DUMMYFUNCTION("""COMPUTED_VALUE"""),42356.6666666666)</f>
        <v>42356.666666666599</v>
      </c>
      <c r="B245" s="1">
        <f ca="1">IFERROR(__xludf.DUMMYFUNCTION("""COMPUTED_VALUE"""),0.81)</f>
        <v>0.81</v>
      </c>
      <c r="C245" s="1">
        <f ca="1">IFERROR(__xludf.DUMMYFUNCTION("""COMPUTED_VALUE"""),0.82)</f>
        <v>0.82</v>
      </c>
      <c r="D245" s="1">
        <f ca="1">IFERROR(__xludf.DUMMYFUNCTION("""COMPUTED_VALUE"""),0.8)</f>
        <v>0.8</v>
      </c>
      <c r="E245" s="1">
        <f ca="1">IFERROR(__xludf.DUMMYFUNCTION("""COMPUTED_VALUE"""),0.8)</f>
        <v>0.8</v>
      </c>
      <c r="F245" s="1">
        <f ca="1">IFERROR(__xludf.DUMMYFUNCTION("""COMPUTED_VALUE"""),9897424)</f>
        <v>9897424</v>
      </c>
    </row>
    <row r="246" spans="1:6" x14ac:dyDescent="0.35">
      <c r="A246" s="2">
        <f ca="1">IFERROR(__xludf.DUMMYFUNCTION("""COMPUTED_VALUE"""),42359.6666666666)</f>
        <v>42359.666666666599</v>
      </c>
      <c r="B246" s="1">
        <f ca="1">IFERROR(__xludf.DUMMYFUNCTION("""COMPUTED_VALUE"""),0.81)</f>
        <v>0.81</v>
      </c>
      <c r="C246" s="1">
        <f ca="1">IFERROR(__xludf.DUMMYFUNCTION("""COMPUTED_VALUE"""),0.82)</f>
        <v>0.82</v>
      </c>
      <c r="D246" s="1">
        <f ca="1">IFERROR(__xludf.DUMMYFUNCTION("""COMPUTED_VALUE"""),0.81)</f>
        <v>0.81</v>
      </c>
      <c r="E246" s="1">
        <f ca="1">IFERROR(__xludf.DUMMYFUNCTION("""COMPUTED_VALUE"""),0.82)</f>
        <v>0.82</v>
      </c>
      <c r="F246" s="1">
        <f ca="1">IFERROR(__xludf.DUMMYFUNCTION("""COMPUTED_VALUE"""),7105373)</f>
        <v>7105373</v>
      </c>
    </row>
    <row r="247" spans="1:6" x14ac:dyDescent="0.35">
      <c r="A247" s="2">
        <f ca="1">IFERROR(__xludf.DUMMYFUNCTION("""COMPUTED_VALUE"""),42360.6666666666)</f>
        <v>42360.666666666599</v>
      </c>
      <c r="B247" s="1">
        <f ca="1">IFERROR(__xludf.DUMMYFUNCTION("""COMPUTED_VALUE"""),0.83)</f>
        <v>0.83</v>
      </c>
      <c r="C247" s="1">
        <f ca="1">IFERROR(__xludf.DUMMYFUNCTION("""COMPUTED_VALUE"""),0.83)</f>
        <v>0.83</v>
      </c>
      <c r="D247" s="1">
        <f ca="1">IFERROR(__xludf.DUMMYFUNCTION("""COMPUTED_VALUE"""),0.82)</f>
        <v>0.82</v>
      </c>
      <c r="E247" s="1">
        <f ca="1">IFERROR(__xludf.DUMMYFUNCTION("""COMPUTED_VALUE"""),0.82)</f>
        <v>0.82</v>
      </c>
      <c r="F247" s="1">
        <f ca="1">IFERROR(__xludf.DUMMYFUNCTION("""COMPUTED_VALUE"""),3250269)</f>
        <v>3250269</v>
      </c>
    </row>
    <row r="248" spans="1:6" x14ac:dyDescent="0.35">
      <c r="A248" s="2">
        <f ca="1">IFERROR(__xludf.DUMMYFUNCTION("""COMPUTED_VALUE"""),42361.6666666666)</f>
        <v>42361.666666666599</v>
      </c>
      <c r="B248" s="1">
        <f ca="1">IFERROR(__xludf.DUMMYFUNCTION("""COMPUTED_VALUE"""),0.82)</f>
        <v>0.82</v>
      </c>
      <c r="C248" s="1">
        <f ca="1">IFERROR(__xludf.DUMMYFUNCTION("""COMPUTED_VALUE"""),0.83)</f>
        <v>0.83</v>
      </c>
      <c r="D248" s="1">
        <f ca="1">IFERROR(__xludf.DUMMYFUNCTION("""COMPUTED_VALUE"""),0.82)</f>
        <v>0.82</v>
      </c>
      <c r="E248" s="1">
        <f ca="1">IFERROR(__xludf.DUMMYFUNCTION("""COMPUTED_VALUE"""),0.83)</f>
        <v>0.83</v>
      </c>
      <c r="F248" s="1">
        <f ca="1">IFERROR(__xludf.DUMMYFUNCTION("""COMPUTED_VALUE"""),3063139)</f>
        <v>3063139</v>
      </c>
    </row>
    <row r="249" spans="1:6" x14ac:dyDescent="0.35">
      <c r="A249" s="2">
        <f ca="1">IFERROR(__xludf.DUMMYFUNCTION("""COMPUTED_VALUE"""),42362.6666666666)</f>
        <v>42362.666666666599</v>
      </c>
      <c r="B249" s="1">
        <f ca="1">IFERROR(__xludf.DUMMYFUNCTION("""COMPUTED_VALUE"""),0.82)</f>
        <v>0.82</v>
      </c>
      <c r="C249" s="1">
        <f ca="1">IFERROR(__xludf.DUMMYFUNCTION("""COMPUTED_VALUE"""),0.83)</f>
        <v>0.83</v>
      </c>
      <c r="D249" s="1">
        <f ca="1">IFERROR(__xludf.DUMMYFUNCTION("""COMPUTED_VALUE"""),0.82)</f>
        <v>0.82</v>
      </c>
      <c r="E249" s="1">
        <f ca="1">IFERROR(__xludf.DUMMYFUNCTION("""COMPUTED_VALUE"""),0.83)</f>
        <v>0.83</v>
      </c>
      <c r="F249" s="1">
        <f ca="1">IFERROR(__xludf.DUMMYFUNCTION("""COMPUTED_VALUE"""),1311231)</f>
        <v>1311231</v>
      </c>
    </row>
    <row r="250" spans="1:6" x14ac:dyDescent="0.35">
      <c r="A250" s="2">
        <f ca="1">IFERROR(__xludf.DUMMYFUNCTION("""COMPUTED_VALUE"""),42366.6666666666)</f>
        <v>42366.666666666599</v>
      </c>
      <c r="B250" s="1">
        <f ca="1">IFERROR(__xludf.DUMMYFUNCTION("""COMPUTED_VALUE"""),0.82)</f>
        <v>0.82</v>
      </c>
      <c r="C250" s="1">
        <f ca="1">IFERROR(__xludf.DUMMYFUNCTION("""COMPUTED_VALUE"""),0.83)</f>
        <v>0.83</v>
      </c>
      <c r="D250" s="1">
        <f ca="1">IFERROR(__xludf.DUMMYFUNCTION("""COMPUTED_VALUE"""),0.81)</f>
        <v>0.81</v>
      </c>
      <c r="E250" s="1">
        <f ca="1">IFERROR(__xludf.DUMMYFUNCTION("""COMPUTED_VALUE"""),0.83)</f>
        <v>0.83</v>
      </c>
      <c r="F250" s="1">
        <f ca="1">IFERROR(__xludf.DUMMYFUNCTION("""COMPUTED_VALUE"""),3550703)</f>
        <v>3550703</v>
      </c>
    </row>
    <row r="251" spans="1:6" x14ac:dyDescent="0.35">
      <c r="A251" s="2">
        <f ca="1">IFERROR(__xludf.DUMMYFUNCTION("""COMPUTED_VALUE"""),42367.6666666666)</f>
        <v>42367.666666666599</v>
      </c>
      <c r="B251" s="1">
        <f ca="1">IFERROR(__xludf.DUMMYFUNCTION("""COMPUTED_VALUE"""),0.83)</f>
        <v>0.83</v>
      </c>
      <c r="C251" s="1">
        <f ca="1">IFERROR(__xludf.DUMMYFUNCTION("""COMPUTED_VALUE"""),0.84)</f>
        <v>0.84</v>
      </c>
      <c r="D251" s="1">
        <f ca="1">IFERROR(__xludf.DUMMYFUNCTION("""COMPUTED_VALUE"""),0.83)</f>
        <v>0.83</v>
      </c>
      <c r="E251" s="1">
        <f ca="1">IFERROR(__xludf.DUMMYFUNCTION("""COMPUTED_VALUE"""),0.84)</f>
        <v>0.84</v>
      </c>
      <c r="F251" s="1">
        <f ca="1">IFERROR(__xludf.DUMMYFUNCTION("""COMPUTED_VALUE"""),5091512)</f>
        <v>5091512</v>
      </c>
    </row>
    <row r="252" spans="1:6" x14ac:dyDescent="0.35">
      <c r="A252" s="2">
        <f ca="1">IFERROR(__xludf.DUMMYFUNCTION("""COMPUTED_VALUE"""),42368.6666666666)</f>
        <v>42368.666666666599</v>
      </c>
      <c r="B252" s="1">
        <f ca="1">IFERROR(__xludf.DUMMYFUNCTION("""COMPUTED_VALUE"""),0.84)</f>
        <v>0.84</v>
      </c>
      <c r="C252" s="1">
        <f ca="1">IFERROR(__xludf.DUMMYFUNCTION("""COMPUTED_VALUE"""),0.85)</f>
        <v>0.85</v>
      </c>
      <c r="D252" s="1">
        <f ca="1">IFERROR(__xludf.DUMMYFUNCTION("""COMPUTED_VALUE"""),0.83)</f>
        <v>0.83</v>
      </c>
      <c r="E252" s="1">
        <f ca="1">IFERROR(__xludf.DUMMYFUNCTION("""COMPUTED_VALUE"""),0.83)</f>
        <v>0.83</v>
      </c>
      <c r="F252" s="1">
        <f ca="1">IFERROR(__xludf.DUMMYFUNCTION("""COMPUTED_VALUE"""),4508570)</f>
        <v>4508570</v>
      </c>
    </row>
    <row r="253" spans="1:6" x14ac:dyDescent="0.35">
      <c r="A253" s="2">
        <f ca="1">IFERROR(__xludf.DUMMYFUNCTION("""COMPUTED_VALUE"""),42369.6666666666)</f>
        <v>42369.666666666599</v>
      </c>
      <c r="B253" s="1">
        <f ca="1">IFERROR(__xludf.DUMMYFUNCTION("""COMPUTED_VALUE"""),0.83)</f>
        <v>0.83</v>
      </c>
      <c r="C253" s="1">
        <f ca="1">IFERROR(__xludf.DUMMYFUNCTION("""COMPUTED_VALUE"""),0.84)</f>
        <v>0.84</v>
      </c>
      <c r="D253" s="1">
        <f ca="1">IFERROR(__xludf.DUMMYFUNCTION("""COMPUTED_VALUE"""),0.82)</f>
        <v>0.82</v>
      </c>
      <c r="E253" s="1">
        <f ca="1">IFERROR(__xludf.DUMMYFUNCTION("""COMPUTED_VALUE"""),0.82)</f>
        <v>0.82</v>
      </c>
      <c r="F253" s="1">
        <f ca="1">IFERROR(__xludf.DUMMYFUNCTION("""COMPUTED_VALUE"""),3713202)</f>
        <v>3713202</v>
      </c>
    </row>
    <row r="254" spans="1:6" x14ac:dyDescent="0.35">
      <c r="A254" s="2">
        <f ca="1">IFERROR(__xludf.DUMMYFUNCTION("""COMPUTED_VALUE"""),42373.6666666666)</f>
        <v>42373.666666666599</v>
      </c>
      <c r="B254" s="1">
        <f ca="1">IFERROR(__xludf.DUMMYFUNCTION("""COMPUTED_VALUE"""),0.81)</f>
        <v>0.81</v>
      </c>
      <c r="C254" s="1">
        <f ca="1">IFERROR(__xludf.DUMMYFUNCTION("""COMPUTED_VALUE"""),0.81)</f>
        <v>0.81</v>
      </c>
      <c r="D254" s="1">
        <f ca="1">IFERROR(__xludf.DUMMYFUNCTION("""COMPUTED_VALUE"""),0.8)</f>
        <v>0.8</v>
      </c>
      <c r="E254" s="1">
        <f ca="1">IFERROR(__xludf.DUMMYFUNCTION("""COMPUTED_VALUE"""),0.81)</f>
        <v>0.81</v>
      </c>
      <c r="F254" s="1">
        <f ca="1">IFERROR(__xludf.DUMMYFUNCTION("""COMPUTED_VALUE"""),8951907)</f>
        <v>8951907</v>
      </c>
    </row>
    <row r="255" spans="1:6" x14ac:dyDescent="0.35">
      <c r="A255" s="2">
        <f ca="1">IFERROR(__xludf.DUMMYFUNCTION("""COMPUTED_VALUE"""),42374.6666666666)</f>
        <v>42374.666666666599</v>
      </c>
      <c r="B255" s="1">
        <f ca="1">IFERROR(__xludf.DUMMYFUNCTION("""COMPUTED_VALUE"""),0.82)</f>
        <v>0.82</v>
      </c>
      <c r="C255" s="1">
        <f ca="1">IFERROR(__xludf.DUMMYFUNCTION("""COMPUTED_VALUE"""),0.84)</f>
        <v>0.84</v>
      </c>
      <c r="D255" s="1">
        <f ca="1">IFERROR(__xludf.DUMMYFUNCTION("""COMPUTED_VALUE"""),0.81)</f>
        <v>0.81</v>
      </c>
      <c r="E255" s="1">
        <f ca="1">IFERROR(__xludf.DUMMYFUNCTION("""COMPUTED_VALUE"""),0.82)</f>
        <v>0.82</v>
      </c>
      <c r="F255" s="1">
        <f ca="1">IFERROR(__xludf.DUMMYFUNCTION("""COMPUTED_VALUE"""),12256814)</f>
        <v>12256814</v>
      </c>
    </row>
    <row r="256" spans="1:6" x14ac:dyDescent="0.35">
      <c r="A256" s="2">
        <f ca="1">IFERROR(__xludf.DUMMYFUNCTION("""COMPUTED_VALUE"""),42375.6666666666)</f>
        <v>42375.666666666599</v>
      </c>
      <c r="B256" s="1">
        <f ca="1">IFERROR(__xludf.DUMMYFUNCTION("""COMPUTED_VALUE"""),0.81)</f>
        <v>0.81</v>
      </c>
      <c r="C256" s="1">
        <f ca="1">IFERROR(__xludf.DUMMYFUNCTION("""COMPUTED_VALUE"""),0.81)</f>
        <v>0.81</v>
      </c>
      <c r="D256" s="1">
        <f ca="1">IFERROR(__xludf.DUMMYFUNCTION("""COMPUTED_VALUE"""),0.78)</f>
        <v>0.78</v>
      </c>
      <c r="E256" s="1">
        <f ca="1">IFERROR(__xludf.DUMMYFUNCTION("""COMPUTED_VALUE"""),0.79)</f>
        <v>0.79</v>
      </c>
      <c r="F256" s="1">
        <f ca="1">IFERROR(__xludf.DUMMYFUNCTION("""COMPUTED_VALUE"""),11233604)</f>
        <v>11233604</v>
      </c>
    </row>
    <row r="257" spans="1:6" x14ac:dyDescent="0.35">
      <c r="A257" s="2">
        <f ca="1">IFERROR(__xludf.DUMMYFUNCTION("""COMPUTED_VALUE"""),42376.6666666666)</f>
        <v>42376.666666666599</v>
      </c>
      <c r="B257" s="1">
        <f ca="1">IFERROR(__xludf.DUMMYFUNCTION("""COMPUTED_VALUE"""),0.77)</f>
        <v>0.77</v>
      </c>
      <c r="C257" s="1">
        <f ca="1">IFERROR(__xludf.DUMMYFUNCTION("""COMPUTED_VALUE"""),0.77)</f>
        <v>0.77</v>
      </c>
      <c r="D257" s="1">
        <f ca="1">IFERROR(__xludf.DUMMYFUNCTION("""COMPUTED_VALUE"""),0.75)</f>
        <v>0.75</v>
      </c>
      <c r="E257" s="1">
        <f ca="1">IFERROR(__xludf.DUMMYFUNCTION("""COMPUTED_VALUE"""),0.76)</f>
        <v>0.76</v>
      </c>
      <c r="F257" s="1">
        <f ca="1">IFERROR(__xludf.DUMMYFUNCTION("""COMPUTED_VALUE"""),16132575)</f>
        <v>16132575</v>
      </c>
    </row>
    <row r="258" spans="1:6" x14ac:dyDescent="0.35">
      <c r="A258" s="2">
        <f ca="1">IFERROR(__xludf.DUMMYFUNCTION("""COMPUTED_VALUE"""),42377.6666666666)</f>
        <v>42377.666666666599</v>
      </c>
      <c r="B258" s="1">
        <f ca="1">IFERROR(__xludf.DUMMYFUNCTION("""COMPUTED_VALUE"""),0.77)</f>
        <v>0.77</v>
      </c>
      <c r="C258" s="1">
        <f ca="1">IFERROR(__xludf.DUMMYFUNCTION("""COMPUTED_VALUE"""),0.77)</f>
        <v>0.77</v>
      </c>
      <c r="D258" s="1">
        <f ca="1">IFERROR(__xludf.DUMMYFUNCTION("""COMPUTED_VALUE"""),0.74)</f>
        <v>0.74</v>
      </c>
      <c r="E258" s="1">
        <f ca="1">IFERROR(__xludf.DUMMYFUNCTION("""COMPUTED_VALUE"""),0.74)</f>
        <v>0.74</v>
      </c>
      <c r="F258" s="1">
        <f ca="1">IFERROR(__xludf.DUMMYFUNCTION("""COMPUTED_VALUE"""),9961782)</f>
        <v>9961782</v>
      </c>
    </row>
    <row r="259" spans="1:6" x14ac:dyDescent="0.35">
      <c r="A259" s="2">
        <f ca="1">IFERROR(__xludf.DUMMYFUNCTION("""COMPUTED_VALUE"""),42380.6666666666)</f>
        <v>42380.666666666599</v>
      </c>
      <c r="B259" s="1">
        <f ca="1">IFERROR(__xludf.DUMMYFUNCTION("""COMPUTED_VALUE"""),0.74)</f>
        <v>0.74</v>
      </c>
      <c r="C259" s="1">
        <f ca="1">IFERROR(__xludf.DUMMYFUNCTION("""COMPUTED_VALUE"""),0.75)</f>
        <v>0.75</v>
      </c>
      <c r="D259" s="1">
        <f ca="1">IFERROR(__xludf.DUMMYFUNCTION("""COMPUTED_VALUE"""),0.73)</f>
        <v>0.73</v>
      </c>
      <c r="E259" s="1">
        <f ca="1">IFERROR(__xludf.DUMMYFUNCTION("""COMPUTED_VALUE"""),0.74)</f>
        <v>0.74</v>
      </c>
      <c r="F259" s="1">
        <f ca="1">IFERROR(__xludf.DUMMYFUNCTION("""COMPUTED_VALUE"""),10235095)</f>
        <v>10235095</v>
      </c>
    </row>
    <row r="260" spans="1:6" x14ac:dyDescent="0.35">
      <c r="A260" s="2">
        <f ca="1">IFERROR(__xludf.DUMMYFUNCTION("""COMPUTED_VALUE"""),42381.6666666666)</f>
        <v>42381.666666666599</v>
      </c>
      <c r="B260" s="1">
        <f ca="1">IFERROR(__xludf.DUMMYFUNCTION("""COMPUTED_VALUE"""),0.76)</f>
        <v>0.76</v>
      </c>
      <c r="C260" s="1">
        <f ca="1">IFERROR(__xludf.DUMMYFUNCTION("""COMPUTED_VALUE"""),0.77)</f>
        <v>0.77</v>
      </c>
      <c r="D260" s="1">
        <f ca="1">IFERROR(__xludf.DUMMYFUNCTION("""COMPUTED_VALUE"""),0.75)</f>
        <v>0.75</v>
      </c>
      <c r="E260" s="1">
        <f ca="1">IFERROR(__xludf.DUMMYFUNCTION("""COMPUTED_VALUE"""),0.75)</f>
        <v>0.75</v>
      </c>
      <c r="F260" s="1">
        <f ca="1">IFERROR(__xludf.DUMMYFUNCTION("""COMPUTED_VALUE"""),11733893)</f>
        <v>11733893</v>
      </c>
    </row>
    <row r="261" spans="1:6" x14ac:dyDescent="0.35">
      <c r="A261" s="2">
        <f ca="1">IFERROR(__xludf.DUMMYFUNCTION("""COMPUTED_VALUE"""),42382.6666666666)</f>
        <v>42382.666666666599</v>
      </c>
      <c r="B261" s="1">
        <f ca="1">IFERROR(__xludf.DUMMYFUNCTION("""COMPUTED_VALUE"""),0.76)</f>
        <v>0.76</v>
      </c>
      <c r="C261" s="1">
        <f ca="1">IFERROR(__xludf.DUMMYFUNCTION("""COMPUTED_VALUE"""),0.77)</f>
        <v>0.77</v>
      </c>
      <c r="D261" s="1">
        <f ca="1">IFERROR(__xludf.DUMMYFUNCTION("""COMPUTED_VALUE"""),0.73)</f>
        <v>0.73</v>
      </c>
      <c r="E261" s="1">
        <f ca="1">IFERROR(__xludf.DUMMYFUNCTION("""COMPUTED_VALUE"""),0.73)</f>
        <v>0.73</v>
      </c>
      <c r="F261" s="1">
        <f ca="1">IFERROR(__xludf.DUMMYFUNCTION("""COMPUTED_VALUE"""),12041762)</f>
        <v>12041762</v>
      </c>
    </row>
    <row r="262" spans="1:6" x14ac:dyDescent="0.35">
      <c r="A262" s="2">
        <f ca="1">IFERROR(__xludf.DUMMYFUNCTION("""COMPUTED_VALUE"""),42383.6666666666)</f>
        <v>42383.666666666599</v>
      </c>
      <c r="B262" s="1">
        <f ca="1">IFERROR(__xludf.DUMMYFUNCTION("""COMPUTED_VALUE"""),0.72)</f>
        <v>0.72</v>
      </c>
      <c r="C262" s="1">
        <f ca="1">IFERROR(__xludf.DUMMYFUNCTION("""COMPUTED_VALUE"""),0.73)</f>
        <v>0.73</v>
      </c>
      <c r="D262" s="1">
        <f ca="1">IFERROR(__xludf.DUMMYFUNCTION("""COMPUTED_VALUE"""),0.7)</f>
        <v>0.7</v>
      </c>
      <c r="E262" s="1">
        <f ca="1">IFERROR(__xludf.DUMMYFUNCTION("""COMPUTED_VALUE"""),0.72)</f>
        <v>0.72</v>
      </c>
      <c r="F262" s="1">
        <f ca="1">IFERROR(__xludf.DUMMYFUNCTION("""COMPUTED_VALUE"""),15005864)</f>
        <v>15005864</v>
      </c>
    </row>
    <row r="263" spans="1:6" x14ac:dyDescent="0.35">
      <c r="A263" s="2">
        <f ca="1">IFERROR(__xludf.DUMMYFUNCTION("""COMPUTED_VALUE"""),42384.6666666666)</f>
        <v>42384.666666666599</v>
      </c>
      <c r="B263" s="1">
        <f ca="1">IFERROR(__xludf.DUMMYFUNCTION("""COMPUTED_VALUE"""),0.69)</f>
        <v>0.69</v>
      </c>
      <c r="C263" s="1">
        <f ca="1">IFERROR(__xludf.DUMMYFUNCTION("""COMPUTED_VALUE"""),0.7)</f>
        <v>0.7</v>
      </c>
      <c r="D263" s="1">
        <f ca="1">IFERROR(__xludf.DUMMYFUNCTION("""COMPUTED_VALUE"""),0.67)</f>
        <v>0.67</v>
      </c>
      <c r="E263" s="1">
        <f ca="1">IFERROR(__xludf.DUMMYFUNCTION("""COMPUTED_VALUE"""),0.68)</f>
        <v>0.68</v>
      </c>
      <c r="F263" s="1">
        <f ca="1">IFERROR(__xludf.DUMMYFUNCTION("""COMPUTED_VALUE"""),21036303)</f>
        <v>21036303</v>
      </c>
    </row>
    <row r="264" spans="1:6" x14ac:dyDescent="0.35">
      <c r="A264" s="2">
        <f ca="1">IFERROR(__xludf.DUMMYFUNCTION("""COMPUTED_VALUE"""),42388.6666666666)</f>
        <v>42388.666666666599</v>
      </c>
      <c r="B264" s="1">
        <f ca="1">IFERROR(__xludf.DUMMYFUNCTION("""COMPUTED_VALUE"""),0.69)</f>
        <v>0.69</v>
      </c>
      <c r="C264" s="1">
        <f ca="1">IFERROR(__xludf.DUMMYFUNCTION("""COMPUTED_VALUE"""),0.71)</f>
        <v>0.71</v>
      </c>
      <c r="D264" s="1">
        <f ca="1">IFERROR(__xludf.DUMMYFUNCTION("""COMPUTED_VALUE"""),0.68)</f>
        <v>0.68</v>
      </c>
      <c r="E264" s="1">
        <f ca="1">IFERROR(__xludf.DUMMYFUNCTION("""COMPUTED_VALUE"""),0.68)</f>
        <v>0.68</v>
      </c>
      <c r="F264" s="1">
        <f ca="1">IFERROR(__xludf.DUMMYFUNCTION("""COMPUTED_VALUE"""),11428537)</f>
        <v>11428537</v>
      </c>
    </row>
    <row r="265" spans="1:6" x14ac:dyDescent="0.35">
      <c r="A265" s="2">
        <f ca="1">IFERROR(__xludf.DUMMYFUNCTION("""COMPUTED_VALUE"""),42389.6666666666)</f>
        <v>42389.666666666599</v>
      </c>
      <c r="B265" s="1">
        <f ca="1">IFERROR(__xludf.DUMMYFUNCTION("""COMPUTED_VALUE"""),0.67)</f>
        <v>0.67</v>
      </c>
      <c r="C265" s="1">
        <f ca="1">IFERROR(__xludf.DUMMYFUNCTION("""COMPUTED_VALUE"""),0.7)</f>
        <v>0.7</v>
      </c>
      <c r="D265" s="1">
        <f ca="1">IFERROR(__xludf.DUMMYFUNCTION("""COMPUTED_VALUE"""),0.66)</f>
        <v>0.66</v>
      </c>
      <c r="E265" s="1">
        <f ca="1">IFERROR(__xludf.DUMMYFUNCTION("""COMPUTED_VALUE"""),0.69)</f>
        <v>0.69</v>
      </c>
      <c r="F265" s="1">
        <f ca="1">IFERROR(__xludf.DUMMYFUNCTION("""COMPUTED_VALUE"""),12029457)</f>
        <v>12029457</v>
      </c>
    </row>
    <row r="266" spans="1:6" x14ac:dyDescent="0.35">
      <c r="A266" s="2">
        <f ca="1">IFERROR(__xludf.DUMMYFUNCTION("""COMPUTED_VALUE"""),42390.6666666666)</f>
        <v>42390.666666666599</v>
      </c>
      <c r="B266" s="1">
        <f ca="1">IFERROR(__xludf.DUMMYFUNCTION("""COMPUTED_VALUE"""),0.69)</f>
        <v>0.69</v>
      </c>
      <c r="C266" s="1">
        <f ca="1">IFERROR(__xludf.DUMMYFUNCTION("""COMPUTED_VALUE"""),0.71)</f>
        <v>0.71</v>
      </c>
      <c r="D266" s="1">
        <f ca="1">IFERROR(__xludf.DUMMYFUNCTION("""COMPUTED_VALUE"""),0.68)</f>
        <v>0.68</v>
      </c>
      <c r="E266" s="1">
        <f ca="1">IFERROR(__xludf.DUMMYFUNCTION("""COMPUTED_VALUE"""),0.7)</f>
        <v>0.7</v>
      </c>
      <c r="F266" s="1">
        <f ca="1">IFERROR(__xludf.DUMMYFUNCTION("""COMPUTED_VALUE"""),12036422)</f>
        <v>12036422</v>
      </c>
    </row>
    <row r="267" spans="1:6" x14ac:dyDescent="0.35">
      <c r="A267" s="2">
        <f ca="1">IFERROR(__xludf.DUMMYFUNCTION("""COMPUTED_VALUE"""),42391.6666666666)</f>
        <v>42391.666666666599</v>
      </c>
      <c r="B267" s="1">
        <f ca="1">IFERROR(__xludf.DUMMYFUNCTION("""COMPUTED_VALUE"""),0.71)</f>
        <v>0.71</v>
      </c>
      <c r="C267" s="1">
        <f ca="1">IFERROR(__xludf.DUMMYFUNCTION("""COMPUTED_VALUE"""),0.72)</f>
        <v>0.72</v>
      </c>
      <c r="D267" s="1">
        <f ca="1">IFERROR(__xludf.DUMMYFUNCTION("""COMPUTED_VALUE"""),0.71)</f>
        <v>0.71</v>
      </c>
      <c r="E267" s="1">
        <f ca="1">IFERROR(__xludf.DUMMYFUNCTION("""COMPUTED_VALUE"""),0.71)</f>
        <v>0.71</v>
      </c>
      <c r="F267" s="1">
        <f ca="1">IFERROR(__xludf.DUMMYFUNCTION("""COMPUTED_VALUE"""),6450312)</f>
        <v>6450312</v>
      </c>
    </row>
    <row r="268" spans="1:6" x14ac:dyDescent="0.35">
      <c r="A268" s="2">
        <f ca="1">IFERROR(__xludf.DUMMYFUNCTION("""COMPUTED_VALUE"""),42394.6666666666)</f>
        <v>42394.666666666599</v>
      </c>
      <c r="B268" s="1">
        <f ca="1">IFERROR(__xludf.DUMMYFUNCTION("""COMPUTED_VALUE"""),0.71)</f>
        <v>0.71</v>
      </c>
      <c r="C268" s="1">
        <f ca="1">IFERROR(__xludf.DUMMYFUNCTION("""COMPUTED_VALUE"""),0.72)</f>
        <v>0.72</v>
      </c>
      <c r="D268" s="1">
        <f ca="1">IFERROR(__xludf.DUMMYFUNCTION("""COMPUTED_VALUE"""),0.71)</f>
        <v>0.71</v>
      </c>
      <c r="E268" s="1">
        <f ca="1">IFERROR(__xludf.DUMMYFUNCTION("""COMPUTED_VALUE"""),0.71)</f>
        <v>0.71</v>
      </c>
      <c r="F268" s="1">
        <f ca="1">IFERROR(__xludf.DUMMYFUNCTION("""COMPUTED_VALUE"""),6768203)</f>
        <v>6768203</v>
      </c>
    </row>
    <row r="269" spans="1:6" x14ac:dyDescent="0.35">
      <c r="A269" s="2">
        <f ca="1">IFERROR(__xludf.DUMMYFUNCTION("""COMPUTED_VALUE"""),42395.6666666666)</f>
        <v>42395.666666666599</v>
      </c>
      <c r="B269" s="1">
        <f ca="1">IFERROR(__xludf.DUMMYFUNCTION("""COMPUTED_VALUE"""),0.71)</f>
        <v>0.71</v>
      </c>
      <c r="C269" s="1">
        <f ca="1">IFERROR(__xludf.DUMMYFUNCTION("""COMPUTED_VALUE"""),0.72)</f>
        <v>0.72</v>
      </c>
      <c r="D269" s="1">
        <f ca="1">IFERROR(__xludf.DUMMYFUNCTION("""COMPUTED_VALUE"""),0.7)</f>
        <v>0.7</v>
      </c>
      <c r="E269" s="1">
        <f ca="1">IFERROR(__xludf.DUMMYFUNCTION("""COMPUTED_VALUE"""),0.72)</f>
        <v>0.72</v>
      </c>
      <c r="F269" s="1">
        <f ca="1">IFERROR(__xludf.DUMMYFUNCTION("""COMPUTED_VALUE"""),5699182)</f>
        <v>5699182</v>
      </c>
    </row>
    <row r="270" spans="1:6" x14ac:dyDescent="0.35">
      <c r="A270" s="2">
        <f ca="1">IFERROR(__xludf.DUMMYFUNCTION("""COMPUTED_VALUE"""),42396.6666666666)</f>
        <v>42396.666666666599</v>
      </c>
      <c r="B270" s="1">
        <f ca="1">IFERROR(__xludf.DUMMYFUNCTION("""COMPUTED_VALUE"""),0.72)</f>
        <v>0.72</v>
      </c>
      <c r="C270" s="1">
        <f ca="1">IFERROR(__xludf.DUMMYFUNCTION("""COMPUTED_VALUE"""),0.72)</f>
        <v>0.72</v>
      </c>
      <c r="D270" s="1">
        <f ca="1">IFERROR(__xludf.DUMMYFUNCTION("""COMPUTED_VALUE"""),0.7)</f>
        <v>0.7</v>
      </c>
      <c r="E270" s="1">
        <f ca="1">IFERROR(__xludf.DUMMYFUNCTION("""COMPUTED_VALUE"""),0.71)</f>
        <v>0.71</v>
      </c>
      <c r="F270" s="1">
        <f ca="1">IFERROR(__xludf.DUMMYFUNCTION("""COMPUTED_VALUE"""),5792528)</f>
        <v>5792528</v>
      </c>
    </row>
    <row r="271" spans="1:6" x14ac:dyDescent="0.35">
      <c r="A271" s="2">
        <f ca="1">IFERROR(__xludf.DUMMYFUNCTION("""COMPUTED_VALUE"""),42397.6666666666)</f>
        <v>42397.666666666599</v>
      </c>
      <c r="B271" s="1">
        <f ca="1">IFERROR(__xludf.DUMMYFUNCTION("""COMPUTED_VALUE"""),0.71)</f>
        <v>0.71</v>
      </c>
      <c r="C271" s="1">
        <f ca="1">IFERROR(__xludf.DUMMYFUNCTION("""COMPUTED_VALUE"""),0.72)</f>
        <v>0.72</v>
      </c>
      <c r="D271" s="1">
        <f ca="1">IFERROR(__xludf.DUMMYFUNCTION("""COMPUTED_VALUE"""),0.69)</f>
        <v>0.69</v>
      </c>
      <c r="E271" s="1">
        <f ca="1">IFERROR(__xludf.DUMMYFUNCTION("""COMPUTED_VALUE"""),0.7)</f>
        <v>0.7</v>
      </c>
      <c r="F271" s="1">
        <f ca="1">IFERROR(__xludf.DUMMYFUNCTION("""COMPUTED_VALUE"""),6919451)</f>
        <v>6919451</v>
      </c>
    </row>
    <row r="272" spans="1:6" x14ac:dyDescent="0.35">
      <c r="A272" s="2">
        <f ca="1">IFERROR(__xludf.DUMMYFUNCTION("""COMPUTED_VALUE"""),42398.6666666666)</f>
        <v>42398.666666666599</v>
      </c>
      <c r="B272" s="1">
        <f ca="1">IFERROR(__xludf.DUMMYFUNCTION("""COMPUTED_VALUE"""),0.71)</f>
        <v>0.71</v>
      </c>
      <c r="C272" s="1">
        <f ca="1">IFERROR(__xludf.DUMMYFUNCTION("""COMPUTED_VALUE"""),0.73)</f>
        <v>0.73</v>
      </c>
      <c r="D272" s="1">
        <f ca="1">IFERROR(__xludf.DUMMYFUNCTION("""COMPUTED_VALUE"""),0.7)</f>
        <v>0.7</v>
      </c>
      <c r="E272" s="1">
        <f ca="1">IFERROR(__xludf.DUMMYFUNCTION("""COMPUTED_VALUE"""),0.73)</f>
        <v>0.73</v>
      </c>
      <c r="F272" s="1">
        <f ca="1">IFERROR(__xludf.DUMMYFUNCTION("""COMPUTED_VALUE"""),7762622)</f>
        <v>7762622</v>
      </c>
    </row>
    <row r="273" spans="1:6" x14ac:dyDescent="0.35">
      <c r="A273" s="2">
        <f ca="1">IFERROR(__xludf.DUMMYFUNCTION("""COMPUTED_VALUE"""),42401.6666666666)</f>
        <v>42401.666666666599</v>
      </c>
      <c r="B273" s="1">
        <f ca="1">IFERROR(__xludf.DUMMYFUNCTION("""COMPUTED_VALUE"""),0.73)</f>
        <v>0.73</v>
      </c>
      <c r="C273" s="1">
        <f ca="1">IFERROR(__xludf.DUMMYFUNCTION("""COMPUTED_VALUE"""),0.74)</f>
        <v>0.74</v>
      </c>
      <c r="D273" s="1">
        <f ca="1">IFERROR(__xludf.DUMMYFUNCTION("""COMPUTED_VALUE"""),0.73)</f>
        <v>0.73</v>
      </c>
      <c r="E273" s="1">
        <f ca="1">IFERROR(__xludf.DUMMYFUNCTION("""COMPUTED_VALUE"""),0.73)</f>
        <v>0.73</v>
      </c>
      <c r="F273" s="1">
        <f ca="1">IFERROR(__xludf.DUMMYFUNCTION("""COMPUTED_VALUE"""),7247099)</f>
        <v>7247099</v>
      </c>
    </row>
    <row r="274" spans="1:6" x14ac:dyDescent="0.35">
      <c r="A274" s="2">
        <f ca="1">IFERROR(__xludf.DUMMYFUNCTION("""COMPUTED_VALUE"""),42402.6666666666)</f>
        <v>42402.666666666599</v>
      </c>
      <c r="B274" s="1">
        <f ca="1">IFERROR(__xludf.DUMMYFUNCTION("""COMPUTED_VALUE"""),0.73)</f>
        <v>0.73</v>
      </c>
      <c r="C274" s="1">
        <f ca="1">IFERROR(__xludf.DUMMYFUNCTION("""COMPUTED_VALUE"""),0.73)</f>
        <v>0.73</v>
      </c>
      <c r="D274" s="1">
        <f ca="1">IFERROR(__xludf.DUMMYFUNCTION("""COMPUTED_VALUE"""),0.7)</f>
        <v>0.7</v>
      </c>
      <c r="E274" s="1">
        <f ca="1">IFERROR(__xludf.DUMMYFUNCTION("""COMPUTED_VALUE"""),0.7)</f>
        <v>0.7</v>
      </c>
      <c r="F274" s="1">
        <f ca="1">IFERROR(__xludf.DUMMYFUNCTION("""COMPUTED_VALUE"""),8547710)</f>
        <v>8547710</v>
      </c>
    </row>
    <row r="275" spans="1:6" x14ac:dyDescent="0.35">
      <c r="A275" s="2">
        <f ca="1">IFERROR(__xludf.DUMMYFUNCTION("""COMPUTED_VALUE"""),42403.6666666666)</f>
        <v>42403.666666666599</v>
      </c>
      <c r="B275" s="1">
        <f ca="1">IFERROR(__xludf.DUMMYFUNCTION("""COMPUTED_VALUE"""),0.71)</f>
        <v>0.71</v>
      </c>
      <c r="C275" s="1">
        <f ca="1">IFERROR(__xludf.DUMMYFUNCTION("""COMPUTED_VALUE"""),0.71)</f>
        <v>0.71</v>
      </c>
      <c r="D275" s="1">
        <f ca="1">IFERROR(__xludf.DUMMYFUNCTION("""COMPUTED_VALUE"""),0.69)</f>
        <v>0.69</v>
      </c>
      <c r="E275" s="1">
        <f ca="1">IFERROR(__xludf.DUMMYFUNCTION("""COMPUTED_VALUE"""),0.71)</f>
        <v>0.71</v>
      </c>
      <c r="F275" s="1">
        <f ca="1">IFERROR(__xludf.DUMMYFUNCTION("""COMPUTED_VALUE"""),8169351)</f>
        <v>8169351</v>
      </c>
    </row>
    <row r="276" spans="1:6" x14ac:dyDescent="0.35">
      <c r="A276" s="2">
        <f ca="1">IFERROR(__xludf.DUMMYFUNCTION("""COMPUTED_VALUE"""),42404.6666666666)</f>
        <v>42404.666666666599</v>
      </c>
      <c r="B276" s="1">
        <f ca="1">IFERROR(__xludf.DUMMYFUNCTION("""COMPUTED_VALUE"""),0.71)</f>
        <v>0.71</v>
      </c>
      <c r="C276" s="1">
        <f ca="1">IFERROR(__xludf.DUMMYFUNCTION("""COMPUTED_VALUE"""),0.72)</f>
        <v>0.72</v>
      </c>
      <c r="D276" s="1">
        <f ca="1">IFERROR(__xludf.DUMMYFUNCTION("""COMPUTED_VALUE"""),0.7)</f>
        <v>0.7</v>
      </c>
      <c r="E276" s="1">
        <f ca="1">IFERROR(__xludf.DUMMYFUNCTION("""COMPUTED_VALUE"""),0.71)</f>
        <v>0.71</v>
      </c>
      <c r="F276" s="1">
        <f ca="1">IFERROR(__xludf.DUMMYFUNCTION("""COMPUTED_VALUE"""),8703450)</f>
        <v>8703450</v>
      </c>
    </row>
    <row r="277" spans="1:6" x14ac:dyDescent="0.35">
      <c r="A277" s="2">
        <f ca="1">IFERROR(__xludf.DUMMYFUNCTION("""COMPUTED_VALUE"""),42405.6666666666)</f>
        <v>42405.666666666599</v>
      </c>
      <c r="B277" s="1">
        <f ca="1">IFERROR(__xludf.DUMMYFUNCTION("""COMPUTED_VALUE"""),0.7)</f>
        <v>0.7</v>
      </c>
      <c r="C277" s="1">
        <f ca="1">IFERROR(__xludf.DUMMYFUNCTION("""COMPUTED_VALUE"""),0.71)</f>
        <v>0.71</v>
      </c>
      <c r="D277" s="1">
        <f ca="1">IFERROR(__xludf.DUMMYFUNCTION("""COMPUTED_VALUE"""),0.66)</f>
        <v>0.66</v>
      </c>
      <c r="E277" s="1">
        <f ca="1">IFERROR(__xludf.DUMMYFUNCTION("""COMPUTED_VALUE"""),0.66)</f>
        <v>0.66</v>
      </c>
      <c r="F277" s="1">
        <f ca="1">IFERROR(__xludf.DUMMYFUNCTION("""COMPUTED_VALUE"""),15010685)</f>
        <v>15010685</v>
      </c>
    </row>
    <row r="278" spans="1:6" x14ac:dyDescent="0.35">
      <c r="A278" s="2">
        <f ca="1">IFERROR(__xludf.DUMMYFUNCTION("""COMPUTED_VALUE"""),42408.6666666666)</f>
        <v>42408.666666666599</v>
      </c>
      <c r="B278" s="1">
        <f ca="1">IFERROR(__xludf.DUMMYFUNCTION("""COMPUTED_VALUE"""),0.65)</f>
        <v>0.65</v>
      </c>
      <c r="C278" s="1">
        <f ca="1">IFERROR(__xludf.DUMMYFUNCTION("""COMPUTED_VALUE"""),0.65)</f>
        <v>0.65</v>
      </c>
      <c r="D278" s="1">
        <f ca="1">IFERROR(__xludf.DUMMYFUNCTION("""COMPUTED_VALUE"""),0.62)</f>
        <v>0.62</v>
      </c>
      <c r="E278" s="1">
        <f ca="1">IFERROR(__xludf.DUMMYFUNCTION("""COMPUTED_VALUE"""),0.63)</f>
        <v>0.63</v>
      </c>
      <c r="F278" s="1">
        <f ca="1">IFERROR(__xludf.DUMMYFUNCTION("""COMPUTED_VALUE"""),15221320)</f>
        <v>15221320</v>
      </c>
    </row>
    <row r="279" spans="1:6" x14ac:dyDescent="0.35">
      <c r="A279" s="2">
        <f ca="1">IFERROR(__xludf.DUMMYFUNCTION("""COMPUTED_VALUE"""),42409.6666666666)</f>
        <v>42409.666666666599</v>
      </c>
      <c r="B279" s="1">
        <f ca="1">IFERROR(__xludf.DUMMYFUNCTION("""COMPUTED_VALUE"""),0.62)</f>
        <v>0.62</v>
      </c>
      <c r="C279" s="1">
        <f ca="1">IFERROR(__xludf.DUMMYFUNCTION("""COMPUTED_VALUE"""),0.66)</f>
        <v>0.66</v>
      </c>
      <c r="D279" s="1">
        <f ca="1">IFERROR(__xludf.DUMMYFUNCTION("""COMPUTED_VALUE"""),0.62)</f>
        <v>0.62</v>
      </c>
      <c r="E279" s="1">
        <f ca="1">IFERROR(__xludf.DUMMYFUNCTION("""COMPUTED_VALUE"""),0.64)</f>
        <v>0.64</v>
      </c>
      <c r="F279" s="1">
        <f ca="1">IFERROR(__xludf.DUMMYFUNCTION("""COMPUTED_VALUE"""),10634314)</f>
        <v>10634314</v>
      </c>
    </row>
    <row r="280" spans="1:6" x14ac:dyDescent="0.35">
      <c r="A280" s="2">
        <f ca="1">IFERROR(__xludf.DUMMYFUNCTION("""COMPUTED_VALUE"""),42410.6666666666)</f>
        <v>42410.666666666599</v>
      </c>
      <c r="B280" s="1">
        <f ca="1">IFERROR(__xludf.DUMMYFUNCTION("""COMPUTED_VALUE"""),0.64)</f>
        <v>0.64</v>
      </c>
      <c r="C280" s="1">
        <f ca="1">IFERROR(__xludf.DUMMYFUNCTION("""COMPUTED_VALUE"""),0.66)</f>
        <v>0.66</v>
      </c>
      <c r="D280" s="1">
        <f ca="1">IFERROR(__xludf.DUMMYFUNCTION("""COMPUTED_VALUE"""),0.63)</f>
        <v>0.63</v>
      </c>
      <c r="E280" s="1">
        <f ca="1">IFERROR(__xludf.DUMMYFUNCTION("""COMPUTED_VALUE"""),0.64)</f>
        <v>0.64</v>
      </c>
      <c r="F280" s="1">
        <f ca="1">IFERROR(__xludf.DUMMYFUNCTION("""COMPUTED_VALUE"""),8394980)</f>
        <v>8394980</v>
      </c>
    </row>
    <row r="281" spans="1:6" x14ac:dyDescent="0.35">
      <c r="A281" s="2">
        <f ca="1">IFERROR(__xludf.DUMMYFUNCTION("""COMPUTED_VALUE"""),42411.6666666666)</f>
        <v>42411.666666666599</v>
      </c>
      <c r="B281" s="1">
        <f ca="1">IFERROR(__xludf.DUMMYFUNCTION("""COMPUTED_VALUE"""),0.62)</f>
        <v>0.62</v>
      </c>
      <c r="C281" s="1">
        <f ca="1">IFERROR(__xludf.DUMMYFUNCTION("""COMPUTED_VALUE"""),0.64)</f>
        <v>0.64</v>
      </c>
      <c r="D281" s="1">
        <f ca="1">IFERROR(__xludf.DUMMYFUNCTION("""COMPUTED_VALUE"""),0.62)</f>
        <v>0.62</v>
      </c>
      <c r="E281" s="1">
        <f ca="1">IFERROR(__xludf.DUMMYFUNCTION("""COMPUTED_VALUE"""),0.63)</f>
        <v>0.63</v>
      </c>
      <c r="F281" s="1">
        <f ca="1">IFERROR(__xludf.DUMMYFUNCTION("""COMPUTED_VALUE"""),8503635)</f>
        <v>8503635</v>
      </c>
    </row>
    <row r="282" spans="1:6" x14ac:dyDescent="0.35">
      <c r="A282" s="2">
        <f ca="1">IFERROR(__xludf.DUMMYFUNCTION("""COMPUTED_VALUE"""),42412.6666666666)</f>
        <v>42412.666666666599</v>
      </c>
      <c r="B282" s="1">
        <f ca="1">IFERROR(__xludf.DUMMYFUNCTION("""COMPUTED_VALUE"""),0.64)</f>
        <v>0.64</v>
      </c>
      <c r="C282" s="1">
        <f ca="1">IFERROR(__xludf.DUMMYFUNCTION("""COMPUTED_VALUE"""),0.64)</f>
        <v>0.64</v>
      </c>
      <c r="D282" s="1">
        <f ca="1">IFERROR(__xludf.DUMMYFUNCTION("""COMPUTED_VALUE"""),0.62)</f>
        <v>0.62</v>
      </c>
      <c r="E282" s="1">
        <f ca="1">IFERROR(__xludf.DUMMYFUNCTION("""COMPUTED_VALUE"""),0.64)</f>
        <v>0.64</v>
      </c>
      <c r="F282" s="1">
        <f ca="1">IFERROR(__xludf.DUMMYFUNCTION("""COMPUTED_VALUE"""),8520367)</f>
        <v>8520367</v>
      </c>
    </row>
    <row r="283" spans="1:6" x14ac:dyDescent="0.35">
      <c r="A283" s="2">
        <f ca="1">IFERROR(__xludf.DUMMYFUNCTION("""COMPUTED_VALUE"""),42416.6666666666)</f>
        <v>42416.666666666599</v>
      </c>
      <c r="B283" s="1">
        <f ca="1">IFERROR(__xludf.DUMMYFUNCTION("""COMPUTED_VALUE"""),0.65)</f>
        <v>0.65</v>
      </c>
      <c r="C283" s="1">
        <f ca="1">IFERROR(__xludf.DUMMYFUNCTION("""COMPUTED_VALUE"""),0.68)</f>
        <v>0.68</v>
      </c>
      <c r="D283" s="1">
        <f ca="1">IFERROR(__xludf.DUMMYFUNCTION("""COMPUTED_VALUE"""),0.65)</f>
        <v>0.65</v>
      </c>
      <c r="E283" s="1">
        <f ca="1">IFERROR(__xludf.DUMMYFUNCTION("""COMPUTED_VALUE"""),0.67)</f>
        <v>0.67</v>
      </c>
      <c r="F283" s="1">
        <f ca="1">IFERROR(__xludf.DUMMYFUNCTION("""COMPUTED_VALUE"""),12133795)</f>
        <v>12133795</v>
      </c>
    </row>
    <row r="284" spans="1:6" x14ac:dyDescent="0.35">
      <c r="A284" s="2">
        <f ca="1">IFERROR(__xludf.DUMMYFUNCTION("""COMPUTED_VALUE"""),42417.6666666666)</f>
        <v>42417.666666666599</v>
      </c>
      <c r="B284" s="1">
        <f ca="1">IFERROR(__xludf.DUMMYFUNCTION("""COMPUTED_VALUE"""),0.68)</f>
        <v>0.68</v>
      </c>
      <c r="C284" s="1">
        <f ca="1">IFERROR(__xludf.DUMMYFUNCTION("""COMPUTED_VALUE"""),0.7)</f>
        <v>0.7</v>
      </c>
      <c r="D284" s="1">
        <f ca="1">IFERROR(__xludf.DUMMYFUNCTION("""COMPUTED_VALUE"""),0.68)</f>
        <v>0.68</v>
      </c>
      <c r="E284" s="1">
        <f ca="1">IFERROR(__xludf.DUMMYFUNCTION("""COMPUTED_VALUE"""),0.69)</f>
        <v>0.69</v>
      </c>
      <c r="F284" s="1">
        <f ca="1">IFERROR(__xludf.DUMMYFUNCTION("""COMPUTED_VALUE"""),19286666)</f>
        <v>19286666</v>
      </c>
    </row>
    <row r="285" spans="1:6" x14ac:dyDescent="0.35">
      <c r="A285" s="2">
        <f ca="1">IFERROR(__xludf.DUMMYFUNCTION("""COMPUTED_VALUE"""),42418.6666666666)</f>
        <v>42418.666666666599</v>
      </c>
      <c r="B285" s="1">
        <f ca="1">IFERROR(__xludf.DUMMYFUNCTION("""COMPUTED_VALUE"""),0.75)</f>
        <v>0.75</v>
      </c>
      <c r="C285" s="1">
        <f ca="1">IFERROR(__xludf.DUMMYFUNCTION("""COMPUTED_VALUE"""),0.77)</f>
        <v>0.77</v>
      </c>
      <c r="D285" s="1">
        <f ca="1">IFERROR(__xludf.DUMMYFUNCTION("""COMPUTED_VALUE"""),0.75)</f>
        <v>0.75</v>
      </c>
      <c r="E285" s="1">
        <f ca="1">IFERROR(__xludf.DUMMYFUNCTION("""COMPUTED_VALUE"""),0.75)</f>
        <v>0.75</v>
      </c>
      <c r="F285" s="1">
        <f ca="1">IFERROR(__xludf.DUMMYFUNCTION("""COMPUTED_VALUE"""),26716489)</f>
        <v>26716489</v>
      </c>
    </row>
    <row r="286" spans="1:6" x14ac:dyDescent="0.35">
      <c r="A286" s="2">
        <f ca="1">IFERROR(__xludf.DUMMYFUNCTION("""COMPUTED_VALUE"""),42419.6666666666)</f>
        <v>42419.666666666599</v>
      </c>
      <c r="B286" s="1">
        <f ca="1">IFERROR(__xludf.DUMMYFUNCTION("""COMPUTED_VALUE"""),0.75)</f>
        <v>0.75</v>
      </c>
      <c r="C286" s="1">
        <f ca="1">IFERROR(__xludf.DUMMYFUNCTION("""COMPUTED_VALUE"""),0.77)</f>
        <v>0.77</v>
      </c>
      <c r="D286" s="1">
        <f ca="1">IFERROR(__xludf.DUMMYFUNCTION("""COMPUTED_VALUE"""),0.74)</f>
        <v>0.74</v>
      </c>
      <c r="E286" s="1">
        <f ca="1">IFERROR(__xludf.DUMMYFUNCTION("""COMPUTED_VALUE"""),0.76)</f>
        <v>0.76</v>
      </c>
      <c r="F286" s="1">
        <f ca="1">IFERROR(__xludf.DUMMYFUNCTION("""COMPUTED_VALUE"""),13140732)</f>
        <v>13140732</v>
      </c>
    </row>
    <row r="287" spans="1:6" x14ac:dyDescent="0.35">
      <c r="A287" s="2">
        <f ca="1">IFERROR(__xludf.DUMMYFUNCTION("""COMPUTED_VALUE"""),42422.6666666666)</f>
        <v>42422.666666666599</v>
      </c>
      <c r="B287" s="1">
        <f ca="1">IFERROR(__xludf.DUMMYFUNCTION("""COMPUTED_VALUE"""),0.77)</f>
        <v>0.77</v>
      </c>
      <c r="C287" s="1">
        <f ca="1">IFERROR(__xludf.DUMMYFUNCTION("""COMPUTED_VALUE"""),0.8)</f>
        <v>0.8</v>
      </c>
      <c r="D287" s="1">
        <f ca="1">IFERROR(__xludf.DUMMYFUNCTION("""COMPUTED_VALUE"""),0.77)</f>
        <v>0.77</v>
      </c>
      <c r="E287" s="1">
        <f ca="1">IFERROR(__xludf.DUMMYFUNCTION("""COMPUTED_VALUE"""),0.79)</f>
        <v>0.79</v>
      </c>
      <c r="F287" s="1">
        <f ca="1">IFERROR(__xludf.DUMMYFUNCTION("""COMPUTED_VALUE"""),11241697)</f>
        <v>11241697</v>
      </c>
    </row>
    <row r="288" spans="1:6" x14ac:dyDescent="0.35">
      <c r="A288" s="2">
        <f ca="1">IFERROR(__xludf.DUMMYFUNCTION("""COMPUTED_VALUE"""),42423.6666666666)</f>
        <v>42423.666666666599</v>
      </c>
      <c r="B288" s="1">
        <f ca="1">IFERROR(__xludf.DUMMYFUNCTION("""COMPUTED_VALUE"""),0.78)</f>
        <v>0.78</v>
      </c>
      <c r="C288" s="1">
        <f ca="1">IFERROR(__xludf.DUMMYFUNCTION("""COMPUTED_VALUE"""),0.8)</f>
        <v>0.8</v>
      </c>
      <c r="D288" s="1">
        <f ca="1">IFERROR(__xludf.DUMMYFUNCTION("""COMPUTED_VALUE"""),0.78)</f>
        <v>0.78</v>
      </c>
      <c r="E288" s="1">
        <f ca="1">IFERROR(__xludf.DUMMYFUNCTION("""COMPUTED_VALUE"""),0.79)</f>
        <v>0.79</v>
      </c>
      <c r="F288" s="1">
        <f ca="1">IFERROR(__xludf.DUMMYFUNCTION("""COMPUTED_VALUE"""),9234450)</f>
        <v>9234450</v>
      </c>
    </row>
    <row r="289" spans="1:6" x14ac:dyDescent="0.35">
      <c r="A289" s="2">
        <f ca="1">IFERROR(__xludf.DUMMYFUNCTION("""COMPUTED_VALUE"""),42424.6666666666)</f>
        <v>42424.666666666599</v>
      </c>
      <c r="B289" s="1">
        <f ca="1">IFERROR(__xludf.DUMMYFUNCTION("""COMPUTED_VALUE"""),0.79)</f>
        <v>0.79</v>
      </c>
      <c r="C289" s="1">
        <f ca="1">IFERROR(__xludf.DUMMYFUNCTION("""COMPUTED_VALUE"""),0.8)</f>
        <v>0.8</v>
      </c>
      <c r="D289" s="1">
        <f ca="1">IFERROR(__xludf.DUMMYFUNCTION("""COMPUTED_VALUE"""),0.77)</f>
        <v>0.77</v>
      </c>
      <c r="E289" s="1">
        <f ca="1">IFERROR(__xludf.DUMMYFUNCTION("""COMPUTED_VALUE"""),0.8)</f>
        <v>0.8</v>
      </c>
      <c r="F289" s="1">
        <f ca="1">IFERROR(__xludf.DUMMYFUNCTION("""COMPUTED_VALUE"""),8421336)</f>
        <v>8421336</v>
      </c>
    </row>
    <row r="290" spans="1:6" x14ac:dyDescent="0.35">
      <c r="A290" s="2">
        <f ca="1">IFERROR(__xludf.DUMMYFUNCTION("""COMPUTED_VALUE"""),42425.6666666666)</f>
        <v>42425.666666666599</v>
      </c>
      <c r="B290" s="1">
        <f ca="1">IFERROR(__xludf.DUMMYFUNCTION("""COMPUTED_VALUE"""),0.8)</f>
        <v>0.8</v>
      </c>
      <c r="C290" s="1">
        <f ca="1">IFERROR(__xludf.DUMMYFUNCTION("""COMPUTED_VALUE"""),0.8)</f>
        <v>0.8</v>
      </c>
      <c r="D290" s="1">
        <f ca="1">IFERROR(__xludf.DUMMYFUNCTION("""COMPUTED_VALUE"""),0.78)</f>
        <v>0.78</v>
      </c>
      <c r="E290" s="1">
        <f ca="1">IFERROR(__xludf.DUMMYFUNCTION("""COMPUTED_VALUE"""),0.8)</f>
        <v>0.8</v>
      </c>
      <c r="F290" s="1">
        <f ca="1">IFERROR(__xludf.DUMMYFUNCTION("""COMPUTED_VALUE"""),8740367)</f>
        <v>8740367</v>
      </c>
    </row>
    <row r="291" spans="1:6" x14ac:dyDescent="0.35">
      <c r="A291" s="2">
        <f ca="1">IFERROR(__xludf.DUMMYFUNCTION("""COMPUTED_VALUE"""),42426.6666666666)</f>
        <v>42426.666666666599</v>
      </c>
      <c r="B291" s="1">
        <f ca="1">IFERROR(__xludf.DUMMYFUNCTION("""COMPUTED_VALUE"""),0.8)</f>
        <v>0.8</v>
      </c>
      <c r="C291" s="1">
        <f ca="1">IFERROR(__xludf.DUMMYFUNCTION("""COMPUTED_VALUE"""),0.8)</f>
        <v>0.8</v>
      </c>
      <c r="D291" s="1">
        <f ca="1">IFERROR(__xludf.DUMMYFUNCTION("""COMPUTED_VALUE"""),0.78)</f>
        <v>0.78</v>
      </c>
      <c r="E291" s="1">
        <f ca="1">IFERROR(__xludf.DUMMYFUNCTION("""COMPUTED_VALUE"""),0.79)</f>
        <v>0.79</v>
      </c>
      <c r="F291" s="1">
        <f ca="1">IFERROR(__xludf.DUMMYFUNCTION("""COMPUTED_VALUE"""),9049073)</f>
        <v>9049073</v>
      </c>
    </row>
    <row r="292" spans="1:6" x14ac:dyDescent="0.35">
      <c r="A292" s="2">
        <f ca="1">IFERROR(__xludf.DUMMYFUNCTION("""COMPUTED_VALUE"""),42429.6666666666)</f>
        <v>42429.666666666599</v>
      </c>
      <c r="B292" s="1">
        <f ca="1">IFERROR(__xludf.DUMMYFUNCTION("""COMPUTED_VALUE"""),0.79)</f>
        <v>0.79</v>
      </c>
      <c r="C292" s="1">
        <f ca="1">IFERROR(__xludf.DUMMYFUNCTION("""COMPUTED_VALUE"""),0.8)</f>
        <v>0.8</v>
      </c>
      <c r="D292" s="1">
        <f ca="1">IFERROR(__xludf.DUMMYFUNCTION("""COMPUTED_VALUE"""),0.78)</f>
        <v>0.78</v>
      </c>
      <c r="E292" s="1">
        <f ca="1">IFERROR(__xludf.DUMMYFUNCTION("""COMPUTED_VALUE"""),0.78)</f>
        <v>0.78</v>
      </c>
      <c r="F292" s="1">
        <f ca="1">IFERROR(__xludf.DUMMYFUNCTION("""COMPUTED_VALUE"""),8083618)</f>
        <v>8083618</v>
      </c>
    </row>
    <row r="293" spans="1:6" x14ac:dyDescent="0.35">
      <c r="A293" s="2">
        <f ca="1">IFERROR(__xludf.DUMMYFUNCTION("""COMPUTED_VALUE"""),42430.6666666666)</f>
        <v>42430.666666666599</v>
      </c>
      <c r="B293" s="1">
        <f ca="1">IFERROR(__xludf.DUMMYFUNCTION("""COMPUTED_VALUE"""),0.79)</f>
        <v>0.79</v>
      </c>
      <c r="C293" s="1">
        <f ca="1">IFERROR(__xludf.DUMMYFUNCTION("""COMPUTED_VALUE"""),0.82)</f>
        <v>0.82</v>
      </c>
      <c r="D293" s="1">
        <f ca="1">IFERROR(__xludf.DUMMYFUNCTION("""COMPUTED_VALUE"""),0.78)</f>
        <v>0.78</v>
      </c>
      <c r="E293" s="1">
        <f ca="1">IFERROR(__xludf.DUMMYFUNCTION("""COMPUTED_VALUE"""),0.82)</f>
        <v>0.82</v>
      </c>
      <c r="F293" s="1">
        <f ca="1">IFERROR(__xludf.DUMMYFUNCTION("""COMPUTED_VALUE"""),8717512)</f>
        <v>8717512</v>
      </c>
    </row>
    <row r="294" spans="1:6" x14ac:dyDescent="0.35">
      <c r="A294" s="2">
        <f ca="1">IFERROR(__xludf.DUMMYFUNCTION("""COMPUTED_VALUE"""),42431.6666666666)</f>
        <v>42431.666666666599</v>
      </c>
      <c r="B294" s="1">
        <f ca="1">IFERROR(__xludf.DUMMYFUNCTION("""COMPUTED_VALUE"""),0.81)</f>
        <v>0.81</v>
      </c>
      <c r="C294" s="1">
        <f ca="1">IFERROR(__xludf.DUMMYFUNCTION("""COMPUTED_VALUE"""),0.83)</f>
        <v>0.83</v>
      </c>
      <c r="D294" s="1">
        <f ca="1">IFERROR(__xludf.DUMMYFUNCTION("""COMPUTED_VALUE"""),0.81)</f>
        <v>0.81</v>
      </c>
      <c r="E294" s="1">
        <f ca="1">IFERROR(__xludf.DUMMYFUNCTION("""COMPUTED_VALUE"""),0.82)</f>
        <v>0.82</v>
      </c>
      <c r="F294" s="1">
        <f ca="1">IFERROR(__xludf.DUMMYFUNCTION("""COMPUTED_VALUE"""),5845933)</f>
        <v>5845933</v>
      </c>
    </row>
    <row r="295" spans="1:6" x14ac:dyDescent="0.35">
      <c r="A295" s="2">
        <f ca="1">IFERROR(__xludf.DUMMYFUNCTION("""COMPUTED_VALUE"""),42432.6666666666)</f>
        <v>42432.666666666599</v>
      </c>
      <c r="B295" s="1">
        <f ca="1">IFERROR(__xludf.DUMMYFUNCTION("""COMPUTED_VALUE"""),0.82)</f>
        <v>0.82</v>
      </c>
      <c r="C295" s="1">
        <f ca="1">IFERROR(__xludf.DUMMYFUNCTION("""COMPUTED_VALUE"""),0.83)</f>
        <v>0.83</v>
      </c>
      <c r="D295" s="1">
        <f ca="1">IFERROR(__xludf.DUMMYFUNCTION("""COMPUTED_VALUE"""),0.81)</f>
        <v>0.81</v>
      </c>
      <c r="E295" s="1">
        <f ca="1">IFERROR(__xludf.DUMMYFUNCTION("""COMPUTED_VALUE"""),0.82)</f>
        <v>0.82</v>
      </c>
      <c r="F295" s="1">
        <f ca="1">IFERROR(__xludf.DUMMYFUNCTION("""COMPUTED_VALUE"""),7550088)</f>
        <v>7550088</v>
      </c>
    </row>
    <row r="296" spans="1:6" x14ac:dyDescent="0.35">
      <c r="A296" s="2">
        <f ca="1">IFERROR(__xludf.DUMMYFUNCTION("""COMPUTED_VALUE"""),42433.6666666666)</f>
        <v>42433.666666666599</v>
      </c>
      <c r="B296" s="1">
        <f ca="1">IFERROR(__xludf.DUMMYFUNCTION("""COMPUTED_VALUE"""),0.82)</f>
        <v>0.82</v>
      </c>
      <c r="C296" s="1">
        <f ca="1">IFERROR(__xludf.DUMMYFUNCTION("""COMPUTED_VALUE"""),0.82)</f>
        <v>0.82</v>
      </c>
      <c r="D296" s="1">
        <f ca="1">IFERROR(__xludf.DUMMYFUNCTION("""COMPUTED_VALUE"""),0.81)</f>
        <v>0.81</v>
      </c>
      <c r="E296" s="1">
        <f ca="1">IFERROR(__xludf.DUMMYFUNCTION("""COMPUTED_VALUE"""),0.81)</f>
        <v>0.81</v>
      </c>
      <c r="F296" s="1">
        <f ca="1">IFERROR(__xludf.DUMMYFUNCTION("""COMPUTED_VALUE"""),4382634)</f>
        <v>4382634</v>
      </c>
    </row>
    <row r="297" spans="1:6" x14ac:dyDescent="0.35">
      <c r="A297" s="2">
        <f ca="1">IFERROR(__xludf.DUMMYFUNCTION("""COMPUTED_VALUE"""),42436.6666666666)</f>
        <v>42436.666666666599</v>
      </c>
      <c r="B297" s="1">
        <f ca="1">IFERROR(__xludf.DUMMYFUNCTION("""COMPUTED_VALUE"""),0.81)</f>
        <v>0.81</v>
      </c>
      <c r="C297" s="1">
        <f ca="1">IFERROR(__xludf.DUMMYFUNCTION("""COMPUTED_VALUE"""),0.81)</f>
        <v>0.81</v>
      </c>
      <c r="D297" s="1">
        <f ca="1">IFERROR(__xludf.DUMMYFUNCTION("""COMPUTED_VALUE"""),0.8)</f>
        <v>0.8</v>
      </c>
      <c r="E297" s="1">
        <f ca="1">IFERROR(__xludf.DUMMYFUNCTION("""COMPUTED_VALUE"""),0.81)</f>
        <v>0.81</v>
      </c>
      <c r="F297" s="1">
        <f ca="1">IFERROR(__xludf.DUMMYFUNCTION("""COMPUTED_VALUE"""),6005495)</f>
        <v>6005495</v>
      </c>
    </row>
    <row r="298" spans="1:6" x14ac:dyDescent="0.35">
      <c r="A298" s="2">
        <f ca="1">IFERROR(__xludf.DUMMYFUNCTION("""COMPUTED_VALUE"""),42437.6666666666)</f>
        <v>42437.666666666599</v>
      </c>
      <c r="B298" s="1">
        <f ca="1">IFERROR(__xludf.DUMMYFUNCTION("""COMPUTED_VALUE"""),0.8)</f>
        <v>0.8</v>
      </c>
      <c r="C298" s="1">
        <f ca="1">IFERROR(__xludf.DUMMYFUNCTION("""COMPUTED_VALUE"""),0.81)</f>
        <v>0.81</v>
      </c>
      <c r="D298" s="1">
        <f ca="1">IFERROR(__xludf.DUMMYFUNCTION("""COMPUTED_VALUE"""),0.79)</f>
        <v>0.79</v>
      </c>
      <c r="E298" s="1">
        <f ca="1">IFERROR(__xludf.DUMMYFUNCTION("""COMPUTED_VALUE"""),0.79)</f>
        <v>0.79</v>
      </c>
      <c r="F298" s="1">
        <f ca="1">IFERROR(__xludf.DUMMYFUNCTION("""COMPUTED_VALUE"""),6873478)</f>
        <v>6873478</v>
      </c>
    </row>
    <row r="299" spans="1:6" x14ac:dyDescent="0.35">
      <c r="A299" s="2">
        <f ca="1">IFERROR(__xludf.DUMMYFUNCTION("""COMPUTED_VALUE"""),42438.6666666666)</f>
        <v>42438.666666666599</v>
      </c>
      <c r="B299" s="1">
        <f ca="1">IFERROR(__xludf.DUMMYFUNCTION("""COMPUTED_VALUE"""),0.8)</f>
        <v>0.8</v>
      </c>
      <c r="C299" s="1">
        <f ca="1">IFERROR(__xludf.DUMMYFUNCTION("""COMPUTED_VALUE"""),0.8)</f>
        <v>0.8</v>
      </c>
      <c r="D299" s="1">
        <f ca="1">IFERROR(__xludf.DUMMYFUNCTION("""COMPUTED_VALUE"""),0.78)</f>
        <v>0.78</v>
      </c>
      <c r="E299" s="1">
        <f ca="1">IFERROR(__xludf.DUMMYFUNCTION("""COMPUTED_VALUE"""),0.79)</f>
        <v>0.79</v>
      </c>
      <c r="F299" s="1">
        <f ca="1">IFERROR(__xludf.DUMMYFUNCTION("""COMPUTED_VALUE"""),5569737)</f>
        <v>5569737</v>
      </c>
    </row>
    <row r="300" spans="1:6" x14ac:dyDescent="0.35">
      <c r="A300" s="2">
        <f ca="1">IFERROR(__xludf.DUMMYFUNCTION("""COMPUTED_VALUE"""),42439.6666666666)</f>
        <v>42439.666666666599</v>
      </c>
      <c r="B300" s="1">
        <f ca="1">IFERROR(__xludf.DUMMYFUNCTION("""COMPUTED_VALUE"""),0.8)</f>
        <v>0.8</v>
      </c>
      <c r="C300" s="1">
        <f ca="1">IFERROR(__xludf.DUMMYFUNCTION("""COMPUTED_VALUE"""),0.8)</f>
        <v>0.8</v>
      </c>
      <c r="D300" s="1">
        <f ca="1">IFERROR(__xludf.DUMMYFUNCTION("""COMPUTED_VALUE"""),0.78)</f>
        <v>0.78</v>
      </c>
      <c r="E300" s="1">
        <f ca="1">IFERROR(__xludf.DUMMYFUNCTION("""COMPUTED_VALUE"""),0.79)</f>
        <v>0.79</v>
      </c>
      <c r="F300" s="1">
        <f ca="1">IFERROR(__xludf.DUMMYFUNCTION("""COMPUTED_VALUE"""),7152137)</f>
        <v>7152137</v>
      </c>
    </row>
    <row r="301" spans="1:6" x14ac:dyDescent="0.35">
      <c r="A301" s="2">
        <f ca="1">IFERROR(__xludf.DUMMYFUNCTION("""COMPUTED_VALUE"""),42440.6666666666)</f>
        <v>42440.666666666599</v>
      </c>
      <c r="B301" s="1">
        <f ca="1">IFERROR(__xludf.DUMMYFUNCTION("""COMPUTED_VALUE"""),0.8)</f>
        <v>0.8</v>
      </c>
      <c r="C301" s="1">
        <f ca="1">IFERROR(__xludf.DUMMYFUNCTION("""COMPUTED_VALUE"""),0.81)</f>
        <v>0.81</v>
      </c>
      <c r="D301" s="1">
        <f ca="1">IFERROR(__xludf.DUMMYFUNCTION("""COMPUTED_VALUE"""),0.79)</f>
        <v>0.79</v>
      </c>
      <c r="E301" s="1">
        <f ca="1">IFERROR(__xludf.DUMMYFUNCTION("""COMPUTED_VALUE"""),0.81)</f>
        <v>0.81</v>
      </c>
      <c r="F301" s="1">
        <f ca="1">IFERROR(__xludf.DUMMYFUNCTION("""COMPUTED_VALUE"""),6934986)</f>
        <v>6934986</v>
      </c>
    </row>
    <row r="302" spans="1:6" x14ac:dyDescent="0.35">
      <c r="A302" s="2">
        <f ca="1">IFERROR(__xludf.DUMMYFUNCTION("""COMPUTED_VALUE"""),42443.6666666666)</f>
        <v>42443.666666666599</v>
      </c>
      <c r="B302" s="1">
        <f ca="1">IFERROR(__xludf.DUMMYFUNCTION("""COMPUTED_VALUE"""),0.8)</f>
        <v>0.8</v>
      </c>
      <c r="C302" s="1">
        <f ca="1">IFERROR(__xludf.DUMMYFUNCTION("""COMPUTED_VALUE"""),0.81)</f>
        <v>0.81</v>
      </c>
      <c r="D302" s="1">
        <f ca="1">IFERROR(__xludf.DUMMYFUNCTION("""COMPUTED_VALUE"""),0.8)</f>
        <v>0.8</v>
      </c>
      <c r="E302" s="1">
        <f ca="1">IFERROR(__xludf.DUMMYFUNCTION("""COMPUTED_VALUE"""),0.81)</f>
        <v>0.81</v>
      </c>
      <c r="F302" s="1">
        <f ca="1">IFERROR(__xludf.DUMMYFUNCTION("""COMPUTED_VALUE"""),4757868)</f>
        <v>4757868</v>
      </c>
    </row>
    <row r="303" spans="1:6" x14ac:dyDescent="0.35">
      <c r="A303" s="2">
        <f ca="1">IFERROR(__xludf.DUMMYFUNCTION("""COMPUTED_VALUE"""),42444.6666666666)</f>
        <v>42444.666666666599</v>
      </c>
      <c r="B303" s="1">
        <f ca="1">IFERROR(__xludf.DUMMYFUNCTION("""COMPUTED_VALUE"""),0.8)</f>
        <v>0.8</v>
      </c>
      <c r="C303" s="1">
        <f ca="1">IFERROR(__xludf.DUMMYFUNCTION("""COMPUTED_VALUE"""),0.81)</f>
        <v>0.81</v>
      </c>
      <c r="D303" s="1">
        <f ca="1">IFERROR(__xludf.DUMMYFUNCTION("""COMPUTED_VALUE"""),0.79)</f>
        <v>0.79</v>
      </c>
      <c r="E303" s="1">
        <f ca="1">IFERROR(__xludf.DUMMYFUNCTION("""COMPUTED_VALUE"""),0.8)</f>
        <v>0.8</v>
      </c>
      <c r="F303" s="1">
        <f ca="1">IFERROR(__xludf.DUMMYFUNCTION("""COMPUTED_VALUE"""),5655420)</f>
        <v>5655420</v>
      </c>
    </row>
    <row r="304" spans="1:6" x14ac:dyDescent="0.35">
      <c r="A304" s="2">
        <f ca="1">IFERROR(__xludf.DUMMYFUNCTION("""COMPUTED_VALUE"""),42445.6666666666)</f>
        <v>42445.666666666599</v>
      </c>
      <c r="B304" s="1">
        <f ca="1">IFERROR(__xludf.DUMMYFUNCTION("""COMPUTED_VALUE"""),0.8)</f>
        <v>0.8</v>
      </c>
      <c r="C304" s="1">
        <f ca="1">IFERROR(__xludf.DUMMYFUNCTION("""COMPUTED_VALUE"""),0.83)</f>
        <v>0.83</v>
      </c>
      <c r="D304" s="1">
        <f ca="1">IFERROR(__xludf.DUMMYFUNCTION("""COMPUTED_VALUE"""),0.79)</f>
        <v>0.79</v>
      </c>
      <c r="E304" s="1">
        <f ca="1">IFERROR(__xludf.DUMMYFUNCTION("""COMPUTED_VALUE"""),0.83)</f>
        <v>0.83</v>
      </c>
      <c r="F304" s="1">
        <f ca="1">IFERROR(__xludf.DUMMYFUNCTION("""COMPUTED_VALUE"""),9091068)</f>
        <v>9091068</v>
      </c>
    </row>
    <row r="305" spans="1:6" x14ac:dyDescent="0.35">
      <c r="A305" s="2">
        <f ca="1">IFERROR(__xludf.DUMMYFUNCTION("""COMPUTED_VALUE"""),42446.6666666666)</f>
        <v>42446.666666666599</v>
      </c>
      <c r="B305" s="1">
        <f ca="1">IFERROR(__xludf.DUMMYFUNCTION("""COMPUTED_VALUE"""),0.82)</f>
        <v>0.82</v>
      </c>
      <c r="C305" s="1">
        <f ca="1">IFERROR(__xludf.DUMMYFUNCTION("""COMPUTED_VALUE"""),0.83)</f>
        <v>0.83</v>
      </c>
      <c r="D305" s="1">
        <f ca="1">IFERROR(__xludf.DUMMYFUNCTION("""COMPUTED_VALUE"""),0.81)</f>
        <v>0.81</v>
      </c>
      <c r="E305" s="1">
        <f ca="1">IFERROR(__xludf.DUMMYFUNCTION("""COMPUTED_VALUE"""),0.82)</f>
        <v>0.82</v>
      </c>
      <c r="F305" s="1">
        <f ca="1">IFERROR(__xludf.DUMMYFUNCTION("""COMPUTED_VALUE"""),3014629)</f>
        <v>3014629</v>
      </c>
    </row>
    <row r="306" spans="1:6" x14ac:dyDescent="0.35">
      <c r="A306" s="2">
        <f ca="1">IFERROR(__xludf.DUMMYFUNCTION("""COMPUTED_VALUE"""),42447.6666666666)</f>
        <v>42447.666666666599</v>
      </c>
      <c r="B306" s="1">
        <f ca="1">IFERROR(__xludf.DUMMYFUNCTION("""COMPUTED_VALUE"""),0.83)</f>
        <v>0.83</v>
      </c>
      <c r="C306" s="1">
        <f ca="1">IFERROR(__xludf.DUMMYFUNCTION("""COMPUTED_VALUE"""),0.86)</f>
        <v>0.86</v>
      </c>
      <c r="D306" s="1">
        <f ca="1">IFERROR(__xludf.DUMMYFUNCTION("""COMPUTED_VALUE"""),0.83)</f>
        <v>0.83</v>
      </c>
      <c r="E306" s="1">
        <f ca="1">IFERROR(__xludf.DUMMYFUNCTION("""COMPUTED_VALUE"""),0.85)</f>
        <v>0.85</v>
      </c>
      <c r="F306" s="1">
        <f ca="1">IFERROR(__xludf.DUMMYFUNCTION("""COMPUTED_VALUE"""),13637802)</f>
        <v>13637802</v>
      </c>
    </row>
    <row r="307" spans="1:6" x14ac:dyDescent="0.35">
      <c r="A307" s="2">
        <f ca="1">IFERROR(__xludf.DUMMYFUNCTION("""COMPUTED_VALUE"""),42450.6666666666)</f>
        <v>42450.666666666599</v>
      </c>
      <c r="B307" s="1">
        <f ca="1">IFERROR(__xludf.DUMMYFUNCTION("""COMPUTED_VALUE"""),0.84)</f>
        <v>0.84</v>
      </c>
      <c r="C307" s="1">
        <f ca="1">IFERROR(__xludf.DUMMYFUNCTION("""COMPUTED_VALUE"""),0.85)</f>
        <v>0.85</v>
      </c>
      <c r="D307" s="1">
        <f ca="1">IFERROR(__xludf.DUMMYFUNCTION("""COMPUTED_VALUE"""),0.83)</f>
        <v>0.83</v>
      </c>
      <c r="E307" s="1">
        <f ca="1">IFERROR(__xludf.DUMMYFUNCTION("""COMPUTED_VALUE"""),0.85)</f>
        <v>0.85</v>
      </c>
      <c r="F307" s="1">
        <f ca="1">IFERROR(__xludf.DUMMYFUNCTION("""COMPUTED_VALUE"""),8444539)</f>
        <v>8444539</v>
      </c>
    </row>
    <row r="308" spans="1:6" x14ac:dyDescent="0.35">
      <c r="A308" s="2">
        <f ca="1">IFERROR(__xludf.DUMMYFUNCTION("""COMPUTED_VALUE"""),42451.6666666666)</f>
        <v>42451.666666666599</v>
      </c>
      <c r="B308" s="1">
        <f ca="1">IFERROR(__xludf.DUMMYFUNCTION("""COMPUTED_VALUE"""),0.85)</f>
        <v>0.85</v>
      </c>
      <c r="C308" s="1">
        <f ca="1">IFERROR(__xludf.DUMMYFUNCTION("""COMPUTED_VALUE"""),0.85)</f>
        <v>0.85</v>
      </c>
      <c r="D308" s="1">
        <f ca="1">IFERROR(__xludf.DUMMYFUNCTION("""COMPUTED_VALUE"""),0.84)</f>
        <v>0.84</v>
      </c>
      <c r="E308" s="1">
        <f ca="1">IFERROR(__xludf.DUMMYFUNCTION("""COMPUTED_VALUE"""),0.85)</f>
        <v>0.85</v>
      </c>
      <c r="F308" s="1">
        <f ca="1">IFERROR(__xludf.DUMMYFUNCTION("""COMPUTED_VALUE"""),6050266)</f>
        <v>6050266</v>
      </c>
    </row>
    <row r="309" spans="1:6" x14ac:dyDescent="0.35">
      <c r="A309" s="2">
        <f ca="1">IFERROR(__xludf.DUMMYFUNCTION("""COMPUTED_VALUE"""),42452.6666666666)</f>
        <v>42452.666666666599</v>
      </c>
      <c r="B309" s="1">
        <f ca="1">IFERROR(__xludf.DUMMYFUNCTION("""COMPUTED_VALUE"""),0.85)</f>
        <v>0.85</v>
      </c>
      <c r="C309" s="1">
        <f ca="1">IFERROR(__xludf.DUMMYFUNCTION("""COMPUTED_VALUE"""),0.87)</f>
        <v>0.87</v>
      </c>
      <c r="D309" s="1">
        <f ca="1">IFERROR(__xludf.DUMMYFUNCTION("""COMPUTED_VALUE"""),0.85)</f>
        <v>0.85</v>
      </c>
      <c r="E309" s="1">
        <f ca="1">IFERROR(__xludf.DUMMYFUNCTION("""COMPUTED_VALUE"""),0.86)</f>
        <v>0.86</v>
      </c>
      <c r="F309" s="1">
        <f ca="1">IFERROR(__xludf.DUMMYFUNCTION("""COMPUTED_VALUE"""),10725171)</f>
        <v>10725171</v>
      </c>
    </row>
    <row r="310" spans="1:6" x14ac:dyDescent="0.35">
      <c r="A310" s="2">
        <f ca="1">IFERROR(__xludf.DUMMYFUNCTION("""COMPUTED_VALUE"""),42453.6666666666)</f>
        <v>42453.666666666599</v>
      </c>
      <c r="B310" s="1">
        <f ca="1">IFERROR(__xludf.DUMMYFUNCTION("""COMPUTED_VALUE"""),0.85)</f>
        <v>0.85</v>
      </c>
      <c r="C310" s="1">
        <f ca="1">IFERROR(__xludf.DUMMYFUNCTION("""COMPUTED_VALUE"""),0.86)</f>
        <v>0.86</v>
      </c>
      <c r="D310" s="1">
        <f ca="1">IFERROR(__xludf.DUMMYFUNCTION("""COMPUTED_VALUE"""),0.85)</f>
        <v>0.85</v>
      </c>
      <c r="E310" s="1">
        <f ca="1">IFERROR(__xludf.DUMMYFUNCTION("""COMPUTED_VALUE"""),0.86)</f>
        <v>0.86</v>
      </c>
      <c r="F310" s="1">
        <f ca="1">IFERROR(__xludf.DUMMYFUNCTION("""COMPUTED_VALUE"""),6123854)</f>
        <v>6123854</v>
      </c>
    </row>
    <row r="311" spans="1:6" x14ac:dyDescent="0.35">
      <c r="A311" s="2">
        <f ca="1">IFERROR(__xludf.DUMMYFUNCTION("""COMPUTED_VALUE"""),42457.6666666666)</f>
        <v>42457.666666666599</v>
      </c>
      <c r="B311" s="1">
        <f ca="1">IFERROR(__xludf.DUMMYFUNCTION("""COMPUTED_VALUE"""),0.86)</f>
        <v>0.86</v>
      </c>
      <c r="C311" s="1">
        <f ca="1">IFERROR(__xludf.DUMMYFUNCTION("""COMPUTED_VALUE"""),0.87)</f>
        <v>0.87</v>
      </c>
      <c r="D311" s="1">
        <f ca="1">IFERROR(__xludf.DUMMYFUNCTION("""COMPUTED_VALUE"""),0.86)</f>
        <v>0.86</v>
      </c>
      <c r="E311" s="1">
        <f ca="1">IFERROR(__xludf.DUMMYFUNCTION("""COMPUTED_VALUE"""),0.87)</f>
        <v>0.87</v>
      </c>
      <c r="F311" s="1">
        <f ca="1">IFERROR(__xludf.DUMMYFUNCTION("""COMPUTED_VALUE"""),6634700)</f>
        <v>6634700</v>
      </c>
    </row>
    <row r="312" spans="1:6" x14ac:dyDescent="0.35">
      <c r="A312" s="2">
        <f ca="1">IFERROR(__xludf.DUMMYFUNCTION("""COMPUTED_VALUE"""),42458.6666666666)</f>
        <v>42458.666666666599</v>
      </c>
      <c r="B312" s="1">
        <f ca="1">IFERROR(__xludf.DUMMYFUNCTION("""COMPUTED_VALUE"""),0.87)</f>
        <v>0.87</v>
      </c>
      <c r="C312" s="1">
        <f ca="1">IFERROR(__xludf.DUMMYFUNCTION("""COMPUTED_VALUE"""),0.89)</f>
        <v>0.89</v>
      </c>
      <c r="D312" s="1">
        <f ca="1">IFERROR(__xludf.DUMMYFUNCTION("""COMPUTED_VALUE"""),0.87)</f>
        <v>0.87</v>
      </c>
      <c r="E312" s="1">
        <f ca="1">IFERROR(__xludf.DUMMYFUNCTION("""COMPUTED_VALUE"""),0.88)</f>
        <v>0.88</v>
      </c>
      <c r="F312" s="1">
        <f ca="1">IFERROR(__xludf.DUMMYFUNCTION("""COMPUTED_VALUE"""),6545266)</f>
        <v>6545266</v>
      </c>
    </row>
    <row r="313" spans="1:6" x14ac:dyDescent="0.35">
      <c r="A313" s="2">
        <f ca="1">IFERROR(__xludf.DUMMYFUNCTION("""COMPUTED_VALUE"""),42459.6666666666)</f>
        <v>42459.666666666599</v>
      </c>
      <c r="B313" s="1">
        <f ca="1">IFERROR(__xludf.DUMMYFUNCTION("""COMPUTED_VALUE"""),0.89)</f>
        <v>0.89</v>
      </c>
      <c r="C313" s="1">
        <f ca="1">IFERROR(__xludf.DUMMYFUNCTION("""COMPUTED_VALUE"""),0.91)</f>
        <v>0.91</v>
      </c>
      <c r="D313" s="1">
        <f ca="1">IFERROR(__xludf.DUMMYFUNCTION("""COMPUTED_VALUE"""),0.89)</f>
        <v>0.89</v>
      </c>
      <c r="E313" s="1">
        <f ca="1">IFERROR(__xludf.DUMMYFUNCTION("""COMPUTED_VALUE"""),0.89)</f>
        <v>0.89</v>
      </c>
      <c r="F313" s="1">
        <f ca="1">IFERROR(__xludf.DUMMYFUNCTION("""COMPUTED_VALUE"""),9417474)</f>
        <v>9417474</v>
      </c>
    </row>
    <row r="314" spans="1:6" x14ac:dyDescent="0.35">
      <c r="A314" s="2">
        <f ca="1">IFERROR(__xludf.DUMMYFUNCTION("""COMPUTED_VALUE"""),42460.6666666666)</f>
        <v>42460.666666666599</v>
      </c>
      <c r="B314" s="1">
        <f ca="1">IFERROR(__xludf.DUMMYFUNCTION("""COMPUTED_VALUE"""),0.9)</f>
        <v>0.9</v>
      </c>
      <c r="C314" s="1">
        <f ca="1">IFERROR(__xludf.DUMMYFUNCTION("""COMPUTED_VALUE"""),0.9)</f>
        <v>0.9</v>
      </c>
      <c r="D314" s="1">
        <f ca="1">IFERROR(__xludf.DUMMYFUNCTION("""COMPUTED_VALUE"""),0.88)</f>
        <v>0.88</v>
      </c>
      <c r="E314" s="1">
        <f ca="1">IFERROR(__xludf.DUMMYFUNCTION("""COMPUTED_VALUE"""),0.89)</f>
        <v>0.89</v>
      </c>
      <c r="F314" s="1">
        <f ca="1">IFERROR(__xludf.DUMMYFUNCTION("""COMPUTED_VALUE"""),9497052)</f>
        <v>9497052</v>
      </c>
    </row>
    <row r="315" spans="1:6" x14ac:dyDescent="0.35">
      <c r="A315" s="2">
        <f ca="1">IFERROR(__xludf.DUMMYFUNCTION("""COMPUTED_VALUE"""),42461.6666666666)</f>
        <v>42461.666666666599</v>
      </c>
      <c r="B315" s="1">
        <f ca="1">IFERROR(__xludf.DUMMYFUNCTION("""COMPUTED_VALUE"""),0.89)</f>
        <v>0.89</v>
      </c>
      <c r="C315" s="1">
        <f ca="1">IFERROR(__xludf.DUMMYFUNCTION("""COMPUTED_VALUE"""),0.9)</f>
        <v>0.9</v>
      </c>
      <c r="D315" s="1">
        <f ca="1">IFERROR(__xludf.DUMMYFUNCTION("""COMPUTED_VALUE"""),0.88)</f>
        <v>0.88</v>
      </c>
      <c r="E315" s="1">
        <f ca="1">IFERROR(__xludf.DUMMYFUNCTION("""COMPUTED_VALUE"""),0.9)</f>
        <v>0.9</v>
      </c>
      <c r="F315" s="1">
        <f ca="1">IFERROR(__xludf.DUMMYFUNCTION("""COMPUTED_VALUE"""),8707319)</f>
        <v>8707319</v>
      </c>
    </row>
    <row r="316" spans="1:6" x14ac:dyDescent="0.35">
      <c r="A316" s="2">
        <f ca="1">IFERROR(__xludf.DUMMYFUNCTION("""COMPUTED_VALUE"""),42464.6666666666)</f>
        <v>42464.666666666599</v>
      </c>
      <c r="B316" s="1">
        <f ca="1">IFERROR(__xludf.DUMMYFUNCTION("""COMPUTED_VALUE"""),0.91)</f>
        <v>0.91</v>
      </c>
      <c r="C316" s="1">
        <f ca="1">IFERROR(__xludf.DUMMYFUNCTION("""COMPUTED_VALUE"""),0.92)</f>
        <v>0.92</v>
      </c>
      <c r="D316" s="1">
        <f ca="1">IFERROR(__xludf.DUMMYFUNCTION("""COMPUTED_VALUE"""),0.89)</f>
        <v>0.89</v>
      </c>
      <c r="E316" s="1">
        <f ca="1">IFERROR(__xludf.DUMMYFUNCTION("""COMPUTED_VALUE"""),0.9)</f>
        <v>0.9</v>
      </c>
      <c r="F316" s="1">
        <f ca="1">IFERROR(__xludf.DUMMYFUNCTION("""COMPUTED_VALUE"""),9848551)</f>
        <v>9848551</v>
      </c>
    </row>
    <row r="317" spans="1:6" x14ac:dyDescent="0.35">
      <c r="A317" s="2">
        <f ca="1">IFERROR(__xludf.DUMMYFUNCTION("""COMPUTED_VALUE"""),42465.6666666666)</f>
        <v>42465.666666666599</v>
      </c>
      <c r="B317" s="1">
        <f ca="1">IFERROR(__xludf.DUMMYFUNCTION("""COMPUTED_VALUE"""),0.89)</f>
        <v>0.89</v>
      </c>
      <c r="C317" s="1">
        <f ca="1">IFERROR(__xludf.DUMMYFUNCTION("""COMPUTED_VALUE"""),0.9)</f>
        <v>0.9</v>
      </c>
      <c r="D317" s="1">
        <f ca="1">IFERROR(__xludf.DUMMYFUNCTION("""COMPUTED_VALUE"""),0.88)</f>
        <v>0.88</v>
      </c>
      <c r="E317" s="1">
        <f ca="1">IFERROR(__xludf.DUMMYFUNCTION("""COMPUTED_VALUE"""),0.89)</f>
        <v>0.89</v>
      </c>
      <c r="F317" s="1">
        <f ca="1">IFERROR(__xludf.DUMMYFUNCTION("""COMPUTED_VALUE"""),8489215)</f>
        <v>8489215</v>
      </c>
    </row>
    <row r="318" spans="1:6" x14ac:dyDescent="0.35">
      <c r="A318" s="2">
        <f ca="1">IFERROR(__xludf.DUMMYFUNCTION("""COMPUTED_VALUE"""),42466.6666666666)</f>
        <v>42466.666666666599</v>
      </c>
      <c r="B318" s="1">
        <f ca="1">IFERROR(__xludf.DUMMYFUNCTION("""COMPUTED_VALUE"""),0.88)</f>
        <v>0.88</v>
      </c>
      <c r="C318" s="1">
        <f ca="1">IFERROR(__xludf.DUMMYFUNCTION("""COMPUTED_VALUE"""),0.9)</f>
        <v>0.9</v>
      </c>
      <c r="D318" s="1">
        <f ca="1">IFERROR(__xludf.DUMMYFUNCTION("""COMPUTED_VALUE"""),0.87)</f>
        <v>0.87</v>
      </c>
      <c r="E318" s="1">
        <f ca="1">IFERROR(__xludf.DUMMYFUNCTION("""COMPUTED_VALUE"""),0.9)</f>
        <v>0.9</v>
      </c>
      <c r="F318" s="1">
        <f ca="1">IFERROR(__xludf.DUMMYFUNCTION("""COMPUTED_VALUE"""),11334379)</f>
        <v>11334379</v>
      </c>
    </row>
    <row r="319" spans="1:6" x14ac:dyDescent="0.35">
      <c r="A319" s="2">
        <f ca="1">IFERROR(__xludf.DUMMYFUNCTION("""COMPUTED_VALUE"""),42467.6666666666)</f>
        <v>42467.666666666599</v>
      </c>
      <c r="B319" s="1">
        <f ca="1">IFERROR(__xludf.DUMMYFUNCTION("""COMPUTED_VALUE"""),0.89)</f>
        <v>0.89</v>
      </c>
      <c r="C319" s="1">
        <f ca="1">IFERROR(__xludf.DUMMYFUNCTION("""COMPUTED_VALUE"""),0.9)</f>
        <v>0.9</v>
      </c>
      <c r="D319" s="1">
        <f ca="1">IFERROR(__xludf.DUMMYFUNCTION("""COMPUTED_VALUE"""),0.88)</f>
        <v>0.88</v>
      </c>
      <c r="E319" s="1">
        <f ca="1">IFERROR(__xludf.DUMMYFUNCTION("""COMPUTED_VALUE"""),0.89)</f>
        <v>0.89</v>
      </c>
      <c r="F319" s="1">
        <f ca="1">IFERROR(__xludf.DUMMYFUNCTION("""COMPUTED_VALUE"""),9452644)</f>
        <v>9452644</v>
      </c>
    </row>
    <row r="320" spans="1:6" x14ac:dyDescent="0.35">
      <c r="A320" s="2">
        <f ca="1">IFERROR(__xludf.DUMMYFUNCTION("""COMPUTED_VALUE"""),42468.6666666666)</f>
        <v>42468.666666666599</v>
      </c>
      <c r="B320" s="1">
        <f ca="1">IFERROR(__xludf.DUMMYFUNCTION("""COMPUTED_VALUE"""),0.89)</f>
        <v>0.89</v>
      </c>
      <c r="C320" s="1">
        <f ca="1">IFERROR(__xludf.DUMMYFUNCTION("""COMPUTED_VALUE"""),0.9)</f>
        <v>0.9</v>
      </c>
      <c r="D320" s="1">
        <f ca="1">IFERROR(__xludf.DUMMYFUNCTION("""COMPUTED_VALUE"""),0.88)</f>
        <v>0.88</v>
      </c>
      <c r="E320" s="1">
        <f ca="1">IFERROR(__xludf.DUMMYFUNCTION("""COMPUTED_VALUE"""),0.89)</f>
        <v>0.89</v>
      </c>
      <c r="F320" s="1">
        <f ca="1">IFERROR(__xludf.DUMMYFUNCTION("""COMPUTED_VALUE"""),6398373)</f>
        <v>6398373</v>
      </c>
    </row>
    <row r="321" spans="1:6" x14ac:dyDescent="0.35">
      <c r="A321" s="2">
        <f ca="1">IFERROR(__xludf.DUMMYFUNCTION("""COMPUTED_VALUE"""),42471.6666666666)</f>
        <v>42471.666666666599</v>
      </c>
      <c r="B321" s="1">
        <f ca="1">IFERROR(__xludf.DUMMYFUNCTION("""COMPUTED_VALUE"""),0.9)</f>
        <v>0.9</v>
      </c>
      <c r="C321" s="1">
        <f ca="1">IFERROR(__xludf.DUMMYFUNCTION("""COMPUTED_VALUE"""),0.91)</f>
        <v>0.91</v>
      </c>
      <c r="D321" s="1">
        <f ca="1">IFERROR(__xludf.DUMMYFUNCTION("""COMPUTED_VALUE"""),0.89)</f>
        <v>0.89</v>
      </c>
      <c r="E321" s="1">
        <f ca="1">IFERROR(__xludf.DUMMYFUNCTION("""COMPUTED_VALUE"""),0.9)</f>
        <v>0.9</v>
      </c>
      <c r="F321" s="1">
        <f ca="1">IFERROR(__xludf.DUMMYFUNCTION("""COMPUTED_VALUE"""),9688098)</f>
        <v>9688098</v>
      </c>
    </row>
    <row r="322" spans="1:6" x14ac:dyDescent="0.35">
      <c r="A322" s="2">
        <f ca="1">IFERROR(__xludf.DUMMYFUNCTION("""COMPUTED_VALUE"""),42472.6666666666)</f>
        <v>42472.666666666599</v>
      </c>
      <c r="B322" s="1">
        <f ca="1">IFERROR(__xludf.DUMMYFUNCTION("""COMPUTED_VALUE"""),0.9)</f>
        <v>0.9</v>
      </c>
      <c r="C322" s="1">
        <f ca="1">IFERROR(__xludf.DUMMYFUNCTION("""COMPUTED_VALUE"""),0.9)</f>
        <v>0.9</v>
      </c>
      <c r="D322" s="1">
        <f ca="1">IFERROR(__xludf.DUMMYFUNCTION("""COMPUTED_VALUE"""),0.88)</f>
        <v>0.88</v>
      </c>
      <c r="E322" s="1">
        <f ca="1">IFERROR(__xludf.DUMMYFUNCTION("""COMPUTED_VALUE"""),0.9)</f>
        <v>0.9</v>
      </c>
      <c r="F322" s="1">
        <f ca="1">IFERROR(__xludf.DUMMYFUNCTION("""COMPUTED_VALUE"""),7319077)</f>
        <v>7319077</v>
      </c>
    </row>
    <row r="323" spans="1:6" x14ac:dyDescent="0.35">
      <c r="A323" s="2">
        <f ca="1">IFERROR(__xludf.DUMMYFUNCTION("""COMPUTED_VALUE"""),42473.6666666666)</f>
        <v>42473.666666666599</v>
      </c>
      <c r="B323" s="1">
        <f ca="1">IFERROR(__xludf.DUMMYFUNCTION("""COMPUTED_VALUE"""),0.9)</f>
        <v>0.9</v>
      </c>
      <c r="C323" s="1">
        <f ca="1">IFERROR(__xludf.DUMMYFUNCTION("""COMPUTED_VALUE"""),0.92)</f>
        <v>0.92</v>
      </c>
      <c r="D323" s="1">
        <f ca="1">IFERROR(__xludf.DUMMYFUNCTION("""COMPUTED_VALUE"""),0.9)</f>
        <v>0.9</v>
      </c>
      <c r="E323" s="1">
        <f ca="1">IFERROR(__xludf.DUMMYFUNCTION("""COMPUTED_VALUE"""),0.92)</f>
        <v>0.92</v>
      </c>
      <c r="F323" s="1">
        <f ca="1">IFERROR(__xludf.DUMMYFUNCTION("""COMPUTED_VALUE"""),8767861)</f>
        <v>8767861</v>
      </c>
    </row>
    <row r="324" spans="1:6" x14ac:dyDescent="0.35">
      <c r="A324" s="2">
        <f ca="1">IFERROR(__xludf.DUMMYFUNCTION("""COMPUTED_VALUE"""),42474.6666666666)</f>
        <v>42474.666666666599</v>
      </c>
      <c r="B324" s="1">
        <f ca="1">IFERROR(__xludf.DUMMYFUNCTION("""COMPUTED_VALUE"""),0.92)</f>
        <v>0.92</v>
      </c>
      <c r="C324" s="1">
        <f ca="1">IFERROR(__xludf.DUMMYFUNCTION("""COMPUTED_VALUE"""),0.93)</f>
        <v>0.93</v>
      </c>
      <c r="D324" s="1">
        <f ca="1">IFERROR(__xludf.DUMMYFUNCTION("""COMPUTED_VALUE"""),0.91)</f>
        <v>0.91</v>
      </c>
      <c r="E324" s="1">
        <f ca="1">IFERROR(__xludf.DUMMYFUNCTION("""COMPUTED_VALUE"""),0.92)</f>
        <v>0.92</v>
      </c>
      <c r="F324" s="1">
        <f ca="1">IFERROR(__xludf.DUMMYFUNCTION("""COMPUTED_VALUE"""),10414131)</f>
        <v>10414131</v>
      </c>
    </row>
    <row r="325" spans="1:6" x14ac:dyDescent="0.35">
      <c r="A325" s="2">
        <f ca="1">IFERROR(__xludf.DUMMYFUNCTION("""COMPUTED_VALUE"""),42475.6666666666)</f>
        <v>42475.666666666599</v>
      </c>
      <c r="B325" s="1">
        <f ca="1">IFERROR(__xludf.DUMMYFUNCTION("""COMPUTED_VALUE"""),0.92)</f>
        <v>0.92</v>
      </c>
      <c r="C325" s="1">
        <f ca="1">IFERROR(__xludf.DUMMYFUNCTION("""COMPUTED_VALUE"""),0.94)</f>
        <v>0.94</v>
      </c>
      <c r="D325" s="1">
        <f ca="1">IFERROR(__xludf.DUMMYFUNCTION("""COMPUTED_VALUE"""),0.92)</f>
        <v>0.92</v>
      </c>
      <c r="E325" s="1">
        <f ca="1">IFERROR(__xludf.DUMMYFUNCTION("""COMPUTED_VALUE"""),0.93)</f>
        <v>0.93</v>
      </c>
      <c r="F325" s="1">
        <f ca="1">IFERROR(__xludf.DUMMYFUNCTION("""COMPUTED_VALUE"""),10924273)</f>
        <v>10924273</v>
      </c>
    </row>
    <row r="326" spans="1:6" x14ac:dyDescent="0.35">
      <c r="A326" s="2">
        <f ca="1">IFERROR(__xludf.DUMMYFUNCTION("""COMPUTED_VALUE"""),42478.6666666666)</f>
        <v>42478.666666666599</v>
      </c>
      <c r="B326" s="1">
        <f ca="1">IFERROR(__xludf.DUMMYFUNCTION("""COMPUTED_VALUE"""),0.93)</f>
        <v>0.93</v>
      </c>
      <c r="C326" s="1">
        <f ca="1">IFERROR(__xludf.DUMMYFUNCTION("""COMPUTED_VALUE"""),0.93)</f>
        <v>0.93</v>
      </c>
      <c r="D326" s="1">
        <f ca="1">IFERROR(__xludf.DUMMYFUNCTION("""COMPUTED_VALUE"""),0.92)</f>
        <v>0.92</v>
      </c>
      <c r="E326" s="1">
        <f ca="1">IFERROR(__xludf.DUMMYFUNCTION("""COMPUTED_VALUE"""),0.92)</f>
        <v>0.92</v>
      </c>
      <c r="F326" s="1">
        <f ca="1">IFERROR(__xludf.DUMMYFUNCTION("""COMPUTED_VALUE"""),7683044)</f>
        <v>7683044</v>
      </c>
    </row>
    <row r="327" spans="1:6" x14ac:dyDescent="0.35">
      <c r="A327" s="2">
        <f ca="1">IFERROR(__xludf.DUMMYFUNCTION("""COMPUTED_VALUE"""),42479.6666666666)</f>
        <v>42479.666666666599</v>
      </c>
      <c r="B327" s="1">
        <f ca="1">IFERROR(__xludf.DUMMYFUNCTION("""COMPUTED_VALUE"""),0.93)</f>
        <v>0.93</v>
      </c>
      <c r="C327" s="1">
        <f ca="1">IFERROR(__xludf.DUMMYFUNCTION("""COMPUTED_VALUE"""),0.93)</f>
        <v>0.93</v>
      </c>
      <c r="D327" s="1">
        <f ca="1">IFERROR(__xludf.DUMMYFUNCTION("""COMPUTED_VALUE"""),0.9)</f>
        <v>0.9</v>
      </c>
      <c r="E327" s="1">
        <f ca="1">IFERROR(__xludf.DUMMYFUNCTION("""COMPUTED_VALUE"""),0.91)</f>
        <v>0.91</v>
      </c>
      <c r="F327" s="1">
        <f ca="1">IFERROR(__xludf.DUMMYFUNCTION("""COMPUTED_VALUE"""),7728777)</f>
        <v>7728777</v>
      </c>
    </row>
    <row r="328" spans="1:6" x14ac:dyDescent="0.35">
      <c r="A328" s="2">
        <f ca="1">IFERROR(__xludf.DUMMYFUNCTION("""COMPUTED_VALUE"""),42480.6666666666)</f>
        <v>42480.666666666599</v>
      </c>
      <c r="B328" s="1">
        <f ca="1">IFERROR(__xludf.DUMMYFUNCTION("""COMPUTED_VALUE"""),0.91)</f>
        <v>0.91</v>
      </c>
      <c r="C328" s="1">
        <f ca="1">IFERROR(__xludf.DUMMYFUNCTION("""COMPUTED_VALUE"""),0.92)</f>
        <v>0.92</v>
      </c>
      <c r="D328" s="1">
        <f ca="1">IFERROR(__xludf.DUMMYFUNCTION("""COMPUTED_VALUE"""),0.91)</f>
        <v>0.91</v>
      </c>
      <c r="E328" s="1">
        <f ca="1">IFERROR(__xludf.DUMMYFUNCTION("""COMPUTED_VALUE"""),0.91)</f>
        <v>0.91</v>
      </c>
      <c r="F328" s="1">
        <f ca="1">IFERROR(__xludf.DUMMYFUNCTION("""COMPUTED_VALUE"""),5004434)</f>
        <v>5004434</v>
      </c>
    </row>
    <row r="329" spans="1:6" x14ac:dyDescent="0.35">
      <c r="A329" s="2">
        <f ca="1">IFERROR(__xludf.DUMMYFUNCTION("""COMPUTED_VALUE"""),42481.6666666666)</f>
        <v>42481.666666666599</v>
      </c>
      <c r="B329" s="1">
        <f ca="1">IFERROR(__xludf.DUMMYFUNCTION("""COMPUTED_VALUE"""),0.91)</f>
        <v>0.91</v>
      </c>
      <c r="C329" s="1">
        <f ca="1">IFERROR(__xludf.DUMMYFUNCTION("""COMPUTED_VALUE"""),0.92)</f>
        <v>0.92</v>
      </c>
      <c r="D329" s="1">
        <f ca="1">IFERROR(__xludf.DUMMYFUNCTION("""COMPUTED_VALUE"""),0.91)</f>
        <v>0.91</v>
      </c>
      <c r="E329" s="1">
        <f ca="1">IFERROR(__xludf.DUMMYFUNCTION("""COMPUTED_VALUE"""),0.91)</f>
        <v>0.91</v>
      </c>
      <c r="F329" s="1">
        <f ca="1">IFERROR(__xludf.DUMMYFUNCTION("""COMPUTED_VALUE"""),4456989)</f>
        <v>4456989</v>
      </c>
    </row>
    <row r="330" spans="1:6" x14ac:dyDescent="0.35">
      <c r="A330" s="2">
        <f ca="1">IFERROR(__xludf.DUMMYFUNCTION("""COMPUTED_VALUE"""),42482.6666666666)</f>
        <v>42482.666666666599</v>
      </c>
      <c r="B330" s="1">
        <f ca="1">IFERROR(__xludf.DUMMYFUNCTION("""COMPUTED_VALUE"""),0.91)</f>
        <v>0.91</v>
      </c>
      <c r="C330" s="1">
        <f ca="1">IFERROR(__xludf.DUMMYFUNCTION("""COMPUTED_VALUE"""),0.92)</f>
        <v>0.92</v>
      </c>
      <c r="D330" s="1">
        <f ca="1">IFERROR(__xludf.DUMMYFUNCTION("""COMPUTED_VALUE"""),0.9)</f>
        <v>0.9</v>
      </c>
      <c r="E330" s="1">
        <f ca="1">IFERROR(__xludf.DUMMYFUNCTION("""COMPUTED_VALUE"""),0.91)</f>
        <v>0.91</v>
      </c>
      <c r="F330" s="1">
        <f ca="1">IFERROR(__xludf.DUMMYFUNCTION("""COMPUTED_VALUE"""),5588539)</f>
        <v>5588539</v>
      </c>
    </row>
    <row r="331" spans="1:6" x14ac:dyDescent="0.35">
      <c r="A331" s="2">
        <f ca="1">IFERROR(__xludf.DUMMYFUNCTION("""COMPUTED_VALUE"""),42485.6666666666)</f>
        <v>42485.666666666599</v>
      </c>
      <c r="B331" s="1">
        <f ca="1">IFERROR(__xludf.DUMMYFUNCTION("""COMPUTED_VALUE"""),0.91)</f>
        <v>0.91</v>
      </c>
      <c r="C331" s="1">
        <f ca="1">IFERROR(__xludf.DUMMYFUNCTION("""COMPUTED_VALUE"""),0.92)</f>
        <v>0.92</v>
      </c>
      <c r="D331" s="1">
        <f ca="1">IFERROR(__xludf.DUMMYFUNCTION("""COMPUTED_VALUE"""),0.9)</f>
        <v>0.9</v>
      </c>
      <c r="E331" s="1">
        <f ca="1">IFERROR(__xludf.DUMMYFUNCTION("""COMPUTED_VALUE"""),0.91)</f>
        <v>0.91</v>
      </c>
      <c r="F331" s="1">
        <f ca="1">IFERROR(__xludf.DUMMYFUNCTION("""COMPUTED_VALUE"""),4799765)</f>
        <v>4799765</v>
      </c>
    </row>
    <row r="332" spans="1:6" x14ac:dyDescent="0.35">
      <c r="A332" s="2">
        <f ca="1">IFERROR(__xludf.DUMMYFUNCTION("""COMPUTED_VALUE"""),42486.6666666666)</f>
        <v>42486.666666666599</v>
      </c>
      <c r="B332" s="1">
        <f ca="1">IFERROR(__xludf.DUMMYFUNCTION("""COMPUTED_VALUE"""),0.92)</f>
        <v>0.92</v>
      </c>
      <c r="C332" s="1">
        <f ca="1">IFERROR(__xludf.DUMMYFUNCTION("""COMPUTED_VALUE"""),0.93)</f>
        <v>0.93</v>
      </c>
      <c r="D332" s="1">
        <f ca="1">IFERROR(__xludf.DUMMYFUNCTION("""COMPUTED_VALUE"""),0.91)</f>
        <v>0.91</v>
      </c>
      <c r="E332" s="1">
        <f ca="1">IFERROR(__xludf.DUMMYFUNCTION("""COMPUTED_VALUE"""),0.91)</f>
        <v>0.91</v>
      </c>
      <c r="F332" s="1">
        <f ca="1">IFERROR(__xludf.DUMMYFUNCTION("""COMPUTED_VALUE"""),5363364)</f>
        <v>5363364</v>
      </c>
    </row>
    <row r="333" spans="1:6" x14ac:dyDescent="0.35">
      <c r="A333" s="2">
        <f ca="1">IFERROR(__xludf.DUMMYFUNCTION("""COMPUTED_VALUE"""),42487.6666666666)</f>
        <v>42487.666666666599</v>
      </c>
      <c r="B333" s="1">
        <f ca="1">IFERROR(__xludf.DUMMYFUNCTION("""COMPUTED_VALUE"""),0.91)</f>
        <v>0.91</v>
      </c>
      <c r="C333" s="1">
        <f ca="1">IFERROR(__xludf.DUMMYFUNCTION("""COMPUTED_VALUE"""),0.93)</f>
        <v>0.93</v>
      </c>
      <c r="D333" s="1">
        <f ca="1">IFERROR(__xludf.DUMMYFUNCTION("""COMPUTED_VALUE"""),0.91)</f>
        <v>0.91</v>
      </c>
      <c r="E333" s="1">
        <f ca="1">IFERROR(__xludf.DUMMYFUNCTION("""COMPUTED_VALUE"""),0.93)</f>
        <v>0.93</v>
      </c>
      <c r="F333" s="1">
        <f ca="1">IFERROR(__xludf.DUMMYFUNCTION("""COMPUTED_VALUE"""),8809858)</f>
        <v>8809858</v>
      </c>
    </row>
    <row r="334" spans="1:6" x14ac:dyDescent="0.35">
      <c r="A334" s="2">
        <f ca="1">IFERROR(__xludf.DUMMYFUNCTION("""COMPUTED_VALUE"""),42488.6666666666)</f>
        <v>42488.666666666599</v>
      </c>
      <c r="B334" s="1">
        <f ca="1">IFERROR(__xludf.DUMMYFUNCTION("""COMPUTED_VALUE"""),0.93)</f>
        <v>0.93</v>
      </c>
      <c r="C334" s="1">
        <f ca="1">IFERROR(__xludf.DUMMYFUNCTION("""COMPUTED_VALUE"""),0.93)</f>
        <v>0.93</v>
      </c>
      <c r="D334" s="1">
        <f ca="1">IFERROR(__xludf.DUMMYFUNCTION("""COMPUTED_VALUE"""),0.9)</f>
        <v>0.9</v>
      </c>
      <c r="E334" s="1">
        <f ca="1">IFERROR(__xludf.DUMMYFUNCTION("""COMPUTED_VALUE"""),0.91)</f>
        <v>0.91</v>
      </c>
      <c r="F334" s="1">
        <f ca="1">IFERROR(__xludf.DUMMYFUNCTION("""COMPUTED_VALUE"""),9530551)</f>
        <v>9530551</v>
      </c>
    </row>
    <row r="335" spans="1:6" x14ac:dyDescent="0.35">
      <c r="A335" s="2">
        <f ca="1">IFERROR(__xludf.DUMMYFUNCTION("""COMPUTED_VALUE"""),42489.6666666666)</f>
        <v>42489.666666666599</v>
      </c>
      <c r="B335" s="1">
        <f ca="1">IFERROR(__xludf.DUMMYFUNCTION("""COMPUTED_VALUE"""),0.9)</f>
        <v>0.9</v>
      </c>
      <c r="C335" s="1">
        <f ca="1">IFERROR(__xludf.DUMMYFUNCTION("""COMPUTED_VALUE"""),0.9)</f>
        <v>0.9</v>
      </c>
      <c r="D335" s="1">
        <f ca="1">IFERROR(__xludf.DUMMYFUNCTION("""COMPUTED_VALUE"""),0.88)</f>
        <v>0.88</v>
      </c>
      <c r="E335" s="1">
        <f ca="1">IFERROR(__xludf.DUMMYFUNCTION("""COMPUTED_VALUE"""),0.89)</f>
        <v>0.89</v>
      </c>
      <c r="F335" s="1">
        <f ca="1">IFERROR(__xludf.DUMMYFUNCTION("""COMPUTED_VALUE"""),8047562)</f>
        <v>8047562</v>
      </c>
    </row>
    <row r="336" spans="1:6" x14ac:dyDescent="0.35">
      <c r="A336" s="2">
        <f ca="1">IFERROR(__xludf.DUMMYFUNCTION("""COMPUTED_VALUE"""),42492.6666666666)</f>
        <v>42492.666666666599</v>
      </c>
      <c r="B336" s="1">
        <f ca="1">IFERROR(__xludf.DUMMYFUNCTION("""COMPUTED_VALUE"""),0.9)</f>
        <v>0.9</v>
      </c>
      <c r="C336" s="1">
        <f ca="1">IFERROR(__xludf.DUMMYFUNCTION("""COMPUTED_VALUE"""),0.91)</f>
        <v>0.91</v>
      </c>
      <c r="D336" s="1">
        <f ca="1">IFERROR(__xludf.DUMMYFUNCTION("""COMPUTED_VALUE"""),0.89)</f>
        <v>0.89</v>
      </c>
      <c r="E336" s="1">
        <f ca="1">IFERROR(__xludf.DUMMYFUNCTION("""COMPUTED_VALUE"""),0.9)</f>
        <v>0.9</v>
      </c>
      <c r="F336" s="1">
        <f ca="1">IFERROR(__xludf.DUMMYFUNCTION("""COMPUTED_VALUE"""),6401920)</f>
        <v>6401920</v>
      </c>
    </row>
    <row r="337" spans="1:6" x14ac:dyDescent="0.35">
      <c r="A337" s="2">
        <f ca="1">IFERROR(__xludf.DUMMYFUNCTION("""COMPUTED_VALUE"""),42493.6666666666)</f>
        <v>42493.666666666599</v>
      </c>
      <c r="B337" s="1">
        <f ca="1">IFERROR(__xludf.DUMMYFUNCTION("""COMPUTED_VALUE"""),0.89)</f>
        <v>0.89</v>
      </c>
      <c r="C337" s="1">
        <f ca="1">IFERROR(__xludf.DUMMYFUNCTION("""COMPUTED_VALUE"""),0.89)</f>
        <v>0.89</v>
      </c>
      <c r="D337" s="1">
        <f ca="1">IFERROR(__xludf.DUMMYFUNCTION("""COMPUTED_VALUE"""),0.88)</f>
        <v>0.88</v>
      </c>
      <c r="E337" s="1">
        <f ca="1">IFERROR(__xludf.DUMMYFUNCTION("""COMPUTED_VALUE"""),0.89)</f>
        <v>0.89</v>
      </c>
      <c r="F337" s="1">
        <f ca="1">IFERROR(__xludf.DUMMYFUNCTION("""COMPUTED_VALUE"""),5600585)</f>
        <v>5600585</v>
      </c>
    </row>
    <row r="338" spans="1:6" x14ac:dyDescent="0.35">
      <c r="A338" s="2">
        <f ca="1">IFERROR(__xludf.DUMMYFUNCTION("""COMPUTED_VALUE"""),42494.6666666666)</f>
        <v>42494.666666666599</v>
      </c>
      <c r="B338" s="1">
        <f ca="1">IFERROR(__xludf.DUMMYFUNCTION("""COMPUTED_VALUE"""),0.88)</f>
        <v>0.88</v>
      </c>
      <c r="C338" s="1">
        <f ca="1">IFERROR(__xludf.DUMMYFUNCTION("""COMPUTED_VALUE"""),0.88)</f>
        <v>0.88</v>
      </c>
      <c r="D338" s="1">
        <f ca="1">IFERROR(__xludf.DUMMYFUNCTION("""COMPUTED_VALUE"""),0.86)</f>
        <v>0.86</v>
      </c>
      <c r="E338" s="1">
        <f ca="1">IFERROR(__xludf.DUMMYFUNCTION("""COMPUTED_VALUE"""),0.87)</f>
        <v>0.87</v>
      </c>
      <c r="F338" s="1">
        <f ca="1">IFERROR(__xludf.DUMMYFUNCTION("""COMPUTED_VALUE"""),13144065)</f>
        <v>13144065</v>
      </c>
    </row>
    <row r="339" spans="1:6" x14ac:dyDescent="0.35">
      <c r="A339" s="2">
        <f ca="1">IFERROR(__xludf.DUMMYFUNCTION("""COMPUTED_VALUE"""),42495.6666666666)</f>
        <v>42495.666666666599</v>
      </c>
      <c r="B339" s="1">
        <f ca="1">IFERROR(__xludf.DUMMYFUNCTION("""COMPUTED_VALUE"""),0.88)</f>
        <v>0.88</v>
      </c>
      <c r="C339" s="1">
        <f ca="1">IFERROR(__xludf.DUMMYFUNCTION("""COMPUTED_VALUE"""),0.88)</f>
        <v>0.88</v>
      </c>
      <c r="D339" s="1">
        <f ca="1">IFERROR(__xludf.DUMMYFUNCTION("""COMPUTED_VALUE"""),0.87)</f>
        <v>0.87</v>
      </c>
      <c r="E339" s="1">
        <f ca="1">IFERROR(__xludf.DUMMYFUNCTION("""COMPUTED_VALUE"""),0.87)</f>
        <v>0.87</v>
      </c>
      <c r="F339" s="1">
        <f ca="1">IFERROR(__xludf.DUMMYFUNCTION("""COMPUTED_VALUE"""),6172113)</f>
        <v>6172113</v>
      </c>
    </row>
    <row r="340" spans="1:6" x14ac:dyDescent="0.35">
      <c r="A340" s="2">
        <f ca="1">IFERROR(__xludf.DUMMYFUNCTION("""COMPUTED_VALUE"""),42496.6666666666)</f>
        <v>42496.666666666599</v>
      </c>
      <c r="B340" s="1">
        <f ca="1">IFERROR(__xludf.DUMMYFUNCTION("""COMPUTED_VALUE"""),0.87)</f>
        <v>0.87</v>
      </c>
      <c r="C340" s="1">
        <f ca="1">IFERROR(__xludf.DUMMYFUNCTION("""COMPUTED_VALUE"""),0.89)</f>
        <v>0.89</v>
      </c>
      <c r="D340" s="1">
        <f ca="1">IFERROR(__xludf.DUMMYFUNCTION("""COMPUTED_VALUE"""),0.87)</f>
        <v>0.87</v>
      </c>
      <c r="E340" s="1">
        <f ca="1">IFERROR(__xludf.DUMMYFUNCTION("""COMPUTED_VALUE"""),0.88)</f>
        <v>0.88</v>
      </c>
      <c r="F340" s="1">
        <f ca="1">IFERROR(__xludf.DUMMYFUNCTION("""COMPUTED_VALUE"""),4581000)</f>
        <v>4581000</v>
      </c>
    </row>
    <row r="341" spans="1:6" x14ac:dyDescent="0.35">
      <c r="A341" s="2">
        <f ca="1">IFERROR(__xludf.DUMMYFUNCTION("""COMPUTED_VALUE"""),42499.6666666666)</f>
        <v>42499.666666666599</v>
      </c>
      <c r="B341" s="1">
        <f ca="1">IFERROR(__xludf.DUMMYFUNCTION("""COMPUTED_VALUE"""),0.89)</f>
        <v>0.89</v>
      </c>
      <c r="C341" s="1">
        <f ca="1">IFERROR(__xludf.DUMMYFUNCTION("""COMPUTED_VALUE"""),0.89)</f>
        <v>0.89</v>
      </c>
      <c r="D341" s="1">
        <f ca="1">IFERROR(__xludf.DUMMYFUNCTION("""COMPUTED_VALUE"""),0.87)</f>
        <v>0.87</v>
      </c>
      <c r="E341" s="1">
        <f ca="1">IFERROR(__xludf.DUMMYFUNCTION("""COMPUTED_VALUE"""),0.88)</f>
        <v>0.88</v>
      </c>
      <c r="F341" s="1">
        <f ca="1">IFERROR(__xludf.DUMMYFUNCTION("""COMPUTED_VALUE"""),8333411)</f>
        <v>8333411</v>
      </c>
    </row>
    <row r="342" spans="1:6" x14ac:dyDescent="0.35">
      <c r="A342" s="2">
        <f ca="1">IFERROR(__xludf.DUMMYFUNCTION("""COMPUTED_VALUE"""),42500.6666666666)</f>
        <v>42500.666666666599</v>
      </c>
      <c r="B342" s="1">
        <f ca="1">IFERROR(__xludf.DUMMYFUNCTION("""COMPUTED_VALUE"""),0.89)</f>
        <v>0.89</v>
      </c>
      <c r="C342" s="1">
        <f ca="1">IFERROR(__xludf.DUMMYFUNCTION("""COMPUTED_VALUE"""),0.9)</f>
        <v>0.9</v>
      </c>
      <c r="D342" s="1">
        <f ca="1">IFERROR(__xludf.DUMMYFUNCTION("""COMPUTED_VALUE"""),0.88)</f>
        <v>0.88</v>
      </c>
      <c r="E342" s="1">
        <f ca="1">IFERROR(__xludf.DUMMYFUNCTION("""COMPUTED_VALUE"""),0.9)</f>
        <v>0.9</v>
      </c>
      <c r="F342" s="1">
        <f ca="1">IFERROR(__xludf.DUMMYFUNCTION("""COMPUTED_VALUE"""),6741929)</f>
        <v>6741929</v>
      </c>
    </row>
    <row r="343" spans="1:6" x14ac:dyDescent="0.35">
      <c r="A343" s="2">
        <f ca="1">IFERROR(__xludf.DUMMYFUNCTION("""COMPUTED_VALUE"""),42501.6666666666)</f>
        <v>42501.666666666599</v>
      </c>
      <c r="B343" s="1">
        <f ca="1">IFERROR(__xludf.DUMMYFUNCTION("""COMPUTED_VALUE"""),0.9)</f>
        <v>0.9</v>
      </c>
      <c r="C343" s="1">
        <f ca="1">IFERROR(__xludf.DUMMYFUNCTION("""COMPUTED_VALUE"""),0.91)</f>
        <v>0.91</v>
      </c>
      <c r="D343" s="1">
        <f ca="1">IFERROR(__xludf.DUMMYFUNCTION("""COMPUTED_VALUE"""),0.9)</f>
        <v>0.9</v>
      </c>
      <c r="E343" s="1">
        <f ca="1">IFERROR(__xludf.DUMMYFUNCTION("""COMPUTED_VALUE"""),0.9)</f>
        <v>0.9</v>
      </c>
      <c r="F343" s="1">
        <f ca="1">IFERROR(__xludf.DUMMYFUNCTION("""COMPUTED_VALUE"""),8204441)</f>
        <v>8204441</v>
      </c>
    </row>
    <row r="344" spans="1:6" x14ac:dyDescent="0.35">
      <c r="A344" s="2">
        <f ca="1">IFERROR(__xludf.DUMMYFUNCTION("""COMPUTED_VALUE"""),42502.6666666666)</f>
        <v>42502.666666666599</v>
      </c>
      <c r="B344" s="1">
        <f ca="1">IFERROR(__xludf.DUMMYFUNCTION("""COMPUTED_VALUE"""),0.91)</f>
        <v>0.91</v>
      </c>
      <c r="C344" s="1">
        <f ca="1">IFERROR(__xludf.DUMMYFUNCTION("""COMPUTED_VALUE"""),0.91)</f>
        <v>0.91</v>
      </c>
      <c r="D344" s="1">
        <f ca="1">IFERROR(__xludf.DUMMYFUNCTION("""COMPUTED_VALUE"""),0.87)</f>
        <v>0.87</v>
      </c>
      <c r="E344" s="1">
        <f ca="1">IFERROR(__xludf.DUMMYFUNCTION("""COMPUTED_VALUE"""),0.89)</f>
        <v>0.89</v>
      </c>
      <c r="F344" s="1">
        <f ca="1">IFERROR(__xludf.DUMMYFUNCTION("""COMPUTED_VALUE"""),16763533)</f>
        <v>16763533</v>
      </c>
    </row>
    <row r="345" spans="1:6" x14ac:dyDescent="0.35">
      <c r="A345" s="2">
        <f ca="1">IFERROR(__xludf.DUMMYFUNCTION("""COMPUTED_VALUE"""),42503.6666666666)</f>
        <v>42503.666666666599</v>
      </c>
      <c r="B345" s="1">
        <f ca="1">IFERROR(__xludf.DUMMYFUNCTION("""COMPUTED_VALUE"""),0.98)</f>
        <v>0.98</v>
      </c>
      <c r="C345" s="1">
        <f ca="1">IFERROR(__xludf.DUMMYFUNCTION("""COMPUTED_VALUE"""),1.02)</f>
        <v>1.02</v>
      </c>
      <c r="D345" s="1">
        <f ca="1">IFERROR(__xludf.DUMMYFUNCTION("""COMPUTED_VALUE"""),0.98)</f>
        <v>0.98</v>
      </c>
      <c r="E345" s="1">
        <f ca="1">IFERROR(__xludf.DUMMYFUNCTION("""COMPUTED_VALUE"""),1.02)</f>
        <v>1.02</v>
      </c>
      <c r="F345" s="1">
        <f ca="1">IFERROR(__xludf.DUMMYFUNCTION("""COMPUTED_VALUE"""),52756404)</f>
        <v>52756404</v>
      </c>
    </row>
    <row r="346" spans="1:6" x14ac:dyDescent="0.35">
      <c r="A346" s="2">
        <f ca="1">IFERROR(__xludf.DUMMYFUNCTION("""COMPUTED_VALUE"""),42506.6666666666)</f>
        <v>42506.666666666599</v>
      </c>
      <c r="B346" s="1">
        <f ca="1">IFERROR(__xludf.DUMMYFUNCTION("""COMPUTED_VALUE"""),1.02)</f>
        <v>1.02</v>
      </c>
      <c r="C346" s="1">
        <f ca="1">IFERROR(__xludf.DUMMYFUNCTION("""COMPUTED_VALUE"""),1.07)</f>
        <v>1.07</v>
      </c>
      <c r="D346" s="1">
        <f ca="1">IFERROR(__xludf.DUMMYFUNCTION("""COMPUTED_VALUE"""),1.01)</f>
        <v>1.01</v>
      </c>
      <c r="E346" s="1">
        <f ca="1">IFERROR(__xludf.DUMMYFUNCTION("""COMPUTED_VALUE"""),1.05)</f>
        <v>1.05</v>
      </c>
      <c r="F346" s="1">
        <f ca="1">IFERROR(__xludf.DUMMYFUNCTION("""COMPUTED_VALUE"""),24325757)</f>
        <v>24325757</v>
      </c>
    </row>
    <row r="347" spans="1:6" x14ac:dyDescent="0.35">
      <c r="A347" s="2">
        <f ca="1">IFERROR(__xludf.DUMMYFUNCTION("""COMPUTED_VALUE"""),42507.6666666666)</f>
        <v>42507.666666666599</v>
      </c>
      <c r="B347" s="1">
        <f ca="1">IFERROR(__xludf.DUMMYFUNCTION("""COMPUTED_VALUE"""),1.05)</f>
        <v>1.05</v>
      </c>
      <c r="C347" s="1">
        <f ca="1">IFERROR(__xludf.DUMMYFUNCTION("""COMPUTED_VALUE"""),1.06)</f>
        <v>1.06</v>
      </c>
      <c r="D347" s="1">
        <f ca="1">IFERROR(__xludf.DUMMYFUNCTION("""COMPUTED_VALUE"""),1.04)</f>
        <v>1.04</v>
      </c>
      <c r="E347" s="1">
        <f ca="1">IFERROR(__xludf.DUMMYFUNCTION("""COMPUTED_VALUE"""),1.06)</f>
        <v>1.06</v>
      </c>
      <c r="F347" s="1">
        <f ca="1">IFERROR(__xludf.DUMMYFUNCTION("""COMPUTED_VALUE"""),15709762)</f>
        <v>15709762</v>
      </c>
    </row>
    <row r="348" spans="1:6" x14ac:dyDescent="0.35">
      <c r="A348" s="2">
        <f ca="1">IFERROR(__xludf.DUMMYFUNCTION("""COMPUTED_VALUE"""),42508.6666666666)</f>
        <v>42508.666666666599</v>
      </c>
      <c r="B348" s="1">
        <f ca="1">IFERROR(__xludf.DUMMYFUNCTION("""COMPUTED_VALUE"""),1.05)</f>
        <v>1.05</v>
      </c>
      <c r="C348" s="1">
        <f ca="1">IFERROR(__xludf.DUMMYFUNCTION("""COMPUTED_VALUE"""),1.1)</f>
        <v>1.1000000000000001</v>
      </c>
      <c r="D348" s="1">
        <f ca="1">IFERROR(__xludf.DUMMYFUNCTION("""COMPUTED_VALUE"""),1.05)</f>
        <v>1.05</v>
      </c>
      <c r="E348" s="1">
        <f ca="1">IFERROR(__xludf.DUMMYFUNCTION("""COMPUTED_VALUE"""),1.08)</f>
        <v>1.08</v>
      </c>
      <c r="F348" s="1">
        <f ca="1">IFERROR(__xludf.DUMMYFUNCTION("""COMPUTED_VALUE"""),13526797)</f>
        <v>13526797</v>
      </c>
    </row>
    <row r="349" spans="1:6" x14ac:dyDescent="0.35">
      <c r="A349" s="2">
        <f ca="1">IFERROR(__xludf.DUMMYFUNCTION("""COMPUTED_VALUE"""),42509.6666666666)</f>
        <v>42509.666666666599</v>
      </c>
      <c r="B349" s="1">
        <f ca="1">IFERROR(__xludf.DUMMYFUNCTION("""COMPUTED_VALUE"""),1.08)</f>
        <v>1.08</v>
      </c>
      <c r="C349" s="1">
        <f ca="1">IFERROR(__xludf.DUMMYFUNCTION("""COMPUTED_VALUE"""),1.1)</f>
        <v>1.1000000000000001</v>
      </c>
      <c r="D349" s="1">
        <f ca="1">IFERROR(__xludf.DUMMYFUNCTION("""COMPUTED_VALUE"""),1.08)</f>
        <v>1.08</v>
      </c>
      <c r="E349" s="1">
        <f ca="1">IFERROR(__xludf.DUMMYFUNCTION("""COMPUTED_VALUE"""),1.09)</f>
        <v>1.0900000000000001</v>
      </c>
      <c r="F349" s="1">
        <f ca="1">IFERROR(__xludf.DUMMYFUNCTION("""COMPUTED_VALUE"""),9971981)</f>
        <v>9971981</v>
      </c>
    </row>
    <row r="350" spans="1:6" x14ac:dyDescent="0.35">
      <c r="A350" s="2">
        <f ca="1">IFERROR(__xludf.DUMMYFUNCTION("""COMPUTED_VALUE"""),42510.6666666666)</f>
        <v>42510.666666666599</v>
      </c>
      <c r="B350" s="1">
        <f ca="1">IFERROR(__xludf.DUMMYFUNCTION("""COMPUTED_VALUE"""),1.1)</f>
        <v>1.1000000000000001</v>
      </c>
      <c r="C350" s="1">
        <f ca="1">IFERROR(__xludf.DUMMYFUNCTION("""COMPUTED_VALUE"""),1.11)</f>
        <v>1.1100000000000001</v>
      </c>
      <c r="D350" s="1">
        <f ca="1">IFERROR(__xludf.DUMMYFUNCTION("""COMPUTED_VALUE"""),1.09)</f>
        <v>1.0900000000000001</v>
      </c>
      <c r="E350" s="1">
        <f ca="1">IFERROR(__xludf.DUMMYFUNCTION("""COMPUTED_VALUE"""),1.11)</f>
        <v>1.1100000000000001</v>
      </c>
      <c r="F350" s="1">
        <f ca="1">IFERROR(__xludf.DUMMYFUNCTION("""COMPUTED_VALUE"""),9777090)</f>
        <v>9777090</v>
      </c>
    </row>
    <row r="351" spans="1:6" x14ac:dyDescent="0.35">
      <c r="A351" s="2">
        <f ca="1">IFERROR(__xludf.DUMMYFUNCTION("""COMPUTED_VALUE"""),42513.6666666666)</f>
        <v>42513.666666666599</v>
      </c>
      <c r="B351" s="1">
        <f ca="1">IFERROR(__xludf.DUMMYFUNCTION("""COMPUTED_VALUE"""),1.11)</f>
        <v>1.1100000000000001</v>
      </c>
      <c r="C351" s="1">
        <f ca="1">IFERROR(__xludf.DUMMYFUNCTION("""COMPUTED_VALUE"""),1.12)</f>
        <v>1.1200000000000001</v>
      </c>
      <c r="D351" s="1">
        <f ca="1">IFERROR(__xludf.DUMMYFUNCTION("""COMPUTED_VALUE"""),1.1)</f>
        <v>1.1000000000000001</v>
      </c>
      <c r="E351" s="1">
        <f ca="1">IFERROR(__xludf.DUMMYFUNCTION("""COMPUTED_VALUE"""),1.11)</f>
        <v>1.1100000000000001</v>
      </c>
      <c r="F351" s="1">
        <f ca="1">IFERROR(__xludf.DUMMYFUNCTION("""COMPUTED_VALUE"""),10340877)</f>
        <v>10340877</v>
      </c>
    </row>
    <row r="352" spans="1:6" x14ac:dyDescent="0.35">
      <c r="A352" s="2">
        <f ca="1">IFERROR(__xludf.DUMMYFUNCTION("""COMPUTED_VALUE"""),42514.6666666666)</f>
        <v>42514.666666666599</v>
      </c>
      <c r="B352" s="1">
        <f ca="1">IFERROR(__xludf.DUMMYFUNCTION("""COMPUTED_VALUE"""),1.11)</f>
        <v>1.1100000000000001</v>
      </c>
      <c r="C352" s="1">
        <f ca="1">IFERROR(__xludf.DUMMYFUNCTION("""COMPUTED_VALUE"""),1.14)</f>
        <v>1.1399999999999999</v>
      </c>
      <c r="D352" s="1">
        <f ca="1">IFERROR(__xludf.DUMMYFUNCTION("""COMPUTED_VALUE"""),1.11)</f>
        <v>1.1100000000000001</v>
      </c>
      <c r="E352" s="1">
        <f ca="1">IFERROR(__xludf.DUMMYFUNCTION("""COMPUTED_VALUE"""),1.13)</f>
        <v>1.1299999999999999</v>
      </c>
      <c r="F352" s="1">
        <f ca="1">IFERROR(__xludf.DUMMYFUNCTION("""COMPUTED_VALUE"""),10394721)</f>
        <v>10394721</v>
      </c>
    </row>
    <row r="353" spans="1:6" x14ac:dyDescent="0.35">
      <c r="A353" s="2">
        <f ca="1">IFERROR(__xludf.DUMMYFUNCTION("""COMPUTED_VALUE"""),42515.6666666666)</f>
        <v>42515.666666666599</v>
      </c>
      <c r="B353" s="1">
        <f ca="1">IFERROR(__xludf.DUMMYFUNCTION("""COMPUTED_VALUE"""),1.14)</f>
        <v>1.1399999999999999</v>
      </c>
      <c r="C353" s="1">
        <f ca="1">IFERROR(__xludf.DUMMYFUNCTION("""COMPUTED_VALUE"""),1.14)</f>
        <v>1.1399999999999999</v>
      </c>
      <c r="D353" s="1">
        <f ca="1">IFERROR(__xludf.DUMMYFUNCTION("""COMPUTED_VALUE"""),1.12)</f>
        <v>1.1200000000000001</v>
      </c>
      <c r="E353" s="1">
        <f ca="1">IFERROR(__xludf.DUMMYFUNCTION("""COMPUTED_VALUE"""),1.13)</f>
        <v>1.1299999999999999</v>
      </c>
      <c r="F353" s="1">
        <f ca="1">IFERROR(__xludf.DUMMYFUNCTION("""COMPUTED_VALUE"""),11469411)</f>
        <v>11469411</v>
      </c>
    </row>
    <row r="354" spans="1:6" x14ac:dyDescent="0.35">
      <c r="A354" s="2">
        <f ca="1">IFERROR(__xludf.DUMMYFUNCTION("""COMPUTED_VALUE"""),42516.6666666666)</f>
        <v>42516.666666666599</v>
      </c>
      <c r="B354" s="1">
        <f ca="1">IFERROR(__xludf.DUMMYFUNCTION("""COMPUTED_VALUE"""),1.13)</f>
        <v>1.1299999999999999</v>
      </c>
      <c r="C354" s="1">
        <f ca="1">IFERROR(__xludf.DUMMYFUNCTION("""COMPUTED_VALUE"""),1.15)</f>
        <v>1.1499999999999999</v>
      </c>
      <c r="D354" s="1">
        <f ca="1">IFERROR(__xludf.DUMMYFUNCTION("""COMPUTED_VALUE"""),1.13)</f>
        <v>1.1299999999999999</v>
      </c>
      <c r="E354" s="1">
        <f ca="1">IFERROR(__xludf.DUMMYFUNCTION("""COMPUTED_VALUE"""),1.14)</f>
        <v>1.1399999999999999</v>
      </c>
      <c r="F354" s="1">
        <f ca="1">IFERROR(__xludf.DUMMYFUNCTION("""COMPUTED_VALUE"""),7749081)</f>
        <v>7749081</v>
      </c>
    </row>
    <row r="355" spans="1:6" x14ac:dyDescent="0.35">
      <c r="A355" s="2">
        <f ca="1">IFERROR(__xludf.DUMMYFUNCTION("""COMPUTED_VALUE"""),42517.6666666666)</f>
        <v>42517.666666666599</v>
      </c>
      <c r="B355" s="1">
        <f ca="1">IFERROR(__xludf.DUMMYFUNCTION("""COMPUTED_VALUE"""),1.14)</f>
        <v>1.1399999999999999</v>
      </c>
      <c r="C355" s="1">
        <f ca="1">IFERROR(__xludf.DUMMYFUNCTION("""COMPUTED_VALUE"""),1.15)</f>
        <v>1.1499999999999999</v>
      </c>
      <c r="D355" s="1">
        <f ca="1">IFERROR(__xludf.DUMMYFUNCTION("""COMPUTED_VALUE"""),1.14)</f>
        <v>1.1399999999999999</v>
      </c>
      <c r="E355" s="1">
        <f ca="1">IFERROR(__xludf.DUMMYFUNCTION("""COMPUTED_VALUE"""),1.15)</f>
        <v>1.1499999999999999</v>
      </c>
      <c r="F355" s="1">
        <f ca="1">IFERROR(__xludf.DUMMYFUNCTION("""COMPUTED_VALUE"""),6935389)</f>
        <v>6935389</v>
      </c>
    </row>
    <row r="356" spans="1:6" x14ac:dyDescent="0.35">
      <c r="A356" s="2">
        <f ca="1">IFERROR(__xludf.DUMMYFUNCTION("""COMPUTED_VALUE"""),42521.6666666666)</f>
        <v>42521.666666666599</v>
      </c>
      <c r="B356" s="1">
        <f ca="1">IFERROR(__xludf.DUMMYFUNCTION("""COMPUTED_VALUE"""),1.15)</f>
        <v>1.1499999999999999</v>
      </c>
      <c r="C356" s="1">
        <f ca="1">IFERROR(__xludf.DUMMYFUNCTION("""COMPUTED_VALUE"""),1.17)</f>
        <v>1.17</v>
      </c>
      <c r="D356" s="1">
        <f ca="1">IFERROR(__xludf.DUMMYFUNCTION("""COMPUTED_VALUE"""),1.15)</f>
        <v>1.1499999999999999</v>
      </c>
      <c r="E356" s="1">
        <f ca="1">IFERROR(__xludf.DUMMYFUNCTION("""COMPUTED_VALUE"""),1.17)</f>
        <v>1.17</v>
      </c>
      <c r="F356" s="1">
        <f ca="1">IFERROR(__xludf.DUMMYFUNCTION("""COMPUTED_VALUE"""),10313131)</f>
        <v>10313131</v>
      </c>
    </row>
    <row r="357" spans="1:6" x14ac:dyDescent="0.35">
      <c r="A357" s="2">
        <f ca="1">IFERROR(__xludf.DUMMYFUNCTION("""COMPUTED_VALUE"""),42522.6666666666)</f>
        <v>42522.666666666599</v>
      </c>
      <c r="B357" s="1">
        <f ca="1">IFERROR(__xludf.DUMMYFUNCTION("""COMPUTED_VALUE"""),1.16)</f>
        <v>1.1599999999999999</v>
      </c>
      <c r="C357" s="1">
        <f ca="1">IFERROR(__xludf.DUMMYFUNCTION("""COMPUTED_VALUE"""),1.18)</f>
        <v>1.18</v>
      </c>
      <c r="D357" s="1">
        <f ca="1">IFERROR(__xludf.DUMMYFUNCTION("""COMPUTED_VALUE"""),1.16)</f>
        <v>1.1599999999999999</v>
      </c>
      <c r="E357" s="1">
        <f ca="1">IFERROR(__xludf.DUMMYFUNCTION("""COMPUTED_VALUE"""),1.17)</f>
        <v>1.17</v>
      </c>
      <c r="F357" s="1">
        <f ca="1">IFERROR(__xludf.DUMMYFUNCTION("""COMPUTED_VALUE"""),9678267)</f>
        <v>9678267</v>
      </c>
    </row>
    <row r="358" spans="1:6" x14ac:dyDescent="0.35">
      <c r="A358" s="2">
        <f ca="1">IFERROR(__xludf.DUMMYFUNCTION("""COMPUTED_VALUE"""),42523.6666666666)</f>
        <v>42523.666666666599</v>
      </c>
      <c r="B358" s="1">
        <f ca="1">IFERROR(__xludf.DUMMYFUNCTION("""COMPUTED_VALUE"""),1.18)</f>
        <v>1.18</v>
      </c>
      <c r="C358" s="1">
        <f ca="1">IFERROR(__xludf.DUMMYFUNCTION("""COMPUTED_VALUE"""),1.19)</f>
        <v>1.19</v>
      </c>
      <c r="D358" s="1">
        <f ca="1">IFERROR(__xludf.DUMMYFUNCTION("""COMPUTED_VALUE"""),1.17)</f>
        <v>1.17</v>
      </c>
      <c r="E358" s="1">
        <f ca="1">IFERROR(__xludf.DUMMYFUNCTION("""COMPUTED_VALUE"""),1.18)</f>
        <v>1.18</v>
      </c>
      <c r="F358" s="1">
        <f ca="1">IFERROR(__xludf.DUMMYFUNCTION("""COMPUTED_VALUE"""),8230202)</f>
        <v>8230202</v>
      </c>
    </row>
    <row r="359" spans="1:6" x14ac:dyDescent="0.35">
      <c r="A359" s="2">
        <f ca="1">IFERROR(__xludf.DUMMYFUNCTION("""COMPUTED_VALUE"""),42524.6666666666)</f>
        <v>42524.666666666599</v>
      </c>
      <c r="B359" s="1">
        <f ca="1">IFERROR(__xludf.DUMMYFUNCTION("""COMPUTED_VALUE"""),1.17)</f>
        <v>1.17</v>
      </c>
      <c r="C359" s="1">
        <f ca="1">IFERROR(__xludf.DUMMYFUNCTION("""COMPUTED_VALUE"""),1.17)</f>
        <v>1.17</v>
      </c>
      <c r="D359" s="1">
        <f ca="1">IFERROR(__xludf.DUMMYFUNCTION("""COMPUTED_VALUE"""),1.14)</f>
        <v>1.1399999999999999</v>
      </c>
      <c r="E359" s="1">
        <f ca="1">IFERROR(__xludf.DUMMYFUNCTION("""COMPUTED_VALUE"""),1.16)</f>
        <v>1.1599999999999999</v>
      </c>
      <c r="F359" s="1">
        <f ca="1">IFERROR(__xludf.DUMMYFUNCTION("""COMPUTED_VALUE"""),11526864)</f>
        <v>11526864</v>
      </c>
    </row>
    <row r="360" spans="1:6" x14ac:dyDescent="0.35">
      <c r="A360" s="2">
        <f ca="1">IFERROR(__xludf.DUMMYFUNCTION("""COMPUTED_VALUE"""),42527.6666666666)</f>
        <v>42527.666666666599</v>
      </c>
      <c r="B360" s="1">
        <f ca="1">IFERROR(__xludf.DUMMYFUNCTION("""COMPUTED_VALUE"""),1.17)</f>
        <v>1.17</v>
      </c>
      <c r="C360" s="1">
        <f ca="1">IFERROR(__xludf.DUMMYFUNCTION("""COMPUTED_VALUE"""),1.17)</f>
        <v>1.17</v>
      </c>
      <c r="D360" s="1">
        <f ca="1">IFERROR(__xludf.DUMMYFUNCTION("""COMPUTED_VALUE"""),1.15)</f>
        <v>1.1499999999999999</v>
      </c>
      <c r="E360" s="1">
        <f ca="1">IFERROR(__xludf.DUMMYFUNCTION("""COMPUTED_VALUE"""),1.16)</f>
        <v>1.1599999999999999</v>
      </c>
      <c r="F360" s="1">
        <f ca="1">IFERROR(__xludf.DUMMYFUNCTION("""COMPUTED_VALUE"""),8062841)</f>
        <v>8062841</v>
      </c>
    </row>
    <row r="361" spans="1:6" x14ac:dyDescent="0.35">
      <c r="A361" s="2">
        <f ca="1">IFERROR(__xludf.DUMMYFUNCTION("""COMPUTED_VALUE"""),42528.6666666666)</f>
        <v>42528.666666666599</v>
      </c>
      <c r="B361" s="1">
        <f ca="1">IFERROR(__xludf.DUMMYFUNCTION("""COMPUTED_VALUE"""),1.16)</f>
        <v>1.1599999999999999</v>
      </c>
      <c r="C361" s="1">
        <f ca="1">IFERROR(__xludf.DUMMYFUNCTION("""COMPUTED_VALUE"""),1.17)</f>
        <v>1.17</v>
      </c>
      <c r="D361" s="1">
        <f ca="1">IFERROR(__xludf.DUMMYFUNCTION("""COMPUTED_VALUE"""),1.16)</f>
        <v>1.1599999999999999</v>
      </c>
      <c r="E361" s="1">
        <f ca="1">IFERROR(__xludf.DUMMYFUNCTION("""COMPUTED_VALUE"""),1.16)</f>
        <v>1.1599999999999999</v>
      </c>
      <c r="F361" s="1">
        <f ca="1">IFERROR(__xludf.DUMMYFUNCTION("""COMPUTED_VALUE"""),4835017)</f>
        <v>4835017</v>
      </c>
    </row>
    <row r="362" spans="1:6" x14ac:dyDescent="0.35">
      <c r="A362" s="2">
        <f ca="1">IFERROR(__xludf.DUMMYFUNCTION("""COMPUTED_VALUE"""),42529.6666666666)</f>
        <v>42529.666666666599</v>
      </c>
      <c r="B362" s="1">
        <f ca="1">IFERROR(__xludf.DUMMYFUNCTION("""COMPUTED_VALUE"""),1.16)</f>
        <v>1.1599999999999999</v>
      </c>
      <c r="C362" s="1">
        <f ca="1">IFERROR(__xludf.DUMMYFUNCTION("""COMPUTED_VALUE"""),1.16)</f>
        <v>1.1599999999999999</v>
      </c>
      <c r="D362" s="1">
        <f ca="1">IFERROR(__xludf.DUMMYFUNCTION("""COMPUTED_VALUE"""),1.15)</f>
        <v>1.1499999999999999</v>
      </c>
      <c r="E362" s="1">
        <f ca="1">IFERROR(__xludf.DUMMYFUNCTION("""COMPUTED_VALUE"""),1.15)</f>
        <v>1.1499999999999999</v>
      </c>
      <c r="F362" s="1">
        <f ca="1">IFERROR(__xludf.DUMMYFUNCTION("""COMPUTED_VALUE"""),5865431)</f>
        <v>5865431</v>
      </c>
    </row>
    <row r="363" spans="1:6" x14ac:dyDescent="0.35">
      <c r="A363" s="2">
        <f ca="1">IFERROR(__xludf.DUMMYFUNCTION("""COMPUTED_VALUE"""),42530.6666666666)</f>
        <v>42530.666666666599</v>
      </c>
      <c r="B363" s="1">
        <f ca="1">IFERROR(__xludf.DUMMYFUNCTION("""COMPUTED_VALUE"""),1.15)</f>
        <v>1.1499999999999999</v>
      </c>
      <c r="C363" s="1">
        <f ca="1">IFERROR(__xludf.DUMMYFUNCTION("""COMPUTED_VALUE"""),1.19)</f>
        <v>1.19</v>
      </c>
      <c r="D363" s="1">
        <f ca="1">IFERROR(__xludf.DUMMYFUNCTION("""COMPUTED_VALUE"""),1.15)</f>
        <v>1.1499999999999999</v>
      </c>
      <c r="E363" s="1">
        <f ca="1">IFERROR(__xludf.DUMMYFUNCTION("""COMPUTED_VALUE"""),1.18)</f>
        <v>1.18</v>
      </c>
      <c r="F363" s="1">
        <f ca="1">IFERROR(__xludf.DUMMYFUNCTION("""COMPUTED_VALUE"""),11804167)</f>
        <v>11804167</v>
      </c>
    </row>
    <row r="364" spans="1:6" x14ac:dyDescent="0.35">
      <c r="A364" s="2">
        <f ca="1">IFERROR(__xludf.DUMMYFUNCTION("""COMPUTED_VALUE"""),42531.6666666666)</f>
        <v>42531.666666666599</v>
      </c>
      <c r="B364" s="1">
        <f ca="1">IFERROR(__xludf.DUMMYFUNCTION("""COMPUTED_VALUE"""),1.17)</f>
        <v>1.17</v>
      </c>
      <c r="C364" s="1">
        <f ca="1">IFERROR(__xludf.DUMMYFUNCTION("""COMPUTED_VALUE"""),1.18)</f>
        <v>1.18</v>
      </c>
      <c r="D364" s="1">
        <f ca="1">IFERROR(__xludf.DUMMYFUNCTION("""COMPUTED_VALUE"""),1.15)</f>
        <v>1.1499999999999999</v>
      </c>
      <c r="E364" s="1">
        <f ca="1">IFERROR(__xludf.DUMMYFUNCTION("""COMPUTED_VALUE"""),1.16)</f>
        <v>1.1599999999999999</v>
      </c>
      <c r="F364" s="1">
        <f ca="1">IFERROR(__xludf.DUMMYFUNCTION("""COMPUTED_VALUE"""),10000592)</f>
        <v>10000592</v>
      </c>
    </row>
    <row r="365" spans="1:6" x14ac:dyDescent="0.35">
      <c r="A365" s="2">
        <f ca="1">IFERROR(__xludf.DUMMYFUNCTION("""COMPUTED_VALUE"""),42534.6666666666)</f>
        <v>42534.666666666599</v>
      </c>
      <c r="B365" s="1">
        <f ca="1">IFERROR(__xludf.DUMMYFUNCTION("""COMPUTED_VALUE"""),1.16)</f>
        <v>1.1599999999999999</v>
      </c>
      <c r="C365" s="1">
        <f ca="1">IFERROR(__xludf.DUMMYFUNCTION("""COMPUTED_VALUE"""),1.19)</f>
        <v>1.19</v>
      </c>
      <c r="D365" s="1">
        <f ca="1">IFERROR(__xludf.DUMMYFUNCTION("""COMPUTED_VALUE"""),1.16)</f>
        <v>1.1599999999999999</v>
      </c>
      <c r="E365" s="1">
        <f ca="1">IFERROR(__xludf.DUMMYFUNCTION("""COMPUTED_VALUE"""),1.17)</f>
        <v>1.17</v>
      </c>
      <c r="F365" s="1">
        <f ca="1">IFERROR(__xludf.DUMMYFUNCTION("""COMPUTED_VALUE"""),11889674)</f>
        <v>11889674</v>
      </c>
    </row>
    <row r="366" spans="1:6" x14ac:dyDescent="0.35">
      <c r="A366" s="2">
        <f ca="1">IFERROR(__xludf.DUMMYFUNCTION("""COMPUTED_VALUE"""),42535.6666666666)</f>
        <v>42535.666666666599</v>
      </c>
      <c r="B366" s="1">
        <f ca="1">IFERROR(__xludf.DUMMYFUNCTION("""COMPUTED_VALUE"""),1.17)</f>
        <v>1.17</v>
      </c>
      <c r="C366" s="1">
        <f ca="1">IFERROR(__xludf.DUMMYFUNCTION("""COMPUTED_VALUE"""),1.18)</f>
        <v>1.18</v>
      </c>
      <c r="D366" s="1">
        <f ca="1">IFERROR(__xludf.DUMMYFUNCTION("""COMPUTED_VALUE"""),1.15)</f>
        <v>1.1499999999999999</v>
      </c>
      <c r="E366" s="1">
        <f ca="1">IFERROR(__xludf.DUMMYFUNCTION("""COMPUTED_VALUE"""),1.17)</f>
        <v>1.17</v>
      </c>
      <c r="F366" s="1">
        <f ca="1">IFERROR(__xludf.DUMMYFUNCTION("""COMPUTED_VALUE"""),7458639)</f>
        <v>7458639</v>
      </c>
    </row>
    <row r="367" spans="1:6" x14ac:dyDescent="0.35">
      <c r="A367" s="2">
        <f ca="1">IFERROR(__xludf.DUMMYFUNCTION("""COMPUTED_VALUE"""),42536.6666666666)</f>
        <v>42536.666666666599</v>
      </c>
      <c r="B367" s="1">
        <f ca="1">IFERROR(__xludf.DUMMYFUNCTION("""COMPUTED_VALUE"""),1.18)</f>
        <v>1.18</v>
      </c>
      <c r="C367" s="1">
        <f ca="1">IFERROR(__xludf.DUMMYFUNCTION("""COMPUTED_VALUE"""),1.19)</f>
        <v>1.19</v>
      </c>
      <c r="D367" s="1">
        <f ca="1">IFERROR(__xludf.DUMMYFUNCTION("""COMPUTED_VALUE"""),1.17)</f>
        <v>1.17</v>
      </c>
      <c r="E367" s="1">
        <f ca="1">IFERROR(__xludf.DUMMYFUNCTION("""COMPUTED_VALUE"""),1.18)</f>
        <v>1.18</v>
      </c>
      <c r="F367" s="1">
        <f ca="1">IFERROR(__xludf.DUMMYFUNCTION("""COMPUTED_VALUE"""),7525868)</f>
        <v>7525868</v>
      </c>
    </row>
    <row r="368" spans="1:6" x14ac:dyDescent="0.35">
      <c r="A368" s="2">
        <f ca="1">IFERROR(__xludf.DUMMYFUNCTION("""COMPUTED_VALUE"""),42537.6666666666)</f>
        <v>42537.666666666599</v>
      </c>
      <c r="B368" s="1">
        <f ca="1">IFERROR(__xludf.DUMMYFUNCTION("""COMPUTED_VALUE"""),1.18)</f>
        <v>1.18</v>
      </c>
      <c r="C368" s="1">
        <f ca="1">IFERROR(__xludf.DUMMYFUNCTION("""COMPUTED_VALUE"""),1.19)</f>
        <v>1.19</v>
      </c>
      <c r="D368" s="1">
        <f ca="1">IFERROR(__xludf.DUMMYFUNCTION("""COMPUTED_VALUE"""),1.16)</f>
        <v>1.1599999999999999</v>
      </c>
      <c r="E368" s="1">
        <f ca="1">IFERROR(__xludf.DUMMYFUNCTION("""COMPUTED_VALUE"""),1.19)</f>
        <v>1.19</v>
      </c>
      <c r="F368" s="1">
        <f ca="1">IFERROR(__xludf.DUMMYFUNCTION("""COMPUTED_VALUE"""),6161428)</f>
        <v>6161428</v>
      </c>
    </row>
    <row r="369" spans="1:6" x14ac:dyDescent="0.35">
      <c r="A369" s="2">
        <f ca="1">IFERROR(__xludf.DUMMYFUNCTION("""COMPUTED_VALUE"""),42538.6666666666)</f>
        <v>42538.666666666599</v>
      </c>
      <c r="B369" s="1">
        <f ca="1">IFERROR(__xludf.DUMMYFUNCTION("""COMPUTED_VALUE"""),1.19)</f>
        <v>1.19</v>
      </c>
      <c r="C369" s="1">
        <f ca="1">IFERROR(__xludf.DUMMYFUNCTION("""COMPUTED_VALUE"""),1.19)</f>
        <v>1.19</v>
      </c>
      <c r="D369" s="1">
        <f ca="1">IFERROR(__xludf.DUMMYFUNCTION("""COMPUTED_VALUE"""),1.16)</f>
        <v>1.1599999999999999</v>
      </c>
      <c r="E369" s="1">
        <f ca="1">IFERROR(__xludf.DUMMYFUNCTION("""COMPUTED_VALUE"""),1.17)</f>
        <v>1.17</v>
      </c>
      <c r="F369" s="1">
        <f ca="1">IFERROR(__xludf.DUMMYFUNCTION("""COMPUTED_VALUE"""),11775048)</f>
        <v>11775048</v>
      </c>
    </row>
    <row r="370" spans="1:6" x14ac:dyDescent="0.35">
      <c r="A370" s="2">
        <f ca="1">IFERROR(__xludf.DUMMYFUNCTION("""COMPUTED_VALUE"""),42541.6666666666)</f>
        <v>42541.666666666599</v>
      </c>
      <c r="B370" s="1">
        <f ca="1">IFERROR(__xludf.DUMMYFUNCTION("""COMPUTED_VALUE"""),1.19)</f>
        <v>1.19</v>
      </c>
      <c r="C370" s="1">
        <f ca="1">IFERROR(__xludf.DUMMYFUNCTION("""COMPUTED_VALUE"""),1.2)</f>
        <v>1.2</v>
      </c>
      <c r="D370" s="1">
        <f ca="1">IFERROR(__xludf.DUMMYFUNCTION("""COMPUTED_VALUE"""),1.19)</f>
        <v>1.19</v>
      </c>
      <c r="E370" s="1">
        <f ca="1">IFERROR(__xludf.DUMMYFUNCTION("""COMPUTED_VALUE"""),1.19)</f>
        <v>1.19</v>
      </c>
      <c r="F370" s="1">
        <f ca="1">IFERROR(__xludf.DUMMYFUNCTION("""COMPUTED_VALUE"""),7344230)</f>
        <v>7344230</v>
      </c>
    </row>
    <row r="371" spans="1:6" x14ac:dyDescent="0.35">
      <c r="A371" s="2">
        <f ca="1">IFERROR(__xludf.DUMMYFUNCTION("""COMPUTED_VALUE"""),42542.6666666666)</f>
        <v>42542.666666666599</v>
      </c>
      <c r="B371" s="1">
        <f ca="1">IFERROR(__xludf.DUMMYFUNCTION("""COMPUTED_VALUE"""),1.19)</f>
        <v>1.19</v>
      </c>
      <c r="C371" s="1">
        <f ca="1">IFERROR(__xludf.DUMMYFUNCTION("""COMPUTED_VALUE"""),1.2)</f>
        <v>1.2</v>
      </c>
      <c r="D371" s="1">
        <f ca="1">IFERROR(__xludf.DUMMYFUNCTION("""COMPUTED_VALUE"""),1.18)</f>
        <v>1.18</v>
      </c>
      <c r="E371" s="1">
        <f ca="1">IFERROR(__xludf.DUMMYFUNCTION("""COMPUTED_VALUE"""),1.18)</f>
        <v>1.18</v>
      </c>
      <c r="F371" s="1">
        <f ca="1">IFERROR(__xludf.DUMMYFUNCTION("""COMPUTED_VALUE"""),5312661)</f>
        <v>5312661</v>
      </c>
    </row>
    <row r="372" spans="1:6" x14ac:dyDescent="0.35">
      <c r="A372" s="2">
        <f ca="1">IFERROR(__xludf.DUMMYFUNCTION("""COMPUTED_VALUE"""),42543.6666666666)</f>
        <v>42543.666666666599</v>
      </c>
      <c r="B372" s="1">
        <f ca="1">IFERROR(__xludf.DUMMYFUNCTION("""COMPUTED_VALUE"""),1.18)</f>
        <v>1.18</v>
      </c>
      <c r="C372" s="1">
        <f ca="1">IFERROR(__xludf.DUMMYFUNCTION("""COMPUTED_VALUE"""),1.19)</f>
        <v>1.19</v>
      </c>
      <c r="D372" s="1">
        <f ca="1">IFERROR(__xludf.DUMMYFUNCTION("""COMPUTED_VALUE"""),1.18)</f>
        <v>1.18</v>
      </c>
      <c r="E372" s="1">
        <f ca="1">IFERROR(__xludf.DUMMYFUNCTION("""COMPUTED_VALUE"""),1.18)</f>
        <v>1.18</v>
      </c>
      <c r="F372" s="1">
        <f ca="1">IFERROR(__xludf.DUMMYFUNCTION("""COMPUTED_VALUE"""),5065516)</f>
        <v>5065516</v>
      </c>
    </row>
    <row r="373" spans="1:6" x14ac:dyDescent="0.35">
      <c r="A373" s="2">
        <f ca="1">IFERROR(__xludf.DUMMYFUNCTION("""COMPUTED_VALUE"""),42544.6666666666)</f>
        <v>42544.666666666599</v>
      </c>
      <c r="B373" s="1">
        <f ca="1">IFERROR(__xludf.DUMMYFUNCTION("""COMPUTED_VALUE"""),1.19)</f>
        <v>1.19</v>
      </c>
      <c r="C373" s="1">
        <f ca="1">IFERROR(__xludf.DUMMYFUNCTION("""COMPUTED_VALUE"""),1.21)</f>
        <v>1.21</v>
      </c>
      <c r="D373" s="1">
        <f ca="1">IFERROR(__xludf.DUMMYFUNCTION("""COMPUTED_VALUE"""),1.19)</f>
        <v>1.19</v>
      </c>
      <c r="E373" s="1">
        <f ca="1">IFERROR(__xludf.DUMMYFUNCTION("""COMPUTED_VALUE"""),1.21)</f>
        <v>1.21</v>
      </c>
      <c r="F373" s="1">
        <f ca="1">IFERROR(__xludf.DUMMYFUNCTION("""COMPUTED_VALUE"""),7446994)</f>
        <v>7446994</v>
      </c>
    </row>
    <row r="374" spans="1:6" x14ac:dyDescent="0.35">
      <c r="A374" s="2">
        <f ca="1">IFERROR(__xludf.DUMMYFUNCTION("""COMPUTED_VALUE"""),42545.6666666666)</f>
        <v>42545.666666666599</v>
      </c>
      <c r="B374" s="1">
        <f ca="1">IFERROR(__xludf.DUMMYFUNCTION("""COMPUTED_VALUE"""),1.16)</f>
        <v>1.1599999999999999</v>
      </c>
      <c r="C374" s="1">
        <f ca="1">IFERROR(__xludf.DUMMYFUNCTION("""COMPUTED_VALUE"""),1.18)</f>
        <v>1.18</v>
      </c>
      <c r="D374" s="1">
        <f ca="1">IFERROR(__xludf.DUMMYFUNCTION("""COMPUTED_VALUE"""),1.13)</f>
        <v>1.1299999999999999</v>
      </c>
      <c r="E374" s="1">
        <f ca="1">IFERROR(__xludf.DUMMYFUNCTION("""COMPUTED_VALUE"""),1.14)</f>
        <v>1.1399999999999999</v>
      </c>
      <c r="F374" s="1">
        <f ca="1">IFERROR(__xludf.DUMMYFUNCTION("""COMPUTED_VALUE"""),25442111)</f>
        <v>25442111</v>
      </c>
    </row>
    <row r="375" spans="1:6" x14ac:dyDescent="0.35">
      <c r="A375" s="2">
        <f ca="1">IFERROR(__xludf.DUMMYFUNCTION("""COMPUTED_VALUE"""),42548.6666666666)</f>
        <v>42548.666666666599</v>
      </c>
      <c r="B375" s="1">
        <f ca="1">IFERROR(__xludf.DUMMYFUNCTION("""COMPUTED_VALUE"""),1.13)</f>
        <v>1.1299999999999999</v>
      </c>
      <c r="C375" s="1">
        <f ca="1">IFERROR(__xludf.DUMMYFUNCTION("""COMPUTED_VALUE"""),1.14)</f>
        <v>1.1399999999999999</v>
      </c>
      <c r="D375" s="1">
        <f ca="1">IFERROR(__xludf.DUMMYFUNCTION("""COMPUTED_VALUE"""),1.11)</f>
        <v>1.1100000000000001</v>
      </c>
      <c r="E375" s="1">
        <f ca="1">IFERROR(__xludf.DUMMYFUNCTION("""COMPUTED_VALUE"""),1.13)</f>
        <v>1.1299999999999999</v>
      </c>
      <c r="F375" s="1">
        <f ca="1">IFERROR(__xludf.DUMMYFUNCTION("""COMPUTED_VALUE"""),11258487)</f>
        <v>11258487</v>
      </c>
    </row>
    <row r="376" spans="1:6" x14ac:dyDescent="0.35">
      <c r="A376" s="2">
        <f ca="1">IFERROR(__xludf.DUMMYFUNCTION("""COMPUTED_VALUE"""),42549.6666666666)</f>
        <v>42549.666666666599</v>
      </c>
      <c r="B376" s="1">
        <f ca="1">IFERROR(__xludf.DUMMYFUNCTION("""COMPUTED_VALUE"""),1.15)</f>
        <v>1.1499999999999999</v>
      </c>
      <c r="C376" s="1">
        <f ca="1">IFERROR(__xludf.DUMMYFUNCTION("""COMPUTED_VALUE"""),1.15)</f>
        <v>1.1499999999999999</v>
      </c>
      <c r="D376" s="1">
        <f ca="1">IFERROR(__xludf.DUMMYFUNCTION("""COMPUTED_VALUE"""),1.13)</f>
        <v>1.1299999999999999</v>
      </c>
      <c r="E376" s="1">
        <f ca="1">IFERROR(__xludf.DUMMYFUNCTION("""COMPUTED_VALUE"""),1.15)</f>
        <v>1.1499999999999999</v>
      </c>
      <c r="F376" s="1">
        <f ca="1">IFERROR(__xludf.DUMMYFUNCTION("""COMPUTED_VALUE"""),9547980)</f>
        <v>9547980</v>
      </c>
    </row>
    <row r="377" spans="1:6" x14ac:dyDescent="0.35">
      <c r="A377" s="2">
        <f ca="1">IFERROR(__xludf.DUMMYFUNCTION("""COMPUTED_VALUE"""),42550.6666666666)</f>
        <v>42550.666666666599</v>
      </c>
      <c r="B377" s="1">
        <f ca="1">IFERROR(__xludf.DUMMYFUNCTION("""COMPUTED_VALUE"""),1.16)</f>
        <v>1.1599999999999999</v>
      </c>
      <c r="C377" s="1">
        <f ca="1">IFERROR(__xludf.DUMMYFUNCTION("""COMPUTED_VALUE"""),1.18)</f>
        <v>1.18</v>
      </c>
      <c r="D377" s="1">
        <f ca="1">IFERROR(__xludf.DUMMYFUNCTION("""COMPUTED_VALUE"""),1.15)</f>
        <v>1.1499999999999999</v>
      </c>
      <c r="E377" s="1">
        <f ca="1">IFERROR(__xludf.DUMMYFUNCTION("""COMPUTED_VALUE"""),1.17)</f>
        <v>1.17</v>
      </c>
      <c r="F377" s="1">
        <f ca="1">IFERROR(__xludf.DUMMYFUNCTION("""COMPUTED_VALUE"""),7973264)</f>
        <v>7973264</v>
      </c>
    </row>
    <row r="378" spans="1:6" x14ac:dyDescent="0.35">
      <c r="A378" s="2">
        <f ca="1">IFERROR(__xludf.DUMMYFUNCTION("""COMPUTED_VALUE"""),42551.6666666666)</f>
        <v>42551.666666666599</v>
      </c>
      <c r="B378" s="1">
        <f ca="1">IFERROR(__xludf.DUMMYFUNCTION("""COMPUTED_VALUE"""),1.17)</f>
        <v>1.17</v>
      </c>
      <c r="C378" s="1">
        <f ca="1">IFERROR(__xludf.DUMMYFUNCTION("""COMPUTED_VALUE"""),1.18)</f>
        <v>1.18</v>
      </c>
      <c r="D378" s="1">
        <f ca="1">IFERROR(__xludf.DUMMYFUNCTION("""COMPUTED_VALUE"""),1.16)</f>
        <v>1.1599999999999999</v>
      </c>
      <c r="E378" s="1">
        <f ca="1">IFERROR(__xludf.DUMMYFUNCTION("""COMPUTED_VALUE"""),1.18)</f>
        <v>1.18</v>
      </c>
      <c r="F378" s="1">
        <f ca="1">IFERROR(__xludf.DUMMYFUNCTION("""COMPUTED_VALUE"""),10773475)</f>
        <v>10773475</v>
      </c>
    </row>
    <row r="379" spans="1:6" x14ac:dyDescent="0.35">
      <c r="A379" s="2">
        <f ca="1">IFERROR(__xludf.DUMMYFUNCTION("""COMPUTED_VALUE"""),42552.6666666666)</f>
        <v>42552.666666666599</v>
      </c>
      <c r="B379" s="1">
        <f ca="1">IFERROR(__xludf.DUMMYFUNCTION("""COMPUTED_VALUE"""),1.17)</f>
        <v>1.17</v>
      </c>
      <c r="C379" s="1">
        <f ca="1">IFERROR(__xludf.DUMMYFUNCTION("""COMPUTED_VALUE"""),1.18)</f>
        <v>1.18</v>
      </c>
      <c r="D379" s="1">
        <f ca="1">IFERROR(__xludf.DUMMYFUNCTION("""COMPUTED_VALUE"""),1.16)</f>
        <v>1.1599999999999999</v>
      </c>
      <c r="E379" s="1">
        <f ca="1">IFERROR(__xludf.DUMMYFUNCTION("""COMPUTED_VALUE"""),1.17)</f>
        <v>1.17</v>
      </c>
      <c r="F379" s="1">
        <f ca="1">IFERROR(__xludf.DUMMYFUNCTION("""COMPUTED_VALUE"""),5462198)</f>
        <v>5462198</v>
      </c>
    </row>
    <row r="380" spans="1:6" x14ac:dyDescent="0.35">
      <c r="A380" s="2">
        <f ca="1">IFERROR(__xludf.DUMMYFUNCTION("""COMPUTED_VALUE"""),42556.6666666666)</f>
        <v>42556.666666666599</v>
      </c>
      <c r="B380" s="1">
        <f ca="1">IFERROR(__xludf.DUMMYFUNCTION("""COMPUTED_VALUE"""),1.16)</f>
        <v>1.1599999999999999</v>
      </c>
      <c r="C380" s="1">
        <f ca="1">IFERROR(__xludf.DUMMYFUNCTION("""COMPUTED_VALUE"""),1.19)</f>
        <v>1.19</v>
      </c>
      <c r="D380" s="1">
        <f ca="1">IFERROR(__xludf.DUMMYFUNCTION("""COMPUTED_VALUE"""),1.15)</f>
        <v>1.1499999999999999</v>
      </c>
      <c r="E380" s="1">
        <f ca="1">IFERROR(__xludf.DUMMYFUNCTION("""COMPUTED_VALUE"""),1.18)</f>
        <v>1.18</v>
      </c>
      <c r="F380" s="1">
        <f ca="1">IFERROR(__xludf.DUMMYFUNCTION("""COMPUTED_VALUE"""),9277061)</f>
        <v>9277061</v>
      </c>
    </row>
    <row r="381" spans="1:6" x14ac:dyDescent="0.35">
      <c r="A381" s="2">
        <f ca="1">IFERROR(__xludf.DUMMYFUNCTION("""COMPUTED_VALUE"""),42557.6666666666)</f>
        <v>42557.666666666599</v>
      </c>
      <c r="B381" s="1">
        <f ca="1">IFERROR(__xludf.DUMMYFUNCTION("""COMPUTED_VALUE"""),1.18)</f>
        <v>1.18</v>
      </c>
      <c r="C381" s="1">
        <f ca="1">IFERROR(__xludf.DUMMYFUNCTION("""COMPUTED_VALUE"""),1.2)</f>
        <v>1.2</v>
      </c>
      <c r="D381" s="1">
        <f ca="1">IFERROR(__xludf.DUMMYFUNCTION("""COMPUTED_VALUE"""),1.17)</f>
        <v>1.17</v>
      </c>
      <c r="E381" s="1">
        <f ca="1">IFERROR(__xludf.DUMMYFUNCTION("""COMPUTED_VALUE"""),1.19)</f>
        <v>1.19</v>
      </c>
      <c r="F381" s="1">
        <f ca="1">IFERROR(__xludf.DUMMYFUNCTION("""COMPUTED_VALUE"""),6827594)</f>
        <v>6827594</v>
      </c>
    </row>
    <row r="382" spans="1:6" x14ac:dyDescent="0.35">
      <c r="A382" s="2">
        <f ca="1">IFERROR(__xludf.DUMMYFUNCTION("""COMPUTED_VALUE"""),42558.6666666666)</f>
        <v>42558.666666666599</v>
      </c>
      <c r="B382" s="1">
        <f ca="1">IFERROR(__xludf.DUMMYFUNCTION("""COMPUTED_VALUE"""),1.2)</f>
        <v>1.2</v>
      </c>
      <c r="C382" s="1">
        <f ca="1">IFERROR(__xludf.DUMMYFUNCTION("""COMPUTED_VALUE"""),1.23)</f>
        <v>1.23</v>
      </c>
      <c r="D382" s="1">
        <f ca="1">IFERROR(__xludf.DUMMYFUNCTION("""COMPUTED_VALUE"""),1.19)</f>
        <v>1.19</v>
      </c>
      <c r="E382" s="1">
        <f ca="1">IFERROR(__xludf.DUMMYFUNCTION("""COMPUTED_VALUE"""),1.22)</f>
        <v>1.22</v>
      </c>
      <c r="F382" s="1">
        <f ca="1">IFERROR(__xludf.DUMMYFUNCTION("""COMPUTED_VALUE"""),9884992)</f>
        <v>9884992</v>
      </c>
    </row>
    <row r="383" spans="1:6" x14ac:dyDescent="0.35">
      <c r="A383" s="2">
        <f ca="1">IFERROR(__xludf.DUMMYFUNCTION("""COMPUTED_VALUE"""),42559.6666666666)</f>
        <v>42559.666666666599</v>
      </c>
      <c r="B383" s="1">
        <f ca="1">IFERROR(__xludf.DUMMYFUNCTION("""COMPUTED_VALUE"""),1.24)</f>
        <v>1.24</v>
      </c>
      <c r="C383" s="1">
        <f ca="1">IFERROR(__xludf.DUMMYFUNCTION("""COMPUTED_VALUE"""),1.28)</f>
        <v>1.28</v>
      </c>
      <c r="D383" s="1">
        <f ca="1">IFERROR(__xludf.DUMMYFUNCTION("""COMPUTED_VALUE"""),1.23)</f>
        <v>1.23</v>
      </c>
      <c r="E383" s="1">
        <f ca="1">IFERROR(__xludf.DUMMYFUNCTION("""COMPUTED_VALUE"""),1.27)</f>
        <v>1.27</v>
      </c>
      <c r="F383" s="1">
        <f ca="1">IFERROR(__xludf.DUMMYFUNCTION("""COMPUTED_VALUE"""),12048273)</f>
        <v>12048273</v>
      </c>
    </row>
    <row r="384" spans="1:6" x14ac:dyDescent="0.35">
      <c r="A384" s="2">
        <f ca="1">IFERROR(__xludf.DUMMYFUNCTION("""COMPUTED_VALUE"""),42562.6666666666)</f>
        <v>42562.666666666599</v>
      </c>
      <c r="B384" s="1">
        <f ca="1">IFERROR(__xludf.DUMMYFUNCTION("""COMPUTED_VALUE"""),1.29)</f>
        <v>1.29</v>
      </c>
      <c r="C384" s="1">
        <f ca="1">IFERROR(__xludf.DUMMYFUNCTION("""COMPUTED_VALUE"""),1.31)</f>
        <v>1.31</v>
      </c>
      <c r="D384" s="1">
        <f ca="1">IFERROR(__xludf.DUMMYFUNCTION("""COMPUTED_VALUE"""),1.29)</f>
        <v>1.29</v>
      </c>
      <c r="E384" s="1">
        <f ca="1">IFERROR(__xludf.DUMMYFUNCTION("""COMPUTED_VALUE"""),1.3)</f>
        <v>1.3</v>
      </c>
      <c r="F384" s="1">
        <f ca="1">IFERROR(__xludf.DUMMYFUNCTION("""COMPUTED_VALUE"""),11219437)</f>
        <v>11219437</v>
      </c>
    </row>
    <row r="385" spans="1:6" x14ac:dyDescent="0.35">
      <c r="A385" s="2">
        <f ca="1">IFERROR(__xludf.DUMMYFUNCTION("""COMPUTED_VALUE"""),42563.6666666666)</f>
        <v>42563.666666666599</v>
      </c>
      <c r="B385" s="1">
        <f ca="1">IFERROR(__xludf.DUMMYFUNCTION("""COMPUTED_VALUE"""),1.32)</f>
        <v>1.32</v>
      </c>
      <c r="C385" s="1">
        <f ca="1">IFERROR(__xludf.DUMMYFUNCTION("""COMPUTED_VALUE"""),1.33)</f>
        <v>1.33</v>
      </c>
      <c r="D385" s="1">
        <f ca="1">IFERROR(__xludf.DUMMYFUNCTION("""COMPUTED_VALUE"""),1.3)</f>
        <v>1.3</v>
      </c>
      <c r="E385" s="1">
        <f ca="1">IFERROR(__xludf.DUMMYFUNCTION("""COMPUTED_VALUE"""),1.32)</f>
        <v>1.32</v>
      </c>
      <c r="F385" s="1">
        <f ca="1">IFERROR(__xludf.DUMMYFUNCTION("""COMPUTED_VALUE"""),10919045)</f>
        <v>10919045</v>
      </c>
    </row>
    <row r="386" spans="1:6" x14ac:dyDescent="0.35">
      <c r="A386" s="2">
        <f ca="1">IFERROR(__xludf.DUMMYFUNCTION("""COMPUTED_VALUE"""),42564.6666666666)</f>
        <v>42564.666666666599</v>
      </c>
      <c r="B386" s="1">
        <f ca="1">IFERROR(__xludf.DUMMYFUNCTION("""COMPUTED_VALUE"""),1.32)</f>
        <v>1.32</v>
      </c>
      <c r="C386" s="1">
        <f ca="1">IFERROR(__xludf.DUMMYFUNCTION("""COMPUTED_VALUE"""),1.33)</f>
        <v>1.33</v>
      </c>
      <c r="D386" s="1">
        <f ca="1">IFERROR(__xludf.DUMMYFUNCTION("""COMPUTED_VALUE"""),1.32)</f>
        <v>1.32</v>
      </c>
      <c r="E386" s="1">
        <f ca="1">IFERROR(__xludf.DUMMYFUNCTION("""COMPUTED_VALUE"""),1.32)</f>
        <v>1.32</v>
      </c>
      <c r="F386" s="1">
        <f ca="1">IFERROR(__xludf.DUMMYFUNCTION("""COMPUTED_VALUE"""),8115130)</f>
        <v>8115130</v>
      </c>
    </row>
    <row r="387" spans="1:6" x14ac:dyDescent="0.35">
      <c r="A387" s="2">
        <f ca="1">IFERROR(__xludf.DUMMYFUNCTION("""COMPUTED_VALUE"""),42565.6666666666)</f>
        <v>42565.666666666599</v>
      </c>
      <c r="B387" s="1">
        <f ca="1">IFERROR(__xludf.DUMMYFUNCTION("""COMPUTED_VALUE"""),1.33)</f>
        <v>1.33</v>
      </c>
      <c r="C387" s="1">
        <f ca="1">IFERROR(__xludf.DUMMYFUNCTION("""COMPUTED_VALUE"""),1.35)</f>
        <v>1.35</v>
      </c>
      <c r="D387" s="1">
        <f ca="1">IFERROR(__xludf.DUMMYFUNCTION("""COMPUTED_VALUE"""),1.32)</f>
        <v>1.32</v>
      </c>
      <c r="E387" s="1">
        <f ca="1">IFERROR(__xludf.DUMMYFUNCTION("""COMPUTED_VALUE"""),1.33)</f>
        <v>1.33</v>
      </c>
      <c r="F387" s="1">
        <f ca="1">IFERROR(__xludf.DUMMYFUNCTION("""COMPUTED_VALUE"""),7922283)</f>
        <v>7922283</v>
      </c>
    </row>
    <row r="388" spans="1:6" x14ac:dyDescent="0.35">
      <c r="A388" s="2">
        <f ca="1">IFERROR(__xludf.DUMMYFUNCTION("""COMPUTED_VALUE"""),42566.6666666666)</f>
        <v>42566.666666666599</v>
      </c>
      <c r="B388" s="1">
        <f ca="1">IFERROR(__xludf.DUMMYFUNCTION("""COMPUTED_VALUE"""),1.32)</f>
        <v>1.32</v>
      </c>
      <c r="C388" s="1">
        <f ca="1">IFERROR(__xludf.DUMMYFUNCTION("""COMPUTED_VALUE"""),1.32)</f>
        <v>1.32</v>
      </c>
      <c r="D388" s="1">
        <f ca="1">IFERROR(__xludf.DUMMYFUNCTION("""COMPUTED_VALUE"""),1.3)</f>
        <v>1.3</v>
      </c>
      <c r="E388" s="1">
        <f ca="1">IFERROR(__xludf.DUMMYFUNCTION("""COMPUTED_VALUE"""),1.32)</f>
        <v>1.32</v>
      </c>
      <c r="F388" s="1">
        <f ca="1">IFERROR(__xludf.DUMMYFUNCTION("""COMPUTED_VALUE"""),10715357)</f>
        <v>10715357</v>
      </c>
    </row>
    <row r="389" spans="1:6" x14ac:dyDescent="0.35">
      <c r="A389" s="2">
        <f ca="1">IFERROR(__xludf.DUMMYFUNCTION("""COMPUTED_VALUE"""),42569.6666666666)</f>
        <v>42569.666666666599</v>
      </c>
      <c r="B389" s="1">
        <f ca="1">IFERROR(__xludf.DUMMYFUNCTION("""COMPUTED_VALUE"""),1.33)</f>
        <v>1.33</v>
      </c>
      <c r="C389" s="1">
        <f ca="1">IFERROR(__xludf.DUMMYFUNCTION("""COMPUTED_VALUE"""),1.34)</f>
        <v>1.34</v>
      </c>
      <c r="D389" s="1">
        <f ca="1">IFERROR(__xludf.DUMMYFUNCTION("""COMPUTED_VALUE"""),1.32)</f>
        <v>1.32</v>
      </c>
      <c r="E389" s="1">
        <f ca="1">IFERROR(__xludf.DUMMYFUNCTION("""COMPUTED_VALUE"""),1.32)</f>
        <v>1.32</v>
      </c>
      <c r="F389" s="1">
        <f ca="1">IFERROR(__xludf.DUMMYFUNCTION("""COMPUTED_VALUE"""),6324838)</f>
        <v>6324838</v>
      </c>
    </row>
    <row r="390" spans="1:6" x14ac:dyDescent="0.35">
      <c r="A390" s="2">
        <f ca="1">IFERROR(__xludf.DUMMYFUNCTION("""COMPUTED_VALUE"""),42570.6666666666)</f>
        <v>42570.666666666599</v>
      </c>
      <c r="B390" s="1">
        <f ca="1">IFERROR(__xludf.DUMMYFUNCTION("""COMPUTED_VALUE"""),1.32)</f>
        <v>1.32</v>
      </c>
      <c r="C390" s="1">
        <f ca="1">IFERROR(__xludf.DUMMYFUNCTION("""COMPUTED_VALUE"""),1.34)</f>
        <v>1.34</v>
      </c>
      <c r="D390" s="1">
        <f ca="1">IFERROR(__xludf.DUMMYFUNCTION("""COMPUTED_VALUE"""),1.32)</f>
        <v>1.32</v>
      </c>
      <c r="E390" s="1">
        <f ca="1">IFERROR(__xludf.DUMMYFUNCTION("""COMPUTED_VALUE"""),1.34)</f>
        <v>1.34</v>
      </c>
      <c r="F390" s="1">
        <f ca="1">IFERROR(__xludf.DUMMYFUNCTION("""COMPUTED_VALUE"""),9566250)</f>
        <v>9566250</v>
      </c>
    </row>
    <row r="391" spans="1:6" x14ac:dyDescent="0.35">
      <c r="A391" s="2">
        <f ca="1">IFERROR(__xludf.DUMMYFUNCTION("""COMPUTED_VALUE"""),42571.6666666666)</f>
        <v>42571.666666666599</v>
      </c>
      <c r="B391" s="1">
        <f ca="1">IFERROR(__xludf.DUMMYFUNCTION("""COMPUTED_VALUE"""),1.34)</f>
        <v>1.34</v>
      </c>
      <c r="C391" s="1">
        <f ca="1">IFERROR(__xludf.DUMMYFUNCTION("""COMPUTED_VALUE"""),1.36)</f>
        <v>1.36</v>
      </c>
      <c r="D391" s="1">
        <f ca="1">IFERROR(__xludf.DUMMYFUNCTION("""COMPUTED_VALUE"""),1.34)</f>
        <v>1.34</v>
      </c>
      <c r="E391" s="1">
        <f ca="1">IFERROR(__xludf.DUMMYFUNCTION("""COMPUTED_VALUE"""),1.36)</f>
        <v>1.36</v>
      </c>
      <c r="F391" s="1">
        <f ca="1">IFERROR(__xludf.DUMMYFUNCTION("""COMPUTED_VALUE"""),7411502)</f>
        <v>7411502</v>
      </c>
    </row>
    <row r="392" spans="1:6" x14ac:dyDescent="0.35">
      <c r="A392" s="2">
        <f ca="1">IFERROR(__xludf.DUMMYFUNCTION("""COMPUTED_VALUE"""),42572.6666666666)</f>
        <v>42572.666666666599</v>
      </c>
      <c r="B392" s="1">
        <f ca="1">IFERROR(__xludf.DUMMYFUNCTION("""COMPUTED_VALUE"""),1.35)</f>
        <v>1.35</v>
      </c>
      <c r="C392" s="1">
        <f ca="1">IFERROR(__xludf.DUMMYFUNCTION("""COMPUTED_VALUE"""),1.36)</f>
        <v>1.36</v>
      </c>
      <c r="D392" s="1">
        <f ca="1">IFERROR(__xludf.DUMMYFUNCTION("""COMPUTED_VALUE"""),1.33)</f>
        <v>1.33</v>
      </c>
      <c r="E392" s="1">
        <f ca="1">IFERROR(__xludf.DUMMYFUNCTION("""COMPUTED_VALUE"""),1.33)</f>
        <v>1.33</v>
      </c>
      <c r="F392" s="1">
        <f ca="1">IFERROR(__xludf.DUMMYFUNCTION("""COMPUTED_VALUE"""),9032697)</f>
        <v>9032697</v>
      </c>
    </row>
    <row r="393" spans="1:6" x14ac:dyDescent="0.35">
      <c r="A393" s="2">
        <f ca="1">IFERROR(__xludf.DUMMYFUNCTION("""COMPUTED_VALUE"""),42573.6666666666)</f>
        <v>42573.666666666599</v>
      </c>
      <c r="B393" s="1">
        <f ca="1">IFERROR(__xludf.DUMMYFUNCTION("""COMPUTED_VALUE"""),1.34)</f>
        <v>1.34</v>
      </c>
      <c r="C393" s="1">
        <f ca="1">IFERROR(__xludf.DUMMYFUNCTION("""COMPUTED_VALUE"""),1.37)</f>
        <v>1.37</v>
      </c>
      <c r="D393" s="1">
        <f ca="1">IFERROR(__xludf.DUMMYFUNCTION("""COMPUTED_VALUE"""),1.33)</f>
        <v>1.33</v>
      </c>
      <c r="E393" s="1">
        <f ca="1">IFERROR(__xludf.DUMMYFUNCTION("""COMPUTED_VALUE"""),1.37)</f>
        <v>1.37</v>
      </c>
      <c r="F393" s="1">
        <f ca="1">IFERROR(__xludf.DUMMYFUNCTION("""COMPUTED_VALUE"""),7894165)</f>
        <v>7894165</v>
      </c>
    </row>
    <row r="394" spans="1:6" x14ac:dyDescent="0.35">
      <c r="A394" s="2">
        <f ca="1">IFERROR(__xludf.DUMMYFUNCTION("""COMPUTED_VALUE"""),42576.6666666666)</f>
        <v>42576.666666666599</v>
      </c>
      <c r="B394" s="1">
        <f ca="1">IFERROR(__xludf.DUMMYFUNCTION("""COMPUTED_VALUE"""),1.38)</f>
        <v>1.38</v>
      </c>
      <c r="C394" s="1">
        <f ca="1">IFERROR(__xludf.DUMMYFUNCTION("""COMPUTED_VALUE"""),1.4)</f>
        <v>1.4</v>
      </c>
      <c r="D394" s="1">
        <f ca="1">IFERROR(__xludf.DUMMYFUNCTION("""COMPUTED_VALUE"""),1.37)</f>
        <v>1.37</v>
      </c>
      <c r="E394" s="1">
        <f ca="1">IFERROR(__xludf.DUMMYFUNCTION("""COMPUTED_VALUE"""),1.39)</f>
        <v>1.39</v>
      </c>
      <c r="F394" s="1">
        <f ca="1">IFERROR(__xludf.DUMMYFUNCTION("""COMPUTED_VALUE"""),7813211)</f>
        <v>7813211</v>
      </c>
    </row>
    <row r="395" spans="1:6" x14ac:dyDescent="0.35">
      <c r="A395" s="2">
        <f ca="1">IFERROR(__xludf.DUMMYFUNCTION("""COMPUTED_VALUE"""),42577.6666666666)</f>
        <v>42577.666666666599</v>
      </c>
      <c r="B395" s="1">
        <f ca="1">IFERROR(__xludf.DUMMYFUNCTION("""COMPUTED_VALUE"""),1.4)</f>
        <v>1.4</v>
      </c>
      <c r="C395" s="1">
        <f ca="1">IFERROR(__xludf.DUMMYFUNCTION("""COMPUTED_VALUE"""),1.42)</f>
        <v>1.42</v>
      </c>
      <c r="D395" s="1">
        <f ca="1">IFERROR(__xludf.DUMMYFUNCTION("""COMPUTED_VALUE"""),1.4)</f>
        <v>1.4</v>
      </c>
      <c r="E395" s="1">
        <f ca="1">IFERROR(__xludf.DUMMYFUNCTION("""COMPUTED_VALUE"""),1.42)</f>
        <v>1.42</v>
      </c>
      <c r="F395" s="1">
        <f ca="1">IFERROR(__xludf.DUMMYFUNCTION("""COMPUTED_VALUE"""),12862739)</f>
        <v>12862739</v>
      </c>
    </row>
    <row r="396" spans="1:6" x14ac:dyDescent="0.35">
      <c r="A396" s="2">
        <f ca="1">IFERROR(__xludf.DUMMYFUNCTION("""COMPUTED_VALUE"""),42578.6666666666)</f>
        <v>42578.666666666599</v>
      </c>
      <c r="B396" s="1">
        <f ca="1">IFERROR(__xludf.DUMMYFUNCTION("""COMPUTED_VALUE"""),1.43)</f>
        <v>1.43</v>
      </c>
      <c r="C396" s="1">
        <f ca="1">IFERROR(__xludf.DUMMYFUNCTION("""COMPUTED_VALUE"""),1.43)</f>
        <v>1.43</v>
      </c>
      <c r="D396" s="1">
        <f ca="1">IFERROR(__xludf.DUMMYFUNCTION("""COMPUTED_VALUE"""),1.39)</f>
        <v>1.39</v>
      </c>
      <c r="E396" s="1">
        <f ca="1">IFERROR(__xludf.DUMMYFUNCTION("""COMPUTED_VALUE"""),1.4)</f>
        <v>1.4</v>
      </c>
      <c r="F396" s="1">
        <f ca="1">IFERROR(__xludf.DUMMYFUNCTION("""COMPUTED_VALUE"""),11166886)</f>
        <v>11166886</v>
      </c>
    </row>
    <row r="397" spans="1:6" x14ac:dyDescent="0.35">
      <c r="A397" s="2">
        <f ca="1">IFERROR(__xludf.DUMMYFUNCTION("""COMPUTED_VALUE"""),42579.6666666666)</f>
        <v>42579.666666666599</v>
      </c>
      <c r="B397" s="1">
        <f ca="1">IFERROR(__xludf.DUMMYFUNCTION("""COMPUTED_VALUE"""),1.4)</f>
        <v>1.4</v>
      </c>
      <c r="C397" s="1">
        <f ca="1">IFERROR(__xludf.DUMMYFUNCTION("""COMPUTED_VALUE"""),1.42)</f>
        <v>1.42</v>
      </c>
      <c r="D397" s="1">
        <f ca="1">IFERROR(__xludf.DUMMYFUNCTION("""COMPUTED_VALUE"""),1.4)</f>
        <v>1.4</v>
      </c>
      <c r="E397" s="1">
        <f ca="1">IFERROR(__xludf.DUMMYFUNCTION("""COMPUTED_VALUE"""),1.4)</f>
        <v>1.4</v>
      </c>
      <c r="F397" s="1">
        <f ca="1">IFERROR(__xludf.DUMMYFUNCTION("""COMPUTED_VALUE"""),5547934)</f>
        <v>5547934</v>
      </c>
    </row>
    <row r="398" spans="1:6" x14ac:dyDescent="0.35">
      <c r="A398" s="2">
        <f ca="1">IFERROR(__xludf.DUMMYFUNCTION("""COMPUTED_VALUE"""),42580.6666666666)</f>
        <v>42580.666666666599</v>
      </c>
      <c r="B398" s="1">
        <f ca="1">IFERROR(__xludf.DUMMYFUNCTION("""COMPUTED_VALUE"""),1.41)</f>
        <v>1.41</v>
      </c>
      <c r="C398" s="1">
        <f ca="1">IFERROR(__xludf.DUMMYFUNCTION("""COMPUTED_VALUE"""),1.43)</f>
        <v>1.43</v>
      </c>
      <c r="D398" s="1">
        <f ca="1">IFERROR(__xludf.DUMMYFUNCTION("""COMPUTED_VALUE"""),1.38)</f>
        <v>1.38</v>
      </c>
      <c r="E398" s="1">
        <f ca="1">IFERROR(__xludf.DUMMYFUNCTION("""COMPUTED_VALUE"""),1.43)</f>
        <v>1.43</v>
      </c>
      <c r="F398" s="1">
        <f ca="1">IFERROR(__xludf.DUMMYFUNCTION("""COMPUTED_VALUE"""),10239664)</f>
        <v>10239664</v>
      </c>
    </row>
    <row r="399" spans="1:6" x14ac:dyDescent="0.35">
      <c r="A399" s="2">
        <f ca="1">IFERROR(__xludf.DUMMYFUNCTION("""COMPUTED_VALUE"""),42583.6666666666)</f>
        <v>42583.666666666599</v>
      </c>
      <c r="B399" s="1">
        <f ca="1">IFERROR(__xludf.DUMMYFUNCTION("""COMPUTED_VALUE"""),1.43)</f>
        <v>1.43</v>
      </c>
      <c r="C399" s="1">
        <f ca="1">IFERROR(__xludf.DUMMYFUNCTION("""COMPUTED_VALUE"""),1.44)</f>
        <v>1.44</v>
      </c>
      <c r="D399" s="1">
        <f ca="1">IFERROR(__xludf.DUMMYFUNCTION("""COMPUTED_VALUE"""),1.41)</f>
        <v>1.41</v>
      </c>
      <c r="E399" s="1">
        <f ca="1">IFERROR(__xludf.DUMMYFUNCTION("""COMPUTED_VALUE"""),1.42)</f>
        <v>1.42</v>
      </c>
      <c r="F399" s="1">
        <f ca="1">IFERROR(__xludf.DUMMYFUNCTION("""COMPUTED_VALUE"""),7527970)</f>
        <v>7527970</v>
      </c>
    </row>
    <row r="400" spans="1:6" x14ac:dyDescent="0.35">
      <c r="A400" s="2">
        <f ca="1">IFERROR(__xludf.DUMMYFUNCTION("""COMPUTED_VALUE"""),42584.6666666666)</f>
        <v>42584.666666666599</v>
      </c>
      <c r="B400" s="1">
        <f ca="1">IFERROR(__xludf.DUMMYFUNCTION("""COMPUTED_VALUE"""),1.43)</f>
        <v>1.43</v>
      </c>
      <c r="C400" s="1">
        <f ca="1">IFERROR(__xludf.DUMMYFUNCTION("""COMPUTED_VALUE"""),1.43)</f>
        <v>1.43</v>
      </c>
      <c r="D400" s="1">
        <f ca="1">IFERROR(__xludf.DUMMYFUNCTION("""COMPUTED_VALUE"""),1.39)</f>
        <v>1.39</v>
      </c>
      <c r="E400" s="1">
        <f ca="1">IFERROR(__xludf.DUMMYFUNCTION("""COMPUTED_VALUE"""),1.4)</f>
        <v>1.4</v>
      </c>
      <c r="F400" s="1">
        <f ca="1">IFERROR(__xludf.DUMMYFUNCTION("""COMPUTED_VALUE"""),7068720)</f>
        <v>7068720</v>
      </c>
    </row>
    <row r="401" spans="1:6" x14ac:dyDescent="0.35">
      <c r="A401" s="2">
        <f ca="1">IFERROR(__xludf.DUMMYFUNCTION("""COMPUTED_VALUE"""),42585.6666666666)</f>
        <v>42585.666666666599</v>
      </c>
      <c r="B401" s="1">
        <f ca="1">IFERROR(__xludf.DUMMYFUNCTION("""COMPUTED_VALUE"""),1.4)</f>
        <v>1.4</v>
      </c>
      <c r="C401" s="1">
        <f ca="1">IFERROR(__xludf.DUMMYFUNCTION("""COMPUTED_VALUE"""),1.41)</f>
        <v>1.41</v>
      </c>
      <c r="D401" s="1">
        <f ca="1">IFERROR(__xludf.DUMMYFUNCTION("""COMPUTED_VALUE"""),1.39)</f>
        <v>1.39</v>
      </c>
      <c r="E401" s="1">
        <f ca="1">IFERROR(__xludf.DUMMYFUNCTION("""COMPUTED_VALUE"""),1.4)</f>
        <v>1.4</v>
      </c>
      <c r="F401" s="1">
        <f ca="1">IFERROR(__xludf.DUMMYFUNCTION("""COMPUTED_VALUE"""),7495709)</f>
        <v>7495709</v>
      </c>
    </row>
    <row r="402" spans="1:6" x14ac:dyDescent="0.35">
      <c r="A402" s="2">
        <f ca="1">IFERROR(__xludf.DUMMYFUNCTION("""COMPUTED_VALUE"""),42586.6666666666)</f>
        <v>42586.666666666599</v>
      </c>
      <c r="B402" s="1">
        <f ca="1">IFERROR(__xludf.DUMMYFUNCTION("""COMPUTED_VALUE"""),1.41)</f>
        <v>1.41</v>
      </c>
      <c r="C402" s="1">
        <f ca="1">IFERROR(__xludf.DUMMYFUNCTION("""COMPUTED_VALUE"""),1.44)</f>
        <v>1.44</v>
      </c>
      <c r="D402" s="1">
        <f ca="1">IFERROR(__xludf.DUMMYFUNCTION("""COMPUTED_VALUE"""),1.41)</f>
        <v>1.41</v>
      </c>
      <c r="E402" s="1">
        <f ca="1">IFERROR(__xludf.DUMMYFUNCTION("""COMPUTED_VALUE"""),1.43)</f>
        <v>1.43</v>
      </c>
      <c r="F402" s="1">
        <f ca="1">IFERROR(__xludf.DUMMYFUNCTION("""COMPUTED_VALUE"""),6817803)</f>
        <v>6817803</v>
      </c>
    </row>
    <row r="403" spans="1:6" x14ac:dyDescent="0.35">
      <c r="A403" s="2">
        <f ca="1">IFERROR(__xludf.DUMMYFUNCTION("""COMPUTED_VALUE"""),42587.6666666666)</f>
        <v>42587.666666666599</v>
      </c>
      <c r="B403" s="1">
        <f ca="1">IFERROR(__xludf.DUMMYFUNCTION("""COMPUTED_VALUE"""),1.45)</f>
        <v>1.45</v>
      </c>
      <c r="C403" s="1">
        <f ca="1">IFERROR(__xludf.DUMMYFUNCTION("""COMPUTED_VALUE"""),1.46)</f>
        <v>1.46</v>
      </c>
      <c r="D403" s="1">
        <f ca="1">IFERROR(__xludf.DUMMYFUNCTION("""COMPUTED_VALUE"""),1.44)</f>
        <v>1.44</v>
      </c>
      <c r="E403" s="1">
        <f ca="1">IFERROR(__xludf.DUMMYFUNCTION("""COMPUTED_VALUE"""),1.46)</f>
        <v>1.46</v>
      </c>
      <c r="F403" s="1">
        <f ca="1">IFERROR(__xludf.DUMMYFUNCTION("""COMPUTED_VALUE"""),9289735)</f>
        <v>9289735</v>
      </c>
    </row>
    <row r="404" spans="1:6" x14ac:dyDescent="0.35">
      <c r="A404" s="2">
        <f ca="1">IFERROR(__xludf.DUMMYFUNCTION("""COMPUTED_VALUE"""),42590.6666666666)</f>
        <v>42590.666666666599</v>
      </c>
      <c r="B404" s="1">
        <f ca="1">IFERROR(__xludf.DUMMYFUNCTION("""COMPUTED_VALUE"""),1.48)</f>
        <v>1.48</v>
      </c>
      <c r="C404" s="1">
        <f ca="1">IFERROR(__xludf.DUMMYFUNCTION("""COMPUTED_VALUE"""),1.48)</f>
        <v>1.48</v>
      </c>
      <c r="D404" s="1">
        <f ca="1">IFERROR(__xludf.DUMMYFUNCTION("""COMPUTED_VALUE"""),1.45)</f>
        <v>1.45</v>
      </c>
      <c r="E404" s="1">
        <f ca="1">IFERROR(__xludf.DUMMYFUNCTION("""COMPUTED_VALUE"""),1.47)</f>
        <v>1.47</v>
      </c>
      <c r="F404" s="1">
        <f ca="1">IFERROR(__xludf.DUMMYFUNCTION("""COMPUTED_VALUE"""),7626603)</f>
        <v>7626603</v>
      </c>
    </row>
    <row r="405" spans="1:6" x14ac:dyDescent="0.35">
      <c r="A405" s="2">
        <f ca="1">IFERROR(__xludf.DUMMYFUNCTION("""COMPUTED_VALUE"""),42591.6666666666)</f>
        <v>42591.666666666599</v>
      </c>
      <c r="B405" s="1">
        <f ca="1">IFERROR(__xludf.DUMMYFUNCTION("""COMPUTED_VALUE"""),1.48)</f>
        <v>1.48</v>
      </c>
      <c r="C405" s="1">
        <f ca="1">IFERROR(__xludf.DUMMYFUNCTION("""COMPUTED_VALUE"""),1.49)</f>
        <v>1.49</v>
      </c>
      <c r="D405" s="1">
        <f ca="1">IFERROR(__xludf.DUMMYFUNCTION("""COMPUTED_VALUE"""),1.47)</f>
        <v>1.47</v>
      </c>
      <c r="E405" s="1">
        <f ca="1">IFERROR(__xludf.DUMMYFUNCTION("""COMPUTED_VALUE"""),1.47)</f>
        <v>1.47</v>
      </c>
      <c r="F405" s="1">
        <f ca="1">IFERROR(__xludf.DUMMYFUNCTION("""COMPUTED_VALUE"""),9308559)</f>
        <v>9308559</v>
      </c>
    </row>
    <row r="406" spans="1:6" x14ac:dyDescent="0.35">
      <c r="A406" s="2">
        <f ca="1">IFERROR(__xludf.DUMMYFUNCTION("""COMPUTED_VALUE"""),42592.6666666666)</f>
        <v>42592.666666666599</v>
      </c>
      <c r="B406" s="1">
        <f ca="1">IFERROR(__xludf.DUMMYFUNCTION("""COMPUTED_VALUE"""),1.49)</f>
        <v>1.49</v>
      </c>
      <c r="C406" s="1">
        <f ca="1">IFERROR(__xludf.DUMMYFUNCTION("""COMPUTED_VALUE"""),1.49)</f>
        <v>1.49</v>
      </c>
      <c r="D406" s="1">
        <f ca="1">IFERROR(__xludf.DUMMYFUNCTION("""COMPUTED_VALUE"""),1.46)</f>
        <v>1.46</v>
      </c>
      <c r="E406" s="1">
        <f ca="1">IFERROR(__xludf.DUMMYFUNCTION("""COMPUTED_VALUE"""),1.46)</f>
        <v>1.46</v>
      </c>
      <c r="F406" s="1">
        <f ca="1">IFERROR(__xludf.DUMMYFUNCTION("""COMPUTED_VALUE"""),9393453)</f>
        <v>9393453</v>
      </c>
    </row>
    <row r="407" spans="1:6" x14ac:dyDescent="0.35">
      <c r="A407" s="2">
        <f ca="1">IFERROR(__xludf.DUMMYFUNCTION("""COMPUTED_VALUE"""),42593.6666666666)</f>
        <v>42593.666666666599</v>
      </c>
      <c r="B407" s="1">
        <f ca="1">IFERROR(__xludf.DUMMYFUNCTION("""COMPUTED_VALUE"""),1.47)</f>
        <v>1.47</v>
      </c>
      <c r="C407" s="1">
        <f ca="1">IFERROR(__xludf.DUMMYFUNCTION("""COMPUTED_VALUE"""),1.5)</f>
        <v>1.5</v>
      </c>
      <c r="D407" s="1">
        <f ca="1">IFERROR(__xludf.DUMMYFUNCTION("""COMPUTED_VALUE"""),1.47)</f>
        <v>1.47</v>
      </c>
      <c r="E407" s="1">
        <f ca="1">IFERROR(__xludf.DUMMYFUNCTION("""COMPUTED_VALUE"""),1.49)</f>
        <v>1.49</v>
      </c>
      <c r="F407" s="1">
        <f ca="1">IFERROR(__xludf.DUMMYFUNCTION("""COMPUTED_VALUE"""),17026556)</f>
        <v>17026556</v>
      </c>
    </row>
    <row r="408" spans="1:6" x14ac:dyDescent="0.35">
      <c r="A408" s="2">
        <f ca="1">IFERROR(__xludf.DUMMYFUNCTION("""COMPUTED_VALUE"""),42594.6666666666)</f>
        <v>42594.666666666599</v>
      </c>
      <c r="B408" s="1">
        <f ca="1">IFERROR(__xludf.DUMMYFUNCTION("""COMPUTED_VALUE"""),1.55)</f>
        <v>1.55</v>
      </c>
      <c r="C408" s="1">
        <f ca="1">IFERROR(__xludf.DUMMYFUNCTION("""COMPUTED_VALUE"""),1.58)</f>
        <v>1.58</v>
      </c>
      <c r="D408" s="1">
        <f ca="1">IFERROR(__xludf.DUMMYFUNCTION("""COMPUTED_VALUE"""),1.52)</f>
        <v>1.52</v>
      </c>
      <c r="E408" s="1">
        <f ca="1">IFERROR(__xludf.DUMMYFUNCTION("""COMPUTED_VALUE"""),1.58)</f>
        <v>1.58</v>
      </c>
      <c r="F408" s="1">
        <f ca="1">IFERROR(__xludf.DUMMYFUNCTION("""COMPUTED_VALUE"""),35643642)</f>
        <v>35643642</v>
      </c>
    </row>
    <row r="409" spans="1:6" x14ac:dyDescent="0.35">
      <c r="A409" s="2">
        <f ca="1">IFERROR(__xludf.DUMMYFUNCTION("""COMPUTED_VALUE"""),42597.6666666666)</f>
        <v>42597.666666666599</v>
      </c>
      <c r="B409" s="1">
        <f ca="1">IFERROR(__xludf.DUMMYFUNCTION("""COMPUTED_VALUE"""),1.58)</f>
        <v>1.58</v>
      </c>
      <c r="C409" s="1">
        <f ca="1">IFERROR(__xludf.DUMMYFUNCTION("""COMPUTED_VALUE"""),1.59)</f>
        <v>1.59</v>
      </c>
      <c r="D409" s="1">
        <f ca="1">IFERROR(__xludf.DUMMYFUNCTION("""COMPUTED_VALUE"""),1.55)</f>
        <v>1.55</v>
      </c>
      <c r="E409" s="1">
        <f ca="1">IFERROR(__xludf.DUMMYFUNCTION("""COMPUTED_VALUE"""),1.57)</f>
        <v>1.57</v>
      </c>
      <c r="F409" s="1">
        <f ca="1">IFERROR(__xludf.DUMMYFUNCTION("""COMPUTED_VALUE"""),14332617)</f>
        <v>14332617</v>
      </c>
    </row>
    <row r="410" spans="1:6" x14ac:dyDescent="0.35">
      <c r="A410" s="2">
        <f ca="1">IFERROR(__xludf.DUMMYFUNCTION("""COMPUTED_VALUE"""),42598.6666666666)</f>
        <v>42598.666666666599</v>
      </c>
      <c r="B410" s="1">
        <f ca="1">IFERROR(__xludf.DUMMYFUNCTION("""COMPUTED_VALUE"""),1.57)</f>
        <v>1.57</v>
      </c>
      <c r="C410" s="1">
        <f ca="1">IFERROR(__xludf.DUMMYFUNCTION("""COMPUTED_VALUE"""),1.57)</f>
        <v>1.57</v>
      </c>
      <c r="D410" s="1">
        <f ca="1">IFERROR(__xludf.DUMMYFUNCTION("""COMPUTED_VALUE"""),1.56)</f>
        <v>1.56</v>
      </c>
      <c r="E410" s="1">
        <f ca="1">IFERROR(__xludf.DUMMYFUNCTION("""COMPUTED_VALUE"""),1.57)</f>
        <v>1.57</v>
      </c>
      <c r="F410" s="1">
        <f ca="1">IFERROR(__xludf.DUMMYFUNCTION("""COMPUTED_VALUE"""),7191345)</f>
        <v>7191345</v>
      </c>
    </row>
    <row r="411" spans="1:6" x14ac:dyDescent="0.35">
      <c r="A411" s="2">
        <f ca="1">IFERROR(__xludf.DUMMYFUNCTION("""COMPUTED_VALUE"""),42599.6666666666)</f>
        <v>42599.666666666599</v>
      </c>
      <c r="B411" s="1">
        <f ca="1">IFERROR(__xludf.DUMMYFUNCTION("""COMPUTED_VALUE"""),1.57)</f>
        <v>1.57</v>
      </c>
      <c r="C411" s="1">
        <f ca="1">IFERROR(__xludf.DUMMYFUNCTION("""COMPUTED_VALUE"""),1.57)</f>
        <v>1.57</v>
      </c>
      <c r="D411" s="1">
        <f ca="1">IFERROR(__xludf.DUMMYFUNCTION("""COMPUTED_VALUE"""),1.52)</f>
        <v>1.52</v>
      </c>
      <c r="E411" s="1">
        <f ca="1">IFERROR(__xludf.DUMMYFUNCTION("""COMPUTED_VALUE"""),1.53)</f>
        <v>1.53</v>
      </c>
      <c r="F411" s="1">
        <f ca="1">IFERROR(__xludf.DUMMYFUNCTION("""COMPUTED_VALUE"""),14880304)</f>
        <v>14880304</v>
      </c>
    </row>
    <row r="412" spans="1:6" x14ac:dyDescent="0.35">
      <c r="A412" s="2">
        <f ca="1">IFERROR(__xludf.DUMMYFUNCTION("""COMPUTED_VALUE"""),42600.6666666666)</f>
        <v>42600.666666666599</v>
      </c>
      <c r="B412" s="1">
        <f ca="1">IFERROR(__xludf.DUMMYFUNCTION("""COMPUTED_VALUE"""),1.53)</f>
        <v>1.53</v>
      </c>
      <c r="C412" s="1">
        <f ca="1">IFERROR(__xludf.DUMMYFUNCTION("""COMPUTED_VALUE"""),1.56)</f>
        <v>1.56</v>
      </c>
      <c r="D412" s="1">
        <f ca="1">IFERROR(__xludf.DUMMYFUNCTION("""COMPUTED_VALUE"""),1.52)</f>
        <v>1.52</v>
      </c>
      <c r="E412" s="1">
        <f ca="1">IFERROR(__xludf.DUMMYFUNCTION("""COMPUTED_VALUE"""),1.55)</f>
        <v>1.55</v>
      </c>
      <c r="F412" s="1">
        <f ca="1">IFERROR(__xludf.DUMMYFUNCTION("""COMPUTED_VALUE"""),8292095)</f>
        <v>8292095</v>
      </c>
    </row>
    <row r="413" spans="1:6" x14ac:dyDescent="0.35">
      <c r="A413" s="2">
        <f ca="1">IFERROR(__xludf.DUMMYFUNCTION("""COMPUTED_VALUE"""),42601.6666666666)</f>
        <v>42601.666666666599</v>
      </c>
      <c r="B413" s="1">
        <f ca="1">IFERROR(__xludf.DUMMYFUNCTION("""COMPUTED_VALUE"""),1.55)</f>
        <v>1.55</v>
      </c>
      <c r="C413" s="1">
        <f ca="1">IFERROR(__xludf.DUMMYFUNCTION("""COMPUTED_VALUE"""),1.57)</f>
        <v>1.57</v>
      </c>
      <c r="D413" s="1">
        <f ca="1">IFERROR(__xludf.DUMMYFUNCTION("""COMPUTED_VALUE"""),1.55)</f>
        <v>1.55</v>
      </c>
      <c r="E413" s="1">
        <f ca="1">IFERROR(__xludf.DUMMYFUNCTION("""COMPUTED_VALUE"""),1.56)</f>
        <v>1.56</v>
      </c>
      <c r="F413" s="1">
        <f ca="1">IFERROR(__xludf.DUMMYFUNCTION("""COMPUTED_VALUE"""),7288978)</f>
        <v>7288978</v>
      </c>
    </row>
    <row r="414" spans="1:6" x14ac:dyDescent="0.35">
      <c r="A414" s="2">
        <f ca="1">IFERROR(__xludf.DUMMYFUNCTION("""COMPUTED_VALUE"""),42604.6666666666)</f>
        <v>42604.666666666599</v>
      </c>
      <c r="B414" s="1">
        <f ca="1">IFERROR(__xludf.DUMMYFUNCTION("""COMPUTED_VALUE"""),1.56)</f>
        <v>1.56</v>
      </c>
      <c r="C414" s="1">
        <f ca="1">IFERROR(__xludf.DUMMYFUNCTION("""COMPUTED_VALUE"""),1.57)</f>
        <v>1.57</v>
      </c>
      <c r="D414" s="1">
        <f ca="1">IFERROR(__xludf.DUMMYFUNCTION("""COMPUTED_VALUE"""),1.54)</f>
        <v>1.54</v>
      </c>
      <c r="E414" s="1">
        <f ca="1">IFERROR(__xludf.DUMMYFUNCTION("""COMPUTED_VALUE"""),1.56)</f>
        <v>1.56</v>
      </c>
      <c r="F414" s="1">
        <f ca="1">IFERROR(__xludf.DUMMYFUNCTION("""COMPUTED_VALUE"""),6118683)</f>
        <v>6118683</v>
      </c>
    </row>
    <row r="415" spans="1:6" x14ac:dyDescent="0.35">
      <c r="A415" s="2">
        <f ca="1">IFERROR(__xludf.DUMMYFUNCTION("""COMPUTED_VALUE"""),42605.6666666666)</f>
        <v>42605.666666666599</v>
      </c>
      <c r="B415" s="1">
        <f ca="1">IFERROR(__xludf.DUMMYFUNCTION("""COMPUTED_VALUE"""),1.58)</f>
        <v>1.58</v>
      </c>
      <c r="C415" s="1">
        <f ca="1">IFERROR(__xludf.DUMMYFUNCTION("""COMPUTED_VALUE"""),1.58)</f>
        <v>1.58</v>
      </c>
      <c r="D415" s="1">
        <f ca="1">IFERROR(__xludf.DUMMYFUNCTION("""COMPUTED_VALUE"""),1.57)</f>
        <v>1.57</v>
      </c>
      <c r="E415" s="1">
        <f ca="1">IFERROR(__xludf.DUMMYFUNCTION("""COMPUTED_VALUE"""),1.57)</f>
        <v>1.57</v>
      </c>
      <c r="F415" s="1">
        <f ca="1">IFERROR(__xludf.DUMMYFUNCTION("""COMPUTED_VALUE"""),8494058)</f>
        <v>8494058</v>
      </c>
    </row>
    <row r="416" spans="1:6" x14ac:dyDescent="0.35">
      <c r="A416" s="2">
        <f ca="1">IFERROR(__xludf.DUMMYFUNCTION("""COMPUTED_VALUE"""),42606.6666666666)</f>
        <v>42606.666666666599</v>
      </c>
      <c r="B416" s="1">
        <f ca="1">IFERROR(__xludf.DUMMYFUNCTION("""COMPUTED_VALUE"""),1.58)</f>
        <v>1.58</v>
      </c>
      <c r="C416" s="1">
        <f ca="1">IFERROR(__xludf.DUMMYFUNCTION("""COMPUTED_VALUE"""),1.58)</f>
        <v>1.58</v>
      </c>
      <c r="D416" s="1">
        <f ca="1">IFERROR(__xludf.DUMMYFUNCTION("""COMPUTED_VALUE"""),1.54)</f>
        <v>1.54</v>
      </c>
      <c r="E416" s="1">
        <f ca="1">IFERROR(__xludf.DUMMYFUNCTION("""COMPUTED_VALUE"""),1.55)</f>
        <v>1.55</v>
      </c>
      <c r="F416" s="1">
        <f ca="1">IFERROR(__xludf.DUMMYFUNCTION("""COMPUTED_VALUE"""),7461244)</f>
        <v>7461244</v>
      </c>
    </row>
    <row r="417" spans="1:6" x14ac:dyDescent="0.35">
      <c r="A417" s="2">
        <f ca="1">IFERROR(__xludf.DUMMYFUNCTION("""COMPUTED_VALUE"""),42607.6666666666)</f>
        <v>42607.666666666599</v>
      </c>
      <c r="B417" s="1">
        <f ca="1">IFERROR(__xludf.DUMMYFUNCTION("""COMPUTED_VALUE"""),1.55)</f>
        <v>1.55</v>
      </c>
      <c r="C417" s="1">
        <f ca="1">IFERROR(__xludf.DUMMYFUNCTION("""COMPUTED_VALUE"""),1.55)</f>
        <v>1.55</v>
      </c>
      <c r="D417" s="1">
        <f ca="1">IFERROR(__xludf.DUMMYFUNCTION("""COMPUTED_VALUE"""),1.52)</f>
        <v>1.52</v>
      </c>
      <c r="E417" s="1">
        <f ca="1">IFERROR(__xludf.DUMMYFUNCTION("""COMPUTED_VALUE"""),1.54)</f>
        <v>1.54</v>
      </c>
      <c r="F417" s="1">
        <f ca="1">IFERROR(__xludf.DUMMYFUNCTION("""COMPUTED_VALUE"""),10150783)</f>
        <v>10150783</v>
      </c>
    </row>
    <row r="418" spans="1:6" x14ac:dyDescent="0.35">
      <c r="A418" s="2">
        <f ca="1">IFERROR(__xludf.DUMMYFUNCTION("""COMPUTED_VALUE"""),42608.6666666666)</f>
        <v>42608.666666666599</v>
      </c>
      <c r="B418" s="1">
        <f ca="1">IFERROR(__xludf.DUMMYFUNCTION("""COMPUTED_VALUE"""),1.54)</f>
        <v>1.54</v>
      </c>
      <c r="C418" s="1">
        <f ca="1">IFERROR(__xludf.DUMMYFUNCTION("""COMPUTED_VALUE"""),1.56)</f>
        <v>1.56</v>
      </c>
      <c r="D418" s="1">
        <f ca="1">IFERROR(__xludf.DUMMYFUNCTION("""COMPUTED_VALUE"""),1.53)</f>
        <v>1.53</v>
      </c>
      <c r="E418" s="1">
        <f ca="1">IFERROR(__xludf.DUMMYFUNCTION("""COMPUTED_VALUE"""),1.55)</f>
        <v>1.55</v>
      </c>
      <c r="F418" s="1">
        <f ca="1">IFERROR(__xludf.DUMMYFUNCTION("""COMPUTED_VALUE"""),7500624)</f>
        <v>7500624</v>
      </c>
    </row>
    <row r="419" spans="1:6" x14ac:dyDescent="0.35">
      <c r="A419" s="2">
        <f ca="1">IFERROR(__xludf.DUMMYFUNCTION("""COMPUTED_VALUE"""),42611.6666666666)</f>
        <v>42611.666666666599</v>
      </c>
      <c r="B419" s="1">
        <f ca="1">IFERROR(__xludf.DUMMYFUNCTION("""COMPUTED_VALUE"""),1.56)</f>
        <v>1.56</v>
      </c>
      <c r="C419" s="1">
        <f ca="1">IFERROR(__xludf.DUMMYFUNCTION("""COMPUTED_VALUE"""),1.56)</f>
        <v>1.56</v>
      </c>
      <c r="D419" s="1">
        <f ca="1">IFERROR(__xludf.DUMMYFUNCTION("""COMPUTED_VALUE"""),1.55)</f>
        <v>1.55</v>
      </c>
      <c r="E419" s="1">
        <f ca="1">IFERROR(__xludf.DUMMYFUNCTION("""COMPUTED_VALUE"""),1.55)</f>
        <v>1.55</v>
      </c>
      <c r="F419" s="1">
        <f ca="1">IFERROR(__xludf.DUMMYFUNCTION("""COMPUTED_VALUE"""),6866279)</f>
        <v>6866279</v>
      </c>
    </row>
    <row r="420" spans="1:6" x14ac:dyDescent="0.35">
      <c r="A420" s="2">
        <f ca="1">IFERROR(__xludf.DUMMYFUNCTION("""COMPUTED_VALUE"""),42612.6666666666)</f>
        <v>42612.666666666599</v>
      </c>
      <c r="B420" s="1">
        <f ca="1">IFERROR(__xludf.DUMMYFUNCTION("""COMPUTED_VALUE"""),1.55)</f>
        <v>1.55</v>
      </c>
      <c r="C420" s="1">
        <f ca="1">IFERROR(__xludf.DUMMYFUNCTION("""COMPUTED_VALUE"""),1.56)</f>
        <v>1.56</v>
      </c>
      <c r="D420" s="1">
        <f ca="1">IFERROR(__xludf.DUMMYFUNCTION("""COMPUTED_VALUE"""),1.54)</f>
        <v>1.54</v>
      </c>
      <c r="E420" s="1">
        <f ca="1">IFERROR(__xludf.DUMMYFUNCTION("""COMPUTED_VALUE"""),1.54)</f>
        <v>1.54</v>
      </c>
      <c r="F420" s="1">
        <f ca="1">IFERROR(__xludf.DUMMYFUNCTION("""COMPUTED_VALUE"""),7138622)</f>
        <v>7138622</v>
      </c>
    </row>
    <row r="421" spans="1:6" x14ac:dyDescent="0.35">
      <c r="A421" s="2">
        <f ca="1">IFERROR(__xludf.DUMMYFUNCTION("""COMPUTED_VALUE"""),42613.6666666666)</f>
        <v>42613.666666666599</v>
      </c>
      <c r="B421" s="1">
        <f ca="1">IFERROR(__xludf.DUMMYFUNCTION("""COMPUTED_VALUE"""),1.54)</f>
        <v>1.54</v>
      </c>
      <c r="C421" s="1">
        <f ca="1">IFERROR(__xludf.DUMMYFUNCTION("""COMPUTED_VALUE"""),1.55)</f>
        <v>1.55</v>
      </c>
      <c r="D421" s="1">
        <f ca="1">IFERROR(__xludf.DUMMYFUNCTION("""COMPUTED_VALUE"""),1.53)</f>
        <v>1.53</v>
      </c>
      <c r="E421" s="1">
        <f ca="1">IFERROR(__xludf.DUMMYFUNCTION("""COMPUTED_VALUE"""),1.53)</f>
        <v>1.53</v>
      </c>
      <c r="F421" s="1">
        <f ca="1">IFERROR(__xludf.DUMMYFUNCTION("""COMPUTED_VALUE"""),9713642)</f>
        <v>9713642</v>
      </c>
    </row>
    <row r="422" spans="1:6" x14ac:dyDescent="0.35">
      <c r="A422" s="2">
        <f ca="1">IFERROR(__xludf.DUMMYFUNCTION("""COMPUTED_VALUE"""),42614.6666666666)</f>
        <v>42614.666666666599</v>
      </c>
      <c r="B422" s="1">
        <f ca="1">IFERROR(__xludf.DUMMYFUNCTION("""COMPUTED_VALUE"""),1.53)</f>
        <v>1.53</v>
      </c>
      <c r="C422" s="1">
        <f ca="1">IFERROR(__xludf.DUMMYFUNCTION("""COMPUTED_VALUE"""),1.58)</f>
        <v>1.58</v>
      </c>
      <c r="D422" s="1">
        <f ca="1">IFERROR(__xludf.DUMMYFUNCTION("""COMPUTED_VALUE"""),1.53)</f>
        <v>1.53</v>
      </c>
      <c r="E422" s="1">
        <f ca="1">IFERROR(__xludf.DUMMYFUNCTION("""COMPUTED_VALUE"""),1.58)</f>
        <v>1.58</v>
      </c>
      <c r="F422" s="1">
        <f ca="1">IFERROR(__xludf.DUMMYFUNCTION("""COMPUTED_VALUE"""),10712305)</f>
        <v>10712305</v>
      </c>
    </row>
    <row r="423" spans="1:6" x14ac:dyDescent="0.35">
      <c r="A423" s="2">
        <f ca="1">IFERROR(__xludf.DUMMYFUNCTION("""COMPUTED_VALUE"""),42615.6666666666)</f>
        <v>42615.666666666599</v>
      </c>
      <c r="B423" s="1">
        <f ca="1">IFERROR(__xludf.DUMMYFUNCTION("""COMPUTED_VALUE"""),1.58)</f>
        <v>1.58</v>
      </c>
      <c r="C423" s="1">
        <f ca="1">IFERROR(__xludf.DUMMYFUNCTION("""COMPUTED_VALUE"""),1.58)</f>
        <v>1.58</v>
      </c>
      <c r="D423" s="1">
        <f ca="1">IFERROR(__xludf.DUMMYFUNCTION("""COMPUTED_VALUE"""),1.55)</f>
        <v>1.55</v>
      </c>
      <c r="E423" s="1">
        <f ca="1">IFERROR(__xludf.DUMMYFUNCTION("""COMPUTED_VALUE"""),1.56)</f>
        <v>1.56</v>
      </c>
      <c r="F423" s="1">
        <f ca="1">IFERROR(__xludf.DUMMYFUNCTION("""COMPUTED_VALUE"""),8078742)</f>
        <v>8078742</v>
      </c>
    </row>
    <row r="424" spans="1:6" x14ac:dyDescent="0.35">
      <c r="A424" s="2">
        <f ca="1">IFERROR(__xludf.DUMMYFUNCTION("""COMPUTED_VALUE"""),42619.6666666666)</f>
        <v>42619.666666666599</v>
      </c>
      <c r="B424" s="1">
        <f ca="1">IFERROR(__xludf.DUMMYFUNCTION("""COMPUTED_VALUE"""),1.57)</f>
        <v>1.57</v>
      </c>
      <c r="C424" s="1">
        <f ca="1">IFERROR(__xludf.DUMMYFUNCTION("""COMPUTED_VALUE"""),1.58)</f>
        <v>1.58</v>
      </c>
      <c r="D424" s="1">
        <f ca="1">IFERROR(__xludf.DUMMYFUNCTION("""COMPUTED_VALUE"""),1.56)</f>
        <v>1.56</v>
      </c>
      <c r="E424" s="1">
        <f ca="1">IFERROR(__xludf.DUMMYFUNCTION("""COMPUTED_VALUE"""),1.58)</f>
        <v>1.58</v>
      </c>
      <c r="F424" s="1">
        <f ca="1">IFERROR(__xludf.DUMMYFUNCTION("""COMPUTED_VALUE"""),7670320)</f>
        <v>7670320</v>
      </c>
    </row>
    <row r="425" spans="1:6" x14ac:dyDescent="0.35">
      <c r="A425" s="2">
        <f ca="1">IFERROR(__xludf.DUMMYFUNCTION("""COMPUTED_VALUE"""),42620.6666666666)</f>
        <v>42620.666666666599</v>
      </c>
      <c r="B425" s="1">
        <f ca="1">IFERROR(__xludf.DUMMYFUNCTION("""COMPUTED_VALUE"""),1.57)</f>
        <v>1.57</v>
      </c>
      <c r="C425" s="1">
        <f ca="1">IFERROR(__xludf.DUMMYFUNCTION("""COMPUTED_VALUE"""),1.58)</f>
        <v>1.58</v>
      </c>
      <c r="D425" s="1">
        <f ca="1">IFERROR(__xludf.DUMMYFUNCTION("""COMPUTED_VALUE"""),1.55)</f>
        <v>1.55</v>
      </c>
      <c r="E425" s="1">
        <f ca="1">IFERROR(__xludf.DUMMYFUNCTION("""COMPUTED_VALUE"""),1.55)</f>
        <v>1.55</v>
      </c>
      <c r="F425" s="1">
        <f ca="1">IFERROR(__xludf.DUMMYFUNCTION("""COMPUTED_VALUE"""),9949700)</f>
        <v>9949700</v>
      </c>
    </row>
    <row r="426" spans="1:6" x14ac:dyDescent="0.35">
      <c r="A426" s="2">
        <f ca="1">IFERROR(__xludf.DUMMYFUNCTION("""COMPUTED_VALUE"""),42621.6666666666)</f>
        <v>42621.666666666599</v>
      </c>
      <c r="B426" s="1">
        <f ca="1">IFERROR(__xludf.DUMMYFUNCTION("""COMPUTED_VALUE"""),1.55)</f>
        <v>1.55</v>
      </c>
      <c r="C426" s="1">
        <f ca="1">IFERROR(__xludf.DUMMYFUNCTION("""COMPUTED_VALUE"""),1.57)</f>
        <v>1.57</v>
      </c>
      <c r="D426" s="1">
        <f ca="1">IFERROR(__xludf.DUMMYFUNCTION("""COMPUTED_VALUE"""),1.54)</f>
        <v>1.54</v>
      </c>
      <c r="E426" s="1">
        <f ca="1">IFERROR(__xludf.DUMMYFUNCTION("""COMPUTED_VALUE"""),1.57)</f>
        <v>1.57</v>
      </c>
      <c r="F426" s="1">
        <f ca="1">IFERROR(__xludf.DUMMYFUNCTION("""COMPUTED_VALUE"""),7895219)</f>
        <v>7895219</v>
      </c>
    </row>
    <row r="427" spans="1:6" x14ac:dyDescent="0.35">
      <c r="A427" s="2">
        <f ca="1">IFERROR(__xludf.DUMMYFUNCTION("""COMPUTED_VALUE"""),42622.6666666666)</f>
        <v>42622.666666666599</v>
      </c>
      <c r="B427" s="1">
        <f ca="1">IFERROR(__xludf.DUMMYFUNCTION("""COMPUTED_VALUE"""),1.55)</f>
        <v>1.55</v>
      </c>
      <c r="C427" s="1">
        <f ca="1">IFERROR(__xludf.DUMMYFUNCTION("""COMPUTED_VALUE"""),1.56)</f>
        <v>1.56</v>
      </c>
      <c r="D427" s="1">
        <f ca="1">IFERROR(__xludf.DUMMYFUNCTION("""COMPUTED_VALUE"""),1.48)</f>
        <v>1.48</v>
      </c>
      <c r="E427" s="1">
        <f ca="1">IFERROR(__xludf.DUMMYFUNCTION("""COMPUTED_VALUE"""),1.49)</f>
        <v>1.49</v>
      </c>
      <c r="F427" s="1">
        <f ca="1">IFERROR(__xludf.DUMMYFUNCTION("""COMPUTED_VALUE"""),17443966)</f>
        <v>17443966</v>
      </c>
    </row>
    <row r="428" spans="1:6" x14ac:dyDescent="0.35">
      <c r="A428" s="2">
        <f ca="1">IFERROR(__xludf.DUMMYFUNCTION("""COMPUTED_VALUE"""),42625.6666666666)</f>
        <v>42625.666666666599</v>
      </c>
      <c r="B428" s="1">
        <f ca="1">IFERROR(__xludf.DUMMYFUNCTION("""COMPUTED_VALUE"""),1.47)</f>
        <v>1.47</v>
      </c>
      <c r="C428" s="1">
        <f ca="1">IFERROR(__xludf.DUMMYFUNCTION("""COMPUTED_VALUE"""),1.52)</f>
        <v>1.52</v>
      </c>
      <c r="D428" s="1">
        <f ca="1">IFERROR(__xludf.DUMMYFUNCTION("""COMPUTED_VALUE"""),1.43)</f>
        <v>1.43</v>
      </c>
      <c r="E428" s="1">
        <f ca="1">IFERROR(__xludf.DUMMYFUNCTION("""COMPUTED_VALUE"""),1.52)</f>
        <v>1.52</v>
      </c>
      <c r="F428" s="1">
        <f ca="1">IFERROR(__xludf.DUMMYFUNCTION("""COMPUTED_VALUE"""),14956524)</f>
        <v>14956524</v>
      </c>
    </row>
    <row r="429" spans="1:6" x14ac:dyDescent="0.35">
      <c r="A429" s="2">
        <f ca="1">IFERROR(__xludf.DUMMYFUNCTION("""COMPUTED_VALUE"""),42626.6666666666)</f>
        <v>42626.666666666599</v>
      </c>
      <c r="B429" s="1">
        <f ca="1">IFERROR(__xludf.DUMMYFUNCTION("""COMPUTED_VALUE"""),1.52)</f>
        <v>1.52</v>
      </c>
      <c r="C429" s="1">
        <f ca="1">IFERROR(__xludf.DUMMYFUNCTION("""COMPUTED_VALUE"""),1.53)</f>
        <v>1.53</v>
      </c>
      <c r="D429" s="1">
        <f ca="1">IFERROR(__xludf.DUMMYFUNCTION("""COMPUTED_VALUE"""),1.49)</f>
        <v>1.49</v>
      </c>
      <c r="E429" s="1">
        <f ca="1">IFERROR(__xludf.DUMMYFUNCTION("""COMPUTED_VALUE"""),1.5)</f>
        <v>1.5</v>
      </c>
      <c r="F429" s="1">
        <f ca="1">IFERROR(__xludf.DUMMYFUNCTION("""COMPUTED_VALUE"""),11794183)</f>
        <v>11794183</v>
      </c>
    </row>
    <row r="430" spans="1:6" x14ac:dyDescent="0.35">
      <c r="A430" s="2">
        <f ca="1">IFERROR(__xludf.DUMMYFUNCTION("""COMPUTED_VALUE"""),42627.6666666666)</f>
        <v>42627.666666666599</v>
      </c>
      <c r="B430" s="1">
        <f ca="1">IFERROR(__xludf.DUMMYFUNCTION("""COMPUTED_VALUE"""),1.5)</f>
        <v>1.5</v>
      </c>
      <c r="C430" s="1">
        <f ca="1">IFERROR(__xludf.DUMMYFUNCTION("""COMPUTED_VALUE"""),1.52)</f>
        <v>1.52</v>
      </c>
      <c r="D430" s="1">
        <f ca="1">IFERROR(__xludf.DUMMYFUNCTION("""COMPUTED_VALUE"""),1.49)</f>
        <v>1.49</v>
      </c>
      <c r="E430" s="1">
        <f ca="1">IFERROR(__xludf.DUMMYFUNCTION("""COMPUTED_VALUE"""),1.51)</f>
        <v>1.51</v>
      </c>
      <c r="F430" s="1">
        <f ca="1">IFERROR(__xludf.DUMMYFUNCTION("""COMPUTED_VALUE"""),7984326)</f>
        <v>7984326</v>
      </c>
    </row>
    <row r="431" spans="1:6" x14ac:dyDescent="0.35">
      <c r="A431" s="2">
        <f ca="1">IFERROR(__xludf.DUMMYFUNCTION("""COMPUTED_VALUE"""),42628.6666666666)</f>
        <v>42628.666666666599</v>
      </c>
      <c r="B431" s="1">
        <f ca="1">IFERROR(__xludf.DUMMYFUNCTION("""COMPUTED_VALUE"""),1.51)</f>
        <v>1.51</v>
      </c>
      <c r="C431" s="1">
        <f ca="1">IFERROR(__xludf.DUMMYFUNCTION("""COMPUTED_VALUE"""),1.57)</f>
        <v>1.57</v>
      </c>
      <c r="D431" s="1">
        <f ca="1">IFERROR(__xludf.DUMMYFUNCTION("""COMPUTED_VALUE"""),1.51)</f>
        <v>1.51</v>
      </c>
      <c r="E431" s="1">
        <f ca="1">IFERROR(__xludf.DUMMYFUNCTION("""COMPUTED_VALUE"""),1.57)</f>
        <v>1.57</v>
      </c>
      <c r="F431" s="1">
        <f ca="1">IFERROR(__xludf.DUMMYFUNCTION("""COMPUTED_VALUE"""),12884799)</f>
        <v>12884799</v>
      </c>
    </row>
    <row r="432" spans="1:6" x14ac:dyDescent="0.35">
      <c r="A432" s="2">
        <f ca="1">IFERROR(__xludf.DUMMYFUNCTION("""COMPUTED_VALUE"""),42629.6666666666)</f>
        <v>42629.666666666599</v>
      </c>
      <c r="B432" s="1">
        <f ca="1">IFERROR(__xludf.DUMMYFUNCTION("""COMPUTED_VALUE"""),1.57)</f>
        <v>1.57</v>
      </c>
      <c r="C432" s="1">
        <f ca="1">IFERROR(__xludf.DUMMYFUNCTION("""COMPUTED_VALUE"""),1.58)</f>
        <v>1.58</v>
      </c>
      <c r="D432" s="1">
        <f ca="1">IFERROR(__xludf.DUMMYFUNCTION("""COMPUTED_VALUE"""),1.55)</f>
        <v>1.55</v>
      </c>
      <c r="E432" s="1">
        <f ca="1">IFERROR(__xludf.DUMMYFUNCTION("""COMPUTED_VALUE"""),1.57)</f>
        <v>1.57</v>
      </c>
      <c r="F432" s="1">
        <f ca="1">IFERROR(__xludf.DUMMYFUNCTION("""COMPUTED_VALUE"""),22561149)</f>
        <v>22561149</v>
      </c>
    </row>
    <row r="433" spans="1:6" x14ac:dyDescent="0.35">
      <c r="A433" s="2">
        <f ca="1">IFERROR(__xludf.DUMMYFUNCTION("""COMPUTED_VALUE"""),42632.6666666666)</f>
        <v>42632.666666666599</v>
      </c>
      <c r="B433" s="1">
        <f ca="1">IFERROR(__xludf.DUMMYFUNCTION("""COMPUTED_VALUE"""),1.59)</f>
        <v>1.59</v>
      </c>
      <c r="C433" s="1">
        <f ca="1">IFERROR(__xludf.DUMMYFUNCTION("""COMPUTED_VALUE"""),1.63)</f>
        <v>1.63</v>
      </c>
      <c r="D433" s="1">
        <f ca="1">IFERROR(__xludf.DUMMYFUNCTION("""COMPUTED_VALUE"""),1.58)</f>
        <v>1.58</v>
      </c>
      <c r="E433" s="1">
        <f ca="1">IFERROR(__xludf.DUMMYFUNCTION("""COMPUTED_VALUE"""),1.59)</f>
        <v>1.59</v>
      </c>
      <c r="F433" s="1">
        <f ca="1">IFERROR(__xludf.DUMMYFUNCTION("""COMPUTED_VALUE"""),10428207)</f>
        <v>10428207</v>
      </c>
    </row>
    <row r="434" spans="1:6" x14ac:dyDescent="0.35">
      <c r="A434" s="2">
        <f ca="1">IFERROR(__xludf.DUMMYFUNCTION("""COMPUTED_VALUE"""),42633.6666666666)</f>
        <v>42633.666666666599</v>
      </c>
      <c r="B434" s="1">
        <f ca="1">IFERROR(__xludf.DUMMYFUNCTION("""COMPUTED_VALUE"""),1.61)</f>
        <v>1.61</v>
      </c>
      <c r="C434" s="1">
        <f ca="1">IFERROR(__xludf.DUMMYFUNCTION("""COMPUTED_VALUE"""),1.61)</f>
        <v>1.61</v>
      </c>
      <c r="D434" s="1">
        <f ca="1">IFERROR(__xludf.DUMMYFUNCTION("""COMPUTED_VALUE"""),1.57)</f>
        <v>1.57</v>
      </c>
      <c r="E434" s="1">
        <f ca="1">IFERROR(__xludf.DUMMYFUNCTION("""COMPUTED_VALUE"""),1.58)</f>
        <v>1.58</v>
      </c>
      <c r="F434" s="1">
        <f ca="1">IFERROR(__xludf.DUMMYFUNCTION("""COMPUTED_VALUE"""),8277832)</f>
        <v>8277832</v>
      </c>
    </row>
    <row r="435" spans="1:6" x14ac:dyDescent="0.35">
      <c r="A435" s="2">
        <f ca="1">IFERROR(__xludf.DUMMYFUNCTION("""COMPUTED_VALUE"""),42634.6666666666)</f>
        <v>42634.666666666599</v>
      </c>
      <c r="B435" s="1">
        <f ca="1">IFERROR(__xludf.DUMMYFUNCTION("""COMPUTED_VALUE"""),1.58)</f>
        <v>1.58</v>
      </c>
      <c r="C435" s="1">
        <f ca="1">IFERROR(__xludf.DUMMYFUNCTION("""COMPUTED_VALUE"""),1.62)</f>
        <v>1.62</v>
      </c>
      <c r="D435" s="1">
        <f ca="1">IFERROR(__xludf.DUMMYFUNCTION("""COMPUTED_VALUE"""),1.58)</f>
        <v>1.58</v>
      </c>
      <c r="E435" s="1">
        <f ca="1">IFERROR(__xludf.DUMMYFUNCTION("""COMPUTED_VALUE"""),1.62)</f>
        <v>1.62</v>
      </c>
      <c r="F435" s="1">
        <f ca="1">IFERROR(__xludf.DUMMYFUNCTION("""COMPUTED_VALUE"""),8405337)</f>
        <v>8405337</v>
      </c>
    </row>
    <row r="436" spans="1:6" x14ac:dyDescent="0.35">
      <c r="A436" s="2">
        <f ca="1">IFERROR(__xludf.DUMMYFUNCTION("""COMPUTED_VALUE"""),42635.6666666666)</f>
        <v>42635.666666666599</v>
      </c>
      <c r="B436" s="1">
        <f ca="1">IFERROR(__xludf.DUMMYFUNCTION("""COMPUTED_VALUE"""),1.63)</f>
        <v>1.63</v>
      </c>
      <c r="C436" s="1">
        <f ca="1">IFERROR(__xludf.DUMMYFUNCTION("""COMPUTED_VALUE"""),1.64)</f>
        <v>1.64</v>
      </c>
      <c r="D436" s="1">
        <f ca="1">IFERROR(__xludf.DUMMYFUNCTION("""COMPUTED_VALUE"""),1.62)</f>
        <v>1.62</v>
      </c>
      <c r="E436" s="1">
        <f ca="1">IFERROR(__xludf.DUMMYFUNCTION("""COMPUTED_VALUE"""),1.63)</f>
        <v>1.63</v>
      </c>
      <c r="F436" s="1">
        <f ca="1">IFERROR(__xludf.DUMMYFUNCTION("""COMPUTED_VALUE"""),7718287)</f>
        <v>7718287</v>
      </c>
    </row>
    <row r="437" spans="1:6" x14ac:dyDescent="0.35">
      <c r="A437" s="2">
        <f ca="1">IFERROR(__xludf.DUMMYFUNCTION("""COMPUTED_VALUE"""),42636.6666666666)</f>
        <v>42636.666666666599</v>
      </c>
      <c r="B437" s="1">
        <f ca="1">IFERROR(__xludf.DUMMYFUNCTION("""COMPUTED_VALUE"""),1.63)</f>
        <v>1.63</v>
      </c>
      <c r="C437" s="1">
        <f ca="1">IFERROR(__xludf.DUMMYFUNCTION("""COMPUTED_VALUE"""),1.63)</f>
        <v>1.63</v>
      </c>
      <c r="D437" s="1">
        <f ca="1">IFERROR(__xludf.DUMMYFUNCTION("""COMPUTED_VALUE"""),1.62)</f>
        <v>1.62</v>
      </c>
      <c r="E437" s="1">
        <f ca="1">IFERROR(__xludf.DUMMYFUNCTION("""COMPUTED_VALUE"""),1.62)</f>
        <v>1.62</v>
      </c>
      <c r="F437" s="1">
        <f ca="1">IFERROR(__xludf.DUMMYFUNCTION("""COMPUTED_VALUE"""),6903344)</f>
        <v>6903344</v>
      </c>
    </row>
    <row r="438" spans="1:6" x14ac:dyDescent="0.35">
      <c r="A438" s="2">
        <f ca="1">IFERROR(__xludf.DUMMYFUNCTION("""COMPUTED_VALUE"""),42639.6666666666)</f>
        <v>42639.666666666599</v>
      </c>
      <c r="B438" s="1">
        <f ca="1">IFERROR(__xludf.DUMMYFUNCTION("""COMPUTED_VALUE"""),1.61)</f>
        <v>1.61</v>
      </c>
      <c r="C438" s="1">
        <f ca="1">IFERROR(__xludf.DUMMYFUNCTION("""COMPUTED_VALUE"""),1.62)</f>
        <v>1.62</v>
      </c>
      <c r="D438" s="1">
        <f ca="1">IFERROR(__xludf.DUMMYFUNCTION("""COMPUTED_VALUE"""),1.59)</f>
        <v>1.59</v>
      </c>
      <c r="E438" s="1">
        <f ca="1">IFERROR(__xludf.DUMMYFUNCTION("""COMPUTED_VALUE"""),1.61)</f>
        <v>1.61</v>
      </c>
      <c r="F438" s="1">
        <f ca="1">IFERROR(__xludf.DUMMYFUNCTION("""COMPUTED_VALUE"""),5751035)</f>
        <v>5751035</v>
      </c>
    </row>
    <row r="439" spans="1:6" x14ac:dyDescent="0.35">
      <c r="A439" s="2">
        <f ca="1">IFERROR(__xludf.DUMMYFUNCTION("""COMPUTED_VALUE"""),42640.6666666666)</f>
        <v>42640.666666666599</v>
      </c>
      <c r="B439" s="1">
        <f ca="1">IFERROR(__xludf.DUMMYFUNCTION("""COMPUTED_VALUE"""),1.6)</f>
        <v>1.6</v>
      </c>
      <c r="C439" s="1">
        <f ca="1">IFERROR(__xludf.DUMMYFUNCTION("""COMPUTED_VALUE"""),1.67)</f>
        <v>1.67</v>
      </c>
      <c r="D439" s="1">
        <f ca="1">IFERROR(__xludf.DUMMYFUNCTION("""COMPUTED_VALUE"""),1.6)</f>
        <v>1.6</v>
      </c>
      <c r="E439" s="1">
        <f ca="1">IFERROR(__xludf.DUMMYFUNCTION("""COMPUTED_VALUE"""),1.66)</f>
        <v>1.66</v>
      </c>
      <c r="F439" s="1">
        <f ca="1">IFERROR(__xludf.DUMMYFUNCTION("""COMPUTED_VALUE"""),10068769)</f>
        <v>10068769</v>
      </c>
    </row>
    <row r="440" spans="1:6" x14ac:dyDescent="0.35">
      <c r="A440" s="2">
        <f ca="1">IFERROR(__xludf.DUMMYFUNCTION("""COMPUTED_VALUE"""),42641.6666666666)</f>
        <v>42641.666666666599</v>
      </c>
      <c r="B440" s="1">
        <f ca="1">IFERROR(__xludf.DUMMYFUNCTION("""COMPUTED_VALUE"""),1.67)</f>
        <v>1.67</v>
      </c>
      <c r="C440" s="1">
        <f ca="1">IFERROR(__xludf.DUMMYFUNCTION("""COMPUTED_VALUE"""),1.67)</f>
        <v>1.67</v>
      </c>
      <c r="D440" s="1">
        <f ca="1">IFERROR(__xludf.DUMMYFUNCTION("""COMPUTED_VALUE"""),1.65)</f>
        <v>1.65</v>
      </c>
      <c r="E440" s="1">
        <f ca="1">IFERROR(__xludf.DUMMYFUNCTION("""COMPUTED_VALUE"""),1.67)</f>
        <v>1.67</v>
      </c>
      <c r="F440" s="1">
        <f ca="1">IFERROR(__xludf.DUMMYFUNCTION("""COMPUTED_VALUE"""),7994701)</f>
        <v>7994701</v>
      </c>
    </row>
    <row r="441" spans="1:6" x14ac:dyDescent="0.35">
      <c r="A441" s="2">
        <f ca="1">IFERROR(__xludf.DUMMYFUNCTION("""COMPUTED_VALUE"""),42642.6666666666)</f>
        <v>42642.666666666599</v>
      </c>
      <c r="B441" s="1">
        <f ca="1">IFERROR(__xludf.DUMMYFUNCTION("""COMPUTED_VALUE"""),1.67)</f>
        <v>1.67</v>
      </c>
      <c r="C441" s="1">
        <f ca="1">IFERROR(__xludf.DUMMYFUNCTION("""COMPUTED_VALUE"""),1.69)</f>
        <v>1.69</v>
      </c>
      <c r="D441" s="1">
        <f ca="1">IFERROR(__xludf.DUMMYFUNCTION("""COMPUTED_VALUE"""),1.65)</f>
        <v>1.65</v>
      </c>
      <c r="E441" s="1">
        <f ca="1">IFERROR(__xludf.DUMMYFUNCTION("""COMPUTED_VALUE"""),1.69)</f>
        <v>1.69</v>
      </c>
      <c r="F441" s="1">
        <f ca="1">IFERROR(__xludf.DUMMYFUNCTION("""COMPUTED_VALUE"""),8417136)</f>
        <v>8417136</v>
      </c>
    </row>
    <row r="442" spans="1:6" x14ac:dyDescent="0.35">
      <c r="A442" s="2">
        <f ca="1">IFERROR(__xludf.DUMMYFUNCTION("""COMPUTED_VALUE"""),42643.6666666666)</f>
        <v>42643.666666666599</v>
      </c>
      <c r="B442" s="1">
        <f ca="1">IFERROR(__xludf.DUMMYFUNCTION("""COMPUTED_VALUE"""),1.69)</f>
        <v>1.69</v>
      </c>
      <c r="C442" s="1">
        <f ca="1">IFERROR(__xludf.DUMMYFUNCTION("""COMPUTED_VALUE"""),1.73)</f>
        <v>1.73</v>
      </c>
      <c r="D442" s="1">
        <f ca="1">IFERROR(__xludf.DUMMYFUNCTION("""COMPUTED_VALUE"""),1.68)</f>
        <v>1.68</v>
      </c>
      <c r="E442" s="1">
        <f ca="1">IFERROR(__xludf.DUMMYFUNCTION("""COMPUTED_VALUE"""),1.71)</f>
        <v>1.71</v>
      </c>
      <c r="F442" s="1">
        <f ca="1">IFERROR(__xludf.DUMMYFUNCTION("""COMPUTED_VALUE"""),10748304)</f>
        <v>10748304</v>
      </c>
    </row>
    <row r="443" spans="1:6" x14ac:dyDescent="0.35">
      <c r="A443" s="2">
        <f ca="1">IFERROR(__xludf.DUMMYFUNCTION("""COMPUTED_VALUE"""),42646.6666666666)</f>
        <v>42646.666666666599</v>
      </c>
      <c r="B443" s="1">
        <f ca="1">IFERROR(__xludf.DUMMYFUNCTION("""COMPUTED_VALUE"""),1.71)</f>
        <v>1.71</v>
      </c>
      <c r="C443" s="1">
        <f ca="1">IFERROR(__xludf.DUMMYFUNCTION("""COMPUTED_VALUE"""),1.74)</f>
        <v>1.74</v>
      </c>
      <c r="D443" s="1">
        <f ca="1">IFERROR(__xludf.DUMMYFUNCTION("""COMPUTED_VALUE"""),1.71)</f>
        <v>1.71</v>
      </c>
      <c r="E443" s="1">
        <f ca="1">IFERROR(__xludf.DUMMYFUNCTION("""COMPUTED_VALUE"""),1.71)</f>
        <v>1.71</v>
      </c>
      <c r="F443" s="1">
        <f ca="1">IFERROR(__xludf.DUMMYFUNCTION("""COMPUTED_VALUE"""),6064853)</f>
        <v>6064853</v>
      </c>
    </row>
    <row r="444" spans="1:6" x14ac:dyDescent="0.35">
      <c r="A444" s="2">
        <f ca="1">IFERROR(__xludf.DUMMYFUNCTION("""COMPUTED_VALUE"""),42647.6666666666)</f>
        <v>42647.666666666599</v>
      </c>
      <c r="B444" s="1">
        <f ca="1">IFERROR(__xludf.DUMMYFUNCTION("""COMPUTED_VALUE"""),1.71)</f>
        <v>1.71</v>
      </c>
      <c r="C444" s="1">
        <f ca="1">IFERROR(__xludf.DUMMYFUNCTION("""COMPUTED_VALUE"""),1.74)</f>
        <v>1.74</v>
      </c>
      <c r="D444" s="1">
        <f ca="1">IFERROR(__xludf.DUMMYFUNCTION("""COMPUTED_VALUE"""),1.69)</f>
        <v>1.69</v>
      </c>
      <c r="E444" s="1">
        <f ca="1">IFERROR(__xludf.DUMMYFUNCTION("""COMPUTED_VALUE"""),1.71)</f>
        <v>1.71</v>
      </c>
      <c r="F444" s="1">
        <f ca="1">IFERROR(__xludf.DUMMYFUNCTION("""COMPUTED_VALUE"""),7040645)</f>
        <v>7040645</v>
      </c>
    </row>
    <row r="445" spans="1:6" x14ac:dyDescent="0.35">
      <c r="A445" s="2">
        <f ca="1">IFERROR(__xludf.DUMMYFUNCTION("""COMPUTED_VALUE"""),42648.6666666666)</f>
        <v>42648.666666666599</v>
      </c>
      <c r="B445" s="1">
        <f ca="1">IFERROR(__xludf.DUMMYFUNCTION("""COMPUTED_VALUE"""),1.72)</f>
        <v>1.72</v>
      </c>
      <c r="C445" s="1">
        <f ca="1">IFERROR(__xludf.DUMMYFUNCTION("""COMPUTED_VALUE"""),1.74)</f>
        <v>1.74</v>
      </c>
      <c r="D445" s="1">
        <f ca="1">IFERROR(__xludf.DUMMYFUNCTION("""COMPUTED_VALUE"""),1.7)</f>
        <v>1.7</v>
      </c>
      <c r="E445" s="1">
        <f ca="1">IFERROR(__xludf.DUMMYFUNCTION("""COMPUTED_VALUE"""),1.71)</f>
        <v>1.71</v>
      </c>
      <c r="F445" s="1">
        <f ca="1">IFERROR(__xludf.DUMMYFUNCTION("""COMPUTED_VALUE"""),7636009)</f>
        <v>7636009</v>
      </c>
    </row>
    <row r="446" spans="1:6" x14ac:dyDescent="0.35">
      <c r="A446" s="2">
        <f ca="1">IFERROR(__xludf.DUMMYFUNCTION("""COMPUTED_VALUE"""),42649.6666666666)</f>
        <v>42649.666666666599</v>
      </c>
      <c r="B446" s="1">
        <f ca="1">IFERROR(__xludf.DUMMYFUNCTION("""COMPUTED_VALUE"""),1.69)</f>
        <v>1.69</v>
      </c>
      <c r="C446" s="1">
        <f ca="1">IFERROR(__xludf.DUMMYFUNCTION("""COMPUTED_VALUE"""),1.7)</f>
        <v>1.7</v>
      </c>
      <c r="D446" s="1">
        <f ca="1">IFERROR(__xludf.DUMMYFUNCTION("""COMPUTED_VALUE"""),1.66)</f>
        <v>1.66</v>
      </c>
      <c r="E446" s="1">
        <f ca="1">IFERROR(__xludf.DUMMYFUNCTION("""COMPUTED_VALUE"""),1.68)</f>
        <v>1.68</v>
      </c>
      <c r="F446" s="1">
        <f ca="1">IFERROR(__xludf.DUMMYFUNCTION("""COMPUTED_VALUE"""),9005317)</f>
        <v>9005317</v>
      </c>
    </row>
    <row r="447" spans="1:6" x14ac:dyDescent="0.35">
      <c r="A447" s="2">
        <f ca="1">IFERROR(__xludf.DUMMYFUNCTION("""COMPUTED_VALUE"""),42650.6666666666)</f>
        <v>42650.666666666599</v>
      </c>
      <c r="B447" s="1">
        <f ca="1">IFERROR(__xludf.DUMMYFUNCTION("""COMPUTED_VALUE"""),1.69)</f>
        <v>1.69</v>
      </c>
      <c r="C447" s="1">
        <f ca="1">IFERROR(__xludf.DUMMYFUNCTION("""COMPUTED_VALUE"""),1.7)</f>
        <v>1.7</v>
      </c>
      <c r="D447" s="1">
        <f ca="1">IFERROR(__xludf.DUMMYFUNCTION("""COMPUTED_VALUE"""),1.67)</f>
        <v>1.67</v>
      </c>
      <c r="E447" s="1">
        <f ca="1">IFERROR(__xludf.DUMMYFUNCTION("""COMPUTED_VALUE"""),1.67)</f>
        <v>1.67</v>
      </c>
      <c r="F447" s="1">
        <f ca="1">IFERROR(__xludf.DUMMYFUNCTION("""COMPUTED_VALUE"""),7156502)</f>
        <v>7156502</v>
      </c>
    </row>
    <row r="448" spans="1:6" x14ac:dyDescent="0.35">
      <c r="A448" s="2">
        <f ca="1">IFERROR(__xludf.DUMMYFUNCTION("""COMPUTED_VALUE"""),42653.6666666666)</f>
        <v>42653.666666666599</v>
      </c>
      <c r="B448" s="1">
        <f ca="1">IFERROR(__xludf.DUMMYFUNCTION("""COMPUTED_VALUE"""),1.68)</f>
        <v>1.68</v>
      </c>
      <c r="C448" s="1">
        <f ca="1">IFERROR(__xludf.DUMMYFUNCTION("""COMPUTED_VALUE"""),1.69)</f>
        <v>1.69</v>
      </c>
      <c r="D448" s="1">
        <f ca="1">IFERROR(__xludf.DUMMYFUNCTION("""COMPUTED_VALUE"""),1.66)</f>
        <v>1.66</v>
      </c>
      <c r="E448" s="1">
        <f ca="1">IFERROR(__xludf.DUMMYFUNCTION("""COMPUTED_VALUE"""),1.68)</f>
        <v>1.68</v>
      </c>
      <c r="F448" s="1">
        <f ca="1">IFERROR(__xludf.DUMMYFUNCTION("""COMPUTED_VALUE"""),7196868)</f>
        <v>7196868</v>
      </c>
    </row>
    <row r="449" spans="1:6" x14ac:dyDescent="0.35">
      <c r="A449" s="2">
        <f ca="1">IFERROR(__xludf.DUMMYFUNCTION("""COMPUTED_VALUE"""),42654.6666666666)</f>
        <v>42654.666666666599</v>
      </c>
      <c r="B449" s="1">
        <f ca="1">IFERROR(__xludf.DUMMYFUNCTION("""COMPUTED_VALUE"""),1.67)</f>
        <v>1.67</v>
      </c>
      <c r="C449" s="1">
        <f ca="1">IFERROR(__xludf.DUMMYFUNCTION("""COMPUTED_VALUE"""),1.67)</f>
        <v>1.67</v>
      </c>
      <c r="D449" s="1">
        <f ca="1">IFERROR(__xludf.DUMMYFUNCTION("""COMPUTED_VALUE"""),1.64)</f>
        <v>1.64</v>
      </c>
      <c r="E449" s="1">
        <f ca="1">IFERROR(__xludf.DUMMYFUNCTION("""COMPUTED_VALUE"""),1.65)</f>
        <v>1.65</v>
      </c>
      <c r="F449" s="1">
        <f ca="1">IFERROR(__xludf.DUMMYFUNCTION("""COMPUTED_VALUE"""),9713476)</f>
        <v>9713476</v>
      </c>
    </row>
    <row r="450" spans="1:6" x14ac:dyDescent="0.35">
      <c r="A450" s="2">
        <f ca="1">IFERROR(__xludf.DUMMYFUNCTION("""COMPUTED_VALUE"""),42655.6666666666)</f>
        <v>42655.666666666599</v>
      </c>
      <c r="B450" s="1">
        <f ca="1">IFERROR(__xludf.DUMMYFUNCTION("""COMPUTED_VALUE"""),1.65)</f>
        <v>1.65</v>
      </c>
      <c r="C450" s="1">
        <f ca="1">IFERROR(__xludf.DUMMYFUNCTION("""COMPUTED_VALUE"""),1.67)</f>
        <v>1.67</v>
      </c>
      <c r="D450" s="1">
        <f ca="1">IFERROR(__xludf.DUMMYFUNCTION("""COMPUTED_VALUE"""),1.63)</f>
        <v>1.63</v>
      </c>
      <c r="E450" s="1">
        <f ca="1">IFERROR(__xludf.DUMMYFUNCTION("""COMPUTED_VALUE"""),1.66)</f>
        <v>1.66</v>
      </c>
      <c r="F450" s="1">
        <f ca="1">IFERROR(__xludf.DUMMYFUNCTION("""COMPUTED_VALUE"""),10498025)</f>
        <v>10498025</v>
      </c>
    </row>
    <row r="451" spans="1:6" x14ac:dyDescent="0.35">
      <c r="A451" s="2">
        <f ca="1">IFERROR(__xludf.DUMMYFUNCTION("""COMPUTED_VALUE"""),42656.6666666666)</f>
        <v>42656.666666666599</v>
      </c>
      <c r="B451" s="1">
        <f ca="1">IFERROR(__xludf.DUMMYFUNCTION("""COMPUTED_VALUE"""),1.64)</f>
        <v>1.64</v>
      </c>
      <c r="C451" s="1">
        <f ca="1">IFERROR(__xludf.DUMMYFUNCTION("""COMPUTED_VALUE"""),1.65)</f>
        <v>1.65</v>
      </c>
      <c r="D451" s="1">
        <f ca="1">IFERROR(__xludf.DUMMYFUNCTION("""COMPUTED_VALUE"""),1.59)</f>
        <v>1.59</v>
      </c>
      <c r="E451" s="1">
        <f ca="1">IFERROR(__xludf.DUMMYFUNCTION("""COMPUTED_VALUE"""),1.63)</f>
        <v>1.63</v>
      </c>
      <c r="F451" s="1">
        <f ca="1">IFERROR(__xludf.DUMMYFUNCTION("""COMPUTED_VALUE"""),9752910)</f>
        <v>9752910</v>
      </c>
    </row>
    <row r="452" spans="1:6" x14ac:dyDescent="0.35">
      <c r="A452" s="2">
        <f ca="1">IFERROR(__xludf.DUMMYFUNCTION("""COMPUTED_VALUE"""),42657.6666666666)</f>
        <v>42657.666666666599</v>
      </c>
      <c r="B452" s="1">
        <f ca="1">IFERROR(__xludf.DUMMYFUNCTION("""COMPUTED_VALUE"""),1.65)</f>
        <v>1.65</v>
      </c>
      <c r="C452" s="1">
        <f ca="1">IFERROR(__xludf.DUMMYFUNCTION("""COMPUTED_VALUE"""),1.67)</f>
        <v>1.67</v>
      </c>
      <c r="D452" s="1">
        <f ca="1">IFERROR(__xludf.DUMMYFUNCTION("""COMPUTED_VALUE"""),1.64)</f>
        <v>1.64</v>
      </c>
      <c r="E452" s="1">
        <f ca="1">IFERROR(__xludf.DUMMYFUNCTION("""COMPUTED_VALUE"""),1.65)</f>
        <v>1.65</v>
      </c>
      <c r="F452" s="1">
        <f ca="1">IFERROR(__xludf.DUMMYFUNCTION("""COMPUTED_VALUE"""),8265851)</f>
        <v>8265851</v>
      </c>
    </row>
    <row r="453" spans="1:6" x14ac:dyDescent="0.35">
      <c r="A453" s="2">
        <f ca="1">IFERROR(__xludf.DUMMYFUNCTION("""COMPUTED_VALUE"""),42660.6666666666)</f>
        <v>42660.666666666599</v>
      </c>
      <c r="B453" s="1">
        <f ca="1">IFERROR(__xludf.DUMMYFUNCTION("""COMPUTED_VALUE"""),1.65)</f>
        <v>1.65</v>
      </c>
      <c r="C453" s="1">
        <f ca="1">IFERROR(__xludf.DUMMYFUNCTION("""COMPUTED_VALUE"""),1.67)</f>
        <v>1.67</v>
      </c>
      <c r="D453" s="1">
        <f ca="1">IFERROR(__xludf.DUMMYFUNCTION("""COMPUTED_VALUE"""),1.64)</f>
        <v>1.64</v>
      </c>
      <c r="E453" s="1">
        <f ca="1">IFERROR(__xludf.DUMMYFUNCTION("""COMPUTED_VALUE"""),1.64)</f>
        <v>1.64</v>
      </c>
      <c r="F453" s="1">
        <f ca="1">IFERROR(__xludf.DUMMYFUNCTION("""COMPUTED_VALUE"""),4883160)</f>
        <v>4883160</v>
      </c>
    </row>
    <row r="454" spans="1:6" x14ac:dyDescent="0.35">
      <c r="A454" s="2">
        <f ca="1">IFERROR(__xludf.DUMMYFUNCTION("""COMPUTED_VALUE"""),42661.6666666666)</f>
        <v>42661.666666666599</v>
      </c>
      <c r="B454" s="1">
        <f ca="1">IFERROR(__xludf.DUMMYFUNCTION("""COMPUTED_VALUE"""),1.66)</f>
        <v>1.66</v>
      </c>
      <c r="C454" s="1">
        <f ca="1">IFERROR(__xludf.DUMMYFUNCTION("""COMPUTED_VALUE"""),1.67)</f>
        <v>1.67</v>
      </c>
      <c r="D454" s="1">
        <f ca="1">IFERROR(__xludf.DUMMYFUNCTION("""COMPUTED_VALUE"""),1.66)</f>
        <v>1.66</v>
      </c>
      <c r="E454" s="1">
        <f ca="1">IFERROR(__xludf.DUMMYFUNCTION("""COMPUTED_VALUE"""),1.67)</f>
        <v>1.67</v>
      </c>
      <c r="F454" s="1">
        <f ca="1">IFERROR(__xludf.DUMMYFUNCTION("""COMPUTED_VALUE"""),6734274)</f>
        <v>6734274</v>
      </c>
    </row>
    <row r="455" spans="1:6" x14ac:dyDescent="0.35">
      <c r="A455" s="2">
        <f ca="1">IFERROR(__xludf.DUMMYFUNCTION("""COMPUTED_VALUE"""),42662.6666666666)</f>
        <v>42662.666666666599</v>
      </c>
      <c r="B455" s="1">
        <f ca="1">IFERROR(__xludf.DUMMYFUNCTION("""COMPUTED_VALUE"""),1.65)</f>
        <v>1.65</v>
      </c>
      <c r="C455" s="1">
        <f ca="1">IFERROR(__xludf.DUMMYFUNCTION("""COMPUTED_VALUE"""),1.67)</f>
        <v>1.67</v>
      </c>
      <c r="D455" s="1">
        <f ca="1">IFERROR(__xludf.DUMMYFUNCTION("""COMPUTED_VALUE"""),1.65)</f>
        <v>1.65</v>
      </c>
      <c r="E455" s="1">
        <f ca="1">IFERROR(__xludf.DUMMYFUNCTION("""COMPUTED_VALUE"""),1.66)</f>
        <v>1.66</v>
      </c>
      <c r="F455" s="1">
        <f ca="1">IFERROR(__xludf.DUMMYFUNCTION("""COMPUTED_VALUE"""),4976462)</f>
        <v>4976462</v>
      </c>
    </row>
    <row r="456" spans="1:6" x14ac:dyDescent="0.35">
      <c r="A456" s="2">
        <f ca="1">IFERROR(__xludf.DUMMYFUNCTION("""COMPUTED_VALUE"""),42663.6666666666)</f>
        <v>42663.666666666599</v>
      </c>
      <c r="B456" s="1">
        <f ca="1">IFERROR(__xludf.DUMMYFUNCTION("""COMPUTED_VALUE"""),1.68)</f>
        <v>1.68</v>
      </c>
      <c r="C456" s="1">
        <f ca="1">IFERROR(__xludf.DUMMYFUNCTION("""COMPUTED_VALUE"""),1.7)</f>
        <v>1.7</v>
      </c>
      <c r="D456" s="1">
        <f ca="1">IFERROR(__xludf.DUMMYFUNCTION("""COMPUTED_VALUE"""),1.66)</f>
        <v>1.66</v>
      </c>
      <c r="E456" s="1">
        <f ca="1">IFERROR(__xludf.DUMMYFUNCTION("""COMPUTED_VALUE"""),1.69)</f>
        <v>1.69</v>
      </c>
      <c r="F456" s="1">
        <f ca="1">IFERROR(__xludf.DUMMYFUNCTION("""COMPUTED_VALUE"""),7802072)</f>
        <v>7802072</v>
      </c>
    </row>
    <row r="457" spans="1:6" x14ac:dyDescent="0.35">
      <c r="A457" s="2">
        <f ca="1">IFERROR(__xludf.DUMMYFUNCTION("""COMPUTED_VALUE"""),42664.6666666666)</f>
        <v>42664.666666666599</v>
      </c>
      <c r="B457" s="1">
        <f ca="1">IFERROR(__xludf.DUMMYFUNCTION("""COMPUTED_VALUE"""),1.69)</f>
        <v>1.69</v>
      </c>
      <c r="C457" s="1">
        <f ca="1">IFERROR(__xludf.DUMMYFUNCTION("""COMPUTED_VALUE"""),1.69)</f>
        <v>1.69</v>
      </c>
      <c r="D457" s="1">
        <f ca="1">IFERROR(__xludf.DUMMYFUNCTION("""COMPUTED_VALUE"""),1.67)</f>
        <v>1.67</v>
      </c>
      <c r="E457" s="1">
        <f ca="1">IFERROR(__xludf.DUMMYFUNCTION("""COMPUTED_VALUE"""),1.69)</f>
        <v>1.69</v>
      </c>
      <c r="F457" s="1">
        <f ca="1">IFERROR(__xludf.DUMMYFUNCTION("""COMPUTED_VALUE"""),6987654)</f>
        <v>6987654</v>
      </c>
    </row>
    <row r="458" spans="1:6" x14ac:dyDescent="0.35">
      <c r="A458" s="2">
        <f ca="1">IFERROR(__xludf.DUMMYFUNCTION("""COMPUTED_VALUE"""),42667.6666666666)</f>
        <v>42667.666666666599</v>
      </c>
      <c r="B458" s="1">
        <f ca="1">IFERROR(__xludf.DUMMYFUNCTION("""COMPUTED_VALUE"""),1.7)</f>
        <v>1.7</v>
      </c>
      <c r="C458" s="1">
        <f ca="1">IFERROR(__xludf.DUMMYFUNCTION("""COMPUTED_VALUE"""),1.77)</f>
        <v>1.77</v>
      </c>
      <c r="D458" s="1">
        <f ca="1">IFERROR(__xludf.DUMMYFUNCTION("""COMPUTED_VALUE"""),1.7)</f>
        <v>1.7</v>
      </c>
      <c r="E458" s="1">
        <f ca="1">IFERROR(__xludf.DUMMYFUNCTION("""COMPUTED_VALUE"""),1.77)</f>
        <v>1.77</v>
      </c>
      <c r="F458" s="1">
        <f ca="1">IFERROR(__xludf.DUMMYFUNCTION("""COMPUTED_VALUE"""),8495946)</f>
        <v>8495946</v>
      </c>
    </row>
    <row r="459" spans="1:6" x14ac:dyDescent="0.35">
      <c r="A459" s="2">
        <f ca="1">IFERROR(__xludf.DUMMYFUNCTION("""COMPUTED_VALUE"""),42668.6666666666)</f>
        <v>42668.666666666599</v>
      </c>
      <c r="B459" s="1">
        <f ca="1">IFERROR(__xludf.DUMMYFUNCTION("""COMPUTED_VALUE"""),1.76)</f>
        <v>1.76</v>
      </c>
      <c r="C459" s="1">
        <f ca="1">IFERROR(__xludf.DUMMYFUNCTION("""COMPUTED_VALUE"""),1.81)</f>
        <v>1.81</v>
      </c>
      <c r="D459" s="1">
        <f ca="1">IFERROR(__xludf.DUMMYFUNCTION("""COMPUTED_VALUE"""),1.76)</f>
        <v>1.76</v>
      </c>
      <c r="E459" s="1">
        <f ca="1">IFERROR(__xludf.DUMMYFUNCTION("""COMPUTED_VALUE"""),1.8)</f>
        <v>1.8</v>
      </c>
      <c r="F459" s="1">
        <f ca="1">IFERROR(__xludf.DUMMYFUNCTION("""COMPUTED_VALUE"""),9936532)</f>
        <v>9936532</v>
      </c>
    </row>
    <row r="460" spans="1:6" x14ac:dyDescent="0.35">
      <c r="A460" s="2">
        <f ca="1">IFERROR(__xludf.DUMMYFUNCTION("""COMPUTED_VALUE"""),42669.6666666666)</f>
        <v>42669.666666666599</v>
      </c>
      <c r="B460" s="1">
        <f ca="1">IFERROR(__xludf.DUMMYFUNCTION("""COMPUTED_VALUE"""),1.78)</f>
        <v>1.78</v>
      </c>
      <c r="C460" s="1">
        <f ca="1">IFERROR(__xludf.DUMMYFUNCTION("""COMPUTED_VALUE"""),1.82)</f>
        <v>1.82</v>
      </c>
      <c r="D460" s="1">
        <f ca="1">IFERROR(__xludf.DUMMYFUNCTION("""COMPUTED_VALUE"""),1.78)</f>
        <v>1.78</v>
      </c>
      <c r="E460" s="1">
        <f ca="1">IFERROR(__xludf.DUMMYFUNCTION("""COMPUTED_VALUE"""),1.8)</f>
        <v>1.8</v>
      </c>
      <c r="F460" s="1">
        <f ca="1">IFERROR(__xludf.DUMMYFUNCTION("""COMPUTED_VALUE"""),8344781)</f>
        <v>8344781</v>
      </c>
    </row>
    <row r="461" spans="1:6" x14ac:dyDescent="0.35">
      <c r="A461" s="2">
        <f ca="1">IFERROR(__xludf.DUMMYFUNCTION("""COMPUTED_VALUE"""),42670.6666666666)</f>
        <v>42670.666666666599</v>
      </c>
      <c r="B461" s="1">
        <f ca="1">IFERROR(__xludf.DUMMYFUNCTION("""COMPUTED_VALUE"""),1.82)</f>
        <v>1.82</v>
      </c>
      <c r="C461" s="1">
        <f ca="1">IFERROR(__xludf.DUMMYFUNCTION("""COMPUTED_VALUE"""),1.82)</f>
        <v>1.82</v>
      </c>
      <c r="D461" s="1">
        <f ca="1">IFERROR(__xludf.DUMMYFUNCTION("""COMPUTED_VALUE"""),1.76)</f>
        <v>1.76</v>
      </c>
      <c r="E461" s="1">
        <f ca="1">IFERROR(__xludf.DUMMYFUNCTION("""COMPUTED_VALUE"""),1.77)</f>
        <v>1.77</v>
      </c>
      <c r="F461" s="1">
        <f ca="1">IFERROR(__xludf.DUMMYFUNCTION("""COMPUTED_VALUE"""),9716622)</f>
        <v>9716622</v>
      </c>
    </row>
    <row r="462" spans="1:6" x14ac:dyDescent="0.35">
      <c r="A462" s="2">
        <f ca="1">IFERROR(__xludf.DUMMYFUNCTION("""COMPUTED_VALUE"""),42671.6666666666)</f>
        <v>42671.666666666599</v>
      </c>
      <c r="B462" s="1">
        <f ca="1">IFERROR(__xludf.DUMMYFUNCTION("""COMPUTED_VALUE"""),1.78)</f>
        <v>1.78</v>
      </c>
      <c r="C462" s="1">
        <f ca="1">IFERROR(__xludf.DUMMYFUNCTION("""COMPUTED_VALUE"""),1.8)</f>
        <v>1.8</v>
      </c>
      <c r="D462" s="1">
        <f ca="1">IFERROR(__xludf.DUMMYFUNCTION("""COMPUTED_VALUE"""),1.76)</f>
        <v>1.76</v>
      </c>
      <c r="E462" s="1">
        <f ca="1">IFERROR(__xludf.DUMMYFUNCTION("""COMPUTED_VALUE"""),1.76)</f>
        <v>1.76</v>
      </c>
      <c r="F462" s="1">
        <f ca="1">IFERROR(__xludf.DUMMYFUNCTION("""COMPUTED_VALUE"""),7271374)</f>
        <v>7271374</v>
      </c>
    </row>
    <row r="463" spans="1:6" x14ac:dyDescent="0.35">
      <c r="A463" s="2">
        <f ca="1">IFERROR(__xludf.DUMMYFUNCTION("""COMPUTED_VALUE"""),42674.6666666666)</f>
        <v>42674.666666666599</v>
      </c>
      <c r="B463" s="1">
        <f ca="1">IFERROR(__xludf.DUMMYFUNCTION("""COMPUTED_VALUE"""),1.77)</f>
        <v>1.77</v>
      </c>
      <c r="C463" s="1">
        <f ca="1">IFERROR(__xludf.DUMMYFUNCTION("""COMPUTED_VALUE"""),1.79)</f>
        <v>1.79</v>
      </c>
      <c r="D463" s="1">
        <f ca="1">IFERROR(__xludf.DUMMYFUNCTION("""COMPUTED_VALUE"""),1.77)</f>
        <v>1.77</v>
      </c>
      <c r="E463" s="1">
        <f ca="1">IFERROR(__xludf.DUMMYFUNCTION("""COMPUTED_VALUE"""),1.78)</f>
        <v>1.78</v>
      </c>
      <c r="F463" s="1">
        <f ca="1">IFERROR(__xludf.DUMMYFUNCTION("""COMPUTED_VALUE"""),6309718)</f>
        <v>6309718</v>
      </c>
    </row>
    <row r="464" spans="1:6" x14ac:dyDescent="0.35">
      <c r="A464" s="2">
        <f ca="1">IFERROR(__xludf.DUMMYFUNCTION("""COMPUTED_VALUE"""),42675.6666666666)</f>
        <v>42675.666666666599</v>
      </c>
      <c r="B464" s="1">
        <f ca="1">IFERROR(__xludf.DUMMYFUNCTION("""COMPUTED_VALUE"""),1.79)</f>
        <v>1.79</v>
      </c>
      <c r="C464" s="1">
        <f ca="1">IFERROR(__xludf.DUMMYFUNCTION("""COMPUTED_VALUE"""),1.8)</f>
        <v>1.8</v>
      </c>
      <c r="D464" s="1">
        <f ca="1">IFERROR(__xludf.DUMMYFUNCTION("""COMPUTED_VALUE"""),1.71)</f>
        <v>1.71</v>
      </c>
      <c r="E464" s="1">
        <f ca="1">IFERROR(__xludf.DUMMYFUNCTION("""COMPUTED_VALUE"""),1.73)</f>
        <v>1.73</v>
      </c>
      <c r="F464" s="1">
        <f ca="1">IFERROR(__xludf.DUMMYFUNCTION("""COMPUTED_VALUE"""),11830629)</f>
        <v>11830629</v>
      </c>
    </row>
    <row r="465" spans="1:6" x14ac:dyDescent="0.35">
      <c r="A465" s="2">
        <f ca="1">IFERROR(__xludf.DUMMYFUNCTION("""COMPUTED_VALUE"""),42676.6666666666)</f>
        <v>42676.666666666599</v>
      </c>
      <c r="B465" s="1">
        <f ca="1">IFERROR(__xludf.DUMMYFUNCTION("""COMPUTED_VALUE"""),1.74)</f>
        <v>1.74</v>
      </c>
      <c r="C465" s="1">
        <f ca="1">IFERROR(__xludf.DUMMYFUNCTION("""COMPUTED_VALUE"""),1.76)</f>
        <v>1.76</v>
      </c>
      <c r="D465" s="1">
        <f ca="1">IFERROR(__xludf.DUMMYFUNCTION("""COMPUTED_VALUE"""),1.72)</f>
        <v>1.72</v>
      </c>
      <c r="E465" s="1">
        <f ca="1">IFERROR(__xludf.DUMMYFUNCTION("""COMPUTED_VALUE"""),1.72)</f>
        <v>1.72</v>
      </c>
      <c r="F465" s="1">
        <f ca="1">IFERROR(__xludf.DUMMYFUNCTION("""COMPUTED_VALUE"""),7396231)</f>
        <v>7396231</v>
      </c>
    </row>
    <row r="466" spans="1:6" x14ac:dyDescent="0.35">
      <c r="A466" s="2">
        <f ca="1">IFERROR(__xludf.DUMMYFUNCTION("""COMPUTED_VALUE"""),42677.6666666666)</f>
        <v>42677.666666666599</v>
      </c>
      <c r="B466" s="1">
        <f ca="1">IFERROR(__xludf.DUMMYFUNCTION("""COMPUTED_VALUE"""),1.73)</f>
        <v>1.73</v>
      </c>
      <c r="C466" s="1">
        <f ca="1">IFERROR(__xludf.DUMMYFUNCTION("""COMPUTED_VALUE"""),1.73)</f>
        <v>1.73</v>
      </c>
      <c r="D466" s="1">
        <f ca="1">IFERROR(__xludf.DUMMYFUNCTION("""COMPUTED_VALUE"""),1.67)</f>
        <v>1.67</v>
      </c>
      <c r="E466" s="1">
        <f ca="1">IFERROR(__xludf.DUMMYFUNCTION("""COMPUTED_VALUE"""),1.7)</f>
        <v>1.7</v>
      </c>
      <c r="F466" s="1">
        <f ca="1">IFERROR(__xludf.DUMMYFUNCTION("""COMPUTED_VALUE"""),7741593)</f>
        <v>7741593</v>
      </c>
    </row>
    <row r="467" spans="1:6" x14ac:dyDescent="0.35">
      <c r="A467" s="2">
        <f ca="1">IFERROR(__xludf.DUMMYFUNCTION("""COMPUTED_VALUE"""),42678.6666666666)</f>
        <v>42678.666666666599</v>
      </c>
      <c r="B467" s="1">
        <f ca="1">IFERROR(__xludf.DUMMYFUNCTION("""COMPUTED_VALUE"""),1.69)</f>
        <v>1.69</v>
      </c>
      <c r="C467" s="1">
        <f ca="1">IFERROR(__xludf.DUMMYFUNCTION("""COMPUTED_VALUE"""),1.72)</f>
        <v>1.72</v>
      </c>
      <c r="D467" s="1">
        <f ca="1">IFERROR(__xludf.DUMMYFUNCTION("""COMPUTED_VALUE"""),1.66)</f>
        <v>1.66</v>
      </c>
      <c r="E467" s="1">
        <f ca="1">IFERROR(__xludf.DUMMYFUNCTION("""COMPUTED_VALUE"""),1.69)</f>
        <v>1.69</v>
      </c>
      <c r="F467" s="1">
        <f ca="1">IFERROR(__xludf.DUMMYFUNCTION("""COMPUTED_VALUE"""),8219490)</f>
        <v>8219490</v>
      </c>
    </row>
    <row r="468" spans="1:6" x14ac:dyDescent="0.35">
      <c r="A468" s="2">
        <f ca="1">IFERROR(__xludf.DUMMYFUNCTION("""COMPUTED_VALUE"""),42681.6666666666)</f>
        <v>42681.666666666599</v>
      </c>
      <c r="B468" s="1">
        <f ca="1">IFERROR(__xludf.DUMMYFUNCTION("""COMPUTED_VALUE"""),1.74)</f>
        <v>1.74</v>
      </c>
      <c r="C468" s="1">
        <f ca="1">IFERROR(__xludf.DUMMYFUNCTION("""COMPUTED_VALUE"""),1.79)</f>
        <v>1.79</v>
      </c>
      <c r="D468" s="1">
        <f ca="1">IFERROR(__xludf.DUMMYFUNCTION("""COMPUTED_VALUE"""),1.74)</f>
        <v>1.74</v>
      </c>
      <c r="E468" s="1">
        <f ca="1">IFERROR(__xludf.DUMMYFUNCTION("""COMPUTED_VALUE"""),1.78)</f>
        <v>1.78</v>
      </c>
      <c r="F468" s="1">
        <f ca="1">IFERROR(__xludf.DUMMYFUNCTION("""COMPUTED_VALUE"""),12189524)</f>
        <v>12189524</v>
      </c>
    </row>
    <row r="469" spans="1:6" x14ac:dyDescent="0.35">
      <c r="A469" s="2">
        <f ca="1">IFERROR(__xludf.DUMMYFUNCTION("""COMPUTED_VALUE"""),42682.6666666666)</f>
        <v>42682.666666666599</v>
      </c>
      <c r="B469" s="1">
        <f ca="1">IFERROR(__xludf.DUMMYFUNCTION("""COMPUTED_VALUE"""),1.79)</f>
        <v>1.79</v>
      </c>
      <c r="C469" s="1">
        <f ca="1">IFERROR(__xludf.DUMMYFUNCTION("""COMPUTED_VALUE"""),1.79)</f>
        <v>1.79</v>
      </c>
      <c r="D469" s="1">
        <f ca="1">IFERROR(__xludf.DUMMYFUNCTION("""COMPUTED_VALUE"""),1.76)</f>
        <v>1.76</v>
      </c>
      <c r="E469" s="1">
        <f ca="1">IFERROR(__xludf.DUMMYFUNCTION("""COMPUTED_VALUE"""),1.78)</f>
        <v>1.78</v>
      </c>
      <c r="F469" s="1">
        <f ca="1">IFERROR(__xludf.DUMMYFUNCTION("""COMPUTED_VALUE"""),10747107)</f>
        <v>10747107</v>
      </c>
    </row>
    <row r="470" spans="1:6" x14ac:dyDescent="0.35">
      <c r="A470" s="2">
        <f ca="1">IFERROR(__xludf.DUMMYFUNCTION("""COMPUTED_VALUE"""),42683.6666666666)</f>
        <v>42683.666666666599</v>
      </c>
      <c r="B470" s="1">
        <f ca="1">IFERROR(__xludf.DUMMYFUNCTION("""COMPUTED_VALUE"""),1.73)</f>
        <v>1.73</v>
      </c>
      <c r="C470" s="1">
        <f ca="1">IFERROR(__xludf.DUMMYFUNCTION("""COMPUTED_VALUE"""),1.77)</f>
        <v>1.77</v>
      </c>
      <c r="D470" s="1">
        <f ca="1">IFERROR(__xludf.DUMMYFUNCTION("""COMPUTED_VALUE"""),1.72)</f>
        <v>1.72</v>
      </c>
      <c r="E470" s="1">
        <f ca="1">IFERROR(__xludf.DUMMYFUNCTION("""COMPUTED_VALUE"""),1.75)</f>
        <v>1.75</v>
      </c>
      <c r="F470" s="1">
        <f ca="1">IFERROR(__xludf.DUMMYFUNCTION("""COMPUTED_VALUE"""),11413254)</f>
        <v>11413254</v>
      </c>
    </row>
    <row r="471" spans="1:6" x14ac:dyDescent="0.35">
      <c r="A471" s="2">
        <f ca="1">IFERROR(__xludf.DUMMYFUNCTION("""COMPUTED_VALUE"""),42684.6666666666)</f>
        <v>42684.666666666599</v>
      </c>
      <c r="B471" s="1">
        <f ca="1">IFERROR(__xludf.DUMMYFUNCTION("""COMPUTED_VALUE"""),1.79)</f>
        <v>1.79</v>
      </c>
      <c r="C471" s="1">
        <f ca="1">IFERROR(__xludf.DUMMYFUNCTION("""COMPUTED_VALUE"""),1.79)</f>
        <v>1.79</v>
      </c>
      <c r="D471" s="1">
        <f ca="1">IFERROR(__xludf.DUMMYFUNCTION("""COMPUTED_VALUE"""),1.67)</f>
        <v>1.67</v>
      </c>
      <c r="E471" s="1">
        <f ca="1">IFERROR(__xludf.DUMMYFUNCTION("""COMPUTED_VALUE"""),1.69)</f>
        <v>1.69</v>
      </c>
      <c r="F471" s="1">
        <f ca="1">IFERROR(__xludf.DUMMYFUNCTION("""COMPUTED_VALUE"""),21732039)</f>
        <v>21732039</v>
      </c>
    </row>
    <row r="472" spans="1:6" x14ac:dyDescent="0.35">
      <c r="A472" s="2">
        <f ca="1">IFERROR(__xludf.DUMMYFUNCTION("""COMPUTED_VALUE"""),42685.6666666666)</f>
        <v>42685.666666666599</v>
      </c>
      <c r="B472" s="1">
        <f ca="1">IFERROR(__xludf.DUMMYFUNCTION("""COMPUTED_VALUE"""),1.99)</f>
        <v>1.99</v>
      </c>
      <c r="C472" s="1">
        <f ca="1">IFERROR(__xludf.DUMMYFUNCTION("""COMPUTED_VALUE"""),2.22)</f>
        <v>2.2200000000000002</v>
      </c>
      <c r="D472" s="1">
        <f ca="1">IFERROR(__xludf.DUMMYFUNCTION("""COMPUTED_VALUE"""),1.96)</f>
        <v>1.96</v>
      </c>
      <c r="E472" s="1">
        <f ca="1">IFERROR(__xludf.DUMMYFUNCTION("""COMPUTED_VALUE"""),2.2)</f>
        <v>2.2000000000000002</v>
      </c>
      <c r="F472" s="1">
        <f ca="1">IFERROR(__xludf.DUMMYFUNCTION("""COMPUTED_VALUE"""),54383633)</f>
        <v>54383633</v>
      </c>
    </row>
    <row r="473" spans="1:6" x14ac:dyDescent="0.35">
      <c r="A473" s="2">
        <f ca="1">IFERROR(__xludf.DUMMYFUNCTION("""COMPUTED_VALUE"""),42688.6666666666)</f>
        <v>42688.666666666599</v>
      </c>
      <c r="B473" s="1">
        <f ca="1">IFERROR(__xludf.DUMMYFUNCTION("""COMPUTED_VALUE"""),2.2)</f>
        <v>2.2000000000000002</v>
      </c>
      <c r="C473" s="1">
        <f ca="1">IFERROR(__xludf.DUMMYFUNCTION("""COMPUTED_VALUE"""),2.2)</f>
        <v>2.2000000000000002</v>
      </c>
      <c r="D473" s="1">
        <f ca="1">IFERROR(__xludf.DUMMYFUNCTION("""COMPUTED_VALUE"""),2.09)</f>
        <v>2.09</v>
      </c>
      <c r="E473" s="1">
        <f ca="1">IFERROR(__xludf.DUMMYFUNCTION("""COMPUTED_VALUE"""),2.09)</f>
        <v>2.09</v>
      </c>
      <c r="F473" s="1">
        <f ca="1">IFERROR(__xludf.DUMMYFUNCTION("""COMPUTED_VALUE"""),33719913)</f>
        <v>33719913</v>
      </c>
    </row>
    <row r="474" spans="1:6" x14ac:dyDescent="0.35">
      <c r="A474" s="2">
        <f ca="1">IFERROR(__xludf.DUMMYFUNCTION("""COMPUTED_VALUE"""),42689.6666666666)</f>
        <v>42689.666666666599</v>
      </c>
      <c r="B474" s="1">
        <f ca="1">IFERROR(__xludf.DUMMYFUNCTION("""COMPUTED_VALUE"""),2.11)</f>
        <v>2.11</v>
      </c>
      <c r="C474" s="1">
        <f ca="1">IFERROR(__xludf.DUMMYFUNCTION("""COMPUTED_VALUE"""),2.19)</f>
        <v>2.19</v>
      </c>
      <c r="D474" s="1">
        <f ca="1">IFERROR(__xludf.DUMMYFUNCTION("""COMPUTED_VALUE"""),2.1)</f>
        <v>2.1</v>
      </c>
      <c r="E474" s="1">
        <f ca="1">IFERROR(__xludf.DUMMYFUNCTION("""COMPUTED_VALUE"""),2.15)</f>
        <v>2.15</v>
      </c>
      <c r="F474" s="1">
        <f ca="1">IFERROR(__xludf.DUMMYFUNCTION("""COMPUTED_VALUE"""),15652258)</f>
        <v>15652258</v>
      </c>
    </row>
    <row r="475" spans="1:6" x14ac:dyDescent="0.35">
      <c r="A475" s="2">
        <f ca="1">IFERROR(__xludf.DUMMYFUNCTION("""COMPUTED_VALUE"""),42690.6666666666)</f>
        <v>42690.666666666599</v>
      </c>
      <c r="B475" s="1">
        <f ca="1">IFERROR(__xludf.DUMMYFUNCTION("""COMPUTED_VALUE"""),2.18)</f>
        <v>2.1800000000000002</v>
      </c>
      <c r="C475" s="1">
        <f ca="1">IFERROR(__xludf.DUMMYFUNCTION("""COMPUTED_VALUE"""),2.31)</f>
        <v>2.31</v>
      </c>
      <c r="D475" s="1">
        <f ca="1">IFERROR(__xludf.DUMMYFUNCTION("""COMPUTED_VALUE"""),2.16)</f>
        <v>2.16</v>
      </c>
      <c r="E475" s="1">
        <f ca="1">IFERROR(__xludf.DUMMYFUNCTION("""COMPUTED_VALUE"""),2.29)</f>
        <v>2.29</v>
      </c>
      <c r="F475" s="1">
        <f ca="1">IFERROR(__xludf.DUMMYFUNCTION("""COMPUTED_VALUE"""),24699644)</f>
        <v>24699644</v>
      </c>
    </row>
    <row r="476" spans="1:6" x14ac:dyDescent="0.35">
      <c r="A476" s="2">
        <f ca="1">IFERROR(__xludf.DUMMYFUNCTION("""COMPUTED_VALUE"""),42691.6666666666)</f>
        <v>42691.666666666599</v>
      </c>
      <c r="B476" s="1">
        <f ca="1">IFERROR(__xludf.DUMMYFUNCTION("""COMPUTED_VALUE"""),2.31)</f>
        <v>2.31</v>
      </c>
      <c r="C476" s="1">
        <f ca="1">IFERROR(__xludf.DUMMYFUNCTION("""COMPUTED_VALUE"""),2.37)</f>
        <v>2.37</v>
      </c>
      <c r="D476" s="1">
        <f ca="1">IFERROR(__xludf.DUMMYFUNCTION("""COMPUTED_VALUE"""),2.27)</f>
        <v>2.27</v>
      </c>
      <c r="E476" s="1">
        <f ca="1">IFERROR(__xludf.DUMMYFUNCTION("""COMPUTED_VALUE"""),2.31)</f>
        <v>2.31</v>
      </c>
      <c r="F476" s="1">
        <f ca="1">IFERROR(__xludf.DUMMYFUNCTION("""COMPUTED_VALUE"""),20824744)</f>
        <v>20824744</v>
      </c>
    </row>
    <row r="477" spans="1:6" x14ac:dyDescent="0.35">
      <c r="A477" s="2">
        <f ca="1">IFERROR(__xludf.DUMMYFUNCTION("""COMPUTED_VALUE"""),42692.6666666666)</f>
        <v>42692.666666666599</v>
      </c>
      <c r="B477" s="1">
        <f ca="1">IFERROR(__xludf.DUMMYFUNCTION("""COMPUTED_VALUE"""),2.31)</f>
        <v>2.31</v>
      </c>
      <c r="C477" s="1">
        <f ca="1">IFERROR(__xludf.DUMMYFUNCTION("""COMPUTED_VALUE"""),2.36)</f>
        <v>2.36</v>
      </c>
      <c r="D477" s="1">
        <f ca="1">IFERROR(__xludf.DUMMYFUNCTION("""COMPUTED_VALUE"""),2.3)</f>
        <v>2.2999999999999998</v>
      </c>
      <c r="E477" s="1">
        <f ca="1">IFERROR(__xludf.DUMMYFUNCTION("""COMPUTED_VALUE"""),2.33)</f>
        <v>2.33</v>
      </c>
      <c r="F477" s="1">
        <f ca="1">IFERROR(__xludf.DUMMYFUNCTION("""COMPUTED_VALUE"""),14401499)</f>
        <v>14401499</v>
      </c>
    </row>
    <row r="478" spans="1:6" x14ac:dyDescent="0.35">
      <c r="A478" s="2">
        <f ca="1">IFERROR(__xludf.DUMMYFUNCTION("""COMPUTED_VALUE"""),42695.6666666666)</f>
        <v>42695.666666666599</v>
      </c>
      <c r="B478" s="1">
        <f ca="1">IFERROR(__xludf.DUMMYFUNCTION("""COMPUTED_VALUE"""),2.35)</f>
        <v>2.35</v>
      </c>
      <c r="C478" s="1">
        <f ca="1">IFERROR(__xludf.DUMMYFUNCTION("""COMPUTED_VALUE"""),2.36)</f>
        <v>2.36</v>
      </c>
      <c r="D478" s="1">
        <f ca="1">IFERROR(__xludf.DUMMYFUNCTION("""COMPUTED_VALUE"""),2.31)</f>
        <v>2.31</v>
      </c>
      <c r="E478" s="1">
        <f ca="1">IFERROR(__xludf.DUMMYFUNCTION("""COMPUTED_VALUE"""),2.32)</f>
        <v>2.3199999999999998</v>
      </c>
      <c r="F478" s="1">
        <f ca="1">IFERROR(__xludf.DUMMYFUNCTION("""COMPUTED_VALUE"""),10910868)</f>
        <v>10910868</v>
      </c>
    </row>
    <row r="479" spans="1:6" x14ac:dyDescent="0.35">
      <c r="A479" s="2">
        <f ca="1">IFERROR(__xludf.DUMMYFUNCTION("""COMPUTED_VALUE"""),42696.6666666666)</f>
        <v>42696.666666666599</v>
      </c>
      <c r="B479" s="1">
        <f ca="1">IFERROR(__xludf.DUMMYFUNCTION("""COMPUTED_VALUE"""),2.33)</f>
        <v>2.33</v>
      </c>
      <c r="C479" s="1">
        <f ca="1">IFERROR(__xludf.DUMMYFUNCTION("""COMPUTED_VALUE"""),2.34)</f>
        <v>2.34</v>
      </c>
      <c r="D479" s="1">
        <f ca="1">IFERROR(__xludf.DUMMYFUNCTION("""COMPUTED_VALUE"""),2.31)</f>
        <v>2.31</v>
      </c>
      <c r="E479" s="1">
        <f ca="1">IFERROR(__xludf.DUMMYFUNCTION("""COMPUTED_VALUE"""),2.34)</f>
        <v>2.34</v>
      </c>
      <c r="F479" s="1">
        <f ca="1">IFERROR(__xludf.DUMMYFUNCTION("""COMPUTED_VALUE"""),8259232)</f>
        <v>8259232</v>
      </c>
    </row>
    <row r="480" spans="1:6" x14ac:dyDescent="0.35">
      <c r="A480" s="2">
        <f ca="1">IFERROR(__xludf.DUMMYFUNCTION("""COMPUTED_VALUE"""),42697.6666666666)</f>
        <v>42697.666666666599</v>
      </c>
      <c r="B480" s="1">
        <f ca="1">IFERROR(__xludf.DUMMYFUNCTION("""COMPUTED_VALUE"""),2.34)</f>
        <v>2.34</v>
      </c>
      <c r="C480" s="1">
        <f ca="1">IFERROR(__xludf.DUMMYFUNCTION("""COMPUTED_VALUE"""),2.38)</f>
        <v>2.38</v>
      </c>
      <c r="D480" s="1">
        <f ca="1">IFERROR(__xludf.DUMMYFUNCTION("""COMPUTED_VALUE"""),2.32)</f>
        <v>2.3199999999999998</v>
      </c>
      <c r="E480" s="1">
        <f ca="1">IFERROR(__xludf.DUMMYFUNCTION("""COMPUTED_VALUE"""),2.35)</f>
        <v>2.35</v>
      </c>
      <c r="F480" s="1">
        <f ca="1">IFERROR(__xludf.DUMMYFUNCTION("""COMPUTED_VALUE"""),11080857)</f>
        <v>11080857</v>
      </c>
    </row>
    <row r="481" spans="1:6" x14ac:dyDescent="0.35">
      <c r="A481" s="2">
        <f ca="1">IFERROR(__xludf.DUMMYFUNCTION("""COMPUTED_VALUE"""),42699.6666666666)</f>
        <v>42699.666666666599</v>
      </c>
      <c r="B481" s="1">
        <f ca="1">IFERROR(__xludf.DUMMYFUNCTION("""COMPUTED_VALUE"""),2.36)</f>
        <v>2.36</v>
      </c>
      <c r="C481" s="1">
        <f ca="1">IFERROR(__xludf.DUMMYFUNCTION("""COMPUTED_VALUE"""),2.38)</f>
        <v>2.38</v>
      </c>
      <c r="D481" s="1">
        <f ca="1">IFERROR(__xludf.DUMMYFUNCTION("""COMPUTED_VALUE"""),2.34)</f>
        <v>2.34</v>
      </c>
      <c r="E481" s="1">
        <f ca="1">IFERROR(__xludf.DUMMYFUNCTION("""COMPUTED_VALUE"""),2.35)</f>
        <v>2.35</v>
      </c>
      <c r="F481" s="1">
        <f ca="1">IFERROR(__xludf.DUMMYFUNCTION("""COMPUTED_VALUE"""),4889078)</f>
        <v>4889078</v>
      </c>
    </row>
    <row r="482" spans="1:6" x14ac:dyDescent="0.35">
      <c r="A482" s="2">
        <f ca="1">IFERROR(__xludf.DUMMYFUNCTION("""COMPUTED_VALUE"""),42702.6666666666)</f>
        <v>42702.666666666599</v>
      </c>
      <c r="B482" s="1">
        <f ca="1">IFERROR(__xludf.DUMMYFUNCTION("""COMPUTED_VALUE"""),2.35)</f>
        <v>2.35</v>
      </c>
      <c r="C482" s="1">
        <f ca="1">IFERROR(__xludf.DUMMYFUNCTION("""COMPUTED_VALUE"""),2.37)</f>
        <v>2.37</v>
      </c>
      <c r="D482" s="1">
        <f ca="1">IFERROR(__xludf.DUMMYFUNCTION("""COMPUTED_VALUE"""),2.34)</f>
        <v>2.34</v>
      </c>
      <c r="E482" s="1">
        <f ca="1">IFERROR(__xludf.DUMMYFUNCTION("""COMPUTED_VALUE"""),2.35)</f>
        <v>2.35</v>
      </c>
      <c r="F482" s="1">
        <f ca="1">IFERROR(__xludf.DUMMYFUNCTION("""COMPUTED_VALUE"""),6968370)</f>
        <v>6968370</v>
      </c>
    </row>
    <row r="483" spans="1:6" x14ac:dyDescent="0.35">
      <c r="A483" s="2">
        <f ca="1">IFERROR(__xludf.DUMMYFUNCTION("""COMPUTED_VALUE"""),42703.6666666666)</f>
        <v>42703.666666666599</v>
      </c>
      <c r="B483" s="1">
        <f ca="1">IFERROR(__xludf.DUMMYFUNCTION("""COMPUTED_VALUE"""),2.35)</f>
        <v>2.35</v>
      </c>
      <c r="C483" s="1">
        <f ca="1">IFERROR(__xludf.DUMMYFUNCTION("""COMPUTED_VALUE"""),2.36)</f>
        <v>2.36</v>
      </c>
      <c r="D483" s="1">
        <f ca="1">IFERROR(__xludf.DUMMYFUNCTION("""COMPUTED_VALUE"""),2.31)</f>
        <v>2.31</v>
      </c>
      <c r="E483" s="1">
        <f ca="1">IFERROR(__xludf.DUMMYFUNCTION("""COMPUTED_VALUE"""),2.33)</f>
        <v>2.33</v>
      </c>
      <c r="F483" s="1">
        <f ca="1">IFERROR(__xludf.DUMMYFUNCTION("""COMPUTED_VALUE"""),11114187)</f>
        <v>11114187</v>
      </c>
    </row>
    <row r="484" spans="1:6" x14ac:dyDescent="0.35">
      <c r="A484" s="2">
        <f ca="1">IFERROR(__xludf.DUMMYFUNCTION("""COMPUTED_VALUE"""),42704.6666666666)</f>
        <v>42704.666666666599</v>
      </c>
      <c r="B484" s="1">
        <f ca="1">IFERROR(__xludf.DUMMYFUNCTION("""COMPUTED_VALUE"""),2.34)</f>
        <v>2.34</v>
      </c>
      <c r="C484" s="1">
        <f ca="1">IFERROR(__xludf.DUMMYFUNCTION("""COMPUTED_VALUE"""),2.35)</f>
        <v>2.35</v>
      </c>
      <c r="D484" s="1">
        <f ca="1">IFERROR(__xludf.DUMMYFUNCTION("""COMPUTED_VALUE"""),2.3)</f>
        <v>2.2999999999999998</v>
      </c>
      <c r="E484" s="1">
        <f ca="1">IFERROR(__xludf.DUMMYFUNCTION("""COMPUTED_VALUE"""),2.31)</f>
        <v>2.31</v>
      </c>
      <c r="F484" s="1">
        <f ca="1">IFERROR(__xludf.DUMMYFUNCTION("""COMPUTED_VALUE"""),11012545)</f>
        <v>11012545</v>
      </c>
    </row>
    <row r="485" spans="1:6" x14ac:dyDescent="0.35">
      <c r="A485" s="2">
        <f ca="1">IFERROR(__xludf.DUMMYFUNCTION("""COMPUTED_VALUE"""),42705.6666666666)</f>
        <v>42705.666666666599</v>
      </c>
      <c r="B485" s="1">
        <f ca="1">IFERROR(__xludf.DUMMYFUNCTION("""COMPUTED_VALUE"""),2.3)</f>
        <v>2.2999999999999998</v>
      </c>
      <c r="C485" s="1">
        <f ca="1">IFERROR(__xludf.DUMMYFUNCTION("""COMPUTED_VALUE"""),2.3)</f>
        <v>2.2999999999999998</v>
      </c>
      <c r="D485" s="1">
        <f ca="1">IFERROR(__xludf.DUMMYFUNCTION("""COMPUTED_VALUE"""),2.12)</f>
        <v>2.12</v>
      </c>
      <c r="E485" s="1">
        <f ca="1">IFERROR(__xludf.DUMMYFUNCTION("""COMPUTED_VALUE"""),2.19)</f>
        <v>2.19</v>
      </c>
      <c r="F485" s="1">
        <f ca="1">IFERROR(__xludf.DUMMYFUNCTION("""COMPUTED_VALUE"""),25888074)</f>
        <v>25888074</v>
      </c>
    </row>
    <row r="486" spans="1:6" x14ac:dyDescent="0.35">
      <c r="A486" s="2">
        <f ca="1">IFERROR(__xludf.DUMMYFUNCTION("""COMPUTED_VALUE"""),42706.6666666666)</f>
        <v>42706.666666666599</v>
      </c>
      <c r="B486" s="1">
        <f ca="1">IFERROR(__xludf.DUMMYFUNCTION("""COMPUTED_VALUE"""),2.16)</f>
        <v>2.16</v>
      </c>
      <c r="C486" s="1">
        <f ca="1">IFERROR(__xludf.DUMMYFUNCTION("""COMPUTED_VALUE"""),2.22)</f>
        <v>2.2200000000000002</v>
      </c>
      <c r="D486" s="1">
        <f ca="1">IFERROR(__xludf.DUMMYFUNCTION("""COMPUTED_VALUE"""),2.13)</f>
        <v>2.13</v>
      </c>
      <c r="E486" s="1">
        <f ca="1">IFERROR(__xludf.DUMMYFUNCTION("""COMPUTED_VALUE"""),2.21)</f>
        <v>2.21</v>
      </c>
      <c r="F486" s="1">
        <f ca="1">IFERROR(__xludf.DUMMYFUNCTION("""COMPUTED_VALUE"""),11957300)</f>
        <v>11957300</v>
      </c>
    </row>
    <row r="487" spans="1:6" x14ac:dyDescent="0.35">
      <c r="A487" s="2">
        <f ca="1">IFERROR(__xludf.DUMMYFUNCTION("""COMPUTED_VALUE"""),42709.6666666666)</f>
        <v>42709.666666666599</v>
      </c>
      <c r="B487" s="1">
        <f ca="1">IFERROR(__xludf.DUMMYFUNCTION("""COMPUTED_VALUE"""),2.25)</f>
        <v>2.25</v>
      </c>
      <c r="C487" s="1">
        <f ca="1">IFERROR(__xludf.DUMMYFUNCTION("""COMPUTED_VALUE"""),2.32)</f>
        <v>2.3199999999999998</v>
      </c>
      <c r="D487" s="1">
        <f ca="1">IFERROR(__xludf.DUMMYFUNCTION("""COMPUTED_VALUE"""),2.23)</f>
        <v>2.23</v>
      </c>
      <c r="E487" s="1">
        <f ca="1">IFERROR(__xludf.DUMMYFUNCTION("""COMPUTED_VALUE"""),2.3)</f>
        <v>2.2999999999999998</v>
      </c>
      <c r="F487" s="1">
        <f ca="1">IFERROR(__xludf.DUMMYFUNCTION("""COMPUTED_VALUE"""),15057125)</f>
        <v>15057125</v>
      </c>
    </row>
    <row r="488" spans="1:6" x14ac:dyDescent="0.35">
      <c r="A488" s="2">
        <f ca="1">IFERROR(__xludf.DUMMYFUNCTION("""COMPUTED_VALUE"""),42710.6666666666)</f>
        <v>42710.666666666599</v>
      </c>
      <c r="B488" s="1">
        <f ca="1">IFERROR(__xludf.DUMMYFUNCTION("""COMPUTED_VALUE"""),2.31)</f>
        <v>2.31</v>
      </c>
      <c r="C488" s="1">
        <f ca="1">IFERROR(__xludf.DUMMYFUNCTION("""COMPUTED_VALUE"""),2.34)</f>
        <v>2.34</v>
      </c>
      <c r="D488" s="1">
        <f ca="1">IFERROR(__xludf.DUMMYFUNCTION("""COMPUTED_VALUE"""),2.29)</f>
        <v>2.29</v>
      </c>
      <c r="E488" s="1">
        <f ca="1">IFERROR(__xludf.DUMMYFUNCTION("""COMPUTED_VALUE"""),2.33)</f>
        <v>2.33</v>
      </c>
      <c r="F488" s="1">
        <f ca="1">IFERROR(__xludf.DUMMYFUNCTION("""COMPUTED_VALUE"""),12469875)</f>
        <v>12469875</v>
      </c>
    </row>
    <row r="489" spans="1:6" x14ac:dyDescent="0.35">
      <c r="A489" s="2">
        <f ca="1">IFERROR(__xludf.DUMMYFUNCTION("""COMPUTED_VALUE"""),42711.6666666666)</f>
        <v>42711.666666666599</v>
      </c>
      <c r="B489" s="1">
        <f ca="1">IFERROR(__xludf.DUMMYFUNCTION("""COMPUTED_VALUE"""),2.32)</f>
        <v>2.3199999999999998</v>
      </c>
      <c r="C489" s="1">
        <f ca="1">IFERROR(__xludf.DUMMYFUNCTION("""COMPUTED_VALUE"""),2.38)</f>
        <v>2.38</v>
      </c>
      <c r="D489" s="1">
        <f ca="1">IFERROR(__xludf.DUMMYFUNCTION("""COMPUTED_VALUE"""),2.3)</f>
        <v>2.2999999999999998</v>
      </c>
      <c r="E489" s="1">
        <f ca="1">IFERROR(__xludf.DUMMYFUNCTION("""COMPUTED_VALUE"""),2.38)</f>
        <v>2.38</v>
      </c>
      <c r="F489" s="1">
        <f ca="1">IFERROR(__xludf.DUMMYFUNCTION("""COMPUTED_VALUE"""),12020093)</f>
        <v>12020093</v>
      </c>
    </row>
    <row r="490" spans="1:6" x14ac:dyDescent="0.35">
      <c r="A490" s="2">
        <f ca="1">IFERROR(__xludf.DUMMYFUNCTION("""COMPUTED_VALUE"""),42712.6666666666)</f>
        <v>42712.666666666599</v>
      </c>
      <c r="B490" s="1">
        <f ca="1">IFERROR(__xludf.DUMMYFUNCTION("""COMPUTED_VALUE"""),2.38)</f>
        <v>2.38</v>
      </c>
      <c r="C490" s="1">
        <f ca="1">IFERROR(__xludf.DUMMYFUNCTION("""COMPUTED_VALUE"""),2.42)</f>
        <v>2.42</v>
      </c>
      <c r="D490" s="1">
        <f ca="1">IFERROR(__xludf.DUMMYFUNCTION("""COMPUTED_VALUE"""),2.33)</f>
        <v>2.33</v>
      </c>
      <c r="E490" s="1">
        <f ca="1">IFERROR(__xludf.DUMMYFUNCTION("""COMPUTED_VALUE"""),2.34)</f>
        <v>2.34</v>
      </c>
      <c r="F490" s="1">
        <f ca="1">IFERROR(__xludf.DUMMYFUNCTION("""COMPUTED_VALUE"""),9538602)</f>
        <v>9538602</v>
      </c>
    </row>
    <row r="491" spans="1:6" x14ac:dyDescent="0.35">
      <c r="A491" s="2">
        <f ca="1">IFERROR(__xludf.DUMMYFUNCTION("""COMPUTED_VALUE"""),42713.6666666666)</f>
        <v>42713.666666666599</v>
      </c>
      <c r="B491" s="1">
        <f ca="1">IFERROR(__xludf.DUMMYFUNCTION("""COMPUTED_VALUE"""),2.36)</f>
        <v>2.36</v>
      </c>
      <c r="C491" s="1">
        <f ca="1">IFERROR(__xludf.DUMMYFUNCTION("""COMPUTED_VALUE"""),2.36)</f>
        <v>2.36</v>
      </c>
      <c r="D491" s="1">
        <f ca="1">IFERROR(__xludf.DUMMYFUNCTION("""COMPUTED_VALUE"""),2.27)</f>
        <v>2.27</v>
      </c>
      <c r="E491" s="1">
        <f ca="1">IFERROR(__xludf.DUMMYFUNCTION("""COMPUTED_VALUE"""),2.3)</f>
        <v>2.2999999999999998</v>
      </c>
      <c r="F491" s="1">
        <f ca="1">IFERROR(__xludf.DUMMYFUNCTION("""COMPUTED_VALUE"""),9557799)</f>
        <v>9557799</v>
      </c>
    </row>
    <row r="492" spans="1:6" x14ac:dyDescent="0.35">
      <c r="A492" s="2">
        <f ca="1">IFERROR(__xludf.DUMMYFUNCTION("""COMPUTED_VALUE"""),42716.6666666666)</f>
        <v>42716.666666666599</v>
      </c>
      <c r="B492" s="1">
        <f ca="1">IFERROR(__xludf.DUMMYFUNCTION("""COMPUTED_VALUE"""),2.25)</f>
        <v>2.25</v>
      </c>
      <c r="C492" s="1">
        <f ca="1">IFERROR(__xludf.DUMMYFUNCTION("""COMPUTED_VALUE"""),2.25)</f>
        <v>2.25</v>
      </c>
      <c r="D492" s="1">
        <f ca="1">IFERROR(__xludf.DUMMYFUNCTION("""COMPUTED_VALUE"""),2.19)</f>
        <v>2.19</v>
      </c>
      <c r="E492" s="1">
        <f ca="1">IFERROR(__xludf.DUMMYFUNCTION("""COMPUTED_VALUE"""),2.24)</f>
        <v>2.2400000000000002</v>
      </c>
      <c r="F492" s="1">
        <f ca="1">IFERROR(__xludf.DUMMYFUNCTION("""COMPUTED_VALUE"""),15033300)</f>
        <v>15033300</v>
      </c>
    </row>
    <row r="493" spans="1:6" x14ac:dyDescent="0.35">
      <c r="A493" s="2">
        <f ca="1">IFERROR(__xludf.DUMMYFUNCTION("""COMPUTED_VALUE"""),42717.6666666666)</f>
        <v>42717.666666666599</v>
      </c>
      <c r="B493" s="1">
        <f ca="1">IFERROR(__xludf.DUMMYFUNCTION("""COMPUTED_VALUE"""),2.25)</f>
        <v>2.25</v>
      </c>
      <c r="C493" s="1">
        <f ca="1">IFERROR(__xludf.DUMMYFUNCTION("""COMPUTED_VALUE"""),2.31)</f>
        <v>2.31</v>
      </c>
      <c r="D493" s="1">
        <f ca="1">IFERROR(__xludf.DUMMYFUNCTION("""COMPUTED_VALUE"""),2.25)</f>
        <v>2.25</v>
      </c>
      <c r="E493" s="1">
        <f ca="1">IFERROR(__xludf.DUMMYFUNCTION("""COMPUTED_VALUE"""),2.28)</f>
        <v>2.2799999999999998</v>
      </c>
      <c r="F493" s="1">
        <f ca="1">IFERROR(__xludf.DUMMYFUNCTION("""COMPUTED_VALUE"""),9694874)</f>
        <v>9694874</v>
      </c>
    </row>
    <row r="494" spans="1:6" x14ac:dyDescent="0.35">
      <c r="A494" s="2">
        <f ca="1">IFERROR(__xludf.DUMMYFUNCTION("""COMPUTED_VALUE"""),42718.6666666666)</f>
        <v>42718.666666666599</v>
      </c>
      <c r="B494" s="1">
        <f ca="1">IFERROR(__xludf.DUMMYFUNCTION("""COMPUTED_VALUE"""),2.31)</f>
        <v>2.31</v>
      </c>
      <c r="C494" s="1">
        <f ca="1">IFERROR(__xludf.DUMMYFUNCTION("""COMPUTED_VALUE"""),2.43)</f>
        <v>2.4300000000000002</v>
      </c>
      <c r="D494" s="1">
        <f ca="1">IFERROR(__xludf.DUMMYFUNCTION("""COMPUTED_VALUE"""),2.29)</f>
        <v>2.29</v>
      </c>
      <c r="E494" s="1">
        <f ca="1">IFERROR(__xludf.DUMMYFUNCTION("""COMPUTED_VALUE"""),2.41)</f>
        <v>2.41</v>
      </c>
      <c r="F494" s="1">
        <f ca="1">IFERROR(__xludf.DUMMYFUNCTION("""COMPUTED_VALUE"""),24599538)</f>
        <v>24599538</v>
      </c>
    </row>
    <row r="495" spans="1:6" x14ac:dyDescent="0.35">
      <c r="A495" s="2">
        <f ca="1">IFERROR(__xludf.DUMMYFUNCTION("""COMPUTED_VALUE"""),42719.6666666666)</f>
        <v>42719.666666666599</v>
      </c>
      <c r="B495" s="1">
        <f ca="1">IFERROR(__xludf.DUMMYFUNCTION("""COMPUTED_VALUE"""),2.42)</f>
        <v>2.42</v>
      </c>
      <c r="C495" s="1">
        <f ca="1">IFERROR(__xludf.DUMMYFUNCTION("""COMPUTED_VALUE"""),2.5)</f>
        <v>2.5</v>
      </c>
      <c r="D495" s="1">
        <f ca="1">IFERROR(__xludf.DUMMYFUNCTION("""COMPUTED_VALUE"""),2.42)</f>
        <v>2.42</v>
      </c>
      <c r="E495" s="1">
        <f ca="1">IFERROR(__xludf.DUMMYFUNCTION("""COMPUTED_VALUE"""),2.47)</f>
        <v>2.4700000000000002</v>
      </c>
      <c r="F495" s="1">
        <f ca="1">IFERROR(__xludf.DUMMYFUNCTION("""COMPUTED_VALUE"""),18663653)</f>
        <v>18663653</v>
      </c>
    </row>
    <row r="496" spans="1:6" x14ac:dyDescent="0.35">
      <c r="A496" s="2">
        <f ca="1">IFERROR(__xludf.DUMMYFUNCTION("""COMPUTED_VALUE"""),42720.6666666666)</f>
        <v>42720.666666666599</v>
      </c>
      <c r="B496" s="1">
        <f ca="1">IFERROR(__xludf.DUMMYFUNCTION("""COMPUTED_VALUE"""),2.5)</f>
        <v>2.5</v>
      </c>
      <c r="C496" s="1">
        <f ca="1">IFERROR(__xludf.DUMMYFUNCTION("""COMPUTED_VALUE"""),2.52)</f>
        <v>2.52</v>
      </c>
      <c r="D496" s="1">
        <f ca="1">IFERROR(__xludf.DUMMYFUNCTION("""COMPUTED_VALUE"""),2.44)</f>
        <v>2.44</v>
      </c>
      <c r="E496" s="1">
        <f ca="1">IFERROR(__xludf.DUMMYFUNCTION("""COMPUTED_VALUE"""),2.51)</f>
        <v>2.5099999999999998</v>
      </c>
      <c r="F496" s="1">
        <f ca="1">IFERROR(__xludf.DUMMYFUNCTION("""COMPUTED_VALUE"""),27238183)</f>
        <v>27238183</v>
      </c>
    </row>
    <row r="497" spans="1:6" x14ac:dyDescent="0.35">
      <c r="A497" s="2">
        <f ca="1">IFERROR(__xludf.DUMMYFUNCTION("""COMPUTED_VALUE"""),42723.6666666666)</f>
        <v>42723.666666666599</v>
      </c>
      <c r="B497" s="1">
        <f ca="1">IFERROR(__xludf.DUMMYFUNCTION("""COMPUTED_VALUE"""),2.49)</f>
        <v>2.4900000000000002</v>
      </c>
      <c r="C497" s="1">
        <f ca="1">IFERROR(__xludf.DUMMYFUNCTION("""COMPUTED_VALUE"""),2.56)</f>
        <v>2.56</v>
      </c>
      <c r="D497" s="1">
        <f ca="1">IFERROR(__xludf.DUMMYFUNCTION("""COMPUTED_VALUE"""),2.48)</f>
        <v>2.48</v>
      </c>
      <c r="E497" s="1">
        <f ca="1">IFERROR(__xludf.DUMMYFUNCTION("""COMPUTED_VALUE"""),2.54)</f>
        <v>2.54</v>
      </c>
      <c r="F497" s="1">
        <f ca="1">IFERROR(__xludf.DUMMYFUNCTION("""COMPUTED_VALUE"""),18616431)</f>
        <v>18616431</v>
      </c>
    </row>
    <row r="498" spans="1:6" x14ac:dyDescent="0.35">
      <c r="A498" s="2">
        <f ca="1">IFERROR(__xludf.DUMMYFUNCTION("""COMPUTED_VALUE"""),42724.6666666666)</f>
        <v>42724.666666666599</v>
      </c>
      <c r="B498" s="1">
        <f ca="1">IFERROR(__xludf.DUMMYFUNCTION("""COMPUTED_VALUE"""),2.61)</f>
        <v>2.61</v>
      </c>
      <c r="C498" s="1">
        <f ca="1">IFERROR(__xludf.DUMMYFUNCTION("""COMPUTED_VALUE"""),2.65)</f>
        <v>2.65</v>
      </c>
      <c r="D498" s="1">
        <f ca="1">IFERROR(__xludf.DUMMYFUNCTION("""COMPUTED_VALUE"""),2.6)</f>
        <v>2.6</v>
      </c>
      <c r="E498" s="1">
        <f ca="1">IFERROR(__xludf.DUMMYFUNCTION("""COMPUTED_VALUE"""),2.63)</f>
        <v>2.63</v>
      </c>
      <c r="F498" s="1">
        <f ca="1">IFERROR(__xludf.DUMMYFUNCTION("""COMPUTED_VALUE"""),21201433)</f>
        <v>21201433</v>
      </c>
    </row>
    <row r="499" spans="1:6" x14ac:dyDescent="0.35">
      <c r="A499" s="2">
        <f ca="1">IFERROR(__xludf.DUMMYFUNCTION("""COMPUTED_VALUE"""),42725.6666666666)</f>
        <v>42725.666666666599</v>
      </c>
      <c r="B499" s="1">
        <f ca="1">IFERROR(__xludf.DUMMYFUNCTION("""COMPUTED_VALUE"""),2.64)</f>
        <v>2.64</v>
      </c>
      <c r="C499" s="1">
        <f ca="1">IFERROR(__xludf.DUMMYFUNCTION("""COMPUTED_VALUE"""),2.65)</f>
        <v>2.65</v>
      </c>
      <c r="D499" s="1">
        <f ca="1">IFERROR(__xludf.DUMMYFUNCTION("""COMPUTED_VALUE"""),2.59)</f>
        <v>2.59</v>
      </c>
      <c r="E499" s="1">
        <f ca="1">IFERROR(__xludf.DUMMYFUNCTION("""COMPUTED_VALUE"""),2.65)</f>
        <v>2.65</v>
      </c>
      <c r="F499" s="1">
        <f ca="1">IFERROR(__xludf.DUMMYFUNCTION("""COMPUTED_VALUE"""),14403361)</f>
        <v>14403361</v>
      </c>
    </row>
    <row r="500" spans="1:6" x14ac:dyDescent="0.35">
      <c r="A500" s="2">
        <f ca="1">IFERROR(__xludf.DUMMYFUNCTION("""COMPUTED_VALUE"""),42726.6666666666)</f>
        <v>42726.666666666599</v>
      </c>
      <c r="B500" s="1">
        <f ca="1">IFERROR(__xludf.DUMMYFUNCTION("""COMPUTED_VALUE"""),2.67)</f>
        <v>2.67</v>
      </c>
      <c r="C500" s="1">
        <f ca="1">IFERROR(__xludf.DUMMYFUNCTION("""COMPUTED_VALUE"""),2.72)</f>
        <v>2.72</v>
      </c>
      <c r="D500" s="1">
        <f ca="1">IFERROR(__xludf.DUMMYFUNCTION("""COMPUTED_VALUE"""),2.66)</f>
        <v>2.66</v>
      </c>
      <c r="E500" s="1">
        <f ca="1">IFERROR(__xludf.DUMMYFUNCTION("""COMPUTED_VALUE"""),2.68)</f>
        <v>2.68</v>
      </c>
      <c r="F500" s="1">
        <f ca="1">IFERROR(__xludf.DUMMYFUNCTION("""COMPUTED_VALUE"""),17965259)</f>
        <v>17965259</v>
      </c>
    </row>
    <row r="501" spans="1:6" x14ac:dyDescent="0.35">
      <c r="A501" s="2">
        <f ca="1">IFERROR(__xludf.DUMMYFUNCTION("""COMPUTED_VALUE"""),42727.6666666666)</f>
        <v>42727.666666666599</v>
      </c>
      <c r="B501" s="1">
        <f ca="1">IFERROR(__xludf.DUMMYFUNCTION("""COMPUTED_VALUE"""),2.66)</f>
        <v>2.66</v>
      </c>
      <c r="C501" s="1">
        <f ca="1">IFERROR(__xludf.DUMMYFUNCTION("""COMPUTED_VALUE"""),2.75)</f>
        <v>2.75</v>
      </c>
      <c r="D501" s="1">
        <f ca="1">IFERROR(__xludf.DUMMYFUNCTION("""COMPUTED_VALUE"""),2.66)</f>
        <v>2.66</v>
      </c>
      <c r="E501" s="1">
        <f ca="1">IFERROR(__xludf.DUMMYFUNCTION("""COMPUTED_VALUE"""),2.74)</f>
        <v>2.74</v>
      </c>
      <c r="F501" s="1">
        <f ca="1">IFERROR(__xludf.DUMMYFUNCTION("""COMPUTED_VALUE"""),16192331)</f>
        <v>16192331</v>
      </c>
    </row>
    <row r="502" spans="1:6" x14ac:dyDescent="0.35">
      <c r="A502" s="2">
        <f ca="1">IFERROR(__xludf.DUMMYFUNCTION("""COMPUTED_VALUE"""),42731.6666666666)</f>
        <v>42731.666666666599</v>
      </c>
      <c r="B502" s="1">
        <f ca="1">IFERROR(__xludf.DUMMYFUNCTION("""COMPUTED_VALUE"""),2.8)</f>
        <v>2.8</v>
      </c>
      <c r="C502" s="1">
        <f ca="1">IFERROR(__xludf.DUMMYFUNCTION("""COMPUTED_VALUE"""),2.93)</f>
        <v>2.93</v>
      </c>
      <c r="D502" s="1">
        <f ca="1">IFERROR(__xludf.DUMMYFUNCTION("""COMPUTED_VALUE"""),2.78)</f>
        <v>2.78</v>
      </c>
      <c r="E502" s="1">
        <f ca="1">IFERROR(__xludf.DUMMYFUNCTION("""COMPUTED_VALUE"""),2.93)</f>
        <v>2.93</v>
      </c>
      <c r="F502" s="1">
        <f ca="1">IFERROR(__xludf.DUMMYFUNCTION("""COMPUTED_VALUE"""),29856842)</f>
        <v>29856842</v>
      </c>
    </row>
    <row r="503" spans="1:6" x14ac:dyDescent="0.35">
      <c r="A503" s="2">
        <f ca="1">IFERROR(__xludf.DUMMYFUNCTION("""COMPUTED_VALUE"""),42732.6666666666)</f>
        <v>42732.666666666599</v>
      </c>
      <c r="B503" s="1">
        <f ca="1">IFERROR(__xludf.DUMMYFUNCTION("""COMPUTED_VALUE"""),2.99)</f>
        <v>2.99</v>
      </c>
      <c r="C503" s="1">
        <f ca="1">IFERROR(__xludf.DUMMYFUNCTION("""COMPUTED_VALUE"""),3)</f>
        <v>3</v>
      </c>
      <c r="D503" s="1">
        <f ca="1">IFERROR(__xludf.DUMMYFUNCTION("""COMPUTED_VALUE"""),2.72)</f>
        <v>2.72</v>
      </c>
      <c r="E503" s="1">
        <f ca="1">IFERROR(__xludf.DUMMYFUNCTION("""COMPUTED_VALUE"""),2.73)</f>
        <v>2.73</v>
      </c>
      <c r="F503" s="1">
        <f ca="1">IFERROR(__xludf.DUMMYFUNCTION("""COMPUTED_VALUE"""),57394116)</f>
        <v>57394116</v>
      </c>
    </row>
    <row r="504" spans="1:6" x14ac:dyDescent="0.35">
      <c r="A504" s="2">
        <f ca="1">IFERROR(__xludf.DUMMYFUNCTION("""COMPUTED_VALUE"""),42733.6666666666)</f>
        <v>42733.666666666599</v>
      </c>
      <c r="B504" s="1">
        <f ca="1">IFERROR(__xludf.DUMMYFUNCTION("""COMPUTED_VALUE"""),2.62)</f>
        <v>2.62</v>
      </c>
      <c r="C504" s="1">
        <f ca="1">IFERROR(__xludf.DUMMYFUNCTION("""COMPUTED_VALUE"""),2.79)</f>
        <v>2.79</v>
      </c>
      <c r="D504" s="1">
        <f ca="1">IFERROR(__xludf.DUMMYFUNCTION("""COMPUTED_VALUE"""),2.57)</f>
        <v>2.57</v>
      </c>
      <c r="E504" s="1">
        <f ca="1">IFERROR(__xludf.DUMMYFUNCTION("""COMPUTED_VALUE"""),2.79)</f>
        <v>2.79</v>
      </c>
      <c r="F504" s="1">
        <f ca="1">IFERROR(__xludf.DUMMYFUNCTION("""COMPUTED_VALUE"""),54384182)</f>
        <v>54384182</v>
      </c>
    </row>
    <row r="505" spans="1:6" x14ac:dyDescent="0.35">
      <c r="A505" s="2">
        <f ca="1">IFERROR(__xludf.DUMMYFUNCTION("""COMPUTED_VALUE"""),42734.6666666666)</f>
        <v>42734.666666666599</v>
      </c>
      <c r="B505" s="1">
        <f ca="1">IFERROR(__xludf.DUMMYFUNCTION("""COMPUTED_VALUE"""),2.78)</f>
        <v>2.78</v>
      </c>
      <c r="C505" s="1">
        <f ca="1">IFERROR(__xludf.DUMMYFUNCTION("""COMPUTED_VALUE"""),2.8)</f>
        <v>2.8</v>
      </c>
      <c r="D505" s="1">
        <f ca="1">IFERROR(__xludf.DUMMYFUNCTION("""COMPUTED_VALUE"""),2.66)</f>
        <v>2.66</v>
      </c>
      <c r="E505" s="1">
        <f ca="1">IFERROR(__xludf.DUMMYFUNCTION("""COMPUTED_VALUE"""),2.67)</f>
        <v>2.67</v>
      </c>
      <c r="F505" s="1">
        <f ca="1">IFERROR(__xludf.DUMMYFUNCTION("""COMPUTED_VALUE"""),30323259)</f>
        <v>30323259</v>
      </c>
    </row>
    <row r="506" spans="1:6" x14ac:dyDescent="0.35">
      <c r="A506" s="2">
        <f ca="1">IFERROR(__xludf.DUMMYFUNCTION("""COMPUTED_VALUE"""),42738.6666666666)</f>
        <v>42738.666666666599</v>
      </c>
      <c r="B506" s="1">
        <f ca="1">IFERROR(__xludf.DUMMYFUNCTION("""COMPUTED_VALUE"""),2.61)</f>
        <v>2.61</v>
      </c>
      <c r="C506" s="1">
        <f ca="1">IFERROR(__xludf.DUMMYFUNCTION("""COMPUTED_VALUE"""),2.66)</f>
        <v>2.66</v>
      </c>
      <c r="D506" s="1">
        <f ca="1">IFERROR(__xludf.DUMMYFUNCTION("""COMPUTED_VALUE"""),2.48)</f>
        <v>2.48</v>
      </c>
      <c r="E506" s="1">
        <f ca="1">IFERROR(__xludf.DUMMYFUNCTION("""COMPUTED_VALUE"""),2.55)</f>
        <v>2.5499999999999998</v>
      </c>
      <c r="F506" s="1">
        <f ca="1">IFERROR(__xludf.DUMMYFUNCTION("""COMPUTED_VALUE"""),37549876)</f>
        <v>37549876</v>
      </c>
    </row>
    <row r="507" spans="1:6" x14ac:dyDescent="0.35">
      <c r="A507" s="2">
        <f ca="1">IFERROR(__xludf.DUMMYFUNCTION("""COMPUTED_VALUE"""),42739.6666666666)</f>
        <v>42739.666666666599</v>
      </c>
      <c r="B507" s="1">
        <f ca="1">IFERROR(__xludf.DUMMYFUNCTION("""COMPUTED_VALUE"""),2.59)</f>
        <v>2.59</v>
      </c>
      <c r="C507" s="1">
        <f ca="1">IFERROR(__xludf.DUMMYFUNCTION("""COMPUTED_VALUE"""),2.64)</f>
        <v>2.64</v>
      </c>
      <c r="D507" s="1">
        <f ca="1">IFERROR(__xludf.DUMMYFUNCTION("""COMPUTED_VALUE"""),2.54)</f>
        <v>2.54</v>
      </c>
      <c r="E507" s="1">
        <f ca="1">IFERROR(__xludf.DUMMYFUNCTION("""COMPUTED_VALUE"""),2.61)</f>
        <v>2.61</v>
      </c>
      <c r="F507" s="1">
        <f ca="1">IFERROR(__xludf.DUMMYFUNCTION("""COMPUTED_VALUE"""),29980506)</f>
        <v>29980506</v>
      </c>
    </row>
    <row r="508" spans="1:6" x14ac:dyDescent="0.35">
      <c r="A508" s="2">
        <f ca="1">IFERROR(__xludf.DUMMYFUNCTION("""COMPUTED_VALUE"""),42740.6666666666)</f>
        <v>42740.666666666599</v>
      </c>
      <c r="B508" s="1">
        <f ca="1">IFERROR(__xludf.DUMMYFUNCTION("""COMPUTED_VALUE"""),2.61)</f>
        <v>2.61</v>
      </c>
      <c r="C508" s="1">
        <f ca="1">IFERROR(__xludf.DUMMYFUNCTION("""COMPUTED_VALUE"""),2.65)</f>
        <v>2.65</v>
      </c>
      <c r="D508" s="1">
        <f ca="1">IFERROR(__xludf.DUMMYFUNCTION("""COMPUTED_VALUE"""),2.53)</f>
        <v>2.5299999999999998</v>
      </c>
      <c r="E508" s="1">
        <f ca="1">IFERROR(__xludf.DUMMYFUNCTION("""COMPUTED_VALUE"""),2.54)</f>
        <v>2.54</v>
      </c>
      <c r="F508" s="1">
        <f ca="1">IFERROR(__xludf.DUMMYFUNCTION("""COMPUTED_VALUE"""),24607382)</f>
        <v>24607382</v>
      </c>
    </row>
    <row r="509" spans="1:6" x14ac:dyDescent="0.35">
      <c r="A509" s="2">
        <f ca="1">IFERROR(__xludf.DUMMYFUNCTION("""COMPUTED_VALUE"""),42741.6666666666)</f>
        <v>42741.666666666599</v>
      </c>
      <c r="B509" s="1">
        <f ca="1">IFERROR(__xludf.DUMMYFUNCTION("""COMPUTED_VALUE"""),2.57)</f>
        <v>2.57</v>
      </c>
      <c r="C509" s="1">
        <f ca="1">IFERROR(__xludf.DUMMYFUNCTION("""COMPUTED_VALUE"""),2.61)</f>
        <v>2.61</v>
      </c>
      <c r="D509" s="1">
        <f ca="1">IFERROR(__xludf.DUMMYFUNCTION("""COMPUTED_VALUE"""),2.53)</f>
        <v>2.5299999999999998</v>
      </c>
      <c r="E509" s="1">
        <f ca="1">IFERROR(__xludf.DUMMYFUNCTION("""COMPUTED_VALUE"""),2.58)</f>
        <v>2.58</v>
      </c>
      <c r="F509" s="1">
        <f ca="1">IFERROR(__xludf.DUMMYFUNCTION("""COMPUTED_VALUE"""),20571416)</f>
        <v>20571416</v>
      </c>
    </row>
    <row r="510" spans="1:6" x14ac:dyDescent="0.35">
      <c r="A510" s="2">
        <f ca="1">IFERROR(__xludf.DUMMYFUNCTION("""COMPUTED_VALUE"""),42744.6666666666)</f>
        <v>42744.666666666599</v>
      </c>
      <c r="B510" s="1">
        <f ca="1">IFERROR(__xludf.DUMMYFUNCTION("""COMPUTED_VALUE"""),2.59)</f>
        <v>2.59</v>
      </c>
      <c r="C510" s="1">
        <f ca="1">IFERROR(__xludf.DUMMYFUNCTION("""COMPUTED_VALUE"""),2.7)</f>
        <v>2.7</v>
      </c>
      <c r="D510" s="1">
        <f ca="1">IFERROR(__xludf.DUMMYFUNCTION("""COMPUTED_VALUE"""),2.59)</f>
        <v>2.59</v>
      </c>
      <c r="E510" s="1">
        <f ca="1">IFERROR(__xludf.DUMMYFUNCTION("""COMPUTED_VALUE"""),2.68)</f>
        <v>2.68</v>
      </c>
      <c r="F510" s="1">
        <f ca="1">IFERROR(__xludf.DUMMYFUNCTION("""COMPUTED_VALUE"""),22906225)</f>
        <v>22906225</v>
      </c>
    </row>
    <row r="511" spans="1:6" x14ac:dyDescent="0.35">
      <c r="A511" s="2">
        <f ca="1">IFERROR(__xludf.DUMMYFUNCTION("""COMPUTED_VALUE"""),42745.6666666666)</f>
        <v>42745.666666666599</v>
      </c>
      <c r="B511" s="1">
        <f ca="1">IFERROR(__xludf.DUMMYFUNCTION("""COMPUTED_VALUE"""),2.7)</f>
        <v>2.7</v>
      </c>
      <c r="C511" s="1">
        <f ca="1">IFERROR(__xludf.DUMMYFUNCTION("""COMPUTED_VALUE"""),2.73)</f>
        <v>2.73</v>
      </c>
      <c r="D511" s="1">
        <f ca="1">IFERROR(__xludf.DUMMYFUNCTION("""COMPUTED_VALUE"""),2.64)</f>
        <v>2.64</v>
      </c>
      <c r="E511" s="1">
        <f ca="1">IFERROR(__xludf.DUMMYFUNCTION("""COMPUTED_VALUE"""),2.66)</f>
        <v>2.66</v>
      </c>
      <c r="F511" s="1">
        <f ca="1">IFERROR(__xludf.DUMMYFUNCTION("""COMPUTED_VALUE"""),22022969)</f>
        <v>22022969</v>
      </c>
    </row>
    <row r="512" spans="1:6" x14ac:dyDescent="0.35">
      <c r="A512" s="2">
        <f ca="1">IFERROR(__xludf.DUMMYFUNCTION("""COMPUTED_VALUE"""),42746.6666666666)</f>
        <v>42746.666666666599</v>
      </c>
      <c r="B512" s="1">
        <f ca="1">IFERROR(__xludf.DUMMYFUNCTION("""COMPUTED_VALUE"""),2.65)</f>
        <v>2.65</v>
      </c>
      <c r="C512" s="1">
        <f ca="1">IFERROR(__xludf.DUMMYFUNCTION("""COMPUTED_VALUE"""),2.66)</f>
        <v>2.66</v>
      </c>
      <c r="D512" s="1">
        <f ca="1">IFERROR(__xludf.DUMMYFUNCTION("""COMPUTED_VALUE"""),2.6)</f>
        <v>2.6</v>
      </c>
      <c r="E512" s="1">
        <f ca="1">IFERROR(__xludf.DUMMYFUNCTION("""COMPUTED_VALUE"""),2.63)</f>
        <v>2.63</v>
      </c>
      <c r="F512" s="1">
        <f ca="1">IFERROR(__xludf.DUMMYFUNCTION("""COMPUTED_VALUE"""),13141588)</f>
        <v>13141588</v>
      </c>
    </row>
    <row r="513" spans="1:6" x14ac:dyDescent="0.35">
      <c r="A513" s="2">
        <f ca="1">IFERROR(__xludf.DUMMYFUNCTION("""COMPUTED_VALUE"""),42747.6666666666)</f>
        <v>42747.666666666599</v>
      </c>
      <c r="B513" s="1">
        <f ca="1">IFERROR(__xludf.DUMMYFUNCTION("""COMPUTED_VALUE"""),2.61)</f>
        <v>2.61</v>
      </c>
      <c r="C513" s="1">
        <f ca="1">IFERROR(__xludf.DUMMYFUNCTION("""COMPUTED_VALUE"""),2.62)</f>
        <v>2.62</v>
      </c>
      <c r="D513" s="1">
        <f ca="1">IFERROR(__xludf.DUMMYFUNCTION("""COMPUTED_VALUE"""),2.54)</f>
        <v>2.54</v>
      </c>
      <c r="E513" s="1">
        <f ca="1">IFERROR(__xludf.DUMMYFUNCTION("""COMPUTED_VALUE"""),2.59)</f>
        <v>2.59</v>
      </c>
      <c r="F513" s="1">
        <f ca="1">IFERROR(__xludf.DUMMYFUNCTION("""COMPUTED_VALUE"""),15640414)</f>
        <v>15640414</v>
      </c>
    </row>
    <row r="514" spans="1:6" x14ac:dyDescent="0.35">
      <c r="A514" s="2">
        <f ca="1">IFERROR(__xludf.DUMMYFUNCTION("""COMPUTED_VALUE"""),42748.6666666666)</f>
        <v>42748.666666666599</v>
      </c>
      <c r="B514" s="1">
        <f ca="1">IFERROR(__xludf.DUMMYFUNCTION("""COMPUTED_VALUE"""),2.59)</f>
        <v>2.59</v>
      </c>
      <c r="C514" s="1">
        <f ca="1">IFERROR(__xludf.DUMMYFUNCTION("""COMPUTED_VALUE"""),2.63)</f>
        <v>2.63</v>
      </c>
      <c r="D514" s="1">
        <f ca="1">IFERROR(__xludf.DUMMYFUNCTION("""COMPUTED_VALUE"""),2.58)</f>
        <v>2.58</v>
      </c>
      <c r="E514" s="1">
        <f ca="1">IFERROR(__xludf.DUMMYFUNCTION("""COMPUTED_VALUE"""),2.59)</f>
        <v>2.59</v>
      </c>
      <c r="F514" s="1">
        <f ca="1">IFERROR(__xludf.DUMMYFUNCTION("""COMPUTED_VALUE"""),11445543)</f>
        <v>11445543</v>
      </c>
    </row>
    <row r="515" spans="1:6" x14ac:dyDescent="0.35">
      <c r="A515" s="2">
        <f ca="1">IFERROR(__xludf.DUMMYFUNCTION("""COMPUTED_VALUE"""),42752.6666666666)</f>
        <v>42752.666666666599</v>
      </c>
      <c r="B515" s="1">
        <f ca="1">IFERROR(__xludf.DUMMYFUNCTION("""COMPUTED_VALUE"""),2.58)</f>
        <v>2.58</v>
      </c>
      <c r="C515" s="1">
        <f ca="1">IFERROR(__xludf.DUMMYFUNCTION("""COMPUTED_VALUE"""),2.58)</f>
        <v>2.58</v>
      </c>
      <c r="D515" s="1">
        <f ca="1">IFERROR(__xludf.DUMMYFUNCTION("""COMPUTED_VALUE"""),2.51)</f>
        <v>2.5099999999999998</v>
      </c>
      <c r="E515" s="1">
        <f ca="1">IFERROR(__xludf.DUMMYFUNCTION("""COMPUTED_VALUE"""),2.53)</f>
        <v>2.5299999999999998</v>
      </c>
      <c r="F515" s="1">
        <f ca="1">IFERROR(__xludf.DUMMYFUNCTION("""COMPUTED_VALUE"""),14515259)</f>
        <v>14515259</v>
      </c>
    </row>
    <row r="516" spans="1:6" x14ac:dyDescent="0.35">
      <c r="A516" s="2">
        <f ca="1">IFERROR(__xludf.DUMMYFUNCTION("""COMPUTED_VALUE"""),42753.6666666666)</f>
        <v>42753.666666666599</v>
      </c>
      <c r="B516" s="1">
        <f ca="1">IFERROR(__xludf.DUMMYFUNCTION("""COMPUTED_VALUE"""),2.51)</f>
        <v>2.5099999999999998</v>
      </c>
      <c r="C516" s="1">
        <f ca="1">IFERROR(__xludf.DUMMYFUNCTION("""COMPUTED_VALUE"""),2.58)</f>
        <v>2.58</v>
      </c>
      <c r="D516" s="1">
        <f ca="1">IFERROR(__xludf.DUMMYFUNCTION("""COMPUTED_VALUE"""),2.48)</f>
        <v>2.48</v>
      </c>
      <c r="E516" s="1">
        <f ca="1">IFERROR(__xludf.DUMMYFUNCTION("""COMPUTED_VALUE"""),2.57)</f>
        <v>2.57</v>
      </c>
      <c r="F516" s="1">
        <f ca="1">IFERROR(__xludf.DUMMYFUNCTION("""COMPUTED_VALUE"""),16360615)</f>
        <v>16360615</v>
      </c>
    </row>
    <row r="517" spans="1:6" x14ac:dyDescent="0.35">
      <c r="A517" s="2">
        <f ca="1">IFERROR(__xludf.DUMMYFUNCTION("""COMPUTED_VALUE"""),42754.6666666666)</f>
        <v>42754.666666666599</v>
      </c>
      <c r="B517" s="1">
        <f ca="1">IFERROR(__xludf.DUMMYFUNCTION("""COMPUTED_VALUE"""),2.58)</f>
        <v>2.58</v>
      </c>
      <c r="C517" s="1">
        <f ca="1">IFERROR(__xludf.DUMMYFUNCTION("""COMPUTED_VALUE"""),2.66)</f>
        <v>2.66</v>
      </c>
      <c r="D517" s="1">
        <f ca="1">IFERROR(__xludf.DUMMYFUNCTION("""COMPUTED_VALUE"""),2.57)</f>
        <v>2.57</v>
      </c>
      <c r="E517" s="1">
        <f ca="1">IFERROR(__xludf.DUMMYFUNCTION("""COMPUTED_VALUE"""),2.63)</f>
        <v>2.63</v>
      </c>
      <c r="F517" s="1">
        <f ca="1">IFERROR(__xludf.DUMMYFUNCTION("""COMPUTED_VALUE"""),16121778)</f>
        <v>16121778</v>
      </c>
    </row>
    <row r="518" spans="1:6" x14ac:dyDescent="0.35">
      <c r="A518" s="2">
        <f ca="1">IFERROR(__xludf.DUMMYFUNCTION("""COMPUTED_VALUE"""),42755.6666666666)</f>
        <v>42755.666666666599</v>
      </c>
      <c r="B518" s="1">
        <f ca="1">IFERROR(__xludf.DUMMYFUNCTION("""COMPUTED_VALUE"""),2.65)</f>
        <v>2.65</v>
      </c>
      <c r="C518" s="1">
        <f ca="1">IFERROR(__xludf.DUMMYFUNCTION("""COMPUTED_VALUE"""),2.67)</f>
        <v>2.67</v>
      </c>
      <c r="D518" s="1">
        <f ca="1">IFERROR(__xludf.DUMMYFUNCTION("""COMPUTED_VALUE"""),2.58)</f>
        <v>2.58</v>
      </c>
      <c r="E518" s="1">
        <f ca="1">IFERROR(__xludf.DUMMYFUNCTION("""COMPUTED_VALUE"""),2.6)</f>
        <v>2.6</v>
      </c>
      <c r="F518" s="1">
        <f ca="1">IFERROR(__xludf.DUMMYFUNCTION("""COMPUTED_VALUE"""),12300557)</f>
        <v>12300557</v>
      </c>
    </row>
    <row r="519" spans="1:6" x14ac:dyDescent="0.35">
      <c r="A519" s="2">
        <f ca="1">IFERROR(__xludf.DUMMYFUNCTION("""COMPUTED_VALUE"""),42758.6666666666)</f>
        <v>42758.666666666599</v>
      </c>
      <c r="B519" s="1">
        <f ca="1">IFERROR(__xludf.DUMMYFUNCTION("""COMPUTED_VALUE"""),2.6)</f>
        <v>2.6</v>
      </c>
      <c r="C519" s="1">
        <f ca="1">IFERROR(__xludf.DUMMYFUNCTION("""COMPUTED_VALUE"""),2.65)</f>
        <v>2.65</v>
      </c>
      <c r="D519" s="1">
        <f ca="1">IFERROR(__xludf.DUMMYFUNCTION("""COMPUTED_VALUE"""),2.59)</f>
        <v>2.59</v>
      </c>
      <c r="E519" s="1">
        <f ca="1">IFERROR(__xludf.DUMMYFUNCTION("""COMPUTED_VALUE"""),2.63)</f>
        <v>2.63</v>
      </c>
      <c r="F519" s="1">
        <f ca="1">IFERROR(__xludf.DUMMYFUNCTION("""COMPUTED_VALUE"""),9247639)</f>
        <v>9247639</v>
      </c>
    </row>
    <row r="520" spans="1:6" x14ac:dyDescent="0.35">
      <c r="A520" s="2">
        <f ca="1">IFERROR(__xludf.DUMMYFUNCTION("""COMPUTED_VALUE"""),42759.6666666666)</f>
        <v>42759.666666666599</v>
      </c>
      <c r="B520" s="1">
        <f ca="1">IFERROR(__xludf.DUMMYFUNCTION("""COMPUTED_VALUE"""),2.64)</f>
        <v>2.64</v>
      </c>
      <c r="C520" s="1">
        <f ca="1">IFERROR(__xludf.DUMMYFUNCTION("""COMPUTED_VALUE"""),2.69)</f>
        <v>2.69</v>
      </c>
      <c r="D520" s="1">
        <f ca="1">IFERROR(__xludf.DUMMYFUNCTION("""COMPUTED_VALUE"""),2.62)</f>
        <v>2.62</v>
      </c>
      <c r="E520" s="1">
        <f ca="1">IFERROR(__xludf.DUMMYFUNCTION("""COMPUTED_VALUE"""),2.68)</f>
        <v>2.68</v>
      </c>
      <c r="F520" s="1">
        <f ca="1">IFERROR(__xludf.DUMMYFUNCTION("""COMPUTED_VALUE"""),10701271)</f>
        <v>10701271</v>
      </c>
    </row>
    <row r="521" spans="1:6" x14ac:dyDescent="0.35">
      <c r="A521" s="2">
        <f ca="1">IFERROR(__xludf.DUMMYFUNCTION("""COMPUTED_VALUE"""),42760.6666666666)</f>
        <v>42760.666666666599</v>
      </c>
      <c r="B521" s="1">
        <f ca="1">IFERROR(__xludf.DUMMYFUNCTION("""COMPUTED_VALUE"""),2.73)</f>
        <v>2.73</v>
      </c>
      <c r="C521" s="1">
        <f ca="1">IFERROR(__xludf.DUMMYFUNCTION("""COMPUTED_VALUE"""),2.73)</f>
        <v>2.73</v>
      </c>
      <c r="D521" s="1">
        <f ca="1">IFERROR(__xludf.DUMMYFUNCTION("""COMPUTED_VALUE"""),2.66)</f>
        <v>2.66</v>
      </c>
      <c r="E521" s="1">
        <f ca="1">IFERROR(__xludf.DUMMYFUNCTION("""COMPUTED_VALUE"""),2.69)</f>
        <v>2.69</v>
      </c>
      <c r="F521" s="1">
        <f ca="1">IFERROR(__xludf.DUMMYFUNCTION("""COMPUTED_VALUE"""),13084499)</f>
        <v>13084499</v>
      </c>
    </row>
    <row r="522" spans="1:6" x14ac:dyDescent="0.35">
      <c r="A522" s="2">
        <f ca="1">IFERROR(__xludf.DUMMYFUNCTION("""COMPUTED_VALUE"""),42761.6666666666)</f>
        <v>42761.666666666599</v>
      </c>
      <c r="B522" s="1">
        <f ca="1">IFERROR(__xludf.DUMMYFUNCTION("""COMPUTED_VALUE"""),2.7)</f>
        <v>2.7</v>
      </c>
      <c r="C522" s="1">
        <f ca="1">IFERROR(__xludf.DUMMYFUNCTION("""COMPUTED_VALUE"""),2.75)</f>
        <v>2.75</v>
      </c>
      <c r="D522" s="1">
        <f ca="1">IFERROR(__xludf.DUMMYFUNCTION("""COMPUTED_VALUE"""),2.67)</f>
        <v>2.67</v>
      </c>
      <c r="E522" s="1">
        <f ca="1">IFERROR(__xludf.DUMMYFUNCTION("""COMPUTED_VALUE"""),2.74)</f>
        <v>2.74</v>
      </c>
      <c r="F522" s="1">
        <f ca="1">IFERROR(__xludf.DUMMYFUNCTION("""COMPUTED_VALUE"""),11469970)</f>
        <v>11469970</v>
      </c>
    </row>
    <row r="523" spans="1:6" x14ac:dyDescent="0.35">
      <c r="A523" s="2">
        <f ca="1">IFERROR(__xludf.DUMMYFUNCTION("""COMPUTED_VALUE"""),42762.6666666666)</f>
        <v>42762.666666666599</v>
      </c>
      <c r="B523" s="1">
        <f ca="1">IFERROR(__xludf.DUMMYFUNCTION("""COMPUTED_VALUE"""),2.75)</f>
        <v>2.75</v>
      </c>
      <c r="C523" s="1">
        <f ca="1">IFERROR(__xludf.DUMMYFUNCTION("""COMPUTED_VALUE"""),2.8)</f>
        <v>2.8</v>
      </c>
      <c r="D523" s="1">
        <f ca="1">IFERROR(__xludf.DUMMYFUNCTION("""COMPUTED_VALUE"""),2.72)</f>
        <v>2.72</v>
      </c>
      <c r="E523" s="1">
        <f ca="1">IFERROR(__xludf.DUMMYFUNCTION("""COMPUTED_VALUE"""),2.79)</f>
        <v>2.79</v>
      </c>
      <c r="F523" s="1">
        <f ca="1">IFERROR(__xludf.DUMMYFUNCTION("""COMPUTED_VALUE"""),11799929)</f>
        <v>11799929</v>
      </c>
    </row>
    <row r="524" spans="1:6" x14ac:dyDescent="0.35">
      <c r="A524" s="2">
        <f ca="1">IFERROR(__xludf.DUMMYFUNCTION("""COMPUTED_VALUE"""),42765.6666666666)</f>
        <v>42765.666666666599</v>
      </c>
      <c r="B524" s="1">
        <f ca="1">IFERROR(__xludf.DUMMYFUNCTION("""COMPUTED_VALUE"""),2.77)</f>
        <v>2.77</v>
      </c>
      <c r="C524" s="1">
        <f ca="1">IFERROR(__xludf.DUMMYFUNCTION("""COMPUTED_VALUE"""),2.78)</f>
        <v>2.78</v>
      </c>
      <c r="D524" s="1">
        <f ca="1">IFERROR(__xludf.DUMMYFUNCTION("""COMPUTED_VALUE"""),2.7)</f>
        <v>2.7</v>
      </c>
      <c r="E524" s="1">
        <f ca="1">IFERROR(__xludf.DUMMYFUNCTION("""COMPUTED_VALUE"""),2.75)</f>
        <v>2.75</v>
      </c>
      <c r="F524" s="1">
        <f ca="1">IFERROR(__xludf.DUMMYFUNCTION("""COMPUTED_VALUE"""),12400084)</f>
        <v>12400084</v>
      </c>
    </row>
    <row r="525" spans="1:6" x14ac:dyDescent="0.35">
      <c r="A525" s="2">
        <f ca="1">IFERROR(__xludf.DUMMYFUNCTION("""COMPUTED_VALUE"""),42766.6666666666)</f>
        <v>42766.666666666599</v>
      </c>
      <c r="B525" s="1">
        <f ca="1">IFERROR(__xludf.DUMMYFUNCTION("""COMPUTED_VALUE"""),2.72)</f>
        <v>2.72</v>
      </c>
      <c r="C525" s="1">
        <f ca="1">IFERROR(__xludf.DUMMYFUNCTION("""COMPUTED_VALUE"""),2.75)</f>
        <v>2.75</v>
      </c>
      <c r="D525" s="1">
        <f ca="1">IFERROR(__xludf.DUMMYFUNCTION("""COMPUTED_VALUE"""),2.71)</f>
        <v>2.71</v>
      </c>
      <c r="E525" s="1">
        <f ca="1">IFERROR(__xludf.DUMMYFUNCTION("""COMPUTED_VALUE"""),2.73)</f>
        <v>2.73</v>
      </c>
      <c r="F525" s="1">
        <f ca="1">IFERROR(__xludf.DUMMYFUNCTION("""COMPUTED_VALUE"""),9068865)</f>
        <v>9068865</v>
      </c>
    </row>
    <row r="526" spans="1:6" x14ac:dyDescent="0.35">
      <c r="A526" s="2">
        <f ca="1">IFERROR(__xludf.DUMMYFUNCTION("""COMPUTED_VALUE"""),42767.6666666666)</f>
        <v>42767.666666666599</v>
      </c>
      <c r="B526" s="1">
        <f ca="1">IFERROR(__xludf.DUMMYFUNCTION("""COMPUTED_VALUE"""),2.76)</f>
        <v>2.76</v>
      </c>
      <c r="C526" s="1">
        <f ca="1">IFERROR(__xludf.DUMMYFUNCTION("""COMPUTED_VALUE"""),2.85)</f>
        <v>2.85</v>
      </c>
      <c r="D526" s="1">
        <f ca="1">IFERROR(__xludf.DUMMYFUNCTION("""COMPUTED_VALUE"""),2.75)</f>
        <v>2.75</v>
      </c>
      <c r="E526" s="1">
        <f ca="1">IFERROR(__xludf.DUMMYFUNCTION("""COMPUTED_VALUE"""),2.85)</f>
        <v>2.85</v>
      </c>
      <c r="F526" s="1">
        <f ca="1">IFERROR(__xludf.DUMMYFUNCTION("""COMPUTED_VALUE"""),14750082)</f>
        <v>14750082</v>
      </c>
    </row>
    <row r="527" spans="1:6" x14ac:dyDescent="0.35">
      <c r="A527" s="2">
        <f ca="1">IFERROR(__xludf.DUMMYFUNCTION("""COMPUTED_VALUE"""),42768.6666666666)</f>
        <v>42768.666666666599</v>
      </c>
      <c r="B527" s="1">
        <f ca="1">IFERROR(__xludf.DUMMYFUNCTION("""COMPUTED_VALUE"""),2.83)</f>
        <v>2.83</v>
      </c>
      <c r="C527" s="1">
        <f ca="1">IFERROR(__xludf.DUMMYFUNCTION("""COMPUTED_VALUE"""),2.89)</f>
        <v>2.89</v>
      </c>
      <c r="D527" s="1">
        <f ca="1">IFERROR(__xludf.DUMMYFUNCTION("""COMPUTED_VALUE"""),2.8)</f>
        <v>2.8</v>
      </c>
      <c r="E527" s="1">
        <f ca="1">IFERROR(__xludf.DUMMYFUNCTION("""COMPUTED_VALUE"""),2.88)</f>
        <v>2.88</v>
      </c>
      <c r="F527" s="1">
        <f ca="1">IFERROR(__xludf.DUMMYFUNCTION("""COMPUTED_VALUE"""),12081040)</f>
        <v>12081040</v>
      </c>
    </row>
    <row r="528" spans="1:6" x14ac:dyDescent="0.35">
      <c r="A528" s="2">
        <f ca="1">IFERROR(__xludf.DUMMYFUNCTION("""COMPUTED_VALUE"""),42769.6666666666)</f>
        <v>42769.666666666599</v>
      </c>
      <c r="B528" s="1">
        <f ca="1">IFERROR(__xludf.DUMMYFUNCTION("""COMPUTED_VALUE"""),2.89)</f>
        <v>2.89</v>
      </c>
      <c r="C528" s="1">
        <f ca="1">IFERROR(__xludf.DUMMYFUNCTION("""COMPUTED_VALUE"""),2.9)</f>
        <v>2.9</v>
      </c>
      <c r="D528" s="1">
        <f ca="1">IFERROR(__xludf.DUMMYFUNCTION("""COMPUTED_VALUE"""),2.85)</f>
        <v>2.85</v>
      </c>
      <c r="E528" s="1">
        <f ca="1">IFERROR(__xludf.DUMMYFUNCTION("""COMPUTED_VALUE"""),2.86)</f>
        <v>2.86</v>
      </c>
      <c r="F528" s="1">
        <f ca="1">IFERROR(__xludf.DUMMYFUNCTION("""COMPUTED_VALUE"""),9318633)</f>
        <v>9318633</v>
      </c>
    </row>
    <row r="529" spans="1:6" x14ac:dyDescent="0.35">
      <c r="A529" s="2">
        <f ca="1">IFERROR(__xludf.DUMMYFUNCTION("""COMPUTED_VALUE"""),42772.6666666666)</f>
        <v>42772.666666666599</v>
      </c>
      <c r="B529" s="1">
        <f ca="1">IFERROR(__xludf.DUMMYFUNCTION("""COMPUTED_VALUE"""),2.85)</f>
        <v>2.85</v>
      </c>
      <c r="C529" s="1">
        <f ca="1">IFERROR(__xludf.DUMMYFUNCTION("""COMPUTED_VALUE"""),2.93)</f>
        <v>2.93</v>
      </c>
      <c r="D529" s="1">
        <f ca="1">IFERROR(__xludf.DUMMYFUNCTION("""COMPUTED_VALUE"""),2.85)</f>
        <v>2.85</v>
      </c>
      <c r="E529" s="1">
        <f ca="1">IFERROR(__xludf.DUMMYFUNCTION("""COMPUTED_VALUE"""),2.93)</f>
        <v>2.93</v>
      </c>
      <c r="F529" s="1">
        <f ca="1">IFERROR(__xludf.DUMMYFUNCTION("""COMPUTED_VALUE"""),12669205)</f>
        <v>12669205</v>
      </c>
    </row>
    <row r="530" spans="1:6" x14ac:dyDescent="0.35">
      <c r="A530" s="2">
        <f ca="1">IFERROR(__xludf.DUMMYFUNCTION("""COMPUTED_VALUE"""),42773.6666666666)</f>
        <v>42773.666666666599</v>
      </c>
      <c r="B530" s="1">
        <f ca="1">IFERROR(__xludf.DUMMYFUNCTION("""COMPUTED_VALUE"""),2.97)</f>
        <v>2.97</v>
      </c>
      <c r="C530" s="1">
        <f ca="1">IFERROR(__xludf.DUMMYFUNCTION("""COMPUTED_VALUE"""),3.02)</f>
        <v>3.02</v>
      </c>
      <c r="D530" s="1">
        <f ca="1">IFERROR(__xludf.DUMMYFUNCTION("""COMPUTED_VALUE"""),2.95)</f>
        <v>2.95</v>
      </c>
      <c r="E530" s="1">
        <f ca="1">IFERROR(__xludf.DUMMYFUNCTION("""COMPUTED_VALUE"""),2.98)</f>
        <v>2.98</v>
      </c>
      <c r="F530" s="1">
        <f ca="1">IFERROR(__xludf.DUMMYFUNCTION("""COMPUTED_VALUE"""),18655567)</f>
        <v>18655567</v>
      </c>
    </row>
    <row r="531" spans="1:6" x14ac:dyDescent="0.35">
      <c r="A531" s="2">
        <f ca="1">IFERROR(__xludf.DUMMYFUNCTION("""COMPUTED_VALUE"""),42774.6666666666)</f>
        <v>42774.666666666599</v>
      </c>
      <c r="B531" s="1">
        <f ca="1">IFERROR(__xludf.DUMMYFUNCTION("""COMPUTED_VALUE"""),2.96)</f>
        <v>2.96</v>
      </c>
      <c r="C531" s="1">
        <f ca="1">IFERROR(__xludf.DUMMYFUNCTION("""COMPUTED_VALUE"""),2.98)</f>
        <v>2.98</v>
      </c>
      <c r="D531" s="1">
        <f ca="1">IFERROR(__xludf.DUMMYFUNCTION("""COMPUTED_VALUE"""),2.91)</f>
        <v>2.91</v>
      </c>
      <c r="E531" s="1">
        <f ca="1">IFERROR(__xludf.DUMMYFUNCTION("""COMPUTED_VALUE"""),2.97)</f>
        <v>2.97</v>
      </c>
      <c r="F531" s="1">
        <f ca="1">IFERROR(__xludf.DUMMYFUNCTION("""COMPUTED_VALUE"""),11239487)</f>
        <v>11239487</v>
      </c>
    </row>
    <row r="532" spans="1:6" x14ac:dyDescent="0.35">
      <c r="A532" s="2">
        <f ca="1">IFERROR(__xludf.DUMMYFUNCTION("""COMPUTED_VALUE"""),42775.6666666666)</f>
        <v>42775.666666666599</v>
      </c>
      <c r="B532" s="1">
        <f ca="1">IFERROR(__xludf.DUMMYFUNCTION("""COMPUTED_VALUE"""),2.97)</f>
        <v>2.97</v>
      </c>
      <c r="C532" s="1">
        <f ca="1">IFERROR(__xludf.DUMMYFUNCTION("""COMPUTED_VALUE"""),2.98)</f>
        <v>2.98</v>
      </c>
      <c r="D532" s="1">
        <f ca="1">IFERROR(__xludf.DUMMYFUNCTION("""COMPUTED_VALUE"""),2.89)</f>
        <v>2.89</v>
      </c>
      <c r="E532" s="1">
        <f ca="1">IFERROR(__xludf.DUMMYFUNCTION("""COMPUTED_VALUE"""),2.91)</f>
        <v>2.91</v>
      </c>
      <c r="F532" s="1">
        <f ca="1">IFERROR(__xludf.DUMMYFUNCTION("""COMPUTED_VALUE"""),21064178)</f>
        <v>21064178</v>
      </c>
    </row>
    <row r="533" spans="1:6" x14ac:dyDescent="0.35">
      <c r="A533" s="2">
        <f ca="1">IFERROR(__xludf.DUMMYFUNCTION("""COMPUTED_VALUE"""),42776.6666666666)</f>
        <v>42776.666666666599</v>
      </c>
      <c r="B533" s="1">
        <f ca="1">IFERROR(__xludf.DUMMYFUNCTION("""COMPUTED_VALUE"""),3)</f>
        <v>3</v>
      </c>
      <c r="C533" s="1">
        <f ca="1">IFERROR(__xludf.DUMMYFUNCTION("""COMPUTED_VALUE"""),3.02)</f>
        <v>3.02</v>
      </c>
      <c r="D533" s="1">
        <f ca="1">IFERROR(__xludf.DUMMYFUNCTION("""COMPUTED_VALUE"""),2.82)</f>
        <v>2.82</v>
      </c>
      <c r="E533" s="1">
        <f ca="1">IFERROR(__xludf.DUMMYFUNCTION("""COMPUTED_VALUE"""),2.84)</f>
        <v>2.84</v>
      </c>
      <c r="F533" s="1">
        <f ca="1">IFERROR(__xludf.DUMMYFUNCTION("""COMPUTED_VALUE"""),41277341)</f>
        <v>41277341</v>
      </c>
    </row>
    <row r="534" spans="1:6" x14ac:dyDescent="0.35">
      <c r="A534" s="2">
        <f ca="1">IFERROR(__xludf.DUMMYFUNCTION("""COMPUTED_VALUE"""),42779.6666666666)</f>
        <v>42779.666666666599</v>
      </c>
      <c r="B534" s="1">
        <f ca="1">IFERROR(__xludf.DUMMYFUNCTION("""COMPUTED_VALUE"""),2.83)</f>
        <v>2.83</v>
      </c>
      <c r="C534" s="1">
        <f ca="1">IFERROR(__xludf.DUMMYFUNCTION("""COMPUTED_VALUE"""),2.85)</f>
        <v>2.85</v>
      </c>
      <c r="D534" s="1">
        <f ca="1">IFERROR(__xludf.DUMMYFUNCTION("""COMPUTED_VALUE"""),2.71)</f>
        <v>2.71</v>
      </c>
      <c r="E534" s="1">
        <f ca="1">IFERROR(__xludf.DUMMYFUNCTION("""COMPUTED_VALUE"""),2.71)</f>
        <v>2.71</v>
      </c>
      <c r="F534" s="1">
        <f ca="1">IFERROR(__xludf.DUMMYFUNCTION("""COMPUTED_VALUE"""),29518071)</f>
        <v>29518071</v>
      </c>
    </row>
    <row r="535" spans="1:6" x14ac:dyDescent="0.35">
      <c r="A535" s="2">
        <f ca="1">IFERROR(__xludf.DUMMYFUNCTION("""COMPUTED_VALUE"""),42780.6666666666)</f>
        <v>42780.666666666599</v>
      </c>
      <c r="B535" s="1">
        <f ca="1">IFERROR(__xludf.DUMMYFUNCTION("""COMPUTED_VALUE"""),2.7)</f>
        <v>2.7</v>
      </c>
      <c r="C535" s="1">
        <f ca="1">IFERROR(__xludf.DUMMYFUNCTION("""COMPUTED_VALUE"""),2.75)</f>
        <v>2.75</v>
      </c>
      <c r="D535" s="1">
        <f ca="1">IFERROR(__xludf.DUMMYFUNCTION("""COMPUTED_VALUE"""),2.66)</f>
        <v>2.66</v>
      </c>
      <c r="E535" s="1">
        <f ca="1">IFERROR(__xludf.DUMMYFUNCTION("""COMPUTED_VALUE"""),2.72)</f>
        <v>2.72</v>
      </c>
      <c r="F535" s="1">
        <f ca="1">IFERROR(__xludf.DUMMYFUNCTION("""COMPUTED_VALUE"""),21265787)</f>
        <v>21265787</v>
      </c>
    </row>
    <row r="536" spans="1:6" x14ac:dyDescent="0.35">
      <c r="A536" s="2">
        <f ca="1">IFERROR(__xludf.DUMMYFUNCTION("""COMPUTED_VALUE"""),42781.6666666666)</f>
        <v>42781.666666666599</v>
      </c>
      <c r="B536" s="1">
        <f ca="1">IFERROR(__xludf.DUMMYFUNCTION("""COMPUTED_VALUE"""),2.72)</f>
        <v>2.72</v>
      </c>
      <c r="C536" s="1">
        <f ca="1">IFERROR(__xludf.DUMMYFUNCTION("""COMPUTED_VALUE"""),2.75)</f>
        <v>2.75</v>
      </c>
      <c r="D536" s="1">
        <f ca="1">IFERROR(__xludf.DUMMYFUNCTION("""COMPUTED_VALUE"""),2.69)</f>
        <v>2.69</v>
      </c>
      <c r="E536" s="1">
        <f ca="1">IFERROR(__xludf.DUMMYFUNCTION("""COMPUTED_VALUE"""),2.73)</f>
        <v>2.73</v>
      </c>
      <c r="F536" s="1">
        <f ca="1">IFERROR(__xludf.DUMMYFUNCTION("""COMPUTED_VALUE"""),9325512)</f>
        <v>9325512</v>
      </c>
    </row>
    <row r="537" spans="1:6" x14ac:dyDescent="0.35">
      <c r="A537" s="2">
        <f ca="1">IFERROR(__xludf.DUMMYFUNCTION("""COMPUTED_VALUE"""),42782.6666666666)</f>
        <v>42782.666666666599</v>
      </c>
      <c r="B537" s="1">
        <f ca="1">IFERROR(__xludf.DUMMYFUNCTION("""COMPUTED_VALUE"""),2.73)</f>
        <v>2.73</v>
      </c>
      <c r="C537" s="1">
        <f ca="1">IFERROR(__xludf.DUMMYFUNCTION("""COMPUTED_VALUE"""),2.74)</f>
        <v>2.74</v>
      </c>
      <c r="D537" s="1">
        <f ca="1">IFERROR(__xludf.DUMMYFUNCTION("""COMPUTED_VALUE"""),2.64)</f>
        <v>2.64</v>
      </c>
      <c r="E537" s="1">
        <f ca="1">IFERROR(__xludf.DUMMYFUNCTION("""COMPUTED_VALUE"""),2.68)</f>
        <v>2.68</v>
      </c>
      <c r="F537" s="1">
        <f ca="1">IFERROR(__xludf.DUMMYFUNCTION("""COMPUTED_VALUE"""),16179386)</f>
        <v>16179386</v>
      </c>
    </row>
    <row r="538" spans="1:6" x14ac:dyDescent="0.35">
      <c r="A538" s="2">
        <f ca="1">IFERROR(__xludf.DUMMYFUNCTION("""COMPUTED_VALUE"""),42783.6666666666)</f>
        <v>42783.666666666599</v>
      </c>
      <c r="B538" s="1">
        <f ca="1">IFERROR(__xludf.DUMMYFUNCTION("""COMPUTED_VALUE"""),2.67)</f>
        <v>2.67</v>
      </c>
      <c r="C538" s="1">
        <f ca="1">IFERROR(__xludf.DUMMYFUNCTION("""COMPUTED_VALUE"""),2.69)</f>
        <v>2.69</v>
      </c>
      <c r="D538" s="1">
        <f ca="1">IFERROR(__xludf.DUMMYFUNCTION("""COMPUTED_VALUE"""),2.62)</f>
        <v>2.62</v>
      </c>
      <c r="E538" s="1">
        <f ca="1">IFERROR(__xludf.DUMMYFUNCTION("""COMPUTED_VALUE"""),2.68)</f>
        <v>2.68</v>
      </c>
      <c r="F538" s="1">
        <f ca="1">IFERROR(__xludf.DUMMYFUNCTION("""COMPUTED_VALUE"""),14093465)</f>
        <v>14093465</v>
      </c>
    </row>
    <row r="539" spans="1:6" x14ac:dyDescent="0.35">
      <c r="A539" s="2">
        <f ca="1">IFERROR(__xludf.DUMMYFUNCTION("""COMPUTED_VALUE"""),42787.6666666666)</f>
        <v>42787.666666666599</v>
      </c>
      <c r="B539" s="1">
        <f ca="1">IFERROR(__xludf.DUMMYFUNCTION("""COMPUTED_VALUE"""),2.71)</f>
        <v>2.71</v>
      </c>
      <c r="C539" s="1">
        <f ca="1">IFERROR(__xludf.DUMMYFUNCTION("""COMPUTED_VALUE"""),2.78)</f>
        <v>2.78</v>
      </c>
      <c r="D539" s="1">
        <f ca="1">IFERROR(__xludf.DUMMYFUNCTION("""COMPUTED_VALUE"""),2.71)</f>
        <v>2.71</v>
      </c>
      <c r="E539" s="1">
        <f ca="1">IFERROR(__xludf.DUMMYFUNCTION("""COMPUTED_VALUE"""),2.78)</f>
        <v>2.78</v>
      </c>
      <c r="F539" s="1">
        <f ca="1">IFERROR(__xludf.DUMMYFUNCTION("""COMPUTED_VALUE"""),13798783)</f>
        <v>13798783</v>
      </c>
    </row>
    <row r="540" spans="1:6" x14ac:dyDescent="0.35">
      <c r="A540" s="2">
        <f ca="1">IFERROR(__xludf.DUMMYFUNCTION("""COMPUTED_VALUE"""),42788.6666666666)</f>
        <v>42788.666666666599</v>
      </c>
      <c r="B540" s="1">
        <f ca="1">IFERROR(__xludf.DUMMYFUNCTION("""COMPUTED_VALUE"""),2.79)</f>
        <v>2.79</v>
      </c>
      <c r="C540" s="1">
        <f ca="1">IFERROR(__xludf.DUMMYFUNCTION("""COMPUTED_VALUE"""),2.8)</f>
        <v>2.8</v>
      </c>
      <c r="D540" s="1">
        <f ca="1">IFERROR(__xludf.DUMMYFUNCTION("""COMPUTED_VALUE"""),2.75)</f>
        <v>2.75</v>
      </c>
      <c r="E540" s="1">
        <f ca="1">IFERROR(__xludf.DUMMYFUNCTION("""COMPUTED_VALUE"""),2.77)</f>
        <v>2.77</v>
      </c>
      <c r="F540" s="1">
        <f ca="1">IFERROR(__xludf.DUMMYFUNCTION("""COMPUTED_VALUE"""),10844256)</f>
        <v>10844256</v>
      </c>
    </row>
    <row r="541" spans="1:6" x14ac:dyDescent="0.35">
      <c r="A541" s="2">
        <f ca="1">IFERROR(__xludf.DUMMYFUNCTION("""COMPUTED_VALUE"""),42789.6666666666)</f>
        <v>42789.666666666599</v>
      </c>
      <c r="B541" s="1">
        <f ca="1">IFERROR(__xludf.DUMMYFUNCTION("""COMPUTED_VALUE"""),2.64)</f>
        <v>2.64</v>
      </c>
      <c r="C541" s="1">
        <f ca="1">IFERROR(__xludf.DUMMYFUNCTION("""COMPUTED_VALUE"""),2.66)</f>
        <v>2.66</v>
      </c>
      <c r="D541" s="1">
        <f ca="1">IFERROR(__xludf.DUMMYFUNCTION("""COMPUTED_VALUE"""),2.49)</f>
        <v>2.4900000000000002</v>
      </c>
      <c r="E541" s="1">
        <f ca="1">IFERROR(__xludf.DUMMYFUNCTION("""COMPUTED_VALUE"""),2.51)</f>
        <v>2.5099999999999998</v>
      </c>
      <c r="F541" s="1">
        <f ca="1">IFERROR(__xludf.DUMMYFUNCTION("""COMPUTED_VALUE"""),39822213)</f>
        <v>39822213</v>
      </c>
    </row>
    <row r="542" spans="1:6" x14ac:dyDescent="0.35">
      <c r="A542" s="2">
        <f ca="1">IFERROR(__xludf.DUMMYFUNCTION("""COMPUTED_VALUE"""),42790.6666666666)</f>
        <v>42790.666666666599</v>
      </c>
      <c r="B542" s="1">
        <f ca="1">IFERROR(__xludf.DUMMYFUNCTION("""COMPUTED_VALUE"""),2.43)</f>
        <v>2.4300000000000002</v>
      </c>
      <c r="C542" s="1">
        <f ca="1">IFERROR(__xludf.DUMMYFUNCTION("""COMPUTED_VALUE"""),2.55)</f>
        <v>2.5499999999999998</v>
      </c>
      <c r="D542" s="1">
        <f ca="1">IFERROR(__xludf.DUMMYFUNCTION("""COMPUTED_VALUE"""),2.39)</f>
        <v>2.39</v>
      </c>
      <c r="E542" s="1">
        <f ca="1">IFERROR(__xludf.DUMMYFUNCTION("""COMPUTED_VALUE"""),2.54)</f>
        <v>2.54</v>
      </c>
      <c r="F542" s="1">
        <f ca="1">IFERROR(__xludf.DUMMYFUNCTION("""COMPUTED_VALUE"""),25747597)</f>
        <v>25747597</v>
      </c>
    </row>
    <row r="543" spans="1:6" x14ac:dyDescent="0.35">
      <c r="A543" s="2">
        <f ca="1">IFERROR(__xludf.DUMMYFUNCTION("""COMPUTED_VALUE"""),42793.6666666666)</f>
        <v>42793.666666666599</v>
      </c>
      <c r="B543" s="1">
        <f ca="1">IFERROR(__xludf.DUMMYFUNCTION("""COMPUTED_VALUE"""),2.56)</f>
        <v>2.56</v>
      </c>
      <c r="C543" s="1">
        <f ca="1">IFERROR(__xludf.DUMMYFUNCTION("""COMPUTED_VALUE"""),2.63)</f>
        <v>2.63</v>
      </c>
      <c r="D543" s="1">
        <f ca="1">IFERROR(__xludf.DUMMYFUNCTION("""COMPUTED_VALUE"""),2.54)</f>
        <v>2.54</v>
      </c>
      <c r="E543" s="1">
        <f ca="1">IFERROR(__xludf.DUMMYFUNCTION("""COMPUTED_VALUE"""),2.61)</f>
        <v>2.61</v>
      </c>
      <c r="F543" s="1">
        <f ca="1">IFERROR(__xludf.DUMMYFUNCTION("""COMPUTED_VALUE"""),17885019)</f>
        <v>17885019</v>
      </c>
    </row>
    <row r="544" spans="1:6" x14ac:dyDescent="0.35">
      <c r="A544" s="2">
        <f ca="1">IFERROR(__xludf.DUMMYFUNCTION("""COMPUTED_VALUE"""),42794.6666666666)</f>
        <v>42794.666666666599</v>
      </c>
      <c r="B544" s="1">
        <f ca="1">IFERROR(__xludf.DUMMYFUNCTION("""COMPUTED_VALUE"""),2.62)</f>
        <v>2.62</v>
      </c>
      <c r="C544" s="1">
        <f ca="1">IFERROR(__xludf.DUMMYFUNCTION("""COMPUTED_VALUE"""),2.63)</f>
        <v>2.63</v>
      </c>
      <c r="D544" s="1">
        <f ca="1">IFERROR(__xludf.DUMMYFUNCTION("""COMPUTED_VALUE"""),2.52)</f>
        <v>2.52</v>
      </c>
      <c r="E544" s="1">
        <f ca="1">IFERROR(__xludf.DUMMYFUNCTION("""COMPUTED_VALUE"""),2.54)</f>
        <v>2.54</v>
      </c>
      <c r="F544" s="1">
        <f ca="1">IFERROR(__xludf.DUMMYFUNCTION("""COMPUTED_VALUE"""),15633968)</f>
        <v>15633968</v>
      </c>
    </row>
    <row r="545" spans="1:6" x14ac:dyDescent="0.35">
      <c r="A545" s="2">
        <f ca="1">IFERROR(__xludf.DUMMYFUNCTION("""COMPUTED_VALUE"""),42795.6666666666)</f>
        <v>42795.666666666599</v>
      </c>
      <c r="B545" s="1">
        <f ca="1">IFERROR(__xludf.DUMMYFUNCTION("""COMPUTED_VALUE"""),2.59)</f>
        <v>2.59</v>
      </c>
      <c r="C545" s="1">
        <f ca="1">IFERROR(__xludf.DUMMYFUNCTION("""COMPUTED_VALUE"""),2.61)</f>
        <v>2.61</v>
      </c>
      <c r="D545" s="1">
        <f ca="1">IFERROR(__xludf.DUMMYFUNCTION("""COMPUTED_VALUE"""),2.53)</f>
        <v>2.5299999999999998</v>
      </c>
      <c r="E545" s="1">
        <f ca="1">IFERROR(__xludf.DUMMYFUNCTION("""COMPUTED_VALUE"""),2.57)</f>
        <v>2.57</v>
      </c>
      <c r="F545" s="1">
        <f ca="1">IFERROR(__xludf.DUMMYFUNCTION("""COMPUTED_VALUE"""),12620139)</f>
        <v>12620139</v>
      </c>
    </row>
    <row r="546" spans="1:6" x14ac:dyDescent="0.35">
      <c r="A546" s="2">
        <f ca="1">IFERROR(__xludf.DUMMYFUNCTION("""COMPUTED_VALUE"""),42796.6666666666)</f>
        <v>42796.666666666599</v>
      </c>
      <c r="B546" s="1">
        <f ca="1">IFERROR(__xludf.DUMMYFUNCTION("""COMPUTED_VALUE"""),2.56)</f>
        <v>2.56</v>
      </c>
      <c r="C546" s="1">
        <f ca="1">IFERROR(__xludf.DUMMYFUNCTION("""COMPUTED_VALUE"""),2.57)</f>
        <v>2.57</v>
      </c>
      <c r="D546" s="1">
        <f ca="1">IFERROR(__xludf.DUMMYFUNCTION("""COMPUTED_VALUE"""),2.47)</f>
        <v>2.4700000000000002</v>
      </c>
      <c r="E546" s="1">
        <f ca="1">IFERROR(__xludf.DUMMYFUNCTION("""COMPUTED_VALUE"""),2.48)</f>
        <v>2.48</v>
      </c>
      <c r="F546" s="1">
        <f ca="1">IFERROR(__xludf.DUMMYFUNCTION("""COMPUTED_VALUE"""),18858278)</f>
        <v>18858278</v>
      </c>
    </row>
    <row r="547" spans="1:6" x14ac:dyDescent="0.35">
      <c r="A547" s="2">
        <f ca="1">IFERROR(__xludf.DUMMYFUNCTION("""COMPUTED_VALUE"""),42797.6666666666)</f>
        <v>42797.666666666599</v>
      </c>
      <c r="B547" s="1">
        <f ca="1">IFERROR(__xludf.DUMMYFUNCTION("""COMPUTED_VALUE"""),2.46)</f>
        <v>2.46</v>
      </c>
      <c r="C547" s="1">
        <f ca="1">IFERROR(__xludf.DUMMYFUNCTION("""COMPUTED_VALUE"""),2.47)</f>
        <v>2.4700000000000002</v>
      </c>
      <c r="D547" s="1">
        <f ca="1">IFERROR(__xludf.DUMMYFUNCTION("""COMPUTED_VALUE"""),2.41)</f>
        <v>2.41</v>
      </c>
      <c r="E547" s="1">
        <f ca="1">IFERROR(__xludf.DUMMYFUNCTION("""COMPUTED_VALUE"""),2.46)</f>
        <v>2.46</v>
      </c>
      <c r="F547" s="1">
        <f ca="1">IFERROR(__xludf.DUMMYFUNCTION("""COMPUTED_VALUE"""),21636424)</f>
        <v>21636424</v>
      </c>
    </row>
    <row r="548" spans="1:6" x14ac:dyDescent="0.35">
      <c r="A548" s="2">
        <f ca="1">IFERROR(__xludf.DUMMYFUNCTION("""COMPUTED_VALUE"""),42800.6666666666)</f>
        <v>42800.666666666599</v>
      </c>
      <c r="B548" s="1">
        <f ca="1">IFERROR(__xludf.DUMMYFUNCTION("""COMPUTED_VALUE"""),2.42)</f>
        <v>2.42</v>
      </c>
      <c r="C548" s="1">
        <f ca="1">IFERROR(__xludf.DUMMYFUNCTION("""COMPUTED_VALUE"""),2.45)</f>
        <v>2.4500000000000002</v>
      </c>
      <c r="D548" s="1">
        <f ca="1">IFERROR(__xludf.DUMMYFUNCTION("""COMPUTED_VALUE"""),2.38)</f>
        <v>2.38</v>
      </c>
      <c r="E548" s="1">
        <f ca="1">IFERROR(__xludf.DUMMYFUNCTION("""COMPUTED_VALUE"""),2.44)</f>
        <v>2.44</v>
      </c>
      <c r="F548" s="1">
        <f ca="1">IFERROR(__xludf.DUMMYFUNCTION("""COMPUTED_VALUE"""),22089169)</f>
        <v>22089169</v>
      </c>
    </row>
    <row r="549" spans="1:6" x14ac:dyDescent="0.35">
      <c r="A549" s="2">
        <f ca="1">IFERROR(__xludf.DUMMYFUNCTION("""COMPUTED_VALUE"""),42801.6666666666)</f>
        <v>42801.666666666599</v>
      </c>
      <c r="B549" s="1">
        <f ca="1">IFERROR(__xludf.DUMMYFUNCTION("""COMPUTED_VALUE"""),2.44)</f>
        <v>2.44</v>
      </c>
      <c r="C549" s="1">
        <f ca="1">IFERROR(__xludf.DUMMYFUNCTION("""COMPUTED_VALUE"""),2.49)</f>
        <v>2.4900000000000002</v>
      </c>
      <c r="D549" s="1">
        <f ca="1">IFERROR(__xludf.DUMMYFUNCTION("""COMPUTED_VALUE"""),2.43)</f>
        <v>2.4300000000000002</v>
      </c>
      <c r="E549" s="1">
        <f ca="1">IFERROR(__xludf.DUMMYFUNCTION("""COMPUTED_VALUE"""),2.47)</f>
        <v>2.4700000000000002</v>
      </c>
      <c r="F549" s="1">
        <f ca="1">IFERROR(__xludf.DUMMYFUNCTION("""COMPUTED_VALUE"""),15085007)</f>
        <v>15085007</v>
      </c>
    </row>
    <row r="550" spans="1:6" x14ac:dyDescent="0.35">
      <c r="A550" s="2">
        <f ca="1">IFERROR(__xludf.DUMMYFUNCTION("""COMPUTED_VALUE"""),42802.6666666666)</f>
        <v>42802.666666666599</v>
      </c>
      <c r="B550" s="1">
        <f ca="1">IFERROR(__xludf.DUMMYFUNCTION("""COMPUTED_VALUE"""),2.52)</f>
        <v>2.52</v>
      </c>
      <c r="C550" s="1">
        <f ca="1">IFERROR(__xludf.DUMMYFUNCTION("""COMPUTED_VALUE"""),2.53)</f>
        <v>2.5299999999999998</v>
      </c>
      <c r="D550" s="1">
        <f ca="1">IFERROR(__xludf.DUMMYFUNCTION("""COMPUTED_VALUE"""),2.46)</f>
        <v>2.46</v>
      </c>
      <c r="E550" s="1">
        <f ca="1">IFERROR(__xludf.DUMMYFUNCTION("""COMPUTED_VALUE"""),2.46)</f>
        <v>2.46</v>
      </c>
      <c r="F550" s="1">
        <f ca="1">IFERROR(__xludf.DUMMYFUNCTION("""COMPUTED_VALUE"""),15967822)</f>
        <v>15967822</v>
      </c>
    </row>
    <row r="551" spans="1:6" x14ac:dyDescent="0.35">
      <c r="A551" s="2">
        <f ca="1">IFERROR(__xludf.DUMMYFUNCTION("""COMPUTED_VALUE"""),42803.6666666666)</f>
        <v>42803.666666666599</v>
      </c>
      <c r="B551" s="1">
        <f ca="1">IFERROR(__xludf.DUMMYFUNCTION("""COMPUTED_VALUE"""),2.45)</f>
        <v>2.4500000000000002</v>
      </c>
      <c r="C551" s="1">
        <f ca="1">IFERROR(__xludf.DUMMYFUNCTION("""COMPUTED_VALUE"""),2.49)</f>
        <v>2.4900000000000002</v>
      </c>
      <c r="D551" s="1">
        <f ca="1">IFERROR(__xludf.DUMMYFUNCTION("""COMPUTED_VALUE"""),2.44)</f>
        <v>2.44</v>
      </c>
      <c r="E551" s="1">
        <f ca="1">IFERROR(__xludf.DUMMYFUNCTION("""COMPUTED_VALUE"""),2.46)</f>
        <v>2.46</v>
      </c>
      <c r="F551" s="1">
        <f ca="1">IFERROR(__xludf.DUMMYFUNCTION("""COMPUTED_VALUE"""),11951471)</f>
        <v>11951471</v>
      </c>
    </row>
    <row r="552" spans="1:6" x14ac:dyDescent="0.35">
      <c r="A552" s="2">
        <f ca="1">IFERROR(__xludf.DUMMYFUNCTION("""COMPUTED_VALUE"""),42804.6666666666)</f>
        <v>42804.666666666599</v>
      </c>
      <c r="B552" s="1">
        <f ca="1">IFERROR(__xludf.DUMMYFUNCTION("""COMPUTED_VALUE"""),2.49)</f>
        <v>2.4900000000000002</v>
      </c>
      <c r="C552" s="1">
        <f ca="1">IFERROR(__xludf.DUMMYFUNCTION("""COMPUTED_VALUE"""),2.5)</f>
        <v>2.5</v>
      </c>
      <c r="D552" s="1">
        <f ca="1">IFERROR(__xludf.DUMMYFUNCTION("""COMPUTED_VALUE"""),2.46)</f>
        <v>2.46</v>
      </c>
      <c r="E552" s="1">
        <f ca="1">IFERROR(__xludf.DUMMYFUNCTION("""COMPUTED_VALUE"""),2.48)</f>
        <v>2.48</v>
      </c>
      <c r="F552" s="1">
        <f ca="1">IFERROR(__xludf.DUMMYFUNCTION("""COMPUTED_VALUE"""),12493513)</f>
        <v>12493513</v>
      </c>
    </row>
    <row r="553" spans="1:6" x14ac:dyDescent="0.35">
      <c r="A553" s="2">
        <f ca="1">IFERROR(__xludf.DUMMYFUNCTION("""COMPUTED_VALUE"""),42807.6666666666)</f>
        <v>42807.666666666599</v>
      </c>
      <c r="B553" s="1">
        <f ca="1">IFERROR(__xludf.DUMMYFUNCTION("""COMPUTED_VALUE"""),2.52)</f>
        <v>2.52</v>
      </c>
      <c r="C553" s="1">
        <f ca="1">IFERROR(__xludf.DUMMYFUNCTION("""COMPUTED_VALUE"""),2.56)</f>
        <v>2.56</v>
      </c>
      <c r="D553" s="1">
        <f ca="1">IFERROR(__xludf.DUMMYFUNCTION("""COMPUTED_VALUE"""),2.49)</f>
        <v>2.4900000000000002</v>
      </c>
      <c r="E553" s="1">
        <f ca="1">IFERROR(__xludf.DUMMYFUNCTION("""COMPUTED_VALUE"""),2.55)</f>
        <v>2.5499999999999998</v>
      </c>
      <c r="F553" s="1">
        <f ca="1">IFERROR(__xludf.DUMMYFUNCTION("""COMPUTED_VALUE"""),19353402)</f>
        <v>19353402</v>
      </c>
    </row>
    <row r="554" spans="1:6" x14ac:dyDescent="0.35">
      <c r="A554" s="2">
        <f ca="1">IFERROR(__xludf.DUMMYFUNCTION("""COMPUTED_VALUE"""),42808.6666666666)</f>
        <v>42808.666666666599</v>
      </c>
      <c r="B554" s="1">
        <f ca="1">IFERROR(__xludf.DUMMYFUNCTION("""COMPUTED_VALUE"""),2.56)</f>
        <v>2.56</v>
      </c>
      <c r="C554" s="1">
        <f ca="1">IFERROR(__xludf.DUMMYFUNCTION("""COMPUTED_VALUE"""),2.57)</f>
        <v>2.57</v>
      </c>
      <c r="D554" s="1">
        <f ca="1">IFERROR(__xludf.DUMMYFUNCTION("""COMPUTED_VALUE"""),2.51)</f>
        <v>2.5099999999999998</v>
      </c>
      <c r="E554" s="1">
        <f ca="1">IFERROR(__xludf.DUMMYFUNCTION("""COMPUTED_VALUE"""),2.54)</f>
        <v>2.54</v>
      </c>
      <c r="F554" s="1">
        <f ca="1">IFERROR(__xludf.DUMMYFUNCTION("""COMPUTED_VALUE"""),13050415)</f>
        <v>13050415</v>
      </c>
    </row>
    <row r="555" spans="1:6" x14ac:dyDescent="0.35">
      <c r="A555" s="2">
        <f ca="1">IFERROR(__xludf.DUMMYFUNCTION("""COMPUTED_VALUE"""),42809.6666666666)</f>
        <v>42809.666666666599</v>
      </c>
      <c r="B555" s="1">
        <f ca="1">IFERROR(__xludf.DUMMYFUNCTION("""COMPUTED_VALUE"""),2.56)</f>
        <v>2.56</v>
      </c>
      <c r="C555" s="1">
        <f ca="1">IFERROR(__xludf.DUMMYFUNCTION("""COMPUTED_VALUE"""),2.57)</f>
        <v>2.57</v>
      </c>
      <c r="D555" s="1">
        <f ca="1">IFERROR(__xludf.DUMMYFUNCTION("""COMPUTED_VALUE"""),2.51)</f>
        <v>2.5099999999999998</v>
      </c>
      <c r="E555" s="1">
        <f ca="1">IFERROR(__xludf.DUMMYFUNCTION("""COMPUTED_VALUE"""),2.56)</f>
        <v>2.56</v>
      </c>
      <c r="F555" s="1">
        <f ca="1">IFERROR(__xludf.DUMMYFUNCTION("""COMPUTED_VALUE"""),15375852)</f>
        <v>15375852</v>
      </c>
    </row>
    <row r="556" spans="1:6" x14ac:dyDescent="0.35">
      <c r="A556" s="2">
        <f ca="1">IFERROR(__xludf.DUMMYFUNCTION("""COMPUTED_VALUE"""),42810.6666666666)</f>
        <v>42810.666666666599</v>
      </c>
      <c r="B556" s="1">
        <f ca="1">IFERROR(__xludf.DUMMYFUNCTION("""COMPUTED_VALUE"""),2.57)</f>
        <v>2.57</v>
      </c>
      <c r="C556" s="1">
        <f ca="1">IFERROR(__xludf.DUMMYFUNCTION("""COMPUTED_VALUE"""),2.6)</f>
        <v>2.6</v>
      </c>
      <c r="D556" s="1">
        <f ca="1">IFERROR(__xludf.DUMMYFUNCTION("""COMPUTED_VALUE"""),2.56)</f>
        <v>2.56</v>
      </c>
      <c r="E556" s="1">
        <f ca="1">IFERROR(__xludf.DUMMYFUNCTION("""COMPUTED_VALUE"""),2.6)</f>
        <v>2.6</v>
      </c>
      <c r="F556" s="1">
        <f ca="1">IFERROR(__xludf.DUMMYFUNCTION("""COMPUTED_VALUE"""),13077495)</f>
        <v>13077495</v>
      </c>
    </row>
    <row r="557" spans="1:6" x14ac:dyDescent="0.35">
      <c r="A557" s="2">
        <f ca="1">IFERROR(__xludf.DUMMYFUNCTION("""COMPUTED_VALUE"""),42811.6666666666)</f>
        <v>42811.666666666599</v>
      </c>
      <c r="B557" s="1">
        <f ca="1">IFERROR(__xludf.DUMMYFUNCTION("""COMPUTED_VALUE"""),2.61)</f>
        <v>2.61</v>
      </c>
      <c r="C557" s="1">
        <f ca="1">IFERROR(__xludf.DUMMYFUNCTION("""COMPUTED_VALUE"""),2.65)</f>
        <v>2.65</v>
      </c>
      <c r="D557" s="1">
        <f ca="1">IFERROR(__xludf.DUMMYFUNCTION("""COMPUTED_VALUE"""),2.6)</f>
        <v>2.6</v>
      </c>
      <c r="E557" s="1">
        <f ca="1">IFERROR(__xludf.DUMMYFUNCTION("""COMPUTED_VALUE"""),2.65)</f>
        <v>2.65</v>
      </c>
      <c r="F557" s="1">
        <f ca="1">IFERROR(__xludf.DUMMYFUNCTION("""COMPUTED_VALUE"""),27992169)</f>
        <v>27992169</v>
      </c>
    </row>
    <row r="558" spans="1:6" x14ac:dyDescent="0.35">
      <c r="A558" s="2">
        <f ca="1">IFERROR(__xludf.DUMMYFUNCTION("""COMPUTED_VALUE"""),42814.6666666666)</f>
        <v>42814.666666666599</v>
      </c>
      <c r="B558" s="1">
        <f ca="1">IFERROR(__xludf.DUMMYFUNCTION("""COMPUTED_VALUE"""),2.67)</f>
        <v>2.67</v>
      </c>
      <c r="C558" s="1">
        <f ca="1">IFERROR(__xludf.DUMMYFUNCTION("""COMPUTED_VALUE"""),2.74)</f>
        <v>2.74</v>
      </c>
      <c r="D558" s="1">
        <f ca="1">IFERROR(__xludf.DUMMYFUNCTION("""COMPUTED_VALUE"""),2.65)</f>
        <v>2.65</v>
      </c>
      <c r="E558" s="1">
        <f ca="1">IFERROR(__xludf.DUMMYFUNCTION("""COMPUTED_VALUE"""),2.74)</f>
        <v>2.74</v>
      </c>
      <c r="F558" s="1">
        <f ca="1">IFERROR(__xludf.DUMMYFUNCTION("""COMPUTED_VALUE"""),18714152)</f>
        <v>18714152</v>
      </c>
    </row>
    <row r="559" spans="1:6" x14ac:dyDescent="0.35">
      <c r="A559" s="2">
        <f ca="1">IFERROR(__xludf.DUMMYFUNCTION("""COMPUTED_VALUE"""),42815.6666666666)</f>
        <v>42815.666666666599</v>
      </c>
      <c r="B559" s="1">
        <f ca="1">IFERROR(__xludf.DUMMYFUNCTION("""COMPUTED_VALUE"""),2.72)</f>
        <v>2.72</v>
      </c>
      <c r="C559" s="1">
        <f ca="1">IFERROR(__xludf.DUMMYFUNCTION("""COMPUTED_VALUE"""),2.75)</f>
        <v>2.75</v>
      </c>
      <c r="D559" s="1">
        <f ca="1">IFERROR(__xludf.DUMMYFUNCTION("""COMPUTED_VALUE"""),2.64)</f>
        <v>2.64</v>
      </c>
      <c r="E559" s="1">
        <f ca="1">IFERROR(__xludf.DUMMYFUNCTION("""COMPUTED_VALUE"""),2.65)</f>
        <v>2.65</v>
      </c>
      <c r="F559" s="1">
        <f ca="1">IFERROR(__xludf.DUMMYFUNCTION("""COMPUTED_VALUE"""),22837103)</f>
        <v>22837103</v>
      </c>
    </row>
    <row r="560" spans="1:6" x14ac:dyDescent="0.35">
      <c r="A560" s="2">
        <f ca="1">IFERROR(__xludf.DUMMYFUNCTION("""COMPUTED_VALUE"""),42816.6666666666)</f>
        <v>42816.666666666599</v>
      </c>
      <c r="B560" s="1">
        <f ca="1">IFERROR(__xludf.DUMMYFUNCTION("""COMPUTED_VALUE"""),2.64)</f>
        <v>2.64</v>
      </c>
      <c r="C560" s="1">
        <f ca="1">IFERROR(__xludf.DUMMYFUNCTION("""COMPUTED_VALUE"""),2.71)</f>
        <v>2.71</v>
      </c>
      <c r="D560" s="1">
        <f ca="1">IFERROR(__xludf.DUMMYFUNCTION("""COMPUTED_VALUE"""),2.63)</f>
        <v>2.63</v>
      </c>
      <c r="E560" s="1">
        <f ca="1">IFERROR(__xludf.DUMMYFUNCTION("""COMPUTED_VALUE"""),2.7)</f>
        <v>2.7</v>
      </c>
      <c r="F560" s="1">
        <f ca="1">IFERROR(__xludf.DUMMYFUNCTION("""COMPUTED_VALUE"""),15419106)</f>
        <v>15419106</v>
      </c>
    </row>
    <row r="561" spans="1:6" x14ac:dyDescent="0.35">
      <c r="A561" s="2">
        <f ca="1">IFERROR(__xludf.DUMMYFUNCTION("""COMPUTED_VALUE"""),42817.6666666666)</f>
        <v>42817.666666666599</v>
      </c>
      <c r="B561" s="1">
        <f ca="1">IFERROR(__xludf.DUMMYFUNCTION("""COMPUTED_VALUE"""),2.69)</f>
        <v>2.69</v>
      </c>
      <c r="C561" s="1">
        <f ca="1">IFERROR(__xludf.DUMMYFUNCTION("""COMPUTED_VALUE"""),2.71)</f>
        <v>2.71</v>
      </c>
      <c r="D561" s="1">
        <f ca="1">IFERROR(__xludf.DUMMYFUNCTION("""COMPUTED_VALUE"""),2.67)</f>
        <v>2.67</v>
      </c>
      <c r="E561" s="1">
        <f ca="1">IFERROR(__xludf.DUMMYFUNCTION("""COMPUTED_VALUE"""),2.68)</f>
        <v>2.68</v>
      </c>
      <c r="F561" s="1">
        <f ca="1">IFERROR(__xludf.DUMMYFUNCTION("""COMPUTED_VALUE"""),13348542)</f>
        <v>13348542</v>
      </c>
    </row>
    <row r="562" spans="1:6" x14ac:dyDescent="0.35">
      <c r="A562" s="2">
        <f ca="1">IFERROR(__xludf.DUMMYFUNCTION("""COMPUTED_VALUE"""),42818.6666666666)</f>
        <v>42818.666666666599</v>
      </c>
      <c r="B562" s="1">
        <f ca="1">IFERROR(__xludf.DUMMYFUNCTION("""COMPUTED_VALUE"""),2.72)</f>
        <v>2.72</v>
      </c>
      <c r="C562" s="1">
        <f ca="1">IFERROR(__xludf.DUMMYFUNCTION("""COMPUTED_VALUE"""),2.73)</f>
        <v>2.73</v>
      </c>
      <c r="D562" s="1">
        <f ca="1">IFERROR(__xludf.DUMMYFUNCTION("""COMPUTED_VALUE"""),2.66)</f>
        <v>2.66</v>
      </c>
      <c r="E562" s="1">
        <f ca="1">IFERROR(__xludf.DUMMYFUNCTION("""COMPUTED_VALUE"""),2.69)</f>
        <v>2.69</v>
      </c>
      <c r="F562" s="1">
        <f ca="1">IFERROR(__xludf.DUMMYFUNCTION("""COMPUTED_VALUE"""),10987546)</f>
        <v>10987546</v>
      </c>
    </row>
    <row r="563" spans="1:6" x14ac:dyDescent="0.35">
      <c r="A563" s="2">
        <f ca="1">IFERROR(__xludf.DUMMYFUNCTION("""COMPUTED_VALUE"""),42821.6666666666)</f>
        <v>42821.666666666599</v>
      </c>
      <c r="B563" s="1">
        <f ca="1">IFERROR(__xludf.DUMMYFUNCTION("""COMPUTED_VALUE"""),2.64)</f>
        <v>2.64</v>
      </c>
      <c r="C563" s="1">
        <f ca="1">IFERROR(__xludf.DUMMYFUNCTION("""COMPUTED_VALUE"""),2.71)</f>
        <v>2.71</v>
      </c>
      <c r="D563" s="1">
        <f ca="1">IFERROR(__xludf.DUMMYFUNCTION("""COMPUTED_VALUE"""),2.59)</f>
        <v>2.59</v>
      </c>
      <c r="E563" s="1">
        <f ca="1">IFERROR(__xludf.DUMMYFUNCTION("""COMPUTED_VALUE"""),2.71)</f>
        <v>2.71</v>
      </c>
      <c r="F563" s="1">
        <f ca="1">IFERROR(__xludf.DUMMYFUNCTION("""COMPUTED_VALUE"""),12666100)</f>
        <v>12666100</v>
      </c>
    </row>
    <row r="564" spans="1:6" x14ac:dyDescent="0.35">
      <c r="A564" s="2">
        <f ca="1">IFERROR(__xludf.DUMMYFUNCTION("""COMPUTED_VALUE"""),42822.6666666666)</f>
        <v>42822.666666666599</v>
      </c>
      <c r="B564" s="1">
        <f ca="1">IFERROR(__xludf.DUMMYFUNCTION("""COMPUTED_VALUE"""),2.71)</f>
        <v>2.71</v>
      </c>
      <c r="C564" s="1">
        <f ca="1">IFERROR(__xludf.DUMMYFUNCTION("""COMPUTED_VALUE"""),2.72)</f>
        <v>2.72</v>
      </c>
      <c r="D564" s="1">
        <f ca="1">IFERROR(__xludf.DUMMYFUNCTION("""COMPUTED_VALUE"""),2.68)</f>
        <v>2.68</v>
      </c>
      <c r="E564" s="1">
        <f ca="1">IFERROR(__xludf.DUMMYFUNCTION("""COMPUTED_VALUE"""),2.69)</f>
        <v>2.69</v>
      </c>
      <c r="F564" s="1">
        <f ca="1">IFERROR(__xludf.DUMMYFUNCTION("""COMPUTED_VALUE"""),10811109)</f>
        <v>10811109</v>
      </c>
    </row>
    <row r="565" spans="1:6" x14ac:dyDescent="0.35">
      <c r="A565" s="2">
        <f ca="1">IFERROR(__xludf.DUMMYFUNCTION("""COMPUTED_VALUE"""),42823.6666666666)</f>
        <v>42823.666666666599</v>
      </c>
      <c r="B565" s="1">
        <f ca="1">IFERROR(__xludf.DUMMYFUNCTION("""COMPUTED_VALUE"""),2.7)</f>
        <v>2.7</v>
      </c>
      <c r="C565" s="1">
        <f ca="1">IFERROR(__xludf.DUMMYFUNCTION("""COMPUTED_VALUE"""),2.71)</f>
        <v>2.71</v>
      </c>
      <c r="D565" s="1">
        <f ca="1">IFERROR(__xludf.DUMMYFUNCTION("""COMPUTED_VALUE"""),2.68)</f>
        <v>2.68</v>
      </c>
      <c r="E565" s="1">
        <f ca="1">IFERROR(__xludf.DUMMYFUNCTION("""COMPUTED_VALUE"""),2.68)</f>
        <v>2.68</v>
      </c>
      <c r="F565" s="1">
        <f ca="1">IFERROR(__xludf.DUMMYFUNCTION("""COMPUTED_VALUE"""),8749791)</f>
        <v>8749791</v>
      </c>
    </row>
    <row r="566" spans="1:6" x14ac:dyDescent="0.35">
      <c r="A566" s="2">
        <f ca="1">IFERROR(__xludf.DUMMYFUNCTION("""COMPUTED_VALUE"""),42824.6666666666)</f>
        <v>42824.666666666599</v>
      </c>
      <c r="B566" s="1">
        <f ca="1">IFERROR(__xludf.DUMMYFUNCTION("""COMPUTED_VALUE"""),2.69)</f>
        <v>2.69</v>
      </c>
      <c r="C566" s="1">
        <f ca="1">IFERROR(__xludf.DUMMYFUNCTION("""COMPUTED_VALUE"""),2.75)</f>
        <v>2.75</v>
      </c>
      <c r="D566" s="1">
        <f ca="1">IFERROR(__xludf.DUMMYFUNCTION("""COMPUTED_VALUE"""),2.69)</f>
        <v>2.69</v>
      </c>
      <c r="E566" s="1">
        <f ca="1">IFERROR(__xludf.DUMMYFUNCTION("""COMPUTED_VALUE"""),2.74)</f>
        <v>2.74</v>
      </c>
      <c r="F566" s="1">
        <f ca="1">IFERROR(__xludf.DUMMYFUNCTION("""COMPUTED_VALUE"""),13138349)</f>
        <v>13138349</v>
      </c>
    </row>
    <row r="567" spans="1:6" x14ac:dyDescent="0.35">
      <c r="A567" s="2">
        <f ca="1">IFERROR(__xludf.DUMMYFUNCTION("""COMPUTED_VALUE"""),42825.6666666666)</f>
        <v>42825.666666666599</v>
      </c>
      <c r="B567" s="1">
        <f ca="1">IFERROR(__xludf.DUMMYFUNCTION("""COMPUTED_VALUE"""),2.73)</f>
        <v>2.73</v>
      </c>
      <c r="C567" s="1">
        <f ca="1">IFERROR(__xludf.DUMMYFUNCTION("""COMPUTED_VALUE"""),2.75)</f>
        <v>2.75</v>
      </c>
      <c r="D567" s="1">
        <f ca="1">IFERROR(__xludf.DUMMYFUNCTION("""COMPUTED_VALUE"""),2.71)</f>
        <v>2.71</v>
      </c>
      <c r="E567" s="1">
        <f ca="1">IFERROR(__xludf.DUMMYFUNCTION("""COMPUTED_VALUE"""),2.72)</f>
        <v>2.72</v>
      </c>
      <c r="F567" s="1">
        <f ca="1">IFERROR(__xludf.DUMMYFUNCTION("""COMPUTED_VALUE"""),11020165)</f>
        <v>11020165</v>
      </c>
    </row>
    <row r="568" spans="1:6" x14ac:dyDescent="0.35">
      <c r="A568" s="2">
        <f ca="1">IFERROR(__xludf.DUMMYFUNCTION("""COMPUTED_VALUE"""),42828.6666666666)</f>
        <v>42828.666666666599</v>
      </c>
      <c r="B568" s="1">
        <f ca="1">IFERROR(__xludf.DUMMYFUNCTION("""COMPUTED_VALUE"""),2.72)</f>
        <v>2.72</v>
      </c>
      <c r="C568" s="1">
        <f ca="1">IFERROR(__xludf.DUMMYFUNCTION("""COMPUTED_VALUE"""),2.74)</f>
        <v>2.74</v>
      </c>
      <c r="D568" s="1">
        <f ca="1">IFERROR(__xludf.DUMMYFUNCTION("""COMPUTED_VALUE"""),2.69)</f>
        <v>2.69</v>
      </c>
      <c r="E568" s="1">
        <f ca="1">IFERROR(__xludf.DUMMYFUNCTION("""COMPUTED_VALUE"""),2.71)</f>
        <v>2.71</v>
      </c>
      <c r="F568" s="1">
        <f ca="1">IFERROR(__xludf.DUMMYFUNCTION("""COMPUTED_VALUE"""),11130813)</f>
        <v>11130813</v>
      </c>
    </row>
    <row r="569" spans="1:6" x14ac:dyDescent="0.35">
      <c r="A569" s="2">
        <f ca="1">IFERROR(__xludf.DUMMYFUNCTION("""COMPUTED_VALUE"""),42829.6666666666)</f>
        <v>42829.666666666599</v>
      </c>
      <c r="B569" s="1">
        <f ca="1">IFERROR(__xludf.DUMMYFUNCTION("""COMPUTED_VALUE"""),2.59)</f>
        <v>2.59</v>
      </c>
      <c r="C569" s="1">
        <f ca="1">IFERROR(__xludf.DUMMYFUNCTION("""COMPUTED_VALUE"""),2.61)</f>
        <v>2.61</v>
      </c>
      <c r="D569" s="1">
        <f ca="1">IFERROR(__xludf.DUMMYFUNCTION("""COMPUTED_VALUE"""),2.51)</f>
        <v>2.5099999999999998</v>
      </c>
      <c r="E569" s="1">
        <f ca="1">IFERROR(__xludf.DUMMYFUNCTION("""COMPUTED_VALUE"""),2.52)</f>
        <v>2.52</v>
      </c>
      <c r="F569" s="1">
        <f ca="1">IFERROR(__xludf.DUMMYFUNCTION("""COMPUTED_VALUE"""),31782004)</f>
        <v>31782004</v>
      </c>
    </row>
    <row r="570" spans="1:6" x14ac:dyDescent="0.35">
      <c r="A570" s="2">
        <f ca="1">IFERROR(__xludf.DUMMYFUNCTION("""COMPUTED_VALUE"""),42830.6666666666)</f>
        <v>42830.666666666599</v>
      </c>
      <c r="B570" s="1">
        <f ca="1">IFERROR(__xludf.DUMMYFUNCTION("""COMPUTED_VALUE"""),2.5)</f>
        <v>2.5</v>
      </c>
      <c r="C570" s="1">
        <f ca="1">IFERROR(__xludf.DUMMYFUNCTION("""COMPUTED_VALUE"""),2.56)</f>
        <v>2.56</v>
      </c>
      <c r="D570" s="1">
        <f ca="1">IFERROR(__xludf.DUMMYFUNCTION("""COMPUTED_VALUE"""),2.49)</f>
        <v>2.4900000000000002</v>
      </c>
      <c r="E570" s="1">
        <f ca="1">IFERROR(__xludf.DUMMYFUNCTION("""COMPUTED_VALUE"""),2.5)</f>
        <v>2.5</v>
      </c>
      <c r="F570" s="1">
        <f ca="1">IFERROR(__xludf.DUMMYFUNCTION("""COMPUTED_VALUE"""),18676232)</f>
        <v>18676232</v>
      </c>
    </row>
    <row r="571" spans="1:6" x14ac:dyDescent="0.35">
      <c r="A571" s="2">
        <f ca="1">IFERROR(__xludf.DUMMYFUNCTION("""COMPUTED_VALUE"""),42831.6666666666)</f>
        <v>42831.666666666599</v>
      </c>
      <c r="B571" s="1">
        <f ca="1">IFERROR(__xludf.DUMMYFUNCTION("""COMPUTED_VALUE"""),2.51)</f>
        <v>2.5099999999999998</v>
      </c>
      <c r="C571" s="1">
        <f ca="1">IFERROR(__xludf.DUMMYFUNCTION("""COMPUTED_VALUE"""),2.53)</f>
        <v>2.5299999999999998</v>
      </c>
      <c r="D571" s="1">
        <f ca="1">IFERROR(__xludf.DUMMYFUNCTION("""COMPUTED_VALUE"""),2.46)</f>
        <v>2.46</v>
      </c>
      <c r="E571" s="1">
        <f ca="1">IFERROR(__xludf.DUMMYFUNCTION("""COMPUTED_VALUE"""),2.52)</f>
        <v>2.52</v>
      </c>
      <c r="F571" s="1">
        <f ca="1">IFERROR(__xludf.DUMMYFUNCTION("""COMPUTED_VALUE"""),15878004)</f>
        <v>15878004</v>
      </c>
    </row>
    <row r="572" spans="1:6" x14ac:dyDescent="0.35">
      <c r="A572" s="2">
        <f ca="1">IFERROR(__xludf.DUMMYFUNCTION("""COMPUTED_VALUE"""),42832.6666666666)</f>
        <v>42832.666666666599</v>
      </c>
      <c r="B572" s="1">
        <f ca="1">IFERROR(__xludf.DUMMYFUNCTION("""COMPUTED_VALUE"""),2.53)</f>
        <v>2.5299999999999998</v>
      </c>
      <c r="C572" s="1">
        <f ca="1">IFERROR(__xludf.DUMMYFUNCTION("""COMPUTED_VALUE"""),2.54)</f>
        <v>2.54</v>
      </c>
      <c r="D572" s="1">
        <f ca="1">IFERROR(__xludf.DUMMYFUNCTION("""COMPUTED_VALUE"""),2.49)</f>
        <v>2.4900000000000002</v>
      </c>
      <c r="E572" s="1">
        <f ca="1">IFERROR(__xludf.DUMMYFUNCTION("""COMPUTED_VALUE"""),2.51)</f>
        <v>2.5099999999999998</v>
      </c>
      <c r="F572" s="1">
        <f ca="1">IFERROR(__xludf.DUMMYFUNCTION("""COMPUTED_VALUE"""),10726650)</f>
        <v>10726650</v>
      </c>
    </row>
    <row r="573" spans="1:6" x14ac:dyDescent="0.35">
      <c r="A573" s="2">
        <f ca="1">IFERROR(__xludf.DUMMYFUNCTION("""COMPUTED_VALUE"""),42835.6666666666)</f>
        <v>42835.666666666599</v>
      </c>
      <c r="B573" s="1">
        <f ca="1">IFERROR(__xludf.DUMMYFUNCTION("""COMPUTED_VALUE"""),2.51)</f>
        <v>2.5099999999999998</v>
      </c>
      <c r="C573" s="1">
        <f ca="1">IFERROR(__xludf.DUMMYFUNCTION("""COMPUTED_VALUE"""),2.52)</f>
        <v>2.52</v>
      </c>
      <c r="D573" s="1">
        <f ca="1">IFERROR(__xludf.DUMMYFUNCTION("""COMPUTED_VALUE"""),2.44)</f>
        <v>2.44</v>
      </c>
      <c r="E573" s="1">
        <f ca="1">IFERROR(__xludf.DUMMYFUNCTION("""COMPUTED_VALUE"""),2.44)</f>
        <v>2.44</v>
      </c>
      <c r="F573" s="1">
        <f ca="1">IFERROR(__xludf.DUMMYFUNCTION("""COMPUTED_VALUE"""),18908264)</f>
        <v>18908264</v>
      </c>
    </row>
    <row r="574" spans="1:6" x14ac:dyDescent="0.35">
      <c r="A574" s="2">
        <f ca="1">IFERROR(__xludf.DUMMYFUNCTION("""COMPUTED_VALUE"""),42836.6666666666)</f>
        <v>42836.666666666599</v>
      </c>
      <c r="B574" s="1">
        <f ca="1">IFERROR(__xludf.DUMMYFUNCTION("""COMPUTED_VALUE"""),2.41)</f>
        <v>2.41</v>
      </c>
      <c r="C574" s="1">
        <f ca="1">IFERROR(__xludf.DUMMYFUNCTION("""COMPUTED_VALUE"""),2.47)</f>
        <v>2.4700000000000002</v>
      </c>
      <c r="D574" s="1">
        <f ca="1">IFERROR(__xludf.DUMMYFUNCTION("""COMPUTED_VALUE"""),2.41)</f>
        <v>2.41</v>
      </c>
      <c r="E574" s="1">
        <f ca="1">IFERROR(__xludf.DUMMYFUNCTION("""COMPUTED_VALUE"""),2.45)</f>
        <v>2.4500000000000002</v>
      </c>
      <c r="F574" s="1">
        <f ca="1">IFERROR(__xludf.DUMMYFUNCTION("""COMPUTED_VALUE"""),15453747)</f>
        <v>15453747</v>
      </c>
    </row>
    <row r="575" spans="1:6" x14ac:dyDescent="0.35">
      <c r="A575" s="2">
        <f ca="1">IFERROR(__xludf.DUMMYFUNCTION("""COMPUTED_VALUE"""),42837.6666666666)</f>
        <v>42837.666666666599</v>
      </c>
      <c r="B575" s="1">
        <f ca="1">IFERROR(__xludf.DUMMYFUNCTION("""COMPUTED_VALUE"""),2.45)</f>
        <v>2.4500000000000002</v>
      </c>
      <c r="C575" s="1">
        <f ca="1">IFERROR(__xludf.DUMMYFUNCTION("""COMPUTED_VALUE"""),2.47)</f>
        <v>2.4700000000000002</v>
      </c>
      <c r="D575" s="1">
        <f ca="1">IFERROR(__xludf.DUMMYFUNCTION("""COMPUTED_VALUE"""),2.43)</f>
        <v>2.4300000000000002</v>
      </c>
      <c r="E575" s="1">
        <f ca="1">IFERROR(__xludf.DUMMYFUNCTION("""COMPUTED_VALUE"""),2.43)</f>
        <v>2.4300000000000002</v>
      </c>
      <c r="F575" s="1">
        <f ca="1">IFERROR(__xludf.DUMMYFUNCTION("""COMPUTED_VALUE"""),10352296)</f>
        <v>10352296</v>
      </c>
    </row>
    <row r="576" spans="1:6" x14ac:dyDescent="0.35">
      <c r="A576" s="2">
        <f ca="1">IFERROR(__xludf.DUMMYFUNCTION("""COMPUTED_VALUE"""),42838.6666666666)</f>
        <v>42838.666666666599</v>
      </c>
      <c r="B576" s="1">
        <f ca="1">IFERROR(__xludf.DUMMYFUNCTION("""COMPUTED_VALUE"""),2.41)</f>
        <v>2.41</v>
      </c>
      <c r="C576" s="1">
        <f ca="1">IFERROR(__xludf.DUMMYFUNCTION("""COMPUTED_VALUE"""),2.43)</f>
        <v>2.4300000000000002</v>
      </c>
      <c r="D576" s="1">
        <f ca="1">IFERROR(__xludf.DUMMYFUNCTION("""COMPUTED_VALUE"""),2.39)</f>
        <v>2.39</v>
      </c>
      <c r="E576" s="1">
        <f ca="1">IFERROR(__xludf.DUMMYFUNCTION("""COMPUTED_VALUE"""),2.39)</f>
        <v>2.39</v>
      </c>
      <c r="F576" s="1">
        <f ca="1">IFERROR(__xludf.DUMMYFUNCTION("""COMPUTED_VALUE"""),12672345)</f>
        <v>12672345</v>
      </c>
    </row>
    <row r="577" spans="1:6" x14ac:dyDescent="0.35">
      <c r="A577" s="2">
        <f ca="1">IFERROR(__xludf.DUMMYFUNCTION("""COMPUTED_VALUE"""),42842.6666666666)</f>
        <v>42842.666666666599</v>
      </c>
      <c r="B577" s="1">
        <f ca="1">IFERROR(__xludf.DUMMYFUNCTION("""COMPUTED_VALUE"""),2.4)</f>
        <v>2.4</v>
      </c>
      <c r="C577" s="1">
        <f ca="1">IFERROR(__xludf.DUMMYFUNCTION("""COMPUTED_VALUE"""),2.48)</f>
        <v>2.48</v>
      </c>
      <c r="D577" s="1">
        <f ca="1">IFERROR(__xludf.DUMMYFUNCTION("""COMPUTED_VALUE"""),2.4)</f>
        <v>2.4</v>
      </c>
      <c r="E577" s="1">
        <f ca="1">IFERROR(__xludf.DUMMYFUNCTION("""COMPUTED_VALUE"""),2.48)</f>
        <v>2.48</v>
      </c>
      <c r="F577" s="1">
        <f ca="1">IFERROR(__xludf.DUMMYFUNCTION("""COMPUTED_VALUE"""),12432305)</f>
        <v>12432305</v>
      </c>
    </row>
    <row r="578" spans="1:6" x14ac:dyDescent="0.35">
      <c r="A578" s="2">
        <f ca="1">IFERROR(__xludf.DUMMYFUNCTION("""COMPUTED_VALUE"""),42843.6666666666)</f>
        <v>42843.666666666599</v>
      </c>
      <c r="B578" s="1">
        <f ca="1">IFERROR(__xludf.DUMMYFUNCTION("""COMPUTED_VALUE"""),2.47)</f>
        <v>2.4700000000000002</v>
      </c>
      <c r="C578" s="1">
        <f ca="1">IFERROR(__xludf.DUMMYFUNCTION("""COMPUTED_VALUE"""),2.49)</f>
        <v>2.4900000000000002</v>
      </c>
      <c r="D578" s="1">
        <f ca="1">IFERROR(__xludf.DUMMYFUNCTION("""COMPUTED_VALUE"""),2.44)</f>
        <v>2.44</v>
      </c>
      <c r="E578" s="1">
        <f ca="1">IFERROR(__xludf.DUMMYFUNCTION("""COMPUTED_VALUE"""),2.48)</f>
        <v>2.48</v>
      </c>
      <c r="F578" s="1">
        <f ca="1">IFERROR(__xludf.DUMMYFUNCTION("""COMPUTED_VALUE"""),9252944)</f>
        <v>9252944</v>
      </c>
    </row>
    <row r="579" spans="1:6" x14ac:dyDescent="0.35">
      <c r="A579" s="2">
        <f ca="1">IFERROR(__xludf.DUMMYFUNCTION("""COMPUTED_VALUE"""),42844.6666666666)</f>
        <v>42844.666666666599</v>
      </c>
      <c r="B579" s="1">
        <f ca="1">IFERROR(__xludf.DUMMYFUNCTION("""COMPUTED_VALUE"""),2.5)</f>
        <v>2.5</v>
      </c>
      <c r="C579" s="1">
        <f ca="1">IFERROR(__xludf.DUMMYFUNCTION("""COMPUTED_VALUE"""),2.52)</f>
        <v>2.52</v>
      </c>
      <c r="D579" s="1">
        <f ca="1">IFERROR(__xludf.DUMMYFUNCTION("""COMPUTED_VALUE"""),2.49)</f>
        <v>2.4900000000000002</v>
      </c>
      <c r="E579" s="1">
        <f ca="1">IFERROR(__xludf.DUMMYFUNCTION("""COMPUTED_VALUE"""),2.49)</f>
        <v>2.4900000000000002</v>
      </c>
      <c r="F579" s="1">
        <f ca="1">IFERROR(__xludf.DUMMYFUNCTION("""COMPUTED_VALUE"""),9520659)</f>
        <v>9520659</v>
      </c>
    </row>
    <row r="580" spans="1:6" x14ac:dyDescent="0.35">
      <c r="A580" s="2">
        <f ca="1">IFERROR(__xludf.DUMMYFUNCTION("""COMPUTED_VALUE"""),42845.6666666666)</f>
        <v>42845.666666666599</v>
      </c>
      <c r="B580" s="1">
        <f ca="1">IFERROR(__xludf.DUMMYFUNCTION("""COMPUTED_VALUE"""),2.51)</f>
        <v>2.5099999999999998</v>
      </c>
      <c r="C580" s="1">
        <f ca="1">IFERROR(__xludf.DUMMYFUNCTION("""COMPUTED_VALUE"""),2.54)</f>
        <v>2.54</v>
      </c>
      <c r="D580" s="1">
        <f ca="1">IFERROR(__xludf.DUMMYFUNCTION("""COMPUTED_VALUE"""),2.49)</f>
        <v>2.4900000000000002</v>
      </c>
      <c r="E580" s="1">
        <f ca="1">IFERROR(__xludf.DUMMYFUNCTION("""COMPUTED_VALUE"""),2.53)</f>
        <v>2.5299999999999998</v>
      </c>
      <c r="F580" s="1">
        <f ca="1">IFERROR(__xludf.DUMMYFUNCTION("""COMPUTED_VALUE"""),10100358)</f>
        <v>10100358</v>
      </c>
    </row>
    <row r="581" spans="1:6" x14ac:dyDescent="0.35">
      <c r="A581" s="2">
        <f ca="1">IFERROR(__xludf.DUMMYFUNCTION("""COMPUTED_VALUE"""),42846.6666666666)</f>
        <v>42846.666666666599</v>
      </c>
      <c r="B581" s="1">
        <f ca="1">IFERROR(__xludf.DUMMYFUNCTION("""COMPUTED_VALUE"""),2.52)</f>
        <v>2.52</v>
      </c>
      <c r="C581" s="1">
        <f ca="1">IFERROR(__xludf.DUMMYFUNCTION("""COMPUTED_VALUE"""),2.54)</f>
        <v>2.54</v>
      </c>
      <c r="D581" s="1">
        <f ca="1">IFERROR(__xludf.DUMMYFUNCTION("""COMPUTED_VALUE"""),2.51)</f>
        <v>2.5099999999999998</v>
      </c>
      <c r="E581" s="1">
        <f ca="1">IFERROR(__xludf.DUMMYFUNCTION("""COMPUTED_VALUE"""),2.54)</f>
        <v>2.54</v>
      </c>
      <c r="F581" s="1">
        <f ca="1">IFERROR(__xludf.DUMMYFUNCTION("""COMPUTED_VALUE"""),8547390)</f>
        <v>8547390</v>
      </c>
    </row>
    <row r="582" spans="1:6" x14ac:dyDescent="0.35">
      <c r="A582" s="2">
        <f ca="1">IFERROR(__xludf.DUMMYFUNCTION("""COMPUTED_VALUE"""),42849.6666666666)</f>
        <v>42849.666666666599</v>
      </c>
      <c r="B582" s="1">
        <f ca="1">IFERROR(__xludf.DUMMYFUNCTION("""COMPUTED_VALUE"""),2.57)</f>
        <v>2.57</v>
      </c>
      <c r="C582" s="1">
        <f ca="1">IFERROR(__xludf.DUMMYFUNCTION("""COMPUTED_VALUE"""),2.59)</f>
        <v>2.59</v>
      </c>
      <c r="D582" s="1">
        <f ca="1">IFERROR(__xludf.DUMMYFUNCTION("""COMPUTED_VALUE"""),2.55)</f>
        <v>2.5499999999999998</v>
      </c>
      <c r="E582" s="1">
        <f ca="1">IFERROR(__xludf.DUMMYFUNCTION("""COMPUTED_VALUE"""),2.57)</f>
        <v>2.57</v>
      </c>
      <c r="F582" s="1">
        <f ca="1">IFERROR(__xludf.DUMMYFUNCTION("""COMPUTED_VALUE"""),9295490)</f>
        <v>9295490</v>
      </c>
    </row>
    <row r="583" spans="1:6" x14ac:dyDescent="0.35">
      <c r="A583" s="2">
        <f ca="1">IFERROR(__xludf.DUMMYFUNCTION("""COMPUTED_VALUE"""),42850.6666666666)</f>
        <v>42850.666666666599</v>
      </c>
      <c r="B583" s="1">
        <f ca="1">IFERROR(__xludf.DUMMYFUNCTION("""COMPUTED_VALUE"""),2.59)</f>
        <v>2.59</v>
      </c>
      <c r="C583" s="1">
        <f ca="1">IFERROR(__xludf.DUMMYFUNCTION("""COMPUTED_VALUE"""),2.63)</f>
        <v>2.63</v>
      </c>
      <c r="D583" s="1">
        <f ca="1">IFERROR(__xludf.DUMMYFUNCTION("""COMPUTED_VALUE"""),2.57)</f>
        <v>2.57</v>
      </c>
      <c r="E583" s="1">
        <f ca="1">IFERROR(__xludf.DUMMYFUNCTION("""COMPUTED_VALUE"""),2.62)</f>
        <v>2.62</v>
      </c>
      <c r="F583" s="1">
        <f ca="1">IFERROR(__xludf.DUMMYFUNCTION("""COMPUTED_VALUE"""),9710972)</f>
        <v>9710972</v>
      </c>
    </row>
    <row r="584" spans="1:6" x14ac:dyDescent="0.35">
      <c r="A584" s="2">
        <f ca="1">IFERROR(__xludf.DUMMYFUNCTION("""COMPUTED_VALUE"""),42851.6666666666)</f>
        <v>42851.666666666599</v>
      </c>
      <c r="B584" s="1">
        <f ca="1">IFERROR(__xludf.DUMMYFUNCTION("""COMPUTED_VALUE"""),2.63)</f>
        <v>2.63</v>
      </c>
      <c r="C584" s="1">
        <f ca="1">IFERROR(__xludf.DUMMYFUNCTION("""COMPUTED_VALUE"""),2.63)</f>
        <v>2.63</v>
      </c>
      <c r="D584" s="1">
        <f ca="1">IFERROR(__xludf.DUMMYFUNCTION("""COMPUTED_VALUE"""),2.6)</f>
        <v>2.6</v>
      </c>
      <c r="E584" s="1">
        <f ca="1">IFERROR(__xludf.DUMMYFUNCTION("""COMPUTED_VALUE"""),2.6)</f>
        <v>2.6</v>
      </c>
      <c r="F584" s="1">
        <f ca="1">IFERROR(__xludf.DUMMYFUNCTION("""COMPUTED_VALUE"""),8175145)</f>
        <v>8175145</v>
      </c>
    </row>
    <row r="585" spans="1:6" x14ac:dyDescent="0.35">
      <c r="A585" s="2">
        <f ca="1">IFERROR(__xludf.DUMMYFUNCTION("""COMPUTED_VALUE"""),42852.6666666666)</f>
        <v>42852.666666666599</v>
      </c>
      <c r="B585" s="1">
        <f ca="1">IFERROR(__xludf.DUMMYFUNCTION("""COMPUTED_VALUE"""),2.61)</f>
        <v>2.61</v>
      </c>
      <c r="C585" s="1">
        <f ca="1">IFERROR(__xludf.DUMMYFUNCTION("""COMPUTED_VALUE"""),2.65)</f>
        <v>2.65</v>
      </c>
      <c r="D585" s="1">
        <f ca="1">IFERROR(__xludf.DUMMYFUNCTION("""COMPUTED_VALUE"""),2.59)</f>
        <v>2.59</v>
      </c>
      <c r="E585" s="1">
        <f ca="1">IFERROR(__xludf.DUMMYFUNCTION("""COMPUTED_VALUE"""),2.64)</f>
        <v>2.64</v>
      </c>
      <c r="F585" s="1">
        <f ca="1">IFERROR(__xludf.DUMMYFUNCTION("""COMPUTED_VALUE"""),7992465)</f>
        <v>7992465</v>
      </c>
    </row>
    <row r="586" spans="1:6" x14ac:dyDescent="0.35">
      <c r="A586" s="2">
        <f ca="1">IFERROR(__xludf.DUMMYFUNCTION("""COMPUTED_VALUE"""),42853.6666666666)</f>
        <v>42853.666666666599</v>
      </c>
      <c r="B586" s="1">
        <f ca="1">IFERROR(__xludf.DUMMYFUNCTION("""COMPUTED_VALUE"""),2.63)</f>
        <v>2.63</v>
      </c>
      <c r="C586" s="1">
        <f ca="1">IFERROR(__xludf.DUMMYFUNCTION("""COMPUTED_VALUE"""),2.64)</f>
        <v>2.64</v>
      </c>
      <c r="D586" s="1">
        <f ca="1">IFERROR(__xludf.DUMMYFUNCTION("""COMPUTED_VALUE"""),2.6)</f>
        <v>2.6</v>
      </c>
      <c r="E586" s="1">
        <f ca="1">IFERROR(__xludf.DUMMYFUNCTION("""COMPUTED_VALUE"""),2.61)</f>
        <v>2.61</v>
      </c>
      <c r="F586" s="1">
        <f ca="1">IFERROR(__xludf.DUMMYFUNCTION("""COMPUTED_VALUE"""),8706157)</f>
        <v>8706157</v>
      </c>
    </row>
    <row r="587" spans="1:6" x14ac:dyDescent="0.35">
      <c r="A587" s="2">
        <f ca="1">IFERROR(__xludf.DUMMYFUNCTION("""COMPUTED_VALUE"""),42856.6666666666)</f>
        <v>42856.666666666599</v>
      </c>
      <c r="B587" s="1">
        <f ca="1">IFERROR(__xludf.DUMMYFUNCTION("""COMPUTED_VALUE"""),2.62)</f>
        <v>2.62</v>
      </c>
      <c r="C587" s="1">
        <f ca="1">IFERROR(__xludf.DUMMYFUNCTION("""COMPUTED_VALUE"""),2.67)</f>
        <v>2.67</v>
      </c>
      <c r="D587" s="1">
        <f ca="1">IFERROR(__xludf.DUMMYFUNCTION("""COMPUTED_VALUE"""),2.61)</f>
        <v>2.61</v>
      </c>
      <c r="E587" s="1">
        <f ca="1">IFERROR(__xludf.DUMMYFUNCTION("""COMPUTED_VALUE"""),2.67)</f>
        <v>2.67</v>
      </c>
      <c r="F587" s="1">
        <f ca="1">IFERROR(__xludf.DUMMYFUNCTION("""COMPUTED_VALUE"""),7693333)</f>
        <v>7693333</v>
      </c>
    </row>
    <row r="588" spans="1:6" x14ac:dyDescent="0.35">
      <c r="A588" s="2">
        <f ca="1">IFERROR(__xludf.DUMMYFUNCTION("""COMPUTED_VALUE"""),42857.6666666666)</f>
        <v>42857.666666666599</v>
      </c>
      <c r="B588" s="1">
        <f ca="1">IFERROR(__xludf.DUMMYFUNCTION("""COMPUTED_VALUE"""),2.64)</f>
        <v>2.64</v>
      </c>
      <c r="C588" s="1">
        <f ca="1">IFERROR(__xludf.DUMMYFUNCTION("""COMPUTED_VALUE"""),2.64)</f>
        <v>2.64</v>
      </c>
      <c r="D588" s="1">
        <f ca="1">IFERROR(__xludf.DUMMYFUNCTION("""COMPUTED_VALUE"""),2.56)</f>
        <v>2.56</v>
      </c>
      <c r="E588" s="1">
        <f ca="1">IFERROR(__xludf.DUMMYFUNCTION("""COMPUTED_VALUE"""),2.59)</f>
        <v>2.59</v>
      </c>
      <c r="F588" s="1">
        <f ca="1">IFERROR(__xludf.DUMMYFUNCTION("""COMPUTED_VALUE"""),15749327)</f>
        <v>15749327</v>
      </c>
    </row>
    <row r="589" spans="1:6" x14ac:dyDescent="0.35">
      <c r="A589" s="2">
        <f ca="1">IFERROR(__xludf.DUMMYFUNCTION("""COMPUTED_VALUE"""),42858.6666666666)</f>
        <v>42858.666666666599</v>
      </c>
      <c r="B589" s="1">
        <f ca="1">IFERROR(__xludf.DUMMYFUNCTION("""COMPUTED_VALUE"""),2.58)</f>
        <v>2.58</v>
      </c>
      <c r="C589" s="1">
        <f ca="1">IFERROR(__xludf.DUMMYFUNCTION("""COMPUTED_VALUE"""),2.62)</f>
        <v>2.62</v>
      </c>
      <c r="D589" s="1">
        <f ca="1">IFERROR(__xludf.DUMMYFUNCTION("""COMPUTED_VALUE"""),2.57)</f>
        <v>2.57</v>
      </c>
      <c r="E589" s="1">
        <f ca="1">IFERROR(__xludf.DUMMYFUNCTION("""COMPUTED_VALUE"""),2.61)</f>
        <v>2.61</v>
      </c>
      <c r="F589" s="1">
        <f ca="1">IFERROR(__xludf.DUMMYFUNCTION("""COMPUTED_VALUE"""),8422633)</f>
        <v>8422633</v>
      </c>
    </row>
    <row r="590" spans="1:6" x14ac:dyDescent="0.35">
      <c r="A590" s="2">
        <f ca="1">IFERROR(__xludf.DUMMYFUNCTION("""COMPUTED_VALUE"""),42859.6666666666)</f>
        <v>42859.666666666599</v>
      </c>
      <c r="B590" s="1">
        <f ca="1">IFERROR(__xludf.DUMMYFUNCTION("""COMPUTED_VALUE"""),2.61)</f>
        <v>2.61</v>
      </c>
      <c r="C590" s="1">
        <f ca="1">IFERROR(__xludf.DUMMYFUNCTION("""COMPUTED_VALUE"""),2.62)</f>
        <v>2.62</v>
      </c>
      <c r="D590" s="1">
        <f ca="1">IFERROR(__xludf.DUMMYFUNCTION("""COMPUTED_VALUE"""),2.59)</f>
        <v>2.59</v>
      </c>
      <c r="E590" s="1">
        <f ca="1">IFERROR(__xludf.DUMMYFUNCTION("""COMPUTED_VALUE"""),2.6)</f>
        <v>2.6</v>
      </c>
      <c r="F590" s="1">
        <f ca="1">IFERROR(__xludf.DUMMYFUNCTION("""COMPUTED_VALUE"""),5244692)</f>
        <v>5244692</v>
      </c>
    </row>
    <row r="591" spans="1:6" x14ac:dyDescent="0.35">
      <c r="A591" s="2">
        <f ca="1">IFERROR(__xludf.DUMMYFUNCTION("""COMPUTED_VALUE"""),42860.6666666666)</f>
        <v>42860.666666666599</v>
      </c>
      <c r="B591" s="1">
        <f ca="1">IFERROR(__xludf.DUMMYFUNCTION("""COMPUTED_VALUE"""),2.58)</f>
        <v>2.58</v>
      </c>
      <c r="C591" s="1">
        <f ca="1">IFERROR(__xludf.DUMMYFUNCTION("""COMPUTED_VALUE"""),2.6)</f>
        <v>2.6</v>
      </c>
      <c r="D591" s="1">
        <f ca="1">IFERROR(__xludf.DUMMYFUNCTION("""COMPUTED_VALUE"""),2.57)</f>
        <v>2.57</v>
      </c>
      <c r="E591" s="1">
        <f ca="1">IFERROR(__xludf.DUMMYFUNCTION("""COMPUTED_VALUE"""),2.6)</f>
        <v>2.6</v>
      </c>
      <c r="F591" s="1">
        <f ca="1">IFERROR(__xludf.DUMMYFUNCTION("""COMPUTED_VALUE"""),5710736)</f>
        <v>5710736</v>
      </c>
    </row>
    <row r="592" spans="1:6" x14ac:dyDescent="0.35">
      <c r="A592" s="2">
        <f ca="1">IFERROR(__xludf.DUMMYFUNCTION("""COMPUTED_VALUE"""),42863.6666666666)</f>
        <v>42863.666666666599</v>
      </c>
      <c r="B592" s="1">
        <f ca="1">IFERROR(__xludf.DUMMYFUNCTION("""COMPUTED_VALUE"""),2.61)</f>
        <v>2.61</v>
      </c>
      <c r="C592" s="1">
        <f ca="1">IFERROR(__xludf.DUMMYFUNCTION("""COMPUTED_VALUE"""),2.61)</f>
        <v>2.61</v>
      </c>
      <c r="D592" s="1">
        <f ca="1">IFERROR(__xludf.DUMMYFUNCTION("""COMPUTED_VALUE"""),2.56)</f>
        <v>2.56</v>
      </c>
      <c r="E592" s="1">
        <f ca="1">IFERROR(__xludf.DUMMYFUNCTION("""COMPUTED_VALUE"""),2.57)</f>
        <v>2.57</v>
      </c>
      <c r="F592" s="1">
        <f ca="1">IFERROR(__xludf.DUMMYFUNCTION("""COMPUTED_VALUE"""),9130990)</f>
        <v>9130990</v>
      </c>
    </row>
    <row r="593" spans="1:6" x14ac:dyDescent="0.35">
      <c r="A593" s="2">
        <f ca="1">IFERROR(__xludf.DUMMYFUNCTION("""COMPUTED_VALUE"""),42864.6666666666)</f>
        <v>42864.666666666599</v>
      </c>
      <c r="B593" s="1">
        <f ca="1">IFERROR(__xludf.DUMMYFUNCTION("""COMPUTED_VALUE"""),2.58)</f>
        <v>2.58</v>
      </c>
      <c r="C593" s="1">
        <f ca="1">IFERROR(__xludf.DUMMYFUNCTION("""COMPUTED_VALUE"""),2.62)</f>
        <v>2.62</v>
      </c>
      <c r="D593" s="1">
        <f ca="1">IFERROR(__xludf.DUMMYFUNCTION("""COMPUTED_VALUE"""),2.57)</f>
        <v>2.57</v>
      </c>
      <c r="E593" s="1">
        <f ca="1">IFERROR(__xludf.DUMMYFUNCTION("""COMPUTED_VALUE"""),2.57)</f>
        <v>2.57</v>
      </c>
      <c r="F593" s="1">
        <f ca="1">IFERROR(__xludf.DUMMYFUNCTION("""COMPUTED_VALUE"""),21191792)</f>
        <v>21191792</v>
      </c>
    </row>
    <row r="594" spans="1:6" x14ac:dyDescent="0.35">
      <c r="A594" s="2">
        <f ca="1">IFERROR(__xludf.DUMMYFUNCTION("""COMPUTED_VALUE"""),42865.6666666666)</f>
        <v>42865.666666666599</v>
      </c>
      <c r="B594" s="1">
        <f ca="1">IFERROR(__xludf.DUMMYFUNCTION("""COMPUTED_VALUE"""),2.86)</f>
        <v>2.86</v>
      </c>
      <c r="C594" s="1">
        <f ca="1">IFERROR(__xludf.DUMMYFUNCTION("""COMPUTED_VALUE"""),3.05)</f>
        <v>3.05</v>
      </c>
      <c r="D594" s="1">
        <f ca="1">IFERROR(__xludf.DUMMYFUNCTION("""COMPUTED_VALUE"""),2.85)</f>
        <v>2.85</v>
      </c>
      <c r="E594" s="1">
        <f ca="1">IFERROR(__xludf.DUMMYFUNCTION("""COMPUTED_VALUE"""),3.03)</f>
        <v>3.03</v>
      </c>
      <c r="F594" s="1">
        <f ca="1">IFERROR(__xludf.DUMMYFUNCTION("""COMPUTED_VALUE"""),53227434)</f>
        <v>53227434</v>
      </c>
    </row>
    <row r="595" spans="1:6" x14ac:dyDescent="0.35">
      <c r="A595" s="2">
        <f ca="1">IFERROR(__xludf.DUMMYFUNCTION("""COMPUTED_VALUE"""),42866.6666666666)</f>
        <v>42866.666666666599</v>
      </c>
      <c r="B595" s="1">
        <f ca="1">IFERROR(__xludf.DUMMYFUNCTION("""COMPUTED_VALUE"""),3)</f>
        <v>3</v>
      </c>
      <c r="C595" s="1">
        <f ca="1">IFERROR(__xludf.DUMMYFUNCTION("""COMPUTED_VALUE"""),3.26)</f>
        <v>3.26</v>
      </c>
      <c r="D595" s="1">
        <f ca="1">IFERROR(__xludf.DUMMYFUNCTION("""COMPUTED_VALUE"""),3)</f>
        <v>3</v>
      </c>
      <c r="E595" s="1">
        <f ca="1">IFERROR(__xludf.DUMMYFUNCTION("""COMPUTED_VALUE"""),3.16)</f>
        <v>3.16</v>
      </c>
      <c r="F595" s="1">
        <f ca="1">IFERROR(__xludf.DUMMYFUNCTION("""COMPUTED_VALUE"""),48494808)</f>
        <v>48494808</v>
      </c>
    </row>
    <row r="596" spans="1:6" x14ac:dyDescent="0.35">
      <c r="A596" s="2">
        <f ca="1">IFERROR(__xludf.DUMMYFUNCTION("""COMPUTED_VALUE"""),42867.6666666666)</f>
        <v>42867.666666666599</v>
      </c>
      <c r="B596" s="1">
        <f ca="1">IFERROR(__xludf.DUMMYFUNCTION("""COMPUTED_VALUE"""),3.17)</f>
        <v>3.17</v>
      </c>
      <c r="C596" s="1">
        <f ca="1">IFERROR(__xludf.DUMMYFUNCTION("""COMPUTED_VALUE"""),3.24)</f>
        <v>3.24</v>
      </c>
      <c r="D596" s="1">
        <f ca="1">IFERROR(__xludf.DUMMYFUNCTION("""COMPUTED_VALUE"""),3.14)</f>
        <v>3.14</v>
      </c>
      <c r="E596" s="1">
        <f ca="1">IFERROR(__xludf.DUMMYFUNCTION("""COMPUTED_VALUE"""),3.2)</f>
        <v>3.2</v>
      </c>
      <c r="F596" s="1">
        <f ca="1">IFERROR(__xludf.DUMMYFUNCTION("""COMPUTED_VALUE"""),24065459)</f>
        <v>24065459</v>
      </c>
    </row>
    <row r="597" spans="1:6" x14ac:dyDescent="0.35">
      <c r="A597" s="2">
        <f ca="1">IFERROR(__xludf.DUMMYFUNCTION("""COMPUTED_VALUE"""),42870.6666666666)</f>
        <v>42870.666666666599</v>
      </c>
      <c r="B597" s="1">
        <f ca="1">IFERROR(__xludf.DUMMYFUNCTION("""COMPUTED_VALUE"""),3.24)</f>
        <v>3.24</v>
      </c>
      <c r="C597" s="1">
        <f ca="1">IFERROR(__xludf.DUMMYFUNCTION("""COMPUTED_VALUE"""),3.36)</f>
        <v>3.36</v>
      </c>
      <c r="D597" s="1">
        <f ca="1">IFERROR(__xludf.DUMMYFUNCTION("""COMPUTED_VALUE"""),3.23)</f>
        <v>3.23</v>
      </c>
      <c r="E597" s="1">
        <f ca="1">IFERROR(__xludf.DUMMYFUNCTION("""COMPUTED_VALUE"""),3.36)</f>
        <v>3.36</v>
      </c>
      <c r="F597" s="1">
        <f ca="1">IFERROR(__xludf.DUMMYFUNCTION("""COMPUTED_VALUE"""),27188548)</f>
        <v>27188548</v>
      </c>
    </row>
    <row r="598" spans="1:6" x14ac:dyDescent="0.35">
      <c r="A598" s="2">
        <f ca="1">IFERROR(__xludf.DUMMYFUNCTION("""COMPUTED_VALUE"""),42871.6666666666)</f>
        <v>42871.666666666599</v>
      </c>
      <c r="B598" s="1">
        <f ca="1">IFERROR(__xludf.DUMMYFUNCTION("""COMPUTED_VALUE"""),3.41)</f>
        <v>3.41</v>
      </c>
      <c r="C598" s="1">
        <f ca="1">IFERROR(__xludf.DUMMYFUNCTION("""COMPUTED_VALUE"""),3.44)</f>
        <v>3.44</v>
      </c>
      <c r="D598" s="1">
        <f ca="1">IFERROR(__xludf.DUMMYFUNCTION("""COMPUTED_VALUE"""),3.33)</f>
        <v>3.33</v>
      </c>
      <c r="E598" s="1">
        <f ca="1">IFERROR(__xludf.DUMMYFUNCTION("""COMPUTED_VALUE"""),3.42)</f>
        <v>3.42</v>
      </c>
      <c r="F598" s="1">
        <f ca="1">IFERROR(__xludf.DUMMYFUNCTION("""COMPUTED_VALUE"""),28017471)</f>
        <v>28017471</v>
      </c>
    </row>
    <row r="599" spans="1:6" x14ac:dyDescent="0.35">
      <c r="A599" s="2">
        <f ca="1">IFERROR(__xludf.DUMMYFUNCTION("""COMPUTED_VALUE"""),42872.6666666666)</f>
        <v>42872.666666666599</v>
      </c>
      <c r="B599" s="1">
        <f ca="1">IFERROR(__xludf.DUMMYFUNCTION("""COMPUTED_VALUE"""),3.35)</f>
        <v>3.35</v>
      </c>
      <c r="C599" s="1">
        <f ca="1">IFERROR(__xludf.DUMMYFUNCTION("""COMPUTED_VALUE"""),3.37)</f>
        <v>3.37</v>
      </c>
      <c r="D599" s="1">
        <f ca="1">IFERROR(__xludf.DUMMYFUNCTION("""COMPUTED_VALUE"""),3.19)</f>
        <v>3.19</v>
      </c>
      <c r="E599" s="1">
        <f ca="1">IFERROR(__xludf.DUMMYFUNCTION("""COMPUTED_VALUE"""),3.19)</f>
        <v>3.19</v>
      </c>
      <c r="F599" s="1">
        <f ca="1">IFERROR(__xludf.DUMMYFUNCTION("""COMPUTED_VALUE"""),31784158)</f>
        <v>31784158</v>
      </c>
    </row>
    <row r="600" spans="1:6" x14ac:dyDescent="0.35">
      <c r="A600" s="2">
        <f ca="1">IFERROR(__xludf.DUMMYFUNCTION("""COMPUTED_VALUE"""),42873.6666666666)</f>
        <v>42873.666666666599</v>
      </c>
      <c r="B600" s="1">
        <f ca="1">IFERROR(__xludf.DUMMYFUNCTION("""COMPUTED_VALUE"""),3.24)</f>
        <v>3.24</v>
      </c>
      <c r="C600" s="1">
        <f ca="1">IFERROR(__xludf.DUMMYFUNCTION("""COMPUTED_VALUE"""),3.34)</f>
        <v>3.34</v>
      </c>
      <c r="D600" s="1">
        <f ca="1">IFERROR(__xludf.DUMMYFUNCTION("""COMPUTED_VALUE"""),3.18)</f>
        <v>3.18</v>
      </c>
      <c r="E600" s="1">
        <f ca="1">IFERROR(__xludf.DUMMYFUNCTION("""COMPUTED_VALUE"""),3.33)</f>
        <v>3.33</v>
      </c>
      <c r="F600" s="1">
        <f ca="1">IFERROR(__xludf.DUMMYFUNCTION("""COMPUTED_VALUE"""),28900757)</f>
        <v>28900757</v>
      </c>
    </row>
    <row r="601" spans="1:6" x14ac:dyDescent="0.35">
      <c r="A601" s="2">
        <f ca="1">IFERROR(__xludf.DUMMYFUNCTION("""COMPUTED_VALUE"""),42874.6666666666)</f>
        <v>42874.666666666599</v>
      </c>
      <c r="B601" s="1">
        <f ca="1">IFERROR(__xludf.DUMMYFUNCTION("""COMPUTED_VALUE"""),3.43)</f>
        <v>3.43</v>
      </c>
      <c r="C601" s="1">
        <f ca="1">IFERROR(__xludf.DUMMYFUNCTION("""COMPUTED_VALUE"""),3.46)</f>
        <v>3.46</v>
      </c>
      <c r="D601" s="1">
        <f ca="1">IFERROR(__xludf.DUMMYFUNCTION("""COMPUTED_VALUE"""),3.38)</f>
        <v>3.38</v>
      </c>
      <c r="E601" s="1">
        <f ca="1">IFERROR(__xludf.DUMMYFUNCTION("""COMPUTED_VALUE"""),3.4)</f>
        <v>3.4</v>
      </c>
      <c r="F601" s="1">
        <f ca="1">IFERROR(__xludf.DUMMYFUNCTION("""COMPUTED_VALUE"""),25459271)</f>
        <v>25459271</v>
      </c>
    </row>
    <row r="602" spans="1:6" x14ac:dyDescent="0.35">
      <c r="A602" s="2">
        <f ca="1">IFERROR(__xludf.DUMMYFUNCTION("""COMPUTED_VALUE"""),42877.6666666666)</f>
        <v>42877.666666666599</v>
      </c>
      <c r="B602" s="1">
        <f ca="1">IFERROR(__xludf.DUMMYFUNCTION("""COMPUTED_VALUE"""),3.44)</f>
        <v>3.44</v>
      </c>
      <c r="C602" s="1">
        <f ca="1">IFERROR(__xludf.DUMMYFUNCTION("""COMPUTED_VALUE"""),3.49)</f>
        <v>3.49</v>
      </c>
      <c r="D602" s="1">
        <f ca="1">IFERROR(__xludf.DUMMYFUNCTION("""COMPUTED_VALUE"""),3.43)</f>
        <v>3.43</v>
      </c>
      <c r="E602" s="1">
        <f ca="1">IFERROR(__xludf.DUMMYFUNCTION("""COMPUTED_VALUE"""),3.47)</f>
        <v>3.47</v>
      </c>
      <c r="F602" s="1">
        <f ca="1">IFERROR(__xludf.DUMMYFUNCTION("""COMPUTED_VALUE"""),20915225)</f>
        <v>20915225</v>
      </c>
    </row>
    <row r="603" spans="1:6" x14ac:dyDescent="0.35">
      <c r="A603" s="2">
        <f ca="1">IFERROR(__xludf.DUMMYFUNCTION("""COMPUTED_VALUE"""),42878.6666666666)</f>
        <v>42878.666666666599</v>
      </c>
      <c r="B603" s="1">
        <f ca="1">IFERROR(__xludf.DUMMYFUNCTION("""COMPUTED_VALUE"""),3.49)</f>
        <v>3.49</v>
      </c>
      <c r="C603" s="1">
        <f ca="1">IFERROR(__xludf.DUMMYFUNCTION("""COMPUTED_VALUE"""),3.49)</f>
        <v>3.49</v>
      </c>
      <c r="D603" s="1">
        <f ca="1">IFERROR(__xludf.DUMMYFUNCTION("""COMPUTED_VALUE"""),3.39)</f>
        <v>3.39</v>
      </c>
      <c r="E603" s="1">
        <f ca="1">IFERROR(__xludf.DUMMYFUNCTION("""COMPUTED_VALUE"""),3.43)</f>
        <v>3.43</v>
      </c>
      <c r="F603" s="1">
        <f ca="1">IFERROR(__xludf.DUMMYFUNCTION("""COMPUTED_VALUE"""),17031247)</f>
        <v>17031247</v>
      </c>
    </row>
    <row r="604" spans="1:6" x14ac:dyDescent="0.35">
      <c r="A604" s="2">
        <f ca="1">IFERROR(__xludf.DUMMYFUNCTION("""COMPUTED_VALUE"""),42879.6666666666)</f>
        <v>42879.666666666599</v>
      </c>
      <c r="B604" s="1">
        <f ca="1">IFERROR(__xludf.DUMMYFUNCTION("""COMPUTED_VALUE"""),3.52)</f>
        <v>3.52</v>
      </c>
      <c r="C604" s="1">
        <f ca="1">IFERROR(__xludf.DUMMYFUNCTION("""COMPUTED_VALUE"""),3.53)</f>
        <v>3.53</v>
      </c>
      <c r="D604" s="1">
        <f ca="1">IFERROR(__xludf.DUMMYFUNCTION("""COMPUTED_VALUE"""),3.45)</f>
        <v>3.45</v>
      </c>
      <c r="E604" s="1">
        <f ca="1">IFERROR(__xludf.DUMMYFUNCTION("""COMPUTED_VALUE"""),3.46)</f>
        <v>3.46</v>
      </c>
      <c r="F604" s="1">
        <f ca="1">IFERROR(__xludf.DUMMYFUNCTION("""COMPUTED_VALUE"""),20434495)</f>
        <v>20434495</v>
      </c>
    </row>
    <row r="605" spans="1:6" x14ac:dyDescent="0.35">
      <c r="A605" s="2">
        <f ca="1">IFERROR(__xludf.DUMMYFUNCTION("""COMPUTED_VALUE"""),42880.6666666666)</f>
        <v>42880.666666666599</v>
      </c>
      <c r="B605" s="1">
        <f ca="1">IFERROR(__xludf.DUMMYFUNCTION("""COMPUTED_VALUE"""),3.5)</f>
        <v>3.5</v>
      </c>
      <c r="C605" s="1">
        <f ca="1">IFERROR(__xludf.DUMMYFUNCTION("""COMPUTED_VALUE"""),3.5)</f>
        <v>3.5</v>
      </c>
      <c r="D605" s="1">
        <f ca="1">IFERROR(__xludf.DUMMYFUNCTION("""COMPUTED_VALUE"""),3.41)</f>
        <v>3.41</v>
      </c>
      <c r="E605" s="1">
        <f ca="1">IFERROR(__xludf.DUMMYFUNCTION("""COMPUTED_VALUE"""),3.46)</f>
        <v>3.46</v>
      </c>
      <c r="F605" s="1">
        <f ca="1">IFERROR(__xludf.DUMMYFUNCTION("""COMPUTED_VALUE"""),15205701)</f>
        <v>15205701</v>
      </c>
    </row>
    <row r="606" spans="1:6" x14ac:dyDescent="0.35">
      <c r="A606" s="2">
        <f ca="1">IFERROR(__xludf.DUMMYFUNCTION("""COMPUTED_VALUE"""),42881.6666666666)</f>
        <v>42881.666666666599</v>
      </c>
      <c r="B606" s="1">
        <f ca="1">IFERROR(__xludf.DUMMYFUNCTION("""COMPUTED_VALUE"""),3.45)</f>
        <v>3.45</v>
      </c>
      <c r="C606" s="1">
        <f ca="1">IFERROR(__xludf.DUMMYFUNCTION("""COMPUTED_VALUE"""),3.63)</f>
        <v>3.63</v>
      </c>
      <c r="D606" s="1">
        <f ca="1">IFERROR(__xludf.DUMMYFUNCTION("""COMPUTED_VALUE"""),3.43)</f>
        <v>3.43</v>
      </c>
      <c r="E606" s="1">
        <f ca="1">IFERROR(__xludf.DUMMYFUNCTION("""COMPUTED_VALUE"""),3.55)</f>
        <v>3.55</v>
      </c>
      <c r="F606" s="1">
        <f ca="1">IFERROR(__xludf.DUMMYFUNCTION("""COMPUTED_VALUE"""),19478497)</f>
        <v>19478497</v>
      </c>
    </row>
    <row r="607" spans="1:6" x14ac:dyDescent="0.35">
      <c r="A607" s="2">
        <f ca="1">IFERROR(__xludf.DUMMYFUNCTION("""COMPUTED_VALUE"""),42885.6666666666)</f>
        <v>42885.666666666599</v>
      </c>
      <c r="B607" s="1">
        <f ca="1">IFERROR(__xludf.DUMMYFUNCTION("""COMPUTED_VALUE"""),3.59)</f>
        <v>3.59</v>
      </c>
      <c r="C607" s="1">
        <f ca="1">IFERROR(__xludf.DUMMYFUNCTION("""COMPUTED_VALUE"""),3.66)</f>
        <v>3.66</v>
      </c>
      <c r="D607" s="1">
        <f ca="1">IFERROR(__xludf.DUMMYFUNCTION("""COMPUTED_VALUE"""),3.58)</f>
        <v>3.58</v>
      </c>
      <c r="E607" s="1">
        <f ca="1">IFERROR(__xludf.DUMMYFUNCTION("""COMPUTED_VALUE"""),3.62)</f>
        <v>3.62</v>
      </c>
      <c r="F607" s="1">
        <f ca="1">IFERROR(__xludf.DUMMYFUNCTION("""COMPUTED_VALUE"""),24741298)</f>
        <v>24741298</v>
      </c>
    </row>
    <row r="608" spans="1:6" x14ac:dyDescent="0.35">
      <c r="A608" s="2">
        <f ca="1">IFERROR(__xludf.DUMMYFUNCTION("""COMPUTED_VALUE"""),42886.6666666666)</f>
        <v>42886.666666666599</v>
      </c>
      <c r="B608" s="1">
        <f ca="1">IFERROR(__xludf.DUMMYFUNCTION("""COMPUTED_VALUE"""),3.67)</f>
        <v>3.67</v>
      </c>
      <c r="C608" s="1">
        <f ca="1">IFERROR(__xludf.DUMMYFUNCTION("""COMPUTED_VALUE"""),3.68)</f>
        <v>3.68</v>
      </c>
      <c r="D608" s="1">
        <f ca="1">IFERROR(__xludf.DUMMYFUNCTION("""COMPUTED_VALUE"""),3.55)</f>
        <v>3.55</v>
      </c>
      <c r="E608" s="1">
        <f ca="1">IFERROR(__xludf.DUMMYFUNCTION("""COMPUTED_VALUE"""),3.61)</f>
        <v>3.61</v>
      </c>
      <c r="F608" s="1">
        <f ca="1">IFERROR(__xludf.DUMMYFUNCTION("""COMPUTED_VALUE"""),22182894)</f>
        <v>22182894</v>
      </c>
    </row>
    <row r="609" spans="1:6" x14ac:dyDescent="0.35">
      <c r="A609" s="2">
        <f ca="1">IFERROR(__xludf.DUMMYFUNCTION("""COMPUTED_VALUE"""),42887.6666666666)</f>
        <v>42887.666666666599</v>
      </c>
      <c r="B609" s="1">
        <f ca="1">IFERROR(__xludf.DUMMYFUNCTION("""COMPUTED_VALUE"""),3.62)</f>
        <v>3.62</v>
      </c>
      <c r="C609" s="1">
        <f ca="1">IFERROR(__xludf.DUMMYFUNCTION("""COMPUTED_VALUE"""),3.63)</f>
        <v>3.63</v>
      </c>
      <c r="D609" s="1">
        <f ca="1">IFERROR(__xludf.DUMMYFUNCTION("""COMPUTED_VALUE"""),3.56)</f>
        <v>3.56</v>
      </c>
      <c r="E609" s="1">
        <f ca="1">IFERROR(__xludf.DUMMYFUNCTION("""COMPUTED_VALUE"""),3.61)</f>
        <v>3.61</v>
      </c>
      <c r="F609" s="1">
        <f ca="1">IFERROR(__xludf.DUMMYFUNCTION("""COMPUTED_VALUE"""),12583467)</f>
        <v>12583467</v>
      </c>
    </row>
    <row r="610" spans="1:6" x14ac:dyDescent="0.35">
      <c r="A610" s="2">
        <f ca="1">IFERROR(__xludf.DUMMYFUNCTION("""COMPUTED_VALUE"""),42888.6666666666)</f>
        <v>42888.666666666599</v>
      </c>
      <c r="B610" s="1">
        <f ca="1">IFERROR(__xludf.DUMMYFUNCTION("""COMPUTED_VALUE"""),3.61)</f>
        <v>3.61</v>
      </c>
      <c r="C610" s="1">
        <f ca="1">IFERROR(__xludf.DUMMYFUNCTION("""COMPUTED_VALUE"""),3.63)</f>
        <v>3.63</v>
      </c>
      <c r="D610" s="1">
        <f ca="1">IFERROR(__xludf.DUMMYFUNCTION("""COMPUTED_VALUE"""),3.59)</f>
        <v>3.59</v>
      </c>
      <c r="E610" s="1">
        <f ca="1">IFERROR(__xludf.DUMMYFUNCTION("""COMPUTED_VALUE"""),3.59)</f>
        <v>3.59</v>
      </c>
      <c r="F610" s="1">
        <f ca="1">IFERROR(__xludf.DUMMYFUNCTION("""COMPUTED_VALUE"""),12186434)</f>
        <v>12186434</v>
      </c>
    </row>
    <row r="611" spans="1:6" x14ac:dyDescent="0.35">
      <c r="A611" s="2">
        <f ca="1">IFERROR(__xludf.DUMMYFUNCTION("""COMPUTED_VALUE"""),42891.6666666666)</f>
        <v>42891.666666666599</v>
      </c>
      <c r="B611" s="1">
        <f ca="1">IFERROR(__xludf.DUMMYFUNCTION("""COMPUTED_VALUE"""),3.57)</f>
        <v>3.57</v>
      </c>
      <c r="C611" s="1">
        <f ca="1">IFERROR(__xludf.DUMMYFUNCTION("""COMPUTED_VALUE"""),3.71)</f>
        <v>3.71</v>
      </c>
      <c r="D611" s="1">
        <f ca="1">IFERROR(__xludf.DUMMYFUNCTION("""COMPUTED_VALUE"""),3.56)</f>
        <v>3.56</v>
      </c>
      <c r="E611" s="1">
        <f ca="1">IFERROR(__xludf.DUMMYFUNCTION("""COMPUTED_VALUE"""),3.7)</f>
        <v>3.7</v>
      </c>
      <c r="F611" s="1">
        <f ca="1">IFERROR(__xludf.DUMMYFUNCTION("""COMPUTED_VALUE"""),20434442)</f>
        <v>20434442</v>
      </c>
    </row>
    <row r="612" spans="1:6" x14ac:dyDescent="0.35">
      <c r="A612" s="2">
        <f ca="1">IFERROR(__xludf.DUMMYFUNCTION("""COMPUTED_VALUE"""),42892.6666666666)</f>
        <v>42892.666666666599</v>
      </c>
      <c r="B612" s="1">
        <f ca="1">IFERROR(__xludf.DUMMYFUNCTION("""COMPUTED_VALUE"""),3.7)</f>
        <v>3.7</v>
      </c>
      <c r="C612" s="1">
        <f ca="1">IFERROR(__xludf.DUMMYFUNCTION("""COMPUTED_VALUE"""),3.74)</f>
        <v>3.74</v>
      </c>
      <c r="D612" s="1">
        <f ca="1">IFERROR(__xludf.DUMMYFUNCTION("""COMPUTED_VALUE"""),3.67)</f>
        <v>3.67</v>
      </c>
      <c r="E612" s="1">
        <f ca="1">IFERROR(__xludf.DUMMYFUNCTION("""COMPUTED_VALUE"""),3.68)</f>
        <v>3.68</v>
      </c>
      <c r="F612" s="1">
        <f ca="1">IFERROR(__xludf.DUMMYFUNCTION("""COMPUTED_VALUE"""),18968189)</f>
        <v>18968189</v>
      </c>
    </row>
    <row r="613" spans="1:6" x14ac:dyDescent="0.35">
      <c r="A613" s="2">
        <f ca="1">IFERROR(__xludf.DUMMYFUNCTION("""COMPUTED_VALUE"""),42893.6666666666)</f>
        <v>42893.666666666599</v>
      </c>
      <c r="B613" s="1">
        <f ca="1">IFERROR(__xludf.DUMMYFUNCTION("""COMPUTED_VALUE"""),3.71)</f>
        <v>3.71</v>
      </c>
      <c r="C613" s="1">
        <f ca="1">IFERROR(__xludf.DUMMYFUNCTION("""COMPUTED_VALUE"""),3.75)</f>
        <v>3.75</v>
      </c>
      <c r="D613" s="1">
        <f ca="1">IFERROR(__xludf.DUMMYFUNCTION("""COMPUTED_VALUE"""),3.69)</f>
        <v>3.69</v>
      </c>
      <c r="E613" s="1">
        <f ca="1">IFERROR(__xludf.DUMMYFUNCTION("""COMPUTED_VALUE"""),3.73)</f>
        <v>3.73</v>
      </c>
      <c r="F613" s="1">
        <f ca="1">IFERROR(__xludf.DUMMYFUNCTION("""COMPUTED_VALUE"""),15315293)</f>
        <v>15315293</v>
      </c>
    </row>
    <row r="614" spans="1:6" x14ac:dyDescent="0.35">
      <c r="A614" s="2">
        <f ca="1">IFERROR(__xludf.DUMMYFUNCTION("""COMPUTED_VALUE"""),42894.6666666666)</f>
        <v>42894.666666666599</v>
      </c>
      <c r="B614" s="1">
        <f ca="1">IFERROR(__xludf.DUMMYFUNCTION("""COMPUTED_VALUE"""),3.84)</f>
        <v>3.84</v>
      </c>
      <c r="C614" s="1">
        <f ca="1">IFERROR(__xludf.DUMMYFUNCTION("""COMPUTED_VALUE"""),4)</f>
        <v>4</v>
      </c>
      <c r="D614" s="1">
        <f ca="1">IFERROR(__xludf.DUMMYFUNCTION("""COMPUTED_VALUE"""),3.79)</f>
        <v>3.79</v>
      </c>
      <c r="E614" s="1">
        <f ca="1">IFERROR(__xludf.DUMMYFUNCTION("""COMPUTED_VALUE"""),4)</f>
        <v>4</v>
      </c>
      <c r="F614" s="1">
        <f ca="1">IFERROR(__xludf.DUMMYFUNCTION("""COMPUTED_VALUE"""),29043605)</f>
        <v>29043605</v>
      </c>
    </row>
    <row r="615" spans="1:6" x14ac:dyDescent="0.35">
      <c r="A615" s="2">
        <f ca="1">IFERROR(__xludf.DUMMYFUNCTION("""COMPUTED_VALUE"""),42895.6666666666)</f>
        <v>42895.666666666599</v>
      </c>
      <c r="B615" s="1">
        <f ca="1">IFERROR(__xludf.DUMMYFUNCTION("""COMPUTED_VALUE"""),4.12)</f>
        <v>4.12</v>
      </c>
      <c r="C615" s="1">
        <f ca="1">IFERROR(__xludf.DUMMYFUNCTION("""COMPUTED_VALUE"""),4.21)</f>
        <v>4.21</v>
      </c>
      <c r="D615" s="1">
        <f ca="1">IFERROR(__xludf.DUMMYFUNCTION("""COMPUTED_VALUE"""),3.57)</f>
        <v>3.57</v>
      </c>
      <c r="E615" s="1">
        <f ca="1">IFERROR(__xludf.DUMMYFUNCTION("""COMPUTED_VALUE"""),3.74)</f>
        <v>3.74</v>
      </c>
      <c r="F615" s="1">
        <f ca="1">IFERROR(__xludf.DUMMYFUNCTION("""COMPUTED_VALUE"""),92323196)</f>
        <v>92323196</v>
      </c>
    </row>
    <row r="616" spans="1:6" x14ac:dyDescent="0.35">
      <c r="A616" s="2">
        <f ca="1">IFERROR(__xludf.DUMMYFUNCTION("""COMPUTED_VALUE"""),42898.6666666666)</f>
        <v>42898.666666666599</v>
      </c>
      <c r="B616" s="1">
        <f ca="1">IFERROR(__xludf.DUMMYFUNCTION("""COMPUTED_VALUE"""),3.65)</f>
        <v>3.65</v>
      </c>
      <c r="C616" s="1">
        <f ca="1">IFERROR(__xludf.DUMMYFUNCTION("""COMPUTED_VALUE"""),3.79)</f>
        <v>3.79</v>
      </c>
      <c r="D616" s="1">
        <f ca="1">IFERROR(__xludf.DUMMYFUNCTION("""COMPUTED_VALUE"""),3.55)</f>
        <v>3.55</v>
      </c>
      <c r="E616" s="1">
        <f ca="1">IFERROR(__xludf.DUMMYFUNCTION("""COMPUTED_VALUE"""),3.75)</f>
        <v>3.75</v>
      </c>
      <c r="F616" s="1">
        <f ca="1">IFERROR(__xludf.DUMMYFUNCTION("""COMPUTED_VALUE"""),42438280)</f>
        <v>42438280</v>
      </c>
    </row>
    <row r="617" spans="1:6" x14ac:dyDescent="0.35">
      <c r="A617" s="2">
        <f ca="1">IFERROR(__xludf.DUMMYFUNCTION("""COMPUTED_VALUE"""),42899.6666666666)</f>
        <v>42899.666666666599</v>
      </c>
      <c r="B617" s="1">
        <f ca="1">IFERROR(__xludf.DUMMYFUNCTION("""COMPUTED_VALUE"""),3.86)</f>
        <v>3.86</v>
      </c>
      <c r="C617" s="1">
        <f ca="1">IFERROR(__xludf.DUMMYFUNCTION("""COMPUTED_VALUE"""),3.87)</f>
        <v>3.87</v>
      </c>
      <c r="D617" s="1">
        <f ca="1">IFERROR(__xludf.DUMMYFUNCTION("""COMPUTED_VALUE"""),3.64)</f>
        <v>3.64</v>
      </c>
      <c r="E617" s="1">
        <f ca="1">IFERROR(__xludf.DUMMYFUNCTION("""COMPUTED_VALUE"""),3.79)</f>
        <v>3.79</v>
      </c>
      <c r="F617" s="1">
        <f ca="1">IFERROR(__xludf.DUMMYFUNCTION("""COMPUTED_VALUE"""),41812580)</f>
        <v>41812580</v>
      </c>
    </row>
    <row r="618" spans="1:6" x14ac:dyDescent="0.35">
      <c r="A618" s="2">
        <f ca="1">IFERROR(__xludf.DUMMYFUNCTION("""COMPUTED_VALUE"""),42900.6666666666)</f>
        <v>42900.666666666599</v>
      </c>
      <c r="B618" s="1">
        <f ca="1">IFERROR(__xludf.DUMMYFUNCTION("""COMPUTED_VALUE"""),3.79)</f>
        <v>3.79</v>
      </c>
      <c r="C618" s="1">
        <f ca="1">IFERROR(__xludf.DUMMYFUNCTION("""COMPUTED_VALUE"""),3.85)</f>
        <v>3.85</v>
      </c>
      <c r="D618" s="1">
        <f ca="1">IFERROR(__xludf.DUMMYFUNCTION("""COMPUTED_VALUE"""),3.71)</f>
        <v>3.71</v>
      </c>
      <c r="E618" s="1">
        <f ca="1">IFERROR(__xludf.DUMMYFUNCTION("""COMPUTED_VALUE"""),3.79)</f>
        <v>3.79</v>
      </c>
      <c r="F618" s="1">
        <f ca="1">IFERROR(__xludf.DUMMYFUNCTION("""COMPUTED_VALUE"""),29616036)</f>
        <v>29616036</v>
      </c>
    </row>
    <row r="619" spans="1:6" x14ac:dyDescent="0.35">
      <c r="A619" s="2">
        <f ca="1">IFERROR(__xludf.DUMMYFUNCTION("""COMPUTED_VALUE"""),42901.6666666666)</f>
        <v>42901.666666666599</v>
      </c>
      <c r="B619" s="1">
        <f ca="1">IFERROR(__xludf.DUMMYFUNCTION("""COMPUTED_VALUE"""),3.67)</f>
        <v>3.67</v>
      </c>
      <c r="C619" s="1">
        <f ca="1">IFERROR(__xludf.DUMMYFUNCTION("""COMPUTED_VALUE"""),3.84)</f>
        <v>3.84</v>
      </c>
      <c r="D619" s="1">
        <f ca="1">IFERROR(__xludf.DUMMYFUNCTION("""COMPUTED_VALUE"""),3.66)</f>
        <v>3.66</v>
      </c>
      <c r="E619" s="1">
        <f ca="1">IFERROR(__xludf.DUMMYFUNCTION("""COMPUTED_VALUE"""),3.81)</f>
        <v>3.81</v>
      </c>
      <c r="F619" s="1">
        <f ca="1">IFERROR(__xludf.DUMMYFUNCTION("""COMPUTED_VALUE"""),24095612)</f>
        <v>24095612</v>
      </c>
    </row>
    <row r="620" spans="1:6" x14ac:dyDescent="0.35">
      <c r="A620" s="2">
        <f ca="1">IFERROR(__xludf.DUMMYFUNCTION("""COMPUTED_VALUE"""),42902.6666666666)</f>
        <v>42902.666666666599</v>
      </c>
      <c r="B620" s="1">
        <f ca="1">IFERROR(__xludf.DUMMYFUNCTION("""COMPUTED_VALUE"""),3.82)</f>
        <v>3.82</v>
      </c>
      <c r="C620" s="1">
        <f ca="1">IFERROR(__xludf.DUMMYFUNCTION("""COMPUTED_VALUE"""),3.87)</f>
        <v>3.87</v>
      </c>
      <c r="D620" s="1">
        <f ca="1">IFERROR(__xludf.DUMMYFUNCTION("""COMPUTED_VALUE"""),3.76)</f>
        <v>3.76</v>
      </c>
      <c r="E620" s="1">
        <f ca="1">IFERROR(__xludf.DUMMYFUNCTION("""COMPUTED_VALUE"""),3.79)</f>
        <v>3.79</v>
      </c>
      <c r="F620" s="1">
        <f ca="1">IFERROR(__xludf.DUMMYFUNCTION("""COMPUTED_VALUE"""),23123950)</f>
        <v>23123950</v>
      </c>
    </row>
    <row r="621" spans="1:6" x14ac:dyDescent="0.35">
      <c r="A621" s="2">
        <f ca="1">IFERROR(__xludf.DUMMYFUNCTION("""COMPUTED_VALUE"""),42905.6666666666)</f>
        <v>42905.666666666599</v>
      </c>
      <c r="B621" s="1">
        <f ca="1">IFERROR(__xludf.DUMMYFUNCTION("""COMPUTED_VALUE"""),3.84)</f>
        <v>3.84</v>
      </c>
      <c r="C621" s="1">
        <f ca="1">IFERROR(__xludf.DUMMYFUNCTION("""COMPUTED_VALUE"""),3.94)</f>
        <v>3.94</v>
      </c>
      <c r="D621" s="1">
        <f ca="1">IFERROR(__xludf.DUMMYFUNCTION("""COMPUTED_VALUE"""),3.83)</f>
        <v>3.83</v>
      </c>
      <c r="E621" s="1">
        <f ca="1">IFERROR(__xludf.DUMMYFUNCTION("""COMPUTED_VALUE"""),3.93)</f>
        <v>3.93</v>
      </c>
      <c r="F621" s="1">
        <f ca="1">IFERROR(__xludf.DUMMYFUNCTION("""COMPUTED_VALUE"""),19454439)</f>
        <v>19454439</v>
      </c>
    </row>
    <row r="622" spans="1:6" x14ac:dyDescent="0.35">
      <c r="A622" s="2">
        <f ca="1">IFERROR(__xludf.DUMMYFUNCTION("""COMPUTED_VALUE"""),42906.6666666666)</f>
        <v>42906.666666666599</v>
      </c>
      <c r="B622" s="1">
        <f ca="1">IFERROR(__xludf.DUMMYFUNCTION("""COMPUTED_VALUE"""),3.98)</f>
        <v>3.98</v>
      </c>
      <c r="C622" s="1">
        <f ca="1">IFERROR(__xludf.DUMMYFUNCTION("""COMPUTED_VALUE"""),4.04)</f>
        <v>4.04</v>
      </c>
      <c r="D622" s="1">
        <f ca="1">IFERROR(__xludf.DUMMYFUNCTION("""COMPUTED_VALUE"""),3.92)</f>
        <v>3.92</v>
      </c>
      <c r="E622" s="1">
        <f ca="1">IFERROR(__xludf.DUMMYFUNCTION("""COMPUTED_VALUE"""),3.93)</f>
        <v>3.93</v>
      </c>
      <c r="F622" s="1">
        <f ca="1">IFERROR(__xludf.DUMMYFUNCTION("""COMPUTED_VALUE"""),27386086)</f>
        <v>27386086</v>
      </c>
    </row>
    <row r="623" spans="1:6" x14ac:dyDescent="0.35">
      <c r="A623" s="2">
        <f ca="1">IFERROR(__xludf.DUMMYFUNCTION("""COMPUTED_VALUE"""),42907.6666666666)</f>
        <v>42907.666666666599</v>
      </c>
      <c r="B623" s="1">
        <f ca="1">IFERROR(__xludf.DUMMYFUNCTION("""COMPUTED_VALUE"""),3.96)</f>
        <v>3.96</v>
      </c>
      <c r="C623" s="1">
        <f ca="1">IFERROR(__xludf.DUMMYFUNCTION("""COMPUTED_VALUE"""),3.99)</f>
        <v>3.99</v>
      </c>
      <c r="D623" s="1">
        <f ca="1">IFERROR(__xludf.DUMMYFUNCTION("""COMPUTED_VALUE"""),3.89)</f>
        <v>3.89</v>
      </c>
      <c r="E623" s="1">
        <f ca="1">IFERROR(__xludf.DUMMYFUNCTION("""COMPUTED_VALUE"""),3.99)</f>
        <v>3.99</v>
      </c>
      <c r="F623" s="1">
        <f ca="1">IFERROR(__xludf.DUMMYFUNCTION("""COMPUTED_VALUE"""),17066279)</f>
        <v>17066279</v>
      </c>
    </row>
    <row r="624" spans="1:6" x14ac:dyDescent="0.35">
      <c r="A624" s="2">
        <f ca="1">IFERROR(__xludf.DUMMYFUNCTION("""COMPUTED_VALUE"""),42908.6666666666)</f>
        <v>42908.666666666599</v>
      </c>
      <c r="B624" s="1">
        <f ca="1">IFERROR(__xludf.DUMMYFUNCTION("""COMPUTED_VALUE"""),4)</f>
        <v>4</v>
      </c>
      <c r="C624" s="1">
        <f ca="1">IFERROR(__xludf.DUMMYFUNCTION("""COMPUTED_VALUE"""),4.01)</f>
        <v>4.01</v>
      </c>
      <c r="D624" s="1">
        <f ca="1">IFERROR(__xludf.DUMMYFUNCTION("""COMPUTED_VALUE"""),3.94)</f>
        <v>3.94</v>
      </c>
      <c r="E624" s="1">
        <f ca="1">IFERROR(__xludf.DUMMYFUNCTION("""COMPUTED_VALUE"""),3.96)</f>
        <v>3.96</v>
      </c>
      <c r="F624" s="1">
        <f ca="1">IFERROR(__xludf.DUMMYFUNCTION("""COMPUTED_VALUE"""),11728324)</f>
        <v>11728324</v>
      </c>
    </row>
    <row r="625" spans="1:6" x14ac:dyDescent="0.35">
      <c r="A625" s="2">
        <f ca="1">IFERROR(__xludf.DUMMYFUNCTION("""COMPUTED_VALUE"""),42909.6666666666)</f>
        <v>42909.666666666599</v>
      </c>
      <c r="B625" s="1">
        <f ca="1">IFERROR(__xludf.DUMMYFUNCTION("""COMPUTED_VALUE"""),3.97)</f>
        <v>3.97</v>
      </c>
      <c r="C625" s="1">
        <f ca="1">IFERROR(__xludf.DUMMYFUNCTION("""COMPUTED_VALUE"""),3.98)</f>
        <v>3.98</v>
      </c>
      <c r="D625" s="1">
        <f ca="1">IFERROR(__xludf.DUMMYFUNCTION("""COMPUTED_VALUE"""),3.83)</f>
        <v>3.83</v>
      </c>
      <c r="E625" s="1">
        <f ca="1">IFERROR(__xludf.DUMMYFUNCTION("""COMPUTED_VALUE"""),3.85)</f>
        <v>3.85</v>
      </c>
      <c r="F625" s="1">
        <f ca="1">IFERROR(__xludf.DUMMYFUNCTION("""COMPUTED_VALUE"""),27214702)</f>
        <v>27214702</v>
      </c>
    </row>
    <row r="626" spans="1:6" x14ac:dyDescent="0.35">
      <c r="A626" s="2">
        <f ca="1">IFERROR(__xludf.DUMMYFUNCTION("""COMPUTED_VALUE"""),42912.6666666666)</f>
        <v>42912.666666666599</v>
      </c>
      <c r="B626" s="1">
        <f ca="1">IFERROR(__xludf.DUMMYFUNCTION("""COMPUTED_VALUE"""),3.88)</f>
        <v>3.88</v>
      </c>
      <c r="C626" s="1">
        <f ca="1">IFERROR(__xludf.DUMMYFUNCTION("""COMPUTED_VALUE"""),3.92)</f>
        <v>3.92</v>
      </c>
      <c r="D626" s="1">
        <f ca="1">IFERROR(__xludf.DUMMYFUNCTION("""COMPUTED_VALUE"""),3.71)</f>
        <v>3.71</v>
      </c>
      <c r="E626" s="1">
        <f ca="1">IFERROR(__xludf.DUMMYFUNCTION("""COMPUTED_VALUE"""),3.8)</f>
        <v>3.8</v>
      </c>
      <c r="F626" s="1">
        <f ca="1">IFERROR(__xludf.DUMMYFUNCTION("""COMPUTED_VALUE"""),26598996)</f>
        <v>26598996</v>
      </c>
    </row>
    <row r="627" spans="1:6" x14ac:dyDescent="0.35">
      <c r="A627" s="2">
        <f ca="1">IFERROR(__xludf.DUMMYFUNCTION("""COMPUTED_VALUE"""),42913.6666666666)</f>
        <v>42913.666666666599</v>
      </c>
      <c r="B627" s="1">
        <f ca="1">IFERROR(__xludf.DUMMYFUNCTION("""COMPUTED_VALUE"""),3.79)</f>
        <v>3.79</v>
      </c>
      <c r="C627" s="1">
        <f ca="1">IFERROR(__xludf.DUMMYFUNCTION("""COMPUTED_VALUE"""),3.79)</f>
        <v>3.79</v>
      </c>
      <c r="D627" s="1">
        <f ca="1">IFERROR(__xludf.DUMMYFUNCTION("""COMPUTED_VALUE"""),3.66)</f>
        <v>3.66</v>
      </c>
      <c r="E627" s="1">
        <f ca="1">IFERROR(__xludf.DUMMYFUNCTION("""COMPUTED_VALUE"""),3.66)</f>
        <v>3.66</v>
      </c>
      <c r="F627" s="1">
        <f ca="1">IFERROR(__xludf.DUMMYFUNCTION("""COMPUTED_VALUE"""),24987313)</f>
        <v>24987313</v>
      </c>
    </row>
    <row r="628" spans="1:6" x14ac:dyDescent="0.35">
      <c r="A628" s="2">
        <f ca="1">IFERROR(__xludf.DUMMYFUNCTION("""COMPUTED_VALUE"""),42914.6666666666)</f>
        <v>42914.666666666599</v>
      </c>
      <c r="B628" s="1">
        <f ca="1">IFERROR(__xludf.DUMMYFUNCTION("""COMPUTED_VALUE"""),3.73)</f>
        <v>3.73</v>
      </c>
      <c r="C628" s="1">
        <f ca="1">IFERROR(__xludf.DUMMYFUNCTION("""COMPUTED_VALUE"""),3.8)</f>
        <v>3.8</v>
      </c>
      <c r="D628" s="1">
        <f ca="1">IFERROR(__xludf.DUMMYFUNCTION("""COMPUTED_VALUE"""),3.64)</f>
        <v>3.64</v>
      </c>
      <c r="E628" s="1">
        <f ca="1">IFERROR(__xludf.DUMMYFUNCTION("""COMPUTED_VALUE"""),3.79)</f>
        <v>3.79</v>
      </c>
      <c r="F628" s="1">
        <f ca="1">IFERROR(__xludf.DUMMYFUNCTION("""COMPUTED_VALUE"""),24873679)</f>
        <v>24873679</v>
      </c>
    </row>
    <row r="629" spans="1:6" x14ac:dyDescent="0.35">
      <c r="A629" s="2">
        <f ca="1">IFERROR(__xludf.DUMMYFUNCTION("""COMPUTED_VALUE"""),42915.6666666666)</f>
        <v>42915.666666666599</v>
      </c>
      <c r="B629" s="1">
        <f ca="1">IFERROR(__xludf.DUMMYFUNCTION("""COMPUTED_VALUE"""),3.77)</f>
        <v>3.77</v>
      </c>
      <c r="C629" s="1">
        <f ca="1">IFERROR(__xludf.DUMMYFUNCTION("""COMPUTED_VALUE"""),3.77)</f>
        <v>3.77</v>
      </c>
      <c r="D629" s="1">
        <f ca="1">IFERROR(__xludf.DUMMYFUNCTION("""COMPUTED_VALUE"""),3.6)</f>
        <v>3.6</v>
      </c>
      <c r="E629" s="1">
        <f ca="1">IFERROR(__xludf.DUMMYFUNCTION("""COMPUTED_VALUE"""),3.67)</f>
        <v>3.67</v>
      </c>
      <c r="F629" s="1">
        <f ca="1">IFERROR(__xludf.DUMMYFUNCTION("""COMPUTED_VALUE"""),26610631)</f>
        <v>26610631</v>
      </c>
    </row>
    <row r="630" spans="1:6" x14ac:dyDescent="0.35">
      <c r="A630" s="2">
        <f ca="1">IFERROR(__xludf.DUMMYFUNCTION("""COMPUTED_VALUE"""),42916.6666666666)</f>
        <v>42916.666666666599</v>
      </c>
      <c r="B630" s="1">
        <f ca="1">IFERROR(__xludf.DUMMYFUNCTION("""COMPUTED_VALUE"""),3.68)</f>
        <v>3.68</v>
      </c>
      <c r="C630" s="1">
        <f ca="1">IFERROR(__xludf.DUMMYFUNCTION("""COMPUTED_VALUE"""),3.7)</f>
        <v>3.7</v>
      </c>
      <c r="D630" s="1">
        <f ca="1">IFERROR(__xludf.DUMMYFUNCTION("""COMPUTED_VALUE"""),3.59)</f>
        <v>3.59</v>
      </c>
      <c r="E630" s="1">
        <f ca="1">IFERROR(__xludf.DUMMYFUNCTION("""COMPUTED_VALUE"""),3.61)</f>
        <v>3.61</v>
      </c>
      <c r="F630" s="1">
        <f ca="1">IFERROR(__xludf.DUMMYFUNCTION("""COMPUTED_VALUE"""),18276526)</f>
        <v>18276526</v>
      </c>
    </row>
    <row r="631" spans="1:6" x14ac:dyDescent="0.35">
      <c r="A631" s="2">
        <f ca="1">IFERROR(__xludf.DUMMYFUNCTION("""COMPUTED_VALUE"""),42919.6666666666)</f>
        <v>42919.666666666599</v>
      </c>
      <c r="B631" s="1">
        <f ca="1">IFERROR(__xludf.DUMMYFUNCTION("""COMPUTED_VALUE"""),3.63)</f>
        <v>3.63</v>
      </c>
      <c r="C631" s="1">
        <f ca="1">IFERROR(__xludf.DUMMYFUNCTION("""COMPUTED_VALUE"""),3.64)</f>
        <v>3.64</v>
      </c>
      <c r="D631" s="1">
        <f ca="1">IFERROR(__xludf.DUMMYFUNCTION("""COMPUTED_VALUE"""),3.46)</f>
        <v>3.46</v>
      </c>
      <c r="E631" s="1">
        <f ca="1">IFERROR(__xludf.DUMMYFUNCTION("""COMPUTED_VALUE"""),3.48)</f>
        <v>3.48</v>
      </c>
      <c r="F631" s="1">
        <f ca="1">IFERROR(__xludf.DUMMYFUNCTION("""COMPUTED_VALUE"""),17726821)</f>
        <v>17726821</v>
      </c>
    </row>
    <row r="632" spans="1:6" x14ac:dyDescent="0.35">
      <c r="A632" s="2">
        <f ca="1">IFERROR(__xludf.DUMMYFUNCTION("""COMPUTED_VALUE"""),42921.6666666666)</f>
        <v>42921.666666666599</v>
      </c>
      <c r="B632" s="1">
        <f ca="1">IFERROR(__xludf.DUMMYFUNCTION("""COMPUTED_VALUE"""),3.55)</f>
        <v>3.55</v>
      </c>
      <c r="C632" s="1">
        <f ca="1">IFERROR(__xludf.DUMMYFUNCTION("""COMPUTED_VALUE"""),3.61)</f>
        <v>3.61</v>
      </c>
      <c r="D632" s="1">
        <f ca="1">IFERROR(__xludf.DUMMYFUNCTION("""COMPUTED_VALUE"""),3.53)</f>
        <v>3.53</v>
      </c>
      <c r="E632" s="1">
        <f ca="1">IFERROR(__xludf.DUMMYFUNCTION("""COMPUTED_VALUE"""),3.58)</f>
        <v>3.58</v>
      </c>
      <c r="F632" s="1">
        <f ca="1">IFERROR(__xludf.DUMMYFUNCTION("""COMPUTED_VALUE"""),20504738)</f>
        <v>20504738</v>
      </c>
    </row>
    <row r="633" spans="1:6" x14ac:dyDescent="0.35">
      <c r="A633" s="2">
        <f ca="1">IFERROR(__xludf.DUMMYFUNCTION("""COMPUTED_VALUE"""),42922.6666666666)</f>
        <v>42922.666666666599</v>
      </c>
      <c r="B633" s="1">
        <f ca="1">IFERROR(__xludf.DUMMYFUNCTION("""COMPUTED_VALUE"""),3.55)</f>
        <v>3.55</v>
      </c>
      <c r="C633" s="1">
        <f ca="1">IFERROR(__xludf.DUMMYFUNCTION("""COMPUTED_VALUE"""),3.63)</f>
        <v>3.63</v>
      </c>
      <c r="D633" s="1">
        <f ca="1">IFERROR(__xludf.DUMMYFUNCTION("""COMPUTED_VALUE"""),3.49)</f>
        <v>3.49</v>
      </c>
      <c r="E633" s="1">
        <f ca="1">IFERROR(__xludf.DUMMYFUNCTION("""COMPUTED_VALUE"""),3.59)</f>
        <v>3.59</v>
      </c>
      <c r="F633" s="1">
        <f ca="1">IFERROR(__xludf.DUMMYFUNCTION("""COMPUTED_VALUE"""),18657132)</f>
        <v>18657132</v>
      </c>
    </row>
    <row r="634" spans="1:6" x14ac:dyDescent="0.35">
      <c r="A634" s="2">
        <f ca="1">IFERROR(__xludf.DUMMYFUNCTION("""COMPUTED_VALUE"""),42923.6666666666)</f>
        <v>42923.666666666599</v>
      </c>
      <c r="B634" s="1">
        <f ca="1">IFERROR(__xludf.DUMMYFUNCTION("""COMPUTED_VALUE"""),3.64)</f>
        <v>3.64</v>
      </c>
      <c r="C634" s="1">
        <f ca="1">IFERROR(__xludf.DUMMYFUNCTION("""COMPUTED_VALUE"""),3.69)</f>
        <v>3.69</v>
      </c>
      <c r="D634" s="1">
        <f ca="1">IFERROR(__xludf.DUMMYFUNCTION("""COMPUTED_VALUE"""),3.62)</f>
        <v>3.62</v>
      </c>
      <c r="E634" s="1">
        <f ca="1">IFERROR(__xludf.DUMMYFUNCTION("""COMPUTED_VALUE"""),3.67)</f>
        <v>3.67</v>
      </c>
      <c r="F634" s="1">
        <f ca="1">IFERROR(__xludf.DUMMYFUNCTION("""COMPUTED_VALUE"""),16374302)</f>
        <v>16374302</v>
      </c>
    </row>
    <row r="635" spans="1:6" x14ac:dyDescent="0.35">
      <c r="A635" s="2">
        <f ca="1">IFERROR(__xludf.DUMMYFUNCTION("""COMPUTED_VALUE"""),42926.6666666666)</f>
        <v>42926.666666666599</v>
      </c>
      <c r="B635" s="1">
        <f ca="1">IFERROR(__xludf.DUMMYFUNCTION("""COMPUTED_VALUE"""),3.74)</f>
        <v>3.74</v>
      </c>
      <c r="C635" s="1">
        <f ca="1">IFERROR(__xludf.DUMMYFUNCTION("""COMPUTED_VALUE"""),3.85)</f>
        <v>3.85</v>
      </c>
      <c r="D635" s="1">
        <f ca="1">IFERROR(__xludf.DUMMYFUNCTION("""COMPUTED_VALUE"""),3.72)</f>
        <v>3.72</v>
      </c>
      <c r="E635" s="1">
        <f ca="1">IFERROR(__xludf.DUMMYFUNCTION("""COMPUTED_VALUE"""),3.84)</f>
        <v>3.84</v>
      </c>
      <c r="F635" s="1">
        <f ca="1">IFERROR(__xludf.DUMMYFUNCTION("""COMPUTED_VALUE"""),23962269)</f>
        <v>23962269</v>
      </c>
    </row>
    <row r="636" spans="1:6" x14ac:dyDescent="0.35">
      <c r="A636" s="2">
        <f ca="1">IFERROR(__xludf.DUMMYFUNCTION("""COMPUTED_VALUE"""),42927.6666666666)</f>
        <v>42927.666666666599</v>
      </c>
      <c r="B636" s="1">
        <f ca="1">IFERROR(__xludf.DUMMYFUNCTION("""COMPUTED_VALUE"""),3.85)</f>
        <v>3.85</v>
      </c>
      <c r="C636" s="1">
        <f ca="1">IFERROR(__xludf.DUMMYFUNCTION("""COMPUTED_VALUE"""),3.9)</f>
        <v>3.9</v>
      </c>
      <c r="D636" s="1">
        <f ca="1">IFERROR(__xludf.DUMMYFUNCTION("""COMPUTED_VALUE"""),3.8)</f>
        <v>3.8</v>
      </c>
      <c r="E636" s="1">
        <f ca="1">IFERROR(__xludf.DUMMYFUNCTION("""COMPUTED_VALUE"""),3.9)</f>
        <v>3.9</v>
      </c>
      <c r="F636" s="1">
        <f ca="1">IFERROR(__xludf.DUMMYFUNCTION("""COMPUTED_VALUE"""),18948883)</f>
        <v>18948883</v>
      </c>
    </row>
    <row r="637" spans="1:6" x14ac:dyDescent="0.35">
      <c r="A637" s="2">
        <f ca="1">IFERROR(__xludf.DUMMYFUNCTION("""COMPUTED_VALUE"""),42928.6666666666)</f>
        <v>42928.666666666599</v>
      </c>
      <c r="B637" s="1">
        <f ca="1">IFERROR(__xludf.DUMMYFUNCTION("""COMPUTED_VALUE"""),3.96)</f>
        <v>3.96</v>
      </c>
      <c r="C637" s="1">
        <f ca="1">IFERROR(__xludf.DUMMYFUNCTION("""COMPUTED_VALUE"""),4.08)</f>
        <v>4.08</v>
      </c>
      <c r="D637" s="1">
        <f ca="1">IFERROR(__xludf.DUMMYFUNCTION("""COMPUTED_VALUE"""),3.91)</f>
        <v>3.91</v>
      </c>
      <c r="E637" s="1">
        <f ca="1">IFERROR(__xludf.DUMMYFUNCTION("""COMPUTED_VALUE"""),4.06)</f>
        <v>4.0599999999999996</v>
      </c>
      <c r="F637" s="1">
        <f ca="1">IFERROR(__xludf.DUMMYFUNCTION("""COMPUTED_VALUE"""),28630213)</f>
        <v>28630213</v>
      </c>
    </row>
    <row r="638" spans="1:6" x14ac:dyDescent="0.35">
      <c r="A638" s="2">
        <f ca="1">IFERROR(__xludf.DUMMYFUNCTION("""COMPUTED_VALUE"""),42929.6666666666)</f>
        <v>42929.666666666599</v>
      </c>
      <c r="B638" s="1">
        <f ca="1">IFERROR(__xludf.DUMMYFUNCTION("""COMPUTED_VALUE"""),4.08)</f>
        <v>4.08</v>
      </c>
      <c r="C638" s="1">
        <f ca="1">IFERROR(__xludf.DUMMYFUNCTION("""COMPUTED_VALUE"""),4.16)</f>
        <v>4.16</v>
      </c>
      <c r="D638" s="1">
        <f ca="1">IFERROR(__xludf.DUMMYFUNCTION("""COMPUTED_VALUE"""),3.97)</f>
        <v>3.97</v>
      </c>
      <c r="E638" s="1">
        <f ca="1">IFERROR(__xludf.DUMMYFUNCTION("""COMPUTED_VALUE"""),4.02)</f>
        <v>4.0199999999999996</v>
      </c>
      <c r="F638" s="1">
        <f ca="1">IFERROR(__xludf.DUMMYFUNCTION("""COMPUTED_VALUE"""),34228333)</f>
        <v>34228333</v>
      </c>
    </row>
    <row r="639" spans="1:6" x14ac:dyDescent="0.35">
      <c r="A639" s="2">
        <f ca="1">IFERROR(__xludf.DUMMYFUNCTION("""COMPUTED_VALUE"""),42930.6666666666)</f>
        <v>42930.666666666599</v>
      </c>
      <c r="B639" s="1">
        <f ca="1">IFERROR(__xludf.DUMMYFUNCTION("""COMPUTED_VALUE"""),4.03)</f>
        <v>4.03</v>
      </c>
      <c r="C639" s="1">
        <f ca="1">IFERROR(__xludf.DUMMYFUNCTION("""COMPUTED_VALUE"""),4.13)</f>
        <v>4.13</v>
      </c>
      <c r="D639" s="1">
        <f ca="1">IFERROR(__xludf.DUMMYFUNCTION("""COMPUTED_VALUE"""),4.03)</f>
        <v>4.03</v>
      </c>
      <c r="E639" s="1">
        <f ca="1">IFERROR(__xludf.DUMMYFUNCTION("""COMPUTED_VALUE"""),4.12)</f>
        <v>4.12</v>
      </c>
      <c r="F639" s="1">
        <f ca="1">IFERROR(__xludf.DUMMYFUNCTION("""COMPUTED_VALUE"""),23548708)</f>
        <v>23548708</v>
      </c>
    </row>
    <row r="640" spans="1:6" x14ac:dyDescent="0.35">
      <c r="A640" s="2">
        <f ca="1">IFERROR(__xludf.DUMMYFUNCTION("""COMPUTED_VALUE"""),42933.6666666666)</f>
        <v>42933.666666666599</v>
      </c>
      <c r="B640" s="1">
        <f ca="1">IFERROR(__xludf.DUMMYFUNCTION("""COMPUTED_VALUE"""),4.16)</f>
        <v>4.16</v>
      </c>
      <c r="C640" s="1">
        <f ca="1">IFERROR(__xludf.DUMMYFUNCTION("""COMPUTED_VALUE"""),4.19)</f>
        <v>4.1900000000000004</v>
      </c>
      <c r="D640" s="1">
        <f ca="1">IFERROR(__xludf.DUMMYFUNCTION("""COMPUTED_VALUE"""),4.04)</f>
        <v>4.04</v>
      </c>
      <c r="E640" s="1">
        <f ca="1">IFERROR(__xludf.DUMMYFUNCTION("""COMPUTED_VALUE"""),4.11)</f>
        <v>4.1100000000000003</v>
      </c>
      <c r="F640" s="1">
        <f ca="1">IFERROR(__xludf.DUMMYFUNCTION("""COMPUTED_VALUE"""),23269759)</f>
        <v>23269759</v>
      </c>
    </row>
    <row r="641" spans="1:6" x14ac:dyDescent="0.35">
      <c r="A641" s="2">
        <f ca="1">IFERROR(__xludf.DUMMYFUNCTION("""COMPUTED_VALUE"""),42934.6666666666)</f>
        <v>42934.666666666599</v>
      </c>
      <c r="B641" s="1">
        <f ca="1">IFERROR(__xludf.DUMMYFUNCTION("""COMPUTED_VALUE"""),4.04)</f>
        <v>4.04</v>
      </c>
      <c r="C641" s="1">
        <f ca="1">IFERROR(__xludf.DUMMYFUNCTION("""COMPUTED_VALUE"""),4.16)</f>
        <v>4.16</v>
      </c>
      <c r="D641" s="1">
        <f ca="1">IFERROR(__xludf.DUMMYFUNCTION("""COMPUTED_VALUE"""),4.03)</f>
        <v>4.03</v>
      </c>
      <c r="E641" s="1">
        <f ca="1">IFERROR(__xludf.DUMMYFUNCTION("""COMPUTED_VALUE"""),4.15)</f>
        <v>4.1500000000000004</v>
      </c>
      <c r="F641" s="1">
        <f ca="1">IFERROR(__xludf.DUMMYFUNCTION("""COMPUTED_VALUE"""),19415987)</f>
        <v>19415987</v>
      </c>
    </row>
    <row r="642" spans="1:6" x14ac:dyDescent="0.35">
      <c r="A642" s="2">
        <f ca="1">IFERROR(__xludf.DUMMYFUNCTION("""COMPUTED_VALUE"""),42935.6666666666)</f>
        <v>42935.666666666599</v>
      </c>
      <c r="B642" s="1">
        <f ca="1">IFERROR(__xludf.DUMMYFUNCTION("""COMPUTED_VALUE"""),4.16)</f>
        <v>4.16</v>
      </c>
      <c r="C642" s="1">
        <f ca="1">IFERROR(__xludf.DUMMYFUNCTION("""COMPUTED_VALUE"""),4.18)</f>
        <v>4.18</v>
      </c>
      <c r="D642" s="1">
        <f ca="1">IFERROR(__xludf.DUMMYFUNCTION("""COMPUTED_VALUE"""),4.12)</f>
        <v>4.12</v>
      </c>
      <c r="E642" s="1">
        <f ca="1">IFERROR(__xludf.DUMMYFUNCTION("""COMPUTED_VALUE"""),4.13)</f>
        <v>4.13</v>
      </c>
      <c r="F642" s="1">
        <f ca="1">IFERROR(__xludf.DUMMYFUNCTION("""COMPUTED_VALUE"""),17176140)</f>
        <v>17176140</v>
      </c>
    </row>
    <row r="643" spans="1:6" x14ac:dyDescent="0.35">
      <c r="A643" s="2">
        <f ca="1">IFERROR(__xludf.DUMMYFUNCTION("""COMPUTED_VALUE"""),42936.6666666666)</f>
        <v>42936.666666666599</v>
      </c>
      <c r="B643" s="1">
        <f ca="1">IFERROR(__xludf.DUMMYFUNCTION("""COMPUTED_VALUE"""),4.15)</f>
        <v>4.1500000000000004</v>
      </c>
      <c r="C643" s="1">
        <f ca="1">IFERROR(__xludf.DUMMYFUNCTION("""COMPUTED_VALUE"""),4.19)</f>
        <v>4.1900000000000004</v>
      </c>
      <c r="D643" s="1">
        <f ca="1">IFERROR(__xludf.DUMMYFUNCTION("""COMPUTED_VALUE"""),4.1)</f>
        <v>4.0999999999999996</v>
      </c>
      <c r="E643" s="1">
        <f ca="1">IFERROR(__xludf.DUMMYFUNCTION("""COMPUTED_VALUE"""),4.19)</f>
        <v>4.1900000000000004</v>
      </c>
      <c r="F643" s="1">
        <f ca="1">IFERROR(__xludf.DUMMYFUNCTION("""COMPUTED_VALUE"""),17489889)</f>
        <v>17489889</v>
      </c>
    </row>
    <row r="644" spans="1:6" x14ac:dyDescent="0.35">
      <c r="A644" s="2">
        <f ca="1">IFERROR(__xludf.DUMMYFUNCTION("""COMPUTED_VALUE"""),42937.6666666666)</f>
        <v>42937.666666666599</v>
      </c>
      <c r="B644" s="1">
        <f ca="1">IFERROR(__xludf.DUMMYFUNCTION("""COMPUTED_VALUE"""),4.17)</f>
        <v>4.17</v>
      </c>
      <c r="C644" s="1">
        <f ca="1">IFERROR(__xludf.DUMMYFUNCTION("""COMPUTED_VALUE"""),4.23)</f>
        <v>4.2300000000000004</v>
      </c>
      <c r="D644" s="1">
        <f ca="1">IFERROR(__xludf.DUMMYFUNCTION("""COMPUTED_VALUE"""),4.15)</f>
        <v>4.1500000000000004</v>
      </c>
      <c r="E644" s="1">
        <f ca="1">IFERROR(__xludf.DUMMYFUNCTION("""COMPUTED_VALUE"""),4.2)</f>
        <v>4.2</v>
      </c>
      <c r="F644" s="1">
        <f ca="1">IFERROR(__xludf.DUMMYFUNCTION("""COMPUTED_VALUE"""),16208257)</f>
        <v>16208257</v>
      </c>
    </row>
    <row r="645" spans="1:6" x14ac:dyDescent="0.35">
      <c r="A645" s="2">
        <f ca="1">IFERROR(__xludf.DUMMYFUNCTION("""COMPUTED_VALUE"""),42940.6666666666)</f>
        <v>42940.666666666599</v>
      </c>
      <c r="B645" s="1">
        <f ca="1">IFERROR(__xludf.DUMMYFUNCTION("""COMPUTED_VALUE"""),4.21)</f>
        <v>4.21</v>
      </c>
      <c r="C645" s="1">
        <f ca="1">IFERROR(__xludf.DUMMYFUNCTION("""COMPUTED_VALUE"""),4.22)</f>
        <v>4.22</v>
      </c>
      <c r="D645" s="1">
        <f ca="1">IFERROR(__xludf.DUMMYFUNCTION("""COMPUTED_VALUE"""),4.14)</f>
        <v>4.1399999999999997</v>
      </c>
      <c r="E645" s="1">
        <f ca="1">IFERROR(__xludf.DUMMYFUNCTION("""COMPUTED_VALUE"""),4.15)</f>
        <v>4.1500000000000004</v>
      </c>
      <c r="F645" s="1">
        <f ca="1">IFERROR(__xludf.DUMMYFUNCTION("""COMPUTED_VALUE"""),16313052)</f>
        <v>16313052</v>
      </c>
    </row>
    <row r="646" spans="1:6" x14ac:dyDescent="0.35">
      <c r="A646" s="2">
        <f ca="1">IFERROR(__xludf.DUMMYFUNCTION("""COMPUTED_VALUE"""),42941.6666666666)</f>
        <v>42941.666666666599</v>
      </c>
      <c r="B646" s="1">
        <f ca="1">IFERROR(__xludf.DUMMYFUNCTION("""COMPUTED_VALUE"""),4.13)</f>
        <v>4.13</v>
      </c>
      <c r="C646" s="1">
        <f ca="1">IFERROR(__xludf.DUMMYFUNCTION("""COMPUTED_VALUE"""),4.15)</f>
        <v>4.1500000000000004</v>
      </c>
      <c r="D646" s="1">
        <f ca="1">IFERROR(__xludf.DUMMYFUNCTION("""COMPUTED_VALUE"""),4.09)</f>
        <v>4.09</v>
      </c>
      <c r="E646" s="1">
        <f ca="1">IFERROR(__xludf.DUMMYFUNCTION("""COMPUTED_VALUE"""),4.13)</f>
        <v>4.13</v>
      </c>
      <c r="F646" s="1">
        <f ca="1">IFERROR(__xludf.DUMMYFUNCTION("""COMPUTED_VALUE"""),12413896)</f>
        <v>12413896</v>
      </c>
    </row>
    <row r="647" spans="1:6" x14ac:dyDescent="0.35">
      <c r="A647" s="2">
        <f ca="1">IFERROR(__xludf.DUMMYFUNCTION("""COMPUTED_VALUE"""),42942.6666666666)</f>
        <v>42942.666666666599</v>
      </c>
      <c r="B647" s="1">
        <f ca="1">IFERROR(__xludf.DUMMYFUNCTION("""COMPUTED_VALUE"""),4.19)</f>
        <v>4.1900000000000004</v>
      </c>
      <c r="C647" s="1">
        <f ca="1">IFERROR(__xludf.DUMMYFUNCTION("""COMPUTED_VALUE"""),4.25)</f>
        <v>4.25</v>
      </c>
      <c r="D647" s="1">
        <f ca="1">IFERROR(__xludf.DUMMYFUNCTION("""COMPUTED_VALUE"""),4.15)</f>
        <v>4.1500000000000004</v>
      </c>
      <c r="E647" s="1">
        <f ca="1">IFERROR(__xludf.DUMMYFUNCTION("""COMPUTED_VALUE"""),4.18)</f>
        <v>4.18</v>
      </c>
      <c r="F647" s="1">
        <f ca="1">IFERROR(__xludf.DUMMYFUNCTION("""COMPUTED_VALUE"""),16010113)</f>
        <v>16010113</v>
      </c>
    </row>
    <row r="648" spans="1:6" x14ac:dyDescent="0.35">
      <c r="A648" s="2">
        <f ca="1">IFERROR(__xludf.DUMMYFUNCTION("""COMPUTED_VALUE"""),42943.6666666666)</f>
        <v>42943.666666666599</v>
      </c>
      <c r="B648" s="1">
        <f ca="1">IFERROR(__xludf.DUMMYFUNCTION("""COMPUTED_VALUE"""),4.21)</f>
        <v>4.21</v>
      </c>
      <c r="C648" s="1">
        <f ca="1">IFERROR(__xludf.DUMMYFUNCTION("""COMPUTED_VALUE"""),4.22)</f>
        <v>4.22</v>
      </c>
      <c r="D648" s="1">
        <f ca="1">IFERROR(__xludf.DUMMYFUNCTION("""COMPUTED_VALUE"""),3.94)</f>
        <v>3.94</v>
      </c>
      <c r="E648" s="1">
        <f ca="1">IFERROR(__xludf.DUMMYFUNCTION("""COMPUTED_VALUE"""),4.04)</f>
        <v>4.04</v>
      </c>
      <c r="F648" s="1">
        <f ca="1">IFERROR(__xludf.DUMMYFUNCTION("""COMPUTED_VALUE"""),19571379)</f>
        <v>19571379</v>
      </c>
    </row>
    <row r="649" spans="1:6" x14ac:dyDescent="0.35">
      <c r="A649" s="2">
        <f ca="1">IFERROR(__xludf.DUMMYFUNCTION("""COMPUTED_VALUE"""),42944.6666666666)</f>
        <v>42944.666666666599</v>
      </c>
      <c r="B649" s="1">
        <f ca="1">IFERROR(__xludf.DUMMYFUNCTION("""COMPUTED_VALUE"""),4.01)</f>
        <v>4.01</v>
      </c>
      <c r="C649" s="1">
        <f ca="1">IFERROR(__xludf.DUMMYFUNCTION("""COMPUTED_VALUE"""),4.13)</f>
        <v>4.13</v>
      </c>
      <c r="D649" s="1">
        <f ca="1">IFERROR(__xludf.DUMMYFUNCTION("""COMPUTED_VALUE"""),3.98)</f>
        <v>3.98</v>
      </c>
      <c r="E649" s="1">
        <f ca="1">IFERROR(__xludf.DUMMYFUNCTION("""COMPUTED_VALUE"""),4.11)</f>
        <v>4.1100000000000003</v>
      </c>
      <c r="F649" s="1">
        <f ca="1">IFERROR(__xludf.DUMMYFUNCTION("""COMPUTED_VALUE"""),12833737)</f>
        <v>12833737</v>
      </c>
    </row>
    <row r="650" spans="1:6" x14ac:dyDescent="0.35">
      <c r="A650" s="2">
        <f ca="1">IFERROR(__xludf.DUMMYFUNCTION("""COMPUTED_VALUE"""),42947.6666666666)</f>
        <v>42947.666666666599</v>
      </c>
      <c r="B650" s="1">
        <f ca="1">IFERROR(__xludf.DUMMYFUNCTION("""COMPUTED_VALUE"""),4.12)</f>
        <v>4.12</v>
      </c>
      <c r="C650" s="1">
        <f ca="1">IFERROR(__xludf.DUMMYFUNCTION("""COMPUTED_VALUE"""),4.16)</f>
        <v>4.16</v>
      </c>
      <c r="D650" s="1">
        <f ca="1">IFERROR(__xludf.DUMMYFUNCTION("""COMPUTED_VALUE"""),4.02)</f>
        <v>4.0199999999999996</v>
      </c>
      <c r="E650" s="1">
        <f ca="1">IFERROR(__xludf.DUMMYFUNCTION("""COMPUTED_VALUE"""),4.06)</f>
        <v>4.0599999999999996</v>
      </c>
      <c r="F650" s="1">
        <f ca="1">IFERROR(__xludf.DUMMYFUNCTION("""COMPUTED_VALUE"""),13991802)</f>
        <v>13991802</v>
      </c>
    </row>
    <row r="651" spans="1:6" x14ac:dyDescent="0.35">
      <c r="A651" s="2">
        <f ca="1">IFERROR(__xludf.DUMMYFUNCTION("""COMPUTED_VALUE"""),42948.6666666666)</f>
        <v>42948.666666666599</v>
      </c>
      <c r="B651" s="1">
        <f ca="1">IFERROR(__xludf.DUMMYFUNCTION("""COMPUTED_VALUE"""),4.05)</f>
        <v>4.05</v>
      </c>
      <c r="C651" s="1">
        <f ca="1">IFERROR(__xludf.DUMMYFUNCTION("""COMPUTED_VALUE"""),4.11)</f>
        <v>4.1100000000000003</v>
      </c>
      <c r="D651" s="1">
        <f ca="1">IFERROR(__xludf.DUMMYFUNCTION("""COMPUTED_VALUE"""),4.03)</f>
        <v>4.03</v>
      </c>
      <c r="E651" s="1">
        <f ca="1">IFERROR(__xludf.DUMMYFUNCTION("""COMPUTED_VALUE"""),4.11)</f>
        <v>4.1100000000000003</v>
      </c>
      <c r="F651" s="1">
        <f ca="1">IFERROR(__xludf.DUMMYFUNCTION("""COMPUTED_VALUE"""),10784578)</f>
        <v>10784578</v>
      </c>
    </row>
    <row r="652" spans="1:6" x14ac:dyDescent="0.35">
      <c r="A652" s="2">
        <f ca="1">IFERROR(__xludf.DUMMYFUNCTION("""COMPUTED_VALUE"""),42949.6666666666)</f>
        <v>42949.666666666599</v>
      </c>
      <c r="B652" s="1">
        <f ca="1">IFERROR(__xludf.DUMMYFUNCTION("""COMPUTED_VALUE"""),4.14)</f>
        <v>4.1399999999999997</v>
      </c>
      <c r="C652" s="1">
        <f ca="1">IFERROR(__xludf.DUMMYFUNCTION("""COMPUTED_VALUE"""),4.15)</f>
        <v>4.1500000000000004</v>
      </c>
      <c r="D652" s="1">
        <f ca="1">IFERROR(__xludf.DUMMYFUNCTION("""COMPUTED_VALUE"""),4.03)</f>
        <v>4.03</v>
      </c>
      <c r="E652" s="1">
        <f ca="1">IFERROR(__xludf.DUMMYFUNCTION("""COMPUTED_VALUE"""),4.11)</f>
        <v>4.1100000000000003</v>
      </c>
      <c r="F652" s="1">
        <f ca="1">IFERROR(__xludf.DUMMYFUNCTION("""COMPUTED_VALUE"""),11961082)</f>
        <v>11961082</v>
      </c>
    </row>
    <row r="653" spans="1:6" x14ac:dyDescent="0.35">
      <c r="A653" s="2">
        <f ca="1">IFERROR(__xludf.DUMMYFUNCTION("""COMPUTED_VALUE"""),42950.6666666666)</f>
        <v>42950.666666666599</v>
      </c>
      <c r="B653" s="1">
        <f ca="1">IFERROR(__xludf.DUMMYFUNCTION("""COMPUTED_VALUE"""),4.11)</f>
        <v>4.1100000000000003</v>
      </c>
      <c r="C653" s="1">
        <f ca="1">IFERROR(__xludf.DUMMYFUNCTION("""COMPUTED_VALUE"""),4.17)</f>
        <v>4.17</v>
      </c>
      <c r="D653" s="1">
        <f ca="1">IFERROR(__xludf.DUMMYFUNCTION("""COMPUTED_VALUE"""),4.09)</f>
        <v>4.09</v>
      </c>
      <c r="E653" s="1">
        <f ca="1">IFERROR(__xludf.DUMMYFUNCTION("""COMPUTED_VALUE"""),4.16)</f>
        <v>4.16</v>
      </c>
      <c r="F653" s="1">
        <f ca="1">IFERROR(__xludf.DUMMYFUNCTION("""COMPUTED_VALUE"""),11060541)</f>
        <v>11060541</v>
      </c>
    </row>
    <row r="654" spans="1:6" x14ac:dyDescent="0.35">
      <c r="A654" s="2">
        <f ca="1">IFERROR(__xludf.DUMMYFUNCTION("""COMPUTED_VALUE"""),42951.6666666666)</f>
        <v>42951.666666666599</v>
      </c>
      <c r="B654" s="1">
        <f ca="1">IFERROR(__xludf.DUMMYFUNCTION("""COMPUTED_VALUE"""),4.18)</f>
        <v>4.18</v>
      </c>
      <c r="C654" s="1">
        <f ca="1">IFERROR(__xludf.DUMMYFUNCTION("""COMPUTED_VALUE"""),4.25)</f>
        <v>4.25</v>
      </c>
      <c r="D654" s="1">
        <f ca="1">IFERROR(__xludf.DUMMYFUNCTION("""COMPUTED_VALUE"""),4.16)</f>
        <v>4.16</v>
      </c>
      <c r="E654" s="1">
        <f ca="1">IFERROR(__xludf.DUMMYFUNCTION("""COMPUTED_VALUE"""),4.18)</f>
        <v>4.18</v>
      </c>
      <c r="F654" s="1">
        <f ca="1">IFERROR(__xludf.DUMMYFUNCTION("""COMPUTED_VALUE"""),14727353)</f>
        <v>14727353</v>
      </c>
    </row>
    <row r="655" spans="1:6" x14ac:dyDescent="0.35">
      <c r="A655" s="2">
        <f ca="1">IFERROR(__xludf.DUMMYFUNCTION("""COMPUTED_VALUE"""),42954.6666666666)</f>
        <v>42954.666666666599</v>
      </c>
      <c r="B655" s="1">
        <f ca="1">IFERROR(__xludf.DUMMYFUNCTION("""COMPUTED_VALUE"""),4.21)</f>
        <v>4.21</v>
      </c>
      <c r="C655" s="1">
        <f ca="1">IFERROR(__xludf.DUMMYFUNCTION("""COMPUTED_VALUE"""),4.31)</f>
        <v>4.3099999999999996</v>
      </c>
      <c r="D655" s="1">
        <f ca="1">IFERROR(__xludf.DUMMYFUNCTION("""COMPUTED_VALUE"""),4.2)</f>
        <v>4.2</v>
      </c>
      <c r="E655" s="1">
        <f ca="1">IFERROR(__xludf.DUMMYFUNCTION("""COMPUTED_VALUE"""),4.31)</f>
        <v>4.3099999999999996</v>
      </c>
      <c r="F655" s="1">
        <f ca="1">IFERROR(__xludf.DUMMYFUNCTION("""COMPUTED_VALUE"""),17935280)</f>
        <v>17935280</v>
      </c>
    </row>
    <row r="656" spans="1:6" x14ac:dyDescent="0.35">
      <c r="A656" s="2">
        <f ca="1">IFERROR(__xludf.DUMMYFUNCTION("""COMPUTED_VALUE"""),42955.6666666666)</f>
        <v>42955.666666666599</v>
      </c>
      <c r="B656" s="1">
        <f ca="1">IFERROR(__xludf.DUMMYFUNCTION("""COMPUTED_VALUE"""),4.35)</f>
        <v>4.3499999999999996</v>
      </c>
      <c r="C656" s="1">
        <f ca="1">IFERROR(__xludf.DUMMYFUNCTION("""COMPUTED_VALUE"""),4.36)</f>
        <v>4.3600000000000003</v>
      </c>
      <c r="D656" s="1">
        <f ca="1">IFERROR(__xludf.DUMMYFUNCTION("""COMPUTED_VALUE"""),4.22)</f>
        <v>4.22</v>
      </c>
      <c r="E656" s="1">
        <f ca="1">IFERROR(__xludf.DUMMYFUNCTION("""COMPUTED_VALUE"""),4.26)</f>
        <v>4.26</v>
      </c>
      <c r="F656" s="1">
        <f ca="1">IFERROR(__xludf.DUMMYFUNCTION("""COMPUTED_VALUE"""),18883354)</f>
        <v>18883354</v>
      </c>
    </row>
    <row r="657" spans="1:6" x14ac:dyDescent="0.35">
      <c r="A657" s="2">
        <f ca="1">IFERROR(__xludf.DUMMYFUNCTION("""COMPUTED_VALUE"""),42956.6666666666)</f>
        <v>42956.666666666599</v>
      </c>
      <c r="B657" s="1">
        <f ca="1">IFERROR(__xludf.DUMMYFUNCTION("""COMPUTED_VALUE"""),4.21)</f>
        <v>4.21</v>
      </c>
      <c r="C657" s="1">
        <f ca="1">IFERROR(__xludf.DUMMYFUNCTION("""COMPUTED_VALUE"""),4.31)</f>
        <v>4.3099999999999996</v>
      </c>
      <c r="D657" s="1">
        <f ca="1">IFERROR(__xludf.DUMMYFUNCTION("""COMPUTED_VALUE"""),4.19)</f>
        <v>4.1900000000000004</v>
      </c>
      <c r="E657" s="1">
        <f ca="1">IFERROR(__xludf.DUMMYFUNCTION("""COMPUTED_VALUE"""),4.3)</f>
        <v>4.3</v>
      </c>
      <c r="F657" s="1">
        <f ca="1">IFERROR(__xludf.DUMMYFUNCTION("""COMPUTED_VALUE"""),13269623)</f>
        <v>13269623</v>
      </c>
    </row>
    <row r="658" spans="1:6" x14ac:dyDescent="0.35">
      <c r="A658" s="2">
        <f ca="1">IFERROR(__xludf.DUMMYFUNCTION("""COMPUTED_VALUE"""),42957.6666666666)</f>
        <v>42957.666666666599</v>
      </c>
      <c r="B658" s="1">
        <f ca="1">IFERROR(__xludf.DUMMYFUNCTION("""COMPUTED_VALUE"""),4.3)</f>
        <v>4.3</v>
      </c>
      <c r="C658" s="1">
        <f ca="1">IFERROR(__xludf.DUMMYFUNCTION("""COMPUTED_VALUE"""),4.32)</f>
        <v>4.32</v>
      </c>
      <c r="D658" s="1">
        <f ca="1">IFERROR(__xludf.DUMMYFUNCTION("""COMPUTED_VALUE"""),4.11)</f>
        <v>4.1100000000000003</v>
      </c>
      <c r="E658" s="1">
        <f ca="1">IFERROR(__xludf.DUMMYFUNCTION("""COMPUTED_VALUE"""),4.12)</f>
        <v>4.12</v>
      </c>
      <c r="F658" s="1">
        <f ca="1">IFERROR(__xludf.DUMMYFUNCTION("""COMPUTED_VALUE"""),33202199)</f>
        <v>33202199</v>
      </c>
    </row>
    <row r="659" spans="1:6" x14ac:dyDescent="0.35">
      <c r="A659" s="2">
        <f ca="1">IFERROR(__xludf.DUMMYFUNCTION("""COMPUTED_VALUE"""),42958.6666666666)</f>
        <v>42958.666666666599</v>
      </c>
      <c r="B659" s="1">
        <f ca="1">IFERROR(__xludf.DUMMYFUNCTION("""COMPUTED_VALUE"""),3.93)</f>
        <v>3.93</v>
      </c>
      <c r="C659" s="1">
        <f ca="1">IFERROR(__xludf.DUMMYFUNCTION("""COMPUTED_VALUE"""),3.98)</f>
        <v>3.98</v>
      </c>
      <c r="D659" s="1">
        <f ca="1">IFERROR(__xludf.DUMMYFUNCTION("""COMPUTED_VALUE"""),3.82)</f>
        <v>3.82</v>
      </c>
      <c r="E659" s="1">
        <f ca="1">IFERROR(__xludf.DUMMYFUNCTION("""COMPUTED_VALUE"""),3.9)</f>
        <v>3.9</v>
      </c>
      <c r="F659" s="1">
        <f ca="1">IFERROR(__xludf.DUMMYFUNCTION("""COMPUTED_VALUE"""),37429859)</f>
        <v>37429859</v>
      </c>
    </row>
    <row r="660" spans="1:6" x14ac:dyDescent="0.35">
      <c r="A660" s="2">
        <f ca="1">IFERROR(__xludf.DUMMYFUNCTION("""COMPUTED_VALUE"""),42961.6666666666)</f>
        <v>42961.666666666599</v>
      </c>
      <c r="B660" s="1">
        <f ca="1">IFERROR(__xludf.DUMMYFUNCTION("""COMPUTED_VALUE"""),3.99)</f>
        <v>3.99</v>
      </c>
      <c r="C660" s="1">
        <f ca="1">IFERROR(__xludf.DUMMYFUNCTION("""COMPUTED_VALUE"""),4.21)</f>
        <v>4.21</v>
      </c>
      <c r="D660" s="1">
        <f ca="1">IFERROR(__xludf.DUMMYFUNCTION("""COMPUTED_VALUE"""),3.98)</f>
        <v>3.98</v>
      </c>
      <c r="E660" s="1">
        <f ca="1">IFERROR(__xludf.DUMMYFUNCTION("""COMPUTED_VALUE"""),4.21)</f>
        <v>4.21</v>
      </c>
      <c r="F660" s="1">
        <f ca="1">IFERROR(__xludf.DUMMYFUNCTION("""COMPUTED_VALUE"""),31975541)</f>
        <v>31975541</v>
      </c>
    </row>
    <row r="661" spans="1:6" x14ac:dyDescent="0.35">
      <c r="A661" s="2">
        <f ca="1">IFERROR(__xludf.DUMMYFUNCTION("""COMPUTED_VALUE"""),42962.6666666666)</f>
        <v>42962.666666666599</v>
      </c>
      <c r="B661" s="1">
        <f ca="1">IFERROR(__xludf.DUMMYFUNCTION("""COMPUTED_VALUE"""),4.22)</f>
        <v>4.22</v>
      </c>
      <c r="C661" s="1">
        <f ca="1">IFERROR(__xludf.DUMMYFUNCTION("""COMPUTED_VALUE"""),4.24)</f>
        <v>4.24</v>
      </c>
      <c r="D661" s="1">
        <f ca="1">IFERROR(__xludf.DUMMYFUNCTION("""COMPUTED_VALUE"""),4.14)</f>
        <v>4.1399999999999997</v>
      </c>
      <c r="E661" s="1">
        <f ca="1">IFERROR(__xludf.DUMMYFUNCTION("""COMPUTED_VALUE"""),4.17)</f>
        <v>4.17</v>
      </c>
      <c r="F661" s="1">
        <f ca="1">IFERROR(__xludf.DUMMYFUNCTION("""COMPUTED_VALUE"""),19113263)</f>
        <v>19113263</v>
      </c>
    </row>
    <row r="662" spans="1:6" x14ac:dyDescent="0.35">
      <c r="A662" s="2">
        <f ca="1">IFERROR(__xludf.DUMMYFUNCTION("""COMPUTED_VALUE"""),42963.6666666666)</f>
        <v>42963.666666666599</v>
      </c>
      <c r="B662" s="1">
        <f ca="1">IFERROR(__xludf.DUMMYFUNCTION("""COMPUTED_VALUE"""),4.19)</f>
        <v>4.1900000000000004</v>
      </c>
      <c r="C662" s="1">
        <f ca="1">IFERROR(__xludf.DUMMYFUNCTION("""COMPUTED_VALUE"""),4.21)</f>
        <v>4.21</v>
      </c>
      <c r="D662" s="1">
        <f ca="1">IFERROR(__xludf.DUMMYFUNCTION("""COMPUTED_VALUE"""),4.1)</f>
        <v>4.0999999999999996</v>
      </c>
      <c r="E662" s="1">
        <f ca="1">IFERROR(__xludf.DUMMYFUNCTION("""COMPUTED_VALUE"""),4.13)</f>
        <v>4.13</v>
      </c>
      <c r="F662" s="1">
        <f ca="1">IFERROR(__xludf.DUMMYFUNCTION("""COMPUTED_VALUE"""),14915786)</f>
        <v>14915786</v>
      </c>
    </row>
    <row r="663" spans="1:6" x14ac:dyDescent="0.35">
      <c r="A663" s="2">
        <f ca="1">IFERROR(__xludf.DUMMYFUNCTION("""COMPUTED_VALUE"""),42964.6666666666)</f>
        <v>42964.666666666599</v>
      </c>
      <c r="B663" s="1">
        <f ca="1">IFERROR(__xludf.DUMMYFUNCTION("""COMPUTED_VALUE"""),4.12)</f>
        <v>4.12</v>
      </c>
      <c r="C663" s="1">
        <f ca="1">IFERROR(__xludf.DUMMYFUNCTION("""COMPUTED_VALUE"""),4.14)</f>
        <v>4.1399999999999997</v>
      </c>
      <c r="D663" s="1">
        <f ca="1">IFERROR(__xludf.DUMMYFUNCTION("""COMPUTED_VALUE"""),4.03)</f>
        <v>4.03</v>
      </c>
      <c r="E663" s="1">
        <f ca="1">IFERROR(__xludf.DUMMYFUNCTION("""COMPUTED_VALUE"""),4.04)</f>
        <v>4.04</v>
      </c>
      <c r="F663" s="1">
        <f ca="1">IFERROR(__xludf.DUMMYFUNCTION("""COMPUTED_VALUE"""),13136065)</f>
        <v>13136065</v>
      </c>
    </row>
    <row r="664" spans="1:6" x14ac:dyDescent="0.35">
      <c r="A664" s="2">
        <f ca="1">IFERROR(__xludf.DUMMYFUNCTION("""COMPUTED_VALUE"""),42965.6666666666)</f>
        <v>42965.666666666599</v>
      </c>
      <c r="B664" s="1">
        <f ca="1">IFERROR(__xludf.DUMMYFUNCTION("""COMPUTED_VALUE"""),4.09)</f>
        <v>4.09</v>
      </c>
      <c r="C664" s="1">
        <f ca="1">IFERROR(__xludf.DUMMYFUNCTION("""COMPUTED_VALUE"""),4.11)</f>
        <v>4.1100000000000003</v>
      </c>
      <c r="D664" s="1">
        <f ca="1">IFERROR(__xludf.DUMMYFUNCTION("""COMPUTED_VALUE"""),3.99)</f>
        <v>3.99</v>
      </c>
      <c r="E664" s="1">
        <f ca="1">IFERROR(__xludf.DUMMYFUNCTION("""COMPUTED_VALUE"""),4.04)</f>
        <v>4.04</v>
      </c>
      <c r="F664" s="1">
        <f ca="1">IFERROR(__xludf.DUMMYFUNCTION("""COMPUTED_VALUE"""),15030107)</f>
        <v>15030107</v>
      </c>
    </row>
    <row r="665" spans="1:6" x14ac:dyDescent="0.35">
      <c r="A665" s="2">
        <f ca="1">IFERROR(__xludf.DUMMYFUNCTION("""COMPUTED_VALUE"""),42968.6666666666)</f>
        <v>42968.666666666599</v>
      </c>
      <c r="B665" s="1">
        <f ca="1">IFERROR(__xludf.DUMMYFUNCTION("""COMPUTED_VALUE"""),4.06)</f>
        <v>4.0599999999999996</v>
      </c>
      <c r="C665" s="1">
        <f ca="1">IFERROR(__xludf.DUMMYFUNCTION("""COMPUTED_VALUE"""),4.07)</f>
        <v>4.07</v>
      </c>
      <c r="D665" s="1">
        <f ca="1">IFERROR(__xludf.DUMMYFUNCTION("""COMPUTED_VALUE"""),3.93)</f>
        <v>3.93</v>
      </c>
      <c r="E665" s="1">
        <f ca="1">IFERROR(__xludf.DUMMYFUNCTION("""COMPUTED_VALUE"""),3.98)</f>
        <v>3.98</v>
      </c>
      <c r="F665" s="1">
        <f ca="1">IFERROR(__xludf.DUMMYFUNCTION("""COMPUTED_VALUE"""),15591767)</f>
        <v>15591767</v>
      </c>
    </row>
    <row r="666" spans="1:6" x14ac:dyDescent="0.35">
      <c r="A666" s="2">
        <f ca="1">IFERROR(__xludf.DUMMYFUNCTION("""COMPUTED_VALUE"""),42969.6666666666)</f>
        <v>42969.666666666599</v>
      </c>
      <c r="B666" s="1">
        <f ca="1">IFERROR(__xludf.DUMMYFUNCTION("""COMPUTED_VALUE"""),4.01)</f>
        <v>4.01</v>
      </c>
      <c r="C666" s="1">
        <f ca="1">IFERROR(__xludf.DUMMYFUNCTION("""COMPUTED_VALUE"""),4.07)</f>
        <v>4.07</v>
      </c>
      <c r="D666" s="1">
        <f ca="1">IFERROR(__xludf.DUMMYFUNCTION("""COMPUTED_VALUE"""),3.99)</f>
        <v>3.99</v>
      </c>
      <c r="E666" s="1">
        <f ca="1">IFERROR(__xludf.DUMMYFUNCTION("""COMPUTED_VALUE"""),4.06)</f>
        <v>4.0599999999999996</v>
      </c>
      <c r="F666" s="1">
        <f ca="1">IFERROR(__xludf.DUMMYFUNCTION("""COMPUTED_VALUE"""),11261403)</f>
        <v>11261403</v>
      </c>
    </row>
    <row r="667" spans="1:6" x14ac:dyDescent="0.35">
      <c r="A667" s="2">
        <f ca="1">IFERROR(__xludf.DUMMYFUNCTION("""COMPUTED_VALUE"""),42970.6666666666)</f>
        <v>42970.666666666599</v>
      </c>
      <c r="B667" s="1">
        <f ca="1">IFERROR(__xludf.DUMMYFUNCTION("""COMPUTED_VALUE"""),4.03)</f>
        <v>4.03</v>
      </c>
      <c r="C667" s="1">
        <f ca="1">IFERROR(__xludf.DUMMYFUNCTION("""COMPUTED_VALUE"""),4.16)</f>
        <v>4.16</v>
      </c>
      <c r="D667" s="1">
        <f ca="1">IFERROR(__xludf.DUMMYFUNCTION("""COMPUTED_VALUE"""),4.02)</f>
        <v>4.0199999999999996</v>
      </c>
      <c r="E667" s="1">
        <f ca="1">IFERROR(__xludf.DUMMYFUNCTION("""COMPUTED_VALUE"""),4.14)</f>
        <v>4.1399999999999997</v>
      </c>
      <c r="F667" s="1">
        <f ca="1">IFERROR(__xludf.DUMMYFUNCTION("""COMPUTED_VALUE"""),14487996)</f>
        <v>14487996</v>
      </c>
    </row>
    <row r="668" spans="1:6" x14ac:dyDescent="0.35">
      <c r="A668" s="2">
        <f ca="1">IFERROR(__xludf.DUMMYFUNCTION("""COMPUTED_VALUE"""),42971.6666666666)</f>
        <v>42971.666666666599</v>
      </c>
      <c r="B668" s="1">
        <f ca="1">IFERROR(__xludf.DUMMYFUNCTION("""COMPUTED_VALUE"""),4.18)</f>
        <v>4.18</v>
      </c>
      <c r="C668" s="1">
        <f ca="1">IFERROR(__xludf.DUMMYFUNCTION("""COMPUTED_VALUE"""),4.18)</f>
        <v>4.18</v>
      </c>
      <c r="D668" s="1">
        <f ca="1">IFERROR(__xludf.DUMMYFUNCTION("""COMPUTED_VALUE"""),4.1)</f>
        <v>4.0999999999999996</v>
      </c>
      <c r="E668" s="1">
        <f ca="1">IFERROR(__xludf.DUMMYFUNCTION("""COMPUTED_VALUE"""),4.13)</f>
        <v>4.13</v>
      </c>
      <c r="F668" s="1">
        <f ca="1">IFERROR(__xludf.DUMMYFUNCTION("""COMPUTED_VALUE"""),11742501)</f>
        <v>11742501</v>
      </c>
    </row>
    <row r="669" spans="1:6" x14ac:dyDescent="0.35">
      <c r="A669" s="2">
        <f ca="1">IFERROR(__xludf.DUMMYFUNCTION("""COMPUTED_VALUE"""),42972.6666666666)</f>
        <v>42972.666666666599</v>
      </c>
      <c r="B669" s="1">
        <f ca="1">IFERROR(__xludf.DUMMYFUNCTION("""COMPUTED_VALUE"""),4.15)</f>
        <v>4.1500000000000004</v>
      </c>
      <c r="C669" s="1">
        <f ca="1">IFERROR(__xludf.DUMMYFUNCTION("""COMPUTED_VALUE"""),4.16)</f>
        <v>4.16</v>
      </c>
      <c r="D669" s="1">
        <f ca="1">IFERROR(__xludf.DUMMYFUNCTION("""COMPUTED_VALUE"""),4.09)</f>
        <v>4.09</v>
      </c>
      <c r="E669" s="1">
        <f ca="1">IFERROR(__xludf.DUMMYFUNCTION("""COMPUTED_VALUE"""),4.1)</f>
        <v>4.0999999999999996</v>
      </c>
      <c r="F669" s="1">
        <f ca="1">IFERROR(__xludf.DUMMYFUNCTION("""COMPUTED_VALUE"""),8930022)</f>
        <v>8930022</v>
      </c>
    </row>
    <row r="670" spans="1:6" x14ac:dyDescent="0.35">
      <c r="A670" s="2">
        <f ca="1">IFERROR(__xludf.DUMMYFUNCTION("""COMPUTED_VALUE"""),42975.6666666666)</f>
        <v>42975.666666666599</v>
      </c>
      <c r="B670" s="1">
        <f ca="1">IFERROR(__xludf.DUMMYFUNCTION("""COMPUTED_VALUE"""),4.11)</f>
        <v>4.1100000000000003</v>
      </c>
      <c r="C670" s="1">
        <f ca="1">IFERROR(__xludf.DUMMYFUNCTION("""COMPUTED_VALUE"""),4.13)</f>
        <v>4.13</v>
      </c>
      <c r="D670" s="1">
        <f ca="1">IFERROR(__xludf.DUMMYFUNCTION("""COMPUTED_VALUE"""),4.06)</f>
        <v>4.0599999999999996</v>
      </c>
      <c r="E670" s="1">
        <f ca="1">IFERROR(__xludf.DUMMYFUNCTION("""COMPUTED_VALUE"""),4.12)</f>
        <v>4.12</v>
      </c>
      <c r="F670" s="1">
        <f ca="1">IFERROR(__xludf.DUMMYFUNCTION("""COMPUTED_VALUE"""),9737393)</f>
        <v>9737393</v>
      </c>
    </row>
    <row r="671" spans="1:6" x14ac:dyDescent="0.35">
      <c r="A671" s="2">
        <f ca="1">IFERROR(__xludf.DUMMYFUNCTION("""COMPUTED_VALUE"""),42976.6666666666)</f>
        <v>42976.666666666599</v>
      </c>
      <c r="B671" s="1">
        <f ca="1">IFERROR(__xludf.DUMMYFUNCTION("""COMPUTED_VALUE"""),4.06)</f>
        <v>4.0599999999999996</v>
      </c>
      <c r="C671" s="1">
        <f ca="1">IFERROR(__xludf.DUMMYFUNCTION("""COMPUTED_VALUE"""),4.14)</f>
        <v>4.1399999999999997</v>
      </c>
      <c r="D671" s="1">
        <f ca="1">IFERROR(__xludf.DUMMYFUNCTION("""COMPUTED_VALUE"""),4.06)</f>
        <v>4.0599999999999996</v>
      </c>
      <c r="E671" s="1">
        <f ca="1">IFERROR(__xludf.DUMMYFUNCTION("""COMPUTED_VALUE"""),4.12)</f>
        <v>4.12</v>
      </c>
      <c r="F671" s="1">
        <f ca="1">IFERROR(__xludf.DUMMYFUNCTION("""COMPUTED_VALUE"""),8102357)</f>
        <v>8102357</v>
      </c>
    </row>
    <row r="672" spans="1:6" x14ac:dyDescent="0.35">
      <c r="A672" s="2">
        <f ca="1">IFERROR(__xludf.DUMMYFUNCTION("""COMPUTED_VALUE"""),42977.6666666666)</f>
        <v>42977.666666666599</v>
      </c>
      <c r="B672" s="1">
        <f ca="1">IFERROR(__xludf.DUMMYFUNCTION("""COMPUTED_VALUE"""),4.14)</f>
        <v>4.1399999999999997</v>
      </c>
      <c r="C672" s="1">
        <f ca="1">IFERROR(__xludf.DUMMYFUNCTION("""COMPUTED_VALUE"""),4.15)</f>
        <v>4.1500000000000004</v>
      </c>
      <c r="D672" s="1">
        <f ca="1">IFERROR(__xludf.DUMMYFUNCTION("""COMPUTED_VALUE"""),4.11)</f>
        <v>4.1100000000000003</v>
      </c>
      <c r="E672" s="1">
        <f ca="1">IFERROR(__xludf.DUMMYFUNCTION("""COMPUTED_VALUE"""),4.14)</f>
        <v>4.1399999999999997</v>
      </c>
      <c r="F672" s="1">
        <f ca="1">IFERROR(__xludf.DUMMYFUNCTION("""COMPUTED_VALUE"""),9610039)</f>
        <v>9610039</v>
      </c>
    </row>
    <row r="673" spans="1:6" x14ac:dyDescent="0.35">
      <c r="A673" s="2">
        <f ca="1">IFERROR(__xludf.DUMMYFUNCTION("""COMPUTED_VALUE"""),42978.6666666666)</f>
        <v>42978.666666666599</v>
      </c>
      <c r="B673" s="1">
        <f ca="1">IFERROR(__xludf.DUMMYFUNCTION("""COMPUTED_VALUE"""),4.16)</f>
        <v>4.16</v>
      </c>
      <c r="C673" s="1">
        <f ca="1">IFERROR(__xludf.DUMMYFUNCTION("""COMPUTED_VALUE"""),4.24)</f>
        <v>4.24</v>
      </c>
      <c r="D673" s="1">
        <f ca="1">IFERROR(__xludf.DUMMYFUNCTION("""COMPUTED_VALUE"""),4.16)</f>
        <v>4.16</v>
      </c>
      <c r="E673" s="1">
        <f ca="1">IFERROR(__xludf.DUMMYFUNCTION("""COMPUTED_VALUE"""),4.24)</f>
        <v>4.24</v>
      </c>
      <c r="F673" s="1">
        <f ca="1">IFERROR(__xludf.DUMMYFUNCTION("""COMPUTED_VALUE"""),15317105)</f>
        <v>15317105</v>
      </c>
    </row>
    <row r="674" spans="1:6" x14ac:dyDescent="0.35">
      <c r="A674" s="2">
        <f ca="1">IFERROR(__xludf.DUMMYFUNCTION("""COMPUTED_VALUE"""),42979.6666666666)</f>
        <v>42979.666666666599</v>
      </c>
      <c r="B674" s="1">
        <f ca="1">IFERROR(__xludf.DUMMYFUNCTION("""COMPUTED_VALUE"""),4.25)</f>
        <v>4.25</v>
      </c>
      <c r="C674" s="1">
        <f ca="1">IFERROR(__xludf.DUMMYFUNCTION("""COMPUTED_VALUE"""),4.3)</f>
        <v>4.3</v>
      </c>
      <c r="D674" s="1">
        <f ca="1">IFERROR(__xludf.DUMMYFUNCTION("""COMPUTED_VALUE"""),4.24)</f>
        <v>4.24</v>
      </c>
      <c r="E674" s="1">
        <f ca="1">IFERROR(__xludf.DUMMYFUNCTION("""COMPUTED_VALUE"""),4.26)</f>
        <v>4.26</v>
      </c>
      <c r="F674" s="1">
        <f ca="1">IFERROR(__xludf.DUMMYFUNCTION("""COMPUTED_VALUE"""),11135787)</f>
        <v>11135787</v>
      </c>
    </row>
    <row r="675" spans="1:6" x14ac:dyDescent="0.35">
      <c r="A675" s="2">
        <f ca="1">IFERROR(__xludf.DUMMYFUNCTION("""COMPUTED_VALUE"""),42983.6666666666)</f>
        <v>42983.666666666599</v>
      </c>
      <c r="B675" s="1">
        <f ca="1">IFERROR(__xludf.DUMMYFUNCTION("""COMPUTED_VALUE"""),4.21)</f>
        <v>4.21</v>
      </c>
      <c r="C675" s="1">
        <f ca="1">IFERROR(__xludf.DUMMYFUNCTION("""COMPUTED_VALUE"""),4.21)</f>
        <v>4.21</v>
      </c>
      <c r="D675" s="1">
        <f ca="1">IFERROR(__xludf.DUMMYFUNCTION("""COMPUTED_VALUE"""),4.09)</f>
        <v>4.09</v>
      </c>
      <c r="E675" s="1">
        <f ca="1">IFERROR(__xludf.DUMMYFUNCTION("""COMPUTED_VALUE"""),4.15)</f>
        <v>4.1500000000000004</v>
      </c>
      <c r="F675" s="1">
        <f ca="1">IFERROR(__xludf.DUMMYFUNCTION("""COMPUTED_VALUE"""),17417392)</f>
        <v>17417392</v>
      </c>
    </row>
    <row r="676" spans="1:6" x14ac:dyDescent="0.35">
      <c r="A676" s="2">
        <f ca="1">IFERROR(__xludf.DUMMYFUNCTION("""COMPUTED_VALUE"""),42984.6666666666)</f>
        <v>42984.666666666599</v>
      </c>
      <c r="B676" s="1">
        <f ca="1">IFERROR(__xludf.DUMMYFUNCTION("""COMPUTED_VALUE"""),4.18)</f>
        <v>4.18</v>
      </c>
      <c r="C676" s="1">
        <f ca="1">IFERROR(__xludf.DUMMYFUNCTION("""COMPUTED_VALUE"""),4.2)</f>
        <v>4.2</v>
      </c>
      <c r="D676" s="1">
        <f ca="1">IFERROR(__xludf.DUMMYFUNCTION("""COMPUTED_VALUE"""),4.11)</f>
        <v>4.1100000000000003</v>
      </c>
      <c r="E676" s="1">
        <f ca="1">IFERROR(__xludf.DUMMYFUNCTION("""COMPUTED_VALUE"""),4.15)</f>
        <v>4.1500000000000004</v>
      </c>
      <c r="F676" s="1">
        <f ca="1">IFERROR(__xludf.DUMMYFUNCTION("""COMPUTED_VALUE"""),9941783)</f>
        <v>9941783</v>
      </c>
    </row>
    <row r="677" spans="1:6" x14ac:dyDescent="0.35">
      <c r="A677" s="2">
        <f ca="1">IFERROR(__xludf.DUMMYFUNCTION("""COMPUTED_VALUE"""),42985.6666666666)</f>
        <v>42985.666666666599</v>
      </c>
      <c r="B677" s="1">
        <f ca="1">IFERROR(__xludf.DUMMYFUNCTION("""COMPUTED_VALUE"""),4.16)</f>
        <v>4.16</v>
      </c>
      <c r="C677" s="1">
        <f ca="1">IFERROR(__xludf.DUMMYFUNCTION("""COMPUTED_VALUE"""),4.2)</f>
        <v>4.2</v>
      </c>
      <c r="D677" s="1">
        <f ca="1">IFERROR(__xludf.DUMMYFUNCTION("""COMPUTED_VALUE"""),4.12)</f>
        <v>4.12</v>
      </c>
      <c r="E677" s="1">
        <f ca="1">IFERROR(__xludf.DUMMYFUNCTION("""COMPUTED_VALUE"""),4.16)</f>
        <v>4.16</v>
      </c>
      <c r="F677" s="1">
        <f ca="1">IFERROR(__xludf.DUMMYFUNCTION("""COMPUTED_VALUE"""),8821702)</f>
        <v>8821702</v>
      </c>
    </row>
    <row r="678" spans="1:6" x14ac:dyDescent="0.35">
      <c r="A678" s="2">
        <f ca="1">IFERROR(__xludf.DUMMYFUNCTION("""COMPUTED_VALUE"""),42986.6666666666)</f>
        <v>42986.666666666599</v>
      </c>
      <c r="B678" s="1">
        <f ca="1">IFERROR(__xludf.DUMMYFUNCTION("""COMPUTED_VALUE"""),4.15)</f>
        <v>4.1500000000000004</v>
      </c>
      <c r="C678" s="1">
        <f ca="1">IFERROR(__xludf.DUMMYFUNCTION("""COMPUTED_VALUE"""),4.17)</f>
        <v>4.17</v>
      </c>
      <c r="D678" s="1">
        <f ca="1">IFERROR(__xludf.DUMMYFUNCTION("""COMPUTED_VALUE"""),4.07)</f>
        <v>4.07</v>
      </c>
      <c r="E678" s="1">
        <f ca="1">IFERROR(__xludf.DUMMYFUNCTION("""COMPUTED_VALUE"""),4.09)</f>
        <v>4.09</v>
      </c>
      <c r="F678" s="1">
        <f ca="1">IFERROR(__xludf.DUMMYFUNCTION("""COMPUTED_VALUE"""),12471422)</f>
        <v>12471422</v>
      </c>
    </row>
    <row r="679" spans="1:6" x14ac:dyDescent="0.35">
      <c r="A679" s="2">
        <f ca="1">IFERROR(__xludf.DUMMYFUNCTION("""COMPUTED_VALUE"""),42989.6666666666)</f>
        <v>42989.666666666599</v>
      </c>
      <c r="B679" s="1">
        <f ca="1">IFERROR(__xludf.DUMMYFUNCTION("""COMPUTED_VALUE"""),4.14)</f>
        <v>4.1399999999999997</v>
      </c>
      <c r="C679" s="1">
        <f ca="1">IFERROR(__xludf.DUMMYFUNCTION("""COMPUTED_VALUE"""),4.24)</f>
        <v>4.24</v>
      </c>
      <c r="D679" s="1">
        <f ca="1">IFERROR(__xludf.DUMMYFUNCTION("""COMPUTED_VALUE"""),4.13)</f>
        <v>4.13</v>
      </c>
      <c r="E679" s="1">
        <f ca="1">IFERROR(__xludf.DUMMYFUNCTION("""COMPUTED_VALUE"""),4.22)</f>
        <v>4.22</v>
      </c>
      <c r="F679" s="1">
        <f ca="1">IFERROR(__xludf.DUMMYFUNCTION("""COMPUTED_VALUE"""),14186078)</f>
        <v>14186078</v>
      </c>
    </row>
    <row r="680" spans="1:6" x14ac:dyDescent="0.35">
      <c r="A680" s="2">
        <f ca="1">IFERROR(__xludf.DUMMYFUNCTION("""COMPUTED_VALUE"""),42990.6666666666)</f>
        <v>42990.666666666599</v>
      </c>
      <c r="B680" s="1">
        <f ca="1">IFERROR(__xludf.DUMMYFUNCTION("""COMPUTED_VALUE"""),4.25)</f>
        <v>4.25</v>
      </c>
      <c r="C680" s="1">
        <f ca="1">IFERROR(__xludf.DUMMYFUNCTION("""COMPUTED_VALUE"""),4.25)</f>
        <v>4.25</v>
      </c>
      <c r="D680" s="1">
        <f ca="1">IFERROR(__xludf.DUMMYFUNCTION("""COMPUTED_VALUE"""),4.17)</f>
        <v>4.17</v>
      </c>
      <c r="E680" s="1">
        <f ca="1">IFERROR(__xludf.DUMMYFUNCTION("""COMPUTED_VALUE"""),4.24)</f>
        <v>4.24</v>
      </c>
      <c r="F680" s="1">
        <f ca="1">IFERROR(__xludf.DUMMYFUNCTION("""COMPUTED_VALUE"""),10287203)</f>
        <v>10287203</v>
      </c>
    </row>
    <row r="681" spans="1:6" x14ac:dyDescent="0.35">
      <c r="A681" s="2">
        <f ca="1">IFERROR(__xludf.DUMMYFUNCTION("""COMPUTED_VALUE"""),42991.6666666666)</f>
        <v>42991.666666666599</v>
      </c>
      <c r="B681" s="1">
        <f ca="1">IFERROR(__xludf.DUMMYFUNCTION("""COMPUTED_VALUE"""),4.21)</f>
        <v>4.21</v>
      </c>
      <c r="C681" s="1">
        <f ca="1">IFERROR(__xludf.DUMMYFUNCTION("""COMPUTED_VALUE"""),4.29)</f>
        <v>4.29</v>
      </c>
      <c r="D681" s="1">
        <f ca="1">IFERROR(__xludf.DUMMYFUNCTION("""COMPUTED_VALUE"""),4.18)</f>
        <v>4.18</v>
      </c>
      <c r="E681" s="1">
        <f ca="1">IFERROR(__xludf.DUMMYFUNCTION("""COMPUTED_VALUE"""),4.26)</f>
        <v>4.26</v>
      </c>
      <c r="F681" s="1">
        <f ca="1">IFERROR(__xludf.DUMMYFUNCTION("""COMPUTED_VALUE"""),14523973)</f>
        <v>14523973</v>
      </c>
    </row>
    <row r="682" spans="1:6" x14ac:dyDescent="0.35">
      <c r="A682" s="2">
        <f ca="1">IFERROR(__xludf.DUMMYFUNCTION("""COMPUTED_VALUE"""),42992.6666666666)</f>
        <v>42992.666666666599</v>
      </c>
      <c r="B682" s="1">
        <f ca="1">IFERROR(__xludf.DUMMYFUNCTION("""COMPUTED_VALUE"""),4.22)</f>
        <v>4.22</v>
      </c>
      <c r="C682" s="1">
        <f ca="1">IFERROR(__xludf.DUMMYFUNCTION("""COMPUTED_VALUE"""),4.31)</f>
        <v>4.3099999999999996</v>
      </c>
      <c r="D682" s="1">
        <f ca="1">IFERROR(__xludf.DUMMYFUNCTION("""COMPUTED_VALUE"""),4.2)</f>
        <v>4.2</v>
      </c>
      <c r="E682" s="1">
        <f ca="1">IFERROR(__xludf.DUMMYFUNCTION("""COMPUTED_VALUE"""),4.24)</f>
        <v>4.24</v>
      </c>
      <c r="F682" s="1">
        <f ca="1">IFERROR(__xludf.DUMMYFUNCTION("""COMPUTED_VALUE"""),12842837)</f>
        <v>12842837</v>
      </c>
    </row>
    <row r="683" spans="1:6" x14ac:dyDescent="0.35">
      <c r="A683" s="2">
        <f ca="1">IFERROR(__xludf.DUMMYFUNCTION("""COMPUTED_VALUE"""),42993.6666666666)</f>
        <v>42993.666666666599</v>
      </c>
      <c r="B683" s="1">
        <f ca="1">IFERROR(__xludf.DUMMYFUNCTION("""COMPUTED_VALUE"""),4.32)</f>
        <v>4.32</v>
      </c>
      <c r="C683" s="1">
        <f ca="1">IFERROR(__xludf.DUMMYFUNCTION("""COMPUTED_VALUE"""),4.5)</f>
        <v>4.5</v>
      </c>
      <c r="D683" s="1">
        <f ca="1">IFERROR(__xludf.DUMMYFUNCTION("""COMPUTED_VALUE"""),4.32)</f>
        <v>4.32</v>
      </c>
      <c r="E683" s="1">
        <f ca="1">IFERROR(__xludf.DUMMYFUNCTION("""COMPUTED_VALUE"""),4.5)</f>
        <v>4.5</v>
      </c>
      <c r="F683" s="1">
        <f ca="1">IFERROR(__xludf.DUMMYFUNCTION("""COMPUTED_VALUE"""),34119764)</f>
        <v>34119764</v>
      </c>
    </row>
    <row r="684" spans="1:6" x14ac:dyDescent="0.35">
      <c r="A684" s="2">
        <f ca="1">IFERROR(__xludf.DUMMYFUNCTION("""COMPUTED_VALUE"""),42996.6666666666)</f>
        <v>42996.666666666599</v>
      </c>
      <c r="B684" s="1">
        <f ca="1">IFERROR(__xludf.DUMMYFUNCTION("""COMPUTED_VALUE"""),4.63)</f>
        <v>4.63</v>
      </c>
      <c r="C684" s="1">
        <f ca="1">IFERROR(__xludf.DUMMYFUNCTION("""COMPUTED_VALUE"""),4.78)</f>
        <v>4.78</v>
      </c>
      <c r="D684" s="1">
        <f ca="1">IFERROR(__xludf.DUMMYFUNCTION("""COMPUTED_VALUE"""),4.62)</f>
        <v>4.62</v>
      </c>
      <c r="E684" s="1">
        <f ca="1">IFERROR(__xludf.DUMMYFUNCTION("""COMPUTED_VALUE"""),4.69)</f>
        <v>4.6900000000000004</v>
      </c>
      <c r="F684" s="1">
        <f ca="1">IFERROR(__xludf.DUMMYFUNCTION("""COMPUTED_VALUE"""),42111516)</f>
        <v>42111516</v>
      </c>
    </row>
    <row r="685" spans="1:6" x14ac:dyDescent="0.35">
      <c r="A685" s="2">
        <f ca="1">IFERROR(__xludf.DUMMYFUNCTION("""COMPUTED_VALUE"""),42997.6666666666)</f>
        <v>42997.666666666599</v>
      </c>
      <c r="B685" s="1">
        <f ca="1">IFERROR(__xludf.DUMMYFUNCTION("""COMPUTED_VALUE"""),4.64)</f>
        <v>4.6399999999999997</v>
      </c>
      <c r="C685" s="1">
        <f ca="1">IFERROR(__xludf.DUMMYFUNCTION("""COMPUTED_VALUE"""),4.75)</f>
        <v>4.75</v>
      </c>
      <c r="D685" s="1">
        <f ca="1">IFERROR(__xludf.DUMMYFUNCTION("""COMPUTED_VALUE"""),4.62)</f>
        <v>4.62</v>
      </c>
      <c r="E685" s="1">
        <f ca="1">IFERROR(__xludf.DUMMYFUNCTION("""COMPUTED_VALUE"""),4.68)</f>
        <v>4.68</v>
      </c>
      <c r="F685" s="1">
        <f ca="1">IFERROR(__xludf.DUMMYFUNCTION("""COMPUTED_VALUE"""),21856994)</f>
        <v>21856994</v>
      </c>
    </row>
    <row r="686" spans="1:6" x14ac:dyDescent="0.35">
      <c r="A686" s="2">
        <f ca="1">IFERROR(__xludf.DUMMYFUNCTION("""COMPUTED_VALUE"""),42998.6666666666)</f>
        <v>42998.666666666599</v>
      </c>
      <c r="B686" s="1">
        <f ca="1">IFERROR(__xludf.DUMMYFUNCTION("""COMPUTED_VALUE"""),4.69)</f>
        <v>4.6900000000000004</v>
      </c>
      <c r="C686" s="1">
        <f ca="1">IFERROR(__xludf.DUMMYFUNCTION("""COMPUTED_VALUE"""),4.74)</f>
        <v>4.74</v>
      </c>
      <c r="D686" s="1">
        <f ca="1">IFERROR(__xludf.DUMMYFUNCTION("""COMPUTED_VALUE"""),4.61)</f>
        <v>4.6100000000000003</v>
      </c>
      <c r="E686" s="1">
        <f ca="1">IFERROR(__xludf.DUMMYFUNCTION("""COMPUTED_VALUE"""),4.65)</f>
        <v>4.6500000000000004</v>
      </c>
      <c r="F686" s="1">
        <f ca="1">IFERROR(__xludf.DUMMYFUNCTION("""COMPUTED_VALUE"""),18122991)</f>
        <v>18122991</v>
      </c>
    </row>
    <row r="687" spans="1:6" x14ac:dyDescent="0.35">
      <c r="A687" s="2">
        <f ca="1">IFERROR(__xludf.DUMMYFUNCTION("""COMPUTED_VALUE"""),42999.6666666666)</f>
        <v>42999.666666666599</v>
      </c>
      <c r="B687" s="1">
        <f ca="1">IFERROR(__xludf.DUMMYFUNCTION("""COMPUTED_VALUE"""),4.54)</f>
        <v>4.54</v>
      </c>
      <c r="C687" s="1">
        <f ca="1">IFERROR(__xludf.DUMMYFUNCTION("""COMPUTED_VALUE"""),4.57)</f>
        <v>4.57</v>
      </c>
      <c r="D687" s="1">
        <f ca="1">IFERROR(__xludf.DUMMYFUNCTION("""COMPUTED_VALUE"""),4.44)</f>
        <v>4.4400000000000004</v>
      </c>
      <c r="E687" s="1">
        <f ca="1">IFERROR(__xludf.DUMMYFUNCTION("""COMPUTED_VALUE"""),4.52)</f>
        <v>4.5199999999999996</v>
      </c>
      <c r="F687" s="1">
        <f ca="1">IFERROR(__xludf.DUMMYFUNCTION("""COMPUTED_VALUE"""),26889994)</f>
        <v>26889994</v>
      </c>
    </row>
    <row r="688" spans="1:6" x14ac:dyDescent="0.35">
      <c r="A688" s="2">
        <f ca="1">IFERROR(__xludf.DUMMYFUNCTION("""COMPUTED_VALUE"""),43000.6666666666)</f>
        <v>43000.666666666599</v>
      </c>
      <c r="B688" s="1">
        <f ca="1">IFERROR(__xludf.DUMMYFUNCTION("""COMPUTED_VALUE"""),4.51)</f>
        <v>4.51</v>
      </c>
      <c r="C688" s="1">
        <f ca="1">IFERROR(__xludf.DUMMYFUNCTION("""COMPUTED_VALUE"""),4.56)</f>
        <v>4.5599999999999996</v>
      </c>
      <c r="D688" s="1">
        <f ca="1">IFERROR(__xludf.DUMMYFUNCTION("""COMPUTED_VALUE"""),4.47)</f>
        <v>4.47</v>
      </c>
      <c r="E688" s="1">
        <f ca="1">IFERROR(__xludf.DUMMYFUNCTION("""COMPUTED_VALUE"""),4.47)</f>
        <v>4.47</v>
      </c>
      <c r="F688" s="1">
        <f ca="1">IFERROR(__xludf.DUMMYFUNCTION("""COMPUTED_VALUE"""),12280771)</f>
        <v>12280771</v>
      </c>
    </row>
    <row r="689" spans="1:6" x14ac:dyDescent="0.35">
      <c r="A689" s="2">
        <f ca="1">IFERROR(__xludf.DUMMYFUNCTION("""COMPUTED_VALUE"""),43003.6666666666)</f>
        <v>43003.666666666599</v>
      </c>
      <c r="B689" s="1">
        <f ca="1">IFERROR(__xludf.DUMMYFUNCTION("""COMPUTED_VALUE"""),4.44)</f>
        <v>4.4400000000000004</v>
      </c>
      <c r="C689" s="1">
        <f ca="1">IFERROR(__xludf.DUMMYFUNCTION("""COMPUTED_VALUE"""),4.45)</f>
        <v>4.45</v>
      </c>
      <c r="D689" s="1">
        <f ca="1">IFERROR(__xludf.DUMMYFUNCTION("""COMPUTED_VALUE"""),4.25)</f>
        <v>4.25</v>
      </c>
      <c r="E689" s="1">
        <f ca="1">IFERROR(__xludf.DUMMYFUNCTION("""COMPUTED_VALUE"""),4.28)</f>
        <v>4.28</v>
      </c>
      <c r="F689" s="1">
        <f ca="1">IFERROR(__xludf.DUMMYFUNCTION("""COMPUTED_VALUE"""),21864476)</f>
        <v>21864476</v>
      </c>
    </row>
    <row r="690" spans="1:6" x14ac:dyDescent="0.35">
      <c r="A690" s="2">
        <f ca="1">IFERROR(__xludf.DUMMYFUNCTION("""COMPUTED_VALUE"""),43004.6666666666)</f>
        <v>43004.666666666599</v>
      </c>
      <c r="B690" s="1">
        <f ca="1">IFERROR(__xludf.DUMMYFUNCTION("""COMPUTED_VALUE"""),4.41)</f>
        <v>4.41</v>
      </c>
      <c r="C690" s="1">
        <f ca="1">IFERROR(__xludf.DUMMYFUNCTION("""COMPUTED_VALUE"""),4.47)</f>
        <v>4.47</v>
      </c>
      <c r="D690" s="1">
        <f ca="1">IFERROR(__xludf.DUMMYFUNCTION("""COMPUTED_VALUE"""),4.26)</f>
        <v>4.26</v>
      </c>
      <c r="E690" s="1">
        <f ca="1">IFERROR(__xludf.DUMMYFUNCTION("""COMPUTED_VALUE"""),4.3)</f>
        <v>4.3</v>
      </c>
      <c r="F690" s="1">
        <f ca="1">IFERROR(__xludf.DUMMYFUNCTION("""COMPUTED_VALUE"""),28140511)</f>
        <v>28140511</v>
      </c>
    </row>
    <row r="691" spans="1:6" x14ac:dyDescent="0.35">
      <c r="A691" s="2">
        <f ca="1">IFERROR(__xludf.DUMMYFUNCTION("""COMPUTED_VALUE"""),43005.6666666666)</f>
        <v>43005.666666666599</v>
      </c>
      <c r="B691" s="1">
        <f ca="1">IFERROR(__xludf.DUMMYFUNCTION("""COMPUTED_VALUE"""),4.39)</f>
        <v>4.3899999999999997</v>
      </c>
      <c r="C691" s="1">
        <f ca="1">IFERROR(__xludf.DUMMYFUNCTION("""COMPUTED_VALUE"""),4.41)</f>
        <v>4.41</v>
      </c>
      <c r="D691" s="1">
        <f ca="1">IFERROR(__xludf.DUMMYFUNCTION("""COMPUTED_VALUE"""),4.32)</f>
        <v>4.32</v>
      </c>
      <c r="E691" s="1">
        <f ca="1">IFERROR(__xludf.DUMMYFUNCTION("""COMPUTED_VALUE"""),4.39)</f>
        <v>4.3899999999999997</v>
      </c>
      <c r="F691" s="1">
        <f ca="1">IFERROR(__xludf.DUMMYFUNCTION("""COMPUTED_VALUE"""),17842967)</f>
        <v>17842967</v>
      </c>
    </row>
    <row r="692" spans="1:6" x14ac:dyDescent="0.35">
      <c r="A692" s="2">
        <f ca="1">IFERROR(__xludf.DUMMYFUNCTION("""COMPUTED_VALUE"""),43006.6666666666)</f>
        <v>43006.666666666599</v>
      </c>
      <c r="B692" s="1">
        <f ca="1">IFERROR(__xludf.DUMMYFUNCTION("""COMPUTED_VALUE"""),4.4)</f>
        <v>4.4000000000000004</v>
      </c>
      <c r="C692" s="1">
        <f ca="1">IFERROR(__xludf.DUMMYFUNCTION("""COMPUTED_VALUE"""),4.4)</f>
        <v>4.4000000000000004</v>
      </c>
      <c r="D692" s="1">
        <f ca="1">IFERROR(__xludf.DUMMYFUNCTION("""COMPUTED_VALUE"""),4.34)</f>
        <v>4.34</v>
      </c>
      <c r="E692" s="1">
        <f ca="1">IFERROR(__xludf.DUMMYFUNCTION("""COMPUTED_VALUE"""),4.39)</f>
        <v>4.3899999999999997</v>
      </c>
      <c r="F692" s="1">
        <f ca="1">IFERROR(__xludf.DUMMYFUNCTION("""COMPUTED_VALUE"""),10881065)</f>
        <v>10881065</v>
      </c>
    </row>
    <row r="693" spans="1:6" x14ac:dyDescent="0.35">
      <c r="A693" s="2">
        <f ca="1">IFERROR(__xludf.DUMMYFUNCTION("""COMPUTED_VALUE"""),43007.6666666666)</f>
        <v>43007.666666666599</v>
      </c>
      <c r="B693" s="1">
        <f ca="1">IFERROR(__xludf.DUMMYFUNCTION("""COMPUTED_VALUE"""),4.48)</f>
        <v>4.4800000000000004</v>
      </c>
      <c r="C693" s="1">
        <f ca="1">IFERROR(__xludf.DUMMYFUNCTION("""COMPUTED_VALUE"""),4.49)</f>
        <v>4.49</v>
      </c>
      <c r="D693" s="1">
        <f ca="1">IFERROR(__xludf.DUMMYFUNCTION("""COMPUTED_VALUE"""),4.43)</f>
        <v>4.43</v>
      </c>
      <c r="E693" s="1">
        <f ca="1">IFERROR(__xludf.DUMMYFUNCTION("""COMPUTED_VALUE"""),4.47)</f>
        <v>4.47</v>
      </c>
      <c r="F693" s="1">
        <f ca="1">IFERROR(__xludf.DUMMYFUNCTION("""COMPUTED_VALUE"""),15477293)</f>
        <v>15477293</v>
      </c>
    </row>
    <row r="694" spans="1:6" x14ac:dyDescent="0.35">
      <c r="A694" s="2">
        <f ca="1">IFERROR(__xludf.DUMMYFUNCTION("""COMPUTED_VALUE"""),43010.6666666666)</f>
        <v>43010.666666666599</v>
      </c>
      <c r="B694" s="1">
        <f ca="1">IFERROR(__xludf.DUMMYFUNCTION("""COMPUTED_VALUE"""),4.52)</f>
        <v>4.5199999999999996</v>
      </c>
      <c r="C694" s="1">
        <f ca="1">IFERROR(__xludf.DUMMYFUNCTION("""COMPUTED_VALUE"""),4.55)</f>
        <v>4.55</v>
      </c>
      <c r="D694" s="1">
        <f ca="1">IFERROR(__xludf.DUMMYFUNCTION("""COMPUTED_VALUE"""),4.43)</f>
        <v>4.43</v>
      </c>
      <c r="E694" s="1">
        <f ca="1">IFERROR(__xludf.DUMMYFUNCTION("""COMPUTED_VALUE"""),4.47)</f>
        <v>4.47</v>
      </c>
      <c r="F694" s="1">
        <f ca="1">IFERROR(__xludf.DUMMYFUNCTION("""COMPUTED_VALUE"""),12586960)</f>
        <v>12586960</v>
      </c>
    </row>
    <row r="695" spans="1:6" x14ac:dyDescent="0.35">
      <c r="A695" s="2">
        <f ca="1">IFERROR(__xludf.DUMMYFUNCTION("""COMPUTED_VALUE"""),43011.6666666666)</f>
        <v>43011.666666666599</v>
      </c>
      <c r="B695" s="1">
        <f ca="1">IFERROR(__xludf.DUMMYFUNCTION("""COMPUTED_VALUE"""),4.48)</f>
        <v>4.4800000000000004</v>
      </c>
      <c r="C695" s="1">
        <f ca="1">IFERROR(__xludf.DUMMYFUNCTION("""COMPUTED_VALUE"""),4.51)</f>
        <v>4.51</v>
      </c>
      <c r="D695" s="1">
        <f ca="1">IFERROR(__xludf.DUMMYFUNCTION("""COMPUTED_VALUE"""),4.44)</f>
        <v>4.4400000000000004</v>
      </c>
      <c r="E695" s="1">
        <f ca="1">IFERROR(__xludf.DUMMYFUNCTION("""COMPUTED_VALUE"""),4.48)</f>
        <v>4.4800000000000004</v>
      </c>
      <c r="F695" s="1">
        <f ca="1">IFERROR(__xludf.DUMMYFUNCTION("""COMPUTED_VALUE"""),9758268)</f>
        <v>9758268</v>
      </c>
    </row>
    <row r="696" spans="1:6" x14ac:dyDescent="0.35">
      <c r="A696" s="2">
        <f ca="1">IFERROR(__xludf.DUMMYFUNCTION("""COMPUTED_VALUE"""),43012.6666666666)</f>
        <v>43012.666666666599</v>
      </c>
      <c r="B696" s="1">
        <f ca="1">IFERROR(__xludf.DUMMYFUNCTION("""COMPUTED_VALUE"""),4.49)</f>
        <v>4.49</v>
      </c>
      <c r="C696" s="1">
        <f ca="1">IFERROR(__xludf.DUMMYFUNCTION("""COMPUTED_VALUE"""),4.54)</f>
        <v>4.54</v>
      </c>
      <c r="D696" s="1">
        <f ca="1">IFERROR(__xludf.DUMMYFUNCTION("""COMPUTED_VALUE"""),4.45)</f>
        <v>4.45</v>
      </c>
      <c r="E696" s="1">
        <f ca="1">IFERROR(__xludf.DUMMYFUNCTION("""COMPUTED_VALUE"""),4.52)</f>
        <v>4.5199999999999996</v>
      </c>
      <c r="F696" s="1">
        <f ca="1">IFERROR(__xludf.DUMMYFUNCTION("""COMPUTED_VALUE"""),10696220)</f>
        <v>10696220</v>
      </c>
    </row>
    <row r="697" spans="1:6" x14ac:dyDescent="0.35">
      <c r="A697" s="2">
        <f ca="1">IFERROR(__xludf.DUMMYFUNCTION("""COMPUTED_VALUE"""),43013.6666666666)</f>
        <v>43013.666666666599</v>
      </c>
      <c r="B697" s="1">
        <f ca="1">IFERROR(__xludf.DUMMYFUNCTION("""COMPUTED_VALUE"""),4.55)</f>
        <v>4.55</v>
      </c>
      <c r="C697" s="1">
        <f ca="1">IFERROR(__xludf.DUMMYFUNCTION("""COMPUTED_VALUE"""),4.55)</f>
        <v>4.55</v>
      </c>
      <c r="D697" s="1">
        <f ca="1">IFERROR(__xludf.DUMMYFUNCTION("""COMPUTED_VALUE"""),4.49)</f>
        <v>4.49</v>
      </c>
      <c r="E697" s="1">
        <f ca="1">IFERROR(__xludf.DUMMYFUNCTION("""COMPUTED_VALUE"""),4.52)</f>
        <v>4.5199999999999996</v>
      </c>
      <c r="F697" s="1">
        <f ca="1">IFERROR(__xludf.DUMMYFUNCTION("""COMPUTED_VALUE"""),10934105)</f>
        <v>10934105</v>
      </c>
    </row>
    <row r="698" spans="1:6" x14ac:dyDescent="0.35">
      <c r="A698" s="2">
        <f ca="1">IFERROR(__xludf.DUMMYFUNCTION("""COMPUTED_VALUE"""),43014.6666666666)</f>
        <v>43014.666666666599</v>
      </c>
      <c r="B698" s="1">
        <f ca="1">IFERROR(__xludf.DUMMYFUNCTION("""COMPUTED_VALUE"""),4.49)</f>
        <v>4.49</v>
      </c>
      <c r="C698" s="1">
        <f ca="1">IFERROR(__xludf.DUMMYFUNCTION("""COMPUTED_VALUE"""),4.55)</f>
        <v>4.55</v>
      </c>
      <c r="D698" s="1">
        <f ca="1">IFERROR(__xludf.DUMMYFUNCTION("""COMPUTED_VALUE"""),4.47)</f>
        <v>4.47</v>
      </c>
      <c r="E698" s="1">
        <f ca="1">IFERROR(__xludf.DUMMYFUNCTION("""COMPUTED_VALUE"""),4.53)</f>
        <v>4.53</v>
      </c>
      <c r="F698" s="1">
        <f ca="1">IFERROR(__xludf.DUMMYFUNCTION("""COMPUTED_VALUE"""),7969957)</f>
        <v>7969957</v>
      </c>
    </row>
    <row r="699" spans="1:6" x14ac:dyDescent="0.35">
      <c r="A699" s="2">
        <f ca="1">IFERROR(__xludf.DUMMYFUNCTION("""COMPUTED_VALUE"""),43017.6666666666)</f>
        <v>43017.666666666599</v>
      </c>
      <c r="B699" s="1">
        <f ca="1">IFERROR(__xludf.DUMMYFUNCTION("""COMPUTED_VALUE"""),4.57)</f>
        <v>4.57</v>
      </c>
      <c r="C699" s="1">
        <f ca="1">IFERROR(__xludf.DUMMYFUNCTION("""COMPUTED_VALUE"""),4.67)</f>
        <v>4.67</v>
      </c>
      <c r="D699" s="1">
        <f ca="1">IFERROR(__xludf.DUMMYFUNCTION("""COMPUTED_VALUE"""),4.55)</f>
        <v>4.55</v>
      </c>
      <c r="E699" s="1">
        <f ca="1">IFERROR(__xludf.DUMMYFUNCTION("""COMPUTED_VALUE"""),4.63)</f>
        <v>4.63</v>
      </c>
      <c r="F699" s="1">
        <f ca="1">IFERROR(__xludf.DUMMYFUNCTION("""COMPUTED_VALUE"""),14087272)</f>
        <v>14087272</v>
      </c>
    </row>
    <row r="700" spans="1:6" x14ac:dyDescent="0.35">
      <c r="A700" s="2">
        <f ca="1">IFERROR(__xludf.DUMMYFUNCTION("""COMPUTED_VALUE"""),43018.6666666666)</f>
        <v>43018.666666666599</v>
      </c>
      <c r="B700" s="1">
        <f ca="1">IFERROR(__xludf.DUMMYFUNCTION("""COMPUTED_VALUE"""),4.79)</f>
        <v>4.79</v>
      </c>
      <c r="C700" s="1">
        <f ca="1">IFERROR(__xludf.DUMMYFUNCTION("""COMPUTED_VALUE"""),4.82)</f>
        <v>4.82</v>
      </c>
      <c r="D700" s="1">
        <f ca="1">IFERROR(__xludf.DUMMYFUNCTION("""COMPUTED_VALUE"""),4.68)</f>
        <v>4.68</v>
      </c>
      <c r="E700" s="1">
        <f ca="1">IFERROR(__xludf.DUMMYFUNCTION("""COMPUTED_VALUE"""),4.72)</f>
        <v>4.72</v>
      </c>
      <c r="F700" s="1">
        <f ca="1">IFERROR(__xludf.DUMMYFUNCTION("""COMPUTED_VALUE"""),24371902)</f>
        <v>24371902</v>
      </c>
    </row>
    <row r="701" spans="1:6" x14ac:dyDescent="0.35">
      <c r="A701" s="2">
        <f ca="1">IFERROR(__xludf.DUMMYFUNCTION("""COMPUTED_VALUE"""),43019.6666666666)</f>
        <v>43019.666666666599</v>
      </c>
      <c r="B701" s="1">
        <f ca="1">IFERROR(__xludf.DUMMYFUNCTION("""COMPUTED_VALUE"""),4.74)</f>
        <v>4.74</v>
      </c>
      <c r="C701" s="1">
        <f ca="1">IFERROR(__xludf.DUMMYFUNCTION("""COMPUTED_VALUE"""),4.78)</f>
        <v>4.78</v>
      </c>
      <c r="D701" s="1">
        <f ca="1">IFERROR(__xludf.DUMMYFUNCTION("""COMPUTED_VALUE"""),4.69)</f>
        <v>4.6900000000000004</v>
      </c>
      <c r="E701" s="1">
        <f ca="1">IFERROR(__xludf.DUMMYFUNCTION("""COMPUTED_VALUE"""),4.77)</f>
        <v>4.7699999999999996</v>
      </c>
      <c r="F701" s="1">
        <f ca="1">IFERROR(__xludf.DUMMYFUNCTION("""COMPUTED_VALUE"""),13237734)</f>
        <v>13237734</v>
      </c>
    </row>
    <row r="702" spans="1:6" x14ac:dyDescent="0.35">
      <c r="A702" s="2">
        <f ca="1">IFERROR(__xludf.DUMMYFUNCTION("""COMPUTED_VALUE"""),43020.6666666666)</f>
        <v>43020.666666666599</v>
      </c>
      <c r="B702" s="1">
        <f ca="1">IFERROR(__xludf.DUMMYFUNCTION("""COMPUTED_VALUE"""),4.78)</f>
        <v>4.78</v>
      </c>
      <c r="C702" s="1">
        <f ca="1">IFERROR(__xludf.DUMMYFUNCTION("""COMPUTED_VALUE"""),4.83)</f>
        <v>4.83</v>
      </c>
      <c r="D702" s="1">
        <f ca="1">IFERROR(__xludf.DUMMYFUNCTION("""COMPUTED_VALUE"""),4.75)</f>
        <v>4.75</v>
      </c>
      <c r="E702" s="1">
        <f ca="1">IFERROR(__xludf.DUMMYFUNCTION("""COMPUTED_VALUE"""),4.78)</f>
        <v>4.78</v>
      </c>
      <c r="F702" s="1">
        <f ca="1">IFERROR(__xludf.DUMMYFUNCTION("""COMPUTED_VALUE"""),13207315)</f>
        <v>13207315</v>
      </c>
    </row>
    <row r="703" spans="1:6" x14ac:dyDescent="0.35">
      <c r="A703" s="2">
        <f ca="1">IFERROR(__xludf.DUMMYFUNCTION("""COMPUTED_VALUE"""),43021.6666666666)</f>
        <v>43021.666666666599</v>
      </c>
      <c r="B703" s="1">
        <f ca="1">IFERROR(__xludf.DUMMYFUNCTION("""COMPUTED_VALUE"""),4.84)</f>
        <v>4.84</v>
      </c>
      <c r="C703" s="1">
        <f ca="1">IFERROR(__xludf.DUMMYFUNCTION("""COMPUTED_VALUE"""),4.88)</f>
        <v>4.88</v>
      </c>
      <c r="D703" s="1">
        <f ca="1">IFERROR(__xludf.DUMMYFUNCTION("""COMPUTED_VALUE"""),4.79)</f>
        <v>4.79</v>
      </c>
      <c r="E703" s="1">
        <f ca="1">IFERROR(__xludf.DUMMYFUNCTION("""COMPUTED_VALUE"""),4.86)</f>
        <v>4.8600000000000003</v>
      </c>
      <c r="F703" s="1">
        <f ca="1">IFERROR(__xludf.DUMMYFUNCTION("""COMPUTED_VALUE"""),15718233)</f>
        <v>15718233</v>
      </c>
    </row>
    <row r="704" spans="1:6" x14ac:dyDescent="0.35">
      <c r="A704" s="2">
        <f ca="1">IFERROR(__xludf.DUMMYFUNCTION("""COMPUTED_VALUE"""),43024.6666666666)</f>
        <v>43024.666666666599</v>
      </c>
      <c r="B704" s="1">
        <f ca="1">IFERROR(__xludf.DUMMYFUNCTION("""COMPUTED_VALUE"""),4.89)</f>
        <v>4.8899999999999997</v>
      </c>
      <c r="C704" s="1">
        <f ca="1">IFERROR(__xludf.DUMMYFUNCTION("""COMPUTED_VALUE"""),4.95)</f>
        <v>4.95</v>
      </c>
      <c r="D704" s="1">
        <f ca="1">IFERROR(__xludf.DUMMYFUNCTION("""COMPUTED_VALUE"""),4.83)</f>
        <v>4.83</v>
      </c>
      <c r="E704" s="1">
        <f ca="1">IFERROR(__xludf.DUMMYFUNCTION("""COMPUTED_VALUE"""),4.95)</f>
        <v>4.95</v>
      </c>
      <c r="F704" s="1">
        <f ca="1">IFERROR(__xludf.DUMMYFUNCTION("""COMPUTED_VALUE"""),14415958)</f>
        <v>14415958</v>
      </c>
    </row>
    <row r="705" spans="1:6" x14ac:dyDescent="0.35">
      <c r="A705" s="2">
        <f ca="1">IFERROR(__xludf.DUMMYFUNCTION("""COMPUTED_VALUE"""),43025.6666666666)</f>
        <v>43025.666666666599</v>
      </c>
      <c r="B705" s="1">
        <f ca="1">IFERROR(__xludf.DUMMYFUNCTION("""COMPUTED_VALUE"""),4.93)</f>
        <v>4.93</v>
      </c>
      <c r="C705" s="1">
        <f ca="1">IFERROR(__xludf.DUMMYFUNCTION("""COMPUTED_VALUE"""),4.97)</f>
        <v>4.97</v>
      </c>
      <c r="D705" s="1">
        <f ca="1">IFERROR(__xludf.DUMMYFUNCTION("""COMPUTED_VALUE"""),4.91)</f>
        <v>4.91</v>
      </c>
      <c r="E705" s="1">
        <f ca="1">IFERROR(__xludf.DUMMYFUNCTION("""COMPUTED_VALUE"""),4.94)</f>
        <v>4.9400000000000004</v>
      </c>
      <c r="F705" s="1">
        <f ca="1">IFERROR(__xludf.DUMMYFUNCTION("""COMPUTED_VALUE"""),11964867)</f>
        <v>11964867</v>
      </c>
    </row>
    <row r="706" spans="1:6" x14ac:dyDescent="0.35">
      <c r="A706" s="2">
        <f ca="1">IFERROR(__xludf.DUMMYFUNCTION("""COMPUTED_VALUE"""),43026.6666666666)</f>
        <v>43026.666666666599</v>
      </c>
      <c r="B706" s="1">
        <f ca="1">IFERROR(__xludf.DUMMYFUNCTION("""COMPUTED_VALUE"""),4.95)</f>
        <v>4.95</v>
      </c>
      <c r="C706" s="1">
        <f ca="1">IFERROR(__xludf.DUMMYFUNCTION("""COMPUTED_VALUE"""),4.95)</f>
        <v>4.95</v>
      </c>
      <c r="D706" s="1">
        <f ca="1">IFERROR(__xludf.DUMMYFUNCTION("""COMPUTED_VALUE"""),4.83)</f>
        <v>4.83</v>
      </c>
      <c r="E706" s="1">
        <f ca="1">IFERROR(__xludf.DUMMYFUNCTION("""COMPUTED_VALUE"""),4.94)</f>
        <v>4.9400000000000004</v>
      </c>
      <c r="F706" s="1">
        <f ca="1">IFERROR(__xludf.DUMMYFUNCTION("""COMPUTED_VALUE"""),14182907)</f>
        <v>14182907</v>
      </c>
    </row>
    <row r="707" spans="1:6" x14ac:dyDescent="0.35">
      <c r="A707" s="2">
        <f ca="1">IFERROR(__xludf.DUMMYFUNCTION("""COMPUTED_VALUE"""),43027.6666666666)</f>
        <v>43027.666666666599</v>
      </c>
      <c r="B707" s="1">
        <f ca="1">IFERROR(__xludf.DUMMYFUNCTION("""COMPUTED_VALUE"""),4.86)</f>
        <v>4.8600000000000003</v>
      </c>
      <c r="C707" s="1">
        <f ca="1">IFERROR(__xludf.DUMMYFUNCTION("""COMPUTED_VALUE"""),4.95)</f>
        <v>4.95</v>
      </c>
      <c r="D707" s="1">
        <f ca="1">IFERROR(__xludf.DUMMYFUNCTION("""COMPUTED_VALUE"""),4.81)</f>
        <v>4.8099999999999996</v>
      </c>
      <c r="E707" s="1">
        <f ca="1">IFERROR(__xludf.DUMMYFUNCTION("""COMPUTED_VALUE"""),4.95)</f>
        <v>4.95</v>
      </c>
      <c r="F707" s="1">
        <f ca="1">IFERROR(__xludf.DUMMYFUNCTION("""COMPUTED_VALUE"""),14269253)</f>
        <v>14269253</v>
      </c>
    </row>
    <row r="708" spans="1:6" x14ac:dyDescent="0.35">
      <c r="A708" s="2">
        <f ca="1">IFERROR(__xludf.DUMMYFUNCTION("""COMPUTED_VALUE"""),43028.6666666666)</f>
        <v>43028.666666666599</v>
      </c>
      <c r="B708" s="1">
        <f ca="1">IFERROR(__xludf.DUMMYFUNCTION("""COMPUTED_VALUE"""),4.96)</f>
        <v>4.96</v>
      </c>
      <c r="C708" s="1">
        <f ca="1">IFERROR(__xludf.DUMMYFUNCTION("""COMPUTED_VALUE"""),4.99)</f>
        <v>4.99</v>
      </c>
      <c r="D708" s="1">
        <f ca="1">IFERROR(__xludf.DUMMYFUNCTION("""COMPUTED_VALUE"""),4.91)</f>
        <v>4.91</v>
      </c>
      <c r="E708" s="1">
        <f ca="1">IFERROR(__xludf.DUMMYFUNCTION("""COMPUTED_VALUE"""),4.92)</f>
        <v>4.92</v>
      </c>
      <c r="F708" s="1">
        <f ca="1">IFERROR(__xludf.DUMMYFUNCTION("""COMPUTED_VALUE"""),11290462)</f>
        <v>11290462</v>
      </c>
    </row>
    <row r="709" spans="1:6" x14ac:dyDescent="0.35">
      <c r="A709" s="2">
        <f ca="1">IFERROR(__xludf.DUMMYFUNCTION("""COMPUTED_VALUE"""),43031.6666666666)</f>
        <v>43031.666666666599</v>
      </c>
      <c r="B709" s="1">
        <f ca="1">IFERROR(__xludf.DUMMYFUNCTION("""COMPUTED_VALUE"""),4.94)</f>
        <v>4.9400000000000004</v>
      </c>
      <c r="C709" s="1">
        <f ca="1">IFERROR(__xludf.DUMMYFUNCTION("""COMPUTED_VALUE"""),4.97)</f>
        <v>4.97</v>
      </c>
      <c r="D709" s="1">
        <f ca="1">IFERROR(__xludf.DUMMYFUNCTION("""COMPUTED_VALUE"""),4.89)</f>
        <v>4.8899999999999997</v>
      </c>
      <c r="E709" s="1">
        <f ca="1">IFERROR(__xludf.DUMMYFUNCTION("""COMPUTED_VALUE"""),4.92)</f>
        <v>4.92</v>
      </c>
      <c r="F709" s="1">
        <f ca="1">IFERROR(__xludf.DUMMYFUNCTION("""COMPUTED_VALUE"""),10717376)</f>
        <v>10717376</v>
      </c>
    </row>
    <row r="710" spans="1:6" x14ac:dyDescent="0.35">
      <c r="A710" s="2">
        <f ca="1">IFERROR(__xludf.DUMMYFUNCTION("""COMPUTED_VALUE"""),43032.6666666666)</f>
        <v>43032.666666666599</v>
      </c>
      <c r="B710" s="1">
        <f ca="1">IFERROR(__xludf.DUMMYFUNCTION("""COMPUTED_VALUE"""),4.92)</f>
        <v>4.92</v>
      </c>
      <c r="C710" s="1">
        <f ca="1">IFERROR(__xludf.DUMMYFUNCTION("""COMPUTED_VALUE"""),4.97)</f>
        <v>4.97</v>
      </c>
      <c r="D710" s="1">
        <f ca="1">IFERROR(__xludf.DUMMYFUNCTION("""COMPUTED_VALUE"""),4.9)</f>
        <v>4.9000000000000004</v>
      </c>
      <c r="E710" s="1">
        <f ca="1">IFERROR(__xludf.DUMMYFUNCTION("""COMPUTED_VALUE"""),4.97)</f>
        <v>4.97</v>
      </c>
      <c r="F710" s="1">
        <f ca="1">IFERROR(__xludf.DUMMYFUNCTION("""COMPUTED_VALUE"""),10181132)</f>
        <v>10181132</v>
      </c>
    </row>
    <row r="711" spans="1:6" x14ac:dyDescent="0.35">
      <c r="A711" s="2">
        <f ca="1">IFERROR(__xludf.DUMMYFUNCTION("""COMPUTED_VALUE"""),43033.6666666666)</f>
        <v>43033.666666666599</v>
      </c>
      <c r="B711" s="1">
        <f ca="1">IFERROR(__xludf.DUMMYFUNCTION("""COMPUTED_VALUE"""),4.93)</f>
        <v>4.93</v>
      </c>
      <c r="C711" s="1">
        <f ca="1">IFERROR(__xludf.DUMMYFUNCTION("""COMPUTED_VALUE"""),4.98)</f>
        <v>4.9800000000000004</v>
      </c>
      <c r="D711" s="1">
        <f ca="1">IFERROR(__xludf.DUMMYFUNCTION("""COMPUTED_VALUE"""),4.78)</f>
        <v>4.78</v>
      </c>
      <c r="E711" s="1">
        <f ca="1">IFERROR(__xludf.DUMMYFUNCTION("""COMPUTED_VALUE"""),4.84)</f>
        <v>4.84</v>
      </c>
      <c r="F711" s="1">
        <f ca="1">IFERROR(__xludf.DUMMYFUNCTION("""COMPUTED_VALUE"""),20704030)</f>
        <v>20704030</v>
      </c>
    </row>
    <row r="712" spans="1:6" x14ac:dyDescent="0.35">
      <c r="A712" s="2">
        <f ca="1">IFERROR(__xludf.DUMMYFUNCTION("""COMPUTED_VALUE"""),43034.6666666666)</f>
        <v>43034.666666666599</v>
      </c>
      <c r="B712" s="1">
        <f ca="1">IFERROR(__xludf.DUMMYFUNCTION("""COMPUTED_VALUE"""),4.87)</f>
        <v>4.87</v>
      </c>
      <c r="C712" s="1">
        <f ca="1">IFERROR(__xludf.DUMMYFUNCTION("""COMPUTED_VALUE"""),4.9)</f>
        <v>4.9000000000000004</v>
      </c>
      <c r="D712" s="1">
        <f ca="1">IFERROR(__xludf.DUMMYFUNCTION("""COMPUTED_VALUE"""),4.85)</f>
        <v>4.8499999999999996</v>
      </c>
      <c r="E712" s="1">
        <f ca="1">IFERROR(__xludf.DUMMYFUNCTION("""COMPUTED_VALUE"""),4.89)</f>
        <v>4.8899999999999997</v>
      </c>
      <c r="F712" s="1">
        <f ca="1">IFERROR(__xludf.DUMMYFUNCTION("""COMPUTED_VALUE"""),8068563)</f>
        <v>8068563</v>
      </c>
    </row>
    <row r="713" spans="1:6" x14ac:dyDescent="0.35">
      <c r="A713" s="2">
        <f ca="1">IFERROR(__xludf.DUMMYFUNCTION("""COMPUTED_VALUE"""),43035.6666666666)</f>
        <v>43035.666666666599</v>
      </c>
      <c r="B713" s="1">
        <f ca="1">IFERROR(__xludf.DUMMYFUNCTION("""COMPUTED_VALUE"""),4.95)</f>
        <v>4.95</v>
      </c>
      <c r="C713" s="1">
        <f ca="1">IFERROR(__xludf.DUMMYFUNCTION("""COMPUTED_VALUE"""),5.05)</f>
        <v>5.05</v>
      </c>
      <c r="D713" s="1">
        <f ca="1">IFERROR(__xludf.DUMMYFUNCTION("""COMPUTED_VALUE"""),4.92)</f>
        <v>4.92</v>
      </c>
      <c r="E713" s="1">
        <f ca="1">IFERROR(__xludf.DUMMYFUNCTION("""COMPUTED_VALUE"""),5.05)</f>
        <v>5.05</v>
      </c>
      <c r="F713" s="1">
        <f ca="1">IFERROR(__xludf.DUMMYFUNCTION("""COMPUTED_VALUE"""),14304835)</f>
        <v>14304835</v>
      </c>
    </row>
    <row r="714" spans="1:6" x14ac:dyDescent="0.35">
      <c r="A714" s="2">
        <f ca="1">IFERROR(__xludf.DUMMYFUNCTION("""COMPUTED_VALUE"""),43038.6666666666)</f>
        <v>43038.666666666599</v>
      </c>
      <c r="B714" s="1">
        <f ca="1">IFERROR(__xludf.DUMMYFUNCTION("""COMPUTED_VALUE"""),5.05)</f>
        <v>5.05</v>
      </c>
      <c r="C714" s="1">
        <f ca="1">IFERROR(__xludf.DUMMYFUNCTION("""COMPUTED_VALUE"""),5.15)</f>
        <v>5.15</v>
      </c>
      <c r="D714" s="1">
        <f ca="1">IFERROR(__xludf.DUMMYFUNCTION("""COMPUTED_VALUE"""),5.03)</f>
        <v>5.03</v>
      </c>
      <c r="E714" s="1">
        <f ca="1">IFERROR(__xludf.DUMMYFUNCTION("""COMPUTED_VALUE"""),5.1)</f>
        <v>5.0999999999999996</v>
      </c>
      <c r="F714" s="1">
        <f ca="1">IFERROR(__xludf.DUMMYFUNCTION("""COMPUTED_VALUE"""),12601417)</f>
        <v>12601417</v>
      </c>
    </row>
    <row r="715" spans="1:6" x14ac:dyDescent="0.35">
      <c r="A715" s="2">
        <f ca="1">IFERROR(__xludf.DUMMYFUNCTION("""COMPUTED_VALUE"""),43039.6666666666)</f>
        <v>43039.666666666599</v>
      </c>
      <c r="B715" s="1">
        <f ca="1">IFERROR(__xludf.DUMMYFUNCTION("""COMPUTED_VALUE"""),5.13)</f>
        <v>5.13</v>
      </c>
      <c r="C715" s="1">
        <f ca="1">IFERROR(__xludf.DUMMYFUNCTION("""COMPUTED_VALUE"""),5.2)</f>
        <v>5.2</v>
      </c>
      <c r="D715" s="1">
        <f ca="1">IFERROR(__xludf.DUMMYFUNCTION("""COMPUTED_VALUE"""),5.12)</f>
        <v>5.12</v>
      </c>
      <c r="E715" s="1">
        <f ca="1">IFERROR(__xludf.DUMMYFUNCTION("""COMPUTED_VALUE"""),5.17)</f>
        <v>5.17</v>
      </c>
      <c r="F715" s="1">
        <f ca="1">IFERROR(__xludf.DUMMYFUNCTION("""COMPUTED_VALUE"""),10297707)</f>
        <v>10297707</v>
      </c>
    </row>
    <row r="716" spans="1:6" x14ac:dyDescent="0.35">
      <c r="A716" s="2">
        <f ca="1">IFERROR(__xludf.DUMMYFUNCTION("""COMPUTED_VALUE"""),43040.6666666666)</f>
        <v>43040.666666666599</v>
      </c>
      <c r="B716" s="1">
        <f ca="1">IFERROR(__xludf.DUMMYFUNCTION("""COMPUTED_VALUE"""),5.23)</f>
        <v>5.23</v>
      </c>
      <c r="C716" s="1">
        <f ca="1">IFERROR(__xludf.DUMMYFUNCTION("""COMPUTED_VALUE"""),5.25)</f>
        <v>5.25</v>
      </c>
      <c r="D716" s="1">
        <f ca="1">IFERROR(__xludf.DUMMYFUNCTION("""COMPUTED_VALUE"""),5.12)</f>
        <v>5.12</v>
      </c>
      <c r="E716" s="1">
        <f ca="1">IFERROR(__xludf.DUMMYFUNCTION("""COMPUTED_VALUE"""),5.18)</f>
        <v>5.18</v>
      </c>
      <c r="F716" s="1">
        <f ca="1">IFERROR(__xludf.DUMMYFUNCTION("""COMPUTED_VALUE"""),12564446)</f>
        <v>12564446</v>
      </c>
    </row>
    <row r="717" spans="1:6" x14ac:dyDescent="0.35">
      <c r="A717" s="2">
        <f ca="1">IFERROR(__xludf.DUMMYFUNCTION("""COMPUTED_VALUE"""),43041.6666666666)</f>
        <v>43041.666666666599</v>
      </c>
      <c r="B717" s="1">
        <f ca="1">IFERROR(__xludf.DUMMYFUNCTION("""COMPUTED_VALUE"""),5.15)</f>
        <v>5.15</v>
      </c>
      <c r="C717" s="1">
        <f ca="1">IFERROR(__xludf.DUMMYFUNCTION("""COMPUTED_VALUE"""),5.2)</f>
        <v>5.2</v>
      </c>
      <c r="D717" s="1">
        <f ca="1">IFERROR(__xludf.DUMMYFUNCTION("""COMPUTED_VALUE"""),5.09)</f>
        <v>5.09</v>
      </c>
      <c r="E717" s="1">
        <f ca="1">IFERROR(__xludf.DUMMYFUNCTION("""COMPUTED_VALUE"""),5.15)</f>
        <v>5.15</v>
      </c>
      <c r="F717" s="1">
        <f ca="1">IFERROR(__xludf.DUMMYFUNCTION("""COMPUTED_VALUE"""),8557738)</f>
        <v>8557738</v>
      </c>
    </row>
    <row r="718" spans="1:6" x14ac:dyDescent="0.35">
      <c r="A718" s="2">
        <f ca="1">IFERROR(__xludf.DUMMYFUNCTION("""COMPUTED_VALUE"""),43042.6666666666)</f>
        <v>43042.666666666599</v>
      </c>
      <c r="B718" s="1">
        <f ca="1">IFERROR(__xludf.DUMMYFUNCTION("""COMPUTED_VALUE"""),5.18)</f>
        <v>5.18</v>
      </c>
      <c r="C718" s="1">
        <f ca="1">IFERROR(__xludf.DUMMYFUNCTION("""COMPUTED_VALUE"""),5.22)</f>
        <v>5.22</v>
      </c>
      <c r="D718" s="1">
        <f ca="1">IFERROR(__xludf.DUMMYFUNCTION("""COMPUTED_VALUE"""),5.13)</f>
        <v>5.13</v>
      </c>
      <c r="E718" s="1">
        <f ca="1">IFERROR(__xludf.DUMMYFUNCTION("""COMPUTED_VALUE"""),5.22)</f>
        <v>5.22</v>
      </c>
      <c r="F718" s="1">
        <f ca="1">IFERROR(__xludf.DUMMYFUNCTION("""COMPUTED_VALUE"""),8841024)</f>
        <v>8841024</v>
      </c>
    </row>
    <row r="719" spans="1:6" x14ac:dyDescent="0.35">
      <c r="A719" s="2">
        <f ca="1">IFERROR(__xludf.DUMMYFUNCTION("""COMPUTED_VALUE"""),43045.6666666666)</f>
        <v>43045.666666666599</v>
      </c>
      <c r="B719" s="1">
        <f ca="1">IFERROR(__xludf.DUMMYFUNCTION("""COMPUTED_VALUE"""),5.18)</f>
        <v>5.18</v>
      </c>
      <c r="C719" s="1">
        <f ca="1">IFERROR(__xludf.DUMMYFUNCTION("""COMPUTED_VALUE"""),5.25)</f>
        <v>5.25</v>
      </c>
      <c r="D719" s="1">
        <f ca="1">IFERROR(__xludf.DUMMYFUNCTION("""COMPUTED_VALUE"""),5.17)</f>
        <v>5.17</v>
      </c>
      <c r="E719" s="1">
        <f ca="1">IFERROR(__xludf.DUMMYFUNCTION("""COMPUTED_VALUE"""),5.24)</f>
        <v>5.24</v>
      </c>
      <c r="F719" s="1">
        <f ca="1">IFERROR(__xludf.DUMMYFUNCTION("""COMPUTED_VALUE"""),9748616)</f>
        <v>9748616</v>
      </c>
    </row>
    <row r="720" spans="1:6" x14ac:dyDescent="0.35">
      <c r="A720" s="2">
        <f ca="1">IFERROR(__xludf.DUMMYFUNCTION("""COMPUTED_VALUE"""),43046.6666666666)</f>
        <v>43046.666666666599</v>
      </c>
      <c r="B720" s="1">
        <f ca="1">IFERROR(__xludf.DUMMYFUNCTION("""COMPUTED_VALUE"""),5.26)</f>
        <v>5.26</v>
      </c>
      <c r="C720" s="1">
        <f ca="1">IFERROR(__xludf.DUMMYFUNCTION("""COMPUTED_VALUE"""),5.32)</f>
        <v>5.32</v>
      </c>
      <c r="D720" s="1">
        <f ca="1">IFERROR(__xludf.DUMMYFUNCTION("""COMPUTED_VALUE"""),5.25)</f>
        <v>5.25</v>
      </c>
      <c r="E720" s="1">
        <f ca="1">IFERROR(__xludf.DUMMYFUNCTION("""COMPUTED_VALUE"""),5.3)</f>
        <v>5.3</v>
      </c>
      <c r="F720" s="1">
        <f ca="1">IFERROR(__xludf.DUMMYFUNCTION("""COMPUTED_VALUE"""),10692542)</f>
        <v>10692542</v>
      </c>
    </row>
    <row r="721" spans="1:6" x14ac:dyDescent="0.35">
      <c r="A721" s="2">
        <f ca="1">IFERROR(__xludf.DUMMYFUNCTION("""COMPUTED_VALUE"""),43047.6666666666)</f>
        <v>43047.666666666599</v>
      </c>
      <c r="B721" s="1">
        <f ca="1">IFERROR(__xludf.DUMMYFUNCTION("""COMPUTED_VALUE"""),5.3)</f>
        <v>5.3</v>
      </c>
      <c r="C721" s="1">
        <f ca="1">IFERROR(__xludf.DUMMYFUNCTION("""COMPUTED_VALUE"""),5.3)</f>
        <v>5.3</v>
      </c>
      <c r="D721" s="1">
        <f ca="1">IFERROR(__xludf.DUMMYFUNCTION("""COMPUTED_VALUE"""),5.18)</f>
        <v>5.18</v>
      </c>
      <c r="E721" s="1">
        <f ca="1">IFERROR(__xludf.DUMMYFUNCTION("""COMPUTED_VALUE"""),5.23)</f>
        <v>5.23</v>
      </c>
      <c r="F721" s="1">
        <f ca="1">IFERROR(__xludf.DUMMYFUNCTION("""COMPUTED_VALUE"""),13074705)</f>
        <v>13074705</v>
      </c>
    </row>
    <row r="722" spans="1:6" x14ac:dyDescent="0.35">
      <c r="A722" s="2">
        <f ca="1">IFERROR(__xludf.DUMMYFUNCTION("""COMPUTED_VALUE"""),43048.6666666666)</f>
        <v>43048.666666666599</v>
      </c>
      <c r="B722" s="1">
        <f ca="1">IFERROR(__xludf.DUMMYFUNCTION("""COMPUTED_VALUE"""),5.13)</f>
        <v>5.13</v>
      </c>
      <c r="C722" s="1">
        <f ca="1">IFERROR(__xludf.DUMMYFUNCTION("""COMPUTED_VALUE"""),5.16)</f>
        <v>5.16</v>
      </c>
      <c r="D722" s="1">
        <f ca="1">IFERROR(__xludf.DUMMYFUNCTION("""COMPUTED_VALUE"""),5.01)</f>
        <v>5.01</v>
      </c>
      <c r="E722" s="1">
        <f ca="1">IFERROR(__xludf.DUMMYFUNCTION("""COMPUTED_VALUE"""),5.13)</f>
        <v>5.13</v>
      </c>
      <c r="F722" s="1">
        <f ca="1">IFERROR(__xludf.DUMMYFUNCTION("""COMPUTED_VALUE"""),24464067)</f>
        <v>24464067</v>
      </c>
    </row>
    <row r="723" spans="1:6" x14ac:dyDescent="0.35">
      <c r="A723" s="2">
        <f ca="1">IFERROR(__xludf.DUMMYFUNCTION("""COMPUTED_VALUE"""),43049.6666666666)</f>
        <v>43049.666666666599</v>
      </c>
      <c r="B723" s="1">
        <f ca="1">IFERROR(__xludf.DUMMYFUNCTION("""COMPUTED_VALUE"""),5.33)</f>
        <v>5.33</v>
      </c>
      <c r="C723" s="1">
        <f ca="1">IFERROR(__xludf.DUMMYFUNCTION("""COMPUTED_VALUE"""),5.47)</f>
        <v>5.47</v>
      </c>
      <c r="D723" s="1">
        <f ca="1">IFERROR(__xludf.DUMMYFUNCTION("""COMPUTED_VALUE"""),5.29)</f>
        <v>5.29</v>
      </c>
      <c r="E723" s="1">
        <f ca="1">IFERROR(__xludf.DUMMYFUNCTION("""COMPUTED_VALUE"""),5.4)</f>
        <v>5.4</v>
      </c>
      <c r="F723" s="1">
        <f ca="1">IFERROR(__xludf.DUMMYFUNCTION("""COMPUTED_VALUE"""),31331374)</f>
        <v>31331374</v>
      </c>
    </row>
    <row r="724" spans="1:6" x14ac:dyDescent="0.35">
      <c r="A724" s="2">
        <f ca="1">IFERROR(__xludf.DUMMYFUNCTION("""COMPUTED_VALUE"""),43052.6666666666)</f>
        <v>43052.666666666599</v>
      </c>
      <c r="B724" s="1">
        <f ca="1">IFERROR(__xludf.DUMMYFUNCTION("""COMPUTED_VALUE"""),5.4)</f>
        <v>5.4</v>
      </c>
      <c r="C724" s="1">
        <f ca="1">IFERROR(__xludf.DUMMYFUNCTION("""COMPUTED_VALUE"""),5.43)</f>
        <v>5.43</v>
      </c>
      <c r="D724" s="1">
        <f ca="1">IFERROR(__xludf.DUMMYFUNCTION("""COMPUTED_VALUE"""),5.3)</f>
        <v>5.3</v>
      </c>
      <c r="E724" s="1">
        <f ca="1">IFERROR(__xludf.DUMMYFUNCTION("""COMPUTED_VALUE"""),5.32)</f>
        <v>5.32</v>
      </c>
      <c r="F724" s="1">
        <f ca="1">IFERROR(__xludf.DUMMYFUNCTION("""COMPUTED_VALUE"""),14559413)</f>
        <v>14559413</v>
      </c>
    </row>
    <row r="725" spans="1:6" x14ac:dyDescent="0.35">
      <c r="A725" s="2">
        <f ca="1">IFERROR(__xludf.DUMMYFUNCTION("""COMPUTED_VALUE"""),43053.6666666666)</f>
        <v>43053.666666666599</v>
      </c>
      <c r="B725" s="1">
        <f ca="1">IFERROR(__xludf.DUMMYFUNCTION("""COMPUTED_VALUE"""),5.33)</f>
        <v>5.33</v>
      </c>
      <c r="C725" s="1">
        <f ca="1">IFERROR(__xludf.DUMMYFUNCTION("""COMPUTED_VALUE"""),5.37)</f>
        <v>5.37</v>
      </c>
      <c r="D725" s="1">
        <f ca="1">IFERROR(__xludf.DUMMYFUNCTION("""COMPUTED_VALUE"""),5.28)</f>
        <v>5.28</v>
      </c>
      <c r="E725" s="1">
        <f ca="1">IFERROR(__xludf.DUMMYFUNCTION("""COMPUTED_VALUE"""),5.35)</f>
        <v>5.35</v>
      </c>
      <c r="F725" s="1">
        <f ca="1">IFERROR(__xludf.DUMMYFUNCTION("""COMPUTED_VALUE"""),13232319)</f>
        <v>13232319</v>
      </c>
    </row>
    <row r="726" spans="1:6" x14ac:dyDescent="0.35">
      <c r="A726" s="2">
        <f ca="1">IFERROR(__xludf.DUMMYFUNCTION("""COMPUTED_VALUE"""),43054.6666666666)</f>
        <v>43054.666666666599</v>
      </c>
      <c r="B726" s="1">
        <f ca="1">IFERROR(__xludf.DUMMYFUNCTION("""COMPUTED_VALUE"""),5.3)</f>
        <v>5.3</v>
      </c>
      <c r="C726" s="1">
        <f ca="1">IFERROR(__xludf.DUMMYFUNCTION("""COMPUTED_VALUE"""),5.3)</f>
        <v>5.3</v>
      </c>
      <c r="D726" s="1">
        <f ca="1">IFERROR(__xludf.DUMMYFUNCTION("""COMPUTED_VALUE"""),5.2)</f>
        <v>5.2</v>
      </c>
      <c r="E726" s="1">
        <f ca="1">IFERROR(__xludf.DUMMYFUNCTION("""COMPUTED_VALUE"""),5.25)</f>
        <v>5.25</v>
      </c>
      <c r="F726" s="1">
        <f ca="1">IFERROR(__xludf.DUMMYFUNCTION("""COMPUTED_VALUE"""),12548731)</f>
        <v>12548731</v>
      </c>
    </row>
    <row r="727" spans="1:6" x14ac:dyDescent="0.35">
      <c r="A727" s="2">
        <f ca="1">IFERROR(__xludf.DUMMYFUNCTION("""COMPUTED_VALUE"""),43055.6666666666)</f>
        <v>43055.666666666599</v>
      </c>
      <c r="B727" s="1">
        <f ca="1">IFERROR(__xludf.DUMMYFUNCTION("""COMPUTED_VALUE"""),5.32)</f>
        <v>5.32</v>
      </c>
      <c r="C727" s="1">
        <f ca="1">IFERROR(__xludf.DUMMYFUNCTION("""COMPUTED_VALUE"""),5.36)</f>
        <v>5.36</v>
      </c>
      <c r="D727" s="1">
        <f ca="1">IFERROR(__xludf.DUMMYFUNCTION("""COMPUTED_VALUE"""),5.28)</f>
        <v>5.28</v>
      </c>
      <c r="E727" s="1">
        <f ca="1">IFERROR(__xludf.DUMMYFUNCTION("""COMPUTED_VALUE"""),5.29)</f>
        <v>5.29</v>
      </c>
      <c r="F727" s="1">
        <f ca="1">IFERROR(__xludf.DUMMYFUNCTION("""COMPUTED_VALUE"""),11044183)</f>
        <v>11044183</v>
      </c>
    </row>
    <row r="728" spans="1:6" x14ac:dyDescent="0.35">
      <c r="A728" s="2">
        <f ca="1">IFERROR(__xludf.DUMMYFUNCTION("""COMPUTED_VALUE"""),43056.6666666666)</f>
        <v>43056.666666666599</v>
      </c>
      <c r="B728" s="1">
        <f ca="1">IFERROR(__xludf.DUMMYFUNCTION("""COMPUTED_VALUE"""),5.35)</f>
        <v>5.35</v>
      </c>
      <c r="C728" s="1">
        <f ca="1">IFERROR(__xludf.DUMMYFUNCTION("""COMPUTED_VALUE"""),5.38)</f>
        <v>5.38</v>
      </c>
      <c r="D728" s="1">
        <f ca="1">IFERROR(__xludf.DUMMYFUNCTION("""COMPUTED_VALUE"""),5.27)</f>
        <v>5.27</v>
      </c>
      <c r="E728" s="1">
        <f ca="1">IFERROR(__xludf.DUMMYFUNCTION("""COMPUTED_VALUE"""),5.28)</f>
        <v>5.28</v>
      </c>
      <c r="F728" s="1">
        <f ca="1">IFERROR(__xludf.DUMMYFUNCTION("""COMPUTED_VALUE"""),12891568)</f>
        <v>12891568</v>
      </c>
    </row>
    <row r="729" spans="1:6" x14ac:dyDescent="0.35">
      <c r="A729" s="2">
        <f ca="1">IFERROR(__xludf.DUMMYFUNCTION("""COMPUTED_VALUE"""),43059.6666666666)</f>
        <v>43059.666666666599</v>
      </c>
      <c r="B729" s="1">
        <f ca="1">IFERROR(__xludf.DUMMYFUNCTION("""COMPUTED_VALUE"""),5.3)</f>
        <v>5.3</v>
      </c>
      <c r="C729" s="1">
        <f ca="1">IFERROR(__xludf.DUMMYFUNCTION("""COMPUTED_VALUE"""),5.36)</f>
        <v>5.36</v>
      </c>
      <c r="D729" s="1">
        <f ca="1">IFERROR(__xludf.DUMMYFUNCTION("""COMPUTED_VALUE"""),5.26)</f>
        <v>5.26</v>
      </c>
      <c r="E729" s="1">
        <f ca="1">IFERROR(__xludf.DUMMYFUNCTION("""COMPUTED_VALUE"""),5.35)</f>
        <v>5.35</v>
      </c>
      <c r="F729" s="1">
        <f ca="1">IFERROR(__xludf.DUMMYFUNCTION("""COMPUTED_VALUE"""),9902511)</f>
        <v>9902511</v>
      </c>
    </row>
    <row r="730" spans="1:6" x14ac:dyDescent="0.35">
      <c r="A730" s="2">
        <f ca="1">IFERROR(__xludf.DUMMYFUNCTION("""COMPUTED_VALUE"""),43060.6666666666)</f>
        <v>43060.666666666599</v>
      </c>
      <c r="B730" s="1">
        <f ca="1">IFERROR(__xludf.DUMMYFUNCTION("""COMPUTED_VALUE"""),5.39)</f>
        <v>5.39</v>
      </c>
      <c r="C730" s="1">
        <f ca="1">IFERROR(__xludf.DUMMYFUNCTION("""COMPUTED_VALUE"""),5.41)</f>
        <v>5.41</v>
      </c>
      <c r="D730" s="1">
        <f ca="1">IFERROR(__xludf.DUMMYFUNCTION("""COMPUTED_VALUE"""),5.36)</f>
        <v>5.36</v>
      </c>
      <c r="E730" s="1">
        <f ca="1">IFERROR(__xludf.DUMMYFUNCTION("""COMPUTED_VALUE"""),5.4)</f>
        <v>5.4</v>
      </c>
      <c r="F730" s="1">
        <f ca="1">IFERROR(__xludf.DUMMYFUNCTION("""COMPUTED_VALUE"""),9979358)</f>
        <v>9979358</v>
      </c>
    </row>
    <row r="731" spans="1:6" x14ac:dyDescent="0.35">
      <c r="A731" s="2">
        <f ca="1">IFERROR(__xludf.DUMMYFUNCTION("""COMPUTED_VALUE"""),43061.6666666666)</f>
        <v>43061.666666666599</v>
      </c>
      <c r="B731" s="1">
        <f ca="1">IFERROR(__xludf.DUMMYFUNCTION("""COMPUTED_VALUE"""),5.43)</f>
        <v>5.43</v>
      </c>
      <c r="C731" s="1">
        <f ca="1">IFERROR(__xludf.DUMMYFUNCTION("""COMPUTED_VALUE"""),5.43)</f>
        <v>5.43</v>
      </c>
      <c r="D731" s="1">
        <f ca="1">IFERROR(__xludf.DUMMYFUNCTION("""COMPUTED_VALUE"""),5.34)</f>
        <v>5.34</v>
      </c>
      <c r="E731" s="1">
        <f ca="1">IFERROR(__xludf.DUMMYFUNCTION("""COMPUTED_VALUE"""),5.37)</f>
        <v>5.37</v>
      </c>
      <c r="F731" s="1">
        <f ca="1">IFERROR(__xludf.DUMMYFUNCTION("""COMPUTED_VALUE"""),8915998)</f>
        <v>8915998</v>
      </c>
    </row>
    <row r="732" spans="1:6" x14ac:dyDescent="0.35">
      <c r="A732" s="2">
        <f ca="1">IFERROR(__xludf.DUMMYFUNCTION("""COMPUTED_VALUE"""),43063.5416666666)</f>
        <v>43063.541666666599</v>
      </c>
      <c r="B732" s="1">
        <f ca="1">IFERROR(__xludf.DUMMYFUNCTION("""COMPUTED_VALUE"""),5.39)</f>
        <v>5.39</v>
      </c>
      <c r="C732" s="1">
        <f ca="1">IFERROR(__xludf.DUMMYFUNCTION("""COMPUTED_VALUE"""),5.43)</f>
        <v>5.43</v>
      </c>
      <c r="D732" s="1">
        <f ca="1">IFERROR(__xludf.DUMMYFUNCTION("""COMPUTED_VALUE"""),5.37)</f>
        <v>5.37</v>
      </c>
      <c r="E732" s="1">
        <f ca="1">IFERROR(__xludf.DUMMYFUNCTION("""COMPUTED_VALUE"""),5.42)</f>
        <v>5.42</v>
      </c>
      <c r="F732" s="1">
        <f ca="1">IFERROR(__xludf.DUMMYFUNCTION("""COMPUTED_VALUE"""),4518800)</f>
        <v>4518800</v>
      </c>
    </row>
    <row r="733" spans="1:6" x14ac:dyDescent="0.35">
      <c r="A733" s="2">
        <f ca="1">IFERROR(__xludf.DUMMYFUNCTION("""COMPUTED_VALUE"""),43066.6666666666)</f>
        <v>43066.666666666599</v>
      </c>
      <c r="B733" s="1">
        <f ca="1">IFERROR(__xludf.DUMMYFUNCTION("""COMPUTED_VALUE"""),5.43)</f>
        <v>5.43</v>
      </c>
      <c r="C733" s="1">
        <f ca="1">IFERROR(__xludf.DUMMYFUNCTION("""COMPUTED_VALUE"""),5.43)</f>
        <v>5.43</v>
      </c>
      <c r="D733" s="1">
        <f ca="1">IFERROR(__xludf.DUMMYFUNCTION("""COMPUTED_VALUE"""),5.35)</f>
        <v>5.35</v>
      </c>
      <c r="E733" s="1">
        <f ca="1">IFERROR(__xludf.DUMMYFUNCTION("""COMPUTED_VALUE"""),5.35)</f>
        <v>5.35</v>
      </c>
      <c r="F733" s="1">
        <f ca="1">IFERROR(__xludf.DUMMYFUNCTION("""COMPUTED_VALUE"""),10572364)</f>
        <v>10572364</v>
      </c>
    </row>
    <row r="734" spans="1:6" x14ac:dyDescent="0.35">
      <c r="A734" s="2">
        <f ca="1">IFERROR(__xludf.DUMMYFUNCTION("""COMPUTED_VALUE"""),43067.6666666666)</f>
        <v>43067.666666666599</v>
      </c>
      <c r="B734" s="1">
        <f ca="1">IFERROR(__xludf.DUMMYFUNCTION("""COMPUTED_VALUE"""),5.36)</f>
        <v>5.36</v>
      </c>
      <c r="C734" s="1">
        <f ca="1">IFERROR(__xludf.DUMMYFUNCTION("""COMPUTED_VALUE"""),5.37)</f>
        <v>5.37</v>
      </c>
      <c r="D734" s="1">
        <f ca="1">IFERROR(__xludf.DUMMYFUNCTION("""COMPUTED_VALUE"""),5.21)</f>
        <v>5.21</v>
      </c>
      <c r="E734" s="1">
        <f ca="1">IFERROR(__xludf.DUMMYFUNCTION("""COMPUTED_VALUE"""),5.27)</f>
        <v>5.27</v>
      </c>
      <c r="F734" s="1">
        <f ca="1">IFERROR(__xludf.DUMMYFUNCTION("""COMPUTED_VALUE"""),12818804)</f>
        <v>12818804</v>
      </c>
    </row>
    <row r="735" spans="1:6" x14ac:dyDescent="0.35">
      <c r="A735" s="2">
        <f ca="1">IFERROR(__xludf.DUMMYFUNCTION("""COMPUTED_VALUE"""),43068.6666666666)</f>
        <v>43068.666666666599</v>
      </c>
      <c r="B735" s="1">
        <f ca="1">IFERROR(__xludf.DUMMYFUNCTION("""COMPUTED_VALUE"""),5.25)</f>
        <v>5.25</v>
      </c>
      <c r="C735" s="1">
        <f ca="1">IFERROR(__xludf.DUMMYFUNCTION("""COMPUTED_VALUE"""),5.25)</f>
        <v>5.25</v>
      </c>
      <c r="D735" s="1">
        <f ca="1">IFERROR(__xludf.DUMMYFUNCTION("""COMPUTED_VALUE"""),4.78)</f>
        <v>4.78</v>
      </c>
      <c r="E735" s="1">
        <f ca="1">IFERROR(__xludf.DUMMYFUNCTION("""COMPUTED_VALUE"""),4.91)</f>
        <v>4.91</v>
      </c>
      <c r="F735" s="1">
        <f ca="1">IFERROR(__xludf.DUMMYFUNCTION("""COMPUTED_VALUE"""),34919741)</f>
        <v>34919741</v>
      </c>
    </row>
    <row r="736" spans="1:6" x14ac:dyDescent="0.35">
      <c r="A736" s="2">
        <f ca="1">IFERROR(__xludf.DUMMYFUNCTION("""COMPUTED_VALUE"""),43069.6666666666)</f>
        <v>43069.666666666599</v>
      </c>
      <c r="B736" s="1">
        <f ca="1">IFERROR(__xludf.DUMMYFUNCTION("""COMPUTED_VALUE"""),4.98)</f>
        <v>4.9800000000000004</v>
      </c>
      <c r="C736" s="1">
        <f ca="1">IFERROR(__xludf.DUMMYFUNCTION("""COMPUTED_VALUE"""),5.07)</f>
        <v>5.07</v>
      </c>
      <c r="D736" s="1">
        <f ca="1">IFERROR(__xludf.DUMMYFUNCTION("""COMPUTED_VALUE"""),4.92)</f>
        <v>4.92</v>
      </c>
      <c r="E736" s="1">
        <f ca="1">IFERROR(__xludf.DUMMYFUNCTION("""COMPUTED_VALUE"""),5.02)</f>
        <v>5.0199999999999996</v>
      </c>
      <c r="F736" s="1">
        <f ca="1">IFERROR(__xludf.DUMMYFUNCTION("""COMPUTED_VALUE"""),20594199)</f>
        <v>20594199</v>
      </c>
    </row>
    <row r="737" spans="1:6" x14ac:dyDescent="0.35">
      <c r="A737" s="2">
        <f ca="1">IFERROR(__xludf.DUMMYFUNCTION("""COMPUTED_VALUE"""),43070.6666666666)</f>
        <v>43070.666666666599</v>
      </c>
      <c r="B737" s="1">
        <f ca="1">IFERROR(__xludf.DUMMYFUNCTION("""COMPUTED_VALUE"""),4.98)</f>
        <v>4.9800000000000004</v>
      </c>
      <c r="C737" s="1">
        <f ca="1">IFERROR(__xludf.DUMMYFUNCTION("""COMPUTED_VALUE"""),5)</f>
        <v>5</v>
      </c>
      <c r="D737" s="1">
        <f ca="1">IFERROR(__xludf.DUMMYFUNCTION("""COMPUTED_VALUE"""),4.81)</f>
        <v>4.8099999999999996</v>
      </c>
      <c r="E737" s="1">
        <f ca="1">IFERROR(__xludf.DUMMYFUNCTION("""COMPUTED_VALUE"""),4.94)</f>
        <v>4.9400000000000004</v>
      </c>
      <c r="F737" s="1">
        <f ca="1">IFERROR(__xludf.DUMMYFUNCTION("""COMPUTED_VALUE"""),20288748)</f>
        <v>20288748</v>
      </c>
    </row>
    <row r="738" spans="1:6" x14ac:dyDescent="0.35">
      <c r="A738" s="2">
        <f ca="1">IFERROR(__xludf.DUMMYFUNCTION("""COMPUTED_VALUE"""),43073.6666666666)</f>
        <v>43073.666666666599</v>
      </c>
      <c r="B738" s="1">
        <f ca="1">IFERROR(__xludf.DUMMYFUNCTION("""COMPUTED_VALUE"""),5)</f>
        <v>5</v>
      </c>
      <c r="C738" s="1">
        <f ca="1">IFERROR(__xludf.DUMMYFUNCTION("""COMPUTED_VALUE"""),5.01)</f>
        <v>5.01</v>
      </c>
      <c r="D738" s="1">
        <f ca="1">IFERROR(__xludf.DUMMYFUNCTION("""COMPUTED_VALUE"""),4.61)</f>
        <v>4.6100000000000003</v>
      </c>
      <c r="E738" s="1">
        <f ca="1">IFERROR(__xludf.DUMMYFUNCTION("""COMPUTED_VALUE"""),4.67)</f>
        <v>4.67</v>
      </c>
      <c r="F738" s="1">
        <f ca="1">IFERROR(__xludf.DUMMYFUNCTION("""COMPUTED_VALUE"""),31021123)</f>
        <v>31021123</v>
      </c>
    </row>
    <row r="739" spans="1:6" x14ac:dyDescent="0.35">
      <c r="A739" s="2">
        <f ca="1">IFERROR(__xludf.DUMMYFUNCTION("""COMPUTED_VALUE"""),43074.6666666666)</f>
        <v>43074.666666666599</v>
      </c>
      <c r="B739" s="1">
        <f ca="1">IFERROR(__xludf.DUMMYFUNCTION("""COMPUTED_VALUE"""),4.56)</f>
        <v>4.5599999999999996</v>
      </c>
      <c r="C739" s="1">
        <f ca="1">IFERROR(__xludf.DUMMYFUNCTION("""COMPUTED_VALUE"""),4.82)</f>
        <v>4.82</v>
      </c>
      <c r="D739" s="1">
        <f ca="1">IFERROR(__xludf.DUMMYFUNCTION("""COMPUTED_VALUE"""),4.51)</f>
        <v>4.51</v>
      </c>
      <c r="E739" s="1">
        <f ca="1">IFERROR(__xludf.DUMMYFUNCTION("""COMPUTED_VALUE"""),4.69)</f>
        <v>4.6900000000000004</v>
      </c>
      <c r="F739" s="1">
        <f ca="1">IFERROR(__xludf.DUMMYFUNCTION("""COMPUTED_VALUE"""),24537194)</f>
        <v>24537194</v>
      </c>
    </row>
    <row r="740" spans="1:6" x14ac:dyDescent="0.35">
      <c r="A740" s="2">
        <f ca="1">IFERROR(__xludf.DUMMYFUNCTION("""COMPUTED_VALUE"""),43075.6666666666)</f>
        <v>43075.666666666599</v>
      </c>
      <c r="B740" s="1">
        <f ca="1">IFERROR(__xludf.DUMMYFUNCTION("""COMPUTED_VALUE"""),4.64)</f>
        <v>4.6399999999999997</v>
      </c>
      <c r="C740" s="1">
        <f ca="1">IFERROR(__xludf.DUMMYFUNCTION("""COMPUTED_VALUE"""),4.75)</f>
        <v>4.75</v>
      </c>
      <c r="D740" s="1">
        <f ca="1">IFERROR(__xludf.DUMMYFUNCTION("""COMPUTED_VALUE"""),4.62)</f>
        <v>4.62</v>
      </c>
      <c r="E740" s="1">
        <f ca="1">IFERROR(__xludf.DUMMYFUNCTION("""COMPUTED_VALUE"""),4.73)</f>
        <v>4.7300000000000004</v>
      </c>
      <c r="F740" s="1">
        <f ca="1">IFERROR(__xludf.DUMMYFUNCTION("""COMPUTED_VALUE"""),11675760)</f>
        <v>11675760</v>
      </c>
    </row>
    <row r="741" spans="1:6" x14ac:dyDescent="0.35">
      <c r="A741" s="2">
        <f ca="1">IFERROR(__xludf.DUMMYFUNCTION("""COMPUTED_VALUE"""),43076.6666666666)</f>
        <v>43076.666666666599</v>
      </c>
      <c r="B741" s="1">
        <f ca="1">IFERROR(__xludf.DUMMYFUNCTION("""COMPUTED_VALUE"""),4.8)</f>
        <v>4.8</v>
      </c>
      <c r="C741" s="1">
        <f ca="1">IFERROR(__xludf.DUMMYFUNCTION("""COMPUTED_VALUE"""),4.84)</f>
        <v>4.84</v>
      </c>
      <c r="D741" s="1">
        <f ca="1">IFERROR(__xludf.DUMMYFUNCTION("""COMPUTED_VALUE"""),4.75)</f>
        <v>4.75</v>
      </c>
      <c r="E741" s="1">
        <f ca="1">IFERROR(__xludf.DUMMYFUNCTION("""COMPUTED_VALUE"""),4.8)</f>
        <v>4.8</v>
      </c>
      <c r="F741" s="1">
        <f ca="1">IFERROR(__xludf.DUMMYFUNCTION("""COMPUTED_VALUE"""),13564988)</f>
        <v>13564988</v>
      </c>
    </row>
    <row r="742" spans="1:6" x14ac:dyDescent="0.35">
      <c r="A742" s="2">
        <f ca="1">IFERROR(__xludf.DUMMYFUNCTION("""COMPUTED_VALUE"""),43077.6666666666)</f>
        <v>43077.666666666599</v>
      </c>
      <c r="B742" s="1">
        <f ca="1">IFERROR(__xludf.DUMMYFUNCTION("""COMPUTED_VALUE"""),4.85)</f>
        <v>4.8499999999999996</v>
      </c>
      <c r="C742" s="1">
        <f ca="1">IFERROR(__xludf.DUMMYFUNCTION("""COMPUTED_VALUE"""),4.87)</f>
        <v>4.87</v>
      </c>
      <c r="D742" s="1">
        <f ca="1">IFERROR(__xludf.DUMMYFUNCTION("""COMPUTED_VALUE"""),4.78)</f>
        <v>4.78</v>
      </c>
      <c r="E742" s="1">
        <f ca="1">IFERROR(__xludf.DUMMYFUNCTION("""COMPUTED_VALUE"""),4.79)</f>
        <v>4.79</v>
      </c>
      <c r="F742" s="1">
        <f ca="1">IFERROR(__xludf.DUMMYFUNCTION("""COMPUTED_VALUE"""),11671856)</f>
        <v>11671856</v>
      </c>
    </row>
    <row r="743" spans="1:6" x14ac:dyDescent="0.35">
      <c r="A743" s="2">
        <f ca="1">IFERROR(__xludf.DUMMYFUNCTION("""COMPUTED_VALUE"""),43080.6666666666)</f>
        <v>43080.666666666599</v>
      </c>
      <c r="B743" s="1">
        <f ca="1">IFERROR(__xludf.DUMMYFUNCTION("""COMPUTED_VALUE"""),4.8)</f>
        <v>4.8</v>
      </c>
      <c r="C743" s="1">
        <f ca="1">IFERROR(__xludf.DUMMYFUNCTION("""COMPUTED_VALUE"""),4.87)</f>
        <v>4.87</v>
      </c>
      <c r="D743" s="1">
        <f ca="1">IFERROR(__xludf.DUMMYFUNCTION("""COMPUTED_VALUE"""),4.79)</f>
        <v>4.79</v>
      </c>
      <c r="E743" s="1">
        <f ca="1">IFERROR(__xludf.DUMMYFUNCTION("""COMPUTED_VALUE"""),4.87)</f>
        <v>4.87</v>
      </c>
      <c r="F743" s="1">
        <f ca="1">IFERROR(__xludf.DUMMYFUNCTION("""COMPUTED_VALUE"""),9318741)</f>
        <v>9318741</v>
      </c>
    </row>
    <row r="744" spans="1:6" x14ac:dyDescent="0.35">
      <c r="A744" s="2">
        <f ca="1">IFERROR(__xludf.DUMMYFUNCTION("""COMPUTED_VALUE"""),43081.6666666666)</f>
        <v>43081.666666666599</v>
      </c>
      <c r="B744" s="1">
        <f ca="1">IFERROR(__xludf.DUMMYFUNCTION("""COMPUTED_VALUE"""),4.82)</f>
        <v>4.82</v>
      </c>
      <c r="C744" s="1">
        <f ca="1">IFERROR(__xludf.DUMMYFUNCTION("""COMPUTED_VALUE"""),4.85)</f>
        <v>4.8499999999999996</v>
      </c>
      <c r="D744" s="1">
        <f ca="1">IFERROR(__xludf.DUMMYFUNCTION("""COMPUTED_VALUE"""),4.75)</f>
        <v>4.75</v>
      </c>
      <c r="E744" s="1">
        <f ca="1">IFERROR(__xludf.DUMMYFUNCTION("""COMPUTED_VALUE"""),4.77)</f>
        <v>4.7699999999999996</v>
      </c>
      <c r="F744" s="1">
        <f ca="1">IFERROR(__xludf.DUMMYFUNCTION("""COMPUTED_VALUE"""),11375445)</f>
        <v>11375445</v>
      </c>
    </row>
    <row r="745" spans="1:6" x14ac:dyDescent="0.35">
      <c r="A745" s="2">
        <f ca="1">IFERROR(__xludf.DUMMYFUNCTION("""COMPUTED_VALUE"""),43082.6666666666)</f>
        <v>43082.666666666599</v>
      </c>
      <c r="B745" s="1">
        <f ca="1">IFERROR(__xludf.DUMMYFUNCTION("""COMPUTED_VALUE"""),4.81)</f>
        <v>4.8099999999999996</v>
      </c>
      <c r="C745" s="1">
        <f ca="1">IFERROR(__xludf.DUMMYFUNCTION("""COMPUTED_VALUE"""),4.81)</f>
        <v>4.8099999999999996</v>
      </c>
      <c r="D745" s="1">
        <f ca="1">IFERROR(__xludf.DUMMYFUNCTION("""COMPUTED_VALUE"""),4.65)</f>
        <v>4.6500000000000004</v>
      </c>
      <c r="E745" s="1">
        <f ca="1">IFERROR(__xludf.DUMMYFUNCTION("""COMPUTED_VALUE"""),4.65)</f>
        <v>4.6500000000000004</v>
      </c>
      <c r="F745" s="1">
        <f ca="1">IFERROR(__xludf.DUMMYFUNCTION("""COMPUTED_VALUE"""),13856992)</f>
        <v>13856992</v>
      </c>
    </row>
    <row r="746" spans="1:6" x14ac:dyDescent="0.35">
      <c r="A746" s="2">
        <f ca="1">IFERROR(__xludf.DUMMYFUNCTION("""COMPUTED_VALUE"""),43083.6666666666)</f>
        <v>43083.666666666599</v>
      </c>
      <c r="B746" s="1">
        <f ca="1">IFERROR(__xludf.DUMMYFUNCTION("""COMPUTED_VALUE"""),4.65)</f>
        <v>4.6500000000000004</v>
      </c>
      <c r="C746" s="1">
        <f ca="1">IFERROR(__xludf.DUMMYFUNCTION("""COMPUTED_VALUE"""),4.73)</f>
        <v>4.7300000000000004</v>
      </c>
      <c r="D746" s="1">
        <f ca="1">IFERROR(__xludf.DUMMYFUNCTION("""COMPUTED_VALUE"""),4.62)</f>
        <v>4.62</v>
      </c>
      <c r="E746" s="1">
        <f ca="1">IFERROR(__xludf.DUMMYFUNCTION("""COMPUTED_VALUE"""),4.66)</f>
        <v>4.66</v>
      </c>
      <c r="F746" s="1">
        <f ca="1">IFERROR(__xludf.DUMMYFUNCTION("""COMPUTED_VALUE"""),10954056)</f>
        <v>10954056</v>
      </c>
    </row>
    <row r="747" spans="1:6" x14ac:dyDescent="0.35">
      <c r="A747" s="2">
        <f ca="1">IFERROR(__xludf.DUMMYFUNCTION("""COMPUTED_VALUE"""),43084.6666666666)</f>
        <v>43084.666666666599</v>
      </c>
      <c r="B747" s="1">
        <f ca="1">IFERROR(__xludf.DUMMYFUNCTION("""COMPUTED_VALUE"""),4.71)</f>
        <v>4.71</v>
      </c>
      <c r="C747" s="1">
        <f ca="1">IFERROR(__xludf.DUMMYFUNCTION("""COMPUTED_VALUE"""),4.81)</f>
        <v>4.8099999999999996</v>
      </c>
      <c r="D747" s="1">
        <f ca="1">IFERROR(__xludf.DUMMYFUNCTION("""COMPUTED_VALUE"""),4.64)</f>
        <v>4.6399999999999997</v>
      </c>
      <c r="E747" s="1">
        <f ca="1">IFERROR(__xludf.DUMMYFUNCTION("""COMPUTED_VALUE"""),4.79)</f>
        <v>4.79</v>
      </c>
      <c r="F747" s="1">
        <f ca="1">IFERROR(__xludf.DUMMYFUNCTION("""COMPUTED_VALUE"""),16750878)</f>
        <v>16750878</v>
      </c>
    </row>
    <row r="748" spans="1:6" x14ac:dyDescent="0.35">
      <c r="A748" s="2">
        <f ca="1">IFERROR(__xludf.DUMMYFUNCTION("""COMPUTED_VALUE"""),43087.6666666666)</f>
        <v>43087.666666666599</v>
      </c>
      <c r="B748" s="1">
        <f ca="1">IFERROR(__xludf.DUMMYFUNCTION("""COMPUTED_VALUE"""),4.83)</f>
        <v>4.83</v>
      </c>
      <c r="C748" s="1">
        <f ca="1">IFERROR(__xludf.DUMMYFUNCTION("""COMPUTED_VALUE"""),4.95)</f>
        <v>4.95</v>
      </c>
      <c r="D748" s="1">
        <f ca="1">IFERROR(__xludf.DUMMYFUNCTION("""COMPUTED_VALUE"""),4.8)</f>
        <v>4.8</v>
      </c>
      <c r="E748" s="1">
        <f ca="1">IFERROR(__xludf.DUMMYFUNCTION("""COMPUTED_VALUE"""),4.95)</f>
        <v>4.95</v>
      </c>
      <c r="F748" s="1">
        <f ca="1">IFERROR(__xludf.DUMMYFUNCTION("""COMPUTED_VALUE"""),11942558)</f>
        <v>11942558</v>
      </c>
    </row>
    <row r="749" spans="1:6" x14ac:dyDescent="0.35">
      <c r="A749" s="2">
        <f ca="1">IFERROR(__xludf.DUMMYFUNCTION("""COMPUTED_VALUE"""),43088.6666666666)</f>
        <v>43088.666666666599</v>
      </c>
      <c r="B749" s="1">
        <f ca="1">IFERROR(__xludf.DUMMYFUNCTION("""COMPUTED_VALUE"""),4.94)</f>
        <v>4.9400000000000004</v>
      </c>
      <c r="C749" s="1">
        <f ca="1">IFERROR(__xludf.DUMMYFUNCTION("""COMPUTED_VALUE"""),4.94)</f>
        <v>4.9400000000000004</v>
      </c>
      <c r="D749" s="1">
        <f ca="1">IFERROR(__xludf.DUMMYFUNCTION("""COMPUTED_VALUE"""),4.87)</f>
        <v>4.87</v>
      </c>
      <c r="E749" s="1">
        <f ca="1">IFERROR(__xludf.DUMMYFUNCTION("""COMPUTED_VALUE"""),4.9)</f>
        <v>4.9000000000000004</v>
      </c>
      <c r="F749" s="1">
        <f ca="1">IFERROR(__xludf.DUMMYFUNCTION("""COMPUTED_VALUE"""),9327493)</f>
        <v>9327493</v>
      </c>
    </row>
    <row r="750" spans="1:6" x14ac:dyDescent="0.35">
      <c r="A750" s="2">
        <f ca="1">IFERROR(__xludf.DUMMYFUNCTION("""COMPUTED_VALUE"""),43089.6666666666)</f>
        <v>43089.666666666599</v>
      </c>
      <c r="B750" s="1">
        <f ca="1">IFERROR(__xludf.DUMMYFUNCTION("""COMPUTED_VALUE"""),4.94)</f>
        <v>4.9400000000000004</v>
      </c>
      <c r="C750" s="1">
        <f ca="1">IFERROR(__xludf.DUMMYFUNCTION("""COMPUTED_VALUE"""),4.95)</f>
        <v>4.95</v>
      </c>
      <c r="D750" s="1">
        <f ca="1">IFERROR(__xludf.DUMMYFUNCTION("""COMPUTED_VALUE"""),4.86)</f>
        <v>4.8600000000000003</v>
      </c>
      <c r="E750" s="1">
        <f ca="1">IFERROR(__xludf.DUMMYFUNCTION("""COMPUTED_VALUE"""),4.92)</f>
        <v>4.92</v>
      </c>
      <c r="F750" s="1">
        <f ca="1">IFERROR(__xludf.DUMMYFUNCTION("""COMPUTED_VALUE"""),7220456)</f>
        <v>7220456</v>
      </c>
    </row>
    <row r="751" spans="1:6" x14ac:dyDescent="0.35">
      <c r="A751" s="2">
        <f ca="1">IFERROR(__xludf.DUMMYFUNCTION("""COMPUTED_VALUE"""),43090.6666666666)</f>
        <v>43090.666666666599</v>
      </c>
      <c r="B751" s="1">
        <f ca="1">IFERROR(__xludf.DUMMYFUNCTION("""COMPUTED_VALUE"""),4.92)</f>
        <v>4.92</v>
      </c>
      <c r="C751" s="1">
        <f ca="1">IFERROR(__xludf.DUMMYFUNCTION("""COMPUTED_VALUE"""),4.95)</f>
        <v>4.95</v>
      </c>
      <c r="D751" s="1">
        <f ca="1">IFERROR(__xludf.DUMMYFUNCTION("""COMPUTED_VALUE"""),4.89)</f>
        <v>4.8899999999999997</v>
      </c>
      <c r="E751" s="1">
        <f ca="1">IFERROR(__xludf.DUMMYFUNCTION("""COMPUTED_VALUE"""),4.9)</f>
        <v>4.9000000000000004</v>
      </c>
      <c r="F751" s="1">
        <f ca="1">IFERROR(__xludf.DUMMYFUNCTION("""COMPUTED_VALUE"""),7522626)</f>
        <v>7522626</v>
      </c>
    </row>
    <row r="752" spans="1:6" x14ac:dyDescent="0.35">
      <c r="A752" s="2">
        <f ca="1">IFERROR(__xludf.DUMMYFUNCTION("""COMPUTED_VALUE"""),43091.6666666666)</f>
        <v>43091.666666666599</v>
      </c>
      <c r="B752" s="1">
        <f ca="1">IFERROR(__xludf.DUMMYFUNCTION("""COMPUTED_VALUE"""),4.86)</f>
        <v>4.8600000000000003</v>
      </c>
      <c r="C752" s="1">
        <f ca="1">IFERROR(__xludf.DUMMYFUNCTION("""COMPUTED_VALUE"""),4.89)</f>
        <v>4.8899999999999997</v>
      </c>
      <c r="D752" s="1">
        <f ca="1">IFERROR(__xludf.DUMMYFUNCTION("""COMPUTED_VALUE"""),4.78)</f>
        <v>4.78</v>
      </c>
      <c r="E752" s="1">
        <f ca="1">IFERROR(__xludf.DUMMYFUNCTION("""COMPUTED_VALUE"""),4.88)</f>
        <v>4.88</v>
      </c>
      <c r="F752" s="1">
        <f ca="1">IFERROR(__xludf.DUMMYFUNCTION("""COMPUTED_VALUE"""),11656871)</f>
        <v>11656871</v>
      </c>
    </row>
    <row r="753" spans="1:6" x14ac:dyDescent="0.35">
      <c r="A753" s="2">
        <f ca="1">IFERROR(__xludf.DUMMYFUNCTION("""COMPUTED_VALUE"""),43095.6666666666)</f>
        <v>43095.666666666599</v>
      </c>
      <c r="B753" s="1">
        <f ca="1">IFERROR(__xludf.DUMMYFUNCTION("""COMPUTED_VALUE"""),4.83)</f>
        <v>4.83</v>
      </c>
      <c r="C753" s="1">
        <f ca="1">IFERROR(__xludf.DUMMYFUNCTION("""COMPUTED_VALUE"""),4.94)</f>
        <v>4.9400000000000004</v>
      </c>
      <c r="D753" s="1">
        <f ca="1">IFERROR(__xludf.DUMMYFUNCTION("""COMPUTED_VALUE"""),4.8)</f>
        <v>4.8</v>
      </c>
      <c r="E753" s="1">
        <f ca="1">IFERROR(__xludf.DUMMYFUNCTION("""COMPUTED_VALUE"""),4.94)</f>
        <v>4.9400000000000004</v>
      </c>
      <c r="F753" s="1">
        <f ca="1">IFERROR(__xludf.DUMMYFUNCTION("""COMPUTED_VALUE"""),8877033)</f>
        <v>8877033</v>
      </c>
    </row>
    <row r="754" spans="1:6" x14ac:dyDescent="0.35">
      <c r="A754" s="2">
        <f ca="1">IFERROR(__xludf.DUMMYFUNCTION("""COMPUTED_VALUE"""),43096.6666666666)</f>
        <v>43096.666666666599</v>
      </c>
      <c r="B754" s="1">
        <f ca="1">IFERROR(__xludf.DUMMYFUNCTION("""COMPUTED_VALUE"""),4.92)</f>
        <v>4.92</v>
      </c>
      <c r="C754" s="1">
        <f ca="1">IFERROR(__xludf.DUMMYFUNCTION("""COMPUTED_VALUE"""),5)</f>
        <v>5</v>
      </c>
      <c r="D754" s="1">
        <f ca="1">IFERROR(__xludf.DUMMYFUNCTION("""COMPUTED_VALUE"""),4.91)</f>
        <v>4.91</v>
      </c>
      <c r="E754" s="1">
        <f ca="1">IFERROR(__xludf.DUMMYFUNCTION("""COMPUTED_VALUE"""),4.93)</f>
        <v>4.93</v>
      </c>
      <c r="F754" s="1">
        <f ca="1">IFERROR(__xludf.DUMMYFUNCTION("""COMPUTED_VALUE"""),8237223)</f>
        <v>8237223</v>
      </c>
    </row>
    <row r="755" spans="1:6" x14ac:dyDescent="0.35">
      <c r="A755" s="2">
        <f ca="1">IFERROR(__xludf.DUMMYFUNCTION("""COMPUTED_VALUE"""),43097.6666666666)</f>
        <v>43097.666666666599</v>
      </c>
      <c r="B755" s="1">
        <f ca="1">IFERROR(__xludf.DUMMYFUNCTION("""COMPUTED_VALUE"""),4.95)</f>
        <v>4.95</v>
      </c>
      <c r="C755" s="1">
        <f ca="1">IFERROR(__xludf.DUMMYFUNCTION("""COMPUTED_VALUE"""),4.98)</f>
        <v>4.9800000000000004</v>
      </c>
      <c r="D755" s="1">
        <f ca="1">IFERROR(__xludf.DUMMYFUNCTION("""COMPUTED_VALUE"""),4.93)</f>
        <v>4.93</v>
      </c>
      <c r="E755" s="1">
        <f ca="1">IFERROR(__xludf.DUMMYFUNCTION("""COMPUTED_VALUE"""),4.93)</f>
        <v>4.93</v>
      </c>
      <c r="F755" s="1">
        <f ca="1">IFERROR(__xludf.DUMMYFUNCTION("""COMPUTED_VALUE"""),6006248)</f>
        <v>6006248</v>
      </c>
    </row>
    <row r="756" spans="1:6" x14ac:dyDescent="0.35">
      <c r="A756" s="2">
        <f ca="1">IFERROR(__xludf.DUMMYFUNCTION("""COMPUTED_VALUE"""),43098.6666666666)</f>
        <v>43098.666666666599</v>
      </c>
      <c r="B756" s="1">
        <f ca="1">IFERROR(__xludf.DUMMYFUNCTION("""COMPUTED_VALUE"""),4.96)</f>
        <v>4.96</v>
      </c>
      <c r="C756" s="1">
        <f ca="1">IFERROR(__xludf.DUMMYFUNCTION("""COMPUTED_VALUE"""),4.96)</f>
        <v>4.96</v>
      </c>
      <c r="D756" s="1">
        <f ca="1">IFERROR(__xludf.DUMMYFUNCTION("""COMPUTED_VALUE"""),4.84)</f>
        <v>4.84</v>
      </c>
      <c r="E756" s="1">
        <f ca="1">IFERROR(__xludf.DUMMYFUNCTION("""COMPUTED_VALUE"""),4.84)</f>
        <v>4.84</v>
      </c>
      <c r="F756" s="1">
        <f ca="1">IFERROR(__xludf.DUMMYFUNCTION("""COMPUTED_VALUE"""),6999116)</f>
        <v>6999116</v>
      </c>
    </row>
    <row r="757" spans="1:6" x14ac:dyDescent="0.35">
      <c r="A757" s="2">
        <f ca="1">IFERROR(__xludf.DUMMYFUNCTION("""COMPUTED_VALUE"""),43102.6666666666)</f>
        <v>43102.666666666599</v>
      </c>
      <c r="B757" s="1">
        <f ca="1">IFERROR(__xludf.DUMMYFUNCTION("""COMPUTED_VALUE"""),4.89)</f>
        <v>4.8899999999999997</v>
      </c>
      <c r="C757" s="1">
        <f ca="1">IFERROR(__xludf.DUMMYFUNCTION("""COMPUTED_VALUE"""),4.99)</f>
        <v>4.99</v>
      </c>
      <c r="D757" s="1">
        <f ca="1">IFERROR(__xludf.DUMMYFUNCTION("""COMPUTED_VALUE"""),4.86)</f>
        <v>4.8600000000000003</v>
      </c>
      <c r="E757" s="1">
        <f ca="1">IFERROR(__xludf.DUMMYFUNCTION("""COMPUTED_VALUE"""),4.98)</f>
        <v>4.9800000000000004</v>
      </c>
      <c r="F757" s="1">
        <f ca="1">IFERROR(__xludf.DUMMYFUNCTION("""COMPUTED_VALUE"""),8890417)</f>
        <v>8890417</v>
      </c>
    </row>
    <row r="758" spans="1:6" x14ac:dyDescent="0.35">
      <c r="A758" s="2">
        <f ca="1">IFERROR(__xludf.DUMMYFUNCTION("""COMPUTED_VALUE"""),43103.6666666666)</f>
        <v>43103.666666666599</v>
      </c>
      <c r="B758" s="1">
        <f ca="1">IFERROR(__xludf.DUMMYFUNCTION("""COMPUTED_VALUE"""),5.1)</f>
        <v>5.0999999999999996</v>
      </c>
      <c r="C758" s="1">
        <f ca="1">IFERROR(__xludf.DUMMYFUNCTION("""COMPUTED_VALUE"""),5.34)</f>
        <v>5.34</v>
      </c>
      <c r="D758" s="1">
        <f ca="1">IFERROR(__xludf.DUMMYFUNCTION("""COMPUTED_VALUE"""),5.09)</f>
        <v>5.09</v>
      </c>
      <c r="E758" s="1">
        <f ca="1">IFERROR(__xludf.DUMMYFUNCTION("""COMPUTED_VALUE"""),5.31)</f>
        <v>5.31</v>
      </c>
      <c r="F758" s="1">
        <f ca="1">IFERROR(__xludf.DUMMYFUNCTION("""COMPUTED_VALUE"""),22867591)</f>
        <v>22867591</v>
      </c>
    </row>
    <row r="759" spans="1:6" x14ac:dyDescent="0.35">
      <c r="A759" s="2">
        <f ca="1">IFERROR(__xludf.DUMMYFUNCTION("""COMPUTED_VALUE"""),43104.6666666666)</f>
        <v>43104.666666666599</v>
      </c>
      <c r="B759" s="1">
        <f ca="1">IFERROR(__xludf.DUMMYFUNCTION("""COMPUTED_VALUE"""),5.39)</f>
        <v>5.39</v>
      </c>
      <c r="C759" s="1">
        <f ca="1">IFERROR(__xludf.DUMMYFUNCTION("""COMPUTED_VALUE"""),5.45)</f>
        <v>5.45</v>
      </c>
      <c r="D759" s="1">
        <f ca="1">IFERROR(__xludf.DUMMYFUNCTION("""COMPUTED_VALUE"""),5.32)</f>
        <v>5.32</v>
      </c>
      <c r="E759" s="1">
        <f ca="1">IFERROR(__xludf.DUMMYFUNCTION("""COMPUTED_VALUE"""),5.34)</f>
        <v>5.34</v>
      </c>
      <c r="F759" s="1">
        <f ca="1">IFERROR(__xludf.DUMMYFUNCTION("""COMPUTED_VALUE"""),14581720)</f>
        <v>14581720</v>
      </c>
    </row>
    <row r="760" spans="1:6" x14ac:dyDescent="0.35">
      <c r="A760" s="2">
        <f ca="1">IFERROR(__xludf.DUMMYFUNCTION("""COMPUTED_VALUE"""),43105.6666666666)</f>
        <v>43105.666666666599</v>
      </c>
      <c r="B760" s="1">
        <f ca="1">IFERROR(__xludf.DUMMYFUNCTION("""COMPUTED_VALUE"""),5.35)</f>
        <v>5.35</v>
      </c>
      <c r="C760" s="1">
        <f ca="1">IFERROR(__xludf.DUMMYFUNCTION("""COMPUTED_VALUE"""),5.42)</f>
        <v>5.42</v>
      </c>
      <c r="D760" s="1">
        <f ca="1">IFERROR(__xludf.DUMMYFUNCTION("""COMPUTED_VALUE"""),5.28)</f>
        <v>5.28</v>
      </c>
      <c r="E760" s="1">
        <f ca="1">IFERROR(__xludf.DUMMYFUNCTION("""COMPUTED_VALUE"""),5.39)</f>
        <v>5.39</v>
      </c>
      <c r="F760" s="1">
        <f ca="1">IFERROR(__xludf.DUMMYFUNCTION("""COMPUTED_VALUE"""),14503103)</f>
        <v>14503103</v>
      </c>
    </row>
    <row r="761" spans="1:6" x14ac:dyDescent="0.35">
      <c r="A761" s="2">
        <f ca="1">IFERROR(__xludf.DUMMYFUNCTION("""COMPUTED_VALUE"""),43108.6666666666)</f>
        <v>43108.666666666599</v>
      </c>
      <c r="B761" s="1">
        <f ca="1">IFERROR(__xludf.DUMMYFUNCTION("""COMPUTED_VALUE"""),5.51)</f>
        <v>5.51</v>
      </c>
      <c r="C761" s="1">
        <f ca="1">IFERROR(__xludf.DUMMYFUNCTION("""COMPUTED_VALUE"""),5.63)</f>
        <v>5.63</v>
      </c>
      <c r="D761" s="1">
        <f ca="1">IFERROR(__xludf.DUMMYFUNCTION("""COMPUTED_VALUE"""),5.46)</f>
        <v>5.46</v>
      </c>
      <c r="E761" s="1">
        <f ca="1">IFERROR(__xludf.DUMMYFUNCTION("""COMPUTED_VALUE"""),5.55)</f>
        <v>5.55</v>
      </c>
      <c r="F761" s="1">
        <f ca="1">IFERROR(__xludf.DUMMYFUNCTION("""COMPUTED_VALUE"""),22030422)</f>
        <v>22030422</v>
      </c>
    </row>
    <row r="762" spans="1:6" x14ac:dyDescent="0.35">
      <c r="A762" s="2">
        <f ca="1">IFERROR(__xludf.DUMMYFUNCTION("""COMPUTED_VALUE"""),43109.6666666666)</f>
        <v>43109.666666666599</v>
      </c>
      <c r="B762" s="1">
        <f ca="1">IFERROR(__xludf.DUMMYFUNCTION("""COMPUTED_VALUE"""),5.56)</f>
        <v>5.56</v>
      </c>
      <c r="C762" s="1">
        <f ca="1">IFERROR(__xludf.DUMMYFUNCTION("""COMPUTED_VALUE"""),5.6)</f>
        <v>5.6</v>
      </c>
      <c r="D762" s="1">
        <f ca="1">IFERROR(__xludf.DUMMYFUNCTION("""COMPUTED_VALUE"""),5.47)</f>
        <v>5.47</v>
      </c>
      <c r="E762" s="1">
        <f ca="1">IFERROR(__xludf.DUMMYFUNCTION("""COMPUTED_VALUE"""),5.55)</f>
        <v>5.55</v>
      </c>
      <c r="F762" s="1">
        <f ca="1">IFERROR(__xludf.DUMMYFUNCTION("""COMPUTED_VALUE"""),12424995)</f>
        <v>12424995</v>
      </c>
    </row>
    <row r="763" spans="1:6" x14ac:dyDescent="0.35">
      <c r="A763" s="2">
        <f ca="1">IFERROR(__xludf.DUMMYFUNCTION("""COMPUTED_VALUE"""),43110.6666666666)</f>
        <v>43110.666666666599</v>
      </c>
      <c r="B763" s="1">
        <f ca="1">IFERROR(__xludf.DUMMYFUNCTION("""COMPUTED_VALUE"""),5.46)</f>
        <v>5.46</v>
      </c>
      <c r="C763" s="1">
        <f ca="1">IFERROR(__xludf.DUMMYFUNCTION("""COMPUTED_VALUE"""),5.6)</f>
        <v>5.6</v>
      </c>
      <c r="D763" s="1">
        <f ca="1">IFERROR(__xludf.DUMMYFUNCTION("""COMPUTED_VALUE"""),5.4)</f>
        <v>5.4</v>
      </c>
      <c r="E763" s="1">
        <f ca="1">IFERROR(__xludf.DUMMYFUNCTION("""COMPUTED_VALUE"""),5.59)</f>
        <v>5.59</v>
      </c>
      <c r="F763" s="1">
        <f ca="1">IFERROR(__xludf.DUMMYFUNCTION("""COMPUTED_VALUE"""),14566626)</f>
        <v>14566626</v>
      </c>
    </row>
    <row r="764" spans="1:6" x14ac:dyDescent="0.35">
      <c r="A764" s="2">
        <f ca="1">IFERROR(__xludf.DUMMYFUNCTION("""COMPUTED_VALUE"""),43111.6666666666)</f>
        <v>43111.666666666599</v>
      </c>
      <c r="B764" s="1">
        <f ca="1">IFERROR(__xludf.DUMMYFUNCTION("""COMPUTED_VALUE"""),5.63)</f>
        <v>5.63</v>
      </c>
      <c r="C764" s="1">
        <f ca="1">IFERROR(__xludf.DUMMYFUNCTION("""COMPUTED_VALUE"""),5.66)</f>
        <v>5.66</v>
      </c>
      <c r="D764" s="1">
        <f ca="1">IFERROR(__xludf.DUMMYFUNCTION("""COMPUTED_VALUE"""),5.58)</f>
        <v>5.58</v>
      </c>
      <c r="E764" s="1">
        <f ca="1">IFERROR(__xludf.DUMMYFUNCTION("""COMPUTED_VALUE"""),5.6)</f>
        <v>5.6</v>
      </c>
      <c r="F764" s="1">
        <f ca="1">IFERROR(__xludf.DUMMYFUNCTION("""COMPUTED_VALUE"""),10150767)</f>
        <v>10150767</v>
      </c>
    </row>
    <row r="765" spans="1:6" x14ac:dyDescent="0.35">
      <c r="A765" s="2">
        <f ca="1">IFERROR(__xludf.DUMMYFUNCTION("""COMPUTED_VALUE"""),43112.6666666666)</f>
        <v>43112.666666666599</v>
      </c>
      <c r="B765" s="1">
        <f ca="1">IFERROR(__xludf.DUMMYFUNCTION("""COMPUTED_VALUE"""),5.59)</f>
        <v>5.59</v>
      </c>
      <c r="C765" s="1">
        <f ca="1">IFERROR(__xludf.DUMMYFUNCTION("""COMPUTED_VALUE"""),5.62)</f>
        <v>5.62</v>
      </c>
      <c r="D765" s="1">
        <f ca="1">IFERROR(__xludf.DUMMYFUNCTION("""COMPUTED_VALUE"""),5.53)</f>
        <v>5.53</v>
      </c>
      <c r="E765" s="1">
        <f ca="1">IFERROR(__xludf.DUMMYFUNCTION("""COMPUTED_VALUE"""),5.57)</f>
        <v>5.57</v>
      </c>
      <c r="F765" s="1">
        <f ca="1">IFERROR(__xludf.DUMMYFUNCTION("""COMPUTED_VALUE"""),8997902)</f>
        <v>8997902</v>
      </c>
    </row>
    <row r="766" spans="1:6" x14ac:dyDescent="0.35">
      <c r="A766" s="2">
        <f ca="1">IFERROR(__xludf.DUMMYFUNCTION("""COMPUTED_VALUE"""),43116.6666666666)</f>
        <v>43116.666666666599</v>
      </c>
      <c r="B766" s="1">
        <f ca="1">IFERROR(__xludf.DUMMYFUNCTION("""COMPUTED_VALUE"""),5.6)</f>
        <v>5.6</v>
      </c>
      <c r="C766" s="1">
        <f ca="1">IFERROR(__xludf.DUMMYFUNCTION("""COMPUTED_VALUE"""),5.69)</f>
        <v>5.69</v>
      </c>
      <c r="D766" s="1">
        <f ca="1">IFERROR(__xludf.DUMMYFUNCTION("""COMPUTED_VALUE"""),5.42)</f>
        <v>5.42</v>
      </c>
      <c r="E766" s="1">
        <f ca="1">IFERROR(__xludf.DUMMYFUNCTION("""COMPUTED_VALUE"""),5.5)</f>
        <v>5.5</v>
      </c>
      <c r="F766" s="1">
        <f ca="1">IFERROR(__xludf.DUMMYFUNCTION("""COMPUTED_VALUE"""),17558687)</f>
        <v>17558687</v>
      </c>
    </row>
    <row r="767" spans="1:6" x14ac:dyDescent="0.35">
      <c r="A767" s="2">
        <f ca="1">IFERROR(__xludf.DUMMYFUNCTION("""COMPUTED_VALUE"""),43117.6666666666)</f>
        <v>43117.666666666599</v>
      </c>
      <c r="B767" s="1">
        <f ca="1">IFERROR(__xludf.DUMMYFUNCTION("""COMPUTED_VALUE"""),5.52)</f>
        <v>5.52</v>
      </c>
      <c r="C767" s="1">
        <f ca="1">IFERROR(__xludf.DUMMYFUNCTION("""COMPUTED_VALUE"""),5.63)</f>
        <v>5.63</v>
      </c>
      <c r="D767" s="1">
        <f ca="1">IFERROR(__xludf.DUMMYFUNCTION("""COMPUTED_VALUE"""),5.42)</f>
        <v>5.42</v>
      </c>
      <c r="E767" s="1">
        <f ca="1">IFERROR(__xludf.DUMMYFUNCTION("""COMPUTED_VALUE"""),5.62)</f>
        <v>5.62</v>
      </c>
      <c r="F767" s="1">
        <f ca="1">IFERROR(__xludf.DUMMYFUNCTION("""COMPUTED_VALUE"""),13460222)</f>
        <v>13460222</v>
      </c>
    </row>
    <row r="768" spans="1:6" x14ac:dyDescent="0.35">
      <c r="A768" s="2">
        <f ca="1">IFERROR(__xludf.DUMMYFUNCTION("""COMPUTED_VALUE"""),43118.6666666666)</f>
        <v>43118.666666666599</v>
      </c>
      <c r="B768" s="1">
        <f ca="1">IFERROR(__xludf.DUMMYFUNCTION("""COMPUTED_VALUE"""),5.6)</f>
        <v>5.6</v>
      </c>
      <c r="C768" s="1">
        <f ca="1">IFERROR(__xludf.DUMMYFUNCTION("""COMPUTED_VALUE"""),5.67)</f>
        <v>5.67</v>
      </c>
      <c r="D768" s="1">
        <f ca="1">IFERROR(__xludf.DUMMYFUNCTION("""COMPUTED_VALUE"""),5.57)</f>
        <v>5.57</v>
      </c>
      <c r="E768" s="1">
        <f ca="1">IFERROR(__xludf.DUMMYFUNCTION("""COMPUTED_VALUE"""),5.61)</f>
        <v>5.61</v>
      </c>
      <c r="F768" s="1">
        <f ca="1">IFERROR(__xludf.DUMMYFUNCTION("""COMPUTED_VALUE"""),10215841)</f>
        <v>10215841</v>
      </c>
    </row>
    <row r="769" spans="1:6" x14ac:dyDescent="0.35">
      <c r="A769" s="2">
        <f ca="1">IFERROR(__xludf.DUMMYFUNCTION("""COMPUTED_VALUE"""),43119.6666666666)</f>
        <v>43119.666666666599</v>
      </c>
      <c r="B769" s="1">
        <f ca="1">IFERROR(__xludf.DUMMYFUNCTION("""COMPUTED_VALUE"""),5.7)</f>
        <v>5.7</v>
      </c>
      <c r="C769" s="1">
        <f ca="1">IFERROR(__xludf.DUMMYFUNCTION("""COMPUTED_VALUE"""),5.78)</f>
        <v>5.78</v>
      </c>
      <c r="D769" s="1">
        <f ca="1">IFERROR(__xludf.DUMMYFUNCTION("""COMPUTED_VALUE"""),5.68)</f>
        <v>5.68</v>
      </c>
      <c r="E769" s="1">
        <f ca="1">IFERROR(__xludf.DUMMYFUNCTION("""COMPUTED_VALUE"""),5.75)</f>
        <v>5.75</v>
      </c>
      <c r="F769" s="1">
        <f ca="1">IFERROR(__xludf.DUMMYFUNCTION("""COMPUTED_VALUE"""),15234486)</f>
        <v>15234486</v>
      </c>
    </row>
    <row r="770" spans="1:6" x14ac:dyDescent="0.35">
      <c r="A770" s="2">
        <f ca="1">IFERROR(__xludf.DUMMYFUNCTION("""COMPUTED_VALUE"""),43122.6666666666)</f>
        <v>43122.666666666599</v>
      </c>
      <c r="B770" s="1">
        <f ca="1">IFERROR(__xludf.DUMMYFUNCTION("""COMPUTED_VALUE"""),5.76)</f>
        <v>5.76</v>
      </c>
      <c r="C770" s="1">
        <f ca="1">IFERROR(__xludf.DUMMYFUNCTION("""COMPUTED_VALUE"""),5.84)</f>
        <v>5.84</v>
      </c>
      <c r="D770" s="1">
        <f ca="1">IFERROR(__xludf.DUMMYFUNCTION("""COMPUTED_VALUE"""),5.7)</f>
        <v>5.7</v>
      </c>
      <c r="E770" s="1">
        <f ca="1">IFERROR(__xludf.DUMMYFUNCTION("""COMPUTED_VALUE"""),5.84)</f>
        <v>5.84</v>
      </c>
      <c r="F770" s="1">
        <f ca="1">IFERROR(__xludf.DUMMYFUNCTION("""COMPUTED_VALUE"""),13773561)</f>
        <v>13773561</v>
      </c>
    </row>
    <row r="771" spans="1:6" x14ac:dyDescent="0.35">
      <c r="A771" s="2">
        <f ca="1">IFERROR(__xludf.DUMMYFUNCTION("""COMPUTED_VALUE"""),43123.6666666666)</f>
        <v>43123.666666666599</v>
      </c>
      <c r="B771" s="1">
        <f ca="1">IFERROR(__xludf.DUMMYFUNCTION("""COMPUTED_VALUE"""),5.9)</f>
        <v>5.9</v>
      </c>
      <c r="C771" s="1">
        <f ca="1">IFERROR(__xludf.DUMMYFUNCTION("""COMPUTED_VALUE"""),6)</f>
        <v>6</v>
      </c>
      <c r="D771" s="1">
        <f ca="1">IFERROR(__xludf.DUMMYFUNCTION("""COMPUTED_VALUE"""),5.88)</f>
        <v>5.88</v>
      </c>
      <c r="E771" s="1">
        <f ca="1">IFERROR(__xludf.DUMMYFUNCTION("""COMPUTED_VALUE"""),5.97)</f>
        <v>5.97</v>
      </c>
      <c r="F771" s="1">
        <f ca="1">IFERROR(__xludf.DUMMYFUNCTION("""COMPUTED_VALUE"""),11880705)</f>
        <v>11880705</v>
      </c>
    </row>
    <row r="772" spans="1:6" x14ac:dyDescent="0.35">
      <c r="A772" s="2">
        <f ca="1">IFERROR(__xludf.DUMMYFUNCTION("""COMPUTED_VALUE"""),43124.6666666666)</f>
        <v>43124.666666666599</v>
      </c>
      <c r="B772" s="1">
        <f ca="1">IFERROR(__xludf.DUMMYFUNCTION("""COMPUTED_VALUE"""),5.98)</f>
        <v>5.98</v>
      </c>
      <c r="C772" s="1">
        <f ca="1">IFERROR(__xludf.DUMMYFUNCTION("""COMPUTED_VALUE"""),6.01)</f>
        <v>6.01</v>
      </c>
      <c r="D772" s="1">
        <f ca="1">IFERROR(__xludf.DUMMYFUNCTION("""COMPUTED_VALUE"""),5.84)</f>
        <v>5.84</v>
      </c>
      <c r="E772" s="1">
        <f ca="1">IFERROR(__xludf.DUMMYFUNCTION("""COMPUTED_VALUE"""),5.9)</f>
        <v>5.9</v>
      </c>
      <c r="F772" s="1">
        <f ca="1">IFERROR(__xludf.DUMMYFUNCTION("""COMPUTED_VALUE"""),14499309)</f>
        <v>14499309</v>
      </c>
    </row>
    <row r="773" spans="1:6" x14ac:dyDescent="0.35">
      <c r="A773" s="2">
        <f ca="1">IFERROR(__xludf.DUMMYFUNCTION("""COMPUTED_VALUE"""),43125.6666666666)</f>
        <v>43125.666666666599</v>
      </c>
      <c r="B773" s="1">
        <f ca="1">IFERROR(__xludf.DUMMYFUNCTION("""COMPUTED_VALUE"""),5.95)</f>
        <v>5.95</v>
      </c>
      <c r="C773" s="1">
        <f ca="1">IFERROR(__xludf.DUMMYFUNCTION("""COMPUTED_VALUE"""),5.99)</f>
        <v>5.99</v>
      </c>
      <c r="D773" s="1">
        <f ca="1">IFERROR(__xludf.DUMMYFUNCTION("""COMPUTED_VALUE"""),5.89)</f>
        <v>5.89</v>
      </c>
      <c r="E773" s="1">
        <f ca="1">IFERROR(__xludf.DUMMYFUNCTION("""COMPUTED_VALUE"""),5.91)</f>
        <v>5.91</v>
      </c>
      <c r="F773" s="1">
        <f ca="1">IFERROR(__xludf.DUMMYFUNCTION("""COMPUTED_VALUE"""),10247091)</f>
        <v>10247091</v>
      </c>
    </row>
    <row r="774" spans="1:6" x14ac:dyDescent="0.35">
      <c r="A774" s="2">
        <f ca="1">IFERROR(__xludf.DUMMYFUNCTION("""COMPUTED_VALUE"""),43126.6666666666)</f>
        <v>43126.666666666599</v>
      </c>
      <c r="B774" s="1">
        <f ca="1">IFERROR(__xludf.DUMMYFUNCTION("""COMPUTED_VALUE"""),5.95)</f>
        <v>5.95</v>
      </c>
      <c r="C774" s="1">
        <f ca="1">IFERROR(__xludf.DUMMYFUNCTION("""COMPUTED_VALUE"""),6.08)</f>
        <v>6.08</v>
      </c>
      <c r="D774" s="1">
        <f ca="1">IFERROR(__xludf.DUMMYFUNCTION("""COMPUTED_VALUE"""),5.94)</f>
        <v>5.94</v>
      </c>
      <c r="E774" s="1">
        <f ca="1">IFERROR(__xludf.DUMMYFUNCTION("""COMPUTED_VALUE"""),6.08)</f>
        <v>6.08</v>
      </c>
      <c r="F774" s="1">
        <f ca="1">IFERROR(__xludf.DUMMYFUNCTION("""COMPUTED_VALUE"""),12908854)</f>
        <v>12908854</v>
      </c>
    </row>
    <row r="775" spans="1:6" x14ac:dyDescent="0.35">
      <c r="A775" s="2">
        <f ca="1">IFERROR(__xludf.DUMMYFUNCTION("""COMPUTED_VALUE"""),43129.6666666666)</f>
        <v>43129.666666666599</v>
      </c>
      <c r="B775" s="1">
        <f ca="1">IFERROR(__xludf.DUMMYFUNCTION("""COMPUTED_VALUE"""),6.07)</f>
        <v>6.07</v>
      </c>
      <c r="C775" s="1">
        <f ca="1">IFERROR(__xludf.DUMMYFUNCTION("""COMPUTED_VALUE"""),6.2)</f>
        <v>6.2</v>
      </c>
      <c r="D775" s="1">
        <f ca="1">IFERROR(__xludf.DUMMYFUNCTION("""COMPUTED_VALUE"""),6.02)</f>
        <v>6.02</v>
      </c>
      <c r="E775" s="1">
        <f ca="1">IFERROR(__xludf.DUMMYFUNCTION("""COMPUTED_VALUE"""),6.17)</f>
        <v>6.17</v>
      </c>
      <c r="F775" s="1">
        <f ca="1">IFERROR(__xludf.DUMMYFUNCTION("""COMPUTED_VALUE"""),11377853)</f>
        <v>11377853</v>
      </c>
    </row>
    <row r="776" spans="1:6" x14ac:dyDescent="0.35">
      <c r="A776" s="2">
        <f ca="1">IFERROR(__xludf.DUMMYFUNCTION("""COMPUTED_VALUE"""),43130.6666666666)</f>
        <v>43130.666666666599</v>
      </c>
      <c r="B776" s="1">
        <f ca="1">IFERROR(__xludf.DUMMYFUNCTION("""COMPUTED_VALUE"""),6.03)</f>
        <v>6.03</v>
      </c>
      <c r="C776" s="1">
        <f ca="1">IFERROR(__xludf.DUMMYFUNCTION("""COMPUTED_VALUE"""),6.16)</f>
        <v>6.16</v>
      </c>
      <c r="D776" s="1">
        <f ca="1">IFERROR(__xludf.DUMMYFUNCTION("""COMPUTED_VALUE"""),5.96)</f>
        <v>5.96</v>
      </c>
      <c r="E776" s="1">
        <f ca="1">IFERROR(__xludf.DUMMYFUNCTION("""COMPUTED_VALUE"""),6.07)</f>
        <v>6.07</v>
      </c>
      <c r="F776" s="1">
        <f ca="1">IFERROR(__xludf.DUMMYFUNCTION("""COMPUTED_VALUE"""),14270844)</f>
        <v>14270844</v>
      </c>
    </row>
    <row r="777" spans="1:6" x14ac:dyDescent="0.35">
      <c r="A777" s="2">
        <f ca="1">IFERROR(__xludf.DUMMYFUNCTION("""COMPUTED_VALUE"""),43131.6666666666)</f>
        <v>43131.666666666599</v>
      </c>
      <c r="B777" s="1">
        <f ca="1">IFERROR(__xludf.DUMMYFUNCTION("""COMPUTED_VALUE"""),6.14)</f>
        <v>6.14</v>
      </c>
      <c r="C777" s="1">
        <f ca="1">IFERROR(__xludf.DUMMYFUNCTION("""COMPUTED_VALUE"""),6.23)</f>
        <v>6.23</v>
      </c>
      <c r="D777" s="1">
        <f ca="1">IFERROR(__xludf.DUMMYFUNCTION("""COMPUTED_VALUE"""),6.11)</f>
        <v>6.11</v>
      </c>
      <c r="E777" s="1">
        <f ca="1">IFERROR(__xludf.DUMMYFUNCTION("""COMPUTED_VALUE"""),6.15)</f>
        <v>6.15</v>
      </c>
      <c r="F777" s="1">
        <f ca="1">IFERROR(__xludf.DUMMYFUNCTION("""COMPUTED_VALUE"""),11964444)</f>
        <v>11964444</v>
      </c>
    </row>
    <row r="778" spans="1:6" x14ac:dyDescent="0.35">
      <c r="A778" s="2">
        <f ca="1">IFERROR(__xludf.DUMMYFUNCTION("""COMPUTED_VALUE"""),43132.6666666666)</f>
        <v>43132.666666666599</v>
      </c>
      <c r="B778" s="1">
        <f ca="1">IFERROR(__xludf.DUMMYFUNCTION("""COMPUTED_VALUE"""),5.96)</f>
        <v>5.96</v>
      </c>
      <c r="C778" s="1">
        <f ca="1">IFERROR(__xludf.DUMMYFUNCTION("""COMPUTED_VALUE"""),6.17)</f>
        <v>6.17</v>
      </c>
      <c r="D778" s="1">
        <f ca="1">IFERROR(__xludf.DUMMYFUNCTION("""COMPUTED_VALUE"""),5.95)</f>
        <v>5.95</v>
      </c>
      <c r="E778" s="1">
        <f ca="1">IFERROR(__xludf.DUMMYFUNCTION("""COMPUTED_VALUE"""),6.01)</f>
        <v>6.01</v>
      </c>
      <c r="F778" s="1">
        <f ca="1">IFERROR(__xludf.DUMMYFUNCTION("""COMPUTED_VALUE"""),12980572)</f>
        <v>12980572</v>
      </c>
    </row>
    <row r="779" spans="1:6" x14ac:dyDescent="0.35">
      <c r="A779" s="2">
        <f ca="1">IFERROR(__xludf.DUMMYFUNCTION("""COMPUTED_VALUE"""),43133.6666666666)</f>
        <v>43133.666666666599</v>
      </c>
      <c r="B779" s="1">
        <f ca="1">IFERROR(__xludf.DUMMYFUNCTION("""COMPUTED_VALUE"""),5.93)</f>
        <v>5.93</v>
      </c>
      <c r="C779" s="1">
        <f ca="1">IFERROR(__xludf.DUMMYFUNCTION("""COMPUTED_VALUE"""),5.95)</f>
        <v>5.95</v>
      </c>
      <c r="D779" s="1">
        <f ca="1">IFERROR(__xludf.DUMMYFUNCTION("""COMPUTED_VALUE"""),5.78)</f>
        <v>5.78</v>
      </c>
      <c r="E779" s="1">
        <f ca="1">IFERROR(__xludf.DUMMYFUNCTION("""COMPUTED_VALUE"""),5.84)</f>
        <v>5.84</v>
      </c>
      <c r="F779" s="1">
        <f ca="1">IFERROR(__xludf.DUMMYFUNCTION("""COMPUTED_VALUE"""),17961555)</f>
        <v>17961555</v>
      </c>
    </row>
    <row r="780" spans="1:6" x14ac:dyDescent="0.35">
      <c r="A780" s="2">
        <f ca="1">IFERROR(__xludf.DUMMYFUNCTION("""COMPUTED_VALUE"""),43136.6666666666)</f>
        <v>43136.666666666599</v>
      </c>
      <c r="B780" s="1">
        <f ca="1">IFERROR(__xludf.DUMMYFUNCTION("""COMPUTED_VALUE"""),5.68)</f>
        <v>5.68</v>
      </c>
      <c r="C780" s="1">
        <f ca="1">IFERROR(__xludf.DUMMYFUNCTION("""COMPUTED_VALUE"""),5.83)</f>
        <v>5.83</v>
      </c>
      <c r="D780" s="1">
        <f ca="1">IFERROR(__xludf.DUMMYFUNCTION("""COMPUTED_VALUE"""),5.13)</f>
        <v>5.13</v>
      </c>
      <c r="E780" s="1">
        <f ca="1">IFERROR(__xludf.DUMMYFUNCTION("""COMPUTED_VALUE"""),5.34)</f>
        <v>5.34</v>
      </c>
      <c r="F780" s="1">
        <f ca="1">IFERROR(__xludf.DUMMYFUNCTION("""COMPUTED_VALUE"""),29130140)</f>
        <v>29130140</v>
      </c>
    </row>
    <row r="781" spans="1:6" x14ac:dyDescent="0.35">
      <c r="A781" s="2">
        <f ca="1">IFERROR(__xludf.DUMMYFUNCTION("""COMPUTED_VALUE"""),43137.6666666666)</f>
        <v>43137.666666666599</v>
      </c>
      <c r="B781" s="1">
        <f ca="1">IFERROR(__xludf.DUMMYFUNCTION("""COMPUTED_VALUE"""),5.11)</f>
        <v>5.1100000000000003</v>
      </c>
      <c r="C781" s="1">
        <f ca="1">IFERROR(__xludf.DUMMYFUNCTION("""COMPUTED_VALUE"""),5.64)</f>
        <v>5.64</v>
      </c>
      <c r="D781" s="1">
        <f ca="1">IFERROR(__xludf.DUMMYFUNCTION("""COMPUTED_VALUE"""),5.1)</f>
        <v>5.0999999999999996</v>
      </c>
      <c r="E781" s="1">
        <f ca="1">IFERROR(__xludf.DUMMYFUNCTION("""COMPUTED_VALUE"""),5.64)</f>
        <v>5.64</v>
      </c>
      <c r="F781" s="1">
        <f ca="1">IFERROR(__xludf.DUMMYFUNCTION("""COMPUTED_VALUE"""),27870031)</f>
        <v>27870031</v>
      </c>
    </row>
    <row r="782" spans="1:6" x14ac:dyDescent="0.35">
      <c r="A782" s="2">
        <f ca="1">IFERROR(__xludf.DUMMYFUNCTION("""COMPUTED_VALUE"""),43138.6666666666)</f>
        <v>43138.666666666599</v>
      </c>
      <c r="B782" s="1">
        <f ca="1">IFERROR(__xludf.DUMMYFUNCTION("""COMPUTED_VALUE"""),5.74)</f>
        <v>5.74</v>
      </c>
      <c r="C782" s="1">
        <f ca="1">IFERROR(__xludf.DUMMYFUNCTION("""COMPUTED_VALUE"""),5.87)</f>
        <v>5.87</v>
      </c>
      <c r="D782" s="1">
        <f ca="1">IFERROR(__xludf.DUMMYFUNCTION("""COMPUTED_VALUE"""),5.67)</f>
        <v>5.67</v>
      </c>
      <c r="E782" s="1">
        <f ca="1">IFERROR(__xludf.DUMMYFUNCTION("""COMPUTED_VALUE"""),5.72)</f>
        <v>5.72</v>
      </c>
      <c r="F782" s="1">
        <f ca="1">IFERROR(__xludf.DUMMYFUNCTION("""COMPUTED_VALUE"""),20073316)</f>
        <v>20073316</v>
      </c>
    </row>
    <row r="783" spans="1:6" x14ac:dyDescent="0.35">
      <c r="A783" s="2">
        <f ca="1">IFERROR(__xludf.DUMMYFUNCTION("""COMPUTED_VALUE"""),43139.6666666666)</f>
        <v>43139.666666666599</v>
      </c>
      <c r="B783" s="1">
        <f ca="1">IFERROR(__xludf.DUMMYFUNCTION("""COMPUTED_VALUE"""),5.85)</f>
        <v>5.85</v>
      </c>
      <c r="C783" s="1">
        <f ca="1">IFERROR(__xludf.DUMMYFUNCTION("""COMPUTED_VALUE"""),5.88)</f>
        <v>5.88</v>
      </c>
      <c r="D783" s="1">
        <f ca="1">IFERROR(__xludf.DUMMYFUNCTION("""COMPUTED_VALUE"""),5.44)</f>
        <v>5.44</v>
      </c>
      <c r="E783" s="1">
        <f ca="1">IFERROR(__xludf.DUMMYFUNCTION("""COMPUTED_VALUE"""),5.44)</f>
        <v>5.44</v>
      </c>
      <c r="F783" s="1">
        <f ca="1">IFERROR(__xludf.DUMMYFUNCTION("""COMPUTED_VALUE"""),28599976)</f>
        <v>28599976</v>
      </c>
    </row>
    <row r="784" spans="1:6" x14ac:dyDescent="0.35">
      <c r="A784" s="2">
        <f ca="1">IFERROR(__xludf.DUMMYFUNCTION("""COMPUTED_VALUE"""),43140.6666666666)</f>
        <v>43140.666666666599</v>
      </c>
      <c r="B784" s="1">
        <f ca="1">IFERROR(__xludf.DUMMYFUNCTION("""COMPUTED_VALUE"""),5.96)</f>
        <v>5.96</v>
      </c>
      <c r="C784" s="1">
        <f ca="1">IFERROR(__xludf.DUMMYFUNCTION("""COMPUTED_VALUE"""),5.97)</f>
        <v>5.97</v>
      </c>
      <c r="D784" s="1">
        <f ca="1">IFERROR(__xludf.DUMMYFUNCTION("""COMPUTED_VALUE"""),5.44)</f>
        <v>5.44</v>
      </c>
      <c r="E784" s="1">
        <f ca="1">IFERROR(__xludf.DUMMYFUNCTION("""COMPUTED_VALUE"""),5.8)</f>
        <v>5.8</v>
      </c>
      <c r="F784" s="1">
        <f ca="1">IFERROR(__xludf.DUMMYFUNCTION("""COMPUTED_VALUE"""),41865077)</f>
        <v>41865077</v>
      </c>
    </row>
    <row r="785" spans="1:6" x14ac:dyDescent="0.35">
      <c r="A785" s="2">
        <f ca="1">IFERROR(__xludf.DUMMYFUNCTION("""COMPUTED_VALUE"""),43143.6666666666)</f>
        <v>43143.666666666599</v>
      </c>
      <c r="B785" s="1">
        <f ca="1">IFERROR(__xludf.DUMMYFUNCTION("""COMPUTED_VALUE"""),5.88)</f>
        <v>5.88</v>
      </c>
      <c r="C785" s="1">
        <f ca="1">IFERROR(__xludf.DUMMYFUNCTION("""COMPUTED_VALUE"""),5.89)</f>
        <v>5.89</v>
      </c>
      <c r="D785" s="1">
        <f ca="1">IFERROR(__xludf.DUMMYFUNCTION("""COMPUTED_VALUE"""),5.63)</f>
        <v>5.63</v>
      </c>
      <c r="E785" s="1">
        <f ca="1">IFERROR(__xludf.DUMMYFUNCTION("""COMPUTED_VALUE"""),5.7)</f>
        <v>5.7</v>
      </c>
      <c r="F785" s="1">
        <f ca="1">IFERROR(__xludf.DUMMYFUNCTION("""COMPUTED_VALUE"""),27329342)</f>
        <v>27329342</v>
      </c>
    </row>
    <row r="786" spans="1:6" x14ac:dyDescent="0.35">
      <c r="A786" s="2">
        <f ca="1">IFERROR(__xludf.DUMMYFUNCTION("""COMPUTED_VALUE"""),43144.6666666666)</f>
        <v>43144.666666666599</v>
      </c>
      <c r="B786" s="1">
        <f ca="1">IFERROR(__xludf.DUMMYFUNCTION("""COMPUTED_VALUE"""),5.66)</f>
        <v>5.66</v>
      </c>
      <c r="C786" s="1">
        <f ca="1">IFERROR(__xludf.DUMMYFUNCTION("""COMPUTED_VALUE"""),5.86)</f>
        <v>5.86</v>
      </c>
      <c r="D786" s="1">
        <f ca="1">IFERROR(__xludf.DUMMYFUNCTION("""COMPUTED_VALUE"""),5.63)</f>
        <v>5.63</v>
      </c>
      <c r="E786" s="1">
        <f ca="1">IFERROR(__xludf.DUMMYFUNCTION("""COMPUTED_VALUE"""),5.82)</f>
        <v>5.82</v>
      </c>
      <c r="F786" s="1">
        <f ca="1">IFERROR(__xludf.DUMMYFUNCTION("""COMPUTED_VALUE"""),15638119)</f>
        <v>15638119</v>
      </c>
    </row>
    <row r="787" spans="1:6" x14ac:dyDescent="0.35">
      <c r="A787" s="2">
        <f ca="1">IFERROR(__xludf.DUMMYFUNCTION("""COMPUTED_VALUE"""),43145.6666666666)</f>
        <v>43145.666666666599</v>
      </c>
      <c r="B787" s="1">
        <f ca="1">IFERROR(__xludf.DUMMYFUNCTION("""COMPUTED_VALUE"""),5.78)</f>
        <v>5.78</v>
      </c>
      <c r="C787" s="1">
        <f ca="1">IFERROR(__xludf.DUMMYFUNCTION("""COMPUTED_VALUE"""),6.06)</f>
        <v>6.06</v>
      </c>
      <c r="D787" s="1">
        <f ca="1">IFERROR(__xludf.DUMMYFUNCTION("""COMPUTED_VALUE"""),5.76)</f>
        <v>5.76</v>
      </c>
      <c r="E787" s="1">
        <f ca="1">IFERROR(__xludf.DUMMYFUNCTION("""COMPUTED_VALUE"""),6.04)</f>
        <v>6.04</v>
      </c>
      <c r="F787" s="1">
        <f ca="1">IFERROR(__xludf.DUMMYFUNCTION("""COMPUTED_VALUE"""),18624749)</f>
        <v>18624749</v>
      </c>
    </row>
    <row r="788" spans="1:6" x14ac:dyDescent="0.35">
      <c r="A788" s="2">
        <f ca="1">IFERROR(__xludf.DUMMYFUNCTION("""COMPUTED_VALUE"""),43146.6666666666)</f>
        <v>43146.666666666599</v>
      </c>
      <c r="B788" s="1">
        <f ca="1">IFERROR(__xludf.DUMMYFUNCTION("""COMPUTED_VALUE"""),6.12)</f>
        <v>6.12</v>
      </c>
      <c r="C788" s="1">
        <f ca="1">IFERROR(__xludf.DUMMYFUNCTION("""COMPUTED_VALUE"""),6.21)</f>
        <v>6.21</v>
      </c>
      <c r="D788" s="1">
        <f ca="1">IFERROR(__xludf.DUMMYFUNCTION("""COMPUTED_VALUE"""),6.04)</f>
        <v>6.04</v>
      </c>
      <c r="E788" s="1">
        <f ca="1">IFERROR(__xludf.DUMMYFUNCTION("""COMPUTED_VALUE"""),6.16)</f>
        <v>6.16</v>
      </c>
      <c r="F788" s="1">
        <f ca="1">IFERROR(__xludf.DUMMYFUNCTION("""COMPUTED_VALUE"""),17472515)</f>
        <v>17472515</v>
      </c>
    </row>
    <row r="789" spans="1:6" x14ac:dyDescent="0.35">
      <c r="A789" s="2">
        <f ca="1">IFERROR(__xludf.DUMMYFUNCTION("""COMPUTED_VALUE"""),43147.6666666666)</f>
        <v>43147.666666666599</v>
      </c>
      <c r="B789" s="1">
        <f ca="1">IFERROR(__xludf.DUMMYFUNCTION("""COMPUTED_VALUE"""),6.14)</f>
        <v>6.14</v>
      </c>
      <c r="C789" s="1">
        <f ca="1">IFERROR(__xludf.DUMMYFUNCTION("""COMPUTED_VALUE"""),6.25)</f>
        <v>6.25</v>
      </c>
      <c r="D789" s="1">
        <f ca="1">IFERROR(__xludf.DUMMYFUNCTION("""COMPUTED_VALUE"""),6.09)</f>
        <v>6.09</v>
      </c>
      <c r="E789" s="1">
        <f ca="1">IFERROR(__xludf.DUMMYFUNCTION("""COMPUTED_VALUE"""),6.1)</f>
        <v>6.1</v>
      </c>
      <c r="F789" s="1">
        <f ca="1">IFERROR(__xludf.DUMMYFUNCTION("""COMPUTED_VALUE"""),15941426)</f>
        <v>15941426</v>
      </c>
    </row>
    <row r="790" spans="1:6" x14ac:dyDescent="0.35">
      <c r="A790" s="2">
        <f ca="1">IFERROR(__xludf.DUMMYFUNCTION("""COMPUTED_VALUE"""),43151.6666666666)</f>
        <v>43151.666666666599</v>
      </c>
      <c r="B790" s="1">
        <f ca="1">IFERROR(__xludf.DUMMYFUNCTION("""COMPUTED_VALUE"""),6.12)</f>
        <v>6.12</v>
      </c>
      <c r="C790" s="1">
        <f ca="1">IFERROR(__xludf.DUMMYFUNCTION("""COMPUTED_VALUE"""),6.3)</f>
        <v>6.3</v>
      </c>
      <c r="D790" s="1">
        <f ca="1">IFERROR(__xludf.DUMMYFUNCTION("""COMPUTED_VALUE"""),6.12)</f>
        <v>6.12</v>
      </c>
      <c r="E790" s="1">
        <f ca="1">IFERROR(__xludf.DUMMYFUNCTION("""COMPUTED_VALUE"""),6.23)</f>
        <v>6.23</v>
      </c>
      <c r="F790" s="1">
        <f ca="1">IFERROR(__xludf.DUMMYFUNCTION("""COMPUTED_VALUE"""),17155962)</f>
        <v>17155962</v>
      </c>
    </row>
    <row r="791" spans="1:6" x14ac:dyDescent="0.35">
      <c r="A791" s="2">
        <f ca="1">IFERROR(__xludf.DUMMYFUNCTION("""COMPUTED_VALUE"""),43152.6666666666)</f>
        <v>43152.666666666599</v>
      </c>
      <c r="B791" s="1">
        <f ca="1">IFERROR(__xludf.DUMMYFUNCTION("""COMPUTED_VALUE"""),6.29)</f>
        <v>6.29</v>
      </c>
      <c r="C791" s="1">
        <f ca="1">IFERROR(__xludf.DUMMYFUNCTION("""COMPUTED_VALUE"""),6.3)</f>
        <v>6.3</v>
      </c>
      <c r="D791" s="1">
        <f ca="1">IFERROR(__xludf.DUMMYFUNCTION("""COMPUTED_VALUE"""),6.03)</f>
        <v>6.03</v>
      </c>
      <c r="E791" s="1">
        <f ca="1">IFERROR(__xludf.DUMMYFUNCTION("""COMPUTED_VALUE"""),6.04)</f>
        <v>6.04</v>
      </c>
      <c r="F791" s="1">
        <f ca="1">IFERROR(__xludf.DUMMYFUNCTION("""COMPUTED_VALUE"""),22307344)</f>
        <v>22307344</v>
      </c>
    </row>
    <row r="792" spans="1:6" x14ac:dyDescent="0.35">
      <c r="A792" s="2">
        <f ca="1">IFERROR(__xludf.DUMMYFUNCTION("""COMPUTED_VALUE"""),43153.6666666666)</f>
        <v>43153.666666666599</v>
      </c>
      <c r="B792" s="1">
        <f ca="1">IFERROR(__xludf.DUMMYFUNCTION("""COMPUTED_VALUE"""),6.07)</f>
        <v>6.07</v>
      </c>
      <c r="C792" s="1">
        <f ca="1">IFERROR(__xludf.DUMMYFUNCTION("""COMPUTED_VALUE"""),6.14)</f>
        <v>6.14</v>
      </c>
      <c r="D792" s="1">
        <f ca="1">IFERROR(__xludf.DUMMYFUNCTION("""COMPUTED_VALUE"""),5.99)</f>
        <v>5.99</v>
      </c>
      <c r="E792" s="1">
        <f ca="1">IFERROR(__xludf.DUMMYFUNCTION("""COMPUTED_VALUE"""),6.05)</f>
        <v>6.05</v>
      </c>
      <c r="F792" s="1">
        <f ca="1">IFERROR(__xludf.DUMMYFUNCTION("""COMPUTED_VALUE"""),13359133)</f>
        <v>13359133</v>
      </c>
    </row>
    <row r="793" spans="1:6" x14ac:dyDescent="0.35">
      <c r="A793" s="2">
        <f ca="1">IFERROR(__xludf.DUMMYFUNCTION("""COMPUTED_VALUE"""),43154.6666666666)</f>
        <v>43154.666666666599</v>
      </c>
      <c r="B793" s="1">
        <f ca="1">IFERROR(__xludf.DUMMYFUNCTION("""COMPUTED_VALUE"""),6.11)</f>
        <v>6.11</v>
      </c>
      <c r="C793" s="1">
        <f ca="1">IFERROR(__xludf.DUMMYFUNCTION("""COMPUTED_VALUE"""),6.15)</f>
        <v>6.15</v>
      </c>
      <c r="D793" s="1">
        <f ca="1">IFERROR(__xludf.DUMMYFUNCTION("""COMPUTED_VALUE"""),6.06)</f>
        <v>6.06</v>
      </c>
      <c r="E793" s="1">
        <f ca="1">IFERROR(__xludf.DUMMYFUNCTION("""COMPUTED_VALUE"""),6.15)</f>
        <v>6.15</v>
      </c>
      <c r="F793" s="1">
        <f ca="1">IFERROR(__xludf.DUMMYFUNCTION("""COMPUTED_VALUE"""),10382510)</f>
        <v>10382510</v>
      </c>
    </row>
    <row r="794" spans="1:6" x14ac:dyDescent="0.35">
      <c r="A794" s="2">
        <f ca="1">IFERROR(__xludf.DUMMYFUNCTION("""COMPUTED_VALUE"""),43157.6666666666)</f>
        <v>43157.666666666599</v>
      </c>
      <c r="B794" s="1">
        <f ca="1">IFERROR(__xludf.DUMMYFUNCTION("""COMPUTED_VALUE"""),6.2)</f>
        <v>6.2</v>
      </c>
      <c r="C794" s="1">
        <f ca="1">IFERROR(__xludf.DUMMYFUNCTION("""COMPUTED_VALUE"""),6.2)</f>
        <v>6.2</v>
      </c>
      <c r="D794" s="1">
        <f ca="1">IFERROR(__xludf.DUMMYFUNCTION("""COMPUTED_VALUE"""),6.1)</f>
        <v>6.1</v>
      </c>
      <c r="E794" s="1">
        <f ca="1">IFERROR(__xludf.DUMMYFUNCTION("""COMPUTED_VALUE"""),6.16)</f>
        <v>6.16</v>
      </c>
      <c r="F794" s="1">
        <f ca="1">IFERROR(__xludf.DUMMYFUNCTION("""COMPUTED_VALUE"""),11732844)</f>
        <v>11732844</v>
      </c>
    </row>
    <row r="795" spans="1:6" x14ac:dyDescent="0.35">
      <c r="A795" s="2">
        <f ca="1">IFERROR(__xludf.DUMMYFUNCTION("""COMPUTED_VALUE"""),43158.6666666666)</f>
        <v>43158.666666666599</v>
      </c>
      <c r="B795" s="1">
        <f ca="1">IFERROR(__xludf.DUMMYFUNCTION("""COMPUTED_VALUE"""),6.14)</f>
        <v>6.14</v>
      </c>
      <c r="C795" s="1">
        <f ca="1">IFERROR(__xludf.DUMMYFUNCTION("""COMPUTED_VALUE"""),6.22)</f>
        <v>6.22</v>
      </c>
      <c r="D795" s="1">
        <f ca="1">IFERROR(__xludf.DUMMYFUNCTION("""COMPUTED_VALUE"""),6.13)</f>
        <v>6.13</v>
      </c>
      <c r="E795" s="1">
        <f ca="1">IFERROR(__xludf.DUMMYFUNCTION("""COMPUTED_VALUE"""),6.15)</f>
        <v>6.15</v>
      </c>
      <c r="F795" s="1">
        <f ca="1">IFERROR(__xludf.DUMMYFUNCTION("""COMPUTED_VALUE"""),11385899)</f>
        <v>11385899</v>
      </c>
    </row>
    <row r="796" spans="1:6" x14ac:dyDescent="0.35">
      <c r="A796" s="2">
        <f ca="1">IFERROR(__xludf.DUMMYFUNCTION("""COMPUTED_VALUE"""),43159.6666666666)</f>
        <v>43159.666666666599</v>
      </c>
      <c r="B796" s="1">
        <f ca="1">IFERROR(__xludf.DUMMYFUNCTION("""COMPUTED_VALUE"""),6.16)</f>
        <v>6.16</v>
      </c>
      <c r="C796" s="1">
        <f ca="1">IFERROR(__xludf.DUMMYFUNCTION("""COMPUTED_VALUE"""),6.2)</f>
        <v>6.2</v>
      </c>
      <c r="D796" s="1">
        <f ca="1">IFERROR(__xludf.DUMMYFUNCTION("""COMPUTED_VALUE"""),6.04)</f>
        <v>6.04</v>
      </c>
      <c r="E796" s="1">
        <f ca="1">IFERROR(__xludf.DUMMYFUNCTION("""COMPUTED_VALUE"""),6.05)</f>
        <v>6.05</v>
      </c>
      <c r="F796" s="1">
        <f ca="1">IFERROR(__xludf.DUMMYFUNCTION("""COMPUTED_VALUE"""),13077878)</f>
        <v>13077878</v>
      </c>
    </row>
    <row r="797" spans="1:6" x14ac:dyDescent="0.35">
      <c r="A797" s="2">
        <f ca="1">IFERROR(__xludf.DUMMYFUNCTION("""COMPUTED_VALUE"""),43160.6666666666)</f>
        <v>43160.666666666599</v>
      </c>
      <c r="B797" s="1">
        <f ca="1">IFERROR(__xludf.DUMMYFUNCTION("""COMPUTED_VALUE"""),6.05)</f>
        <v>6.05</v>
      </c>
      <c r="C797" s="1">
        <f ca="1">IFERROR(__xludf.DUMMYFUNCTION("""COMPUTED_VALUE"""),6.1)</f>
        <v>6.1</v>
      </c>
      <c r="D797" s="1">
        <f ca="1">IFERROR(__xludf.DUMMYFUNCTION("""COMPUTED_VALUE"""),5.7)</f>
        <v>5.7</v>
      </c>
      <c r="E797" s="1">
        <f ca="1">IFERROR(__xludf.DUMMYFUNCTION("""COMPUTED_VALUE"""),5.81)</f>
        <v>5.81</v>
      </c>
      <c r="F797" s="1">
        <f ca="1">IFERROR(__xludf.DUMMYFUNCTION("""COMPUTED_VALUE"""),26002972)</f>
        <v>26002972</v>
      </c>
    </row>
    <row r="798" spans="1:6" x14ac:dyDescent="0.35">
      <c r="A798" s="2">
        <f ca="1">IFERROR(__xludf.DUMMYFUNCTION("""COMPUTED_VALUE"""),43161.6666666666)</f>
        <v>43161.666666666599</v>
      </c>
      <c r="B798" s="1">
        <f ca="1">IFERROR(__xludf.DUMMYFUNCTION("""COMPUTED_VALUE"""),5.7)</f>
        <v>5.7</v>
      </c>
      <c r="C798" s="1">
        <f ca="1">IFERROR(__xludf.DUMMYFUNCTION("""COMPUTED_VALUE"""),5.92)</f>
        <v>5.92</v>
      </c>
      <c r="D798" s="1">
        <f ca="1">IFERROR(__xludf.DUMMYFUNCTION("""COMPUTED_VALUE"""),5.55)</f>
        <v>5.55</v>
      </c>
      <c r="E798" s="1">
        <f ca="1">IFERROR(__xludf.DUMMYFUNCTION("""COMPUTED_VALUE"""),5.91)</f>
        <v>5.91</v>
      </c>
      <c r="F798" s="1">
        <f ca="1">IFERROR(__xludf.DUMMYFUNCTION("""COMPUTED_VALUE"""),22835685)</f>
        <v>22835685</v>
      </c>
    </row>
    <row r="799" spans="1:6" x14ac:dyDescent="0.35">
      <c r="A799" s="2">
        <f ca="1">IFERROR(__xludf.DUMMYFUNCTION("""COMPUTED_VALUE"""),43164.6666666666)</f>
        <v>43164.666666666599</v>
      </c>
      <c r="B799" s="1">
        <f ca="1">IFERROR(__xludf.DUMMYFUNCTION("""COMPUTED_VALUE"""),5.86)</f>
        <v>5.86</v>
      </c>
      <c r="C799" s="1">
        <f ca="1">IFERROR(__xludf.DUMMYFUNCTION("""COMPUTED_VALUE"""),5.93)</f>
        <v>5.93</v>
      </c>
      <c r="D799" s="1">
        <f ca="1">IFERROR(__xludf.DUMMYFUNCTION("""COMPUTED_VALUE"""),5.74)</f>
        <v>5.74</v>
      </c>
      <c r="E799" s="1">
        <f ca="1">IFERROR(__xludf.DUMMYFUNCTION("""COMPUTED_VALUE"""),5.89)</f>
        <v>5.89</v>
      </c>
      <c r="F799" s="1">
        <f ca="1">IFERROR(__xludf.DUMMYFUNCTION("""COMPUTED_VALUE"""),15519413)</f>
        <v>15519413</v>
      </c>
    </row>
    <row r="800" spans="1:6" x14ac:dyDescent="0.35">
      <c r="A800" s="2">
        <f ca="1">IFERROR(__xludf.DUMMYFUNCTION("""COMPUTED_VALUE"""),43165.6666666666)</f>
        <v>43165.666666666599</v>
      </c>
      <c r="B800" s="1">
        <f ca="1">IFERROR(__xludf.DUMMYFUNCTION("""COMPUTED_VALUE"""),5.98)</f>
        <v>5.98</v>
      </c>
      <c r="C800" s="1">
        <f ca="1">IFERROR(__xludf.DUMMYFUNCTION("""COMPUTED_VALUE"""),6.07)</f>
        <v>6.07</v>
      </c>
      <c r="D800" s="1">
        <f ca="1">IFERROR(__xludf.DUMMYFUNCTION("""COMPUTED_VALUE"""),5.93)</f>
        <v>5.93</v>
      </c>
      <c r="E800" s="1">
        <f ca="1">IFERROR(__xludf.DUMMYFUNCTION("""COMPUTED_VALUE"""),6.05)</f>
        <v>6.05</v>
      </c>
      <c r="F800" s="1">
        <f ca="1">IFERROR(__xludf.DUMMYFUNCTION("""COMPUTED_VALUE"""),15920243)</f>
        <v>15920243</v>
      </c>
    </row>
    <row r="801" spans="1:6" x14ac:dyDescent="0.35">
      <c r="A801" s="2">
        <f ca="1">IFERROR(__xludf.DUMMYFUNCTION("""COMPUTED_VALUE"""),43166.6666666666)</f>
        <v>43166.666666666599</v>
      </c>
      <c r="B801" s="1">
        <f ca="1">IFERROR(__xludf.DUMMYFUNCTION("""COMPUTED_VALUE"""),5.95)</f>
        <v>5.95</v>
      </c>
      <c r="C801" s="1">
        <f ca="1">IFERROR(__xludf.DUMMYFUNCTION("""COMPUTED_VALUE"""),6.1)</f>
        <v>6.1</v>
      </c>
      <c r="D801" s="1">
        <f ca="1">IFERROR(__xludf.DUMMYFUNCTION("""COMPUTED_VALUE"""),5.95)</f>
        <v>5.95</v>
      </c>
      <c r="E801" s="1">
        <f ca="1">IFERROR(__xludf.DUMMYFUNCTION("""COMPUTED_VALUE"""),6.05)</f>
        <v>6.05</v>
      </c>
      <c r="F801" s="1">
        <f ca="1">IFERROR(__xludf.DUMMYFUNCTION("""COMPUTED_VALUE"""),14530226)</f>
        <v>14530226</v>
      </c>
    </row>
    <row r="802" spans="1:6" x14ac:dyDescent="0.35">
      <c r="A802" s="2">
        <f ca="1">IFERROR(__xludf.DUMMYFUNCTION("""COMPUTED_VALUE"""),43167.6666666666)</f>
        <v>43167.666666666599</v>
      </c>
      <c r="B802" s="1">
        <f ca="1">IFERROR(__xludf.DUMMYFUNCTION("""COMPUTED_VALUE"""),6.07)</f>
        <v>6.07</v>
      </c>
      <c r="C802" s="1">
        <f ca="1">IFERROR(__xludf.DUMMYFUNCTION("""COMPUTED_VALUE"""),6.07)</f>
        <v>6.07</v>
      </c>
      <c r="D802" s="1">
        <f ca="1">IFERROR(__xludf.DUMMYFUNCTION("""COMPUTED_VALUE"""),5.98)</f>
        <v>5.98</v>
      </c>
      <c r="E802" s="1">
        <f ca="1">IFERROR(__xludf.DUMMYFUNCTION("""COMPUTED_VALUE"""),6.03)</f>
        <v>6.03</v>
      </c>
      <c r="F802" s="1">
        <f ca="1">IFERROR(__xludf.DUMMYFUNCTION("""COMPUTED_VALUE"""),10297761)</f>
        <v>10297761</v>
      </c>
    </row>
    <row r="803" spans="1:6" x14ac:dyDescent="0.35">
      <c r="A803" s="2">
        <f ca="1">IFERROR(__xludf.DUMMYFUNCTION("""COMPUTED_VALUE"""),43168.6666666666)</f>
        <v>43168.666666666599</v>
      </c>
      <c r="B803" s="1">
        <f ca="1">IFERROR(__xludf.DUMMYFUNCTION("""COMPUTED_VALUE"""),6.08)</f>
        <v>6.08</v>
      </c>
      <c r="C803" s="1">
        <f ca="1">IFERROR(__xludf.DUMMYFUNCTION("""COMPUTED_VALUE"""),6.15)</f>
        <v>6.15</v>
      </c>
      <c r="D803" s="1">
        <f ca="1">IFERROR(__xludf.DUMMYFUNCTION("""COMPUTED_VALUE"""),6.06)</f>
        <v>6.06</v>
      </c>
      <c r="E803" s="1">
        <f ca="1">IFERROR(__xludf.DUMMYFUNCTION("""COMPUTED_VALUE"""),6.13)</f>
        <v>6.13</v>
      </c>
      <c r="F803" s="1">
        <f ca="1">IFERROR(__xludf.DUMMYFUNCTION("""COMPUTED_VALUE"""),12638148)</f>
        <v>12638148</v>
      </c>
    </row>
    <row r="804" spans="1:6" x14ac:dyDescent="0.35">
      <c r="A804" s="2">
        <f ca="1">IFERROR(__xludf.DUMMYFUNCTION("""COMPUTED_VALUE"""),43171.6666666666)</f>
        <v>43171.666666666599</v>
      </c>
      <c r="B804" s="1">
        <f ca="1">IFERROR(__xludf.DUMMYFUNCTION("""COMPUTED_VALUE"""),6.18)</f>
        <v>6.18</v>
      </c>
      <c r="C804" s="1">
        <f ca="1">IFERROR(__xludf.DUMMYFUNCTION("""COMPUTED_VALUE"""),6.33)</f>
        <v>6.33</v>
      </c>
      <c r="D804" s="1">
        <f ca="1">IFERROR(__xludf.DUMMYFUNCTION("""COMPUTED_VALUE"""),6.17)</f>
        <v>6.17</v>
      </c>
      <c r="E804" s="1">
        <f ca="1">IFERROR(__xludf.DUMMYFUNCTION("""COMPUTED_VALUE"""),6.24)</f>
        <v>6.24</v>
      </c>
      <c r="F804" s="1">
        <f ca="1">IFERROR(__xludf.DUMMYFUNCTION("""COMPUTED_VALUE"""),15126541)</f>
        <v>15126541</v>
      </c>
    </row>
    <row r="805" spans="1:6" x14ac:dyDescent="0.35">
      <c r="A805" s="2">
        <f ca="1">IFERROR(__xludf.DUMMYFUNCTION("""COMPUTED_VALUE"""),43172.6666666666)</f>
        <v>43172.666666666599</v>
      </c>
      <c r="B805" s="1">
        <f ca="1">IFERROR(__xludf.DUMMYFUNCTION("""COMPUTED_VALUE"""),6.29)</f>
        <v>6.29</v>
      </c>
      <c r="C805" s="1">
        <f ca="1">IFERROR(__xludf.DUMMYFUNCTION("""COMPUTED_VALUE"""),6.36)</f>
        <v>6.36</v>
      </c>
      <c r="D805" s="1">
        <f ca="1">IFERROR(__xludf.DUMMYFUNCTION("""COMPUTED_VALUE"""),6.15)</f>
        <v>6.15</v>
      </c>
      <c r="E805" s="1">
        <f ca="1">IFERROR(__xludf.DUMMYFUNCTION("""COMPUTED_VALUE"""),6.19)</f>
        <v>6.19</v>
      </c>
      <c r="F805" s="1">
        <f ca="1">IFERROR(__xludf.DUMMYFUNCTION("""COMPUTED_VALUE"""),15494309)</f>
        <v>15494309</v>
      </c>
    </row>
    <row r="806" spans="1:6" x14ac:dyDescent="0.35">
      <c r="A806" s="2">
        <f ca="1">IFERROR(__xludf.DUMMYFUNCTION("""COMPUTED_VALUE"""),43173.6666666666)</f>
        <v>43173.666666666599</v>
      </c>
      <c r="B806" s="1">
        <f ca="1">IFERROR(__xludf.DUMMYFUNCTION("""COMPUTED_VALUE"""),6.24)</f>
        <v>6.24</v>
      </c>
      <c r="C806" s="1">
        <f ca="1">IFERROR(__xludf.DUMMYFUNCTION("""COMPUTED_VALUE"""),6.26)</f>
        <v>6.26</v>
      </c>
      <c r="D806" s="1">
        <f ca="1">IFERROR(__xludf.DUMMYFUNCTION("""COMPUTED_VALUE"""),6.16)</f>
        <v>6.16</v>
      </c>
      <c r="E806" s="1">
        <f ca="1">IFERROR(__xludf.DUMMYFUNCTION("""COMPUTED_VALUE"""),6.22)</f>
        <v>6.22</v>
      </c>
      <c r="F806" s="1">
        <f ca="1">IFERROR(__xludf.DUMMYFUNCTION("""COMPUTED_VALUE"""),12637361)</f>
        <v>12637361</v>
      </c>
    </row>
    <row r="807" spans="1:6" x14ac:dyDescent="0.35">
      <c r="A807" s="2">
        <f ca="1">IFERROR(__xludf.DUMMYFUNCTION("""COMPUTED_VALUE"""),43174.6666666666)</f>
        <v>43174.666666666599</v>
      </c>
      <c r="B807" s="1">
        <f ca="1">IFERROR(__xludf.DUMMYFUNCTION("""COMPUTED_VALUE"""),6.23)</f>
        <v>6.23</v>
      </c>
      <c r="C807" s="1">
        <f ca="1">IFERROR(__xludf.DUMMYFUNCTION("""COMPUTED_VALUE"""),6.32)</f>
        <v>6.32</v>
      </c>
      <c r="D807" s="1">
        <f ca="1">IFERROR(__xludf.DUMMYFUNCTION("""COMPUTED_VALUE"""),6.19)</f>
        <v>6.19</v>
      </c>
      <c r="E807" s="1">
        <f ca="1">IFERROR(__xludf.DUMMYFUNCTION("""COMPUTED_VALUE"""),6.23)</f>
        <v>6.23</v>
      </c>
      <c r="F807" s="1">
        <f ca="1">IFERROR(__xludf.DUMMYFUNCTION("""COMPUTED_VALUE"""),10048837)</f>
        <v>10048837</v>
      </c>
    </row>
    <row r="808" spans="1:6" x14ac:dyDescent="0.35">
      <c r="A808" s="2">
        <f ca="1">IFERROR(__xludf.DUMMYFUNCTION("""COMPUTED_VALUE"""),43175.6666666666)</f>
        <v>43175.666666666599</v>
      </c>
      <c r="B808" s="1">
        <f ca="1">IFERROR(__xludf.DUMMYFUNCTION("""COMPUTED_VALUE"""),6.25)</f>
        <v>6.25</v>
      </c>
      <c r="C808" s="1">
        <f ca="1">IFERROR(__xludf.DUMMYFUNCTION("""COMPUTED_VALUE"""),6.28)</f>
        <v>6.28</v>
      </c>
      <c r="D808" s="1">
        <f ca="1">IFERROR(__xludf.DUMMYFUNCTION("""COMPUTED_VALUE"""),6.21)</f>
        <v>6.21</v>
      </c>
      <c r="E808" s="1">
        <f ca="1">IFERROR(__xludf.DUMMYFUNCTION("""COMPUTED_VALUE"""),6.26)</f>
        <v>6.26</v>
      </c>
      <c r="F808" s="1">
        <f ca="1">IFERROR(__xludf.DUMMYFUNCTION("""COMPUTED_VALUE"""),9986432)</f>
        <v>9986432</v>
      </c>
    </row>
    <row r="809" spans="1:6" x14ac:dyDescent="0.35">
      <c r="A809" s="2">
        <f ca="1">IFERROR(__xludf.DUMMYFUNCTION("""COMPUTED_VALUE"""),43178.6666666666)</f>
        <v>43178.666666666599</v>
      </c>
      <c r="B809" s="1">
        <f ca="1">IFERROR(__xludf.DUMMYFUNCTION("""COMPUTED_VALUE"""),6.2)</f>
        <v>6.2</v>
      </c>
      <c r="C809" s="1">
        <f ca="1">IFERROR(__xludf.DUMMYFUNCTION("""COMPUTED_VALUE"""),6.23)</f>
        <v>6.23</v>
      </c>
      <c r="D809" s="1">
        <f ca="1">IFERROR(__xludf.DUMMYFUNCTION("""COMPUTED_VALUE"""),5.93)</f>
        <v>5.93</v>
      </c>
      <c r="E809" s="1">
        <f ca="1">IFERROR(__xludf.DUMMYFUNCTION("""COMPUTED_VALUE"""),6.03)</f>
        <v>6.03</v>
      </c>
      <c r="F809" s="1">
        <f ca="1">IFERROR(__xludf.DUMMYFUNCTION("""COMPUTED_VALUE"""),17844338)</f>
        <v>17844338</v>
      </c>
    </row>
    <row r="810" spans="1:6" x14ac:dyDescent="0.35">
      <c r="A810" s="2">
        <f ca="1">IFERROR(__xludf.DUMMYFUNCTION("""COMPUTED_VALUE"""),43179.6666666666)</f>
        <v>43179.666666666599</v>
      </c>
      <c r="B810" s="1">
        <f ca="1">IFERROR(__xludf.DUMMYFUNCTION("""COMPUTED_VALUE"""),6.03)</f>
        <v>6.03</v>
      </c>
      <c r="C810" s="1">
        <f ca="1">IFERROR(__xludf.DUMMYFUNCTION("""COMPUTED_VALUE"""),6.28)</f>
        <v>6.28</v>
      </c>
      <c r="D810" s="1">
        <f ca="1">IFERROR(__xludf.DUMMYFUNCTION("""COMPUTED_VALUE"""),6.03)</f>
        <v>6.03</v>
      </c>
      <c r="E810" s="1">
        <f ca="1">IFERROR(__xludf.DUMMYFUNCTION("""COMPUTED_VALUE"""),6.24)</f>
        <v>6.24</v>
      </c>
      <c r="F810" s="1">
        <f ca="1">IFERROR(__xludf.DUMMYFUNCTION("""COMPUTED_VALUE"""),13867409)</f>
        <v>13867409</v>
      </c>
    </row>
    <row r="811" spans="1:6" x14ac:dyDescent="0.35">
      <c r="A811" s="2">
        <f ca="1">IFERROR(__xludf.DUMMYFUNCTION("""COMPUTED_VALUE"""),43180.6666666666)</f>
        <v>43180.666666666599</v>
      </c>
      <c r="B811" s="1">
        <f ca="1">IFERROR(__xludf.DUMMYFUNCTION("""COMPUTED_VALUE"""),6.23)</f>
        <v>6.23</v>
      </c>
      <c r="C811" s="1">
        <f ca="1">IFERROR(__xludf.DUMMYFUNCTION("""COMPUTED_VALUE"""),6.3)</f>
        <v>6.3</v>
      </c>
      <c r="D811" s="1">
        <f ca="1">IFERROR(__xludf.DUMMYFUNCTION("""COMPUTED_VALUE"""),6.18)</f>
        <v>6.18</v>
      </c>
      <c r="E811" s="1">
        <f ca="1">IFERROR(__xludf.DUMMYFUNCTION("""COMPUTED_VALUE"""),6.21)</f>
        <v>6.21</v>
      </c>
      <c r="F811" s="1">
        <f ca="1">IFERROR(__xludf.DUMMYFUNCTION("""COMPUTED_VALUE"""),10967216)</f>
        <v>10967216</v>
      </c>
    </row>
    <row r="812" spans="1:6" x14ac:dyDescent="0.35">
      <c r="A812" s="2">
        <f ca="1">IFERROR(__xludf.DUMMYFUNCTION("""COMPUTED_VALUE"""),43181.6666666666)</f>
        <v>43181.666666666599</v>
      </c>
      <c r="B812" s="1">
        <f ca="1">IFERROR(__xludf.DUMMYFUNCTION("""COMPUTED_VALUE"""),6.15)</f>
        <v>6.15</v>
      </c>
      <c r="C812" s="1">
        <f ca="1">IFERROR(__xludf.DUMMYFUNCTION("""COMPUTED_VALUE"""),6.2)</f>
        <v>6.2</v>
      </c>
      <c r="D812" s="1">
        <f ca="1">IFERROR(__xludf.DUMMYFUNCTION("""COMPUTED_VALUE"""),6.01)</f>
        <v>6.01</v>
      </c>
      <c r="E812" s="1">
        <f ca="1">IFERROR(__xludf.DUMMYFUNCTION("""COMPUTED_VALUE"""),6.05)</f>
        <v>6.05</v>
      </c>
      <c r="F812" s="1">
        <f ca="1">IFERROR(__xludf.DUMMYFUNCTION("""COMPUTED_VALUE"""),13779919)</f>
        <v>13779919</v>
      </c>
    </row>
    <row r="813" spans="1:6" x14ac:dyDescent="0.35">
      <c r="A813" s="2">
        <f ca="1">IFERROR(__xludf.DUMMYFUNCTION("""COMPUTED_VALUE"""),43182.6666666666)</f>
        <v>43182.666666666599</v>
      </c>
      <c r="B813" s="1">
        <f ca="1">IFERROR(__xludf.DUMMYFUNCTION("""COMPUTED_VALUE"""),6.06)</f>
        <v>6.06</v>
      </c>
      <c r="C813" s="1">
        <f ca="1">IFERROR(__xludf.DUMMYFUNCTION("""COMPUTED_VALUE"""),6.07)</f>
        <v>6.07</v>
      </c>
      <c r="D813" s="1">
        <f ca="1">IFERROR(__xludf.DUMMYFUNCTION("""COMPUTED_VALUE"""),5.81)</f>
        <v>5.81</v>
      </c>
      <c r="E813" s="1">
        <f ca="1">IFERROR(__xludf.DUMMYFUNCTION("""COMPUTED_VALUE"""),5.82)</f>
        <v>5.82</v>
      </c>
      <c r="F813" s="1">
        <f ca="1">IFERROR(__xludf.DUMMYFUNCTION("""COMPUTED_VALUE"""),18390461)</f>
        <v>18390461</v>
      </c>
    </row>
    <row r="814" spans="1:6" x14ac:dyDescent="0.35">
      <c r="A814" s="2">
        <f ca="1">IFERROR(__xludf.DUMMYFUNCTION("""COMPUTED_VALUE"""),43185.6666666666)</f>
        <v>43185.666666666599</v>
      </c>
      <c r="B814" s="1">
        <f ca="1">IFERROR(__xludf.DUMMYFUNCTION("""COMPUTED_VALUE"""),5.95)</f>
        <v>5.95</v>
      </c>
      <c r="C814" s="1">
        <f ca="1">IFERROR(__xludf.DUMMYFUNCTION("""COMPUTED_VALUE"""),6.11)</f>
        <v>6.11</v>
      </c>
      <c r="D814" s="1">
        <f ca="1">IFERROR(__xludf.DUMMYFUNCTION("""COMPUTED_VALUE"""),5.9)</f>
        <v>5.9</v>
      </c>
      <c r="E814" s="1">
        <f ca="1">IFERROR(__xludf.DUMMYFUNCTION("""COMPUTED_VALUE"""),6.11)</f>
        <v>6.11</v>
      </c>
      <c r="F814" s="1">
        <f ca="1">IFERROR(__xludf.DUMMYFUNCTION("""COMPUTED_VALUE"""),15285640)</f>
        <v>15285640</v>
      </c>
    </row>
    <row r="815" spans="1:6" x14ac:dyDescent="0.35">
      <c r="A815" s="2">
        <f ca="1">IFERROR(__xludf.DUMMYFUNCTION("""COMPUTED_VALUE"""),43186.6666666666)</f>
        <v>43186.666666666599</v>
      </c>
      <c r="B815" s="1">
        <f ca="1">IFERROR(__xludf.DUMMYFUNCTION("""COMPUTED_VALUE"""),6.19)</f>
        <v>6.19</v>
      </c>
      <c r="C815" s="1">
        <f ca="1">IFERROR(__xludf.DUMMYFUNCTION("""COMPUTED_VALUE"""),6.25)</f>
        <v>6.25</v>
      </c>
      <c r="D815" s="1">
        <f ca="1">IFERROR(__xludf.DUMMYFUNCTION("""COMPUTED_VALUE"""),5.5)</f>
        <v>5.5</v>
      </c>
      <c r="E815" s="1">
        <f ca="1">IFERROR(__xludf.DUMMYFUNCTION("""COMPUTED_VALUE"""),5.64)</f>
        <v>5.64</v>
      </c>
      <c r="F815" s="1">
        <f ca="1">IFERROR(__xludf.DUMMYFUNCTION("""COMPUTED_VALUE"""),35225012)</f>
        <v>35225012</v>
      </c>
    </row>
    <row r="816" spans="1:6" x14ac:dyDescent="0.35">
      <c r="A816" s="2">
        <f ca="1">IFERROR(__xludf.DUMMYFUNCTION("""COMPUTED_VALUE"""),43187.6666666666)</f>
        <v>43187.666666666599</v>
      </c>
      <c r="B816" s="1">
        <f ca="1">IFERROR(__xludf.DUMMYFUNCTION("""COMPUTED_VALUE"""),5.6)</f>
        <v>5.6</v>
      </c>
      <c r="C816" s="1">
        <f ca="1">IFERROR(__xludf.DUMMYFUNCTION("""COMPUTED_VALUE"""),5.73)</f>
        <v>5.73</v>
      </c>
      <c r="D816" s="1">
        <f ca="1">IFERROR(__xludf.DUMMYFUNCTION("""COMPUTED_VALUE"""),5.43)</f>
        <v>5.43</v>
      </c>
      <c r="E816" s="1">
        <f ca="1">IFERROR(__xludf.DUMMYFUNCTION("""COMPUTED_VALUE"""),5.53)</f>
        <v>5.53</v>
      </c>
      <c r="F816" s="1">
        <f ca="1">IFERROR(__xludf.DUMMYFUNCTION("""COMPUTED_VALUE"""),23647648)</f>
        <v>23647648</v>
      </c>
    </row>
    <row r="817" spans="1:6" x14ac:dyDescent="0.35">
      <c r="A817" s="2">
        <f ca="1">IFERROR(__xludf.DUMMYFUNCTION("""COMPUTED_VALUE"""),43188.6666666666)</f>
        <v>43188.666666666599</v>
      </c>
      <c r="B817" s="1">
        <f ca="1">IFERROR(__xludf.DUMMYFUNCTION("""COMPUTED_VALUE"""),5.6)</f>
        <v>5.6</v>
      </c>
      <c r="C817" s="1">
        <f ca="1">IFERROR(__xludf.DUMMYFUNCTION("""COMPUTED_VALUE"""),5.89)</f>
        <v>5.89</v>
      </c>
      <c r="D817" s="1">
        <f ca="1">IFERROR(__xludf.DUMMYFUNCTION("""COMPUTED_VALUE"""),5.52)</f>
        <v>5.52</v>
      </c>
      <c r="E817" s="1">
        <f ca="1">IFERROR(__xludf.DUMMYFUNCTION("""COMPUTED_VALUE"""),5.79)</f>
        <v>5.79</v>
      </c>
      <c r="F817" s="1">
        <f ca="1">IFERROR(__xludf.DUMMYFUNCTION("""COMPUTED_VALUE"""),22915692)</f>
        <v>22915692</v>
      </c>
    </row>
    <row r="818" spans="1:6" x14ac:dyDescent="0.35">
      <c r="A818" s="2">
        <f ca="1">IFERROR(__xludf.DUMMYFUNCTION("""COMPUTED_VALUE"""),43192.6666666666)</f>
        <v>43192.666666666599</v>
      </c>
      <c r="B818" s="1">
        <f ca="1">IFERROR(__xludf.DUMMYFUNCTION("""COMPUTED_VALUE"""),5.72)</f>
        <v>5.72</v>
      </c>
      <c r="C818" s="1">
        <f ca="1">IFERROR(__xludf.DUMMYFUNCTION("""COMPUTED_VALUE"""),5.87)</f>
        <v>5.87</v>
      </c>
      <c r="D818" s="1">
        <f ca="1">IFERROR(__xludf.DUMMYFUNCTION("""COMPUTED_VALUE"""),5.44)</f>
        <v>5.44</v>
      </c>
      <c r="E818" s="1">
        <f ca="1">IFERROR(__xludf.DUMMYFUNCTION("""COMPUTED_VALUE"""),5.53)</f>
        <v>5.53</v>
      </c>
      <c r="F818" s="1">
        <f ca="1">IFERROR(__xludf.DUMMYFUNCTION("""COMPUTED_VALUE"""),23052315)</f>
        <v>23052315</v>
      </c>
    </row>
    <row r="819" spans="1:6" x14ac:dyDescent="0.35">
      <c r="A819" s="2">
        <f ca="1">IFERROR(__xludf.DUMMYFUNCTION("""COMPUTED_VALUE"""),43193.6666666666)</f>
        <v>43193.666666666599</v>
      </c>
      <c r="B819" s="1">
        <f ca="1">IFERROR(__xludf.DUMMYFUNCTION("""COMPUTED_VALUE"""),5.7)</f>
        <v>5.7</v>
      </c>
      <c r="C819" s="1">
        <f ca="1">IFERROR(__xludf.DUMMYFUNCTION("""COMPUTED_VALUE"""),5.76)</f>
        <v>5.76</v>
      </c>
      <c r="D819" s="1">
        <f ca="1">IFERROR(__xludf.DUMMYFUNCTION("""COMPUTED_VALUE"""),5.53)</f>
        <v>5.53</v>
      </c>
      <c r="E819" s="1">
        <f ca="1">IFERROR(__xludf.DUMMYFUNCTION("""COMPUTED_VALUE"""),5.63)</f>
        <v>5.63</v>
      </c>
      <c r="F819" s="1">
        <f ca="1">IFERROR(__xludf.DUMMYFUNCTION("""COMPUTED_VALUE"""),16685759)</f>
        <v>16685759</v>
      </c>
    </row>
    <row r="820" spans="1:6" x14ac:dyDescent="0.35">
      <c r="A820" s="2">
        <f ca="1">IFERROR(__xludf.DUMMYFUNCTION("""COMPUTED_VALUE"""),43194.6666666666)</f>
        <v>43194.666666666599</v>
      </c>
      <c r="B820" s="1">
        <f ca="1">IFERROR(__xludf.DUMMYFUNCTION("""COMPUTED_VALUE"""),5.38)</f>
        <v>5.38</v>
      </c>
      <c r="C820" s="1">
        <f ca="1">IFERROR(__xludf.DUMMYFUNCTION("""COMPUTED_VALUE"""),5.67)</f>
        <v>5.67</v>
      </c>
      <c r="D820" s="1">
        <f ca="1">IFERROR(__xludf.DUMMYFUNCTION("""COMPUTED_VALUE"""),5.35)</f>
        <v>5.35</v>
      </c>
      <c r="E820" s="1">
        <f ca="1">IFERROR(__xludf.DUMMYFUNCTION("""COMPUTED_VALUE"""),5.66)</f>
        <v>5.66</v>
      </c>
      <c r="F820" s="1">
        <f ca="1">IFERROR(__xludf.DUMMYFUNCTION("""COMPUTED_VALUE"""),19729161)</f>
        <v>19729161</v>
      </c>
    </row>
    <row r="821" spans="1:6" x14ac:dyDescent="0.35">
      <c r="A821" s="2">
        <f ca="1">IFERROR(__xludf.DUMMYFUNCTION("""COMPUTED_VALUE"""),43195.6666666666)</f>
        <v>43195.666666666599</v>
      </c>
      <c r="B821" s="1">
        <f ca="1">IFERROR(__xludf.DUMMYFUNCTION("""COMPUTED_VALUE"""),5.72)</f>
        <v>5.72</v>
      </c>
      <c r="C821" s="1">
        <f ca="1">IFERROR(__xludf.DUMMYFUNCTION("""COMPUTED_VALUE"""),5.73)</f>
        <v>5.73</v>
      </c>
      <c r="D821" s="1">
        <f ca="1">IFERROR(__xludf.DUMMYFUNCTION("""COMPUTED_VALUE"""),5.46)</f>
        <v>5.46</v>
      </c>
      <c r="E821" s="1">
        <f ca="1">IFERROR(__xludf.DUMMYFUNCTION("""COMPUTED_VALUE"""),5.53)</f>
        <v>5.53</v>
      </c>
      <c r="F821" s="1">
        <f ca="1">IFERROR(__xludf.DUMMYFUNCTION("""COMPUTED_VALUE"""),17530973)</f>
        <v>17530973</v>
      </c>
    </row>
    <row r="822" spans="1:6" x14ac:dyDescent="0.35">
      <c r="A822" s="2">
        <f ca="1">IFERROR(__xludf.DUMMYFUNCTION("""COMPUTED_VALUE"""),43196.6666666666)</f>
        <v>43196.666666666599</v>
      </c>
      <c r="B822" s="1">
        <f ca="1">IFERROR(__xludf.DUMMYFUNCTION("""COMPUTED_VALUE"""),5.43)</f>
        <v>5.43</v>
      </c>
      <c r="C822" s="1">
        <f ca="1">IFERROR(__xludf.DUMMYFUNCTION("""COMPUTED_VALUE"""),5.54)</f>
        <v>5.54</v>
      </c>
      <c r="D822" s="1">
        <f ca="1">IFERROR(__xludf.DUMMYFUNCTION("""COMPUTED_VALUE"""),5.33)</f>
        <v>5.33</v>
      </c>
      <c r="E822" s="1">
        <f ca="1">IFERROR(__xludf.DUMMYFUNCTION("""COMPUTED_VALUE"""),5.36)</f>
        <v>5.36</v>
      </c>
      <c r="F822" s="1">
        <f ca="1">IFERROR(__xludf.DUMMYFUNCTION("""COMPUTED_VALUE"""),16574720)</f>
        <v>16574720</v>
      </c>
    </row>
    <row r="823" spans="1:6" x14ac:dyDescent="0.35">
      <c r="A823" s="2">
        <f ca="1">IFERROR(__xludf.DUMMYFUNCTION("""COMPUTED_VALUE"""),43199.6666666666)</f>
        <v>43199.666666666599</v>
      </c>
      <c r="B823" s="1">
        <f ca="1">IFERROR(__xludf.DUMMYFUNCTION("""COMPUTED_VALUE"""),5.42)</f>
        <v>5.42</v>
      </c>
      <c r="C823" s="1">
        <f ca="1">IFERROR(__xludf.DUMMYFUNCTION("""COMPUTED_VALUE"""),5.55)</f>
        <v>5.55</v>
      </c>
      <c r="D823" s="1">
        <f ca="1">IFERROR(__xludf.DUMMYFUNCTION("""COMPUTED_VALUE"""),5.37)</f>
        <v>5.37</v>
      </c>
      <c r="E823" s="1">
        <f ca="1">IFERROR(__xludf.DUMMYFUNCTION("""COMPUTED_VALUE"""),5.39)</f>
        <v>5.39</v>
      </c>
      <c r="F823" s="1">
        <f ca="1">IFERROR(__xludf.DUMMYFUNCTION("""COMPUTED_VALUE"""),12488120)</f>
        <v>12488120</v>
      </c>
    </row>
    <row r="824" spans="1:6" x14ac:dyDescent="0.35">
      <c r="A824" s="2">
        <f ca="1">IFERROR(__xludf.DUMMYFUNCTION("""COMPUTED_VALUE"""),43200.6666666666)</f>
        <v>43200.666666666599</v>
      </c>
      <c r="B824" s="1">
        <f ca="1">IFERROR(__xludf.DUMMYFUNCTION("""COMPUTED_VALUE"""),5.62)</f>
        <v>5.62</v>
      </c>
      <c r="C824" s="1">
        <f ca="1">IFERROR(__xludf.DUMMYFUNCTION("""COMPUTED_VALUE"""),5.73)</f>
        <v>5.73</v>
      </c>
      <c r="D824" s="1">
        <f ca="1">IFERROR(__xludf.DUMMYFUNCTION("""COMPUTED_VALUE"""),5.56)</f>
        <v>5.56</v>
      </c>
      <c r="E824" s="1">
        <f ca="1">IFERROR(__xludf.DUMMYFUNCTION("""COMPUTED_VALUE"""),5.7)</f>
        <v>5.7</v>
      </c>
      <c r="F824" s="1">
        <f ca="1">IFERROR(__xludf.DUMMYFUNCTION("""COMPUTED_VALUE"""),19118807)</f>
        <v>19118807</v>
      </c>
    </row>
    <row r="825" spans="1:6" x14ac:dyDescent="0.35">
      <c r="A825" s="2">
        <f ca="1">IFERROR(__xludf.DUMMYFUNCTION("""COMPUTED_VALUE"""),43201.6666666666)</f>
        <v>43201.666666666599</v>
      </c>
      <c r="B825" s="1">
        <f ca="1">IFERROR(__xludf.DUMMYFUNCTION("""COMPUTED_VALUE"""),5.68)</f>
        <v>5.68</v>
      </c>
      <c r="C825" s="1">
        <f ca="1">IFERROR(__xludf.DUMMYFUNCTION("""COMPUTED_VALUE"""),5.72)</f>
        <v>5.72</v>
      </c>
      <c r="D825" s="1">
        <f ca="1">IFERROR(__xludf.DUMMYFUNCTION("""COMPUTED_VALUE"""),5.62)</f>
        <v>5.62</v>
      </c>
      <c r="E825" s="1">
        <f ca="1">IFERROR(__xludf.DUMMYFUNCTION("""COMPUTED_VALUE"""),5.66)</f>
        <v>5.66</v>
      </c>
      <c r="F825" s="1">
        <f ca="1">IFERROR(__xludf.DUMMYFUNCTION("""COMPUTED_VALUE"""),11506057)</f>
        <v>11506057</v>
      </c>
    </row>
    <row r="826" spans="1:6" x14ac:dyDescent="0.35">
      <c r="A826" s="2">
        <f ca="1">IFERROR(__xludf.DUMMYFUNCTION("""COMPUTED_VALUE"""),43202.6666666666)</f>
        <v>43202.666666666599</v>
      </c>
      <c r="B826" s="1">
        <f ca="1">IFERROR(__xludf.DUMMYFUNCTION("""COMPUTED_VALUE"""),5.75)</f>
        <v>5.75</v>
      </c>
      <c r="C826" s="1">
        <f ca="1">IFERROR(__xludf.DUMMYFUNCTION("""COMPUTED_VALUE"""),5.88)</f>
        <v>5.88</v>
      </c>
      <c r="D826" s="1">
        <f ca="1">IFERROR(__xludf.DUMMYFUNCTION("""COMPUTED_VALUE"""),5.71)</f>
        <v>5.71</v>
      </c>
      <c r="E826" s="1">
        <f ca="1">IFERROR(__xludf.DUMMYFUNCTION("""COMPUTED_VALUE"""),5.87)</f>
        <v>5.87</v>
      </c>
      <c r="F826" s="1">
        <f ca="1">IFERROR(__xludf.DUMMYFUNCTION("""COMPUTED_VALUE"""),14847950)</f>
        <v>14847950</v>
      </c>
    </row>
    <row r="827" spans="1:6" x14ac:dyDescent="0.35">
      <c r="A827" s="2">
        <f ca="1">IFERROR(__xludf.DUMMYFUNCTION("""COMPUTED_VALUE"""),43203.6666666666)</f>
        <v>43203.666666666599</v>
      </c>
      <c r="B827" s="1">
        <f ca="1">IFERROR(__xludf.DUMMYFUNCTION("""COMPUTED_VALUE"""),5.93)</f>
        <v>5.93</v>
      </c>
      <c r="C827" s="1">
        <f ca="1">IFERROR(__xludf.DUMMYFUNCTION("""COMPUTED_VALUE"""),5.94)</f>
        <v>5.94</v>
      </c>
      <c r="D827" s="1">
        <f ca="1">IFERROR(__xludf.DUMMYFUNCTION("""COMPUTED_VALUE"""),5.74)</f>
        <v>5.74</v>
      </c>
      <c r="E827" s="1">
        <f ca="1">IFERROR(__xludf.DUMMYFUNCTION("""COMPUTED_VALUE"""),5.79)</f>
        <v>5.79</v>
      </c>
      <c r="F827" s="1">
        <f ca="1">IFERROR(__xludf.DUMMYFUNCTION("""COMPUTED_VALUE"""),12575892)</f>
        <v>12575892</v>
      </c>
    </row>
    <row r="828" spans="1:6" x14ac:dyDescent="0.35">
      <c r="A828" s="2">
        <f ca="1">IFERROR(__xludf.DUMMYFUNCTION("""COMPUTED_VALUE"""),43206.6666666666)</f>
        <v>43206.666666666599</v>
      </c>
      <c r="B828" s="1">
        <f ca="1">IFERROR(__xludf.DUMMYFUNCTION("""COMPUTED_VALUE"""),5.79)</f>
        <v>5.79</v>
      </c>
      <c r="C828" s="1">
        <f ca="1">IFERROR(__xludf.DUMMYFUNCTION("""COMPUTED_VALUE"""),5.82)</f>
        <v>5.82</v>
      </c>
      <c r="D828" s="1">
        <f ca="1">IFERROR(__xludf.DUMMYFUNCTION("""COMPUTED_VALUE"""),5.69)</f>
        <v>5.69</v>
      </c>
      <c r="E828" s="1">
        <f ca="1">IFERROR(__xludf.DUMMYFUNCTION("""COMPUTED_VALUE"""),5.79)</f>
        <v>5.79</v>
      </c>
      <c r="F828" s="1">
        <f ca="1">IFERROR(__xludf.DUMMYFUNCTION("""COMPUTED_VALUE"""),8769776)</f>
        <v>8769776</v>
      </c>
    </row>
    <row r="829" spans="1:6" x14ac:dyDescent="0.35">
      <c r="A829" s="2">
        <f ca="1">IFERROR(__xludf.DUMMYFUNCTION("""COMPUTED_VALUE"""),43207.6666666666)</f>
        <v>43207.666666666599</v>
      </c>
      <c r="B829" s="1">
        <f ca="1">IFERROR(__xludf.DUMMYFUNCTION("""COMPUTED_VALUE"""),5.84)</f>
        <v>5.84</v>
      </c>
      <c r="C829" s="1">
        <f ca="1">IFERROR(__xludf.DUMMYFUNCTION("""COMPUTED_VALUE"""),5.96)</f>
        <v>5.96</v>
      </c>
      <c r="D829" s="1">
        <f ca="1">IFERROR(__xludf.DUMMYFUNCTION("""COMPUTED_VALUE"""),5.78)</f>
        <v>5.78</v>
      </c>
      <c r="E829" s="1">
        <f ca="1">IFERROR(__xludf.DUMMYFUNCTION("""COMPUTED_VALUE"""),5.94)</f>
        <v>5.94</v>
      </c>
      <c r="F829" s="1">
        <f ca="1">IFERROR(__xludf.DUMMYFUNCTION("""COMPUTED_VALUE"""),11180638)</f>
        <v>11180638</v>
      </c>
    </row>
    <row r="830" spans="1:6" x14ac:dyDescent="0.35">
      <c r="A830" s="2">
        <f ca="1">IFERROR(__xludf.DUMMYFUNCTION("""COMPUTED_VALUE"""),43208.6666666666)</f>
        <v>43208.666666666599</v>
      </c>
      <c r="B830" s="1">
        <f ca="1">IFERROR(__xludf.DUMMYFUNCTION("""COMPUTED_VALUE"""),5.89)</f>
        <v>5.89</v>
      </c>
      <c r="C830" s="1">
        <f ca="1">IFERROR(__xludf.DUMMYFUNCTION("""COMPUTED_VALUE"""),5.98)</f>
        <v>5.98</v>
      </c>
      <c r="D830" s="1">
        <f ca="1">IFERROR(__xludf.DUMMYFUNCTION("""COMPUTED_VALUE"""),5.82)</f>
        <v>5.82</v>
      </c>
      <c r="E830" s="1">
        <f ca="1">IFERROR(__xludf.DUMMYFUNCTION("""COMPUTED_VALUE"""),5.91)</f>
        <v>5.91</v>
      </c>
      <c r="F830" s="1">
        <f ca="1">IFERROR(__xludf.DUMMYFUNCTION("""COMPUTED_VALUE"""),9784058)</f>
        <v>9784058</v>
      </c>
    </row>
    <row r="831" spans="1:6" x14ac:dyDescent="0.35">
      <c r="A831" s="2">
        <f ca="1">IFERROR(__xludf.DUMMYFUNCTION("""COMPUTED_VALUE"""),43209.6666666666)</f>
        <v>43209.666666666599</v>
      </c>
      <c r="B831" s="1">
        <f ca="1">IFERROR(__xludf.DUMMYFUNCTION("""COMPUTED_VALUE"""),5.79)</f>
        <v>5.79</v>
      </c>
      <c r="C831" s="1">
        <f ca="1">IFERROR(__xludf.DUMMYFUNCTION("""COMPUTED_VALUE"""),5.83)</f>
        <v>5.83</v>
      </c>
      <c r="D831" s="1">
        <f ca="1">IFERROR(__xludf.DUMMYFUNCTION("""COMPUTED_VALUE"""),5.67)</f>
        <v>5.67</v>
      </c>
      <c r="E831" s="1">
        <f ca="1">IFERROR(__xludf.DUMMYFUNCTION("""COMPUTED_VALUE"""),5.73)</f>
        <v>5.73</v>
      </c>
      <c r="F831" s="1">
        <f ca="1">IFERROR(__xludf.DUMMYFUNCTION("""COMPUTED_VALUE"""),11799933)</f>
        <v>11799933</v>
      </c>
    </row>
    <row r="832" spans="1:6" x14ac:dyDescent="0.35">
      <c r="A832" s="2">
        <f ca="1">IFERROR(__xludf.DUMMYFUNCTION("""COMPUTED_VALUE"""),43210.6666666666)</f>
        <v>43210.666666666599</v>
      </c>
      <c r="B832" s="1">
        <f ca="1">IFERROR(__xludf.DUMMYFUNCTION("""COMPUTED_VALUE"""),5.72)</f>
        <v>5.72</v>
      </c>
      <c r="C832" s="1">
        <f ca="1">IFERROR(__xludf.DUMMYFUNCTION("""COMPUTED_VALUE"""),5.8)</f>
        <v>5.8</v>
      </c>
      <c r="D832" s="1">
        <f ca="1">IFERROR(__xludf.DUMMYFUNCTION("""COMPUTED_VALUE"""),5.69)</f>
        <v>5.69</v>
      </c>
      <c r="E832" s="1">
        <f ca="1">IFERROR(__xludf.DUMMYFUNCTION("""COMPUTED_VALUE"""),5.72)</f>
        <v>5.72</v>
      </c>
      <c r="F832" s="1">
        <f ca="1">IFERROR(__xludf.DUMMYFUNCTION("""COMPUTED_VALUE"""),9654966)</f>
        <v>9654966</v>
      </c>
    </row>
    <row r="833" spans="1:6" x14ac:dyDescent="0.35">
      <c r="A833" s="2">
        <f ca="1">IFERROR(__xludf.DUMMYFUNCTION("""COMPUTED_VALUE"""),43213.6666666666)</f>
        <v>43213.666666666599</v>
      </c>
      <c r="B833" s="1">
        <f ca="1">IFERROR(__xludf.DUMMYFUNCTION("""COMPUTED_VALUE"""),5.74)</f>
        <v>5.74</v>
      </c>
      <c r="C833" s="1">
        <f ca="1">IFERROR(__xludf.DUMMYFUNCTION("""COMPUTED_VALUE"""),5.79)</f>
        <v>5.79</v>
      </c>
      <c r="D833" s="1">
        <f ca="1">IFERROR(__xludf.DUMMYFUNCTION("""COMPUTED_VALUE"""),5.57)</f>
        <v>5.57</v>
      </c>
      <c r="E833" s="1">
        <f ca="1">IFERROR(__xludf.DUMMYFUNCTION("""COMPUTED_VALUE"""),5.6)</f>
        <v>5.6</v>
      </c>
      <c r="F833" s="1">
        <f ca="1">IFERROR(__xludf.DUMMYFUNCTION("""COMPUTED_VALUE"""),10687723)</f>
        <v>10687723</v>
      </c>
    </row>
    <row r="834" spans="1:6" x14ac:dyDescent="0.35">
      <c r="A834" s="2">
        <f ca="1">IFERROR(__xludf.DUMMYFUNCTION("""COMPUTED_VALUE"""),43214.6666666666)</f>
        <v>43214.666666666599</v>
      </c>
      <c r="B834" s="1">
        <f ca="1">IFERROR(__xludf.DUMMYFUNCTION("""COMPUTED_VALUE"""),5.62)</f>
        <v>5.62</v>
      </c>
      <c r="C834" s="1">
        <f ca="1">IFERROR(__xludf.DUMMYFUNCTION("""COMPUTED_VALUE"""),5.72)</f>
        <v>5.72</v>
      </c>
      <c r="D834" s="1">
        <f ca="1">IFERROR(__xludf.DUMMYFUNCTION("""COMPUTED_VALUE"""),5.46)</f>
        <v>5.46</v>
      </c>
      <c r="E834" s="1">
        <f ca="1">IFERROR(__xludf.DUMMYFUNCTION("""COMPUTED_VALUE"""),5.53)</f>
        <v>5.53</v>
      </c>
      <c r="F834" s="1">
        <f ca="1">IFERROR(__xludf.DUMMYFUNCTION("""COMPUTED_VALUE"""),10364894)</f>
        <v>10364894</v>
      </c>
    </row>
    <row r="835" spans="1:6" x14ac:dyDescent="0.35">
      <c r="A835" s="2">
        <f ca="1">IFERROR(__xludf.DUMMYFUNCTION("""COMPUTED_VALUE"""),43215.6666666666)</f>
        <v>43215.666666666599</v>
      </c>
      <c r="B835" s="1">
        <f ca="1">IFERROR(__xludf.DUMMYFUNCTION("""COMPUTED_VALUE"""),5.5)</f>
        <v>5.5</v>
      </c>
      <c r="C835" s="1">
        <f ca="1">IFERROR(__xludf.DUMMYFUNCTION("""COMPUTED_VALUE"""),5.54)</f>
        <v>5.54</v>
      </c>
      <c r="D835" s="1">
        <f ca="1">IFERROR(__xludf.DUMMYFUNCTION("""COMPUTED_VALUE"""),5.26)</f>
        <v>5.26</v>
      </c>
      <c r="E835" s="1">
        <f ca="1">IFERROR(__xludf.DUMMYFUNCTION("""COMPUTED_VALUE"""),5.42)</f>
        <v>5.42</v>
      </c>
      <c r="F835" s="1">
        <f ca="1">IFERROR(__xludf.DUMMYFUNCTION("""COMPUTED_VALUE"""),14712343)</f>
        <v>14712343</v>
      </c>
    </row>
    <row r="836" spans="1:6" x14ac:dyDescent="0.35">
      <c r="A836" s="2">
        <f ca="1">IFERROR(__xludf.DUMMYFUNCTION("""COMPUTED_VALUE"""),43216.6666666666)</f>
        <v>43216.666666666599</v>
      </c>
      <c r="B836" s="1">
        <f ca="1">IFERROR(__xludf.DUMMYFUNCTION("""COMPUTED_VALUE"""),5.58)</f>
        <v>5.58</v>
      </c>
      <c r="C836" s="1">
        <f ca="1">IFERROR(__xludf.DUMMYFUNCTION("""COMPUTED_VALUE"""),5.64)</f>
        <v>5.64</v>
      </c>
      <c r="D836" s="1">
        <f ca="1">IFERROR(__xludf.DUMMYFUNCTION("""COMPUTED_VALUE"""),5.51)</f>
        <v>5.51</v>
      </c>
      <c r="E836" s="1">
        <f ca="1">IFERROR(__xludf.DUMMYFUNCTION("""COMPUTED_VALUE"""),5.63)</f>
        <v>5.63</v>
      </c>
      <c r="F836" s="1">
        <f ca="1">IFERROR(__xludf.DUMMYFUNCTION("""COMPUTED_VALUE"""),9395574)</f>
        <v>9395574</v>
      </c>
    </row>
    <row r="837" spans="1:6" x14ac:dyDescent="0.35">
      <c r="A837" s="2">
        <f ca="1">IFERROR(__xludf.DUMMYFUNCTION("""COMPUTED_VALUE"""),43217.6666666666)</f>
        <v>43217.666666666599</v>
      </c>
      <c r="B837" s="1">
        <f ca="1">IFERROR(__xludf.DUMMYFUNCTION("""COMPUTED_VALUE"""),5.74)</f>
        <v>5.74</v>
      </c>
      <c r="C837" s="1">
        <f ca="1">IFERROR(__xludf.DUMMYFUNCTION("""COMPUTED_VALUE"""),5.76)</f>
        <v>5.76</v>
      </c>
      <c r="D837" s="1">
        <f ca="1">IFERROR(__xludf.DUMMYFUNCTION("""COMPUTED_VALUE"""),5.62)</f>
        <v>5.62</v>
      </c>
      <c r="E837" s="1">
        <f ca="1">IFERROR(__xludf.DUMMYFUNCTION("""COMPUTED_VALUE"""),5.66)</f>
        <v>5.66</v>
      </c>
      <c r="F837" s="1">
        <f ca="1">IFERROR(__xludf.DUMMYFUNCTION("""COMPUTED_VALUE"""),10021245)</f>
        <v>10021245</v>
      </c>
    </row>
    <row r="838" spans="1:6" x14ac:dyDescent="0.35">
      <c r="A838" s="2">
        <f ca="1">IFERROR(__xludf.DUMMYFUNCTION("""COMPUTED_VALUE"""),43220.6666666666)</f>
        <v>43220.666666666599</v>
      </c>
      <c r="B838" s="1">
        <f ca="1">IFERROR(__xludf.DUMMYFUNCTION("""COMPUTED_VALUE"""),5.67)</f>
        <v>5.67</v>
      </c>
      <c r="C838" s="1">
        <f ca="1">IFERROR(__xludf.DUMMYFUNCTION("""COMPUTED_VALUE"""),5.73)</f>
        <v>5.73</v>
      </c>
      <c r="D838" s="1">
        <f ca="1">IFERROR(__xludf.DUMMYFUNCTION("""COMPUTED_VALUE"""),5.6)</f>
        <v>5.6</v>
      </c>
      <c r="E838" s="1">
        <f ca="1">IFERROR(__xludf.DUMMYFUNCTION("""COMPUTED_VALUE"""),5.62)</f>
        <v>5.62</v>
      </c>
      <c r="F838" s="1">
        <f ca="1">IFERROR(__xludf.DUMMYFUNCTION("""COMPUTED_VALUE"""),8196067)</f>
        <v>8196067</v>
      </c>
    </row>
    <row r="839" spans="1:6" x14ac:dyDescent="0.35">
      <c r="A839" s="2">
        <f ca="1">IFERROR(__xludf.DUMMYFUNCTION("""COMPUTED_VALUE"""),43221.6666666666)</f>
        <v>43221.666666666599</v>
      </c>
      <c r="B839" s="1">
        <f ca="1">IFERROR(__xludf.DUMMYFUNCTION("""COMPUTED_VALUE"""),5.61)</f>
        <v>5.61</v>
      </c>
      <c r="C839" s="1">
        <f ca="1">IFERROR(__xludf.DUMMYFUNCTION("""COMPUTED_VALUE"""),5.68)</f>
        <v>5.68</v>
      </c>
      <c r="D839" s="1">
        <f ca="1">IFERROR(__xludf.DUMMYFUNCTION("""COMPUTED_VALUE"""),5.56)</f>
        <v>5.56</v>
      </c>
      <c r="E839" s="1">
        <f ca="1">IFERROR(__xludf.DUMMYFUNCTION("""COMPUTED_VALUE"""),5.68)</f>
        <v>5.68</v>
      </c>
      <c r="F839" s="1">
        <f ca="1">IFERROR(__xludf.DUMMYFUNCTION("""COMPUTED_VALUE"""),6344727)</f>
        <v>6344727</v>
      </c>
    </row>
    <row r="840" spans="1:6" x14ac:dyDescent="0.35">
      <c r="A840" s="2">
        <f ca="1">IFERROR(__xludf.DUMMYFUNCTION("""COMPUTED_VALUE"""),43222.6666666666)</f>
        <v>43222.666666666599</v>
      </c>
      <c r="B840" s="1">
        <f ca="1">IFERROR(__xludf.DUMMYFUNCTION("""COMPUTED_VALUE"""),5.68)</f>
        <v>5.68</v>
      </c>
      <c r="C840" s="1">
        <f ca="1">IFERROR(__xludf.DUMMYFUNCTION("""COMPUTED_VALUE"""),5.72)</f>
        <v>5.72</v>
      </c>
      <c r="D840" s="1">
        <f ca="1">IFERROR(__xludf.DUMMYFUNCTION("""COMPUTED_VALUE"""),5.63)</f>
        <v>5.63</v>
      </c>
      <c r="E840" s="1">
        <f ca="1">IFERROR(__xludf.DUMMYFUNCTION("""COMPUTED_VALUE"""),5.66)</f>
        <v>5.66</v>
      </c>
      <c r="F840" s="1">
        <f ca="1">IFERROR(__xludf.DUMMYFUNCTION("""COMPUTED_VALUE"""),6706185)</f>
        <v>6706185</v>
      </c>
    </row>
    <row r="841" spans="1:6" x14ac:dyDescent="0.35">
      <c r="A841" s="2">
        <f ca="1">IFERROR(__xludf.DUMMYFUNCTION("""COMPUTED_VALUE"""),43223.6666666666)</f>
        <v>43223.666666666599</v>
      </c>
      <c r="B841" s="1">
        <f ca="1">IFERROR(__xludf.DUMMYFUNCTION("""COMPUTED_VALUE"""),5.69)</f>
        <v>5.69</v>
      </c>
      <c r="C841" s="1">
        <f ca="1">IFERROR(__xludf.DUMMYFUNCTION("""COMPUTED_VALUE"""),5.85)</f>
        <v>5.85</v>
      </c>
      <c r="D841" s="1">
        <f ca="1">IFERROR(__xludf.DUMMYFUNCTION("""COMPUTED_VALUE"""),5.64)</f>
        <v>5.64</v>
      </c>
      <c r="E841" s="1">
        <f ca="1">IFERROR(__xludf.DUMMYFUNCTION("""COMPUTED_VALUE"""),5.82)</f>
        <v>5.82</v>
      </c>
      <c r="F841" s="1">
        <f ca="1">IFERROR(__xludf.DUMMYFUNCTION("""COMPUTED_VALUE"""),11078640)</f>
        <v>11078640</v>
      </c>
    </row>
    <row r="842" spans="1:6" x14ac:dyDescent="0.35">
      <c r="A842" s="2">
        <f ca="1">IFERROR(__xludf.DUMMYFUNCTION("""COMPUTED_VALUE"""),43224.6666666666)</f>
        <v>43224.666666666599</v>
      </c>
      <c r="B842" s="1">
        <f ca="1">IFERROR(__xludf.DUMMYFUNCTION("""COMPUTED_VALUE"""),5.8)</f>
        <v>5.8</v>
      </c>
      <c r="C842" s="1">
        <f ca="1">IFERROR(__xludf.DUMMYFUNCTION("""COMPUTED_VALUE"""),5.98)</f>
        <v>5.98</v>
      </c>
      <c r="D842" s="1">
        <f ca="1">IFERROR(__xludf.DUMMYFUNCTION("""COMPUTED_VALUE"""),5.78)</f>
        <v>5.78</v>
      </c>
      <c r="E842" s="1">
        <f ca="1">IFERROR(__xludf.DUMMYFUNCTION("""COMPUTED_VALUE"""),5.98)</f>
        <v>5.98</v>
      </c>
      <c r="F842" s="1">
        <f ca="1">IFERROR(__xludf.DUMMYFUNCTION("""COMPUTED_VALUE"""),10016538)</f>
        <v>10016538</v>
      </c>
    </row>
    <row r="843" spans="1:6" x14ac:dyDescent="0.35">
      <c r="A843" s="2">
        <f ca="1">IFERROR(__xludf.DUMMYFUNCTION("""COMPUTED_VALUE"""),43227.6666666666)</f>
        <v>43227.666666666599</v>
      </c>
      <c r="B843" s="1">
        <f ca="1">IFERROR(__xludf.DUMMYFUNCTION("""COMPUTED_VALUE"""),6.08)</f>
        <v>6.08</v>
      </c>
      <c r="C843" s="1">
        <f ca="1">IFERROR(__xludf.DUMMYFUNCTION("""COMPUTED_VALUE"""),6.27)</f>
        <v>6.27</v>
      </c>
      <c r="D843" s="1">
        <f ca="1">IFERROR(__xludf.DUMMYFUNCTION("""COMPUTED_VALUE"""),6.07)</f>
        <v>6.07</v>
      </c>
      <c r="E843" s="1">
        <f ca="1">IFERROR(__xludf.DUMMYFUNCTION("""COMPUTED_VALUE"""),6.22)</f>
        <v>6.22</v>
      </c>
      <c r="F843" s="1">
        <f ca="1">IFERROR(__xludf.DUMMYFUNCTION("""COMPUTED_VALUE"""),17190378)</f>
        <v>17190378</v>
      </c>
    </row>
    <row r="844" spans="1:6" x14ac:dyDescent="0.35">
      <c r="A844" s="2">
        <f ca="1">IFERROR(__xludf.DUMMYFUNCTION("""COMPUTED_VALUE"""),43228.6666666666)</f>
        <v>43228.666666666599</v>
      </c>
      <c r="B844" s="1">
        <f ca="1">IFERROR(__xludf.DUMMYFUNCTION("""COMPUTED_VALUE"""),6.22)</f>
        <v>6.22</v>
      </c>
      <c r="C844" s="1">
        <f ca="1">IFERROR(__xludf.DUMMYFUNCTION("""COMPUTED_VALUE"""),6.26)</f>
        <v>6.26</v>
      </c>
      <c r="D844" s="1">
        <f ca="1">IFERROR(__xludf.DUMMYFUNCTION("""COMPUTED_VALUE"""),6.17)</f>
        <v>6.17</v>
      </c>
      <c r="E844" s="1">
        <f ca="1">IFERROR(__xludf.DUMMYFUNCTION("""COMPUTED_VALUE"""),6.26)</f>
        <v>6.26</v>
      </c>
      <c r="F844" s="1">
        <f ca="1">IFERROR(__xludf.DUMMYFUNCTION("""COMPUTED_VALUE"""),12665374)</f>
        <v>12665374</v>
      </c>
    </row>
    <row r="845" spans="1:6" x14ac:dyDescent="0.35">
      <c r="A845" s="2">
        <f ca="1">IFERROR(__xludf.DUMMYFUNCTION("""COMPUTED_VALUE"""),43229.6666666666)</f>
        <v>43229.666666666599</v>
      </c>
      <c r="B845" s="1">
        <f ca="1">IFERROR(__xludf.DUMMYFUNCTION("""COMPUTED_VALUE"""),6.28)</f>
        <v>6.28</v>
      </c>
      <c r="C845" s="1">
        <f ca="1">IFERROR(__xludf.DUMMYFUNCTION("""COMPUTED_VALUE"""),6.4)</f>
        <v>6.4</v>
      </c>
      <c r="D845" s="1">
        <f ca="1">IFERROR(__xludf.DUMMYFUNCTION("""COMPUTED_VALUE"""),6.25)</f>
        <v>6.25</v>
      </c>
      <c r="E845" s="1">
        <f ca="1">IFERROR(__xludf.DUMMYFUNCTION("""COMPUTED_VALUE"""),6.39)</f>
        <v>6.39</v>
      </c>
      <c r="F845" s="1">
        <f ca="1">IFERROR(__xludf.DUMMYFUNCTION("""COMPUTED_VALUE"""),14918980)</f>
        <v>14918980</v>
      </c>
    </row>
    <row r="846" spans="1:6" x14ac:dyDescent="0.35">
      <c r="A846" s="2">
        <f ca="1">IFERROR(__xludf.DUMMYFUNCTION("""COMPUTED_VALUE"""),43230.6666666666)</f>
        <v>43230.666666666599</v>
      </c>
      <c r="B846" s="1">
        <f ca="1">IFERROR(__xludf.DUMMYFUNCTION("""COMPUTED_VALUE"""),6.45)</f>
        <v>6.45</v>
      </c>
      <c r="C846" s="1">
        <f ca="1">IFERROR(__xludf.DUMMYFUNCTION("""COMPUTED_VALUE"""),6.51)</f>
        <v>6.51</v>
      </c>
      <c r="D846" s="1">
        <f ca="1">IFERROR(__xludf.DUMMYFUNCTION("""COMPUTED_VALUE"""),6.43)</f>
        <v>6.43</v>
      </c>
      <c r="E846" s="1">
        <f ca="1">IFERROR(__xludf.DUMMYFUNCTION("""COMPUTED_VALUE"""),6.5)</f>
        <v>6.5</v>
      </c>
      <c r="F846" s="1">
        <f ca="1">IFERROR(__xludf.DUMMYFUNCTION("""COMPUTED_VALUE"""),24852029)</f>
        <v>24852029</v>
      </c>
    </row>
    <row r="847" spans="1:6" x14ac:dyDescent="0.35">
      <c r="A847" s="2">
        <f ca="1">IFERROR(__xludf.DUMMYFUNCTION("""COMPUTED_VALUE"""),43231.6666666666)</f>
        <v>43231.666666666599</v>
      </c>
      <c r="B847" s="1">
        <f ca="1">IFERROR(__xludf.DUMMYFUNCTION("""COMPUTED_VALUE"""),6.32)</f>
        <v>6.32</v>
      </c>
      <c r="C847" s="1">
        <f ca="1">IFERROR(__xludf.DUMMYFUNCTION("""COMPUTED_VALUE"""),6.49)</f>
        <v>6.49</v>
      </c>
      <c r="D847" s="1">
        <f ca="1">IFERROR(__xludf.DUMMYFUNCTION("""COMPUTED_VALUE"""),6.26)</f>
        <v>6.26</v>
      </c>
      <c r="E847" s="1">
        <f ca="1">IFERROR(__xludf.DUMMYFUNCTION("""COMPUTED_VALUE"""),6.36)</f>
        <v>6.36</v>
      </c>
      <c r="F847" s="1">
        <f ca="1">IFERROR(__xludf.DUMMYFUNCTION("""COMPUTED_VALUE"""),30361406)</f>
        <v>30361406</v>
      </c>
    </row>
    <row r="848" spans="1:6" x14ac:dyDescent="0.35">
      <c r="A848" s="2">
        <f ca="1">IFERROR(__xludf.DUMMYFUNCTION("""COMPUTED_VALUE"""),43234.6666666666)</f>
        <v>43234.666666666599</v>
      </c>
      <c r="B848" s="1">
        <f ca="1">IFERROR(__xludf.DUMMYFUNCTION("""COMPUTED_VALUE"""),6.4)</f>
        <v>6.4</v>
      </c>
      <c r="C848" s="1">
        <f ca="1">IFERROR(__xludf.DUMMYFUNCTION("""COMPUTED_VALUE"""),6.46)</f>
        <v>6.46</v>
      </c>
      <c r="D848" s="1">
        <f ca="1">IFERROR(__xludf.DUMMYFUNCTION("""COMPUTED_VALUE"""),6.36)</f>
        <v>6.36</v>
      </c>
      <c r="E848" s="1">
        <f ca="1">IFERROR(__xludf.DUMMYFUNCTION("""COMPUTED_VALUE"""),6.38)</f>
        <v>6.38</v>
      </c>
      <c r="F848" s="1">
        <f ca="1">IFERROR(__xludf.DUMMYFUNCTION("""COMPUTED_VALUE"""),13078477)</f>
        <v>13078477</v>
      </c>
    </row>
    <row r="849" spans="1:6" x14ac:dyDescent="0.35">
      <c r="A849" s="2">
        <f ca="1">IFERROR(__xludf.DUMMYFUNCTION("""COMPUTED_VALUE"""),43235.6666666666)</f>
        <v>43235.666666666599</v>
      </c>
      <c r="B849" s="1">
        <f ca="1">IFERROR(__xludf.DUMMYFUNCTION("""COMPUTED_VALUE"""),6.32)</f>
        <v>6.32</v>
      </c>
      <c r="C849" s="1">
        <f ca="1">IFERROR(__xludf.DUMMYFUNCTION("""COMPUTED_VALUE"""),6.32)</f>
        <v>6.32</v>
      </c>
      <c r="D849" s="1">
        <f ca="1">IFERROR(__xludf.DUMMYFUNCTION("""COMPUTED_VALUE"""),6.04)</f>
        <v>6.04</v>
      </c>
      <c r="E849" s="1">
        <f ca="1">IFERROR(__xludf.DUMMYFUNCTION("""COMPUTED_VALUE"""),6.14)</f>
        <v>6.14</v>
      </c>
      <c r="F849" s="1">
        <f ca="1">IFERROR(__xludf.DUMMYFUNCTION("""COMPUTED_VALUE"""),24088210)</f>
        <v>24088210</v>
      </c>
    </row>
    <row r="850" spans="1:6" x14ac:dyDescent="0.35">
      <c r="A850" s="2">
        <f ca="1">IFERROR(__xludf.DUMMYFUNCTION("""COMPUTED_VALUE"""),43236.6666666666)</f>
        <v>43236.666666666599</v>
      </c>
      <c r="B850" s="1">
        <f ca="1">IFERROR(__xludf.DUMMYFUNCTION("""COMPUTED_VALUE"""),6.1)</f>
        <v>6.1</v>
      </c>
      <c r="C850" s="1">
        <f ca="1">IFERROR(__xludf.DUMMYFUNCTION("""COMPUTED_VALUE"""),6.21)</f>
        <v>6.21</v>
      </c>
      <c r="D850" s="1">
        <f ca="1">IFERROR(__xludf.DUMMYFUNCTION("""COMPUTED_VALUE"""),6.06)</f>
        <v>6.06</v>
      </c>
      <c r="E850" s="1">
        <f ca="1">IFERROR(__xludf.DUMMYFUNCTION("""COMPUTED_VALUE"""),6.15)</f>
        <v>6.15</v>
      </c>
      <c r="F850" s="1">
        <f ca="1">IFERROR(__xludf.DUMMYFUNCTION("""COMPUTED_VALUE"""),13845706)</f>
        <v>13845706</v>
      </c>
    </row>
    <row r="851" spans="1:6" x14ac:dyDescent="0.35">
      <c r="A851" s="2">
        <f ca="1">IFERROR(__xludf.DUMMYFUNCTION("""COMPUTED_VALUE"""),43237.6666666666)</f>
        <v>43237.666666666599</v>
      </c>
      <c r="B851" s="1">
        <f ca="1">IFERROR(__xludf.DUMMYFUNCTION("""COMPUTED_VALUE"""),6.15)</f>
        <v>6.15</v>
      </c>
      <c r="C851" s="1">
        <f ca="1">IFERROR(__xludf.DUMMYFUNCTION("""COMPUTED_VALUE"""),6.29)</f>
        <v>6.29</v>
      </c>
      <c r="D851" s="1">
        <f ca="1">IFERROR(__xludf.DUMMYFUNCTION("""COMPUTED_VALUE"""),6.14)</f>
        <v>6.14</v>
      </c>
      <c r="E851" s="1">
        <f ca="1">IFERROR(__xludf.DUMMYFUNCTION("""COMPUTED_VALUE"""),6.19)</f>
        <v>6.19</v>
      </c>
      <c r="F851" s="1">
        <f ca="1">IFERROR(__xludf.DUMMYFUNCTION("""COMPUTED_VALUE"""),12994605)</f>
        <v>12994605</v>
      </c>
    </row>
    <row r="852" spans="1:6" x14ac:dyDescent="0.35">
      <c r="A852" s="2">
        <f ca="1">IFERROR(__xludf.DUMMYFUNCTION("""COMPUTED_VALUE"""),43238.6666666666)</f>
        <v>43238.666666666599</v>
      </c>
      <c r="B852" s="1">
        <f ca="1">IFERROR(__xludf.DUMMYFUNCTION("""COMPUTED_VALUE"""),6.25)</f>
        <v>6.25</v>
      </c>
      <c r="C852" s="1">
        <f ca="1">IFERROR(__xludf.DUMMYFUNCTION("""COMPUTED_VALUE"""),6.31)</f>
        <v>6.31</v>
      </c>
      <c r="D852" s="1">
        <f ca="1">IFERROR(__xludf.DUMMYFUNCTION("""COMPUTED_VALUE"""),6.14)</f>
        <v>6.14</v>
      </c>
      <c r="E852" s="1">
        <f ca="1">IFERROR(__xludf.DUMMYFUNCTION("""COMPUTED_VALUE"""),6.15)</f>
        <v>6.15</v>
      </c>
      <c r="F852" s="1">
        <f ca="1">IFERROR(__xludf.DUMMYFUNCTION("""COMPUTED_VALUE"""),12092942)</f>
        <v>12092942</v>
      </c>
    </row>
    <row r="853" spans="1:6" x14ac:dyDescent="0.35">
      <c r="A853" s="2">
        <f ca="1">IFERROR(__xludf.DUMMYFUNCTION("""COMPUTED_VALUE"""),43241.6666666666)</f>
        <v>43241.666666666599</v>
      </c>
      <c r="B853" s="1">
        <f ca="1">IFERROR(__xludf.DUMMYFUNCTION("""COMPUTED_VALUE"""),6.25)</f>
        <v>6.25</v>
      </c>
      <c r="C853" s="1">
        <f ca="1">IFERROR(__xludf.DUMMYFUNCTION("""COMPUTED_VALUE"""),6.25)</f>
        <v>6.25</v>
      </c>
      <c r="D853" s="1">
        <f ca="1">IFERROR(__xludf.DUMMYFUNCTION("""COMPUTED_VALUE"""),6.01)</f>
        <v>6.01</v>
      </c>
      <c r="E853" s="1">
        <f ca="1">IFERROR(__xludf.DUMMYFUNCTION("""COMPUTED_VALUE"""),6.11)</f>
        <v>6.11</v>
      </c>
      <c r="F853" s="1">
        <f ca="1">IFERROR(__xludf.DUMMYFUNCTION("""COMPUTED_VALUE"""),16015620)</f>
        <v>16015620</v>
      </c>
    </row>
    <row r="854" spans="1:6" x14ac:dyDescent="0.35">
      <c r="A854" s="2">
        <f ca="1">IFERROR(__xludf.DUMMYFUNCTION("""COMPUTED_VALUE"""),43242.6666666666)</f>
        <v>43242.666666666599</v>
      </c>
      <c r="B854" s="1">
        <f ca="1">IFERROR(__xludf.DUMMYFUNCTION("""COMPUTED_VALUE"""),6.12)</f>
        <v>6.12</v>
      </c>
      <c r="C854" s="1">
        <f ca="1">IFERROR(__xludf.DUMMYFUNCTION("""COMPUTED_VALUE"""),6.14)</f>
        <v>6.14</v>
      </c>
      <c r="D854" s="1">
        <f ca="1">IFERROR(__xludf.DUMMYFUNCTION("""COMPUTED_VALUE"""),6.01)</f>
        <v>6.01</v>
      </c>
      <c r="E854" s="1">
        <f ca="1">IFERROR(__xludf.DUMMYFUNCTION("""COMPUTED_VALUE"""),6.07)</f>
        <v>6.07</v>
      </c>
      <c r="F854" s="1">
        <f ca="1">IFERROR(__xludf.DUMMYFUNCTION("""COMPUTED_VALUE"""),12956637)</f>
        <v>12956637</v>
      </c>
    </row>
    <row r="855" spans="1:6" x14ac:dyDescent="0.35">
      <c r="A855" s="2">
        <f ca="1">IFERROR(__xludf.DUMMYFUNCTION("""COMPUTED_VALUE"""),43243.6666666666)</f>
        <v>43243.666666666599</v>
      </c>
      <c r="B855" s="1">
        <f ca="1">IFERROR(__xludf.DUMMYFUNCTION("""COMPUTED_VALUE"""),6.01)</f>
        <v>6.01</v>
      </c>
      <c r="C855" s="1">
        <f ca="1">IFERROR(__xludf.DUMMYFUNCTION("""COMPUTED_VALUE"""),6.19)</f>
        <v>6.19</v>
      </c>
      <c r="D855" s="1">
        <f ca="1">IFERROR(__xludf.DUMMYFUNCTION("""COMPUTED_VALUE"""),6.01)</f>
        <v>6.01</v>
      </c>
      <c r="E855" s="1">
        <f ca="1">IFERROR(__xludf.DUMMYFUNCTION("""COMPUTED_VALUE"""),6.19)</f>
        <v>6.19</v>
      </c>
      <c r="F855" s="1">
        <f ca="1">IFERROR(__xludf.DUMMYFUNCTION("""COMPUTED_VALUE"""),11073926)</f>
        <v>11073926</v>
      </c>
    </row>
    <row r="856" spans="1:6" x14ac:dyDescent="0.35">
      <c r="A856" s="2">
        <f ca="1">IFERROR(__xludf.DUMMYFUNCTION("""COMPUTED_VALUE"""),43244.6666666666)</f>
        <v>43244.666666666599</v>
      </c>
      <c r="B856" s="1">
        <f ca="1">IFERROR(__xludf.DUMMYFUNCTION("""COMPUTED_VALUE"""),6.18)</f>
        <v>6.18</v>
      </c>
      <c r="C856" s="1">
        <f ca="1">IFERROR(__xludf.DUMMYFUNCTION("""COMPUTED_VALUE"""),6.24)</f>
        <v>6.24</v>
      </c>
      <c r="D856" s="1">
        <f ca="1">IFERROR(__xludf.DUMMYFUNCTION("""COMPUTED_VALUE"""),6.13)</f>
        <v>6.13</v>
      </c>
      <c r="E856" s="1">
        <f ca="1">IFERROR(__xludf.DUMMYFUNCTION("""COMPUTED_VALUE"""),6.19)</f>
        <v>6.19</v>
      </c>
      <c r="F856" s="1">
        <f ca="1">IFERROR(__xludf.DUMMYFUNCTION("""COMPUTED_VALUE"""),10934295)</f>
        <v>10934295</v>
      </c>
    </row>
    <row r="857" spans="1:6" x14ac:dyDescent="0.35">
      <c r="A857" s="2">
        <f ca="1">IFERROR(__xludf.DUMMYFUNCTION("""COMPUTED_VALUE"""),43245.6666666666)</f>
        <v>43245.666666666599</v>
      </c>
      <c r="B857" s="1">
        <f ca="1">IFERROR(__xludf.DUMMYFUNCTION("""COMPUTED_VALUE"""),6.21)</f>
        <v>6.21</v>
      </c>
      <c r="C857" s="1">
        <f ca="1">IFERROR(__xludf.DUMMYFUNCTION("""COMPUTED_VALUE"""),6.25)</f>
        <v>6.25</v>
      </c>
      <c r="D857" s="1">
        <f ca="1">IFERROR(__xludf.DUMMYFUNCTION("""COMPUTED_VALUE"""),6.17)</f>
        <v>6.17</v>
      </c>
      <c r="E857" s="1">
        <f ca="1">IFERROR(__xludf.DUMMYFUNCTION("""COMPUTED_VALUE"""),6.23)</f>
        <v>6.23</v>
      </c>
      <c r="F857" s="1">
        <f ca="1">IFERROR(__xludf.DUMMYFUNCTION("""COMPUTED_VALUE"""),7302782)</f>
        <v>7302782</v>
      </c>
    </row>
    <row r="858" spans="1:6" x14ac:dyDescent="0.35">
      <c r="A858" s="2">
        <f ca="1">IFERROR(__xludf.DUMMYFUNCTION("""COMPUTED_VALUE"""),43249.6666666666)</f>
        <v>43249.666666666599</v>
      </c>
      <c r="B858" s="1">
        <f ca="1">IFERROR(__xludf.DUMMYFUNCTION("""COMPUTED_VALUE"""),6.21)</f>
        <v>6.21</v>
      </c>
      <c r="C858" s="1">
        <f ca="1">IFERROR(__xludf.DUMMYFUNCTION("""COMPUTED_VALUE"""),6.28)</f>
        <v>6.28</v>
      </c>
      <c r="D858" s="1">
        <f ca="1">IFERROR(__xludf.DUMMYFUNCTION("""COMPUTED_VALUE"""),6.17)</f>
        <v>6.17</v>
      </c>
      <c r="E858" s="1">
        <f ca="1">IFERROR(__xludf.DUMMYFUNCTION("""COMPUTED_VALUE"""),6.21)</f>
        <v>6.21</v>
      </c>
      <c r="F858" s="1">
        <f ca="1">IFERROR(__xludf.DUMMYFUNCTION("""COMPUTED_VALUE"""),8817083)</f>
        <v>8817083</v>
      </c>
    </row>
    <row r="859" spans="1:6" x14ac:dyDescent="0.35">
      <c r="A859" s="2">
        <f ca="1">IFERROR(__xludf.DUMMYFUNCTION("""COMPUTED_VALUE"""),43250.6666666666)</f>
        <v>43250.666666666599</v>
      </c>
      <c r="B859" s="1">
        <f ca="1">IFERROR(__xludf.DUMMYFUNCTION("""COMPUTED_VALUE"""),6.25)</f>
        <v>6.25</v>
      </c>
      <c r="C859" s="1">
        <f ca="1">IFERROR(__xludf.DUMMYFUNCTION("""COMPUTED_VALUE"""),6.33)</f>
        <v>6.33</v>
      </c>
      <c r="D859" s="1">
        <f ca="1">IFERROR(__xludf.DUMMYFUNCTION("""COMPUTED_VALUE"""),6.22)</f>
        <v>6.22</v>
      </c>
      <c r="E859" s="1">
        <f ca="1">IFERROR(__xludf.DUMMYFUNCTION("""COMPUTED_VALUE"""),6.32)</f>
        <v>6.32</v>
      </c>
      <c r="F859" s="1">
        <f ca="1">IFERROR(__xludf.DUMMYFUNCTION("""COMPUTED_VALUE"""),9774864)</f>
        <v>9774864</v>
      </c>
    </row>
    <row r="860" spans="1:6" x14ac:dyDescent="0.35">
      <c r="A860" s="2">
        <f ca="1">IFERROR(__xludf.DUMMYFUNCTION("""COMPUTED_VALUE"""),43251.6666666666)</f>
        <v>43251.666666666599</v>
      </c>
      <c r="B860" s="1">
        <f ca="1">IFERROR(__xludf.DUMMYFUNCTION("""COMPUTED_VALUE"""),6.29)</f>
        <v>6.29</v>
      </c>
      <c r="C860" s="1">
        <f ca="1">IFERROR(__xludf.DUMMYFUNCTION("""COMPUTED_VALUE"""),6.38)</f>
        <v>6.38</v>
      </c>
      <c r="D860" s="1">
        <f ca="1">IFERROR(__xludf.DUMMYFUNCTION("""COMPUTED_VALUE"""),6.28)</f>
        <v>6.28</v>
      </c>
      <c r="E860" s="1">
        <f ca="1">IFERROR(__xludf.DUMMYFUNCTION("""COMPUTED_VALUE"""),6.3)</f>
        <v>6.3</v>
      </c>
      <c r="F860" s="1">
        <f ca="1">IFERROR(__xludf.DUMMYFUNCTION("""COMPUTED_VALUE"""),12346709)</f>
        <v>12346709</v>
      </c>
    </row>
    <row r="861" spans="1:6" x14ac:dyDescent="0.35">
      <c r="A861" s="2">
        <f ca="1">IFERROR(__xludf.DUMMYFUNCTION("""COMPUTED_VALUE"""),43252.6666666666)</f>
        <v>43252.666666666599</v>
      </c>
      <c r="B861" s="1">
        <f ca="1">IFERROR(__xludf.DUMMYFUNCTION("""COMPUTED_VALUE"""),6.35)</f>
        <v>6.35</v>
      </c>
      <c r="C861" s="1">
        <f ca="1">IFERROR(__xludf.DUMMYFUNCTION("""COMPUTED_VALUE"""),6.45)</f>
        <v>6.45</v>
      </c>
      <c r="D861" s="1">
        <f ca="1">IFERROR(__xludf.DUMMYFUNCTION("""COMPUTED_VALUE"""),6.34)</f>
        <v>6.34</v>
      </c>
      <c r="E861" s="1">
        <f ca="1">IFERROR(__xludf.DUMMYFUNCTION("""COMPUTED_VALUE"""),6.44)</f>
        <v>6.44</v>
      </c>
      <c r="F861" s="1">
        <f ca="1">IFERROR(__xludf.DUMMYFUNCTION("""COMPUTED_VALUE"""),10549248)</f>
        <v>10549248</v>
      </c>
    </row>
    <row r="862" spans="1:6" x14ac:dyDescent="0.35">
      <c r="A862" s="2">
        <f ca="1">IFERROR(__xludf.DUMMYFUNCTION("""COMPUTED_VALUE"""),43255.6666666666)</f>
        <v>43255.666666666599</v>
      </c>
      <c r="B862" s="1">
        <f ca="1">IFERROR(__xludf.DUMMYFUNCTION("""COMPUTED_VALUE"""),6.48)</f>
        <v>6.48</v>
      </c>
      <c r="C862" s="1">
        <f ca="1">IFERROR(__xludf.DUMMYFUNCTION("""COMPUTED_VALUE"""),6.64)</f>
        <v>6.64</v>
      </c>
      <c r="D862" s="1">
        <f ca="1">IFERROR(__xludf.DUMMYFUNCTION("""COMPUTED_VALUE"""),6.44)</f>
        <v>6.44</v>
      </c>
      <c r="E862" s="1">
        <f ca="1">IFERROR(__xludf.DUMMYFUNCTION("""COMPUTED_VALUE"""),6.62)</f>
        <v>6.62</v>
      </c>
      <c r="F862" s="1">
        <f ca="1">IFERROR(__xludf.DUMMYFUNCTION("""COMPUTED_VALUE"""),16050641)</f>
        <v>16050641</v>
      </c>
    </row>
    <row r="863" spans="1:6" x14ac:dyDescent="0.35">
      <c r="A863" s="2">
        <f ca="1">IFERROR(__xludf.DUMMYFUNCTION("""COMPUTED_VALUE"""),43256.6666666666)</f>
        <v>43256.666666666599</v>
      </c>
      <c r="B863" s="1">
        <f ca="1">IFERROR(__xludf.DUMMYFUNCTION("""COMPUTED_VALUE"""),6.62)</f>
        <v>6.62</v>
      </c>
      <c r="C863" s="1">
        <f ca="1">IFERROR(__xludf.DUMMYFUNCTION("""COMPUTED_VALUE"""),6.66)</f>
        <v>6.66</v>
      </c>
      <c r="D863" s="1">
        <f ca="1">IFERROR(__xludf.DUMMYFUNCTION("""COMPUTED_VALUE"""),6.58)</f>
        <v>6.58</v>
      </c>
      <c r="E863" s="1">
        <f ca="1">IFERROR(__xludf.DUMMYFUNCTION("""COMPUTED_VALUE"""),6.63)</f>
        <v>6.63</v>
      </c>
      <c r="F863" s="1">
        <f ca="1">IFERROR(__xludf.DUMMYFUNCTION("""COMPUTED_VALUE"""),9792801)</f>
        <v>9792801</v>
      </c>
    </row>
    <row r="864" spans="1:6" x14ac:dyDescent="0.35">
      <c r="A864" s="2">
        <f ca="1">IFERROR(__xludf.DUMMYFUNCTION("""COMPUTED_VALUE"""),43257.6666666666)</f>
        <v>43257.666666666599</v>
      </c>
      <c r="B864" s="1">
        <f ca="1">IFERROR(__xludf.DUMMYFUNCTION("""COMPUTED_VALUE"""),6.54)</f>
        <v>6.54</v>
      </c>
      <c r="C864" s="1">
        <f ca="1">IFERROR(__xludf.DUMMYFUNCTION("""COMPUTED_VALUE"""),6.63)</f>
        <v>6.63</v>
      </c>
      <c r="D864" s="1">
        <f ca="1">IFERROR(__xludf.DUMMYFUNCTION("""COMPUTED_VALUE"""),6.52)</f>
        <v>6.52</v>
      </c>
      <c r="E864" s="1">
        <f ca="1">IFERROR(__xludf.DUMMYFUNCTION("""COMPUTED_VALUE"""),6.63)</f>
        <v>6.63</v>
      </c>
      <c r="F864" s="1">
        <f ca="1">IFERROR(__xludf.DUMMYFUNCTION("""COMPUTED_VALUE"""),9283856)</f>
        <v>9283856</v>
      </c>
    </row>
    <row r="865" spans="1:6" x14ac:dyDescent="0.35">
      <c r="A865" s="2">
        <f ca="1">IFERROR(__xludf.DUMMYFUNCTION("""COMPUTED_VALUE"""),43258.6666666666)</f>
        <v>43258.666666666599</v>
      </c>
      <c r="B865" s="1">
        <f ca="1">IFERROR(__xludf.DUMMYFUNCTION("""COMPUTED_VALUE"""),6.63)</f>
        <v>6.63</v>
      </c>
      <c r="C865" s="1">
        <f ca="1">IFERROR(__xludf.DUMMYFUNCTION("""COMPUTED_VALUE"""),6.64)</f>
        <v>6.64</v>
      </c>
      <c r="D865" s="1">
        <f ca="1">IFERROR(__xludf.DUMMYFUNCTION("""COMPUTED_VALUE"""),6.48)</f>
        <v>6.48</v>
      </c>
      <c r="E865" s="1">
        <f ca="1">IFERROR(__xludf.DUMMYFUNCTION("""COMPUTED_VALUE"""),6.57)</f>
        <v>6.57</v>
      </c>
      <c r="F865" s="1">
        <f ca="1">IFERROR(__xludf.DUMMYFUNCTION("""COMPUTED_VALUE"""),9236216)</f>
        <v>9236216</v>
      </c>
    </row>
    <row r="866" spans="1:6" x14ac:dyDescent="0.35">
      <c r="A866" s="2">
        <f ca="1">IFERROR(__xludf.DUMMYFUNCTION("""COMPUTED_VALUE"""),43259.6666666666)</f>
        <v>43259.666666666599</v>
      </c>
      <c r="B866" s="1">
        <f ca="1">IFERROR(__xludf.DUMMYFUNCTION("""COMPUTED_VALUE"""),6.5)</f>
        <v>6.5</v>
      </c>
      <c r="C866" s="1">
        <f ca="1">IFERROR(__xludf.DUMMYFUNCTION("""COMPUTED_VALUE"""),6.6)</f>
        <v>6.6</v>
      </c>
      <c r="D866" s="1">
        <f ca="1">IFERROR(__xludf.DUMMYFUNCTION("""COMPUTED_VALUE"""),6.48)</f>
        <v>6.48</v>
      </c>
      <c r="E866" s="1">
        <f ca="1">IFERROR(__xludf.DUMMYFUNCTION("""COMPUTED_VALUE"""),6.56)</f>
        <v>6.56</v>
      </c>
      <c r="F866" s="1">
        <f ca="1">IFERROR(__xludf.DUMMYFUNCTION("""COMPUTED_VALUE"""),9011443)</f>
        <v>9011443</v>
      </c>
    </row>
    <row r="867" spans="1:6" x14ac:dyDescent="0.35">
      <c r="A867" s="2">
        <f ca="1">IFERROR(__xludf.DUMMYFUNCTION("""COMPUTED_VALUE"""),43262.6666666666)</f>
        <v>43262.666666666599</v>
      </c>
      <c r="B867" s="1">
        <f ca="1">IFERROR(__xludf.DUMMYFUNCTION("""COMPUTED_VALUE"""),6.54)</f>
        <v>6.54</v>
      </c>
      <c r="C867" s="1">
        <f ca="1">IFERROR(__xludf.DUMMYFUNCTION("""COMPUTED_VALUE"""),6.59)</f>
        <v>6.59</v>
      </c>
      <c r="D867" s="1">
        <f ca="1">IFERROR(__xludf.DUMMYFUNCTION("""COMPUTED_VALUE"""),6.5)</f>
        <v>6.5</v>
      </c>
      <c r="E867" s="1">
        <f ca="1">IFERROR(__xludf.DUMMYFUNCTION("""COMPUTED_VALUE"""),6.52)</f>
        <v>6.52</v>
      </c>
      <c r="F867" s="1">
        <f ca="1">IFERROR(__xludf.DUMMYFUNCTION("""COMPUTED_VALUE"""),6634253)</f>
        <v>6634253</v>
      </c>
    </row>
    <row r="868" spans="1:6" x14ac:dyDescent="0.35">
      <c r="A868" s="2">
        <f ca="1">IFERROR(__xludf.DUMMYFUNCTION("""COMPUTED_VALUE"""),43263.6666666666)</f>
        <v>43263.666666666599</v>
      </c>
      <c r="B868" s="1">
        <f ca="1">IFERROR(__xludf.DUMMYFUNCTION("""COMPUTED_VALUE"""),6.54)</f>
        <v>6.54</v>
      </c>
      <c r="C868" s="1">
        <f ca="1">IFERROR(__xludf.DUMMYFUNCTION("""COMPUTED_VALUE"""),6.58)</f>
        <v>6.58</v>
      </c>
      <c r="D868" s="1">
        <f ca="1">IFERROR(__xludf.DUMMYFUNCTION("""COMPUTED_VALUE"""),6.49)</f>
        <v>6.49</v>
      </c>
      <c r="E868" s="1">
        <f ca="1">IFERROR(__xludf.DUMMYFUNCTION("""COMPUTED_VALUE"""),6.56)</f>
        <v>6.56</v>
      </c>
      <c r="F868" s="1">
        <f ca="1">IFERROR(__xludf.DUMMYFUNCTION("""COMPUTED_VALUE"""),7978985)</f>
        <v>7978985</v>
      </c>
    </row>
    <row r="869" spans="1:6" x14ac:dyDescent="0.35">
      <c r="A869" s="2">
        <f ca="1">IFERROR(__xludf.DUMMYFUNCTION("""COMPUTED_VALUE"""),43264.6666666666)</f>
        <v>43264.666666666599</v>
      </c>
      <c r="B869" s="1">
        <f ca="1">IFERROR(__xludf.DUMMYFUNCTION("""COMPUTED_VALUE"""),6.57)</f>
        <v>6.57</v>
      </c>
      <c r="C869" s="1">
        <f ca="1">IFERROR(__xludf.DUMMYFUNCTION("""COMPUTED_VALUE"""),6.64)</f>
        <v>6.64</v>
      </c>
      <c r="D869" s="1">
        <f ca="1">IFERROR(__xludf.DUMMYFUNCTION("""COMPUTED_VALUE"""),6.55)</f>
        <v>6.55</v>
      </c>
      <c r="E869" s="1">
        <f ca="1">IFERROR(__xludf.DUMMYFUNCTION("""COMPUTED_VALUE"""),6.56)</f>
        <v>6.56</v>
      </c>
      <c r="F869" s="1">
        <f ca="1">IFERROR(__xludf.DUMMYFUNCTION("""COMPUTED_VALUE"""),8455159)</f>
        <v>8455159</v>
      </c>
    </row>
    <row r="870" spans="1:6" x14ac:dyDescent="0.35">
      <c r="A870" s="2">
        <f ca="1">IFERROR(__xludf.DUMMYFUNCTION("""COMPUTED_VALUE"""),43265.6666666666)</f>
        <v>43265.666666666599</v>
      </c>
      <c r="B870" s="1">
        <f ca="1">IFERROR(__xludf.DUMMYFUNCTION("""COMPUTED_VALUE"""),6.61)</f>
        <v>6.61</v>
      </c>
      <c r="C870" s="1">
        <f ca="1">IFERROR(__xludf.DUMMYFUNCTION("""COMPUTED_VALUE"""),6.73)</f>
        <v>6.73</v>
      </c>
      <c r="D870" s="1">
        <f ca="1">IFERROR(__xludf.DUMMYFUNCTION("""COMPUTED_VALUE"""),6.59)</f>
        <v>6.59</v>
      </c>
      <c r="E870" s="1">
        <f ca="1">IFERROR(__xludf.DUMMYFUNCTION("""COMPUTED_VALUE"""),6.67)</f>
        <v>6.67</v>
      </c>
      <c r="F870" s="1">
        <f ca="1">IFERROR(__xludf.DUMMYFUNCTION("""COMPUTED_VALUE"""),10750411)</f>
        <v>10750411</v>
      </c>
    </row>
    <row r="871" spans="1:6" x14ac:dyDescent="0.35">
      <c r="A871" s="2">
        <f ca="1">IFERROR(__xludf.DUMMYFUNCTION("""COMPUTED_VALUE"""),43266.6666666666)</f>
        <v>43266.666666666599</v>
      </c>
      <c r="B871" s="1">
        <f ca="1">IFERROR(__xludf.DUMMYFUNCTION("""COMPUTED_VALUE"""),6.62)</f>
        <v>6.62</v>
      </c>
      <c r="C871" s="1">
        <f ca="1">IFERROR(__xludf.DUMMYFUNCTION("""COMPUTED_VALUE"""),6.69)</f>
        <v>6.69</v>
      </c>
      <c r="D871" s="1">
        <f ca="1">IFERROR(__xludf.DUMMYFUNCTION("""COMPUTED_VALUE"""),6.58)</f>
        <v>6.58</v>
      </c>
      <c r="E871" s="1">
        <f ca="1">IFERROR(__xludf.DUMMYFUNCTION("""COMPUTED_VALUE"""),6.63)</f>
        <v>6.63</v>
      </c>
      <c r="F871" s="1">
        <f ca="1">IFERROR(__xludf.DUMMYFUNCTION("""COMPUTED_VALUE"""),10806488)</f>
        <v>10806488</v>
      </c>
    </row>
    <row r="872" spans="1:6" x14ac:dyDescent="0.35">
      <c r="A872" s="2">
        <f ca="1">IFERROR(__xludf.DUMMYFUNCTION("""COMPUTED_VALUE"""),43269.6666666666)</f>
        <v>43269.666666666599</v>
      </c>
      <c r="B872" s="1">
        <f ca="1">IFERROR(__xludf.DUMMYFUNCTION("""COMPUTED_VALUE"""),6.59)</f>
        <v>6.59</v>
      </c>
      <c r="C872" s="1">
        <f ca="1">IFERROR(__xludf.DUMMYFUNCTION("""COMPUTED_VALUE"""),6.65)</f>
        <v>6.65</v>
      </c>
      <c r="D872" s="1">
        <f ca="1">IFERROR(__xludf.DUMMYFUNCTION("""COMPUTED_VALUE"""),6.56)</f>
        <v>6.56</v>
      </c>
      <c r="E872" s="1">
        <f ca="1">IFERROR(__xludf.DUMMYFUNCTION("""COMPUTED_VALUE"""),6.63)</f>
        <v>6.63</v>
      </c>
      <c r="F872" s="1">
        <f ca="1">IFERROR(__xludf.DUMMYFUNCTION("""COMPUTED_VALUE"""),8906674)</f>
        <v>8906674</v>
      </c>
    </row>
    <row r="873" spans="1:6" x14ac:dyDescent="0.35">
      <c r="A873" s="2">
        <f ca="1">IFERROR(__xludf.DUMMYFUNCTION("""COMPUTED_VALUE"""),43270.6666666666)</f>
        <v>43270.666666666599</v>
      </c>
      <c r="B873" s="1">
        <f ca="1">IFERROR(__xludf.DUMMYFUNCTION("""COMPUTED_VALUE"""),6.52)</f>
        <v>6.52</v>
      </c>
      <c r="C873" s="1">
        <f ca="1">IFERROR(__xludf.DUMMYFUNCTION("""COMPUTED_VALUE"""),6.59)</f>
        <v>6.59</v>
      </c>
      <c r="D873" s="1">
        <f ca="1">IFERROR(__xludf.DUMMYFUNCTION("""COMPUTED_VALUE"""),6.38)</f>
        <v>6.38</v>
      </c>
      <c r="E873" s="1">
        <f ca="1">IFERROR(__xludf.DUMMYFUNCTION("""COMPUTED_VALUE"""),6.5)</f>
        <v>6.5</v>
      </c>
      <c r="F873" s="1">
        <f ca="1">IFERROR(__xludf.DUMMYFUNCTION("""COMPUTED_VALUE"""),14873324)</f>
        <v>14873324</v>
      </c>
    </row>
    <row r="874" spans="1:6" x14ac:dyDescent="0.35">
      <c r="A874" s="2">
        <f ca="1">IFERROR(__xludf.DUMMYFUNCTION("""COMPUTED_VALUE"""),43271.6666666666)</f>
        <v>43271.666666666599</v>
      </c>
      <c r="B874" s="1">
        <f ca="1">IFERROR(__xludf.DUMMYFUNCTION("""COMPUTED_VALUE"""),6.55)</f>
        <v>6.55</v>
      </c>
      <c r="C874" s="1">
        <f ca="1">IFERROR(__xludf.DUMMYFUNCTION("""COMPUTED_VALUE"""),6.61)</f>
        <v>6.61</v>
      </c>
      <c r="D874" s="1">
        <f ca="1">IFERROR(__xludf.DUMMYFUNCTION("""COMPUTED_VALUE"""),6.51)</f>
        <v>6.51</v>
      </c>
      <c r="E874" s="1">
        <f ca="1">IFERROR(__xludf.DUMMYFUNCTION("""COMPUTED_VALUE"""),6.56)</f>
        <v>6.56</v>
      </c>
      <c r="F874" s="1">
        <f ca="1">IFERROR(__xludf.DUMMYFUNCTION("""COMPUTED_VALUE"""),9244494)</f>
        <v>9244494</v>
      </c>
    </row>
    <row r="875" spans="1:6" x14ac:dyDescent="0.35">
      <c r="A875" s="2">
        <f ca="1">IFERROR(__xludf.DUMMYFUNCTION("""COMPUTED_VALUE"""),43272.6666666666)</f>
        <v>43272.666666666599</v>
      </c>
      <c r="B875" s="1">
        <f ca="1">IFERROR(__xludf.DUMMYFUNCTION("""COMPUTED_VALUE"""),6.59)</f>
        <v>6.59</v>
      </c>
      <c r="C875" s="1">
        <f ca="1">IFERROR(__xludf.DUMMYFUNCTION("""COMPUTED_VALUE"""),6.61)</f>
        <v>6.61</v>
      </c>
      <c r="D875" s="1">
        <f ca="1">IFERROR(__xludf.DUMMYFUNCTION("""COMPUTED_VALUE"""),6.42)</f>
        <v>6.42</v>
      </c>
      <c r="E875" s="1">
        <f ca="1">IFERROR(__xludf.DUMMYFUNCTION("""COMPUTED_VALUE"""),6.43)</f>
        <v>6.43</v>
      </c>
      <c r="F875" s="1">
        <f ca="1">IFERROR(__xludf.DUMMYFUNCTION("""COMPUTED_VALUE"""),8987906)</f>
        <v>8987906</v>
      </c>
    </row>
    <row r="876" spans="1:6" x14ac:dyDescent="0.35">
      <c r="A876" s="2">
        <f ca="1">IFERROR(__xludf.DUMMYFUNCTION("""COMPUTED_VALUE"""),43273.6666666666)</f>
        <v>43273.666666666599</v>
      </c>
      <c r="B876" s="1">
        <f ca="1">IFERROR(__xludf.DUMMYFUNCTION("""COMPUTED_VALUE"""),6.45)</f>
        <v>6.45</v>
      </c>
      <c r="C876" s="1">
        <f ca="1">IFERROR(__xludf.DUMMYFUNCTION("""COMPUTED_VALUE"""),6.46)</f>
        <v>6.46</v>
      </c>
      <c r="D876" s="1">
        <f ca="1">IFERROR(__xludf.DUMMYFUNCTION("""COMPUTED_VALUE"""),6.26)</f>
        <v>6.26</v>
      </c>
      <c r="E876" s="1">
        <f ca="1">IFERROR(__xludf.DUMMYFUNCTION("""COMPUTED_VALUE"""),6.27)</f>
        <v>6.27</v>
      </c>
      <c r="F876" s="1">
        <f ca="1">IFERROR(__xludf.DUMMYFUNCTION("""COMPUTED_VALUE"""),10853954)</f>
        <v>10853954</v>
      </c>
    </row>
    <row r="877" spans="1:6" x14ac:dyDescent="0.35">
      <c r="A877" s="2">
        <f ca="1">IFERROR(__xludf.DUMMYFUNCTION("""COMPUTED_VALUE"""),43276.6666666666)</f>
        <v>43276.666666666599</v>
      </c>
      <c r="B877" s="1">
        <f ca="1">IFERROR(__xludf.DUMMYFUNCTION("""COMPUTED_VALUE"""),6.17)</f>
        <v>6.17</v>
      </c>
      <c r="C877" s="1">
        <f ca="1">IFERROR(__xludf.DUMMYFUNCTION("""COMPUTED_VALUE"""),6.17)</f>
        <v>6.17</v>
      </c>
      <c r="D877" s="1">
        <f ca="1">IFERROR(__xludf.DUMMYFUNCTION("""COMPUTED_VALUE"""),5.89)</f>
        <v>5.89</v>
      </c>
      <c r="E877" s="1">
        <f ca="1">IFERROR(__xludf.DUMMYFUNCTION("""COMPUTED_VALUE"""),5.98)</f>
        <v>5.98</v>
      </c>
      <c r="F877" s="1">
        <f ca="1">IFERROR(__xludf.DUMMYFUNCTION("""COMPUTED_VALUE"""),16645431)</f>
        <v>16645431</v>
      </c>
    </row>
    <row r="878" spans="1:6" x14ac:dyDescent="0.35">
      <c r="A878" s="2">
        <f ca="1">IFERROR(__xludf.DUMMYFUNCTION("""COMPUTED_VALUE"""),43277.6666666666)</f>
        <v>43277.666666666599</v>
      </c>
      <c r="B878" s="1">
        <f ca="1">IFERROR(__xludf.DUMMYFUNCTION("""COMPUTED_VALUE"""),6.09)</f>
        <v>6.09</v>
      </c>
      <c r="C878" s="1">
        <f ca="1">IFERROR(__xludf.DUMMYFUNCTION("""COMPUTED_VALUE"""),6.14)</f>
        <v>6.14</v>
      </c>
      <c r="D878" s="1">
        <f ca="1">IFERROR(__xludf.DUMMYFUNCTION("""COMPUTED_VALUE"""),6)</f>
        <v>6</v>
      </c>
      <c r="E878" s="1">
        <f ca="1">IFERROR(__xludf.DUMMYFUNCTION("""COMPUTED_VALUE"""),6.05)</f>
        <v>6.05</v>
      </c>
      <c r="F878" s="1">
        <f ca="1">IFERROR(__xludf.DUMMYFUNCTION("""COMPUTED_VALUE"""),11972137)</f>
        <v>11972137</v>
      </c>
    </row>
    <row r="879" spans="1:6" x14ac:dyDescent="0.35">
      <c r="A879" s="2">
        <f ca="1">IFERROR(__xludf.DUMMYFUNCTION("""COMPUTED_VALUE"""),43278.6666666666)</f>
        <v>43278.666666666599</v>
      </c>
      <c r="B879" s="1">
        <f ca="1">IFERROR(__xludf.DUMMYFUNCTION("""COMPUTED_VALUE"""),6.09)</f>
        <v>6.09</v>
      </c>
      <c r="C879" s="1">
        <f ca="1">IFERROR(__xludf.DUMMYFUNCTION("""COMPUTED_VALUE"""),6.16)</f>
        <v>6.16</v>
      </c>
      <c r="D879" s="1">
        <f ca="1">IFERROR(__xludf.DUMMYFUNCTION("""COMPUTED_VALUE"""),5.89)</f>
        <v>5.89</v>
      </c>
      <c r="E879" s="1">
        <f ca="1">IFERROR(__xludf.DUMMYFUNCTION("""COMPUTED_VALUE"""),5.89)</f>
        <v>5.89</v>
      </c>
      <c r="F879" s="1">
        <f ca="1">IFERROR(__xludf.DUMMYFUNCTION("""COMPUTED_VALUE"""),11347303)</f>
        <v>11347303</v>
      </c>
    </row>
    <row r="880" spans="1:6" x14ac:dyDescent="0.35">
      <c r="A880" s="2">
        <f ca="1">IFERROR(__xludf.DUMMYFUNCTION("""COMPUTED_VALUE"""),43279.6666666666)</f>
        <v>43279.666666666599</v>
      </c>
      <c r="B880" s="1">
        <f ca="1">IFERROR(__xludf.DUMMYFUNCTION("""COMPUTED_VALUE"""),5.88)</f>
        <v>5.88</v>
      </c>
      <c r="C880" s="1">
        <f ca="1">IFERROR(__xludf.DUMMYFUNCTION("""COMPUTED_VALUE"""),6.03)</f>
        <v>6.03</v>
      </c>
      <c r="D880" s="1">
        <f ca="1">IFERROR(__xludf.DUMMYFUNCTION("""COMPUTED_VALUE"""),5.88)</f>
        <v>5.88</v>
      </c>
      <c r="E880" s="1">
        <f ca="1">IFERROR(__xludf.DUMMYFUNCTION("""COMPUTED_VALUE"""),6.02)</f>
        <v>6.02</v>
      </c>
      <c r="F880" s="1">
        <f ca="1">IFERROR(__xludf.DUMMYFUNCTION("""COMPUTED_VALUE"""),8450297)</f>
        <v>8450297</v>
      </c>
    </row>
    <row r="881" spans="1:6" x14ac:dyDescent="0.35">
      <c r="A881" s="2">
        <f ca="1">IFERROR(__xludf.DUMMYFUNCTION("""COMPUTED_VALUE"""),43280.6666666666)</f>
        <v>43280.666666666599</v>
      </c>
      <c r="B881" s="1">
        <f ca="1">IFERROR(__xludf.DUMMYFUNCTION("""COMPUTED_VALUE"""),6.09)</f>
        <v>6.09</v>
      </c>
      <c r="C881" s="1">
        <f ca="1">IFERROR(__xludf.DUMMYFUNCTION("""COMPUTED_VALUE"""),6.1)</f>
        <v>6.1</v>
      </c>
      <c r="D881" s="1">
        <f ca="1">IFERROR(__xludf.DUMMYFUNCTION("""COMPUTED_VALUE"""),5.92)</f>
        <v>5.92</v>
      </c>
      <c r="E881" s="1">
        <f ca="1">IFERROR(__xludf.DUMMYFUNCTION("""COMPUTED_VALUE"""),5.92)</f>
        <v>5.92</v>
      </c>
      <c r="F881" s="1">
        <f ca="1">IFERROR(__xludf.DUMMYFUNCTION("""COMPUTED_VALUE"""),9807477)</f>
        <v>9807477</v>
      </c>
    </row>
    <row r="882" spans="1:6" x14ac:dyDescent="0.35">
      <c r="A882" s="2">
        <f ca="1">IFERROR(__xludf.DUMMYFUNCTION("""COMPUTED_VALUE"""),43283.6666666666)</f>
        <v>43283.666666666599</v>
      </c>
      <c r="B882" s="1">
        <f ca="1">IFERROR(__xludf.DUMMYFUNCTION("""COMPUTED_VALUE"""),5.85)</f>
        <v>5.85</v>
      </c>
      <c r="C882" s="1">
        <f ca="1">IFERROR(__xludf.DUMMYFUNCTION("""COMPUTED_VALUE"""),6.06)</f>
        <v>6.06</v>
      </c>
      <c r="D882" s="1">
        <f ca="1">IFERROR(__xludf.DUMMYFUNCTION("""COMPUTED_VALUE"""),5.83)</f>
        <v>5.83</v>
      </c>
      <c r="E882" s="1">
        <f ca="1">IFERROR(__xludf.DUMMYFUNCTION("""COMPUTED_VALUE"""),6.06)</f>
        <v>6.06</v>
      </c>
      <c r="F882" s="1">
        <f ca="1">IFERROR(__xludf.DUMMYFUNCTION("""COMPUTED_VALUE"""),8939348)</f>
        <v>8939348</v>
      </c>
    </row>
    <row r="883" spans="1:6" x14ac:dyDescent="0.35">
      <c r="A883" s="2">
        <f ca="1">IFERROR(__xludf.DUMMYFUNCTION("""COMPUTED_VALUE"""),43284.5416666666)</f>
        <v>43284.541666666599</v>
      </c>
      <c r="B883" s="1">
        <f ca="1">IFERROR(__xludf.DUMMYFUNCTION("""COMPUTED_VALUE"""),6.09)</f>
        <v>6.09</v>
      </c>
      <c r="C883" s="1">
        <f ca="1">IFERROR(__xludf.DUMMYFUNCTION("""COMPUTED_VALUE"""),6.1)</f>
        <v>6.1</v>
      </c>
      <c r="D883" s="1">
        <f ca="1">IFERROR(__xludf.DUMMYFUNCTION("""COMPUTED_VALUE"""),5.91)</f>
        <v>5.91</v>
      </c>
      <c r="E883" s="1">
        <f ca="1">IFERROR(__xludf.DUMMYFUNCTION("""COMPUTED_VALUE"""),5.92)</f>
        <v>5.92</v>
      </c>
      <c r="F883" s="1">
        <f ca="1">IFERROR(__xludf.DUMMYFUNCTION("""COMPUTED_VALUE"""),5568325)</f>
        <v>5568325</v>
      </c>
    </row>
    <row r="884" spans="1:6" x14ac:dyDescent="0.35">
      <c r="A884" s="2">
        <f ca="1">IFERROR(__xludf.DUMMYFUNCTION("""COMPUTED_VALUE"""),43286.6666666666)</f>
        <v>43286.666666666599</v>
      </c>
      <c r="B884" s="1">
        <f ca="1">IFERROR(__xludf.DUMMYFUNCTION("""COMPUTED_VALUE"""),5.98)</f>
        <v>5.98</v>
      </c>
      <c r="C884" s="1">
        <f ca="1">IFERROR(__xludf.DUMMYFUNCTION("""COMPUTED_VALUE"""),6.07)</f>
        <v>6.07</v>
      </c>
      <c r="D884" s="1">
        <f ca="1">IFERROR(__xludf.DUMMYFUNCTION("""COMPUTED_VALUE"""),5.94)</f>
        <v>5.94</v>
      </c>
      <c r="E884" s="1">
        <f ca="1">IFERROR(__xludf.DUMMYFUNCTION("""COMPUTED_VALUE"""),6.07)</f>
        <v>6.07</v>
      </c>
      <c r="F884" s="1">
        <f ca="1">IFERROR(__xludf.DUMMYFUNCTION("""COMPUTED_VALUE"""),7655448)</f>
        <v>7655448</v>
      </c>
    </row>
    <row r="885" spans="1:6" x14ac:dyDescent="0.35">
      <c r="A885" s="2">
        <f ca="1">IFERROR(__xludf.DUMMYFUNCTION("""COMPUTED_VALUE"""),43287.6666666666)</f>
        <v>43287.666666666599</v>
      </c>
      <c r="B885" s="1">
        <f ca="1">IFERROR(__xludf.DUMMYFUNCTION("""COMPUTED_VALUE"""),6.04)</f>
        <v>6.04</v>
      </c>
      <c r="C885" s="1">
        <f ca="1">IFERROR(__xludf.DUMMYFUNCTION("""COMPUTED_VALUE"""),6.19)</f>
        <v>6.19</v>
      </c>
      <c r="D885" s="1">
        <f ca="1">IFERROR(__xludf.DUMMYFUNCTION("""COMPUTED_VALUE"""),6.02)</f>
        <v>6.02</v>
      </c>
      <c r="E885" s="1">
        <f ca="1">IFERROR(__xludf.DUMMYFUNCTION("""COMPUTED_VALUE"""),6.18)</f>
        <v>6.18</v>
      </c>
      <c r="F885" s="1">
        <f ca="1">IFERROR(__xludf.DUMMYFUNCTION("""COMPUTED_VALUE"""),7408822)</f>
        <v>7408822</v>
      </c>
    </row>
    <row r="886" spans="1:6" x14ac:dyDescent="0.35">
      <c r="A886" s="2">
        <f ca="1">IFERROR(__xludf.DUMMYFUNCTION("""COMPUTED_VALUE"""),43290.6666666666)</f>
        <v>43290.666666666599</v>
      </c>
      <c r="B886" s="1">
        <f ca="1">IFERROR(__xludf.DUMMYFUNCTION("""COMPUTED_VALUE"""),6.26)</f>
        <v>6.26</v>
      </c>
      <c r="C886" s="1">
        <f ca="1">IFERROR(__xludf.DUMMYFUNCTION("""COMPUTED_VALUE"""),6.27)</f>
        <v>6.27</v>
      </c>
      <c r="D886" s="1">
        <f ca="1">IFERROR(__xludf.DUMMYFUNCTION("""COMPUTED_VALUE"""),6.15)</f>
        <v>6.15</v>
      </c>
      <c r="E886" s="1">
        <f ca="1">IFERROR(__xludf.DUMMYFUNCTION("""COMPUTED_VALUE"""),6.23)</f>
        <v>6.23</v>
      </c>
      <c r="F886" s="1">
        <f ca="1">IFERROR(__xludf.DUMMYFUNCTION("""COMPUTED_VALUE"""),7597022)</f>
        <v>7597022</v>
      </c>
    </row>
    <row r="887" spans="1:6" x14ac:dyDescent="0.35">
      <c r="A887" s="2">
        <f ca="1">IFERROR(__xludf.DUMMYFUNCTION("""COMPUTED_VALUE"""),43291.6666666666)</f>
        <v>43291.666666666599</v>
      </c>
      <c r="B887" s="1">
        <f ca="1">IFERROR(__xludf.DUMMYFUNCTION("""COMPUTED_VALUE"""),6.24)</f>
        <v>6.24</v>
      </c>
      <c r="C887" s="1">
        <f ca="1">IFERROR(__xludf.DUMMYFUNCTION("""COMPUTED_VALUE"""),6.35)</f>
        <v>6.35</v>
      </c>
      <c r="D887" s="1">
        <f ca="1">IFERROR(__xludf.DUMMYFUNCTION("""COMPUTED_VALUE"""),6.2)</f>
        <v>6.2</v>
      </c>
      <c r="E887" s="1">
        <f ca="1">IFERROR(__xludf.DUMMYFUNCTION("""COMPUTED_VALUE"""),6.33)</f>
        <v>6.33</v>
      </c>
      <c r="F887" s="1">
        <f ca="1">IFERROR(__xludf.DUMMYFUNCTION("""COMPUTED_VALUE"""),9000390)</f>
        <v>9000390</v>
      </c>
    </row>
    <row r="888" spans="1:6" x14ac:dyDescent="0.35">
      <c r="A888" s="2">
        <f ca="1">IFERROR(__xludf.DUMMYFUNCTION("""COMPUTED_VALUE"""),43292.6666666666)</f>
        <v>43292.666666666599</v>
      </c>
      <c r="B888" s="1">
        <f ca="1">IFERROR(__xludf.DUMMYFUNCTION("""COMPUTED_VALUE"""),6.24)</f>
        <v>6.24</v>
      </c>
      <c r="C888" s="1">
        <f ca="1">IFERROR(__xludf.DUMMYFUNCTION("""COMPUTED_VALUE"""),6.27)</f>
        <v>6.27</v>
      </c>
      <c r="D888" s="1">
        <f ca="1">IFERROR(__xludf.DUMMYFUNCTION("""COMPUTED_VALUE"""),6.18)</f>
        <v>6.18</v>
      </c>
      <c r="E888" s="1">
        <f ca="1">IFERROR(__xludf.DUMMYFUNCTION("""COMPUTED_VALUE"""),6.19)</f>
        <v>6.19</v>
      </c>
      <c r="F888" s="1">
        <f ca="1">IFERROR(__xludf.DUMMYFUNCTION("""COMPUTED_VALUE"""),9187660)</f>
        <v>9187660</v>
      </c>
    </row>
    <row r="889" spans="1:6" x14ac:dyDescent="0.35">
      <c r="A889" s="2">
        <f ca="1">IFERROR(__xludf.DUMMYFUNCTION("""COMPUTED_VALUE"""),43293.6666666666)</f>
        <v>43293.666666666599</v>
      </c>
      <c r="B889" s="1">
        <f ca="1">IFERROR(__xludf.DUMMYFUNCTION("""COMPUTED_VALUE"""),6.23)</f>
        <v>6.23</v>
      </c>
      <c r="C889" s="1">
        <f ca="1">IFERROR(__xludf.DUMMYFUNCTION("""COMPUTED_VALUE"""),6.33)</f>
        <v>6.33</v>
      </c>
      <c r="D889" s="1">
        <f ca="1">IFERROR(__xludf.DUMMYFUNCTION("""COMPUTED_VALUE"""),6.22)</f>
        <v>6.22</v>
      </c>
      <c r="E889" s="1">
        <f ca="1">IFERROR(__xludf.DUMMYFUNCTION("""COMPUTED_VALUE"""),6.28)</f>
        <v>6.28</v>
      </c>
      <c r="F889" s="1">
        <f ca="1">IFERROR(__xludf.DUMMYFUNCTION("""COMPUTED_VALUE"""),8637673)</f>
        <v>8637673</v>
      </c>
    </row>
    <row r="890" spans="1:6" x14ac:dyDescent="0.35">
      <c r="A890" s="2">
        <f ca="1">IFERROR(__xludf.DUMMYFUNCTION("""COMPUTED_VALUE"""),43294.6666666666)</f>
        <v>43294.666666666599</v>
      </c>
      <c r="B890" s="1">
        <f ca="1">IFERROR(__xludf.DUMMYFUNCTION("""COMPUTED_VALUE"""),6.3)</f>
        <v>6.3</v>
      </c>
      <c r="C890" s="1">
        <f ca="1">IFERROR(__xludf.DUMMYFUNCTION("""COMPUTED_VALUE"""),6.3)</f>
        <v>6.3</v>
      </c>
      <c r="D890" s="1">
        <f ca="1">IFERROR(__xludf.DUMMYFUNCTION("""COMPUTED_VALUE"""),6.19)</f>
        <v>6.19</v>
      </c>
      <c r="E890" s="1">
        <f ca="1">IFERROR(__xludf.DUMMYFUNCTION("""COMPUTED_VALUE"""),6.23)</f>
        <v>6.23</v>
      </c>
      <c r="F890" s="1">
        <f ca="1">IFERROR(__xludf.DUMMYFUNCTION("""COMPUTED_VALUE"""),6179078)</f>
        <v>6179078</v>
      </c>
    </row>
    <row r="891" spans="1:6" x14ac:dyDescent="0.35">
      <c r="A891" s="2">
        <f ca="1">IFERROR(__xludf.DUMMYFUNCTION("""COMPUTED_VALUE"""),43297.6666666666)</f>
        <v>43297.666666666599</v>
      </c>
      <c r="B891" s="1">
        <f ca="1">IFERROR(__xludf.DUMMYFUNCTION("""COMPUTED_VALUE"""),6.21)</f>
        <v>6.21</v>
      </c>
      <c r="C891" s="1">
        <f ca="1">IFERROR(__xludf.DUMMYFUNCTION("""COMPUTED_VALUE"""),6.26)</f>
        <v>6.26</v>
      </c>
      <c r="D891" s="1">
        <f ca="1">IFERROR(__xludf.DUMMYFUNCTION("""COMPUTED_VALUE"""),6.19)</f>
        <v>6.19</v>
      </c>
      <c r="E891" s="1">
        <f ca="1">IFERROR(__xludf.DUMMYFUNCTION("""COMPUTED_VALUE"""),6.21)</f>
        <v>6.21</v>
      </c>
      <c r="F891" s="1">
        <f ca="1">IFERROR(__xludf.DUMMYFUNCTION("""COMPUTED_VALUE"""),4925926)</f>
        <v>4925926</v>
      </c>
    </row>
    <row r="892" spans="1:6" x14ac:dyDescent="0.35">
      <c r="A892" s="2">
        <f ca="1">IFERROR(__xludf.DUMMYFUNCTION("""COMPUTED_VALUE"""),43298.6666666666)</f>
        <v>43298.666666666599</v>
      </c>
      <c r="B892" s="1">
        <f ca="1">IFERROR(__xludf.DUMMYFUNCTION("""COMPUTED_VALUE"""),6.16)</f>
        <v>6.16</v>
      </c>
      <c r="C892" s="1">
        <f ca="1">IFERROR(__xludf.DUMMYFUNCTION("""COMPUTED_VALUE"""),6.36)</f>
        <v>6.36</v>
      </c>
      <c r="D892" s="1">
        <f ca="1">IFERROR(__xludf.DUMMYFUNCTION("""COMPUTED_VALUE"""),6.13)</f>
        <v>6.13</v>
      </c>
      <c r="E892" s="1">
        <f ca="1">IFERROR(__xludf.DUMMYFUNCTION("""COMPUTED_VALUE"""),6.34)</f>
        <v>6.34</v>
      </c>
      <c r="F892" s="1">
        <f ca="1">IFERROR(__xludf.DUMMYFUNCTION("""COMPUTED_VALUE"""),9053395)</f>
        <v>9053395</v>
      </c>
    </row>
    <row r="893" spans="1:6" x14ac:dyDescent="0.35">
      <c r="A893" s="2">
        <f ca="1">IFERROR(__xludf.DUMMYFUNCTION("""COMPUTED_VALUE"""),43299.6666666666)</f>
        <v>43299.666666666599</v>
      </c>
      <c r="B893" s="1">
        <f ca="1">IFERROR(__xludf.DUMMYFUNCTION("""COMPUTED_VALUE"""),6.33)</f>
        <v>6.33</v>
      </c>
      <c r="C893" s="1">
        <f ca="1">IFERROR(__xludf.DUMMYFUNCTION("""COMPUTED_VALUE"""),6.35)</f>
        <v>6.35</v>
      </c>
      <c r="D893" s="1">
        <f ca="1">IFERROR(__xludf.DUMMYFUNCTION("""COMPUTED_VALUE"""),6.24)</f>
        <v>6.24</v>
      </c>
      <c r="E893" s="1">
        <f ca="1">IFERROR(__xludf.DUMMYFUNCTION("""COMPUTED_VALUE"""),6.29)</f>
        <v>6.29</v>
      </c>
      <c r="F893" s="1">
        <f ca="1">IFERROR(__xludf.DUMMYFUNCTION("""COMPUTED_VALUE"""),6941041)</f>
        <v>6941041</v>
      </c>
    </row>
    <row r="894" spans="1:6" x14ac:dyDescent="0.35">
      <c r="A894" s="2">
        <f ca="1">IFERROR(__xludf.DUMMYFUNCTION("""COMPUTED_VALUE"""),43300.6666666666)</f>
        <v>43300.666666666599</v>
      </c>
      <c r="B894" s="1">
        <f ca="1">IFERROR(__xludf.DUMMYFUNCTION("""COMPUTED_VALUE"""),6.27)</f>
        <v>6.27</v>
      </c>
      <c r="C894" s="1">
        <f ca="1">IFERROR(__xludf.DUMMYFUNCTION("""COMPUTED_VALUE"""),6.33)</f>
        <v>6.33</v>
      </c>
      <c r="D894" s="1">
        <f ca="1">IFERROR(__xludf.DUMMYFUNCTION("""COMPUTED_VALUE"""),6.26)</f>
        <v>6.26</v>
      </c>
      <c r="E894" s="1">
        <f ca="1">IFERROR(__xludf.DUMMYFUNCTION("""COMPUTED_VALUE"""),6.3)</f>
        <v>6.3</v>
      </c>
      <c r="F894" s="1">
        <f ca="1">IFERROR(__xludf.DUMMYFUNCTION("""COMPUTED_VALUE"""),5893783)</f>
        <v>5893783</v>
      </c>
    </row>
    <row r="895" spans="1:6" x14ac:dyDescent="0.35">
      <c r="A895" s="2">
        <f ca="1">IFERROR(__xludf.DUMMYFUNCTION("""COMPUTED_VALUE"""),43301.6666666666)</f>
        <v>43301.666666666599</v>
      </c>
      <c r="B895" s="1">
        <f ca="1">IFERROR(__xludf.DUMMYFUNCTION("""COMPUTED_VALUE"""),6.3)</f>
        <v>6.3</v>
      </c>
      <c r="C895" s="1">
        <f ca="1">IFERROR(__xludf.DUMMYFUNCTION("""COMPUTED_VALUE"""),6.34)</f>
        <v>6.34</v>
      </c>
      <c r="D895" s="1">
        <f ca="1">IFERROR(__xludf.DUMMYFUNCTION("""COMPUTED_VALUE"""),6.26)</f>
        <v>6.26</v>
      </c>
      <c r="E895" s="1">
        <f ca="1">IFERROR(__xludf.DUMMYFUNCTION("""COMPUTED_VALUE"""),6.27)</f>
        <v>6.27</v>
      </c>
      <c r="F895" s="1">
        <f ca="1">IFERROR(__xludf.DUMMYFUNCTION("""COMPUTED_VALUE"""),5562161)</f>
        <v>5562161</v>
      </c>
    </row>
    <row r="896" spans="1:6" x14ac:dyDescent="0.35">
      <c r="A896" s="2">
        <f ca="1">IFERROR(__xludf.DUMMYFUNCTION("""COMPUTED_VALUE"""),43304.6666666666)</f>
        <v>43304.666666666599</v>
      </c>
      <c r="B896" s="1">
        <f ca="1">IFERROR(__xludf.DUMMYFUNCTION("""COMPUTED_VALUE"""),6.25)</f>
        <v>6.25</v>
      </c>
      <c r="C896" s="1">
        <f ca="1">IFERROR(__xludf.DUMMYFUNCTION("""COMPUTED_VALUE"""),6.25)</f>
        <v>6.25</v>
      </c>
      <c r="D896" s="1">
        <f ca="1">IFERROR(__xludf.DUMMYFUNCTION("""COMPUTED_VALUE"""),6.08)</f>
        <v>6.08</v>
      </c>
      <c r="E896" s="1">
        <f ca="1">IFERROR(__xludf.DUMMYFUNCTION("""COMPUTED_VALUE"""),6.24)</f>
        <v>6.24</v>
      </c>
      <c r="F896" s="1">
        <f ca="1">IFERROR(__xludf.DUMMYFUNCTION("""COMPUTED_VALUE"""),7539621)</f>
        <v>7539621</v>
      </c>
    </row>
    <row r="897" spans="1:6" x14ac:dyDescent="0.35">
      <c r="A897" s="2">
        <f ca="1">IFERROR(__xludf.DUMMYFUNCTION("""COMPUTED_VALUE"""),43305.6666666666)</f>
        <v>43305.666666666599</v>
      </c>
      <c r="B897" s="1">
        <f ca="1">IFERROR(__xludf.DUMMYFUNCTION("""COMPUTED_VALUE"""),6.28)</f>
        <v>6.28</v>
      </c>
      <c r="C897" s="1">
        <f ca="1">IFERROR(__xludf.DUMMYFUNCTION("""COMPUTED_VALUE"""),6.37)</f>
        <v>6.37</v>
      </c>
      <c r="D897" s="1">
        <f ca="1">IFERROR(__xludf.DUMMYFUNCTION("""COMPUTED_VALUE"""),6.2)</f>
        <v>6.2</v>
      </c>
      <c r="E897" s="1">
        <f ca="1">IFERROR(__xludf.DUMMYFUNCTION("""COMPUTED_VALUE"""),6.22)</f>
        <v>6.22</v>
      </c>
      <c r="F897" s="1">
        <f ca="1">IFERROR(__xludf.DUMMYFUNCTION("""COMPUTED_VALUE"""),8865545)</f>
        <v>8865545</v>
      </c>
    </row>
    <row r="898" spans="1:6" x14ac:dyDescent="0.35">
      <c r="A898" s="2">
        <f ca="1">IFERROR(__xludf.DUMMYFUNCTION("""COMPUTED_VALUE"""),43306.6666666666)</f>
        <v>43306.666666666599</v>
      </c>
      <c r="B898" s="1">
        <f ca="1">IFERROR(__xludf.DUMMYFUNCTION("""COMPUTED_VALUE"""),6.23)</f>
        <v>6.23</v>
      </c>
      <c r="C898" s="1">
        <f ca="1">IFERROR(__xludf.DUMMYFUNCTION("""COMPUTED_VALUE"""),6.31)</f>
        <v>6.31</v>
      </c>
      <c r="D898" s="1">
        <f ca="1">IFERROR(__xludf.DUMMYFUNCTION("""COMPUTED_VALUE"""),6.17)</f>
        <v>6.17</v>
      </c>
      <c r="E898" s="1">
        <f ca="1">IFERROR(__xludf.DUMMYFUNCTION("""COMPUTED_VALUE"""),6.3)</f>
        <v>6.3</v>
      </c>
      <c r="F898" s="1">
        <f ca="1">IFERROR(__xludf.DUMMYFUNCTION("""COMPUTED_VALUE"""),8004551)</f>
        <v>8004551</v>
      </c>
    </row>
    <row r="899" spans="1:6" x14ac:dyDescent="0.35">
      <c r="A899" s="2">
        <f ca="1">IFERROR(__xludf.DUMMYFUNCTION("""COMPUTED_VALUE"""),43307.6666666666)</f>
        <v>43307.666666666599</v>
      </c>
      <c r="B899" s="1">
        <f ca="1">IFERROR(__xludf.DUMMYFUNCTION("""COMPUTED_VALUE"""),6.28)</f>
        <v>6.28</v>
      </c>
      <c r="C899" s="1">
        <f ca="1">IFERROR(__xludf.DUMMYFUNCTION("""COMPUTED_VALUE"""),6.41)</f>
        <v>6.41</v>
      </c>
      <c r="D899" s="1">
        <f ca="1">IFERROR(__xludf.DUMMYFUNCTION("""COMPUTED_VALUE"""),6.26)</f>
        <v>6.26</v>
      </c>
      <c r="E899" s="1">
        <f ca="1">IFERROR(__xludf.DUMMYFUNCTION("""COMPUTED_VALUE"""),6.37)</f>
        <v>6.37</v>
      </c>
      <c r="F899" s="1">
        <f ca="1">IFERROR(__xludf.DUMMYFUNCTION("""COMPUTED_VALUE"""),8128128)</f>
        <v>8128128</v>
      </c>
    </row>
    <row r="900" spans="1:6" x14ac:dyDescent="0.35">
      <c r="A900" s="2">
        <f ca="1">IFERROR(__xludf.DUMMYFUNCTION("""COMPUTED_VALUE"""),43308.6666666666)</f>
        <v>43308.666666666599</v>
      </c>
      <c r="B900" s="1">
        <f ca="1">IFERROR(__xludf.DUMMYFUNCTION("""COMPUTED_VALUE"""),6.41)</f>
        <v>6.41</v>
      </c>
      <c r="C900" s="1">
        <f ca="1">IFERROR(__xludf.DUMMYFUNCTION("""COMPUTED_VALUE"""),6.42)</f>
        <v>6.42</v>
      </c>
      <c r="D900" s="1">
        <f ca="1">IFERROR(__xludf.DUMMYFUNCTION("""COMPUTED_VALUE"""),6.25)</f>
        <v>6.25</v>
      </c>
      <c r="E900" s="1">
        <f ca="1">IFERROR(__xludf.DUMMYFUNCTION("""COMPUTED_VALUE"""),6.3)</f>
        <v>6.3</v>
      </c>
      <c r="F900" s="1">
        <f ca="1">IFERROR(__xludf.DUMMYFUNCTION("""COMPUTED_VALUE"""),7385535)</f>
        <v>7385535</v>
      </c>
    </row>
    <row r="901" spans="1:6" x14ac:dyDescent="0.35">
      <c r="A901" s="2">
        <f ca="1">IFERROR(__xludf.DUMMYFUNCTION("""COMPUTED_VALUE"""),43311.6666666666)</f>
        <v>43311.666666666599</v>
      </c>
      <c r="B901" s="1">
        <f ca="1">IFERROR(__xludf.DUMMYFUNCTION("""COMPUTED_VALUE"""),6.31)</f>
        <v>6.31</v>
      </c>
      <c r="C901" s="1">
        <f ca="1">IFERROR(__xludf.DUMMYFUNCTION("""COMPUTED_VALUE"""),6.32)</f>
        <v>6.32</v>
      </c>
      <c r="D901" s="1">
        <f ca="1">IFERROR(__xludf.DUMMYFUNCTION("""COMPUTED_VALUE"""),6.07)</f>
        <v>6.07</v>
      </c>
      <c r="E901" s="1">
        <f ca="1">IFERROR(__xludf.DUMMYFUNCTION("""COMPUTED_VALUE"""),6.1)</f>
        <v>6.1</v>
      </c>
      <c r="F901" s="1">
        <f ca="1">IFERROR(__xludf.DUMMYFUNCTION("""COMPUTED_VALUE"""),8508539)</f>
        <v>8508539</v>
      </c>
    </row>
    <row r="902" spans="1:6" x14ac:dyDescent="0.35">
      <c r="A902" s="2">
        <f ca="1">IFERROR(__xludf.DUMMYFUNCTION("""COMPUTED_VALUE"""),43312.6666666666)</f>
        <v>43312.666666666599</v>
      </c>
      <c r="B902" s="1">
        <f ca="1">IFERROR(__xludf.DUMMYFUNCTION("""COMPUTED_VALUE"""),6.09)</f>
        <v>6.09</v>
      </c>
      <c r="C902" s="1">
        <f ca="1">IFERROR(__xludf.DUMMYFUNCTION("""COMPUTED_VALUE"""),6.2)</f>
        <v>6.2</v>
      </c>
      <c r="D902" s="1">
        <f ca="1">IFERROR(__xludf.DUMMYFUNCTION("""COMPUTED_VALUE"""),6.05)</f>
        <v>6.05</v>
      </c>
      <c r="E902" s="1">
        <f ca="1">IFERROR(__xludf.DUMMYFUNCTION("""COMPUTED_VALUE"""),6.12)</f>
        <v>6.12</v>
      </c>
      <c r="F902" s="1">
        <f ca="1">IFERROR(__xludf.DUMMYFUNCTION("""COMPUTED_VALUE"""),7099696)</f>
        <v>7099696</v>
      </c>
    </row>
    <row r="903" spans="1:6" x14ac:dyDescent="0.35">
      <c r="A903" s="2">
        <f ca="1">IFERROR(__xludf.DUMMYFUNCTION("""COMPUTED_VALUE"""),43313.6666666666)</f>
        <v>43313.666666666599</v>
      </c>
      <c r="B903" s="1">
        <f ca="1">IFERROR(__xludf.DUMMYFUNCTION("""COMPUTED_VALUE"""),6.15)</f>
        <v>6.15</v>
      </c>
      <c r="C903" s="1">
        <f ca="1">IFERROR(__xludf.DUMMYFUNCTION("""COMPUTED_VALUE"""),6.21)</f>
        <v>6.21</v>
      </c>
      <c r="D903" s="1">
        <f ca="1">IFERROR(__xludf.DUMMYFUNCTION("""COMPUTED_VALUE"""),6.1)</f>
        <v>6.1</v>
      </c>
      <c r="E903" s="1">
        <f ca="1">IFERROR(__xludf.DUMMYFUNCTION("""COMPUTED_VALUE"""),6.16)</f>
        <v>6.16</v>
      </c>
      <c r="F903" s="1">
        <f ca="1">IFERROR(__xludf.DUMMYFUNCTION("""COMPUTED_VALUE"""),7088889)</f>
        <v>7088889</v>
      </c>
    </row>
    <row r="904" spans="1:6" x14ac:dyDescent="0.35">
      <c r="A904" s="2">
        <f ca="1">IFERROR(__xludf.DUMMYFUNCTION("""COMPUTED_VALUE"""),43314.6666666666)</f>
        <v>43314.666666666599</v>
      </c>
      <c r="B904" s="1">
        <f ca="1">IFERROR(__xludf.DUMMYFUNCTION("""COMPUTED_VALUE"""),6.09)</f>
        <v>6.09</v>
      </c>
      <c r="C904" s="1">
        <f ca="1">IFERROR(__xludf.DUMMYFUNCTION("""COMPUTED_VALUE"""),6.27)</f>
        <v>6.27</v>
      </c>
      <c r="D904" s="1">
        <f ca="1">IFERROR(__xludf.DUMMYFUNCTION("""COMPUTED_VALUE"""),6.03)</f>
        <v>6.03</v>
      </c>
      <c r="E904" s="1">
        <f ca="1">IFERROR(__xludf.DUMMYFUNCTION("""COMPUTED_VALUE"""),6.27)</f>
        <v>6.27</v>
      </c>
      <c r="F904" s="1">
        <f ca="1">IFERROR(__xludf.DUMMYFUNCTION("""COMPUTED_VALUE"""),6741689)</f>
        <v>6741689</v>
      </c>
    </row>
    <row r="905" spans="1:6" x14ac:dyDescent="0.35">
      <c r="A905" s="2">
        <f ca="1">IFERROR(__xludf.DUMMYFUNCTION("""COMPUTED_VALUE"""),43315.6666666666)</f>
        <v>43315.666666666599</v>
      </c>
      <c r="B905" s="1">
        <f ca="1">IFERROR(__xludf.DUMMYFUNCTION("""COMPUTED_VALUE"""),6.29)</f>
        <v>6.29</v>
      </c>
      <c r="C905" s="1">
        <f ca="1">IFERROR(__xludf.DUMMYFUNCTION("""COMPUTED_VALUE"""),6.33)</f>
        <v>6.33</v>
      </c>
      <c r="D905" s="1">
        <f ca="1">IFERROR(__xludf.DUMMYFUNCTION("""COMPUTED_VALUE"""),6.27)</f>
        <v>6.27</v>
      </c>
      <c r="E905" s="1">
        <f ca="1">IFERROR(__xludf.DUMMYFUNCTION("""COMPUTED_VALUE"""),6.3)</f>
        <v>6.3</v>
      </c>
      <c r="F905" s="1">
        <f ca="1">IFERROR(__xludf.DUMMYFUNCTION("""COMPUTED_VALUE"""),5357202)</f>
        <v>5357202</v>
      </c>
    </row>
    <row r="906" spans="1:6" x14ac:dyDescent="0.35">
      <c r="A906" s="2">
        <f ca="1">IFERROR(__xludf.DUMMYFUNCTION("""COMPUTED_VALUE"""),43318.6666666666)</f>
        <v>43318.666666666599</v>
      </c>
      <c r="B906" s="1">
        <f ca="1">IFERROR(__xludf.DUMMYFUNCTION("""COMPUTED_VALUE"""),6.29)</f>
        <v>6.29</v>
      </c>
      <c r="C906" s="1">
        <f ca="1">IFERROR(__xludf.DUMMYFUNCTION("""COMPUTED_VALUE"""),6.35)</f>
        <v>6.35</v>
      </c>
      <c r="D906" s="1">
        <f ca="1">IFERROR(__xludf.DUMMYFUNCTION("""COMPUTED_VALUE"""),6.24)</f>
        <v>6.24</v>
      </c>
      <c r="E906" s="1">
        <f ca="1">IFERROR(__xludf.DUMMYFUNCTION("""COMPUTED_VALUE"""),6.35)</f>
        <v>6.35</v>
      </c>
      <c r="F906" s="1">
        <f ca="1">IFERROR(__xludf.DUMMYFUNCTION("""COMPUTED_VALUE"""),5187665)</f>
        <v>5187665</v>
      </c>
    </row>
    <row r="907" spans="1:6" x14ac:dyDescent="0.35">
      <c r="A907" s="2">
        <f ca="1">IFERROR(__xludf.DUMMYFUNCTION("""COMPUTED_VALUE"""),43319.6666666666)</f>
        <v>43319.666666666599</v>
      </c>
      <c r="B907" s="1">
        <f ca="1">IFERROR(__xludf.DUMMYFUNCTION("""COMPUTED_VALUE"""),6.4)</f>
        <v>6.4</v>
      </c>
      <c r="C907" s="1">
        <f ca="1">IFERROR(__xludf.DUMMYFUNCTION("""COMPUTED_VALUE"""),6.44)</f>
        <v>6.44</v>
      </c>
      <c r="D907" s="1">
        <f ca="1">IFERROR(__xludf.DUMMYFUNCTION("""COMPUTED_VALUE"""),6.37)</f>
        <v>6.37</v>
      </c>
      <c r="E907" s="1">
        <f ca="1">IFERROR(__xludf.DUMMYFUNCTION("""COMPUTED_VALUE"""),6.42)</f>
        <v>6.42</v>
      </c>
      <c r="F907" s="1">
        <f ca="1">IFERROR(__xludf.DUMMYFUNCTION("""COMPUTED_VALUE"""),6453260)</f>
        <v>6453260</v>
      </c>
    </row>
    <row r="908" spans="1:6" x14ac:dyDescent="0.35">
      <c r="A908" s="2">
        <f ca="1">IFERROR(__xludf.DUMMYFUNCTION("""COMPUTED_VALUE"""),43320.6666666666)</f>
        <v>43320.666666666599</v>
      </c>
      <c r="B908" s="1">
        <f ca="1">IFERROR(__xludf.DUMMYFUNCTION("""COMPUTED_VALUE"""),6.43)</f>
        <v>6.43</v>
      </c>
      <c r="C908" s="1">
        <f ca="1">IFERROR(__xludf.DUMMYFUNCTION("""COMPUTED_VALUE"""),6.51)</f>
        <v>6.51</v>
      </c>
      <c r="D908" s="1">
        <f ca="1">IFERROR(__xludf.DUMMYFUNCTION("""COMPUTED_VALUE"""),6.39)</f>
        <v>6.39</v>
      </c>
      <c r="E908" s="1">
        <f ca="1">IFERROR(__xludf.DUMMYFUNCTION("""COMPUTED_VALUE"""),6.46)</f>
        <v>6.46</v>
      </c>
      <c r="F908" s="1">
        <f ca="1">IFERROR(__xludf.DUMMYFUNCTION("""COMPUTED_VALUE"""),6552462)</f>
        <v>6552462</v>
      </c>
    </row>
    <row r="909" spans="1:6" x14ac:dyDescent="0.35">
      <c r="A909" s="2">
        <f ca="1">IFERROR(__xludf.DUMMYFUNCTION("""COMPUTED_VALUE"""),43321.6666666666)</f>
        <v>43321.666666666599</v>
      </c>
      <c r="B909" s="1">
        <f ca="1">IFERROR(__xludf.DUMMYFUNCTION("""COMPUTED_VALUE"""),6.48)</f>
        <v>6.48</v>
      </c>
      <c r="C909" s="1">
        <f ca="1">IFERROR(__xludf.DUMMYFUNCTION("""COMPUTED_VALUE"""),6.48)</f>
        <v>6.48</v>
      </c>
      <c r="D909" s="1">
        <f ca="1">IFERROR(__xludf.DUMMYFUNCTION("""COMPUTED_VALUE"""),6.4)</f>
        <v>6.4</v>
      </c>
      <c r="E909" s="1">
        <f ca="1">IFERROR(__xludf.DUMMYFUNCTION("""COMPUTED_VALUE"""),6.41)</f>
        <v>6.41</v>
      </c>
      <c r="F909" s="1">
        <f ca="1">IFERROR(__xludf.DUMMYFUNCTION("""COMPUTED_VALUE"""),5106962)</f>
        <v>5106962</v>
      </c>
    </row>
    <row r="910" spans="1:6" x14ac:dyDescent="0.35">
      <c r="A910" s="2">
        <f ca="1">IFERROR(__xludf.DUMMYFUNCTION("""COMPUTED_VALUE"""),43322.6666666666)</f>
        <v>43322.666666666599</v>
      </c>
      <c r="B910" s="1">
        <f ca="1">IFERROR(__xludf.DUMMYFUNCTION("""COMPUTED_VALUE"""),6.33)</f>
        <v>6.33</v>
      </c>
      <c r="C910" s="1">
        <f ca="1">IFERROR(__xludf.DUMMYFUNCTION("""COMPUTED_VALUE"""),6.4)</f>
        <v>6.4</v>
      </c>
      <c r="D910" s="1">
        <f ca="1">IFERROR(__xludf.DUMMYFUNCTION("""COMPUTED_VALUE"""),6.32)</f>
        <v>6.32</v>
      </c>
      <c r="E910" s="1">
        <f ca="1">IFERROR(__xludf.DUMMYFUNCTION("""COMPUTED_VALUE"""),6.37)</f>
        <v>6.37</v>
      </c>
      <c r="F910" s="1">
        <f ca="1">IFERROR(__xludf.DUMMYFUNCTION("""COMPUTED_VALUE"""),6415668)</f>
        <v>6415668</v>
      </c>
    </row>
    <row r="911" spans="1:6" x14ac:dyDescent="0.35">
      <c r="A911" s="2">
        <f ca="1">IFERROR(__xludf.DUMMYFUNCTION("""COMPUTED_VALUE"""),43325.6666666666)</f>
        <v>43325.666666666599</v>
      </c>
      <c r="B911" s="1">
        <f ca="1">IFERROR(__xludf.DUMMYFUNCTION("""COMPUTED_VALUE"""),6.38)</f>
        <v>6.38</v>
      </c>
      <c r="C911" s="1">
        <f ca="1">IFERROR(__xludf.DUMMYFUNCTION("""COMPUTED_VALUE"""),6.53)</f>
        <v>6.53</v>
      </c>
      <c r="D911" s="1">
        <f ca="1">IFERROR(__xludf.DUMMYFUNCTION("""COMPUTED_VALUE"""),6.38)</f>
        <v>6.38</v>
      </c>
      <c r="E911" s="1">
        <f ca="1">IFERROR(__xludf.DUMMYFUNCTION("""COMPUTED_VALUE"""),6.4)</f>
        <v>6.4</v>
      </c>
      <c r="F911" s="1">
        <f ca="1">IFERROR(__xludf.DUMMYFUNCTION("""COMPUTED_VALUE"""),9380158)</f>
        <v>9380158</v>
      </c>
    </row>
    <row r="912" spans="1:6" x14ac:dyDescent="0.35">
      <c r="A912" s="2">
        <f ca="1">IFERROR(__xludf.DUMMYFUNCTION("""COMPUTED_VALUE"""),43326.6666666666)</f>
        <v>43326.666666666599</v>
      </c>
      <c r="B912" s="1">
        <f ca="1">IFERROR(__xludf.DUMMYFUNCTION("""COMPUTED_VALUE"""),6.51)</f>
        <v>6.51</v>
      </c>
      <c r="C912" s="1">
        <f ca="1">IFERROR(__xludf.DUMMYFUNCTION("""COMPUTED_VALUE"""),6.55)</f>
        <v>6.55</v>
      </c>
      <c r="D912" s="1">
        <f ca="1">IFERROR(__xludf.DUMMYFUNCTION("""COMPUTED_VALUE"""),6.43)</f>
        <v>6.43</v>
      </c>
      <c r="E912" s="1">
        <f ca="1">IFERROR(__xludf.DUMMYFUNCTION("""COMPUTED_VALUE"""),6.54)</f>
        <v>6.54</v>
      </c>
      <c r="F912" s="1">
        <f ca="1">IFERROR(__xludf.DUMMYFUNCTION("""COMPUTED_VALUE"""),11655486)</f>
        <v>11655486</v>
      </c>
    </row>
    <row r="913" spans="1:6" x14ac:dyDescent="0.35">
      <c r="A913" s="2">
        <f ca="1">IFERROR(__xludf.DUMMYFUNCTION("""COMPUTED_VALUE"""),43327.6666666666)</f>
        <v>43327.666666666599</v>
      </c>
      <c r="B913" s="1">
        <f ca="1">IFERROR(__xludf.DUMMYFUNCTION("""COMPUTED_VALUE"""),6.56)</f>
        <v>6.56</v>
      </c>
      <c r="C913" s="1">
        <f ca="1">IFERROR(__xludf.DUMMYFUNCTION("""COMPUTED_VALUE"""),6.59)</f>
        <v>6.59</v>
      </c>
      <c r="D913" s="1">
        <f ca="1">IFERROR(__xludf.DUMMYFUNCTION("""COMPUTED_VALUE"""),6.4)</f>
        <v>6.4</v>
      </c>
      <c r="E913" s="1">
        <f ca="1">IFERROR(__xludf.DUMMYFUNCTION("""COMPUTED_VALUE"""),6.48)</f>
        <v>6.48</v>
      </c>
      <c r="F913" s="1">
        <f ca="1">IFERROR(__xludf.DUMMYFUNCTION("""COMPUTED_VALUE"""),14778394)</f>
        <v>14778394</v>
      </c>
    </row>
    <row r="914" spans="1:6" x14ac:dyDescent="0.35">
      <c r="A914" s="2">
        <f ca="1">IFERROR(__xludf.DUMMYFUNCTION("""COMPUTED_VALUE"""),43328.6666666666)</f>
        <v>43328.666666666599</v>
      </c>
      <c r="B914" s="1">
        <f ca="1">IFERROR(__xludf.DUMMYFUNCTION("""COMPUTED_VALUE"""),6.55)</f>
        <v>6.55</v>
      </c>
      <c r="C914" s="1">
        <f ca="1">IFERROR(__xludf.DUMMYFUNCTION("""COMPUTED_VALUE"""),6.55)</f>
        <v>6.55</v>
      </c>
      <c r="D914" s="1">
        <f ca="1">IFERROR(__xludf.DUMMYFUNCTION("""COMPUTED_VALUE"""),6.38)</f>
        <v>6.38</v>
      </c>
      <c r="E914" s="1">
        <f ca="1">IFERROR(__xludf.DUMMYFUNCTION("""COMPUTED_VALUE"""),6.44)</f>
        <v>6.44</v>
      </c>
      <c r="F914" s="1">
        <f ca="1">IFERROR(__xludf.DUMMYFUNCTION("""COMPUTED_VALUE"""),20031476)</f>
        <v>20031476</v>
      </c>
    </row>
    <row r="915" spans="1:6" x14ac:dyDescent="0.35">
      <c r="A915" s="2">
        <f ca="1">IFERROR(__xludf.DUMMYFUNCTION("""COMPUTED_VALUE"""),43329.6666666666)</f>
        <v>43329.666666666599</v>
      </c>
      <c r="B915" s="1">
        <f ca="1">IFERROR(__xludf.DUMMYFUNCTION("""COMPUTED_VALUE"""),6.32)</f>
        <v>6.32</v>
      </c>
      <c r="C915" s="1">
        <f ca="1">IFERROR(__xludf.DUMMYFUNCTION("""COMPUTED_VALUE"""),6.32)</f>
        <v>6.32</v>
      </c>
      <c r="D915" s="1">
        <f ca="1">IFERROR(__xludf.DUMMYFUNCTION("""COMPUTED_VALUE"""),6.09)</f>
        <v>6.09</v>
      </c>
      <c r="E915" s="1">
        <f ca="1">IFERROR(__xludf.DUMMYFUNCTION("""COMPUTED_VALUE"""),6.12)</f>
        <v>6.12</v>
      </c>
      <c r="F915" s="1">
        <f ca="1">IFERROR(__xludf.DUMMYFUNCTION("""COMPUTED_VALUE"""),28579694)</f>
        <v>28579694</v>
      </c>
    </row>
    <row r="916" spans="1:6" x14ac:dyDescent="0.35">
      <c r="A916" s="2">
        <f ca="1">IFERROR(__xludf.DUMMYFUNCTION("""COMPUTED_VALUE"""),43332.6666666666)</f>
        <v>43332.666666666599</v>
      </c>
      <c r="B916" s="1">
        <f ca="1">IFERROR(__xludf.DUMMYFUNCTION("""COMPUTED_VALUE"""),6.08)</f>
        <v>6.08</v>
      </c>
      <c r="C916" s="1">
        <f ca="1">IFERROR(__xludf.DUMMYFUNCTION("""COMPUTED_VALUE"""),6.33)</f>
        <v>6.33</v>
      </c>
      <c r="D916" s="1">
        <f ca="1">IFERROR(__xludf.DUMMYFUNCTION("""COMPUTED_VALUE"""),5.97)</f>
        <v>5.97</v>
      </c>
      <c r="E916" s="1">
        <f ca="1">IFERROR(__xludf.DUMMYFUNCTION("""COMPUTED_VALUE"""),6.2)</f>
        <v>6.2</v>
      </c>
      <c r="F916" s="1">
        <f ca="1">IFERROR(__xludf.DUMMYFUNCTION("""COMPUTED_VALUE"""),21359655)</f>
        <v>21359655</v>
      </c>
    </row>
    <row r="917" spans="1:6" x14ac:dyDescent="0.35">
      <c r="A917" s="2">
        <f ca="1">IFERROR(__xludf.DUMMYFUNCTION("""COMPUTED_VALUE"""),43333.6666666666)</f>
        <v>43333.666666666599</v>
      </c>
      <c r="B917" s="1">
        <f ca="1">IFERROR(__xludf.DUMMYFUNCTION("""COMPUTED_VALUE"""),6.21)</f>
        <v>6.21</v>
      </c>
      <c r="C917" s="1">
        <f ca="1">IFERROR(__xludf.DUMMYFUNCTION("""COMPUTED_VALUE"""),6.34)</f>
        <v>6.34</v>
      </c>
      <c r="D917" s="1">
        <f ca="1">IFERROR(__xludf.DUMMYFUNCTION("""COMPUTED_VALUE"""),6.19)</f>
        <v>6.19</v>
      </c>
      <c r="E917" s="1">
        <f ca="1">IFERROR(__xludf.DUMMYFUNCTION("""COMPUTED_VALUE"""),6.33)</f>
        <v>6.33</v>
      </c>
      <c r="F917" s="1">
        <f ca="1">IFERROR(__xludf.DUMMYFUNCTION("""COMPUTED_VALUE"""),16849710)</f>
        <v>16849710</v>
      </c>
    </row>
    <row r="918" spans="1:6" x14ac:dyDescent="0.35">
      <c r="A918" s="2">
        <f ca="1">IFERROR(__xludf.DUMMYFUNCTION("""COMPUTED_VALUE"""),43334.6666666666)</f>
        <v>43334.666666666599</v>
      </c>
      <c r="B918" s="1">
        <f ca="1">IFERROR(__xludf.DUMMYFUNCTION("""COMPUTED_VALUE"""),6.3)</f>
        <v>6.3</v>
      </c>
      <c r="C918" s="1">
        <f ca="1">IFERROR(__xludf.DUMMYFUNCTION("""COMPUTED_VALUE"""),6.58)</f>
        <v>6.58</v>
      </c>
      <c r="D918" s="1">
        <f ca="1">IFERROR(__xludf.DUMMYFUNCTION("""COMPUTED_VALUE"""),6.3)</f>
        <v>6.3</v>
      </c>
      <c r="E918" s="1">
        <f ca="1">IFERROR(__xludf.DUMMYFUNCTION("""COMPUTED_VALUE"""),6.57)</f>
        <v>6.57</v>
      </c>
      <c r="F918" s="1">
        <f ca="1">IFERROR(__xludf.DUMMYFUNCTION("""COMPUTED_VALUE"""),18746422)</f>
        <v>18746422</v>
      </c>
    </row>
    <row r="919" spans="1:6" x14ac:dyDescent="0.35">
      <c r="A919" s="2">
        <f ca="1">IFERROR(__xludf.DUMMYFUNCTION("""COMPUTED_VALUE"""),43335.6666666666)</f>
        <v>43335.666666666599</v>
      </c>
      <c r="B919" s="1">
        <f ca="1">IFERROR(__xludf.DUMMYFUNCTION("""COMPUTED_VALUE"""),6.53)</f>
        <v>6.53</v>
      </c>
      <c r="C919" s="1">
        <f ca="1">IFERROR(__xludf.DUMMYFUNCTION("""COMPUTED_VALUE"""),6.74)</f>
        <v>6.74</v>
      </c>
      <c r="D919" s="1">
        <f ca="1">IFERROR(__xludf.DUMMYFUNCTION("""COMPUTED_VALUE"""),6.52)</f>
        <v>6.52</v>
      </c>
      <c r="E919" s="1">
        <f ca="1">IFERROR(__xludf.DUMMYFUNCTION("""COMPUTED_VALUE"""),6.67)</f>
        <v>6.67</v>
      </c>
      <c r="F919" s="1">
        <f ca="1">IFERROR(__xludf.DUMMYFUNCTION("""COMPUTED_VALUE"""),18017114)</f>
        <v>18017114</v>
      </c>
    </row>
    <row r="920" spans="1:6" x14ac:dyDescent="0.35">
      <c r="A920" s="2">
        <f ca="1">IFERROR(__xludf.DUMMYFUNCTION("""COMPUTED_VALUE"""),43336.6666666666)</f>
        <v>43336.666666666599</v>
      </c>
      <c r="B920" s="1">
        <f ca="1">IFERROR(__xludf.DUMMYFUNCTION("""COMPUTED_VALUE"""),6.68)</f>
        <v>6.68</v>
      </c>
      <c r="C920" s="1">
        <f ca="1">IFERROR(__xludf.DUMMYFUNCTION("""COMPUTED_VALUE"""),6.82)</f>
        <v>6.82</v>
      </c>
      <c r="D920" s="1">
        <f ca="1">IFERROR(__xludf.DUMMYFUNCTION("""COMPUTED_VALUE"""),6.68)</f>
        <v>6.68</v>
      </c>
      <c r="E920" s="1">
        <f ca="1">IFERROR(__xludf.DUMMYFUNCTION("""COMPUTED_VALUE"""),6.81)</f>
        <v>6.81</v>
      </c>
      <c r="F920" s="1">
        <f ca="1">IFERROR(__xludf.DUMMYFUNCTION("""COMPUTED_VALUE"""),13287762)</f>
        <v>13287762</v>
      </c>
    </row>
    <row r="921" spans="1:6" x14ac:dyDescent="0.35">
      <c r="A921" s="2">
        <f ca="1">IFERROR(__xludf.DUMMYFUNCTION("""COMPUTED_VALUE"""),43339.6666666666)</f>
        <v>43339.666666666599</v>
      </c>
      <c r="B921" s="1">
        <f ca="1">IFERROR(__xludf.DUMMYFUNCTION("""COMPUTED_VALUE"""),6.84)</f>
        <v>6.84</v>
      </c>
      <c r="C921" s="1">
        <f ca="1">IFERROR(__xludf.DUMMYFUNCTION("""COMPUTED_VALUE"""),6.97)</f>
        <v>6.97</v>
      </c>
      <c r="D921" s="1">
        <f ca="1">IFERROR(__xludf.DUMMYFUNCTION("""COMPUTED_VALUE"""),6.8)</f>
        <v>6.8</v>
      </c>
      <c r="E921" s="1">
        <f ca="1">IFERROR(__xludf.DUMMYFUNCTION("""COMPUTED_VALUE"""),6.9)</f>
        <v>6.9</v>
      </c>
      <c r="F921" s="1">
        <f ca="1">IFERROR(__xludf.DUMMYFUNCTION("""COMPUTED_VALUE"""),12644437)</f>
        <v>12644437</v>
      </c>
    </row>
    <row r="922" spans="1:6" x14ac:dyDescent="0.35">
      <c r="A922" s="2">
        <f ca="1">IFERROR(__xludf.DUMMYFUNCTION("""COMPUTED_VALUE"""),43340.6666666666)</f>
        <v>43340.666666666599</v>
      </c>
      <c r="B922" s="1">
        <f ca="1">IFERROR(__xludf.DUMMYFUNCTION("""COMPUTED_VALUE"""),6.89)</f>
        <v>6.89</v>
      </c>
      <c r="C922" s="1">
        <f ca="1">IFERROR(__xludf.DUMMYFUNCTION("""COMPUTED_VALUE"""),6.91)</f>
        <v>6.91</v>
      </c>
      <c r="D922" s="1">
        <f ca="1">IFERROR(__xludf.DUMMYFUNCTION("""COMPUTED_VALUE"""),6.74)</f>
        <v>6.74</v>
      </c>
      <c r="E922" s="1">
        <f ca="1">IFERROR(__xludf.DUMMYFUNCTION("""COMPUTED_VALUE"""),6.86)</f>
        <v>6.86</v>
      </c>
      <c r="F922" s="1">
        <f ca="1">IFERROR(__xludf.DUMMYFUNCTION("""COMPUTED_VALUE"""),11884595)</f>
        <v>11884595</v>
      </c>
    </row>
    <row r="923" spans="1:6" x14ac:dyDescent="0.35">
      <c r="A923" s="2">
        <f ca="1">IFERROR(__xludf.DUMMYFUNCTION("""COMPUTED_VALUE"""),43341.6666666666)</f>
        <v>43341.666666666599</v>
      </c>
      <c r="B923" s="1">
        <f ca="1">IFERROR(__xludf.DUMMYFUNCTION("""COMPUTED_VALUE"""),6.85)</f>
        <v>6.85</v>
      </c>
      <c r="C923" s="1">
        <f ca="1">IFERROR(__xludf.DUMMYFUNCTION("""COMPUTED_VALUE"""),6.99)</f>
        <v>6.99</v>
      </c>
      <c r="D923" s="1">
        <f ca="1">IFERROR(__xludf.DUMMYFUNCTION("""COMPUTED_VALUE"""),6.83)</f>
        <v>6.83</v>
      </c>
      <c r="E923" s="1">
        <f ca="1">IFERROR(__xludf.DUMMYFUNCTION("""COMPUTED_VALUE"""),6.96)</f>
        <v>6.96</v>
      </c>
      <c r="F923" s="1">
        <f ca="1">IFERROR(__xludf.DUMMYFUNCTION("""COMPUTED_VALUE"""),10502741)</f>
        <v>10502741</v>
      </c>
    </row>
    <row r="924" spans="1:6" x14ac:dyDescent="0.35">
      <c r="A924" s="2">
        <f ca="1">IFERROR(__xludf.DUMMYFUNCTION("""COMPUTED_VALUE"""),43342.6666666666)</f>
        <v>43342.666666666599</v>
      </c>
      <c r="B924" s="1">
        <f ca="1">IFERROR(__xludf.DUMMYFUNCTION("""COMPUTED_VALUE"""),6.93)</f>
        <v>6.93</v>
      </c>
      <c r="C924" s="1">
        <f ca="1">IFERROR(__xludf.DUMMYFUNCTION("""COMPUTED_VALUE"""),7.04)</f>
        <v>7.04</v>
      </c>
      <c r="D924" s="1">
        <f ca="1">IFERROR(__xludf.DUMMYFUNCTION("""COMPUTED_VALUE"""),6.91)</f>
        <v>6.91</v>
      </c>
      <c r="E924" s="1">
        <f ca="1">IFERROR(__xludf.DUMMYFUNCTION("""COMPUTED_VALUE"""),6.95)</f>
        <v>6.95</v>
      </c>
      <c r="F924" s="1">
        <f ca="1">IFERROR(__xludf.DUMMYFUNCTION("""COMPUTED_VALUE"""),8665230)</f>
        <v>8665230</v>
      </c>
    </row>
    <row r="925" spans="1:6" x14ac:dyDescent="0.35">
      <c r="A925" s="2">
        <f ca="1">IFERROR(__xludf.DUMMYFUNCTION("""COMPUTED_VALUE"""),43343.6666666666)</f>
        <v>43343.666666666599</v>
      </c>
      <c r="B925" s="1">
        <f ca="1">IFERROR(__xludf.DUMMYFUNCTION("""COMPUTED_VALUE"""),6.93)</f>
        <v>6.93</v>
      </c>
      <c r="C925" s="1">
        <f ca="1">IFERROR(__xludf.DUMMYFUNCTION("""COMPUTED_VALUE"""),7.03)</f>
        <v>7.03</v>
      </c>
      <c r="D925" s="1">
        <f ca="1">IFERROR(__xludf.DUMMYFUNCTION("""COMPUTED_VALUE"""),6.92)</f>
        <v>6.92</v>
      </c>
      <c r="E925" s="1">
        <f ca="1">IFERROR(__xludf.DUMMYFUNCTION("""COMPUTED_VALUE"""),7.02)</f>
        <v>7.02</v>
      </c>
      <c r="F925" s="1">
        <f ca="1">IFERROR(__xludf.DUMMYFUNCTION("""COMPUTED_VALUE"""),7664750)</f>
        <v>7664750</v>
      </c>
    </row>
    <row r="926" spans="1:6" x14ac:dyDescent="0.35">
      <c r="A926" s="2">
        <f ca="1">IFERROR(__xludf.DUMMYFUNCTION("""COMPUTED_VALUE"""),43347.6666666666)</f>
        <v>43347.666666666599</v>
      </c>
      <c r="B926" s="1">
        <f ca="1">IFERROR(__xludf.DUMMYFUNCTION("""COMPUTED_VALUE"""),7)</f>
        <v>7</v>
      </c>
      <c r="C926" s="1">
        <f ca="1">IFERROR(__xludf.DUMMYFUNCTION("""COMPUTED_VALUE"""),7.13)</f>
        <v>7.13</v>
      </c>
      <c r="D926" s="1">
        <f ca="1">IFERROR(__xludf.DUMMYFUNCTION("""COMPUTED_VALUE"""),6.98)</f>
        <v>6.98</v>
      </c>
      <c r="E926" s="1">
        <f ca="1">IFERROR(__xludf.DUMMYFUNCTION("""COMPUTED_VALUE"""),7.09)</f>
        <v>7.09</v>
      </c>
      <c r="F926" s="1">
        <f ca="1">IFERROR(__xludf.DUMMYFUNCTION("""COMPUTED_VALUE"""),9793027)</f>
        <v>9793027</v>
      </c>
    </row>
    <row r="927" spans="1:6" x14ac:dyDescent="0.35">
      <c r="A927" s="2">
        <f ca="1">IFERROR(__xludf.DUMMYFUNCTION("""COMPUTED_VALUE"""),43348.6666666666)</f>
        <v>43348.666666666599</v>
      </c>
      <c r="B927" s="1">
        <f ca="1">IFERROR(__xludf.DUMMYFUNCTION("""COMPUTED_VALUE"""),7.07)</f>
        <v>7.07</v>
      </c>
      <c r="C927" s="1">
        <f ca="1">IFERROR(__xludf.DUMMYFUNCTION("""COMPUTED_VALUE"""),7.11)</f>
        <v>7.11</v>
      </c>
      <c r="D927" s="1">
        <f ca="1">IFERROR(__xludf.DUMMYFUNCTION("""COMPUTED_VALUE"""),6.88)</f>
        <v>6.88</v>
      </c>
      <c r="E927" s="1">
        <f ca="1">IFERROR(__xludf.DUMMYFUNCTION("""COMPUTED_VALUE"""),6.96)</f>
        <v>6.96</v>
      </c>
      <c r="F927" s="1">
        <f ca="1">IFERROR(__xludf.DUMMYFUNCTION("""COMPUTED_VALUE"""),9828919)</f>
        <v>9828919</v>
      </c>
    </row>
    <row r="928" spans="1:6" x14ac:dyDescent="0.35">
      <c r="A928" s="2">
        <f ca="1">IFERROR(__xludf.DUMMYFUNCTION("""COMPUTED_VALUE"""),43349.6666666666)</f>
        <v>43349.666666666599</v>
      </c>
      <c r="B928" s="1">
        <f ca="1">IFERROR(__xludf.DUMMYFUNCTION("""COMPUTED_VALUE"""),6.94)</f>
        <v>6.94</v>
      </c>
      <c r="C928" s="1">
        <f ca="1">IFERROR(__xludf.DUMMYFUNCTION("""COMPUTED_VALUE"""),6.95)</f>
        <v>6.95</v>
      </c>
      <c r="D928" s="1">
        <f ca="1">IFERROR(__xludf.DUMMYFUNCTION("""COMPUTED_VALUE"""),6.78)</f>
        <v>6.78</v>
      </c>
      <c r="E928" s="1">
        <f ca="1">IFERROR(__xludf.DUMMYFUNCTION("""COMPUTED_VALUE"""),6.82)</f>
        <v>6.82</v>
      </c>
      <c r="F928" s="1">
        <f ca="1">IFERROR(__xludf.DUMMYFUNCTION("""COMPUTED_VALUE"""),8069889)</f>
        <v>8069889</v>
      </c>
    </row>
    <row r="929" spans="1:6" x14ac:dyDescent="0.35">
      <c r="A929" s="2">
        <f ca="1">IFERROR(__xludf.DUMMYFUNCTION("""COMPUTED_VALUE"""),43350.6666666666)</f>
        <v>43350.666666666599</v>
      </c>
      <c r="B929" s="1">
        <f ca="1">IFERROR(__xludf.DUMMYFUNCTION("""COMPUTED_VALUE"""),6.73)</f>
        <v>6.73</v>
      </c>
      <c r="C929" s="1">
        <f ca="1">IFERROR(__xludf.DUMMYFUNCTION("""COMPUTED_VALUE"""),6.92)</f>
        <v>6.92</v>
      </c>
      <c r="D929" s="1">
        <f ca="1">IFERROR(__xludf.DUMMYFUNCTION("""COMPUTED_VALUE"""),6.68)</f>
        <v>6.68</v>
      </c>
      <c r="E929" s="1">
        <f ca="1">IFERROR(__xludf.DUMMYFUNCTION("""COMPUTED_VALUE"""),6.8)</f>
        <v>6.8</v>
      </c>
      <c r="F929" s="1">
        <f ca="1">IFERROR(__xludf.DUMMYFUNCTION("""COMPUTED_VALUE"""),7385468)</f>
        <v>7385468</v>
      </c>
    </row>
    <row r="930" spans="1:6" x14ac:dyDescent="0.35">
      <c r="A930" s="2">
        <f ca="1">IFERROR(__xludf.DUMMYFUNCTION("""COMPUTED_VALUE"""),43353.6666666666)</f>
        <v>43353.666666666599</v>
      </c>
      <c r="B930" s="1">
        <f ca="1">IFERROR(__xludf.DUMMYFUNCTION("""COMPUTED_VALUE"""),6.82)</f>
        <v>6.82</v>
      </c>
      <c r="C930" s="1">
        <f ca="1">IFERROR(__xludf.DUMMYFUNCTION("""COMPUTED_VALUE"""),6.9)</f>
        <v>6.9</v>
      </c>
      <c r="D930" s="1">
        <f ca="1">IFERROR(__xludf.DUMMYFUNCTION("""COMPUTED_VALUE"""),6.78)</f>
        <v>6.78</v>
      </c>
      <c r="E930" s="1">
        <f ca="1">IFERROR(__xludf.DUMMYFUNCTION("""COMPUTED_VALUE"""),6.87)</f>
        <v>6.87</v>
      </c>
      <c r="F930" s="1">
        <f ca="1">IFERROR(__xludf.DUMMYFUNCTION("""COMPUTED_VALUE"""),5503457)</f>
        <v>5503457</v>
      </c>
    </row>
    <row r="931" spans="1:6" x14ac:dyDescent="0.35">
      <c r="A931" s="2">
        <f ca="1">IFERROR(__xludf.DUMMYFUNCTION("""COMPUTED_VALUE"""),43354.6666666666)</f>
        <v>43354.666666666599</v>
      </c>
      <c r="B931" s="1">
        <f ca="1">IFERROR(__xludf.DUMMYFUNCTION("""COMPUTED_VALUE"""),6.82)</f>
        <v>6.82</v>
      </c>
      <c r="C931" s="1">
        <f ca="1">IFERROR(__xludf.DUMMYFUNCTION("""COMPUTED_VALUE"""),6.91)</f>
        <v>6.91</v>
      </c>
      <c r="D931" s="1">
        <f ca="1">IFERROR(__xludf.DUMMYFUNCTION("""COMPUTED_VALUE"""),6.8)</f>
        <v>6.8</v>
      </c>
      <c r="E931" s="1">
        <f ca="1">IFERROR(__xludf.DUMMYFUNCTION("""COMPUTED_VALUE"""),6.82)</f>
        <v>6.82</v>
      </c>
      <c r="F931" s="1">
        <f ca="1">IFERROR(__xludf.DUMMYFUNCTION("""COMPUTED_VALUE"""),6077818)</f>
        <v>6077818</v>
      </c>
    </row>
    <row r="932" spans="1:6" x14ac:dyDescent="0.35">
      <c r="A932" s="2">
        <f ca="1">IFERROR(__xludf.DUMMYFUNCTION("""COMPUTED_VALUE"""),43355.6666666666)</f>
        <v>43355.666666666599</v>
      </c>
      <c r="B932" s="1">
        <f ca="1">IFERROR(__xludf.DUMMYFUNCTION("""COMPUTED_VALUE"""),6.78)</f>
        <v>6.78</v>
      </c>
      <c r="C932" s="1">
        <f ca="1">IFERROR(__xludf.DUMMYFUNCTION("""COMPUTED_VALUE"""),6.8)</f>
        <v>6.8</v>
      </c>
      <c r="D932" s="1">
        <f ca="1">IFERROR(__xludf.DUMMYFUNCTION("""COMPUTED_VALUE"""),6.55)</f>
        <v>6.55</v>
      </c>
      <c r="E932" s="1">
        <f ca="1">IFERROR(__xludf.DUMMYFUNCTION("""COMPUTED_VALUE"""),6.71)</f>
        <v>6.71</v>
      </c>
      <c r="F932" s="1">
        <f ca="1">IFERROR(__xludf.DUMMYFUNCTION("""COMPUTED_VALUE"""),10477259)</f>
        <v>10477259</v>
      </c>
    </row>
    <row r="933" spans="1:6" x14ac:dyDescent="0.35">
      <c r="A933" s="2">
        <f ca="1">IFERROR(__xludf.DUMMYFUNCTION("""COMPUTED_VALUE"""),43356.6666666666)</f>
        <v>43356.666666666599</v>
      </c>
      <c r="B933" s="1">
        <f ca="1">IFERROR(__xludf.DUMMYFUNCTION("""COMPUTED_VALUE"""),6.77)</f>
        <v>6.77</v>
      </c>
      <c r="C933" s="1">
        <f ca="1">IFERROR(__xludf.DUMMYFUNCTION("""COMPUTED_VALUE"""),6.88)</f>
        <v>6.88</v>
      </c>
      <c r="D933" s="1">
        <f ca="1">IFERROR(__xludf.DUMMYFUNCTION("""COMPUTED_VALUE"""),6.75)</f>
        <v>6.75</v>
      </c>
      <c r="E933" s="1">
        <f ca="1">IFERROR(__xludf.DUMMYFUNCTION("""COMPUTED_VALUE"""),6.78)</f>
        <v>6.78</v>
      </c>
      <c r="F933" s="1">
        <f ca="1">IFERROR(__xludf.DUMMYFUNCTION("""COMPUTED_VALUE"""),7638387)</f>
        <v>7638387</v>
      </c>
    </row>
    <row r="934" spans="1:6" x14ac:dyDescent="0.35">
      <c r="A934" s="2">
        <f ca="1">IFERROR(__xludf.DUMMYFUNCTION("""COMPUTED_VALUE"""),43357.6666666666)</f>
        <v>43357.666666666599</v>
      </c>
      <c r="B934" s="1">
        <f ca="1">IFERROR(__xludf.DUMMYFUNCTION("""COMPUTED_VALUE"""),6.87)</f>
        <v>6.87</v>
      </c>
      <c r="C934" s="1">
        <f ca="1">IFERROR(__xludf.DUMMYFUNCTION("""COMPUTED_VALUE"""),6.98)</f>
        <v>6.98</v>
      </c>
      <c r="D934" s="1">
        <f ca="1">IFERROR(__xludf.DUMMYFUNCTION("""COMPUTED_VALUE"""),6.84)</f>
        <v>6.84</v>
      </c>
      <c r="E934" s="1">
        <f ca="1">IFERROR(__xludf.DUMMYFUNCTION("""COMPUTED_VALUE"""),6.91)</f>
        <v>6.91</v>
      </c>
      <c r="F934" s="1">
        <f ca="1">IFERROR(__xludf.DUMMYFUNCTION("""COMPUTED_VALUE"""),9673380)</f>
        <v>9673380</v>
      </c>
    </row>
    <row r="935" spans="1:6" x14ac:dyDescent="0.35">
      <c r="A935" s="2">
        <f ca="1">IFERROR(__xludf.DUMMYFUNCTION("""COMPUTED_VALUE"""),43360.6666666666)</f>
        <v>43360.666666666599</v>
      </c>
      <c r="B935" s="1">
        <f ca="1">IFERROR(__xludf.DUMMYFUNCTION("""COMPUTED_VALUE"""),6.89)</f>
        <v>6.89</v>
      </c>
      <c r="C935" s="1">
        <f ca="1">IFERROR(__xludf.DUMMYFUNCTION("""COMPUTED_VALUE"""),6.93)</f>
        <v>6.93</v>
      </c>
      <c r="D935" s="1">
        <f ca="1">IFERROR(__xludf.DUMMYFUNCTION("""COMPUTED_VALUE"""),6.83)</f>
        <v>6.83</v>
      </c>
      <c r="E935" s="1">
        <f ca="1">IFERROR(__xludf.DUMMYFUNCTION("""COMPUTED_VALUE"""),6.85)</f>
        <v>6.85</v>
      </c>
      <c r="F935" s="1">
        <f ca="1">IFERROR(__xludf.DUMMYFUNCTION("""COMPUTED_VALUE"""),5138189)</f>
        <v>5138189</v>
      </c>
    </row>
    <row r="936" spans="1:6" x14ac:dyDescent="0.35">
      <c r="A936" s="2">
        <f ca="1">IFERROR(__xludf.DUMMYFUNCTION("""COMPUTED_VALUE"""),43361.6666666666)</f>
        <v>43361.666666666599</v>
      </c>
      <c r="B936" s="1">
        <f ca="1">IFERROR(__xludf.DUMMYFUNCTION("""COMPUTED_VALUE"""),6.85)</f>
        <v>6.85</v>
      </c>
      <c r="C936" s="1">
        <f ca="1">IFERROR(__xludf.DUMMYFUNCTION("""COMPUTED_VALUE"""),6.96)</f>
        <v>6.96</v>
      </c>
      <c r="D936" s="1">
        <f ca="1">IFERROR(__xludf.DUMMYFUNCTION("""COMPUTED_VALUE"""),6.77)</f>
        <v>6.77</v>
      </c>
      <c r="E936" s="1">
        <f ca="1">IFERROR(__xludf.DUMMYFUNCTION("""COMPUTED_VALUE"""),6.78)</f>
        <v>6.78</v>
      </c>
      <c r="F936" s="1">
        <f ca="1">IFERROR(__xludf.DUMMYFUNCTION("""COMPUTED_VALUE"""),7488023)</f>
        <v>7488023</v>
      </c>
    </row>
    <row r="937" spans="1:6" x14ac:dyDescent="0.35">
      <c r="A937" s="2">
        <f ca="1">IFERROR(__xludf.DUMMYFUNCTION("""COMPUTED_VALUE"""),43362.6666666666)</f>
        <v>43362.666666666599</v>
      </c>
      <c r="B937" s="1">
        <f ca="1">IFERROR(__xludf.DUMMYFUNCTION("""COMPUTED_VALUE"""),6.76)</f>
        <v>6.76</v>
      </c>
      <c r="C937" s="1">
        <f ca="1">IFERROR(__xludf.DUMMYFUNCTION("""COMPUTED_VALUE"""),6.82)</f>
        <v>6.82</v>
      </c>
      <c r="D937" s="1">
        <f ca="1">IFERROR(__xludf.DUMMYFUNCTION("""COMPUTED_VALUE"""),6.71)</f>
        <v>6.71</v>
      </c>
      <c r="E937" s="1">
        <f ca="1">IFERROR(__xludf.DUMMYFUNCTION("""COMPUTED_VALUE"""),6.8)</f>
        <v>6.8</v>
      </c>
      <c r="F937" s="1">
        <f ca="1">IFERROR(__xludf.DUMMYFUNCTION("""COMPUTED_VALUE"""),5621465)</f>
        <v>5621465</v>
      </c>
    </row>
    <row r="938" spans="1:6" x14ac:dyDescent="0.35">
      <c r="A938" s="2">
        <f ca="1">IFERROR(__xludf.DUMMYFUNCTION("""COMPUTED_VALUE"""),43363.6666666666)</f>
        <v>43363.666666666599</v>
      </c>
      <c r="B938" s="1">
        <f ca="1">IFERROR(__xludf.DUMMYFUNCTION("""COMPUTED_VALUE"""),6.68)</f>
        <v>6.68</v>
      </c>
      <c r="C938" s="1">
        <f ca="1">IFERROR(__xludf.DUMMYFUNCTION("""COMPUTED_VALUE"""),6.72)</f>
        <v>6.72</v>
      </c>
      <c r="D938" s="1">
        <f ca="1">IFERROR(__xludf.DUMMYFUNCTION("""COMPUTED_VALUE"""),6.6)</f>
        <v>6.6</v>
      </c>
      <c r="E938" s="1">
        <f ca="1">IFERROR(__xludf.DUMMYFUNCTION("""COMPUTED_VALUE"""),6.66)</f>
        <v>6.66</v>
      </c>
      <c r="F938" s="1">
        <f ca="1">IFERROR(__xludf.DUMMYFUNCTION("""COMPUTED_VALUE"""),10764569)</f>
        <v>10764569</v>
      </c>
    </row>
    <row r="939" spans="1:6" x14ac:dyDescent="0.35">
      <c r="A939" s="2">
        <f ca="1">IFERROR(__xludf.DUMMYFUNCTION("""COMPUTED_VALUE"""),43364.6666666666)</f>
        <v>43364.666666666599</v>
      </c>
      <c r="B939" s="1">
        <f ca="1">IFERROR(__xludf.DUMMYFUNCTION("""COMPUTED_VALUE"""),6.67)</f>
        <v>6.67</v>
      </c>
      <c r="C939" s="1">
        <f ca="1">IFERROR(__xludf.DUMMYFUNCTION("""COMPUTED_VALUE"""),6.72)</f>
        <v>6.72</v>
      </c>
      <c r="D939" s="1">
        <f ca="1">IFERROR(__xludf.DUMMYFUNCTION("""COMPUTED_VALUE"""),6.55)</f>
        <v>6.55</v>
      </c>
      <c r="E939" s="1">
        <f ca="1">IFERROR(__xludf.DUMMYFUNCTION("""COMPUTED_VALUE"""),6.59)</f>
        <v>6.59</v>
      </c>
      <c r="F939" s="1">
        <f ca="1">IFERROR(__xludf.DUMMYFUNCTION("""COMPUTED_VALUE"""),10878157)</f>
        <v>10878157</v>
      </c>
    </row>
    <row r="940" spans="1:6" x14ac:dyDescent="0.35">
      <c r="A940" s="2">
        <f ca="1">IFERROR(__xludf.DUMMYFUNCTION("""COMPUTED_VALUE"""),43367.6666666666)</f>
        <v>43367.666666666599</v>
      </c>
      <c r="B940" s="1">
        <f ca="1">IFERROR(__xludf.DUMMYFUNCTION("""COMPUTED_VALUE"""),6.56)</f>
        <v>6.56</v>
      </c>
      <c r="C940" s="1">
        <f ca="1">IFERROR(__xludf.DUMMYFUNCTION("""COMPUTED_VALUE"""),6.65)</f>
        <v>6.65</v>
      </c>
      <c r="D940" s="1">
        <f ca="1">IFERROR(__xludf.DUMMYFUNCTION("""COMPUTED_VALUE"""),6.47)</f>
        <v>6.47</v>
      </c>
      <c r="E940" s="1">
        <f ca="1">IFERROR(__xludf.DUMMYFUNCTION("""COMPUTED_VALUE"""),6.64)</f>
        <v>6.64</v>
      </c>
      <c r="F940" s="1">
        <f ca="1">IFERROR(__xludf.DUMMYFUNCTION("""COMPUTED_VALUE"""),7347826)</f>
        <v>7347826</v>
      </c>
    </row>
    <row r="941" spans="1:6" x14ac:dyDescent="0.35">
      <c r="A941" s="2">
        <f ca="1">IFERROR(__xludf.DUMMYFUNCTION("""COMPUTED_VALUE"""),43368.6666666666)</f>
        <v>43368.666666666599</v>
      </c>
      <c r="B941" s="1">
        <f ca="1">IFERROR(__xludf.DUMMYFUNCTION("""COMPUTED_VALUE"""),6.71)</f>
        <v>6.71</v>
      </c>
      <c r="C941" s="1">
        <f ca="1">IFERROR(__xludf.DUMMYFUNCTION("""COMPUTED_VALUE"""),6.74)</f>
        <v>6.74</v>
      </c>
      <c r="D941" s="1">
        <f ca="1">IFERROR(__xludf.DUMMYFUNCTION("""COMPUTED_VALUE"""),6.62)</f>
        <v>6.62</v>
      </c>
      <c r="E941" s="1">
        <f ca="1">IFERROR(__xludf.DUMMYFUNCTION("""COMPUTED_VALUE"""),6.71)</f>
        <v>6.71</v>
      </c>
      <c r="F941" s="1">
        <f ca="1">IFERROR(__xludf.DUMMYFUNCTION("""COMPUTED_VALUE"""),7009746)</f>
        <v>7009746</v>
      </c>
    </row>
    <row r="942" spans="1:6" x14ac:dyDescent="0.35">
      <c r="A942" s="2">
        <f ca="1">IFERROR(__xludf.DUMMYFUNCTION("""COMPUTED_VALUE"""),43369.6666666666)</f>
        <v>43369.666666666599</v>
      </c>
      <c r="B942" s="1">
        <f ca="1">IFERROR(__xludf.DUMMYFUNCTION("""COMPUTED_VALUE"""),6.72)</f>
        <v>6.72</v>
      </c>
      <c r="C942" s="1">
        <f ca="1">IFERROR(__xludf.DUMMYFUNCTION("""COMPUTED_VALUE"""),6.76)</f>
        <v>6.76</v>
      </c>
      <c r="D942" s="1">
        <f ca="1">IFERROR(__xludf.DUMMYFUNCTION("""COMPUTED_VALUE"""),6.66)</f>
        <v>6.66</v>
      </c>
      <c r="E942" s="1">
        <f ca="1">IFERROR(__xludf.DUMMYFUNCTION("""COMPUTED_VALUE"""),6.67)</f>
        <v>6.67</v>
      </c>
      <c r="F942" s="1">
        <f ca="1">IFERROR(__xludf.DUMMYFUNCTION("""COMPUTED_VALUE"""),6713688)</f>
        <v>6713688</v>
      </c>
    </row>
    <row r="943" spans="1:6" x14ac:dyDescent="0.35">
      <c r="A943" s="2">
        <f ca="1">IFERROR(__xludf.DUMMYFUNCTION("""COMPUTED_VALUE"""),43370.6666666666)</f>
        <v>43370.666666666599</v>
      </c>
      <c r="B943" s="1">
        <f ca="1">IFERROR(__xludf.DUMMYFUNCTION("""COMPUTED_VALUE"""),6.71)</f>
        <v>6.71</v>
      </c>
      <c r="C943" s="1">
        <f ca="1">IFERROR(__xludf.DUMMYFUNCTION("""COMPUTED_VALUE"""),6.73)</f>
        <v>6.73</v>
      </c>
      <c r="D943" s="1">
        <f ca="1">IFERROR(__xludf.DUMMYFUNCTION("""COMPUTED_VALUE"""),6.65)</f>
        <v>6.65</v>
      </c>
      <c r="E943" s="1">
        <f ca="1">IFERROR(__xludf.DUMMYFUNCTION("""COMPUTED_VALUE"""),6.69)</f>
        <v>6.69</v>
      </c>
      <c r="F943" s="1">
        <f ca="1">IFERROR(__xludf.DUMMYFUNCTION("""COMPUTED_VALUE"""),5360717)</f>
        <v>5360717</v>
      </c>
    </row>
    <row r="944" spans="1:6" x14ac:dyDescent="0.35">
      <c r="A944" s="2">
        <f ca="1">IFERROR(__xludf.DUMMYFUNCTION("""COMPUTED_VALUE"""),43371.6666666666)</f>
        <v>43371.666666666599</v>
      </c>
      <c r="B944" s="1">
        <f ca="1">IFERROR(__xludf.DUMMYFUNCTION("""COMPUTED_VALUE"""),6.82)</f>
        <v>6.82</v>
      </c>
      <c r="C944" s="1">
        <f ca="1">IFERROR(__xludf.DUMMYFUNCTION("""COMPUTED_VALUE"""),7.05)</f>
        <v>7.05</v>
      </c>
      <c r="D944" s="1">
        <f ca="1">IFERROR(__xludf.DUMMYFUNCTION("""COMPUTED_VALUE"""),6.79)</f>
        <v>6.79</v>
      </c>
      <c r="E944" s="1">
        <f ca="1">IFERROR(__xludf.DUMMYFUNCTION("""COMPUTED_VALUE"""),7.03)</f>
        <v>7.03</v>
      </c>
      <c r="F944" s="1">
        <f ca="1">IFERROR(__xludf.DUMMYFUNCTION("""COMPUTED_VALUE"""),17734914)</f>
        <v>17734914</v>
      </c>
    </row>
    <row r="945" spans="1:6" x14ac:dyDescent="0.35">
      <c r="A945" s="2">
        <f ca="1">IFERROR(__xludf.DUMMYFUNCTION("""COMPUTED_VALUE"""),43374.6666666666)</f>
        <v>43374.666666666599</v>
      </c>
      <c r="B945" s="1">
        <f ca="1">IFERROR(__xludf.DUMMYFUNCTION("""COMPUTED_VALUE"""),7.1)</f>
        <v>7.1</v>
      </c>
      <c r="C945" s="1">
        <f ca="1">IFERROR(__xludf.DUMMYFUNCTION("""COMPUTED_VALUE"""),7.3)</f>
        <v>7.3</v>
      </c>
      <c r="D945" s="1">
        <f ca="1">IFERROR(__xludf.DUMMYFUNCTION("""COMPUTED_VALUE"""),7.07)</f>
        <v>7.07</v>
      </c>
      <c r="E945" s="1">
        <f ca="1">IFERROR(__xludf.DUMMYFUNCTION("""COMPUTED_VALUE"""),7.23)</f>
        <v>7.23</v>
      </c>
      <c r="F945" s="1">
        <f ca="1">IFERROR(__xludf.DUMMYFUNCTION("""COMPUTED_VALUE"""),15551453)</f>
        <v>15551453</v>
      </c>
    </row>
    <row r="946" spans="1:6" x14ac:dyDescent="0.35">
      <c r="A946" s="2">
        <f ca="1">IFERROR(__xludf.DUMMYFUNCTION("""COMPUTED_VALUE"""),43375.6666666666)</f>
        <v>43375.666666666599</v>
      </c>
      <c r="B946" s="1">
        <f ca="1">IFERROR(__xludf.DUMMYFUNCTION("""COMPUTED_VALUE"""),7.21)</f>
        <v>7.21</v>
      </c>
      <c r="C946" s="1">
        <f ca="1">IFERROR(__xludf.DUMMYFUNCTION("""COMPUTED_VALUE"""),7.32)</f>
        <v>7.32</v>
      </c>
      <c r="D946" s="1">
        <f ca="1">IFERROR(__xludf.DUMMYFUNCTION("""COMPUTED_VALUE"""),7.14)</f>
        <v>7.14</v>
      </c>
      <c r="E946" s="1">
        <f ca="1">IFERROR(__xludf.DUMMYFUNCTION("""COMPUTED_VALUE"""),7.16)</f>
        <v>7.16</v>
      </c>
      <c r="F946" s="1">
        <f ca="1">IFERROR(__xludf.DUMMYFUNCTION("""COMPUTED_VALUE"""),9599118)</f>
        <v>9599118</v>
      </c>
    </row>
    <row r="947" spans="1:6" x14ac:dyDescent="0.35">
      <c r="A947" s="2">
        <f ca="1">IFERROR(__xludf.DUMMYFUNCTION("""COMPUTED_VALUE"""),43376.6666666666)</f>
        <v>43376.666666666599</v>
      </c>
      <c r="B947" s="1">
        <f ca="1">IFERROR(__xludf.DUMMYFUNCTION("""COMPUTED_VALUE"""),7.23)</f>
        <v>7.23</v>
      </c>
      <c r="C947" s="1">
        <f ca="1">IFERROR(__xludf.DUMMYFUNCTION("""COMPUTED_VALUE"""),7.24)</f>
        <v>7.24</v>
      </c>
      <c r="D947" s="1">
        <f ca="1">IFERROR(__xludf.DUMMYFUNCTION("""COMPUTED_VALUE"""),7.06)</f>
        <v>7.06</v>
      </c>
      <c r="E947" s="1">
        <f ca="1">IFERROR(__xludf.DUMMYFUNCTION("""COMPUTED_VALUE"""),7.17)</f>
        <v>7.17</v>
      </c>
      <c r="F947" s="1">
        <f ca="1">IFERROR(__xludf.DUMMYFUNCTION("""COMPUTED_VALUE"""),8013769)</f>
        <v>8013769</v>
      </c>
    </row>
    <row r="948" spans="1:6" x14ac:dyDescent="0.35">
      <c r="A948" s="2">
        <f ca="1">IFERROR(__xludf.DUMMYFUNCTION("""COMPUTED_VALUE"""),43377.6666666666)</f>
        <v>43377.666666666599</v>
      </c>
      <c r="B948" s="1">
        <f ca="1">IFERROR(__xludf.DUMMYFUNCTION("""COMPUTED_VALUE"""),7.13)</f>
        <v>7.13</v>
      </c>
      <c r="C948" s="1">
        <f ca="1">IFERROR(__xludf.DUMMYFUNCTION("""COMPUTED_VALUE"""),7.16)</f>
        <v>7.16</v>
      </c>
      <c r="D948" s="1">
        <f ca="1">IFERROR(__xludf.DUMMYFUNCTION("""COMPUTED_VALUE"""),6.9)</f>
        <v>6.9</v>
      </c>
      <c r="E948" s="1">
        <f ca="1">IFERROR(__xludf.DUMMYFUNCTION("""COMPUTED_VALUE"""),6.98)</f>
        <v>6.98</v>
      </c>
      <c r="F948" s="1">
        <f ca="1">IFERROR(__xludf.DUMMYFUNCTION("""COMPUTED_VALUE"""),9780489)</f>
        <v>9780489</v>
      </c>
    </row>
    <row r="949" spans="1:6" x14ac:dyDescent="0.35">
      <c r="A949" s="2">
        <f ca="1">IFERROR(__xludf.DUMMYFUNCTION("""COMPUTED_VALUE"""),43378.6666666666)</f>
        <v>43378.666666666599</v>
      </c>
      <c r="B949" s="1">
        <f ca="1">IFERROR(__xludf.DUMMYFUNCTION("""COMPUTED_VALUE"""),6.96)</f>
        <v>6.96</v>
      </c>
      <c r="C949" s="1">
        <f ca="1">IFERROR(__xludf.DUMMYFUNCTION("""COMPUTED_VALUE"""),7.02)</f>
        <v>7.02</v>
      </c>
      <c r="D949" s="1">
        <f ca="1">IFERROR(__xludf.DUMMYFUNCTION("""COMPUTED_VALUE"""),6.69)</f>
        <v>6.69</v>
      </c>
      <c r="E949" s="1">
        <f ca="1">IFERROR(__xludf.DUMMYFUNCTION("""COMPUTED_VALUE"""),6.75)</f>
        <v>6.75</v>
      </c>
      <c r="F949" s="1">
        <f ca="1">IFERROR(__xludf.DUMMYFUNCTION("""COMPUTED_VALUE"""),10665861)</f>
        <v>10665861</v>
      </c>
    </row>
    <row r="950" spans="1:6" x14ac:dyDescent="0.35">
      <c r="A950" s="2">
        <f ca="1">IFERROR(__xludf.DUMMYFUNCTION("""COMPUTED_VALUE"""),43381.6666666666)</f>
        <v>43381.666666666599</v>
      </c>
      <c r="B950" s="1">
        <f ca="1">IFERROR(__xludf.DUMMYFUNCTION("""COMPUTED_VALUE"""),6.66)</f>
        <v>6.66</v>
      </c>
      <c r="C950" s="1">
        <f ca="1">IFERROR(__xludf.DUMMYFUNCTION("""COMPUTED_VALUE"""),6.78)</f>
        <v>6.78</v>
      </c>
      <c r="D950" s="1">
        <f ca="1">IFERROR(__xludf.DUMMYFUNCTION("""COMPUTED_VALUE"""),6.5)</f>
        <v>6.5</v>
      </c>
      <c r="E950" s="1">
        <f ca="1">IFERROR(__xludf.DUMMYFUNCTION("""COMPUTED_VALUE"""),6.64)</f>
        <v>6.64</v>
      </c>
      <c r="F950" s="1">
        <f ca="1">IFERROR(__xludf.DUMMYFUNCTION("""COMPUTED_VALUE"""),10215265)</f>
        <v>10215265</v>
      </c>
    </row>
    <row r="951" spans="1:6" x14ac:dyDescent="0.35">
      <c r="A951" s="2">
        <f ca="1">IFERROR(__xludf.DUMMYFUNCTION("""COMPUTED_VALUE"""),43382.6666666666)</f>
        <v>43382.666666666599</v>
      </c>
      <c r="B951" s="1">
        <f ca="1">IFERROR(__xludf.DUMMYFUNCTION("""COMPUTED_VALUE"""),6.62)</f>
        <v>6.62</v>
      </c>
      <c r="C951" s="1">
        <f ca="1">IFERROR(__xludf.DUMMYFUNCTION("""COMPUTED_VALUE"""),6.72)</f>
        <v>6.72</v>
      </c>
      <c r="D951" s="1">
        <f ca="1">IFERROR(__xludf.DUMMYFUNCTION("""COMPUTED_VALUE"""),6.57)</f>
        <v>6.57</v>
      </c>
      <c r="E951" s="1">
        <f ca="1">IFERROR(__xludf.DUMMYFUNCTION("""COMPUTED_VALUE"""),6.64)</f>
        <v>6.64</v>
      </c>
      <c r="F951" s="1">
        <f ca="1">IFERROR(__xludf.DUMMYFUNCTION("""COMPUTED_VALUE"""),6837493)</f>
        <v>6837493</v>
      </c>
    </row>
    <row r="952" spans="1:6" x14ac:dyDescent="0.35">
      <c r="A952" s="2">
        <f ca="1">IFERROR(__xludf.DUMMYFUNCTION("""COMPUTED_VALUE"""),43383.6666666666)</f>
        <v>43383.666666666599</v>
      </c>
      <c r="B952" s="1">
        <f ca="1">IFERROR(__xludf.DUMMYFUNCTION("""COMPUTED_VALUE"""),6.53)</f>
        <v>6.53</v>
      </c>
      <c r="C952" s="1">
        <f ca="1">IFERROR(__xludf.DUMMYFUNCTION("""COMPUTED_VALUE"""),6.58)</f>
        <v>6.58</v>
      </c>
      <c r="D952" s="1">
        <f ca="1">IFERROR(__xludf.DUMMYFUNCTION("""COMPUTED_VALUE"""),6.14)</f>
        <v>6.14</v>
      </c>
      <c r="E952" s="1">
        <f ca="1">IFERROR(__xludf.DUMMYFUNCTION("""COMPUTED_VALUE"""),6.14)</f>
        <v>6.14</v>
      </c>
      <c r="F952" s="1">
        <f ca="1">IFERROR(__xludf.DUMMYFUNCTION("""COMPUTED_VALUE"""),17123454)</f>
        <v>17123454</v>
      </c>
    </row>
    <row r="953" spans="1:6" x14ac:dyDescent="0.35">
      <c r="A953" s="2">
        <f ca="1">IFERROR(__xludf.DUMMYFUNCTION("""COMPUTED_VALUE"""),43384.6666666666)</f>
        <v>43384.666666666599</v>
      </c>
      <c r="B953" s="1">
        <f ca="1">IFERROR(__xludf.DUMMYFUNCTION("""COMPUTED_VALUE"""),6.05)</f>
        <v>6.05</v>
      </c>
      <c r="C953" s="1">
        <f ca="1">IFERROR(__xludf.DUMMYFUNCTION("""COMPUTED_VALUE"""),6.19)</f>
        <v>6.19</v>
      </c>
      <c r="D953" s="1">
        <f ca="1">IFERROR(__xludf.DUMMYFUNCTION("""COMPUTED_VALUE"""),5.86)</f>
        <v>5.86</v>
      </c>
      <c r="E953" s="1">
        <f ca="1">IFERROR(__xludf.DUMMYFUNCTION("""COMPUTED_VALUE"""),5.88)</f>
        <v>5.88</v>
      </c>
      <c r="F953" s="1">
        <f ca="1">IFERROR(__xludf.DUMMYFUNCTION("""COMPUTED_VALUE"""),18135929)</f>
        <v>18135929</v>
      </c>
    </row>
    <row r="954" spans="1:6" x14ac:dyDescent="0.35">
      <c r="A954" s="2">
        <f ca="1">IFERROR(__xludf.DUMMYFUNCTION("""COMPUTED_VALUE"""),43385.6666666666)</f>
        <v>43385.666666666599</v>
      </c>
      <c r="B954" s="1">
        <f ca="1">IFERROR(__xludf.DUMMYFUNCTION("""COMPUTED_VALUE"""),6.14)</f>
        <v>6.14</v>
      </c>
      <c r="C954" s="1">
        <f ca="1">IFERROR(__xludf.DUMMYFUNCTION("""COMPUTED_VALUE"""),6.24)</f>
        <v>6.24</v>
      </c>
      <c r="D954" s="1">
        <f ca="1">IFERROR(__xludf.DUMMYFUNCTION("""COMPUTED_VALUE"""),5.99)</f>
        <v>5.99</v>
      </c>
      <c r="E954" s="1">
        <f ca="1">IFERROR(__xludf.DUMMYFUNCTION("""COMPUTED_VALUE"""),6.16)</f>
        <v>6.16</v>
      </c>
      <c r="F954" s="1">
        <f ca="1">IFERROR(__xludf.DUMMYFUNCTION("""COMPUTED_VALUE"""),15205917)</f>
        <v>15205917</v>
      </c>
    </row>
    <row r="955" spans="1:6" x14ac:dyDescent="0.35">
      <c r="A955" s="2">
        <f ca="1">IFERROR(__xludf.DUMMYFUNCTION("""COMPUTED_VALUE"""),43388.6666666666)</f>
        <v>43388.666666666599</v>
      </c>
      <c r="B955" s="1">
        <f ca="1">IFERROR(__xludf.DUMMYFUNCTION("""COMPUTED_VALUE"""),6.15)</f>
        <v>6.15</v>
      </c>
      <c r="C955" s="1">
        <f ca="1">IFERROR(__xludf.DUMMYFUNCTION("""COMPUTED_VALUE"""),6.15)</f>
        <v>6.15</v>
      </c>
      <c r="D955" s="1">
        <f ca="1">IFERROR(__xludf.DUMMYFUNCTION("""COMPUTED_VALUE"""),5.88)</f>
        <v>5.88</v>
      </c>
      <c r="E955" s="1">
        <f ca="1">IFERROR(__xludf.DUMMYFUNCTION("""COMPUTED_VALUE"""),5.88)</f>
        <v>5.88</v>
      </c>
      <c r="F955" s="1">
        <f ca="1">IFERROR(__xludf.DUMMYFUNCTION("""COMPUTED_VALUE"""),11244032)</f>
        <v>11244032</v>
      </c>
    </row>
    <row r="956" spans="1:6" x14ac:dyDescent="0.35">
      <c r="A956" s="2">
        <f ca="1">IFERROR(__xludf.DUMMYFUNCTION("""COMPUTED_VALUE"""),43389.6666666666)</f>
        <v>43389.666666666599</v>
      </c>
      <c r="B956" s="1">
        <f ca="1">IFERROR(__xludf.DUMMYFUNCTION("""COMPUTED_VALUE"""),6)</f>
        <v>6</v>
      </c>
      <c r="C956" s="1">
        <f ca="1">IFERROR(__xludf.DUMMYFUNCTION("""COMPUTED_VALUE"""),6.16)</f>
        <v>6.16</v>
      </c>
      <c r="D956" s="1">
        <f ca="1">IFERROR(__xludf.DUMMYFUNCTION("""COMPUTED_VALUE"""),5.95)</f>
        <v>5.95</v>
      </c>
      <c r="E956" s="1">
        <f ca="1">IFERROR(__xludf.DUMMYFUNCTION("""COMPUTED_VALUE"""),6.15)</f>
        <v>6.15</v>
      </c>
      <c r="F956" s="1">
        <f ca="1">IFERROR(__xludf.DUMMYFUNCTION("""COMPUTED_VALUE"""),10217795)</f>
        <v>10217795</v>
      </c>
    </row>
    <row r="957" spans="1:6" x14ac:dyDescent="0.35">
      <c r="A957" s="2">
        <f ca="1">IFERROR(__xludf.DUMMYFUNCTION("""COMPUTED_VALUE"""),43390.6666666666)</f>
        <v>43390.666666666599</v>
      </c>
      <c r="B957" s="1">
        <f ca="1">IFERROR(__xludf.DUMMYFUNCTION("""COMPUTED_VALUE"""),6.21)</f>
        <v>6.21</v>
      </c>
      <c r="C957" s="1">
        <f ca="1">IFERROR(__xludf.DUMMYFUNCTION("""COMPUTED_VALUE"""),6.25)</f>
        <v>6.25</v>
      </c>
      <c r="D957" s="1">
        <f ca="1">IFERROR(__xludf.DUMMYFUNCTION("""COMPUTED_VALUE"""),6.03)</f>
        <v>6.03</v>
      </c>
      <c r="E957" s="1">
        <f ca="1">IFERROR(__xludf.DUMMYFUNCTION("""COMPUTED_VALUE"""),6.08)</f>
        <v>6.08</v>
      </c>
      <c r="F957" s="1">
        <f ca="1">IFERROR(__xludf.DUMMYFUNCTION("""COMPUTED_VALUE"""),8241701)</f>
        <v>8241701</v>
      </c>
    </row>
    <row r="958" spans="1:6" x14ac:dyDescent="0.35">
      <c r="A958" s="2">
        <f ca="1">IFERROR(__xludf.DUMMYFUNCTION("""COMPUTED_VALUE"""),43391.6666666666)</f>
        <v>43391.666666666599</v>
      </c>
      <c r="B958" s="1">
        <f ca="1">IFERROR(__xludf.DUMMYFUNCTION("""COMPUTED_VALUE"""),6.15)</f>
        <v>6.15</v>
      </c>
      <c r="C958" s="1">
        <f ca="1">IFERROR(__xludf.DUMMYFUNCTION("""COMPUTED_VALUE"""),6.19)</f>
        <v>6.19</v>
      </c>
      <c r="D958" s="1">
        <f ca="1">IFERROR(__xludf.DUMMYFUNCTION("""COMPUTED_VALUE"""),5.93)</f>
        <v>5.93</v>
      </c>
      <c r="E958" s="1">
        <f ca="1">IFERROR(__xludf.DUMMYFUNCTION("""COMPUTED_VALUE"""),5.99)</f>
        <v>5.99</v>
      </c>
      <c r="F958" s="1">
        <f ca="1">IFERROR(__xludf.DUMMYFUNCTION("""COMPUTED_VALUE"""),13100548)</f>
        <v>13100548</v>
      </c>
    </row>
    <row r="959" spans="1:6" x14ac:dyDescent="0.35">
      <c r="A959" s="2">
        <f ca="1">IFERROR(__xludf.DUMMYFUNCTION("""COMPUTED_VALUE"""),43392.6666666666)</f>
        <v>43392.666666666599</v>
      </c>
      <c r="B959" s="1">
        <f ca="1">IFERROR(__xludf.DUMMYFUNCTION("""COMPUTED_VALUE"""),6.04)</f>
        <v>6.04</v>
      </c>
      <c r="C959" s="1">
        <f ca="1">IFERROR(__xludf.DUMMYFUNCTION("""COMPUTED_VALUE"""),6.06)</f>
        <v>6.06</v>
      </c>
      <c r="D959" s="1">
        <f ca="1">IFERROR(__xludf.DUMMYFUNCTION("""COMPUTED_VALUE"""),5.69)</f>
        <v>5.69</v>
      </c>
      <c r="E959" s="1">
        <f ca="1">IFERROR(__xludf.DUMMYFUNCTION("""COMPUTED_VALUE"""),5.73)</f>
        <v>5.73</v>
      </c>
      <c r="F959" s="1">
        <f ca="1">IFERROR(__xludf.DUMMYFUNCTION("""COMPUTED_VALUE"""),15340249)</f>
        <v>15340249</v>
      </c>
    </row>
    <row r="960" spans="1:6" x14ac:dyDescent="0.35">
      <c r="A960" s="2">
        <f ca="1">IFERROR(__xludf.DUMMYFUNCTION("""COMPUTED_VALUE"""),43395.6666666666)</f>
        <v>43395.666666666599</v>
      </c>
      <c r="B960" s="1">
        <f ca="1">IFERROR(__xludf.DUMMYFUNCTION("""COMPUTED_VALUE"""),5.78)</f>
        <v>5.78</v>
      </c>
      <c r="C960" s="1">
        <f ca="1">IFERROR(__xludf.DUMMYFUNCTION("""COMPUTED_VALUE"""),5.88)</f>
        <v>5.88</v>
      </c>
      <c r="D960" s="1">
        <f ca="1">IFERROR(__xludf.DUMMYFUNCTION("""COMPUTED_VALUE"""),5.68)</f>
        <v>5.68</v>
      </c>
      <c r="E960" s="1">
        <f ca="1">IFERROR(__xludf.DUMMYFUNCTION("""COMPUTED_VALUE"""),5.78)</f>
        <v>5.78</v>
      </c>
      <c r="F960" s="1">
        <f ca="1">IFERROR(__xludf.DUMMYFUNCTION("""COMPUTED_VALUE"""),9221091)</f>
        <v>9221091</v>
      </c>
    </row>
    <row r="961" spans="1:6" x14ac:dyDescent="0.35">
      <c r="A961" s="2">
        <f ca="1">IFERROR(__xludf.DUMMYFUNCTION("""COMPUTED_VALUE"""),43396.6666666666)</f>
        <v>43396.666666666599</v>
      </c>
      <c r="B961" s="1">
        <f ca="1">IFERROR(__xludf.DUMMYFUNCTION("""COMPUTED_VALUE"""),5.51)</f>
        <v>5.51</v>
      </c>
      <c r="C961" s="1">
        <f ca="1">IFERROR(__xludf.DUMMYFUNCTION("""COMPUTED_VALUE"""),5.6)</f>
        <v>5.6</v>
      </c>
      <c r="D961" s="1">
        <f ca="1">IFERROR(__xludf.DUMMYFUNCTION("""COMPUTED_VALUE"""),5.42)</f>
        <v>5.42</v>
      </c>
      <c r="E961" s="1">
        <f ca="1">IFERROR(__xludf.DUMMYFUNCTION("""COMPUTED_VALUE"""),5.53)</f>
        <v>5.53</v>
      </c>
      <c r="F961" s="1">
        <f ca="1">IFERROR(__xludf.DUMMYFUNCTION("""COMPUTED_VALUE"""),15660945)</f>
        <v>15660945</v>
      </c>
    </row>
    <row r="962" spans="1:6" x14ac:dyDescent="0.35">
      <c r="A962" s="2">
        <f ca="1">IFERROR(__xludf.DUMMYFUNCTION("""COMPUTED_VALUE"""),43397.6666666666)</f>
        <v>43397.666666666599</v>
      </c>
      <c r="B962" s="1">
        <f ca="1">IFERROR(__xludf.DUMMYFUNCTION("""COMPUTED_VALUE"""),5.49)</f>
        <v>5.49</v>
      </c>
      <c r="C962" s="1">
        <f ca="1">IFERROR(__xludf.DUMMYFUNCTION("""COMPUTED_VALUE"""),5.53)</f>
        <v>5.53</v>
      </c>
      <c r="D962" s="1">
        <f ca="1">IFERROR(__xludf.DUMMYFUNCTION("""COMPUTED_VALUE"""),4.97)</f>
        <v>4.97</v>
      </c>
      <c r="E962" s="1">
        <f ca="1">IFERROR(__xludf.DUMMYFUNCTION("""COMPUTED_VALUE"""),4.99)</f>
        <v>4.99</v>
      </c>
      <c r="F962" s="1">
        <f ca="1">IFERROR(__xludf.DUMMYFUNCTION("""COMPUTED_VALUE"""),22107199)</f>
        <v>22107199</v>
      </c>
    </row>
    <row r="963" spans="1:6" x14ac:dyDescent="0.35">
      <c r="A963" s="2">
        <f ca="1">IFERROR(__xludf.DUMMYFUNCTION("""COMPUTED_VALUE"""),43398.6666666666)</f>
        <v>43398.666666666599</v>
      </c>
      <c r="B963" s="1">
        <f ca="1">IFERROR(__xludf.DUMMYFUNCTION("""COMPUTED_VALUE"""),4.89)</f>
        <v>4.8899999999999997</v>
      </c>
      <c r="C963" s="1">
        <f ca="1">IFERROR(__xludf.DUMMYFUNCTION("""COMPUTED_VALUE"""),5.24)</f>
        <v>5.24</v>
      </c>
      <c r="D963" s="1">
        <f ca="1">IFERROR(__xludf.DUMMYFUNCTION("""COMPUTED_VALUE"""),4.84)</f>
        <v>4.84</v>
      </c>
      <c r="E963" s="1">
        <f ca="1">IFERROR(__xludf.DUMMYFUNCTION("""COMPUTED_VALUE"""),5.2)</f>
        <v>5.2</v>
      </c>
      <c r="F963" s="1">
        <f ca="1">IFERROR(__xludf.DUMMYFUNCTION("""COMPUTED_VALUE"""),23793040)</f>
        <v>23793040</v>
      </c>
    </row>
    <row r="964" spans="1:6" x14ac:dyDescent="0.35">
      <c r="A964" s="2">
        <f ca="1">IFERROR(__xludf.DUMMYFUNCTION("""COMPUTED_VALUE"""),43399.6666666666)</f>
        <v>43399.666666666599</v>
      </c>
      <c r="B964" s="1">
        <f ca="1">IFERROR(__xludf.DUMMYFUNCTION("""COMPUTED_VALUE"""),4.96)</f>
        <v>4.96</v>
      </c>
      <c r="C964" s="1">
        <f ca="1">IFERROR(__xludf.DUMMYFUNCTION("""COMPUTED_VALUE"""),5.12)</f>
        <v>5.12</v>
      </c>
      <c r="D964" s="1">
        <f ca="1">IFERROR(__xludf.DUMMYFUNCTION("""COMPUTED_VALUE"""),4.83)</f>
        <v>4.83</v>
      </c>
      <c r="E964" s="1">
        <f ca="1">IFERROR(__xludf.DUMMYFUNCTION("""COMPUTED_VALUE"""),4.96)</f>
        <v>4.96</v>
      </c>
      <c r="F964" s="1">
        <f ca="1">IFERROR(__xludf.DUMMYFUNCTION("""COMPUTED_VALUE"""),16619628)</f>
        <v>16619628</v>
      </c>
    </row>
    <row r="965" spans="1:6" x14ac:dyDescent="0.35">
      <c r="A965" s="2">
        <f ca="1">IFERROR(__xludf.DUMMYFUNCTION("""COMPUTED_VALUE"""),43402.6666666666)</f>
        <v>43402.666666666599</v>
      </c>
      <c r="B965" s="1">
        <f ca="1">IFERROR(__xludf.DUMMYFUNCTION("""COMPUTED_VALUE"""),5.1)</f>
        <v>5.0999999999999996</v>
      </c>
      <c r="C965" s="1">
        <f ca="1">IFERROR(__xludf.DUMMYFUNCTION("""COMPUTED_VALUE"""),5.1)</f>
        <v>5.0999999999999996</v>
      </c>
      <c r="D965" s="1">
        <f ca="1">IFERROR(__xludf.DUMMYFUNCTION("""COMPUTED_VALUE"""),4.4)</f>
        <v>4.4000000000000004</v>
      </c>
      <c r="E965" s="1">
        <f ca="1">IFERROR(__xludf.DUMMYFUNCTION("""COMPUTED_VALUE"""),4.64)</f>
        <v>4.6399999999999997</v>
      </c>
      <c r="F965" s="1">
        <f ca="1">IFERROR(__xludf.DUMMYFUNCTION("""COMPUTED_VALUE"""),18950441)</f>
        <v>18950441</v>
      </c>
    </row>
    <row r="966" spans="1:6" x14ac:dyDescent="0.35">
      <c r="A966" s="2">
        <f ca="1">IFERROR(__xludf.DUMMYFUNCTION("""COMPUTED_VALUE"""),43403.6666666666)</f>
        <v>43403.666666666599</v>
      </c>
      <c r="B966" s="1">
        <f ca="1">IFERROR(__xludf.DUMMYFUNCTION("""COMPUTED_VALUE"""),4.66)</f>
        <v>4.66</v>
      </c>
      <c r="C966" s="1">
        <f ca="1">IFERROR(__xludf.DUMMYFUNCTION("""COMPUTED_VALUE"""),5.09)</f>
        <v>5.09</v>
      </c>
      <c r="D966" s="1">
        <f ca="1">IFERROR(__xludf.DUMMYFUNCTION("""COMPUTED_VALUE"""),4.64)</f>
        <v>4.6399999999999997</v>
      </c>
      <c r="E966" s="1">
        <f ca="1">IFERROR(__xludf.DUMMYFUNCTION("""COMPUTED_VALUE"""),5.08)</f>
        <v>5.08</v>
      </c>
      <c r="F966" s="1">
        <f ca="1">IFERROR(__xludf.DUMMYFUNCTION("""COMPUTED_VALUE"""),20179768)</f>
        <v>20179768</v>
      </c>
    </row>
    <row r="967" spans="1:6" x14ac:dyDescent="0.35">
      <c r="A967" s="2">
        <f ca="1">IFERROR(__xludf.DUMMYFUNCTION("""COMPUTED_VALUE"""),43404.6666666666)</f>
        <v>43404.666666666599</v>
      </c>
      <c r="B967" s="1">
        <f ca="1">IFERROR(__xludf.DUMMYFUNCTION("""COMPUTED_VALUE"""),5.24)</f>
        <v>5.24</v>
      </c>
      <c r="C967" s="1">
        <f ca="1">IFERROR(__xludf.DUMMYFUNCTION("""COMPUTED_VALUE"""),5.31)</f>
        <v>5.31</v>
      </c>
      <c r="D967" s="1">
        <f ca="1">IFERROR(__xludf.DUMMYFUNCTION("""COMPUTED_VALUE"""),5.1)</f>
        <v>5.0999999999999996</v>
      </c>
      <c r="E967" s="1">
        <f ca="1">IFERROR(__xludf.DUMMYFUNCTION("""COMPUTED_VALUE"""),5.27)</f>
        <v>5.27</v>
      </c>
      <c r="F967" s="1">
        <f ca="1">IFERROR(__xludf.DUMMYFUNCTION("""COMPUTED_VALUE"""),18644304)</f>
        <v>18644304</v>
      </c>
    </row>
    <row r="968" spans="1:6" x14ac:dyDescent="0.35">
      <c r="A968" s="2">
        <f ca="1">IFERROR(__xludf.DUMMYFUNCTION("""COMPUTED_VALUE"""),43405.6666666666)</f>
        <v>43405.666666666599</v>
      </c>
      <c r="B968" s="1">
        <f ca="1">IFERROR(__xludf.DUMMYFUNCTION("""COMPUTED_VALUE"""),5.31)</f>
        <v>5.31</v>
      </c>
      <c r="C968" s="1">
        <f ca="1">IFERROR(__xludf.DUMMYFUNCTION("""COMPUTED_VALUE"""),5.46)</f>
        <v>5.46</v>
      </c>
      <c r="D968" s="1">
        <f ca="1">IFERROR(__xludf.DUMMYFUNCTION("""COMPUTED_VALUE"""),5.18)</f>
        <v>5.18</v>
      </c>
      <c r="E968" s="1">
        <f ca="1">IFERROR(__xludf.DUMMYFUNCTION("""COMPUTED_VALUE"""),5.45)</f>
        <v>5.45</v>
      </c>
      <c r="F968" s="1">
        <f ca="1">IFERROR(__xludf.DUMMYFUNCTION("""COMPUTED_VALUE"""),14163208)</f>
        <v>14163208</v>
      </c>
    </row>
    <row r="969" spans="1:6" x14ac:dyDescent="0.35">
      <c r="A969" s="2">
        <f ca="1">IFERROR(__xludf.DUMMYFUNCTION("""COMPUTED_VALUE"""),43406.6666666666)</f>
        <v>43406.666666666599</v>
      </c>
      <c r="B969" s="1">
        <f ca="1">IFERROR(__xludf.DUMMYFUNCTION("""COMPUTED_VALUE"""),5.44)</f>
        <v>5.44</v>
      </c>
      <c r="C969" s="1">
        <f ca="1">IFERROR(__xludf.DUMMYFUNCTION("""COMPUTED_VALUE"""),5.55)</f>
        <v>5.55</v>
      </c>
      <c r="D969" s="1">
        <f ca="1">IFERROR(__xludf.DUMMYFUNCTION("""COMPUTED_VALUE"""),5.26)</f>
        <v>5.26</v>
      </c>
      <c r="E969" s="1">
        <f ca="1">IFERROR(__xludf.DUMMYFUNCTION("""COMPUTED_VALUE"""),5.37)</f>
        <v>5.37</v>
      </c>
      <c r="F969" s="1">
        <f ca="1">IFERROR(__xludf.DUMMYFUNCTION("""COMPUTED_VALUE"""),11324002)</f>
        <v>11324002</v>
      </c>
    </row>
    <row r="970" spans="1:6" x14ac:dyDescent="0.35">
      <c r="A970" s="2">
        <f ca="1">IFERROR(__xludf.DUMMYFUNCTION("""COMPUTED_VALUE"""),43409.6666666666)</f>
        <v>43409.666666666599</v>
      </c>
      <c r="B970" s="1">
        <f ca="1">IFERROR(__xludf.DUMMYFUNCTION("""COMPUTED_VALUE"""),5.36)</f>
        <v>5.36</v>
      </c>
      <c r="C970" s="1">
        <f ca="1">IFERROR(__xludf.DUMMYFUNCTION("""COMPUTED_VALUE"""),5.38)</f>
        <v>5.38</v>
      </c>
      <c r="D970" s="1">
        <f ca="1">IFERROR(__xludf.DUMMYFUNCTION("""COMPUTED_VALUE"""),5.13)</f>
        <v>5.13</v>
      </c>
      <c r="E970" s="1">
        <f ca="1">IFERROR(__xludf.DUMMYFUNCTION("""COMPUTED_VALUE"""),5.29)</f>
        <v>5.29</v>
      </c>
      <c r="F970" s="1">
        <f ca="1">IFERROR(__xludf.DUMMYFUNCTION("""COMPUTED_VALUE"""),9483260)</f>
        <v>9483260</v>
      </c>
    </row>
    <row r="971" spans="1:6" x14ac:dyDescent="0.35">
      <c r="A971" s="2">
        <f ca="1">IFERROR(__xludf.DUMMYFUNCTION("""COMPUTED_VALUE"""),43410.6666666666)</f>
        <v>43410.666666666599</v>
      </c>
      <c r="B971" s="1">
        <f ca="1">IFERROR(__xludf.DUMMYFUNCTION("""COMPUTED_VALUE"""),5.29)</f>
        <v>5.29</v>
      </c>
      <c r="C971" s="1">
        <f ca="1">IFERROR(__xludf.DUMMYFUNCTION("""COMPUTED_VALUE"""),5.37)</f>
        <v>5.37</v>
      </c>
      <c r="D971" s="1">
        <f ca="1">IFERROR(__xludf.DUMMYFUNCTION("""COMPUTED_VALUE"""),5.24)</f>
        <v>5.24</v>
      </c>
      <c r="E971" s="1">
        <f ca="1">IFERROR(__xludf.DUMMYFUNCTION("""COMPUTED_VALUE"""),5.28)</f>
        <v>5.28</v>
      </c>
      <c r="F971" s="1">
        <f ca="1">IFERROR(__xludf.DUMMYFUNCTION("""COMPUTED_VALUE"""),7475259)</f>
        <v>7475259</v>
      </c>
    </row>
    <row r="972" spans="1:6" x14ac:dyDescent="0.35">
      <c r="A972" s="2">
        <f ca="1">IFERROR(__xludf.DUMMYFUNCTION("""COMPUTED_VALUE"""),43411.6666666666)</f>
        <v>43411.666666666599</v>
      </c>
      <c r="B972" s="1">
        <f ca="1">IFERROR(__xludf.DUMMYFUNCTION("""COMPUTED_VALUE"""),5.34)</f>
        <v>5.34</v>
      </c>
      <c r="C972" s="1">
        <f ca="1">IFERROR(__xludf.DUMMYFUNCTION("""COMPUTED_VALUE"""),5.44)</f>
        <v>5.44</v>
      </c>
      <c r="D972" s="1">
        <f ca="1">IFERROR(__xludf.DUMMYFUNCTION("""COMPUTED_VALUE"""),5.28)</f>
        <v>5.28</v>
      </c>
      <c r="E972" s="1">
        <f ca="1">IFERROR(__xludf.DUMMYFUNCTION("""COMPUTED_VALUE"""),5.34)</f>
        <v>5.34</v>
      </c>
      <c r="F972" s="1">
        <f ca="1">IFERROR(__xludf.DUMMYFUNCTION("""COMPUTED_VALUE"""),12095301)</f>
        <v>12095301</v>
      </c>
    </row>
    <row r="973" spans="1:6" x14ac:dyDescent="0.35">
      <c r="A973" s="2">
        <f ca="1">IFERROR(__xludf.DUMMYFUNCTION("""COMPUTED_VALUE"""),43412.6666666666)</f>
        <v>43412.666666666599</v>
      </c>
      <c r="B973" s="1">
        <f ca="1">IFERROR(__xludf.DUMMYFUNCTION("""COMPUTED_VALUE"""),5.29)</f>
        <v>5.29</v>
      </c>
      <c r="C973" s="1">
        <f ca="1">IFERROR(__xludf.DUMMYFUNCTION("""COMPUTED_VALUE"""),5.29)</f>
        <v>5.29</v>
      </c>
      <c r="D973" s="1">
        <f ca="1">IFERROR(__xludf.DUMMYFUNCTION("""COMPUTED_VALUE"""),5.1)</f>
        <v>5.0999999999999996</v>
      </c>
      <c r="E973" s="1">
        <f ca="1">IFERROR(__xludf.DUMMYFUNCTION("""COMPUTED_VALUE"""),5.15)</f>
        <v>5.15</v>
      </c>
      <c r="F973" s="1">
        <f ca="1">IFERROR(__xludf.DUMMYFUNCTION("""COMPUTED_VALUE"""),12783823)</f>
        <v>12783823</v>
      </c>
    </row>
    <row r="974" spans="1:6" x14ac:dyDescent="0.35">
      <c r="A974" s="2">
        <f ca="1">IFERROR(__xludf.DUMMYFUNCTION("""COMPUTED_VALUE"""),43413.6666666666)</f>
        <v>43413.666666666599</v>
      </c>
      <c r="B974" s="1">
        <f ca="1">IFERROR(__xludf.DUMMYFUNCTION("""COMPUTED_VALUE"""),5.06)</f>
        <v>5.0599999999999996</v>
      </c>
      <c r="C974" s="1">
        <f ca="1">IFERROR(__xludf.DUMMYFUNCTION("""COMPUTED_VALUE"""),5.23)</f>
        <v>5.23</v>
      </c>
      <c r="D974" s="1">
        <f ca="1">IFERROR(__xludf.DUMMYFUNCTION("""COMPUTED_VALUE"""),5.03)</f>
        <v>5.03</v>
      </c>
      <c r="E974" s="1">
        <f ca="1">IFERROR(__xludf.DUMMYFUNCTION("""COMPUTED_VALUE"""),5.14)</f>
        <v>5.14</v>
      </c>
      <c r="F974" s="1">
        <f ca="1">IFERROR(__xludf.DUMMYFUNCTION("""COMPUTED_VALUE"""),10331049)</f>
        <v>10331049</v>
      </c>
    </row>
    <row r="975" spans="1:6" x14ac:dyDescent="0.35">
      <c r="A975" s="2">
        <f ca="1">IFERROR(__xludf.DUMMYFUNCTION("""COMPUTED_VALUE"""),43416.6666666666)</f>
        <v>43416.666666666599</v>
      </c>
      <c r="B975" s="1">
        <f ca="1">IFERROR(__xludf.DUMMYFUNCTION("""COMPUTED_VALUE"""),5.05)</f>
        <v>5.05</v>
      </c>
      <c r="C975" s="1">
        <f ca="1">IFERROR(__xludf.DUMMYFUNCTION("""COMPUTED_VALUE"""),5.07)</f>
        <v>5.07</v>
      </c>
      <c r="D975" s="1">
        <f ca="1">IFERROR(__xludf.DUMMYFUNCTION("""COMPUTED_VALUE"""),4.72)</f>
        <v>4.72</v>
      </c>
      <c r="E975" s="1">
        <f ca="1">IFERROR(__xludf.DUMMYFUNCTION("""COMPUTED_VALUE"""),4.74)</f>
        <v>4.74</v>
      </c>
      <c r="F975" s="1">
        <f ca="1">IFERROR(__xludf.DUMMYFUNCTION("""COMPUTED_VALUE"""),15427947)</f>
        <v>15427947</v>
      </c>
    </row>
    <row r="976" spans="1:6" x14ac:dyDescent="0.35">
      <c r="A976" s="2">
        <f ca="1">IFERROR(__xludf.DUMMYFUNCTION("""COMPUTED_VALUE"""),43417.6666666666)</f>
        <v>43417.666666666599</v>
      </c>
      <c r="B976" s="1">
        <f ca="1">IFERROR(__xludf.DUMMYFUNCTION("""COMPUTED_VALUE"""),4.84)</f>
        <v>4.84</v>
      </c>
      <c r="C976" s="1">
        <f ca="1">IFERROR(__xludf.DUMMYFUNCTION("""COMPUTED_VALUE"""),5.11)</f>
        <v>5.1100000000000003</v>
      </c>
      <c r="D976" s="1">
        <f ca="1">IFERROR(__xludf.DUMMYFUNCTION("""COMPUTED_VALUE"""),4.83)</f>
        <v>4.83</v>
      </c>
      <c r="E976" s="1">
        <f ca="1">IFERROR(__xludf.DUMMYFUNCTION("""COMPUTED_VALUE"""),4.98)</f>
        <v>4.9800000000000004</v>
      </c>
      <c r="F976" s="1">
        <f ca="1">IFERROR(__xludf.DUMMYFUNCTION("""COMPUTED_VALUE"""),16117775)</f>
        <v>16117775</v>
      </c>
    </row>
    <row r="977" spans="1:6" x14ac:dyDescent="0.35">
      <c r="A977" s="2">
        <f ca="1">IFERROR(__xludf.DUMMYFUNCTION("""COMPUTED_VALUE"""),43418.6666666666)</f>
        <v>43418.666666666599</v>
      </c>
      <c r="B977" s="1">
        <f ca="1">IFERROR(__xludf.DUMMYFUNCTION("""COMPUTED_VALUE"""),5.16)</f>
        <v>5.16</v>
      </c>
      <c r="C977" s="1">
        <f ca="1">IFERROR(__xludf.DUMMYFUNCTION("""COMPUTED_VALUE"""),5.17)</f>
        <v>5.17</v>
      </c>
      <c r="D977" s="1">
        <f ca="1">IFERROR(__xludf.DUMMYFUNCTION("""COMPUTED_VALUE"""),4.82)</f>
        <v>4.82</v>
      </c>
      <c r="E977" s="1">
        <f ca="1">IFERROR(__xludf.DUMMYFUNCTION("""COMPUTED_VALUE"""),4.93)</f>
        <v>4.93</v>
      </c>
      <c r="F977" s="1">
        <f ca="1">IFERROR(__xludf.DUMMYFUNCTION("""COMPUTED_VALUE"""),13164471)</f>
        <v>13164471</v>
      </c>
    </row>
    <row r="978" spans="1:6" x14ac:dyDescent="0.35">
      <c r="A978" s="2">
        <f ca="1">IFERROR(__xludf.DUMMYFUNCTION("""COMPUTED_VALUE"""),43419.6666666666)</f>
        <v>43419.666666666599</v>
      </c>
      <c r="B978" s="1">
        <f ca="1">IFERROR(__xludf.DUMMYFUNCTION("""COMPUTED_VALUE"""),4.92)</f>
        <v>4.92</v>
      </c>
      <c r="C978" s="1">
        <f ca="1">IFERROR(__xludf.DUMMYFUNCTION("""COMPUTED_VALUE"""),5.13)</f>
        <v>5.13</v>
      </c>
      <c r="D978" s="1">
        <f ca="1">IFERROR(__xludf.DUMMYFUNCTION("""COMPUTED_VALUE"""),4.89)</f>
        <v>4.8899999999999997</v>
      </c>
      <c r="E978" s="1">
        <f ca="1">IFERROR(__xludf.DUMMYFUNCTION("""COMPUTED_VALUE"""),5.06)</f>
        <v>5.0599999999999996</v>
      </c>
      <c r="F978" s="1">
        <f ca="1">IFERROR(__xludf.DUMMYFUNCTION("""COMPUTED_VALUE"""),21017716)</f>
        <v>21017716</v>
      </c>
    </row>
    <row r="979" spans="1:6" x14ac:dyDescent="0.35">
      <c r="A979" s="2">
        <f ca="1">IFERROR(__xludf.DUMMYFUNCTION("""COMPUTED_VALUE"""),43420.6666666666)</f>
        <v>43420.666666666599</v>
      </c>
      <c r="B979" s="1">
        <f ca="1">IFERROR(__xludf.DUMMYFUNCTION("""COMPUTED_VALUE"""),4.08)</f>
        <v>4.08</v>
      </c>
      <c r="C979" s="1">
        <f ca="1">IFERROR(__xludf.DUMMYFUNCTION("""COMPUTED_VALUE"""),4.27)</f>
        <v>4.2699999999999996</v>
      </c>
      <c r="D979" s="1">
        <f ca="1">IFERROR(__xludf.DUMMYFUNCTION("""COMPUTED_VALUE"""),4.04)</f>
        <v>4.04</v>
      </c>
      <c r="E979" s="1">
        <f ca="1">IFERROR(__xludf.DUMMYFUNCTION("""COMPUTED_VALUE"""),4.11)</f>
        <v>4.1100000000000003</v>
      </c>
      <c r="F979" s="1">
        <f ca="1">IFERROR(__xludf.DUMMYFUNCTION("""COMPUTED_VALUE"""),49087977)</f>
        <v>49087977</v>
      </c>
    </row>
    <row r="980" spans="1:6" x14ac:dyDescent="0.35">
      <c r="A980" s="2">
        <f ca="1">IFERROR(__xludf.DUMMYFUNCTION("""COMPUTED_VALUE"""),43423.6666666666)</f>
        <v>43423.666666666599</v>
      </c>
      <c r="B980" s="1">
        <f ca="1">IFERROR(__xludf.DUMMYFUNCTION("""COMPUTED_VALUE"""),4.04)</f>
        <v>4.04</v>
      </c>
      <c r="C980" s="1">
        <f ca="1">IFERROR(__xludf.DUMMYFUNCTION("""COMPUTED_VALUE"""),4.05)</f>
        <v>4.05</v>
      </c>
      <c r="D980" s="1">
        <f ca="1">IFERROR(__xludf.DUMMYFUNCTION("""COMPUTED_VALUE"""),3.62)</f>
        <v>3.62</v>
      </c>
      <c r="E980" s="1">
        <f ca="1">IFERROR(__xludf.DUMMYFUNCTION("""COMPUTED_VALUE"""),3.62)</f>
        <v>3.62</v>
      </c>
      <c r="F980" s="1">
        <f ca="1">IFERROR(__xludf.DUMMYFUNCTION("""COMPUTED_VALUE"""),42445505)</f>
        <v>42445505</v>
      </c>
    </row>
    <row r="981" spans="1:6" x14ac:dyDescent="0.35">
      <c r="A981" s="2">
        <f ca="1">IFERROR(__xludf.DUMMYFUNCTION("""COMPUTED_VALUE"""),43424.6666666666)</f>
        <v>43424.666666666599</v>
      </c>
      <c r="B981" s="1">
        <f ca="1">IFERROR(__xludf.DUMMYFUNCTION("""COMPUTED_VALUE"""),3.35)</f>
        <v>3.35</v>
      </c>
      <c r="C981" s="1">
        <f ca="1">IFERROR(__xludf.DUMMYFUNCTION("""COMPUTED_VALUE"""),3.86)</f>
        <v>3.86</v>
      </c>
      <c r="D981" s="1">
        <f ca="1">IFERROR(__xludf.DUMMYFUNCTION("""COMPUTED_VALUE"""),3.33)</f>
        <v>3.33</v>
      </c>
      <c r="E981" s="1">
        <f ca="1">IFERROR(__xludf.DUMMYFUNCTION("""COMPUTED_VALUE"""),3.73)</f>
        <v>3.73</v>
      </c>
      <c r="F981" s="1">
        <f ca="1">IFERROR(__xludf.DUMMYFUNCTION("""COMPUTED_VALUE"""),42300828)</f>
        <v>42300828</v>
      </c>
    </row>
    <row r="982" spans="1:6" x14ac:dyDescent="0.35">
      <c r="A982" s="2">
        <f ca="1">IFERROR(__xludf.DUMMYFUNCTION("""COMPUTED_VALUE"""),43425.6666666666)</f>
        <v>43425.666666666599</v>
      </c>
      <c r="B982" s="1">
        <f ca="1">IFERROR(__xludf.DUMMYFUNCTION("""COMPUTED_VALUE"""),3.87)</f>
        <v>3.87</v>
      </c>
      <c r="C982" s="1">
        <f ca="1">IFERROR(__xludf.DUMMYFUNCTION("""COMPUTED_VALUE"""),3.88)</f>
        <v>3.88</v>
      </c>
      <c r="D982" s="1">
        <f ca="1">IFERROR(__xludf.DUMMYFUNCTION("""COMPUTED_VALUE"""),3.59)</f>
        <v>3.59</v>
      </c>
      <c r="E982" s="1">
        <f ca="1">IFERROR(__xludf.DUMMYFUNCTION("""COMPUTED_VALUE"""),3.62)</f>
        <v>3.62</v>
      </c>
      <c r="F982" s="1">
        <f ca="1">IFERROR(__xludf.DUMMYFUNCTION("""COMPUTED_VALUE"""),25637350)</f>
        <v>25637350</v>
      </c>
    </row>
    <row r="983" spans="1:6" x14ac:dyDescent="0.35">
      <c r="A983" s="2">
        <f ca="1">IFERROR(__xludf.DUMMYFUNCTION("""COMPUTED_VALUE"""),43427.5416666666)</f>
        <v>43427.541666666599</v>
      </c>
      <c r="B983" s="1">
        <f ca="1">IFERROR(__xludf.DUMMYFUNCTION("""COMPUTED_VALUE"""),3.58)</f>
        <v>3.58</v>
      </c>
      <c r="C983" s="1">
        <f ca="1">IFERROR(__xludf.DUMMYFUNCTION("""COMPUTED_VALUE"""),3.74)</f>
        <v>3.74</v>
      </c>
      <c r="D983" s="1">
        <f ca="1">IFERROR(__xludf.DUMMYFUNCTION("""COMPUTED_VALUE"""),3.57)</f>
        <v>3.57</v>
      </c>
      <c r="E983" s="1">
        <f ca="1">IFERROR(__xludf.DUMMYFUNCTION("""COMPUTED_VALUE"""),3.63)</f>
        <v>3.63</v>
      </c>
      <c r="F983" s="1">
        <f ca="1">IFERROR(__xludf.DUMMYFUNCTION("""COMPUTED_VALUE"""),10299211)</f>
        <v>10299211</v>
      </c>
    </row>
    <row r="984" spans="1:6" x14ac:dyDescent="0.35">
      <c r="A984" s="2">
        <f ca="1">IFERROR(__xludf.DUMMYFUNCTION("""COMPUTED_VALUE"""),43430.6666666666)</f>
        <v>43430.666666666599</v>
      </c>
      <c r="B984" s="1">
        <f ca="1">IFERROR(__xludf.DUMMYFUNCTION("""COMPUTED_VALUE"""),3.75)</f>
        <v>3.75</v>
      </c>
      <c r="C984" s="1">
        <f ca="1">IFERROR(__xludf.DUMMYFUNCTION("""COMPUTED_VALUE"""),3.84)</f>
        <v>3.84</v>
      </c>
      <c r="D984" s="1">
        <f ca="1">IFERROR(__xludf.DUMMYFUNCTION("""COMPUTED_VALUE"""),3.66)</f>
        <v>3.66</v>
      </c>
      <c r="E984" s="1">
        <f ca="1">IFERROR(__xludf.DUMMYFUNCTION("""COMPUTED_VALUE"""),3.83)</f>
        <v>3.83</v>
      </c>
      <c r="F984" s="1">
        <f ca="1">IFERROR(__xludf.DUMMYFUNCTION("""COMPUTED_VALUE"""),20370806)</f>
        <v>20370806</v>
      </c>
    </row>
    <row r="985" spans="1:6" x14ac:dyDescent="0.35">
      <c r="A985" s="2">
        <f ca="1">IFERROR(__xludf.DUMMYFUNCTION("""COMPUTED_VALUE"""),43431.6666666666)</f>
        <v>43431.666666666599</v>
      </c>
      <c r="B985" s="1">
        <f ca="1">IFERROR(__xludf.DUMMYFUNCTION("""COMPUTED_VALUE"""),3.8)</f>
        <v>3.8</v>
      </c>
      <c r="C985" s="1">
        <f ca="1">IFERROR(__xludf.DUMMYFUNCTION("""COMPUTED_VALUE"""),3.93)</f>
        <v>3.93</v>
      </c>
      <c r="D985" s="1">
        <f ca="1">IFERROR(__xludf.DUMMYFUNCTION("""COMPUTED_VALUE"""),3.76)</f>
        <v>3.76</v>
      </c>
      <c r="E985" s="1">
        <f ca="1">IFERROR(__xludf.DUMMYFUNCTION("""COMPUTED_VALUE"""),3.84)</f>
        <v>3.84</v>
      </c>
      <c r="F985" s="1">
        <f ca="1">IFERROR(__xludf.DUMMYFUNCTION("""COMPUTED_VALUE"""),18451506)</f>
        <v>18451506</v>
      </c>
    </row>
    <row r="986" spans="1:6" x14ac:dyDescent="0.35">
      <c r="A986" s="2">
        <f ca="1">IFERROR(__xludf.DUMMYFUNCTION("""COMPUTED_VALUE"""),43432.6666666666)</f>
        <v>43432.666666666599</v>
      </c>
      <c r="B986" s="1">
        <f ca="1">IFERROR(__xludf.DUMMYFUNCTION("""COMPUTED_VALUE"""),3.96)</f>
        <v>3.96</v>
      </c>
      <c r="C986" s="1">
        <f ca="1">IFERROR(__xludf.DUMMYFUNCTION("""COMPUTED_VALUE"""),4.01)</f>
        <v>4.01</v>
      </c>
      <c r="D986" s="1">
        <f ca="1">IFERROR(__xludf.DUMMYFUNCTION("""COMPUTED_VALUE"""),3.83)</f>
        <v>3.83</v>
      </c>
      <c r="E986" s="1">
        <f ca="1">IFERROR(__xludf.DUMMYFUNCTION("""COMPUTED_VALUE"""),4)</f>
        <v>4</v>
      </c>
      <c r="F986" s="1">
        <f ca="1">IFERROR(__xludf.DUMMYFUNCTION("""COMPUTED_VALUE"""),20113137)</f>
        <v>20113137</v>
      </c>
    </row>
    <row r="987" spans="1:6" x14ac:dyDescent="0.35">
      <c r="A987" s="2">
        <f ca="1">IFERROR(__xludf.DUMMYFUNCTION("""COMPUTED_VALUE"""),43433.6666666666)</f>
        <v>43433.666666666599</v>
      </c>
      <c r="B987" s="1">
        <f ca="1">IFERROR(__xludf.DUMMYFUNCTION("""COMPUTED_VALUE"""),4)</f>
        <v>4</v>
      </c>
      <c r="C987" s="1">
        <f ca="1">IFERROR(__xludf.DUMMYFUNCTION("""COMPUTED_VALUE"""),4.04)</f>
        <v>4.04</v>
      </c>
      <c r="D987" s="1">
        <f ca="1">IFERROR(__xludf.DUMMYFUNCTION("""COMPUTED_VALUE"""),3.9)</f>
        <v>3.9</v>
      </c>
      <c r="E987" s="1">
        <f ca="1">IFERROR(__xludf.DUMMYFUNCTION("""COMPUTED_VALUE"""),3.93)</f>
        <v>3.93</v>
      </c>
      <c r="F987" s="1">
        <f ca="1">IFERROR(__xludf.DUMMYFUNCTION("""COMPUTED_VALUE"""),13729340)</f>
        <v>13729340</v>
      </c>
    </row>
    <row r="988" spans="1:6" x14ac:dyDescent="0.35">
      <c r="A988" s="2">
        <f ca="1">IFERROR(__xludf.DUMMYFUNCTION("""COMPUTED_VALUE"""),43434.6666666666)</f>
        <v>43434.666666666599</v>
      </c>
      <c r="B988" s="1">
        <f ca="1">IFERROR(__xludf.DUMMYFUNCTION("""COMPUTED_VALUE"""),3.94)</f>
        <v>3.94</v>
      </c>
      <c r="C988" s="1">
        <f ca="1">IFERROR(__xludf.DUMMYFUNCTION("""COMPUTED_VALUE"""),4.1)</f>
        <v>4.0999999999999996</v>
      </c>
      <c r="D988" s="1">
        <f ca="1">IFERROR(__xludf.DUMMYFUNCTION("""COMPUTED_VALUE"""),3.89)</f>
        <v>3.89</v>
      </c>
      <c r="E988" s="1">
        <f ca="1">IFERROR(__xludf.DUMMYFUNCTION("""COMPUTED_VALUE"""),4.09)</f>
        <v>4.09</v>
      </c>
      <c r="F988" s="1">
        <f ca="1">IFERROR(__xludf.DUMMYFUNCTION("""COMPUTED_VALUE"""),18239114)</f>
        <v>18239114</v>
      </c>
    </row>
    <row r="989" spans="1:6" x14ac:dyDescent="0.35">
      <c r="A989" s="2">
        <f ca="1">IFERROR(__xludf.DUMMYFUNCTION("""COMPUTED_VALUE"""),43437.6666666666)</f>
        <v>43437.666666666599</v>
      </c>
      <c r="B989" s="1">
        <f ca="1">IFERROR(__xludf.DUMMYFUNCTION("""COMPUTED_VALUE"""),4.32)</f>
        <v>4.32</v>
      </c>
      <c r="C989" s="1">
        <f ca="1">IFERROR(__xludf.DUMMYFUNCTION("""COMPUTED_VALUE"""),4.37)</f>
        <v>4.37</v>
      </c>
      <c r="D989" s="1">
        <f ca="1">IFERROR(__xludf.DUMMYFUNCTION("""COMPUTED_VALUE"""),4.18)</f>
        <v>4.18</v>
      </c>
      <c r="E989" s="1">
        <f ca="1">IFERROR(__xludf.DUMMYFUNCTION("""COMPUTED_VALUE"""),4.25)</f>
        <v>4.25</v>
      </c>
      <c r="F989" s="1">
        <f ca="1">IFERROR(__xludf.DUMMYFUNCTION("""COMPUTED_VALUE"""),22270109)</f>
        <v>22270109</v>
      </c>
    </row>
    <row r="990" spans="1:6" x14ac:dyDescent="0.35">
      <c r="A990" s="2">
        <f ca="1">IFERROR(__xludf.DUMMYFUNCTION("""COMPUTED_VALUE"""),43438.6666666666)</f>
        <v>43438.666666666599</v>
      </c>
      <c r="B990" s="1">
        <f ca="1">IFERROR(__xludf.DUMMYFUNCTION("""COMPUTED_VALUE"""),4.21)</f>
        <v>4.21</v>
      </c>
      <c r="C990" s="1">
        <f ca="1">IFERROR(__xludf.DUMMYFUNCTION("""COMPUTED_VALUE"""),4.21)</f>
        <v>4.21</v>
      </c>
      <c r="D990" s="1">
        <f ca="1">IFERROR(__xludf.DUMMYFUNCTION("""COMPUTED_VALUE"""),3.91)</f>
        <v>3.91</v>
      </c>
      <c r="E990" s="1">
        <f ca="1">IFERROR(__xludf.DUMMYFUNCTION("""COMPUTED_VALUE"""),3.93)</f>
        <v>3.93</v>
      </c>
      <c r="F990" s="1">
        <f ca="1">IFERROR(__xludf.DUMMYFUNCTION("""COMPUTED_VALUE"""),20302787)</f>
        <v>20302787</v>
      </c>
    </row>
    <row r="991" spans="1:6" x14ac:dyDescent="0.35">
      <c r="A991" s="2">
        <f ca="1">IFERROR(__xludf.DUMMYFUNCTION("""COMPUTED_VALUE"""),43440.6666666666)</f>
        <v>43440.666666666599</v>
      </c>
      <c r="B991" s="1">
        <f ca="1">IFERROR(__xludf.DUMMYFUNCTION("""COMPUTED_VALUE"""),3.79)</f>
        <v>3.79</v>
      </c>
      <c r="C991" s="1">
        <f ca="1">IFERROR(__xludf.DUMMYFUNCTION("""COMPUTED_VALUE"""),3.96)</f>
        <v>3.96</v>
      </c>
      <c r="D991" s="1">
        <f ca="1">IFERROR(__xludf.DUMMYFUNCTION("""COMPUTED_VALUE"""),3.77)</f>
        <v>3.77</v>
      </c>
      <c r="E991" s="1">
        <f ca="1">IFERROR(__xludf.DUMMYFUNCTION("""COMPUTED_VALUE"""),3.96)</f>
        <v>3.96</v>
      </c>
      <c r="F991" s="1">
        <f ca="1">IFERROR(__xludf.DUMMYFUNCTION("""COMPUTED_VALUE"""),17307741)</f>
        <v>17307741</v>
      </c>
    </row>
    <row r="992" spans="1:6" x14ac:dyDescent="0.35">
      <c r="A992" s="2">
        <f ca="1">IFERROR(__xludf.DUMMYFUNCTION("""COMPUTED_VALUE"""),43441.6666666666)</f>
        <v>43441.666666666599</v>
      </c>
      <c r="B992" s="1">
        <f ca="1">IFERROR(__xludf.DUMMYFUNCTION("""COMPUTED_VALUE"""),3.96)</f>
        <v>3.96</v>
      </c>
      <c r="C992" s="1">
        <f ca="1">IFERROR(__xludf.DUMMYFUNCTION("""COMPUTED_VALUE"""),3.97)</f>
        <v>3.97</v>
      </c>
      <c r="D992" s="1">
        <f ca="1">IFERROR(__xludf.DUMMYFUNCTION("""COMPUTED_VALUE"""),3.64)</f>
        <v>3.64</v>
      </c>
      <c r="E992" s="1">
        <f ca="1">IFERROR(__xludf.DUMMYFUNCTION("""COMPUTED_VALUE"""),3.69)</f>
        <v>3.69</v>
      </c>
      <c r="F992" s="1">
        <f ca="1">IFERROR(__xludf.DUMMYFUNCTION("""COMPUTED_VALUE"""),17041949)</f>
        <v>17041949</v>
      </c>
    </row>
    <row r="993" spans="1:6" x14ac:dyDescent="0.35">
      <c r="A993" s="2">
        <f ca="1">IFERROR(__xludf.DUMMYFUNCTION("""COMPUTED_VALUE"""),43444.6666666666)</f>
        <v>43444.666666666599</v>
      </c>
      <c r="B993" s="1">
        <f ca="1">IFERROR(__xludf.DUMMYFUNCTION("""COMPUTED_VALUE"""),3.65)</f>
        <v>3.65</v>
      </c>
      <c r="C993" s="1">
        <f ca="1">IFERROR(__xludf.DUMMYFUNCTION("""COMPUTED_VALUE"""),3.82)</f>
        <v>3.82</v>
      </c>
      <c r="D993" s="1">
        <f ca="1">IFERROR(__xludf.DUMMYFUNCTION("""COMPUTED_VALUE"""),3.64)</f>
        <v>3.64</v>
      </c>
      <c r="E993" s="1">
        <f ca="1">IFERROR(__xludf.DUMMYFUNCTION("""COMPUTED_VALUE"""),3.8)</f>
        <v>3.8</v>
      </c>
      <c r="F993" s="1">
        <f ca="1">IFERROR(__xludf.DUMMYFUNCTION("""COMPUTED_VALUE"""),15736835)</f>
        <v>15736835</v>
      </c>
    </row>
    <row r="994" spans="1:6" x14ac:dyDescent="0.35">
      <c r="A994" s="2">
        <f ca="1">IFERROR(__xludf.DUMMYFUNCTION("""COMPUTED_VALUE"""),43445.6666666666)</f>
        <v>43445.666666666599</v>
      </c>
      <c r="B994" s="1">
        <f ca="1">IFERROR(__xludf.DUMMYFUNCTION("""COMPUTED_VALUE"""),3.89)</f>
        <v>3.89</v>
      </c>
      <c r="C994" s="1">
        <f ca="1">IFERROR(__xludf.DUMMYFUNCTION("""COMPUTED_VALUE"""),3.9)</f>
        <v>3.9</v>
      </c>
      <c r="D994" s="1">
        <f ca="1">IFERROR(__xludf.DUMMYFUNCTION("""COMPUTED_VALUE"""),3.63)</f>
        <v>3.63</v>
      </c>
      <c r="E994" s="1">
        <f ca="1">IFERROR(__xludf.DUMMYFUNCTION("""COMPUTED_VALUE"""),3.7)</f>
        <v>3.7</v>
      </c>
      <c r="F994" s="1">
        <f ca="1">IFERROR(__xludf.DUMMYFUNCTION("""COMPUTED_VALUE"""),16797832)</f>
        <v>16797832</v>
      </c>
    </row>
    <row r="995" spans="1:6" x14ac:dyDescent="0.35">
      <c r="A995" s="2">
        <f ca="1">IFERROR(__xludf.DUMMYFUNCTION("""COMPUTED_VALUE"""),43446.6666666666)</f>
        <v>43446.666666666599</v>
      </c>
      <c r="B995" s="1">
        <f ca="1">IFERROR(__xludf.DUMMYFUNCTION("""COMPUTED_VALUE"""),3.71)</f>
        <v>3.71</v>
      </c>
      <c r="C995" s="1">
        <f ca="1">IFERROR(__xludf.DUMMYFUNCTION("""COMPUTED_VALUE"""),3.82)</f>
        <v>3.82</v>
      </c>
      <c r="D995" s="1">
        <f ca="1">IFERROR(__xludf.DUMMYFUNCTION("""COMPUTED_VALUE"""),3.62)</f>
        <v>3.62</v>
      </c>
      <c r="E995" s="1">
        <f ca="1">IFERROR(__xludf.DUMMYFUNCTION("""COMPUTED_VALUE"""),3.72)</f>
        <v>3.72</v>
      </c>
      <c r="F995" s="1">
        <f ca="1">IFERROR(__xludf.DUMMYFUNCTION("""COMPUTED_VALUE"""),16353398)</f>
        <v>16353398</v>
      </c>
    </row>
    <row r="996" spans="1:6" x14ac:dyDescent="0.35">
      <c r="A996" s="2">
        <f ca="1">IFERROR(__xludf.DUMMYFUNCTION("""COMPUTED_VALUE"""),43447.6666666666)</f>
        <v>43447.666666666599</v>
      </c>
      <c r="B996" s="1">
        <f ca="1">IFERROR(__xludf.DUMMYFUNCTION("""COMPUTED_VALUE"""),3.77)</f>
        <v>3.77</v>
      </c>
      <c r="C996" s="1">
        <f ca="1">IFERROR(__xludf.DUMMYFUNCTION("""COMPUTED_VALUE"""),3.83)</f>
        <v>3.83</v>
      </c>
      <c r="D996" s="1">
        <f ca="1">IFERROR(__xludf.DUMMYFUNCTION("""COMPUTED_VALUE"""),3.69)</f>
        <v>3.69</v>
      </c>
      <c r="E996" s="1">
        <f ca="1">IFERROR(__xludf.DUMMYFUNCTION("""COMPUTED_VALUE"""),3.72)</f>
        <v>3.72</v>
      </c>
      <c r="F996" s="1">
        <f ca="1">IFERROR(__xludf.DUMMYFUNCTION("""COMPUTED_VALUE"""),11784624)</f>
        <v>11784624</v>
      </c>
    </row>
    <row r="997" spans="1:6" x14ac:dyDescent="0.35">
      <c r="A997" s="2">
        <f ca="1">IFERROR(__xludf.DUMMYFUNCTION("""COMPUTED_VALUE"""),43448.6666666666)</f>
        <v>43448.666666666599</v>
      </c>
      <c r="B997" s="1">
        <f ca="1">IFERROR(__xludf.DUMMYFUNCTION("""COMPUTED_VALUE"""),3.68)</f>
        <v>3.68</v>
      </c>
      <c r="C997" s="1">
        <f ca="1">IFERROR(__xludf.DUMMYFUNCTION("""COMPUTED_VALUE"""),3.76)</f>
        <v>3.76</v>
      </c>
      <c r="D997" s="1">
        <f ca="1">IFERROR(__xludf.DUMMYFUNCTION("""COMPUTED_VALUE"""),3.64)</f>
        <v>3.64</v>
      </c>
      <c r="E997" s="1">
        <f ca="1">IFERROR(__xludf.DUMMYFUNCTION("""COMPUTED_VALUE"""),3.66)</f>
        <v>3.66</v>
      </c>
      <c r="F997" s="1">
        <f ca="1">IFERROR(__xludf.DUMMYFUNCTION("""COMPUTED_VALUE"""),11795531)</f>
        <v>11795531</v>
      </c>
    </row>
    <row r="998" spans="1:6" x14ac:dyDescent="0.35">
      <c r="A998" s="2">
        <f ca="1">IFERROR(__xludf.DUMMYFUNCTION("""COMPUTED_VALUE"""),43451.6666666666)</f>
        <v>43451.666666666599</v>
      </c>
      <c r="B998" s="1">
        <f ca="1">IFERROR(__xludf.DUMMYFUNCTION("""COMPUTED_VALUE"""),3.63)</f>
        <v>3.63</v>
      </c>
      <c r="C998" s="1">
        <f ca="1">IFERROR(__xludf.DUMMYFUNCTION("""COMPUTED_VALUE"""),3.7)</f>
        <v>3.7</v>
      </c>
      <c r="D998" s="1">
        <f ca="1">IFERROR(__xludf.DUMMYFUNCTION("""COMPUTED_VALUE"""),3.53)</f>
        <v>3.53</v>
      </c>
      <c r="E998" s="1">
        <f ca="1">IFERROR(__xludf.DUMMYFUNCTION("""COMPUTED_VALUE"""),3.59)</f>
        <v>3.59</v>
      </c>
      <c r="F998" s="1">
        <f ca="1">IFERROR(__xludf.DUMMYFUNCTION("""COMPUTED_VALUE"""),16571683)</f>
        <v>16571683</v>
      </c>
    </row>
    <row r="999" spans="1:6" x14ac:dyDescent="0.35">
      <c r="A999" s="2">
        <f ca="1">IFERROR(__xludf.DUMMYFUNCTION("""COMPUTED_VALUE"""),43452.6666666666)</f>
        <v>43452.666666666599</v>
      </c>
      <c r="B999" s="1">
        <f ca="1">IFERROR(__xludf.DUMMYFUNCTION("""COMPUTED_VALUE"""),3.63)</f>
        <v>3.63</v>
      </c>
      <c r="C999" s="1">
        <f ca="1">IFERROR(__xludf.DUMMYFUNCTION("""COMPUTED_VALUE"""),3.76)</f>
        <v>3.76</v>
      </c>
      <c r="D999" s="1">
        <f ca="1">IFERROR(__xludf.DUMMYFUNCTION("""COMPUTED_VALUE"""),3.61)</f>
        <v>3.61</v>
      </c>
      <c r="E999" s="1">
        <f ca="1">IFERROR(__xludf.DUMMYFUNCTION("""COMPUTED_VALUE"""),3.67)</f>
        <v>3.67</v>
      </c>
      <c r="F999" s="1">
        <f ca="1">IFERROR(__xludf.DUMMYFUNCTION("""COMPUTED_VALUE"""),14109251)</f>
        <v>14109251</v>
      </c>
    </row>
    <row r="1000" spans="1:6" x14ac:dyDescent="0.35">
      <c r="A1000" s="2">
        <f ca="1">IFERROR(__xludf.DUMMYFUNCTION("""COMPUTED_VALUE"""),43453.6666666666)</f>
        <v>43453.666666666599</v>
      </c>
      <c r="B1000" s="1">
        <f ca="1">IFERROR(__xludf.DUMMYFUNCTION("""COMPUTED_VALUE"""),3.64)</f>
        <v>3.64</v>
      </c>
      <c r="C1000" s="1">
        <f ca="1">IFERROR(__xludf.DUMMYFUNCTION("""COMPUTED_VALUE"""),3.69)</f>
        <v>3.69</v>
      </c>
      <c r="D1000" s="1">
        <f ca="1">IFERROR(__xludf.DUMMYFUNCTION("""COMPUTED_VALUE"""),3.41)</f>
        <v>3.41</v>
      </c>
      <c r="E1000" s="1">
        <f ca="1">IFERROR(__xludf.DUMMYFUNCTION("""COMPUTED_VALUE"""),3.46)</f>
        <v>3.46</v>
      </c>
      <c r="F1000" s="1">
        <f ca="1">IFERROR(__xludf.DUMMYFUNCTION("""COMPUTED_VALUE"""),18634147)</f>
        <v>18634147</v>
      </c>
    </row>
    <row r="1001" spans="1:6" x14ac:dyDescent="0.35">
      <c r="A1001" s="2">
        <f ca="1">IFERROR(__xludf.DUMMYFUNCTION("""COMPUTED_VALUE"""),43454.6666666666)</f>
        <v>43454.666666666599</v>
      </c>
      <c r="B1001" s="1">
        <f ca="1">IFERROR(__xludf.DUMMYFUNCTION("""COMPUTED_VALUE"""),3.45)</f>
        <v>3.45</v>
      </c>
      <c r="C1001" s="1">
        <f ca="1">IFERROR(__xludf.DUMMYFUNCTION("""COMPUTED_VALUE"""),3.55)</f>
        <v>3.55</v>
      </c>
      <c r="D1001" s="1">
        <f ca="1">IFERROR(__xludf.DUMMYFUNCTION("""COMPUTED_VALUE"""),3.32)</f>
        <v>3.32</v>
      </c>
      <c r="E1001" s="1">
        <f ca="1">IFERROR(__xludf.DUMMYFUNCTION("""COMPUTED_VALUE"""),3.38)</f>
        <v>3.38</v>
      </c>
      <c r="F1001" s="1">
        <f ca="1">IFERROR(__xludf.DUMMYFUNCTION("""COMPUTED_VALUE"""),18739697)</f>
        <v>18739697</v>
      </c>
    </row>
    <row r="1002" spans="1:6" x14ac:dyDescent="0.35">
      <c r="A1002" s="2">
        <f ca="1">IFERROR(__xludf.DUMMYFUNCTION("""COMPUTED_VALUE"""),43455.6666666666)</f>
        <v>43455.666666666599</v>
      </c>
      <c r="B1002" s="1">
        <f ca="1">IFERROR(__xludf.DUMMYFUNCTION("""COMPUTED_VALUE"""),3.4)</f>
        <v>3.4</v>
      </c>
      <c r="C1002" s="1">
        <f ca="1">IFERROR(__xludf.DUMMYFUNCTION("""COMPUTED_VALUE"""),3.44)</f>
        <v>3.44</v>
      </c>
      <c r="D1002" s="1">
        <f ca="1">IFERROR(__xludf.DUMMYFUNCTION("""COMPUTED_VALUE"""),3.21)</f>
        <v>3.21</v>
      </c>
      <c r="E1002" s="1">
        <f ca="1">IFERROR(__xludf.DUMMYFUNCTION("""COMPUTED_VALUE"""),3.24)</f>
        <v>3.24</v>
      </c>
      <c r="F1002" s="1">
        <f ca="1">IFERROR(__xludf.DUMMYFUNCTION("""COMPUTED_VALUE"""),21593525)</f>
        <v>21593525</v>
      </c>
    </row>
    <row r="1003" spans="1:6" x14ac:dyDescent="0.35">
      <c r="A1003" s="2">
        <f ca="1">IFERROR(__xludf.DUMMYFUNCTION("""COMPUTED_VALUE"""),43458.5416666666)</f>
        <v>43458.541666666599</v>
      </c>
      <c r="B1003" s="1">
        <f ca="1">IFERROR(__xludf.DUMMYFUNCTION("""COMPUTED_VALUE"""),3.16)</f>
        <v>3.16</v>
      </c>
      <c r="C1003" s="1">
        <f ca="1">IFERROR(__xludf.DUMMYFUNCTION("""COMPUTED_VALUE"""),3.25)</f>
        <v>3.25</v>
      </c>
      <c r="D1003" s="1">
        <f ca="1">IFERROR(__xludf.DUMMYFUNCTION("""COMPUTED_VALUE"""),3.11)</f>
        <v>3.11</v>
      </c>
      <c r="E1003" s="1">
        <f ca="1">IFERROR(__xludf.DUMMYFUNCTION("""COMPUTED_VALUE"""),3.18)</f>
        <v>3.18</v>
      </c>
      <c r="F1003" s="1">
        <f ca="1">IFERROR(__xludf.DUMMYFUNCTION("""COMPUTED_VALUE"""),11595978)</f>
        <v>11595978</v>
      </c>
    </row>
    <row r="1004" spans="1:6" x14ac:dyDescent="0.35">
      <c r="A1004" s="2">
        <f ca="1">IFERROR(__xludf.DUMMYFUNCTION("""COMPUTED_VALUE"""),43460.6666666666)</f>
        <v>43460.666666666599</v>
      </c>
      <c r="B1004" s="1">
        <f ca="1">IFERROR(__xludf.DUMMYFUNCTION("""COMPUTED_VALUE"""),3.22)</f>
        <v>3.22</v>
      </c>
      <c r="C1004" s="1">
        <f ca="1">IFERROR(__xludf.DUMMYFUNCTION("""COMPUTED_VALUE"""),3.33)</f>
        <v>3.33</v>
      </c>
      <c r="D1004" s="1">
        <f ca="1">IFERROR(__xludf.DUMMYFUNCTION("""COMPUTED_VALUE"""),3.11)</f>
        <v>3.11</v>
      </c>
      <c r="E1004" s="1">
        <f ca="1">IFERROR(__xludf.DUMMYFUNCTION("""COMPUTED_VALUE"""),3.33)</f>
        <v>3.33</v>
      </c>
      <c r="F1004" s="1">
        <f ca="1">IFERROR(__xludf.DUMMYFUNCTION("""COMPUTED_VALUE"""),17377484)</f>
        <v>17377484</v>
      </c>
    </row>
    <row r="1005" spans="1:6" x14ac:dyDescent="0.35">
      <c r="A1005" s="2">
        <f ca="1">IFERROR(__xludf.DUMMYFUNCTION("""COMPUTED_VALUE"""),43461.6666666666)</f>
        <v>43461.666666666599</v>
      </c>
      <c r="B1005" s="1">
        <f ca="1">IFERROR(__xludf.DUMMYFUNCTION("""COMPUTED_VALUE"""),3.27)</f>
        <v>3.27</v>
      </c>
      <c r="C1005" s="1">
        <f ca="1">IFERROR(__xludf.DUMMYFUNCTION("""COMPUTED_VALUE"""),3.31)</f>
        <v>3.31</v>
      </c>
      <c r="D1005" s="1">
        <f ca="1">IFERROR(__xludf.DUMMYFUNCTION("""COMPUTED_VALUE"""),3.13)</f>
        <v>3.13</v>
      </c>
      <c r="E1005" s="1">
        <f ca="1">IFERROR(__xludf.DUMMYFUNCTION("""COMPUTED_VALUE"""),3.28)</f>
        <v>3.28</v>
      </c>
      <c r="F1005" s="1">
        <f ca="1">IFERROR(__xludf.DUMMYFUNCTION("""COMPUTED_VALUE"""),15926080)</f>
        <v>15926080</v>
      </c>
    </row>
    <row r="1006" spans="1:6" x14ac:dyDescent="0.35">
      <c r="A1006" s="2">
        <f ca="1">IFERROR(__xludf.DUMMYFUNCTION("""COMPUTED_VALUE"""),43462.6666666666)</f>
        <v>43462.666666666599</v>
      </c>
      <c r="B1006" s="1">
        <f ca="1">IFERROR(__xludf.DUMMYFUNCTION("""COMPUTED_VALUE"""),3.3)</f>
        <v>3.3</v>
      </c>
      <c r="C1006" s="1">
        <f ca="1">IFERROR(__xludf.DUMMYFUNCTION("""COMPUTED_VALUE"""),3.43)</f>
        <v>3.43</v>
      </c>
      <c r="D1006" s="1">
        <f ca="1">IFERROR(__xludf.DUMMYFUNCTION("""COMPUTED_VALUE"""),3.26)</f>
        <v>3.26</v>
      </c>
      <c r="E1006" s="1">
        <f ca="1">IFERROR(__xludf.DUMMYFUNCTION("""COMPUTED_VALUE"""),3.34)</f>
        <v>3.34</v>
      </c>
      <c r="F1006" s="1">
        <f ca="1">IFERROR(__xludf.DUMMYFUNCTION("""COMPUTED_VALUE"""),15712319)</f>
        <v>15712319</v>
      </c>
    </row>
    <row r="1007" spans="1:6" x14ac:dyDescent="0.35">
      <c r="A1007" s="2">
        <f ca="1">IFERROR(__xludf.DUMMYFUNCTION("""COMPUTED_VALUE"""),43465.6666666666)</f>
        <v>43465.666666666599</v>
      </c>
      <c r="B1007" s="1">
        <f ca="1">IFERROR(__xludf.DUMMYFUNCTION("""COMPUTED_VALUE"""),3.39)</f>
        <v>3.39</v>
      </c>
      <c r="C1007" s="1">
        <f ca="1">IFERROR(__xludf.DUMMYFUNCTION("""COMPUTED_VALUE"""),3.42)</f>
        <v>3.42</v>
      </c>
      <c r="D1007" s="1">
        <f ca="1">IFERROR(__xludf.DUMMYFUNCTION("""COMPUTED_VALUE"""),3.31)</f>
        <v>3.31</v>
      </c>
      <c r="E1007" s="1">
        <f ca="1">IFERROR(__xludf.DUMMYFUNCTION("""COMPUTED_VALUE"""),3.34)</f>
        <v>3.34</v>
      </c>
      <c r="F1007" s="1">
        <f ca="1">IFERROR(__xludf.DUMMYFUNCTION("""COMPUTED_VALUE"""),11628503)</f>
        <v>11628503</v>
      </c>
    </row>
    <row r="1008" spans="1:6" x14ac:dyDescent="0.35">
      <c r="A1008" s="2">
        <f ca="1">IFERROR(__xludf.DUMMYFUNCTION("""COMPUTED_VALUE"""),43467.6666666666)</f>
        <v>43467.666666666599</v>
      </c>
      <c r="B1008" s="1">
        <f ca="1">IFERROR(__xludf.DUMMYFUNCTION("""COMPUTED_VALUE"""),3.27)</f>
        <v>3.27</v>
      </c>
      <c r="C1008" s="1">
        <f ca="1">IFERROR(__xludf.DUMMYFUNCTION("""COMPUTED_VALUE"""),3.46)</f>
        <v>3.46</v>
      </c>
      <c r="D1008" s="1">
        <f ca="1">IFERROR(__xludf.DUMMYFUNCTION("""COMPUTED_VALUE"""),3.25)</f>
        <v>3.25</v>
      </c>
      <c r="E1008" s="1">
        <f ca="1">IFERROR(__xludf.DUMMYFUNCTION("""COMPUTED_VALUE"""),3.41)</f>
        <v>3.41</v>
      </c>
      <c r="F1008" s="1">
        <f ca="1">IFERROR(__xludf.DUMMYFUNCTION("""COMPUTED_VALUE"""),12718840)</f>
        <v>12718840</v>
      </c>
    </row>
    <row r="1009" spans="1:6" x14ac:dyDescent="0.35">
      <c r="A1009" s="2">
        <f ca="1">IFERROR(__xludf.DUMMYFUNCTION("""COMPUTED_VALUE"""),43468.6666666666)</f>
        <v>43468.666666666599</v>
      </c>
      <c r="B1009" s="1">
        <f ca="1">IFERROR(__xludf.DUMMYFUNCTION("""COMPUTED_VALUE"""),3.34)</f>
        <v>3.34</v>
      </c>
      <c r="C1009" s="1">
        <f ca="1">IFERROR(__xludf.DUMMYFUNCTION("""COMPUTED_VALUE"""),3.38)</f>
        <v>3.38</v>
      </c>
      <c r="D1009" s="1">
        <f ca="1">IFERROR(__xludf.DUMMYFUNCTION("""COMPUTED_VALUE"""),3.19)</f>
        <v>3.19</v>
      </c>
      <c r="E1009" s="1">
        <f ca="1">IFERROR(__xludf.DUMMYFUNCTION("""COMPUTED_VALUE"""),3.2)</f>
        <v>3.2</v>
      </c>
      <c r="F1009" s="1">
        <f ca="1">IFERROR(__xludf.DUMMYFUNCTION("""COMPUTED_VALUE"""),17638786)</f>
        <v>17638786</v>
      </c>
    </row>
    <row r="1010" spans="1:6" x14ac:dyDescent="0.35">
      <c r="A1010" s="2">
        <f ca="1">IFERROR(__xludf.DUMMYFUNCTION("""COMPUTED_VALUE"""),43469.6666666666)</f>
        <v>43469.666666666599</v>
      </c>
      <c r="B1010" s="1">
        <f ca="1">IFERROR(__xludf.DUMMYFUNCTION("""COMPUTED_VALUE"""),3.27)</f>
        <v>3.27</v>
      </c>
      <c r="C1010" s="1">
        <f ca="1">IFERROR(__xludf.DUMMYFUNCTION("""COMPUTED_VALUE"""),3.44)</f>
        <v>3.44</v>
      </c>
      <c r="D1010" s="1">
        <f ca="1">IFERROR(__xludf.DUMMYFUNCTION("""COMPUTED_VALUE"""),3.24)</f>
        <v>3.24</v>
      </c>
      <c r="E1010" s="1">
        <f ca="1">IFERROR(__xludf.DUMMYFUNCTION("""COMPUTED_VALUE"""),3.4)</f>
        <v>3.4</v>
      </c>
      <c r="F1010" s="1">
        <f ca="1">IFERROR(__xludf.DUMMYFUNCTION("""COMPUTED_VALUE"""),14640483)</f>
        <v>14640483</v>
      </c>
    </row>
    <row r="1011" spans="1:6" x14ac:dyDescent="0.35">
      <c r="A1011" s="2">
        <f ca="1">IFERROR(__xludf.DUMMYFUNCTION("""COMPUTED_VALUE"""),43472.6666666666)</f>
        <v>43472.666666666599</v>
      </c>
      <c r="B1011" s="1">
        <f ca="1">IFERROR(__xludf.DUMMYFUNCTION("""COMPUTED_VALUE"""),3.46)</f>
        <v>3.46</v>
      </c>
      <c r="C1011" s="1">
        <f ca="1">IFERROR(__xludf.DUMMYFUNCTION("""COMPUTED_VALUE"""),3.62)</f>
        <v>3.62</v>
      </c>
      <c r="D1011" s="1">
        <f ca="1">IFERROR(__xludf.DUMMYFUNCTION("""COMPUTED_VALUE"""),3.41)</f>
        <v>3.41</v>
      </c>
      <c r="E1011" s="1">
        <f ca="1">IFERROR(__xludf.DUMMYFUNCTION("""COMPUTED_VALUE"""),3.59)</f>
        <v>3.59</v>
      </c>
      <c r="F1011" s="1">
        <f ca="1">IFERROR(__xludf.DUMMYFUNCTION("""COMPUTED_VALUE"""),17728980)</f>
        <v>17728980</v>
      </c>
    </row>
    <row r="1012" spans="1:6" x14ac:dyDescent="0.35">
      <c r="A1012" s="2">
        <f ca="1">IFERROR(__xludf.DUMMYFUNCTION("""COMPUTED_VALUE"""),43473.6666666666)</f>
        <v>43473.666666666599</v>
      </c>
      <c r="B1012" s="1">
        <f ca="1">IFERROR(__xludf.DUMMYFUNCTION("""COMPUTED_VALUE"""),3.67)</f>
        <v>3.67</v>
      </c>
      <c r="C1012" s="1">
        <f ca="1">IFERROR(__xludf.DUMMYFUNCTION("""COMPUTED_VALUE"""),3.67)</f>
        <v>3.67</v>
      </c>
      <c r="D1012" s="1">
        <f ca="1">IFERROR(__xludf.DUMMYFUNCTION("""COMPUTED_VALUE"""),3.42)</f>
        <v>3.42</v>
      </c>
      <c r="E1012" s="1">
        <f ca="1">IFERROR(__xludf.DUMMYFUNCTION("""COMPUTED_VALUE"""),3.5)</f>
        <v>3.5</v>
      </c>
      <c r="F1012" s="1">
        <f ca="1">IFERROR(__xludf.DUMMYFUNCTION("""COMPUTED_VALUE"""),19650429)</f>
        <v>19650429</v>
      </c>
    </row>
    <row r="1013" spans="1:6" x14ac:dyDescent="0.35">
      <c r="A1013" s="2">
        <f ca="1">IFERROR(__xludf.DUMMYFUNCTION("""COMPUTED_VALUE"""),43474.6666666666)</f>
        <v>43474.666666666599</v>
      </c>
      <c r="B1013" s="1">
        <f ca="1">IFERROR(__xludf.DUMMYFUNCTION("""COMPUTED_VALUE"""),3.55)</f>
        <v>3.55</v>
      </c>
      <c r="C1013" s="1">
        <f ca="1">IFERROR(__xludf.DUMMYFUNCTION("""COMPUTED_VALUE"""),3.61)</f>
        <v>3.61</v>
      </c>
      <c r="D1013" s="1">
        <f ca="1">IFERROR(__xludf.DUMMYFUNCTION("""COMPUTED_VALUE"""),3.5)</f>
        <v>3.5</v>
      </c>
      <c r="E1013" s="1">
        <f ca="1">IFERROR(__xludf.DUMMYFUNCTION("""COMPUTED_VALUE"""),3.56)</f>
        <v>3.56</v>
      </c>
      <c r="F1013" s="1">
        <f ca="1">IFERROR(__xludf.DUMMYFUNCTION("""COMPUTED_VALUE"""),15431475)</f>
        <v>15431475</v>
      </c>
    </row>
    <row r="1014" spans="1:6" x14ac:dyDescent="0.35">
      <c r="A1014" s="2">
        <f ca="1">IFERROR(__xludf.DUMMYFUNCTION("""COMPUTED_VALUE"""),43475.6666666666)</f>
        <v>43475.666666666599</v>
      </c>
      <c r="B1014" s="1">
        <f ca="1">IFERROR(__xludf.DUMMYFUNCTION("""COMPUTED_VALUE"""),3.55)</f>
        <v>3.55</v>
      </c>
      <c r="C1014" s="1">
        <f ca="1">IFERROR(__xludf.DUMMYFUNCTION("""COMPUTED_VALUE"""),3.64)</f>
        <v>3.64</v>
      </c>
      <c r="D1014" s="1">
        <f ca="1">IFERROR(__xludf.DUMMYFUNCTION("""COMPUTED_VALUE"""),3.48)</f>
        <v>3.48</v>
      </c>
      <c r="E1014" s="1">
        <f ca="1">IFERROR(__xludf.DUMMYFUNCTION("""COMPUTED_VALUE"""),3.63)</f>
        <v>3.63</v>
      </c>
      <c r="F1014" s="1">
        <f ca="1">IFERROR(__xludf.DUMMYFUNCTION("""COMPUTED_VALUE"""),13078906)</f>
        <v>13078906</v>
      </c>
    </row>
    <row r="1015" spans="1:6" x14ac:dyDescent="0.35">
      <c r="A1015" s="2">
        <f ca="1">IFERROR(__xludf.DUMMYFUNCTION("""COMPUTED_VALUE"""),43476.6666666666)</f>
        <v>43476.666666666599</v>
      </c>
      <c r="B1015" s="1">
        <f ca="1">IFERROR(__xludf.DUMMYFUNCTION("""COMPUTED_VALUE"""),3.61)</f>
        <v>3.61</v>
      </c>
      <c r="C1015" s="1">
        <f ca="1">IFERROR(__xludf.DUMMYFUNCTION("""COMPUTED_VALUE"""),3.74)</f>
        <v>3.74</v>
      </c>
      <c r="D1015" s="1">
        <f ca="1">IFERROR(__xludf.DUMMYFUNCTION("""COMPUTED_VALUE"""),3.58)</f>
        <v>3.58</v>
      </c>
      <c r="E1015" s="1">
        <f ca="1">IFERROR(__xludf.DUMMYFUNCTION("""COMPUTED_VALUE"""),3.72)</f>
        <v>3.72</v>
      </c>
      <c r="F1015" s="1">
        <f ca="1">IFERROR(__xludf.DUMMYFUNCTION("""COMPUTED_VALUE"""),21869066)</f>
        <v>21869066</v>
      </c>
    </row>
    <row r="1016" spans="1:6" x14ac:dyDescent="0.35">
      <c r="A1016" s="2">
        <f ca="1">IFERROR(__xludf.DUMMYFUNCTION("""COMPUTED_VALUE"""),43479.6666666666)</f>
        <v>43479.666666666599</v>
      </c>
      <c r="B1016" s="1">
        <f ca="1">IFERROR(__xludf.DUMMYFUNCTION("""COMPUTED_VALUE"""),3.67)</f>
        <v>3.67</v>
      </c>
      <c r="C1016" s="1">
        <f ca="1">IFERROR(__xludf.DUMMYFUNCTION("""COMPUTED_VALUE"""),3.79)</f>
        <v>3.79</v>
      </c>
      <c r="D1016" s="1">
        <f ca="1">IFERROR(__xludf.DUMMYFUNCTION("""COMPUTED_VALUE"""),3.64)</f>
        <v>3.64</v>
      </c>
      <c r="E1016" s="1">
        <f ca="1">IFERROR(__xludf.DUMMYFUNCTION("""COMPUTED_VALUE"""),3.76)</f>
        <v>3.76</v>
      </c>
      <c r="F1016" s="1">
        <f ca="1">IFERROR(__xludf.DUMMYFUNCTION("""COMPUTED_VALUE"""),18254249)</f>
        <v>18254249</v>
      </c>
    </row>
    <row r="1017" spans="1:6" x14ac:dyDescent="0.35">
      <c r="A1017" s="2">
        <f ca="1">IFERROR(__xludf.DUMMYFUNCTION("""COMPUTED_VALUE"""),43480.6666666666)</f>
        <v>43480.666666666599</v>
      </c>
      <c r="B1017" s="1">
        <f ca="1">IFERROR(__xludf.DUMMYFUNCTION("""COMPUTED_VALUE"""),3.79)</f>
        <v>3.79</v>
      </c>
      <c r="C1017" s="1">
        <f ca="1">IFERROR(__xludf.DUMMYFUNCTION("""COMPUTED_VALUE"""),3.83)</f>
        <v>3.83</v>
      </c>
      <c r="D1017" s="1">
        <f ca="1">IFERROR(__xludf.DUMMYFUNCTION("""COMPUTED_VALUE"""),3.73)</f>
        <v>3.73</v>
      </c>
      <c r="E1017" s="1">
        <f ca="1">IFERROR(__xludf.DUMMYFUNCTION("""COMPUTED_VALUE"""),3.75)</f>
        <v>3.75</v>
      </c>
      <c r="F1017" s="1">
        <f ca="1">IFERROR(__xludf.DUMMYFUNCTION("""COMPUTED_VALUE"""),15425251)</f>
        <v>15425251</v>
      </c>
    </row>
    <row r="1018" spans="1:6" x14ac:dyDescent="0.35">
      <c r="A1018" s="2">
        <f ca="1">IFERROR(__xludf.DUMMYFUNCTION("""COMPUTED_VALUE"""),43481.6666666666)</f>
        <v>43481.666666666599</v>
      </c>
      <c r="B1018" s="1">
        <f ca="1">IFERROR(__xludf.DUMMYFUNCTION("""COMPUTED_VALUE"""),3.77)</f>
        <v>3.77</v>
      </c>
      <c r="C1018" s="1">
        <f ca="1">IFERROR(__xludf.DUMMYFUNCTION("""COMPUTED_VALUE"""),3.81)</f>
        <v>3.81</v>
      </c>
      <c r="D1018" s="1">
        <f ca="1">IFERROR(__xludf.DUMMYFUNCTION("""COMPUTED_VALUE"""),3.72)</f>
        <v>3.72</v>
      </c>
      <c r="E1018" s="1">
        <f ca="1">IFERROR(__xludf.DUMMYFUNCTION("""COMPUTED_VALUE"""),3.72)</f>
        <v>3.72</v>
      </c>
      <c r="F1018" s="1">
        <f ca="1">IFERROR(__xludf.DUMMYFUNCTION("""COMPUTED_VALUE"""),11752592)</f>
        <v>11752592</v>
      </c>
    </row>
    <row r="1019" spans="1:6" x14ac:dyDescent="0.35">
      <c r="A1019" s="2">
        <f ca="1">IFERROR(__xludf.DUMMYFUNCTION("""COMPUTED_VALUE"""),43482.6666666666)</f>
        <v>43482.666666666599</v>
      </c>
      <c r="B1019" s="1">
        <f ca="1">IFERROR(__xludf.DUMMYFUNCTION("""COMPUTED_VALUE"""),3.69)</f>
        <v>3.69</v>
      </c>
      <c r="C1019" s="1">
        <f ca="1">IFERROR(__xludf.DUMMYFUNCTION("""COMPUTED_VALUE"""),3.83)</f>
        <v>3.83</v>
      </c>
      <c r="D1019" s="1">
        <f ca="1">IFERROR(__xludf.DUMMYFUNCTION("""COMPUTED_VALUE"""),3.66)</f>
        <v>3.66</v>
      </c>
      <c r="E1019" s="1">
        <f ca="1">IFERROR(__xludf.DUMMYFUNCTION("""COMPUTED_VALUE"""),3.79)</f>
        <v>3.79</v>
      </c>
      <c r="F1019" s="1">
        <f ca="1">IFERROR(__xludf.DUMMYFUNCTION("""COMPUTED_VALUE"""),12335905)</f>
        <v>12335905</v>
      </c>
    </row>
    <row r="1020" spans="1:6" x14ac:dyDescent="0.35">
      <c r="A1020" s="2">
        <f ca="1">IFERROR(__xludf.DUMMYFUNCTION("""COMPUTED_VALUE"""),43483.6666666666)</f>
        <v>43483.666666666599</v>
      </c>
      <c r="B1020" s="1">
        <f ca="1">IFERROR(__xludf.DUMMYFUNCTION("""COMPUTED_VALUE"""),3.84)</f>
        <v>3.84</v>
      </c>
      <c r="C1020" s="1">
        <f ca="1">IFERROR(__xludf.DUMMYFUNCTION("""COMPUTED_VALUE"""),3.95)</f>
        <v>3.95</v>
      </c>
      <c r="D1020" s="1">
        <f ca="1">IFERROR(__xludf.DUMMYFUNCTION("""COMPUTED_VALUE"""),3.79)</f>
        <v>3.79</v>
      </c>
      <c r="E1020" s="1">
        <f ca="1">IFERROR(__xludf.DUMMYFUNCTION("""COMPUTED_VALUE"""),3.92)</f>
        <v>3.92</v>
      </c>
      <c r="F1020" s="1">
        <f ca="1">IFERROR(__xludf.DUMMYFUNCTION("""COMPUTED_VALUE"""),16283423)</f>
        <v>16283423</v>
      </c>
    </row>
    <row r="1021" spans="1:6" x14ac:dyDescent="0.35">
      <c r="A1021" s="2">
        <f ca="1">IFERROR(__xludf.DUMMYFUNCTION("""COMPUTED_VALUE"""),43487.6666666666)</f>
        <v>43487.666666666599</v>
      </c>
      <c r="B1021" s="1">
        <f ca="1">IFERROR(__xludf.DUMMYFUNCTION("""COMPUTED_VALUE"""),3.89)</f>
        <v>3.89</v>
      </c>
      <c r="C1021" s="1">
        <f ca="1">IFERROR(__xludf.DUMMYFUNCTION("""COMPUTED_VALUE"""),3.9)</f>
        <v>3.9</v>
      </c>
      <c r="D1021" s="1">
        <f ca="1">IFERROR(__xludf.DUMMYFUNCTION("""COMPUTED_VALUE"""),3.69)</f>
        <v>3.69</v>
      </c>
      <c r="E1021" s="1">
        <f ca="1">IFERROR(__xludf.DUMMYFUNCTION("""COMPUTED_VALUE"""),3.72)</f>
        <v>3.72</v>
      </c>
      <c r="F1021" s="1">
        <f ca="1">IFERROR(__xludf.DUMMYFUNCTION("""COMPUTED_VALUE"""),16538776)</f>
        <v>16538776</v>
      </c>
    </row>
    <row r="1022" spans="1:6" x14ac:dyDescent="0.35">
      <c r="A1022" s="2">
        <f ca="1">IFERROR(__xludf.DUMMYFUNCTION("""COMPUTED_VALUE"""),43488.6666666666)</f>
        <v>43488.666666666599</v>
      </c>
      <c r="B1022" s="1">
        <f ca="1">IFERROR(__xludf.DUMMYFUNCTION("""COMPUTED_VALUE"""),3.78)</f>
        <v>3.78</v>
      </c>
      <c r="C1022" s="1">
        <f ca="1">IFERROR(__xludf.DUMMYFUNCTION("""COMPUTED_VALUE"""),3.86)</f>
        <v>3.86</v>
      </c>
      <c r="D1022" s="1">
        <f ca="1">IFERROR(__xludf.DUMMYFUNCTION("""COMPUTED_VALUE"""),3.7)</f>
        <v>3.7</v>
      </c>
      <c r="E1022" s="1">
        <f ca="1">IFERROR(__xludf.DUMMYFUNCTION("""COMPUTED_VALUE"""),3.73)</f>
        <v>3.73</v>
      </c>
      <c r="F1022" s="1">
        <f ca="1">IFERROR(__xludf.DUMMYFUNCTION("""COMPUTED_VALUE"""),14775545)</f>
        <v>14775545</v>
      </c>
    </row>
    <row r="1023" spans="1:6" x14ac:dyDescent="0.35">
      <c r="A1023" s="2">
        <f ca="1">IFERROR(__xludf.DUMMYFUNCTION("""COMPUTED_VALUE"""),43489.6666666666)</f>
        <v>43489.666666666599</v>
      </c>
      <c r="B1023" s="1">
        <f ca="1">IFERROR(__xludf.DUMMYFUNCTION("""COMPUTED_VALUE"""),3.82)</f>
        <v>3.82</v>
      </c>
      <c r="C1023" s="1">
        <f ca="1">IFERROR(__xludf.DUMMYFUNCTION("""COMPUTED_VALUE"""),3.96)</f>
        <v>3.96</v>
      </c>
      <c r="D1023" s="1">
        <f ca="1">IFERROR(__xludf.DUMMYFUNCTION("""COMPUTED_VALUE"""),3.81)</f>
        <v>3.81</v>
      </c>
      <c r="E1023" s="1">
        <f ca="1">IFERROR(__xludf.DUMMYFUNCTION("""COMPUTED_VALUE"""),3.95)</f>
        <v>3.95</v>
      </c>
      <c r="F1023" s="1">
        <f ca="1">IFERROR(__xludf.DUMMYFUNCTION("""COMPUTED_VALUE"""),17724261)</f>
        <v>17724261</v>
      </c>
    </row>
    <row r="1024" spans="1:6" x14ac:dyDescent="0.35">
      <c r="A1024" s="2">
        <f ca="1">IFERROR(__xludf.DUMMYFUNCTION("""COMPUTED_VALUE"""),43490.6666666666)</f>
        <v>43490.666666666599</v>
      </c>
      <c r="B1024" s="1">
        <f ca="1">IFERROR(__xludf.DUMMYFUNCTION("""COMPUTED_VALUE"""),3.89)</f>
        <v>3.89</v>
      </c>
      <c r="C1024" s="1">
        <f ca="1">IFERROR(__xludf.DUMMYFUNCTION("""COMPUTED_VALUE"""),4.02)</f>
        <v>4.0199999999999996</v>
      </c>
      <c r="D1024" s="1">
        <f ca="1">IFERROR(__xludf.DUMMYFUNCTION("""COMPUTED_VALUE"""),3.78)</f>
        <v>3.78</v>
      </c>
      <c r="E1024" s="1">
        <f ca="1">IFERROR(__xludf.DUMMYFUNCTION("""COMPUTED_VALUE"""),4)</f>
        <v>4</v>
      </c>
      <c r="F1024" s="1">
        <f ca="1">IFERROR(__xludf.DUMMYFUNCTION("""COMPUTED_VALUE"""),28880547)</f>
        <v>28880547</v>
      </c>
    </row>
    <row r="1025" spans="1:6" x14ac:dyDescent="0.35">
      <c r="A1025" s="2">
        <f ca="1">IFERROR(__xludf.DUMMYFUNCTION("""COMPUTED_VALUE"""),43493.6666666666)</f>
        <v>43493.666666666599</v>
      </c>
      <c r="B1025" s="1">
        <f ca="1">IFERROR(__xludf.DUMMYFUNCTION("""COMPUTED_VALUE"""),3.41)</f>
        <v>3.41</v>
      </c>
      <c r="C1025" s="1">
        <f ca="1">IFERROR(__xludf.DUMMYFUNCTION("""COMPUTED_VALUE"""),3.54)</f>
        <v>3.54</v>
      </c>
      <c r="D1025" s="1">
        <f ca="1">IFERROR(__xludf.DUMMYFUNCTION("""COMPUTED_VALUE"""),3.28)</f>
        <v>3.28</v>
      </c>
      <c r="E1025" s="1">
        <f ca="1">IFERROR(__xludf.DUMMYFUNCTION("""COMPUTED_VALUE"""),3.45)</f>
        <v>3.45</v>
      </c>
      <c r="F1025" s="1">
        <f ca="1">IFERROR(__xludf.DUMMYFUNCTION("""COMPUTED_VALUE"""),62788169)</f>
        <v>62788169</v>
      </c>
    </row>
    <row r="1026" spans="1:6" x14ac:dyDescent="0.35">
      <c r="A1026" s="2">
        <f ca="1">IFERROR(__xludf.DUMMYFUNCTION("""COMPUTED_VALUE"""),43494.6666666666)</f>
        <v>43494.666666666599</v>
      </c>
      <c r="B1026" s="1">
        <f ca="1">IFERROR(__xludf.DUMMYFUNCTION("""COMPUTED_VALUE"""),3.4)</f>
        <v>3.4</v>
      </c>
      <c r="C1026" s="1">
        <f ca="1">IFERROR(__xludf.DUMMYFUNCTION("""COMPUTED_VALUE"""),3.45)</f>
        <v>3.45</v>
      </c>
      <c r="D1026" s="1">
        <f ca="1">IFERROR(__xludf.DUMMYFUNCTION("""COMPUTED_VALUE"""),3.28)</f>
        <v>3.28</v>
      </c>
      <c r="E1026" s="1">
        <f ca="1">IFERROR(__xludf.DUMMYFUNCTION("""COMPUTED_VALUE"""),3.29)</f>
        <v>3.29</v>
      </c>
      <c r="F1026" s="1">
        <f ca="1">IFERROR(__xludf.DUMMYFUNCTION("""COMPUTED_VALUE"""),28848347)</f>
        <v>28848347</v>
      </c>
    </row>
    <row r="1027" spans="1:6" x14ac:dyDescent="0.35">
      <c r="A1027" s="2">
        <f ca="1">IFERROR(__xludf.DUMMYFUNCTION("""COMPUTED_VALUE"""),43495.6666666666)</f>
        <v>43495.666666666599</v>
      </c>
      <c r="B1027" s="1">
        <f ca="1">IFERROR(__xludf.DUMMYFUNCTION("""COMPUTED_VALUE"""),3.37)</f>
        <v>3.37</v>
      </c>
      <c r="C1027" s="1">
        <f ca="1">IFERROR(__xludf.DUMMYFUNCTION("""COMPUTED_VALUE"""),3.45)</f>
        <v>3.45</v>
      </c>
      <c r="D1027" s="1">
        <f ca="1">IFERROR(__xludf.DUMMYFUNCTION("""COMPUTED_VALUE"""),3.29)</f>
        <v>3.29</v>
      </c>
      <c r="E1027" s="1">
        <f ca="1">IFERROR(__xludf.DUMMYFUNCTION("""COMPUTED_VALUE"""),3.43)</f>
        <v>3.43</v>
      </c>
      <c r="F1027" s="1">
        <f ca="1">IFERROR(__xludf.DUMMYFUNCTION("""COMPUTED_VALUE"""),24355739)</f>
        <v>24355739</v>
      </c>
    </row>
    <row r="1028" spans="1:6" x14ac:dyDescent="0.35">
      <c r="A1028" s="2">
        <f ca="1">IFERROR(__xludf.DUMMYFUNCTION("""COMPUTED_VALUE"""),43496.6666666666)</f>
        <v>43496.666666666599</v>
      </c>
      <c r="B1028" s="1">
        <f ca="1">IFERROR(__xludf.DUMMYFUNCTION("""COMPUTED_VALUE"""),3.43)</f>
        <v>3.43</v>
      </c>
      <c r="C1028" s="1">
        <f ca="1">IFERROR(__xludf.DUMMYFUNCTION("""COMPUTED_VALUE"""),3.63)</f>
        <v>3.63</v>
      </c>
      <c r="D1028" s="1">
        <f ca="1">IFERROR(__xludf.DUMMYFUNCTION("""COMPUTED_VALUE"""),3.41)</f>
        <v>3.41</v>
      </c>
      <c r="E1028" s="1">
        <f ca="1">IFERROR(__xludf.DUMMYFUNCTION("""COMPUTED_VALUE"""),3.59)</f>
        <v>3.59</v>
      </c>
      <c r="F1028" s="1">
        <f ca="1">IFERROR(__xludf.DUMMYFUNCTION("""COMPUTED_VALUE"""),21071338)</f>
        <v>21071338</v>
      </c>
    </row>
    <row r="1029" spans="1:6" x14ac:dyDescent="0.35">
      <c r="A1029" s="2">
        <f ca="1">IFERROR(__xludf.DUMMYFUNCTION("""COMPUTED_VALUE"""),43497.6666666666)</f>
        <v>43497.666666666599</v>
      </c>
      <c r="B1029" s="1">
        <f ca="1">IFERROR(__xludf.DUMMYFUNCTION("""COMPUTED_VALUE"""),3.61)</f>
        <v>3.61</v>
      </c>
      <c r="C1029" s="1">
        <f ca="1">IFERROR(__xludf.DUMMYFUNCTION("""COMPUTED_VALUE"""),3.67)</f>
        <v>3.67</v>
      </c>
      <c r="D1029" s="1">
        <f ca="1">IFERROR(__xludf.DUMMYFUNCTION("""COMPUTED_VALUE"""),3.56)</f>
        <v>3.56</v>
      </c>
      <c r="E1029" s="1">
        <f ca="1">IFERROR(__xludf.DUMMYFUNCTION("""COMPUTED_VALUE"""),3.62)</f>
        <v>3.62</v>
      </c>
      <c r="F1029" s="1">
        <f ca="1">IFERROR(__xludf.DUMMYFUNCTION("""COMPUTED_VALUE"""),15626175)</f>
        <v>15626175</v>
      </c>
    </row>
    <row r="1030" spans="1:6" x14ac:dyDescent="0.35">
      <c r="A1030" s="2">
        <f ca="1">IFERROR(__xludf.DUMMYFUNCTION("""COMPUTED_VALUE"""),43500.6666666666)</f>
        <v>43500.666666666599</v>
      </c>
      <c r="B1030" s="1">
        <f ca="1">IFERROR(__xludf.DUMMYFUNCTION("""COMPUTED_VALUE"""),3.63)</f>
        <v>3.63</v>
      </c>
      <c r="C1030" s="1">
        <f ca="1">IFERROR(__xludf.DUMMYFUNCTION("""COMPUTED_VALUE"""),3.77)</f>
        <v>3.77</v>
      </c>
      <c r="D1030" s="1">
        <f ca="1">IFERROR(__xludf.DUMMYFUNCTION("""COMPUTED_VALUE"""),3.61)</f>
        <v>3.61</v>
      </c>
      <c r="E1030" s="1">
        <f ca="1">IFERROR(__xludf.DUMMYFUNCTION("""COMPUTED_VALUE"""),3.73)</f>
        <v>3.73</v>
      </c>
      <c r="F1030" s="1">
        <f ca="1">IFERROR(__xludf.DUMMYFUNCTION("""COMPUTED_VALUE"""),13215018)</f>
        <v>13215018</v>
      </c>
    </row>
    <row r="1031" spans="1:6" x14ac:dyDescent="0.35">
      <c r="A1031" s="2">
        <f ca="1">IFERROR(__xludf.DUMMYFUNCTION("""COMPUTED_VALUE"""),43501.6666666666)</f>
        <v>43501.666666666599</v>
      </c>
      <c r="B1031" s="1">
        <f ca="1">IFERROR(__xludf.DUMMYFUNCTION("""COMPUTED_VALUE"""),3.74)</f>
        <v>3.74</v>
      </c>
      <c r="C1031" s="1">
        <f ca="1">IFERROR(__xludf.DUMMYFUNCTION("""COMPUTED_VALUE"""),3.79)</f>
        <v>3.79</v>
      </c>
      <c r="D1031" s="1">
        <f ca="1">IFERROR(__xludf.DUMMYFUNCTION("""COMPUTED_VALUE"""),3.71)</f>
        <v>3.71</v>
      </c>
      <c r="E1031" s="1">
        <f ca="1">IFERROR(__xludf.DUMMYFUNCTION("""COMPUTED_VALUE"""),3.75)</f>
        <v>3.75</v>
      </c>
      <c r="F1031" s="1">
        <f ca="1">IFERROR(__xludf.DUMMYFUNCTION("""COMPUTED_VALUE"""),13560625)</f>
        <v>13560625</v>
      </c>
    </row>
    <row r="1032" spans="1:6" x14ac:dyDescent="0.35">
      <c r="A1032" s="2">
        <f ca="1">IFERROR(__xludf.DUMMYFUNCTION("""COMPUTED_VALUE"""),43502.6666666666)</f>
        <v>43502.666666666599</v>
      </c>
      <c r="B1032" s="1">
        <f ca="1">IFERROR(__xludf.DUMMYFUNCTION("""COMPUTED_VALUE"""),3.78)</f>
        <v>3.78</v>
      </c>
      <c r="C1032" s="1">
        <f ca="1">IFERROR(__xludf.DUMMYFUNCTION("""COMPUTED_VALUE"""),3.89)</f>
        <v>3.89</v>
      </c>
      <c r="D1032" s="1">
        <f ca="1">IFERROR(__xludf.DUMMYFUNCTION("""COMPUTED_VALUE"""),3.78)</f>
        <v>3.78</v>
      </c>
      <c r="E1032" s="1">
        <f ca="1">IFERROR(__xludf.DUMMYFUNCTION("""COMPUTED_VALUE"""),3.83)</f>
        <v>3.83</v>
      </c>
      <c r="F1032" s="1">
        <f ca="1">IFERROR(__xludf.DUMMYFUNCTION("""COMPUTED_VALUE"""),17561647)</f>
        <v>17561647</v>
      </c>
    </row>
    <row r="1033" spans="1:6" x14ac:dyDescent="0.35">
      <c r="A1033" s="2">
        <f ca="1">IFERROR(__xludf.DUMMYFUNCTION("""COMPUTED_VALUE"""),43503.6666666666)</f>
        <v>43503.666666666599</v>
      </c>
      <c r="B1033" s="1">
        <f ca="1">IFERROR(__xludf.DUMMYFUNCTION("""COMPUTED_VALUE"""),3.78)</f>
        <v>3.78</v>
      </c>
      <c r="C1033" s="1">
        <f ca="1">IFERROR(__xludf.DUMMYFUNCTION("""COMPUTED_VALUE"""),3.78)</f>
        <v>3.78</v>
      </c>
      <c r="D1033" s="1">
        <f ca="1">IFERROR(__xludf.DUMMYFUNCTION("""COMPUTED_VALUE"""),3.64)</f>
        <v>3.64</v>
      </c>
      <c r="E1033" s="1">
        <f ca="1">IFERROR(__xludf.DUMMYFUNCTION("""COMPUTED_VALUE"""),3.69)</f>
        <v>3.69</v>
      </c>
      <c r="F1033" s="1">
        <f ca="1">IFERROR(__xludf.DUMMYFUNCTION("""COMPUTED_VALUE"""),15928000)</f>
        <v>15928000</v>
      </c>
    </row>
    <row r="1034" spans="1:6" x14ac:dyDescent="0.35">
      <c r="A1034" s="2">
        <f ca="1">IFERROR(__xludf.DUMMYFUNCTION("""COMPUTED_VALUE"""),43504.6666666666)</f>
        <v>43504.666666666599</v>
      </c>
      <c r="B1034" s="1">
        <f ca="1">IFERROR(__xludf.DUMMYFUNCTION("""COMPUTED_VALUE"""),3.62)</f>
        <v>3.62</v>
      </c>
      <c r="C1034" s="1">
        <f ca="1">IFERROR(__xludf.DUMMYFUNCTION("""COMPUTED_VALUE"""),3.72)</f>
        <v>3.72</v>
      </c>
      <c r="D1034" s="1">
        <f ca="1">IFERROR(__xludf.DUMMYFUNCTION("""COMPUTED_VALUE"""),3.6)</f>
        <v>3.6</v>
      </c>
      <c r="E1034" s="1">
        <f ca="1">IFERROR(__xludf.DUMMYFUNCTION("""COMPUTED_VALUE"""),3.7)</f>
        <v>3.7</v>
      </c>
      <c r="F1034" s="1">
        <f ca="1">IFERROR(__xludf.DUMMYFUNCTION("""COMPUTED_VALUE"""),11540137)</f>
        <v>11540137</v>
      </c>
    </row>
    <row r="1035" spans="1:6" x14ac:dyDescent="0.35">
      <c r="A1035" s="2">
        <f ca="1">IFERROR(__xludf.DUMMYFUNCTION("""COMPUTED_VALUE"""),43507.6666666666)</f>
        <v>43507.666666666599</v>
      </c>
      <c r="B1035" s="1">
        <f ca="1">IFERROR(__xludf.DUMMYFUNCTION("""COMPUTED_VALUE"""),3.66)</f>
        <v>3.66</v>
      </c>
      <c r="C1035" s="1">
        <f ca="1">IFERROR(__xludf.DUMMYFUNCTION("""COMPUTED_VALUE"""),3.71)</f>
        <v>3.71</v>
      </c>
      <c r="D1035" s="1">
        <f ca="1">IFERROR(__xludf.DUMMYFUNCTION("""COMPUTED_VALUE"""),3.61)</f>
        <v>3.61</v>
      </c>
      <c r="E1035" s="1">
        <f ca="1">IFERROR(__xludf.DUMMYFUNCTION("""COMPUTED_VALUE"""),3.66)</f>
        <v>3.66</v>
      </c>
      <c r="F1035" s="1">
        <f ca="1">IFERROR(__xludf.DUMMYFUNCTION("""COMPUTED_VALUE"""),12379515)</f>
        <v>12379515</v>
      </c>
    </row>
    <row r="1036" spans="1:6" x14ac:dyDescent="0.35">
      <c r="A1036" s="2">
        <f ca="1">IFERROR(__xludf.DUMMYFUNCTION("""COMPUTED_VALUE"""),43508.6666666666)</f>
        <v>43508.666666666599</v>
      </c>
      <c r="B1036" s="1">
        <f ca="1">IFERROR(__xludf.DUMMYFUNCTION("""COMPUTED_VALUE"""),3.7)</f>
        <v>3.7</v>
      </c>
      <c r="C1036" s="1">
        <f ca="1">IFERROR(__xludf.DUMMYFUNCTION("""COMPUTED_VALUE"""),3.8)</f>
        <v>3.8</v>
      </c>
      <c r="D1036" s="1">
        <f ca="1">IFERROR(__xludf.DUMMYFUNCTION("""COMPUTED_VALUE"""),3.69)</f>
        <v>3.69</v>
      </c>
      <c r="E1036" s="1">
        <f ca="1">IFERROR(__xludf.DUMMYFUNCTION("""COMPUTED_VALUE"""),3.78)</f>
        <v>3.78</v>
      </c>
      <c r="F1036" s="1">
        <f ca="1">IFERROR(__xludf.DUMMYFUNCTION("""COMPUTED_VALUE"""),14776513)</f>
        <v>14776513</v>
      </c>
    </row>
    <row r="1037" spans="1:6" x14ac:dyDescent="0.35">
      <c r="A1037" s="2">
        <f ca="1">IFERROR(__xludf.DUMMYFUNCTION("""COMPUTED_VALUE"""),43509.6666666666)</f>
        <v>43509.666666666599</v>
      </c>
      <c r="B1037" s="1">
        <f ca="1">IFERROR(__xludf.DUMMYFUNCTION("""COMPUTED_VALUE"""),3.81)</f>
        <v>3.81</v>
      </c>
      <c r="C1037" s="1">
        <f ca="1">IFERROR(__xludf.DUMMYFUNCTION("""COMPUTED_VALUE"""),3.9)</f>
        <v>3.9</v>
      </c>
      <c r="D1037" s="1">
        <f ca="1">IFERROR(__xludf.DUMMYFUNCTION("""COMPUTED_VALUE"""),3.8)</f>
        <v>3.8</v>
      </c>
      <c r="E1037" s="1">
        <f ca="1">IFERROR(__xludf.DUMMYFUNCTION("""COMPUTED_VALUE"""),3.82)</f>
        <v>3.82</v>
      </c>
      <c r="F1037" s="1">
        <f ca="1">IFERROR(__xludf.DUMMYFUNCTION("""COMPUTED_VALUE"""),15134302)</f>
        <v>15134302</v>
      </c>
    </row>
    <row r="1038" spans="1:6" x14ac:dyDescent="0.35">
      <c r="A1038" s="2">
        <f ca="1">IFERROR(__xludf.DUMMYFUNCTION("""COMPUTED_VALUE"""),43510.6666666666)</f>
        <v>43510.666666666599</v>
      </c>
      <c r="B1038" s="1">
        <f ca="1">IFERROR(__xludf.DUMMYFUNCTION("""COMPUTED_VALUE"""),3.82)</f>
        <v>3.82</v>
      </c>
      <c r="C1038" s="1">
        <f ca="1">IFERROR(__xludf.DUMMYFUNCTION("""COMPUTED_VALUE"""),3.89)</f>
        <v>3.89</v>
      </c>
      <c r="D1038" s="1">
        <f ca="1">IFERROR(__xludf.DUMMYFUNCTION("""COMPUTED_VALUE"""),3.78)</f>
        <v>3.78</v>
      </c>
      <c r="E1038" s="1">
        <f ca="1">IFERROR(__xludf.DUMMYFUNCTION("""COMPUTED_VALUE"""),3.86)</f>
        <v>3.86</v>
      </c>
      <c r="F1038" s="1">
        <f ca="1">IFERROR(__xludf.DUMMYFUNCTION("""COMPUTED_VALUE"""),20681574)</f>
        <v>20681574</v>
      </c>
    </row>
    <row r="1039" spans="1:6" x14ac:dyDescent="0.35">
      <c r="A1039" s="2">
        <f ca="1">IFERROR(__xludf.DUMMYFUNCTION("""COMPUTED_VALUE"""),43511.6666666666)</f>
        <v>43511.666666666599</v>
      </c>
      <c r="B1039" s="1">
        <f ca="1">IFERROR(__xludf.DUMMYFUNCTION("""COMPUTED_VALUE"""),4.07)</f>
        <v>4.07</v>
      </c>
      <c r="C1039" s="1">
        <f ca="1">IFERROR(__xludf.DUMMYFUNCTION("""COMPUTED_VALUE"""),4.1)</f>
        <v>4.0999999999999996</v>
      </c>
      <c r="D1039" s="1">
        <f ca="1">IFERROR(__xludf.DUMMYFUNCTION("""COMPUTED_VALUE"""),3.91)</f>
        <v>3.91</v>
      </c>
      <c r="E1039" s="1">
        <f ca="1">IFERROR(__xludf.DUMMYFUNCTION("""COMPUTED_VALUE"""),3.93)</f>
        <v>3.93</v>
      </c>
      <c r="F1039" s="1">
        <f ca="1">IFERROR(__xludf.DUMMYFUNCTION("""COMPUTED_VALUE"""),37918734)</f>
        <v>37918734</v>
      </c>
    </row>
    <row r="1040" spans="1:6" x14ac:dyDescent="0.35">
      <c r="A1040" s="2">
        <f ca="1">IFERROR(__xludf.DUMMYFUNCTION("""COMPUTED_VALUE"""),43515.6666666666)</f>
        <v>43515.666666666599</v>
      </c>
      <c r="B1040" s="1">
        <f ca="1">IFERROR(__xludf.DUMMYFUNCTION("""COMPUTED_VALUE"""),3.92)</f>
        <v>3.92</v>
      </c>
      <c r="C1040" s="1">
        <f ca="1">IFERROR(__xludf.DUMMYFUNCTION("""COMPUTED_VALUE"""),4)</f>
        <v>4</v>
      </c>
      <c r="D1040" s="1">
        <f ca="1">IFERROR(__xludf.DUMMYFUNCTION("""COMPUTED_VALUE"""),3.9)</f>
        <v>3.9</v>
      </c>
      <c r="E1040" s="1">
        <f ca="1">IFERROR(__xludf.DUMMYFUNCTION("""COMPUTED_VALUE"""),3.92)</f>
        <v>3.92</v>
      </c>
      <c r="F1040" s="1">
        <f ca="1">IFERROR(__xludf.DUMMYFUNCTION("""COMPUTED_VALUE"""),13797316)</f>
        <v>13797316</v>
      </c>
    </row>
    <row r="1041" spans="1:6" x14ac:dyDescent="0.35">
      <c r="A1041" s="2">
        <f ca="1">IFERROR(__xludf.DUMMYFUNCTION("""COMPUTED_VALUE"""),43516.6666666666)</f>
        <v>43516.666666666599</v>
      </c>
      <c r="B1041" s="1">
        <f ca="1">IFERROR(__xludf.DUMMYFUNCTION("""COMPUTED_VALUE"""),3.95)</f>
        <v>3.95</v>
      </c>
      <c r="C1041" s="1">
        <f ca="1">IFERROR(__xludf.DUMMYFUNCTION("""COMPUTED_VALUE"""),4.03)</f>
        <v>4.03</v>
      </c>
      <c r="D1041" s="1">
        <f ca="1">IFERROR(__xludf.DUMMYFUNCTION("""COMPUTED_VALUE"""),3.93)</f>
        <v>3.93</v>
      </c>
      <c r="E1041" s="1">
        <f ca="1">IFERROR(__xludf.DUMMYFUNCTION("""COMPUTED_VALUE"""),3.96)</f>
        <v>3.96</v>
      </c>
      <c r="F1041" s="1">
        <f ca="1">IFERROR(__xludf.DUMMYFUNCTION("""COMPUTED_VALUE"""),13524737)</f>
        <v>13524737</v>
      </c>
    </row>
    <row r="1042" spans="1:6" x14ac:dyDescent="0.35">
      <c r="A1042" s="2">
        <f ca="1">IFERROR(__xludf.DUMMYFUNCTION("""COMPUTED_VALUE"""),43517.6666666666)</f>
        <v>43517.666666666599</v>
      </c>
      <c r="B1042" s="1">
        <f ca="1">IFERROR(__xludf.DUMMYFUNCTION("""COMPUTED_VALUE"""),3.98)</f>
        <v>3.98</v>
      </c>
      <c r="C1042" s="1">
        <f ca="1">IFERROR(__xludf.DUMMYFUNCTION("""COMPUTED_VALUE"""),4)</f>
        <v>4</v>
      </c>
      <c r="D1042" s="1">
        <f ca="1">IFERROR(__xludf.DUMMYFUNCTION("""COMPUTED_VALUE"""),3.88)</f>
        <v>3.88</v>
      </c>
      <c r="E1042" s="1">
        <f ca="1">IFERROR(__xludf.DUMMYFUNCTION("""COMPUTED_VALUE"""),3.89)</f>
        <v>3.89</v>
      </c>
      <c r="F1042" s="1">
        <f ca="1">IFERROR(__xludf.DUMMYFUNCTION("""COMPUTED_VALUE"""),11213668)</f>
        <v>11213668</v>
      </c>
    </row>
    <row r="1043" spans="1:6" x14ac:dyDescent="0.35">
      <c r="A1043" s="2">
        <f ca="1">IFERROR(__xludf.DUMMYFUNCTION("""COMPUTED_VALUE"""),43518.6666666666)</f>
        <v>43518.666666666599</v>
      </c>
      <c r="B1043" s="1">
        <f ca="1">IFERROR(__xludf.DUMMYFUNCTION("""COMPUTED_VALUE"""),3.95)</f>
        <v>3.95</v>
      </c>
      <c r="C1043" s="1">
        <f ca="1">IFERROR(__xludf.DUMMYFUNCTION("""COMPUTED_VALUE"""),4)</f>
        <v>4</v>
      </c>
      <c r="D1043" s="1">
        <f ca="1">IFERROR(__xludf.DUMMYFUNCTION("""COMPUTED_VALUE"""),3.93)</f>
        <v>3.93</v>
      </c>
      <c r="E1043" s="1">
        <f ca="1">IFERROR(__xludf.DUMMYFUNCTION("""COMPUTED_VALUE"""),3.98)</f>
        <v>3.98</v>
      </c>
      <c r="F1043" s="1">
        <f ca="1">IFERROR(__xludf.DUMMYFUNCTION("""COMPUTED_VALUE"""),10043531)</f>
        <v>10043531</v>
      </c>
    </row>
    <row r="1044" spans="1:6" x14ac:dyDescent="0.35">
      <c r="A1044" s="2">
        <f ca="1">IFERROR(__xludf.DUMMYFUNCTION("""COMPUTED_VALUE"""),43521.6666666666)</f>
        <v>43521.666666666599</v>
      </c>
      <c r="B1044" s="1">
        <f ca="1">IFERROR(__xludf.DUMMYFUNCTION("""COMPUTED_VALUE"""),4.06)</f>
        <v>4.0599999999999996</v>
      </c>
      <c r="C1044" s="1">
        <f ca="1">IFERROR(__xludf.DUMMYFUNCTION("""COMPUTED_VALUE"""),4.13)</f>
        <v>4.13</v>
      </c>
      <c r="D1044" s="1">
        <f ca="1">IFERROR(__xludf.DUMMYFUNCTION("""COMPUTED_VALUE"""),3.96)</f>
        <v>3.96</v>
      </c>
      <c r="E1044" s="1">
        <f ca="1">IFERROR(__xludf.DUMMYFUNCTION("""COMPUTED_VALUE"""),3.97)</f>
        <v>3.97</v>
      </c>
      <c r="F1044" s="1">
        <f ca="1">IFERROR(__xludf.DUMMYFUNCTION("""COMPUTED_VALUE"""),16400481)</f>
        <v>16400481</v>
      </c>
    </row>
    <row r="1045" spans="1:6" x14ac:dyDescent="0.35">
      <c r="A1045" s="2">
        <f ca="1">IFERROR(__xludf.DUMMYFUNCTION("""COMPUTED_VALUE"""),43522.6666666666)</f>
        <v>43522.666666666599</v>
      </c>
      <c r="B1045" s="1">
        <f ca="1">IFERROR(__xludf.DUMMYFUNCTION("""COMPUTED_VALUE"""),3.96)</f>
        <v>3.96</v>
      </c>
      <c r="C1045" s="1">
        <f ca="1">IFERROR(__xludf.DUMMYFUNCTION("""COMPUTED_VALUE"""),4.02)</f>
        <v>4.0199999999999996</v>
      </c>
      <c r="D1045" s="1">
        <f ca="1">IFERROR(__xludf.DUMMYFUNCTION("""COMPUTED_VALUE"""),3.89)</f>
        <v>3.89</v>
      </c>
      <c r="E1045" s="1">
        <f ca="1">IFERROR(__xludf.DUMMYFUNCTION("""COMPUTED_VALUE"""),3.93)</f>
        <v>3.93</v>
      </c>
      <c r="F1045" s="1">
        <f ca="1">IFERROR(__xludf.DUMMYFUNCTION("""COMPUTED_VALUE"""),12211571)</f>
        <v>12211571</v>
      </c>
    </row>
    <row r="1046" spans="1:6" x14ac:dyDescent="0.35">
      <c r="A1046" s="2">
        <f ca="1">IFERROR(__xludf.DUMMYFUNCTION("""COMPUTED_VALUE"""),43523.6666666666)</f>
        <v>43523.666666666599</v>
      </c>
      <c r="B1046" s="1">
        <f ca="1">IFERROR(__xludf.DUMMYFUNCTION("""COMPUTED_VALUE"""),3.91)</f>
        <v>3.91</v>
      </c>
      <c r="C1046" s="1">
        <f ca="1">IFERROR(__xludf.DUMMYFUNCTION("""COMPUTED_VALUE"""),3.94)</f>
        <v>3.94</v>
      </c>
      <c r="D1046" s="1">
        <f ca="1">IFERROR(__xludf.DUMMYFUNCTION("""COMPUTED_VALUE"""),3.83)</f>
        <v>3.83</v>
      </c>
      <c r="E1046" s="1">
        <f ca="1">IFERROR(__xludf.DUMMYFUNCTION("""COMPUTED_VALUE"""),3.89)</f>
        <v>3.89</v>
      </c>
      <c r="F1046" s="1">
        <f ca="1">IFERROR(__xludf.DUMMYFUNCTION("""COMPUTED_VALUE"""),12506381)</f>
        <v>12506381</v>
      </c>
    </row>
    <row r="1047" spans="1:6" x14ac:dyDescent="0.35">
      <c r="A1047" s="2">
        <f ca="1">IFERROR(__xludf.DUMMYFUNCTION("""COMPUTED_VALUE"""),43524.6666666666)</f>
        <v>43524.666666666599</v>
      </c>
      <c r="B1047" s="1">
        <f ca="1">IFERROR(__xludf.DUMMYFUNCTION("""COMPUTED_VALUE"""),3.88)</f>
        <v>3.88</v>
      </c>
      <c r="C1047" s="1">
        <f ca="1">IFERROR(__xludf.DUMMYFUNCTION("""COMPUTED_VALUE"""),3.9)</f>
        <v>3.9</v>
      </c>
      <c r="D1047" s="1">
        <f ca="1">IFERROR(__xludf.DUMMYFUNCTION("""COMPUTED_VALUE"""),3.83)</f>
        <v>3.83</v>
      </c>
      <c r="E1047" s="1">
        <f ca="1">IFERROR(__xludf.DUMMYFUNCTION("""COMPUTED_VALUE"""),3.86)</f>
        <v>3.86</v>
      </c>
      <c r="F1047" s="1">
        <f ca="1">IFERROR(__xludf.DUMMYFUNCTION("""COMPUTED_VALUE"""),8123565)</f>
        <v>8123565</v>
      </c>
    </row>
    <row r="1048" spans="1:6" x14ac:dyDescent="0.35">
      <c r="A1048" s="2">
        <f ca="1">IFERROR(__xludf.DUMMYFUNCTION("""COMPUTED_VALUE"""),43525.6666666666)</f>
        <v>43525.666666666599</v>
      </c>
      <c r="B1048" s="1">
        <f ca="1">IFERROR(__xludf.DUMMYFUNCTION("""COMPUTED_VALUE"""),3.91)</f>
        <v>3.91</v>
      </c>
      <c r="C1048" s="1">
        <f ca="1">IFERROR(__xludf.DUMMYFUNCTION("""COMPUTED_VALUE"""),3.95)</f>
        <v>3.95</v>
      </c>
      <c r="D1048" s="1">
        <f ca="1">IFERROR(__xludf.DUMMYFUNCTION("""COMPUTED_VALUE"""),3.85)</f>
        <v>3.85</v>
      </c>
      <c r="E1048" s="1">
        <f ca="1">IFERROR(__xludf.DUMMYFUNCTION("""COMPUTED_VALUE"""),3.91)</f>
        <v>3.91</v>
      </c>
      <c r="F1048" s="1">
        <f ca="1">IFERROR(__xludf.DUMMYFUNCTION("""COMPUTED_VALUE"""),8929678)</f>
        <v>8929678</v>
      </c>
    </row>
    <row r="1049" spans="1:6" x14ac:dyDescent="0.35">
      <c r="A1049" s="2">
        <f ca="1">IFERROR(__xludf.DUMMYFUNCTION("""COMPUTED_VALUE"""),43528.6666666666)</f>
        <v>43528.666666666599</v>
      </c>
      <c r="B1049" s="1">
        <f ca="1">IFERROR(__xludf.DUMMYFUNCTION("""COMPUTED_VALUE"""),3.95)</f>
        <v>3.95</v>
      </c>
      <c r="C1049" s="1">
        <f ca="1">IFERROR(__xludf.DUMMYFUNCTION("""COMPUTED_VALUE"""),3.97)</f>
        <v>3.97</v>
      </c>
      <c r="D1049" s="1">
        <f ca="1">IFERROR(__xludf.DUMMYFUNCTION("""COMPUTED_VALUE"""),3.86)</f>
        <v>3.86</v>
      </c>
      <c r="E1049" s="1">
        <f ca="1">IFERROR(__xludf.DUMMYFUNCTION("""COMPUTED_VALUE"""),3.92)</f>
        <v>3.92</v>
      </c>
      <c r="F1049" s="1">
        <f ca="1">IFERROR(__xludf.DUMMYFUNCTION("""COMPUTED_VALUE"""),10249750)</f>
        <v>10249750</v>
      </c>
    </row>
    <row r="1050" spans="1:6" x14ac:dyDescent="0.35">
      <c r="A1050" s="2">
        <f ca="1">IFERROR(__xludf.DUMMYFUNCTION("""COMPUTED_VALUE"""),43529.6666666666)</f>
        <v>43529.666666666599</v>
      </c>
      <c r="B1050" s="1">
        <f ca="1">IFERROR(__xludf.DUMMYFUNCTION("""COMPUTED_VALUE"""),3.9)</f>
        <v>3.9</v>
      </c>
      <c r="C1050" s="1">
        <f ca="1">IFERROR(__xludf.DUMMYFUNCTION("""COMPUTED_VALUE"""),3.95)</f>
        <v>3.95</v>
      </c>
      <c r="D1050" s="1">
        <f ca="1">IFERROR(__xludf.DUMMYFUNCTION("""COMPUTED_VALUE"""),3.85)</f>
        <v>3.85</v>
      </c>
      <c r="E1050" s="1">
        <f ca="1">IFERROR(__xludf.DUMMYFUNCTION("""COMPUTED_VALUE"""),3.91)</f>
        <v>3.91</v>
      </c>
      <c r="F1050" s="1">
        <f ca="1">IFERROR(__xludf.DUMMYFUNCTION("""COMPUTED_VALUE"""),9073119)</f>
        <v>9073119</v>
      </c>
    </row>
    <row r="1051" spans="1:6" x14ac:dyDescent="0.35">
      <c r="A1051" s="2">
        <f ca="1">IFERROR(__xludf.DUMMYFUNCTION("""COMPUTED_VALUE"""),43530.6666666666)</f>
        <v>43530.666666666599</v>
      </c>
      <c r="B1051" s="1">
        <f ca="1">IFERROR(__xludf.DUMMYFUNCTION("""COMPUTED_VALUE"""),3.9)</f>
        <v>3.9</v>
      </c>
      <c r="C1051" s="1">
        <f ca="1">IFERROR(__xludf.DUMMYFUNCTION("""COMPUTED_VALUE"""),3.91)</f>
        <v>3.91</v>
      </c>
      <c r="D1051" s="1">
        <f ca="1">IFERROR(__xludf.DUMMYFUNCTION("""COMPUTED_VALUE"""),3.8)</f>
        <v>3.8</v>
      </c>
      <c r="E1051" s="1">
        <f ca="1">IFERROR(__xludf.DUMMYFUNCTION("""COMPUTED_VALUE"""),3.8)</f>
        <v>3.8</v>
      </c>
      <c r="F1051" s="1">
        <f ca="1">IFERROR(__xludf.DUMMYFUNCTION("""COMPUTED_VALUE"""),10088149)</f>
        <v>10088149</v>
      </c>
    </row>
    <row r="1052" spans="1:6" x14ac:dyDescent="0.35">
      <c r="A1052" s="2">
        <f ca="1">IFERROR(__xludf.DUMMYFUNCTION("""COMPUTED_VALUE"""),43531.6666666666)</f>
        <v>43531.666666666599</v>
      </c>
      <c r="B1052" s="1">
        <f ca="1">IFERROR(__xludf.DUMMYFUNCTION("""COMPUTED_VALUE"""),3.78)</f>
        <v>3.78</v>
      </c>
      <c r="C1052" s="1">
        <f ca="1">IFERROR(__xludf.DUMMYFUNCTION("""COMPUTED_VALUE"""),3.79)</f>
        <v>3.79</v>
      </c>
      <c r="D1052" s="1">
        <f ca="1">IFERROR(__xludf.DUMMYFUNCTION("""COMPUTED_VALUE"""),3.69)</f>
        <v>3.69</v>
      </c>
      <c r="E1052" s="1">
        <f ca="1">IFERROR(__xludf.DUMMYFUNCTION("""COMPUTED_VALUE"""),3.73)</f>
        <v>3.73</v>
      </c>
      <c r="F1052" s="1">
        <f ca="1">IFERROR(__xludf.DUMMYFUNCTION("""COMPUTED_VALUE"""),11252633)</f>
        <v>11252633</v>
      </c>
    </row>
    <row r="1053" spans="1:6" x14ac:dyDescent="0.35">
      <c r="A1053" s="2">
        <f ca="1">IFERROR(__xludf.DUMMYFUNCTION("""COMPUTED_VALUE"""),43532.6666666666)</f>
        <v>43532.666666666599</v>
      </c>
      <c r="B1053" s="1">
        <f ca="1">IFERROR(__xludf.DUMMYFUNCTION("""COMPUTED_VALUE"""),3.64)</f>
        <v>3.64</v>
      </c>
      <c r="C1053" s="1">
        <f ca="1">IFERROR(__xludf.DUMMYFUNCTION("""COMPUTED_VALUE"""),3.78)</f>
        <v>3.78</v>
      </c>
      <c r="D1053" s="1">
        <f ca="1">IFERROR(__xludf.DUMMYFUNCTION("""COMPUTED_VALUE"""),3.62)</f>
        <v>3.62</v>
      </c>
      <c r="E1053" s="1">
        <f ca="1">IFERROR(__xludf.DUMMYFUNCTION("""COMPUTED_VALUE"""),3.77)</f>
        <v>3.77</v>
      </c>
      <c r="F1053" s="1">
        <f ca="1">IFERROR(__xludf.DUMMYFUNCTION("""COMPUTED_VALUE"""),10560371)</f>
        <v>10560371</v>
      </c>
    </row>
    <row r="1054" spans="1:6" x14ac:dyDescent="0.35">
      <c r="A1054" s="2">
        <f ca="1">IFERROR(__xludf.DUMMYFUNCTION("""COMPUTED_VALUE"""),43535.6666666666)</f>
        <v>43535.666666666599</v>
      </c>
      <c r="B1054" s="1">
        <f ca="1">IFERROR(__xludf.DUMMYFUNCTION("""COMPUTED_VALUE"""),3.79)</f>
        <v>3.79</v>
      </c>
      <c r="C1054" s="1">
        <f ca="1">IFERROR(__xludf.DUMMYFUNCTION("""COMPUTED_VALUE"""),4.05)</f>
        <v>4.05</v>
      </c>
      <c r="D1054" s="1">
        <f ca="1">IFERROR(__xludf.DUMMYFUNCTION("""COMPUTED_VALUE"""),3.74)</f>
        <v>3.74</v>
      </c>
      <c r="E1054" s="1">
        <f ca="1">IFERROR(__xludf.DUMMYFUNCTION("""COMPUTED_VALUE"""),4.03)</f>
        <v>4.03</v>
      </c>
      <c r="F1054" s="1">
        <f ca="1">IFERROR(__xludf.DUMMYFUNCTION("""COMPUTED_VALUE"""),21493150)</f>
        <v>21493150</v>
      </c>
    </row>
    <row r="1055" spans="1:6" x14ac:dyDescent="0.35">
      <c r="A1055" s="2">
        <f ca="1">IFERROR(__xludf.DUMMYFUNCTION("""COMPUTED_VALUE"""),43536.6666666666)</f>
        <v>43536.666666666599</v>
      </c>
      <c r="B1055" s="1">
        <f ca="1">IFERROR(__xludf.DUMMYFUNCTION("""COMPUTED_VALUE"""),4.06)</f>
        <v>4.0599999999999996</v>
      </c>
      <c r="C1055" s="1">
        <f ca="1">IFERROR(__xludf.DUMMYFUNCTION("""COMPUTED_VALUE"""),4.11)</f>
        <v>4.1100000000000003</v>
      </c>
      <c r="D1055" s="1">
        <f ca="1">IFERROR(__xludf.DUMMYFUNCTION("""COMPUTED_VALUE"""),3.98)</f>
        <v>3.98</v>
      </c>
      <c r="E1055" s="1">
        <f ca="1">IFERROR(__xludf.DUMMYFUNCTION("""COMPUTED_VALUE"""),4.06)</f>
        <v>4.0599999999999996</v>
      </c>
      <c r="F1055" s="1">
        <f ca="1">IFERROR(__xludf.DUMMYFUNCTION("""COMPUTED_VALUE"""),14489368)</f>
        <v>14489368</v>
      </c>
    </row>
    <row r="1056" spans="1:6" x14ac:dyDescent="0.35">
      <c r="A1056" s="2">
        <f ca="1">IFERROR(__xludf.DUMMYFUNCTION("""COMPUTED_VALUE"""),43537.6666666666)</f>
        <v>43537.666666666599</v>
      </c>
      <c r="B1056" s="1">
        <f ca="1">IFERROR(__xludf.DUMMYFUNCTION("""COMPUTED_VALUE"""),4.1)</f>
        <v>4.0999999999999996</v>
      </c>
      <c r="C1056" s="1">
        <f ca="1">IFERROR(__xludf.DUMMYFUNCTION("""COMPUTED_VALUE"""),4.25)</f>
        <v>4.25</v>
      </c>
      <c r="D1056" s="1">
        <f ca="1">IFERROR(__xludf.DUMMYFUNCTION("""COMPUTED_VALUE"""),4.09)</f>
        <v>4.09</v>
      </c>
      <c r="E1056" s="1">
        <f ca="1">IFERROR(__xludf.DUMMYFUNCTION("""COMPUTED_VALUE"""),4.22)</f>
        <v>4.22</v>
      </c>
      <c r="F1056" s="1">
        <f ca="1">IFERROR(__xludf.DUMMYFUNCTION("""COMPUTED_VALUE"""),19222518)</f>
        <v>19222518</v>
      </c>
    </row>
    <row r="1057" spans="1:6" x14ac:dyDescent="0.35">
      <c r="A1057" s="2">
        <f ca="1">IFERROR(__xludf.DUMMYFUNCTION("""COMPUTED_VALUE"""),43538.6666666666)</f>
        <v>43538.666666666599</v>
      </c>
      <c r="B1057" s="1">
        <f ca="1">IFERROR(__xludf.DUMMYFUNCTION("""COMPUTED_VALUE"""),4.22)</f>
        <v>4.22</v>
      </c>
      <c r="C1057" s="1">
        <f ca="1">IFERROR(__xludf.DUMMYFUNCTION("""COMPUTED_VALUE"""),4.24)</f>
        <v>4.24</v>
      </c>
      <c r="D1057" s="1">
        <f ca="1">IFERROR(__xludf.DUMMYFUNCTION("""COMPUTED_VALUE"""),4.13)</f>
        <v>4.13</v>
      </c>
      <c r="E1057" s="1">
        <f ca="1">IFERROR(__xludf.DUMMYFUNCTION("""COMPUTED_VALUE"""),4.14)</f>
        <v>4.1399999999999997</v>
      </c>
      <c r="F1057" s="1">
        <f ca="1">IFERROR(__xludf.DUMMYFUNCTION("""COMPUTED_VALUE"""),12984630)</f>
        <v>12984630</v>
      </c>
    </row>
    <row r="1058" spans="1:6" x14ac:dyDescent="0.35">
      <c r="A1058" s="2">
        <f ca="1">IFERROR(__xludf.DUMMYFUNCTION("""COMPUTED_VALUE"""),43539.6666666666)</f>
        <v>43539.666666666599</v>
      </c>
      <c r="B1058" s="1">
        <f ca="1">IFERROR(__xludf.DUMMYFUNCTION("""COMPUTED_VALUE"""),4.18)</f>
        <v>4.18</v>
      </c>
      <c r="C1058" s="1">
        <f ca="1">IFERROR(__xludf.DUMMYFUNCTION("""COMPUTED_VALUE"""),4.29)</f>
        <v>4.29</v>
      </c>
      <c r="D1058" s="1">
        <f ca="1">IFERROR(__xludf.DUMMYFUNCTION("""COMPUTED_VALUE"""),4.18)</f>
        <v>4.18</v>
      </c>
      <c r="E1058" s="1">
        <f ca="1">IFERROR(__xludf.DUMMYFUNCTION("""COMPUTED_VALUE"""),4.25)</f>
        <v>4.25</v>
      </c>
      <c r="F1058" s="1">
        <f ca="1">IFERROR(__xludf.DUMMYFUNCTION("""COMPUTED_VALUE"""),16536482)</f>
        <v>16536482</v>
      </c>
    </row>
    <row r="1059" spans="1:6" x14ac:dyDescent="0.35">
      <c r="A1059" s="2">
        <f ca="1">IFERROR(__xludf.DUMMYFUNCTION("""COMPUTED_VALUE"""),43542.6666666666)</f>
        <v>43542.666666666599</v>
      </c>
      <c r="B1059" s="1">
        <f ca="1">IFERROR(__xludf.DUMMYFUNCTION("""COMPUTED_VALUE"""),4.28)</f>
        <v>4.28</v>
      </c>
      <c r="C1059" s="1">
        <f ca="1">IFERROR(__xludf.DUMMYFUNCTION("""COMPUTED_VALUE"""),4.33)</f>
        <v>4.33</v>
      </c>
      <c r="D1059" s="1">
        <f ca="1">IFERROR(__xludf.DUMMYFUNCTION("""COMPUTED_VALUE"""),4.2)</f>
        <v>4.2</v>
      </c>
      <c r="E1059" s="1">
        <f ca="1">IFERROR(__xludf.DUMMYFUNCTION("""COMPUTED_VALUE"""),4.22)</f>
        <v>4.22</v>
      </c>
      <c r="F1059" s="1">
        <f ca="1">IFERROR(__xludf.DUMMYFUNCTION("""COMPUTED_VALUE"""),12174829)</f>
        <v>12174829</v>
      </c>
    </row>
    <row r="1060" spans="1:6" x14ac:dyDescent="0.35">
      <c r="A1060" s="2">
        <f ca="1">IFERROR(__xludf.DUMMYFUNCTION("""COMPUTED_VALUE"""),43543.6666666666)</f>
        <v>43543.666666666599</v>
      </c>
      <c r="B1060" s="1">
        <f ca="1">IFERROR(__xludf.DUMMYFUNCTION("""COMPUTED_VALUE"""),4.32)</f>
        <v>4.32</v>
      </c>
      <c r="C1060" s="1">
        <f ca="1">IFERROR(__xludf.DUMMYFUNCTION("""COMPUTED_VALUE"""),4.44)</f>
        <v>4.4400000000000004</v>
      </c>
      <c r="D1060" s="1">
        <f ca="1">IFERROR(__xludf.DUMMYFUNCTION("""COMPUTED_VALUE"""),4.3)</f>
        <v>4.3</v>
      </c>
      <c r="E1060" s="1">
        <f ca="1">IFERROR(__xludf.DUMMYFUNCTION("""COMPUTED_VALUE"""),4.39)</f>
        <v>4.3899999999999997</v>
      </c>
      <c r="F1060" s="1">
        <f ca="1">IFERROR(__xludf.DUMMYFUNCTION("""COMPUTED_VALUE"""),21374310)</f>
        <v>21374310</v>
      </c>
    </row>
    <row r="1061" spans="1:6" x14ac:dyDescent="0.35">
      <c r="A1061" s="2">
        <f ca="1">IFERROR(__xludf.DUMMYFUNCTION("""COMPUTED_VALUE"""),43544.6666666666)</f>
        <v>43544.666666666599</v>
      </c>
      <c r="B1061" s="1">
        <f ca="1">IFERROR(__xludf.DUMMYFUNCTION("""COMPUTED_VALUE"""),4.42)</f>
        <v>4.42</v>
      </c>
      <c r="C1061" s="1">
        <f ca="1">IFERROR(__xludf.DUMMYFUNCTION("""COMPUTED_VALUE"""),4.48)</f>
        <v>4.4800000000000004</v>
      </c>
      <c r="D1061" s="1">
        <f ca="1">IFERROR(__xludf.DUMMYFUNCTION("""COMPUTED_VALUE"""),4.33)</f>
        <v>4.33</v>
      </c>
      <c r="E1061" s="1">
        <f ca="1">IFERROR(__xludf.DUMMYFUNCTION("""COMPUTED_VALUE"""),4.36)</f>
        <v>4.3600000000000003</v>
      </c>
      <c r="F1061" s="1">
        <f ca="1">IFERROR(__xludf.DUMMYFUNCTION("""COMPUTED_VALUE"""),17978715)</f>
        <v>17978715</v>
      </c>
    </row>
    <row r="1062" spans="1:6" x14ac:dyDescent="0.35">
      <c r="A1062" s="2">
        <f ca="1">IFERROR(__xludf.DUMMYFUNCTION("""COMPUTED_VALUE"""),43545.6666666666)</f>
        <v>43545.666666666599</v>
      </c>
      <c r="B1062" s="1">
        <f ca="1">IFERROR(__xludf.DUMMYFUNCTION("""COMPUTED_VALUE"""),4.38)</f>
        <v>4.38</v>
      </c>
      <c r="C1062" s="1">
        <f ca="1">IFERROR(__xludf.DUMMYFUNCTION("""COMPUTED_VALUE"""),4.63)</f>
        <v>4.63</v>
      </c>
      <c r="D1062" s="1">
        <f ca="1">IFERROR(__xludf.DUMMYFUNCTION("""COMPUTED_VALUE"""),4.38)</f>
        <v>4.38</v>
      </c>
      <c r="E1062" s="1">
        <f ca="1">IFERROR(__xludf.DUMMYFUNCTION("""COMPUTED_VALUE"""),4.6)</f>
        <v>4.5999999999999996</v>
      </c>
      <c r="F1062" s="1">
        <f ca="1">IFERROR(__xludf.DUMMYFUNCTION("""COMPUTED_VALUE"""),20607767)</f>
        <v>20607767</v>
      </c>
    </row>
    <row r="1063" spans="1:6" x14ac:dyDescent="0.35">
      <c r="A1063" s="2">
        <f ca="1">IFERROR(__xludf.DUMMYFUNCTION("""COMPUTED_VALUE"""),43546.6666666666)</f>
        <v>43546.666666666599</v>
      </c>
      <c r="B1063" s="1">
        <f ca="1">IFERROR(__xludf.DUMMYFUNCTION("""COMPUTED_VALUE"""),4.57)</f>
        <v>4.57</v>
      </c>
      <c r="C1063" s="1">
        <f ca="1">IFERROR(__xludf.DUMMYFUNCTION("""COMPUTED_VALUE"""),4.62)</f>
        <v>4.62</v>
      </c>
      <c r="D1063" s="1">
        <f ca="1">IFERROR(__xludf.DUMMYFUNCTION("""COMPUTED_VALUE"""),4.42)</f>
        <v>4.42</v>
      </c>
      <c r="E1063" s="1">
        <f ca="1">IFERROR(__xludf.DUMMYFUNCTION("""COMPUTED_VALUE"""),4.44)</f>
        <v>4.4400000000000004</v>
      </c>
      <c r="F1063" s="1">
        <f ca="1">IFERROR(__xludf.DUMMYFUNCTION("""COMPUTED_VALUE"""),18691087)</f>
        <v>18691087</v>
      </c>
    </row>
    <row r="1064" spans="1:6" x14ac:dyDescent="0.35">
      <c r="A1064" s="2">
        <f ca="1">IFERROR(__xludf.DUMMYFUNCTION("""COMPUTED_VALUE"""),43549.6666666666)</f>
        <v>43549.666666666599</v>
      </c>
      <c r="B1064" s="1">
        <f ca="1">IFERROR(__xludf.DUMMYFUNCTION("""COMPUTED_VALUE"""),4.4)</f>
        <v>4.4000000000000004</v>
      </c>
      <c r="C1064" s="1">
        <f ca="1">IFERROR(__xludf.DUMMYFUNCTION("""COMPUTED_VALUE"""),4.46)</f>
        <v>4.46</v>
      </c>
      <c r="D1064" s="1">
        <f ca="1">IFERROR(__xludf.DUMMYFUNCTION("""COMPUTED_VALUE"""),4.28)</f>
        <v>4.28</v>
      </c>
      <c r="E1064" s="1">
        <f ca="1">IFERROR(__xludf.DUMMYFUNCTION("""COMPUTED_VALUE"""),4.34)</f>
        <v>4.34</v>
      </c>
      <c r="F1064" s="1">
        <f ca="1">IFERROR(__xludf.DUMMYFUNCTION("""COMPUTED_VALUE"""),13130301)</f>
        <v>13130301</v>
      </c>
    </row>
    <row r="1065" spans="1:6" x14ac:dyDescent="0.35">
      <c r="A1065" s="2">
        <f ca="1">IFERROR(__xludf.DUMMYFUNCTION("""COMPUTED_VALUE"""),43550.6666666666)</f>
        <v>43550.666666666599</v>
      </c>
      <c r="B1065" s="1">
        <f ca="1">IFERROR(__xludf.DUMMYFUNCTION("""COMPUTED_VALUE"""),4.49)</f>
        <v>4.49</v>
      </c>
      <c r="C1065" s="1">
        <f ca="1">IFERROR(__xludf.DUMMYFUNCTION("""COMPUTED_VALUE"""),4.54)</f>
        <v>4.54</v>
      </c>
      <c r="D1065" s="1">
        <f ca="1">IFERROR(__xludf.DUMMYFUNCTION("""COMPUTED_VALUE"""),4.36)</f>
        <v>4.3600000000000003</v>
      </c>
      <c r="E1065" s="1">
        <f ca="1">IFERROR(__xludf.DUMMYFUNCTION("""COMPUTED_VALUE"""),4.42)</f>
        <v>4.42</v>
      </c>
      <c r="F1065" s="1">
        <f ca="1">IFERROR(__xludf.DUMMYFUNCTION("""COMPUTED_VALUE"""),17587678)</f>
        <v>17587678</v>
      </c>
    </row>
    <row r="1066" spans="1:6" x14ac:dyDescent="0.35">
      <c r="A1066" s="2">
        <f ca="1">IFERROR(__xludf.DUMMYFUNCTION("""COMPUTED_VALUE"""),43551.6666666666)</f>
        <v>43551.666666666599</v>
      </c>
      <c r="B1066" s="1">
        <f ca="1">IFERROR(__xludf.DUMMYFUNCTION("""COMPUTED_VALUE"""),4.45)</f>
        <v>4.45</v>
      </c>
      <c r="C1066" s="1">
        <f ca="1">IFERROR(__xludf.DUMMYFUNCTION("""COMPUTED_VALUE"""),4.49)</f>
        <v>4.49</v>
      </c>
      <c r="D1066" s="1">
        <f ca="1">IFERROR(__xludf.DUMMYFUNCTION("""COMPUTED_VALUE"""),4.34)</f>
        <v>4.34</v>
      </c>
      <c r="E1066" s="1">
        <f ca="1">IFERROR(__xludf.DUMMYFUNCTION("""COMPUTED_VALUE"""),4.41)</f>
        <v>4.41</v>
      </c>
      <c r="F1066" s="1">
        <f ca="1">IFERROR(__xludf.DUMMYFUNCTION("""COMPUTED_VALUE"""),11859294)</f>
        <v>11859294</v>
      </c>
    </row>
    <row r="1067" spans="1:6" x14ac:dyDescent="0.35">
      <c r="A1067" s="2">
        <f ca="1">IFERROR(__xludf.DUMMYFUNCTION("""COMPUTED_VALUE"""),43552.6666666666)</f>
        <v>43552.666666666599</v>
      </c>
      <c r="B1067" s="1">
        <f ca="1">IFERROR(__xludf.DUMMYFUNCTION("""COMPUTED_VALUE"""),4.44)</f>
        <v>4.4400000000000004</v>
      </c>
      <c r="C1067" s="1">
        <f ca="1">IFERROR(__xludf.DUMMYFUNCTION("""COMPUTED_VALUE"""),4.5)</f>
        <v>4.5</v>
      </c>
      <c r="D1067" s="1">
        <f ca="1">IFERROR(__xludf.DUMMYFUNCTION("""COMPUTED_VALUE"""),4.38)</f>
        <v>4.38</v>
      </c>
      <c r="E1067" s="1">
        <f ca="1">IFERROR(__xludf.DUMMYFUNCTION("""COMPUTED_VALUE"""),4.43)</f>
        <v>4.43</v>
      </c>
      <c r="F1067" s="1">
        <f ca="1">IFERROR(__xludf.DUMMYFUNCTION("""COMPUTED_VALUE"""),12006602)</f>
        <v>12006602</v>
      </c>
    </row>
    <row r="1068" spans="1:6" x14ac:dyDescent="0.35">
      <c r="A1068" s="2">
        <f ca="1">IFERROR(__xludf.DUMMYFUNCTION("""COMPUTED_VALUE"""),43553.6666666666)</f>
        <v>43553.666666666599</v>
      </c>
      <c r="B1068" s="1">
        <f ca="1">IFERROR(__xludf.DUMMYFUNCTION("""COMPUTED_VALUE"""),4.5)</f>
        <v>4.5</v>
      </c>
      <c r="C1068" s="1">
        <f ca="1">IFERROR(__xludf.DUMMYFUNCTION("""COMPUTED_VALUE"""),4.51)</f>
        <v>4.51</v>
      </c>
      <c r="D1068" s="1">
        <f ca="1">IFERROR(__xludf.DUMMYFUNCTION("""COMPUTED_VALUE"""),4.45)</f>
        <v>4.45</v>
      </c>
      <c r="E1068" s="1">
        <f ca="1">IFERROR(__xludf.DUMMYFUNCTION("""COMPUTED_VALUE"""),4.49)</f>
        <v>4.49</v>
      </c>
      <c r="F1068" s="1">
        <f ca="1">IFERROR(__xludf.DUMMYFUNCTION("""COMPUTED_VALUE"""),11422379)</f>
        <v>11422379</v>
      </c>
    </row>
    <row r="1069" spans="1:6" x14ac:dyDescent="0.35">
      <c r="A1069" s="2">
        <f ca="1">IFERROR(__xludf.DUMMYFUNCTION("""COMPUTED_VALUE"""),43556.6666666666)</f>
        <v>43556.666666666599</v>
      </c>
      <c r="B1069" s="1">
        <f ca="1">IFERROR(__xludf.DUMMYFUNCTION("""COMPUTED_VALUE"""),4.58)</f>
        <v>4.58</v>
      </c>
      <c r="C1069" s="1">
        <f ca="1">IFERROR(__xludf.DUMMYFUNCTION("""COMPUTED_VALUE"""),4.59)</f>
        <v>4.59</v>
      </c>
      <c r="D1069" s="1">
        <f ca="1">IFERROR(__xludf.DUMMYFUNCTION("""COMPUTED_VALUE"""),4.51)</f>
        <v>4.51</v>
      </c>
      <c r="E1069" s="1">
        <f ca="1">IFERROR(__xludf.DUMMYFUNCTION("""COMPUTED_VALUE"""),4.56)</f>
        <v>4.5599999999999996</v>
      </c>
      <c r="F1069" s="1">
        <f ca="1">IFERROR(__xludf.DUMMYFUNCTION("""COMPUTED_VALUE"""),12095612)</f>
        <v>12095612</v>
      </c>
    </row>
    <row r="1070" spans="1:6" x14ac:dyDescent="0.35">
      <c r="A1070" s="2">
        <f ca="1">IFERROR(__xludf.DUMMYFUNCTION("""COMPUTED_VALUE"""),43557.6666666666)</f>
        <v>43557.666666666599</v>
      </c>
      <c r="B1070" s="1">
        <f ca="1">IFERROR(__xludf.DUMMYFUNCTION("""COMPUTED_VALUE"""),4.58)</f>
        <v>4.58</v>
      </c>
      <c r="C1070" s="1">
        <f ca="1">IFERROR(__xludf.DUMMYFUNCTION("""COMPUTED_VALUE"""),4.62)</f>
        <v>4.62</v>
      </c>
      <c r="D1070" s="1">
        <f ca="1">IFERROR(__xludf.DUMMYFUNCTION("""COMPUTED_VALUE"""),4.54)</f>
        <v>4.54</v>
      </c>
      <c r="E1070" s="1">
        <f ca="1">IFERROR(__xludf.DUMMYFUNCTION("""COMPUTED_VALUE"""),4.58)</f>
        <v>4.58</v>
      </c>
      <c r="F1070" s="1">
        <f ca="1">IFERROR(__xludf.DUMMYFUNCTION("""COMPUTED_VALUE"""),11022996)</f>
        <v>11022996</v>
      </c>
    </row>
    <row r="1071" spans="1:6" x14ac:dyDescent="0.35">
      <c r="A1071" s="2">
        <f ca="1">IFERROR(__xludf.DUMMYFUNCTION("""COMPUTED_VALUE"""),43558.6666666666)</f>
        <v>43558.666666666599</v>
      </c>
      <c r="B1071" s="1">
        <f ca="1">IFERROR(__xludf.DUMMYFUNCTION("""COMPUTED_VALUE"""),4.63)</f>
        <v>4.63</v>
      </c>
      <c r="C1071" s="1">
        <f ca="1">IFERROR(__xludf.DUMMYFUNCTION("""COMPUTED_VALUE"""),4.78)</f>
        <v>4.78</v>
      </c>
      <c r="D1071" s="1">
        <f ca="1">IFERROR(__xludf.DUMMYFUNCTION("""COMPUTED_VALUE"""),4.62)</f>
        <v>4.62</v>
      </c>
      <c r="E1071" s="1">
        <f ca="1">IFERROR(__xludf.DUMMYFUNCTION("""COMPUTED_VALUE"""),4.72)</f>
        <v>4.72</v>
      </c>
      <c r="F1071" s="1">
        <f ca="1">IFERROR(__xludf.DUMMYFUNCTION("""COMPUTED_VALUE"""),19719468)</f>
        <v>19719468</v>
      </c>
    </row>
    <row r="1072" spans="1:6" x14ac:dyDescent="0.35">
      <c r="A1072" s="2">
        <f ca="1">IFERROR(__xludf.DUMMYFUNCTION("""COMPUTED_VALUE"""),43559.6666666666)</f>
        <v>43559.666666666599</v>
      </c>
      <c r="B1072" s="1">
        <f ca="1">IFERROR(__xludf.DUMMYFUNCTION("""COMPUTED_VALUE"""),4.7)</f>
        <v>4.7</v>
      </c>
      <c r="C1072" s="1">
        <f ca="1">IFERROR(__xludf.DUMMYFUNCTION("""COMPUTED_VALUE"""),4.75)</f>
        <v>4.75</v>
      </c>
      <c r="D1072" s="1">
        <f ca="1">IFERROR(__xludf.DUMMYFUNCTION("""COMPUTED_VALUE"""),4.64)</f>
        <v>4.6399999999999997</v>
      </c>
      <c r="E1072" s="1">
        <f ca="1">IFERROR(__xludf.DUMMYFUNCTION("""COMPUTED_VALUE"""),4.71)</f>
        <v>4.71</v>
      </c>
      <c r="F1072" s="1">
        <f ca="1">IFERROR(__xludf.DUMMYFUNCTION("""COMPUTED_VALUE"""),11434419)</f>
        <v>11434419</v>
      </c>
    </row>
    <row r="1073" spans="1:6" x14ac:dyDescent="0.35">
      <c r="A1073" s="2">
        <f ca="1">IFERROR(__xludf.DUMMYFUNCTION("""COMPUTED_VALUE"""),43560.6666666666)</f>
        <v>43560.666666666599</v>
      </c>
      <c r="B1073" s="1">
        <f ca="1">IFERROR(__xludf.DUMMYFUNCTION("""COMPUTED_VALUE"""),4.75)</f>
        <v>4.75</v>
      </c>
      <c r="C1073" s="1">
        <f ca="1">IFERROR(__xludf.DUMMYFUNCTION("""COMPUTED_VALUE"""),4.79)</f>
        <v>4.79</v>
      </c>
      <c r="D1073" s="1">
        <f ca="1">IFERROR(__xludf.DUMMYFUNCTION("""COMPUTED_VALUE"""),4.71)</f>
        <v>4.71</v>
      </c>
      <c r="E1073" s="1">
        <f ca="1">IFERROR(__xludf.DUMMYFUNCTION("""COMPUTED_VALUE"""),4.77)</f>
        <v>4.7699999999999996</v>
      </c>
      <c r="F1073" s="1">
        <f ca="1">IFERROR(__xludf.DUMMYFUNCTION("""COMPUTED_VALUE"""),12043649)</f>
        <v>12043649</v>
      </c>
    </row>
    <row r="1074" spans="1:6" x14ac:dyDescent="0.35">
      <c r="A1074" s="2">
        <f ca="1">IFERROR(__xludf.DUMMYFUNCTION("""COMPUTED_VALUE"""),43563.6666666666)</f>
        <v>43563.666666666599</v>
      </c>
      <c r="B1074" s="1">
        <f ca="1">IFERROR(__xludf.DUMMYFUNCTION("""COMPUTED_VALUE"""),4.74)</f>
        <v>4.74</v>
      </c>
      <c r="C1074" s="1">
        <f ca="1">IFERROR(__xludf.DUMMYFUNCTION("""COMPUTED_VALUE"""),4.82)</f>
        <v>4.82</v>
      </c>
      <c r="D1074" s="1">
        <f ca="1">IFERROR(__xludf.DUMMYFUNCTION("""COMPUTED_VALUE"""),4.72)</f>
        <v>4.72</v>
      </c>
      <c r="E1074" s="1">
        <f ca="1">IFERROR(__xludf.DUMMYFUNCTION("""COMPUTED_VALUE"""),4.79)</f>
        <v>4.79</v>
      </c>
      <c r="F1074" s="1">
        <f ca="1">IFERROR(__xludf.DUMMYFUNCTION("""COMPUTED_VALUE"""),10604848)</f>
        <v>10604848</v>
      </c>
    </row>
    <row r="1075" spans="1:6" x14ac:dyDescent="0.35">
      <c r="A1075" s="2">
        <f ca="1">IFERROR(__xludf.DUMMYFUNCTION("""COMPUTED_VALUE"""),43564.6666666666)</f>
        <v>43564.666666666599</v>
      </c>
      <c r="B1075" s="1">
        <f ca="1">IFERROR(__xludf.DUMMYFUNCTION("""COMPUTED_VALUE"""),4.76)</f>
        <v>4.76</v>
      </c>
      <c r="C1075" s="1">
        <f ca="1">IFERROR(__xludf.DUMMYFUNCTION("""COMPUTED_VALUE"""),4.77)</f>
        <v>4.7699999999999996</v>
      </c>
      <c r="D1075" s="1">
        <f ca="1">IFERROR(__xludf.DUMMYFUNCTION("""COMPUTED_VALUE"""),4.69)</f>
        <v>4.6900000000000004</v>
      </c>
      <c r="E1075" s="1">
        <f ca="1">IFERROR(__xludf.DUMMYFUNCTION("""COMPUTED_VALUE"""),4.73)</f>
        <v>4.7300000000000004</v>
      </c>
      <c r="F1075" s="1">
        <f ca="1">IFERROR(__xludf.DUMMYFUNCTION("""COMPUTED_VALUE"""),10999320)</f>
        <v>10999320</v>
      </c>
    </row>
    <row r="1076" spans="1:6" x14ac:dyDescent="0.35">
      <c r="A1076" s="2">
        <f ca="1">IFERROR(__xludf.DUMMYFUNCTION("""COMPUTED_VALUE"""),43565.6666666666)</f>
        <v>43565.666666666599</v>
      </c>
      <c r="B1076" s="1">
        <f ca="1">IFERROR(__xludf.DUMMYFUNCTION("""COMPUTED_VALUE"""),4.73)</f>
        <v>4.7300000000000004</v>
      </c>
      <c r="C1076" s="1">
        <f ca="1">IFERROR(__xludf.DUMMYFUNCTION("""COMPUTED_VALUE"""),4.83)</f>
        <v>4.83</v>
      </c>
      <c r="D1076" s="1">
        <f ca="1">IFERROR(__xludf.DUMMYFUNCTION("""COMPUTED_VALUE"""),4.73)</f>
        <v>4.7300000000000004</v>
      </c>
      <c r="E1076" s="1">
        <f ca="1">IFERROR(__xludf.DUMMYFUNCTION("""COMPUTED_VALUE"""),4.8)</f>
        <v>4.8</v>
      </c>
      <c r="F1076" s="1">
        <f ca="1">IFERROR(__xludf.DUMMYFUNCTION("""COMPUTED_VALUE"""),11119307)</f>
        <v>11119307</v>
      </c>
    </row>
    <row r="1077" spans="1:6" x14ac:dyDescent="0.35">
      <c r="A1077" s="2">
        <f ca="1">IFERROR(__xludf.DUMMYFUNCTION("""COMPUTED_VALUE"""),43566.6666666666)</f>
        <v>43566.666666666599</v>
      </c>
      <c r="B1077" s="1">
        <f ca="1">IFERROR(__xludf.DUMMYFUNCTION("""COMPUTED_VALUE"""),4.81)</f>
        <v>4.8099999999999996</v>
      </c>
      <c r="C1077" s="1">
        <f ca="1">IFERROR(__xludf.DUMMYFUNCTION("""COMPUTED_VALUE"""),4.84)</f>
        <v>4.84</v>
      </c>
      <c r="D1077" s="1">
        <f ca="1">IFERROR(__xludf.DUMMYFUNCTION("""COMPUTED_VALUE"""),4.74)</f>
        <v>4.74</v>
      </c>
      <c r="E1077" s="1">
        <f ca="1">IFERROR(__xludf.DUMMYFUNCTION("""COMPUTED_VALUE"""),4.79)</f>
        <v>4.79</v>
      </c>
      <c r="F1077" s="1">
        <f ca="1">IFERROR(__xludf.DUMMYFUNCTION("""COMPUTED_VALUE"""),9365037)</f>
        <v>9365037</v>
      </c>
    </row>
    <row r="1078" spans="1:6" x14ac:dyDescent="0.35">
      <c r="A1078" s="2">
        <f ca="1">IFERROR(__xludf.DUMMYFUNCTION("""COMPUTED_VALUE"""),43567.6666666666)</f>
        <v>43567.666666666599</v>
      </c>
      <c r="B1078" s="1">
        <f ca="1">IFERROR(__xludf.DUMMYFUNCTION("""COMPUTED_VALUE"""),4.83)</f>
        <v>4.83</v>
      </c>
      <c r="C1078" s="1">
        <f ca="1">IFERROR(__xludf.DUMMYFUNCTION("""COMPUTED_VALUE"""),4.83)</f>
        <v>4.83</v>
      </c>
      <c r="D1078" s="1">
        <f ca="1">IFERROR(__xludf.DUMMYFUNCTION("""COMPUTED_VALUE"""),4.74)</f>
        <v>4.74</v>
      </c>
      <c r="E1078" s="1">
        <f ca="1">IFERROR(__xludf.DUMMYFUNCTION("""COMPUTED_VALUE"""),4.75)</f>
        <v>4.75</v>
      </c>
      <c r="F1078" s="1">
        <f ca="1">IFERROR(__xludf.DUMMYFUNCTION("""COMPUTED_VALUE"""),11792664)</f>
        <v>11792664</v>
      </c>
    </row>
    <row r="1079" spans="1:6" x14ac:dyDescent="0.35">
      <c r="A1079" s="2">
        <f ca="1">IFERROR(__xludf.DUMMYFUNCTION("""COMPUTED_VALUE"""),43570.6666666666)</f>
        <v>43570.666666666599</v>
      </c>
      <c r="B1079" s="1">
        <f ca="1">IFERROR(__xludf.DUMMYFUNCTION("""COMPUTED_VALUE"""),4.74)</f>
        <v>4.74</v>
      </c>
      <c r="C1079" s="1">
        <f ca="1">IFERROR(__xludf.DUMMYFUNCTION("""COMPUTED_VALUE"""),4.75)</f>
        <v>4.75</v>
      </c>
      <c r="D1079" s="1">
        <f ca="1">IFERROR(__xludf.DUMMYFUNCTION("""COMPUTED_VALUE"""),4.58)</f>
        <v>4.58</v>
      </c>
      <c r="E1079" s="1">
        <f ca="1">IFERROR(__xludf.DUMMYFUNCTION("""COMPUTED_VALUE"""),4.62)</f>
        <v>4.62</v>
      </c>
      <c r="F1079" s="1">
        <f ca="1">IFERROR(__xludf.DUMMYFUNCTION("""COMPUTED_VALUE"""),11002345)</f>
        <v>11002345</v>
      </c>
    </row>
    <row r="1080" spans="1:6" x14ac:dyDescent="0.35">
      <c r="A1080" s="2">
        <f ca="1">IFERROR(__xludf.DUMMYFUNCTION("""COMPUTED_VALUE"""),43571.6666666666)</f>
        <v>43571.666666666599</v>
      </c>
      <c r="B1080" s="1">
        <f ca="1">IFERROR(__xludf.DUMMYFUNCTION("""COMPUTED_VALUE"""),4.66)</f>
        <v>4.66</v>
      </c>
      <c r="C1080" s="1">
        <f ca="1">IFERROR(__xludf.DUMMYFUNCTION("""COMPUTED_VALUE"""),4.72)</f>
        <v>4.72</v>
      </c>
      <c r="D1080" s="1">
        <f ca="1">IFERROR(__xludf.DUMMYFUNCTION("""COMPUTED_VALUE"""),4.62)</f>
        <v>4.62</v>
      </c>
      <c r="E1080" s="1">
        <f ca="1">IFERROR(__xludf.DUMMYFUNCTION("""COMPUTED_VALUE"""),4.71)</f>
        <v>4.71</v>
      </c>
      <c r="F1080" s="1">
        <f ca="1">IFERROR(__xludf.DUMMYFUNCTION("""COMPUTED_VALUE"""),9874091)</f>
        <v>9874091</v>
      </c>
    </row>
    <row r="1081" spans="1:6" x14ac:dyDescent="0.35">
      <c r="A1081" s="2">
        <f ca="1">IFERROR(__xludf.DUMMYFUNCTION("""COMPUTED_VALUE"""),43572.6666666666)</f>
        <v>43572.666666666599</v>
      </c>
      <c r="B1081" s="1">
        <f ca="1">IFERROR(__xludf.DUMMYFUNCTION("""COMPUTED_VALUE"""),4.74)</f>
        <v>4.74</v>
      </c>
      <c r="C1081" s="1">
        <f ca="1">IFERROR(__xludf.DUMMYFUNCTION("""COMPUTED_VALUE"""),4.76)</f>
        <v>4.76</v>
      </c>
      <c r="D1081" s="1">
        <f ca="1">IFERROR(__xludf.DUMMYFUNCTION("""COMPUTED_VALUE"""),4.66)</f>
        <v>4.66</v>
      </c>
      <c r="E1081" s="1">
        <f ca="1">IFERROR(__xludf.DUMMYFUNCTION("""COMPUTED_VALUE"""),4.68)</f>
        <v>4.68</v>
      </c>
      <c r="F1081" s="1">
        <f ca="1">IFERROR(__xludf.DUMMYFUNCTION("""COMPUTED_VALUE"""),8775068)</f>
        <v>8775068</v>
      </c>
    </row>
    <row r="1082" spans="1:6" x14ac:dyDescent="0.35">
      <c r="A1082" s="2">
        <f ca="1">IFERROR(__xludf.DUMMYFUNCTION("""COMPUTED_VALUE"""),43573.6666666666)</f>
        <v>43573.666666666599</v>
      </c>
      <c r="B1082" s="1">
        <f ca="1">IFERROR(__xludf.DUMMYFUNCTION("""COMPUTED_VALUE"""),4.69)</f>
        <v>4.6900000000000004</v>
      </c>
      <c r="C1082" s="1">
        <f ca="1">IFERROR(__xludf.DUMMYFUNCTION("""COMPUTED_VALUE"""),4.72)</f>
        <v>4.72</v>
      </c>
      <c r="D1082" s="1">
        <f ca="1">IFERROR(__xludf.DUMMYFUNCTION("""COMPUTED_VALUE"""),4.63)</f>
        <v>4.63</v>
      </c>
      <c r="E1082" s="1">
        <f ca="1">IFERROR(__xludf.DUMMYFUNCTION("""COMPUTED_VALUE"""),4.66)</f>
        <v>4.66</v>
      </c>
      <c r="F1082" s="1">
        <f ca="1">IFERROR(__xludf.DUMMYFUNCTION("""COMPUTED_VALUE"""),9524704)</f>
        <v>9524704</v>
      </c>
    </row>
    <row r="1083" spans="1:6" x14ac:dyDescent="0.35">
      <c r="A1083" s="2">
        <f ca="1">IFERROR(__xludf.DUMMYFUNCTION("""COMPUTED_VALUE"""),43577.6666666666)</f>
        <v>43577.666666666599</v>
      </c>
      <c r="B1083" s="1">
        <f ca="1">IFERROR(__xludf.DUMMYFUNCTION("""COMPUTED_VALUE"""),4.63)</f>
        <v>4.63</v>
      </c>
      <c r="C1083" s="1">
        <f ca="1">IFERROR(__xludf.DUMMYFUNCTION("""COMPUTED_VALUE"""),4.73)</f>
        <v>4.7300000000000004</v>
      </c>
      <c r="D1083" s="1">
        <f ca="1">IFERROR(__xludf.DUMMYFUNCTION("""COMPUTED_VALUE"""),4.6)</f>
        <v>4.5999999999999996</v>
      </c>
      <c r="E1083" s="1">
        <f ca="1">IFERROR(__xludf.DUMMYFUNCTION("""COMPUTED_VALUE"""),4.71)</f>
        <v>4.71</v>
      </c>
      <c r="F1083" s="1">
        <f ca="1">IFERROR(__xludf.DUMMYFUNCTION("""COMPUTED_VALUE"""),6998388)</f>
        <v>6998388</v>
      </c>
    </row>
    <row r="1084" spans="1:6" x14ac:dyDescent="0.35">
      <c r="A1084" s="2">
        <f ca="1">IFERROR(__xludf.DUMMYFUNCTION("""COMPUTED_VALUE"""),43578.6666666666)</f>
        <v>43578.666666666599</v>
      </c>
      <c r="B1084" s="1">
        <f ca="1">IFERROR(__xludf.DUMMYFUNCTION("""COMPUTED_VALUE"""),4.72)</f>
        <v>4.72</v>
      </c>
      <c r="C1084" s="1">
        <f ca="1">IFERROR(__xludf.DUMMYFUNCTION("""COMPUTED_VALUE"""),4.8)</f>
        <v>4.8</v>
      </c>
      <c r="D1084" s="1">
        <f ca="1">IFERROR(__xludf.DUMMYFUNCTION("""COMPUTED_VALUE"""),4.72)</f>
        <v>4.72</v>
      </c>
      <c r="E1084" s="1">
        <f ca="1">IFERROR(__xludf.DUMMYFUNCTION("""COMPUTED_VALUE"""),4.77)</f>
        <v>4.7699999999999996</v>
      </c>
      <c r="F1084" s="1">
        <f ca="1">IFERROR(__xludf.DUMMYFUNCTION("""COMPUTED_VALUE"""),8671381)</f>
        <v>8671381</v>
      </c>
    </row>
    <row r="1085" spans="1:6" x14ac:dyDescent="0.35">
      <c r="A1085" s="2">
        <f ca="1">IFERROR(__xludf.DUMMYFUNCTION("""COMPUTED_VALUE"""),43579.6666666666)</f>
        <v>43579.666666666599</v>
      </c>
      <c r="B1085" s="1">
        <f ca="1">IFERROR(__xludf.DUMMYFUNCTION("""COMPUTED_VALUE"""),4.78)</f>
        <v>4.78</v>
      </c>
      <c r="C1085" s="1">
        <f ca="1">IFERROR(__xludf.DUMMYFUNCTION("""COMPUTED_VALUE"""),4.82)</f>
        <v>4.82</v>
      </c>
      <c r="D1085" s="1">
        <f ca="1">IFERROR(__xludf.DUMMYFUNCTION("""COMPUTED_VALUE"""),4.72)</f>
        <v>4.72</v>
      </c>
      <c r="E1085" s="1">
        <f ca="1">IFERROR(__xludf.DUMMYFUNCTION("""COMPUTED_VALUE"""),4.78)</f>
        <v>4.78</v>
      </c>
      <c r="F1085" s="1">
        <f ca="1">IFERROR(__xludf.DUMMYFUNCTION("""COMPUTED_VALUE"""),7955120)</f>
        <v>7955120</v>
      </c>
    </row>
    <row r="1086" spans="1:6" x14ac:dyDescent="0.35">
      <c r="A1086" s="2">
        <f ca="1">IFERROR(__xludf.DUMMYFUNCTION("""COMPUTED_VALUE"""),43580.6666666666)</f>
        <v>43580.666666666599</v>
      </c>
      <c r="B1086" s="1">
        <f ca="1">IFERROR(__xludf.DUMMYFUNCTION("""COMPUTED_VALUE"""),4.74)</f>
        <v>4.74</v>
      </c>
      <c r="C1086" s="1">
        <f ca="1">IFERROR(__xludf.DUMMYFUNCTION("""COMPUTED_VALUE"""),4.76)</f>
        <v>4.76</v>
      </c>
      <c r="D1086" s="1">
        <f ca="1">IFERROR(__xludf.DUMMYFUNCTION("""COMPUTED_VALUE"""),4.59)</f>
        <v>4.59</v>
      </c>
      <c r="E1086" s="1">
        <f ca="1">IFERROR(__xludf.DUMMYFUNCTION("""COMPUTED_VALUE"""),4.67)</f>
        <v>4.67</v>
      </c>
      <c r="F1086" s="1">
        <f ca="1">IFERROR(__xludf.DUMMYFUNCTION("""COMPUTED_VALUE"""),12482437)</f>
        <v>12482437</v>
      </c>
    </row>
    <row r="1087" spans="1:6" x14ac:dyDescent="0.35">
      <c r="A1087" s="2">
        <f ca="1">IFERROR(__xludf.DUMMYFUNCTION("""COMPUTED_VALUE"""),43581.6666666666)</f>
        <v>43581.666666666599</v>
      </c>
      <c r="B1087" s="1">
        <f ca="1">IFERROR(__xludf.DUMMYFUNCTION("""COMPUTED_VALUE"""),4.52)</f>
        <v>4.5199999999999996</v>
      </c>
      <c r="C1087" s="1">
        <f ca="1">IFERROR(__xludf.DUMMYFUNCTION("""COMPUTED_VALUE"""),4.52)</f>
        <v>4.5199999999999996</v>
      </c>
      <c r="D1087" s="1">
        <f ca="1">IFERROR(__xludf.DUMMYFUNCTION("""COMPUTED_VALUE"""),4.33)</f>
        <v>4.33</v>
      </c>
      <c r="E1087" s="1">
        <f ca="1">IFERROR(__xludf.DUMMYFUNCTION("""COMPUTED_VALUE"""),4.45)</f>
        <v>4.45</v>
      </c>
      <c r="F1087" s="1">
        <f ca="1">IFERROR(__xludf.DUMMYFUNCTION("""COMPUTED_VALUE"""),21724729)</f>
        <v>21724729</v>
      </c>
    </row>
    <row r="1088" spans="1:6" x14ac:dyDescent="0.35">
      <c r="A1088" s="2">
        <f ca="1">IFERROR(__xludf.DUMMYFUNCTION("""COMPUTED_VALUE"""),43584.6666666666)</f>
        <v>43584.666666666599</v>
      </c>
      <c r="B1088" s="1">
        <f ca="1">IFERROR(__xludf.DUMMYFUNCTION("""COMPUTED_VALUE"""),4.46)</f>
        <v>4.46</v>
      </c>
      <c r="C1088" s="1">
        <f ca="1">IFERROR(__xludf.DUMMYFUNCTION("""COMPUTED_VALUE"""),4.51)</f>
        <v>4.51</v>
      </c>
      <c r="D1088" s="1">
        <f ca="1">IFERROR(__xludf.DUMMYFUNCTION("""COMPUTED_VALUE"""),4.39)</f>
        <v>4.3899999999999997</v>
      </c>
      <c r="E1088" s="1">
        <f ca="1">IFERROR(__xludf.DUMMYFUNCTION("""COMPUTED_VALUE"""),4.48)</f>
        <v>4.4800000000000004</v>
      </c>
      <c r="F1088" s="1">
        <f ca="1">IFERROR(__xludf.DUMMYFUNCTION("""COMPUTED_VALUE"""),9797983)</f>
        <v>9797983</v>
      </c>
    </row>
    <row r="1089" spans="1:6" x14ac:dyDescent="0.35">
      <c r="A1089" s="2">
        <f ca="1">IFERROR(__xludf.DUMMYFUNCTION("""COMPUTED_VALUE"""),43585.6666666666)</f>
        <v>43585.666666666599</v>
      </c>
      <c r="B1089" s="1">
        <f ca="1">IFERROR(__xludf.DUMMYFUNCTION("""COMPUTED_VALUE"""),4.45)</f>
        <v>4.45</v>
      </c>
      <c r="C1089" s="1">
        <f ca="1">IFERROR(__xludf.DUMMYFUNCTION("""COMPUTED_VALUE"""),4.55)</f>
        <v>4.55</v>
      </c>
      <c r="D1089" s="1">
        <f ca="1">IFERROR(__xludf.DUMMYFUNCTION("""COMPUTED_VALUE"""),4.43)</f>
        <v>4.43</v>
      </c>
      <c r="E1089" s="1">
        <f ca="1">IFERROR(__xludf.DUMMYFUNCTION("""COMPUTED_VALUE"""),4.53)</f>
        <v>4.53</v>
      </c>
      <c r="F1089" s="1">
        <f ca="1">IFERROR(__xludf.DUMMYFUNCTION("""COMPUTED_VALUE"""),9073040)</f>
        <v>9073040</v>
      </c>
    </row>
    <row r="1090" spans="1:6" x14ac:dyDescent="0.35">
      <c r="A1090" s="2">
        <f ca="1">IFERROR(__xludf.DUMMYFUNCTION("""COMPUTED_VALUE"""),43586.6666666666)</f>
        <v>43586.666666666599</v>
      </c>
      <c r="B1090" s="1">
        <f ca="1">IFERROR(__xludf.DUMMYFUNCTION("""COMPUTED_VALUE"""),4.58)</f>
        <v>4.58</v>
      </c>
      <c r="C1090" s="1">
        <f ca="1">IFERROR(__xludf.DUMMYFUNCTION("""COMPUTED_VALUE"""),4.62)</f>
        <v>4.62</v>
      </c>
      <c r="D1090" s="1">
        <f ca="1">IFERROR(__xludf.DUMMYFUNCTION("""COMPUTED_VALUE"""),4.51)</f>
        <v>4.51</v>
      </c>
      <c r="E1090" s="1">
        <f ca="1">IFERROR(__xludf.DUMMYFUNCTION("""COMPUTED_VALUE"""),4.51)</f>
        <v>4.51</v>
      </c>
      <c r="F1090" s="1">
        <f ca="1">IFERROR(__xludf.DUMMYFUNCTION("""COMPUTED_VALUE"""),8857031)</f>
        <v>8857031</v>
      </c>
    </row>
    <row r="1091" spans="1:6" x14ac:dyDescent="0.35">
      <c r="A1091" s="2">
        <f ca="1">IFERROR(__xludf.DUMMYFUNCTION("""COMPUTED_VALUE"""),43587.6666666666)</f>
        <v>43587.666666666599</v>
      </c>
      <c r="B1091" s="1">
        <f ca="1">IFERROR(__xludf.DUMMYFUNCTION("""COMPUTED_VALUE"""),4.52)</f>
        <v>4.5199999999999996</v>
      </c>
      <c r="C1091" s="1">
        <f ca="1">IFERROR(__xludf.DUMMYFUNCTION("""COMPUTED_VALUE"""),4.62)</f>
        <v>4.62</v>
      </c>
      <c r="D1091" s="1">
        <f ca="1">IFERROR(__xludf.DUMMYFUNCTION("""COMPUTED_VALUE"""),4.48)</f>
        <v>4.4800000000000004</v>
      </c>
      <c r="E1091" s="1">
        <f ca="1">IFERROR(__xludf.DUMMYFUNCTION("""COMPUTED_VALUE"""),4.58)</f>
        <v>4.58</v>
      </c>
      <c r="F1091" s="1">
        <f ca="1">IFERROR(__xludf.DUMMYFUNCTION("""COMPUTED_VALUE"""),9867135)</f>
        <v>9867135</v>
      </c>
    </row>
    <row r="1092" spans="1:6" x14ac:dyDescent="0.35">
      <c r="A1092" s="2">
        <f ca="1">IFERROR(__xludf.DUMMYFUNCTION("""COMPUTED_VALUE"""),43588.6666666666)</f>
        <v>43588.666666666599</v>
      </c>
      <c r="B1092" s="1">
        <f ca="1">IFERROR(__xludf.DUMMYFUNCTION("""COMPUTED_VALUE"""),4.59)</f>
        <v>4.59</v>
      </c>
      <c r="C1092" s="1">
        <f ca="1">IFERROR(__xludf.DUMMYFUNCTION("""COMPUTED_VALUE"""),4.6)</f>
        <v>4.5999999999999996</v>
      </c>
      <c r="D1092" s="1">
        <f ca="1">IFERROR(__xludf.DUMMYFUNCTION("""COMPUTED_VALUE"""),4.51)</f>
        <v>4.51</v>
      </c>
      <c r="E1092" s="1">
        <f ca="1">IFERROR(__xludf.DUMMYFUNCTION("""COMPUTED_VALUE"""),4.58)</f>
        <v>4.58</v>
      </c>
      <c r="F1092" s="1">
        <f ca="1">IFERROR(__xludf.DUMMYFUNCTION("""COMPUTED_VALUE"""),8420587)</f>
        <v>8420587</v>
      </c>
    </row>
    <row r="1093" spans="1:6" x14ac:dyDescent="0.35">
      <c r="A1093" s="2">
        <f ca="1">IFERROR(__xludf.DUMMYFUNCTION("""COMPUTED_VALUE"""),43591.6666666666)</f>
        <v>43591.666666666599</v>
      </c>
      <c r="B1093" s="1">
        <f ca="1">IFERROR(__xludf.DUMMYFUNCTION("""COMPUTED_VALUE"""),4.39)</f>
        <v>4.3899999999999997</v>
      </c>
      <c r="C1093" s="1">
        <f ca="1">IFERROR(__xludf.DUMMYFUNCTION("""COMPUTED_VALUE"""),4.51)</f>
        <v>4.51</v>
      </c>
      <c r="D1093" s="1">
        <f ca="1">IFERROR(__xludf.DUMMYFUNCTION("""COMPUTED_VALUE"""),4.35)</f>
        <v>4.3499999999999996</v>
      </c>
      <c r="E1093" s="1">
        <f ca="1">IFERROR(__xludf.DUMMYFUNCTION("""COMPUTED_VALUE"""),4.5)</f>
        <v>4.5</v>
      </c>
      <c r="F1093" s="1">
        <f ca="1">IFERROR(__xludf.DUMMYFUNCTION("""COMPUTED_VALUE"""),10554445)</f>
        <v>10554445</v>
      </c>
    </row>
    <row r="1094" spans="1:6" x14ac:dyDescent="0.35">
      <c r="A1094" s="2">
        <f ca="1">IFERROR(__xludf.DUMMYFUNCTION("""COMPUTED_VALUE"""),43592.6666666666)</f>
        <v>43592.666666666599</v>
      </c>
      <c r="B1094" s="1">
        <f ca="1">IFERROR(__xludf.DUMMYFUNCTION("""COMPUTED_VALUE"""),4.45)</f>
        <v>4.45</v>
      </c>
      <c r="C1094" s="1">
        <f ca="1">IFERROR(__xludf.DUMMYFUNCTION("""COMPUTED_VALUE"""),4.45)</f>
        <v>4.45</v>
      </c>
      <c r="D1094" s="1">
        <f ca="1">IFERROR(__xludf.DUMMYFUNCTION("""COMPUTED_VALUE"""),4.28)</f>
        <v>4.28</v>
      </c>
      <c r="E1094" s="1">
        <f ca="1">IFERROR(__xludf.DUMMYFUNCTION("""COMPUTED_VALUE"""),4.33)</f>
        <v>4.33</v>
      </c>
      <c r="F1094" s="1">
        <f ca="1">IFERROR(__xludf.DUMMYFUNCTION("""COMPUTED_VALUE"""),13880458)</f>
        <v>13880458</v>
      </c>
    </row>
    <row r="1095" spans="1:6" x14ac:dyDescent="0.35">
      <c r="A1095" s="2">
        <f ca="1">IFERROR(__xludf.DUMMYFUNCTION("""COMPUTED_VALUE"""),43593.6666666666)</f>
        <v>43593.666666666599</v>
      </c>
      <c r="B1095" s="1">
        <f ca="1">IFERROR(__xludf.DUMMYFUNCTION("""COMPUTED_VALUE"""),4.3)</f>
        <v>4.3</v>
      </c>
      <c r="C1095" s="1">
        <f ca="1">IFERROR(__xludf.DUMMYFUNCTION("""COMPUTED_VALUE"""),4.43)</f>
        <v>4.43</v>
      </c>
      <c r="D1095" s="1">
        <f ca="1">IFERROR(__xludf.DUMMYFUNCTION("""COMPUTED_VALUE"""),4.29)</f>
        <v>4.29</v>
      </c>
      <c r="E1095" s="1">
        <f ca="1">IFERROR(__xludf.DUMMYFUNCTION("""COMPUTED_VALUE"""),4.35)</f>
        <v>4.3499999999999996</v>
      </c>
      <c r="F1095" s="1">
        <f ca="1">IFERROR(__xludf.DUMMYFUNCTION("""COMPUTED_VALUE"""),10479154)</f>
        <v>10479154</v>
      </c>
    </row>
    <row r="1096" spans="1:6" x14ac:dyDescent="0.35">
      <c r="A1096" s="2">
        <f ca="1">IFERROR(__xludf.DUMMYFUNCTION("""COMPUTED_VALUE"""),43594.6666666666)</f>
        <v>43594.666666666599</v>
      </c>
      <c r="B1096" s="1">
        <f ca="1">IFERROR(__xludf.DUMMYFUNCTION("""COMPUTED_VALUE"""),4.28)</f>
        <v>4.28</v>
      </c>
      <c r="C1096" s="1">
        <f ca="1">IFERROR(__xludf.DUMMYFUNCTION("""COMPUTED_VALUE"""),4.29)</f>
        <v>4.29</v>
      </c>
      <c r="D1096" s="1">
        <f ca="1">IFERROR(__xludf.DUMMYFUNCTION("""COMPUTED_VALUE"""),4.14)</f>
        <v>4.1399999999999997</v>
      </c>
      <c r="E1096" s="1">
        <f ca="1">IFERROR(__xludf.DUMMYFUNCTION("""COMPUTED_VALUE"""),4.25)</f>
        <v>4.25</v>
      </c>
      <c r="F1096" s="1">
        <f ca="1">IFERROR(__xludf.DUMMYFUNCTION("""COMPUTED_VALUE"""),16506164)</f>
        <v>16506164</v>
      </c>
    </row>
    <row r="1097" spans="1:6" x14ac:dyDescent="0.35">
      <c r="A1097" s="2">
        <f ca="1">IFERROR(__xludf.DUMMYFUNCTION("""COMPUTED_VALUE"""),43595.6666666666)</f>
        <v>43595.666666666599</v>
      </c>
      <c r="B1097" s="1">
        <f ca="1">IFERROR(__xludf.DUMMYFUNCTION("""COMPUTED_VALUE"""),4.22)</f>
        <v>4.22</v>
      </c>
      <c r="C1097" s="1">
        <f ca="1">IFERROR(__xludf.DUMMYFUNCTION("""COMPUTED_VALUE"""),4.29)</f>
        <v>4.29</v>
      </c>
      <c r="D1097" s="1">
        <f ca="1">IFERROR(__xludf.DUMMYFUNCTION("""COMPUTED_VALUE"""),4.1)</f>
        <v>4.0999999999999996</v>
      </c>
      <c r="E1097" s="1">
        <f ca="1">IFERROR(__xludf.DUMMYFUNCTION("""COMPUTED_VALUE"""),4.22)</f>
        <v>4.22</v>
      </c>
      <c r="F1097" s="1">
        <f ca="1">IFERROR(__xludf.DUMMYFUNCTION("""COMPUTED_VALUE"""),14237451)</f>
        <v>14237451</v>
      </c>
    </row>
    <row r="1098" spans="1:6" x14ac:dyDescent="0.35">
      <c r="A1098" s="2">
        <f ca="1">IFERROR(__xludf.DUMMYFUNCTION("""COMPUTED_VALUE"""),43598.6666666666)</f>
        <v>43598.666666666599</v>
      </c>
      <c r="B1098" s="1">
        <f ca="1">IFERROR(__xludf.DUMMYFUNCTION("""COMPUTED_VALUE"""),4.09)</f>
        <v>4.09</v>
      </c>
      <c r="C1098" s="1">
        <f ca="1">IFERROR(__xludf.DUMMYFUNCTION("""COMPUTED_VALUE"""),4.11)</f>
        <v>4.1100000000000003</v>
      </c>
      <c r="D1098" s="1">
        <f ca="1">IFERROR(__xludf.DUMMYFUNCTION("""COMPUTED_VALUE"""),3.95)</f>
        <v>3.95</v>
      </c>
      <c r="E1098" s="1">
        <f ca="1">IFERROR(__xludf.DUMMYFUNCTION("""COMPUTED_VALUE"""),3.96)</f>
        <v>3.96</v>
      </c>
      <c r="F1098" s="1">
        <f ca="1">IFERROR(__xludf.DUMMYFUNCTION("""COMPUTED_VALUE"""),16422819)</f>
        <v>16422819</v>
      </c>
    </row>
    <row r="1099" spans="1:6" x14ac:dyDescent="0.35">
      <c r="A1099" s="2">
        <f ca="1">IFERROR(__xludf.DUMMYFUNCTION("""COMPUTED_VALUE"""),43599.6666666666)</f>
        <v>43599.666666666599</v>
      </c>
      <c r="B1099" s="1">
        <f ca="1">IFERROR(__xludf.DUMMYFUNCTION("""COMPUTED_VALUE"""),4)</f>
        <v>4</v>
      </c>
      <c r="C1099" s="1">
        <f ca="1">IFERROR(__xludf.DUMMYFUNCTION("""COMPUTED_VALUE"""),4.09)</f>
        <v>4.09</v>
      </c>
      <c r="D1099" s="1">
        <f ca="1">IFERROR(__xludf.DUMMYFUNCTION("""COMPUTED_VALUE"""),3.96)</f>
        <v>3.96</v>
      </c>
      <c r="E1099" s="1">
        <f ca="1">IFERROR(__xludf.DUMMYFUNCTION("""COMPUTED_VALUE"""),4.05)</f>
        <v>4.05</v>
      </c>
      <c r="F1099" s="1">
        <f ca="1">IFERROR(__xludf.DUMMYFUNCTION("""COMPUTED_VALUE"""),13121972)</f>
        <v>13121972</v>
      </c>
    </row>
    <row r="1100" spans="1:6" x14ac:dyDescent="0.35">
      <c r="A1100" s="2">
        <f ca="1">IFERROR(__xludf.DUMMYFUNCTION("""COMPUTED_VALUE"""),43600.6666666666)</f>
        <v>43600.666666666599</v>
      </c>
      <c r="B1100" s="1">
        <f ca="1">IFERROR(__xludf.DUMMYFUNCTION("""COMPUTED_VALUE"""),4)</f>
        <v>4</v>
      </c>
      <c r="C1100" s="1">
        <f ca="1">IFERROR(__xludf.DUMMYFUNCTION("""COMPUTED_VALUE"""),4.03)</f>
        <v>4.03</v>
      </c>
      <c r="D1100" s="1">
        <f ca="1">IFERROR(__xludf.DUMMYFUNCTION("""COMPUTED_VALUE"""),3.94)</f>
        <v>3.94</v>
      </c>
      <c r="E1100" s="1">
        <f ca="1">IFERROR(__xludf.DUMMYFUNCTION("""COMPUTED_VALUE"""),3.99)</f>
        <v>3.99</v>
      </c>
      <c r="F1100" s="1">
        <f ca="1">IFERROR(__xludf.DUMMYFUNCTION("""COMPUTED_VALUE"""),12558001)</f>
        <v>12558001</v>
      </c>
    </row>
    <row r="1101" spans="1:6" x14ac:dyDescent="0.35">
      <c r="A1101" s="2">
        <f ca="1">IFERROR(__xludf.DUMMYFUNCTION("""COMPUTED_VALUE"""),43601.6666666666)</f>
        <v>43601.666666666599</v>
      </c>
      <c r="B1101" s="1">
        <f ca="1">IFERROR(__xludf.DUMMYFUNCTION("""COMPUTED_VALUE"""),3.98)</f>
        <v>3.98</v>
      </c>
      <c r="C1101" s="1">
        <f ca="1">IFERROR(__xludf.DUMMYFUNCTION("""COMPUTED_VALUE"""),4.05)</f>
        <v>4.05</v>
      </c>
      <c r="D1101" s="1">
        <f ca="1">IFERROR(__xludf.DUMMYFUNCTION("""COMPUTED_VALUE"""),3.94)</f>
        <v>3.94</v>
      </c>
      <c r="E1101" s="1">
        <f ca="1">IFERROR(__xludf.DUMMYFUNCTION("""COMPUTED_VALUE"""),4)</f>
        <v>4</v>
      </c>
      <c r="F1101" s="1">
        <f ca="1">IFERROR(__xludf.DUMMYFUNCTION("""COMPUTED_VALUE"""),19527204)</f>
        <v>19527204</v>
      </c>
    </row>
    <row r="1102" spans="1:6" x14ac:dyDescent="0.35">
      <c r="A1102" s="2">
        <f ca="1">IFERROR(__xludf.DUMMYFUNCTION("""COMPUTED_VALUE"""),43602.6666666666)</f>
        <v>43602.666666666599</v>
      </c>
      <c r="B1102" s="1">
        <f ca="1">IFERROR(__xludf.DUMMYFUNCTION("""COMPUTED_VALUE"""),3.96)</f>
        <v>3.96</v>
      </c>
      <c r="C1102" s="1">
        <f ca="1">IFERROR(__xludf.DUMMYFUNCTION("""COMPUTED_VALUE"""),4.09)</f>
        <v>4.09</v>
      </c>
      <c r="D1102" s="1">
        <f ca="1">IFERROR(__xludf.DUMMYFUNCTION("""COMPUTED_VALUE"""),3.87)</f>
        <v>3.87</v>
      </c>
      <c r="E1102" s="1">
        <f ca="1">IFERROR(__xludf.DUMMYFUNCTION("""COMPUTED_VALUE"""),3.91)</f>
        <v>3.91</v>
      </c>
      <c r="F1102" s="1">
        <f ca="1">IFERROR(__xludf.DUMMYFUNCTION("""COMPUTED_VALUE"""),25551698)</f>
        <v>25551698</v>
      </c>
    </row>
    <row r="1103" spans="1:6" x14ac:dyDescent="0.35">
      <c r="A1103" s="2">
        <f ca="1">IFERROR(__xludf.DUMMYFUNCTION("""COMPUTED_VALUE"""),43605.6666666666)</f>
        <v>43605.666666666599</v>
      </c>
      <c r="B1103" s="1">
        <f ca="1">IFERROR(__xludf.DUMMYFUNCTION("""COMPUTED_VALUE"""),3.81)</f>
        <v>3.81</v>
      </c>
      <c r="C1103" s="1">
        <f ca="1">IFERROR(__xludf.DUMMYFUNCTION("""COMPUTED_VALUE"""),3.87)</f>
        <v>3.87</v>
      </c>
      <c r="D1103" s="1">
        <f ca="1">IFERROR(__xludf.DUMMYFUNCTION("""COMPUTED_VALUE"""),3.77)</f>
        <v>3.77</v>
      </c>
      <c r="E1103" s="1">
        <f ca="1">IFERROR(__xludf.DUMMYFUNCTION("""COMPUTED_VALUE"""),3.79)</f>
        <v>3.79</v>
      </c>
      <c r="F1103" s="1">
        <f ca="1">IFERROR(__xludf.DUMMYFUNCTION("""COMPUTED_VALUE"""),14301634)</f>
        <v>14301634</v>
      </c>
    </row>
    <row r="1104" spans="1:6" x14ac:dyDescent="0.35">
      <c r="A1104" s="2">
        <f ca="1">IFERROR(__xludf.DUMMYFUNCTION("""COMPUTED_VALUE"""),43606.6666666666)</f>
        <v>43606.666666666599</v>
      </c>
      <c r="B1104" s="1">
        <f ca="1">IFERROR(__xludf.DUMMYFUNCTION("""COMPUTED_VALUE"""),3.86)</f>
        <v>3.86</v>
      </c>
      <c r="C1104" s="1">
        <f ca="1">IFERROR(__xludf.DUMMYFUNCTION("""COMPUTED_VALUE"""),3.89)</f>
        <v>3.89</v>
      </c>
      <c r="D1104" s="1">
        <f ca="1">IFERROR(__xludf.DUMMYFUNCTION("""COMPUTED_VALUE"""),3.82)</f>
        <v>3.82</v>
      </c>
      <c r="E1104" s="1">
        <f ca="1">IFERROR(__xludf.DUMMYFUNCTION("""COMPUTED_VALUE"""),3.88)</f>
        <v>3.88</v>
      </c>
      <c r="F1104" s="1">
        <f ca="1">IFERROR(__xludf.DUMMYFUNCTION("""COMPUTED_VALUE"""),9046247)</f>
        <v>9046247</v>
      </c>
    </row>
    <row r="1105" spans="1:6" x14ac:dyDescent="0.35">
      <c r="A1105" s="2">
        <f ca="1">IFERROR(__xludf.DUMMYFUNCTION("""COMPUTED_VALUE"""),43607.6666666666)</f>
        <v>43607.666666666599</v>
      </c>
      <c r="B1105" s="1">
        <f ca="1">IFERROR(__xludf.DUMMYFUNCTION("""COMPUTED_VALUE"""),3.84)</f>
        <v>3.84</v>
      </c>
      <c r="C1105" s="1">
        <f ca="1">IFERROR(__xludf.DUMMYFUNCTION("""COMPUTED_VALUE"""),3.86)</f>
        <v>3.86</v>
      </c>
      <c r="D1105" s="1">
        <f ca="1">IFERROR(__xludf.DUMMYFUNCTION("""COMPUTED_VALUE"""),3.79)</f>
        <v>3.79</v>
      </c>
      <c r="E1105" s="1">
        <f ca="1">IFERROR(__xludf.DUMMYFUNCTION("""COMPUTED_VALUE"""),3.81)</f>
        <v>3.81</v>
      </c>
      <c r="F1105" s="1">
        <f ca="1">IFERROR(__xludf.DUMMYFUNCTION("""COMPUTED_VALUE"""),8146740)</f>
        <v>8146740</v>
      </c>
    </row>
    <row r="1106" spans="1:6" x14ac:dyDescent="0.35">
      <c r="A1106" s="2">
        <f ca="1">IFERROR(__xludf.DUMMYFUNCTION("""COMPUTED_VALUE"""),43608.6666666666)</f>
        <v>43608.666666666599</v>
      </c>
      <c r="B1106" s="1">
        <f ca="1">IFERROR(__xludf.DUMMYFUNCTION("""COMPUTED_VALUE"""),3.74)</f>
        <v>3.74</v>
      </c>
      <c r="C1106" s="1">
        <f ca="1">IFERROR(__xludf.DUMMYFUNCTION("""COMPUTED_VALUE"""),3.74)</f>
        <v>3.74</v>
      </c>
      <c r="D1106" s="1">
        <f ca="1">IFERROR(__xludf.DUMMYFUNCTION("""COMPUTED_VALUE"""),3.62)</f>
        <v>3.62</v>
      </c>
      <c r="E1106" s="1">
        <f ca="1">IFERROR(__xludf.DUMMYFUNCTION("""COMPUTED_VALUE"""),3.68)</f>
        <v>3.68</v>
      </c>
      <c r="F1106" s="1">
        <f ca="1">IFERROR(__xludf.DUMMYFUNCTION("""COMPUTED_VALUE"""),14796109)</f>
        <v>14796109</v>
      </c>
    </row>
    <row r="1107" spans="1:6" x14ac:dyDescent="0.35">
      <c r="A1107" s="2">
        <f ca="1">IFERROR(__xludf.DUMMYFUNCTION("""COMPUTED_VALUE"""),43609.6666666666)</f>
        <v>43609.666666666599</v>
      </c>
      <c r="B1107" s="1">
        <f ca="1">IFERROR(__xludf.DUMMYFUNCTION("""COMPUTED_VALUE"""),3.7)</f>
        <v>3.7</v>
      </c>
      <c r="C1107" s="1">
        <f ca="1">IFERROR(__xludf.DUMMYFUNCTION("""COMPUTED_VALUE"""),3.74)</f>
        <v>3.74</v>
      </c>
      <c r="D1107" s="1">
        <f ca="1">IFERROR(__xludf.DUMMYFUNCTION("""COMPUTED_VALUE"""),3.62)</f>
        <v>3.62</v>
      </c>
      <c r="E1107" s="1">
        <f ca="1">IFERROR(__xludf.DUMMYFUNCTION("""COMPUTED_VALUE"""),3.63)</f>
        <v>3.63</v>
      </c>
      <c r="F1107" s="1">
        <f ca="1">IFERROR(__xludf.DUMMYFUNCTION("""COMPUTED_VALUE"""),8939632)</f>
        <v>8939632</v>
      </c>
    </row>
    <row r="1108" spans="1:6" x14ac:dyDescent="0.35">
      <c r="A1108" s="2">
        <f ca="1">IFERROR(__xludf.DUMMYFUNCTION("""COMPUTED_VALUE"""),43613.6666666666)</f>
        <v>43613.666666666599</v>
      </c>
      <c r="B1108" s="1">
        <f ca="1">IFERROR(__xludf.DUMMYFUNCTION("""COMPUTED_VALUE"""),3.65)</f>
        <v>3.65</v>
      </c>
      <c r="C1108" s="1">
        <f ca="1">IFERROR(__xludf.DUMMYFUNCTION("""COMPUTED_VALUE"""),3.68)</f>
        <v>3.68</v>
      </c>
      <c r="D1108" s="1">
        <f ca="1">IFERROR(__xludf.DUMMYFUNCTION("""COMPUTED_VALUE"""),3.58)</f>
        <v>3.58</v>
      </c>
      <c r="E1108" s="1">
        <f ca="1">IFERROR(__xludf.DUMMYFUNCTION("""COMPUTED_VALUE"""),3.58)</f>
        <v>3.58</v>
      </c>
      <c r="F1108" s="1">
        <f ca="1">IFERROR(__xludf.DUMMYFUNCTION("""COMPUTED_VALUE"""),10708852)</f>
        <v>10708852</v>
      </c>
    </row>
    <row r="1109" spans="1:6" x14ac:dyDescent="0.35">
      <c r="A1109" s="2">
        <f ca="1">IFERROR(__xludf.DUMMYFUNCTION("""COMPUTED_VALUE"""),43614.6666666666)</f>
        <v>43614.666666666599</v>
      </c>
      <c r="B1109" s="1">
        <f ca="1">IFERROR(__xludf.DUMMYFUNCTION("""COMPUTED_VALUE"""),3.54)</f>
        <v>3.54</v>
      </c>
      <c r="C1109" s="1">
        <f ca="1">IFERROR(__xludf.DUMMYFUNCTION("""COMPUTED_VALUE"""),3.57)</f>
        <v>3.57</v>
      </c>
      <c r="D1109" s="1">
        <f ca="1">IFERROR(__xludf.DUMMYFUNCTION("""COMPUTED_VALUE"""),3.47)</f>
        <v>3.47</v>
      </c>
      <c r="E1109" s="1">
        <f ca="1">IFERROR(__xludf.DUMMYFUNCTION("""COMPUTED_VALUE"""),3.51)</f>
        <v>3.51</v>
      </c>
      <c r="F1109" s="1">
        <f ca="1">IFERROR(__xludf.DUMMYFUNCTION("""COMPUTED_VALUE"""),13995037)</f>
        <v>13995037</v>
      </c>
    </row>
    <row r="1110" spans="1:6" x14ac:dyDescent="0.35">
      <c r="A1110" s="2">
        <f ca="1">IFERROR(__xludf.DUMMYFUNCTION("""COMPUTED_VALUE"""),43615.6666666666)</f>
        <v>43615.666666666599</v>
      </c>
      <c r="B1110" s="1">
        <f ca="1">IFERROR(__xludf.DUMMYFUNCTION("""COMPUTED_VALUE"""),3.51)</f>
        <v>3.51</v>
      </c>
      <c r="C1110" s="1">
        <f ca="1">IFERROR(__xludf.DUMMYFUNCTION("""COMPUTED_VALUE"""),3.54)</f>
        <v>3.54</v>
      </c>
      <c r="D1110" s="1">
        <f ca="1">IFERROR(__xludf.DUMMYFUNCTION("""COMPUTED_VALUE"""),3.44)</f>
        <v>3.44</v>
      </c>
      <c r="E1110" s="1">
        <f ca="1">IFERROR(__xludf.DUMMYFUNCTION("""COMPUTED_VALUE"""),3.48)</f>
        <v>3.48</v>
      </c>
      <c r="F1110" s="1">
        <f ca="1">IFERROR(__xludf.DUMMYFUNCTION("""COMPUTED_VALUE"""),9857490)</f>
        <v>9857490</v>
      </c>
    </row>
    <row r="1111" spans="1:6" x14ac:dyDescent="0.35">
      <c r="A1111" s="2">
        <f ca="1">IFERROR(__xludf.DUMMYFUNCTION("""COMPUTED_VALUE"""),43616.6666666666)</f>
        <v>43616.666666666599</v>
      </c>
      <c r="B1111" s="1">
        <f ca="1">IFERROR(__xludf.DUMMYFUNCTION("""COMPUTED_VALUE"""),3.43)</f>
        <v>3.43</v>
      </c>
      <c r="C1111" s="1">
        <f ca="1">IFERROR(__xludf.DUMMYFUNCTION("""COMPUTED_VALUE"""),3.46)</f>
        <v>3.46</v>
      </c>
      <c r="D1111" s="1">
        <f ca="1">IFERROR(__xludf.DUMMYFUNCTION("""COMPUTED_VALUE"""),3.38)</f>
        <v>3.38</v>
      </c>
      <c r="E1111" s="1">
        <f ca="1">IFERROR(__xludf.DUMMYFUNCTION("""COMPUTED_VALUE"""),3.39)</f>
        <v>3.39</v>
      </c>
      <c r="F1111" s="1">
        <f ca="1">IFERROR(__xludf.DUMMYFUNCTION("""COMPUTED_VALUE"""),9742992)</f>
        <v>9742992</v>
      </c>
    </row>
    <row r="1112" spans="1:6" x14ac:dyDescent="0.35">
      <c r="A1112" s="2">
        <f ca="1">IFERROR(__xludf.DUMMYFUNCTION("""COMPUTED_VALUE"""),43619.6666666666)</f>
        <v>43619.666666666599</v>
      </c>
      <c r="B1112" s="1">
        <f ca="1">IFERROR(__xludf.DUMMYFUNCTION("""COMPUTED_VALUE"""),3.4)</f>
        <v>3.4</v>
      </c>
      <c r="C1112" s="1">
        <f ca="1">IFERROR(__xludf.DUMMYFUNCTION("""COMPUTED_VALUE"""),3.44)</f>
        <v>3.44</v>
      </c>
      <c r="D1112" s="1">
        <f ca="1">IFERROR(__xludf.DUMMYFUNCTION("""COMPUTED_VALUE"""),3.32)</f>
        <v>3.32</v>
      </c>
      <c r="E1112" s="1">
        <f ca="1">IFERROR(__xludf.DUMMYFUNCTION("""COMPUTED_VALUE"""),3.34)</f>
        <v>3.34</v>
      </c>
      <c r="F1112" s="1">
        <f ca="1">IFERROR(__xludf.DUMMYFUNCTION("""COMPUTED_VALUE"""),11966080)</f>
        <v>11966080</v>
      </c>
    </row>
    <row r="1113" spans="1:6" x14ac:dyDescent="0.35">
      <c r="A1113" s="2">
        <f ca="1">IFERROR(__xludf.DUMMYFUNCTION("""COMPUTED_VALUE"""),43620.6666666666)</f>
        <v>43620.666666666599</v>
      </c>
      <c r="B1113" s="1">
        <f ca="1">IFERROR(__xludf.DUMMYFUNCTION("""COMPUTED_VALUE"""),3.41)</f>
        <v>3.41</v>
      </c>
      <c r="C1113" s="1">
        <f ca="1">IFERROR(__xludf.DUMMYFUNCTION("""COMPUTED_VALUE"""),3.58)</f>
        <v>3.58</v>
      </c>
      <c r="D1113" s="1">
        <f ca="1">IFERROR(__xludf.DUMMYFUNCTION("""COMPUTED_VALUE"""),3.39)</f>
        <v>3.39</v>
      </c>
      <c r="E1113" s="1">
        <f ca="1">IFERROR(__xludf.DUMMYFUNCTION("""COMPUTED_VALUE"""),3.58)</f>
        <v>3.58</v>
      </c>
      <c r="F1113" s="1">
        <f ca="1">IFERROR(__xludf.DUMMYFUNCTION("""COMPUTED_VALUE"""),16045885)</f>
        <v>16045885</v>
      </c>
    </row>
    <row r="1114" spans="1:6" x14ac:dyDescent="0.35">
      <c r="A1114" s="2">
        <f ca="1">IFERROR(__xludf.DUMMYFUNCTION("""COMPUTED_VALUE"""),43621.6666666666)</f>
        <v>43621.666666666599</v>
      </c>
      <c r="B1114" s="1">
        <f ca="1">IFERROR(__xludf.DUMMYFUNCTION("""COMPUTED_VALUE"""),3.65)</f>
        <v>3.65</v>
      </c>
      <c r="C1114" s="1">
        <f ca="1">IFERROR(__xludf.DUMMYFUNCTION("""COMPUTED_VALUE"""),3.65)</f>
        <v>3.65</v>
      </c>
      <c r="D1114" s="1">
        <f ca="1">IFERROR(__xludf.DUMMYFUNCTION("""COMPUTED_VALUE"""),3.5)</f>
        <v>3.5</v>
      </c>
      <c r="E1114" s="1">
        <f ca="1">IFERROR(__xludf.DUMMYFUNCTION("""COMPUTED_VALUE"""),3.53)</f>
        <v>3.53</v>
      </c>
      <c r="F1114" s="1">
        <f ca="1">IFERROR(__xludf.DUMMYFUNCTION("""COMPUTED_VALUE"""),12790385)</f>
        <v>12790385</v>
      </c>
    </row>
    <row r="1115" spans="1:6" x14ac:dyDescent="0.35">
      <c r="A1115" s="2">
        <f ca="1">IFERROR(__xludf.DUMMYFUNCTION("""COMPUTED_VALUE"""),43622.6666666666)</f>
        <v>43622.666666666599</v>
      </c>
      <c r="B1115" s="1">
        <f ca="1">IFERROR(__xludf.DUMMYFUNCTION("""COMPUTED_VALUE"""),3.54)</f>
        <v>3.54</v>
      </c>
      <c r="C1115" s="1">
        <f ca="1">IFERROR(__xludf.DUMMYFUNCTION("""COMPUTED_VALUE"""),3.62)</f>
        <v>3.62</v>
      </c>
      <c r="D1115" s="1">
        <f ca="1">IFERROR(__xludf.DUMMYFUNCTION("""COMPUTED_VALUE"""),3.53)</f>
        <v>3.53</v>
      </c>
      <c r="E1115" s="1">
        <f ca="1">IFERROR(__xludf.DUMMYFUNCTION("""COMPUTED_VALUE"""),3.59)</f>
        <v>3.59</v>
      </c>
      <c r="F1115" s="1">
        <f ca="1">IFERROR(__xludf.DUMMYFUNCTION("""COMPUTED_VALUE"""),10203462)</f>
        <v>10203462</v>
      </c>
    </row>
    <row r="1116" spans="1:6" x14ac:dyDescent="0.35">
      <c r="A1116" s="2">
        <f ca="1">IFERROR(__xludf.DUMMYFUNCTION("""COMPUTED_VALUE"""),43623.6666666666)</f>
        <v>43623.666666666599</v>
      </c>
      <c r="B1116" s="1">
        <f ca="1">IFERROR(__xludf.DUMMYFUNCTION("""COMPUTED_VALUE"""),3.6)</f>
        <v>3.6</v>
      </c>
      <c r="C1116" s="1">
        <f ca="1">IFERROR(__xludf.DUMMYFUNCTION("""COMPUTED_VALUE"""),3.67)</f>
        <v>3.67</v>
      </c>
      <c r="D1116" s="1">
        <f ca="1">IFERROR(__xludf.DUMMYFUNCTION("""COMPUTED_VALUE"""),3.58)</f>
        <v>3.58</v>
      </c>
      <c r="E1116" s="1">
        <f ca="1">IFERROR(__xludf.DUMMYFUNCTION("""COMPUTED_VALUE"""),3.64)</f>
        <v>3.64</v>
      </c>
      <c r="F1116" s="1">
        <f ca="1">IFERROR(__xludf.DUMMYFUNCTION("""COMPUTED_VALUE"""),8721438)</f>
        <v>8721438</v>
      </c>
    </row>
    <row r="1117" spans="1:6" x14ac:dyDescent="0.35">
      <c r="A1117" s="2">
        <f ca="1">IFERROR(__xludf.DUMMYFUNCTION("""COMPUTED_VALUE"""),43626.6666666666)</f>
        <v>43626.666666666599</v>
      </c>
      <c r="B1117" s="1">
        <f ca="1">IFERROR(__xludf.DUMMYFUNCTION("""COMPUTED_VALUE"""),3.69)</f>
        <v>3.69</v>
      </c>
      <c r="C1117" s="1">
        <f ca="1">IFERROR(__xludf.DUMMYFUNCTION("""COMPUTED_VALUE"""),3.78)</f>
        <v>3.78</v>
      </c>
      <c r="D1117" s="1">
        <f ca="1">IFERROR(__xludf.DUMMYFUNCTION("""COMPUTED_VALUE"""),3.69)</f>
        <v>3.69</v>
      </c>
      <c r="E1117" s="1">
        <f ca="1">IFERROR(__xludf.DUMMYFUNCTION("""COMPUTED_VALUE"""),3.71)</f>
        <v>3.71</v>
      </c>
      <c r="F1117" s="1">
        <f ca="1">IFERROR(__xludf.DUMMYFUNCTION("""COMPUTED_VALUE"""),10069522)</f>
        <v>10069522</v>
      </c>
    </row>
    <row r="1118" spans="1:6" x14ac:dyDescent="0.35">
      <c r="A1118" s="2">
        <f ca="1">IFERROR(__xludf.DUMMYFUNCTION("""COMPUTED_VALUE"""),43627.6666666666)</f>
        <v>43627.666666666599</v>
      </c>
      <c r="B1118" s="1">
        <f ca="1">IFERROR(__xludf.DUMMYFUNCTION("""COMPUTED_VALUE"""),3.77)</f>
        <v>3.77</v>
      </c>
      <c r="C1118" s="1">
        <f ca="1">IFERROR(__xludf.DUMMYFUNCTION("""COMPUTED_VALUE"""),3.81)</f>
        <v>3.81</v>
      </c>
      <c r="D1118" s="1">
        <f ca="1">IFERROR(__xludf.DUMMYFUNCTION("""COMPUTED_VALUE"""),3.73)</f>
        <v>3.73</v>
      </c>
      <c r="E1118" s="1">
        <f ca="1">IFERROR(__xludf.DUMMYFUNCTION("""COMPUTED_VALUE"""),3.77)</f>
        <v>3.77</v>
      </c>
      <c r="F1118" s="1">
        <f ca="1">IFERROR(__xludf.DUMMYFUNCTION("""COMPUTED_VALUE"""),9596751)</f>
        <v>9596751</v>
      </c>
    </row>
    <row r="1119" spans="1:6" x14ac:dyDescent="0.35">
      <c r="A1119" s="2">
        <f ca="1">IFERROR(__xludf.DUMMYFUNCTION("""COMPUTED_VALUE"""),43628.6666666666)</f>
        <v>43628.666666666599</v>
      </c>
      <c r="B1119" s="1">
        <f ca="1">IFERROR(__xludf.DUMMYFUNCTION("""COMPUTED_VALUE"""),3.73)</f>
        <v>3.73</v>
      </c>
      <c r="C1119" s="1">
        <f ca="1">IFERROR(__xludf.DUMMYFUNCTION("""COMPUTED_VALUE"""),3.73)</f>
        <v>3.73</v>
      </c>
      <c r="D1119" s="1">
        <f ca="1">IFERROR(__xludf.DUMMYFUNCTION("""COMPUTED_VALUE"""),3.64)</f>
        <v>3.64</v>
      </c>
      <c r="E1119" s="1">
        <f ca="1">IFERROR(__xludf.DUMMYFUNCTION("""COMPUTED_VALUE"""),3.66)</f>
        <v>3.66</v>
      </c>
      <c r="F1119" s="1">
        <f ca="1">IFERROR(__xludf.DUMMYFUNCTION("""COMPUTED_VALUE"""),8972298)</f>
        <v>8972298</v>
      </c>
    </row>
    <row r="1120" spans="1:6" x14ac:dyDescent="0.35">
      <c r="A1120" s="2">
        <f ca="1">IFERROR(__xludf.DUMMYFUNCTION("""COMPUTED_VALUE"""),43629.6666666666)</f>
        <v>43629.666666666599</v>
      </c>
      <c r="B1120" s="1">
        <f ca="1">IFERROR(__xludf.DUMMYFUNCTION("""COMPUTED_VALUE"""),3.68)</f>
        <v>3.68</v>
      </c>
      <c r="C1120" s="1">
        <f ca="1">IFERROR(__xludf.DUMMYFUNCTION("""COMPUTED_VALUE"""),3.73)</f>
        <v>3.73</v>
      </c>
      <c r="D1120" s="1">
        <f ca="1">IFERROR(__xludf.DUMMYFUNCTION("""COMPUTED_VALUE"""),3.66)</f>
        <v>3.66</v>
      </c>
      <c r="E1120" s="1">
        <f ca="1">IFERROR(__xludf.DUMMYFUNCTION("""COMPUTED_VALUE"""),3.71)</f>
        <v>3.71</v>
      </c>
      <c r="F1120" s="1">
        <f ca="1">IFERROR(__xludf.DUMMYFUNCTION("""COMPUTED_VALUE"""),7702027)</f>
        <v>7702027</v>
      </c>
    </row>
    <row r="1121" spans="1:6" x14ac:dyDescent="0.35">
      <c r="A1121" s="2">
        <f ca="1">IFERROR(__xludf.DUMMYFUNCTION("""COMPUTED_VALUE"""),43630.6666666666)</f>
        <v>43630.666666666599</v>
      </c>
      <c r="B1121" s="1">
        <f ca="1">IFERROR(__xludf.DUMMYFUNCTION("""COMPUTED_VALUE"""),3.61)</f>
        <v>3.61</v>
      </c>
      <c r="C1121" s="1">
        <f ca="1">IFERROR(__xludf.DUMMYFUNCTION("""COMPUTED_VALUE"""),3.64)</f>
        <v>3.64</v>
      </c>
      <c r="D1121" s="1">
        <f ca="1">IFERROR(__xludf.DUMMYFUNCTION("""COMPUTED_VALUE"""),3.57)</f>
        <v>3.57</v>
      </c>
      <c r="E1121" s="1">
        <f ca="1">IFERROR(__xludf.DUMMYFUNCTION("""COMPUTED_VALUE"""),3.62)</f>
        <v>3.62</v>
      </c>
      <c r="F1121" s="1">
        <f ca="1">IFERROR(__xludf.DUMMYFUNCTION("""COMPUTED_VALUE"""),9860656)</f>
        <v>9860656</v>
      </c>
    </row>
    <row r="1122" spans="1:6" x14ac:dyDescent="0.35">
      <c r="A1122" s="2">
        <f ca="1">IFERROR(__xludf.DUMMYFUNCTION("""COMPUTED_VALUE"""),43633.6666666666)</f>
        <v>43633.666666666599</v>
      </c>
      <c r="B1122" s="1">
        <f ca="1">IFERROR(__xludf.DUMMYFUNCTION("""COMPUTED_VALUE"""),3.61)</f>
        <v>3.61</v>
      </c>
      <c r="C1122" s="1">
        <f ca="1">IFERROR(__xludf.DUMMYFUNCTION("""COMPUTED_VALUE"""),3.66)</f>
        <v>3.66</v>
      </c>
      <c r="D1122" s="1">
        <f ca="1">IFERROR(__xludf.DUMMYFUNCTION("""COMPUTED_VALUE"""),3.59)</f>
        <v>3.59</v>
      </c>
      <c r="E1122" s="1">
        <f ca="1">IFERROR(__xludf.DUMMYFUNCTION("""COMPUTED_VALUE"""),3.63)</f>
        <v>3.63</v>
      </c>
      <c r="F1122" s="1">
        <f ca="1">IFERROR(__xludf.DUMMYFUNCTION("""COMPUTED_VALUE"""),6901037)</f>
        <v>6901037</v>
      </c>
    </row>
    <row r="1123" spans="1:6" x14ac:dyDescent="0.35">
      <c r="A1123" s="2">
        <f ca="1">IFERROR(__xludf.DUMMYFUNCTION("""COMPUTED_VALUE"""),43634.6666666666)</f>
        <v>43634.666666666599</v>
      </c>
      <c r="B1123" s="1">
        <f ca="1">IFERROR(__xludf.DUMMYFUNCTION("""COMPUTED_VALUE"""),3.69)</f>
        <v>3.69</v>
      </c>
      <c r="C1123" s="1">
        <f ca="1">IFERROR(__xludf.DUMMYFUNCTION("""COMPUTED_VALUE"""),3.88)</f>
        <v>3.88</v>
      </c>
      <c r="D1123" s="1">
        <f ca="1">IFERROR(__xludf.DUMMYFUNCTION("""COMPUTED_VALUE"""),3.68)</f>
        <v>3.68</v>
      </c>
      <c r="E1123" s="1">
        <f ca="1">IFERROR(__xludf.DUMMYFUNCTION("""COMPUTED_VALUE"""),3.82)</f>
        <v>3.82</v>
      </c>
      <c r="F1123" s="1">
        <f ca="1">IFERROR(__xludf.DUMMYFUNCTION("""COMPUTED_VALUE"""),14547950)</f>
        <v>14547950</v>
      </c>
    </row>
    <row r="1124" spans="1:6" x14ac:dyDescent="0.35">
      <c r="A1124" s="2">
        <f ca="1">IFERROR(__xludf.DUMMYFUNCTION("""COMPUTED_VALUE"""),43635.6666666666)</f>
        <v>43635.666666666599</v>
      </c>
      <c r="B1124" s="1">
        <f ca="1">IFERROR(__xludf.DUMMYFUNCTION("""COMPUTED_VALUE"""),3.86)</f>
        <v>3.86</v>
      </c>
      <c r="C1124" s="1">
        <f ca="1">IFERROR(__xludf.DUMMYFUNCTION("""COMPUTED_VALUE"""),3.87)</f>
        <v>3.87</v>
      </c>
      <c r="D1124" s="1">
        <f ca="1">IFERROR(__xludf.DUMMYFUNCTION("""COMPUTED_VALUE"""),3.8)</f>
        <v>3.8</v>
      </c>
      <c r="E1124" s="1">
        <f ca="1">IFERROR(__xludf.DUMMYFUNCTION("""COMPUTED_VALUE"""),3.83)</f>
        <v>3.83</v>
      </c>
      <c r="F1124" s="1">
        <f ca="1">IFERROR(__xludf.DUMMYFUNCTION("""COMPUTED_VALUE"""),8291099)</f>
        <v>8291099</v>
      </c>
    </row>
    <row r="1125" spans="1:6" x14ac:dyDescent="0.35">
      <c r="A1125" s="2">
        <f ca="1">IFERROR(__xludf.DUMMYFUNCTION("""COMPUTED_VALUE"""),43636.6666666666)</f>
        <v>43636.666666666599</v>
      </c>
      <c r="B1125" s="1">
        <f ca="1">IFERROR(__xludf.DUMMYFUNCTION("""COMPUTED_VALUE"""),3.92)</f>
        <v>3.92</v>
      </c>
      <c r="C1125" s="1">
        <f ca="1">IFERROR(__xludf.DUMMYFUNCTION("""COMPUTED_VALUE"""),3.93)</f>
        <v>3.93</v>
      </c>
      <c r="D1125" s="1">
        <f ca="1">IFERROR(__xludf.DUMMYFUNCTION("""COMPUTED_VALUE"""),3.84)</f>
        <v>3.84</v>
      </c>
      <c r="E1125" s="1">
        <f ca="1">IFERROR(__xludf.DUMMYFUNCTION("""COMPUTED_VALUE"""),3.85)</f>
        <v>3.85</v>
      </c>
      <c r="F1125" s="1">
        <f ca="1">IFERROR(__xludf.DUMMYFUNCTION("""COMPUTED_VALUE"""),8754182)</f>
        <v>8754182</v>
      </c>
    </row>
    <row r="1126" spans="1:6" x14ac:dyDescent="0.35">
      <c r="A1126" s="2">
        <f ca="1">IFERROR(__xludf.DUMMYFUNCTION("""COMPUTED_VALUE"""),43637.6666666666)</f>
        <v>43637.666666666599</v>
      </c>
      <c r="B1126" s="1">
        <f ca="1">IFERROR(__xludf.DUMMYFUNCTION("""COMPUTED_VALUE"""),3.84)</f>
        <v>3.84</v>
      </c>
      <c r="C1126" s="1">
        <f ca="1">IFERROR(__xludf.DUMMYFUNCTION("""COMPUTED_VALUE"""),3.89)</f>
        <v>3.89</v>
      </c>
      <c r="D1126" s="1">
        <f ca="1">IFERROR(__xludf.DUMMYFUNCTION("""COMPUTED_VALUE"""),3.79)</f>
        <v>3.79</v>
      </c>
      <c r="E1126" s="1">
        <f ca="1">IFERROR(__xludf.DUMMYFUNCTION("""COMPUTED_VALUE"""),3.79)</f>
        <v>3.79</v>
      </c>
      <c r="F1126" s="1">
        <f ca="1">IFERROR(__xludf.DUMMYFUNCTION("""COMPUTED_VALUE"""),10860672)</f>
        <v>10860672</v>
      </c>
    </row>
    <row r="1127" spans="1:6" x14ac:dyDescent="0.35">
      <c r="A1127" s="2">
        <f ca="1">IFERROR(__xludf.DUMMYFUNCTION("""COMPUTED_VALUE"""),43640.6666666666)</f>
        <v>43640.666666666599</v>
      </c>
      <c r="B1127" s="1">
        <f ca="1">IFERROR(__xludf.DUMMYFUNCTION("""COMPUTED_VALUE"""),3.82)</f>
        <v>3.82</v>
      </c>
      <c r="C1127" s="1">
        <f ca="1">IFERROR(__xludf.DUMMYFUNCTION("""COMPUTED_VALUE"""),3.85)</f>
        <v>3.85</v>
      </c>
      <c r="D1127" s="1">
        <f ca="1">IFERROR(__xludf.DUMMYFUNCTION("""COMPUTED_VALUE"""),3.77)</f>
        <v>3.77</v>
      </c>
      <c r="E1127" s="1">
        <f ca="1">IFERROR(__xludf.DUMMYFUNCTION("""COMPUTED_VALUE"""),3.82)</f>
        <v>3.82</v>
      </c>
      <c r="F1127" s="1">
        <f ca="1">IFERROR(__xludf.DUMMYFUNCTION("""COMPUTED_VALUE"""),7073718)</f>
        <v>7073718</v>
      </c>
    </row>
    <row r="1128" spans="1:6" x14ac:dyDescent="0.35">
      <c r="A1128" s="2">
        <f ca="1">IFERROR(__xludf.DUMMYFUNCTION("""COMPUTED_VALUE"""),43641.6666666666)</f>
        <v>43641.666666666599</v>
      </c>
      <c r="B1128" s="1">
        <f ca="1">IFERROR(__xludf.DUMMYFUNCTION("""COMPUTED_VALUE"""),3.82)</f>
        <v>3.82</v>
      </c>
      <c r="C1128" s="1">
        <f ca="1">IFERROR(__xludf.DUMMYFUNCTION("""COMPUTED_VALUE"""),3.9)</f>
        <v>3.9</v>
      </c>
      <c r="D1128" s="1">
        <f ca="1">IFERROR(__xludf.DUMMYFUNCTION("""COMPUTED_VALUE"""),3.78)</f>
        <v>3.78</v>
      </c>
      <c r="E1128" s="1">
        <f ca="1">IFERROR(__xludf.DUMMYFUNCTION("""COMPUTED_VALUE"""),3.79)</f>
        <v>3.79</v>
      </c>
      <c r="F1128" s="1">
        <f ca="1">IFERROR(__xludf.DUMMYFUNCTION("""COMPUTED_VALUE"""),7796661)</f>
        <v>7796661</v>
      </c>
    </row>
    <row r="1129" spans="1:6" x14ac:dyDescent="0.35">
      <c r="A1129" s="2">
        <f ca="1">IFERROR(__xludf.DUMMYFUNCTION("""COMPUTED_VALUE"""),43642.6666666666)</f>
        <v>43642.666666666599</v>
      </c>
      <c r="B1129" s="1">
        <f ca="1">IFERROR(__xludf.DUMMYFUNCTION("""COMPUTED_VALUE"""),3.92)</f>
        <v>3.92</v>
      </c>
      <c r="C1129" s="1">
        <f ca="1">IFERROR(__xludf.DUMMYFUNCTION("""COMPUTED_VALUE"""),4.04)</f>
        <v>4.04</v>
      </c>
      <c r="D1129" s="1">
        <f ca="1">IFERROR(__xludf.DUMMYFUNCTION("""COMPUTED_VALUE"""),3.9)</f>
        <v>3.9</v>
      </c>
      <c r="E1129" s="1">
        <f ca="1">IFERROR(__xludf.DUMMYFUNCTION("""COMPUTED_VALUE"""),3.98)</f>
        <v>3.98</v>
      </c>
      <c r="F1129" s="1">
        <f ca="1">IFERROR(__xludf.DUMMYFUNCTION("""COMPUTED_VALUE"""),14601825)</f>
        <v>14601825</v>
      </c>
    </row>
    <row r="1130" spans="1:6" x14ac:dyDescent="0.35">
      <c r="A1130" s="2">
        <f ca="1">IFERROR(__xludf.DUMMYFUNCTION("""COMPUTED_VALUE"""),43643.6666666666)</f>
        <v>43643.666666666599</v>
      </c>
      <c r="B1130" s="1">
        <f ca="1">IFERROR(__xludf.DUMMYFUNCTION("""COMPUTED_VALUE"""),4.07)</f>
        <v>4.07</v>
      </c>
      <c r="C1130" s="1">
        <f ca="1">IFERROR(__xludf.DUMMYFUNCTION("""COMPUTED_VALUE"""),4.1)</f>
        <v>4.0999999999999996</v>
      </c>
      <c r="D1130" s="1">
        <f ca="1">IFERROR(__xludf.DUMMYFUNCTION("""COMPUTED_VALUE"""),4.03)</f>
        <v>4.03</v>
      </c>
      <c r="E1130" s="1">
        <f ca="1">IFERROR(__xludf.DUMMYFUNCTION("""COMPUTED_VALUE"""),4.08)</f>
        <v>4.08</v>
      </c>
      <c r="F1130" s="1">
        <f ca="1">IFERROR(__xludf.DUMMYFUNCTION("""COMPUTED_VALUE"""),11136038)</f>
        <v>11136038</v>
      </c>
    </row>
    <row r="1131" spans="1:6" x14ac:dyDescent="0.35">
      <c r="A1131" s="2">
        <f ca="1">IFERROR(__xludf.DUMMYFUNCTION("""COMPUTED_VALUE"""),43644.6666666666)</f>
        <v>43644.666666666599</v>
      </c>
      <c r="B1131" s="1">
        <f ca="1">IFERROR(__xludf.DUMMYFUNCTION("""COMPUTED_VALUE"""),4.13)</f>
        <v>4.13</v>
      </c>
      <c r="C1131" s="1">
        <f ca="1">IFERROR(__xludf.DUMMYFUNCTION("""COMPUTED_VALUE"""),4.13)</f>
        <v>4.13</v>
      </c>
      <c r="D1131" s="1">
        <f ca="1">IFERROR(__xludf.DUMMYFUNCTION("""COMPUTED_VALUE"""),4.06)</f>
        <v>4.0599999999999996</v>
      </c>
      <c r="E1131" s="1">
        <f ca="1">IFERROR(__xludf.DUMMYFUNCTION("""COMPUTED_VALUE"""),4.11)</f>
        <v>4.1100000000000003</v>
      </c>
      <c r="F1131" s="1">
        <f ca="1">IFERROR(__xludf.DUMMYFUNCTION("""COMPUTED_VALUE"""),9941659)</f>
        <v>9941659</v>
      </c>
    </row>
    <row r="1132" spans="1:6" x14ac:dyDescent="0.35">
      <c r="A1132" s="2">
        <f ca="1">IFERROR(__xludf.DUMMYFUNCTION("""COMPUTED_VALUE"""),43647.6666666666)</f>
        <v>43647.666666666599</v>
      </c>
      <c r="B1132" s="1">
        <f ca="1">IFERROR(__xludf.DUMMYFUNCTION("""COMPUTED_VALUE"""),4.31)</f>
        <v>4.3099999999999996</v>
      </c>
      <c r="C1132" s="1">
        <f ca="1">IFERROR(__xludf.DUMMYFUNCTION("""COMPUTED_VALUE"""),4.35)</f>
        <v>4.3499999999999996</v>
      </c>
      <c r="D1132" s="1">
        <f ca="1">IFERROR(__xludf.DUMMYFUNCTION("""COMPUTED_VALUE"""),4.12)</f>
        <v>4.12</v>
      </c>
      <c r="E1132" s="1">
        <f ca="1">IFERROR(__xludf.DUMMYFUNCTION("""COMPUTED_VALUE"""),4.15)</f>
        <v>4.1500000000000004</v>
      </c>
      <c r="F1132" s="1">
        <f ca="1">IFERROR(__xludf.DUMMYFUNCTION("""COMPUTED_VALUE"""),17788327)</f>
        <v>17788327</v>
      </c>
    </row>
    <row r="1133" spans="1:6" x14ac:dyDescent="0.35">
      <c r="A1133" s="2">
        <f ca="1">IFERROR(__xludf.DUMMYFUNCTION("""COMPUTED_VALUE"""),43648.6666666666)</f>
        <v>43648.666666666599</v>
      </c>
      <c r="B1133" s="1">
        <f ca="1">IFERROR(__xludf.DUMMYFUNCTION("""COMPUTED_VALUE"""),4.14)</f>
        <v>4.1399999999999997</v>
      </c>
      <c r="C1133" s="1">
        <f ca="1">IFERROR(__xludf.DUMMYFUNCTION("""COMPUTED_VALUE"""),4.16)</f>
        <v>4.16</v>
      </c>
      <c r="D1133" s="1">
        <f ca="1">IFERROR(__xludf.DUMMYFUNCTION("""COMPUTED_VALUE"""),4.04)</f>
        <v>4.04</v>
      </c>
      <c r="E1133" s="1">
        <f ca="1">IFERROR(__xludf.DUMMYFUNCTION("""COMPUTED_VALUE"""),4.06)</f>
        <v>4.0599999999999996</v>
      </c>
      <c r="F1133" s="1">
        <f ca="1">IFERROR(__xludf.DUMMYFUNCTION("""COMPUTED_VALUE"""),10005688)</f>
        <v>10005688</v>
      </c>
    </row>
    <row r="1134" spans="1:6" x14ac:dyDescent="0.35">
      <c r="A1134" s="2">
        <f ca="1">IFERROR(__xludf.DUMMYFUNCTION("""COMPUTED_VALUE"""),43649.5416666666)</f>
        <v>43649.541666666599</v>
      </c>
      <c r="B1134" s="1">
        <f ca="1">IFERROR(__xludf.DUMMYFUNCTION("""COMPUTED_VALUE"""),4.08)</f>
        <v>4.08</v>
      </c>
      <c r="C1134" s="1">
        <f ca="1">IFERROR(__xludf.DUMMYFUNCTION("""COMPUTED_VALUE"""),4.09)</f>
        <v>4.09</v>
      </c>
      <c r="D1134" s="1">
        <f ca="1">IFERROR(__xludf.DUMMYFUNCTION("""COMPUTED_VALUE"""),4.01)</f>
        <v>4.01</v>
      </c>
      <c r="E1134" s="1">
        <f ca="1">IFERROR(__xludf.DUMMYFUNCTION("""COMPUTED_VALUE"""),4.07)</f>
        <v>4.07</v>
      </c>
      <c r="F1134" s="1">
        <f ca="1">IFERROR(__xludf.DUMMYFUNCTION("""COMPUTED_VALUE"""),6165856)</f>
        <v>6165856</v>
      </c>
    </row>
    <row r="1135" spans="1:6" x14ac:dyDescent="0.35">
      <c r="A1135" s="2">
        <f ca="1">IFERROR(__xludf.DUMMYFUNCTION("""COMPUTED_VALUE"""),43651.6666666666)</f>
        <v>43651.666666666599</v>
      </c>
      <c r="B1135" s="1">
        <f ca="1">IFERROR(__xludf.DUMMYFUNCTION("""COMPUTED_VALUE"""),4.01)</f>
        <v>4.01</v>
      </c>
      <c r="C1135" s="1">
        <f ca="1">IFERROR(__xludf.DUMMYFUNCTION("""COMPUTED_VALUE"""),4.01)</f>
        <v>4.01</v>
      </c>
      <c r="D1135" s="1">
        <f ca="1">IFERROR(__xludf.DUMMYFUNCTION("""COMPUTED_VALUE"""),3.94)</f>
        <v>3.94</v>
      </c>
      <c r="E1135" s="1">
        <f ca="1">IFERROR(__xludf.DUMMYFUNCTION("""COMPUTED_VALUE"""),4.01)</f>
        <v>4.01</v>
      </c>
      <c r="F1135" s="1">
        <f ca="1">IFERROR(__xludf.DUMMYFUNCTION("""COMPUTED_VALUE"""),9913847)</f>
        <v>9913847</v>
      </c>
    </row>
    <row r="1136" spans="1:6" x14ac:dyDescent="0.35">
      <c r="A1136" s="2">
        <f ca="1">IFERROR(__xludf.DUMMYFUNCTION("""COMPUTED_VALUE"""),43654.6666666666)</f>
        <v>43654.666666666599</v>
      </c>
      <c r="B1136" s="1">
        <f ca="1">IFERROR(__xludf.DUMMYFUNCTION("""COMPUTED_VALUE"""),3.95)</f>
        <v>3.95</v>
      </c>
      <c r="C1136" s="1">
        <f ca="1">IFERROR(__xludf.DUMMYFUNCTION("""COMPUTED_VALUE"""),3.96)</f>
        <v>3.96</v>
      </c>
      <c r="D1136" s="1">
        <f ca="1">IFERROR(__xludf.DUMMYFUNCTION("""COMPUTED_VALUE"""),3.9)</f>
        <v>3.9</v>
      </c>
      <c r="E1136" s="1">
        <f ca="1">IFERROR(__xludf.DUMMYFUNCTION("""COMPUTED_VALUE"""),3.93)</f>
        <v>3.93</v>
      </c>
      <c r="F1136" s="1">
        <f ca="1">IFERROR(__xludf.DUMMYFUNCTION("""COMPUTED_VALUE"""),8244669)</f>
        <v>8244669</v>
      </c>
    </row>
    <row r="1137" spans="1:6" x14ac:dyDescent="0.35">
      <c r="A1137" s="2">
        <f ca="1">IFERROR(__xludf.DUMMYFUNCTION("""COMPUTED_VALUE"""),43655.6666666666)</f>
        <v>43655.666666666599</v>
      </c>
      <c r="B1137" s="1">
        <f ca="1">IFERROR(__xludf.DUMMYFUNCTION("""COMPUTED_VALUE"""),3.89)</f>
        <v>3.89</v>
      </c>
      <c r="C1137" s="1">
        <f ca="1">IFERROR(__xludf.DUMMYFUNCTION("""COMPUTED_VALUE"""),3.96)</f>
        <v>3.96</v>
      </c>
      <c r="D1137" s="1">
        <f ca="1">IFERROR(__xludf.DUMMYFUNCTION("""COMPUTED_VALUE"""),3.88)</f>
        <v>3.88</v>
      </c>
      <c r="E1137" s="1">
        <f ca="1">IFERROR(__xludf.DUMMYFUNCTION("""COMPUTED_VALUE"""),3.93)</f>
        <v>3.93</v>
      </c>
      <c r="F1137" s="1">
        <f ca="1">IFERROR(__xludf.DUMMYFUNCTION("""COMPUTED_VALUE"""),8571512)</f>
        <v>8571512</v>
      </c>
    </row>
    <row r="1138" spans="1:6" x14ac:dyDescent="0.35">
      <c r="A1138" s="2">
        <f ca="1">IFERROR(__xludf.DUMMYFUNCTION("""COMPUTED_VALUE"""),43656.6666666666)</f>
        <v>43656.666666666599</v>
      </c>
      <c r="B1138" s="1">
        <f ca="1">IFERROR(__xludf.DUMMYFUNCTION("""COMPUTED_VALUE"""),3.98)</f>
        <v>3.98</v>
      </c>
      <c r="C1138" s="1">
        <f ca="1">IFERROR(__xludf.DUMMYFUNCTION("""COMPUTED_VALUE"""),4.06)</f>
        <v>4.0599999999999996</v>
      </c>
      <c r="D1138" s="1">
        <f ca="1">IFERROR(__xludf.DUMMYFUNCTION("""COMPUTED_VALUE"""),3.96)</f>
        <v>3.96</v>
      </c>
      <c r="E1138" s="1">
        <f ca="1">IFERROR(__xludf.DUMMYFUNCTION("""COMPUTED_VALUE"""),4)</f>
        <v>4</v>
      </c>
      <c r="F1138" s="1">
        <f ca="1">IFERROR(__xludf.DUMMYFUNCTION("""COMPUTED_VALUE"""),11301899)</f>
        <v>11301899</v>
      </c>
    </row>
    <row r="1139" spans="1:6" x14ac:dyDescent="0.35">
      <c r="A1139" s="2">
        <f ca="1">IFERROR(__xludf.DUMMYFUNCTION("""COMPUTED_VALUE"""),43657.6666666666)</f>
        <v>43657.666666666599</v>
      </c>
      <c r="B1139" s="1">
        <f ca="1">IFERROR(__xludf.DUMMYFUNCTION("""COMPUTED_VALUE"""),4.08)</f>
        <v>4.08</v>
      </c>
      <c r="C1139" s="1">
        <f ca="1">IFERROR(__xludf.DUMMYFUNCTION("""COMPUTED_VALUE"""),4.2)</f>
        <v>4.2</v>
      </c>
      <c r="D1139" s="1">
        <f ca="1">IFERROR(__xludf.DUMMYFUNCTION("""COMPUTED_VALUE"""),4.04)</f>
        <v>4.04</v>
      </c>
      <c r="E1139" s="1">
        <f ca="1">IFERROR(__xludf.DUMMYFUNCTION("""COMPUTED_VALUE"""),4.16)</f>
        <v>4.16</v>
      </c>
      <c r="F1139" s="1">
        <f ca="1">IFERROR(__xludf.DUMMYFUNCTION("""COMPUTED_VALUE"""),17063964)</f>
        <v>17063964</v>
      </c>
    </row>
    <row r="1140" spans="1:6" x14ac:dyDescent="0.35">
      <c r="A1140" s="2">
        <f ca="1">IFERROR(__xludf.DUMMYFUNCTION("""COMPUTED_VALUE"""),43658.6666666666)</f>
        <v>43658.666666666599</v>
      </c>
      <c r="B1140" s="1">
        <f ca="1">IFERROR(__xludf.DUMMYFUNCTION("""COMPUTED_VALUE"""),4.18)</f>
        <v>4.18</v>
      </c>
      <c r="C1140" s="1">
        <f ca="1">IFERROR(__xludf.DUMMYFUNCTION("""COMPUTED_VALUE"""),4.26)</f>
        <v>4.26</v>
      </c>
      <c r="D1140" s="1">
        <f ca="1">IFERROR(__xludf.DUMMYFUNCTION("""COMPUTED_VALUE"""),4.18)</f>
        <v>4.18</v>
      </c>
      <c r="E1140" s="1">
        <f ca="1">IFERROR(__xludf.DUMMYFUNCTION("""COMPUTED_VALUE"""),4.19)</f>
        <v>4.1900000000000004</v>
      </c>
      <c r="F1140" s="1">
        <f ca="1">IFERROR(__xludf.DUMMYFUNCTION("""COMPUTED_VALUE"""),12659816)</f>
        <v>12659816</v>
      </c>
    </row>
    <row r="1141" spans="1:6" x14ac:dyDescent="0.35">
      <c r="A1141" s="2">
        <f ca="1">IFERROR(__xludf.DUMMYFUNCTION("""COMPUTED_VALUE"""),43661.6666666666)</f>
        <v>43661.666666666599</v>
      </c>
      <c r="B1141" s="1">
        <f ca="1">IFERROR(__xludf.DUMMYFUNCTION("""COMPUTED_VALUE"""),4.21)</f>
        <v>4.21</v>
      </c>
      <c r="C1141" s="1">
        <f ca="1">IFERROR(__xludf.DUMMYFUNCTION("""COMPUTED_VALUE"""),4.23)</f>
        <v>4.2300000000000004</v>
      </c>
      <c r="D1141" s="1">
        <f ca="1">IFERROR(__xludf.DUMMYFUNCTION("""COMPUTED_VALUE"""),4.15)</f>
        <v>4.1500000000000004</v>
      </c>
      <c r="E1141" s="1">
        <f ca="1">IFERROR(__xludf.DUMMYFUNCTION("""COMPUTED_VALUE"""),4.18)</f>
        <v>4.18</v>
      </c>
      <c r="F1141" s="1">
        <f ca="1">IFERROR(__xludf.DUMMYFUNCTION("""COMPUTED_VALUE"""),7245993)</f>
        <v>7245993</v>
      </c>
    </row>
    <row r="1142" spans="1:6" x14ac:dyDescent="0.35">
      <c r="A1142" s="2">
        <f ca="1">IFERROR(__xludf.DUMMYFUNCTION("""COMPUTED_VALUE"""),43662.6666666666)</f>
        <v>43662.666666666599</v>
      </c>
      <c r="B1142" s="1">
        <f ca="1">IFERROR(__xludf.DUMMYFUNCTION("""COMPUTED_VALUE"""),4.17)</f>
        <v>4.17</v>
      </c>
      <c r="C1142" s="1">
        <f ca="1">IFERROR(__xludf.DUMMYFUNCTION("""COMPUTED_VALUE"""),4.2)</f>
        <v>4.2</v>
      </c>
      <c r="D1142" s="1">
        <f ca="1">IFERROR(__xludf.DUMMYFUNCTION("""COMPUTED_VALUE"""),4.12)</f>
        <v>4.12</v>
      </c>
      <c r="E1142" s="1">
        <f ca="1">IFERROR(__xludf.DUMMYFUNCTION("""COMPUTED_VALUE"""),4.18)</f>
        <v>4.18</v>
      </c>
      <c r="F1142" s="1">
        <f ca="1">IFERROR(__xludf.DUMMYFUNCTION("""COMPUTED_VALUE"""),8536098)</f>
        <v>8536098</v>
      </c>
    </row>
    <row r="1143" spans="1:6" x14ac:dyDescent="0.35">
      <c r="A1143" s="2">
        <f ca="1">IFERROR(__xludf.DUMMYFUNCTION("""COMPUTED_VALUE"""),43663.6666666666)</f>
        <v>43663.666666666599</v>
      </c>
      <c r="B1143" s="1">
        <f ca="1">IFERROR(__xludf.DUMMYFUNCTION("""COMPUTED_VALUE"""),4.18)</f>
        <v>4.18</v>
      </c>
      <c r="C1143" s="1">
        <f ca="1">IFERROR(__xludf.DUMMYFUNCTION("""COMPUTED_VALUE"""),4.25)</f>
        <v>4.25</v>
      </c>
      <c r="D1143" s="1">
        <f ca="1">IFERROR(__xludf.DUMMYFUNCTION("""COMPUTED_VALUE"""),4.15)</f>
        <v>4.1500000000000004</v>
      </c>
      <c r="E1143" s="1">
        <f ca="1">IFERROR(__xludf.DUMMYFUNCTION("""COMPUTED_VALUE"""),4.24)</f>
        <v>4.24</v>
      </c>
      <c r="F1143" s="1">
        <f ca="1">IFERROR(__xludf.DUMMYFUNCTION("""COMPUTED_VALUE"""),8705107)</f>
        <v>8705107</v>
      </c>
    </row>
    <row r="1144" spans="1:6" x14ac:dyDescent="0.35">
      <c r="A1144" s="2">
        <f ca="1">IFERROR(__xludf.DUMMYFUNCTION("""COMPUTED_VALUE"""),43664.6666666666)</f>
        <v>43664.666666666599</v>
      </c>
      <c r="B1144" s="1">
        <f ca="1">IFERROR(__xludf.DUMMYFUNCTION("""COMPUTED_VALUE"""),4.25)</f>
        <v>4.25</v>
      </c>
      <c r="C1144" s="1">
        <f ca="1">IFERROR(__xludf.DUMMYFUNCTION("""COMPUTED_VALUE"""),4.32)</f>
        <v>4.32</v>
      </c>
      <c r="D1144" s="1">
        <f ca="1">IFERROR(__xludf.DUMMYFUNCTION("""COMPUTED_VALUE"""),4.2)</f>
        <v>4.2</v>
      </c>
      <c r="E1144" s="1">
        <f ca="1">IFERROR(__xludf.DUMMYFUNCTION("""COMPUTED_VALUE"""),4.25)</f>
        <v>4.25</v>
      </c>
      <c r="F1144" s="1">
        <f ca="1">IFERROR(__xludf.DUMMYFUNCTION("""COMPUTED_VALUE"""),11079474)</f>
        <v>11079474</v>
      </c>
    </row>
    <row r="1145" spans="1:6" x14ac:dyDescent="0.35">
      <c r="A1145" s="2">
        <f ca="1">IFERROR(__xludf.DUMMYFUNCTION("""COMPUTED_VALUE"""),43665.6666666666)</f>
        <v>43665.666666666599</v>
      </c>
      <c r="B1145" s="1">
        <f ca="1">IFERROR(__xludf.DUMMYFUNCTION("""COMPUTED_VALUE"""),4.29)</f>
        <v>4.29</v>
      </c>
      <c r="C1145" s="1">
        <f ca="1">IFERROR(__xludf.DUMMYFUNCTION("""COMPUTED_VALUE"""),4.3)</f>
        <v>4.3</v>
      </c>
      <c r="D1145" s="1">
        <f ca="1">IFERROR(__xludf.DUMMYFUNCTION("""COMPUTED_VALUE"""),4.21)</f>
        <v>4.21</v>
      </c>
      <c r="E1145" s="1">
        <f ca="1">IFERROR(__xludf.DUMMYFUNCTION("""COMPUTED_VALUE"""),4.21)</f>
        <v>4.21</v>
      </c>
      <c r="F1145" s="1">
        <f ca="1">IFERROR(__xludf.DUMMYFUNCTION("""COMPUTED_VALUE"""),8622395)</f>
        <v>8622395</v>
      </c>
    </row>
    <row r="1146" spans="1:6" x14ac:dyDescent="0.35">
      <c r="A1146" s="2">
        <f ca="1">IFERROR(__xludf.DUMMYFUNCTION("""COMPUTED_VALUE"""),43668.6666666666)</f>
        <v>43668.666666666599</v>
      </c>
      <c r="B1146" s="1">
        <f ca="1">IFERROR(__xludf.DUMMYFUNCTION("""COMPUTED_VALUE"""),4.23)</f>
        <v>4.2300000000000004</v>
      </c>
      <c r="C1146" s="1">
        <f ca="1">IFERROR(__xludf.DUMMYFUNCTION("""COMPUTED_VALUE"""),4.3)</f>
        <v>4.3</v>
      </c>
      <c r="D1146" s="1">
        <f ca="1">IFERROR(__xludf.DUMMYFUNCTION("""COMPUTED_VALUE"""),4.22)</f>
        <v>4.22</v>
      </c>
      <c r="E1146" s="1">
        <f ca="1">IFERROR(__xludf.DUMMYFUNCTION("""COMPUTED_VALUE"""),4.28)</f>
        <v>4.28</v>
      </c>
      <c r="F1146" s="1">
        <f ca="1">IFERROR(__xludf.DUMMYFUNCTION("""COMPUTED_VALUE"""),7898498)</f>
        <v>7898498</v>
      </c>
    </row>
    <row r="1147" spans="1:6" x14ac:dyDescent="0.35">
      <c r="A1147" s="2">
        <f ca="1">IFERROR(__xludf.DUMMYFUNCTION("""COMPUTED_VALUE"""),43669.6666666666)</f>
        <v>43669.666666666599</v>
      </c>
      <c r="B1147" s="1">
        <f ca="1">IFERROR(__xludf.DUMMYFUNCTION("""COMPUTED_VALUE"""),4.32)</f>
        <v>4.32</v>
      </c>
      <c r="C1147" s="1">
        <f ca="1">IFERROR(__xludf.DUMMYFUNCTION("""COMPUTED_VALUE"""),4.39)</f>
        <v>4.3899999999999997</v>
      </c>
      <c r="D1147" s="1">
        <f ca="1">IFERROR(__xludf.DUMMYFUNCTION("""COMPUTED_VALUE"""),4.31)</f>
        <v>4.3099999999999996</v>
      </c>
      <c r="E1147" s="1">
        <f ca="1">IFERROR(__xludf.DUMMYFUNCTION("""COMPUTED_VALUE"""),4.39)</f>
        <v>4.3899999999999997</v>
      </c>
      <c r="F1147" s="1">
        <f ca="1">IFERROR(__xludf.DUMMYFUNCTION("""COMPUTED_VALUE"""),10704414)</f>
        <v>10704414</v>
      </c>
    </row>
    <row r="1148" spans="1:6" x14ac:dyDescent="0.35">
      <c r="A1148" s="2">
        <f ca="1">IFERROR(__xludf.DUMMYFUNCTION("""COMPUTED_VALUE"""),43670.6666666666)</f>
        <v>43670.666666666599</v>
      </c>
      <c r="B1148" s="1">
        <f ca="1">IFERROR(__xludf.DUMMYFUNCTION("""COMPUTED_VALUE"""),4.43)</f>
        <v>4.43</v>
      </c>
      <c r="C1148" s="1">
        <f ca="1">IFERROR(__xludf.DUMMYFUNCTION("""COMPUTED_VALUE"""),4.47)</f>
        <v>4.47</v>
      </c>
      <c r="D1148" s="1">
        <f ca="1">IFERROR(__xludf.DUMMYFUNCTION("""COMPUTED_VALUE"""),4.36)</f>
        <v>4.3600000000000003</v>
      </c>
      <c r="E1148" s="1">
        <f ca="1">IFERROR(__xludf.DUMMYFUNCTION("""COMPUTED_VALUE"""),4.47)</f>
        <v>4.47</v>
      </c>
      <c r="F1148" s="1">
        <f ca="1">IFERROR(__xludf.DUMMYFUNCTION("""COMPUTED_VALUE"""),9155937)</f>
        <v>9155937</v>
      </c>
    </row>
    <row r="1149" spans="1:6" x14ac:dyDescent="0.35">
      <c r="A1149" s="2">
        <f ca="1">IFERROR(__xludf.DUMMYFUNCTION("""COMPUTED_VALUE"""),43671.6666666666)</f>
        <v>43671.666666666599</v>
      </c>
      <c r="B1149" s="1">
        <f ca="1">IFERROR(__xludf.DUMMYFUNCTION("""COMPUTED_VALUE"""),4.42)</f>
        <v>4.42</v>
      </c>
      <c r="C1149" s="1">
        <f ca="1">IFERROR(__xludf.DUMMYFUNCTION("""COMPUTED_VALUE"""),4.44)</f>
        <v>4.4400000000000004</v>
      </c>
      <c r="D1149" s="1">
        <f ca="1">IFERROR(__xludf.DUMMYFUNCTION("""COMPUTED_VALUE"""),4.31)</f>
        <v>4.3099999999999996</v>
      </c>
      <c r="E1149" s="1">
        <f ca="1">IFERROR(__xludf.DUMMYFUNCTION("""COMPUTED_VALUE"""),4.33)</f>
        <v>4.33</v>
      </c>
      <c r="F1149" s="1">
        <f ca="1">IFERROR(__xludf.DUMMYFUNCTION("""COMPUTED_VALUE"""),9817453)</f>
        <v>9817453</v>
      </c>
    </row>
    <row r="1150" spans="1:6" x14ac:dyDescent="0.35">
      <c r="A1150" s="2">
        <f ca="1">IFERROR(__xludf.DUMMYFUNCTION("""COMPUTED_VALUE"""),43672.6666666666)</f>
        <v>43672.666666666599</v>
      </c>
      <c r="B1150" s="1">
        <f ca="1">IFERROR(__xludf.DUMMYFUNCTION("""COMPUTED_VALUE"""),4.36)</f>
        <v>4.3600000000000003</v>
      </c>
      <c r="C1150" s="1">
        <f ca="1">IFERROR(__xludf.DUMMYFUNCTION("""COMPUTED_VALUE"""),4.42)</f>
        <v>4.42</v>
      </c>
      <c r="D1150" s="1">
        <f ca="1">IFERROR(__xludf.DUMMYFUNCTION("""COMPUTED_VALUE"""),4.36)</f>
        <v>4.3600000000000003</v>
      </c>
      <c r="E1150" s="1">
        <f ca="1">IFERROR(__xludf.DUMMYFUNCTION("""COMPUTED_VALUE"""),4.38)</f>
        <v>4.38</v>
      </c>
      <c r="F1150" s="1">
        <f ca="1">IFERROR(__xludf.DUMMYFUNCTION("""COMPUTED_VALUE"""),6853997)</f>
        <v>6853997</v>
      </c>
    </row>
    <row r="1151" spans="1:6" x14ac:dyDescent="0.35">
      <c r="A1151" s="2">
        <f ca="1">IFERROR(__xludf.DUMMYFUNCTION("""COMPUTED_VALUE"""),43675.6666666666)</f>
        <v>43675.666666666599</v>
      </c>
      <c r="B1151" s="1">
        <f ca="1">IFERROR(__xludf.DUMMYFUNCTION("""COMPUTED_VALUE"""),4.37)</f>
        <v>4.37</v>
      </c>
      <c r="C1151" s="1">
        <f ca="1">IFERROR(__xludf.DUMMYFUNCTION("""COMPUTED_VALUE"""),4.39)</f>
        <v>4.3899999999999997</v>
      </c>
      <c r="D1151" s="1">
        <f ca="1">IFERROR(__xludf.DUMMYFUNCTION("""COMPUTED_VALUE"""),4.28)</f>
        <v>4.28</v>
      </c>
      <c r="E1151" s="1">
        <f ca="1">IFERROR(__xludf.DUMMYFUNCTION("""COMPUTED_VALUE"""),4.37)</f>
        <v>4.37</v>
      </c>
      <c r="F1151" s="1">
        <f ca="1">IFERROR(__xludf.DUMMYFUNCTION("""COMPUTED_VALUE"""),6204049)</f>
        <v>6204049</v>
      </c>
    </row>
    <row r="1152" spans="1:6" x14ac:dyDescent="0.35">
      <c r="A1152" s="2">
        <f ca="1">IFERROR(__xludf.DUMMYFUNCTION("""COMPUTED_VALUE"""),43676.6666666666)</f>
        <v>43676.666666666599</v>
      </c>
      <c r="B1152" s="1">
        <f ca="1">IFERROR(__xludf.DUMMYFUNCTION("""COMPUTED_VALUE"""),4.32)</f>
        <v>4.32</v>
      </c>
      <c r="C1152" s="1">
        <f ca="1">IFERROR(__xludf.DUMMYFUNCTION("""COMPUTED_VALUE"""),4.4)</f>
        <v>4.4000000000000004</v>
      </c>
      <c r="D1152" s="1">
        <f ca="1">IFERROR(__xludf.DUMMYFUNCTION("""COMPUTED_VALUE"""),4.31)</f>
        <v>4.3099999999999996</v>
      </c>
      <c r="E1152" s="1">
        <f ca="1">IFERROR(__xludf.DUMMYFUNCTION("""COMPUTED_VALUE"""),4.39)</f>
        <v>4.3899999999999997</v>
      </c>
      <c r="F1152" s="1">
        <f ca="1">IFERROR(__xludf.DUMMYFUNCTION("""COMPUTED_VALUE"""),4944261)</f>
        <v>4944261</v>
      </c>
    </row>
    <row r="1153" spans="1:6" x14ac:dyDescent="0.35">
      <c r="A1153" s="2">
        <f ca="1">IFERROR(__xludf.DUMMYFUNCTION("""COMPUTED_VALUE"""),43677.6666666666)</f>
        <v>43677.666666666599</v>
      </c>
      <c r="B1153" s="1">
        <f ca="1">IFERROR(__xludf.DUMMYFUNCTION("""COMPUTED_VALUE"""),4.35)</f>
        <v>4.3499999999999996</v>
      </c>
      <c r="C1153" s="1">
        <f ca="1">IFERROR(__xludf.DUMMYFUNCTION("""COMPUTED_VALUE"""),4.36)</f>
        <v>4.3600000000000003</v>
      </c>
      <c r="D1153" s="1">
        <f ca="1">IFERROR(__xludf.DUMMYFUNCTION("""COMPUTED_VALUE"""),4.18)</f>
        <v>4.18</v>
      </c>
      <c r="E1153" s="1">
        <f ca="1">IFERROR(__xludf.DUMMYFUNCTION("""COMPUTED_VALUE"""),4.22)</f>
        <v>4.22</v>
      </c>
      <c r="F1153" s="1">
        <f ca="1">IFERROR(__xludf.DUMMYFUNCTION("""COMPUTED_VALUE"""),8985391)</f>
        <v>8985391</v>
      </c>
    </row>
    <row r="1154" spans="1:6" x14ac:dyDescent="0.35">
      <c r="A1154" s="2">
        <f ca="1">IFERROR(__xludf.DUMMYFUNCTION("""COMPUTED_VALUE"""),43678.6666666666)</f>
        <v>43678.666666666599</v>
      </c>
      <c r="B1154" s="1">
        <f ca="1">IFERROR(__xludf.DUMMYFUNCTION("""COMPUTED_VALUE"""),4.23)</f>
        <v>4.2300000000000004</v>
      </c>
      <c r="C1154" s="1">
        <f ca="1">IFERROR(__xludf.DUMMYFUNCTION("""COMPUTED_VALUE"""),4.32)</f>
        <v>4.32</v>
      </c>
      <c r="D1154" s="1">
        <f ca="1">IFERROR(__xludf.DUMMYFUNCTION("""COMPUTED_VALUE"""),4.07)</f>
        <v>4.07</v>
      </c>
      <c r="E1154" s="1">
        <f ca="1">IFERROR(__xludf.DUMMYFUNCTION("""COMPUTED_VALUE"""),4.12)</f>
        <v>4.12</v>
      </c>
      <c r="F1154" s="1">
        <f ca="1">IFERROR(__xludf.DUMMYFUNCTION("""COMPUTED_VALUE"""),10530314)</f>
        <v>10530314</v>
      </c>
    </row>
    <row r="1155" spans="1:6" x14ac:dyDescent="0.35">
      <c r="A1155" s="2">
        <f ca="1">IFERROR(__xludf.DUMMYFUNCTION("""COMPUTED_VALUE"""),43679.6666666666)</f>
        <v>43679.666666666599</v>
      </c>
      <c r="B1155" s="1">
        <f ca="1">IFERROR(__xludf.DUMMYFUNCTION("""COMPUTED_VALUE"""),4.03)</f>
        <v>4.03</v>
      </c>
      <c r="C1155" s="1">
        <f ca="1">IFERROR(__xludf.DUMMYFUNCTION("""COMPUTED_VALUE"""),4.1)</f>
        <v>4.0999999999999996</v>
      </c>
      <c r="D1155" s="1">
        <f ca="1">IFERROR(__xludf.DUMMYFUNCTION("""COMPUTED_VALUE"""),3.98)</f>
        <v>3.98</v>
      </c>
      <c r="E1155" s="1">
        <f ca="1">IFERROR(__xludf.DUMMYFUNCTION("""COMPUTED_VALUE"""),4.03)</f>
        <v>4.03</v>
      </c>
      <c r="F1155" s="1">
        <f ca="1">IFERROR(__xludf.DUMMYFUNCTION("""COMPUTED_VALUE"""),10708732)</f>
        <v>10708732</v>
      </c>
    </row>
    <row r="1156" spans="1:6" x14ac:dyDescent="0.35">
      <c r="A1156" s="2">
        <f ca="1">IFERROR(__xludf.DUMMYFUNCTION("""COMPUTED_VALUE"""),43682.6666666666)</f>
        <v>43682.666666666599</v>
      </c>
      <c r="B1156" s="1">
        <f ca="1">IFERROR(__xludf.DUMMYFUNCTION("""COMPUTED_VALUE"""),3.85)</f>
        <v>3.85</v>
      </c>
      <c r="C1156" s="1">
        <f ca="1">IFERROR(__xludf.DUMMYFUNCTION("""COMPUTED_VALUE"""),3.85)</f>
        <v>3.85</v>
      </c>
      <c r="D1156" s="1">
        <f ca="1">IFERROR(__xludf.DUMMYFUNCTION("""COMPUTED_VALUE"""),3.72)</f>
        <v>3.72</v>
      </c>
      <c r="E1156" s="1">
        <f ca="1">IFERROR(__xludf.DUMMYFUNCTION("""COMPUTED_VALUE"""),3.77)</f>
        <v>3.77</v>
      </c>
      <c r="F1156" s="1">
        <f ca="1">IFERROR(__xludf.DUMMYFUNCTION("""COMPUTED_VALUE"""),14728936)</f>
        <v>14728936</v>
      </c>
    </row>
    <row r="1157" spans="1:6" x14ac:dyDescent="0.35">
      <c r="A1157" s="2">
        <f ca="1">IFERROR(__xludf.DUMMYFUNCTION("""COMPUTED_VALUE"""),43683.6666666666)</f>
        <v>43683.666666666599</v>
      </c>
      <c r="B1157" s="1">
        <f ca="1">IFERROR(__xludf.DUMMYFUNCTION("""COMPUTED_VALUE"""),3.85)</f>
        <v>3.85</v>
      </c>
      <c r="C1157" s="1">
        <f ca="1">IFERROR(__xludf.DUMMYFUNCTION("""COMPUTED_VALUE"""),3.89)</f>
        <v>3.89</v>
      </c>
      <c r="D1157" s="1">
        <f ca="1">IFERROR(__xludf.DUMMYFUNCTION("""COMPUTED_VALUE"""),3.76)</f>
        <v>3.76</v>
      </c>
      <c r="E1157" s="1">
        <f ca="1">IFERROR(__xludf.DUMMYFUNCTION("""COMPUTED_VALUE"""),3.81)</f>
        <v>3.81</v>
      </c>
      <c r="F1157" s="1">
        <f ca="1">IFERROR(__xludf.DUMMYFUNCTION("""COMPUTED_VALUE"""),9031767)</f>
        <v>9031767</v>
      </c>
    </row>
    <row r="1158" spans="1:6" x14ac:dyDescent="0.35">
      <c r="A1158" s="2">
        <f ca="1">IFERROR(__xludf.DUMMYFUNCTION("""COMPUTED_VALUE"""),43684.6666666666)</f>
        <v>43684.666666666599</v>
      </c>
      <c r="B1158" s="1">
        <f ca="1">IFERROR(__xludf.DUMMYFUNCTION("""COMPUTED_VALUE"""),3.75)</f>
        <v>3.75</v>
      </c>
      <c r="C1158" s="1">
        <f ca="1">IFERROR(__xludf.DUMMYFUNCTION("""COMPUTED_VALUE"""),3.86)</f>
        <v>3.86</v>
      </c>
      <c r="D1158" s="1">
        <f ca="1">IFERROR(__xludf.DUMMYFUNCTION("""COMPUTED_VALUE"""),3.73)</f>
        <v>3.73</v>
      </c>
      <c r="E1158" s="1">
        <f ca="1">IFERROR(__xludf.DUMMYFUNCTION("""COMPUTED_VALUE"""),3.85)</f>
        <v>3.85</v>
      </c>
      <c r="F1158" s="1">
        <f ca="1">IFERROR(__xludf.DUMMYFUNCTION("""COMPUTED_VALUE"""),9314045)</f>
        <v>9314045</v>
      </c>
    </row>
    <row r="1159" spans="1:6" x14ac:dyDescent="0.35">
      <c r="A1159" s="2">
        <f ca="1">IFERROR(__xludf.DUMMYFUNCTION("""COMPUTED_VALUE"""),43685.6666666666)</f>
        <v>43685.666666666599</v>
      </c>
      <c r="B1159" s="1">
        <f ca="1">IFERROR(__xludf.DUMMYFUNCTION("""COMPUTED_VALUE"""),3.91)</f>
        <v>3.91</v>
      </c>
      <c r="C1159" s="1">
        <f ca="1">IFERROR(__xludf.DUMMYFUNCTION("""COMPUTED_VALUE"""),3.96)</f>
        <v>3.96</v>
      </c>
      <c r="D1159" s="1">
        <f ca="1">IFERROR(__xludf.DUMMYFUNCTION("""COMPUTED_VALUE"""),3.85)</f>
        <v>3.85</v>
      </c>
      <c r="E1159" s="1">
        <f ca="1">IFERROR(__xludf.DUMMYFUNCTION("""COMPUTED_VALUE"""),3.96)</f>
        <v>3.96</v>
      </c>
      <c r="F1159" s="1">
        <f ca="1">IFERROR(__xludf.DUMMYFUNCTION("""COMPUTED_VALUE"""),7732472)</f>
        <v>7732472</v>
      </c>
    </row>
    <row r="1160" spans="1:6" x14ac:dyDescent="0.35">
      <c r="A1160" s="2">
        <f ca="1">IFERROR(__xludf.DUMMYFUNCTION("""COMPUTED_VALUE"""),43686.6666666666)</f>
        <v>43686.666666666599</v>
      </c>
      <c r="B1160" s="1">
        <f ca="1">IFERROR(__xludf.DUMMYFUNCTION("""COMPUTED_VALUE"""),3.92)</f>
        <v>3.92</v>
      </c>
      <c r="C1160" s="1">
        <f ca="1">IFERROR(__xludf.DUMMYFUNCTION("""COMPUTED_VALUE"""),3.92)</f>
        <v>3.92</v>
      </c>
      <c r="D1160" s="1">
        <f ca="1">IFERROR(__xludf.DUMMYFUNCTION("""COMPUTED_VALUE"""),3.8)</f>
        <v>3.8</v>
      </c>
      <c r="E1160" s="1">
        <f ca="1">IFERROR(__xludf.DUMMYFUNCTION("""COMPUTED_VALUE"""),3.85)</f>
        <v>3.85</v>
      </c>
      <c r="F1160" s="1">
        <f ca="1">IFERROR(__xludf.DUMMYFUNCTION("""COMPUTED_VALUE"""),8545418)</f>
        <v>8545418</v>
      </c>
    </row>
    <row r="1161" spans="1:6" x14ac:dyDescent="0.35">
      <c r="A1161" s="2">
        <f ca="1">IFERROR(__xludf.DUMMYFUNCTION("""COMPUTED_VALUE"""),43689.6666666666)</f>
        <v>43689.666666666599</v>
      </c>
      <c r="B1161" s="1">
        <f ca="1">IFERROR(__xludf.DUMMYFUNCTION("""COMPUTED_VALUE"""),3.8)</f>
        <v>3.8</v>
      </c>
      <c r="C1161" s="1">
        <f ca="1">IFERROR(__xludf.DUMMYFUNCTION("""COMPUTED_VALUE"""),3.85)</f>
        <v>3.85</v>
      </c>
      <c r="D1161" s="1">
        <f ca="1">IFERROR(__xludf.DUMMYFUNCTION("""COMPUTED_VALUE"""),3.76)</f>
        <v>3.76</v>
      </c>
      <c r="E1161" s="1">
        <f ca="1">IFERROR(__xludf.DUMMYFUNCTION("""COMPUTED_VALUE"""),3.79)</f>
        <v>3.79</v>
      </c>
      <c r="F1161" s="1">
        <f ca="1">IFERROR(__xludf.DUMMYFUNCTION("""COMPUTED_VALUE"""),6980012)</f>
        <v>6980012</v>
      </c>
    </row>
    <row r="1162" spans="1:6" x14ac:dyDescent="0.35">
      <c r="A1162" s="2">
        <f ca="1">IFERROR(__xludf.DUMMYFUNCTION("""COMPUTED_VALUE"""),43690.6666666666)</f>
        <v>43690.666666666599</v>
      </c>
      <c r="B1162" s="1">
        <f ca="1">IFERROR(__xludf.DUMMYFUNCTION("""COMPUTED_VALUE"""),3.78)</f>
        <v>3.78</v>
      </c>
      <c r="C1162" s="1">
        <f ca="1">IFERROR(__xludf.DUMMYFUNCTION("""COMPUTED_VALUE"""),3.95)</f>
        <v>3.95</v>
      </c>
      <c r="D1162" s="1">
        <f ca="1">IFERROR(__xludf.DUMMYFUNCTION("""COMPUTED_VALUE"""),3.75)</f>
        <v>3.75</v>
      </c>
      <c r="E1162" s="1">
        <f ca="1">IFERROR(__xludf.DUMMYFUNCTION("""COMPUTED_VALUE"""),3.9)</f>
        <v>3.9</v>
      </c>
      <c r="F1162" s="1">
        <f ca="1">IFERROR(__xludf.DUMMYFUNCTION("""COMPUTED_VALUE"""),9012811)</f>
        <v>9012811</v>
      </c>
    </row>
    <row r="1163" spans="1:6" x14ac:dyDescent="0.35">
      <c r="A1163" s="2">
        <f ca="1">IFERROR(__xludf.DUMMYFUNCTION("""COMPUTED_VALUE"""),43691.6666666666)</f>
        <v>43691.666666666599</v>
      </c>
      <c r="B1163" s="1">
        <f ca="1">IFERROR(__xludf.DUMMYFUNCTION("""COMPUTED_VALUE"""),3.81)</f>
        <v>3.81</v>
      </c>
      <c r="C1163" s="1">
        <f ca="1">IFERROR(__xludf.DUMMYFUNCTION("""COMPUTED_VALUE"""),3.82)</f>
        <v>3.82</v>
      </c>
      <c r="D1163" s="1">
        <f ca="1">IFERROR(__xludf.DUMMYFUNCTION("""COMPUTED_VALUE"""),3.71)</f>
        <v>3.71</v>
      </c>
      <c r="E1163" s="1">
        <f ca="1">IFERROR(__xludf.DUMMYFUNCTION("""COMPUTED_VALUE"""),3.75)</f>
        <v>3.75</v>
      </c>
      <c r="F1163" s="1">
        <f ca="1">IFERROR(__xludf.DUMMYFUNCTION("""COMPUTED_VALUE"""),10497033)</f>
        <v>10497033</v>
      </c>
    </row>
    <row r="1164" spans="1:6" x14ac:dyDescent="0.35">
      <c r="A1164" s="2">
        <f ca="1">IFERROR(__xludf.DUMMYFUNCTION("""COMPUTED_VALUE"""),43692.6666666666)</f>
        <v>43692.666666666599</v>
      </c>
      <c r="B1164" s="1">
        <f ca="1">IFERROR(__xludf.DUMMYFUNCTION("""COMPUTED_VALUE"""),3.77)</f>
        <v>3.77</v>
      </c>
      <c r="C1164" s="1">
        <f ca="1">IFERROR(__xludf.DUMMYFUNCTION("""COMPUTED_VALUE"""),3.79)</f>
        <v>3.79</v>
      </c>
      <c r="D1164" s="1">
        <f ca="1">IFERROR(__xludf.DUMMYFUNCTION("""COMPUTED_VALUE"""),3.68)</f>
        <v>3.68</v>
      </c>
      <c r="E1164" s="1">
        <f ca="1">IFERROR(__xludf.DUMMYFUNCTION("""COMPUTED_VALUE"""),3.72)</f>
        <v>3.72</v>
      </c>
      <c r="F1164" s="1">
        <f ca="1">IFERROR(__xludf.DUMMYFUNCTION("""COMPUTED_VALUE"""),13861551)</f>
        <v>13861551</v>
      </c>
    </row>
    <row r="1165" spans="1:6" x14ac:dyDescent="0.35">
      <c r="A1165" s="2">
        <f ca="1">IFERROR(__xludf.DUMMYFUNCTION("""COMPUTED_VALUE"""),43693.6666666666)</f>
        <v>43693.666666666599</v>
      </c>
      <c r="B1165" s="1">
        <f ca="1">IFERROR(__xludf.DUMMYFUNCTION("""COMPUTED_VALUE"""),3.98)</f>
        <v>3.98</v>
      </c>
      <c r="C1165" s="1">
        <f ca="1">IFERROR(__xludf.DUMMYFUNCTION("""COMPUTED_VALUE"""),4.04)</f>
        <v>4.04</v>
      </c>
      <c r="D1165" s="1">
        <f ca="1">IFERROR(__xludf.DUMMYFUNCTION("""COMPUTED_VALUE"""),3.92)</f>
        <v>3.92</v>
      </c>
      <c r="E1165" s="1">
        <f ca="1">IFERROR(__xludf.DUMMYFUNCTION("""COMPUTED_VALUE"""),3.99)</f>
        <v>3.99</v>
      </c>
      <c r="F1165" s="1">
        <f ca="1">IFERROR(__xludf.DUMMYFUNCTION("""COMPUTED_VALUE"""),25384628)</f>
        <v>25384628</v>
      </c>
    </row>
    <row r="1166" spans="1:6" x14ac:dyDescent="0.35">
      <c r="A1166" s="2">
        <f ca="1">IFERROR(__xludf.DUMMYFUNCTION("""COMPUTED_VALUE"""),43696.6666666666)</f>
        <v>43696.666666666599</v>
      </c>
      <c r="B1166" s="1">
        <f ca="1">IFERROR(__xludf.DUMMYFUNCTION("""COMPUTED_VALUE"""),4.1)</f>
        <v>4.0999999999999996</v>
      </c>
      <c r="C1166" s="1">
        <f ca="1">IFERROR(__xludf.DUMMYFUNCTION("""COMPUTED_VALUE"""),4.29)</f>
        <v>4.29</v>
      </c>
      <c r="D1166" s="1">
        <f ca="1">IFERROR(__xludf.DUMMYFUNCTION("""COMPUTED_VALUE"""),4.09)</f>
        <v>4.09</v>
      </c>
      <c r="E1166" s="1">
        <f ca="1">IFERROR(__xludf.DUMMYFUNCTION("""COMPUTED_VALUE"""),4.27)</f>
        <v>4.2699999999999996</v>
      </c>
      <c r="F1166" s="1">
        <f ca="1">IFERROR(__xludf.DUMMYFUNCTION("""COMPUTED_VALUE"""),20408061)</f>
        <v>20408061</v>
      </c>
    </row>
    <row r="1167" spans="1:6" x14ac:dyDescent="0.35">
      <c r="A1167" s="2">
        <f ca="1">IFERROR(__xludf.DUMMYFUNCTION("""COMPUTED_VALUE"""),43697.6666666666)</f>
        <v>43697.666666666599</v>
      </c>
      <c r="B1167" s="1">
        <f ca="1">IFERROR(__xludf.DUMMYFUNCTION("""COMPUTED_VALUE"""),4.26)</f>
        <v>4.26</v>
      </c>
      <c r="C1167" s="1">
        <f ca="1">IFERROR(__xludf.DUMMYFUNCTION("""COMPUTED_VALUE"""),4.26)</f>
        <v>4.26</v>
      </c>
      <c r="D1167" s="1">
        <f ca="1">IFERROR(__xludf.DUMMYFUNCTION("""COMPUTED_VALUE"""),4.18)</f>
        <v>4.18</v>
      </c>
      <c r="E1167" s="1">
        <f ca="1">IFERROR(__xludf.DUMMYFUNCTION("""COMPUTED_VALUE"""),4.2)</f>
        <v>4.2</v>
      </c>
      <c r="F1167" s="1">
        <f ca="1">IFERROR(__xludf.DUMMYFUNCTION("""COMPUTED_VALUE"""),11588040)</f>
        <v>11588040</v>
      </c>
    </row>
    <row r="1168" spans="1:6" x14ac:dyDescent="0.35">
      <c r="A1168" s="2">
        <f ca="1">IFERROR(__xludf.DUMMYFUNCTION("""COMPUTED_VALUE"""),43698.6666666666)</f>
        <v>43698.666666666599</v>
      </c>
      <c r="B1168" s="1">
        <f ca="1">IFERROR(__xludf.DUMMYFUNCTION("""COMPUTED_VALUE"""),4.26)</f>
        <v>4.26</v>
      </c>
      <c r="C1168" s="1">
        <f ca="1">IFERROR(__xludf.DUMMYFUNCTION("""COMPUTED_VALUE"""),4.34)</f>
        <v>4.34</v>
      </c>
      <c r="D1168" s="1">
        <f ca="1">IFERROR(__xludf.DUMMYFUNCTION("""COMPUTED_VALUE"""),4.24)</f>
        <v>4.24</v>
      </c>
      <c r="E1168" s="1">
        <f ca="1">IFERROR(__xludf.DUMMYFUNCTION("""COMPUTED_VALUE"""),4.28)</f>
        <v>4.28</v>
      </c>
      <c r="F1168" s="1">
        <f ca="1">IFERROR(__xludf.DUMMYFUNCTION("""COMPUTED_VALUE"""),10697773)</f>
        <v>10697773</v>
      </c>
    </row>
    <row r="1169" spans="1:6" x14ac:dyDescent="0.35">
      <c r="A1169" s="2">
        <f ca="1">IFERROR(__xludf.DUMMYFUNCTION("""COMPUTED_VALUE"""),43699.6666666666)</f>
        <v>43699.666666666599</v>
      </c>
      <c r="B1169" s="1">
        <f ca="1">IFERROR(__xludf.DUMMYFUNCTION("""COMPUTED_VALUE"""),4.29)</f>
        <v>4.29</v>
      </c>
      <c r="C1169" s="1">
        <f ca="1">IFERROR(__xludf.DUMMYFUNCTION("""COMPUTED_VALUE"""),4.33)</f>
        <v>4.33</v>
      </c>
      <c r="D1169" s="1">
        <f ca="1">IFERROR(__xludf.DUMMYFUNCTION("""COMPUTED_VALUE"""),4.25)</f>
        <v>4.25</v>
      </c>
      <c r="E1169" s="1">
        <f ca="1">IFERROR(__xludf.DUMMYFUNCTION("""COMPUTED_VALUE"""),4.29)</f>
        <v>4.29</v>
      </c>
      <c r="F1169" s="1">
        <f ca="1">IFERROR(__xludf.DUMMYFUNCTION("""COMPUTED_VALUE"""),7593918)</f>
        <v>7593918</v>
      </c>
    </row>
    <row r="1170" spans="1:6" x14ac:dyDescent="0.35">
      <c r="A1170" s="2">
        <f ca="1">IFERROR(__xludf.DUMMYFUNCTION("""COMPUTED_VALUE"""),43700.6666666666)</f>
        <v>43700.666666666599</v>
      </c>
      <c r="B1170" s="1">
        <f ca="1">IFERROR(__xludf.DUMMYFUNCTION("""COMPUTED_VALUE"""),4.21)</f>
        <v>4.21</v>
      </c>
      <c r="C1170" s="1">
        <f ca="1">IFERROR(__xludf.DUMMYFUNCTION("""COMPUTED_VALUE"""),4.26)</f>
        <v>4.26</v>
      </c>
      <c r="D1170" s="1">
        <f ca="1">IFERROR(__xludf.DUMMYFUNCTION("""COMPUTED_VALUE"""),4.04)</f>
        <v>4.04</v>
      </c>
      <c r="E1170" s="1">
        <f ca="1">IFERROR(__xludf.DUMMYFUNCTION("""COMPUTED_VALUE"""),4.06)</f>
        <v>4.0599999999999996</v>
      </c>
      <c r="F1170" s="1">
        <f ca="1">IFERROR(__xludf.DUMMYFUNCTION("""COMPUTED_VALUE"""),14237433)</f>
        <v>14237433</v>
      </c>
    </row>
    <row r="1171" spans="1:6" x14ac:dyDescent="0.35">
      <c r="A1171" s="2">
        <f ca="1">IFERROR(__xludf.DUMMYFUNCTION("""COMPUTED_VALUE"""),43703.6666666666)</f>
        <v>43703.666666666599</v>
      </c>
      <c r="B1171" s="1">
        <f ca="1">IFERROR(__xludf.DUMMYFUNCTION("""COMPUTED_VALUE"""),4.14)</f>
        <v>4.1399999999999997</v>
      </c>
      <c r="C1171" s="1">
        <f ca="1">IFERROR(__xludf.DUMMYFUNCTION("""COMPUTED_VALUE"""),4.16)</f>
        <v>4.16</v>
      </c>
      <c r="D1171" s="1">
        <f ca="1">IFERROR(__xludf.DUMMYFUNCTION("""COMPUTED_VALUE"""),4.1)</f>
        <v>4.0999999999999996</v>
      </c>
      <c r="E1171" s="1">
        <f ca="1">IFERROR(__xludf.DUMMYFUNCTION("""COMPUTED_VALUE"""),4.14)</f>
        <v>4.1399999999999997</v>
      </c>
      <c r="F1171" s="1">
        <f ca="1">IFERROR(__xludf.DUMMYFUNCTION("""COMPUTED_VALUE"""),7964854)</f>
        <v>7964854</v>
      </c>
    </row>
    <row r="1172" spans="1:6" x14ac:dyDescent="0.35">
      <c r="A1172" s="2">
        <f ca="1">IFERROR(__xludf.DUMMYFUNCTION("""COMPUTED_VALUE"""),43704.6666666666)</f>
        <v>43704.666666666599</v>
      </c>
      <c r="B1172" s="1">
        <f ca="1">IFERROR(__xludf.DUMMYFUNCTION("""COMPUTED_VALUE"""),4.17)</f>
        <v>4.17</v>
      </c>
      <c r="C1172" s="1">
        <f ca="1">IFERROR(__xludf.DUMMYFUNCTION("""COMPUTED_VALUE"""),4.18)</f>
        <v>4.18</v>
      </c>
      <c r="D1172" s="1">
        <f ca="1">IFERROR(__xludf.DUMMYFUNCTION("""COMPUTED_VALUE"""),4.02)</f>
        <v>4.0199999999999996</v>
      </c>
      <c r="E1172" s="1">
        <f ca="1">IFERROR(__xludf.DUMMYFUNCTION("""COMPUTED_VALUE"""),4.05)</f>
        <v>4.05</v>
      </c>
      <c r="F1172" s="1">
        <f ca="1">IFERROR(__xludf.DUMMYFUNCTION("""COMPUTED_VALUE"""),7288739)</f>
        <v>7288739</v>
      </c>
    </row>
    <row r="1173" spans="1:6" x14ac:dyDescent="0.35">
      <c r="A1173" s="2">
        <f ca="1">IFERROR(__xludf.DUMMYFUNCTION("""COMPUTED_VALUE"""),43705.6666666666)</f>
        <v>43705.666666666599</v>
      </c>
      <c r="B1173" s="1">
        <f ca="1">IFERROR(__xludf.DUMMYFUNCTION("""COMPUTED_VALUE"""),4.01)</f>
        <v>4.01</v>
      </c>
      <c r="C1173" s="1">
        <f ca="1">IFERROR(__xludf.DUMMYFUNCTION("""COMPUTED_VALUE"""),4.08)</f>
        <v>4.08</v>
      </c>
      <c r="D1173" s="1">
        <f ca="1">IFERROR(__xludf.DUMMYFUNCTION("""COMPUTED_VALUE"""),3.98)</f>
        <v>3.98</v>
      </c>
      <c r="E1173" s="1">
        <f ca="1">IFERROR(__xludf.DUMMYFUNCTION("""COMPUTED_VALUE"""),4.03)</f>
        <v>4.03</v>
      </c>
      <c r="F1173" s="1">
        <f ca="1">IFERROR(__xludf.DUMMYFUNCTION("""COMPUTED_VALUE"""),6395703)</f>
        <v>6395703</v>
      </c>
    </row>
    <row r="1174" spans="1:6" x14ac:dyDescent="0.35">
      <c r="A1174" s="2">
        <f ca="1">IFERROR(__xludf.DUMMYFUNCTION("""COMPUTED_VALUE"""),43706.6666666666)</f>
        <v>43706.666666666599</v>
      </c>
      <c r="B1174" s="1">
        <f ca="1">IFERROR(__xludf.DUMMYFUNCTION("""COMPUTED_VALUE"""),4.12)</f>
        <v>4.12</v>
      </c>
      <c r="C1174" s="1">
        <f ca="1">IFERROR(__xludf.DUMMYFUNCTION("""COMPUTED_VALUE"""),4.21)</f>
        <v>4.21</v>
      </c>
      <c r="D1174" s="1">
        <f ca="1">IFERROR(__xludf.DUMMYFUNCTION("""COMPUTED_VALUE"""),4.12)</f>
        <v>4.12</v>
      </c>
      <c r="E1174" s="1">
        <f ca="1">IFERROR(__xludf.DUMMYFUNCTION("""COMPUTED_VALUE"""),4.18)</f>
        <v>4.18</v>
      </c>
      <c r="F1174" s="1">
        <f ca="1">IFERROR(__xludf.DUMMYFUNCTION("""COMPUTED_VALUE"""),8959326)</f>
        <v>8959326</v>
      </c>
    </row>
    <row r="1175" spans="1:6" x14ac:dyDescent="0.35">
      <c r="A1175" s="2">
        <f ca="1">IFERROR(__xludf.DUMMYFUNCTION("""COMPUTED_VALUE"""),43707.6666666666)</f>
        <v>43707.666666666599</v>
      </c>
      <c r="B1175" s="1">
        <f ca="1">IFERROR(__xludf.DUMMYFUNCTION("""COMPUTED_VALUE"""),4.22)</f>
        <v>4.22</v>
      </c>
      <c r="C1175" s="1">
        <f ca="1">IFERROR(__xludf.DUMMYFUNCTION("""COMPUTED_VALUE"""),4.27)</f>
        <v>4.2699999999999996</v>
      </c>
      <c r="D1175" s="1">
        <f ca="1">IFERROR(__xludf.DUMMYFUNCTION("""COMPUTED_VALUE"""),4.17)</f>
        <v>4.17</v>
      </c>
      <c r="E1175" s="1">
        <f ca="1">IFERROR(__xludf.DUMMYFUNCTION("""COMPUTED_VALUE"""),4.19)</f>
        <v>4.1900000000000004</v>
      </c>
      <c r="F1175" s="1">
        <f ca="1">IFERROR(__xludf.DUMMYFUNCTION("""COMPUTED_VALUE"""),7272712)</f>
        <v>7272712</v>
      </c>
    </row>
    <row r="1176" spans="1:6" x14ac:dyDescent="0.35">
      <c r="A1176" s="2">
        <f ca="1">IFERROR(__xludf.DUMMYFUNCTION("""COMPUTED_VALUE"""),43711.6666666666)</f>
        <v>43711.666666666599</v>
      </c>
      <c r="B1176" s="1">
        <f ca="1">IFERROR(__xludf.DUMMYFUNCTION("""COMPUTED_VALUE"""),4.11)</f>
        <v>4.1100000000000003</v>
      </c>
      <c r="C1176" s="1">
        <f ca="1">IFERROR(__xludf.DUMMYFUNCTION("""COMPUTED_VALUE"""),4.15)</f>
        <v>4.1500000000000004</v>
      </c>
      <c r="D1176" s="1">
        <f ca="1">IFERROR(__xludf.DUMMYFUNCTION("""COMPUTED_VALUE"""),4.08)</f>
        <v>4.08</v>
      </c>
      <c r="E1176" s="1">
        <f ca="1">IFERROR(__xludf.DUMMYFUNCTION("""COMPUTED_VALUE"""),4.1)</f>
        <v>4.0999999999999996</v>
      </c>
      <c r="F1176" s="1">
        <f ca="1">IFERROR(__xludf.DUMMYFUNCTION("""COMPUTED_VALUE"""),7412770)</f>
        <v>7412770</v>
      </c>
    </row>
    <row r="1177" spans="1:6" x14ac:dyDescent="0.35">
      <c r="A1177" s="2">
        <f ca="1">IFERROR(__xludf.DUMMYFUNCTION("""COMPUTED_VALUE"""),43712.6666666666)</f>
        <v>43712.666666666599</v>
      </c>
      <c r="B1177" s="1">
        <f ca="1">IFERROR(__xludf.DUMMYFUNCTION("""COMPUTED_VALUE"""),4.17)</f>
        <v>4.17</v>
      </c>
      <c r="C1177" s="1">
        <f ca="1">IFERROR(__xludf.DUMMYFUNCTION("""COMPUTED_VALUE"""),4.23)</f>
        <v>4.2300000000000004</v>
      </c>
      <c r="D1177" s="1">
        <f ca="1">IFERROR(__xludf.DUMMYFUNCTION("""COMPUTED_VALUE"""),4.17)</f>
        <v>4.17</v>
      </c>
      <c r="E1177" s="1">
        <f ca="1">IFERROR(__xludf.DUMMYFUNCTION("""COMPUTED_VALUE"""),4.22)</f>
        <v>4.22</v>
      </c>
      <c r="F1177" s="1">
        <f ca="1">IFERROR(__xludf.DUMMYFUNCTION("""COMPUTED_VALUE"""),5703009)</f>
        <v>5703009</v>
      </c>
    </row>
    <row r="1178" spans="1:6" x14ac:dyDescent="0.35">
      <c r="A1178" s="2">
        <f ca="1">IFERROR(__xludf.DUMMYFUNCTION("""COMPUTED_VALUE"""),43713.6666666666)</f>
        <v>43713.666666666599</v>
      </c>
      <c r="B1178" s="1">
        <f ca="1">IFERROR(__xludf.DUMMYFUNCTION("""COMPUTED_VALUE"""),4.32)</f>
        <v>4.32</v>
      </c>
      <c r="C1178" s="1">
        <f ca="1">IFERROR(__xludf.DUMMYFUNCTION("""COMPUTED_VALUE"""),4.5)</f>
        <v>4.5</v>
      </c>
      <c r="D1178" s="1">
        <f ca="1">IFERROR(__xludf.DUMMYFUNCTION("""COMPUTED_VALUE"""),4.32)</f>
        <v>4.32</v>
      </c>
      <c r="E1178" s="1">
        <f ca="1">IFERROR(__xludf.DUMMYFUNCTION("""COMPUTED_VALUE"""),4.49)</f>
        <v>4.49</v>
      </c>
      <c r="F1178" s="1">
        <f ca="1">IFERROR(__xludf.DUMMYFUNCTION("""COMPUTED_VALUE"""),17412125)</f>
        <v>17412125</v>
      </c>
    </row>
    <row r="1179" spans="1:6" x14ac:dyDescent="0.35">
      <c r="A1179" s="2">
        <f ca="1">IFERROR(__xludf.DUMMYFUNCTION("""COMPUTED_VALUE"""),43714.6666666666)</f>
        <v>43714.666666666599</v>
      </c>
      <c r="B1179" s="1">
        <f ca="1">IFERROR(__xludf.DUMMYFUNCTION("""COMPUTED_VALUE"""),4.47)</f>
        <v>4.47</v>
      </c>
      <c r="C1179" s="1">
        <f ca="1">IFERROR(__xludf.DUMMYFUNCTION("""COMPUTED_VALUE"""),4.53)</f>
        <v>4.53</v>
      </c>
      <c r="D1179" s="1">
        <f ca="1">IFERROR(__xludf.DUMMYFUNCTION("""COMPUTED_VALUE"""),4.43)</f>
        <v>4.43</v>
      </c>
      <c r="E1179" s="1">
        <f ca="1">IFERROR(__xludf.DUMMYFUNCTION("""COMPUTED_VALUE"""),4.47)</f>
        <v>4.47</v>
      </c>
      <c r="F1179" s="1">
        <f ca="1">IFERROR(__xludf.DUMMYFUNCTION("""COMPUTED_VALUE"""),9424419)</f>
        <v>9424419</v>
      </c>
    </row>
    <row r="1180" spans="1:6" x14ac:dyDescent="0.35">
      <c r="A1180" s="2">
        <f ca="1">IFERROR(__xludf.DUMMYFUNCTION("""COMPUTED_VALUE"""),43717.6666666666)</f>
        <v>43717.666666666599</v>
      </c>
      <c r="B1180" s="1">
        <f ca="1">IFERROR(__xludf.DUMMYFUNCTION("""COMPUTED_VALUE"""),4.5)</f>
        <v>4.5</v>
      </c>
      <c r="C1180" s="1">
        <f ca="1">IFERROR(__xludf.DUMMYFUNCTION("""COMPUTED_VALUE"""),4.6)</f>
        <v>4.5999999999999996</v>
      </c>
      <c r="D1180" s="1">
        <f ca="1">IFERROR(__xludf.DUMMYFUNCTION("""COMPUTED_VALUE"""),4.5)</f>
        <v>4.5</v>
      </c>
      <c r="E1180" s="1">
        <f ca="1">IFERROR(__xludf.DUMMYFUNCTION("""COMPUTED_VALUE"""),4.51)</f>
        <v>4.51</v>
      </c>
      <c r="F1180" s="1">
        <f ca="1">IFERROR(__xludf.DUMMYFUNCTION("""COMPUTED_VALUE"""),10438133)</f>
        <v>10438133</v>
      </c>
    </row>
    <row r="1181" spans="1:6" x14ac:dyDescent="0.35">
      <c r="A1181" s="2">
        <f ca="1">IFERROR(__xludf.DUMMYFUNCTION("""COMPUTED_VALUE"""),43718.6666666666)</f>
        <v>43718.666666666599</v>
      </c>
      <c r="B1181" s="1">
        <f ca="1">IFERROR(__xludf.DUMMYFUNCTION("""COMPUTED_VALUE"""),4.48)</f>
        <v>4.4800000000000004</v>
      </c>
      <c r="C1181" s="1">
        <f ca="1">IFERROR(__xludf.DUMMYFUNCTION("""COMPUTED_VALUE"""),4.61)</f>
        <v>4.6100000000000003</v>
      </c>
      <c r="D1181" s="1">
        <f ca="1">IFERROR(__xludf.DUMMYFUNCTION("""COMPUTED_VALUE"""),4.47)</f>
        <v>4.47</v>
      </c>
      <c r="E1181" s="1">
        <f ca="1">IFERROR(__xludf.DUMMYFUNCTION("""COMPUTED_VALUE"""),4.58)</f>
        <v>4.58</v>
      </c>
      <c r="F1181" s="1">
        <f ca="1">IFERROR(__xludf.DUMMYFUNCTION("""COMPUTED_VALUE"""),8820305)</f>
        <v>8820305</v>
      </c>
    </row>
    <row r="1182" spans="1:6" x14ac:dyDescent="0.35">
      <c r="A1182" s="2">
        <f ca="1">IFERROR(__xludf.DUMMYFUNCTION("""COMPUTED_VALUE"""),43719.6666666666)</f>
        <v>43719.666666666599</v>
      </c>
      <c r="B1182" s="1">
        <f ca="1">IFERROR(__xludf.DUMMYFUNCTION("""COMPUTED_VALUE"""),4.59)</f>
        <v>4.59</v>
      </c>
      <c r="C1182" s="1">
        <f ca="1">IFERROR(__xludf.DUMMYFUNCTION("""COMPUTED_VALUE"""),4.66)</f>
        <v>4.66</v>
      </c>
      <c r="D1182" s="1">
        <f ca="1">IFERROR(__xludf.DUMMYFUNCTION("""COMPUTED_VALUE"""),4.57)</f>
        <v>4.57</v>
      </c>
      <c r="E1182" s="1">
        <f ca="1">IFERROR(__xludf.DUMMYFUNCTION("""COMPUTED_VALUE"""),4.61)</f>
        <v>4.6100000000000003</v>
      </c>
      <c r="F1182" s="1">
        <f ca="1">IFERROR(__xludf.DUMMYFUNCTION("""COMPUTED_VALUE"""),9037782)</f>
        <v>9037782</v>
      </c>
    </row>
    <row r="1183" spans="1:6" x14ac:dyDescent="0.35">
      <c r="A1183" s="2">
        <f ca="1">IFERROR(__xludf.DUMMYFUNCTION("""COMPUTED_VALUE"""),43720.6666666666)</f>
        <v>43720.666666666599</v>
      </c>
      <c r="B1183" s="1">
        <f ca="1">IFERROR(__xludf.DUMMYFUNCTION("""COMPUTED_VALUE"""),4.66)</f>
        <v>4.66</v>
      </c>
      <c r="C1183" s="1">
        <f ca="1">IFERROR(__xludf.DUMMYFUNCTION("""COMPUTED_VALUE"""),4.71)</f>
        <v>4.71</v>
      </c>
      <c r="D1183" s="1">
        <f ca="1">IFERROR(__xludf.DUMMYFUNCTION("""COMPUTED_VALUE"""),4.6)</f>
        <v>4.5999999999999996</v>
      </c>
      <c r="E1183" s="1">
        <f ca="1">IFERROR(__xludf.DUMMYFUNCTION("""COMPUTED_VALUE"""),4.61)</f>
        <v>4.6100000000000003</v>
      </c>
      <c r="F1183" s="1">
        <f ca="1">IFERROR(__xludf.DUMMYFUNCTION("""COMPUTED_VALUE"""),8196025)</f>
        <v>8196025</v>
      </c>
    </row>
    <row r="1184" spans="1:6" x14ac:dyDescent="0.35">
      <c r="A1184" s="2">
        <f ca="1">IFERROR(__xludf.DUMMYFUNCTION("""COMPUTED_VALUE"""),43721.6666666666)</f>
        <v>43721.666666666599</v>
      </c>
      <c r="B1184" s="1">
        <f ca="1">IFERROR(__xludf.DUMMYFUNCTION("""COMPUTED_VALUE"""),4.54)</f>
        <v>4.54</v>
      </c>
      <c r="C1184" s="1">
        <f ca="1">IFERROR(__xludf.DUMMYFUNCTION("""COMPUTED_VALUE"""),4.58)</f>
        <v>4.58</v>
      </c>
      <c r="D1184" s="1">
        <f ca="1">IFERROR(__xludf.DUMMYFUNCTION("""COMPUTED_VALUE"""),4.5)</f>
        <v>4.5</v>
      </c>
      <c r="E1184" s="1">
        <f ca="1">IFERROR(__xludf.DUMMYFUNCTION("""COMPUTED_VALUE"""),4.55)</f>
        <v>4.55</v>
      </c>
      <c r="F1184" s="1">
        <f ca="1">IFERROR(__xludf.DUMMYFUNCTION("""COMPUTED_VALUE"""),8114787)</f>
        <v>8114787</v>
      </c>
    </row>
    <row r="1185" spans="1:6" x14ac:dyDescent="0.35">
      <c r="A1185" s="2">
        <f ca="1">IFERROR(__xludf.DUMMYFUNCTION("""COMPUTED_VALUE"""),43724.6666666666)</f>
        <v>43724.666666666599</v>
      </c>
      <c r="B1185" s="1">
        <f ca="1">IFERROR(__xludf.DUMMYFUNCTION("""COMPUTED_VALUE"""),4.47)</f>
        <v>4.47</v>
      </c>
      <c r="C1185" s="1">
        <f ca="1">IFERROR(__xludf.DUMMYFUNCTION("""COMPUTED_VALUE"""),4.54)</f>
        <v>4.54</v>
      </c>
      <c r="D1185" s="1">
        <f ca="1">IFERROR(__xludf.DUMMYFUNCTION("""COMPUTED_VALUE"""),4.46)</f>
        <v>4.46</v>
      </c>
      <c r="E1185" s="1">
        <f ca="1">IFERROR(__xludf.DUMMYFUNCTION("""COMPUTED_VALUE"""),4.51)</f>
        <v>4.51</v>
      </c>
      <c r="F1185" s="1">
        <f ca="1">IFERROR(__xludf.DUMMYFUNCTION("""COMPUTED_VALUE"""),5795796)</f>
        <v>5795796</v>
      </c>
    </row>
    <row r="1186" spans="1:6" x14ac:dyDescent="0.35">
      <c r="A1186" s="2">
        <f ca="1">IFERROR(__xludf.DUMMYFUNCTION("""COMPUTED_VALUE"""),43725.6666666666)</f>
        <v>43725.666666666599</v>
      </c>
      <c r="B1186" s="1">
        <f ca="1">IFERROR(__xludf.DUMMYFUNCTION("""COMPUTED_VALUE"""),4.51)</f>
        <v>4.51</v>
      </c>
      <c r="C1186" s="1">
        <f ca="1">IFERROR(__xludf.DUMMYFUNCTION("""COMPUTED_VALUE"""),4.53)</f>
        <v>4.53</v>
      </c>
      <c r="D1186" s="1">
        <f ca="1">IFERROR(__xludf.DUMMYFUNCTION("""COMPUTED_VALUE"""),4.47)</f>
        <v>4.47</v>
      </c>
      <c r="E1186" s="1">
        <f ca="1">IFERROR(__xludf.DUMMYFUNCTION("""COMPUTED_VALUE"""),4.53)</f>
        <v>4.53</v>
      </c>
      <c r="F1186" s="1">
        <f ca="1">IFERROR(__xludf.DUMMYFUNCTION("""COMPUTED_VALUE"""),5711828)</f>
        <v>5711828</v>
      </c>
    </row>
    <row r="1187" spans="1:6" x14ac:dyDescent="0.35">
      <c r="A1187" s="2">
        <f ca="1">IFERROR(__xludf.DUMMYFUNCTION("""COMPUTED_VALUE"""),43726.6666666666)</f>
        <v>43726.666666666599</v>
      </c>
      <c r="B1187" s="1">
        <f ca="1">IFERROR(__xludf.DUMMYFUNCTION("""COMPUTED_VALUE"""),4.52)</f>
        <v>4.5199999999999996</v>
      </c>
      <c r="C1187" s="1">
        <f ca="1">IFERROR(__xludf.DUMMYFUNCTION("""COMPUTED_VALUE"""),4.54)</f>
        <v>4.54</v>
      </c>
      <c r="D1187" s="1">
        <f ca="1">IFERROR(__xludf.DUMMYFUNCTION("""COMPUTED_VALUE"""),4.41)</f>
        <v>4.41</v>
      </c>
      <c r="E1187" s="1">
        <f ca="1">IFERROR(__xludf.DUMMYFUNCTION("""COMPUTED_VALUE"""),4.5)</f>
        <v>4.5</v>
      </c>
      <c r="F1187" s="1">
        <f ca="1">IFERROR(__xludf.DUMMYFUNCTION("""COMPUTED_VALUE"""),6600942)</f>
        <v>6600942</v>
      </c>
    </row>
    <row r="1188" spans="1:6" x14ac:dyDescent="0.35">
      <c r="A1188" s="2">
        <f ca="1">IFERROR(__xludf.DUMMYFUNCTION("""COMPUTED_VALUE"""),43727.6666666666)</f>
        <v>43727.666666666599</v>
      </c>
      <c r="B1188" s="1">
        <f ca="1">IFERROR(__xludf.DUMMYFUNCTION("""COMPUTED_VALUE"""),4.51)</f>
        <v>4.51</v>
      </c>
      <c r="C1188" s="1">
        <f ca="1">IFERROR(__xludf.DUMMYFUNCTION("""COMPUTED_VALUE"""),4.52)</f>
        <v>4.5199999999999996</v>
      </c>
      <c r="D1188" s="1">
        <f ca="1">IFERROR(__xludf.DUMMYFUNCTION("""COMPUTED_VALUE"""),4.41)</f>
        <v>4.41</v>
      </c>
      <c r="E1188" s="1">
        <f ca="1">IFERROR(__xludf.DUMMYFUNCTION("""COMPUTED_VALUE"""),4.42)</f>
        <v>4.42</v>
      </c>
      <c r="F1188" s="1">
        <f ca="1">IFERROR(__xludf.DUMMYFUNCTION("""COMPUTED_VALUE"""),6408569)</f>
        <v>6408569</v>
      </c>
    </row>
    <row r="1189" spans="1:6" x14ac:dyDescent="0.35">
      <c r="A1189" s="2">
        <f ca="1">IFERROR(__xludf.DUMMYFUNCTION("""COMPUTED_VALUE"""),43728.6666666666)</f>
        <v>43728.666666666599</v>
      </c>
      <c r="B1189" s="1">
        <f ca="1">IFERROR(__xludf.DUMMYFUNCTION("""COMPUTED_VALUE"""),4.42)</f>
        <v>4.42</v>
      </c>
      <c r="C1189" s="1">
        <f ca="1">IFERROR(__xludf.DUMMYFUNCTION("""COMPUTED_VALUE"""),4.45)</f>
        <v>4.45</v>
      </c>
      <c r="D1189" s="1">
        <f ca="1">IFERROR(__xludf.DUMMYFUNCTION("""COMPUTED_VALUE"""),4.31)</f>
        <v>4.3099999999999996</v>
      </c>
      <c r="E1189" s="1">
        <f ca="1">IFERROR(__xludf.DUMMYFUNCTION("""COMPUTED_VALUE"""),4.32)</f>
        <v>4.32</v>
      </c>
      <c r="F1189" s="1">
        <f ca="1">IFERROR(__xludf.DUMMYFUNCTION("""COMPUTED_VALUE"""),8931295)</f>
        <v>8931295</v>
      </c>
    </row>
    <row r="1190" spans="1:6" x14ac:dyDescent="0.35">
      <c r="A1190" s="2">
        <f ca="1">IFERROR(__xludf.DUMMYFUNCTION("""COMPUTED_VALUE"""),43731.6666666666)</f>
        <v>43731.666666666599</v>
      </c>
      <c r="B1190" s="1">
        <f ca="1">IFERROR(__xludf.DUMMYFUNCTION("""COMPUTED_VALUE"""),4.32)</f>
        <v>4.32</v>
      </c>
      <c r="C1190" s="1">
        <f ca="1">IFERROR(__xludf.DUMMYFUNCTION("""COMPUTED_VALUE"""),4.42)</f>
        <v>4.42</v>
      </c>
      <c r="D1190" s="1">
        <f ca="1">IFERROR(__xludf.DUMMYFUNCTION("""COMPUTED_VALUE"""),4.31)</f>
        <v>4.3099999999999996</v>
      </c>
      <c r="E1190" s="1">
        <f ca="1">IFERROR(__xludf.DUMMYFUNCTION("""COMPUTED_VALUE"""),4.37)</f>
        <v>4.37</v>
      </c>
      <c r="F1190" s="1">
        <f ca="1">IFERROR(__xludf.DUMMYFUNCTION("""COMPUTED_VALUE"""),6395647)</f>
        <v>6395647</v>
      </c>
    </row>
    <row r="1191" spans="1:6" x14ac:dyDescent="0.35">
      <c r="A1191" s="2">
        <f ca="1">IFERROR(__xludf.DUMMYFUNCTION("""COMPUTED_VALUE"""),43732.6666666666)</f>
        <v>43732.666666666599</v>
      </c>
      <c r="B1191" s="1">
        <f ca="1">IFERROR(__xludf.DUMMYFUNCTION("""COMPUTED_VALUE"""),4.4)</f>
        <v>4.4000000000000004</v>
      </c>
      <c r="C1191" s="1">
        <f ca="1">IFERROR(__xludf.DUMMYFUNCTION("""COMPUTED_VALUE"""),4.43)</f>
        <v>4.43</v>
      </c>
      <c r="D1191" s="1">
        <f ca="1">IFERROR(__xludf.DUMMYFUNCTION("""COMPUTED_VALUE"""),4.28)</f>
        <v>4.28</v>
      </c>
      <c r="E1191" s="1">
        <f ca="1">IFERROR(__xludf.DUMMYFUNCTION("""COMPUTED_VALUE"""),4.31)</f>
        <v>4.3099999999999996</v>
      </c>
      <c r="F1191" s="1">
        <f ca="1">IFERROR(__xludf.DUMMYFUNCTION("""COMPUTED_VALUE"""),8031045)</f>
        <v>8031045</v>
      </c>
    </row>
    <row r="1192" spans="1:6" x14ac:dyDescent="0.35">
      <c r="A1192" s="2">
        <f ca="1">IFERROR(__xludf.DUMMYFUNCTION("""COMPUTED_VALUE"""),43733.6666666666)</f>
        <v>43733.666666666599</v>
      </c>
      <c r="B1192" s="1">
        <f ca="1">IFERROR(__xludf.DUMMYFUNCTION("""COMPUTED_VALUE"""),4.31)</f>
        <v>4.3099999999999996</v>
      </c>
      <c r="C1192" s="1">
        <f ca="1">IFERROR(__xludf.DUMMYFUNCTION("""COMPUTED_VALUE"""),4.48)</f>
        <v>4.4800000000000004</v>
      </c>
      <c r="D1192" s="1">
        <f ca="1">IFERROR(__xludf.DUMMYFUNCTION("""COMPUTED_VALUE"""),4.27)</f>
        <v>4.2699999999999996</v>
      </c>
      <c r="E1192" s="1">
        <f ca="1">IFERROR(__xludf.DUMMYFUNCTION("""COMPUTED_VALUE"""),4.46)</f>
        <v>4.46</v>
      </c>
      <c r="F1192" s="1">
        <f ca="1">IFERROR(__xludf.DUMMYFUNCTION("""COMPUTED_VALUE"""),7827672)</f>
        <v>7827672</v>
      </c>
    </row>
    <row r="1193" spans="1:6" x14ac:dyDescent="0.35">
      <c r="A1193" s="2">
        <f ca="1">IFERROR(__xludf.DUMMYFUNCTION("""COMPUTED_VALUE"""),43734.6666666666)</f>
        <v>43734.666666666599</v>
      </c>
      <c r="B1193" s="1">
        <f ca="1">IFERROR(__xludf.DUMMYFUNCTION("""COMPUTED_VALUE"""),4.45)</f>
        <v>4.45</v>
      </c>
      <c r="C1193" s="1">
        <f ca="1">IFERROR(__xludf.DUMMYFUNCTION("""COMPUTED_VALUE"""),4.45)</f>
        <v>4.45</v>
      </c>
      <c r="D1193" s="1">
        <f ca="1">IFERROR(__xludf.DUMMYFUNCTION("""COMPUTED_VALUE"""),4.38)</f>
        <v>4.38</v>
      </c>
      <c r="E1193" s="1">
        <f ca="1">IFERROR(__xludf.DUMMYFUNCTION("""COMPUTED_VALUE"""),4.43)</f>
        <v>4.43</v>
      </c>
      <c r="F1193" s="1">
        <f ca="1">IFERROR(__xludf.DUMMYFUNCTION("""COMPUTED_VALUE"""),5945648)</f>
        <v>5945648</v>
      </c>
    </row>
    <row r="1194" spans="1:6" x14ac:dyDescent="0.35">
      <c r="A1194" s="2">
        <f ca="1">IFERROR(__xludf.DUMMYFUNCTION("""COMPUTED_VALUE"""),43735.6666666666)</f>
        <v>43735.666666666599</v>
      </c>
      <c r="B1194" s="1">
        <f ca="1">IFERROR(__xludf.DUMMYFUNCTION("""COMPUTED_VALUE"""),4.39)</f>
        <v>4.3899999999999997</v>
      </c>
      <c r="C1194" s="1">
        <f ca="1">IFERROR(__xludf.DUMMYFUNCTION("""COMPUTED_VALUE"""),4.44)</f>
        <v>4.4400000000000004</v>
      </c>
      <c r="D1194" s="1">
        <f ca="1">IFERROR(__xludf.DUMMYFUNCTION("""COMPUTED_VALUE"""),4.23)</f>
        <v>4.2300000000000004</v>
      </c>
      <c r="E1194" s="1">
        <f ca="1">IFERROR(__xludf.DUMMYFUNCTION("""COMPUTED_VALUE"""),4.29)</f>
        <v>4.29</v>
      </c>
      <c r="F1194" s="1">
        <f ca="1">IFERROR(__xludf.DUMMYFUNCTION("""COMPUTED_VALUE"""),9148974)</f>
        <v>9148974</v>
      </c>
    </row>
    <row r="1195" spans="1:6" x14ac:dyDescent="0.35">
      <c r="A1195" s="2">
        <f ca="1">IFERROR(__xludf.DUMMYFUNCTION("""COMPUTED_VALUE"""),43738.6666666666)</f>
        <v>43738.666666666599</v>
      </c>
      <c r="B1195" s="1">
        <f ca="1">IFERROR(__xludf.DUMMYFUNCTION("""COMPUTED_VALUE"""),4.32)</f>
        <v>4.32</v>
      </c>
      <c r="C1195" s="1">
        <f ca="1">IFERROR(__xludf.DUMMYFUNCTION("""COMPUTED_VALUE"""),4.36)</f>
        <v>4.3600000000000003</v>
      </c>
      <c r="D1195" s="1">
        <f ca="1">IFERROR(__xludf.DUMMYFUNCTION("""COMPUTED_VALUE"""),4.29)</f>
        <v>4.29</v>
      </c>
      <c r="E1195" s="1">
        <f ca="1">IFERROR(__xludf.DUMMYFUNCTION("""COMPUTED_VALUE"""),4.35)</f>
        <v>4.3499999999999996</v>
      </c>
      <c r="F1195" s="1">
        <f ca="1">IFERROR(__xludf.DUMMYFUNCTION("""COMPUTED_VALUE"""),4829977)</f>
        <v>4829977</v>
      </c>
    </row>
    <row r="1196" spans="1:6" x14ac:dyDescent="0.35">
      <c r="A1196" s="2">
        <f ca="1">IFERROR(__xludf.DUMMYFUNCTION("""COMPUTED_VALUE"""),43739.6666666666)</f>
        <v>43739.666666666599</v>
      </c>
      <c r="B1196" s="1">
        <f ca="1">IFERROR(__xludf.DUMMYFUNCTION("""COMPUTED_VALUE"""),4.38)</f>
        <v>4.38</v>
      </c>
      <c r="C1196" s="1">
        <f ca="1">IFERROR(__xludf.DUMMYFUNCTION("""COMPUTED_VALUE"""),4.53)</f>
        <v>4.53</v>
      </c>
      <c r="D1196" s="1">
        <f ca="1">IFERROR(__xludf.DUMMYFUNCTION("""COMPUTED_VALUE"""),4.35)</f>
        <v>4.3499999999999996</v>
      </c>
      <c r="E1196" s="1">
        <f ca="1">IFERROR(__xludf.DUMMYFUNCTION("""COMPUTED_VALUE"""),4.35)</f>
        <v>4.3499999999999996</v>
      </c>
      <c r="F1196" s="1">
        <f ca="1">IFERROR(__xludf.DUMMYFUNCTION("""COMPUTED_VALUE"""),9189150)</f>
        <v>9189150</v>
      </c>
    </row>
    <row r="1197" spans="1:6" x14ac:dyDescent="0.35">
      <c r="A1197" s="2">
        <f ca="1">IFERROR(__xludf.DUMMYFUNCTION("""COMPUTED_VALUE"""),43740.6666666666)</f>
        <v>43740.666666666599</v>
      </c>
      <c r="B1197" s="1">
        <f ca="1">IFERROR(__xludf.DUMMYFUNCTION("""COMPUTED_VALUE"""),4.33)</f>
        <v>4.33</v>
      </c>
      <c r="C1197" s="1">
        <f ca="1">IFERROR(__xludf.DUMMYFUNCTION("""COMPUTED_VALUE"""),4.34)</f>
        <v>4.34</v>
      </c>
      <c r="D1197" s="1">
        <f ca="1">IFERROR(__xludf.DUMMYFUNCTION("""COMPUTED_VALUE"""),4.25)</f>
        <v>4.25</v>
      </c>
      <c r="E1197" s="1">
        <f ca="1">IFERROR(__xludf.DUMMYFUNCTION("""COMPUTED_VALUE"""),4.33)</f>
        <v>4.33</v>
      </c>
      <c r="F1197" s="1">
        <f ca="1">IFERROR(__xludf.DUMMYFUNCTION("""COMPUTED_VALUE"""),7391544)</f>
        <v>7391544</v>
      </c>
    </row>
    <row r="1198" spans="1:6" x14ac:dyDescent="0.35">
      <c r="A1198" s="2">
        <f ca="1">IFERROR(__xludf.DUMMYFUNCTION("""COMPUTED_VALUE"""),43741.6666666666)</f>
        <v>43741.666666666599</v>
      </c>
      <c r="B1198" s="1">
        <f ca="1">IFERROR(__xludf.DUMMYFUNCTION("""COMPUTED_VALUE"""),4.33)</f>
        <v>4.33</v>
      </c>
      <c r="C1198" s="1">
        <f ca="1">IFERROR(__xludf.DUMMYFUNCTION("""COMPUTED_VALUE"""),4.54)</f>
        <v>4.54</v>
      </c>
      <c r="D1198" s="1">
        <f ca="1">IFERROR(__xludf.DUMMYFUNCTION("""COMPUTED_VALUE"""),4.3)</f>
        <v>4.3</v>
      </c>
      <c r="E1198" s="1">
        <f ca="1">IFERROR(__xludf.DUMMYFUNCTION("""COMPUTED_VALUE"""),4.53)</f>
        <v>4.53</v>
      </c>
      <c r="F1198" s="1">
        <f ca="1">IFERROR(__xludf.DUMMYFUNCTION("""COMPUTED_VALUE"""),11568265)</f>
        <v>11568265</v>
      </c>
    </row>
    <row r="1199" spans="1:6" x14ac:dyDescent="0.35">
      <c r="A1199" s="2">
        <f ca="1">IFERROR(__xludf.DUMMYFUNCTION("""COMPUTED_VALUE"""),43742.6666666666)</f>
        <v>43742.666666666599</v>
      </c>
      <c r="B1199" s="1">
        <f ca="1">IFERROR(__xludf.DUMMYFUNCTION("""COMPUTED_VALUE"""),4.54)</f>
        <v>4.54</v>
      </c>
      <c r="C1199" s="1">
        <f ca="1">IFERROR(__xludf.DUMMYFUNCTION("""COMPUTED_VALUE"""),4.58)</f>
        <v>4.58</v>
      </c>
      <c r="D1199" s="1">
        <f ca="1">IFERROR(__xludf.DUMMYFUNCTION("""COMPUTED_VALUE"""),4.47)</f>
        <v>4.47</v>
      </c>
      <c r="E1199" s="1">
        <f ca="1">IFERROR(__xludf.DUMMYFUNCTION("""COMPUTED_VALUE"""),4.55)</f>
        <v>4.55</v>
      </c>
      <c r="F1199" s="1">
        <f ca="1">IFERROR(__xludf.DUMMYFUNCTION("""COMPUTED_VALUE"""),6699005)</f>
        <v>6699005</v>
      </c>
    </row>
    <row r="1200" spans="1:6" x14ac:dyDescent="0.35">
      <c r="A1200" s="2">
        <f ca="1">IFERROR(__xludf.DUMMYFUNCTION("""COMPUTED_VALUE"""),43745.6666666666)</f>
        <v>43745.666666666599</v>
      </c>
      <c r="B1200" s="1">
        <f ca="1">IFERROR(__xludf.DUMMYFUNCTION("""COMPUTED_VALUE"""),4.61)</f>
        <v>4.6100000000000003</v>
      </c>
      <c r="C1200" s="1">
        <f ca="1">IFERROR(__xludf.DUMMYFUNCTION("""COMPUTED_VALUE"""),4.71)</f>
        <v>4.71</v>
      </c>
      <c r="D1200" s="1">
        <f ca="1">IFERROR(__xludf.DUMMYFUNCTION("""COMPUTED_VALUE"""),4.61)</f>
        <v>4.6100000000000003</v>
      </c>
      <c r="E1200" s="1">
        <f ca="1">IFERROR(__xludf.DUMMYFUNCTION("""COMPUTED_VALUE"""),4.61)</f>
        <v>4.6100000000000003</v>
      </c>
      <c r="F1200" s="1">
        <f ca="1">IFERROR(__xludf.DUMMYFUNCTION("""COMPUTED_VALUE"""),12207839)</f>
        <v>12207839</v>
      </c>
    </row>
    <row r="1201" spans="1:6" x14ac:dyDescent="0.35">
      <c r="A1201" s="2">
        <f ca="1">IFERROR(__xludf.DUMMYFUNCTION("""COMPUTED_VALUE"""),43746.6666666666)</f>
        <v>43746.666666666599</v>
      </c>
      <c r="B1201" s="1">
        <f ca="1">IFERROR(__xludf.DUMMYFUNCTION("""COMPUTED_VALUE"""),4.52)</f>
        <v>4.5199999999999996</v>
      </c>
      <c r="C1201" s="1">
        <f ca="1">IFERROR(__xludf.DUMMYFUNCTION("""COMPUTED_VALUE"""),4.52)</f>
        <v>4.5199999999999996</v>
      </c>
      <c r="D1201" s="1">
        <f ca="1">IFERROR(__xludf.DUMMYFUNCTION("""COMPUTED_VALUE"""),4.41)</f>
        <v>4.41</v>
      </c>
      <c r="E1201" s="1">
        <f ca="1">IFERROR(__xludf.DUMMYFUNCTION("""COMPUTED_VALUE"""),4.43)</f>
        <v>4.43</v>
      </c>
      <c r="F1201" s="1">
        <f ca="1">IFERROR(__xludf.DUMMYFUNCTION("""COMPUTED_VALUE"""),11233566)</f>
        <v>11233566</v>
      </c>
    </row>
    <row r="1202" spans="1:6" x14ac:dyDescent="0.35">
      <c r="A1202" s="2">
        <f ca="1">IFERROR(__xludf.DUMMYFUNCTION("""COMPUTED_VALUE"""),43747.6666666666)</f>
        <v>43747.666666666599</v>
      </c>
      <c r="B1202" s="1">
        <f ca="1">IFERROR(__xludf.DUMMYFUNCTION("""COMPUTED_VALUE"""),4.51)</f>
        <v>4.51</v>
      </c>
      <c r="C1202" s="1">
        <f ca="1">IFERROR(__xludf.DUMMYFUNCTION("""COMPUTED_VALUE"""),4.57)</f>
        <v>4.57</v>
      </c>
      <c r="D1202" s="1">
        <f ca="1">IFERROR(__xludf.DUMMYFUNCTION("""COMPUTED_VALUE"""),4.48)</f>
        <v>4.4800000000000004</v>
      </c>
      <c r="E1202" s="1">
        <f ca="1">IFERROR(__xludf.DUMMYFUNCTION("""COMPUTED_VALUE"""),4.52)</f>
        <v>4.5199999999999996</v>
      </c>
      <c r="F1202" s="1">
        <f ca="1">IFERROR(__xludf.DUMMYFUNCTION("""COMPUTED_VALUE"""),7697082)</f>
        <v>7697082</v>
      </c>
    </row>
    <row r="1203" spans="1:6" x14ac:dyDescent="0.35">
      <c r="A1203" s="2">
        <f ca="1">IFERROR(__xludf.DUMMYFUNCTION("""COMPUTED_VALUE"""),43748.6666666666)</f>
        <v>43748.666666666599</v>
      </c>
      <c r="B1203" s="1">
        <f ca="1">IFERROR(__xludf.DUMMYFUNCTION("""COMPUTED_VALUE"""),4.52)</f>
        <v>4.5199999999999996</v>
      </c>
      <c r="C1203" s="1">
        <f ca="1">IFERROR(__xludf.DUMMYFUNCTION("""COMPUTED_VALUE"""),4.63)</f>
        <v>4.63</v>
      </c>
      <c r="D1203" s="1">
        <f ca="1">IFERROR(__xludf.DUMMYFUNCTION("""COMPUTED_VALUE"""),4.51)</f>
        <v>4.51</v>
      </c>
      <c r="E1203" s="1">
        <f ca="1">IFERROR(__xludf.DUMMYFUNCTION("""COMPUTED_VALUE"""),4.58)</f>
        <v>4.58</v>
      </c>
      <c r="F1203" s="1">
        <f ca="1">IFERROR(__xludf.DUMMYFUNCTION("""COMPUTED_VALUE"""),8187889)</f>
        <v>8187889</v>
      </c>
    </row>
    <row r="1204" spans="1:6" x14ac:dyDescent="0.35">
      <c r="A1204" s="2">
        <f ca="1">IFERROR(__xludf.DUMMYFUNCTION("""COMPUTED_VALUE"""),43749.6666666666)</f>
        <v>43749.666666666599</v>
      </c>
      <c r="B1204" s="1">
        <f ca="1">IFERROR(__xludf.DUMMYFUNCTION("""COMPUTED_VALUE"""),4.66)</f>
        <v>4.66</v>
      </c>
      <c r="C1204" s="1">
        <f ca="1">IFERROR(__xludf.DUMMYFUNCTION("""COMPUTED_VALUE"""),4.73)</f>
        <v>4.7300000000000004</v>
      </c>
      <c r="D1204" s="1">
        <f ca="1">IFERROR(__xludf.DUMMYFUNCTION("""COMPUTED_VALUE"""),4.64)</f>
        <v>4.6399999999999997</v>
      </c>
      <c r="E1204" s="1">
        <f ca="1">IFERROR(__xludf.DUMMYFUNCTION("""COMPUTED_VALUE"""),4.65)</f>
        <v>4.6500000000000004</v>
      </c>
      <c r="F1204" s="1">
        <f ca="1">IFERROR(__xludf.DUMMYFUNCTION("""COMPUTED_VALUE"""),11271668)</f>
        <v>11271668</v>
      </c>
    </row>
    <row r="1205" spans="1:6" x14ac:dyDescent="0.35">
      <c r="A1205" s="2">
        <f ca="1">IFERROR(__xludf.DUMMYFUNCTION("""COMPUTED_VALUE"""),43752.6666666666)</f>
        <v>43752.666666666599</v>
      </c>
      <c r="B1205" s="1">
        <f ca="1">IFERROR(__xludf.DUMMYFUNCTION("""COMPUTED_VALUE"""),4.64)</f>
        <v>4.6399999999999997</v>
      </c>
      <c r="C1205" s="1">
        <f ca="1">IFERROR(__xludf.DUMMYFUNCTION("""COMPUTED_VALUE"""),4.68)</f>
        <v>4.68</v>
      </c>
      <c r="D1205" s="1">
        <f ca="1">IFERROR(__xludf.DUMMYFUNCTION("""COMPUTED_VALUE"""),4.61)</f>
        <v>4.6100000000000003</v>
      </c>
      <c r="E1205" s="1">
        <f ca="1">IFERROR(__xludf.DUMMYFUNCTION("""COMPUTED_VALUE"""),4.66)</f>
        <v>4.66</v>
      </c>
      <c r="F1205" s="1">
        <f ca="1">IFERROR(__xludf.DUMMYFUNCTION("""COMPUTED_VALUE"""),5258394)</f>
        <v>5258394</v>
      </c>
    </row>
    <row r="1206" spans="1:6" x14ac:dyDescent="0.35">
      <c r="A1206" s="2">
        <f ca="1">IFERROR(__xludf.DUMMYFUNCTION("""COMPUTED_VALUE"""),43753.6666666666)</f>
        <v>43753.666666666599</v>
      </c>
      <c r="B1206" s="1">
        <f ca="1">IFERROR(__xludf.DUMMYFUNCTION("""COMPUTED_VALUE"""),4.75)</f>
        <v>4.75</v>
      </c>
      <c r="C1206" s="1">
        <f ca="1">IFERROR(__xludf.DUMMYFUNCTION("""COMPUTED_VALUE"""),4.98)</f>
        <v>4.9800000000000004</v>
      </c>
      <c r="D1206" s="1">
        <f ca="1">IFERROR(__xludf.DUMMYFUNCTION("""COMPUTED_VALUE"""),4.74)</f>
        <v>4.74</v>
      </c>
      <c r="E1206" s="1">
        <f ca="1">IFERROR(__xludf.DUMMYFUNCTION("""COMPUTED_VALUE"""),4.91)</f>
        <v>4.91</v>
      </c>
      <c r="F1206" s="1">
        <f ca="1">IFERROR(__xludf.DUMMYFUNCTION("""COMPUTED_VALUE"""),16699633)</f>
        <v>16699633</v>
      </c>
    </row>
    <row r="1207" spans="1:6" x14ac:dyDescent="0.35">
      <c r="A1207" s="2">
        <f ca="1">IFERROR(__xludf.DUMMYFUNCTION("""COMPUTED_VALUE"""),43754.6666666666)</f>
        <v>43754.666666666599</v>
      </c>
      <c r="B1207" s="1">
        <f ca="1">IFERROR(__xludf.DUMMYFUNCTION("""COMPUTED_VALUE"""),4.88)</f>
        <v>4.88</v>
      </c>
      <c r="C1207" s="1">
        <f ca="1">IFERROR(__xludf.DUMMYFUNCTION("""COMPUTED_VALUE"""),4.98)</f>
        <v>4.9800000000000004</v>
      </c>
      <c r="D1207" s="1">
        <f ca="1">IFERROR(__xludf.DUMMYFUNCTION("""COMPUTED_VALUE"""),4.84)</f>
        <v>4.84</v>
      </c>
      <c r="E1207" s="1">
        <f ca="1">IFERROR(__xludf.DUMMYFUNCTION("""COMPUTED_VALUE"""),4.86)</f>
        <v>4.8600000000000003</v>
      </c>
      <c r="F1207" s="1">
        <f ca="1">IFERROR(__xludf.DUMMYFUNCTION("""COMPUTED_VALUE"""),10818828)</f>
        <v>10818828</v>
      </c>
    </row>
    <row r="1208" spans="1:6" x14ac:dyDescent="0.35">
      <c r="A1208" s="2">
        <f ca="1">IFERROR(__xludf.DUMMYFUNCTION("""COMPUTED_VALUE"""),43755.6666666666)</f>
        <v>43755.666666666599</v>
      </c>
      <c r="B1208" s="1">
        <f ca="1">IFERROR(__xludf.DUMMYFUNCTION("""COMPUTED_VALUE"""),4.9)</f>
        <v>4.9000000000000004</v>
      </c>
      <c r="C1208" s="1">
        <f ca="1">IFERROR(__xludf.DUMMYFUNCTION("""COMPUTED_VALUE"""),4.95)</f>
        <v>4.95</v>
      </c>
      <c r="D1208" s="1">
        <f ca="1">IFERROR(__xludf.DUMMYFUNCTION("""COMPUTED_VALUE"""),4.8)</f>
        <v>4.8</v>
      </c>
      <c r="E1208" s="1">
        <f ca="1">IFERROR(__xludf.DUMMYFUNCTION("""COMPUTED_VALUE"""),4.86)</f>
        <v>4.8600000000000003</v>
      </c>
      <c r="F1208" s="1">
        <f ca="1">IFERROR(__xludf.DUMMYFUNCTION("""COMPUTED_VALUE"""),6607924)</f>
        <v>6607924</v>
      </c>
    </row>
    <row r="1209" spans="1:6" x14ac:dyDescent="0.35">
      <c r="A1209" s="2">
        <f ca="1">IFERROR(__xludf.DUMMYFUNCTION("""COMPUTED_VALUE"""),43756.6666666666)</f>
        <v>43756.666666666599</v>
      </c>
      <c r="B1209" s="1">
        <f ca="1">IFERROR(__xludf.DUMMYFUNCTION("""COMPUTED_VALUE"""),4.86)</f>
        <v>4.8600000000000003</v>
      </c>
      <c r="C1209" s="1">
        <f ca="1">IFERROR(__xludf.DUMMYFUNCTION("""COMPUTED_VALUE"""),4.89)</f>
        <v>4.8899999999999997</v>
      </c>
      <c r="D1209" s="1">
        <f ca="1">IFERROR(__xludf.DUMMYFUNCTION("""COMPUTED_VALUE"""),4.69)</f>
        <v>4.6900000000000004</v>
      </c>
      <c r="E1209" s="1">
        <f ca="1">IFERROR(__xludf.DUMMYFUNCTION("""COMPUTED_VALUE"""),4.76)</f>
        <v>4.76</v>
      </c>
      <c r="F1209" s="1">
        <f ca="1">IFERROR(__xludf.DUMMYFUNCTION("""COMPUTED_VALUE"""),7690605)</f>
        <v>7690605</v>
      </c>
    </row>
    <row r="1210" spans="1:6" x14ac:dyDescent="0.35">
      <c r="A1210" s="2">
        <f ca="1">IFERROR(__xludf.DUMMYFUNCTION("""COMPUTED_VALUE"""),43759.6666666666)</f>
        <v>43759.666666666599</v>
      </c>
      <c r="B1210" s="1">
        <f ca="1">IFERROR(__xludf.DUMMYFUNCTION("""COMPUTED_VALUE"""),4.82)</f>
        <v>4.82</v>
      </c>
      <c r="C1210" s="1">
        <f ca="1">IFERROR(__xludf.DUMMYFUNCTION("""COMPUTED_VALUE"""),4.91)</f>
        <v>4.91</v>
      </c>
      <c r="D1210" s="1">
        <f ca="1">IFERROR(__xludf.DUMMYFUNCTION("""COMPUTED_VALUE"""),4.81)</f>
        <v>4.8099999999999996</v>
      </c>
      <c r="E1210" s="1">
        <f ca="1">IFERROR(__xludf.DUMMYFUNCTION("""COMPUTED_VALUE"""),4.9)</f>
        <v>4.9000000000000004</v>
      </c>
      <c r="F1210" s="1">
        <f ca="1">IFERROR(__xludf.DUMMYFUNCTION("""COMPUTED_VALUE"""),6674181)</f>
        <v>6674181</v>
      </c>
    </row>
    <row r="1211" spans="1:6" x14ac:dyDescent="0.35">
      <c r="A1211" s="2">
        <f ca="1">IFERROR(__xludf.DUMMYFUNCTION("""COMPUTED_VALUE"""),43760.6666666666)</f>
        <v>43760.666666666599</v>
      </c>
      <c r="B1211" s="1">
        <f ca="1">IFERROR(__xludf.DUMMYFUNCTION("""COMPUTED_VALUE"""),4.96)</f>
        <v>4.96</v>
      </c>
      <c r="C1211" s="1">
        <f ca="1">IFERROR(__xludf.DUMMYFUNCTION("""COMPUTED_VALUE"""),5.06)</f>
        <v>5.0599999999999996</v>
      </c>
      <c r="D1211" s="1">
        <f ca="1">IFERROR(__xludf.DUMMYFUNCTION("""COMPUTED_VALUE"""),4.88)</f>
        <v>4.88</v>
      </c>
      <c r="E1211" s="1">
        <f ca="1">IFERROR(__xludf.DUMMYFUNCTION("""COMPUTED_VALUE"""),4.89)</f>
        <v>4.8899999999999997</v>
      </c>
      <c r="F1211" s="1">
        <f ca="1">IFERROR(__xludf.DUMMYFUNCTION("""COMPUTED_VALUE"""),8434228)</f>
        <v>8434228</v>
      </c>
    </row>
    <row r="1212" spans="1:6" x14ac:dyDescent="0.35">
      <c r="A1212" s="2">
        <f ca="1">IFERROR(__xludf.DUMMYFUNCTION("""COMPUTED_VALUE"""),43761.6666666666)</f>
        <v>43761.666666666599</v>
      </c>
      <c r="B1212" s="1">
        <f ca="1">IFERROR(__xludf.DUMMYFUNCTION("""COMPUTED_VALUE"""),4.81)</f>
        <v>4.8099999999999996</v>
      </c>
      <c r="C1212" s="1">
        <f ca="1">IFERROR(__xludf.DUMMYFUNCTION("""COMPUTED_VALUE"""),4.89)</f>
        <v>4.8899999999999997</v>
      </c>
      <c r="D1212" s="1">
        <f ca="1">IFERROR(__xludf.DUMMYFUNCTION("""COMPUTED_VALUE"""),4.78)</f>
        <v>4.78</v>
      </c>
      <c r="E1212" s="1">
        <f ca="1">IFERROR(__xludf.DUMMYFUNCTION("""COMPUTED_VALUE"""),4.88)</f>
        <v>4.88</v>
      </c>
      <c r="F1212" s="1">
        <f ca="1">IFERROR(__xludf.DUMMYFUNCTION("""COMPUTED_VALUE"""),7144250)</f>
        <v>7144250</v>
      </c>
    </row>
    <row r="1213" spans="1:6" x14ac:dyDescent="0.35">
      <c r="A1213" s="2">
        <f ca="1">IFERROR(__xludf.DUMMYFUNCTION("""COMPUTED_VALUE"""),43762.6666666666)</f>
        <v>43762.666666666599</v>
      </c>
      <c r="B1213" s="1">
        <f ca="1">IFERROR(__xludf.DUMMYFUNCTION("""COMPUTED_VALUE"""),4.92)</f>
        <v>4.92</v>
      </c>
      <c r="C1213" s="1">
        <f ca="1">IFERROR(__xludf.DUMMYFUNCTION("""COMPUTED_VALUE"""),4.96)</f>
        <v>4.96</v>
      </c>
      <c r="D1213" s="1">
        <f ca="1">IFERROR(__xludf.DUMMYFUNCTION("""COMPUTED_VALUE"""),4.88)</f>
        <v>4.88</v>
      </c>
      <c r="E1213" s="1">
        <f ca="1">IFERROR(__xludf.DUMMYFUNCTION("""COMPUTED_VALUE"""),4.92)</f>
        <v>4.92</v>
      </c>
      <c r="F1213" s="1">
        <f ca="1">IFERROR(__xludf.DUMMYFUNCTION("""COMPUTED_VALUE"""),5975933)</f>
        <v>5975933</v>
      </c>
    </row>
    <row r="1214" spans="1:6" x14ac:dyDescent="0.35">
      <c r="A1214" s="2">
        <f ca="1">IFERROR(__xludf.DUMMYFUNCTION("""COMPUTED_VALUE"""),43763.6666666666)</f>
        <v>43763.666666666599</v>
      </c>
      <c r="B1214" s="1">
        <f ca="1">IFERROR(__xludf.DUMMYFUNCTION("""COMPUTED_VALUE"""),5)</f>
        <v>5</v>
      </c>
      <c r="C1214" s="1">
        <f ca="1">IFERROR(__xludf.DUMMYFUNCTION("""COMPUTED_VALUE"""),5.13)</f>
        <v>5.13</v>
      </c>
      <c r="D1214" s="1">
        <f ca="1">IFERROR(__xludf.DUMMYFUNCTION("""COMPUTED_VALUE"""),4.99)</f>
        <v>4.99</v>
      </c>
      <c r="E1214" s="1">
        <f ca="1">IFERROR(__xludf.DUMMYFUNCTION("""COMPUTED_VALUE"""),5.11)</f>
        <v>5.1100000000000003</v>
      </c>
      <c r="F1214" s="1">
        <f ca="1">IFERROR(__xludf.DUMMYFUNCTION("""COMPUTED_VALUE"""),10577288)</f>
        <v>10577288</v>
      </c>
    </row>
    <row r="1215" spans="1:6" x14ac:dyDescent="0.35">
      <c r="A1215" s="2">
        <f ca="1">IFERROR(__xludf.DUMMYFUNCTION("""COMPUTED_VALUE"""),43766.6666666666)</f>
        <v>43766.666666666599</v>
      </c>
      <c r="B1215" s="1">
        <f ca="1">IFERROR(__xludf.DUMMYFUNCTION("""COMPUTED_VALUE"""),5.16)</f>
        <v>5.16</v>
      </c>
      <c r="C1215" s="1">
        <f ca="1">IFERROR(__xludf.DUMMYFUNCTION("""COMPUTED_VALUE"""),5.22)</f>
        <v>5.22</v>
      </c>
      <c r="D1215" s="1">
        <f ca="1">IFERROR(__xludf.DUMMYFUNCTION("""COMPUTED_VALUE"""),5.13)</f>
        <v>5.13</v>
      </c>
      <c r="E1215" s="1">
        <f ca="1">IFERROR(__xludf.DUMMYFUNCTION("""COMPUTED_VALUE"""),5.17)</f>
        <v>5.17</v>
      </c>
      <c r="F1215" s="1">
        <f ca="1">IFERROR(__xludf.DUMMYFUNCTION("""COMPUTED_VALUE"""),8269791)</f>
        <v>8269791</v>
      </c>
    </row>
    <row r="1216" spans="1:6" x14ac:dyDescent="0.35">
      <c r="A1216" s="2">
        <f ca="1">IFERROR(__xludf.DUMMYFUNCTION("""COMPUTED_VALUE"""),43767.6666666666)</f>
        <v>43767.666666666599</v>
      </c>
      <c r="B1216" s="1">
        <f ca="1">IFERROR(__xludf.DUMMYFUNCTION("""COMPUTED_VALUE"""),5.16)</f>
        <v>5.16</v>
      </c>
      <c r="C1216" s="1">
        <f ca="1">IFERROR(__xludf.DUMMYFUNCTION("""COMPUTED_VALUE"""),5.16)</f>
        <v>5.16</v>
      </c>
      <c r="D1216" s="1">
        <f ca="1">IFERROR(__xludf.DUMMYFUNCTION("""COMPUTED_VALUE"""),5.05)</f>
        <v>5.05</v>
      </c>
      <c r="E1216" s="1">
        <f ca="1">IFERROR(__xludf.DUMMYFUNCTION("""COMPUTED_VALUE"""),5.07)</f>
        <v>5.07</v>
      </c>
      <c r="F1216" s="1">
        <f ca="1">IFERROR(__xludf.DUMMYFUNCTION("""COMPUTED_VALUE"""),5280920)</f>
        <v>5280920</v>
      </c>
    </row>
    <row r="1217" spans="1:6" x14ac:dyDescent="0.35">
      <c r="A1217" s="2">
        <f ca="1">IFERROR(__xludf.DUMMYFUNCTION("""COMPUTED_VALUE"""),43768.6666666666)</f>
        <v>43768.666666666599</v>
      </c>
      <c r="B1217" s="1">
        <f ca="1">IFERROR(__xludf.DUMMYFUNCTION("""COMPUTED_VALUE"""),5.1)</f>
        <v>5.0999999999999996</v>
      </c>
      <c r="C1217" s="1">
        <f ca="1">IFERROR(__xludf.DUMMYFUNCTION("""COMPUTED_VALUE"""),5.11)</f>
        <v>5.1100000000000003</v>
      </c>
      <c r="D1217" s="1">
        <f ca="1">IFERROR(__xludf.DUMMYFUNCTION("""COMPUTED_VALUE"""),5.01)</f>
        <v>5.01</v>
      </c>
      <c r="E1217" s="1">
        <f ca="1">IFERROR(__xludf.DUMMYFUNCTION("""COMPUTED_VALUE"""),5.08)</f>
        <v>5.08</v>
      </c>
      <c r="F1217" s="1">
        <f ca="1">IFERROR(__xludf.DUMMYFUNCTION("""COMPUTED_VALUE"""),5149038)</f>
        <v>5149038</v>
      </c>
    </row>
    <row r="1218" spans="1:6" x14ac:dyDescent="0.35">
      <c r="A1218" s="2">
        <f ca="1">IFERROR(__xludf.DUMMYFUNCTION("""COMPUTED_VALUE"""),43769.6666666666)</f>
        <v>43769.666666666599</v>
      </c>
      <c r="B1218" s="1">
        <f ca="1">IFERROR(__xludf.DUMMYFUNCTION("""COMPUTED_VALUE"""),5.05)</f>
        <v>5.05</v>
      </c>
      <c r="C1218" s="1">
        <f ca="1">IFERROR(__xludf.DUMMYFUNCTION("""COMPUTED_VALUE"""),5.08)</f>
        <v>5.08</v>
      </c>
      <c r="D1218" s="1">
        <f ca="1">IFERROR(__xludf.DUMMYFUNCTION("""COMPUTED_VALUE"""),4.95)</f>
        <v>4.95</v>
      </c>
      <c r="E1218" s="1">
        <f ca="1">IFERROR(__xludf.DUMMYFUNCTION("""COMPUTED_VALUE"""),5.03)</f>
        <v>5.03</v>
      </c>
      <c r="F1218" s="1">
        <f ca="1">IFERROR(__xludf.DUMMYFUNCTION("""COMPUTED_VALUE"""),5243315)</f>
        <v>5243315</v>
      </c>
    </row>
    <row r="1219" spans="1:6" x14ac:dyDescent="0.35">
      <c r="A1219" s="2">
        <f ca="1">IFERROR(__xludf.DUMMYFUNCTION("""COMPUTED_VALUE"""),43770.6666666666)</f>
        <v>43770.666666666599</v>
      </c>
      <c r="B1219" s="1">
        <f ca="1">IFERROR(__xludf.DUMMYFUNCTION("""COMPUTED_VALUE"""),4.99)</f>
        <v>4.99</v>
      </c>
      <c r="C1219" s="1">
        <f ca="1">IFERROR(__xludf.DUMMYFUNCTION("""COMPUTED_VALUE"""),5.1)</f>
        <v>5.0999999999999996</v>
      </c>
      <c r="D1219" s="1">
        <f ca="1">IFERROR(__xludf.DUMMYFUNCTION("""COMPUTED_VALUE"""),4.96)</f>
        <v>4.96</v>
      </c>
      <c r="E1219" s="1">
        <f ca="1">IFERROR(__xludf.DUMMYFUNCTION("""COMPUTED_VALUE"""),5.06)</f>
        <v>5.0599999999999996</v>
      </c>
      <c r="F1219" s="1">
        <f ca="1">IFERROR(__xludf.DUMMYFUNCTION("""COMPUTED_VALUE"""),7090956)</f>
        <v>7090956</v>
      </c>
    </row>
    <row r="1220" spans="1:6" x14ac:dyDescent="0.35">
      <c r="A1220" s="2">
        <f ca="1">IFERROR(__xludf.DUMMYFUNCTION("""COMPUTED_VALUE"""),43773.6666666666)</f>
        <v>43773.666666666599</v>
      </c>
      <c r="B1220" s="1">
        <f ca="1">IFERROR(__xludf.DUMMYFUNCTION("""COMPUTED_VALUE"""),5.15)</f>
        <v>5.15</v>
      </c>
      <c r="C1220" s="1">
        <f ca="1">IFERROR(__xludf.DUMMYFUNCTION("""COMPUTED_VALUE"""),5.28)</f>
        <v>5.28</v>
      </c>
      <c r="D1220" s="1">
        <f ca="1">IFERROR(__xludf.DUMMYFUNCTION("""COMPUTED_VALUE"""),5.12)</f>
        <v>5.12</v>
      </c>
      <c r="E1220" s="1">
        <f ca="1">IFERROR(__xludf.DUMMYFUNCTION("""COMPUTED_VALUE"""),5.26)</f>
        <v>5.26</v>
      </c>
      <c r="F1220" s="1">
        <f ca="1">IFERROR(__xludf.DUMMYFUNCTION("""COMPUTED_VALUE"""),9417905)</f>
        <v>9417905</v>
      </c>
    </row>
    <row r="1221" spans="1:6" x14ac:dyDescent="0.35">
      <c r="A1221" s="2">
        <f ca="1">IFERROR(__xludf.DUMMYFUNCTION("""COMPUTED_VALUE"""),43774.6666666666)</f>
        <v>43774.666666666599</v>
      </c>
      <c r="B1221" s="1">
        <f ca="1">IFERROR(__xludf.DUMMYFUNCTION("""COMPUTED_VALUE"""),5.26)</f>
        <v>5.26</v>
      </c>
      <c r="C1221" s="1">
        <f ca="1">IFERROR(__xludf.DUMMYFUNCTION("""COMPUTED_VALUE"""),5.29)</f>
        <v>5.29</v>
      </c>
      <c r="D1221" s="1">
        <f ca="1">IFERROR(__xludf.DUMMYFUNCTION("""COMPUTED_VALUE"""),5.19)</f>
        <v>5.19</v>
      </c>
      <c r="E1221" s="1">
        <f ca="1">IFERROR(__xludf.DUMMYFUNCTION("""COMPUTED_VALUE"""),5.24)</f>
        <v>5.24</v>
      </c>
      <c r="F1221" s="1">
        <f ca="1">IFERROR(__xludf.DUMMYFUNCTION("""COMPUTED_VALUE"""),7521712)</f>
        <v>7521712</v>
      </c>
    </row>
    <row r="1222" spans="1:6" x14ac:dyDescent="0.35">
      <c r="A1222" s="2">
        <f ca="1">IFERROR(__xludf.DUMMYFUNCTION("""COMPUTED_VALUE"""),43775.6666666666)</f>
        <v>43775.666666666599</v>
      </c>
      <c r="B1222" s="1">
        <f ca="1">IFERROR(__xludf.DUMMYFUNCTION("""COMPUTED_VALUE"""),5.22)</f>
        <v>5.22</v>
      </c>
      <c r="C1222" s="1">
        <f ca="1">IFERROR(__xludf.DUMMYFUNCTION("""COMPUTED_VALUE"""),5.24)</f>
        <v>5.24</v>
      </c>
      <c r="D1222" s="1">
        <f ca="1">IFERROR(__xludf.DUMMYFUNCTION("""COMPUTED_VALUE"""),5.1)</f>
        <v>5.0999999999999996</v>
      </c>
      <c r="E1222" s="1">
        <f ca="1">IFERROR(__xludf.DUMMYFUNCTION("""COMPUTED_VALUE"""),5.19)</f>
        <v>5.19</v>
      </c>
      <c r="F1222" s="1">
        <f ca="1">IFERROR(__xludf.DUMMYFUNCTION("""COMPUTED_VALUE"""),6725335)</f>
        <v>6725335</v>
      </c>
    </row>
    <row r="1223" spans="1:6" x14ac:dyDescent="0.35">
      <c r="A1223" s="2">
        <f ca="1">IFERROR(__xludf.DUMMYFUNCTION("""COMPUTED_VALUE"""),43776.6666666666)</f>
        <v>43776.666666666599</v>
      </c>
      <c r="B1223" s="1">
        <f ca="1">IFERROR(__xludf.DUMMYFUNCTION("""COMPUTED_VALUE"""),5.28)</f>
        <v>5.28</v>
      </c>
      <c r="C1223" s="1">
        <f ca="1">IFERROR(__xludf.DUMMYFUNCTION("""COMPUTED_VALUE"""),5.29)</f>
        <v>5.29</v>
      </c>
      <c r="D1223" s="1">
        <f ca="1">IFERROR(__xludf.DUMMYFUNCTION("""COMPUTED_VALUE"""),5.16)</f>
        <v>5.16</v>
      </c>
      <c r="E1223" s="1">
        <f ca="1">IFERROR(__xludf.DUMMYFUNCTION("""COMPUTED_VALUE"""),5.21)</f>
        <v>5.21</v>
      </c>
      <c r="F1223" s="1">
        <f ca="1">IFERROR(__xludf.DUMMYFUNCTION("""COMPUTED_VALUE"""),7008498)</f>
        <v>7008498</v>
      </c>
    </row>
    <row r="1224" spans="1:6" x14ac:dyDescent="0.35">
      <c r="A1224" s="2">
        <f ca="1">IFERROR(__xludf.DUMMYFUNCTION("""COMPUTED_VALUE"""),43777.6666666666)</f>
        <v>43777.666666666599</v>
      </c>
      <c r="B1224" s="1">
        <f ca="1">IFERROR(__xludf.DUMMYFUNCTION("""COMPUTED_VALUE"""),5.19)</f>
        <v>5.19</v>
      </c>
      <c r="C1224" s="1">
        <f ca="1">IFERROR(__xludf.DUMMYFUNCTION("""COMPUTED_VALUE"""),5.23)</f>
        <v>5.23</v>
      </c>
      <c r="D1224" s="1">
        <f ca="1">IFERROR(__xludf.DUMMYFUNCTION("""COMPUTED_VALUE"""),5.15)</f>
        <v>5.15</v>
      </c>
      <c r="E1224" s="1">
        <f ca="1">IFERROR(__xludf.DUMMYFUNCTION("""COMPUTED_VALUE"""),5.19)</f>
        <v>5.19</v>
      </c>
      <c r="F1224" s="1">
        <f ca="1">IFERROR(__xludf.DUMMYFUNCTION("""COMPUTED_VALUE"""),4735187)</f>
        <v>4735187</v>
      </c>
    </row>
    <row r="1225" spans="1:6" x14ac:dyDescent="0.35">
      <c r="A1225" s="2">
        <f ca="1">IFERROR(__xludf.DUMMYFUNCTION("""COMPUTED_VALUE"""),43780.6666666666)</f>
        <v>43780.666666666599</v>
      </c>
      <c r="B1225" s="1">
        <f ca="1">IFERROR(__xludf.DUMMYFUNCTION("""COMPUTED_VALUE"""),5.19)</f>
        <v>5.19</v>
      </c>
      <c r="C1225" s="1">
        <f ca="1">IFERROR(__xludf.DUMMYFUNCTION("""COMPUTED_VALUE"""),5.23)</f>
        <v>5.23</v>
      </c>
      <c r="D1225" s="1">
        <f ca="1">IFERROR(__xludf.DUMMYFUNCTION("""COMPUTED_VALUE"""),5.11)</f>
        <v>5.1100000000000003</v>
      </c>
      <c r="E1225" s="1">
        <f ca="1">IFERROR(__xludf.DUMMYFUNCTION("""COMPUTED_VALUE"""),5.2)</f>
        <v>5.2</v>
      </c>
      <c r="F1225" s="1">
        <f ca="1">IFERROR(__xludf.DUMMYFUNCTION("""COMPUTED_VALUE"""),6094736)</f>
        <v>6094736</v>
      </c>
    </row>
    <row r="1226" spans="1:6" x14ac:dyDescent="0.35">
      <c r="A1226" s="2">
        <f ca="1">IFERROR(__xludf.DUMMYFUNCTION("""COMPUTED_VALUE"""),43781.6666666666)</f>
        <v>43781.666666666599</v>
      </c>
      <c r="B1226" s="1">
        <f ca="1">IFERROR(__xludf.DUMMYFUNCTION("""COMPUTED_VALUE"""),5.24)</f>
        <v>5.24</v>
      </c>
      <c r="C1226" s="1">
        <f ca="1">IFERROR(__xludf.DUMMYFUNCTION("""COMPUTED_VALUE"""),5.3)</f>
        <v>5.3</v>
      </c>
      <c r="D1226" s="1">
        <f ca="1">IFERROR(__xludf.DUMMYFUNCTION("""COMPUTED_VALUE"""),5.21)</f>
        <v>5.21</v>
      </c>
      <c r="E1226" s="1">
        <f ca="1">IFERROR(__xludf.DUMMYFUNCTION("""COMPUTED_VALUE"""),5.24)</f>
        <v>5.24</v>
      </c>
      <c r="F1226" s="1">
        <f ca="1">IFERROR(__xludf.DUMMYFUNCTION("""COMPUTED_VALUE"""),7095971)</f>
        <v>7095971</v>
      </c>
    </row>
    <row r="1227" spans="1:6" x14ac:dyDescent="0.35">
      <c r="A1227" s="2">
        <f ca="1">IFERROR(__xludf.DUMMYFUNCTION("""COMPUTED_VALUE"""),43782.6666666666)</f>
        <v>43782.666666666599</v>
      </c>
      <c r="B1227" s="1">
        <f ca="1">IFERROR(__xludf.DUMMYFUNCTION("""COMPUTED_VALUE"""),5.21)</f>
        <v>5.21</v>
      </c>
      <c r="C1227" s="1">
        <f ca="1">IFERROR(__xludf.DUMMYFUNCTION("""COMPUTED_VALUE"""),5.24)</f>
        <v>5.24</v>
      </c>
      <c r="D1227" s="1">
        <f ca="1">IFERROR(__xludf.DUMMYFUNCTION("""COMPUTED_VALUE"""),5.15)</f>
        <v>5.15</v>
      </c>
      <c r="E1227" s="1">
        <f ca="1">IFERROR(__xludf.DUMMYFUNCTION("""COMPUTED_VALUE"""),5.21)</f>
        <v>5.21</v>
      </c>
      <c r="F1227" s="1">
        <f ca="1">IFERROR(__xludf.DUMMYFUNCTION("""COMPUTED_VALUE"""),7559124)</f>
        <v>7559124</v>
      </c>
    </row>
    <row r="1228" spans="1:6" x14ac:dyDescent="0.35">
      <c r="A1228" s="2">
        <f ca="1">IFERROR(__xludf.DUMMYFUNCTION("""COMPUTED_VALUE"""),43783.6666666666)</f>
        <v>43783.666666666599</v>
      </c>
      <c r="B1228" s="1">
        <f ca="1">IFERROR(__xludf.DUMMYFUNCTION("""COMPUTED_VALUE"""),5.22)</f>
        <v>5.22</v>
      </c>
      <c r="C1228" s="1">
        <f ca="1">IFERROR(__xludf.DUMMYFUNCTION("""COMPUTED_VALUE"""),5.25)</f>
        <v>5.25</v>
      </c>
      <c r="D1228" s="1">
        <f ca="1">IFERROR(__xludf.DUMMYFUNCTION("""COMPUTED_VALUE"""),5.16)</f>
        <v>5.16</v>
      </c>
      <c r="E1228" s="1">
        <f ca="1">IFERROR(__xludf.DUMMYFUNCTION("""COMPUTED_VALUE"""),5.24)</f>
        <v>5.24</v>
      </c>
      <c r="F1228" s="1">
        <f ca="1">IFERROR(__xludf.DUMMYFUNCTION("""COMPUTED_VALUE"""),13175171)</f>
        <v>13175171</v>
      </c>
    </row>
    <row r="1229" spans="1:6" x14ac:dyDescent="0.35">
      <c r="A1229" s="2">
        <f ca="1">IFERROR(__xludf.DUMMYFUNCTION("""COMPUTED_VALUE"""),43784.6666666666)</f>
        <v>43784.666666666599</v>
      </c>
      <c r="B1229" s="1">
        <f ca="1">IFERROR(__xludf.DUMMYFUNCTION("""COMPUTED_VALUE"""),5.24)</f>
        <v>5.24</v>
      </c>
      <c r="C1229" s="1">
        <f ca="1">IFERROR(__xludf.DUMMYFUNCTION("""COMPUTED_VALUE"""),5.29)</f>
        <v>5.29</v>
      </c>
      <c r="D1229" s="1">
        <f ca="1">IFERROR(__xludf.DUMMYFUNCTION("""COMPUTED_VALUE"""),5.02)</f>
        <v>5.0199999999999996</v>
      </c>
      <c r="E1229" s="1">
        <f ca="1">IFERROR(__xludf.DUMMYFUNCTION("""COMPUTED_VALUE"""),5.1)</f>
        <v>5.0999999999999996</v>
      </c>
      <c r="F1229" s="1">
        <f ca="1">IFERROR(__xludf.DUMMYFUNCTION("""COMPUTED_VALUE"""),26355409)</f>
        <v>26355409</v>
      </c>
    </row>
    <row r="1230" spans="1:6" x14ac:dyDescent="0.35">
      <c r="A1230" s="2">
        <f ca="1">IFERROR(__xludf.DUMMYFUNCTION("""COMPUTED_VALUE"""),43787.6666666666)</f>
        <v>43787.666666666599</v>
      </c>
      <c r="B1230" s="1">
        <f ca="1">IFERROR(__xludf.DUMMYFUNCTION("""COMPUTED_VALUE"""),5.1)</f>
        <v>5.0999999999999996</v>
      </c>
      <c r="C1230" s="1">
        <f ca="1">IFERROR(__xludf.DUMMYFUNCTION("""COMPUTED_VALUE"""),5.33)</f>
        <v>5.33</v>
      </c>
      <c r="D1230" s="1">
        <f ca="1">IFERROR(__xludf.DUMMYFUNCTION("""COMPUTED_VALUE"""),5.09)</f>
        <v>5.09</v>
      </c>
      <c r="E1230" s="1">
        <f ca="1">IFERROR(__xludf.DUMMYFUNCTION("""COMPUTED_VALUE"""),5.31)</f>
        <v>5.31</v>
      </c>
      <c r="F1230" s="1">
        <f ca="1">IFERROR(__xludf.DUMMYFUNCTION("""COMPUTED_VALUE"""),14382963)</f>
        <v>14382963</v>
      </c>
    </row>
    <row r="1231" spans="1:6" x14ac:dyDescent="0.35">
      <c r="A1231" s="2">
        <f ca="1">IFERROR(__xludf.DUMMYFUNCTION("""COMPUTED_VALUE"""),43788.6666666666)</f>
        <v>43788.666666666599</v>
      </c>
      <c r="B1231" s="1">
        <f ca="1">IFERROR(__xludf.DUMMYFUNCTION("""COMPUTED_VALUE"""),5.28)</f>
        <v>5.28</v>
      </c>
      <c r="C1231" s="1">
        <f ca="1">IFERROR(__xludf.DUMMYFUNCTION("""COMPUTED_VALUE"""),5.3)</f>
        <v>5.3</v>
      </c>
      <c r="D1231" s="1">
        <f ca="1">IFERROR(__xludf.DUMMYFUNCTION("""COMPUTED_VALUE"""),5.14)</f>
        <v>5.14</v>
      </c>
      <c r="E1231" s="1">
        <f ca="1">IFERROR(__xludf.DUMMYFUNCTION("""COMPUTED_VALUE"""),5.2)</f>
        <v>5.2</v>
      </c>
      <c r="F1231" s="1">
        <f ca="1">IFERROR(__xludf.DUMMYFUNCTION("""COMPUTED_VALUE"""),10384506)</f>
        <v>10384506</v>
      </c>
    </row>
    <row r="1232" spans="1:6" x14ac:dyDescent="0.35">
      <c r="A1232" s="2">
        <f ca="1">IFERROR(__xludf.DUMMYFUNCTION("""COMPUTED_VALUE"""),43789.6666666666)</f>
        <v>43789.666666666599</v>
      </c>
      <c r="B1232" s="1">
        <f ca="1">IFERROR(__xludf.DUMMYFUNCTION("""COMPUTED_VALUE"""),5.18)</f>
        <v>5.18</v>
      </c>
      <c r="C1232" s="1">
        <f ca="1">IFERROR(__xludf.DUMMYFUNCTION("""COMPUTED_VALUE"""),5.36)</f>
        <v>5.36</v>
      </c>
      <c r="D1232" s="1">
        <f ca="1">IFERROR(__xludf.DUMMYFUNCTION("""COMPUTED_VALUE"""),5.16)</f>
        <v>5.16</v>
      </c>
      <c r="E1232" s="1">
        <f ca="1">IFERROR(__xludf.DUMMYFUNCTION("""COMPUTED_VALUE"""),5.28)</f>
        <v>5.28</v>
      </c>
      <c r="F1232" s="1">
        <f ca="1">IFERROR(__xludf.DUMMYFUNCTION("""COMPUTED_VALUE"""),11825438)</f>
        <v>11825438</v>
      </c>
    </row>
    <row r="1233" spans="1:6" x14ac:dyDescent="0.35">
      <c r="A1233" s="2">
        <f ca="1">IFERROR(__xludf.DUMMYFUNCTION("""COMPUTED_VALUE"""),43790.6666666666)</f>
        <v>43790.666666666599</v>
      </c>
      <c r="B1233" s="1">
        <f ca="1">IFERROR(__xludf.DUMMYFUNCTION("""COMPUTED_VALUE"""),5.28)</f>
        <v>5.28</v>
      </c>
      <c r="C1233" s="1">
        <f ca="1">IFERROR(__xludf.DUMMYFUNCTION("""COMPUTED_VALUE"""),5.33)</f>
        <v>5.33</v>
      </c>
      <c r="D1233" s="1">
        <f ca="1">IFERROR(__xludf.DUMMYFUNCTION("""COMPUTED_VALUE"""),5.23)</f>
        <v>5.23</v>
      </c>
      <c r="E1233" s="1">
        <f ca="1">IFERROR(__xludf.DUMMYFUNCTION("""COMPUTED_VALUE"""),5.25)</f>
        <v>5.25</v>
      </c>
      <c r="F1233" s="1">
        <f ca="1">IFERROR(__xludf.DUMMYFUNCTION("""COMPUTED_VALUE"""),7209730)</f>
        <v>7209730</v>
      </c>
    </row>
    <row r="1234" spans="1:6" x14ac:dyDescent="0.35">
      <c r="A1234" s="2">
        <f ca="1">IFERROR(__xludf.DUMMYFUNCTION("""COMPUTED_VALUE"""),43791.6666666666)</f>
        <v>43791.666666666599</v>
      </c>
      <c r="B1234" s="1">
        <f ca="1">IFERROR(__xludf.DUMMYFUNCTION("""COMPUTED_VALUE"""),5.28)</f>
        <v>5.28</v>
      </c>
      <c r="C1234" s="1">
        <f ca="1">IFERROR(__xludf.DUMMYFUNCTION("""COMPUTED_VALUE"""),5.32)</f>
        <v>5.32</v>
      </c>
      <c r="D1234" s="1">
        <f ca="1">IFERROR(__xludf.DUMMYFUNCTION("""COMPUTED_VALUE"""),5.25)</f>
        <v>5.25</v>
      </c>
      <c r="E1234" s="1">
        <f ca="1">IFERROR(__xludf.DUMMYFUNCTION("""COMPUTED_VALUE"""),5.27)</f>
        <v>5.27</v>
      </c>
      <c r="F1234" s="1">
        <f ca="1">IFERROR(__xludf.DUMMYFUNCTION("""COMPUTED_VALUE"""),5602470)</f>
        <v>5602470</v>
      </c>
    </row>
    <row r="1235" spans="1:6" x14ac:dyDescent="0.35">
      <c r="A1235" s="2">
        <f ca="1">IFERROR(__xludf.DUMMYFUNCTION("""COMPUTED_VALUE"""),43794.6666666666)</f>
        <v>43794.666666666599</v>
      </c>
      <c r="B1235" s="1">
        <f ca="1">IFERROR(__xludf.DUMMYFUNCTION("""COMPUTED_VALUE"""),5.4)</f>
        <v>5.4</v>
      </c>
      <c r="C1235" s="1">
        <f ca="1">IFERROR(__xludf.DUMMYFUNCTION("""COMPUTED_VALUE"""),5.54)</f>
        <v>5.54</v>
      </c>
      <c r="D1235" s="1">
        <f ca="1">IFERROR(__xludf.DUMMYFUNCTION("""COMPUTED_VALUE"""),5.39)</f>
        <v>5.39</v>
      </c>
      <c r="E1235" s="1">
        <f ca="1">IFERROR(__xludf.DUMMYFUNCTION("""COMPUTED_VALUE"""),5.53)</f>
        <v>5.53</v>
      </c>
      <c r="F1235" s="1">
        <f ca="1">IFERROR(__xludf.DUMMYFUNCTION("""COMPUTED_VALUE"""),12683686)</f>
        <v>12683686</v>
      </c>
    </row>
    <row r="1236" spans="1:6" x14ac:dyDescent="0.35">
      <c r="A1236" s="2">
        <f ca="1">IFERROR(__xludf.DUMMYFUNCTION("""COMPUTED_VALUE"""),43795.6666666666)</f>
        <v>43795.666666666599</v>
      </c>
      <c r="B1236" s="1">
        <f ca="1">IFERROR(__xludf.DUMMYFUNCTION("""COMPUTED_VALUE"""),5.51)</f>
        <v>5.51</v>
      </c>
      <c r="C1236" s="1">
        <f ca="1">IFERROR(__xludf.DUMMYFUNCTION("""COMPUTED_VALUE"""),5.52)</f>
        <v>5.52</v>
      </c>
      <c r="D1236" s="1">
        <f ca="1">IFERROR(__xludf.DUMMYFUNCTION("""COMPUTED_VALUE"""),5.42)</f>
        <v>5.42</v>
      </c>
      <c r="E1236" s="1">
        <f ca="1">IFERROR(__xludf.DUMMYFUNCTION("""COMPUTED_VALUE"""),5.43)</f>
        <v>5.43</v>
      </c>
      <c r="F1236" s="1">
        <f ca="1">IFERROR(__xludf.DUMMYFUNCTION("""COMPUTED_VALUE"""),9642023)</f>
        <v>9642023</v>
      </c>
    </row>
    <row r="1237" spans="1:6" x14ac:dyDescent="0.35">
      <c r="A1237" s="2">
        <f ca="1">IFERROR(__xludf.DUMMYFUNCTION("""COMPUTED_VALUE"""),43796.6666666666)</f>
        <v>43796.666666666599</v>
      </c>
      <c r="B1237" s="1">
        <f ca="1">IFERROR(__xludf.DUMMYFUNCTION("""COMPUTED_VALUE"""),5.47)</f>
        <v>5.47</v>
      </c>
      <c r="C1237" s="1">
        <f ca="1">IFERROR(__xludf.DUMMYFUNCTION("""COMPUTED_VALUE"""),5.5)</f>
        <v>5.5</v>
      </c>
      <c r="D1237" s="1">
        <f ca="1">IFERROR(__xludf.DUMMYFUNCTION("""COMPUTED_VALUE"""),5.43)</f>
        <v>5.43</v>
      </c>
      <c r="E1237" s="1">
        <f ca="1">IFERROR(__xludf.DUMMYFUNCTION("""COMPUTED_VALUE"""),5.46)</f>
        <v>5.46</v>
      </c>
      <c r="F1237" s="1">
        <f ca="1">IFERROR(__xludf.DUMMYFUNCTION("""COMPUTED_VALUE"""),5410718)</f>
        <v>5410718</v>
      </c>
    </row>
    <row r="1238" spans="1:6" x14ac:dyDescent="0.35">
      <c r="A1238" s="2">
        <f ca="1">IFERROR(__xludf.DUMMYFUNCTION("""COMPUTED_VALUE"""),43798.5416666666)</f>
        <v>43798.541666666599</v>
      </c>
      <c r="B1238" s="1">
        <f ca="1">IFERROR(__xludf.DUMMYFUNCTION("""COMPUTED_VALUE"""),5.43)</f>
        <v>5.43</v>
      </c>
      <c r="C1238" s="1">
        <f ca="1">IFERROR(__xludf.DUMMYFUNCTION("""COMPUTED_VALUE"""),5.45)</f>
        <v>5.45</v>
      </c>
      <c r="D1238" s="1">
        <f ca="1">IFERROR(__xludf.DUMMYFUNCTION("""COMPUTED_VALUE"""),5.39)</f>
        <v>5.39</v>
      </c>
      <c r="E1238" s="1">
        <f ca="1">IFERROR(__xludf.DUMMYFUNCTION("""COMPUTED_VALUE"""),5.42)</f>
        <v>5.42</v>
      </c>
      <c r="F1238" s="1">
        <f ca="1">IFERROR(__xludf.DUMMYFUNCTION("""COMPUTED_VALUE"""),3538924)</f>
        <v>3538924</v>
      </c>
    </row>
    <row r="1239" spans="1:6" x14ac:dyDescent="0.35">
      <c r="A1239" s="2">
        <f ca="1">IFERROR(__xludf.DUMMYFUNCTION("""COMPUTED_VALUE"""),43801.6666666666)</f>
        <v>43801.666666666599</v>
      </c>
      <c r="B1239" s="1">
        <f ca="1">IFERROR(__xludf.DUMMYFUNCTION("""COMPUTED_VALUE"""),5.41)</f>
        <v>5.41</v>
      </c>
      <c r="C1239" s="1">
        <f ca="1">IFERROR(__xludf.DUMMYFUNCTION("""COMPUTED_VALUE"""),5.43)</f>
        <v>5.43</v>
      </c>
      <c r="D1239" s="1">
        <f ca="1">IFERROR(__xludf.DUMMYFUNCTION("""COMPUTED_VALUE"""),5.22)</f>
        <v>5.22</v>
      </c>
      <c r="E1239" s="1">
        <f ca="1">IFERROR(__xludf.DUMMYFUNCTION("""COMPUTED_VALUE"""),5.23)</f>
        <v>5.23</v>
      </c>
      <c r="F1239" s="1">
        <f ca="1">IFERROR(__xludf.DUMMYFUNCTION("""COMPUTED_VALUE"""),9346742)</f>
        <v>9346742</v>
      </c>
    </row>
    <row r="1240" spans="1:6" x14ac:dyDescent="0.35">
      <c r="A1240" s="2">
        <f ca="1">IFERROR(__xludf.DUMMYFUNCTION("""COMPUTED_VALUE"""),43802.6666666666)</f>
        <v>43802.666666666599</v>
      </c>
      <c r="B1240" s="1">
        <f ca="1">IFERROR(__xludf.DUMMYFUNCTION("""COMPUTED_VALUE"""),5.05)</f>
        <v>5.05</v>
      </c>
      <c r="C1240" s="1">
        <f ca="1">IFERROR(__xludf.DUMMYFUNCTION("""COMPUTED_VALUE"""),5.2)</f>
        <v>5.2</v>
      </c>
      <c r="D1240" s="1">
        <f ca="1">IFERROR(__xludf.DUMMYFUNCTION("""COMPUTED_VALUE"""),5.01)</f>
        <v>5.01</v>
      </c>
      <c r="E1240" s="1">
        <f ca="1">IFERROR(__xludf.DUMMYFUNCTION("""COMPUTED_VALUE"""),5.19)</f>
        <v>5.19</v>
      </c>
      <c r="F1240" s="1">
        <f ca="1">IFERROR(__xludf.DUMMYFUNCTION("""COMPUTED_VALUE"""),11853653)</f>
        <v>11853653</v>
      </c>
    </row>
    <row r="1241" spans="1:6" x14ac:dyDescent="0.35">
      <c r="A1241" s="2">
        <f ca="1">IFERROR(__xludf.DUMMYFUNCTION("""COMPUTED_VALUE"""),43803.6666666666)</f>
        <v>43803.666666666599</v>
      </c>
      <c r="B1241" s="1">
        <f ca="1">IFERROR(__xludf.DUMMYFUNCTION("""COMPUTED_VALUE"""),5.28)</f>
        <v>5.28</v>
      </c>
      <c r="C1241" s="1">
        <f ca="1">IFERROR(__xludf.DUMMYFUNCTION("""COMPUTED_VALUE"""),5.3)</f>
        <v>5.3</v>
      </c>
      <c r="D1241" s="1">
        <f ca="1">IFERROR(__xludf.DUMMYFUNCTION("""COMPUTED_VALUE"""),5.21)</f>
        <v>5.21</v>
      </c>
      <c r="E1241" s="1">
        <f ca="1">IFERROR(__xludf.DUMMYFUNCTION("""COMPUTED_VALUE"""),5.24)</f>
        <v>5.24</v>
      </c>
      <c r="F1241" s="1">
        <f ca="1">IFERROR(__xludf.DUMMYFUNCTION("""COMPUTED_VALUE"""),6840459)</f>
        <v>6840459</v>
      </c>
    </row>
    <row r="1242" spans="1:6" x14ac:dyDescent="0.35">
      <c r="A1242" s="2">
        <f ca="1">IFERROR(__xludf.DUMMYFUNCTION("""COMPUTED_VALUE"""),43804.6666666666)</f>
        <v>43804.666666666599</v>
      </c>
      <c r="B1242" s="1">
        <f ca="1">IFERROR(__xludf.DUMMYFUNCTION("""COMPUTED_VALUE"""),5.26)</f>
        <v>5.26</v>
      </c>
      <c r="C1242" s="1">
        <f ca="1">IFERROR(__xludf.DUMMYFUNCTION("""COMPUTED_VALUE"""),5.27)</f>
        <v>5.27</v>
      </c>
      <c r="D1242" s="1">
        <f ca="1">IFERROR(__xludf.DUMMYFUNCTION("""COMPUTED_VALUE"""),5.19)</f>
        <v>5.19</v>
      </c>
      <c r="E1242" s="1">
        <f ca="1">IFERROR(__xludf.DUMMYFUNCTION("""COMPUTED_VALUE"""),5.22)</f>
        <v>5.22</v>
      </c>
      <c r="F1242" s="1">
        <f ca="1">IFERROR(__xludf.DUMMYFUNCTION("""COMPUTED_VALUE"""),4628444)</f>
        <v>4628444</v>
      </c>
    </row>
    <row r="1243" spans="1:6" x14ac:dyDescent="0.35">
      <c r="A1243" s="2">
        <f ca="1">IFERROR(__xludf.DUMMYFUNCTION("""COMPUTED_VALUE"""),43805.6666666666)</f>
        <v>43805.666666666599</v>
      </c>
      <c r="B1243" s="1">
        <f ca="1">IFERROR(__xludf.DUMMYFUNCTION("""COMPUTED_VALUE"""),5.29)</f>
        <v>5.29</v>
      </c>
      <c r="C1243" s="1">
        <f ca="1">IFERROR(__xludf.DUMMYFUNCTION("""COMPUTED_VALUE"""),5.34)</f>
        <v>5.34</v>
      </c>
      <c r="D1243" s="1">
        <f ca="1">IFERROR(__xludf.DUMMYFUNCTION("""COMPUTED_VALUE"""),5.28)</f>
        <v>5.28</v>
      </c>
      <c r="E1243" s="1">
        <f ca="1">IFERROR(__xludf.DUMMYFUNCTION("""COMPUTED_VALUE"""),5.3)</f>
        <v>5.3</v>
      </c>
      <c r="F1243" s="1">
        <f ca="1">IFERROR(__xludf.DUMMYFUNCTION("""COMPUTED_VALUE"""),5810457)</f>
        <v>5810457</v>
      </c>
    </row>
    <row r="1244" spans="1:6" x14ac:dyDescent="0.35">
      <c r="A1244" s="2">
        <f ca="1">IFERROR(__xludf.DUMMYFUNCTION("""COMPUTED_VALUE"""),43808.6666666666)</f>
        <v>43808.666666666599</v>
      </c>
      <c r="B1244" s="1">
        <f ca="1">IFERROR(__xludf.DUMMYFUNCTION("""COMPUTED_VALUE"""),5.28)</f>
        <v>5.28</v>
      </c>
      <c r="C1244" s="1">
        <f ca="1">IFERROR(__xludf.DUMMYFUNCTION("""COMPUTED_VALUE"""),5.36)</f>
        <v>5.36</v>
      </c>
      <c r="D1244" s="1">
        <f ca="1">IFERROR(__xludf.DUMMYFUNCTION("""COMPUTED_VALUE"""),5.27)</f>
        <v>5.27</v>
      </c>
      <c r="E1244" s="1">
        <f ca="1">IFERROR(__xludf.DUMMYFUNCTION("""COMPUTED_VALUE"""),5.3)</f>
        <v>5.3</v>
      </c>
      <c r="F1244" s="1">
        <f ca="1">IFERROR(__xludf.DUMMYFUNCTION("""COMPUTED_VALUE"""),5378320)</f>
        <v>5378320</v>
      </c>
    </row>
    <row r="1245" spans="1:6" x14ac:dyDescent="0.35">
      <c r="A1245" s="2">
        <f ca="1">IFERROR(__xludf.DUMMYFUNCTION("""COMPUTED_VALUE"""),43809.6666666666)</f>
        <v>43809.666666666599</v>
      </c>
      <c r="B1245" s="1">
        <f ca="1">IFERROR(__xludf.DUMMYFUNCTION("""COMPUTED_VALUE"""),5.33)</f>
        <v>5.33</v>
      </c>
      <c r="C1245" s="1">
        <f ca="1">IFERROR(__xludf.DUMMYFUNCTION("""COMPUTED_VALUE"""),5.4)</f>
        <v>5.4</v>
      </c>
      <c r="D1245" s="1">
        <f ca="1">IFERROR(__xludf.DUMMYFUNCTION("""COMPUTED_VALUE"""),5.28)</f>
        <v>5.28</v>
      </c>
      <c r="E1245" s="1">
        <f ca="1">IFERROR(__xludf.DUMMYFUNCTION("""COMPUTED_VALUE"""),5.35)</f>
        <v>5.35</v>
      </c>
      <c r="F1245" s="1">
        <f ca="1">IFERROR(__xludf.DUMMYFUNCTION("""COMPUTED_VALUE"""),6417228)</f>
        <v>6417228</v>
      </c>
    </row>
    <row r="1246" spans="1:6" x14ac:dyDescent="0.35">
      <c r="A1246" s="2">
        <f ca="1">IFERROR(__xludf.DUMMYFUNCTION("""COMPUTED_VALUE"""),43810.6666666666)</f>
        <v>43810.666666666599</v>
      </c>
      <c r="B1246" s="1">
        <f ca="1">IFERROR(__xludf.DUMMYFUNCTION("""COMPUTED_VALUE"""),5.36)</f>
        <v>5.36</v>
      </c>
      <c r="C1246" s="1">
        <f ca="1">IFERROR(__xludf.DUMMYFUNCTION("""COMPUTED_VALUE"""),5.44)</f>
        <v>5.44</v>
      </c>
      <c r="D1246" s="1">
        <f ca="1">IFERROR(__xludf.DUMMYFUNCTION("""COMPUTED_VALUE"""),5.36)</f>
        <v>5.36</v>
      </c>
      <c r="E1246" s="1">
        <f ca="1">IFERROR(__xludf.DUMMYFUNCTION("""COMPUTED_VALUE"""),5.43)</f>
        <v>5.43</v>
      </c>
      <c r="F1246" s="1">
        <f ca="1">IFERROR(__xludf.DUMMYFUNCTION("""COMPUTED_VALUE"""),5850247)</f>
        <v>5850247</v>
      </c>
    </row>
    <row r="1247" spans="1:6" x14ac:dyDescent="0.35">
      <c r="A1247" s="2">
        <f ca="1">IFERROR(__xludf.DUMMYFUNCTION("""COMPUTED_VALUE"""),43811.6666666666)</f>
        <v>43811.666666666599</v>
      </c>
      <c r="B1247" s="1">
        <f ca="1">IFERROR(__xludf.DUMMYFUNCTION("""COMPUTED_VALUE"""),5.4)</f>
        <v>5.4</v>
      </c>
      <c r="C1247" s="1">
        <f ca="1">IFERROR(__xludf.DUMMYFUNCTION("""COMPUTED_VALUE"""),5.62)</f>
        <v>5.62</v>
      </c>
      <c r="D1247" s="1">
        <f ca="1">IFERROR(__xludf.DUMMYFUNCTION("""COMPUTED_VALUE"""),5.4)</f>
        <v>5.4</v>
      </c>
      <c r="E1247" s="1">
        <f ca="1">IFERROR(__xludf.DUMMYFUNCTION("""COMPUTED_VALUE"""),5.6)</f>
        <v>5.6</v>
      </c>
      <c r="F1247" s="1">
        <f ca="1">IFERROR(__xludf.DUMMYFUNCTION("""COMPUTED_VALUE"""),10152084)</f>
        <v>10152084</v>
      </c>
    </row>
    <row r="1248" spans="1:6" x14ac:dyDescent="0.35">
      <c r="A1248" s="2">
        <f ca="1">IFERROR(__xludf.DUMMYFUNCTION("""COMPUTED_VALUE"""),43812.6666666666)</f>
        <v>43812.666666666599</v>
      </c>
      <c r="B1248" s="1">
        <f ca="1">IFERROR(__xludf.DUMMYFUNCTION("""COMPUTED_VALUE"""),5.6)</f>
        <v>5.6</v>
      </c>
      <c r="C1248" s="1">
        <f ca="1">IFERROR(__xludf.DUMMYFUNCTION("""COMPUTED_VALUE"""),5.72)</f>
        <v>5.72</v>
      </c>
      <c r="D1248" s="1">
        <f ca="1">IFERROR(__xludf.DUMMYFUNCTION("""COMPUTED_VALUE"""),5.55)</f>
        <v>5.55</v>
      </c>
      <c r="E1248" s="1">
        <f ca="1">IFERROR(__xludf.DUMMYFUNCTION("""COMPUTED_VALUE"""),5.6)</f>
        <v>5.6</v>
      </c>
      <c r="F1248" s="1">
        <f ca="1">IFERROR(__xludf.DUMMYFUNCTION("""COMPUTED_VALUE"""),11374183)</f>
        <v>11374183</v>
      </c>
    </row>
    <row r="1249" spans="1:6" x14ac:dyDescent="0.35">
      <c r="A1249" s="2">
        <f ca="1">IFERROR(__xludf.DUMMYFUNCTION("""COMPUTED_VALUE"""),43815.6666666666)</f>
        <v>43815.666666666599</v>
      </c>
      <c r="B1249" s="1">
        <f ca="1">IFERROR(__xludf.DUMMYFUNCTION("""COMPUTED_VALUE"""),5.65)</f>
        <v>5.65</v>
      </c>
      <c r="C1249" s="1">
        <f ca="1">IFERROR(__xludf.DUMMYFUNCTION("""COMPUTED_VALUE"""),5.7)</f>
        <v>5.7</v>
      </c>
      <c r="D1249" s="1">
        <f ca="1">IFERROR(__xludf.DUMMYFUNCTION("""COMPUTED_VALUE"""),5.62)</f>
        <v>5.62</v>
      </c>
      <c r="E1249" s="1">
        <f ca="1">IFERROR(__xludf.DUMMYFUNCTION("""COMPUTED_VALUE"""),5.63)</f>
        <v>5.63</v>
      </c>
      <c r="F1249" s="1">
        <f ca="1">IFERROR(__xludf.DUMMYFUNCTION("""COMPUTED_VALUE"""),8032684)</f>
        <v>8032684</v>
      </c>
    </row>
    <row r="1250" spans="1:6" x14ac:dyDescent="0.35">
      <c r="A1250" s="2">
        <f ca="1">IFERROR(__xludf.DUMMYFUNCTION("""COMPUTED_VALUE"""),43816.6666666666)</f>
        <v>43816.666666666599</v>
      </c>
      <c r="B1250" s="1">
        <f ca="1">IFERROR(__xludf.DUMMYFUNCTION("""COMPUTED_VALUE"""),5.65)</f>
        <v>5.65</v>
      </c>
      <c r="C1250" s="1">
        <f ca="1">IFERROR(__xludf.DUMMYFUNCTION("""COMPUTED_VALUE"""),5.73)</f>
        <v>5.73</v>
      </c>
      <c r="D1250" s="1">
        <f ca="1">IFERROR(__xludf.DUMMYFUNCTION("""COMPUTED_VALUE"""),5.64)</f>
        <v>5.64</v>
      </c>
      <c r="E1250" s="1">
        <f ca="1">IFERROR(__xludf.DUMMYFUNCTION("""COMPUTED_VALUE"""),5.71)</f>
        <v>5.71</v>
      </c>
      <c r="F1250" s="1">
        <f ca="1">IFERROR(__xludf.DUMMYFUNCTION("""COMPUTED_VALUE"""),8081598)</f>
        <v>8081598</v>
      </c>
    </row>
    <row r="1251" spans="1:6" x14ac:dyDescent="0.35">
      <c r="A1251" s="2">
        <f ca="1">IFERROR(__xludf.DUMMYFUNCTION("""COMPUTED_VALUE"""),43817.6666666666)</f>
        <v>43817.666666666599</v>
      </c>
      <c r="B1251" s="1">
        <f ca="1">IFERROR(__xludf.DUMMYFUNCTION("""COMPUTED_VALUE"""),5.74)</f>
        <v>5.74</v>
      </c>
      <c r="C1251" s="1">
        <f ca="1">IFERROR(__xludf.DUMMYFUNCTION("""COMPUTED_VALUE"""),5.8)</f>
        <v>5.8</v>
      </c>
      <c r="D1251" s="1">
        <f ca="1">IFERROR(__xludf.DUMMYFUNCTION("""COMPUTED_VALUE"""),5.73)</f>
        <v>5.73</v>
      </c>
      <c r="E1251" s="1">
        <f ca="1">IFERROR(__xludf.DUMMYFUNCTION("""COMPUTED_VALUE"""),5.74)</f>
        <v>5.74</v>
      </c>
      <c r="F1251" s="1">
        <f ca="1">IFERROR(__xludf.DUMMYFUNCTION("""COMPUTED_VALUE"""),8606969)</f>
        <v>8606969</v>
      </c>
    </row>
    <row r="1252" spans="1:6" x14ac:dyDescent="0.35">
      <c r="A1252" s="2">
        <f ca="1">IFERROR(__xludf.DUMMYFUNCTION("""COMPUTED_VALUE"""),43818.6666666666)</f>
        <v>43818.666666666599</v>
      </c>
      <c r="B1252" s="1">
        <f ca="1">IFERROR(__xludf.DUMMYFUNCTION("""COMPUTED_VALUE"""),5.77)</f>
        <v>5.77</v>
      </c>
      <c r="C1252" s="1">
        <f ca="1">IFERROR(__xludf.DUMMYFUNCTION("""COMPUTED_VALUE"""),5.9)</f>
        <v>5.9</v>
      </c>
      <c r="D1252" s="1">
        <f ca="1">IFERROR(__xludf.DUMMYFUNCTION("""COMPUTED_VALUE"""),5.77)</f>
        <v>5.77</v>
      </c>
      <c r="E1252" s="1">
        <f ca="1">IFERROR(__xludf.DUMMYFUNCTION("""COMPUTED_VALUE"""),5.89)</f>
        <v>5.89</v>
      </c>
      <c r="F1252" s="1">
        <f ca="1">IFERROR(__xludf.DUMMYFUNCTION("""COMPUTED_VALUE"""),11327674)</f>
        <v>11327674</v>
      </c>
    </row>
    <row r="1253" spans="1:6" x14ac:dyDescent="0.35">
      <c r="A1253" s="2">
        <f ca="1">IFERROR(__xludf.DUMMYFUNCTION("""COMPUTED_VALUE"""),43819.6666666666)</f>
        <v>43819.666666666599</v>
      </c>
      <c r="B1253" s="1">
        <f ca="1">IFERROR(__xludf.DUMMYFUNCTION("""COMPUTED_VALUE"""),5.95)</f>
        <v>5.95</v>
      </c>
      <c r="C1253" s="1">
        <f ca="1">IFERROR(__xludf.DUMMYFUNCTION("""COMPUTED_VALUE"""),6.01)</f>
        <v>6.01</v>
      </c>
      <c r="D1253" s="1">
        <f ca="1">IFERROR(__xludf.DUMMYFUNCTION("""COMPUTED_VALUE"""),5.93)</f>
        <v>5.93</v>
      </c>
      <c r="E1253" s="1">
        <f ca="1">IFERROR(__xludf.DUMMYFUNCTION("""COMPUTED_VALUE"""),5.98)</f>
        <v>5.98</v>
      </c>
      <c r="F1253" s="1">
        <f ca="1">IFERROR(__xludf.DUMMYFUNCTION("""COMPUTED_VALUE"""),15084607)</f>
        <v>15084607</v>
      </c>
    </row>
    <row r="1254" spans="1:6" x14ac:dyDescent="0.35">
      <c r="A1254" s="2">
        <f ca="1">IFERROR(__xludf.DUMMYFUNCTION("""COMPUTED_VALUE"""),43822.6666666666)</f>
        <v>43822.666666666599</v>
      </c>
      <c r="B1254" s="1">
        <f ca="1">IFERROR(__xludf.DUMMYFUNCTION("""COMPUTED_VALUE"""),6.01)</f>
        <v>6.01</v>
      </c>
      <c r="C1254" s="1">
        <f ca="1">IFERROR(__xludf.DUMMYFUNCTION("""COMPUTED_VALUE"""),6.05)</f>
        <v>6.05</v>
      </c>
      <c r="D1254" s="1">
        <f ca="1">IFERROR(__xludf.DUMMYFUNCTION("""COMPUTED_VALUE"""),5.96)</f>
        <v>5.96</v>
      </c>
      <c r="E1254" s="1">
        <f ca="1">IFERROR(__xludf.DUMMYFUNCTION("""COMPUTED_VALUE"""),5.97)</f>
        <v>5.97</v>
      </c>
      <c r="F1254" s="1">
        <f ca="1">IFERROR(__xludf.DUMMYFUNCTION("""COMPUTED_VALUE"""),8884815)</f>
        <v>8884815</v>
      </c>
    </row>
    <row r="1255" spans="1:6" x14ac:dyDescent="0.35">
      <c r="A1255" s="2">
        <f ca="1">IFERROR(__xludf.DUMMYFUNCTION("""COMPUTED_VALUE"""),43823.5416666666)</f>
        <v>43823.541666666599</v>
      </c>
      <c r="B1255" s="1">
        <f ca="1">IFERROR(__xludf.DUMMYFUNCTION("""COMPUTED_VALUE"""),5.96)</f>
        <v>5.96</v>
      </c>
      <c r="C1255" s="1">
        <f ca="1">IFERROR(__xludf.DUMMYFUNCTION("""COMPUTED_VALUE"""),5.98)</f>
        <v>5.98</v>
      </c>
      <c r="D1255" s="1">
        <f ca="1">IFERROR(__xludf.DUMMYFUNCTION("""COMPUTED_VALUE"""),5.92)</f>
        <v>5.92</v>
      </c>
      <c r="E1255" s="1">
        <f ca="1">IFERROR(__xludf.DUMMYFUNCTION("""COMPUTED_VALUE"""),5.97)</f>
        <v>5.97</v>
      </c>
      <c r="F1255" s="1">
        <f ca="1">IFERROR(__xludf.DUMMYFUNCTION("""COMPUTED_VALUE"""),3471597)</f>
        <v>3471597</v>
      </c>
    </row>
    <row r="1256" spans="1:6" x14ac:dyDescent="0.35">
      <c r="A1256" s="2">
        <f ca="1">IFERROR(__xludf.DUMMYFUNCTION("""COMPUTED_VALUE"""),43825.6666666666)</f>
        <v>43825.666666666599</v>
      </c>
      <c r="B1256" s="1">
        <f ca="1">IFERROR(__xludf.DUMMYFUNCTION("""COMPUTED_VALUE"""),5.97)</f>
        <v>5.97</v>
      </c>
      <c r="C1256" s="1">
        <f ca="1">IFERROR(__xludf.DUMMYFUNCTION("""COMPUTED_VALUE"""),6.01)</f>
        <v>6.01</v>
      </c>
      <c r="D1256" s="1">
        <f ca="1">IFERROR(__xludf.DUMMYFUNCTION("""COMPUTED_VALUE"""),5.95)</f>
        <v>5.95</v>
      </c>
      <c r="E1256" s="1">
        <f ca="1">IFERROR(__xludf.DUMMYFUNCTION("""COMPUTED_VALUE"""),5.98)</f>
        <v>5.98</v>
      </c>
      <c r="F1256" s="1">
        <f ca="1">IFERROR(__xludf.DUMMYFUNCTION("""COMPUTED_VALUE"""),4580451)</f>
        <v>4580451</v>
      </c>
    </row>
    <row r="1257" spans="1:6" x14ac:dyDescent="0.35">
      <c r="A1257" s="2">
        <f ca="1">IFERROR(__xludf.DUMMYFUNCTION("""COMPUTED_VALUE"""),43826.6666666666)</f>
        <v>43826.666666666599</v>
      </c>
      <c r="B1257" s="1">
        <f ca="1">IFERROR(__xludf.DUMMYFUNCTION("""COMPUTED_VALUE"""),6)</f>
        <v>6</v>
      </c>
      <c r="C1257" s="1">
        <f ca="1">IFERROR(__xludf.DUMMYFUNCTION("""COMPUTED_VALUE"""),6.01)</f>
        <v>6.01</v>
      </c>
      <c r="D1257" s="1">
        <f ca="1">IFERROR(__xludf.DUMMYFUNCTION("""COMPUTED_VALUE"""),5.9)</f>
        <v>5.9</v>
      </c>
      <c r="E1257" s="1">
        <f ca="1">IFERROR(__xludf.DUMMYFUNCTION("""COMPUTED_VALUE"""),5.92)</f>
        <v>5.92</v>
      </c>
      <c r="F1257" s="1">
        <f ca="1">IFERROR(__xludf.DUMMYFUNCTION("""COMPUTED_VALUE"""),6370251)</f>
        <v>6370251</v>
      </c>
    </row>
    <row r="1258" spans="1:6" x14ac:dyDescent="0.35">
      <c r="A1258" s="2">
        <f ca="1">IFERROR(__xludf.DUMMYFUNCTION("""COMPUTED_VALUE"""),43829.6666666666)</f>
        <v>43829.666666666599</v>
      </c>
      <c r="B1258" s="1">
        <f ca="1">IFERROR(__xludf.DUMMYFUNCTION("""COMPUTED_VALUE"""),5.9)</f>
        <v>5.9</v>
      </c>
      <c r="C1258" s="1">
        <f ca="1">IFERROR(__xludf.DUMMYFUNCTION("""COMPUTED_VALUE"""),5.91)</f>
        <v>5.91</v>
      </c>
      <c r="D1258" s="1">
        <f ca="1">IFERROR(__xludf.DUMMYFUNCTION("""COMPUTED_VALUE"""),5.78)</f>
        <v>5.78</v>
      </c>
      <c r="E1258" s="1">
        <f ca="1">IFERROR(__xludf.DUMMYFUNCTION("""COMPUTED_VALUE"""),5.81)</f>
        <v>5.81</v>
      </c>
      <c r="F1258" s="1">
        <f ca="1">IFERROR(__xludf.DUMMYFUNCTION("""COMPUTED_VALUE"""),6456178)</f>
        <v>6456178</v>
      </c>
    </row>
    <row r="1259" spans="1:6" x14ac:dyDescent="0.35">
      <c r="A1259" s="2">
        <f ca="1">IFERROR(__xludf.DUMMYFUNCTION("""COMPUTED_VALUE"""),43830.6666666666)</f>
        <v>43830.666666666599</v>
      </c>
      <c r="B1259" s="1">
        <f ca="1">IFERROR(__xludf.DUMMYFUNCTION("""COMPUTED_VALUE"""),5.77)</f>
        <v>5.77</v>
      </c>
      <c r="C1259" s="1">
        <f ca="1">IFERROR(__xludf.DUMMYFUNCTION("""COMPUTED_VALUE"""),5.89)</f>
        <v>5.89</v>
      </c>
      <c r="D1259" s="1">
        <f ca="1">IFERROR(__xludf.DUMMYFUNCTION("""COMPUTED_VALUE"""),5.75)</f>
        <v>5.75</v>
      </c>
      <c r="E1259" s="1">
        <f ca="1">IFERROR(__xludf.DUMMYFUNCTION("""COMPUTED_VALUE"""),5.88)</f>
        <v>5.88</v>
      </c>
      <c r="F1259" s="1">
        <f ca="1">IFERROR(__xludf.DUMMYFUNCTION("""COMPUTED_VALUE"""),5780283)</f>
        <v>5780283</v>
      </c>
    </row>
    <row r="1260" spans="1:6" x14ac:dyDescent="0.35">
      <c r="A1260" s="2">
        <f ca="1">IFERROR(__xludf.DUMMYFUNCTION("""COMPUTED_VALUE"""),43832.6666666666)</f>
        <v>43832.666666666599</v>
      </c>
      <c r="B1260" s="1">
        <f ca="1">IFERROR(__xludf.DUMMYFUNCTION("""COMPUTED_VALUE"""),5.97)</f>
        <v>5.97</v>
      </c>
      <c r="C1260" s="1">
        <f ca="1">IFERROR(__xludf.DUMMYFUNCTION("""COMPUTED_VALUE"""),6)</f>
        <v>6</v>
      </c>
      <c r="D1260" s="1">
        <f ca="1">IFERROR(__xludf.DUMMYFUNCTION("""COMPUTED_VALUE"""),5.92)</f>
        <v>5.92</v>
      </c>
      <c r="E1260" s="1">
        <f ca="1">IFERROR(__xludf.DUMMYFUNCTION("""COMPUTED_VALUE"""),6)</f>
        <v>6</v>
      </c>
      <c r="F1260" s="1">
        <f ca="1">IFERROR(__xludf.DUMMYFUNCTION("""COMPUTED_VALUE"""),5941969)</f>
        <v>5941969</v>
      </c>
    </row>
    <row r="1261" spans="1:6" x14ac:dyDescent="0.35">
      <c r="A1261" s="2">
        <f ca="1">IFERROR(__xludf.DUMMYFUNCTION("""COMPUTED_VALUE"""),43833.6666666666)</f>
        <v>43833.666666666599</v>
      </c>
      <c r="B1261" s="1">
        <f ca="1">IFERROR(__xludf.DUMMYFUNCTION("""COMPUTED_VALUE"""),5.88)</f>
        <v>5.88</v>
      </c>
      <c r="C1261" s="1">
        <f ca="1">IFERROR(__xludf.DUMMYFUNCTION("""COMPUTED_VALUE"""),5.95)</f>
        <v>5.95</v>
      </c>
      <c r="D1261" s="1">
        <f ca="1">IFERROR(__xludf.DUMMYFUNCTION("""COMPUTED_VALUE"""),5.85)</f>
        <v>5.85</v>
      </c>
      <c r="E1261" s="1">
        <f ca="1">IFERROR(__xludf.DUMMYFUNCTION("""COMPUTED_VALUE"""),5.9)</f>
        <v>5.9</v>
      </c>
      <c r="F1261" s="1">
        <f ca="1">IFERROR(__xludf.DUMMYFUNCTION("""COMPUTED_VALUE"""),5144308)</f>
        <v>5144308</v>
      </c>
    </row>
    <row r="1262" spans="1:6" x14ac:dyDescent="0.35">
      <c r="A1262" s="2">
        <f ca="1">IFERROR(__xludf.DUMMYFUNCTION("""COMPUTED_VALUE"""),43836.6666666666)</f>
        <v>43836.666666666599</v>
      </c>
      <c r="B1262" s="1">
        <f ca="1">IFERROR(__xludf.DUMMYFUNCTION("""COMPUTED_VALUE"""),5.81)</f>
        <v>5.81</v>
      </c>
      <c r="C1262" s="1">
        <f ca="1">IFERROR(__xludf.DUMMYFUNCTION("""COMPUTED_VALUE"""),5.93)</f>
        <v>5.93</v>
      </c>
      <c r="D1262" s="1">
        <f ca="1">IFERROR(__xludf.DUMMYFUNCTION("""COMPUTED_VALUE"""),5.78)</f>
        <v>5.78</v>
      </c>
      <c r="E1262" s="1">
        <f ca="1">IFERROR(__xludf.DUMMYFUNCTION("""COMPUTED_VALUE"""),5.93)</f>
        <v>5.93</v>
      </c>
      <c r="F1262" s="1">
        <f ca="1">IFERROR(__xludf.DUMMYFUNCTION("""COMPUTED_VALUE"""),6572812)</f>
        <v>6572812</v>
      </c>
    </row>
    <row r="1263" spans="1:6" x14ac:dyDescent="0.35">
      <c r="A1263" s="2">
        <f ca="1">IFERROR(__xludf.DUMMYFUNCTION("""COMPUTED_VALUE"""),43837.6666666666)</f>
        <v>43837.666666666599</v>
      </c>
      <c r="B1263" s="1">
        <f ca="1">IFERROR(__xludf.DUMMYFUNCTION("""COMPUTED_VALUE"""),5.96)</f>
        <v>5.96</v>
      </c>
      <c r="C1263" s="1">
        <f ca="1">IFERROR(__xludf.DUMMYFUNCTION("""COMPUTED_VALUE"""),6.04)</f>
        <v>6.04</v>
      </c>
      <c r="D1263" s="1">
        <f ca="1">IFERROR(__xludf.DUMMYFUNCTION("""COMPUTED_VALUE"""),5.91)</f>
        <v>5.91</v>
      </c>
      <c r="E1263" s="1">
        <f ca="1">IFERROR(__xludf.DUMMYFUNCTION("""COMPUTED_VALUE"""),6)</f>
        <v>6</v>
      </c>
      <c r="F1263" s="1">
        <f ca="1">IFERROR(__xludf.DUMMYFUNCTION("""COMPUTED_VALUE"""),7980144)</f>
        <v>7980144</v>
      </c>
    </row>
    <row r="1264" spans="1:6" x14ac:dyDescent="0.35">
      <c r="A1264" s="2">
        <f ca="1">IFERROR(__xludf.DUMMYFUNCTION("""COMPUTED_VALUE"""),43838.6666666666)</f>
        <v>43838.666666666599</v>
      </c>
      <c r="B1264" s="1">
        <f ca="1">IFERROR(__xludf.DUMMYFUNCTION("""COMPUTED_VALUE"""),5.99)</f>
        <v>5.99</v>
      </c>
      <c r="C1264" s="1">
        <f ca="1">IFERROR(__xludf.DUMMYFUNCTION("""COMPUTED_VALUE"""),6.05)</f>
        <v>6.05</v>
      </c>
      <c r="D1264" s="1">
        <f ca="1">IFERROR(__xludf.DUMMYFUNCTION("""COMPUTED_VALUE"""),5.95)</f>
        <v>5.95</v>
      </c>
      <c r="E1264" s="1">
        <f ca="1">IFERROR(__xludf.DUMMYFUNCTION("""COMPUTED_VALUE"""),6.01)</f>
        <v>6.01</v>
      </c>
      <c r="F1264" s="1">
        <f ca="1">IFERROR(__xludf.DUMMYFUNCTION("""COMPUTED_VALUE"""),6931017)</f>
        <v>6931017</v>
      </c>
    </row>
    <row r="1265" spans="1:6" x14ac:dyDescent="0.35">
      <c r="A1265" s="2">
        <f ca="1">IFERROR(__xludf.DUMMYFUNCTION("""COMPUTED_VALUE"""),43839.6666666666)</f>
        <v>43839.666666666599</v>
      </c>
      <c r="B1265" s="1">
        <f ca="1">IFERROR(__xludf.DUMMYFUNCTION("""COMPUTED_VALUE"""),6.1)</f>
        <v>6.1</v>
      </c>
      <c r="C1265" s="1">
        <f ca="1">IFERROR(__xludf.DUMMYFUNCTION("""COMPUTED_VALUE"""),6.15)</f>
        <v>6.15</v>
      </c>
      <c r="D1265" s="1">
        <f ca="1">IFERROR(__xludf.DUMMYFUNCTION("""COMPUTED_VALUE"""),6.02)</f>
        <v>6.02</v>
      </c>
      <c r="E1265" s="1">
        <f ca="1">IFERROR(__xludf.DUMMYFUNCTION("""COMPUTED_VALUE"""),6.08)</f>
        <v>6.08</v>
      </c>
      <c r="F1265" s="1">
        <f ca="1">IFERROR(__xludf.DUMMYFUNCTION("""COMPUTED_VALUE"""),6386053)</f>
        <v>6386053</v>
      </c>
    </row>
    <row r="1266" spans="1:6" x14ac:dyDescent="0.35">
      <c r="A1266" s="2">
        <f ca="1">IFERROR(__xludf.DUMMYFUNCTION("""COMPUTED_VALUE"""),43840.6666666666)</f>
        <v>43840.666666666599</v>
      </c>
      <c r="B1266" s="1">
        <f ca="1">IFERROR(__xludf.DUMMYFUNCTION("""COMPUTED_VALUE"""),6.18)</f>
        <v>6.18</v>
      </c>
      <c r="C1266" s="1">
        <f ca="1">IFERROR(__xludf.DUMMYFUNCTION("""COMPUTED_VALUE"""),6.21)</f>
        <v>6.21</v>
      </c>
      <c r="D1266" s="1">
        <f ca="1">IFERROR(__xludf.DUMMYFUNCTION("""COMPUTED_VALUE"""),6.09)</f>
        <v>6.09</v>
      </c>
      <c r="E1266" s="1">
        <f ca="1">IFERROR(__xludf.DUMMYFUNCTION("""COMPUTED_VALUE"""),6.11)</f>
        <v>6.11</v>
      </c>
      <c r="F1266" s="1">
        <f ca="1">IFERROR(__xludf.DUMMYFUNCTION("""COMPUTED_VALUE"""),7911560)</f>
        <v>7911560</v>
      </c>
    </row>
    <row r="1267" spans="1:6" x14ac:dyDescent="0.35">
      <c r="A1267" s="2">
        <f ca="1">IFERROR(__xludf.DUMMYFUNCTION("""COMPUTED_VALUE"""),43843.6666666666)</f>
        <v>43843.666666666599</v>
      </c>
      <c r="B1267" s="1">
        <f ca="1">IFERROR(__xludf.DUMMYFUNCTION("""COMPUTED_VALUE"""),6.19)</f>
        <v>6.19</v>
      </c>
      <c r="C1267" s="1">
        <f ca="1">IFERROR(__xludf.DUMMYFUNCTION("""COMPUTED_VALUE"""),6.32)</f>
        <v>6.32</v>
      </c>
      <c r="D1267" s="1">
        <f ca="1">IFERROR(__xludf.DUMMYFUNCTION("""COMPUTED_VALUE"""),6.17)</f>
        <v>6.17</v>
      </c>
      <c r="E1267" s="1">
        <f ca="1">IFERROR(__xludf.DUMMYFUNCTION("""COMPUTED_VALUE"""),6.3)</f>
        <v>6.3</v>
      </c>
      <c r="F1267" s="1">
        <f ca="1">IFERROR(__xludf.DUMMYFUNCTION("""COMPUTED_VALUE"""),8008451)</f>
        <v>8008451</v>
      </c>
    </row>
    <row r="1268" spans="1:6" x14ac:dyDescent="0.35">
      <c r="A1268" s="2">
        <f ca="1">IFERROR(__xludf.DUMMYFUNCTION("""COMPUTED_VALUE"""),43844.6666666666)</f>
        <v>43844.666666666599</v>
      </c>
      <c r="B1268" s="1">
        <f ca="1">IFERROR(__xludf.DUMMYFUNCTION("""COMPUTED_VALUE"""),6.26)</f>
        <v>6.26</v>
      </c>
      <c r="C1268" s="1">
        <f ca="1">IFERROR(__xludf.DUMMYFUNCTION("""COMPUTED_VALUE"""),6.28)</f>
        <v>6.28</v>
      </c>
      <c r="D1268" s="1">
        <f ca="1">IFERROR(__xludf.DUMMYFUNCTION("""COMPUTED_VALUE"""),6.17)</f>
        <v>6.17</v>
      </c>
      <c r="E1268" s="1">
        <f ca="1">IFERROR(__xludf.DUMMYFUNCTION("""COMPUTED_VALUE"""),6.18)</f>
        <v>6.18</v>
      </c>
      <c r="F1268" s="1">
        <f ca="1">IFERROR(__xludf.DUMMYFUNCTION("""COMPUTED_VALUE"""),8989483)</f>
        <v>8989483</v>
      </c>
    </row>
    <row r="1269" spans="1:6" x14ac:dyDescent="0.35">
      <c r="A1269" s="2">
        <f ca="1">IFERROR(__xludf.DUMMYFUNCTION("""COMPUTED_VALUE"""),43845.6666666666)</f>
        <v>43845.666666666599</v>
      </c>
      <c r="B1269" s="1">
        <f ca="1">IFERROR(__xludf.DUMMYFUNCTION("""COMPUTED_VALUE"""),6.19)</f>
        <v>6.19</v>
      </c>
      <c r="C1269" s="1">
        <f ca="1">IFERROR(__xludf.DUMMYFUNCTION("""COMPUTED_VALUE"""),6.22)</f>
        <v>6.22</v>
      </c>
      <c r="D1269" s="1">
        <f ca="1">IFERROR(__xludf.DUMMYFUNCTION("""COMPUTED_VALUE"""),6.11)</f>
        <v>6.11</v>
      </c>
      <c r="E1269" s="1">
        <f ca="1">IFERROR(__xludf.DUMMYFUNCTION("""COMPUTED_VALUE"""),6.14)</f>
        <v>6.14</v>
      </c>
      <c r="F1269" s="1">
        <f ca="1">IFERROR(__xludf.DUMMYFUNCTION("""COMPUTED_VALUE"""),6577636)</f>
        <v>6577636</v>
      </c>
    </row>
    <row r="1270" spans="1:6" x14ac:dyDescent="0.35">
      <c r="A1270" s="2">
        <f ca="1">IFERROR(__xludf.DUMMYFUNCTION("""COMPUTED_VALUE"""),43846.6666666666)</f>
        <v>43846.666666666599</v>
      </c>
      <c r="B1270" s="1">
        <f ca="1">IFERROR(__xludf.DUMMYFUNCTION("""COMPUTED_VALUE"""),6.19)</f>
        <v>6.19</v>
      </c>
      <c r="C1270" s="1">
        <f ca="1">IFERROR(__xludf.DUMMYFUNCTION("""COMPUTED_VALUE"""),6.23)</f>
        <v>6.23</v>
      </c>
      <c r="D1270" s="1">
        <f ca="1">IFERROR(__xludf.DUMMYFUNCTION("""COMPUTED_VALUE"""),6.17)</f>
        <v>6.17</v>
      </c>
      <c r="E1270" s="1">
        <f ca="1">IFERROR(__xludf.DUMMYFUNCTION("""COMPUTED_VALUE"""),6.22)</f>
        <v>6.22</v>
      </c>
      <c r="F1270" s="1">
        <f ca="1">IFERROR(__xludf.DUMMYFUNCTION("""COMPUTED_VALUE"""),7104791)</f>
        <v>7104791</v>
      </c>
    </row>
    <row r="1271" spans="1:6" x14ac:dyDescent="0.35">
      <c r="A1271" s="2">
        <f ca="1">IFERROR(__xludf.DUMMYFUNCTION("""COMPUTED_VALUE"""),43847.6666666666)</f>
        <v>43847.666666666599</v>
      </c>
      <c r="B1271" s="1">
        <f ca="1">IFERROR(__xludf.DUMMYFUNCTION("""COMPUTED_VALUE"""),6.24)</f>
        <v>6.24</v>
      </c>
      <c r="C1271" s="1">
        <f ca="1">IFERROR(__xludf.DUMMYFUNCTION("""COMPUTED_VALUE"""),6.25)</f>
        <v>6.25</v>
      </c>
      <c r="D1271" s="1">
        <f ca="1">IFERROR(__xludf.DUMMYFUNCTION("""COMPUTED_VALUE"""),6.18)</f>
        <v>6.18</v>
      </c>
      <c r="E1271" s="1">
        <f ca="1">IFERROR(__xludf.DUMMYFUNCTION("""COMPUTED_VALUE"""),6.23)</f>
        <v>6.23</v>
      </c>
      <c r="F1271" s="1">
        <f ca="1">IFERROR(__xludf.DUMMYFUNCTION("""COMPUTED_VALUE"""),6344764)</f>
        <v>6344764</v>
      </c>
    </row>
    <row r="1272" spans="1:6" x14ac:dyDescent="0.35">
      <c r="A1272" s="2">
        <f ca="1">IFERROR(__xludf.DUMMYFUNCTION("""COMPUTED_VALUE"""),43851.6666666666)</f>
        <v>43851.666666666599</v>
      </c>
      <c r="B1272" s="1">
        <f ca="1">IFERROR(__xludf.DUMMYFUNCTION("""COMPUTED_VALUE"""),6.2)</f>
        <v>6.2</v>
      </c>
      <c r="C1272" s="1">
        <f ca="1">IFERROR(__xludf.DUMMYFUNCTION("""COMPUTED_VALUE"""),6.23)</f>
        <v>6.23</v>
      </c>
      <c r="D1272" s="1">
        <f ca="1">IFERROR(__xludf.DUMMYFUNCTION("""COMPUTED_VALUE"""),6.16)</f>
        <v>6.16</v>
      </c>
      <c r="E1272" s="1">
        <f ca="1">IFERROR(__xludf.DUMMYFUNCTION("""COMPUTED_VALUE"""),6.2)</f>
        <v>6.2</v>
      </c>
      <c r="F1272" s="1">
        <f ca="1">IFERROR(__xludf.DUMMYFUNCTION("""COMPUTED_VALUE"""),5447925)</f>
        <v>5447925</v>
      </c>
    </row>
    <row r="1273" spans="1:6" x14ac:dyDescent="0.35">
      <c r="A1273" s="2">
        <f ca="1">IFERROR(__xludf.DUMMYFUNCTION("""COMPUTED_VALUE"""),43852.6666666666)</f>
        <v>43852.666666666599</v>
      </c>
      <c r="B1273" s="1">
        <f ca="1">IFERROR(__xludf.DUMMYFUNCTION("""COMPUTED_VALUE"""),6.24)</f>
        <v>6.24</v>
      </c>
      <c r="C1273" s="1">
        <f ca="1">IFERROR(__xludf.DUMMYFUNCTION("""COMPUTED_VALUE"""),6.34)</f>
        <v>6.34</v>
      </c>
      <c r="D1273" s="1">
        <f ca="1">IFERROR(__xludf.DUMMYFUNCTION("""COMPUTED_VALUE"""),6.23)</f>
        <v>6.23</v>
      </c>
      <c r="E1273" s="1">
        <f ca="1">IFERROR(__xludf.DUMMYFUNCTION("""COMPUTED_VALUE"""),6.25)</f>
        <v>6.25</v>
      </c>
      <c r="F1273" s="1">
        <f ca="1">IFERROR(__xludf.DUMMYFUNCTION("""COMPUTED_VALUE"""),5980967)</f>
        <v>5980967</v>
      </c>
    </row>
    <row r="1274" spans="1:6" x14ac:dyDescent="0.35">
      <c r="A1274" s="2">
        <f ca="1">IFERROR(__xludf.DUMMYFUNCTION("""COMPUTED_VALUE"""),43853.6666666666)</f>
        <v>43853.666666666599</v>
      </c>
      <c r="B1274" s="1">
        <f ca="1">IFERROR(__xludf.DUMMYFUNCTION("""COMPUTED_VALUE"""),6.29)</f>
        <v>6.29</v>
      </c>
      <c r="C1274" s="1">
        <f ca="1">IFERROR(__xludf.DUMMYFUNCTION("""COMPUTED_VALUE"""),6.33)</f>
        <v>6.33</v>
      </c>
      <c r="D1274" s="1">
        <f ca="1">IFERROR(__xludf.DUMMYFUNCTION("""COMPUTED_VALUE"""),6.2)</f>
        <v>6.2</v>
      </c>
      <c r="E1274" s="1">
        <f ca="1">IFERROR(__xludf.DUMMYFUNCTION("""COMPUTED_VALUE"""),6.32)</f>
        <v>6.32</v>
      </c>
      <c r="F1274" s="1">
        <f ca="1">IFERROR(__xludf.DUMMYFUNCTION("""COMPUTED_VALUE"""),6112861)</f>
        <v>6112861</v>
      </c>
    </row>
    <row r="1275" spans="1:6" x14ac:dyDescent="0.35">
      <c r="A1275" s="2">
        <f ca="1">IFERROR(__xludf.DUMMYFUNCTION("""COMPUTED_VALUE"""),43854.6666666666)</f>
        <v>43854.666666666599</v>
      </c>
      <c r="B1275" s="1">
        <f ca="1">IFERROR(__xludf.DUMMYFUNCTION("""COMPUTED_VALUE"""),6.44)</f>
        <v>6.44</v>
      </c>
      <c r="C1275" s="1">
        <f ca="1">IFERROR(__xludf.DUMMYFUNCTION("""COMPUTED_VALUE"""),6.49)</f>
        <v>6.49</v>
      </c>
      <c r="D1275" s="1">
        <f ca="1">IFERROR(__xludf.DUMMYFUNCTION("""COMPUTED_VALUE"""),6.21)</f>
        <v>6.21</v>
      </c>
      <c r="E1275" s="1">
        <f ca="1">IFERROR(__xludf.DUMMYFUNCTION("""COMPUTED_VALUE"""),6.26)</f>
        <v>6.26</v>
      </c>
      <c r="F1275" s="1">
        <f ca="1">IFERROR(__xludf.DUMMYFUNCTION("""COMPUTED_VALUE"""),9337839)</f>
        <v>9337839</v>
      </c>
    </row>
    <row r="1276" spans="1:6" x14ac:dyDescent="0.35">
      <c r="A1276" s="2">
        <f ca="1">IFERROR(__xludf.DUMMYFUNCTION("""COMPUTED_VALUE"""),43857.6666666666)</f>
        <v>43857.666666666599</v>
      </c>
      <c r="B1276" s="1">
        <f ca="1">IFERROR(__xludf.DUMMYFUNCTION("""COMPUTED_VALUE"""),5.96)</f>
        <v>5.96</v>
      </c>
      <c r="C1276" s="1">
        <f ca="1">IFERROR(__xludf.DUMMYFUNCTION("""COMPUTED_VALUE"""),6.06)</f>
        <v>6.06</v>
      </c>
      <c r="D1276" s="1">
        <f ca="1">IFERROR(__xludf.DUMMYFUNCTION("""COMPUTED_VALUE"""),5.81)</f>
        <v>5.81</v>
      </c>
      <c r="E1276" s="1">
        <f ca="1">IFERROR(__xludf.DUMMYFUNCTION("""COMPUTED_VALUE"""),6.01)</f>
        <v>6.01</v>
      </c>
      <c r="F1276" s="1">
        <f ca="1">IFERROR(__xludf.DUMMYFUNCTION("""COMPUTED_VALUE"""),11763354)</f>
        <v>11763354</v>
      </c>
    </row>
    <row r="1277" spans="1:6" x14ac:dyDescent="0.35">
      <c r="A1277" s="2">
        <f ca="1">IFERROR(__xludf.DUMMYFUNCTION("""COMPUTED_VALUE"""),43858.6666666666)</f>
        <v>43858.666666666599</v>
      </c>
      <c r="B1277" s="1">
        <f ca="1">IFERROR(__xludf.DUMMYFUNCTION("""COMPUTED_VALUE"""),6.07)</f>
        <v>6.07</v>
      </c>
      <c r="C1277" s="1">
        <f ca="1">IFERROR(__xludf.DUMMYFUNCTION("""COMPUTED_VALUE"""),6.23)</f>
        <v>6.23</v>
      </c>
      <c r="D1277" s="1">
        <f ca="1">IFERROR(__xludf.DUMMYFUNCTION("""COMPUTED_VALUE"""),6.02)</f>
        <v>6.02</v>
      </c>
      <c r="E1277" s="1">
        <f ca="1">IFERROR(__xludf.DUMMYFUNCTION("""COMPUTED_VALUE"""),6.2)</f>
        <v>6.2</v>
      </c>
      <c r="F1277" s="1">
        <f ca="1">IFERROR(__xludf.DUMMYFUNCTION("""COMPUTED_VALUE"""),7774401)</f>
        <v>7774401</v>
      </c>
    </row>
    <row r="1278" spans="1:6" x14ac:dyDescent="0.35">
      <c r="A1278" s="2">
        <f ca="1">IFERROR(__xludf.DUMMYFUNCTION("""COMPUTED_VALUE"""),43859.6666666666)</f>
        <v>43859.666666666599</v>
      </c>
      <c r="B1278" s="1">
        <f ca="1">IFERROR(__xludf.DUMMYFUNCTION("""COMPUTED_VALUE"""),6.18)</f>
        <v>6.18</v>
      </c>
      <c r="C1278" s="1">
        <f ca="1">IFERROR(__xludf.DUMMYFUNCTION("""COMPUTED_VALUE"""),6.22)</f>
        <v>6.22</v>
      </c>
      <c r="D1278" s="1">
        <f ca="1">IFERROR(__xludf.DUMMYFUNCTION("""COMPUTED_VALUE"""),6.1)</f>
        <v>6.1</v>
      </c>
      <c r="E1278" s="1">
        <f ca="1">IFERROR(__xludf.DUMMYFUNCTION("""COMPUTED_VALUE"""),6.14)</f>
        <v>6.14</v>
      </c>
      <c r="F1278" s="1">
        <f ca="1">IFERROR(__xludf.DUMMYFUNCTION("""COMPUTED_VALUE"""),6486279)</f>
        <v>6486279</v>
      </c>
    </row>
    <row r="1279" spans="1:6" x14ac:dyDescent="0.35">
      <c r="A1279" s="2">
        <f ca="1">IFERROR(__xludf.DUMMYFUNCTION("""COMPUTED_VALUE"""),43860.6666666666)</f>
        <v>43860.666666666599</v>
      </c>
      <c r="B1279" s="1">
        <f ca="1">IFERROR(__xludf.DUMMYFUNCTION("""COMPUTED_VALUE"""),6.04)</f>
        <v>6.04</v>
      </c>
      <c r="C1279" s="1">
        <f ca="1">IFERROR(__xludf.DUMMYFUNCTION("""COMPUTED_VALUE"""),6.16)</f>
        <v>6.16</v>
      </c>
      <c r="D1279" s="1">
        <f ca="1">IFERROR(__xludf.DUMMYFUNCTION("""COMPUTED_VALUE"""),5.99)</f>
        <v>5.99</v>
      </c>
      <c r="E1279" s="1">
        <f ca="1">IFERROR(__xludf.DUMMYFUNCTION("""COMPUTED_VALUE"""),6.15)</f>
        <v>6.15</v>
      </c>
      <c r="F1279" s="1">
        <f ca="1">IFERROR(__xludf.DUMMYFUNCTION("""COMPUTED_VALUE"""),7262590)</f>
        <v>7262590</v>
      </c>
    </row>
    <row r="1280" spans="1:6" x14ac:dyDescent="0.35">
      <c r="A1280" s="2">
        <f ca="1">IFERROR(__xludf.DUMMYFUNCTION("""COMPUTED_VALUE"""),43861.6666666666)</f>
        <v>43861.666666666599</v>
      </c>
      <c r="B1280" s="1">
        <f ca="1">IFERROR(__xludf.DUMMYFUNCTION("""COMPUTED_VALUE"""),6.1)</f>
        <v>6.1</v>
      </c>
      <c r="C1280" s="1">
        <f ca="1">IFERROR(__xludf.DUMMYFUNCTION("""COMPUTED_VALUE"""),6.11)</f>
        <v>6.11</v>
      </c>
      <c r="D1280" s="1">
        <f ca="1">IFERROR(__xludf.DUMMYFUNCTION("""COMPUTED_VALUE"""),5.87)</f>
        <v>5.87</v>
      </c>
      <c r="E1280" s="1">
        <f ca="1">IFERROR(__xludf.DUMMYFUNCTION("""COMPUTED_VALUE"""),5.91)</f>
        <v>5.91</v>
      </c>
      <c r="F1280" s="1">
        <f ca="1">IFERROR(__xludf.DUMMYFUNCTION("""COMPUTED_VALUE"""),9260493)</f>
        <v>9260493</v>
      </c>
    </row>
    <row r="1281" spans="1:6" x14ac:dyDescent="0.35">
      <c r="A1281" s="2">
        <f ca="1">IFERROR(__xludf.DUMMYFUNCTION("""COMPUTED_VALUE"""),43864.6666666666)</f>
        <v>43864.666666666599</v>
      </c>
      <c r="B1281" s="1">
        <f ca="1">IFERROR(__xludf.DUMMYFUNCTION("""COMPUTED_VALUE"""),5.89)</f>
        <v>5.89</v>
      </c>
      <c r="C1281" s="1">
        <f ca="1">IFERROR(__xludf.DUMMYFUNCTION("""COMPUTED_VALUE"""),6.03)</f>
        <v>6.03</v>
      </c>
      <c r="D1281" s="1">
        <f ca="1">IFERROR(__xludf.DUMMYFUNCTION("""COMPUTED_VALUE"""),5.89)</f>
        <v>5.89</v>
      </c>
      <c r="E1281" s="1">
        <f ca="1">IFERROR(__xludf.DUMMYFUNCTION("""COMPUTED_VALUE"""),6.01)</f>
        <v>6.01</v>
      </c>
      <c r="F1281" s="1">
        <f ca="1">IFERROR(__xludf.DUMMYFUNCTION("""COMPUTED_VALUE"""),6398205)</f>
        <v>6398205</v>
      </c>
    </row>
    <row r="1282" spans="1:6" x14ac:dyDescent="0.35">
      <c r="A1282" s="2">
        <f ca="1">IFERROR(__xludf.DUMMYFUNCTION("""COMPUTED_VALUE"""),43865.6666666666)</f>
        <v>43865.666666666599</v>
      </c>
      <c r="B1282" s="1">
        <f ca="1">IFERROR(__xludf.DUMMYFUNCTION("""COMPUTED_VALUE"""),6.15)</f>
        <v>6.15</v>
      </c>
      <c r="C1282" s="1">
        <f ca="1">IFERROR(__xludf.DUMMYFUNCTION("""COMPUTED_VALUE"""),6.2)</f>
        <v>6.2</v>
      </c>
      <c r="D1282" s="1">
        <f ca="1">IFERROR(__xludf.DUMMYFUNCTION("""COMPUTED_VALUE"""),6.1)</f>
        <v>6.1</v>
      </c>
      <c r="E1282" s="1">
        <f ca="1">IFERROR(__xludf.DUMMYFUNCTION("""COMPUTED_VALUE"""),6.18)</f>
        <v>6.18</v>
      </c>
      <c r="F1282" s="1">
        <f ca="1">IFERROR(__xludf.DUMMYFUNCTION("""COMPUTED_VALUE"""),6788589)</f>
        <v>6788589</v>
      </c>
    </row>
    <row r="1283" spans="1:6" x14ac:dyDescent="0.35">
      <c r="A1283" s="2">
        <f ca="1">IFERROR(__xludf.DUMMYFUNCTION("""COMPUTED_VALUE"""),43866.6666666666)</f>
        <v>43866.666666666599</v>
      </c>
      <c r="B1283" s="1">
        <f ca="1">IFERROR(__xludf.DUMMYFUNCTION("""COMPUTED_VALUE"""),6.3)</f>
        <v>6.3</v>
      </c>
      <c r="C1283" s="1">
        <f ca="1">IFERROR(__xludf.DUMMYFUNCTION("""COMPUTED_VALUE"""),6.31)</f>
        <v>6.31</v>
      </c>
      <c r="D1283" s="1">
        <f ca="1">IFERROR(__xludf.DUMMYFUNCTION("""COMPUTED_VALUE"""),6.19)</f>
        <v>6.19</v>
      </c>
      <c r="E1283" s="1">
        <f ca="1">IFERROR(__xludf.DUMMYFUNCTION("""COMPUTED_VALUE"""),6.27)</f>
        <v>6.27</v>
      </c>
      <c r="F1283" s="1">
        <f ca="1">IFERROR(__xludf.DUMMYFUNCTION("""COMPUTED_VALUE"""),5205502)</f>
        <v>5205502</v>
      </c>
    </row>
    <row r="1284" spans="1:6" x14ac:dyDescent="0.35">
      <c r="A1284" s="2">
        <f ca="1">IFERROR(__xludf.DUMMYFUNCTION("""COMPUTED_VALUE"""),43867.6666666666)</f>
        <v>43867.666666666599</v>
      </c>
      <c r="B1284" s="1">
        <f ca="1">IFERROR(__xludf.DUMMYFUNCTION("""COMPUTED_VALUE"""),6.3)</f>
        <v>6.3</v>
      </c>
      <c r="C1284" s="1">
        <f ca="1">IFERROR(__xludf.DUMMYFUNCTION("""COMPUTED_VALUE"""),6.36)</f>
        <v>6.36</v>
      </c>
      <c r="D1284" s="1">
        <f ca="1">IFERROR(__xludf.DUMMYFUNCTION("""COMPUTED_VALUE"""),6.22)</f>
        <v>6.22</v>
      </c>
      <c r="E1284" s="1">
        <f ca="1">IFERROR(__xludf.DUMMYFUNCTION("""COMPUTED_VALUE"""),6.36)</f>
        <v>6.36</v>
      </c>
      <c r="F1284" s="1">
        <f ca="1">IFERROR(__xludf.DUMMYFUNCTION("""COMPUTED_VALUE"""),5457051)</f>
        <v>5457051</v>
      </c>
    </row>
    <row r="1285" spans="1:6" x14ac:dyDescent="0.35">
      <c r="A1285" s="2">
        <f ca="1">IFERROR(__xludf.DUMMYFUNCTION("""COMPUTED_VALUE"""),43868.6666666666)</f>
        <v>43868.666666666599</v>
      </c>
      <c r="B1285" s="1">
        <f ca="1">IFERROR(__xludf.DUMMYFUNCTION("""COMPUTED_VALUE"""),6.32)</f>
        <v>6.32</v>
      </c>
      <c r="C1285" s="1">
        <f ca="1">IFERROR(__xludf.DUMMYFUNCTION("""COMPUTED_VALUE"""),6.34)</f>
        <v>6.34</v>
      </c>
      <c r="D1285" s="1">
        <f ca="1">IFERROR(__xludf.DUMMYFUNCTION("""COMPUTED_VALUE"""),6.26)</f>
        <v>6.26</v>
      </c>
      <c r="E1285" s="1">
        <f ca="1">IFERROR(__xludf.DUMMYFUNCTION("""COMPUTED_VALUE"""),6.29)</f>
        <v>6.29</v>
      </c>
      <c r="F1285" s="1">
        <f ca="1">IFERROR(__xludf.DUMMYFUNCTION("""COMPUTED_VALUE"""),4743803)</f>
        <v>4743803</v>
      </c>
    </row>
    <row r="1286" spans="1:6" x14ac:dyDescent="0.35">
      <c r="A1286" s="2">
        <f ca="1">IFERROR(__xludf.DUMMYFUNCTION("""COMPUTED_VALUE"""),43871.6666666666)</f>
        <v>43871.666666666599</v>
      </c>
      <c r="B1286" s="1">
        <f ca="1">IFERROR(__xludf.DUMMYFUNCTION("""COMPUTED_VALUE"""),6.31)</f>
        <v>6.31</v>
      </c>
      <c r="C1286" s="1">
        <f ca="1">IFERROR(__xludf.DUMMYFUNCTION("""COMPUTED_VALUE"""),6.58)</f>
        <v>6.58</v>
      </c>
      <c r="D1286" s="1">
        <f ca="1">IFERROR(__xludf.DUMMYFUNCTION("""COMPUTED_VALUE"""),6.31)</f>
        <v>6.31</v>
      </c>
      <c r="E1286" s="1">
        <f ca="1">IFERROR(__xludf.DUMMYFUNCTION("""COMPUTED_VALUE"""),6.57)</f>
        <v>6.57</v>
      </c>
      <c r="F1286" s="1">
        <f ca="1">IFERROR(__xludf.DUMMYFUNCTION("""COMPUTED_VALUE"""),13240194)</f>
        <v>13240194</v>
      </c>
    </row>
    <row r="1287" spans="1:6" x14ac:dyDescent="0.35">
      <c r="A1287" s="2">
        <f ca="1">IFERROR(__xludf.DUMMYFUNCTION("""COMPUTED_VALUE"""),43872.6666666666)</f>
        <v>43872.666666666599</v>
      </c>
      <c r="B1287" s="1">
        <f ca="1">IFERROR(__xludf.DUMMYFUNCTION("""COMPUTED_VALUE"""),6.68)</f>
        <v>6.68</v>
      </c>
      <c r="C1287" s="1">
        <f ca="1">IFERROR(__xludf.DUMMYFUNCTION("""COMPUTED_VALUE"""),6.81)</f>
        <v>6.81</v>
      </c>
      <c r="D1287" s="1">
        <f ca="1">IFERROR(__xludf.DUMMYFUNCTION("""COMPUTED_VALUE"""),6.62)</f>
        <v>6.62</v>
      </c>
      <c r="E1287" s="1">
        <f ca="1">IFERROR(__xludf.DUMMYFUNCTION("""COMPUTED_VALUE"""),6.7)</f>
        <v>6.7</v>
      </c>
      <c r="F1287" s="1">
        <f ca="1">IFERROR(__xludf.DUMMYFUNCTION("""COMPUTED_VALUE"""),15963922)</f>
        <v>15963922</v>
      </c>
    </row>
    <row r="1288" spans="1:6" x14ac:dyDescent="0.35">
      <c r="A1288" s="2">
        <f ca="1">IFERROR(__xludf.DUMMYFUNCTION("""COMPUTED_VALUE"""),43873.6666666666)</f>
        <v>43873.666666666599</v>
      </c>
      <c r="B1288" s="1">
        <f ca="1">IFERROR(__xludf.DUMMYFUNCTION("""COMPUTED_VALUE"""),6.75)</f>
        <v>6.75</v>
      </c>
      <c r="C1288" s="1">
        <f ca="1">IFERROR(__xludf.DUMMYFUNCTION("""COMPUTED_VALUE"""),6.82)</f>
        <v>6.82</v>
      </c>
      <c r="D1288" s="1">
        <f ca="1">IFERROR(__xludf.DUMMYFUNCTION("""COMPUTED_VALUE"""),6.71)</f>
        <v>6.71</v>
      </c>
      <c r="E1288" s="1">
        <f ca="1">IFERROR(__xludf.DUMMYFUNCTION("""COMPUTED_VALUE"""),6.81)</f>
        <v>6.81</v>
      </c>
      <c r="F1288" s="1">
        <f ca="1">IFERROR(__xludf.DUMMYFUNCTION("""COMPUTED_VALUE"""),9366118)</f>
        <v>9366118</v>
      </c>
    </row>
    <row r="1289" spans="1:6" x14ac:dyDescent="0.35">
      <c r="A1289" s="2">
        <f ca="1">IFERROR(__xludf.DUMMYFUNCTION("""COMPUTED_VALUE"""),43874.6666666666)</f>
        <v>43874.666666666599</v>
      </c>
      <c r="B1289" s="1">
        <f ca="1">IFERROR(__xludf.DUMMYFUNCTION("""COMPUTED_VALUE"""),6.76)</f>
        <v>6.76</v>
      </c>
      <c r="C1289" s="1">
        <f ca="1">IFERROR(__xludf.DUMMYFUNCTION("""COMPUTED_VALUE"""),6.84)</f>
        <v>6.84</v>
      </c>
      <c r="D1289" s="1">
        <f ca="1">IFERROR(__xludf.DUMMYFUNCTION("""COMPUTED_VALUE"""),6.73)</f>
        <v>6.73</v>
      </c>
      <c r="E1289" s="1">
        <f ca="1">IFERROR(__xludf.DUMMYFUNCTION("""COMPUTED_VALUE"""),6.77)</f>
        <v>6.77</v>
      </c>
      <c r="F1289" s="1">
        <f ca="1">IFERROR(__xludf.DUMMYFUNCTION("""COMPUTED_VALUE"""),13200384)</f>
        <v>13200384</v>
      </c>
    </row>
    <row r="1290" spans="1:6" x14ac:dyDescent="0.35">
      <c r="A1290" s="2">
        <f ca="1">IFERROR(__xludf.DUMMYFUNCTION("""COMPUTED_VALUE"""),43875.6666666666)</f>
        <v>43875.666666666599</v>
      </c>
      <c r="B1290" s="1">
        <f ca="1">IFERROR(__xludf.DUMMYFUNCTION("""COMPUTED_VALUE"""),7.18)</f>
        <v>7.18</v>
      </c>
      <c r="C1290" s="1">
        <f ca="1">IFERROR(__xludf.DUMMYFUNCTION("""COMPUTED_VALUE"""),7.37)</f>
        <v>7.37</v>
      </c>
      <c r="D1290" s="1">
        <f ca="1">IFERROR(__xludf.DUMMYFUNCTION("""COMPUTED_VALUE"""),7.15)</f>
        <v>7.15</v>
      </c>
      <c r="E1290" s="1">
        <f ca="1">IFERROR(__xludf.DUMMYFUNCTION("""COMPUTED_VALUE"""),7.24)</f>
        <v>7.24</v>
      </c>
      <c r="F1290" s="1">
        <f ca="1">IFERROR(__xludf.DUMMYFUNCTION("""COMPUTED_VALUE"""),26048093)</f>
        <v>26048093</v>
      </c>
    </row>
    <row r="1291" spans="1:6" x14ac:dyDescent="0.35">
      <c r="A1291" s="2">
        <f ca="1">IFERROR(__xludf.DUMMYFUNCTION("""COMPUTED_VALUE"""),43879.6666666666)</f>
        <v>43879.666666666599</v>
      </c>
      <c r="B1291" s="1">
        <f ca="1">IFERROR(__xludf.DUMMYFUNCTION("""COMPUTED_VALUE"""),7.14)</f>
        <v>7.14</v>
      </c>
      <c r="C1291" s="1">
        <f ca="1">IFERROR(__xludf.DUMMYFUNCTION("""COMPUTED_VALUE"""),7.43)</f>
        <v>7.43</v>
      </c>
      <c r="D1291" s="1">
        <f ca="1">IFERROR(__xludf.DUMMYFUNCTION("""COMPUTED_VALUE"""),7.12)</f>
        <v>7.12</v>
      </c>
      <c r="E1291" s="1">
        <f ca="1">IFERROR(__xludf.DUMMYFUNCTION("""COMPUTED_VALUE"""),7.41)</f>
        <v>7.41</v>
      </c>
      <c r="F1291" s="1">
        <f ca="1">IFERROR(__xludf.DUMMYFUNCTION("""COMPUTED_VALUE"""),15547025)</f>
        <v>15547025</v>
      </c>
    </row>
    <row r="1292" spans="1:6" x14ac:dyDescent="0.35">
      <c r="A1292" s="2">
        <f ca="1">IFERROR(__xludf.DUMMYFUNCTION("""COMPUTED_VALUE"""),43880.6666666666)</f>
        <v>43880.666666666599</v>
      </c>
      <c r="B1292" s="1">
        <f ca="1">IFERROR(__xludf.DUMMYFUNCTION("""COMPUTED_VALUE"""),7.54)</f>
        <v>7.54</v>
      </c>
      <c r="C1292" s="1">
        <f ca="1">IFERROR(__xludf.DUMMYFUNCTION("""COMPUTED_VALUE"""),7.89)</f>
        <v>7.89</v>
      </c>
      <c r="D1292" s="1">
        <f ca="1">IFERROR(__xludf.DUMMYFUNCTION("""COMPUTED_VALUE"""),7.54)</f>
        <v>7.54</v>
      </c>
      <c r="E1292" s="1">
        <f ca="1">IFERROR(__xludf.DUMMYFUNCTION("""COMPUTED_VALUE"""),7.87)</f>
        <v>7.87</v>
      </c>
      <c r="F1292" s="1">
        <f ca="1">IFERROR(__xludf.DUMMYFUNCTION("""COMPUTED_VALUE"""),17358281)</f>
        <v>17358281</v>
      </c>
    </row>
    <row r="1293" spans="1:6" x14ac:dyDescent="0.35">
      <c r="A1293" s="2">
        <f ca="1">IFERROR(__xludf.DUMMYFUNCTION("""COMPUTED_VALUE"""),43881.6666666666)</f>
        <v>43881.666666666599</v>
      </c>
      <c r="B1293" s="1">
        <f ca="1">IFERROR(__xludf.DUMMYFUNCTION("""COMPUTED_VALUE"""),7.82)</f>
        <v>7.82</v>
      </c>
      <c r="C1293" s="1">
        <f ca="1">IFERROR(__xludf.DUMMYFUNCTION("""COMPUTED_VALUE"""),7.91)</f>
        <v>7.91</v>
      </c>
      <c r="D1293" s="1">
        <f ca="1">IFERROR(__xludf.DUMMYFUNCTION("""COMPUTED_VALUE"""),7.41)</f>
        <v>7.41</v>
      </c>
      <c r="E1293" s="1">
        <f ca="1">IFERROR(__xludf.DUMMYFUNCTION("""COMPUTED_VALUE"""),7.72)</f>
        <v>7.72</v>
      </c>
      <c r="F1293" s="1">
        <f ca="1">IFERROR(__xludf.DUMMYFUNCTION("""COMPUTED_VALUE"""),20251259)</f>
        <v>20251259</v>
      </c>
    </row>
    <row r="1294" spans="1:6" x14ac:dyDescent="0.35">
      <c r="A1294" s="2">
        <f ca="1">IFERROR(__xludf.DUMMYFUNCTION("""COMPUTED_VALUE"""),43882.6666666666)</f>
        <v>43882.666666666599</v>
      </c>
      <c r="B1294" s="1">
        <f ca="1">IFERROR(__xludf.DUMMYFUNCTION("""COMPUTED_VALUE"""),7.6)</f>
        <v>7.6</v>
      </c>
      <c r="C1294" s="1">
        <f ca="1">IFERROR(__xludf.DUMMYFUNCTION("""COMPUTED_VALUE"""),7.63)</f>
        <v>7.63</v>
      </c>
      <c r="D1294" s="1">
        <f ca="1">IFERROR(__xludf.DUMMYFUNCTION("""COMPUTED_VALUE"""),7.27)</f>
        <v>7.27</v>
      </c>
      <c r="E1294" s="1">
        <f ca="1">IFERROR(__xludf.DUMMYFUNCTION("""COMPUTED_VALUE"""),7.35)</f>
        <v>7.35</v>
      </c>
      <c r="F1294" s="1">
        <f ca="1">IFERROR(__xludf.DUMMYFUNCTION("""COMPUTED_VALUE"""),19232331)</f>
        <v>19232331</v>
      </c>
    </row>
    <row r="1295" spans="1:6" x14ac:dyDescent="0.35">
      <c r="A1295" s="2">
        <f ca="1">IFERROR(__xludf.DUMMYFUNCTION("""COMPUTED_VALUE"""),43885.6666666666)</f>
        <v>43885.666666666599</v>
      </c>
      <c r="B1295" s="1">
        <f ca="1">IFERROR(__xludf.DUMMYFUNCTION("""COMPUTED_VALUE"""),6.75)</f>
        <v>6.75</v>
      </c>
      <c r="C1295" s="1">
        <f ca="1">IFERROR(__xludf.DUMMYFUNCTION("""COMPUTED_VALUE"""),7.05)</f>
        <v>7.05</v>
      </c>
      <c r="D1295" s="1">
        <f ca="1">IFERROR(__xludf.DUMMYFUNCTION("""COMPUTED_VALUE"""),6.7)</f>
        <v>6.7</v>
      </c>
      <c r="E1295" s="1">
        <f ca="1">IFERROR(__xludf.DUMMYFUNCTION("""COMPUTED_VALUE"""),6.83)</f>
        <v>6.83</v>
      </c>
      <c r="F1295" s="1">
        <f ca="1">IFERROR(__xludf.DUMMYFUNCTION("""COMPUTED_VALUE"""),21422873)</f>
        <v>21422873</v>
      </c>
    </row>
    <row r="1296" spans="1:6" x14ac:dyDescent="0.35">
      <c r="A1296" s="2">
        <f ca="1">IFERROR(__xludf.DUMMYFUNCTION("""COMPUTED_VALUE"""),43886.6666666666)</f>
        <v>43886.666666666599</v>
      </c>
      <c r="B1296" s="1">
        <f ca="1">IFERROR(__xludf.DUMMYFUNCTION("""COMPUTED_VALUE"""),6.91)</f>
        <v>6.91</v>
      </c>
      <c r="C1296" s="1">
        <f ca="1">IFERROR(__xludf.DUMMYFUNCTION("""COMPUTED_VALUE"""),6.97)</f>
        <v>6.97</v>
      </c>
      <c r="D1296" s="1">
        <f ca="1">IFERROR(__xludf.DUMMYFUNCTION("""COMPUTED_VALUE"""),6.45)</f>
        <v>6.45</v>
      </c>
      <c r="E1296" s="1">
        <f ca="1">IFERROR(__xludf.DUMMYFUNCTION("""COMPUTED_VALUE"""),6.55)</f>
        <v>6.55</v>
      </c>
      <c r="F1296" s="1">
        <f ca="1">IFERROR(__xludf.DUMMYFUNCTION("""COMPUTED_VALUE"""),26387442)</f>
        <v>26387442</v>
      </c>
    </row>
    <row r="1297" spans="1:6" x14ac:dyDescent="0.35">
      <c r="A1297" s="2">
        <f ca="1">IFERROR(__xludf.DUMMYFUNCTION("""COMPUTED_VALUE"""),43887.6666666666)</f>
        <v>43887.666666666599</v>
      </c>
      <c r="B1297" s="1">
        <f ca="1">IFERROR(__xludf.DUMMYFUNCTION("""COMPUTED_VALUE"""),6.55)</f>
        <v>6.55</v>
      </c>
      <c r="C1297" s="1">
        <f ca="1">IFERROR(__xludf.DUMMYFUNCTION("""COMPUTED_VALUE"""),6.89)</f>
        <v>6.89</v>
      </c>
      <c r="D1297" s="1">
        <f ca="1">IFERROR(__xludf.DUMMYFUNCTION("""COMPUTED_VALUE"""),6.55)</f>
        <v>6.55</v>
      </c>
      <c r="E1297" s="1">
        <f ca="1">IFERROR(__xludf.DUMMYFUNCTION("""COMPUTED_VALUE"""),6.69)</f>
        <v>6.69</v>
      </c>
      <c r="F1297" s="1">
        <f ca="1">IFERROR(__xludf.DUMMYFUNCTION("""COMPUTED_VALUE"""),18741536)</f>
        <v>18741536</v>
      </c>
    </row>
    <row r="1298" spans="1:6" x14ac:dyDescent="0.35">
      <c r="A1298" s="2">
        <f ca="1">IFERROR(__xludf.DUMMYFUNCTION("""COMPUTED_VALUE"""),43888.6666666666)</f>
        <v>43888.666666666599</v>
      </c>
      <c r="B1298" s="1">
        <f ca="1">IFERROR(__xludf.DUMMYFUNCTION("""COMPUTED_VALUE"""),6.37)</f>
        <v>6.37</v>
      </c>
      <c r="C1298" s="1">
        <f ca="1">IFERROR(__xludf.DUMMYFUNCTION("""COMPUTED_VALUE"""),6.68)</f>
        <v>6.68</v>
      </c>
      <c r="D1298" s="1">
        <f ca="1">IFERROR(__xludf.DUMMYFUNCTION("""COMPUTED_VALUE"""),6.22)</f>
        <v>6.22</v>
      </c>
      <c r="E1298" s="1">
        <f ca="1">IFERROR(__xludf.DUMMYFUNCTION("""COMPUTED_VALUE"""),6.32)</f>
        <v>6.32</v>
      </c>
      <c r="F1298" s="1">
        <f ca="1">IFERROR(__xludf.DUMMYFUNCTION("""COMPUTED_VALUE"""),22660373)</f>
        <v>22660373</v>
      </c>
    </row>
    <row r="1299" spans="1:6" x14ac:dyDescent="0.35">
      <c r="A1299" s="2">
        <f ca="1">IFERROR(__xludf.DUMMYFUNCTION("""COMPUTED_VALUE"""),43889.6666666666)</f>
        <v>43889.666666666599</v>
      </c>
      <c r="B1299" s="1">
        <f ca="1">IFERROR(__xludf.DUMMYFUNCTION("""COMPUTED_VALUE"""),6.06)</f>
        <v>6.06</v>
      </c>
      <c r="C1299" s="1">
        <f ca="1">IFERROR(__xludf.DUMMYFUNCTION("""COMPUTED_VALUE"""),6.81)</f>
        <v>6.81</v>
      </c>
      <c r="D1299" s="1">
        <f ca="1">IFERROR(__xludf.DUMMYFUNCTION("""COMPUTED_VALUE"""),6.04)</f>
        <v>6.04</v>
      </c>
      <c r="E1299" s="1">
        <f ca="1">IFERROR(__xludf.DUMMYFUNCTION("""COMPUTED_VALUE"""),6.75)</f>
        <v>6.75</v>
      </c>
      <c r="F1299" s="1">
        <f ca="1">IFERROR(__xludf.DUMMYFUNCTION("""COMPUTED_VALUE"""),28366882)</f>
        <v>28366882</v>
      </c>
    </row>
    <row r="1300" spans="1:6" x14ac:dyDescent="0.35">
      <c r="A1300" s="2">
        <f ca="1">IFERROR(__xludf.DUMMYFUNCTION("""COMPUTED_VALUE"""),43892.6666666666)</f>
        <v>43892.666666666599</v>
      </c>
      <c r="B1300" s="1">
        <f ca="1">IFERROR(__xludf.DUMMYFUNCTION("""COMPUTED_VALUE"""),6.92)</f>
        <v>6.92</v>
      </c>
      <c r="C1300" s="1">
        <f ca="1">IFERROR(__xludf.DUMMYFUNCTION("""COMPUTED_VALUE"""),6.94)</f>
        <v>6.94</v>
      </c>
      <c r="D1300" s="1">
        <f ca="1">IFERROR(__xludf.DUMMYFUNCTION("""COMPUTED_VALUE"""),6.53)</f>
        <v>6.53</v>
      </c>
      <c r="E1300" s="1">
        <f ca="1">IFERROR(__xludf.DUMMYFUNCTION("""COMPUTED_VALUE"""),6.91)</f>
        <v>6.91</v>
      </c>
      <c r="F1300" s="1">
        <f ca="1">IFERROR(__xludf.DUMMYFUNCTION("""COMPUTED_VALUE"""),22268639)</f>
        <v>22268639</v>
      </c>
    </row>
    <row r="1301" spans="1:6" x14ac:dyDescent="0.35">
      <c r="A1301" s="2">
        <f ca="1">IFERROR(__xludf.DUMMYFUNCTION("""COMPUTED_VALUE"""),43893.6666666666)</f>
        <v>43893.666666666599</v>
      </c>
      <c r="B1301" s="1">
        <f ca="1">IFERROR(__xludf.DUMMYFUNCTION("""COMPUTED_VALUE"""),6.97)</f>
        <v>6.97</v>
      </c>
      <c r="C1301" s="1">
        <f ca="1">IFERROR(__xludf.DUMMYFUNCTION("""COMPUTED_VALUE"""),7.03)</f>
        <v>7.03</v>
      </c>
      <c r="D1301" s="1">
        <f ca="1">IFERROR(__xludf.DUMMYFUNCTION("""COMPUTED_VALUE"""),6.56)</f>
        <v>6.56</v>
      </c>
      <c r="E1301" s="1">
        <f ca="1">IFERROR(__xludf.DUMMYFUNCTION("""COMPUTED_VALUE"""),6.65)</f>
        <v>6.65</v>
      </c>
      <c r="F1301" s="1">
        <f ca="1">IFERROR(__xludf.DUMMYFUNCTION("""COMPUTED_VALUE"""),16319828)</f>
        <v>16319828</v>
      </c>
    </row>
    <row r="1302" spans="1:6" x14ac:dyDescent="0.35">
      <c r="A1302" s="2">
        <f ca="1">IFERROR(__xludf.DUMMYFUNCTION("""COMPUTED_VALUE"""),43894.6666666666)</f>
        <v>43894.666666666599</v>
      </c>
      <c r="B1302" s="1">
        <f ca="1">IFERROR(__xludf.DUMMYFUNCTION("""COMPUTED_VALUE"""),6.76)</f>
        <v>6.76</v>
      </c>
      <c r="C1302" s="1">
        <f ca="1">IFERROR(__xludf.DUMMYFUNCTION("""COMPUTED_VALUE"""),7.12)</f>
        <v>7.12</v>
      </c>
      <c r="D1302" s="1">
        <f ca="1">IFERROR(__xludf.DUMMYFUNCTION("""COMPUTED_VALUE"""),6.68)</f>
        <v>6.68</v>
      </c>
      <c r="E1302" s="1">
        <f ca="1">IFERROR(__xludf.DUMMYFUNCTION("""COMPUTED_VALUE"""),7.11)</f>
        <v>7.11</v>
      </c>
      <c r="F1302" s="1">
        <f ca="1">IFERROR(__xludf.DUMMYFUNCTION("""COMPUTED_VALUE"""),14935184)</f>
        <v>14935184</v>
      </c>
    </row>
    <row r="1303" spans="1:6" x14ac:dyDescent="0.35">
      <c r="A1303" s="2">
        <f ca="1">IFERROR(__xludf.DUMMYFUNCTION("""COMPUTED_VALUE"""),43895.6666666666)</f>
        <v>43895.666666666599</v>
      </c>
      <c r="B1303" s="1">
        <f ca="1">IFERROR(__xludf.DUMMYFUNCTION("""COMPUTED_VALUE"""),6.91)</f>
        <v>6.91</v>
      </c>
      <c r="C1303" s="1">
        <f ca="1">IFERROR(__xludf.DUMMYFUNCTION("""COMPUTED_VALUE"""),7.08)</f>
        <v>7.08</v>
      </c>
      <c r="D1303" s="1">
        <f ca="1">IFERROR(__xludf.DUMMYFUNCTION("""COMPUTED_VALUE"""),6.79)</f>
        <v>6.79</v>
      </c>
      <c r="E1303" s="1">
        <f ca="1">IFERROR(__xludf.DUMMYFUNCTION("""COMPUTED_VALUE"""),6.83)</f>
        <v>6.83</v>
      </c>
      <c r="F1303" s="1">
        <f ca="1">IFERROR(__xludf.DUMMYFUNCTION("""COMPUTED_VALUE"""),13508187)</f>
        <v>13508187</v>
      </c>
    </row>
    <row r="1304" spans="1:6" x14ac:dyDescent="0.35">
      <c r="A1304" s="2">
        <f ca="1">IFERROR(__xludf.DUMMYFUNCTION("""COMPUTED_VALUE"""),43896.6666666666)</f>
        <v>43896.666666666599</v>
      </c>
      <c r="B1304" s="1">
        <f ca="1">IFERROR(__xludf.DUMMYFUNCTION("""COMPUTED_VALUE"""),6.65)</f>
        <v>6.65</v>
      </c>
      <c r="C1304" s="1">
        <f ca="1">IFERROR(__xludf.DUMMYFUNCTION("""COMPUTED_VALUE"""),6.71)</f>
        <v>6.71</v>
      </c>
      <c r="D1304" s="1">
        <f ca="1">IFERROR(__xludf.DUMMYFUNCTION("""COMPUTED_VALUE"""),6.45)</f>
        <v>6.45</v>
      </c>
      <c r="E1304" s="1">
        <f ca="1">IFERROR(__xludf.DUMMYFUNCTION("""COMPUTED_VALUE"""),6.65)</f>
        <v>6.65</v>
      </c>
      <c r="F1304" s="1">
        <f ca="1">IFERROR(__xludf.DUMMYFUNCTION("""COMPUTED_VALUE"""),12885307)</f>
        <v>12885307</v>
      </c>
    </row>
    <row r="1305" spans="1:6" x14ac:dyDescent="0.35">
      <c r="A1305" s="2">
        <f ca="1">IFERROR(__xludf.DUMMYFUNCTION("""COMPUTED_VALUE"""),43899.6666666666)</f>
        <v>43899.666666666599</v>
      </c>
      <c r="B1305" s="1">
        <f ca="1">IFERROR(__xludf.DUMMYFUNCTION("""COMPUTED_VALUE"""),6)</f>
        <v>6</v>
      </c>
      <c r="C1305" s="1">
        <f ca="1">IFERROR(__xludf.DUMMYFUNCTION("""COMPUTED_VALUE"""),6.49)</f>
        <v>6.49</v>
      </c>
      <c r="D1305" s="1">
        <f ca="1">IFERROR(__xludf.DUMMYFUNCTION("""COMPUTED_VALUE"""),5.95)</f>
        <v>5.95</v>
      </c>
      <c r="E1305" s="1">
        <f ca="1">IFERROR(__xludf.DUMMYFUNCTION("""COMPUTED_VALUE"""),6.14)</f>
        <v>6.14</v>
      </c>
      <c r="F1305" s="1">
        <f ca="1">IFERROR(__xludf.DUMMYFUNCTION("""COMPUTED_VALUE"""),15353960)</f>
        <v>15353960</v>
      </c>
    </row>
    <row r="1306" spans="1:6" x14ac:dyDescent="0.35">
      <c r="A1306" s="2">
        <f ca="1">IFERROR(__xludf.DUMMYFUNCTION("""COMPUTED_VALUE"""),43900.6666666666)</f>
        <v>43900.666666666599</v>
      </c>
      <c r="B1306" s="1">
        <f ca="1">IFERROR(__xludf.DUMMYFUNCTION("""COMPUTED_VALUE"""),6.41)</f>
        <v>6.41</v>
      </c>
      <c r="C1306" s="1">
        <f ca="1">IFERROR(__xludf.DUMMYFUNCTION("""COMPUTED_VALUE"""),6.53)</f>
        <v>6.53</v>
      </c>
      <c r="D1306" s="1">
        <f ca="1">IFERROR(__xludf.DUMMYFUNCTION("""COMPUTED_VALUE"""),6.15)</f>
        <v>6.15</v>
      </c>
      <c r="E1306" s="1">
        <f ca="1">IFERROR(__xludf.DUMMYFUNCTION("""COMPUTED_VALUE"""),6.53)</f>
        <v>6.53</v>
      </c>
      <c r="F1306" s="1">
        <f ca="1">IFERROR(__xludf.DUMMYFUNCTION("""COMPUTED_VALUE"""),14516218)</f>
        <v>14516218</v>
      </c>
    </row>
    <row r="1307" spans="1:6" x14ac:dyDescent="0.35">
      <c r="A1307" s="2">
        <f ca="1">IFERROR(__xludf.DUMMYFUNCTION("""COMPUTED_VALUE"""),43901.6666666666)</f>
        <v>43901.666666666599</v>
      </c>
      <c r="B1307" s="1">
        <f ca="1">IFERROR(__xludf.DUMMYFUNCTION("""COMPUTED_VALUE"""),6.39)</f>
        <v>6.39</v>
      </c>
      <c r="C1307" s="1">
        <f ca="1">IFERROR(__xludf.DUMMYFUNCTION("""COMPUTED_VALUE"""),6.42)</f>
        <v>6.42</v>
      </c>
      <c r="D1307" s="1">
        <f ca="1">IFERROR(__xludf.DUMMYFUNCTION("""COMPUTED_VALUE"""),6.06)</f>
        <v>6.06</v>
      </c>
      <c r="E1307" s="1">
        <f ca="1">IFERROR(__xludf.DUMMYFUNCTION("""COMPUTED_VALUE"""),6.16)</f>
        <v>6.16</v>
      </c>
      <c r="F1307" s="1">
        <f ca="1">IFERROR(__xludf.DUMMYFUNCTION("""COMPUTED_VALUE"""),12551693)</f>
        <v>12551693</v>
      </c>
    </row>
    <row r="1308" spans="1:6" x14ac:dyDescent="0.35">
      <c r="A1308" s="2">
        <f ca="1">IFERROR(__xludf.DUMMYFUNCTION("""COMPUTED_VALUE"""),43902.6666666666)</f>
        <v>43902.666666666599</v>
      </c>
      <c r="B1308" s="1">
        <f ca="1">IFERROR(__xludf.DUMMYFUNCTION("""COMPUTED_VALUE"""),5.64)</f>
        <v>5.64</v>
      </c>
      <c r="C1308" s="1">
        <f ca="1">IFERROR(__xludf.DUMMYFUNCTION("""COMPUTED_VALUE"""),5.9)</f>
        <v>5.9</v>
      </c>
      <c r="D1308" s="1">
        <f ca="1">IFERROR(__xludf.DUMMYFUNCTION("""COMPUTED_VALUE"""),5.4)</f>
        <v>5.4</v>
      </c>
      <c r="E1308" s="1">
        <f ca="1">IFERROR(__xludf.DUMMYFUNCTION("""COMPUTED_VALUE"""),5.41)</f>
        <v>5.41</v>
      </c>
      <c r="F1308" s="1">
        <f ca="1">IFERROR(__xludf.DUMMYFUNCTION("""COMPUTED_VALUE"""),20413535)</f>
        <v>20413535</v>
      </c>
    </row>
    <row r="1309" spans="1:6" x14ac:dyDescent="0.35">
      <c r="A1309" s="2">
        <f ca="1">IFERROR(__xludf.DUMMYFUNCTION("""COMPUTED_VALUE"""),43903.6666666666)</f>
        <v>43903.666666666599</v>
      </c>
      <c r="B1309" s="1">
        <f ca="1">IFERROR(__xludf.DUMMYFUNCTION("""COMPUTED_VALUE"""),5.76)</f>
        <v>5.76</v>
      </c>
      <c r="C1309" s="1">
        <f ca="1">IFERROR(__xludf.DUMMYFUNCTION("""COMPUTED_VALUE"""),6.03)</f>
        <v>6.03</v>
      </c>
      <c r="D1309" s="1">
        <f ca="1">IFERROR(__xludf.DUMMYFUNCTION("""COMPUTED_VALUE"""),5.49)</f>
        <v>5.49</v>
      </c>
      <c r="E1309" s="1">
        <f ca="1">IFERROR(__xludf.DUMMYFUNCTION("""COMPUTED_VALUE"""),6.02)</f>
        <v>6.02</v>
      </c>
      <c r="F1309" s="1">
        <f ca="1">IFERROR(__xludf.DUMMYFUNCTION("""COMPUTED_VALUE"""),15870943)</f>
        <v>15870943</v>
      </c>
    </row>
    <row r="1310" spans="1:6" x14ac:dyDescent="0.35">
      <c r="A1310" s="2">
        <f ca="1">IFERROR(__xludf.DUMMYFUNCTION("""COMPUTED_VALUE"""),43906.6666666666)</f>
        <v>43906.666666666599</v>
      </c>
      <c r="B1310" s="1">
        <f ca="1">IFERROR(__xludf.DUMMYFUNCTION("""COMPUTED_VALUE"""),5.31)</f>
        <v>5.31</v>
      </c>
      <c r="C1310" s="1">
        <f ca="1">IFERROR(__xludf.DUMMYFUNCTION("""COMPUTED_VALUE"""),5.65)</f>
        <v>5.65</v>
      </c>
      <c r="D1310" s="1">
        <f ca="1">IFERROR(__xludf.DUMMYFUNCTION("""COMPUTED_VALUE"""),4.85)</f>
        <v>4.8499999999999996</v>
      </c>
      <c r="E1310" s="1">
        <f ca="1">IFERROR(__xludf.DUMMYFUNCTION("""COMPUTED_VALUE"""),4.91)</f>
        <v>4.91</v>
      </c>
      <c r="F1310" s="1">
        <f ca="1">IFERROR(__xludf.DUMMYFUNCTION("""COMPUTED_VALUE"""),18174303)</f>
        <v>18174303</v>
      </c>
    </row>
    <row r="1311" spans="1:6" x14ac:dyDescent="0.35">
      <c r="A1311" s="2">
        <f ca="1">IFERROR(__xludf.DUMMYFUNCTION("""COMPUTED_VALUE"""),43907.6666666666)</f>
        <v>43907.666666666599</v>
      </c>
      <c r="B1311" s="1">
        <f ca="1">IFERROR(__xludf.DUMMYFUNCTION("""COMPUTED_VALUE"""),5.02)</f>
        <v>5.0199999999999996</v>
      </c>
      <c r="C1311" s="1">
        <f ca="1">IFERROR(__xludf.DUMMYFUNCTION("""COMPUTED_VALUE"""),5.52)</f>
        <v>5.52</v>
      </c>
      <c r="D1311" s="1">
        <f ca="1">IFERROR(__xludf.DUMMYFUNCTION("""COMPUTED_VALUE"""),4.78)</f>
        <v>4.78</v>
      </c>
      <c r="E1311" s="1">
        <f ca="1">IFERROR(__xludf.DUMMYFUNCTION("""COMPUTED_VALUE"""),5.43)</f>
        <v>5.43</v>
      </c>
      <c r="F1311" s="1">
        <f ca="1">IFERROR(__xludf.DUMMYFUNCTION("""COMPUTED_VALUE"""),20840799)</f>
        <v>20840799</v>
      </c>
    </row>
    <row r="1312" spans="1:6" x14ac:dyDescent="0.35">
      <c r="A1312" s="2">
        <f ca="1">IFERROR(__xludf.DUMMYFUNCTION("""COMPUTED_VALUE"""),43908.6666666666)</f>
        <v>43908.666666666599</v>
      </c>
      <c r="B1312" s="1">
        <f ca="1">IFERROR(__xludf.DUMMYFUNCTION("""COMPUTED_VALUE"""),5)</f>
        <v>5</v>
      </c>
      <c r="C1312" s="1">
        <f ca="1">IFERROR(__xludf.DUMMYFUNCTION("""COMPUTED_VALUE"""),5.25)</f>
        <v>5.25</v>
      </c>
      <c r="D1312" s="1">
        <f ca="1">IFERROR(__xludf.DUMMYFUNCTION("""COMPUTED_VALUE"""),4.52)</f>
        <v>4.5199999999999996</v>
      </c>
      <c r="E1312" s="1">
        <f ca="1">IFERROR(__xludf.DUMMYFUNCTION("""COMPUTED_VALUE"""),5.07)</f>
        <v>5.07</v>
      </c>
      <c r="F1312" s="1">
        <f ca="1">IFERROR(__xludf.DUMMYFUNCTION("""COMPUTED_VALUE"""),21856657)</f>
        <v>21856657</v>
      </c>
    </row>
    <row r="1313" spans="1:6" x14ac:dyDescent="0.35">
      <c r="A1313" s="2">
        <f ca="1">IFERROR(__xludf.DUMMYFUNCTION("""COMPUTED_VALUE"""),43909.6666666666)</f>
        <v>43909.666666666599</v>
      </c>
      <c r="B1313" s="1">
        <f ca="1">IFERROR(__xludf.DUMMYFUNCTION("""COMPUTED_VALUE"""),5.05)</f>
        <v>5.05</v>
      </c>
      <c r="C1313" s="1">
        <f ca="1">IFERROR(__xludf.DUMMYFUNCTION("""COMPUTED_VALUE"""),5.42)</f>
        <v>5.42</v>
      </c>
      <c r="D1313" s="1">
        <f ca="1">IFERROR(__xludf.DUMMYFUNCTION("""COMPUTED_VALUE"""),4.83)</f>
        <v>4.83</v>
      </c>
      <c r="E1313" s="1">
        <f ca="1">IFERROR(__xludf.DUMMYFUNCTION("""COMPUTED_VALUE"""),5.32)</f>
        <v>5.32</v>
      </c>
      <c r="F1313" s="1">
        <f ca="1">IFERROR(__xludf.DUMMYFUNCTION("""COMPUTED_VALUE"""),19137847)</f>
        <v>19137847</v>
      </c>
    </row>
    <row r="1314" spans="1:6" x14ac:dyDescent="0.35">
      <c r="A1314" s="2">
        <f ca="1">IFERROR(__xludf.DUMMYFUNCTION("""COMPUTED_VALUE"""),43910.6666666666)</f>
        <v>43910.666666666599</v>
      </c>
      <c r="B1314" s="1">
        <f ca="1">IFERROR(__xludf.DUMMYFUNCTION("""COMPUTED_VALUE"""),5.48)</f>
        <v>5.48</v>
      </c>
      <c r="C1314" s="1">
        <f ca="1">IFERROR(__xludf.DUMMYFUNCTION("""COMPUTED_VALUE"""),5.76)</f>
        <v>5.76</v>
      </c>
      <c r="D1314" s="1">
        <f ca="1">IFERROR(__xludf.DUMMYFUNCTION("""COMPUTED_VALUE"""),5.13)</f>
        <v>5.13</v>
      </c>
      <c r="E1314" s="1">
        <f ca="1">IFERROR(__xludf.DUMMYFUNCTION("""COMPUTED_VALUE"""),5.14)</f>
        <v>5.14</v>
      </c>
      <c r="F1314" s="1">
        <f ca="1">IFERROR(__xludf.DUMMYFUNCTION("""COMPUTED_VALUE"""),20115854)</f>
        <v>20115854</v>
      </c>
    </row>
    <row r="1315" spans="1:6" x14ac:dyDescent="0.35">
      <c r="A1315" s="2">
        <f ca="1">IFERROR(__xludf.DUMMYFUNCTION("""COMPUTED_VALUE"""),43913.6666666666)</f>
        <v>43913.666666666599</v>
      </c>
      <c r="B1315" s="1">
        <f ca="1">IFERROR(__xludf.DUMMYFUNCTION("""COMPUTED_VALUE"""),5.14)</f>
        <v>5.14</v>
      </c>
      <c r="C1315" s="1">
        <f ca="1">IFERROR(__xludf.DUMMYFUNCTION("""COMPUTED_VALUE"""),5.41)</f>
        <v>5.41</v>
      </c>
      <c r="D1315" s="1">
        <f ca="1">IFERROR(__xludf.DUMMYFUNCTION("""COMPUTED_VALUE"""),4.96)</f>
        <v>4.96</v>
      </c>
      <c r="E1315" s="1">
        <f ca="1">IFERROR(__xludf.DUMMYFUNCTION("""COMPUTED_VALUE"""),5.32)</f>
        <v>5.32</v>
      </c>
      <c r="F1315" s="1">
        <f ca="1">IFERROR(__xludf.DUMMYFUNCTION("""COMPUTED_VALUE"""),16096866)</f>
        <v>16096866</v>
      </c>
    </row>
    <row r="1316" spans="1:6" x14ac:dyDescent="0.35">
      <c r="A1316" s="2">
        <f ca="1">IFERROR(__xludf.DUMMYFUNCTION("""COMPUTED_VALUE"""),43914.6666666666)</f>
        <v>43914.666666666599</v>
      </c>
      <c r="B1316" s="1">
        <f ca="1">IFERROR(__xludf.DUMMYFUNCTION("""COMPUTED_VALUE"""),5.73)</f>
        <v>5.73</v>
      </c>
      <c r="C1316" s="1">
        <f ca="1">IFERROR(__xludf.DUMMYFUNCTION("""COMPUTED_VALUE"""),6.32)</f>
        <v>6.32</v>
      </c>
      <c r="D1316" s="1">
        <f ca="1">IFERROR(__xludf.DUMMYFUNCTION("""COMPUTED_VALUE"""),5.7)</f>
        <v>5.7</v>
      </c>
      <c r="E1316" s="1">
        <f ca="1">IFERROR(__xludf.DUMMYFUNCTION("""COMPUTED_VALUE"""),6.23)</f>
        <v>6.23</v>
      </c>
      <c r="F1316" s="1">
        <f ca="1">IFERROR(__xludf.DUMMYFUNCTION("""COMPUTED_VALUE"""),27541095)</f>
        <v>27541095</v>
      </c>
    </row>
    <row r="1317" spans="1:6" x14ac:dyDescent="0.35">
      <c r="A1317" s="2">
        <f ca="1">IFERROR(__xludf.DUMMYFUNCTION("""COMPUTED_VALUE"""),43915.6666666666)</f>
        <v>43915.666666666599</v>
      </c>
      <c r="B1317" s="1">
        <f ca="1">IFERROR(__xludf.DUMMYFUNCTION("""COMPUTED_VALUE"""),6.35)</f>
        <v>6.35</v>
      </c>
      <c r="C1317" s="1">
        <f ca="1">IFERROR(__xludf.DUMMYFUNCTION("""COMPUTED_VALUE"""),6.55)</f>
        <v>6.55</v>
      </c>
      <c r="D1317" s="1">
        <f ca="1">IFERROR(__xludf.DUMMYFUNCTION("""COMPUTED_VALUE"""),6.09)</f>
        <v>6.09</v>
      </c>
      <c r="E1317" s="1">
        <f ca="1">IFERROR(__xludf.DUMMYFUNCTION("""COMPUTED_VALUE"""),6.14)</f>
        <v>6.14</v>
      </c>
      <c r="F1317" s="1">
        <f ca="1">IFERROR(__xludf.DUMMYFUNCTION("""COMPUTED_VALUE"""),19835767)</f>
        <v>19835767</v>
      </c>
    </row>
    <row r="1318" spans="1:6" x14ac:dyDescent="0.35">
      <c r="A1318" s="2">
        <f ca="1">IFERROR(__xludf.DUMMYFUNCTION("""COMPUTED_VALUE"""),43916.6666666666)</f>
        <v>43916.666666666599</v>
      </c>
      <c r="B1318" s="1">
        <f ca="1">IFERROR(__xludf.DUMMYFUNCTION("""COMPUTED_VALUE"""),6.35)</f>
        <v>6.35</v>
      </c>
      <c r="C1318" s="1">
        <f ca="1">IFERROR(__xludf.DUMMYFUNCTION("""COMPUTED_VALUE"""),6.56)</f>
        <v>6.56</v>
      </c>
      <c r="D1318" s="1">
        <f ca="1">IFERROR(__xludf.DUMMYFUNCTION("""COMPUTED_VALUE"""),6.25)</f>
        <v>6.25</v>
      </c>
      <c r="E1318" s="1">
        <f ca="1">IFERROR(__xludf.DUMMYFUNCTION("""COMPUTED_VALUE"""),6.43)</f>
        <v>6.43</v>
      </c>
      <c r="F1318" s="1">
        <f ca="1">IFERROR(__xludf.DUMMYFUNCTION("""COMPUTED_VALUE"""),17439692)</f>
        <v>17439692</v>
      </c>
    </row>
    <row r="1319" spans="1:6" x14ac:dyDescent="0.35">
      <c r="A1319" s="2">
        <f ca="1">IFERROR(__xludf.DUMMYFUNCTION("""COMPUTED_VALUE"""),43917.6666666666)</f>
        <v>43917.666666666599</v>
      </c>
      <c r="B1319" s="1">
        <f ca="1">IFERROR(__xludf.DUMMYFUNCTION("""COMPUTED_VALUE"""),6.25)</f>
        <v>6.25</v>
      </c>
      <c r="C1319" s="1">
        <f ca="1">IFERROR(__xludf.DUMMYFUNCTION("""COMPUTED_VALUE"""),6.58)</f>
        <v>6.58</v>
      </c>
      <c r="D1319" s="1">
        <f ca="1">IFERROR(__xludf.DUMMYFUNCTION("""COMPUTED_VALUE"""),6.22)</f>
        <v>6.22</v>
      </c>
      <c r="E1319" s="1">
        <f ca="1">IFERROR(__xludf.DUMMYFUNCTION("""COMPUTED_VALUE"""),6.32)</f>
        <v>6.32</v>
      </c>
      <c r="F1319" s="1">
        <f ca="1">IFERROR(__xludf.DUMMYFUNCTION("""COMPUTED_VALUE"""),15970744)</f>
        <v>15970744</v>
      </c>
    </row>
    <row r="1320" spans="1:6" x14ac:dyDescent="0.35">
      <c r="A1320" s="2">
        <f ca="1">IFERROR(__xludf.DUMMYFUNCTION("""COMPUTED_VALUE"""),43920.6666666666)</f>
        <v>43920.666666666599</v>
      </c>
      <c r="B1320" s="1">
        <f ca="1">IFERROR(__xludf.DUMMYFUNCTION("""COMPUTED_VALUE"""),6.38)</f>
        <v>6.38</v>
      </c>
      <c r="C1320" s="1">
        <f ca="1">IFERROR(__xludf.DUMMYFUNCTION("""COMPUTED_VALUE"""),6.65)</f>
        <v>6.65</v>
      </c>
      <c r="D1320" s="1">
        <f ca="1">IFERROR(__xludf.DUMMYFUNCTION("""COMPUTED_VALUE"""),6.34)</f>
        <v>6.34</v>
      </c>
      <c r="E1320" s="1">
        <f ca="1">IFERROR(__xludf.DUMMYFUNCTION("""COMPUTED_VALUE"""),6.64)</f>
        <v>6.64</v>
      </c>
      <c r="F1320" s="1">
        <f ca="1">IFERROR(__xludf.DUMMYFUNCTION("""COMPUTED_VALUE"""),15056253)</f>
        <v>15056253</v>
      </c>
    </row>
    <row r="1321" spans="1:6" x14ac:dyDescent="0.35">
      <c r="A1321" s="2">
        <f ca="1">IFERROR(__xludf.DUMMYFUNCTION("""COMPUTED_VALUE"""),43921.6666666666)</f>
        <v>43921.666666666599</v>
      </c>
      <c r="B1321" s="1">
        <f ca="1">IFERROR(__xludf.DUMMYFUNCTION("""COMPUTED_VALUE"""),6.68)</f>
        <v>6.68</v>
      </c>
      <c r="C1321" s="1">
        <f ca="1">IFERROR(__xludf.DUMMYFUNCTION("""COMPUTED_VALUE"""),6.88)</f>
        <v>6.88</v>
      </c>
      <c r="D1321" s="1">
        <f ca="1">IFERROR(__xludf.DUMMYFUNCTION("""COMPUTED_VALUE"""),6.44)</f>
        <v>6.44</v>
      </c>
      <c r="E1321" s="1">
        <f ca="1">IFERROR(__xludf.DUMMYFUNCTION("""COMPUTED_VALUE"""),6.59)</f>
        <v>6.59</v>
      </c>
      <c r="F1321" s="1">
        <f ca="1">IFERROR(__xludf.DUMMYFUNCTION("""COMPUTED_VALUE"""),23749014)</f>
        <v>23749014</v>
      </c>
    </row>
    <row r="1322" spans="1:6" x14ac:dyDescent="0.35">
      <c r="A1322" s="2">
        <f ca="1">IFERROR(__xludf.DUMMYFUNCTION("""COMPUTED_VALUE"""),43922.6666666666)</f>
        <v>43922.666666666599</v>
      </c>
      <c r="B1322" s="1">
        <f ca="1">IFERROR(__xludf.DUMMYFUNCTION("""COMPUTED_VALUE"""),6.39)</f>
        <v>6.39</v>
      </c>
      <c r="C1322" s="1">
        <f ca="1">IFERROR(__xludf.DUMMYFUNCTION("""COMPUTED_VALUE"""),6.54)</f>
        <v>6.54</v>
      </c>
      <c r="D1322" s="1">
        <f ca="1">IFERROR(__xludf.DUMMYFUNCTION("""COMPUTED_VALUE"""),6.03)</f>
        <v>6.03</v>
      </c>
      <c r="E1322" s="1">
        <f ca="1">IFERROR(__xludf.DUMMYFUNCTION("""COMPUTED_VALUE"""),6.08)</f>
        <v>6.08</v>
      </c>
      <c r="F1322" s="1">
        <f ca="1">IFERROR(__xludf.DUMMYFUNCTION("""COMPUTED_VALUE"""),16422828)</f>
        <v>16422828</v>
      </c>
    </row>
    <row r="1323" spans="1:6" x14ac:dyDescent="0.35">
      <c r="A1323" s="2">
        <f ca="1">IFERROR(__xludf.DUMMYFUNCTION("""COMPUTED_VALUE"""),43923.6666666666)</f>
        <v>43923.666666666599</v>
      </c>
      <c r="B1323" s="1">
        <f ca="1">IFERROR(__xludf.DUMMYFUNCTION("""COMPUTED_VALUE"""),6.11)</f>
        <v>6.11</v>
      </c>
      <c r="C1323" s="1">
        <f ca="1">IFERROR(__xludf.DUMMYFUNCTION("""COMPUTED_VALUE"""),6.4)</f>
        <v>6.4</v>
      </c>
      <c r="D1323" s="1">
        <f ca="1">IFERROR(__xludf.DUMMYFUNCTION("""COMPUTED_VALUE"""),6.06)</f>
        <v>6.06</v>
      </c>
      <c r="E1323" s="1">
        <f ca="1">IFERROR(__xludf.DUMMYFUNCTION("""COMPUTED_VALUE"""),6.39)</f>
        <v>6.39</v>
      </c>
      <c r="F1323" s="1">
        <f ca="1">IFERROR(__xludf.DUMMYFUNCTION("""COMPUTED_VALUE"""),16894113)</f>
        <v>16894113</v>
      </c>
    </row>
    <row r="1324" spans="1:6" x14ac:dyDescent="0.35">
      <c r="A1324" s="2">
        <f ca="1">IFERROR(__xludf.DUMMYFUNCTION("""COMPUTED_VALUE"""),43924.6666666666)</f>
        <v>43924.666666666599</v>
      </c>
      <c r="B1324" s="1">
        <f ca="1">IFERROR(__xludf.DUMMYFUNCTION("""COMPUTED_VALUE"""),6.35)</f>
        <v>6.35</v>
      </c>
      <c r="C1324" s="1">
        <f ca="1">IFERROR(__xludf.DUMMYFUNCTION("""COMPUTED_VALUE"""),6.39)</f>
        <v>6.39</v>
      </c>
      <c r="D1324" s="1">
        <f ca="1">IFERROR(__xludf.DUMMYFUNCTION("""COMPUTED_VALUE"""),5.96)</f>
        <v>5.96</v>
      </c>
      <c r="E1324" s="1">
        <f ca="1">IFERROR(__xludf.DUMMYFUNCTION("""COMPUTED_VALUE"""),6.1)</f>
        <v>6.1</v>
      </c>
      <c r="F1324" s="1">
        <f ca="1">IFERROR(__xludf.DUMMYFUNCTION("""COMPUTED_VALUE"""),16580346)</f>
        <v>16580346</v>
      </c>
    </row>
    <row r="1325" spans="1:6" x14ac:dyDescent="0.35">
      <c r="A1325" s="2">
        <f ca="1">IFERROR(__xludf.DUMMYFUNCTION("""COMPUTED_VALUE"""),43927.6666666666)</f>
        <v>43927.666666666599</v>
      </c>
      <c r="B1325" s="1">
        <f ca="1">IFERROR(__xludf.DUMMYFUNCTION("""COMPUTED_VALUE"""),6.38)</f>
        <v>6.38</v>
      </c>
      <c r="C1325" s="1">
        <f ca="1">IFERROR(__xludf.DUMMYFUNCTION("""COMPUTED_VALUE"""),6.75)</f>
        <v>6.75</v>
      </c>
      <c r="D1325" s="1">
        <f ca="1">IFERROR(__xludf.DUMMYFUNCTION("""COMPUTED_VALUE"""),6.32)</f>
        <v>6.32</v>
      </c>
      <c r="E1325" s="1">
        <f ca="1">IFERROR(__xludf.DUMMYFUNCTION("""COMPUTED_VALUE"""),6.71)</f>
        <v>6.71</v>
      </c>
      <c r="F1325" s="1">
        <f ca="1">IFERROR(__xludf.DUMMYFUNCTION("""COMPUTED_VALUE"""),18197062)</f>
        <v>18197062</v>
      </c>
    </row>
    <row r="1326" spans="1:6" x14ac:dyDescent="0.35">
      <c r="A1326" s="2">
        <f ca="1">IFERROR(__xludf.DUMMYFUNCTION("""COMPUTED_VALUE"""),43928.6666666666)</f>
        <v>43928.666666666599</v>
      </c>
      <c r="B1326" s="1">
        <f ca="1">IFERROR(__xludf.DUMMYFUNCTION("""COMPUTED_VALUE"""),6.93)</f>
        <v>6.93</v>
      </c>
      <c r="C1326" s="1">
        <f ca="1">IFERROR(__xludf.DUMMYFUNCTION("""COMPUTED_VALUE"""),6.96)</f>
        <v>6.96</v>
      </c>
      <c r="D1326" s="1">
        <f ca="1">IFERROR(__xludf.DUMMYFUNCTION("""COMPUTED_VALUE"""),6.43)</f>
        <v>6.43</v>
      </c>
      <c r="E1326" s="1">
        <f ca="1">IFERROR(__xludf.DUMMYFUNCTION("""COMPUTED_VALUE"""),6.48)</f>
        <v>6.48</v>
      </c>
      <c r="F1326" s="1">
        <f ca="1">IFERROR(__xludf.DUMMYFUNCTION("""COMPUTED_VALUE"""),19613047)</f>
        <v>19613047</v>
      </c>
    </row>
    <row r="1327" spans="1:6" x14ac:dyDescent="0.35">
      <c r="A1327" s="2">
        <f ca="1">IFERROR(__xludf.DUMMYFUNCTION("""COMPUTED_VALUE"""),43929.6666666666)</f>
        <v>43929.666666666599</v>
      </c>
      <c r="B1327" s="1">
        <f ca="1">IFERROR(__xludf.DUMMYFUNCTION("""COMPUTED_VALUE"""),6.59)</f>
        <v>6.59</v>
      </c>
      <c r="C1327" s="1">
        <f ca="1">IFERROR(__xludf.DUMMYFUNCTION("""COMPUTED_VALUE"""),6.7)</f>
        <v>6.7</v>
      </c>
      <c r="D1327" s="1">
        <f ca="1">IFERROR(__xludf.DUMMYFUNCTION("""COMPUTED_VALUE"""),6.52)</f>
        <v>6.52</v>
      </c>
      <c r="E1327" s="1">
        <f ca="1">IFERROR(__xludf.DUMMYFUNCTION("""COMPUTED_VALUE"""),6.67)</f>
        <v>6.67</v>
      </c>
      <c r="F1327" s="1">
        <f ca="1">IFERROR(__xludf.DUMMYFUNCTION("""COMPUTED_VALUE"""),13561113)</f>
        <v>13561113</v>
      </c>
    </row>
    <row r="1328" spans="1:6" x14ac:dyDescent="0.35">
      <c r="A1328" s="2">
        <f ca="1">IFERROR(__xludf.DUMMYFUNCTION("""COMPUTED_VALUE"""),43930.6666666666)</f>
        <v>43930.666666666599</v>
      </c>
      <c r="B1328" s="1">
        <f ca="1">IFERROR(__xludf.DUMMYFUNCTION("""COMPUTED_VALUE"""),6.8)</f>
        <v>6.8</v>
      </c>
      <c r="C1328" s="1">
        <f ca="1">IFERROR(__xludf.DUMMYFUNCTION("""COMPUTED_VALUE"""),6.82)</f>
        <v>6.82</v>
      </c>
      <c r="D1328" s="1">
        <f ca="1">IFERROR(__xludf.DUMMYFUNCTION("""COMPUTED_VALUE"""),6.51)</f>
        <v>6.51</v>
      </c>
      <c r="E1328" s="1">
        <f ca="1">IFERROR(__xludf.DUMMYFUNCTION("""COMPUTED_VALUE"""),6.57)</f>
        <v>6.57</v>
      </c>
      <c r="F1328" s="1">
        <f ca="1">IFERROR(__xludf.DUMMYFUNCTION("""COMPUTED_VALUE"""),13156195)</f>
        <v>13156195</v>
      </c>
    </row>
    <row r="1329" spans="1:6" x14ac:dyDescent="0.35">
      <c r="A1329" s="2">
        <f ca="1">IFERROR(__xludf.DUMMYFUNCTION("""COMPUTED_VALUE"""),43934.6666666666)</f>
        <v>43934.666666666599</v>
      </c>
      <c r="B1329" s="1">
        <f ca="1">IFERROR(__xludf.DUMMYFUNCTION("""COMPUTED_VALUE"""),6.51)</f>
        <v>6.51</v>
      </c>
      <c r="C1329" s="1">
        <f ca="1">IFERROR(__xludf.DUMMYFUNCTION("""COMPUTED_VALUE"""),6.76)</f>
        <v>6.76</v>
      </c>
      <c r="D1329" s="1">
        <f ca="1">IFERROR(__xludf.DUMMYFUNCTION("""COMPUTED_VALUE"""),6.43)</f>
        <v>6.43</v>
      </c>
      <c r="E1329" s="1">
        <f ca="1">IFERROR(__xludf.DUMMYFUNCTION("""COMPUTED_VALUE"""),6.75)</f>
        <v>6.75</v>
      </c>
      <c r="F1329" s="1">
        <f ca="1">IFERROR(__xludf.DUMMYFUNCTION("""COMPUTED_VALUE"""),9960182)</f>
        <v>9960182</v>
      </c>
    </row>
    <row r="1330" spans="1:6" x14ac:dyDescent="0.35">
      <c r="A1330" s="2">
        <f ca="1">IFERROR(__xludf.DUMMYFUNCTION("""COMPUTED_VALUE"""),43935.6666666666)</f>
        <v>43935.666666666599</v>
      </c>
      <c r="B1330" s="1">
        <f ca="1">IFERROR(__xludf.DUMMYFUNCTION("""COMPUTED_VALUE"""),6.88)</f>
        <v>6.88</v>
      </c>
      <c r="C1330" s="1">
        <f ca="1">IFERROR(__xludf.DUMMYFUNCTION("""COMPUTED_VALUE"""),7.13)</f>
        <v>7.13</v>
      </c>
      <c r="D1330" s="1">
        <f ca="1">IFERROR(__xludf.DUMMYFUNCTION("""COMPUTED_VALUE"""),6.85)</f>
        <v>6.85</v>
      </c>
      <c r="E1330" s="1">
        <f ca="1">IFERROR(__xludf.DUMMYFUNCTION("""COMPUTED_VALUE"""),7.1)</f>
        <v>7.1</v>
      </c>
      <c r="F1330" s="1">
        <f ca="1">IFERROR(__xludf.DUMMYFUNCTION("""COMPUTED_VALUE"""),13273667)</f>
        <v>13273667</v>
      </c>
    </row>
    <row r="1331" spans="1:6" x14ac:dyDescent="0.35">
      <c r="A1331" s="2">
        <f ca="1">IFERROR(__xludf.DUMMYFUNCTION("""COMPUTED_VALUE"""),43936.6666666666)</f>
        <v>43936.666666666599</v>
      </c>
      <c r="B1331" s="1">
        <f ca="1">IFERROR(__xludf.DUMMYFUNCTION("""COMPUTED_VALUE"""),6.93)</f>
        <v>6.93</v>
      </c>
      <c r="C1331" s="1">
        <f ca="1">IFERROR(__xludf.DUMMYFUNCTION("""COMPUTED_VALUE"""),7.1)</f>
        <v>7.1</v>
      </c>
      <c r="D1331" s="1">
        <f ca="1">IFERROR(__xludf.DUMMYFUNCTION("""COMPUTED_VALUE"""),6.88)</f>
        <v>6.88</v>
      </c>
      <c r="E1331" s="1">
        <f ca="1">IFERROR(__xludf.DUMMYFUNCTION("""COMPUTED_VALUE"""),7.02)</f>
        <v>7.02</v>
      </c>
      <c r="F1331" s="1">
        <f ca="1">IFERROR(__xludf.DUMMYFUNCTION("""COMPUTED_VALUE"""),9153721)</f>
        <v>9153721</v>
      </c>
    </row>
    <row r="1332" spans="1:6" x14ac:dyDescent="0.35">
      <c r="A1332" s="2">
        <f ca="1">IFERROR(__xludf.DUMMYFUNCTION("""COMPUTED_VALUE"""),43937.6666666666)</f>
        <v>43937.666666666599</v>
      </c>
      <c r="B1332" s="1">
        <f ca="1">IFERROR(__xludf.DUMMYFUNCTION("""COMPUTED_VALUE"""),7.18)</f>
        <v>7.18</v>
      </c>
      <c r="C1332" s="1">
        <f ca="1">IFERROR(__xludf.DUMMYFUNCTION("""COMPUTED_VALUE"""),7.48)</f>
        <v>7.48</v>
      </c>
      <c r="D1332" s="1">
        <f ca="1">IFERROR(__xludf.DUMMYFUNCTION("""COMPUTED_VALUE"""),7.16)</f>
        <v>7.16</v>
      </c>
      <c r="E1332" s="1">
        <f ca="1">IFERROR(__xludf.DUMMYFUNCTION("""COMPUTED_VALUE"""),7.37)</f>
        <v>7.37</v>
      </c>
      <c r="F1332" s="1">
        <f ca="1">IFERROR(__xludf.DUMMYFUNCTION("""COMPUTED_VALUE"""),18640510)</f>
        <v>18640510</v>
      </c>
    </row>
    <row r="1333" spans="1:6" x14ac:dyDescent="0.35">
      <c r="A1333" s="2">
        <f ca="1">IFERROR(__xludf.DUMMYFUNCTION("""COMPUTED_VALUE"""),43938.6666666666)</f>
        <v>43938.666666666599</v>
      </c>
      <c r="B1333" s="1">
        <f ca="1">IFERROR(__xludf.DUMMYFUNCTION("""COMPUTED_VALUE"""),7.45)</f>
        <v>7.45</v>
      </c>
      <c r="C1333" s="1">
        <f ca="1">IFERROR(__xludf.DUMMYFUNCTION("""COMPUTED_VALUE"""),7.47)</f>
        <v>7.47</v>
      </c>
      <c r="D1333" s="1">
        <f ca="1">IFERROR(__xludf.DUMMYFUNCTION("""COMPUTED_VALUE"""),7.17)</f>
        <v>7.17</v>
      </c>
      <c r="E1333" s="1">
        <f ca="1">IFERROR(__xludf.DUMMYFUNCTION("""COMPUTED_VALUE"""),7.31)</f>
        <v>7.31</v>
      </c>
      <c r="F1333" s="1">
        <f ca="1">IFERROR(__xludf.DUMMYFUNCTION("""COMPUTED_VALUE"""),13478049)</f>
        <v>13478049</v>
      </c>
    </row>
    <row r="1334" spans="1:6" x14ac:dyDescent="0.35">
      <c r="A1334" s="2">
        <f ca="1">IFERROR(__xludf.DUMMYFUNCTION("""COMPUTED_VALUE"""),43941.6666666666)</f>
        <v>43941.666666666599</v>
      </c>
      <c r="B1334" s="1">
        <f ca="1">IFERROR(__xludf.DUMMYFUNCTION("""COMPUTED_VALUE"""),7.18)</f>
        <v>7.18</v>
      </c>
      <c r="C1334" s="1">
        <f ca="1">IFERROR(__xludf.DUMMYFUNCTION("""COMPUTED_VALUE"""),7.34)</f>
        <v>7.34</v>
      </c>
      <c r="D1334" s="1">
        <f ca="1">IFERROR(__xludf.DUMMYFUNCTION("""COMPUTED_VALUE"""),7.13)</f>
        <v>7.13</v>
      </c>
      <c r="E1334" s="1">
        <f ca="1">IFERROR(__xludf.DUMMYFUNCTION("""COMPUTED_VALUE"""),7.18)</f>
        <v>7.18</v>
      </c>
      <c r="F1334" s="1">
        <f ca="1">IFERROR(__xludf.DUMMYFUNCTION("""COMPUTED_VALUE"""),11234705)</f>
        <v>11234705</v>
      </c>
    </row>
    <row r="1335" spans="1:6" x14ac:dyDescent="0.35">
      <c r="A1335" s="2">
        <f ca="1">IFERROR(__xludf.DUMMYFUNCTION("""COMPUTED_VALUE"""),43942.6666666666)</f>
        <v>43942.666666666599</v>
      </c>
      <c r="B1335" s="1">
        <f ca="1">IFERROR(__xludf.DUMMYFUNCTION("""COMPUTED_VALUE"""),7.06)</f>
        <v>7.06</v>
      </c>
      <c r="C1335" s="1">
        <f ca="1">IFERROR(__xludf.DUMMYFUNCTION("""COMPUTED_VALUE"""),7.12)</f>
        <v>7.12</v>
      </c>
      <c r="D1335" s="1">
        <f ca="1">IFERROR(__xludf.DUMMYFUNCTION("""COMPUTED_VALUE"""),6.68)</f>
        <v>6.68</v>
      </c>
      <c r="E1335" s="1">
        <f ca="1">IFERROR(__xludf.DUMMYFUNCTION("""COMPUTED_VALUE"""),6.74)</f>
        <v>6.74</v>
      </c>
      <c r="F1335" s="1">
        <f ca="1">IFERROR(__xludf.DUMMYFUNCTION("""COMPUTED_VALUE"""),18378996)</f>
        <v>18378996</v>
      </c>
    </row>
    <row r="1336" spans="1:6" x14ac:dyDescent="0.35">
      <c r="A1336" s="2">
        <f ca="1">IFERROR(__xludf.DUMMYFUNCTION("""COMPUTED_VALUE"""),43943.6666666666)</f>
        <v>43943.666666666599</v>
      </c>
      <c r="B1336" s="1">
        <f ca="1">IFERROR(__xludf.DUMMYFUNCTION("""COMPUTED_VALUE"""),6.93)</f>
        <v>6.93</v>
      </c>
      <c r="C1336" s="1">
        <f ca="1">IFERROR(__xludf.DUMMYFUNCTION("""COMPUTED_VALUE"""),7.2)</f>
        <v>7.2</v>
      </c>
      <c r="D1336" s="1">
        <f ca="1">IFERROR(__xludf.DUMMYFUNCTION("""COMPUTED_VALUE"""),6.89)</f>
        <v>6.89</v>
      </c>
      <c r="E1336" s="1">
        <f ca="1">IFERROR(__xludf.DUMMYFUNCTION("""COMPUTED_VALUE"""),7.15)</f>
        <v>7.15</v>
      </c>
      <c r="F1336" s="1">
        <f ca="1">IFERROR(__xludf.DUMMYFUNCTION("""COMPUTED_VALUE"""),12118228)</f>
        <v>12118228</v>
      </c>
    </row>
    <row r="1337" spans="1:6" x14ac:dyDescent="0.35">
      <c r="A1337" s="2">
        <f ca="1">IFERROR(__xludf.DUMMYFUNCTION("""COMPUTED_VALUE"""),43944.6666666666)</f>
        <v>43944.666666666599</v>
      </c>
      <c r="B1337" s="1">
        <f ca="1">IFERROR(__xludf.DUMMYFUNCTION("""COMPUTED_VALUE"""),7.2)</f>
        <v>7.2</v>
      </c>
      <c r="C1337" s="1">
        <f ca="1">IFERROR(__xludf.DUMMYFUNCTION("""COMPUTED_VALUE"""),7.33)</f>
        <v>7.33</v>
      </c>
      <c r="D1337" s="1">
        <f ca="1">IFERROR(__xludf.DUMMYFUNCTION("""COMPUTED_VALUE"""),7.08)</f>
        <v>7.08</v>
      </c>
      <c r="E1337" s="1">
        <f ca="1">IFERROR(__xludf.DUMMYFUNCTION("""COMPUTED_VALUE"""),7.1)</f>
        <v>7.1</v>
      </c>
      <c r="F1337" s="1">
        <f ca="1">IFERROR(__xludf.DUMMYFUNCTION("""COMPUTED_VALUE"""),10603988)</f>
        <v>10603988</v>
      </c>
    </row>
    <row r="1338" spans="1:6" x14ac:dyDescent="0.35">
      <c r="A1338" s="2">
        <f ca="1">IFERROR(__xludf.DUMMYFUNCTION("""COMPUTED_VALUE"""),43945.6666666666)</f>
        <v>43945.666666666599</v>
      </c>
      <c r="B1338" s="1">
        <f ca="1">IFERROR(__xludf.DUMMYFUNCTION("""COMPUTED_VALUE"""),7.09)</f>
        <v>7.09</v>
      </c>
      <c r="C1338" s="1">
        <f ca="1">IFERROR(__xludf.DUMMYFUNCTION("""COMPUTED_VALUE"""),7.24)</f>
        <v>7.24</v>
      </c>
      <c r="D1338" s="1">
        <f ca="1">IFERROR(__xludf.DUMMYFUNCTION("""COMPUTED_VALUE"""),7.02)</f>
        <v>7.02</v>
      </c>
      <c r="E1338" s="1">
        <f ca="1">IFERROR(__xludf.DUMMYFUNCTION("""COMPUTED_VALUE"""),7.24)</f>
        <v>7.24</v>
      </c>
      <c r="F1338" s="1">
        <f ca="1">IFERROR(__xludf.DUMMYFUNCTION("""COMPUTED_VALUE"""),8816137)</f>
        <v>8816137</v>
      </c>
    </row>
    <row r="1339" spans="1:6" x14ac:dyDescent="0.35">
      <c r="A1339" s="2">
        <f ca="1">IFERROR(__xludf.DUMMYFUNCTION("""COMPUTED_VALUE"""),43948.6666666666)</f>
        <v>43948.666666666599</v>
      </c>
      <c r="B1339" s="1">
        <f ca="1">IFERROR(__xludf.DUMMYFUNCTION("""COMPUTED_VALUE"""),7.37)</f>
        <v>7.37</v>
      </c>
      <c r="C1339" s="1">
        <f ca="1">IFERROR(__xludf.DUMMYFUNCTION("""COMPUTED_VALUE"""),7.59)</f>
        <v>7.59</v>
      </c>
      <c r="D1339" s="1">
        <f ca="1">IFERROR(__xludf.DUMMYFUNCTION("""COMPUTED_VALUE"""),7.35)</f>
        <v>7.35</v>
      </c>
      <c r="E1339" s="1">
        <f ca="1">IFERROR(__xludf.DUMMYFUNCTION("""COMPUTED_VALUE"""),7.43)</f>
        <v>7.43</v>
      </c>
      <c r="F1339" s="1">
        <f ca="1">IFERROR(__xludf.DUMMYFUNCTION("""COMPUTED_VALUE"""),11984699)</f>
        <v>11984699</v>
      </c>
    </row>
    <row r="1340" spans="1:6" x14ac:dyDescent="0.35">
      <c r="A1340" s="2">
        <f ca="1">IFERROR(__xludf.DUMMYFUNCTION("""COMPUTED_VALUE"""),43949.6666666666)</f>
        <v>43949.666666666599</v>
      </c>
      <c r="B1340" s="1">
        <f ca="1">IFERROR(__xludf.DUMMYFUNCTION("""COMPUTED_VALUE"""),7.58)</f>
        <v>7.58</v>
      </c>
      <c r="C1340" s="1">
        <f ca="1">IFERROR(__xludf.DUMMYFUNCTION("""COMPUTED_VALUE"""),7.61)</f>
        <v>7.61</v>
      </c>
      <c r="D1340" s="1">
        <f ca="1">IFERROR(__xludf.DUMMYFUNCTION("""COMPUTED_VALUE"""),7.28)</f>
        <v>7.28</v>
      </c>
      <c r="E1340" s="1">
        <f ca="1">IFERROR(__xludf.DUMMYFUNCTION("""COMPUTED_VALUE"""),7.28)</f>
        <v>7.28</v>
      </c>
      <c r="F1340" s="1">
        <f ca="1">IFERROR(__xludf.DUMMYFUNCTION("""COMPUTED_VALUE"""),11072603)</f>
        <v>11072603</v>
      </c>
    </row>
    <row r="1341" spans="1:6" x14ac:dyDescent="0.35">
      <c r="A1341" s="2">
        <f ca="1">IFERROR(__xludf.DUMMYFUNCTION("""COMPUTED_VALUE"""),43950.6666666666)</f>
        <v>43950.666666666599</v>
      </c>
      <c r="B1341" s="1">
        <f ca="1">IFERROR(__xludf.DUMMYFUNCTION("""COMPUTED_VALUE"""),7.42)</f>
        <v>7.42</v>
      </c>
      <c r="C1341" s="1">
        <f ca="1">IFERROR(__xludf.DUMMYFUNCTION("""COMPUTED_VALUE"""),7.51)</f>
        <v>7.51</v>
      </c>
      <c r="D1341" s="1">
        <f ca="1">IFERROR(__xludf.DUMMYFUNCTION("""COMPUTED_VALUE"""),7.34)</f>
        <v>7.34</v>
      </c>
      <c r="E1341" s="1">
        <f ca="1">IFERROR(__xludf.DUMMYFUNCTION("""COMPUTED_VALUE"""),7.46)</f>
        <v>7.46</v>
      </c>
      <c r="F1341" s="1">
        <f ca="1">IFERROR(__xludf.DUMMYFUNCTION("""COMPUTED_VALUE"""),9479047)</f>
        <v>9479047</v>
      </c>
    </row>
    <row r="1342" spans="1:6" x14ac:dyDescent="0.35">
      <c r="A1342" s="2">
        <f ca="1">IFERROR(__xludf.DUMMYFUNCTION("""COMPUTED_VALUE"""),43951.6666666666)</f>
        <v>43951.666666666599</v>
      </c>
      <c r="B1342" s="1">
        <f ca="1">IFERROR(__xludf.DUMMYFUNCTION("""COMPUTED_VALUE"""),7.41)</f>
        <v>7.41</v>
      </c>
      <c r="C1342" s="1">
        <f ca="1">IFERROR(__xludf.DUMMYFUNCTION("""COMPUTED_VALUE"""),7.46)</f>
        <v>7.46</v>
      </c>
      <c r="D1342" s="1">
        <f ca="1">IFERROR(__xludf.DUMMYFUNCTION("""COMPUTED_VALUE"""),7.29)</f>
        <v>7.29</v>
      </c>
      <c r="E1342" s="1">
        <f ca="1">IFERROR(__xludf.DUMMYFUNCTION("""COMPUTED_VALUE"""),7.31)</f>
        <v>7.31</v>
      </c>
      <c r="F1342" s="1">
        <f ca="1">IFERROR(__xludf.DUMMYFUNCTION("""COMPUTED_VALUE"""),9397943)</f>
        <v>9397943</v>
      </c>
    </row>
    <row r="1343" spans="1:6" x14ac:dyDescent="0.35">
      <c r="A1343" s="2">
        <f ca="1">IFERROR(__xludf.DUMMYFUNCTION("""COMPUTED_VALUE"""),43952.6666666666)</f>
        <v>43952.666666666599</v>
      </c>
      <c r="B1343" s="1">
        <f ca="1">IFERROR(__xludf.DUMMYFUNCTION("""COMPUTED_VALUE"""),7.11)</f>
        <v>7.11</v>
      </c>
      <c r="C1343" s="1">
        <f ca="1">IFERROR(__xludf.DUMMYFUNCTION("""COMPUTED_VALUE"""),7.22)</f>
        <v>7.22</v>
      </c>
      <c r="D1343" s="1">
        <f ca="1">IFERROR(__xludf.DUMMYFUNCTION("""COMPUTED_VALUE"""),7.02)</f>
        <v>7.02</v>
      </c>
      <c r="E1343" s="1">
        <f ca="1">IFERROR(__xludf.DUMMYFUNCTION("""COMPUTED_VALUE"""),7.07)</f>
        <v>7.07</v>
      </c>
      <c r="F1343" s="1">
        <f ca="1">IFERROR(__xludf.DUMMYFUNCTION("""COMPUTED_VALUE"""),8552445)</f>
        <v>8552445</v>
      </c>
    </row>
    <row r="1344" spans="1:6" x14ac:dyDescent="0.35">
      <c r="A1344" s="2">
        <f ca="1">IFERROR(__xludf.DUMMYFUNCTION("""COMPUTED_VALUE"""),43955.6666666666)</f>
        <v>43955.666666666599</v>
      </c>
      <c r="B1344" s="1">
        <f ca="1">IFERROR(__xludf.DUMMYFUNCTION("""COMPUTED_VALUE"""),7.02)</f>
        <v>7.02</v>
      </c>
      <c r="C1344" s="1">
        <f ca="1">IFERROR(__xludf.DUMMYFUNCTION("""COMPUTED_VALUE"""),7.3)</f>
        <v>7.3</v>
      </c>
      <c r="D1344" s="1">
        <f ca="1">IFERROR(__xludf.DUMMYFUNCTION("""COMPUTED_VALUE"""),7.02)</f>
        <v>7.02</v>
      </c>
      <c r="E1344" s="1">
        <f ca="1">IFERROR(__xludf.DUMMYFUNCTION("""COMPUTED_VALUE"""),7.28)</f>
        <v>7.28</v>
      </c>
      <c r="F1344" s="1">
        <f ca="1">IFERROR(__xludf.DUMMYFUNCTION("""COMPUTED_VALUE"""),7938880)</f>
        <v>7938880</v>
      </c>
    </row>
    <row r="1345" spans="1:6" x14ac:dyDescent="0.35">
      <c r="A1345" s="2">
        <f ca="1">IFERROR(__xludf.DUMMYFUNCTION("""COMPUTED_VALUE"""),43956.6666666666)</f>
        <v>43956.666666666599</v>
      </c>
      <c r="B1345" s="1">
        <f ca="1">IFERROR(__xludf.DUMMYFUNCTION("""COMPUTED_VALUE"""),7.39)</f>
        <v>7.39</v>
      </c>
      <c r="C1345" s="1">
        <f ca="1">IFERROR(__xludf.DUMMYFUNCTION("""COMPUTED_VALUE"""),7.51)</f>
        <v>7.51</v>
      </c>
      <c r="D1345" s="1">
        <f ca="1">IFERROR(__xludf.DUMMYFUNCTION("""COMPUTED_VALUE"""),7.28)</f>
        <v>7.28</v>
      </c>
      <c r="E1345" s="1">
        <f ca="1">IFERROR(__xludf.DUMMYFUNCTION("""COMPUTED_VALUE"""),7.34)</f>
        <v>7.34</v>
      </c>
      <c r="F1345" s="1">
        <f ca="1">IFERROR(__xludf.DUMMYFUNCTION("""COMPUTED_VALUE"""),9222391)</f>
        <v>9222391</v>
      </c>
    </row>
    <row r="1346" spans="1:6" x14ac:dyDescent="0.35">
      <c r="A1346" s="2">
        <f ca="1">IFERROR(__xludf.DUMMYFUNCTION("""COMPUTED_VALUE"""),43957.6666666666)</f>
        <v>43957.666666666599</v>
      </c>
      <c r="B1346" s="1">
        <f ca="1">IFERROR(__xludf.DUMMYFUNCTION("""COMPUTED_VALUE"""),7.42)</f>
        <v>7.42</v>
      </c>
      <c r="C1346" s="1">
        <f ca="1">IFERROR(__xludf.DUMMYFUNCTION("""COMPUTED_VALUE"""),7.55)</f>
        <v>7.55</v>
      </c>
      <c r="D1346" s="1">
        <f ca="1">IFERROR(__xludf.DUMMYFUNCTION("""COMPUTED_VALUE"""),7.39)</f>
        <v>7.39</v>
      </c>
      <c r="E1346" s="1">
        <f ca="1">IFERROR(__xludf.DUMMYFUNCTION("""COMPUTED_VALUE"""),7.44)</f>
        <v>7.44</v>
      </c>
      <c r="F1346" s="1">
        <f ca="1">IFERROR(__xludf.DUMMYFUNCTION("""COMPUTED_VALUE"""),8086639)</f>
        <v>8086639</v>
      </c>
    </row>
    <row r="1347" spans="1:6" x14ac:dyDescent="0.35">
      <c r="A1347" s="2">
        <f ca="1">IFERROR(__xludf.DUMMYFUNCTION("""COMPUTED_VALUE"""),43958.6666666666)</f>
        <v>43958.666666666599</v>
      </c>
      <c r="B1347" s="1">
        <f ca="1">IFERROR(__xludf.DUMMYFUNCTION("""COMPUTED_VALUE"""),7.58)</f>
        <v>7.58</v>
      </c>
      <c r="C1347" s="1">
        <f ca="1">IFERROR(__xludf.DUMMYFUNCTION("""COMPUTED_VALUE"""),7.69)</f>
        <v>7.69</v>
      </c>
      <c r="D1347" s="1">
        <f ca="1">IFERROR(__xludf.DUMMYFUNCTION("""COMPUTED_VALUE"""),7.53)</f>
        <v>7.53</v>
      </c>
      <c r="E1347" s="1">
        <f ca="1">IFERROR(__xludf.DUMMYFUNCTION("""COMPUTED_VALUE"""),7.62)</f>
        <v>7.62</v>
      </c>
      <c r="F1347" s="1">
        <f ca="1">IFERROR(__xludf.DUMMYFUNCTION("""COMPUTED_VALUE"""),9343263)</f>
        <v>9343263</v>
      </c>
    </row>
    <row r="1348" spans="1:6" x14ac:dyDescent="0.35">
      <c r="A1348" s="2">
        <f ca="1">IFERROR(__xludf.DUMMYFUNCTION("""COMPUTED_VALUE"""),43959.6666666666)</f>
        <v>43959.666666666599</v>
      </c>
      <c r="B1348" s="1">
        <f ca="1">IFERROR(__xludf.DUMMYFUNCTION("""COMPUTED_VALUE"""),7.69)</f>
        <v>7.69</v>
      </c>
      <c r="C1348" s="1">
        <f ca="1">IFERROR(__xludf.DUMMYFUNCTION("""COMPUTED_VALUE"""),7.82)</f>
        <v>7.82</v>
      </c>
      <c r="D1348" s="1">
        <f ca="1">IFERROR(__xludf.DUMMYFUNCTION("""COMPUTED_VALUE"""),7.66)</f>
        <v>7.66</v>
      </c>
      <c r="E1348" s="1">
        <f ca="1">IFERROR(__xludf.DUMMYFUNCTION("""COMPUTED_VALUE"""),7.81)</f>
        <v>7.81</v>
      </c>
      <c r="F1348" s="1">
        <f ca="1">IFERROR(__xludf.DUMMYFUNCTION("""COMPUTED_VALUE"""),8497678)</f>
        <v>8497678</v>
      </c>
    </row>
    <row r="1349" spans="1:6" x14ac:dyDescent="0.35">
      <c r="A1349" s="2">
        <f ca="1">IFERROR(__xludf.DUMMYFUNCTION("""COMPUTED_VALUE"""),43962.6666666666)</f>
        <v>43962.666666666599</v>
      </c>
      <c r="B1349" s="1">
        <f ca="1">IFERROR(__xludf.DUMMYFUNCTION("""COMPUTED_VALUE"""),7.81)</f>
        <v>7.81</v>
      </c>
      <c r="C1349" s="1">
        <f ca="1">IFERROR(__xludf.DUMMYFUNCTION("""COMPUTED_VALUE"""),8.11)</f>
        <v>8.11</v>
      </c>
      <c r="D1349" s="1">
        <f ca="1">IFERROR(__xludf.DUMMYFUNCTION("""COMPUTED_VALUE"""),7.78)</f>
        <v>7.78</v>
      </c>
      <c r="E1349" s="1">
        <f ca="1">IFERROR(__xludf.DUMMYFUNCTION("""COMPUTED_VALUE"""),8.07)</f>
        <v>8.07</v>
      </c>
      <c r="F1349" s="1">
        <f ca="1">IFERROR(__xludf.DUMMYFUNCTION("""COMPUTED_VALUE"""),11726504)</f>
        <v>11726504</v>
      </c>
    </row>
    <row r="1350" spans="1:6" x14ac:dyDescent="0.35">
      <c r="A1350" s="2">
        <f ca="1">IFERROR(__xludf.DUMMYFUNCTION("""COMPUTED_VALUE"""),43963.6666666666)</f>
        <v>43963.666666666599</v>
      </c>
      <c r="B1350" s="1">
        <f ca="1">IFERROR(__xludf.DUMMYFUNCTION("""COMPUTED_VALUE"""),8.12)</f>
        <v>8.1199999999999992</v>
      </c>
      <c r="C1350" s="1">
        <f ca="1">IFERROR(__xludf.DUMMYFUNCTION("""COMPUTED_VALUE"""),8.17)</f>
        <v>8.17</v>
      </c>
      <c r="D1350" s="1">
        <f ca="1">IFERROR(__xludf.DUMMYFUNCTION("""COMPUTED_VALUE"""),7.79)</f>
        <v>7.79</v>
      </c>
      <c r="E1350" s="1">
        <f ca="1">IFERROR(__xludf.DUMMYFUNCTION("""COMPUTED_VALUE"""),7.8)</f>
        <v>7.8</v>
      </c>
      <c r="F1350" s="1">
        <f ca="1">IFERROR(__xludf.DUMMYFUNCTION("""COMPUTED_VALUE"""),12326482)</f>
        <v>12326482</v>
      </c>
    </row>
    <row r="1351" spans="1:6" x14ac:dyDescent="0.35">
      <c r="A1351" s="2">
        <f ca="1">IFERROR(__xludf.DUMMYFUNCTION("""COMPUTED_VALUE"""),43964.6666666666)</f>
        <v>43964.666666666599</v>
      </c>
      <c r="B1351" s="1">
        <f ca="1">IFERROR(__xludf.DUMMYFUNCTION("""COMPUTED_VALUE"""),7.92)</f>
        <v>7.92</v>
      </c>
      <c r="C1351" s="1">
        <f ca="1">IFERROR(__xludf.DUMMYFUNCTION("""COMPUTED_VALUE"""),8.08)</f>
        <v>8.08</v>
      </c>
      <c r="D1351" s="1">
        <f ca="1">IFERROR(__xludf.DUMMYFUNCTION("""COMPUTED_VALUE"""),7.59)</f>
        <v>7.59</v>
      </c>
      <c r="E1351" s="1">
        <f ca="1">IFERROR(__xludf.DUMMYFUNCTION("""COMPUTED_VALUE"""),7.78)</f>
        <v>7.78</v>
      </c>
      <c r="F1351" s="1">
        <f ca="1">IFERROR(__xludf.DUMMYFUNCTION("""COMPUTED_VALUE"""),15646252)</f>
        <v>15646252</v>
      </c>
    </row>
    <row r="1352" spans="1:6" x14ac:dyDescent="0.35">
      <c r="A1352" s="2">
        <f ca="1">IFERROR(__xludf.DUMMYFUNCTION("""COMPUTED_VALUE"""),43965.6666666666)</f>
        <v>43965.666666666599</v>
      </c>
      <c r="B1352" s="1">
        <f ca="1">IFERROR(__xludf.DUMMYFUNCTION("""COMPUTED_VALUE"""),7.84)</f>
        <v>7.84</v>
      </c>
      <c r="C1352" s="1">
        <f ca="1">IFERROR(__xludf.DUMMYFUNCTION("""COMPUTED_VALUE"""),8.04)</f>
        <v>8.0399999999999991</v>
      </c>
      <c r="D1352" s="1">
        <f ca="1">IFERROR(__xludf.DUMMYFUNCTION("""COMPUTED_VALUE"""),7.69)</f>
        <v>7.69</v>
      </c>
      <c r="E1352" s="1">
        <f ca="1">IFERROR(__xludf.DUMMYFUNCTION("""COMPUTED_VALUE"""),8.03)</f>
        <v>8.0299999999999994</v>
      </c>
      <c r="F1352" s="1">
        <f ca="1">IFERROR(__xludf.DUMMYFUNCTION("""COMPUTED_VALUE"""),15057809)</f>
        <v>15057809</v>
      </c>
    </row>
    <row r="1353" spans="1:6" x14ac:dyDescent="0.35">
      <c r="A1353" s="2">
        <f ca="1">IFERROR(__xludf.DUMMYFUNCTION("""COMPUTED_VALUE"""),43966.6666666666)</f>
        <v>43966.666666666599</v>
      </c>
      <c r="B1353" s="1">
        <f ca="1">IFERROR(__xludf.DUMMYFUNCTION("""COMPUTED_VALUE"""),7.89)</f>
        <v>7.89</v>
      </c>
      <c r="C1353" s="1">
        <f ca="1">IFERROR(__xludf.DUMMYFUNCTION("""COMPUTED_VALUE"""),8.5)</f>
        <v>8.5</v>
      </c>
      <c r="D1353" s="1">
        <f ca="1">IFERROR(__xludf.DUMMYFUNCTION("""COMPUTED_VALUE"""),7.87)</f>
        <v>7.87</v>
      </c>
      <c r="E1353" s="1">
        <f ca="1">IFERROR(__xludf.DUMMYFUNCTION("""COMPUTED_VALUE"""),8.49)</f>
        <v>8.49</v>
      </c>
      <c r="F1353" s="1">
        <f ca="1">IFERROR(__xludf.DUMMYFUNCTION("""COMPUTED_VALUE"""),24691543)</f>
        <v>24691543</v>
      </c>
    </row>
    <row r="1354" spans="1:6" x14ac:dyDescent="0.35">
      <c r="A1354" s="2">
        <f ca="1">IFERROR(__xludf.DUMMYFUNCTION("""COMPUTED_VALUE"""),43969.6666666666)</f>
        <v>43969.666666666599</v>
      </c>
      <c r="B1354" s="1">
        <f ca="1">IFERROR(__xludf.DUMMYFUNCTION("""COMPUTED_VALUE"""),8.76)</f>
        <v>8.76</v>
      </c>
      <c r="C1354" s="1">
        <f ca="1">IFERROR(__xludf.DUMMYFUNCTION("""COMPUTED_VALUE"""),8.92)</f>
        <v>8.92</v>
      </c>
      <c r="D1354" s="1">
        <f ca="1">IFERROR(__xludf.DUMMYFUNCTION("""COMPUTED_VALUE"""),8.68)</f>
        <v>8.68</v>
      </c>
      <c r="E1354" s="1">
        <f ca="1">IFERROR(__xludf.DUMMYFUNCTION("""COMPUTED_VALUE"""),8.75)</f>
        <v>8.75</v>
      </c>
      <c r="F1354" s="1">
        <f ca="1">IFERROR(__xludf.DUMMYFUNCTION("""COMPUTED_VALUE"""),19410086)</f>
        <v>19410086</v>
      </c>
    </row>
    <row r="1355" spans="1:6" x14ac:dyDescent="0.35">
      <c r="A1355" s="2">
        <f ca="1">IFERROR(__xludf.DUMMYFUNCTION("""COMPUTED_VALUE"""),43970.6666666666)</f>
        <v>43970.666666666599</v>
      </c>
      <c r="B1355" s="1">
        <f ca="1">IFERROR(__xludf.DUMMYFUNCTION("""COMPUTED_VALUE"""),8.79)</f>
        <v>8.7899999999999991</v>
      </c>
      <c r="C1355" s="1">
        <f ca="1">IFERROR(__xludf.DUMMYFUNCTION("""COMPUTED_VALUE"""),9.09)</f>
        <v>9.09</v>
      </c>
      <c r="D1355" s="1">
        <f ca="1">IFERROR(__xludf.DUMMYFUNCTION("""COMPUTED_VALUE"""),8.76)</f>
        <v>8.76</v>
      </c>
      <c r="E1355" s="1">
        <f ca="1">IFERROR(__xludf.DUMMYFUNCTION("""COMPUTED_VALUE"""),8.81)</f>
        <v>8.81</v>
      </c>
      <c r="F1355" s="1">
        <f ca="1">IFERROR(__xludf.DUMMYFUNCTION("""COMPUTED_VALUE"""),17933049)</f>
        <v>17933049</v>
      </c>
    </row>
    <row r="1356" spans="1:6" x14ac:dyDescent="0.35">
      <c r="A1356" s="2">
        <f ca="1">IFERROR(__xludf.DUMMYFUNCTION("""COMPUTED_VALUE"""),43971.6666666666)</f>
        <v>43971.666666666599</v>
      </c>
      <c r="B1356" s="1">
        <f ca="1">IFERROR(__xludf.DUMMYFUNCTION("""COMPUTED_VALUE"""),8.99)</f>
        <v>8.99</v>
      </c>
      <c r="C1356" s="1">
        <f ca="1">IFERROR(__xludf.DUMMYFUNCTION("""COMPUTED_VALUE"""),9.04)</f>
        <v>9.0399999999999991</v>
      </c>
      <c r="D1356" s="1">
        <f ca="1">IFERROR(__xludf.DUMMYFUNCTION("""COMPUTED_VALUE"""),8.89)</f>
        <v>8.89</v>
      </c>
      <c r="E1356" s="1">
        <f ca="1">IFERROR(__xludf.DUMMYFUNCTION("""COMPUTED_VALUE"""),8.97)</f>
        <v>8.9700000000000006</v>
      </c>
      <c r="F1356" s="1">
        <f ca="1">IFERROR(__xludf.DUMMYFUNCTION("""COMPUTED_VALUE"""),14688405)</f>
        <v>14688405</v>
      </c>
    </row>
    <row r="1357" spans="1:6" x14ac:dyDescent="0.35">
      <c r="A1357" s="2">
        <f ca="1">IFERROR(__xludf.DUMMYFUNCTION("""COMPUTED_VALUE"""),43972.6666666666)</f>
        <v>43972.666666666599</v>
      </c>
      <c r="B1357" s="1">
        <f ca="1">IFERROR(__xludf.DUMMYFUNCTION("""COMPUTED_VALUE"""),9.05)</f>
        <v>9.0500000000000007</v>
      </c>
      <c r="C1357" s="1">
        <f ca="1">IFERROR(__xludf.DUMMYFUNCTION("""COMPUTED_VALUE"""),9.05)</f>
        <v>9.0500000000000007</v>
      </c>
      <c r="D1357" s="1">
        <f ca="1">IFERROR(__xludf.DUMMYFUNCTION("""COMPUTED_VALUE"""),8.74)</f>
        <v>8.74</v>
      </c>
      <c r="E1357" s="1">
        <f ca="1">IFERROR(__xludf.DUMMYFUNCTION("""COMPUTED_VALUE"""),8.78)</f>
        <v>8.7799999999999994</v>
      </c>
      <c r="F1357" s="1">
        <f ca="1">IFERROR(__xludf.DUMMYFUNCTION("""COMPUTED_VALUE"""),19026741)</f>
        <v>19026741</v>
      </c>
    </row>
    <row r="1358" spans="1:6" x14ac:dyDescent="0.35">
      <c r="A1358" s="2">
        <f ca="1">IFERROR(__xludf.DUMMYFUNCTION("""COMPUTED_VALUE"""),43973.6666666666)</f>
        <v>43973.666666666599</v>
      </c>
      <c r="B1358" s="1">
        <f ca="1">IFERROR(__xludf.DUMMYFUNCTION("""COMPUTED_VALUE"""),8.83)</f>
        <v>8.83</v>
      </c>
      <c r="C1358" s="1">
        <f ca="1">IFERROR(__xludf.DUMMYFUNCTION("""COMPUTED_VALUE"""),9.09)</f>
        <v>9.09</v>
      </c>
      <c r="D1358" s="1">
        <f ca="1">IFERROR(__xludf.DUMMYFUNCTION("""COMPUTED_VALUE"""),8.71)</f>
        <v>8.7100000000000009</v>
      </c>
      <c r="E1358" s="1">
        <f ca="1">IFERROR(__xludf.DUMMYFUNCTION("""COMPUTED_VALUE"""),9.03)</f>
        <v>9.0299999999999994</v>
      </c>
      <c r="F1358" s="1">
        <f ca="1">IFERROR(__xludf.DUMMYFUNCTION("""COMPUTED_VALUE"""),25969125)</f>
        <v>25969125</v>
      </c>
    </row>
    <row r="1359" spans="1:6" x14ac:dyDescent="0.35">
      <c r="A1359" s="2">
        <f ca="1">IFERROR(__xludf.DUMMYFUNCTION("""COMPUTED_VALUE"""),43977.6666666666)</f>
        <v>43977.666666666599</v>
      </c>
      <c r="B1359" s="1">
        <f ca="1">IFERROR(__xludf.DUMMYFUNCTION("""COMPUTED_VALUE"""),9.16)</f>
        <v>9.16</v>
      </c>
      <c r="C1359" s="1">
        <f ca="1">IFERROR(__xludf.DUMMYFUNCTION("""COMPUTED_VALUE"""),9.18)</f>
        <v>9.18</v>
      </c>
      <c r="D1359" s="1">
        <f ca="1">IFERROR(__xludf.DUMMYFUNCTION("""COMPUTED_VALUE"""),8.67)</f>
        <v>8.67</v>
      </c>
      <c r="E1359" s="1">
        <f ca="1">IFERROR(__xludf.DUMMYFUNCTION("""COMPUTED_VALUE"""),8.72)</f>
        <v>8.7200000000000006</v>
      </c>
      <c r="F1359" s="1">
        <f ca="1">IFERROR(__xludf.DUMMYFUNCTION("""COMPUTED_VALUE"""),19269476)</f>
        <v>19269476</v>
      </c>
    </row>
    <row r="1360" spans="1:6" x14ac:dyDescent="0.35">
      <c r="A1360" s="2">
        <f ca="1">IFERROR(__xludf.DUMMYFUNCTION("""COMPUTED_VALUE"""),43978.6666666666)</f>
        <v>43978.666666666599</v>
      </c>
      <c r="B1360" s="1">
        <f ca="1">IFERROR(__xludf.DUMMYFUNCTION("""COMPUTED_VALUE"""),8.63)</f>
        <v>8.6300000000000008</v>
      </c>
      <c r="C1360" s="1">
        <f ca="1">IFERROR(__xludf.DUMMYFUNCTION("""COMPUTED_VALUE"""),8.63)</f>
        <v>8.6300000000000008</v>
      </c>
      <c r="D1360" s="1">
        <f ca="1">IFERROR(__xludf.DUMMYFUNCTION("""COMPUTED_VALUE"""),8)</f>
        <v>8</v>
      </c>
      <c r="E1360" s="1">
        <f ca="1">IFERROR(__xludf.DUMMYFUNCTION("""COMPUTED_VALUE"""),8.53)</f>
        <v>8.5299999999999994</v>
      </c>
      <c r="F1360" s="1">
        <f ca="1">IFERROR(__xludf.DUMMYFUNCTION("""COMPUTED_VALUE"""),29397306)</f>
        <v>29397306</v>
      </c>
    </row>
    <row r="1361" spans="1:6" x14ac:dyDescent="0.35">
      <c r="A1361" s="2">
        <f ca="1">IFERROR(__xludf.DUMMYFUNCTION("""COMPUTED_VALUE"""),43979.6666666666)</f>
        <v>43979.666666666599</v>
      </c>
      <c r="B1361" s="1">
        <f ca="1">IFERROR(__xludf.DUMMYFUNCTION("""COMPUTED_VALUE"""),8.41)</f>
        <v>8.41</v>
      </c>
      <c r="C1361" s="1">
        <f ca="1">IFERROR(__xludf.DUMMYFUNCTION("""COMPUTED_VALUE"""),8.76)</f>
        <v>8.76</v>
      </c>
      <c r="D1361" s="1">
        <f ca="1">IFERROR(__xludf.DUMMYFUNCTION("""COMPUTED_VALUE"""),8.38)</f>
        <v>8.3800000000000008</v>
      </c>
      <c r="E1361" s="1">
        <f ca="1">IFERROR(__xludf.DUMMYFUNCTION("""COMPUTED_VALUE"""),8.49)</f>
        <v>8.49</v>
      </c>
      <c r="F1361" s="1">
        <f ca="1">IFERROR(__xludf.DUMMYFUNCTION("""COMPUTED_VALUE"""),18403204)</f>
        <v>18403204</v>
      </c>
    </row>
    <row r="1362" spans="1:6" x14ac:dyDescent="0.35">
      <c r="A1362" s="2">
        <f ca="1">IFERROR(__xludf.DUMMYFUNCTION("""COMPUTED_VALUE"""),43980.6666666666)</f>
        <v>43980.666666666599</v>
      </c>
      <c r="B1362" s="1">
        <f ca="1">IFERROR(__xludf.DUMMYFUNCTION("""COMPUTED_VALUE"""),8.55)</f>
        <v>8.5500000000000007</v>
      </c>
      <c r="C1362" s="1">
        <f ca="1">IFERROR(__xludf.DUMMYFUNCTION("""COMPUTED_VALUE"""),8.88)</f>
        <v>8.8800000000000008</v>
      </c>
      <c r="D1362" s="1">
        <f ca="1">IFERROR(__xludf.DUMMYFUNCTION("""COMPUTED_VALUE"""),8.49)</f>
        <v>8.49</v>
      </c>
      <c r="E1362" s="1">
        <f ca="1">IFERROR(__xludf.DUMMYFUNCTION("""COMPUTED_VALUE"""),8.88)</f>
        <v>8.8800000000000008</v>
      </c>
      <c r="F1362" s="1">
        <f ca="1">IFERROR(__xludf.DUMMYFUNCTION("""COMPUTED_VALUE"""),18647994)</f>
        <v>18647994</v>
      </c>
    </row>
    <row r="1363" spans="1:6" x14ac:dyDescent="0.35">
      <c r="A1363" s="2">
        <f ca="1">IFERROR(__xludf.DUMMYFUNCTION("""COMPUTED_VALUE"""),43983.6666666666)</f>
        <v>43983.666666666599</v>
      </c>
      <c r="B1363" s="1">
        <f ca="1">IFERROR(__xludf.DUMMYFUNCTION("""COMPUTED_VALUE"""),8.83)</f>
        <v>8.83</v>
      </c>
      <c r="C1363" s="1">
        <f ca="1">IFERROR(__xludf.DUMMYFUNCTION("""COMPUTED_VALUE"""),8.84)</f>
        <v>8.84</v>
      </c>
      <c r="D1363" s="1">
        <f ca="1">IFERROR(__xludf.DUMMYFUNCTION("""COMPUTED_VALUE"""),8.69)</f>
        <v>8.69</v>
      </c>
      <c r="E1363" s="1">
        <f ca="1">IFERROR(__xludf.DUMMYFUNCTION("""COMPUTED_VALUE"""),8.81)</f>
        <v>8.81</v>
      </c>
      <c r="F1363" s="1">
        <f ca="1">IFERROR(__xludf.DUMMYFUNCTION("""COMPUTED_VALUE"""),9762775)</f>
        <v>9762775</v>
      </c>
    </row>
    <row r="1364" spans="1:6" x14ac:dyDescent="0.35">
      <c r="A1364" s="2">
        <f ca="1">IFERROR(__xludf.DUMMYFUNCTION("""COMPUTED_VALUE"""),43984.6666666666)</f>
        <v>43984.666666666599</v>
      </c>
      <c r="B1364" s="1">
        <f ca="1">IFERROR(__xludf.DUMMYFUNCTION("""COMPUTED_VALUE"""),8.8)</f>
        <v>8.8000000000000007</v>
      </c>
      <c r="C1364" s="1">
        <f ca="1">IFERROR(__xludf.DUMMYFUNCTION("""COMPUTED_VALUE"""),8.84)</f>
        <v>8.84</v>
      </c>
      <c r="D1364" s="1">
        <f ca="1">IFERROR(__xludf.DUMMYFUNCTION("""COMPUTED_VALUE"""),8.66)</f>
        <v>8.66</v>
      </c>
      <c r="E1364" s="1">
        <f ca="1">IFERROR(__xludf.DUMMYFUNCTION("""COMPUTED_VALUE"""),8.83)</f>
        <v>8.83</v>
      </c>
      <c r="F1364" s="1">
        <f ca="1">IFERROR(__xludf.DUMMYFUNCTION("""COMPUTED_VALUE"""),9783014)</f>
        <v>9783014</v>
      </c>
    </row>
    <row r="1365" spans="1:6" x14ac:dyDescent="0.35">
      <c r="A1365" s="2">
        <f ca="1">IFERROR(__xludf.DUMMYFUNCTION("""COMPUTED_VALUE"""),43985.6666666666)</f>
        <v>43985.666666666599</v>
      </c>
      <c r="B1365" s="1">
        <f ca="1">IFERROR(__xludf.DUMMYFUNCTION("""COMPUTED_VALUE"""),8.82)</f>
        <v>8.82</v>
      </c>
      <c r="C1365" s="1">
        <f ca="1">IFERROR(__xludf.DUMMYFUNCTION("""COMPUTED_VALUE"""),8.87)</f>
        <v>8.8699999999999992</v>
      </c>
      <c r="D1365" s="1">
        <f ca="1">IFERROR(__xludf.DUMMYFUNCTION("""COMPUTED_VALUE"""),8.7)</f>
        <v>8.6999999999999993</v>
      </c>
      <c r="E1365" s="1">
        <f ca="1">IFERROR(__xludf.DUMMYFUNCTION("""COMPUTED_VALUE"""),8.77)</f>
        <v>8.77</v>
      </c>
      <c r="F1365" s="1">
        <f ca="1">IFERROR(__xludf.DUMMYFUNCTION("""COMPUTED_VALUE"""),9135972)</f>
        <v>9135972</v>
      </c>
    </row>
    <row r="1366" spans="1:6" x14ac:dyDescent="0.35">
      <c r="A1366" s="2">
        <f ca="1">IFERROR(__xludf.DUMMYFUNCTION("""COMPUTED_VALUE"""),43986.6666666666)</f>
        <v>43986.666666666599</v>
      </c>
      <c r="B1366" s="1">
        <f ca="1">IFERROR(__xludf.DUMMYFUNCTION("""COMPUTED_VALUE"""),8.73)</f>
        <v>8.73</v>
      </c>
      <c r="C1366" s="1">
        <f ca="1">IFERROR(__xludf.DUMMYFUNCTION("""COMPUTED_VALUE"""),8.94)</f>
        <v>8.94</v>
      </c>
      <c r="D1366" s="1">
        <f ca="1">IFERROR(__xludf.DUMMYFUNCTION("""COMPUTED_VALUE"""),8.68)</f>
        <v>8.68</v>
      </c>
      <c r="E1366" s="1">
        <f ca="1">IFERROR(__xludf.DUMMYFUNCTION("""COMPUTED_VALUE"""),8.77)</f>
        <v>8.77</v>
      </c>
      <c r="F1366" s="1">
        <f ca="1">IFERROR(__xludf.DUMMYFUNCTION("""COMPUTED_VALUE"""),10606960)</f>
        <v>10606960</v>
      </c>
    </row>
    <row r="1367" spans="1:6" x14ac:dyDescent="0.35">
      <c r="A1367" s="2">
        <f ca="1">IFERROR(__xludf.DUMMYFUNCTION("""COMPUTED_VALUE"""),43987.6666666666)</f>
        <v>43987.666666666599</v>
      </c>
      <c r="B1367" s="1">
        <f ca="1">IFERROR(__xludf.DUMMYFUNCTION("""COMPUTED_VALUE"""),8.79)</f>
        <v>8.7899999999999991</v>
      </c>
      <c r="C1367" s="1">
        <f ca="1">IFERROR(__xludf.DUMMYFUNCTION("""COMPUTED_VALUE"""),9)</f>
        <v>9</v>
      </c>
      <c r="D1367" s="1">
        <f ca="1">IFERROR(__xludf.DUMMYFUNCTION("""COMPUTED_VALUE"""),8.71)</f>
        <v>8.7100000000000009</v>
      </c>
      <c r="E1367" s="1">
        <f ca="1">IFERROR(__xludf.DUMMYFUNCTION("""COMPUTED_VALUE"""),8.92)</f>
        <v>8.92</v>
      </c>
      <c r="F1367" s="1">
        <f ca="1">IFERROR(__xludf.DUMMYFUNCTION("""COMPUTED_VALUE"""),12043651)</f>
        <v>12043651</v>
      </c>
    </row>
    <row r="1368" spans="1:6" x14ac:dyDescent="0.35">
      <c r="A1368" s="2">
        <f ca="1">IFERROR(__xludf.DUMMYFUNCTION("""COMPUTED_VALUE"""),43990.6666666666)</f>
        <v>43990.666666666599</v>
      </c>
      <c r="B1368" s="1">
        <f ca="1">IFERROR(__xludf.DUMMYFUNCTION("""COMPUTED_VALUE"""),8.88)</f>
        <v>8.8800000000000008</v>
      </c>
      <c r="C1368" s="1">
        <f ca="1">IFERROR(__xludf.DUMMYFUNCTION("""COMPUTED_VALUE"""),8.89)</f>
        <v>8.89</v>
      </c>
      <c r="D1368" s="1">
        <f ca="1">IFERROR(__xludf.DUMMYFUNCTION("""COMPUTED_VALUE"""),8.69)</f>
        <v>8.69</v>
      </c>
      <c r="E1368" s="1">
        <f ca="1">IFERROR(__xludf.DUMMYFUNCTION("""COMPUTED_VALUE"""),8.81)</f>
        <v>8.81</v>
      </c>
      <c r="F1368" s="1">
        <f ca="1">IFERROR(__xludf.DUMMYFUNCTION("""COMPUTED_VALUE"""),9693431)</f>
        <v>9693431</v>
      </c>
    </row>
    <row r="1369" spans="1:6" x14ac:dyDescent="0.35">
      <c r="A1369" s="2">
        <f ca="1">IFERROR(__xludf.DUMMYFUNCTION("""COMPUTED_VALUE"""),43991.6666666666)</f>
        <v>43991.666666666599</v>
      </c>
      <c r="B1369" s="1">
        <f ca="1">IFERROR(__xludf.DUMMYFUNCTION("""COMPUTED_VALUE"""),8.8)</f>
        <v>8.8000000000000007</v>
      </c>
      <c r="C1369" s="1">
        <f ca="1">IFERROR(__xludf.DUMMYFUNCTION("""COMPUTED_VALUE"""),9.11)</f>
        <v>9.11</v>
      </c>
      <c r="D1369" s="1">
        <f ca="1">IFERROR(__xludf.DUMMYFUNCTION("""COMPUTED_VALUE"""),8.75)</f>
        <v>8.75</v>
      </c>
      <c r="E1369" s="1">
        <f ca="1">IFERROR(__xludf.DUMMYFUNCTION("""COMPUTED_VALUE"""),9.05)</f>
        <v>9.0500000000000007</v>
      </c>
      <c r="F1369" s="1">
        <f ca="1">IFERROR(__xludf.DUMMYFUNCTION("""COMPUTED_VALUE"""),11712221)</f>
        <v>11712221</v>
      </c>
    </row>
    <row r="1370" spans="1:6" x14ac:dyDescent="0.35">
      <c r="A1370" s="2">
        <f ca="1">IFERROR(__xludf.DUMMYFUNCTION("""COMPUTED_VALUE"""),43992.6666666666)</f>
        <v>43992.666666666599</v>
      </c>
      <c r="B1370" s="1">
        <f ca="1">IFERROR(__xludf.DUMMYFUNCTION("""COMPUTED_VALUE"""),9.17)</f>
        <v>9.17</v>
      </c>
      <c r="C1370" s="1">
        <f ca="1">IFERROR(__xludf.DUMMYFUNCTION("""COMPUTED_VALUE"""),9.5)</f>
        <v>9.5</v>
      </c>
      <c r="D1370" s="1">
        <f ca="1">IFERROR(__xludf.DUMMYFUNCTION("""COMPUTED_VALUE"""),9.15)</f>
        <v>9.15</v>
      </c>
      <c r="E1370" s="1">
        <f ca="1">IFERROR(__xludf.DUMMYFUNCTION("""COMPUTED_VALUE"""),9.37)</f>
        <v>9.3699999999999992</v>
      </c>
      <c r="F1370" s="1">
        <f ca="1">IFERROR(__xludf.DUMMYFUNCTION("""COMPUTED_VALUE"""),15804537)</f>
        <v>15804537</v>
      </c>
    </row>
    <row r="1371" spans="1:6" x14ac:dyDescent="0.35">
      <c r="A1371" s="2">
        <f ca="1">IFERROR(__xludf.DUMMYFUNCTION("""COMPUTED_VALUE"""),43993.6666666666)</f>
        <v>43993.666666666599</v>
      </c>
      <c r="B1371" s="1">
        <f ca="1">IFERROR(__xludf.DUMMYFUNCTION("""COMPUTED_VALUE"""),9.15)</f>
        <v>9.15</v>
      </c>
      <c r="C1371" s="1">
        <f ca="1">IFERROR(__xludf.DUMMYFUNCTION("""COMPUTED_VALUE"""),9.26)</f>
        <v>9.26</v>
      </c>
      <c r="D1371" s="1">
        <f ca="1">IFERROR(__xludf.DUMMYFUNCTION("""COMPUTED_VALUE"""),8.79)</f>
        <v>8.7899999999999991</v>
      </c>
      <c r="E1371" s="1">
        <f ca="1">IFERROR(__xludf.DUMMYFUNCTION("""COMPUTED_VALUE"""),8.8)</f>
        <v>8.8000000000000007</v>
      </c>
      <c r="F1371" s="1">
        <f ca="1">IFERROR(__xludf.DUMMYFUNCTION("""COMPUTED_VALUE"""),14591256)</f>
        <v>14591256</v>
      </c>
    </row>
    <row r="1372" spans="1:6" x14ac:dyDescent="0.35">
      <c r="A1372" s="2">
        <f ca="1">IFERROR(__xludf.DUMMYFUNCTION("""COMPUTED_VALUE"""),43994.6666666666)</f>
        <v>43994.666666666599</v>
      </c>
      <c r="B1372" s="1">
        <f ca="1">IFERROR(__xludf.DUMMYFUNCTION("""COMPUTED_VALUE"""),9.16)</f>
        <v>9.16</v>
      </c>
      <c r="C1372" s="1">
        <f ca="1">IFERROR(__xludf.DUMMYFUNCTION("""COMPUTED_VALUE"""),9.19)</f>
        <v>9.19</v>
      </c>
      <c r="D1372" s="1">
        <f ca="1">IFERROR(__xludf.DUMMYFUNCTION("""COMPUTED_VALUE"""),8.7)</f>
        <v>8.6999999999999993</v>
      </c>
      <c r="E1372" s="1">
        <f ca="1">IFERROR(__xludf.DUMMYFUNCTION("""COMPUTED_VALUE"""),8.93)</f>
        <v>8.93</v>
      </c>
      <c r="F1372" s="1">
        <f ca="1">IFERROR(__xludf.DUMMYFUNCTION("""COMPUTED_VALUE"""),14272704)</f>
        <v>14272704</v>
      </c>
    </row>
    <row r="1373" spans="1:6" x14ac:dyDescent="0.35">
      <c r="A1373" s="2">
        <f ca="1">IFERROR(__xludf.DUMMYFUNCTION("""COMPUTED_VALUE"""),43997.6666666666)</f>
        <v>43997.666666666599</v>
      </c>
      <c r="B1373" s="1">
        <f ca="1">IFERROR(__xludf.DUMMYFUNCTION("""COMPUTED_VALUE"""),8.82)</f>
        <v>8.82</v>
      </c>
      <c r="C1373" s="1">
        <f ca="1">IFERROR(__xludf.DUMMYFUNCTION("""COMPUTED_VALUE"""),9.18)</f>
        <v>9.18</v>
      </c>
      <c r="D1373" s="1">
        <f ca="1">IFERROR(__xludf.DUMMYFUNCTION("""COMPUTED_VALUE"""),8.74)</f>
        <v>8.74</v>
      </c>
      <c r="E1373" s="1">
        <f ca="1">IFERROR(__xludf.DUMMYFUNCTION("""COMPUTED_VALUE"""),9.17)</f>
        <v>9.17</v>
      </c>
      <c r="F1373" s="1">
        <f ca="1">IFERROR(__xludf.DUMMYFUNCTION("""COMPUTED_VALUE"""),10000054)</f>
        <v>10000054</v>
      </c>
    </row>
    <row r="1374" spans="1:6" x14ac:dyDescent="0.35">
      <c r="A1374" s="2">
        <f ca="1">IFERROR(__xludf.DUMMYFUNCTION("""COMPUTED_VALUE"""),43998.6666666666)</f>
        <v>43998.666666666599</v>
      </c>
      <c r="B1374" s="1">
        <f ca="1">IFERROR(__xludf.DUMMYFUNCTION("""COMPUTED_VALUE"""),9.23)</f>
        <v>9.23</v>
      </c>
      <c r="C1374" s="1">
        <f ca="1">IFERROR(__xludf.DUMMYFUNCTION("""COMPUTED_VALUE"""),9.27)</f>
        <v>9.27</v>
      </c>
      <c r="D1374" s="1">
        <f ca="1">IFERROR(__xludf.DUMMYFUNCTION("""COMPUTED_VALUE"""),8.84)</f>
        <v>8.84</v>
      </c>
      <c r="E1374" s="1">
        <f ca="1">IFERROR(__xludf.DUMMYFUNCTION("""COMPUTED_VALUE"""),9.07)</f>
        <v>9.07</v>
      </c>
      <c r="F1374" s="1">
        <f ca="1">IFERROR(__xludf.DUMMYFUNCTION("""COMPUTED_VALUE"""),13392875)</f>
        <v>13392875</v>
      </c>
    </row>
    <row r="1375" spans="1:6" x14ac:dyDescent="0.35">
      <c r="A1375" s="2">
        <f ca="1">IFERROR(__xludf.DUMMYFUNCTION("""COMPUTED_VALUE"""),43999.6666666666)</f>
        <v>43999.666666666599</v>
      </c>
      <c r="B1375" s="1">
        <f ca="1">IFERROR(__xludf.DUMMYFUNCTION("""COMPUTED_VALUE"""),9.11)</f>
        <v>9.11</v>
      </c>
      <c r="C1375" s="1">
        <f ca="1">IFERROR(__xludf.DUMMYFUNCTION("""COMPUTED_VALUE"""),9.3)</f>
        <v>9.3000000000000007</v>
      </c>
      <c r="D1375" s="1">
        <f ca="1">IFERROR(__xludf.DUMMYFUNCTION("""COMPUTED_VALUE"""),9.07)</f>
        <v>9.07</v>
      </c>
      <c r="E1375" s="1">
        <f ca="1">IFERROR(__xludf.DUMMYFUNCTION("""COMPUTED_VALUE"""),9.24)</f>
        <v>9.24</v>
      </c>
      <c r="F1375" s="1">
        <f ca="1">IFERROR(__xludf.DUMMYFUNCTION("""COMPUTED_VALUE"""),10207641)</f>
        <v>10207641</v>
      </c>
    </row>
    <row r="1376" spans="1:6" x14ac:dyDescent="0.35">
      <c r="A1376" s="2">
        <f ca="1">IFERROR(__xludf.DUMMYFUNCTION("""COMPUTED_VALUE"""),44000.6666666666)</f>
        <v>44000.666666666599</v>
      </c>
      <c r="B1376" s="1">
        <f ca="1">IFERROR(__xludf.DUMMYFUNCTION("""COMPUTED_VALUE"""),9.23)</f>
        <v>9.23</v>
      </c>
      <c r="C1376" s="1">
        <f ca="1">IFERROR(__xludf.DUMMYFUNCTION("""COMPUTED_VALUE"""),9.28)</f>
        <v>9.2799999999999994</v>
      </c>
      <c r="D1376" s="1">
        <f ca="1">IFERROR(__xludf.DUMMYFUNCTION("""COMPUTED_VALUE"""),9.11)</f>
        <v>9.11</v>
      </c>
      <c r="E1376" s="1">
        <f ca="1">IFERROR(__xludf.DUMMYFUNCTION("""COMPUTED_VALUE"""),9.22)</f>
        <v>9.2200000000000006</v>
      </c>
      <c r="F1376" s="1">
        <f ca="1">IFERROR(__xludf.DUMMYFUNCTION("""COMPUTED_VALUE"""),6360238)</f>
        <v>6360238</v>
      </c>
    </row>
    <row r="1377" spans="1:6" x14ac:dyDescent="0.35">
      <c r="A1377" s="2">
        <f ca="1">IFERROR(__xludf.DUMMYFUNCTION("""COMPUTED_VALUE"""),44001.6666666666)</f>
        <v>44001.666666666599</v>
      </c>
      <c r="B1377" s="1">
        <f ca="1">IFERROR(__xludf.DUMMYFUNCTION("""COMPUTED_VALUE"""),9.24)</f>
        <v>9.24</v>
      </c>
      <c r="C1377" s="1">
        <f ca="1">IFERROR(__xludf.DUMMYFUNCTION("""COMPUTED_VALUE"""),9.45)</f>
        <v>9.4499999999999993</v>
      </c>
      <c r="D1377" s="1">
        <f ca="1">IFERROR(__xludf.DUMMYFUNCTION("""COMPUTED_VALUE"""),9.23)</f>
        <v>9.23</v>
      </c>
      <c r="E1377" s="1">
        <f ca="1">IFERROR(__xludf.DUMMYFUNCTION("""COMPUTED_VALUE"""),9.26)</f>
        <v>9.26</v>
      </c>
      <c r="F1377" s="1">
        <f ca="1">IFERROR(__xludf.DUMMYFUNCTION("""COMPUTED_VALUE"""),13104013)</f>
        <v>13104013</v>
      </c>
    </row>
    <row r="1378" spans="1:6" x14ac:dyDescent="0.35">
      <c r="A1378" s="2">
        <f ca="1">IFERROR(__xludf.DUMMYFUNCTION("""COMPUTED_VALUE"""),44004.6666666666)</f>
        <v>44004.666666666599</v>
      </c>
      <c r="B1378" s="1">
        <f ca="1">IFERROR(__xludf.DUMMYFUNCTION("""COMPUTED_VALUE"""),9.3)</f>
        <v>9.3000000000000007</v>
      </c>
      <c r="C1378" s="1">
        <f ca="1">IFERROR(__xludf.DUMMYFUNCTION("""COMPUTED_VALUE"""),9.53)</f>
        <v>9.5299999999999994</v>
      </c>
      <c r="D1378" s="1">
        <f ca="1">IFERROR(__xludf.DUMMYFUNCTION("""COMPUTED_VALUE"""),9.27)</f>
        <v>9.27</v>
      </c>
      <c r="E1378" s="1">
        <f ca="1">IFERROR(__xludf.DUMMYFUNCTION("""COMPUTED_VALUE"""),9.53)</f>
        <v>9.5299999999999994</v>
      </c>
      <c r="F1378" s="1">
        <f ca="1">IFERROR(__xludf.DUMMYFUNCTION("""COMPUTED_VALUE"""),9961662)</f>
        <v>9961662</v>
      </c>
    </row>
    <row r="1379" spans="1:6" x14ac:dyDescent="0.35">
      <c r="A1379" s="2">
        <f ca="1">IFERROR(__xludf.DUMMYFUNCTION("""COMPUTED_VALUE"""),44005.6666666666)</f>
        <v>44005.666666666599</v>
      </c>
      <c r="B1379" s="1">
        <f ca="1">IFERROR(__xludf.DUMMYFUNCTION("""COMPUTED_VALUE"""),9.55)</f>
        <v>9.5500000000000007</v>
      </c>
      <c r="C1379" s="1">
        <f ca="1">IFERROR(__xludf.DUMMYFUNCTION("""COMPUTED_VALUE"""),9.64)</f>
        <v>9.64</v>
      </c>
      <c r="D1379" s="1">
        <f ca="1">IFERROR(__xludf.DUMMYFUNCTION("""COMPUTED_VALUE"""),9.41)</f>
        <v>9.41</v>
      </c>
      <c r="E1379" s="1">
        <f ca="1">IFERROR(__xludf.DUMMYFUNCTION("""COMPUTED_VALUE"""),9.45)</f>
        <v>9.4499999999999993</v>
      </c>
      <c r="F1379" s="1">
        <f ca="1">IFERROR(__xludf.DUMMYFUNCTION("""COMPUTED_VALUE"""),9377685)</f>
        <v>9377685</v>
      </c>
    </row>
    <row r="1380" spans="1:6" x14ac:dyDescent="0.35">
      <c r="A1380" s="2">
        <f ca="1">IFERROR(__xludf.DUMMYFUNCTION("""COMPUTED_VALUE"""),44006.6666666666)</f>
        <v>44006.666666666599</v>
      </c>
      <c r="B1380" s="1">
        <f ca="1">IFERROR(__xludf.DUMMYFUNCTION("""COMPUTED_VALUE"""),9.48)</f>
        <v>9.48</v>
      </c>
      <c r="C1380" s="1">
        <f ca="1">IFERROR(__xludf.DUMMYFUNCTION("""COMPUTED_VALUE"""),9.56)</f>
        <v>9.56</v>
      </c>
      <c r="D1380" s="1">
        <f ca="1">IFERROR(__xludf.DUMMYFUNCTION("""COMPUTED_VALUE"""),9.14)</f>
        <v>9.14</v>
      </c>
      <c r="E1380" s="1">
        <f ca="1">IFERROR(__xludf.DUMMYFUNCTION("""COMPUTED_VALUE"""),9.24)</f>
        <v>9.24</v>
      </c>
      <c r="F1380" s="1">
        <f ca="1">IFERROR(__xludf.DUMMYFUNCTION("""COMPUTED_VALUE"""),11234272)</f>
        <v>11234272</v>
      </c>
    </row>
    <row r="1381" spans="1:6" x14ac:dyDescent="0.35">
      <c r="A1381" s="2">
        <f ca="1">IFERROR(__xludf.DUMMYFUNCTION("""COMPUTED_VALUE"""),44007.6666666666)</f>
        <v>44007.666666666599</v>
      </c>
      <c r="B1381" s="1">
        <f ca="1">IFERROR(__xludf.DUMMYFUNCTION("""COMPUTED_VALUE"""),9.36)</f>
        <v>9.36</v>
      </c>
      <c r="C1381" s="1">
        <f ca="1">IFERROR(__xludf.DUMMYFUNCTION("""COMPUTED_VALUE"""),9.51)</f>
        <v>9.51</v>
      </c>
      <c r="D1381" s="1">
        <f ca="1">IFERROR(__xludf.DUMMYFUNCTION("""COMPUTED_VALUE"""),9.18)</f>
        <v>9.18</v>
      </c>
      <c r="E1381" s="1">
        <f ca="1">IFERROR(__xludf.DUMMYFUNCTION("""COMPUTED_VALUE"""),9.49)</f>
        <v>9.49</v>
      </c>
      <c r="F1381" s="1">
        <f ca="1">IFERROR(__xludf.DUMMYFUNCTION("""COMPUTED_VALUE"""),9401800)</f>
        <v>9401800</v>
      </c>
    </row>
    <row r="1382" spans="1:6" x14ac:dyDescent="0.35">
      <c r="A1382" s="2">
        <f ca="1">IFERROR(__xludf.DUMMYFUNCTION("""COMPUTED_VALUE"""),44008.6666666666)</f>
        <v>44008.666666666599</v>
      </c>
      <c r="B1382" s="1">
        <f ca="1">IFERROR(__xludf.DUMMYFUNCTION("""COMPUTED_VALUE"""),9.5)</f>
        <v>9.5</v>
      </c>
      <c r="C1382" s="1">
        <f ca="1">IFERROR(__xludf.DUMMYFUNCTION("""COMPUTED_VALUE"""),9.5)</f>
        <v>9.5</v>
      </c>
      <c r="D1382" s="1">
        <f ca="1">IFERROR(__xludf.DUMMYFUNCTION("""COMPUTED_VALUE"""),9.13)</f>
        <v>9.1300000000000008</v>
      </c>
      <c r="E1382" s="1">
        <f ca="1">IFERROR(__xludf.DUMMYFUNCTION("""COMPUTED_VALUE"""),9.15)</f>
        <v>9.15</v>
      </c>
      <c r="F1382" s="1">
        <f ca="1">IFERROR(__xludf.DUMMYFUNCTION("""COMPUTED_VALUE"""),14802144)</f>
        <v>14802144</v>
      </c>
    </row>
    <row r="1383" spans="1:6" x14ac:dyDescent="0.35">
      <c r="A1383" s="2">
        <f ca="1">IFERROR(__xludf.DUMMYFUNCTION("""COMPUTED_VALUE"""),44011.6666666666)</f>
        <v>44011.666666666599</v>
      </c>
      <c r="B1383" s="1">
        <f ca="1">IFERROR(__xludf.DUMMYFUNCTION("""COMPUTED_VALUE"""),9.17)</f>
        <v>9.17</v>
      </c>
      <c r="C1383" s="1">
        <f ca="1">IFERROR(__xludf.DUMMYFUNCTION("""COMPUTED_VALUE"""),9.2)</f>
        <v>9.1999999999999993</v>
      </c>
      <c r="D1383" s="1">
        <f ca="1">IFERROR(__xludf.DUMMYFUNCTION("""COMPUTED_VALUE"""),8.9)</f>
        <v>8.9</v>
      </c>
      <c r="E1383" s="1">
        <f ca="1">IFERROR(__xludf.DUMMYFUNCTION("""COMPUTED_VALUE"""),9.2)</f>
        <v>9.1999999999999993</v>
      </c>
      <c r="F1383" s="1">
        <f ca="1">IFERROR(__xludf.DUMMYFUNCTION("""COMPUTED_VALUE"""),8556203)</f>
        <v>8556203</v>
      </c>
    </row>
    <row r="1384" spans="1:6" x14ac:dyDescent="0.35">
      <c r="A1384" s="2">
        <f ca="1">IFERROR(__xludf.DUMMYFUNCTION("""COMPUTED_VALUE"""),44012.6666666666)</f>
        <v>44012.666666666599</v>
      </c>
      <c r="B1384" s="1">
        <f ca="1">IFERROR(__xludf.DUMMYFUNCTION("""COMPUTED_VALUE"""),9.31)</f>
        <v>9.31</v>
      </c>
      <c r="C1384" s="1">
        <f ca="1">IFERROR(__xludf.DUMMYFUNCTION("""COMPUTED_VALUE"""),9.53)</f>
        <v>9.5299999999999994</v>
      </c>
      <c r="D1384" s="1">
        <f ca="1">IFERROR(__xludf.DUMMYFUNCTION("""COMPUTED_VALUE"""),9.27)</f>
        <v>9.27</v>
      </c>
      <c r="E1384" s="1">
        <f ca="1">IFERROR(__xludf.DUMMYFUNCTION("""COMPUTED_VALUE"""),9.5)</f>
        <v>9.5</v>
      </c>
      <c r="F1384" s="1">
        <f ca="1">IFERROR(__xludf.DUMMYFUNCTION("""COMPUTED_VALUE"""),9197300)</f>
        <v>9197300</v>
      </c>
    </row>
    <row r="1385" spans="1:6" x14ac:dyDescent="0.35">
      <c r="A1385" s="2">
        <f ca="1">IFERROR(__xludf.DUMMYFUNCTION("""COMPUTED_VALUE"""),44013.6666666666)</f>
        <v>44013.666666666599</v>
      </c>
      <c r="B1385" s="1">
        <f ca="1">IFERROR(__xludf.DUMMYFUNCTION("""COMPUTED_VALUE"""),9.52)</f>
        <v>9.52</v>
      </c>
      <c r="C1385" s="1">
        <f ca="1">IFERROR(__xludf.DUMMYFUNCTION("""COMPUTED_VALUE"""),9.58)</f>
        <v>9.58</v>
      </c>
      <c r="D1385" s="1">
        <f ca="1">IFERROR(__xludf.DUMMYFUNCTION("""COMPUTED_VALUE"""),9.41)</f>
        <v>9.41</v>
      </c>
      <c r="E1385" s="1">
        <f ca="1">IFERROR(__xludf.DUMMYFUNCTION("""COMPUTED_VALUE"""),9.53)</f>
        <v>9.5299999999999994</v>
      </c>
      <c r="F1385" s="1">
        <f ca="1">IFERROR(__xludf.DUMMYFUNCTION("""COMPUTED_VALUE"""),8166170)</f>
        <v>8166170</v>
      </c>
    </row>
    <row r="1386" spans="1:6" x14ac:dyDescent="0.35">
      <c r="A1386" s="2">
        <f ca="1">IFERROR(__xludf.DUMMYFUNCTION("""COMPUTED_VALUE"""),44014.6666666666)</f>
        <v>44014.666666666599</v>
      </c>
      <c r="B1386" s="1">
        <f ca="1">IFERROR(__xludf.DUMMYFUNCTION("""COMPUTED_VALUE"""),9.64)</f>
        <v>9.64</v>
      </c>
      <c r="C1386" s="1">
        <f ca="1">IFERROR(__xludf.DUMMYFUNCTION("""COMPUTED_VALUE"""),9.74)</f>
        <v>9.74</v>
      </c>
      <c r="D1386" s="1">
        <f ca="1">IFERROR(__xludf.DUMMYFUNCTION("""COMPUTED_VALUE"""),9.58)</f>
        <v>9.58</v>
      </c>
      <c r="E1386" s="1">
        <f ca="1">IFERROR(__xludf.DUMMYFUNCTION("""COMPUTED_VALUE"""),9.61)</f>
        <v>9.61</v>
      </c>
      <c r="F1386" s="1">
        <f ca="1">IFERROR(__xludf.DUMMYFUNCTION("""COMPUTED_VALUE"""),9101352)</f>
        <v>9101352</v>
      </c>
    </row>
    <row r="1387" spans="1:6" x14ac:dyDescent="0.35">
      <c r="A1387" s="2">
        <f ca="1">IFERROR(__xludf.DUMMYFUNCTION("""COMPUTED_VALUE"""),44018.6666666666)</f>
        <v>44018.666666666599</v>
      </c>
      <c r="B1387" s="1">
        <f ca="1">IFERROR(__xludf.DUMMYFUNCTION("""COMPUTED_VALUE"""),9.74)</f>
        <v>9.74</v>
      </c>
      <c r="C1387" s="1">
        <f ca="1">IFERROR(__xludf.DUMMYFUNCTION("""COMPUTED_VALUE"""),9.91)</f>
        <v>9.91</v>
      </c>
      <c r="D1387" s="1">
        <f ca="1">IFERROR(__xludf.DUMMYFUNCTION("""COMPUTED_VALUE"""),9.71)</f>
        <v>9.7100000000000009</v>
      </c>
      <c r="E1387" s="1">
        <f ca="1">IFERROR(__xludf.DUMMYFUNCTION("""COMPUTED_VALUE"""),9.84)</f>
        <v>9.84</v>
      </c>
      <c r="F1387" s="1">
        <f ca="1">IFERROR(__xludf.DUMMYFUNCTION("""COMPUTED_VALUE"""),7897343)</f>
        <v>7897343</v>
      </c>
    </row>
    <row r="1388" spans="1:6" x14ac:dyDescent="0.35">
      <c r="A1388" s="2">
        <f ca="1">IFERROR(__xludf.DUMMYFUNCTION("""COMPUTED_VALUE"""),44019.6666666666)</f>
        <v>44019.666666666599</v>
      </c>
      <c r="B1388" s="1">
        <f ca="1">IFERROR(__xludf.DUMMYFUNCTION("""COMPUTED_VALUE"""),9.95)</f>
        <v>9.9499999999999993</v>
      </c>
      <c r="C1388" s="1">
        <f ca="1">IFERROR(__xludf.DUMMYFUNCTION("""COMPUTED_VALUE"""),10.07)</f>
        <v>10.07</v>
      </c>
      <c r="D1388" s="1">
        <f ca="1">IFERROR(__xludf.DUMMYFUNCTION("""COMPUTED_VALUE"""),9.85)</f>
        <v>9.85</v>
      </c>
      <c r="E1388" s="1">
        <f ca="1">IFERROR(__xludf.DUMMYFUNCTION("""COMPUTED_VALUE"""),9.87)</f>
        <v>9.8699999999999992</v>
      </c>
      <c r="F1388" s="1">
        <f ca="1">IFERROR(__xludf.DUMMYFUNCTION("""COMPUTED_VALUE"""),8944993)</f>
        <v>8944993</v>
      </c>
    </row>
    <row r="1389" spans="1:6" x14ac:dyDescent="0.35">
      <c r="A1389" s="2">
        <f ca="1">IFERROR(__xludf.DUMMYFUNCTION("""COMPUTED_VALUE"""),44020.6666666666)</f>
        <v>44020.666666666599</v>
      </c>
      <c r="B1389" s="1">
        <f ca="1">IFERROR(__xludf.DUMMYFUNCTION("""COMPUTED_VALUE"""),9.99)</f>
        <v>9.99</v>
      </c>
      <c r="C1389" s="1">
        <f ca="1">IFERROR(__xludf.DUMMYFUNCTION("""COMPUTED_VALUE"""),10.23)</f>
        <v>10.23</v>
      </c>
      <c r="D1389" s="1">
        <f ca="1">IFERROR(__xludf.DUMMYFUNCTION("""COMPUTED_VALUE"""),9.97)</f>
        <v>9.9700000000000006</v>
      </c>
      <c r="E1389" s="1">
        <f ca="1">IFERROR(__xludf.DUMMYFUNCTION("""COMPUTED_VALUE"""),10.22)</f>
        <v>10.220000000000001</v>
      </c>
      <c r="F1389" s="1">
        <f ca="1">IFERROR(__xludf.DUMMYFUNCTION("""COMPUTED_VALUE"""),9137013)</f>
        <v>9137013</v>
      </c>
    </row>
    <row r="1390" spans="1:6" x14ac:dyDescent="0.35">
      <c r="A1390" s="2">
        <f ca="1">IFERROR(__xludf.DUMMYFUNCTION("""COMPUTED_VALUE"""),44021.6666666666)</f>
        <v>44021.666666666599</v>
      </c>
      <c r="B1390" s="1">
        <f ca="1">IFERROR(__xludf.DUMMYFUNCTION("""COMPUTED_VALUE"""),10.38)</f>
        <v>10.38</v>
      </c>
      <c r="C1390" s="1">
        <f ca="1">IFERROR(__xludf.DUMMYFUNCTION("""COMPUTED_VALUE"""),10.57)</f>
        <v>10.57</v>
      </c>
      <c r="D1390" s="1">
        <f ca="1">IFERROR(__xludf.DUMMYFUNCTION("""COMPUTED_VALUE"""),10.23)</f>
        <v>10.23</v>
      </c>
      <c r="E1390" s="1">
        <f ca="1">IFERROR(__xludf.DUMMYFUNCTION("""COMPUTED_VALUE"""),10.51)</f>
        <v>10.51</v>
      </c>
      <c r="F1390" s="1">
        <f ca="1">IFERROR(__xludf.DUMMYFUNCTION("""COMPUTED_VALUE"""),12363680)</f>
        <v>12363680</v>
      </c>
    </row>
    <row r="1391" spans="1:6" x14ac:dyDescent="0.35">
      <c r="A1391" s="2">
        <f ca="1">IFERROR(__xludf.DUMMYFUNCTION("""COMPUTED_VALUE"""),44022.6666666666)</f>
        <v>44022.666666666599</v>
      </c>
      <c r="B1391" s="1">
        <f ca="1">IFERROR(__xludf.DUMMYFUNCTION("""COMPUTED_VALUE"""),10.59)</f>
        <v>10.59</v>
      </c>
      <c r="C1391" s="1">
        <f ca="1">IFERROR(__xludf.DUMMYFUNCTION("""COMPUTED_VALUE"""),10.66)</f>
        <v>10.66</v>
      </c>
      <c r="D1391" s="1">
        <f ca="1">IFERROR(__xludf.DUMMYFUNCTION("""COMPUTED_VALUE"""),10.38)</f>
        <v>10.38</v>
      </c>
      <c r="E1391" s="1">
        <f ca="1">IFERROR(__xludf.DUMMYFUNCTION("""COMPUTED_VALUE"""),10.48)</f>
        <v>10.48</v>
      </c>
      <c r="F1391" s="1">
        <f ca="1">IFERROR(__xludf.DUMMYFUNCTION("""COMPUTED_VALUE"""),12441869)</f>
        <v>12441869</v>
      </c>
    </row>
    <row r="1392" spans="1:6" x14ac:dyDescent="0.35">
      <c r="A1392" s="2">
        <f ca="1">IFERROR(__xludf.DUMMYFUNCTION("""COMPUTED_VALUE"""),44025.6666666666)</f>
        <v>44025.666666666599</v>
      </c>
      <c r="B1392" s="1">
        <f ca="1">IFERROR(__xludf.DUMMYFUNCTION("""COMPUTED_VALUE"""),10.6)</f>
        <v>10.6</v>
      </c>
      <c r="C1392" s="1">
        <f ca="1">IFERROR(__xludf.DUMMYFUNCTION("""COMPUTED_VALUE"""),10.79)</f>
        <v>10.79</v>
      </c>
      <c r="D1392" s="1">
        <f ca="1">IFERROR(__xludf.DUMMYFUNCTION("""COMPUTED_VALUE"""),10.03)</f>
        <v>10.029999999999999</v>
      </c>
      <c r="E1392" s="1">
        <f ca="1">IFERROR(__xludf.DUMMYFUNCTION("""COMPUTED_VALUE"""),10.05)</f>
        <v>10.050000000000001</v>
      </c>
      <c r="F1392" s="1">
        <f ca="1">IFERROR(__xludf.DUMMYFUNCTION("""COMPUTED_VALUE"""),11426874)</f>
        <v>11426874</v>
      </c>
    </row>
    <row r="1393" spans="1:6" x14ac:dyDescent="0.35">
      <c r="A1393" s="2">
        <f ca="1">IFERROR(__xludf.DUMMYFUNCTION("""COMPUTED_VALUE"""),44026.6666666666)</f>
        <v>44026.666666666599</v>
      </c>
      <c r="B1393" s="1">
        <f ca="1">IFERROR(__xludf.DUMMYFUNCTION("""COMPUTED_VALUE"""),10.07)</f>
        <v>10.07</v>
      </c>
      <c r="C1393" s="1">
        <f ca="1">IFERROR(__xludf.DUMMYFUNCTION("""COMPUTED_VALUE"""),10.4)</f>
        <v>10.4</v>
      </c>
      <c r="D1393" s="1">
        <f ca="1">IFERROR(__xludf.DUMMYFUNCTION("""COMPUTED_VALUE"""),9.79)</f>
        <v>9.7899999999999991</v>
      </c>
      <c r="E1393" s="1">
        <f ca="1">IFERROR(__xludf.DUMMYFUNCTION("""COMPUTED_VALUE"""),10.38)</f>
        <v>10.38</v>
      </c>
      <c r="F1393" s="1">
        <f ca="1">IFERROR(__xludf.DUMMYFUNCTION("""COMPUTED_VALUE"""),13566855)</f>
        <v>13566855</v>
      </c>
    </row>
    <row r="1394" spans="1:6" x14ac:dyDescent="0.35">
      <c r="A1394" s="2">
        <f ca="1">IFERROR(__xludf.DUMMYFUNCTION("""COMPUTED_VALUE"""),44027.6666666666)</f>
        <v>44027.666666666599</v>
      </c>
      <c r="B1394" s="1">
        <f ca="1">IFERROR(__xludf.DUMMYFUNCTION("""COMPUTED_VALUE"""),10.41)</f>
        <v>10.41</v>
      </c>
      <c r="C1394" s="1">
        <f ca="1">IFERROR(__xludf.DUMMYFUNCTION("""COMPUTED_VALUE"""),10.43)</f>
        <v>10.43</v>
      </c>
      <c r="D1394" s="1">
        <f ca="1">IFERROR(__xludf.DUMMYFUNCTION("""COMPUTED_VALUE"""),10.06)</f>
        <v>10.06</v>
      </c>
      <c r="E1394" s="1">
        <f ca="1">IFERROR(__xludf.DUMMYFUNCTION("""COMPUTED_VALUE"""),10.23)</f>
        <v>10.23</v>
      </c>
      <c r="F1394" s="1">
        <f ca="1">IFERROR(__xludf.DUMMYFUNCTION("""COMPUTED_VALUE"""),10099623)</f>
        <v>10099623</v>
      </c>
    </row>
    <row r="1395" spans="1:6" x14ac:dyDescent="0.35">
      <c r="A1395" s="2">
        <f ca="1">IFERROR(__xludf.DUMMYFUNCTION("""COMPUTED_VALUE"""),44028.6666666666)</f>
        <v>44028.666666666599</v>
      </c>
      <c r="B1395" s="1">
        <f ca="1">IFERROR(__xludf.DUMMYFUNCTION("""COMPUTED_VALUE"""),10.02)</f>
        <v>10.02</v>
      </c>
      <c r="C1395" s="1">
        <f ca="1">IFERROR(__xludf.DUMMYFUNCTION("""COMPUTED_VALUE"""),10.21)</f>
        <v>10.210000000000001</v>
      </c>
      <c r="D1395" s="1">
        <f ca="1">IFERROR(__xludf.DUMMYFUNCTION("""COMPUTED_VALUE"""),9.9)</f>
        <v>9.9</v>
      </c>
      <c r="E1395" s="1">
        <f ca="1">IFERROR(__xludf.DUMMYFUNCTION("""COMPUTED_VALUE"""),10.13)</f>
        <v>10.130000000000001</v>
      </c>
      <c r="F1395" s="1">
        <f ca="1">IFERROR(__xludf.DUMMYFUNCTION("""COMPUTED_VALUE"""),8624118)</f>
        <v>8624118</v>
      </c>
    </row>
    <row r="1396" spans="1:6" x14ac:dyDescent="0.35">
      <c r="A1396" s="2">
        <f ca="1">IFERROR(__xludf.DUMMYFUNCTION("""COMPUTED_VALUE"""),44029.6666666666)</f>
        <v>44029.666666666599</v>
      </c>
      <c r="B1396" s="1">
        <f ca="1">IFERROR(__xludf.DUMMYFUNCTION("""COMPUTED_VALUE"""),10.23)</f>
        <v>10.23</v>
      </c>
      <c r="C1396" s="1">
        <f ca="1">IFERROR(__xludf.DUMMYFUNCTION("""COMPUTED_VALUE"""),10.25)</f>
        <v>10.25</v>
      </c>
      <c r="D1396" s="1">
        <f ca="1">IFERROR(__xludf.DUMMYFUNCTION("""COMPUTED_VALUE"""),10.09)</f>
        <v>10.09</v>
      </c>
      <c r="E1396" s="1">
        <f ca="1">IFERROR(__xludf.DUMMYFUNCTION("""COMPUTED_VALUE"""),10.2)</f>
        <v>10.199999999999999</v>
      </c>
      <c r="F1396" s="1">
        <f ca="1">IFERROR(__xludf.DUMMYFUNCTION("""COMPUTED_VALUE"""),6657116)</f>
        <v>6657116</v>
      </c>
    </row>
    <row r="1397" spans="1:6" x14ac:dyDescent="0.35">
      <c r="A1397" s="2">
        <f ca="1">IFERROR(__xludf.DUMMYFUNCTION("""COMPUTED_VALUE"""),44032.6666666666)</f>
        <v>44032.666666666599</v>
      </c>
      <c r="B1397" s="1">
        <f ca="1">IFERROR(__xludf.DUMMYFUNCTION("""COMPUTED_VALUE"""),10.27)</f>
        <v>10.27</v>
      </c>
      <c r="C1397" s="1">
        <f ca="1">IFERROR(__xludf.DUMMYFUNCTION("""COMPUTED_VALUE"""),10.53)</f>
        <v>10.53</v>
      </c>
      <c r="D1397" s="1">
        <f ca="1">IFERROR(__xludf.DUMMYFUNCTION("""COMPUTED_VALUE"""),10.16)</f>
        <v>10.16</v>
      </c>
      <c r="E1397" s="1">
        <f ca="1">IFERROR(__xludf.DUMMYFUNCTION("""COMPUTED_VALUE"""),10.51)</f>
        <v>10.51</v>
      </c>
      <c r="F1397" s="1">
        <f ca="1">IFERROR(__xludf.DUMMYFUNCTION("""COMPUTED_VALUE"""),7121271)</f>
        <v>7121271</v>
      </c>
    </row>
    <row r="1398" spans="1:6" x14ac:dyDescent="0.35">
      <c r="A1398" s="2">
        <f ca="1">IFERROR(__xludf.DUMMYFUNCTION("""COMPUTED_VALUE"""),44033.6666666666)</f>
        <v>44033.666666666599</v>
      </c>
      <c r="B1398" s="1">
        <f ca="1">IFERROR(__xludf.DUMMYFUNCTION("""COMPUTED_VALUE"""),10.51)</f>
        <v>10.51</v>
      </c>
      <c r="C1398" s="1">
        <f ca="1">IFERROR(__xludf.DUMMYFUNCTION("""COMPUTED_VALUE"""),10.56)</f>
        <v>10.56</v>
      </c>
      <c r="D1398" s="1">
        <f ca="1">IFERROR(__xludf.DUMMYFUNCTION("""COMPUTED_VALUE"""),10.29)</f>
        <v>10.29</v>
      </c>
      <c r="E1398" s="1">
        <f ca="1">IFERROR(__xludf.DUMMYFUNCTION("""COMPUTED_VALUE"""),10.33)</f>
        <v>10.33</v>
      </c>
      <c r="F1398" s="1">
        <f ca="1">IFERROR(__xludf.DUMMYFUNCTION("""COMPUTED_VALUE"""),6941671)</f>
        <v>6941671</v>
      </c>
    </row>
    <row r="1399" spans="1:6" x14ac:dyDescent="0.35">
      <c r="A1399" s="2">
        <f ca="1">IFERROR(__xludf.DUMMYFUNCTION("""COMPUTED_VALUE"""),44034.6666666666)</f>
        <v>44034.666666666599</v>
      </c>
      <c r="B1399" s="1">
        <f ca="1">IFERROR(__xludf.DUMMYFUNCTION("""COMPUTED_VALUE"""),10.37)</f>
        <v>10.37</v>
      </c>
      <c r="C1399" s="1">
        <f ca="1">IFERROR(__xludf.DUMMYFUNCTION("""COMPUTED_VALUE"""),10.6)</f>
        <v>10.6</v>
      </c>
      <c r="D1399" s="1">
        <f ca="1">IFERROR(__xludf.DUMMYFUNCTION("""COMPUTED_VALUE"""),10.29)</f>
        <v>10.29</v>
      </c>
      <c r="E1399" s="1">
        <f ca="1">IFERROR(__xludf.DUMMYFUNCTION("""COMPUTED_VALUE"""),10.44)</f>
        <v>10.44</v>
      </c>
      <c r="F1399" s="1">
        <f ca="1">IFERROR(__xludf.DUMMYFUNCTION("""COMPUTED_VALUE"""),9182271)</f>
        <v>9182271</v>
      </c>
    </row>
    <row r="1400" spans="1:6" x14ac:dyDescent="0.35">
      <c r="A1400" s="2">
        <f ca="1">IFERROR(__xludf.DUMMYFUNCTION("""COMPUTED_VALUE"""),44035.6666666666)</f>
        <v>44035.666666666599</v>
      </c>
      <c r="B1400" s="1">
        <f ca="1">IFERROR(__xludf.DUMMYFUNCTION("""COMPUTED_VALUE"""),10.45)</f>
        <v>10.45</v>
      </c>
      <c r="C1400" s="1">
        <f ca="1">IFERROR(__xludf.DUMMYFUNCTION("""COMPUTED_VALUE"""),10.55)</f>
        <v>10.55</v>
      </c>
      <c r="D1400" s="1">
        <f ca="1">IFERROR(__xludf.DUMMYFUNCTION("""COMPUTED_VALUE"""),10.03)</f>
        <v>10.029999999999999</v>
      </c>
      <c r="E1400" s="1">
        <f ca="1">IFERROR(__xludf.DUMMYFUNCTION("""COMPUTED_VALUE"""),10.13)</f>
        <v>10.130000000000001</v>
      </c>
      <c r="F1400" s="1">
        <f ca="1">IFERROR(__xludf.DUMMYFUNCTION("""COMPUTED_VALUE"""),10291532)</f>
        <v>10291532</v>
      </c>
    </row>
    <row r="1401" spans="1:6" x14ac:dyDescent="0.35">
      <c r="A1401" s="2">
        <f ca="1">IFERROR(__xludf.DUMMYFUNCTION("""COMPUTED_VALUE"""),44036.6666666666)</f>
        <v>44036.666666666599</v>
      </c>
      <c r="B1401" s="1">
        <f ca="1">IFERROR(__xludf.DUMMYFUNCTION("""COMPUTED_VALUE"""),9.88)</f>
        <v>9.8800000000000008</v>
      </c>
      <c r="C1401" s="1">
        <f ca="1">IFERROR(__xludf.DUMMYFUNCTION("""COMPUTED_VALUE"""),10.36)</f>
        <v>10.36</v>
      </c>
      <c r="D1401" s="1">
        <f ca="1">IFERROR(__xludf.DUMMYFUNCTION("""COMPUTED_VALUE"""),9.78)</f>
        <v>9.7799999999999994</v>
      </c>
      <c r="E1401" s="1">
        <f ca="1">IFERROR(__xludf.DUMMYFUNCTION("""COMPUTED_VALUE"""),10.19)</f>
        <v>10.19</v>
      </c>
      <c r="F1401" s="1">
        <f ca="1">IFERROR(__xludf.DUMMYFUNCTION("""COMPUTED_VALUE"""),11832300)</f>
        <v>11832300</v>
      </c>
    </row>
    <row r="1402" spans="1:6" x14ac:dyDescent="0.35">
      <c r="A1402" s="2">
        <f ca="1">IFERROR(__xludf.DUMMYFUNCTION("""COMPUTED_VALUE"""),44039.6666666666)</f>
        <v>44039.666666666599</v>
      </c>
      <c r="B1402" s="1">
        <f ca="1">IFERROR(__xludf.DUMMYFUNCTION("""COMPUTED_VALUE"""),10.23)</f>
        <v>10.23</v>
      </c>
      <c r="C1402" s="1">
        <f ca="1">IFERROR(__xludf.DUMMYFUNCTION("""COMPUTED_VALUE"""),10.44)</f>
        <v>10.44</v>
      </c>
      <c r="D1402" s="1">
        <f ca="1">IFERROR(__xludf.DUMMYFUNCTION("""COMPUTED_VALUE"""),10.22)</f>
        <v>10.220000000000001</v>
      </c>
      <c r="E1402" s="1">
        <f ca="1">IFERROR(__xludf.DUMMYFUNCTION("""COMPUTED_VALUE"""),10.42)</f>
        <v>10.42</v>
      </c>
      <c r="F1402" s="1">
        <f ca="1">IFERROR(__xludf.DUMMYFUNCTION("""COMPUTED_VALUE"""),7303255)</f>
        <v>7303255</v>
      </c>
    </row>
    <row r="1403" spans="1:6" x14ac:dyDescent="0.35">
      <c r="A1403" s="2">
        <f ca="1">IFERROR(__xludf.DUMMYFUNCTION("""COMPUTED_VALUE"""),44040.6666666666)</f>
        <v>44040.666666666599</v>
      </c>
      <c r="B1403" s="1">
        <f ca="1">IFERROR(__xludf.DUMMYFUNCTION("""COMPUTED_VALUE"""),10.37)</f>
        <v>10.37</v>
      </c>
      <c r="C1403" s="1">
        <f ca="1">IFERROR(__xludf.DUMMYFUNCTION("""COMPUTED_VALUE"""),10.38)</f>
        <v>10.38</v>
      </c>
      <c r="D1403" s="1">
        <f ca="1">IFERROR(__xludf.DUMMYFUNCTION("""COMPUTED_VALUE"""),10.21)</f>
        <v>10.210000000000001</v>
      </c>
      <c r="E1403" s="1">
        <f ca="1">IFERROR(__xludf.DUMMYFUNCTION("""COMPUTED_VALUE"""),10.22)</f>
        <v>10.220000000000001</v>
      </c>
      <c r="F1403" s="1">
        <f ca="1">IFERROR(__xludf.DUMMYFUNCTION("""COMPUTED_VALUE"""),6790901)</f>
        <v>6790901</v>
      </c>
    </row>
    <row r="1404" spans="1:6" x14ac:dyDescent="0.35">
      <c r="A1404" s="2">
        <f ca="1">IFERROR(__xludf.DUMMYFUNCTION("""COMPUTED_VALUE"""),44041.6666666666)</f>
        <v>44041.666666666599</v>
      </c>
      <c r="B1404" s="1">
        <f ca="1">IFERROR(__xludf.DUMMYFUNCTION("""COMPUTED_VALUE"""),10.39)</f>
        <v>10.39</v>
      </c>
      <c r="C1404" s="1">
        <f ca="1">IFERROR(__xludf.DUMMYFUNCTION("""COMPUTED_VALUE"""),10.52)</f>
        <v>10.52</v>
      </c>
      <c r="D1404" s="1">
        <f ca="1">IFERROR(__xludf.DUMMYFUNCTION("""COMPUTED_VALUE"""),10.35)</f>
        <v>10.35</v>
      </c>
      <c r="E1404" s="1">
        <f ca="1">IFERROR(__xludf.DUMMYFUNCTION("""COMPUTED_VALUE"""),10.47)</f>
        <v>10.47</v>
      </c>
      <c r="F1404" s="1">
        <f ca="1">IFERROR(__xludf.DUMMYFUNCTION("""COMPUTED_VALUE"""),7112692)</f>
        <v>7112692</v>
      </c>
    </row>
    <row r="1405" spans="1:6" x14ac:dyDescent="0.35">
      <c r="A1405" s="2">
        <f ca="1">IFERROR(__xludf.DUMMYFUNCTION("""COMPUTED_VALUE"""),44042.6666666666)</f>
        <v>44042.666666666599</v>
      </c>
      <c r="B1405" s="1">
        <f ca="1">IFERROR(__xludf.DUMMYFUNCTION("""COMPUTED_VALUE"""),10.38)</f>
        <v>10.38</v>
      </c>
      <c r="C1405" s="1">
        <f ca="1">IFERROR(__xludf.DUMMYFUNCTION("""COMPUTED_VALUE"""),10.62)</f>
        <v>10.62</v>
      </c>
      <c r="D1405" s="1">
        <f ca="1">IFERROR(__xludf.DUMMYFUNCTION("""COMPUTED_VALUE"""),10.3)</f>
        <v>10.3</v>
      </c>
      <c r="E1405" s="1">
        <f ca="1">IFERROR(__xludf.DUMMYFUNCTION("""COMPUTED_VALUE"""),10.61)</f>
        <v>10.61</v>
      </c>
      <c r="F1405" s="1">
        <f ca="1">IFERROR(__xludf.DUMMYFUNCTION("""COMPUTED_VALUE"""),7722004)</f>
        <v>7722004</v>
      </c>
    </row>
    <row r="1406" spans="1:6" x14ac:dyDescent="0.35">
      <c r="A1406" s="2">
        <f ca="1">IFERROR(__xludf.DUMMYFUNCTION("""COMPUTED_VALUE"""),44043.6666666666)</f>
        <v>44043.666666666599</v>
      </c>
      <c r="B1406" s="1">
        <f ca="1">IFERROR(__xludf.DUMMYFUNCTION("""COMPUTED_VALUE"""),10.56)</f>
        <v>10.56</v>
      </c>
      <c r="C1406" s="1">
        <f ca="1">IFERROR(__xludf.DUMMYFUNCTION("""COMPUTED_VALUE"""),10.77)</f>
        <v>10.77</v>
      </c>
      <c r="D1406" s="1">
        <f ca="1">IFERROR(__xludf.DUMMYFUNCTION("""COMPUTED_VALUE"""),10.43)</f>
        <v>10.43</v>
      </c>
      <c r="E1406" s="1">
        <f ca="1">IFERROR(__xludf.DUMMYFUNCTION("""COMPUTED_VALUE"""),10.61)</f>
        <v>10.61</v>
      </c>
      <c r="F1406" s="1">
        <f ca="1">IFERROR(__xludf.DUMMYFUNCTION("""COMPUTED_VALUE"""),9657150)</f>
        <v>9657150</v>
      </c>
    </row>
    <row r="1407" spans="1:6" x14ac:dyDescent="0.35">
      <c r="A1407" s="2">
        <f ca="1">IFERROR(__xludf.DUMMYFUNCTION("""COMPUTED_VALUE"""),44046.6666666666)</f>
        <v>44046.666666666599</v>
      </c>
      <c r="B1407" s="1">
        <f ca="1">IFERROR(__xludf.DUMMYFUNCTION("""COMPUTED_VALUE"""),10.73)</f>
        <v>10.73</v>
      </c>
      <c r="C1407" s="1">
        <f ca="1">IFERROR(__xludf.DUMMYFUNCTION("""COMPUTED_VALUE"""),11.1)</f>
        <v>11.1</v>
      </c>
      <c r="D1407" s="1">
        <f ca="1">IFERROR(__xludf.DUMMYFUNCTION("""COMPUTED_VALUE"""),10.72)</f>
        <v>10.72</v>
      </c>
      <c r="E1407" s="1">
        <f ca="1">IFERROR(__xludf.DUMMYFUNCTION("""COMPUTED_VALUE"""),11.01)</f>
        <v>11.01</v>
      </c>
      <c r="F1407" s="1">
        <f ca="1">IFERROR(__xludf.DUMMYFUNCTION("""COMPUTED_VALUE"""),10325456)</f>
        <v>10325456</v>
      </c>
    </row>
    <row r="1408" spans="1:6" x14ac:dyDescent="0.35">
      <c r="A1408" s="2">
        <f ca="1">IFERROR(__xludf.DUMMYFUNCTION("""COMPUTED_VALUE"""),44047.6666666666)</f>
        <v>44047.666666666599</v>
      </c>
      <c r="B1408" s="1">
        <f ca="1">IFERROR(__xludf.DUMMYFUNCTION("""COMPUTED_VALUE"""),11.05)</f>
        <v>11.05</v>
      </c>
      <c r="C1408" s="1">
        <f ca="1">IFERROR(__xludf.DUMMYFUNCTION("""COMPUTED_VALUE"""),11.23)</f>
        <v>11.23</v>
      </c>
      <c r="D1408" s="1">
        <f ca="1">IFERROR(__xludf.DUMMYFUNCTION("""COMPUTED_VALUE"""),10.91)</f>
        <v>10.91</v>
      </c>
      <c r="E1408" s="1">
        <f ca="1">IFERROR(__xludf.DUMMYFUNCTION("""COMPUTED_VALUE"""),11.23)</f>
        <v>11.23</v>
      </c>
      <c r="F1408" s="1">
        <f ca="1">IFERROR(__xludf.DUMMYFUNCTION("""COMPUTED_VALUE"""),7758390)</f>
        <v>7758390</v>
      </c>
    </row>
    <row r="1409" spans="1:6" x14ac:dyDescent="0.35">
      <c r="A1409" s="2">
        <f ca="1">IFERROR(__xludf.DUMMYFUNCTION("""COMPUTED_VALUE"""),44048.6666666666)</f>
        <v>44048.666666666599</v>
      </c>
      <c r="B1409" s="1">
        <f ca="1">IFERROR(__xludf.DUMMYFUNCTION("""COMPUTED_VALUE"""),11.24)</f>
        <v>11.24</v>
      </c>
      <c r="C1409" s="1">
        <f ca="1">IFERROR(__xludf.DUMMYFUNCTION("""COMPUTED_VALUE"""),11.37)</f>
        <v>11.37</v>
      </c>
      <c r="D1409" s="1">
        <f ca="1">IFERROR(__xludf.DUMMYFUNCTION("""COMPUTED_VALUE"""),11.17)</f>
        <v>11.17</v>
      </c>
      <c r="E1409" s="1">
        <f ca="1">IFERROR(__xludf.DUMMYFUNCTION("""COMPUTED_VALUE"""),11.29)</f>
        <v>11.29</v>
      </c>
      <c r="F1409" s="1">
        <f ca="1">IFERROR(__xludf.DUMMYFUNCTION("""COMPUTED_VALUE"""),6262493)</f>
        <v>6262493</v>
      </c>
    </row>
    <row r="1410" spans="1:6" x14ac:dyDescent="0.35">
      <c r="A1410" s="2">
        <f ca="1">IFERROR(__xludf.DUMMYFUNCTION("""COMPUTED_VALUE"""),44049.6666666666)</f>
        <v>44049.666666666599</v>
      </c>
      <c r="B1410" s="1">
        <f ca="1">IFERROR(__xludf.DUMMYFUNCTION("""COMPUTED_VALUE"""),11.35)</f>
        <v>11.35</v>
      </c>
      <c r="C1410" s="1">
        <f ca="1">IFERROR(__xludf.DUMMYFUNCTION("""COMPUTED_VALUE"""),11.36)</f>
        <v>11.36</v>
      </c>
      <c r="D1410" s="1">
        <f ca="1">IFERROR(__xludf.DUMMYFUNCTION("""COMPUTED_VALUE"""),11.18)</f>
        <v>11.18</v>
      </c>
      <c r="E1410" s="1">
        <f ca="1">IFERROR(__xludf.DUMMYFUNCTION("""COMPUTED_VALUE"""),11.34)</f>
        <v>11.34</v>
      </c>
      <c r="F1410" s="1">
        <f ca="1">IFERROR(__xludf.DUMMYFUNCTION("""COMPUTED_VALUE"""),6107892)</f>
        <v>6107892</v>
      </c>
    </row>
    <row r="1411" spans="1:6" x14ac:dyDescent="0.35">
      <c r="A1411" s="2">
        <f ca="1">IFERROR(__xludf.DUMMYFUNCTION("""COMPUTED_VALUE"""),44050.6666666666)</f>
        <v>44050.666666666599</v>
      </c>
      <c r="B1411" s="1">
        <f ca="1">IFERROR(__xludf.DUMMYFUNCTION("""COMPUTED_VALUE"""),11.31)</f>
        <v>11.31</v>
      </c>
      <c r="C1411" s="1">
        <f ca="1">IFERROR(__xludf.DUMMYFUNCTION("""COMPUTED_VALUE"""),11.5)</f>
        <v>11.5</v>
      </c>
      <c r="D1411" s="1">
        <f ca="1">IFERROR(__xludf.DUMMYFUNCTION("""COMPUTED_VALUE"""),11.04)</f>
        <v>11.04</v>
      </c>
      <c r="E1411" s="1">
        <f ca="1">IFERROR(__xludf.DUMMYFUNCTION("""COMPUTED_VALUE"""),11.2)</f>
        <v>11.2</v>
      </c>
      <c r="F1411" s="1">
        <f ca="1">IFERROR(__xludf.DUMMYFUNCTION("""COMPUTED_VALUE"""),8562899)</f>
        <v>8562899</v>
      </c>
    </row>
    <row r="1412" spans="1:6" x14ac:dyDescent="0.35">
      <c r="A1412" s="2">
        <f ca="1">IFERROR(__xludf.DUMMYFUNCTION("""COMPUTED_VALUE"""),44053.6666666666)</f>
        <v>44053.666666666599</v>
      </c>
      <c r="B1412" s="1">
        <f ca="1">IFERROR(__xludf.DUMMYFUNCTION("""COMPUTED_VALUE"""),11.33)</f>
        <v>11.33</v>
      </c>
      <c r="C1412" s="1">
        <f ca="1">IFERROR(__xludf.DUMMYFUNCTION("""COMPUTED_VALUE"""),11.41)</f>
        <v>11.41</v>
      </c>
      <c r="D1412" s="1">
        <f ca="1">IFERROR(__xludf.DUMMYFUNCTION("""COMPUTED_VALUE"""),10.86)</f>
        <v>10.86</v>
      </c>
      <c r="E1412" s="1">
        <f ca="1">IFERROR(__xludf.DUMMYFUNCTION("""COMPUTED_VALUE"""),11.17)</f>
        <v>11.17</v>
      </c>
      <c r="F1412" s="1">
        <f ca="1">IFERROR(__xludf.DUMMYFUNCTION("""COMPUTED_VALUE"""),10694898)</f>
        <v>10694898</v>
      </c>
    </row>
    <row r="1413" spans="1:6" x14ac:dyDescent="0.35">
      <c r="A1413" s="2">
        <f ca="1">IFERROR(__xludf.DUMMYFUNCTION("""COMPUTED_VALUE"""),44054.6666666666)</f>
        <v>44054.666666666599</v>
      </c>
      <c r="B1413" s="1">
        <f ca="1">IFERROR(__xludf.DUMMYFUNCTION("""COMPUTED_VALUE"""),11.07)</f>
        <v>11.07</v>
      </c>
      <c r="C1413" s="1">
        <f ca="1">IFERROR(__xludf.DUMMYFUNCTION("""COMPUTED_VALUE"""),11.14)</f>
        <v>11.14</v>
      </c>
      <c r="D1413" s="1">
        <f ca="1">IFERROR(__xludf.DUMMYFUNCTION("""COMPUTED_VALUE"""),10.8)</f>
        <v>10.8</v>
      </c>
      <c r="E1413" s="1">
        <f ca="1">IFERROR(__xludf.DUMMYFUNCTION("""COMPUTED_VALUE"""),10.85)</f>
        <v>10.85</v>
      </c>
      <c r="F1413" s="1">
        <f ca="1">IFERROR(__xludf.DUMMYFUNCTION("""COMPUTED_VALUE"""),8862763)</f>
        <v>8862763</v>
      </c>
    </row>
    <row r="1414" spans="1:6" x14ac:dyDescent="0.35">
      <c r="A1414" s="2">
        <f ca="1">IFERROR(__xludf.DUMMYFUNCTION("""COMPUTED_VALUE"""),44055.6666666666)</f>
        <v>44055.666666666599</v>
      </c>
      <c r="B1414" s="1">
        <f ca="1">IFERROR(__xludf.DUMMYFUNCTION("""COMPUTED_VALUE"""),10.99)</f>
        <v>10.99</v>
      </c>
      <c r="C1414" s="1">
        <f ca="1">IFERROR(__xludf.DUMMYFUNCTION("""COMPUTED_VALUE"""),11.47)</f>
        <v>11.47</v>
      </c>
      <c r="D1414" s="1">
        <f ca="1">IFERROR(__xludf.DUMMYFUNCTION("""COMPUTED_VALUE"""),10.96)</f>
        <v>10.96</v>
      </c>
      <c r="E1414" s="1">
        <f ca="1">IFERROR(__xludf.DUMMYFUNCTION("""COMPUTED_VALUE"""),11.44)</f>
        <v>11.44</v>
      </c>
      <c r="F1414" s="1">
        <f ca="1">IFERROR(__xludf.DUMMYFUNCTION("""COMPUTED_VALUE"""),11623573)</f>
        <v>11623573</v>
      </c>
    </row>
    <row r="1415" spans="1:6" x14ac:dyDescent="0.35">
      <c r="A1415" s="2">
        <f ca="1">IFERROR(__xludf.DUMMYFUNCTION("""COMPUTED_VALUE"""),44056.6666666666)</f>
        <v>44056.666666666599</v>
      </c>
      <c r="B1415" s="1">
        <f ca="1">IFERROR(__xludf.DUMMYFUNCTION("""COMPUTED_VALUE"""),11.55)</f>
        <v>11.55</v>
      </c>
      <c r="C1415" s="1">
        <f ca="1">IFERROR(__xludf.DUMMYFUNCTION("""COMPUTED_VALUE"""),11.72)</f>
        <v>11.72</v>
      </c>
      <c r="D1415" s="1">
        <f ca="1">IFERROR(__xludf.DUMMYFUNCTION("""COMPUTED_VALUE"""),11.36)</f>
        <v>11.36</v>
      </c>
      <c r="E1415" s="1">
        <f ca="1">IFERROR(__xludf.DUMMYFUNCTION("""COMPUTED_VALUE"""),11.44)</f>
        <v>11.44</v>
      </c>
      <c r="F1415" s="1">
        <f ca="1">IFERROR(__xludf.DUMMYFUNCTION("""COMPUTED_VALUE"""),9361489)</f>
        <v>9361489</v>
      </c>
    </row>
    <row r="1416" spans="1:6" x14ac:dyDescent="0.35">
      <c r="A1416" s="2">
        <f ca="1">IFERROR(__xludf.DUMMYFUNCTION("""COMPUTED_VALUE"""),44057.6666666666)</f>
        <v>44057.666666666599</v>
      </c>
      <c r="B1416" s="1">
        <f ca="1">IFERROR(__xludf.DUMMYFUNCTION("""COMPUTED_VALUE"""),11.53)</f>
        <v>11.53</v>
      </c>
      <c r="C1416" s="1">
        <f ca="1">IFERROR(__xludf.DUMMYFUNCTION("""COMPUTED_VALUE"""),11.7)</f>
        <v>11.7</v>
      </c>
      <c r="D1416" s="1">
        <f ca="1">IFERROR(__xludf.DUMMYFUNCTION("""COMPUTED_VALUE"""),11.44)</f>
        <v>11.44</v>
      </c>
      <c r="E1416" s="1">
        <f ca="1">IFERROR(__xludf.DUMMYFUNCTION("""COMPUTED_VALUE"""),11.56)</f>
        <v>11.56</v>
      </c>
      <c r="F1416" s="1">
        <f ca="1">IFERROR(__xludf.DUMMYFUNCTION("""COMPUTED_VALUE"""),9160904)</f>
        <v>9160904</v>
      </c>
    </row>
    <row r="1417" spans="1:6" x14ac:dyDescent="0.35">
      <c r="A1417" s="2">
        <f ca="1">IFERROR(__xludf.DUMMYFUNCTION("""COMPUTED_VALUE"""),44060.6666666666)</f>
        <v>44060.666666666599</v>
      </c>
      <c r="B1417" s="1">
        <f ca="1">IFERROR(__xludf.DUMMYFUNCTION("""COMPUTED_VALUE"""),11.85)</f>
        <v>11.85</v>
      </c>
      <c r="C1417" s="1">
        <f ca="1">IFERROR(__xludf.DUMMYFUNCTION("""COMPUTED_VALUE"""),12.41)</f>
        <v>12.41</v>
      </c>
      <c r="D1417" s="1">
        <f ca="1">IFERROR(__xludf.DUMMYFUNCTION("""COMPUTED_VALUE"""),11.82)</f>
        <v>11.82</v>
      </c>
      <c r="E1417" s="1">
        <f ca="1">IFERROR(__xludf.DUMMYFUNCTION("""COMPUTED_VALUE"""),12.34)</f>
        <v>12.34</v>
      </c>
      <c r="F1417" s="1">
        <f ca="1">IFERROR(__xludf.DUMMYFUNCTION("""COMPUTED_VALUE"""),15532523)</f>
        <v>15532523</v>
      </c>
    </row>
    <row r="1418" spans="1:6" x14ac:dyDescent="0.35">
      <c r="A1418" s="2">
        <f ca="1">IFERROR(__xludf.DUMMYFUNCTION("""COMPUTED_VALUE"""),44061.6666666666)</f>
        <v>44061.666666666599</v>
      </c>
      <c r="B1418" s="1">
        <f ca="1">IFERROR(__xludf.DUMMYFUNCTION("""COMPUTED_VALUE"""),12.45)</f>
        <v>12.45</v>
      </c>
      <c r="C1418" s="1">
        <f ca="1">IFERROR(__xludf.DUMMYFUNCTION("""COMPUTED_VALUE"""),12.5)</f>
        <v>12.5</v>
      </c>
      <c r="D1418" s="1">
        <f ca="1">IFERROR(__xludf.DUMMYFUNCTION("""COMPUTED_VALUE"""),12.09)</f>
        <v>12.09</v>
      </c>
      <c r="E1418" s="1">
        <f ca="1">IFERROR(__xludf.DUMMYFUNCTION("""COMPUTED_VALUE"""),12.26)</f>
        <v>12.26</v>
      </c>
      <c r="F1418" s="1">
        <f ca="1">IFERROR(__xludf.DUMMYFUNCTION("""COMPUTED_VALUE"""),12586155)</f>
        <v>12586155</v>
      </c>
    </row>
    <row r="1419" spans="1:6" x14ac:dyDescent="0.35">
      <c r="A1419" s="2">
        <f ca="1">IFERROR(__xludf.DUMMYFUNCTION("""COMPUTED_VALUE"""),44062.6666666666)</f>
        <v>44062.666666666599</v>
      </c>
      <c r="B1419" s="1">
        <f ca="1">IFERROR(__xludf.DUMMYFUNCTION("""COMPUTED_VALUE"""),12.3)</f>
        <v>12.3</v>
      </c>
      <c r="C1419" s="1">
        <f ca="1">IFERROR(__xludf.DUMMYFUNCTION("""COMPUTED_VALUE"""),12.32)</f>
        <v>12.32</v>
      </c>
      <c r="D1419" s="1">
        <f ca="1">IFERROR(__xludf.DUMMYFUNCTION("""COMPUTED_VALUE"""),12.1)</f>
        <v>12.1</v>
      </c>
      <c r="E1419" s="1">
        <f ca="1">IFERROR(__xludf.DUMMYFUNCTION("""COMPUTED_VALUE"""),12.14)</f>
        <v>12.14</v>
      </c>
      <c r="F1419" s="1">
        <f ca="1">IFERROR(__xludf.DUMMYFUNCTION("""COMPUTED_VALUE"""),15565558)</f>
        <v>15565558</v>
      </c>
    </row>
    <row r="1420" spans="1:6" x14ac:dyDescent="0.35">
      <c r="A1420" s="2">
        <f ca="1">IFERROR(__xludf.DUMMYFUNCTION("""COMPUTED_VALUE"""),44063.6666666666)</f>
        <v>44063.666666666599</v>
      </c>
      <c r="B1420" s="1">
        <f ca="1">IFERROR(__xludf.DUMMYFUNCTION("""COMPUTED_VALUE"""),11.98)</f>
        <v>11.98</v>
      </c>
      <c r="C1420" s="1">
        <f ca="1">IFERROR(__xludf.DUMMYFUNCTION("""COMPUTED_VALUE"""),12.38)</f>
        <v>12.38</v>
      </c>
      <c r="D1420" s="1">
        <f ca="1">IFERROR(__xludf.DUMMYFUNCTION("""COMPUTED_VALUE"""),11.88)</f>
        <v>11.88</v>
      </c>
      <c r="E1420" s="1">
        <f ca="1">IFERROR(__xludf.DUMMYFUNCTION("""COMPUTED_VALUE"""),12.14)</f>
        <v>12.14</v>
      </c>
      <c r="F1420" s="1">
        <f ca="1">IFERROR(__xludf.DUMMYFUNCTION("""COMPUTED_VALUE"""),23034656)</f>
        <v>23034656</v>
      </c>
    </row>
    <row r="1421" spans="1:6" x14ac:dyDescent="0.35">
      <c r="A1421" s="2">
        <f ca="1">IFERROR(__xludf.DUMMYFUNCTION("""COMPUTED_VALUE"""),44064.6666666666)</f>
        <v>44064.666666666599</v>
      </c>
      <c r="B1421" s="1">
        <f ca="1">IFERROR(__xludf.DUMMYFUNCTION("""COMPUTED_VALUE"""),12.2)</f>
        <v>12.2</v>
      </c>
      <c r="C1421" s="1">
        <f ca="1">IFERROR(__xludf.DUMMYFUNCTION("""COMPUTED_VALUE"""),12.81)</f>
        <v>12.81</v>
      </c>
      <c r="D1421" s="1">
        <f ca="1">IFERROR(__xludf.DUMMYFUNCTION("""COMPUTED_VALUE"""),12.2)</f>
        <v>12.2</v>
      </c>
      <c r="E1421" s="1">
        <f ca="1">IFERROR(__xludf.DUMMYFUNCTION("""COMPUTED_VALUE"""),12.68)</f>
        <v>12.68</v>
      </c>
      <c r="F1421" s="1">
        <f ca="1">IFERROR(__xludf.DUMMYFUNCTION("""COMPUTED_VALUE"""),24996738)</f>
        <v>24996738</v>
      </c>
    </row>
    <row r="1422" spans="1:6" x14ac:dyDescent="0.35">
      <c r="A1422" s="2">
        <f ca="1">IFERROR(__xludf.DUMMYFUNCTION("""COMPUTED_VALUE"""),44067.6666666666)</f>
        <v>44067.666666666599</v>
      </c>
      <c r="B1422" s="1">
        <f ca="1">IFERROR(__xludf.DUMMYFUNCTION("""COMPUTED_VALUE"""),12.88)</f>
        <v>12.88</v>
      </c>
      <c r="C1422" s="1">
        <f ca="1">IFERROR(__xludf.DUMMYFUNCTION("""COMPUTED_VALUE"""),12.91)</f>
        <v>12.91</v>
      </c>
      <c r="D1422" s="1">
        <f ca="1">IFERROR(__xludf.DUMMYFUNCTION("""COMPUTED_VALUE"""),12.51)</f>
        <v>12.51</v>
      </c>
      <c r="E1422" s="1">
        <f ca="1">IFERROR(__xludf.DUMMYFUNCTION("""COMPUTED_VALUE"""),12.72)</f>
        <v>12.72</v>
      </c>
      <c r="F1422" s="1">
        <f ca="1">IFERROR(__xludf.DUMMYFUNCTION("""COMPUTED_VALUE"""),12264105)</f>
        <v>12264105</v>
      </c>
    </row>
    <row r="1423" spans="1:6" x14ac:dyDescent="0.35">
      <c r="A1423" s="2">
        <f ca="1">IFERROR(__xludf.DUMMYFUNCTION("""COMPUTED_VALUE"""),44068.6666666666)</f>
        <v>44068.666666666599</v>
      </c>
      <c r="B1423" s="1">
        <f ca="1">IFERROR(__xludf.DUMMYFUNCTION("""COMPUTED_VALUE"""),12.63)</f>
        <v>12.63</v>
      </c>
      <c r="C1423" s="1">
        <f ca="1">IFERROR(__xludf.DUMMYFUNCTION("""COMPUTED_VALUE"""),12.76)</f>
        <v>12.76</v>
      </c>
      <c r="D1423" s="1">
        <f ca="1">IFERROR(__xludf.DUMMYFUNCTION("""COMPUTED_VALUE"""),12.57)</f>
        <v>12.57</v>
      </c>
      <c r="E1423" s="1">
        <f ca="1">IFERROR(__xludf.DUMMYFUNCTION("""COMPUTED_VALUE"""),12.75)</f>
        <v>12.75</v>
      </c>
      <c r="F1423" s="1">
        <f ca="1">IFERROR(__xludf.DUMMYFUNCTION("""COMPUTED_VALUE"""),7226920)</f>
        <v>7226920</v>
      </c>
    </row>
    <row r="1424" spans="1:6" x14ac:dyDescent="0.35">
      <c r="A1424" s="2">
        <f ca="1">IFERROR(__xludf.DUMMYFUNCTION("""COMPUTED_VALUE"""),44069.6666666666)</f>
        <v>44069.666666666599</v>
      </c>
      <c r="B1424" s="1">
        <f ca="1">IFERROR(__xludf.DUMMYFUNCTION("""COMPUTED_VALUE"""),12.8)</f>
        <v>12.8</v>
      </c>
      <c r="C1424" s="1">
        <f ca="1">IFERROR(__xludf.DUMMYFUNCTION("""COMPUTED_VALUE"""),12.87)</f>
        <v>12.87</v>
      </c>
      <c r="D1424" s="1">
        <f ca="1">IFERROR(__xludf.DUMMYFUNCTION("""COMPUTED_VALUE"""),12.68)</f>
        <v>12.68</v>
      </c>
      <c r="E1424" s="1">
        <f ca="1">IFERROR(__xludf.DUMMYFUNCTION("""COMPUTED_VALUE"""),12.77)</f>
        <v>12.77</v>
      </c>
      <c r="F1424" s="1">
        <f ca="1">IFERROR(__xludf.DUMMYFUNCTION("""COMPUTED_VALUE"""),8031073)</f>
        <v>8031073</v>
      </c>
    </row>
    <row r="1425" spans="1:6" x14ac:dyDescent="0.35">
      <c r="A1425" s="2">
        <f ca="1">IFERROR(__xludf.DUMMYFUNCTION("""COMPUTED_VALUE"""),44070.6666666666)</f>
        <v>44070.666666666599</v>
      </c>
      <c r="B1425" s="1">
        <f ca="1">IFERROR(__xludf.DUMMYFUNCTION("""COMPUTED_VALUE"""),12.78)</f>
        <v>12.78</v>
      </c>
      <c r="C1425" s="1">
        <f ca="1">IFERROR(__xludf.DUMMYFUNCTION("""COMPUTED_VALUE"""),12.85)</f>
        <v>12.85</v>
      </c>
      <c r="D1425" s="1">
        <f ca="1">IFERROR(__xludf.DUMMYFUNCTION("""COMPUTED_VALUE"""),12.57)</f>
        <v>12.57</v>
      </c>
      <c r="E1425" s="1">
        <f ca="1">IFERROR(__xludf.DUMMYFUNCTION("""COMPUTED_VALUE"""),12.63)</f>
        <v>12.63</v>
      </c>
      <c r="F1425" s="1">
        <f ca="1">IFERROR(__xludf.DUMMYFUNCTION("""COMPUTED_VALUE"""),7940073)</f>
        <v>7940073</v>
      </c>
    </row>
    <row r="1426" spans="1:6" x14ac:dyDescent="0.35">
      <c r="A1426" s="2">
        <f ca="1">IFERROR(__xludf.DUMMYFUNCTION("""COMPUTED_VALUE"""),44071.6666666666)</f>
        <v>44071.666666666599</v>
      </c>
      <c r="B1426" s="1">
        <f ca="1">IFERROR(__xludf.DUMMYFUNCTION("""COMPUTED_VALUE"""),12.67)</f>
        <v>12.67</v>
      </c>
      <c r="C1426" s="1">
        <f ca="1">IFERROR(__xludf.DUMMYFUNCTION("""COMPUTED_VALUE"""),13.15)</f>
        <v>13.15</v>
      </c>
      <c r="D1426" s="1">
        <f ca="1">IFERROR(__xludf.DUMMYFUNCTION("""COMPUTED_VALUE"""),12.64)</f>
        <v>12.64</v>
      </c>
      <c r="E1426" s="1">
        <f ca="1">IFERROR(__xludf.DUMMYFUNCTION("""COMPUTED_VALUE"""),13.15)</f>
        <v>13.15</v>
      </c>
      <c r="F1426" s="1">
        <f ca="1">IFERROR(__xludf.DUMMYFUNCTION("""COMPUTED_VALUE"""),13428963)</f>
        <v>13428963</v>
      </c>
    </row>
    <row r="1427" spans="1:6" x14ac:dyDescent="0.35">
      <c r="A1427" s="2">
        <f ca="1">IFERROR(__xludf.DUMMYFUNCTION("""COMPUTED_VALUE"""),44074.6666666666)</f>
        <v>44074.666666666599</v>
      </c>
      <c r="B1427" s="1">
        <f ca="1">IFERROR(__xludf.DUMMYFUNCTION("""COMPUTED_VALUE"""),13.18)</f>
        <v>13.18</v>
      </c>
      <c r="C1427" s="1">
        <f ca="1">IFERROR(__xludf.DUMMYFUNCTION("""COMPUTED_VALUE"""),13.58)</f>
        <v>13.58</v>
      </c>
      <c r="D1427" s="1">
        <f ca="1">IFERROR(__xludf.DUMMYFUNCTION("""COMPUTED_VALUE"""),13.04)</f>
        <v>13.04</v>
      </c>
      <c r="E1427" s="1">
        <f ca="1">IFERROR(__xludf.DUMMYFUNCTION("""COMPUTED_VALUE"""),13.37)</f>
        <v>13.37</v>
      </c>
      <c r="F1427" s="1">
        <f ca="1">IFERROR(__xludf.DUMMYFUNCTION("""COMPUTED_VALUE"""),12521030)</f>
        <v>12521030</v>
      </c>
    </row>
    <row r="1428" spans="1:6" x14ac:dyDescent="0.35">
      <c r="A1428" s="2">
        <f ca="1">IFERROR(__xludf.DUMMYFUNCTION("""COMPUTED_VALUE"""),44075.6666666666)</f>
        <v>44075.666666666599</v>
      </c>
      <c r="B1428" s="1">
        <f ca="1">IFERROR(__xludf.DUMMYFUNCTION("""COMPUTED_VALUE"""),13.48)</f>
        <v>13.48</v>
      </c>
      <c r="C1428" s="1">
        <f ca="1">IFERROR(__xludf.DUMMYFUNCTION("""COMPUTED_VALUE"""),13.99)</f>
        <v>13.99</v>
      </c>
      <c r="D1428" s="1">
        <f ca="1">IFERROR(__xludf.DUMMYFUNCTION("""COMPUTED_VALUE"""),13.44)</f>
        <v>13.44</v>
      </c>
      <c r="E1428" s="1">
        <f ca="1">IFERROR(__xludf.DUMMYFUNCTION("""COMPUTED_VALUE"""),13.82)</f>
        <v>13.82</v>
      </c>
      <c r="F1428" s="1">
        <f ca="1">IFERROR(__xludf.DUMMYFUNCTION("""COMPUTED_VALUE"""),12811849)</f>
        <v>12811849</v>
      </c>
    </row>
    <row r="1429" spans="1:6" x14ac:dyDescent="0.35">
      <c r="A1429" s="2">
        <f ca="1">IFERROR(__xludf.DUMMYFUNCTION("""COMPUTED_VALUE"""),44076.6666666666)</f>
        <v>44076.666666666599</v>
      </c>
      <c r="B1429" s="1">
        <f ca="1">IFERROR(__xludf.DUMMYFUNCTION("""COMPUTED_VALUE"""),14.7)</f>
        <v>14.7</v>
      </c>
      <c r="C1429" s="1">
        <f ca="1">IFERROR(__xludf.DUMMYFUNCTION("""COMPUTED_VALUE"""),14.73)</f>
        <v>14.73</v>
      </c>
      <c r="D1429" s="1">
        <f ca="1">IFERROR(__xludf.DUMMYFUNCTION("""COMPUTED_VALUE"""),13.9)</f>
        <v>13.9</v>
      </c>
      <c r="E1429" s="1">
        <f ca="1">IFERROR(__xludf.DUMMYFUNCTION("""COMPUTED_VALUE"""),14.35)</f>
        <v>14.35</v>
      </c>
      <c r="F1429" s="1">
        <f ca="1">IFERROR(__xludf.DUMMYFUNCTION("""COMPUTED_VALUE"""),21850322)</f>
        <v>21850322</v>
      </c>
    </row>
    <row r="1430" spans="1:6" x14ac:dyDescent="0.35">
      <c r="A1430" s="2">
        <f ca="1">IFERROR(__xludf.DUMMYFUNCTION("""COMPUTED_VALUE"""),44077.6666666666)</f>
        <v>44077.666666666599</v>
      </c>
      <c r="B1430" s="1">
        <f ca="1">IFERROR(__xludf.DUMMYFUNCTION("""COMPUTED_VALUE"""),13.83)</f>
        <v>13.83</v>
      </c>
      <c r="C1430" s="1">
        <f ca="1">IFERROR(__xludf.DUMMYFUNCTION("""COMPUTED_VALUE"""),13.88)</f>
        <v>13.88</v>
      </c>
      <c r="D1430" s="1">
        <f ca="1">IFERROR(__xludf.DUMMYFUNCTION("""COMPUTED_VALUE"""),12.88)</f>
        <v>12.88</v>
      </c>
      <c r="E1430" s="1">
        <f ca="1">IFERROR(__xludf.DUMMYFUNCTION("""COMPUTED_VALUE"""),13.02)</f>
        <v>13.02</v>
      </c>
      <c r="F1430" s="1">
        <f ca="1">IFERROR(__xludf.DUMMYFUNCTION("""COMPUTED_VALUE"""),23628151)</f>
        <v>23628151</v>
      </c>
    </row>
    <row r="1431" spans="1:6" x14ac:dyDescent="0.35">
      <c r="A1431" s="2">
        <f ca="1">IFERROR(__xludf.DUMMYFUNCTION("""COMPUTED_VALUE"""),44078.6666666666)</f>
        <v>44078.666666666599</v>
      </c>
      <c r="B1431" s="1">
        <f ca="1">IFERROR(__xludf.DUMMYFUNCTION("""COMPUTED_VALUE"""),12.78)</f>
        <v>12.78</v>
      </c>
      <c r="C1431" s="1">
        <f ca="1">IFERROR(__xludf.DUMMYFUNCTION("""COMPUTED_VALUE"""),13.18)</f>
        <v>13.18</v>
      </c>
      <c r="D1431" s="1">
        <f ca="1">IFERROR(__xludf.DUMMYFUNCTION("""COMPUTED_VALUE"""),11.7)</f>
        <v>11.7</v>
      </c>
      <c r="E1431" s="1">
        <f ca="1">IFERROR(__xludf.DUMMYFUNCTION("""COMPUTED_VALUE"""),12.62)</f>
        <v>12.62</v>
      </c>
      <c r="F1431" s="1">
        <f ca="1">IFERROR(__xludf.DUMMYFUNCTION("""COMPUTED_VALUE"""),36592071)</f>
        <v>36592071</v>
      </c>
    </row>
    <row r="1432" spans="1:6" x14ac:dyDescent="0.35">
      <c r="A1432" s="2">
        <f ca="1">IFERROR(__xludf.DUMMYFUNCTION("""COMPUTED_VALUE"""),44082.6666666666)</f>
        <v>44082.666666666599</v>
      </c>
      <c r="B1432" s="1">
        <f ca="1">IFERROR(__xludf.DUMMYFUNCTION("""COMPUTED_VALUE"""),11.73)</f>
        <v>11.73</v>
      </c>
      <c r="C1432" s="1">
        <f ca="1">IFERROR(__xludf.DUMMYFUNCTION("""COMPUTED_VALUE"""),12.55)</f>
        <v>12.55</v>
      </c>
      <c r="D1432" s="1">
        <f ca="1">IFERROR(__xludf.DUMMYFUNCTION("""COMPUTED_VALUE"""),11.7)</f>
        <v>11.7</v>
      </c>
      <c r="E1432" s="1">
        <f ca="1">IFERROR(__xludf.DUMMYFUNCTION("""COMPUTED_VALUE"""),11.91)</f>
        <v>11.91</v>
      </c>
      <c r="F1432" s="1">
        <f ca="1">IFERROR(__xludf.DUMMYFUNCTION("""COMPUTED_VALUE"""),19893237)</f>
        <v>19893237</v>
      </c>
    </row>
    <row r="1433" spans="1:6" x14ac:dyDescent="0.35">
      <c r="A1433" s="2">
        <f ca="1">IFERROR(__xludf.DUMMYFUNCTION("""COMPUTED_VALUE"""),44083.6666666666)</f>
        <v>44083.666666666599</v>
      </c>
      <c r="B1433" s="1">
        <f ca="1">IFERROR(__xludf.DUMMYFUNCTION("""COMPUTED_VALUE"""),12.4)</f>
        <v>12.4</v>
      </c>
      <c r="C1433" s="1">
        <f ca="1">IFERROR(__xludf.DUMMYFUNCTION("""COMPUTED_VALUE"""),12.81)</f>
        <v>12.81</v>
      </c>
      <c r="D1433" s="1">
        <f ca="1">IFERROR(__xludf.DUMMYFUNCTION("""COMPUTED_VALUE"""),12.23)</f>
        <v>12.23</v>
      </c>
      <c r="E1433" s="1">
        <f ca="1">IFERROR(__xludf.DUMMYFUNCTION("""COMPUTED_VALUE"""),12.72)</f>
        <v>12.72</v>
      </c>
      <c r="F1433" s="1">
        <f ca="1">IFERROR(__xludf.DUMMYFUNCTION("""COMPUTED_VALUE"""),18404957)</f>
        <v>18404957</v>
      </c>
    </row>
    <row r="1434" spans="1:6" x14ac:dyDescent="0.35">
      <c r="A1434" s="2">
        <f ca="1">IFERROR(__xludf.DUMMYFUNCTION("""COMPUTED_VALUE"""),44084.6666666666)</f>
        <v>44084.666666666599</v>
      </c>
      <c r="B1434" s="1">
        <f ca="1">IFERROR(__xludf.DUMMYFUNCTION("""COMPUTED_VALUE"""),12.99)</f>
        <v>12.99</v>
      </c>
      <c r="C1434" s="1">
        <f ca="1">IFERROR(__xludf.DUMMYFUNCTION("""COMPUTED_VALUE"""),13.07)</f>
        <v>13.07</v>
      </c>
      <c r="D1434" s="1">
        <f ca="1">IFERROR(__xludf.DUMMYFUNCTION("""COMPUTED_VALUE"""),12.17)</f>
        <v>12.17</v>
      </c>
      <c r="E1434" s="1">
        <f ca="1">IFERROR(__xludf.DUMMYFUNCTION("""COMPUTED_VALUE"""),12.31)</f>
        <v>12.31</v>
      </c>
      <c r="F1434" s="1">
        <f ca="1">IFERROR(__xludf.DUMMYFUNCTION("""COMPUTED_VALUE"""),17467111)</f>
        <v>17467111</v>
      </c>
    </row>
    <row r="1435" spans="1:6" x14ac:dyDescent="0.35">
      <c r="A1435" s="2">
        <f ca="1">IFERROR(__xludf.DUMMYFUNCTION("""COMPUTED_VALUE"""),44085.6666666666)</f>
        <v>44085.666666666599</v>
      </c>
      <c r="B1435" s="1">
        <f ca="1">IFERROR(__xludf.DUMMYFUNCTION("""COMPUTED_VALUE"""),12.49)</f>
        <v>12.49</v>
      </c>
      <c r="C1435" s="1">
        <f ca="1">IFERROR(__xludf.DUMMYFUNCTION("""COMPUTED_VALUE"""),12.65)</f>
        <v>12.65</v>
      </c>
      <c r="D1435" s="1">
        <f ca="1">IFERROR(__xludf.DUMMYFUNCTION("""COMPUTED_VALUE"""),11.9)</f>
        <v>11.9</v>
      </c>
      <c r="E1435" s="1">
        <f ca="1">IFERROR(__xludf.DUMMYFUNCTION("""COMPUTED_VALUE"""),12.16)</f>
        <v>12.16</v>
      </c>
      <c r="F1435" s="1">
        <f ca="1">IFERROR(__xludf.DUMMYFUNCTION("""COMPUTED_VALUE"""),15923172)</f>
        <v>15923172</v>
      </c>
    </row>
    <row r="1436" spans="1:6" x14ac:dyDescent="0.35">
      <c r="A1436" s="2">
        <f ca="1">IFERROR(__xludf.DUMMYFUNCTION("""COMPUTED_VALUE"""),44088.6666666666)</f>
        <v>44088.666666666599</v>
      </c>
      <c r="B1436" s="1">
        <f ca="1">IFERROR(__xludf.DUMMYFUNCTION("""COMPUTED_VALUE"""),13.08)</f>
        <v>13.08</v>
      </c>
      <c r="C1436" s="1">
        <f ca="1">IFERROR(__xludf.DUMMYFUNCTION("""COMPUTED_VALUE"""),13.32)</f>
        <v>13.32</v>
      </c>
      <c r="D1436" s="1">
        <f ca="1">IFERROR(__xludf.DUMMYFUNCTION("""COMPUTED_VALUE"""),12.63)</f>
        <v>12.63</v>
      </c>
      <c r="E1436" s="1">
        <f ca="1">IFERROR(__xludf.DUMMYFUNCTION("""COMPUTED_VALUE"""),12.87)</f>
        <v>12.87</v>
      </c>
      <c r="F1436" s="1">
        <f ca="1">IFERROR(__xludf.DUMMYFUNCTION("""COMPUTED_VALUE"""),30043624)</f>
        <v>30043624</v>
      </c>
    </row>
    <row r="1437" spans="1:6" x14ac:dyDescent="0.35">
      <c r="A1437" s="2">
        <f ca="1">IFERROR(__xludf.DUMMYFUNCTION("""COMPUTED_VALUE"""),44089.6666666666)</f>
        <v>44089.666666666599</v>
      </c>
      <c r="B1437" s="1">
        <f ca="1">IFERROR(__xludf.DUMMYFUNCTION("""COMPUTED_VALUE"""),13.28)</f>
        <v>13.28</v>
      </c>
      <c r="C1437" s="1">
        <f ca="1">IFERROR(__xludf.DUMMYFUNCTION("""COMPUTED_VALUE"""),13.3)</f>
        <v>13.3</v>
      </c>
      <c r="D1437" s="1">
        <f ca="1">IFERROR(__xludf.DUMMYFUNCTION("""COMPUTED_VALUE"""),12.83)</f>
        <v>12.83</v>
      </c>
      <c r="E1437" s="1">
        <f ca="1">IFERROR(__xludf.DUMMYFUNCTION("""COMPUTED_VALUE"""),12.99)</f>
        <v>12.99</v>
      </c>
      <c r="F1437" s="1">
        <f ca="1">IFERROR(__xludf.DUMMYFUNCTION("""COMPUTED_VALUE"""),18188914)</f>
        <v>18188914</v>
      </c>
    </row>
    <row r="1438" spans="1:6" x14ac:dyDescent="0.35">
      <c r="A1438" s="2">
        <f ca="1">IFERROR(__xludf.DUMMYFUNCTION("""COMPUTED_VALUE"""),44090.6666666666)</f>
        <v>44090.666666666599</v>
      </c>
      <c r="B1438" s="1">
        <f ca="1">IFERROR(__xludf.DUMMYFUNCTION("""COMPUTED_VALUE"""),12.96)</f>
        <v>12.96</v>
      </c>
      <c r="C1438" s="1">
        <f ca="1">IFERROR(__xludf.DUMMYFUNCTION("""COMPUTED_VALUE"""),13.09)</f>
        <v>13.09</v>
      </c>
      <c r="D1438" s="1">
        <f ca="1">IFERROR(__xludf.DUMMYFUNCTION("""COMPUTED_VALUE"""),12.51)</f>
        <v>12.51</v>
      </c>
      <c r="E1438" s="1">
        <f ca="1">IFERROR(__xludf.DUMMYFUNCTION("""COMPUTED_VALUE"""),12.51)</f>
        <v>12.51</v>
      </c>
      <c r="F1438" s="1">
        <f ca="1">IFERROR(__xludf.DUMMYFUNCTION("""COMPUTED_VALUE"""),13939985)</f>
        <v>13939985</v>
      </c>
    </row>
    <row r="1439" spans="1:6" x14ac:dyDescent="0.35">
      <c r="A1439" s="2">
        <f ca="1">IFERROR(__xludf.DUMMYFUNCTION("""COMPUTED_VALUE"""),44091.6666666666)</f>
        <v>44091.666666666599</v>
      </c>
      <c r="B1439" s="1">
        <f ca="1">IFERROR(__xludf.DUMMYFUNCTION("""COMPUTED_VALUE"""),12.13)</f>
        <v>12.13</v>
      </c>
      <c r="C1439" s="1">
        <f ca="1">IFERROR(__xludf.DUMMYFUNCTION("""COMPUTED_VALUE"""),12.59)</f>
        <v>12.59</v>
      </c>
      <c r="D1439" s="1">
        <f ca="1">IFERROR(__xludf.DUMMYFUNCTION("""COMPUTED_VALUE"""),12.03)</f>
        <v>12.03</v>
      </c>
      <c r="E1439" s="1">
        <f ca="1">IFERROR(__xludf.DUMMYFUNCTION("""COMPUTED_VALUE"""),12.46)</f>
        <v>12.46</v>
      </c>
      <c r="F1439" s="1">
        <f ca="1">IFERROR(__xludf.DUMMYFUNCTION("""COMPUTED_VALUE"""),19812794)</f>
        <v>19812794</v>
      </c>
    </row>
    <row r="1440" spans="1:6" x14ac:dyDescent="0.35">
      <c r="A1440" s="2">
        <f ca="1">IFERROR(__xludf.DUMMYFUNCTION("""COMPUTED_VALUE"""),44092.6666666666)</f>
        <v>44092.666666666599</v>
      </c>
      <c r="B1440" s="1">
        <f ca="1">IFERROR(__xludf.DUMMYFUNCTION("""COMPUTED_VALUE"""),12.59)</f>
        <v>12.59</v>
      </c>
      <c r="C1440" s="1">
        <f ca="1">IFERROR(__xludf.DUMMYFUNCTION("""COMPUTED_VALUE"""),12.63)</f>
        <v>12.63</v>
      </c>
      <c r="D1440" s="1">
        <f ca="1">IFERROR(__xludf.DUMMYFUNCTION("""COMPUTED_VALUE"""),11.99)</f>
        <v>11.99</v>
      </c>
      <c r="E1440" s="1">
        <f ca="1">IFERROR(__xludf.DUMMYFUNCTION("""COMPUTED_VALUE"""),12.19)</f>
        <v>12.19</v>
      </c>
      <c r="F1440" s="1">
        <f ca="1">IFERROR(__xludf.DUMMYFUNCTION("""COMPUTED_VALUE"""),17461548)</f>
        <v>17461548</v>
      </c>
    </row>
    <row r="1441" spans="1:6" x14ac:dyDescent="0.35">
      <c r="A1441" s="2">
        <f ca="1">IFERROR(__xludf.DUMMYFUNCTION("""COMPUTED_VALUE"""),44095.6666666666)</f>
        <v>44095.666666666599</v>
      </c>
      <c r="B1441" s="1">
        <f ca="1">IFERROR(__xludf.DUMMYFUNCTION("""COMPUTED_VALUE"""),11.93)</f>
        <v>11.93</v>
      </c>
      <c r="C1441" s="1">
        <f ca="1">IFERROR(__xludf.DUMMYFUNCTION("""COMPUTED_VALUE"""),12.52)</f>
        <v>12.52</v>
      </c>
      <c r="D1441" s="1">
        <f ca="1">IFERROR(__xludf.DUMMYFUNCTION("""COMPUTED_VALUE"""),11.9)</f>
        <v>11.9</v>
      </c>
      <c r="E1441" s="1">
        <f ca="1">IFERROR(__xludf.DUMMYFUNCTION("""COMPUTED_VALUE"""),12.52)</f>
        <v>12.52</v>
      </c>
      <c r="F1441" s="1">
        <f ca="1">IFERROR(__xludf.DUMMYFUNCTION("""COMPUTED_VALUE"""),18026061)</f>
        <v>18026061</v>
      </c>
    </row>
    <row r="1442" spans="1:6" x14ac:dyDescent="0.35">
      <c r="A1442" s="2">
        <f ca="1">IFERROR(__xludf.DUMMYFUNCTION("""COMPUTED_VALUE"""),44096.6666666666)</f>
        <v>44096.666666666599</v>
      </c>
      <c r="B1442" s="1">
        <f ca="1">IFERROR(__xludf.DUMMYFUNCTION("""COMPUTED_VALUE"""),12.58)</f>
        <v>12.58</v>
      </c>
      <c r="C1442" s="1">
        <f ca="1">IFERROR(__xludf.DUMMYFUNCTION("""COMPUTED_VALUE"""),12.65)</f>
        <v>12.65</v>
      </c>
      <c r="D1442" s="1">
        <f ca="1">IFERROR(__xludf.DUMMYFUNCTION("""COMPUTED_VALUE"""),12.16)</f>
        <v>12.16</v>
      </c>
      <c r="E1442" s="1">
        <f ca="1">IFERROR(__xludf.DUMMYFUNCTION("""COMPUTED_VALUE"""),12.64)</f>
        <v>12.64</v>
      </c>
      <c r="F1442" s="1">
        <f ca="1">IFERROR(__xludf.DUMMYFUNCTION("""COMPUTED_VALUE"""),16161302)</f>
        <v>16161302</v>
      </c>
    </row>
    <row r="1443" spans="1:6" x14ac:dyDescent="0.35">
      <c r="A1443" s="2">
        <f ca="1">IFERROR(__xludf.DUMMYFUNCTION("""COMPUTED_VALUE"""),44097.6666666666)</f>
        <v>44097.666666666599</v>
      </c>
      <c r="B1443" s="1">
        <f ca="1">IFERROR(__xludf.DUMMYFUNCTION("""COMPUTED_VALUE"""),12.58)</f>
        <v>12.58</v>
      </c>
      <c r="C1443" s="1">
        <f ca="1">IFERROR(__xludf.DUMMYFUNCTION("""COMPUTED_VALUE"""),12.73)</f>
        <v>12.73</v>
      </c>
      <c r="D1443" s="1">
        <f ca="1">IFERROR(__xludf.DUMMYFUNCTION("""COMPUTED_VALUE"""),12.08)</f>
        <v>12.08</v>
      </c>
      <c r="E1443" s="1">
        <f ca="1">IFERROR(__xludf.DUMMYFUNCTION("""COMPUTED_VALUE"""),12.12)</f>
        <v>12.12</v>
      </c>
      <c r="F1443" s="1">
        <f ca="1">IFERROR(__xludf.DUMMYFUNCTION("""COMPUTED_VALUE"""),16175308)</f>
        <v>16175308</v>
      </c>
    </row>
    <row r="1444" spans="1:6" x14ac:dyDescent="0.35">
      <c r="A1444" s="2">
        <f ca="1">IFERROR(__xludf.DUMMYFUNCTION("""COMPUTED_VALUE"""),44098.6666666666)</f>
        <v>44098.666666666599</v>
      </c>
      <c r="B1444" s="1">
        <f ca="1">IFERROR(__xludf.DUMMYFUNCTION("""COMPUTED_VALUE"""),12.07)</f>
        <v>12.07</v>
      </c>
      <c r="C1444" s="1">
        <f ca="1">IFERROR(__xludf.DUMMYFUNCTION("""COMPUTED_VALUE"""),12.57)</f>
        <v>12.57</v>
      </c>
      <c r="D1444" s="1">
        <f ca="1">IFERROR(__xludf.DUMMYFUNCTION("""COMPUTED_VALUE"""),12.01)</f>
        <v>12.01</v>
      </c>
      <c r="E1444" s="1">
        <f ca="1">IFERROR(__xludf.DUMMYFUNCTION("""COMPUTED_VALUE"""),12.35)</f>
        <v>12.35</v>
      </c>
      <c r="F1444" s="1">
        <f ca="1">IFERROR(__xludf.DUMMYFUNCTION("""COMPUTED_VALUE"""),18281008)</f>
        <v>18281008</v>
      </c>
    </row>
    <row r="1445" spans="1:6" x14ac:dyDescent="0.35">
      <c r="A1445" s="2">
        <f ca="1">IFERROR(__xludf.DUMMYFUNCTION("""COMPUTED_VALUE"""),44099.6666666666)</f>
        <v>44099.666666666599</v>
      </c>
      <c r="B1445" s="1">
        <f ca="1">IFERROR(__xludf.DUMMYFUNCTION("""COMPUTED_VALUE"""),12.45)</f>
        <v>12.45</v>
      </c>
      <c r="C1445" s="1">
        <f ca="1">IFERROR(__xludf.DUMMYFUNCTION("""COMPUTED_VALUE"""),12.88)</f>
        <v>12.88</v>
      </c>
      <c r="D1445" s="1">
        <f ca="1">IFERROR(__xludf.DUMMYFUNCTION("""COMPUTED_VALUE"""),12.25)</f>
        <v>12.25</v>
      </c>
      <c r="E1445" s="1">
        <f ca="1">IFERROR(__xludf.DUMMYFUNCTION("""COMPUTED_VALUE"""),12.87)</f>
        <v>12.87</v>
      </c>
      <c r="F1445" s="1">
        <f ca="1">IFERROR(__xludf.DUMMYFUNCTION("""COMPUTED_VALUE"""),14700407)</f>
        <v>14700407</v>
      </c>
    </row>
    <row r="1446" spans="1:6" x14ac:dyDescent="0.35">
      <c r="A1446" s="2">
        <f ca="1">IFERROR(__xludf.DUMMYFUNCTION("""COMPUTED_VALUE"""),44102.6666666666)</f>
        <v>44102.666666666599</v>
      </c>
      <c r="B1446" s="1">
        <f ca="1">IFERROR(__xludf.DUMMYFUNCTION("""COMPUTED_VALUE"""),13.04)</f>
        <v>13.04</v>
      </c>
      <c r="C1446" s="1">
        <f ca="1">IFERROR(__xludf.DUMMYFUNCTION("""COMPUTED_VALUE"""),13.05)</f>
        <v>13.05</v>
      </c>
      <c r="D1446" s="1">
        <f ca="1">IFERROR(__xludf.DUMMYFUNCTION("""COMPUTED_VALUE"""),12.75)</f>
        <v>12.75</v>
      </c>
      <c r="E1446" s="1">
        <f ca="1">IFERROR(__xludf.DUMMYFUNCTION("""COMPUTED_VALUE"""),13.04)</f>
        <v>13.04</v>
      </c>
      <c r="F1446" s="1">
        <f ca="1">IFERROR(__xludf.DUMMYFUNCTION("""COMPUTED_VALUE"""),14345228)</f>
        <v>14345228</v>
      </c>
    </row>
    <row r="1447" spans="1:6" x14ac:dyDescent="0.35">
      <c r="A1447" s="2">
        <f ca="1">IFERROR(__xludf.DUMMYFUNCTION("""COMPUTED_VALUE"""),44103.6666666666)</f>
        <v>44103.666666666599</v>
      </c>
      <c r="B1447" s="1">
        <f ca="1">IFERROR(__xludf.DUMMYFUNCTION("""COMPUTED_VALUE"""),12.94)</f>
        <v>12.94</v>
      </c>
      <c r="C1447" s="1">
        <f ca="1">IFERROR(__xludf.DUMMYFUNCTION("""COMPUTED_VALUE"""),13.44)</f>
        <v>13.44</v>
      </c>
      <c r="D1447" s="1">
        <f ca="1">IFERROR(__xludf.DUMMYFUNCTION("""COMPUTED_VALUE"""),12.93)</f>
        <v>12.93</v>
      </c>
      <c r="E1447" s="1">
        <f ca="1">IFERROR(__xludf.DUMMYFUNCTION("""COMPUTED_VALUE"""),13.23)</f>
        <v>13.23</v>
      </c>
      <c r="F1447" s="1">
        <f ca="1">IFERROR(__xludf.DUMMYFUNCTION("""COMPUTED_VALUE"""),15575124)</f>
        <v>15575124</v>
      </c>
    </row>
    <row r="1448" spans="1:6" x14ac:dyDescent="0.35">
      <c r="A1448" s="2">
        <f ca="1">IFERROR(__xludf.DUMMYFUNCTION("""COMPUTED_VALUE"""),44104.6666666666)</f>
        <v>44104.666666666599</v>
      </c>
      <c r="B1448" s="1">
        <f ca="1">IFERROR(__xludf.DUMMYFUNCTION("""COMPUTED_VALUE"""),13.16)</f>
        <v>13.16</v>
      </c>
      <c r="C1448" s="1">
        <f ca="1">IFERROR(__xludf.DUMMYFUNCTION("""COMPUTED_VALUE"""),13.62)</f>
        <v>13.62</v>
      </c>
      <c r="D1448" s="1">
        <f ca="1">IFERROR(__xludf.DUMMYFUNCTION("""COMPUTED_VALUE"""),13.15)</f>
        <v>13.15</v>
      </c>
      <c r="E1448" s="1">
        <f ca="1">IFERROR(__xludf.DUMMYFUNCTION("""COMPUTED_VALUE"""),13.53)</f>
        <v>13.53</v>
      </c>
      <c r="F1448" s="1">
        <f ca="1">IFERROR(__xludf.DUMMYFUNCTION("""COMPUTED_VALUE"""),17229603)</f>
        <v>17229603</v>
      </c>
    </row>
    <row r="1449" spans="1:6" x14ac:dyDescent="0.35">
      <c r="A1449" s="2">
        <f ca="1">IFERROR(__xludf.DUMMYFUNCTION("""COMPUTED_VALUE"""),44105.6666666666)</f>
        <v>44105.666666666599</v>
      </c>
      <c r="B1449" s="1">
        <f ca="1">IFERROR(__xludf.DUMMYFUNCTION("""COMPUTED_VALUE"""),13.76)</f>
        <v>13.76</v>
      </c>
      <c r="C1449" s="1">
        <f ca="1">IFERROR(__xludf.DUMMYFUNCTION("""COMPUTED_VALUE"""),13.76)</f>
        <v>13.76</v>
      </c>
      <c r="D1449" s="1">
        <f ca="1">IFERROR(__xludf.DUMMYFUNCTION("""COMPUTED_VALUE"""),13.46)</f>
        <v>13.46</v>
      </c>
      <c r="E1449" s="1">
        <f ca="1">IFERROR(__xludf.DUMMYFUNCTION("""COMPUTED_VALUE"""),13.61)</f>
        <v>13.61</v>
      </c>
      <c r="F1449" s="1">
        <f ca="1">IFERROR(__xludf.DUMMYFUNCTION("""COMPUTED_VALUE"""),13125059)</f>
        <v>13125059</v>
      </c>
    </row>
    <row r="1450" spans="1:6" x14ac:dyDescent="0.35">
      <c r="A1450" s="2">
        <f ca="1">IFERROR(__xludf.DUMMYFUNCTION("""COMPUTED_VALUE"""),44106.6666666666)</f>
        <v>44106.666666666599</v>
      </c>
      <c r="B1450" s="1">
        <f ca="1">IFERROR(__xludf.DUMMYFUNCTION("""COMPUTED_VALUE"""),13.23)</f>
        <v>13.23</v>
      </c>
      <c r="C1450" s="1">
        <f ca="1">IFERROR(__xludf.DUMMYFUNCTION("""COMPUTED_VALUE"""),13.52)</f>
        <v>13.52</v>
      </c>
      <c r="D1450" s="1">
        <f ca="1">IFERROR(__xludf.DUMMYFUNCTION("""COMPUTED_VALUE"""),13.05)</f>
        <v>13.05</v>
      </c>
      <c r="E1450" s="1">
        <f ca="1">IFERROR(__xludf.DUMMYFUNCTION("""COMPUTED_VALUE"""),13.06)</f>
        <v>13.06</v>
      </c>
      <c r="F1450" s="1">
        <f ca="1">IFERROR(__xludf.DUMMYFUNCTION("""COMPUTED_VALUE"""),13812397)</f>
        <v>13812397</v>
      </c>
    </row>
    <row r="1451" spans="1:6" x14ac:dyDescent="0.35">
      <c r="A1451" s="2">
        <f ca="1">IFERROR(__xludf.DUMMYFUNCTION("""COMPUTED_VALUE"""),44109.6666666666)</f>
        <v>44109.666666666599</v>
      </c>
      <c r="B1451" s="1">
        <f ca="1">IFERROR(__xludf.DUMMYFUNCTION("""COMPUTED_VALUE"""),13.24)</f>
        <v>13.24</v>
      </c>
      <c r="C1451" s="1">
        <f ca="1">IFERROR(__xludf.DUMMYFUNCTION("""COMPUTED_VALUE"""),13.64)</f>
        <v>13.64</v>
      </c>
      <c r="D1451" s="1">
        <f ca="1">IFERROR(__xludf.DUMMYFUNCTION("""COMPUTED_VALUE"""),13.22)</f>
        <v>13.22</v>
      </c>
      <c r="E1451" s="1">
        <f ca="1">IFERROR(__xludf.DUMMYFUNCTION("""COMPUTED_VALUE"""),13.64)</f>
        <v>13.64</v>
      </c>
      <c r="F1451" s="1">
        <f ca="1">IFERROR(__xludf.DUMMYFUNCTION("""COMPUTED_VALUE"""),11995457)</f>
        <v>11995457</v>
      </c>
    </row>
    <row r="1452" spans="1:6" x14ac:dyDescent="0.35">
      <c r="A1452" s="2">
        <f ca="1">IFERROR(__xludf.DUMMYFUNCTION("""COMPUTED_VALUE"""),44110.6666666666)</f>
        <v>44110.666666666599</v>
      </c>
      <c r="B1452" s="1">
        <f ca="1">IFERROR(__xludf.DUMMYFUNCTION("""COMPUTED_VALUE"""),13.83)</f>
        <v>13.83</v>
      </c>
      <c r="C1452" s="1">
        <f ca="1">IFERROR(__xludf.DUMMYFUNCTION("""COMPUTED_VALUE"""),14.14)</f>
        <v>14.14</v>
      </c>
      <c r="D1452" s="1">
        <f ca="1">IFERROR(__xludf.DUMMYFUNCTION("""COMPUTED_VALUE"""),13.67)</f>
        <v>13.67</v>
      </c>
      <c r="E1452" s="1">
        <f ca="1">IFERROR(__xludf.DUMMYFUNCTION("""COMPUTED_VALUE"""),13.74)</f>
        <v>13.74</v>
      </c>
      <c r="F1452" s="1">
        <f ca="1">IFERROR(__xludf.DUMMYFUNCTION("""COMPUTED_VALUE"""),19610496)</f>
        <v>19610496</v>
      </c>
    </row>
    <row r="1453" spans="1:6" x14ac:dyDescent="0.35">
      <c r="A1453" s="2">
        <f ca="1">IFERROR(__xludf.DUMMYFUNCTION("""COMPUTED_VALUE"""),44111.6666666666)</f>
        <v>44111.666666666599</v>
      </c>
      <c r="B1453" s="1">
        <f ca="1">IFERROR(__xludf.DUMMYFUNCTION("""COMPUTED_VALUE"""),14)</f>
        <v>14</v>
      </c>
      <c r="C1453" s="1">
        <f ca="1">IFERROR(__xludf.DUMMYFUNCTION("""COMPUTED_VALUE"""),14.12)</f>
        <v>14.12</v>
      </c>
      <c r="D1453" s="1">
        <f ca="1">IFERROR(__xludf.DUMMYFUNCTION("""COMPUTED_VALUE"""),13.86)</f>
        <v>13.86</v>
      </c>
      <c r="E1453" s="1">
        <f ca="1">IFERROR(__xludf.DUMMYFUNCTION("""COMPUTED_VALUE"""),13.96)</f>
        <v>13.96</v>
      </c>
      <c r="F1453" s="1">
        <f ca="1">IFERROR(__xludf.DUMMYFUNCTION("""COMPUTED_VALUE"""),10452129)</f>
        <v>10452129</v>
      </c>
    </row>
    <row r="1454" spans="1:6" x14ac:dyDescent="0.35">
      <c r="A1454" s="2">
        <f ca="1">IFERROR(__xludf.DUMMYFUNCTION("""COMPUTED_VALUE"""),44112.6666666666)</f>
        <v>44112.666666666599</v>
      </c>
      <c r="B1454" s="1">
        <f ca="1">IFERROR(__xludf.DUMMYFUNCTION("""COMPUTED_VALUE"""),14.08)</f>
        <v>14.08</v>
      </c>
      <c r="C1454" s="1">
        <f ca="1">IFERROR(__xludf.DUMMYFUNCTION("""COMPUTED_VALUE"""),14.08)</f>
        <v>14.08</v>
      </c>
      <c r="D1454" s="1">
        <f ca="1">IFERROR(__xludf.DUMMYFUNCTION("""COMPUTED_VALUE"""),13.76)</f>
        <v>13.76</v>
      </c>
      <c r="E1454" s="1">
        <f ca="1">IFERROR(__xludf.DUMMYFUNCTION("""COMPUTED_VALUE"""),13.84)</f>
        <v>13.84</v>
      </c>
      <c r="F1454" s="1">
        <f ca="1">IFERROR(__xludf.DUMMYFUNCTION("""COMPUTED_VALUE"""),9472522)</f>
        <v>9472522</v>
      </c>
    </row>
    <row r="1455" spans="1:6" x14ac:dyDescent="0.35">
      <c r="A1455" s="2">
        <f ca="1">IFERROR(__xludf.DUMMYFUNCTION("""COMPUTED_VALUE"""),44113.6666666666)</f>
        <v>44113.666666666599</v>
      </c>
      <c r="B1455" s="1">
        <f ca="1">IFERROR(__xludf.DUMMYFUNCTION("""COMPUTED_VALUE"""),13.77)</f>
        <v>13.77</v>
      </c>
      <c r="C1455" s="1">
        <f ca="1">IFERROR(__xludf.DUMMYFUNCTION("""COMPUTED_VALUE"""),13.82)</f>
        <v>13.82</v>
      </c>
      <c r="D1455" s="1">
        <f ca="1">IFERROR(__xludf.DUMMYFUNCTION("""COMPUTED_VALUE"""),13.66)</f>
        <v>13.66</v>
      </c>
      <c r="E1455" s="1">
        <f ca="1">IFERROR(__xludf.DUMMYFUNCTION("""COMPUTED_VALUE"""),13.76)</f>
        <v>13.76</v>
      </c>
      <c r="F1455" s="1">
        <f ca="1">IFERROR(__xludf.DUMMYFUNCTION("""COMPUTED_VALUE"""),8672273)</f>
        <v>8672273</v>
      </c>
    </row>
    <row r="1456" spans="1:6" x14ac:dyDescent="0.35">
      <c r="A1456" s="2">
        <f ca="1">IFERROR(__xludf.DUMMYFUNCTION("""COMPUTED_VALUE"""),44116.6666666666)</f>
        <v>44116.666666666599</v>
      </c>
      <c r="B1456" s="1">
        <f ca="1">IFERROR(__xludf.DUMMYFUNCTION("""COMPUTED_VALUE"""),13.99)</f>
        <v>13.99</v>
      </c>
      <c r="C1456" s="1">
        <f ca="1">IFERROR(__xludf.DUMMYFUNCTION("""COMPUTED_VALUE"""),14.35)</f>
        <v>14.35</v>
      </c>
      <c r="D1456" s="1">
        <f ca="1">IFERROR(__xludf.DUMMYFUNCTION("""COMPUTED_VALUE"""),13.91)</f>
        <v>13.91</v>
      </c>
      <c r="E1456" s="1">
        <f ca="1">IFERROR(__xludf.DUMMYFUNCTION("""COMPUTED_VALUE"""),14.23)</f>
        <v>14.23</v>
      </c>
      <c r="F1456" s="1">
        <f ca="1">IFERROR(__xludf.DUMMYFUNCTION("""COMPUTED_VALUE"""),10868595)</f>
        <v>10868595</v>
      </c>
    </row>
    <row r="1457" spans="1:6" x14ac:dyDescent="0.35">
      <c r="A1457" s="2">
        <f ca="1">IFERROR(__xludf.DUMMYFUNCTION("""COMPUTED_VALUE"""),44117.6666666666)</f>
        <v>44117.666666666599</v>
      </c>
      <c r="B1457" s="1">
        <f ca="1">IFERROR(__xludf.DUMMYFUNCTION("""COMPUTED_VALUE"""),14.3)</f>
        <v>14.3</v>
      </c>
      <c r="C1457" s="1">
        <f ca="1">IFERROR(__xludf.DUMMYFUNCTION("""COMPUTED_VALUE"""),14.35)</f>
        <v>14.35</v>
      </c>
      <c r="D1457" s="1">
        <f ca="1">IFERROR(__xludf.DUMMYFUNCTION("""COMPUTED_VALUE"""),14.02)</f>
        <v>14.02</v>
      </c>
      <c r="E1457" s="1">
        <f ca="1">IFERROR(__xludf.DUMMYFUNCTION("""COMPUTED_VALUE"""),14.25)</f>
        <v>14.25</v>
      </c>
      <c r="F1457" s="1">
        <f ca="1">IFERROR(__xludf.DUMMYFUNCTION("""COMPUTED_VALUE"""),8615078)</f>
        <v>8615078</v>
      </c>
    </row>
    <row r="1458" spans="1:6" x14ac:dyDescent="0.35">
      <c r="A1458" s="2">
        <f ca="1">IFERROR(__xludf.DUMMYFUNCTION("""COMPUTED_VALUE"""),44118.6666666666)</f>
        <v>44118.666666666599</v>
      </c>
      <c r="B1458" s="1">
        <f ca="1">IFERROR(__xludf.DUMMYFUNCTION("""COMPUTED_VALUE"""),14.29)</f>
        <v>14.29</v>
      </c>
      <c r="C1458" s="1">
        <f ca="1">IFERROR(__xludf.DUMMYFUNCTION("""COMPUTED_VALUE"""),14.34)</f>
        <v>14.34</v>
      </c>
      <c r="D1458" s="1">
        <f ca="1">IFERROR(__xludf.DUMMYFUNCTION("""COMPUTED_VALUE"""),13.96)</f>
        <v>13.96</v>
      </c>
      <c r="E1458" s="1">
        <f ca="1">IFERROR(__xludf.DUMMYFUNCTION("""COMPUTED_VALUE"""),14.1)</f>
        <v>14.1</v>
      </c>
      <c r="F1458" s="1">
        <f ca="1">IFERROR(__xludf.DUMMYFUNCTION("""COMPUTED_VALUE"""),6916178)</f>
        <v>6916178</v>
      </c>
    </row>
    <row r="1459" spans="1:6" x14ac:dyDescent="0.35">
      <c r="A1459" s="2">
        <f ca="1">IFERROR(__xludf.DUMMYFUNCTION("""COMPUTED_VALUE"""),44119.6666666666)</f>
        <v>44119.666666666599</v>
      </c>
      <c r="B1459" s="1">
        <f ca="1">IFERROR(__xludf.DUMMYFUNCTION("""COMPUTED_VALUE"""),13.81)</f>
        <v>13.81</v>
      </c>
      <c r="C1459" s="1">
        <f ca="1">IFERROR(__xludf.DUMMYFUNCTION("""COMPUTED_VALUE"""),14.01)</f>
        <v>14.01</v>
      </c>
      <c r="D1459" s="1">
        <f ca="1">IFERROR(__xludf.DUMMYFUNCTION("""COMPUTED_VALUE"""),13.77)</f>
        <v>13.77</v>
      </c>
      <c r="E1459" s="1">
        <f ca="1">IFERROR(__xludf.DUMMYFUNCTION("""COMPUTED_VALUE"""),13.97)</f>
        <v>13.97</v>
      </c>
      <c r="F1459" s="1">
        <f ca="1">IFERROR(__xludf.DUMMYFUNCTION("""COMPUTED_VALUE"""),6680628)</f>
        <v>6680628</v>
      </c>
    </row>
    <row r="1460" spans="1:6" x14ac:dyDescent="0.35">
      <c r="A1460" s="2">
        <f ca="1">IFERROR(__xludf.DUMMYFUNCTION("""COMPUTED_VALUE"""),44120.6666666666)</f>
        <v>44120.666666666599</v>
      </c>
      <c r="B1460" s="1">
        <f ca="1">IFERROR(__xludf.DUMMYFUNCTION("""COMPUTED_VALUE"""),14.04)</f>
        <v>14.04</v>
      </c>
      <c r="C1460" s="1">
        <f ca="1">IFERROR(__xludf.DUMMYFUNCTION("""COMPUTED_VALUE"""),14.12)</f>
        <v>14.12</v>
      </c>
      <c r="D1460" s="1">
        <f ca="1">IFERROR(__xludf.DUMMYFUNCTION("""COMPUTED_VALUE"""),13.79)</f>
        <v>13.79</v>
      </c>
      <c r="E1460" s="1">
        <f ca="1">IFERROR(__xludf.DUMMYFUNCTION("""COMPUTED_VALUE"""),13.81)</f>
        <v>13.81</v>
      </c>
      <c r="F1460" s="1">
        <f ca="1">IFERROR(__xludf.DUMMYFUNCTION("""COMPUTED_VALUE"""),6065990)</f>
        <v>6065990</v>
      </c>
    </row>
    <row r="1461" spans="1:6" x14ac:dyDescent="0.35">
      <c r="A1461" s="2">
        <f ca="1">IFERROR(__xludf.DUMMYFUNCTION("""COMPUTED_VALUE"""),44123.6666666666)</f>
        <v>44123.666666666599</v>
      </c>
      <c r="B1461" s="1">
        <f ca="1">IFERROR(__xludf.DUMMYFUNCTION("""COMPUTED_VALUE"""),13.9)</f>
        <v>13.9</v>
      </c>
      <c r="C1461" s="1">
        <f ca="1">IFERROR(__xludf.DUMMYFUNCTION("""COMPUTED_VALUE"""),13.98)</f>
        <v>13.98</v>
      </c>
      <c r="D1461" s="1">
        <f ca="1">IFERROR(__xludf.DUMMYFUNCTION("""COMPUTED_VALUE"""),13.41)</f>
        <v>13.41</v>
      </c>
      <c r="E1461" s="1">
        <f ca="1">IFERROR(__xludf.DUMMYFUNCTION("""COMPUTED_VALUE"""),13.5)</f>
        <v>13.5</v>
      </c>
      <c r="F1461" s="1">
        <f ca="1">IFERROR(__xludf.DUMMYFUNCTION("""COMPUTED_VALUE"""),7451714)</f>
        <v>7451714</v>
      </c>
    </row>
    <row r="1462" spans="1:6" x14ac:dyDescent="0.35">
      <c r="A1462" s="2">
        <f ca="1">IFERROR(__xludf.DUMMYFUNCTION("""COMPUTED_VALUE"""),44124.6666666666)</f>
        <v>44124.666666666599</v>
      </c>
      <c r="B1462" s="1">
        <f ca="1">IFERROR(__xludf.DUMMYFUNCTION("""COMPUTED_VALUE"""),13.58)</f>
        <v>13.58</v>
      </c>
      <c r="C1462" s="1">
        <f ca="1">IFERROR(__xludf.DUMMYFUNCTION("""COMPUTED_VALUE"""),13.8)</f>
        <v>13.8</v>
      </c>
      <c r="D1462" s="1">
        <f ca="1">IFERROR(__xludf.DUMMYFUNCTION("""COMPUTED_VALUE"""),13.51)</f>
        <v>13.51</v>
      </c>
      <c r="E1462" s="1">
        <f ca="1">IFERROR(__xludf.DUMMYFUNCTION("""COMPUTED_VALUE"""),13.65)</f>
        <v>13.65</v>
      </c>
      <c r="F1462" s="1">
        <f ca="1">IFERROR(__xludf.DUMMYFUNCTION("""COMPUTED_VALUE"""),5730301)</f>
        <v>5730301</v>
      </c>
    </row>
    <row r="1463" spans="1:6" x14ac:dyDescent="0.35">
      <c r="A1463" s="2">
        <f ca="1">IFERROR(__xludf.DUMMYFUNCTION("""COMPUTED_VALUE"""),44125.6666666666)</f>
        <v>44125.666666666599</v>
      </c>
      <c r="B1463" s="1">
        <f ca="1">IFERROR(__xludf.DUMMYFUNCTION("""COMPUTED_VALUE"""),13.63)</f>
        <v>13.63</v>
      </c>
      <c r="C1463" s="1">
        <f ca="1">IFERROR(__xludf.DUMMYFUNCTION("""COMPUTED_VALUE"""),13.79)</f>
        <v>13.79</v>
      </c>
      <c r="D1463" s="1">
        <f ca="1">IFERROR(__xludf.DUMMYFUNCTION("""COMPUTED_VALUE"""),13.48)</f>
        <v>13.48</v>
      </c>
      <c r="E1463" s="1">
        <f ca="1">IFERROR(__xludf.DUMMYFUNCTION("""COMPUTED_VALUE"""),13.52)</f>
        <v>13.52</v>
      </c>
      <c r="F1463" s="1">
        <f ca="1">IFERROR(__xludf.DUMMYFUNCTION("""COMPUTED_VALUE"""),5489933)</f>
        <v>5489933</v>
      </c>
    </row>
    <row r="1464" spans="1:6" x14ac:dyDescent="0.35">
      <c r="A1464" s="2">
        <f ca="1">IFERROR(__xludf.DUMMYFUNCTION("""COMPUTED_VALUE"""),44126.6666666666)</f>
        <v>44126.666666666599</v>
      </c>
      <c r="B1464" s="1">
        <f ca="1">IFERROR(__xludf.DUMMYFUNCTION("""COMPUTED_VALUE"""),13.52)</f>
        <v>13.52</v>
      </c>
      <c r="C1464" s="1">
        <f ca="1">IFERROR(__xludf.DUMMYFUNCTION("""COMPUTED_VALUE"""),13.61)</f>
        <v>13.61</v>
      </c>
      <c r="D1464" s="1">
        <f ca="1">IFERROR(__xludf.DUMMYFUNCTION("""COMPUTED_VALUE"""),13.23)</f>
        <v>13.23</v>
      </c>
      <c r="E1464" s="1">
        <f ca="1">IFERROR(__xludf.DUMMYFUNCTION("""COMPUTED_VALUE"""),13.36)</f>
        <v>13.36</v>
      </c>
      <c r="F1464" s="1">
        <f ca="1">IFERROR(__xludf.DUMMYFUNCTION("""COMPUTED_VALUE"""),7261986)</f>
        <v>7261986</v>
      </c>
    </row>
    <row r="1465" spans="1:6" x14ac:dyDescent="0.35">
      <c r="A1465" s="2">
        <f ca="1">IFERROR(__xludf.DUMMYFUNCTION("""COMPUTED_VALUE"""),44127.6666666666)</f>
        <v>44127.666666666599</v>
      </c>
      <c r="B1465" s="1">
        <f ca="1">IFERROR(__xludf.DUMMYFUNCTION("""COMPUTED_VALUE"""),13.45)</f>
        <v>13.45</v>
      </c>
      <c r="C1465" s="1">
        <f ca="1">IFERROR(__xludf.DUMMYFUNCTION("""COMPUTED_VALUE"""),13.59)</f>
        <v>13.59</v>
      </c>
      <c r="D1465" s="1">
        <f ca="1">IFERROR(__xludf.DUMMYFUNCTION("""COMPUTED_VALUE"""),13.29)</f>
        <v>13.29</v>
      </c>
      <c r="E1465" s="1">
        <f ca="1">IFERROR(__xludf.DUMMYFUNCTION("""COMPUTED_VALUE"""),13.59)</f>
        <v>13.59</v>
      </c>
      <c r="F1465" s="1">
        <f ca="1">IFERROR(__xludf.DUMMYFUNCTION("""COMPUTED_VALUE"""),5837107)</f>
        <v>5837107</v>
      </c>
    </row>
    <row r="1466" spans="1:6" x14ac:dyDescent="0.35">
      <c r="A1466" s="2">
        <f ca="1">IFERROR(__xludf.DUMMYFUNCTION("""COMPUTED_VALUE"""),44130.6666666666)</f>
        <v>44130.666666666599</v>
      </c>
      <c r="B1466" s="1">
        <f ca="1">IFERROR(__xludf.DUMMYFUNCTION("""COMPUTED_VALUE"""),13.43)</f>
        <v>13.43</v>
      </c>
      <c r="C1466" s="1">
        <f ca="1">IFERROR(__xludf.DUMMYFUNCTION("""COMPUTED_VALUE"""),13.69)</f>
        <v>13.69</v>
      </c>
      <c r="D1466" s="1">
        <f ca="1">IFERROR(__xludf.DUMMYFUNCTION("""COMPUTED_VALUE"""),13.04)</f>
        <v>13.04</v>
      </c>
      <c r="E1466" s="1">
        <f ca="1">IFERROR(__xludf.DUMMYFUNCTION("""COMPUTED_VALUE"""),13.14)</f>
        <v>13.14</v>
      </c>
      <c r="F1466" s="1">
        <f ca="1">IFERROR(__xludf.DUMMYFUNCTION("""COMPUTED_VALUE"""),8422358)</f>
        <v>8422358</v>
      </c>
    </row>
    <row r="1467" spans="1:6" x14ac:dyDescent="0.35">
      <c r="A1467" s="2">
        <f ca="1">IFERROR(__xludf.DUMMYFUNCTION("""COMPUTED_VALUE"""),44131.6666666666)</f>
        <v>44131.666666666599</v>
      </c>
      <c r="B1467" s="1">
        <f ca="1">IFERROR(__xludf.DUMMYFUNCTION("""COMPUTED_VALUE"""),13.31)</f>
        <v>13.31</v>
      </c>
      <c r="C1467" s="1">
        <f ca="1">IFERROR(__xludf.DUMMYFUNCTION("""COMPUTED_VALUE"""),13.44)</f>
        <v>13.44</v>
      </c>
      <c r="D1467" s="1">
        <f ca="1">IFERROR(__xludf.DUMMYFUNCTION("""COMPUTED_VALUE"""),13.19)</f>
        <v>13.19</v>
      </c>
      <c r="E1467" s="1">
        <f ca="1">IFERROR(__xludf.DUMMYFUNCTION("""COMPUTED_VALUE"""),13.4)</f>
        <v>13.4</v>
      </c>
      <c r="F1467" s="1">
        <f ca="1">IFERROR(__xludf.DUMMYFUNCTION("""COMPUTED_VALUE"""),6262992)</f>
        <v>6262992</v>
      </c>
    </row>
    <row r="1468" spans="1:6" x14ac:dyDescent="0.35">
      <c r="A1468" s="2">
        <f ca="1">IFERROR(__xludf.DUMMYFUNCTION("""COMPUTED_VALUE"""),44132.6666666666)</f>
        <v>44132.666666666599</v>
      </c>
      <c r="B1468" s="1">
        <f ca="1">IFERROR(__xludf.DUMMYFUNCTION("""COMPUTED_VALUE"""),13.2)</f>
        <v>13.2</v>
      </c>
      <c r="C1468" s="1">
        <f ca="1">IFERROR(__xludf.DUMMYFUNCTION("""COMPUTED_VALUE"""),13.26)</f>
        <v>13.26</v>
      </c>
      <c r="D1468" s="1">
        <f ca="1">IFERROR(__xludf.DUMMYFUNCTION("""COMPUTED_VALUE"""),12.61)</f>
        <v>12.61</v>
      </c>
      <c r="E1468" s="1">
        <f ca="1">IFERROR(__xludf.DUMMYFUNCTION("""COMPUTED_VALUE"""),12.63)</f>
        <v>12.63</v>
      </c>
      <c r="F1468" s="1">
        <f ca="1">IFERROR(__xludf.DUMMYFUNCTION("""COMPUTED_VALUE"""),9412952)</f>
        <v>9412952</v>
      </c>
    </row>
    <row r="1469" spans="1:6" x14ac:dyDescent="0.35">
      <c r="A1469" s="2">
        <f ca="1">IFERROR(__xludf.DUMMYFUNCTION("""COMPUTED_VALUE"""),44133.6666666666)</f>
        <v>44133.666666666599</v>
      </c>
      <c r="B1469" s="1">
        <f ca="1">IFERROR(__xludf.DUMMYFUNCTION("""COMPUTED_VALUE"""),12.84)</f>
        <v>12.84</v>
      </c>
      <c r="C1469" s="1">
        <f ca="1">IFERROR(__xludf.DUMMYFUNCTION("""COMPUTED_VALUE"""),13.19)</f>
        <v>13.19</v>
      </c>
      <c r="D1469" s="1">
        <f ca="1">IFERROR(__xludf.DUMMYFUNCTION("""COMPUTED_VALUE"""),12.75)</f>
        <v>12.75</v>
      </c>
      <c r="E1469" s="1">
        <f ca="1">IFERROR(__xludf.DUMMYFUNCTION("""COMPUTED_VALUE"""),13.02)</f>
        <v>13.02</v>
      </c>
      <c r="F1469" s="1">
        <f ca="1">IFERROR(__xludf.DUMMYFUNCTION("""COMPUTED_VALUE"""),8002046)</f>
        <v>8002046</v>
      </c>
    </row>
    <row r="1470" spans="1:6" x14ac:dyDescent="0.35">
      <c r="A1470" s="2">
        <f ca="1">IFERROR(__xludf.DUMMYFUNCTION("""COMPUTED_VALUE"""),44134.6666666666)</f>
        <v>44134.666666666599</v>
      </c>
      <c r="B1470" s="1">
        <f ca="1">IFERROR(__xludf.DUMMYFUNCTION("""COMPUTED_VALUE"""),12.85)</f>
        <v>12.85</v>
      </c>
      <c r="C1470" s="1">
        <f ca="1">IFERROR(__xludf.DUMMYFUNCTION("""COMPUTED_VALUE"""),12.94)</f>
        <v>12.94</v>
      </c>
      <c r="D1470" s="1">
        <f ca="1">IFERROR(__xludf.DUMMYFUNCTION("""COMPUTED_VALUE"""),12.3)</f>
        <v>12.3</v>
      </c>
      <c r="E1470" s="1">
        <f ca="1">IFERROR(__xludf.DUMMYFUNCTION("""COMPUTED_VALUE"""),12.53)</f>
        <v>12.53</v>
      </c>
      <c r="F1470" s="1">
        <f ca="1">IFERROR(__xludf.DUMMYFUNCTION("""COMPUTED_VALUE"""),10434900)</f>
        <v>10434900</v>
      </c>
    </row>
    <row r="1471" spans="1:6" x14ac:dyDescent="0.35">
      <c r="A1471" s="2">
        <f ca="1">IFERROR(__xludf.DUMMYFUNCTION("""COMPUTED_VALUE"""),44137.6666666666)</f>
        <v>44137.666666666599</v>
      </c>
      <c r="B1471" s="1">
        <f ca="1">IFERROR(__xludf.DUMMYFUNCTION("""COMPUTED_VALUE"""),12.66)</f>
        <v>12.66</v>
      </c>
      <c r="C1471" s="1">
        <f ca="1">IFERROR(__xludf.DUMMYFUNCTION("""COMPUTED_VALUE"""),12.84)</f>
        <v>12.84</v>
      </c>
      <c r="D1471" s="1">
        <f ca="1">IFERROR(__xludf.DUMMYFUNCTION("""COMPUTED_VALUE"""),12.4)</f>
        <v>12.4</v>
      </c>
      <c r="E1471" s="1">
        <f ca="1">IFERROR(__xludf.DUMMYFUNCTION("""COMPUTED_VALUE"""),12.58)</f>
        <v>12.58</v>
      </c>
      <c r="F1471" s="1">
        <f ca="1">IFERROR(__xludf.DUMMYFUNCTION("""COMPUTED_VALUE"""),7491316)</f>
        <v>7491316</v>
      </c>
    </row>
    <row r="1472" spans="1:6" x14ac:dyDescent="0.35">
      <c r="A1472" s="2">
        <f ca="1">IFERROR(__xludf.DUMMYFUNCTION("""COMPUTED_VALUE"""),44138.6666666666)</f>
        <v>44138.666666666599</v>
      </c>
      <c r="B1472" s="1">
        <f ca="1">IFERROR(__xludf.DUMMYFUNCTION("""COMPUTED_VALUE"""),12.71)</f>
        <v>12.71</v>
      </c>
      <c r="C1472" s="1">
        <f ca="1">IFERROR(__xludf.DUMMYFUNCTION("""COMPUTED_VALUE"""),13.11)</f>
        <v>13.11</v>
      </c>
      <c r="D1472" s="1">
        <f ca="1">IFERROR(__xludf.DUMMYFUNCTION("""COMPUTED_VALUE"""),12.6)</f>
        <v>12.6</v>
      </c>
      <c r="E1472" s="1">
        <f ca="1">IFERROR(__xludf.DUMMYFUNCTION("""COMPUTED_VALUE"""),13.02)</f>
        <v>13.02</v>
      </c>
      <c r="F1472" s="1">
        <f ca="1">IFERROR(__xludf.DUMMYFUNCTION("""COMPUTED_VALUE"""),6822527)</f>
        <v>6822527</v>
      </c>
    </row>
    <row r="1473" spans="1:6" x14ac:dyDescent="0.35">
      <c r="A1473" s="2">
        <f ca="1">IFERROR(__xludf.DUMMYFUNCTION("""COMPUTED_VALUE"""),44139.6666666666)</f>
        <v>44139.666666666599</v>
      </c>
      <c r="B1473" s="1">
        <f ca="1">IFERROR(__xludf.DUMMYFUNCTION("""COMPUTED_VALUE"""),13.39)</f>
        <v>13.39</v>
      </c>
      <c r="C1473" s="1">
        <f ca="1">IFERROR(__xludf.DUMMYFUNCTION("""COMPUTED_VALUE"""),13.83)</f>
        <v>13.83</v>
      </c>
      <c r="D1473" s="1">
        <f ca="1">IFERROR(__xludf.DUMMYFUNCTION("""COMPUTED_VALUE"""),13.34)</f>
        <v>13.34</v>
      </c>
      <c r="E1473" s="1">
        <f ca="1">IFERROR(__xludf.DUMMYFUNCTION("""COMPUTED_VALUE"""),13.79)</f>
        <v>13.79</v>
      </c>
      <c r="F1473" s="1">
        <f ca="1">IFERROR(__xludf.DUMMYFUNCTION("""COMPUTED_VALUE"""),10255732)</f>
        <v>10255732</v>
      </c>
    </row>
    <row r="1474" spans="1:6" x14ac:dyDescent="0.35">
      <c r="A1474" s="2">
        <f ca="1">IFERROR(__xludf.DUMMYFUNCTION("""COMPUTED_VALUE"""),44140.6666666666)</f>
        <v>44140.666666666599</v>
      </c>
      <c r="B1474" s="1">
        <f ca="1">IFERROR(__xludf.DUMMYFUNCTION("""COMPUTED_VALUE"""),14.16)</f>
        <v>14.16</v>
      </c>
      <c r="C1474" s="1">
        <f ca="1">IFERROR(__xludf.DUMMYFUNCTION("""COMPUTED_VALUE"""),14.34)</f>
        <v>14.34</v>
      </c>
      <c r="D1474" s="1">
        <f ca="1">IFERROR(__xludf.DUMMYFUNCTION("""COMPUTED_VALUE"""),13.99)</f>
        <v>13.99</v>
      </c>
      <c r="E1474" s="1">
        <f ca="1">IFERROR(__xludf.DUMMYFUNCTION("""COMPUTED_VALUE"""),14.16)</f>
        <v>14.16</v>
      </c>
      <c r="F1474" s="1">
        <f ca="1">IFERROR(__xludf.DUMMYFUNCTION("""COMPUTED_VALUE"""),7975708)</f>
        <v>7975708</v>
      </c>
    </row>
    <row r="1475" spans="1:6" x14ac:dyDescent="0.35">
      <c r="A1475" s="2">
        <f ca="1">IFERROR(__xludf.DUMMYFUNCTION("""COMPUTED_VALUE"""),44141.6666666666)</f>
        <v>44141.666666666599</v>
      </c>
      <c r="B1475" s="1">
        <f ca="1">IFERROR(__xludf.DUMMYFUNCTION("""COMPUTED_VALUE"""),14.11)</f>
        <v>14.11</v>
      </c>
      <c r="C1475" s="1">
        <f ca="1">IFERROR(__xludf.DUMMYFUNCTION("""COMPUTED_VALUE"""),14.59)</f>
        <v>14.59</v>
      </c>
      <c r="D1475" s="1">
        <f ca="1">IFERROR(__xludf.DUMMYFUNCTION("""COMPUTED_VALUE"""),13.9)</f>
        <v>13.9</v>
      </c>
      <c r="E1475" s="1">
        <f ca="1">IFERROR(__xludf.DUMMYFUNCTION("""COMPUTED_VALUE"""),14.56)</f>
        <v>14.56</v>
      </c>
      <c r="F1475" s="1">
        <f ca="1">IFERROR(__xludf.DUMMYFUNCTION("""COMPUTED_VALUE"""),9583732)</f>
        <v>9583732</v>
      </c>
    </row>
    <row r="1476" spans="1:6" x14ac:dyDescent="0.35">
      <c r="A1476" s="2">
        <f ca="1">IFERROR(__xludf.DUMMYFUNCTION("""COMPUTED_VALUE"""),44144.6666666666)</f>
        <v>44144.666666666599</v>
      </c>
      <c r="B1476" s="1">
        <f ca="1">IFERROR(__xludf.DUMMYFUNCTION("""COMPUTED_VALUE"""),14.55)</f>
        <v>14.55</v>
      </c>
      <c r="C1476" s="1">
        <f ca="1">IFERROR(__xludf.DUMMYFUNCTION("""COMPUTED_VALUE"""),14.69)</f>
        <v>14.69</v>
      </c>
      <c r="D1476" s="1">
        <f ca="1">IFERROR(__xludf.DUMMYFUNCTION("""COMPUTED_VALUE"""),13.61)</f>
        <v>13.61</v>
      </c>
      <c r="E1476" s="1">
        <f ca="1">IFERROR(__xludf.DUMMYFUNCTION("""COMPUTED_VALUE"""),13.63)</f>
        <v>13.63</v>
      </c>
      <c r="F1476" s="1">
        <f ca="1">IFERROR(__xludf.DUMMYFUNCTION("""COMPUTED_VALUE"""),14574447)</f>
        <v>14574447</v>
      </c>
    </row>
    <row r="1477" spans="1:6" x14ac:dyDescent="0.35">
      <c r="A1477" s="2">
        <f ca="1">IFERROR(__xludf.DUMMYFUNCTION("""COMPUTED_VALUE"""),44145.6666666666)</f>
        <v>44145.666666666599</v>
      </c>
      <c r="B1477" s="1">
        <f ca="1">IFERROR(__xludf.DUMMYFUNCTION("""COMPUTED_VALUE"""),13.61)</f>
        <v>13.61</v>
      </c>
      <c r="C1477" s="1">
        <f ca="1">IFERROR(__xludf.DUMMYFUNCTION("""COMPUTED_VALUE"""),13.61)</f>
        <v>13.61</v>
      </c>
      <c r="D1477" s="1">
        <f ca="1">IFERROR(__xludf.DUMMYFUNCTION("""COMPUTED_VALUE"""),12.63)</f>
        <v>12.63</v>
      </c>
      <c r="E1477" s="1">
        <f ca="1">IFERROR(__xludf.DUMMYFUNCTION("""COMPUTED_VALUE"""),12.77)</f>
        <v>12.77</v>
      </c>
      <c r="F1477" s="1">
        <f ca="1">IFERROR(__xludf.DUMMYFUNCTION("""COMPUTED_VALUE"""),16101680)</f>
        <v>16101680</v>
      </c>
    </row>
    <row r="1478" spans="1:6" x14ac:dyDescent="0.35">
      <c r="A1478" s="2">
        <f ca="1">IFERROR(__xludf.DUMMYFUNCTION("""COMPUTED_VALUE"""),44146.6666666666)</f>
        <v>44146.666666666599</v>
      </c>
      <c r="B1478" s="1">
        <f ca="1">IFERROR(__xludf.DUMMYFUNCTION("""COMPUTED_VALUE"""),13.05)</f>
        <v>13.05</v>
      </c>
      <c r="C1478" s="1">
        <f ca="1">IFERROR(__xludf.DUMMYFUNCTION("""COMPUTED_VALUE"""),13.43)</f>
        <v>13.43</v>
      </c>
      <c r="D1478" s="1">
        <f ca="1">IFERROR(__xludf.DUMMYFUNCTION("""COMPUTED_VALUE"""),12.95)</f>
        <v>12.95</v>
      </c>
      <c r="E1478" s="1">
        <f ca="1">IFERROR(__xludf.DUMMYFUNCTION("""COMPUTED_VALUE"""),13.42)</f>
        <v>13.42</v>
      </c>
      <c r="F1478" s="1">
        <f ca="1">IFERROR(__xludf.DUMMYFUNCTION("""COMPUTED_VALUE"""),10118586)</f>
        <v>10118586</v>
      </c>
    </row>
    <row r="1479" spans="1:6" x14ac:dyDescent="0.35">
      <c r="A1479" s="2">
        <f ca="1">IFERROR(__xludf.DUMMYFUNCTION("""COMPUTED_VALUE"""),44147.6666666666)</f>
        <v>44147.666666666599</v>
      </c>
      <c r="B1479" s="1">
        <f ca="1">IFERROR(__xludf.DUMMYFUNCTION("""COMPUTED_VALUE"""),13.48)</f>
        <v>13.48</v>
      </c>
      <c r="C1479" s="1">
        <f ca="1">IFERROR(__xludf.DUMMYFUNCTION("""COMPUTED_VALUE"""),13.77)</f>
        <v>13.77</v>
      </c>
      <c r="D1479" s="1">
        <f ca="1">IFERROR(__xludf.DUMMYFUNCTION("""COMPUTED_VALUE"""),13.32)</f>
        <v>13.32</v>
      </c>
      <c r="E1479" s="1">
        <f ca="1">IFERROR(__xludf.DUMMYFUNCTION("""COMPUTED_VALUE"""),13.46)</f>
        <v>13.46</v>
      </c>
      <c r="F1479" s="1">
        <f ca="1">IFERROR(__xludf.DUMMYFUNCTION("""COMPUTED_VALUE"""),9165875)</f>
        <v>9165875</v>
      </c>
    </row>
    <row r="1480" spans="1:6" x14ac:dyDescent="0.35">
      <c r="A1480" s="2">
        <f ca="1">IFERROR(__xludf.DUMMYFUNCTION("""COMPUTED_VALUE"""),44148.6666666666)</f>
        <v>44148.666666666599</v>
      </c>
      <c r="B1480" s="1">
        <f ca="1">IFERROR(__xludf.DUMMYFUNCTION("""COMPUTED_VALUE"""),13.63)</f>
        <v>13.63</v>
      </c>
      <c r="C1480" s="1">
        <f ca="1">IFERROR(__xludf.DUMMYFUNCTION("""COMPUTED_VALUE"""),13.67)</f>
        <v>13.67</v>
      </c>
      <c r="D1480" s="1">
        <f ca="1">IFERROR(__xludf.DUMMYFUNCTION("""COMPUTED_VALUE"""),13.06)</f>
        <v>13.06</v>
      </c>
      <c r="E1480" s="1">
        <f ca="1">IFERROR(__xludf.DUMMYFUNCTION("""COMPUTED_VALUE"""),13.3)</f>
        <v>13.3</v>
      </c>
      <c r="F1480" s="1">
        <f ca="1">IFERROR(__xludf.DUMMYFUNCTION("""COMPUTED_VALUE"""),8669058)</f>
        <v>8669058</v>
      </c>
    </row>
    <row r="1481" spans="1:6" x14ac:dyDescent="0.35">
      <c r="A1481" s="2">
        <f ca="1">IFERROR(__xludf.DUMMYFUNCTION("""COMPUTED_VALUE"""),44151.6666666666)</f>
        <v>44151.666666666599</v>
      </c>
      <c r="B1481" s="1">
        <f ca="1">IFERROR(__xludf.DUMMYFUNCTION("""COMPUTED_VALUE"""),13.17)</f>
        <v>13.17</v>
      </c>
      <c r="C1481" s="1">
        <f ca="1">IFERROR(__xludf.DUMMYFUNCTION("""COMPUTED_VALUE"""),13.65)</f>
        <v>13.65</v>
      </c>
      <c r="D1481" s="1">
        <f ca="1">IFERROR(__xludf.DUMMYFUNCTION("""COMPUTED_VALUE"""),13.16)</f>
        <v>13.16</v>
      </c>
      <c r="E1481" s="1">
        <f ca="1">IFERROR(__xludf.DUMMYFUNCTION("""COMPUTED_VALUE"""),13.52)</f>
        <v>13.52</v>
      </c>
      <c r="F1481" s="1">
        <f ca="1">IFERROR(__xludf.DUMMYFUNCTION("""COMPUTED_VALUE"""),10344370)</f>
        <v>10344370</v>
      </c>
    </row>
    <row r="1482" spans="1:6" x14ac:dyDescent="0.35">
      <c r="A1482" s="2">
        <f ca="1">IFERROR(__xludf.DUMMYFUNCTION("""COMPUTED_VALUE"""),44152.6666666666)</f>
        <v>44152.666666666599</v>
      </c>
      <c r="B1482" s="1">
        <f ca="1">IFERROR(__xludf.DUMMYFUNCTION("""COMPUTED_VALUE"""),13.55)</f>
        <v>13.55</v>
      </c>
      <c r="C1482" s="1">
        <f ca="1">IFERROR(__xludf.DUMMYFUNCTION("""COMPUTED_VALUE"""),13.6)</f>
        <v>13.6</v>
      </c>
      <c r="D1482" s="1">
        <f ca="1">IFERROR(__xludf.DUMMYFUNCTION("""COMPUTED_VALUE"""),13.3)</f>
        <v>13.3</v>
      </c>
      <c r="E1482" s="1">
        <f ca="1">IFERROR(__xludf.DUMMYFUNCTION("""COMPUTED_VALUE"""),13.42)</f>
        <v>13.42</v>
      </c>
      <c r="F1482" s="1">
        <f ca="1">IFERROR(__xludf.DUMMYFUNCTION("""COMPUTED_VALUE"""),7800699)</f>
        <v>7800699</v>
      </c>
    </row>
    <row r="1483" spans="1:6" x14ac:dyDescent="0.35">
      <c r="A1483" s="2">
        <f ca="1">IFERROR(__xludf.DUMMYFUNCTION("""COMPUTED_VALUE"""),44153.6666666666)</f>
        <v>44153.666666666599</v>
      </c>
      <c r="B1483" s="1">
        <f ca="1">IFERROR(__xludf.DUMMYFUNCTION("""COMPUTED_VALUE"""),13.47)</f>
        <v>13.47</v>
      </c>
      <c r="C1483" s="1">
        <f ca="1">IFERROR(__xludf.DUMMYFUNCTION("""COMPUTED_VALUE"""),13.61)</f>
        <v>13.61</v>
      </c>
      <c r="D1483" s="1">
        <f ca="1">IFERROR(__xludf.DUMMYFUNCTION("""COMPUTED_VALUE"""),13.19)</f>
        <v>13.19</v>
      </c>
      <c r="E1483" s="1">
        <f ca="1">IFERROR(__xludf.DUMMYFUNCTION("""COMPUTED_VALUE"""),13.43)</f>
        <v>13.43</v>
      </c>
      <c r="F1483" s="1">
        <f ca="1">IFERROR(__xludf.DUMMYFUNCTION("""COMPUTED_VALUE"""),12773133)</f>
        <v>12773133</v>
      </c>
    </row>
    <row r="1484" spans="1:6" x14ac:dyDescent="0.35">
      <c r="A1484" s="2">
        <f ca="1">IFERROR(__xludf.DUMMYFUNCTION("""COMPUTED_VALUE"""),44154.6666666666)</f>
        <v>44154.666666666599</v>
      </c>
      <c r="B1484" s="1">
        <f ca="1">IFERROR(__xludf.DUMMYFUNCTION("""COMPUTED_VALUE"""),13.21)</f>
        <v>13.21</v>
      </c>
      <c r="C1484" s="1">
        <f ca="1">IFERROR(__xludf.DUMMYFUNCTION("""COMPUTED_VALUE"""),13.49)</f>
        <v>13.49</v>
      </c>
      <c r="D1484" s="1">
        <f ca="1">IFERROR(__xludf.DUMMYFUNCTION("""COMPUTED_VALUE"""),13.1)</f>
        <v>13.1</v>
      </c>
      <c r="E1484" s="1">
        <f ca="1">IFERROR(__xludf.DUMMYFUNCTION("""COMPUTED_VALUE"""),13.44)</f>
        <v>13.44</v>
      </c>
      <c r="F1484" s="1">
        <f ca="1">IFERROR(__xludf.DUMMYFUNCTION("""COMPUTED_VALUE"""),14148355)</f>
        <v>14148355</v>
      </c>
    </row>
    <row r="1485" spans="1:6" x14ac:dyDescent="0.35">
      <c r="A1485" s="2">
        <f ca="1">IFERROR(__xludf.DUMMYFUNCTION("""COMPUTED_VALUE"""),44155.6666666666)</f>
        <v>44155.666666666599</v>
      </c>
      <c r="B1485" s="1">
        <f ca="1">IFERROR(__xludf.DUMMYFUNCTION("""COMPUTED_VALUE"""),13.45)</f>
        <v>13.45</v>
      </c>
      <c r="C1485" s="1">
        <f ca="1">IFERROR(__xludf.DUMMYFUNCTION("""COMPUTED_VALUE"""),13.49)</f>
        <v>13.49</v>
      </c>
      <c r="D1485" s="1">
        <f ca="1">IFERROR(__xludf.DUMMYFUNCTION("""COMPUTED_VALUE"""),13.07)</f>
        <v>13.07</v>
      </c>
      <c r="E1485" s="1">
        <f ca="1">IFERROR(__xludf.DUMMYFUNCTION("""COMPUTED_VALUE"""),13.09)</f>
        <v>13.09</v>
      </c>
      <c r="F1485" s="1">
        <f ca="1">IFERROR(__xludf.DUMMYFUNCTION("""COMPUTED_VALUE"""),8527245)</f>
        <v>8527245</v>
      </c>
    </row>
    <row r="1486" spans="1:6" x14ac:dyDescent="0.35">
      <c r="A1486" s="2">
        <f ca="1">IFERROR(__xludf.DUMMYFUNCTION("""COMPUTED_VALUE"""),44158.6666666666)</f>
        <v>44158.666666666599</v>
      </c>
      <c r="B1486" s="1">
        <f ca="1">IFERROR(__xludf.DUMMYFUNCTION("""COMPUTED_VALUE"""),13.17)</f>
        <v>13.17</v>
      </c>
      <c r="C1486" s="1">
        <f ca="1">IFERROR(__xludf.DUMMYFUNCTION("""COMPUTED_VALUE"""),13.38)</f>
        <v>13.38</v>
      </c>
      <c r="D1486" s="1">
        <f ca="1">IFERROR(__xludf.DUMMYFUNCTION("""COMPUTED_VALUE"""),13.02)</f>
        <v>13.02</v>
      </c>
      <c r="E1486" s="1">
        <f ca="1">IFERROR(__xludf.DUMMYFUNCTION("""COMPUTED_VALUE"""),13.14)</f>
        <v>13.14</v>
      </c>
      <c r="F1486" s="1">
        <f ca="1">IFERROR(__xludf.DUMMYFUNCTION("""COMPUTED_VALUE"""),9033855)</f>
        <v>9033855</v>
      </c>
    </row>
    <row r="1487" spans="1:6" x14ac:dyDescent="0.35">
      <c r="A1487" s="2">
        <f ca="1">IFERROR(__xludf.DUMMYFUNCTION("""COMPUTED_VALUE"""),44159.6666666666)</f>
        <v>44159.666666666599</v>
      </c>
      <c r="B1487" s="1">
        <f ca="1">IFERROR(__xludf.DUMMYFUNCTION("""COMPUTED_VALUE"""),13.14)</f>
        <v>13.14</v>
      </c>
      <c r="C1487" s="1">
        <f ca="1">IFERROR(__xludf.DUMMYFUNCTION("""COMPUTED_VALUE"""),13.16)</f>
        <v>13.16</v>
      </c>
      <c r="D1487" s="1">
        <f ca="1">IFERROR(__xludf.DUMMYFUNCTION("""COMPUTED_VALUE"""),12.89)</f>
        <v>12.89</v>
      </c>
      <c r="E1487" s="1">
        <f ca="1">IFERROR(__xludf.DUMMYFUNCTION("""COMPUTED_VALUE"""),12.96)</f>
        <v>12.96</v>
      </c>
      <c r="F1487" s="1">
        <f ca="1">IFERROR(__xludf.DUMMYFUNCTION("""COMPUTED_VALUE"""),8662499)</f>
        <v>8662499</v>
      </c>
    </row>
    <row r="1488" spans="1:6" x14ac:dyDescent="0.35">
      <c r="A1488" s="2">
        <f ca="1">IFERROR(__xludf.DUMMYFUNCTION("""COMPUTED_VALUE"""),44160.6666666666)</f>
        <v>44160.666666666599</v>
      </c>
      <c r="B1488" s="1">
        <f ca="1">IFERROR(__xludf.DUMMYFUNCTION("""COMPUTED_VALUE"""),13.03)</f>
        <v>13.03</v>
      </c>
      <c r="C1488" s="1">
        <f ca="1">IFERROR(__xludf.DUMMYFUNCTION("""COMPUTED_VALUE"""),13.27)</f>
        <v>13.27</v>
      </c>
      <c r="D1488" s="1">
        <f ca="1">IFERROR(__xludf.DUMMYFUNCTION("""COMPUTED_VALUE"""),13.02)</f>
        <v>13.02</v>
      </c>
      <c r="E1488" s="1">
        <f ca="1">IFERROR(__xludf.DUMMYFUNCTION("""COMPUTED_VALUE"""),13.23)</f>
        <v>13.23</v>
      </c>
      <c r="F1488" s="1">
        <f ca="1">IFERROR(__xludf.DUMMYFUNCTION("""COMPUTED_VALUE"""),6497910)</f>
        <v>6497910</v>
      </c>
    </row>
    <row r="1489" spans="1:6" x14ac:dyDescent="0.35">
      <c r="A1489" s="2">
        <f ca="1">IFERROR(__xludf.DUMMYFUNCTION("""COMPUTED_VALUE"""),44162.5416666666)</f>
        <v>44162.541666666599</v>
      </c>
      <c r="B1489" s="1">
        <f ca="1">IFERROR(__xludf.DUMMYFUNCTION("""COMPUTED_VALUE"""),13.38)</f>
        <v>13.38</v>
      </c>
      <c r="C1489" s="1">
        <f ca="1">IFERROR(__xludf.DUMMYFUNCTION("""COMPUTED_VALUE"""),13.41)</f>
        <v>13.41</v>
      </c>
      <c r="D1489" s="1">
        <f ca="1">IFERROR(__xludf.DUMMYFUNCTION("""COMPUTED_VALUE"""),13.17)</f>
        <v>13.17</v>
      </c>
      <c r="E1489" s="1">
        <f ca="1">IFERROR(__xludf.DUMMYFUNCTION("""COMPUTED_VALUE"""),13.26)</f>
        <v>13.26</v>
      </c>
      <c r="F1489" s="1">
        <f ca="1">IFERROR(__xludf.DUMMYFUNCTION("""COMPUTED_VALUE"""),4181880)</f>
        <v>4181880</v>
      </c>
    </row>
    <row r="1490" spans="1:6" x14ac:dyDescent="0.35">
      <c r="A1490" s="2">
        <f ca="1">IFERROR(__xludf.DUMMYFUNCTION("""COMPUTED_VALUE"""),44165.6666666666)</f>
        <v>44165.666666666599</v>
      </c>
      <c r="B1490" s="1">
        <f ca="1">IFERROR(__xludf.DUMMYFUNCTION("""COMPUTED_VALUE"""),13.27)</f>
        <v>13.27</v>
      </c>
      <c r="C1490" s="1">
        <f ca="1">IFERROR(__xludf.DUMMYFUNCTION("""COMPUTED_VALUE"""),13.41)</f>
        <v>13.41</v>
      </c>
      <c r="D1490" s="1">
        <f ca="1">IFERROR(__xludf.DUMMYFUNCTION("""COMPUTED_VALUE"""),12.97)</f>
        <v>12.97</v>
      </c>
      <c r="E1490" s="1">
        <f ca="1">IFERROR(__xludf.DUMMYFUNCTION("""COMPUTED_VALUE"""),13.4)</f>
        <v>13.4</v>
      </c>
      <c r="F1490" s="1">
        <f ca="1">IFERROR(__xludf.DUMMYFUNCTION("""COMPUTED_VALUE"""),7173800)</f>
        <v>7173800</v>
      </c>
    </row>
    <row r="1491" spans="1:6" x14ac:dyDescent="0.35">
      <c r="A1491" s="2">
        <f ca="1">IFERROR(__xludf.DUMMYFUNCTION("""COMPUTED_VALUE"""),44166.6666666666)</f>
        <v>44166.666666666599</v>
      </c>
      <c r="B1491" s="1">
        <f ca="1">IFERROR(__xludf.DUMMYFUNCTION("""COMPUTED_VALUE"""),13.49)</f>
        <v>13.49</v>
      </c>
      <c r="C1491" s="1">
        <f ca="1">IFERROR(__xludf.DUMMYFUNCTION("""COMPUTED_VALUE"""),13.53)</f>
        <v>13.53</v>
      </c>
      <c r="D1491" s="1">
        <f ca="1">IFERROR(__xludf.DUMMYFUNCTION("""COMPUTED_VALUE"""),13.23)</f>
        <v>13.23</v>
      </c>
      <c r="E1491" s="1">
        <f ca="1">IFERROR(__xludf.DUMMYFUNCTION("""COMPUTED_VALUE"""),13.39)</f>
        <v>13.39</v>
      </c>
      <c r="F1491" s="1">
        <f ca="1">IFERROR(__xludf.DUMMYFUNCTION("""COMPUTED_VALUE"""),7439282)</f>
        <v>7439282</v>
      </c>
    </row>
    <row r="1492" spans="1:6" x14ac:dyDescent="0.35">
      <c r="A1492" s="2">
        <f ca="1">IFERROR(__xludf.DUMMYFUNCTION("""COMPUTED_VALUE"""),44167.6666666666)</f>
        <v>44167.666666666599</v>
      </c>
      <c r="B1492" s="1">
        <f ca="1">IFERROR(__xludf.DUMMYFUNCTION("""COMPUTED_VALUE"""),13.35)</f>
        <v>13.35</v>
      </c>
      <c r="C1492" s="1">
        <f ca="1">IFERROR(__xludf.DUMMYFUNCTION("""COMPUTED_VALUE"""),13.67)</f>
        <v>13.67</v>
      </c>
      <c r="D1492" s="1">
        <f ca="1">IFERROR(__xludf.DUMMYFUNCTION("""COMPUTED_VALUE"""),13.23)</f>
        <v>13.23</v>
      </c>
      <c r="E1492" s="1">
        <f ca="1">IFERROR(__xludf.DUMMYFUNCTION("""COMPUTED_VALUE"""),13.54)</f>
        <v>13.54</v>
      </c>
      <c r="F1492" s="1">
        <f ca="1">IFERROR(__xludf.DUMMYFUNCTION("""COMPUTED_VALUE"""),7084030)</f>
        <v>7084030</v>
      </c>
    </row>
    <row r="1493" spans="1:6" x14ac:dyDescent="0.35">
      <c r="A1493" s="2">
        <f ca="1">IFERROR(__xludf.DUMMYFUNCTION("""COMPUTED_VALUE"""),44168.6666666666)</f>
        <v>44168.666666666599</v>
      </c>
      <c r="B1493" s="1">
        <f ca="1">IFERROR(__xludf.DUMMYFUNCTION("""COMPUTED_VALUE"""),13.59)</f>
        <v>13.59</v>
      </c>
      <c r="C1493" s="1">
        <f ca="1">IFERROR(__xludf.DUMMYFUNCTION("""COMPUTED_VALUE"""),13.66)</f>
        <v>13.66</v>
      </c>
      <c r="D1493" s="1">
        <f ca="1">IFERROR(__xludf.DUMMYFUNCTION("""COMPUTED_VALUE"""),13.33)</f>
        <v>13.33</v>
      </c>
      <c r="E1493" s="1">
        <f ca="1">IFERROR(__xludf.DUMMYFUNCTION("""COMPUTED_VALUE"""),13.4)</f>
        <v>13.4</v>
      </c>
      <c r="F1493" s="1">
        <f ca="1">IFERROR(__xludf.DUMMYFUNCTION("""COMPUTED_VALUE"""),4988016)</f>
        <v>4988016</v>
      </c>
    </row>
    <row r="1494" spans="1:6" x14ac:dyDescent="0.35">
      <c r="A1494" s="2">
        <f ca="1">IFERROR(__xludf.DUMMYFUNCTION("""COMPUTED_VALUE"""),44169.6666666666)</f>
        <v>44169.666666666599</v>
      </c>
      <c r="B1494" s="1">
        <f ca="1">IFERROR(__xludf.DUMMYFUNCTION("""COMPUTED_VALUE"""),13.45)</f>
        <v>13.45</v>
      </c>
      <c r="C1494" s="1">
        <f ca="1">IFERROR(__xludf.DUMMYFUNCTION("""COMPUTED_VALUE"""),13.56)</f>
        <v>13.56</v>
      </c>
      <c r="D1494" s="1">
        <f ca="1">IFERROR(__xludf.DUMMYFUNCTION("""COMPUTED_VALUE"""),13.39)</f>
        <v>13.39</v>
      </c>
      <c r="E1494" s="1">
        <f ca="1">IFERROR(__xludf.DUMMYFUNCTION("""COMPUTED_VALUE"""),13.56)</f>
        <v>13.56</v>
      </c>
      <c r="F1494" s="1">
        <f ca="1">IFERROR(__xludf.DUMMYFUNCTION("""COMPUTED_VALUE"""),5056085)</f>
        <v>5056085</v>
      </c>
    </row>
    <row r="1495" spans="1:6" x14ac:dyDescent="0.35">
      <c r="A1495" s="2">
        <f ca="1">IFERROR(__xludf.DUMMYFUNCTION("""COMPUTED_VALUE"""),44172.6666666666)</f>
        <v>44172.666666666599</v>
      </c>
      <c r="B1495" s="1">
        <f ca="1">IFERROR(__xludf.DUMMYFUNCTION("""COMPUTED_VALUE"""),13.6)</f>
        <v>13.6</v>
      </c>
      <c r="C1495" s="1">
        <f ca="1">IFERROR(__xludf.DUMMYFUNCTION("""COMPUTED_VALUE"""),13.73)</f>
        <v>13.73</v>
      </c>
      <c r="D1495" s="1">
        <f ca="1">IFERROR(__xludf.DUMMYFUNCTION("""COMPUTED_VALUE"""),13.5)</f>
        <v>13.5</v>
      </c>
      <c r="E1495" s="1">
        <f ca="1">IFERROR(__xludf.DUMMYFUNCTION("""COMPUTED_VALUE"""),13.61)</f>
        <v>13.61</v>
      </c>
      <c r="F1495" s="1">
        <f ca="1">IFERROR(__xludf.DUMMYFUNCTION("""COMPUTED_VALUE"""),5581081)</f>
        <v>5581081</v>
      </c>
    </row>
    <row r="1496" spans="1:6" x14ac:dyDescent="0.35">
      <c r="A1496" s="2">
        <f ca="1">IFERROR(__xludf.DUMMYFUNCTION("""COMPUTED_VALUE"""),44173.6666666666)</f>
        <v>44173.666666666599</v>
      </c>
      <c r="B1496" s="1">
        <f ca="1">IFERROR(__xludf.DUMMYFUNCTION("""COMPUTED_VALUE"""),13.59)</f>
        <v>13.59</v>
      </c>
      <c r="C1496" s="1">
        <f ca="1">IFERROR(__xludf.DUMMYFUNCTION("""COMPUTED_VALUE"""),13.6)</f>
        <v>13.6</v>
      </c>
      <c r="D1496" s="1">
        <f ca="1">IFERROR(__xludf.DUMMYFUNCTION("""COMPUTED_VALUE"""),13.28)</f>
        <v>13.28</v>
      </c>
      <c r="E1496" s="1">
        <f ca="1">IFERROR(__xludf.DUMMYFUNCTION("""COMPUTED_VALUE"""),13.35)</f>
        <v>13.35</v>
      </c>
      <c r="F1496" s="1">
        <f ca="1">IFERROR(__xludf.DUMMYFUNCTION("""COMPUTED_VALUE"""),6798022)</f>
        <v>6798022</v>
      </c>
    </row>
    <row r="1497" spans="1:6" x14ac:dyDescent="0.35">
      <c r="A1497" s="2">
        <f ca="1">IFERROR(__xludf.DUMMYFUNCTION("""COMPUTED_VALUE"""),44174.6666666666)</f>
        <v>44174.666666666599</v>
      </c>
      <c r="B1497" s="1">
        <f ca="1">IFERROR(__xludf.DUMMYFUNCTION("""COMPUTED_VALUE"""),13.3)</f>
        <v>13.3</v>
      </c>
      <c r="C1497" s="1">
        <f ca="1">IFERROR(__xludf.DUMMYFUNCTION("""COMPUTED_VALUE"""),13.41)</f>
        <v>13.41</v>
      </c>
      <c r="D1497" s="1">
        <f ca="1">IFERROR(__xludf.DUMMYFUNCTION("""COMPUTED_VALUE"""),12.87)</f>
        <v>12.87</v>
      </c>
      <c r="E1497" s="1">
        <f ca="1">IFERROR(__xludf.DUMMYFUNCTION("""COMPUTED_VALUE"""),12.93)</f>
        <v>12.93</v>
      </c>
      <c r="F1497" s="1">
        <f ca="1">IFERROR(__xludf.DUMMYFUNCTION("""COMPUTED_VALUE"""),10032530)</f>
        <v>10032530</v>
      </c>
    </row>
    <row r="1498" spans="1:6" x14ac:dyDescent="0.35">
      <c r="A1498" s="2">
        <f ca="1">IFERROR(__xludf.DUMMYFUNCTION("""COMPUTED_VALUE"""),44175.6666666666)</f>
        <v>44175.666666666599</v>
      </c>
      <c r="B1498" s="1">
        <f ca="1">IFERROR(__xludf.DUMMYFUNCTION("""COMPUTED_VALUE"""),12.87)</f>
        <v>12.87</v>
      </c>
      <c r="C1498" s="1">
        <f ca="1">IFERROR(__xludf.DUMMYFUNCTION("""COMPUTED_VALUE"""),13.07)</f>
        <v>13.07</v>
      </c>
      <c r="D1498" s="1">
        <f ca="1">IFERROR(__xludf.DUMMYFUNCTION("""COMPUTED_VALUE"""),12.85)</f>
        <v>12.85</v>
      </c>
      <c r="E1498" s="1">
        <f ca="1">IFERROR(__xludf.DUMMYFUNCTION("""COMPUTED_VALUE"""),12.97)</f>
        <v>12.97</v>
      </c>
      <c r="F1498" s="1">
        <f ca="1">IFERROR(__xludf.DUMMYFUNCTION("""COMPUTED_VALUE"""),5194118)</f>
        <v>5194118</v>
      </c>
    </row>
    <row r="1499" spans="1:6" x14ac:dyDescent="0.35">
      <c r="A1499" s="2">
        <f ca="1">IFERROR(__xludf.DUMMYFUNCTION("""COMPUTED_VALUE"""),44176.6666666666)</f>
        <v>44176.666666666599</v>
      </c>
      <c r="B1499" s="1">
        <f ca="1">IFERROR(__xludf.DUMMYFUNCTION("""COMPUTED_VALUE"""),12.97)</f>
        <v>12.97</v>
      </c>
      <c r="C1499" s="1">
        <f ca="1">IFERROR(__xludf.DUMMYFUNCTION("""COMPUTED_VALUE"""),13.02)</f>
        <v>13.02</v>
      </c>
      <c r="D1499" s="1">
        <f ca="1">IFERROR(__xludf.DUMMYFUNCTION("""COMPUTED_VALUE"""),12.82)</f>
        <v>12.82</v>
      </c>
      <c r="E1499" s="1">
        <f ca="1">IFERROR(__xludf.DUMMYFUNCTION("""COMPUTED_VALUE"""),13.01)</f>
        <v>13.01</v>
      </c>
      <c r="F1499" s="1">
        <f ca="1">IFERROR(__xludf.DUMMYFUNCTION("""COMPUTED_VALUE"""),5231641)</f>
        <v>5231641</v>
      </c>
    </row>
    <row r="1500" spans="1:6" x14ac:dyDescent="0.35">
      <c r="A1500" s="2">
        <f ca="1">IFERROR(__xludf.DUMMYFUNCTION("""COMPUTED_VALUE"""),44179.6666666666)</f>
        <v>44179.666666666599</v>
      </c>
      <c r="B1500" s="1">
        <f ca="1">IFERROR(__xludf.DUMMYFUNCTION("""COMPUTED_VALUE"""),13.09)</f>
        <v>13.09</v>
      </c>
      <c r="C1500" s="1">
        <f ca="1">IFERROR(__xludf.DUMMYFUNCTION("""COMPUTED_VALUE"""),13.39)</f>
        <v>13.39</v>
      </c>
      <c r="D1500" s="1">
        <f ca="1">IFERROR(__xludf.DUMMYFUNCTION("""COMPUTED_VALUE"""),13.08)</f>
        <v>13.08</v>
      </c>
      <c r="E1500" s="1">
        <f ca="1">IFERROR(__xludf.DUMMYFUNCTION("""COMPUTED_VALUE"""),13.31)</f>
        <v>13.31</v>
      </c>
      <c r="F1500" s="1">
        <f ca="1">IFERROR(__xludf.DUMMYFUNCTION("""COMPUTED_VALUE"""),6753947)</f>
        <v>6753947</v>
      </c>
    </row>
    <row r="1501" spans="1:6" x14ac:dyDescent="0.35">
      <c r="A1501" s="2">
        <f ca="1">IFERROR(__xludf.DUMMYFUNCTION("""COMPUTED_VALUE"""),44180.6666666666)</f>
        <v>44180.666666666599</v>
      </c>
      <c r="B1501" s="1">
        <f ca="1">IFERROR(__xludf.DUMMYFUNCTION("""COMPUTED_VALUE"""),13.44)</f>
        <v>13.44</v>
      </c>
      <c r="C1501" s="1">
        <f ca="1">IFERROR(__xludf.DUMMYFUNCTION("""COMPUTED_VALUE"""),13.46)</f>
        <v>13.46</v>
      </c>
      <c r="D1501" s="1">
        <f ca="1">IFERROR(__xludf.DUMMYFUNCTION("""COMPUTED_VALUE"""),13.19)</f>
        <v>13.19</v>
      </c>
      <c r="E1501" s="1">
        <f ca="1">IFERROR(__xludf.DUMMYFUNCTION("""COMPUTED_VALUE"""),13.36)</f>
        <v>13.36</v>
      </c>
      <c r="F1501" s="1">
        <f ca="1">IFERROR(__xludf.DUMMYFUNCTION("""COMPUTED_VALUE"""),4837148)</f>
        <v>4837148</v>
      </c>
    </row>
    <row r="1502" spans="1:6" x14ac:dyDescent="0.35">
      <c r="A1502" s="2">
        <f ca="1">IFERROR(__xludf.DUMMYFUNCTION("""COMPUTED_VALUE"""),44181.6666666666)</f>
        <v>44181.666666666599</v>
      </c>
      <c r="B1502" s="1">
        <f ca="1">IFERROR(__xludf.DUMMYFUNCTION("""COMPUTED_VALUE"""),13.42)</f>
        <v>13.42</v>
      </c>
      <c r="C1502" s="1">
        <f ca="1">IFERROR(__xludf.DUMMYFUNCTION("""COMPUTED_VALUE"""),13.44)</f>
        <v>13.44</v>
      </c>
      <c r="D1502" s="1">
        <f ca="1">IFERROR(__xludf.DUMMYFUNCTION("""COMPUTED_VALUE"""),13.21)</f>
        <v>13.21</v>
      </c>
      <c r="E1502" s="1">
        <f ca="1">IFERROR(__xludf.DUMMYFUNCTION("""COMPUTED_VALUE"""),13.24)</f>
        <v>13.24</v>
      </c>
      <c r="F1502" s="1">
        <f ca="1">IFERROR(__xludf.DUMMYFUNCTION("""COMPUTED_VALUE"""),5577867)</f>
        <v>5577867</v>
      </c>
    </row>
    <row r="1503" spans="1:6" x14ac:dyDescent="0.35">
      <c r="A1503" s="2">
        <f ca="1">IFERROR(__xludf.DUMMYFUNCTION("""COMPUTED_VALUE"""),44182.6666666666)</f>
        <v>44182.666666666599</v>
      </c>
      <c r="B1503" s="1">
        <f ca="1">IFERROR(__xludf.DUMMYFUNCTION("""COMPUTED_VALUE"""),13.37)</f>
        <v>13.37</v>
      </c>
      <c r="C1503" s="1">
        <f ca="1">IFERROR(__xludf.DUMMYFUNCTION("""COMPUTED_VALUE"""),13.38)</f>
        <v>13.38</v>
      </c>
      <c r="D1503" s="1">
        <f ca="1">IFERROR(__xludf.DUMMYFUNCTION("""COMPUTED_VALUE"""),13.18)</f>
        <v>13.18</v>
      </c>
      <c r="E1503" s="1">
        <f ca="1">IFERROR(__xludf.DUMMYFUNCTION("""COMPUTED_VALUE"""),13.34)</f>
        <v>13.34</v>
      </c>
      <c r="F1503" s="1">
        <f ca="1">IFERROR(__xludf.DUMMYFUNCTION("""COMPUTED_VALUE"""),5784597)</f>
        <v>5784597</v>
      </c>
    </row>
    <row r="1504" spans="1:6" x14ac:dyDescent="0.35">
      <c r="A1504" s="2">
        <f ca="1">IFERROR(__xludf.DUMMYFUNCTION("""COMPUTED_VALUE"""),44183.6666666666)</f>
        <v>44183.666666666599</v>
      </c>
      <c r="B1504" s="1">
        <f ca="1">IFERROR(__xludf.DUMMYFUNCTION("""COMPUTED_VALUE"""),13.38)</f>
        <v>13.38</v>
      </c>
      <c r="C1504" s="1">
        <f ca="1">IFERROR(__xludf.DUMMYFUNCTION("""COMPUTED_VALUE"""),13.41)</f>
        <v>13.41</v>
      </c>
      <c r="D1504" s="1">
        <f ca="1">IFERROR(__xludf.DUMMYFUNCTION("""COMPUTED_VALUE"""),13.07)</f>
        <v>13.07</v>
      </c>
      <c r="E1504" s="1">
        <f ca="1">IFERROR(__xludf.DUMMYFUNCTION("""COMPUTED_VALUE"""),13.27)</f>
        <v>13.27</v>
      </c>
      <c r="F1504" s="1">
        <f ca="1">IFERROR(__xludf.DUMMYFUNCTION("""COMPUTED_VALUE"""),8551616)</f>
        <v>8551616</v>
      </c>
    </row>
    <row r="1505" spans="1:6" x14ac:dyDescent="0.35">
      <c r="A1505" s="2">
        <f ca="1">IFERROR(__xludf.DUMMYFUNCTION("""COMPUTED_VALUE"""),44186.6666666666)</f>
        <v>44186.666666666599</v>
      </c>
      <c r="B1505" s="1">
        <f ca="1">IFERROR(__xludf.DUMMYFUNCTION("""COMPUTED_VALUE"""),13.07)</f>
        <v>13.07</v>
      </c>
      <c r="C1505" s="1">
        <f ca="1">IFERROR(__xludf.DUMMYFUNCTION("""COMPUTED_VALUE"""),13.37)</f>
        <v>13.37</v>
      </c>
      <c r="D1505" s="1">
        <f ca="1">IFERROR(__xludf.DUMMYFUNCTION("""COMPUTED_VALUE"""),12.97)</f>
        <v>12.97</v>
      </c>
      <c r="E1505" s="1">
        <f ca="1">IFERROR(__xludf.DUMMYFUNCTION("""COMPUTED_VALUE"""),13.33)</f>
        <v>13.33</v>
      </c>
      <c r="F1505" s="1">
        <f ca="1">IFERROR(__xludf.DUMMYFUNCTION("""COMPUTED_VALUE"""),7558304)</f>
        <v>7558304</v>
      </c>
    </row>
    <row r="1506" spans="1:6" x14ac:dyDescent="0.35">
      <c r="A1506" s="2">
        <f ca="1">IFERROR(__xludf.DUMMYFUNCTION("""COMPUTED_VALUE"""),44187.6666666666)</f>
        <v>44187.666666666599</v>
      </c>
      <c r="B1506" s="1">
        <f ca="1">IFERROR(__xludf.DUMMYFUNCTION("""COMPUTED_VALUE"""),13.32)</f>
        <v>13.32</v>
      </c>
      <c r="C1506" s="1">
        <f ca="1">IFERROR(__xludf.DUMMYFUNCTION("""COMPUTED_VALUE"""),13.34)</f>
        <v>13.34</v>
      </c>
      <c r="D1506" s="1">
        <f ca="1">IFERROR(__xludf.DUMMYFUNCTION("""COMPUTED_VALUE"""),13.05)</f>
        <v>13.05</v>
      </c>
      <c r="E1506" s="1">
        <f ca="1">IFERROR(__xludf.DUMMYFUNCTION("""COMPUTED_VALUE"""),13.28)</f>
        <v>13.28</v>
      </c>
      <c r="F1506" s="1">
        <f ca="1">IFERROR(__xludf.DUMMYFUNCTION("""COMPUTED_VALUE"""),4657872)</f>
        <v>4657872</v>
      </c>
    </row>
    <row r="1507" spans="1:6" x14ac:dyDescent="0.35">
      <c r="A1507" s="2">
        <f ca="1">IFERROR(__xludf.DUMMYFUNCTION("""COMPUTED_VALUE"""),44188.6666666666)</f>
        <v>44188.666666666599</v>
      </c>
      <c r="B1507" s="1">
        <f ca="1">IFERROR(__xludf.DUMMYFUNCTION("""COMPUTED_VALUE"""),13.26)</f>
        <v>13.26</v>
      </c>
      <c r="C1507" s="1">
        <f ca="1">IFERROR(__xludf.DUMMYFUNCTION("""COMPUTED_VALUE"""),13.28)</f>
        <v>13.28</v>
      </c>
      <c r="D1507" s="1">
        <f ca="1">IFERROR(__xludf.DUMMYFUNCTION("""COMPUTED_VALUE"""),13.01)</f>
        <v>13.01</v>
      </c>
      <c r="E1507" s="1">
        <f ca="1">IFERROR(__xludf.DUMMYFUNCTION("""COMPUTED_VALUE"""),13.01)</f>
        <v>13.01</v>
      </c>
      <c r="F1507" s="1">
        <f ca="1">IFERROR(__xludf.DUMMYFUNCTION("""COMPUTED_VALUE"""),4478569)</f>
        <v>4478569</v>
      </c>
    </row>
    <row r="1508" spans="1:6" x14ac:dyDescent="0.35">
      <c r="A1508" s="2">
        <f ca="1">IFERROR(__xludf.DUMMYFUNCTION("""COMPUTED_VALUE"""),44189.5416666666)</f>
        <v>44189.541666666599</v>
      </c>
      <c r="B1508" s="1">
        <f ca="1">IFERROR(__xludf.DUMMYFUNCTION("""COMPUTED_VALUE"""),13.04)</f>
        <v>13.04</v>
      </c>
      <c r="C1508" s="1">
        <f ca="1">IFERROR(__xludf.DUMMYFUNCTION("""COMPUTED_VALUE"""),13.13)</f>
        <v>13.13</v>
      </c>
      <c r="D1508" s="1">
        <f ca="1">IFERROR(__xludf.DUMMYFUNCTION("""COMPUTED_VALUE"""),12.94)</f>
        <v>12.94</v>
      </c>
      <c r="E1508" s="1">
        <f ca="1">IFERROR(__xludf.DUMMYFUNCTION("""COMPUTED_VALUE"""),12.99)</f>
        <v>12.99</v>
      </c>
      <c r="F1508" s="1">
        <f ca="1">IFERROR(__xludf.DUMMYFUNCTION("""COMPUTED_VALUE"""),2447088)</f>
        <v>2447088</v>
      </c>
    </row>
    <row r="1509" spans="1:6" x14ac:dyDescent="0.35">
      <c r="A1509" s="2">
        <f ca="1">IFERROR(__xludf.DUMMYFUNCTION("""COMPUTED_VALUE"""),44193.6666666666)</f>
        <v>44193.666666666599</v>
      </c>
      <c r="B1509" s="1">
        <f ca="1">IFERROR(__xludf.DUMMYFUNCTION("""COMPUTED_VALUE"""),13.06)</f>
        <v>13.06</v>
      </c>
      <c r="C1509" s="1">
        <f ca="1">IFERROR(__xludf.DUMMYFUNCTION("""COMPUTED_VALUE"""),13.06)</f>
        <v>13.06</v>
      </c>
      <c r="D1509" s="1">
        <f ca="1">IFERROR(__xludf.DUMMYFUNCTION("""COMPUTED_VALUE"""),12.76)</f>
        <v>12.76</v>
      </c>
      <c r="E1509" s="1">
        <f ca="1">IFERROR(__xludf.DUMMYFUNCTION("""COMPUTED_VALUE"""),12.9)</f>
        <v>12.9</v>
      </c>
      <c r="F1509" s="1">
        <f ca="1">IFERROR(__xludf.DUMMYFUNCTION("""COMPUTED_VALUE"""),5314141)</f>
        <v>5314141</v>
      </c>
    </row>
    <row r="1510" spans="1:6" x14ac:dyDescent="0.35">
      <c r="A1510" s="2">
        <f ca="1">IFERROR(__xludf.DUMMYFUNCTION("""COMPUTED_VALUE"""),44194.6666666666)</f>
        <v>44194.666666666599</v>
      </c>
      <c r="B1510" s="1">
        <f ca="1">IFERROR(__xludf.DUMMYFUNCTION("""COMPUTED_VALUE"""),12.93)</f>
        <v>12.93</v>
      </c>
      <c r="C1510" s="1">
        <f ca="1">IFERROR(__xludf.DUMMYFUNCTION("""COMPUTED_VALUE"""),13.07)</f>
        <v>13.07</v>
      </c>
      <c r="D1510" s="1">
        <f ca="1">IFERROR(__xludf.DUMMYFUNCTION("""COMPUTED_VALUE"""),12.84)</f>
        <v>12.84</v>
      </c>
      <c r="E1510" s="1">
        <f ca="1">IFERROR(__xludf.DUMMYFUNCTION("""COMPUTED_VALUE"""),12.94)</f>
        <v>12.94</v>
      </c>
      <c r="F1510" s="1">
        <f ca="1">IFERROR(__xludf.DUMMYFUNCTION("""COMPUTED_VALUE"""),4259304)</f>
        <v>4259304</v>
      </c>
    </row>
    <row r="1511" spans="1:6" x14ac:dyDescent="0.35">
      <c r="A1511" s="2">
        <f ca="1">IFERROR(__xludf.DUMMYFUNCTION("""COMPUTED_VALUE"""),44195.6666666666)</f>
        <v>44195.666666666599</v>
      </c>
      <c r="B1511" s="1">
        <f ca="1">IFERROR(__xludf.DUMMYFUNCTION("""COMPUTED_VALUE"""),12.99)</f>
        <v>12.99</v>
      </c>
      <c r="C1511" s="1">
        <f ca="1">IFERROR(__xludf.DUMMYFUNCTION("""COMPUTED_VALUE"""),13.21)</f>
        <v>13.21</v>
      </c>
      <c r="D1511" s="1">
        <f ca="1">IFERROR(__xludf.DUMMYFUNCTION("""COMPUTED_VALUE"""),12.9)</f>
        <v>12.9</v>
      </c>
      <c r="E1511" s="1">
        <f ca="1">IFERROR(__xludf.DUMMYFUNCTION("""COMPUTED_VALUE"""),13.15)</f>
        <v>13.15</v>
      </c>
      <c r="F1511" s="1">
        <f ca="1">IFERROR(__xludf.DUMMYFUNCTION("""COMPUTED_VALUE"""),5634929)</f>
        <v>5634929</v>
      </c>
    </row>
    <row r="1512" spans="1:6" x14ac:dyDescent="0.35">
      <c r="A1512" s="2">
        <f ca="1">IFERROR(__xludf.DUMMYFUNCTION("""COMPUTED_VALUE"""),44196.6666666666)</f>
        <v>44196.666666666599</v>
      </c>
      <c r="B1512" s="1">
        <f ca="1">IFERROR(__xludf.DUMMYFUNCTION("""COMPUTED_VALUE"""),13.14)</f>
        <v>13.14</v>
      </c>
      <c r="C1512" s="1">
        <f ca="1">IFERROR(__xludf.DUMMYFUNCTION("""COMPUTED_VALUE"""),13.15)</f>
        <v>13.15</v>
      </c>
      <c r="D1512" s="1">
        <f ca="1">IFERROR(__xludf.DUMMYFUNCTION("""COMPUTED_VALUE"""),12.92)</f>
        <v>12.92</v>
      </c>
      <c r="E1512" s="1">
        <f ca="1">IFERROR(__xludf.DUMMYFUNCTION("""COMPUTED_VALUE"""),13.06)</f>
        <v>13.06</v>
      </c>
      <c r="F1512" s="1">
        <f ca="1">IFERROR(__xludf.DUMMYFUNCTION("""COMPUTED_VALUE"""),4810610)</f>
        <v>4810610</v>
      </c>
    </row>
    <row r="1513" spans="1:6" x14ac:dyDescent="0.35">
      <c r="A1513" s="2">
        <f ca="1">IFERROR(__xludf.DUMMYFUNCTION("""COMPUTED_VALUE"""),44200.6666666666)</f>
        <v>44200.666666666599</v>
      </c>
      <c r="B1513" s="1">
        <f ca="1">IFERROR(__xludf.DUMMYFUNCTION("""COMPUTED_VALUE"""),13.1)</f>
        <v>13.1</v>
      </c>
      <c r="C1513" s="1">
        <f ca="1">IFERROR(__xludf.DUMMYFUNCTION("""COMPUTED_VALUE"""),13.65)</f>
        <v>13.65</v>
      </c>
      <c r="D1513" s="1">
        <f ca="1">IFERROR(__xludf.DUMMYFUNCTION("""COMPUTED_VALUE"""),12.96)</f>
        <v>12.96</v>
      </c>
      <c r="E1513" s="1">
        <f ca="1">IFERROR(__xludf.DUMMYFUNCTION("""COMPUTED_VALUE"""),13.11)</f>
        <v>13.11</v>
      </c>
      <c r="F1513" s="1">
        <f ca="1">IFERROR(__xludf.DUMMYFUNCTION("""COMPUTED_VALUE"""),14016045)</f>
        <v>14016045</v>
      </c>
    </row>
    <row r="1514" spans="1:6" x14ac:dyDescent="0.35">
      <c r="A1514" s="2">
        <f ca="1">IFERROR(__xludf.DUMMYFUNCTION("""COMPUTED_VALUE"""),44201.6666666666)</f>
        <v>44201.666666666599</v>
      </c>
      <c r="B1514" s="1">
        <f ca="1">IFERROR(__xludf.DUMMYFUNCTION("""COMPUTED_VALUE"""),13.1)</f>
        <v>13.1</v>
      </c>
      <c r="C1514" s="1">
        <f ca="1">IFERROR(__xludf.DUMMYFUNCTION("""COMPUTED_VALUE"""),13.44)</f>
        <v>13.44</v>
      </c>
      <c r="D1514" s="1">
        <f ca="1">IFERROR(__xludf.DUMMYFUNCTION("""COMPUTED_VALUE"""),13.09)</f>
        <v>13.09</v>
      </c>
      <c r="E1514" s="1">
        <f ca="1">IFERROR(__xludf.DUMMYFUNCTION("""COMPUTED_VALUE"""),13.4)</f>
        <v>13.4</v>
      </c>
      <c r="F1514" s="1">
        <f ca="1">IFERROR(__xludf.DUMMYFUNCTION("""COMPUTED_VALUE"""),8068998)</f>
        <v>8068998</v>
      </c>
    </row>
    <row r="1515" spans="1:6" x14ac:dyDescent="0.35">
      <c r="A1515" s="2">
        <f ca="1">IFERROR(__xludf.DUMMYFUNCTION("""COMPUTED_VALUE"""),44202.6666666666)</f>
        <v>44202.666666666599</v>
      </c>
      <c r="B1515" s="1">
        <f ca="1">IFERROR(__xludf.DUMMYFUNCTION("""COMPUTED_VALUE"""),13.22)</f>
        <v>13.22</v>
      </c>
      <c r="C1515" s="1">
        <f ca="1">IFERROR(__xludf.DUMMYFUNCTION("""COMPUTED_VALUE"""),13.25)</f>
        <v>13.25</v>
      </c>
      <c r="D1515" s="1">
        <f ca="1">IFERROR(__xludf.DUMMYFUNCTION("""COMPUTED_VALUE"""),12.59)</f>
        <v>12.59</v>
      </c>
      <c r="E1515" s="1">
        <f ca="1">IFERROR(__xludf.DUMMYFUNCTION("""COMPUTED_VALUE"""),12.61)</f>
        <v>12.61</v>
      </c>
      <c r="F1515" s="1">
        <f ca="1">IFERROR(__xludf.DUMMYFUNCTION("""COMPUTED_VALUE"""),14510575)</f>
        <v>14510575</v>
      </c>
    </row>
    <row r="1516" spans="1:6" x14ac:dyDescent="0.35">
      <c r="A1516" s="2">
        <f ca="1">IFERROR(__xludf.DUMMYFUNCTION("""COMPUTED_VALUE"""),44203.6666666666)</f>
        <v>44203.666666666599</v>
      </c>
      <c r="B1516" s="1">
        <f ca="1">IFERROR(__xludf.DUMMYFUNCTION("""COMPUTED_VALUE"""),12.97)</f>
        <v>12.97</v>
      </c>
      <c r="C1516" s="1">
        <f ca="1">IFERROR(__xludf.DUMMYFUNCTION("""COMPUTED_VALUE"""),13.38)</f>
        <v>13.38</v>
      </c>
      <c r="D1516" s="1">
        <f ca="1">IFERROR(__xludf.DUMMYFUNCTION("""COMPUTED_VALUE"""),12.89)</f>
        <v>12.89</v>
      </c>
      <c r="E1516" s="1">
        <f ca="1">IFERROR(__xludf.DUMMYFUNCTION("""COMPUTED_VALUE"""),13.34)</f>
        <v>13.34</v>
      </c>
      <c r="F1516" s="1">
        <f ca="1">IFERROR(__xludf.DUMMYFUNCTION("""COMPUTED_VALUE"""),11537037)</f>
        <v>11537037</v>
      </c>
    </row>
    <row r="1517" spans="1:6" x14ac:dyDescent="0.35">
      <c r="A1517" s="2">
        <f ca="1">IFERROR(__xludf.DUMMYFUNCTION("""COMPUTED_VALUE"""),44204.6666666666)</f>
        <v>44204.666666666599</v>
      </c>
      <c r="B1517" s="1">
        <f ca="1">IFERROR(__xludf.DUMMYFUNCTION("""COMPUTED_VALUE"""),13.36)</f>
        <v>13.36</v>
      </c>
      <c r="C1517" s="1">
        <f ca="1">IFERROR(__xludf.DUMMYFUNCTION("""COMPUTED_VALUE"""),13.42)</f>
        <v>13.42</v>
      </c>
      <c r="D1517" s="1">
        <f ca="1">IFERROR(__xludf.DUMMYFUNCTION("""COMPUTED_VALUE"""),13.04)</f>
        <v>13.04</v>
      </c>
      <c r="E1517" s="1">
        <f ca="1">IFERROR(__xludf.DUMMYFUNCTION("""COMPUTED_VALUE"""),13.28)</f>
        <v>13.28</v>
      </c>
      <c r="F1517" s="1">
        <f ca="1">IFERROR(__xludf.DUMMYFUNCTION("""COMPUTED_VALUE"""),7313215)</f>
        <v>7313215</v>
      </c>
    </row>
    <row r="1518" spans="1:6" x14ac:dyDescent="0.35">
      <c r="A1518" s="2">
        <f ca="1">IFERROR(__xludf.DUMMYFUNCTION("""COMPUTED_VALUE"""),44207.6666666666)</f>
        <v>44207.666666666599</v>
      </c>
      <c r="B1518" s="1">
        <f ca="1">IFERROR(__xludf.DUMMYFUNCTION("""COMPUTED_VALUE"""),13.42)</f>
        <v>13.42</v>
      </c>
      <c r="C1518" s="1">
        <f ca="1">IFERROR(__xludf.DUMMYFUNCTION("""COMPUTED_VALUE"""),13.96)</f>
        <v>13.96</v>
      </c>
      <c r="D1518" s="1">
        <f ca="1">IFERROR(__xludf.DUMMYFUNCTION("""COMPUTED_VALUE"""),13.36)</f>
        <v>13.36</v>
      </c>
      <c r="E1518" s="1">
        <f ca="1">IFERROR(__xludf.DUMMYFUNCTION("""COMPUTED_VALUE"""),13.62)</f>
        <v>13.62</v>
      </c>
      <c r="F1518" s="1">
        <f ca="1">IFERROR(__xludf.DUMMYFUNCTION("""COMPUTED_VALUE"""),12975720)</f>
        <v>12975720</v>
      </c>
    </row>
    <row r="1519" spans="1:6" x14ac:dyDescent="0.35">
      <c r="A1519" s="2">
        <f ca="1">IFERROR(__xludf.DUMMYFUNCTION("""COMPUTED_VALUE"""),44208.6666666666)</f>
        <v>44208.666666666599</v>
      </c>
      <c r="B1519" s="1">
        <f ca="1">IFERROR(__xludf.DUMMYFUNCTION("""COMPUTED_VALUE"""),13.75)</f>
        <v>13.75</v>
      </c>
      <c r="C1519" s="1">
        <f ca="1">IFERROR(__xludf.DUMMYFUNCTION("""COMPUTED_VALUE"""),13.75)</f>
        <v>13.75</v>
      </c>
      <c r="D1519" s="1">
        <f ca="1">IFERROR(__xludf.DUMMYFUNCTION("""COMPUTED_VALUE"""),13.35)</f>
        <v>13.35</v>
      </c>
      <c r="E1519" s="1">
        <f ca="1">IFERROR(__xludf.DUMMYFUNCTION("""COMPUTED_VALUE"""),13.48)</f>
        <v>13.48</v>
      </c>
      <c r="F1519" s="1">
        <f ca="1">IFERROR(__xludf.DUMMYFUNCTION("""COMPUTED_VALUE"""),7286943)</f>
        <v>7286943</v>
      </c>
    </row>
    <row r="1520" spans="1:6" x14ac:dyDescent="0.35">
      <c r="A1520" s="2">
        <f ca="1">IFERROR(__xludf.DUMMYFUNCTION("""COMPUTED_VALUE"""),44209.6666666666)</f>
        <v>44209.666666666599</v>
      </c>
      <c r="B1520" s="1">
        <f ca="1">IFERROR(__xludf.DUMMYFUNCTION("""COMPUTED_VALUE"""),13.49)</f>
        <v>13.49</v>
      </c>
      <c r="C1520" s="1">
        <f ca="1">IFERROR(__xludf.DUMMYFUNCTION("""COMPUTED_VALUE"""),13.62)</f>
        <v>13.62</v>
      </c>
      <c r="D1520" s="1">
        <f ca="1">IFERROR(__xludf.DUMMYFUNCTION("""COMPUTED_VALUE"""),13.39)</f>
        <v>13.39</v>
      </c>
      <c r="E1520" s="1">
        <f ca="1">IFERROR(__xludf.DUMMYFUNCTION("""COMPUTED_VALUE"""),13.53)</f>
        <v>13.53</v>
      </c>
      <c r="F1520" s="1">
        <f ca="1">IFERROR(__xludf.DUMMYFUNCTION("""COMPUTED_VALUE"""),5250711)</f>
        <v>5250711</v>
      </c>
    </row>
    <row r="1521" spans="1:6" x14ac:dyDescent="0.35">
      <c r="A1521" s="2">
        <f ca="1">IFERROR(__xludf.DUMMYFUNCTION("""COMPUTED_VALUE"""),44210.6666666666)</f>
        <v>44210.666666666599</v>
      </c>
      <c r="B1521" s="1">
        <f ca="1">IFERROR(__xludf.DUMMYFUNCTION("""COMPUTED_VALUE"""),13.58)</f>
        <v>13.58</v>
      </c>
      <c r="C1521" s="1">
        <f ca="1">IFERROR(__xludf.DUMMYFUNCTION("""COMPUTED_VALUE"""),13.6)</f>
        <v>13.6</v>
      </c>
      <c r="D1521" s="1">
        <f ca="1">IFERROR(__xludf.DUMMYFUNCTION("""COMPUTED_VALUE"""),13.18)</f>
        <v>13.18</v>
      </c>
      <c r="E1521" s="1">
        <f ca="1">IFERROR(__xludf.DUMMYFUNCTION("""COMPUTED_VALUE"""),13.2)</f>
        <v>13.2</v>
      </c>
      <c r="F1521" s="1">
        <f ca="1">IFERROR(__xludf.DUMMYFUNCTION("""COMPUTED_VALUE"""),7078007)</f>
        <v>7078007</v>
      </c>
    </row>
    <row r="1522" spans="1:6" x14ac:dyDescent="0.35">
      <c r="A1522" s="2">
        <f ca="1">IFERROR(__xludf.DUMMYFUNCTION("""COMPUTED_VALUE"""),44211.6666666666)</f>
        <v>44211.666666666599</v>
      </c>
      <c r="B1522" s="1">
        <f ca="1">IFERROR(__xludf.DUMMYFUNCTION("""COMPUTED_VALUE"""),13.23)</f>
        <v>13.23</v>
      </c>
      <c r="C1522" s="1">
        <f ca="1">IFERROR(__xludf.DUMMYFUNCTION("""COMPUTED_VALUE"""),13.33)</f>
        <v>13.33</v>
      </c>
      <c r="D1522" s="1">
        <f ca="1">IFERROR(__xludf.DUMMYFUNCTION("""COMPUTED_VALUE"""),12.85)</f>
        <v>12.85</v>
      </c>
      <c r="E1522" s="1">
        <f ca="1">IFERROR(__xludf.DUMMYFUNCTION("""COMPUTED_VALUE"""),12.86)</f>
        <v>12.86</v>
      </c>
      <c r="F1522" s="1">
        <f ca="1">IFERROR(__xludf.DUMMYFUNCTION("""COMPUTED_VALUE"""),6944532)</f>
        <v>6944532</v>
      </c>
    </row>
    <row r="1523" spans="1:6" x14ac:dyDescent="0.35">
      <c r="A1523" s="2">
        <f ca="1">IFERROR(__xludf.DUMMYFUNCTION("""COMPUTED_VALUE"""),44215.6666666666)</f>
        <v>44215.666666666599</v>
      </c>
      <c r="B1523" s="1">
        <f ca="1">IFERROR(__xludf.DUMMYFUNCTION("""COMPUTED_VALUE"""),13.02)</f>
        <v>13.02</v>
      </c>
      <c r="C1523" s="1">
        <f ca="1">IFERROR(__xludf.DUMMYFUNCTION("""COMPUTED_VALUE"""),13.09)</f>
        <v>13.09</v>
      </c>
      <c r="D1523" s="1">
        <f ca="1">IFERROR(__xludf.DUMMYFUNCTION("""COMPUTED_VALUE"""),12.84)</f>
        <v>12.84</v>
      </c>
      <c r="E1523" s="1">
        <f ca="1">IFERROR(__xludf.DUMMYFUNCTION("""COMPUTED_VALUE"""),13.03)</f>
        <v>13.03</v>
      </c>
      <c r="F1523" s="1">
        <f ca="1">IFERROR(__xludf.DUMMYFUNCTION("""COMPUTED_VALUE"""),5654672)</f>
        <v>5654672</v>
      </c>
    </row>
    <row r="1524" spans="1:6" x14ac:dyDescent="0.35">
      <c r="A1524" s="2">
        <f ca="1">IFERROR(__xludf.DUMMYFUNCTION("""COMPUTED_VALUE"""),44216.6666666666)</f>
        <v>44216.666666666599</v>
      </c>
      <c r="B1524" s="1">
        <f ca="1">IFERROR(__xludf.DUMMYFUNCTION("""COMPUTED_VALUE"""),13.11)</f>
        <v>13.11</v>
      </c>
      <c r="C1524" s="1">
        <f ca="1">IFERROR(__xludf.DUMMYFUNCTION("""COMPUTED_VALUE"""),13.43)</f>
        <v>13.43</v>
      </c>
      <c r="D1524" s="1">
        <f ca="1">IFERROR(__xludf.DUMMYFUNCTION("""COMPUTED_VALUE"""),13.06)</f>
        <v>13.06</v>
      </c>
      <c r="E1524" s="1">
        <f ca="1">IFERROR(__xludf.DUMMYFUNCTION("""COMPUTED_VALUE"""),13.37)</f>
        <v>13.37</v>
      </c>
      <c r="F1524" s="1">
        <f ca="1">IFERROR(__xludf.DUMMYFUNCTION("""COMPUTED_VALUE"""),6464272)</f>
        <v>6464272</v>
      </c>
    </row>
    <row r="1525" spans="1:6" x14ac:dyDescent="0.35">
      <c r="A1525" s="2">
        <f ca="1">IFERROR(__xludf.DUMMYFUNCTION("""COMPUTED_VALUE"""),44217.6666666666)</f>
        <v>44217.666666666599</v>
      </c>
      <c r="B1525" s="1">
        <f ca="1">IFERROR(__xludf.DUMMYFUNCTION("""COMPUTED_VALUE"""),13.42)</f>
        <v>13.42</v>
      </c>
      <c r="C1525" s="1">
        <f ca="1">IFERROR(__xludf.DUMMYFUNCTION("""COMPUTED_VALUE"""),14)</f>
        <v>14</v>
      </c>
      <c r="D1525" s="1">
        <f ca="1">IFERROR(__xludf.DUMMYFUNCTION("""COMPUTED_VALUE"""),13.25)</f>
        <v>13.25</v>
      </c>
      <c r="E1525" s="1">
        <f ca="1">IFERROR(__xludf.DUMMYFUNCTION("""COMPUTED_VALUE"""),13.87)</f>
        <v>13.87</v>
      </c>
      <c r="F1525" s="1">
        <f ca="1">IFERROR(__xludf.DUMMYFUNCTION("""COMPUTED_VALUE"""),8458490)</f>
        <v>8458490</v>
      </c>
    </row>
    <row r="1526" spans="1:6" x14ac:dyDescent="0.35">
      <c r="A1526" s="2">
        <f ca="1">IFERROR(__xludf.DUMMYFUNCTION("""COMPUTED_VALUE"""),44218.6666666666)</f>
        <v>44218.666666666599</v>
      </c>
      <c r="B1526" s="1">
        <f ca="1">IFERROR(__xludf.DUMMYFUNCTION("""COMPUTED_VALUE"""),13.74)</f>
        <v>13.74</v>
      </c>
      <c r="C1526" s="1">
        <f ca="1">IFERROR(__xludf.DUMMYFUNCTION("""COMPUTED_VALUE"""),13.84)</f>
        <v>13.84</v>
      </c>
      <c r="D1526" s="1">
        <f ca="1">IFERROR(__xludf.DUMMYFUNCTION("""COMPUTED_VALUE"""),13.63)</f>
        <v>13.63</v>
      </c>
      <c r="E1526" s="1">
        <f ca="1">IFERROR(__xludf.DUMMYFUNCTION("""COMPUTED_VALUE"""),13.71)</f>
        <v>13.71</v>
      </c>
      <c r="F1526" s="1">
        <f ca="1">IFERROR(__xludf.DUMMYFUNCTION("""COMPUTED_VALUE"""),6170464)</f>
        <v>6170464</v>
      </c>
    </row>
    <row r="1527" spans="1:6" x14ac:dyDescent="0.35">
      <c r="A1527" s="2">
        <f ca="1">IFERROR(__xludf.DUMMYFUNCTION("""COMPUTED_VALUE"""),44221.6666666666)</f>
        <v>44221.666666666599</v>
      </c>
      <c r="B1527" s="1">
        <f ca="1">IFERROR(__xludf.DUMMYFUNCTION("""COMPUTED_VALUE"""),13.78)</f>
        <v>13.78</v>
      </c>
      <c r="C1527" s="1">
        <f ca="1">IFERROR(__xludf.DUMMYFUNCTION("""COMPUTED_VALUE"""),13.83)</f>
        <v>13.83</v>
      </c>
      <c r="D1527" s="1">
        <f ca="1">IFERROR(__xludf.DUMMYFUNCTION("""COMPUTED_VALUE"""),13.24)</f>
        <v>13.24</v>
      </c>
      <c r="E1527" s="1">
        <f ca="1">IFERROR(__xludf.DUMMYFUNCTION("""COMPUTED_VALUE"""),13.65)</f>
        <v>13.65</v>
      </c>
      <c r="F1527" s="1">
        <f ca="1">IFERROR(__xludf.DUMMYFUNCTION("""COMPUTED_VALUE"""),6277779)</f>
        <v>6277779</v>
      </c>
    </row>
    <row r="1528" spans="1:6" x14ac:dyDescent="0.35">
      <c r="A1528" s="2">
        <f ca="1">IFERROR(__xludf.DUMMYFUNCTION("""COMPUTED_VALUE"""),44222.6666666666)</f>
        <v>44222.666666666599</v>
      </c>
      <c r="B1528" s="1">
        <f ca="1">IFERROR(__xludf.DUMMYFUNCTION("""COMPUTED_VALUE"""),13.58)</f>
        <v>13.58</v>
      </c>
      <c r="C1528" s="1">
        <f ca="1">IFERROR(__xludf.DUMMYFUNCTION("""COMPUTED_VALUE"""),13.64)</f>
        <v>13.64</v>
      </c>
      <c r="D1528" s="1">
        <f ca="1">IFERROR(__xludf.DUMMYFUNCTION("""COMPUTED_VALUE"""),13.39)</f>
        <v>13.39</v>
      </c>
      <c r="E1528" s="1">
        <f ca="1">IFERROR(__xludf.DUMMYFUNCTION("""COMPUTED_VALUE"""),13.44)</f>
        <v>13.44</v>
      </c>
      <c r="F1528" s="1">
        <f ca="1">IFERROR(__xludf.DUMMYFUNCTION("""COMPUTED_VALUE"""),4099510)</f>
        <v>4099510</v>
      </c>
    </row>
    <row r="1529" spans="1:6" x14ac:dyDescent="0.35">
      <c r="A1529" s="2">
        <f ca="1">IFERROR(__xludf.DUMMYFUNCTION("""COMPUTED_VALUE"""),44223.6666666666)</f>
        <v>44223.666666666599</v>
      </c>
      <c r="B1529" s="1">
        <f ca="1">IFERROR(__xludf.DUMMYFUNCTION("""COMPUTED_VALUE"""),13.23)</f>
        <v>13.23</v>
      </c>
      <c r="C1529" s="1">
        <f ca="1">IFERROR(__xludf.DUMMYFUNCTION("""COMPUTED_VALUE"""),13.23)</f>
        <v>13.23</v>
      </c>
      <c r="D1529" s="1">
        <f ca="1">IFERROR(__xludf.DUMMYFUNCTION("""COMPUTED_VALUE"""),12.79)</f>
        <v>12.79</v>
      </c>
      <c r="E1529" s="1">
        <f ca="1">IFERROR(__xludf.DUMMYFUNCTION("""COMPUTED_VALUE"""),12.92)</f>
        <v>12.92</v>
      </c>
      <c r="F1529" s="1">
        <f ca="1">IFERROR(__xludf.DUMMYFUNCTION("""COMPUTED_VALUE"""),9281821)</f>
        <v>9281821</v>
      </c>
    </row>
    <row r="1530" spans="1:6" x14ac:dyDescent="0.35">
      <c r="A1530" s="2">
        <f ca="1">IFERROR(__xludf.DUMMYFUNCTION("""COMPUTED_VALUE"""),44224.6666666666)</f>
        <v>44224.666666666599</v>
      </c>
      <c r="B1530" s="1">
        <f ca="1">IFERROR(__xludf.DUMMYFUNCTION("""COMPUTED_VALUE"""),13)</f>
        <v>13</v>
      </c>
      <c r="C1530" s="1">
        <f ca="1">IFERROR(__xludf.DUMMYFUNCTION("""COMPUTED_VALUE"""),13.34)</f>
        <v>13.34</v>
      </c>
      <c r="D1530" s="1">
        <f ca="1">IFERROR(__xludf.DUMMYFUNCTION("""COMPUTED_VALUE"""),12.96)</f>
        <v>12.96</v>
      </c>
      <c r="E1530" s="1">
        <f ca="1">IFERROR(__xludf.DUMMYFUNCTION("""COMPUTED_VALUE"""),13.05)</f>
        <v>13.05</v>
      </c>
      <c r="F1530" s="1">
        <f ca="1">IFERROR(__xludf.DUMMYFUNCTION("""COMPUTED_VALUE"""),5707899)</f>
        <v>5707899</v>
      </c>
    </row>
    <row r="1531" spans="1:6" x14ac:dyDescent="0.35">
      <c r="A1531" s="2">
        <f ca="1">IFERROR(__xludf.DUMMYFUNCTION("""COMPUTED_VALUE"""),44225.6666666666)</f>
        <v>44225.666666666599</v>
      </c>
      <c r="B1531" s="1">
        <f ca="1">IFERROR(__xludf.DUMMYFUNCTION("""COMPUTED_VALUE"""),13.08)</f>
        <v>13.08</v>
      </c>
      <c r="C1531" s="1">
        <f ca="1">IFERROR(__xludf.DUMMYFUNCTION("""COMPUTED_VALUE"""),13.33)</f>
        <v>13.33</v>
      </c>
      <c r="D1531" s="1">
        <f ca="1">IFERROR(__xludf.DUMMYFUNCTION("""COMPUTED_VALUE"""),12.91)</f>
        <v>12.91</v>
      </c>
      <c r="E1531" s="1">
        <f ca="1">IFERROR(__xludf.DUMMYFUNCTION("""COMPUTED_VALUE"""),12.99)</f>
        <v>12.99</v>
      </c>
      <c r="F1531" s="1">
        <f ca="1">IFERROR(__xludf.DUMMYFUNCTION("""COMPUTED_VALUE"""),6788801)</f>
        <v>6788801</v>
      </c>
    </row>
    <row r="1532" spans="1:6" x14ac:dyDescent="0.35">
      <c r="A1532" s="2">
        <f ca="1">IFERROR(__xludf.DUMMYFUNCTION("""COMPUTED_VALUE"""),44228.6666666666)</f>
        <v>44228.666666666599</v>
      </c>
      <c r="B1532" s="1">
        <f ca="1">IFERROR(__xludf.DUMMYFUNCTION("""COMPUTED_VALUE"""),13.05)</f>
        <v>13.05</v>
      </c>
      <c r="C1532" s="1">
        <f ca="1">IFERROR(__xludf.DUMMYFUNCTION("""COMPUTED_VALUE"""),13.27)</f>
        <v>13.27</v>
      </c>
      <c r="D1532" s="1">
        <f ca="1">IFERROR(__xludf.DUMMYFUNCTION("""COMPUTED_VALUE"""),12.9)</f>
        <v>12.9</v>
      </c>
      <c r="E1532" s="1">
        <f ca="1">IFERROR(__xludf.DUMMYFUNCTION("""COMPUTED_VALUE"""),13.24)</f>
        <v>13.24</v>
      </c>
      <c r="F1532" s="1">
        <f ca="1">IFERROR(__xludf.DUMMYFUNCTION("""COMPUTED_VALUE"""),5430108)</f>
        <v>5430108</v>
      </c>
    </row>
    <row r="1533" spans="1:6" x14ac:dyDescent="0.35">
      <c r="A1533" s="2">
        <f ca="1">IFERROR(__xludf.DUMMYFUNCTION("""COMPUTED_VALUE"""),44229.6666666666)</f>
        <v>44229.666666666599</v>
      </c>
      <c r="B1533" s="1">
        <f ca="1">IFERROR(__xludf.DUMMYFUNCTION("""COMPUTED_VALUE"""),13.4)</f>
        <v>13.4</v>
      </c>
      <c r="C1533" s="1">
        <f ca="1">IFERROR(__xludf.DUMMYFUNCTION("""COMPUTED_VALUE"""),13.57)</f>
        <v>13.57</v>
      </c>
      <c r="D1533" s="1">
        <f ca="1">IFERROR(__xludf.DUMMYFUNCTION("""COMPUTED_VALUE"""),13.29)</f>
        <v>13.29</v>
      </c>
      <c r="E1533" s="1">
        <f ca="1">IFERROR(__xludf.DUMMYFUNCTION("""COMPUTED_VALUE"""),13.56)</f>
        <v>13.56</v>
      </c>
      <c r="F1533" s="1">
        <f ca="1">IFERROR(__xludf.DUMMYFUNCTION("""COMPUTED_VALUE"""),5510957)</f>
        <v>5510957</v>
      </c>
    </row>
    <row r="1534" spans="1:6" x14ac:dyDescent="0.35">
      <c r="A1534" s="2">
        <f ca="1">IFERROR(__xludf.DUMMYFUNCTION("""COMPUTED_VALUE"""),44230.6666666666)</f>
        <v>44230.666666666599</v>
      </c>
      <c r="B1534" s="1">
        <f ca="1">IFERROR(__xludf.DUMMYFUNCTION("""COMPUTED_VALUE"""),13.64)</f>
        <v>13.64</v>
      </c>
      <c r="C1534" s="1">
        <f ca="1">IFERROR(__xludf.DUMMYFUNCTION("""COMPUTED_VALUE"""),13.93)</f>
        <v>13.93</v>
      </c>
      <c r="D1534" s="1">
        <f ca="1">IFERROR(__xludf.DUMMYFUNCTION("""COMPUTED_VALUE"""),13.52)</f>
        <v>13.52</v>
      </c>
      <c r="E1534" s="1">
        <f ca="1">IFERROR(__xludf.DUMMYFUNCTION("""COMPUTED_VALUE"""),13.53)</f>
        <v>13.53</v>
      </c>
      <c r="F1534" s="1">
        <f ca="1">IFERROR(__xludf.DUMMYFUNCTION("""COMPUTED_VALUE"""),6135232)</f>
        <v>6135232</v>
      </c>
    </row>
    <row r="1535" spans="1:6" x14ac:dyDescent="0.35">
      <c r="A1535" s="2">
        <f ca="1">IFERROR(__xludf.DUMMYFUNCTION("""COMPUTED_VALUE"""),44231.6666666666)</f>
        <v>44231.666666666599</v>
      </c>
      <c r="B1535" s="1">
        <f ca="1">IFERROR(__xludf.DUMMYFUNCTION("""COMPUTED_VALUE"""),13.53)</f>
        <v>13.53</v>
      </c>
      <c r="C1535" s="1">
        <f ca="1">IFERROR(__xludf.DUMMYFUNCTION("""COMPUTED_VALUE"""),13.67)</f>
        <v>13.67</v>
      </c>
      <c r="D1535" s="1">
        <f ca="1">IFERROR(__xludf.DUMMYFUNCTION("""COMPUTED_VALUE"""),13.34)</f>
        <v>13.34</v>
      </c>
      <c r="E1535" s="1">
        <f ca="1">IFERROR(__xludf.DUMMYFUNCTION("""COMPUTED_VALUE"""),13.66)</f>
        <v>13.66</v>
      </c>
      <c r="F1535" s="1">
        <f ca="1">IFERROR(__xludf.DUMMYFUNCTION("""COMPUTED_VALUE"""),5033462)</f>
        <v>5033462</v>
      </c>
    </row>
    <row r="1536" spans="1:6" x14ac:dyDescent="0.35">
      <c r="A1536" s="2">
        <f ca="1">IFERROR(__xludf.DUMMYFUNCTION("""COMPUTED_VALUE"""),44232.6666666666)</f>
        <v>44232.666666666599</v>
      </c>
      <c r="B1536" s="1">
        <f ca="1">IFERROR(__xludf.DUMMYFUNCTION("""COMPUTED_VALUE"""),13.73)</f>
        <v>13.73</v>
      </c>
      <c r="C1536" s="1">
        <f ca="1">IFERROR(__xludf.DUMMYFUNCTION("""COMPUTED_VALUE"""),13.74)</f>
        <v>13.74</v>
      </c>
      <c r="D1536" s="1">
        <f ca="1">IFERROR(__xludf.DUMMYFUNCTION("""COMPUTED_VALUE"""),13.55)</f>
        <v>13.55</v>
      </c>
      <c r="E1536" s="1">
        <f ca="1">IFERROR(__xludf.DUMMYFUNCTION("""COMPUTED_VALUE"""),13.59)</f>
        <v>13.59</v>
      </c>
      <c r="F1536" s="1">
        <f ca="1">IFERROR(__xludf.DUMMYFUNCTION("""COMPUTED_VALUE"""),4228841)</f>
        <v>4228841</v>
      </c>
    </row>
    <row r="1537" spans="1:6" x14ac:dyDescent="0.35">
      <c r="A1537" s="2">
        <f ca="1">IFERROR(__xludf.DUMMYFUNCTION("""COMPUTED_VALUE"""),44235.6666666666)</f>
        <v>44235.666666666599</v>
      </c>
      <c r="B1537" s="1">
        <f ca="1">IFERROR(__xludf.DUMMYFUNCTION("""COMPUTED_VALUE"""),13.73)</f>
        <v>13.73</v>
      </c>
      <c r="C1537" s="1">
        <f ca="1">IFERROR(__xludf.DUMMYFUNCTION("""COMPUTED_VALUE"""),14.47)</f>
        <v>14.47</v>
      </c>
      <c r="D1537" s="1">
        <f ca="1">IFERROR(__xludf.DUMMYFUNCTION("""COMPUTED_VALUE"""),13.73)</f>
        <v>13.73</v>
      </c>
      <c r="E1537" s="1">
        <f ca="1">IFERROR(__xludf.DUMMYFUNCTION("""COMPUTED_VALUE"""),14.44)</f>
        <v>14.44</v>
      </c>
      <c r="F1537" s="1">
        <f ca="1">IFERROR(__xludf.DUMMYFUNCTION("""COMPUTED_VALUE"""),10865571)</f>
        <v>10865571</v>
      </c>
    </row>
    <row r="1538" spans="1:6" x14ac:dyDescent="0.35">
      <c r="A1538" s="2">
        <f ca="1">IFERROR(__xludf.DUMMYFUNCTION("""COMPUTED_VALUE"""),44236.6666666666)</f>
        <v>44236.666666666599</v>
      </c>
      <c r="B1538" s="1">
        <f ca="1">IFERROR(__xludf.DUMMYFUNCTION("""COMPUTED_VALUE"""),14.34)</f>
        <v>14.34</v>
      </c>
      <c r="C1538" s="1">
        <f ca="1">IFERROR(__xludf.DUMMYFUNCTION("""COMPUTED_VALUE"""),14.58)</f>
        <v>14.58</v>
      </c>
      <c r="D1538" s="1">
        <f ca="1">IFERROR(__xludf.DUMMYFUNCTION("""COMPUTED_VALUE"""),14.22)</f>
        <v>14.22</v>
      </c>
      <c r="E1538" s="1">
        <f ca="1">IFERROR(__xludf.DUMMYFUNCTION("""COMPUTED_VALUE"""),14.26)</f>
        <v>14.26</v>
      </c>
      <c r="F1538" s="1">
        <f ca="1">IFERROR(__xludf.DUMMYFUNCTION("""COMPUTED_VALUE"""),7189003)</f>
        <v>7189003</v>
      </c>
    </row>
    <row r="1539" spans="1:6" x14ac:dyDescent="0.35">
      <c r="A1539" s="2">
        <f ca="1">IFERROR(__xludf.DUMMYFUNCTION("""COMPUTED_VALUE"""),44237.6666666666)</f>
        <v>44237.666666666599</v>
      </c>
      <c r="B1539" s="1">
        <f ca="1">IFERROR(__xludf.DUMMYFUNCTION("""COMPUTED_VALUE"""),14.46)</f>
        <v>14.46</v>
      </c>
      <c r="C1539" s="1">
        <f ca="1">IFERROR(__xludf.DUMMYFUNCTION("""COMPUTED_VALUE"""),14.91)</f>
        <v>14.91</v>
      </c>
      <c r="D1539" s="1">
        <f ca="1">IFERROR(__xludf.DUMMYFUNCTION("""COMPUTED_VALUE"""),14.34)</f>
        <v>14.34</v>
      </c>
      <c r="E1539" s="1">
        <f ca="1">IFERROR(__xludf.DUMMYFUNCTION("""COMPUTED_VALUE"""),14.76)</f>
        <v>14.76</v>
      </c>
      <c r="F1539" s="1">
        <f ca="1">IFERROR(__xludf.DUMMYFUNCTION("""COMPUTED_VALUE"""),12133808)</f>
        <v>12133808</v>
      </c>
    </row>
    <row r="1540" spans="1:6" x14ac:dyDescent="0.35">
      <c r="A1540" s="2">
        <f ca="1">IFERROR(__xludf.DUMMYFUNCTION("""COMPUTED_VALUE"""),44238.6666666666)</f>
        <v>44238.666666666599</v>
      </c>
      <c r="B1540" s="1">
        <f ca="1">IFERROR(__xludf.DUMMYFUNCTION("""COMPUTED_VALUE"""),14.98)</f>
        <v>14.98</v>
      </c>
      <c r="C1540" s="1">
        <f ca="1">IFERROR(__xludf.DUMMYFUNCTION("""COMPUTED_VALUE"""),15.27)</f>
        <v>15.27</v>
      </c>
      <c r="D1540" s="1">
        <f ca="1">IFERROR(__xludf.DUMMYFUNCTION("""COMPUTED_VALUE"""),14.93)</f>
        <v>14.93</v>
      </c>
      <c r="E1540" s="1">
        <f ca="1">IFERROR(__xludf.DUMMYFUNCTION("""COMPUTED_VALUE"""),15.25)</f>
        <v>15.25</v>
      </c>
      <c r="F1540" s="1">
        <f ca="1">IFERROR(__xludf.DUMMYFUNCTION("""COMPUTED_VALUE"""),11270693)</f>
        <v>11270693</v>
      </c>
    </row>
    <row r="1541" spans="1:6" x14ac:dyDescent="0.35">
      <c r="A1541" s="2">
        <f ca="1">IFERROR(__xludf.DUMMYFUNCTION("""COMPUTED_VALUE"""),44239.6666666666)</f>
        <v>44239.666666666599</v>
      </c>
      <c r="B1541" s="1">
        <f ca="1">IFERROR(__xludf.DUMMYFUNCTION("""COMPUTED_VALUE"""),15.05)</f>
        <v>15.05</v>
      </c>
      <c r="C1541" s="1">
        <f ca="1">IFERROR(__xludf.DUMMYFUNCTION("""COMPUTED_VALUE"""),15.29)</f>
        <v>15.29</v>
      </c>
      <c r="D1541" s="1">
        <f ca="1">IFERROR(__xludf.DUMMYFUNCTION("""COMPUTED_VALUE"""),14.78)</f>
        <v>14.78</v>
      </c>
      <c r="E1541" s="1">
        <f ca="1">IFERROR(__xludf.DUMMYFUNCTION("""COMPUTED_VALUE"""),14.96)</f>
        <v>14.96</v>
      </c>
      <c r="F1541" s="1">
        <f ca="1">IFERROR(__xludf.DUMMYFUNCTION("""COMPUTED_VALUE"""),9368937)</f>
        <v>9368937</v>
      </c>
    </row>
    <row r="1542" spans="1:6" x14ac:dyDescent="0.35">
      <c r="A1542" s="2">
        <f ca="1">IFERROR(__xludf.DUMMYFUNCTION("""COMPUTED_VALUE"""),44243.6666666666)</f>
        <v>44243.666666666599</v>
      </c>
      <c r="B1542" s="1">
        <f ca="1">IFERROR(__xludf.DUMMYFUNCTION("""COMPUTED_VALUE"""),15.06)</f>
        <v>15.06</v>
      </c>
      <c r="C1542" s="1">
        <f ca="1">IFERROR(__xludf.DUMMYFUNCTION("""COMPUTED_VALUE"""),15.37)</f>
        <v>15.37</v>
      </c>
      <c r="D1542" s="1">
        <f ca="1">IFERROR(__xludf.DUMMYFUNCTION("""COMPUTED_VALUE"""),14.95)</f>
        <v>14.95</v>
      </c>
      <c r="E1542" s="1">
        <f ca="1">IFERROR(__xludf.DUMMYFUNCTION("""COMPUTED_VALUE"""),15.33)</f>
        <v>15.33</v>
      </c>
      <c r="F1542" s="1">
        <f ca="1">IFERROR(__xludf.DUMMYFUNCTION("""COMPUTED_VALUE"""),8048988)</f>
        <v>8048988</v>
      </c>
    </row>
    <row r="1543" spans="1:6" x14ac:dyDescent="0.35">
      <c r="A1543" s="2">
        <f ca="1">IFERROR(__xludf.DUMMYFUNCTION("""COMPUTED_VALUE"""),44244.6666666666)</f>
        <v>44244.666666666599</v>
      </c>
      <c r="B1543" s="1">
        <f ca="1">IFERROR(__xludf.DUMMYFUNCTION("""COMPUTED_VALUE"""),15.17)</f>
        <v>15.17</v>
      </c>
      <c r="C1543" s="1">
        <f ca="1">IFERROR(__xludf.DUMMYFUNCTION("""COMPUTED_VALUE"""),15.22)</f>
        <v>15.22</v>
      </c>
      <c r="D1543" s="1">
        <f ca="1">IFERROR(__xludf.DUMMYFUNCTION("""COMPUTED_VALUE"""),14.78)</f>
        <v>14.78</v>
      </c>
      <c r="E1543" s="1">
        <f ca="1">IFERROR(__xludf.DUMMYFUNCTION("""COMPUTED_VALUE"""),14.91)</f>
        <v>14.91</v>
      </c>
      <c r="F1543" s="1">
        <f ca="1">IFERROR(__xludf.DUMMYFUNCTION("""COMPUTED_VALUE"""),6892467)</f>
        <v>6892467</v>
      </c>
    </row>
    <row r="1544" spans="1:6" x14ac:dyDescent="0.35">
      <c r="A1544" s="2">
        <f ca="1">IFERROR(__xludf.DUMMYFUNCTION("""COMPUTED_VALUE"""),44245.6666666666)</f>
        <v>44245.666666666599</v>
      </c>
      <c r="B1544" s="1">
        <f ca="1">IFERROR(__xludf.DUMMYFUNCTION("""COMPUTED_VALUE"""),14.73)</f>
        <v>14.73</v>
      </c>
      <c r="C1544" s="1">
        <f ca="1">IFERROR(__xludf.DUMMYFUNCTION("""COMPUTED_VALUE"""),14.87)</f>
        <v>14.87</v>
      </c>
      <c r="D1544" s="1">
        <f ca="1">IFERROR(__xludf.DUMMYFUNCTION("""COMPUTED_VALUE"""),14.58)</f>
        <v>14.58</v>
      </c>
      <c r="E1544" s="1">
        <f ca="1">IFERROR(__xludf.DUMMYFUNCTION("""COMPUTED_VALUE"""),14.83)</f>
        <v>14.83</v>
      </c>
      <c r="F1544" s="1">
        <f ca="1">IFERROR(__xludf.DUMMYFUNCTION("""COMPUTED_VALUE"""),5852020)</f>
        <v>5852020</v>
      </c>
    </row>
    <row r="1545" spans="1:6" x14ac:dyDescent="0.35">
      <c r="A1545" s="2">
        <f ca="1">IFERROR(__xludf.DUMMYFUNCTION("""COMPUTED_VALUE"""),44246.6666666666)</f>
        <v>44246.666666666599</v>
      </c>
      <c r="B1545" s="1">
        <f ca="1">IFERROR(__xludf.DUMMYFUNCTION("""COMPUTED_VALUE"""),15.02)</f>
        <v>15.02</v>
      </c>
      <c r="C1545" s="1">
        <f ca="1">IFERROR(__xludf.DUMMYFUNCTION("""COMPUTED_VALUE"""),15.18)</f>
        <v>15.18</v>
      </c>
      <c r="D1545" s="1">
        <f ca="1">IFERROR(__xludf.DUMMYFUNCTION("""COMPUTED_VALUE"""),14.85)</f>
        <v>14.85</v>
      </c>
      <c r="E1545" s="1">
        <f ca="1">IFERROR(__xludf.DUMMYFUNCTION("""COMPUTED_VALUE"""),14.93)</f>
        <v>14.93</v>
      </c>
      <c r="F1545" s="1">
        <f ca="1">IFERROR(__xludf.DUMMYFUNCTION("""COMPUTED_VALUE"""),6793103)</f>
        <v>6793103</v>
      </c>
    </row>
    <row r="1546" spans="1:6" x14ac:dyDescent="0.35">
      <c r="A1546" s="2">
        <f ca="1">IFERROR(__xludf.DUMMYFUNCTION("""COMPUTED_VALUE"""),44249.6666666666)</f>
        <v>44249.666666666599</v>
      </c>
      <c r="B1546" s="1">
        <f ca="1">IFERROR(__xludf.DUMMYFUNCTION("""COMPUTED_VALUE"""),14.77)</f>
        <v>14.77</v>
      </c>
      <c r="C1546" s="1">
        <f ca="1">IFERROR(__xludf.DUMMYFUNCTION("""COMPUTED_VALUE"""),15.13)</f>
        <v>15.13</v>
      </c>
      <c r="D1546" s="1">
        <f ca="1">IFERROR(__xludf.DUMMYFUNCTION("""COMPUTED_VALUE"""),14.33)</f>
        <v>14.33</v>
      </c>
      <c r="E1546" s="1">
        <f ca="1">IFERROR(__xludf.DUMMYFUNCTION("""COMPUTED_VALUE"""),14.36)</f>
        <v>14.36</v>
      </c>
      <c r="F1546" s="1">
        <f ca="1">IFERROR(__xludf.DUMMYFUNCTION("""COMPUTED_VALUE"""),8147139)</f>
        <v>8147139</v>
      </c>
    </row>
    <row r="1547" spans="1:6" x14ac:dyDescent="0.35">
      <c r="A1547" s="2">
        <f ca="1">IFERROR(__xludf.DUMMYFUNCTION("""COMPUTED_VALUE"""),44250.6666666666)</f>
        <v>44250.666666666599</v>
      </c>
      <c r="B1547" s="1">
        <f ca="1">IFERROR(__xludf.DUMMYFUNCTION("""COMPUTED_VALUE"""),14.08)</f>
        <v>14.08</v>
      </c>
      <c r="C1547" s="1">
        <f ca="1">IFERROR(__xludf.DUMMYFUNCTION("""COMPUTED_VALUE"""),14.24)</f>
        <v>14.24</v>
      </c>
      <c r="D1547" s="1">
        <f ca="1">IFERROR(__xludf.DUMMYFUNCTION("""COMPUTED_VALUE"""),13.39)</f>
        <v>13.39</v>
      </c>
      <c r="E1547" s="1">
        <f ca="1">IFERROR(__xludf.DUMMYFUNCTION("""COMPUTED_VALUE"""),14.14)</f>
        <v>14.14</v>
      </c>
      <c r="F1547" s="1">
        <f ca="1">IFERROR(__xludf.DUMMYFUNCTION("""COMPUTED_VALUE"""),9794483)</f>
        <v>9794483</v>
      </c>
    </row>
    <row r="1548" spans="1:6" x14ac:dyDescent="0.35">
      <c r="A1548" s="2">
        <f ca="1">IFERROR(__xludf.DUMMYFUNCTION("""COMPUTED_VALUE"""),44251.6666666666)</f>
        <v>44251.666666666599</v>
      </c>
      <c r="B1548" s="1">
        <f ca="1">IFERROR(__xludf.DUMMYFUNCTION("""COMPUTED_VALUE"""),14.12)</f>
        <v>14.12</v>
      </c>
      <c r="C1548" s="1">
        <f ca="1">IFERROR(__xludf.DUMMYFUNCTION("""COMPUTED_VALUE"""),14.51)</f>
        <v>14.51</v>
      </c>
      <c r="D1548" s="1">
        <f ca="1">IFERROR(__xludf.DUMMYFUNCTION("""COMPUTED_VALUE"""),13.76)</f>
        <v>13.76</v>
      </c>
      <c r="E1548" s="1">
        <f ca="1">IFERROR(__xludf.DUMMYFUNCTION("""COMPUTED_VALUE"""),14.5)</f>
        <v>14.5</v>
      </c>
      <c r="F1548" s="1">
        <f ca="1">IFERROR(__xludf.DUMMYFUNCTION("""COMPUTED_VALUE"""),11207977)</f>
        <v>11207977</v>
      </c>
    </row>
    <row r="1549" spans="1:6" x14ac:dyDescent="0.35">
      <c r="A1549" s="2">
        <f ca="1">IFERROR(__xludf.DUMMYFUNCTION("""COMPUTED_VALUE"""),44252.6666666666)</f>
        <v>44252.666666666599</v>
      </c>
      <c r="B1549" s="1">
        <f ca="1">IFERROR(__xludf.DUMMYFUNCTION("""COMPUTED_VALUE"""),14.05)</f>
        <v>14.05</v>
      </c>
      <c r="C1549" s="1">
        <f ca="1">IFERROR(__xludf.DUMMYFUNCTION("""COMPUTED_VALUE"""),14.37)</f>
        <v>14.37</v>
      </c>
      <c r="D1549" s="1">
        <f ca="1">IFERROR(__xludf.DUMMYFUNCTION("""COMPUTED_VALUE"""),13.22)</f>
        <v>13.22</v>
      </c>
      <c r="E1549" s="1">
        <f ca="1">IFERROR(__xludf.DUMMYFUNCTION("""COMPUTED_VALUE"""),13.31)</f>
        <v>13.31</v>
      </c>
      <c r="F1549" s="1">
        <f ca="1">IFERROR(__xludf.DUMMYFUNCTION("""COMPUTED_VALUE"""),20610901)</f>
        <v>20610901</v>
      </c>
    </row>
    <row r="1550" spans="1:6" x14ac:dyDescent="0.35">
      <c r="A1550" s="2">
        <f ca="1">IFERROR(__xludf.DUMMYFUNCTION("""COMPUTED_VALUE"""),44253.6666666666)</f>
        <v>44253.666666666599</v>
      </c>
      <c r="B1550" s="1">
        <f ca="1">IFERROR(__xludf.DUMMYFUNCTION("""COMPUTED_VALUE"""),13.75)</f>
        <v>13.75</v>
      </c>
      <c r="C1550" s="1">
        <f ca="1">IFERROR(__xludf.DUMMYFUNCTION("""COMPUTED_VALUE"""),13.85)</f>
        <v>13.85</v>
      </c>
      <c r="D1550" s="1">
        <f ca="1">IFERROR(__xludf.DUMMYFUNCTION("""COMPUTED_VALUE"""),13.36)</f>
        <v>13.36</v>
      </c>
      <c r="E1550" s="1">
        <f ca="1">IFERROR(__xludf.DUMMYFUNCTION("""COMPUTED_VALUE"""),13.71)</f>
        <v>13.71</v>
      </c>
      <c r="F1550" s="1">
        <f ca="1">IFERROR(__xludf.DUMMYFUNCTION("""COMPUTED_VALUE"""),12523260)</f>
        <v>12523260</v>
      </c>
    </row>
    <row r="1551" spans="1:6" x14ac:dyDescent="0.35">
      <c r="A1551" s="2">
        <f ca="1">IFERROR(__xludf.DUMMYFUNCTION("""COMPUTED_VALUE"""),44256.6666666666)</f>
        <v>44256.666666666599</v>
      </c>
      <c r="B1551" s="1">
        <f ca="1">IFERROR(__xludf.DUMMYFUNCTION("""COMPUTED_VALUE"""),13.88)</f>
        <v>13.88</v>
      </c>
      <c r="C1551" s="1">
        <f ca="1">IFERROR(__xludf.DUMMYFUNCTION("""COMPUTED_VALUE"""),13.93)</f>
        <v>13.93</v>
      </c>
      <c r="D1551" s="1">
        <f ca="1">IFERROR(__xludf.DUMMYFUNCTION("""COMPUTED_VALUE"""),13.55)</f>
        <v>13.55</v>
      </c>
      <c r="E1551" s="1">
        <f ca="1">IFERROR(__xludf.DUMMYFUNCTION("""COMPUTED_VALUE"""),13.84)</f>
        <v>13.84</v>
      </c>
      <c r="F1551" s="1">
        <f ca="1">IFERROR(__xludf.DUMMYFUNCTION("""COMPUTED_VALUE"""),8829575)</f>
        <v>8829575</v>
      </c>
    </row>
    <row r="1552" spans="1:6" x14ac:dyDescent="0.35">
      <c r="A1552" s="2">
        <f ca="1">IFERROR(__xludf.DUMMYFUNCTION("""COMPUTED_VALUE"""),44257.6666666666)</f>
        <v>44257.666666666599</v>
      </c>
      <c r="B1552" s="1">
        <f ca="1">IFERROR(__xludf.DUMMYFUNCTION("""COMPUTED_VALUE"""),13.9)</f>
        <v>13.9</v>
      </c>
      <c r="C1552" s="1">
        <f ca="1">IFERROR(__xludf.DUMMYFUNCTION("""COMPUTED_VALUE"""),13.92)</f>
        <v>13.92</v>
      </c>
      <c r="D1552" s="1">
        <f ca="1">IFERROR(__xludf.DUMMYFUNCTION("""COMPUTED_VALUE"""),13.4)</f>
        <v>13.4</v>
      </c>
      <c r="E1552" s="1">
        <f ca="1">IFERROR(__xludf.DUMMYFUNCTION("""COMPUTED_VALUE"""),13.41)</f>
        <v>13.41</v>
      </c>
      <c r="F1552" s="1">
        <f ca="1">IFERROR(__xludf.DUMMYFUNCTION("""COMPUTED_VALUE"""),6602853)</f>
        <v>6602853</v>
      </c>
    </row>
    <row r="1553" spans="1:6" x14ac:dyDescent="0.35">
      <c r="A1553" s="2">
        <f ca="1">IFERROR(__xludf.DUMMYFUNCTION("""COMPUTED_VALUE"""),44258.6666666666)</f>
        <v>44258.666666666599</v>
      </c>
      <c r="B1553" s="1">
        <f ca="1">IFERROR(__xludf.DUMMYFUNCTION("""COMPUTED_VALUE"""),13.43)</f>
        <v>13.43</v>
      </c>
      <c r="C1553" s="1">
        <f ca="1">IFERROR(__xludf.DUMMYFUNCTION("""COMPUTED_VALUE"""),13.45)</f>
        <v>13.45</v>
      </c>
      <c r="D1553" s="1">
        <f ca="1">IFERROR(__xludf.DUMMYFUNCTION("""COMPUTED_VALUE"""),12.8)</f>
        <v>12.8</v>
      </c>
      <c r="E1553" s="1">
        <f ca="1">IFERROR(__xludf.DUMMYFUNCTION("""COMPUTED_VALUE"""),12.8)</f>
        <v>12.8</v>
      </c>
      <c r="F1553" s="1">
        <f ca="1">IFERROR(__xludf.DUMMYFUNCTION("""COMPUTED_VALUE"""),9439757)</f>
        <v>9439757</v>
      </c>
    </row>
    <row r="1554" spans="1:6" x14ac:dyDescent="0.35">
      <c r="A1554" s="2">
        <f ca="1">IFERROR(__xludf.DUMMYFUNCTION("""COMPUTED_VALUE"""),44259.6666666666)</f>
        <v>44259.666666666599</v>
      </c>
      <c r="B1554" s="1">
        <f ca="1">IFERROR(__xludf.DUMMYFUNCTION("""COMPUTED_VALUE"""),12.8)</f>
        <v>12.8</v>
      </c>
      <c r="C1554" s="1">
        <f ca="1">IFERROR(__xludf.DUMMYFUNCTION("""COMPUTED_VALUE"""),12.98)</f>
        <v>12.98</v>
      </c>
      <c r="D1554" s="1">
        <f ca="1">IFERROR(__xludf.DUMMYFUNCTION("""COMPUTED_VALUE"""),12.08)</f>
        <v>12.08</v>
      </c>
      <c r="E1554" s="1">
        <f ca="1">IFERROR(__xludf.DUMMYFUNCTION("""COMPUTED_VALUE"""),12.37)</f>
        <v>12.37</v>
      </c>
      <c r="F1554" s="1">
        <f ca="1">IFERROR(__xludf.DUMMYFUNCTION("""COMPUTED_VALUE"""),14333629)</f>
        <v>14333629</v>
      </c>
    </row>
    <row r="1555" spans="1:6" x14ac:dyDescent="0.35">
      <c r="A1555" s="2">
        <f ca="1">IFERROR(__xludf.DUMMYFUNCTION("""COMPUTED_VALUE"""),44260.6666666666)</f>
        <v>44260.666666666599</v>
      </c>
      <c r="B1555" s="1">
        <f ca="1">IFERROR(__xludf.DUMMYFUNCTION("""COMPUTED_VALUE"""),12.55)</f>
        <v>12.55</v>
      </c>
      <c r="C1555" s="1">
        <f ca="1">IFERROR(__xludf.DUMMYFUNCTION("""COMPUTED_VALUE"""),12.55)</f>
        <v>12.55</v>
      </c>
      <c r="D1555" s="1">
        <f ca="1">IFERROR(__xludf.DUMMYFUNCTION("""COMPUTED_VALUE"""),11.68)</f>
        <v>11.68</v>
      </c>
      <c r="E1555" s="1">
        <f ca="1">IFERROR(__xludf.DUMMYFUNCTION("""COMPUTED_VALUE"""),12.46)</f>
        <v>12.46</v>
      </c>
      <c r="F1555" s="1">
        <f ca="1">IFERROR(__xludf.DUMMYFUNCTION("""COMPUTED_VALUE"""),13570971)</f>
        <v>13570971</v>
      </c>
    </row>
    <row r="1556" spans="1:6" x14ac:dyDescent="0.35">
      <c r="A1556" s="2">
        <f ca="1">IFERROR(__xludf.DUMMYFUNCTION("""COMPUTED_VALUE"""),44263.6666666666)</f>
        <v>44263.666666666599</v>
      </c>
      <c r="B1556" s="1">
        <f ca="1">IFERROR(__xludf.DUMMYFUNCTION("""COMPUTED_VALUE"""),12.45)</f>
        <v>12.45</v>
      </c>
      <c r="C1556" s="1">
        <f ca="1">IFERROR(__xludf.DUMMYFUNCTION("""COMPUTED_VALUE"""),12.47)</f>
        <v>12.47</v>
      </c>
      <c r="D1556" s="1">
        <f ca="1">IFERROR(__xludf.DUMMYFUNCTION("""COMPUTED_VALUE"""),11.57)</f>
        <v>11.57</v>
      </c>
      <c r="E1556" s="1">
        <f ca="1">IFERROR(__xludf.DUMMYFUNCTION("""COMPUTED_VALUE"""),11.59)</f>
        <v>11.59</v>
      </c>
      <c r="F1556" s="1">
        <f ca="1">IFERROR(__xludf.DUMMYFUNCTION("""COMPUTED_VALUE"""),13577792)</f>
        <v>13577792</v>
      </c>
    </row>
    <row r="1557" spans="1:6" x14ac:dyDescent="0.35">
      <c r="A1557" s="2">
        <f ca="1">IFERROR(__xludf.DUMMYFUNCTION("""COMPUTED_VALUE"""),44264.6666666666)</f>
        <v>44264.666666666599</v>
      </c>
      <c r="B1557" s="1">
        <f ca="1">IFERROR(__xludf.DUMMYFUNCTION("""COMPUTED_VALUE"""),12.13)</f>
        <v>12.13</v>
      </c>
      <c r="C1557" s="1">
        <f ca="1">IFERROR(__xludf.DUMMYFUNCTION("""COMPUTED_VALUE"""),12.62)</f>
        <v>12.62</v>
      </c>
      <c r="D1557" s="1">
        <f ca="1">IFERROR(__xludf.DUMMYFUNCTION("""COMPUTED_VALUE"""),12.06)</f>
        <v>12.06</v>
      </c>
      <c r="E1557" s="1">
        <f ca="1">IFERROR(__xludf.DUMMYFUNCTION("""COMPUTED_VALUE"""),12.52)</f>
        <v>12.52</v>
      </c>
      <c r="F1557" s="1">
        <f ca="1">IFERROR(__xludf.DUMMYFUNCTION("""COMPUTED_VALUE"""),13045638)</f>
        <v>13045638</v>
      </c>
    </row>
    <row r="1558" spans="1:6" x14ac:dyDescent="0.35">
      <c r="A1558" s="2">
        <f ca="1">IFERROR(__xludf.DUMMYFUNCTION("""COMPUTED_VALUE"""),44265.6666666666)</f>
        <v>44265.666666666599</v>
      </c>
      <c r="B1558" s="1">
        <f ca="1">IFERROR(__xludf.DUMMYFUNCTION("""COMPUTED_VALUE"""),12.84)</f>
        <v>12.84</v>
      </c>
      <c r="C1558" s="1">
        <f ca="1">IFERROR(__xludf.DUMMYFUNCTION("""COMPUTED_VALUE"""),12.98)</f>
        <v>12.98</v>
      </c>
      <c r="D1558" s="1">
        <f ca="1">IFERROR(__xludf.DUMMYFUNCTION("""COMPUTED_VALUE"""),12.46)</f>
        <v>12.46</v>
      </c>
      <c r="E1558" s="1">
        <f ca="1">IFERROR(__xludf.DUMMYFUNCTION("""COMPUTED_VALUE"""),12.47)</f>
        <v>12.47</v>
      </c>
      <c r="F1558" s="1">
        <f ca="1">IFERROR(__xludf.DUMMYFUNCTION("""COMPUTED_VALUE"""),9609414)</f>
        <v>9609414</v>
      </c>
    </row>
    <row r="1559" spans="1:6" x14ac:dyDescent="0.35">
      <c r="A1559" s="2">
        <f ca="1">IFERROR(__xludf.DUMMYFUNCTION("""COMPUTED_VALUE"""),44266.6666666666)</f>
        <v>44266.666666666599</v>
      </c>
      <c r="B1559" s="1">
        <f ca="1">IFERROR(__xludf.DUMMYFUNCTION("""COMPUTED_VALUE"""),12.95)</f>
        <v>12.95</v>
      </c>
      <c r="C1559" s="1">
        <f ca="1">IFERROR(__xludf.DUMMYFUNCTION("""COMPUTED_VALUE"""),13.05)</f>
        <v>13.05</v>
      </c>
      <c r="D1559" s="1">
        <f ca="1">IFERROR(__xludf.DUMMYFUNCTION("""COMPUTED_VALUE"""),12.73)</f>
        <v>12.73</v>
      </c>
      <c r="E1559" s="1">
        <f ca="1">IFERROR(__xludf.DUMMYFUNCTION("""COMPUTED_VALUE"""),12.99)</f>
        <v>12.99</v>
      </c>
      <c r="F1559" s="1">
        <f ca="1">IFERROR(__xludf.DUMMYFUNCTION("""COMPUTED_VALUE"""),7497857)</f>
        <v>7497857</v>
      </c>
    </row>
    <row r="1560" spans="1:6" x14ac:dyDescent="0.35">
      <c r="A1560" s="2">
        <f ca="1">IFERROR(__xludf.DUMMYFUNCTION("""COMPUTED_VALUE"""),44267.6666666666)</f>
        <v>44267.666666666599</v>
      </c>
      <c r="B1560" s="1">
        <f ca="1">IFERROR(__xludf.DUMMYFUNCTION("""COMPUTED_VALUE"""),12.65)</f>
        <v>12.65</v>
      </c>
      <c r="C1560" s="1">
        <f ca="1">IFERROR(__xludf.DUMMYFUNCTION("""COMPUTED_VALUE"""),12.89)</f>
        <v>12.89</v>
      </c>
      <c r="D1560" s="1">
        <f ca="1">IFERROR(__xludf.DUMMYFUNCTION("""COMPUTED_VALUE"""),12.59)</f>
        <v>12.59</v>
      </c>
      <c r="E1560" s="1">
        <f ca="1">IFERROR(__xludf.DUMMYFUNCTION("""COMPUTED_VALUE"""),12.86)</f>
        <v>12.86</v>
      </c>
      <c r="F1560" s="1">
        <f ca="1">IFERROR(__xludf.DUMMYFUNCTION("""COMPUTED_VALUE"""),6099099)</f>
        <v>6099099</v>
      </c>
    </row>
    <row r="1561" spans="1:6" x14ac:dyDescent="0.35">
      <c r="A1561" s="2">
        <f ca="1">IFERROR(__xludf.DUMMYFUNCTION("""COMPUTED_VALUE"""),44270.6666666666)</f>
        <v>44270.666666666599</v>
      </c>
      <c r="B1561" s="1">
        <f ca="1">IFERROR(__xludf.DUMMYFUNCTION("""COMPUTED_VALUE"""),12.86)</f>
        <v>12.86</v>
      </c>
      <c r="C1561" s="1">
        <f ca="1">IFERROR(__xludf.DUMMYFUNCTION("""COMPUTED_VALUE"""),13.21)</f>
        <v>13.21</v>
      </c>
      <c r="D1561" s="1">
        <f ca="1">IFERROR(__xludf.DUMMYFUNCTION("""COMPUTED_VALUE"""),12.77)</f>
        <v>12.77</v>
      </c>
      <c r="E1561" s="1">
        <f ca="1">IFERROR(__xludf.DUMMYFUNCTION("""COMPUTED_VALUE"""),13.19)</f>
        <v>13.19</v>
      </c>
      <c r="F1561" s="1">
        <f ca="1">IFERROR(__xludf.DUMMYFUNCTION("""COMPUTED_VALUE"""),5563011)</f>
        <v>5563011</v>
      </c>
    </row>
    <row r="1562" spans="1:6" x14ac:dyDescent="0.35">
      <c r="A1562" s="2">
        <f ca="1">IFERROR(__xludf.DUMMYFUNCTION("""COMPUTED_VALUE"""),44271.6666666666)</f>
        <v>44271.666666666599</v>
      </c>
      <c r="B1562" s="1">
        <f ca="1">IFERROR(__xludf.DUMMYFUNCTION("""COMPUTED_VALUE"""),13.36)</f>
        <v>13.36</v>
      </c>
      <c r="C1562" s="1">
        <f ca="1">IFERROR(__xludf.DUMMYFUNCTION("""COMPUTED_VALUE"""),13.51)</f>
        <v>13.51</v>
      </c>
      <c r="D1562" s="1">
        <f ca="1">IFERROR(__xludf.DUMMYFUNCTION("""COMPUTED_VALUE"""),13.12)</f>
        <v>13.12</v>
      </c>
      <c r="E1562" s="1">
        <f ca="1">IFERROR(__xludf.DUMMYFUNCTION("""COMPUTED_VALUE"""),13.29)</f>
        <v>13.29</v>
      </c>
      <c r="F1562" s="1">
        <f ca="1">IFERROR(__xludf.DUMMYFUNCTION("""COMPUTED_VALUE"""),6803240)</f>
        <v>6803240</v>
      </c>
    </row>
    <row r="1563" spans="1:6" x14ac:dyDescent="0.35">
      <c r="A1563" s="2">
        <f ca="1">IFERROR(__xludf.DUMMYFUNCTION("""COMPUTED_VALUE"""),44272.6666666666)</f>
        <v>44272.666666666599</v>
      </c>
      <c r="B1563" s="1">
        <f ca="1">IFERROR(__xludf.DUMMYFUNCTION("""COMPUTED_VALUE"""),13.04)</f>
        <v>13.04</v>
      </c>
      <c r="C1563" s="1">
        <f ca="1">IFERROR(__xludf.DUMMYFUNCTION("""COMPUTED_VALUE"""),13.45)</f>
        <v>13.45</v>
      </c>
      <c r="D1563" s="1">
        <f ca="1">IFERROR(__xludf.DUMMYFUNCTION("""COMPUTED_VALUE"""),12.99)</f>
        <v>12.99</v>
      </c>
      <c r="E1563" s="1">
        <f ca="1">IFERROR(__xludf.DUMMYFUNCTION("""COMPUTED_VALUE"""),13.34)</f>
        <v>13.34</v>
      </c>
      <c r="F1563" s="1">
        <f ca="1">IFERROR(__xludf.DUMMYFUNCTION("""COMPUTED_VALUE"""),6096605)</f>
        <v>6096605</v>
      </c>
    </row>
    <row r="1564" spans="1:6" x14ac:dyDescent="0.35">
      <c r="A1564" s="2">
        <f ca="1">IFERROR(__xludf.DUMMYFUNCTION("""COMPUTED_VALUE"""),44273.6666666666)</f>
        <v>44273.666666666599</v>
      </c>
      <c r="B1564" s="1">
        <f ca="1">IFERROR(__xludf.DUMMYFUNCTION("""COMPUTED_VALUE"""),13.14)</f>
        <v>13.14</v>
      </c>
      <c r="C1564" s="1">
        <f ca="1">IFERROR(__xludf.DUMMYFUNCTION("""COMPUTED_VALUE"""),13.18)</f>
        <v>13.18</v>
      </c>
      <c r="D1564" s="1">
        <f ca="1">IFERROR(__xludf.DUMMYFUNCTION("""COMPUTED_VALUE"""),12.72)</f>
        <v>12.72</v>
      </c>
      <c r="E1564" s="1">
        <f ca="1">IFERROR(__xludf.DUMMYFUNCTION("""COMPUTED_VALUE"""),12.72)</f>
        <v>12.72</v>
      </c>
      <c r="F1564" s="1">
        <f ca="1">IFERROR(__xludf.DUMMYFUNCTION("""COMPUTED_VALUE"""),7354702)</f>
        <v>7354702</v>
      </c>
    </row>
    <row r="1565" spans="1:6" x14ac:dyDescent="0.35">
      <c r="A1565" s="2">
        <f ca="1">IFERROR(__xludf.DUMMYFUNCTION("""COMPUTED_VALUE"""),44274.6666666666)</f>
        <v>44274.666666666599</v>
      </c>
      <c r="B1565" s="1">
        <f ca="1">IFERROR(__xludf.DUMMYFUNCTION("""COMPUTED_VALUE"""),12.75)</f>
        <v>12.75</v>
      </c>
      <c r="C1565" s="1">
        <f ca="1">IFERROR(__xludf.DUMMYFUNCTION("""COMPUTED_VALUE"""),12.92)</f>
        <v>12.92</v>
      </c>
      <c r="D1565" s="1">
        <f ca="1">IFERROR(__xludf.DUMMYFUNCTION("""COMPUTED_VALUE"""),12.61)</f>
        <v>12.61</v>
      </c>
      <c r="E1565" s="1">
        <f ca="1">IFERROR(__xludf.DUMMYFUNCTION("""COMPUTED_VALUE"""),12.85)</f>
        <v>12.85</v>
      </c>
      <c r="F1565" s="1">
        <f ca="1">IFERROR(__xludf.DUMMYFUNCTION("""COMPUTED_VALUE"""),7480174)</f>
        <v>7480174</v>
      </c>
    </row>
    <row r="1566" spans="1:6" x14ac:dyDescent="0.35">
      <c r="A1566" s="2">
        <f ca="1">IFERROR(__xludf.DUMMYFUNCTION("""COMPUTED_VALUE"""),44277.6666666666)</f>
        <v>44277.666666666599</v>
      </c>
      <c r="B1566" s="1">
        <f ca="1">IFERROR(__xludf.DUMMYFUNCTION("""COMPUTED_VALUE"""),12.91)</f>
        <v>12.91</v>
      </c>
      <c r="C1566" s="1">
        <f ca="1">IFERROR(__xludf.DUMMYFUNCTION("""COMPUTED_VALUE"""),13.39)</f>
        <v>13.39</v>
      </c>
      <c r="D1566" s="1">
        <f ca="1">IFERROR(__xludf.DUMMYFUNCTION("""COMPUTED_VALUE"""),12.91)</f>
        <v>12.91</v>
      </c>
      <c r="E1566" s="1">
        <f ca="1">IFERROR(__xludf.DUMMYFUNCTION("""COMPUTED_VALUE"""),13.19)</f>
        <v>13.19</v>
      </c>
      <c r="F1566" s="1">
        <f ca="1">IFERROR(__xludf.DUMMYFUNCTION("""COMPUTED_VALUE"""),7445077)</f>
        <v>7445077</v>
      </c>
    </row>
    <row r="1567" spans="1:6" x14ac:dyDescent="0.35">
      <c r="A1567" s="2">
        <f ca="1">IFERROR(__xludf.DUMMYFUNCTION("""COMPUTED_VALUE"""),44278.6666666666)</f>
        <v>44278.666666666599</v>
      </c>
      <c r="B1567" s="1">
        <f ca="1">IFERROR(__xludf.DUMMYFUNCTION("""COMPUTED_VALUE"""),13.25)</f>
        <v>13.25</v>
      </c>
      <c r="C1567" s="1">
        <f ca="1">IFERROR(__xludf.DUMMYFUNCTION("""COMPUTED_VALUE"""),13.34)</f>
        <v>13.34</v>
      </c>
      <c r="D1567" s="1">
        <f ca="1">IFERROR(__xludf.DUMMYFUNCTION("""COMPUTED_VALUE"""),13.02)</f>
        <v>13.02</v>
      </c>
      <c r="E1567" s="1">
        <f ca="1">IFERROR(__xludf.DUMMYFUNCTION("""COMPUTED_VALUE"""),13.07)</f>
        <v>13.07</v>
      </c>
      <c r="F1567" s="1">
        <f ca="1">IFERROR(__xludf.DUMMYFUNCTION("""COMPUTED_VALUE"""),5551152)</f>
        <v>5551152</v>
      </c>
    </row>
    <row r="1568" spans="1:6" x14ac:dyDescent="0.35">
      <c r="A1568" s="2">
        <f ca="1">IFERROR(__xludf.DUMMYFUNCTION("""COMPUTED_VALUE"""),44279.6666666666)</f>
        <v>44279.666666666599</v>
      </c>
      <c r="B1568" s="1">
        <f ca="1">IFERROR(__xludf.DUMMYFUNCTION("""COMPUTED_VALUE"""),13.15)</f>
        <v>13.15</v>
      </c>
      <c r="C1568" s="1">
        <f ca="1">IFERROR(__xludf.DUMMYFUNCTION("""COMPUTED_VALUE"""),13.16)</f>
        <v>13.16</v>
      </c>
      <c r="D1568" s="1">
        <f ca="1">IFERROR(__xludf.DUMMYFUNCTION("""COMPUTED_VALUE"""),12.64)</f>
        <v>12.64</v>
      </c>
      <c r="E1568" s="1">
        <f ca="1">IFERROR(__xludf.DUMMYFUNCTION("""COMPUTED_VALUE"""),12.64)</f>
        <v>12.64</v>
      </c>
      <c r="F1568" s="1">
        <f ca="1">IFERROR(__xludf.DUMMYFUNCTION("""COMPUTED_VALUE"""),6145963)</f>
        <v>6145963</v>
      </c>
    </row>
    <row r="1569" spans="1:6" x14ac:dyDescent="0.35">
      <c r="A1569" s="2">
        <f ca="1">IFERROR(__xludf.DUMMYFUNCTION("""COMPUTED_VALUE"""),44280.6666666666)</f>
        <v>44280.666666666599</v>
      </c>
      <c r="B1569" s="1">
        <f ca="1">IFERROR(__xludf.DUMMYFUNCTION("""COMPUTED_VALUE"""),12.5)</f>
        <v>12.5</v>
      </c>
      <c r="C1569" s="1">
        <f ca="1">IFERROR(__xludf.DUMMYFUNCTION("""COMPUTED_VALUE"""),12.71)</f>
        <v>12.71</v>
      </c>
      <c r="D1569" s="1">
        <f ca="1">IFERROR(__xludf.DUMMYFUNCTION("""COMPUTED_VALUE"""),12.27)</f>
        <v>12.27</v>
      </c>
      <c r="E1569" s="1">
        <f ca="1">IFERROR(__xludf.DUMMYFUNCTION("""COMPUTED_VALUE"""),12.54)</f>
        <v>12.54</v>
      </c>
      <c r="F1569" s="1">
        <f ca="1">IFERROR(__xludf.DUMMYFUNCTION("""COMPUTED_VALUE"""),7378614)</f>
        <v>7378614</v>
      </c>
    </row>
    <row r="1570" spans="1:6" x14ac:dyDescent="0.35">
      <c r="A1570" s="2">
        <f ca="1">IFERROR(__xludf.DUMMYFUNCTION("""COMPUTED_VALUE"""),44281.6666666666)</f>
        <v>44281.666666666599</v>
      </c>
      <c r="B1570" s="1">
        <f ca="1">IFERROR(__xludf.DUMMYFUNCTION("""COMPUTED_VALUE"""),12.55)</f>
        <v>12.55</v>
      </c>
      <c r="C1570" s="1">
        <f ca="1">IFERROR(__xludf.DUMMYFUNCTION("""COMPUTED_VALUE"""),12.86)</f>
        <v>12.86</v>
      </c>
      <c r="D1570" s="1">
        <f ca="1">IFERROR(__xludf.DUMMYFUNCTION("""COMPUTED_VALUE"""),12.37)</f>
        <v>12.37</v>
      </c>
      <c r="E1570" s="1">
        <f ca="1">IFERROR(__xludf.DUMMYFUNCTION("""COMPUTED_VALUE"""),12.84)</f>
        <v>12.84</v>
      </c>
      <c r="F1570" s="1">
        <f ca="1">IFERROR(__xludf.DUMMYFUNCTION("""COMPUTED_VALUE"""),9099224)</f>
        <v>9099224</v>
      </c>
    </row>
    <row r="1571" spans="1:6" x14ac:dyDescent="0.35">
      <c r="A1571" s="2">
        <f ca="1">IFERROR(__xludf.DUMMYFUNCTION("""COMPUTED_VALUE"""),44284.6666666666)</f>
        <v>44284.666666666599</v>
      </c>
      <c r="B1571" s="1">
        <f ca="1">IFERROR(__xludf.DUMMYFUNCTION("""COMPUTED_VALUE"""),12.82)</f>
        <v>12.82</v>
      </c>
      <c r="C1571" s="1">
        <f ca="1">IFERROR(__xludf.DUMMYFUNCTION("""COMPUTED_VALUE"""),13.06)</f>
        <v>13.06</v>
      </c>
      <c r="D1571" s="1">
        <f ca="1">IFERROR(__xludf.DUMMYFUNCTION("""COMPUTED_VALUE"""),12.7)</f>
        <v>12.7</v>
      </c>
      <c r="E1571" s="1">
        <f ca="1">IFERROR(__xludf.DUMMYFUNCTION("""COMPUTED_VALUE"""),12.95)</f>
        <v>12.95</v>
      </c>
      <c r="F1571" s="1">
        <f ca="1">IFERROR(__xludf.DUMMYFUNCTION("""COMPUTED_VALUE"""),6837997)</f>
        <v>6837997</v>
      </c>
    </row>
    <row r="1572" spans="1:6" x14ac:dyDescent="0.35">
      <c r="A1572" s="2">
        <f ca="1">IFERROR(__xludf.DUMMYFUNCTION("""COMPUTED_VALUE"""),44285.6666666666)</f>
        <v>44285.666666666599</v>
      </c>
      <c r="B1572" s="1">
        <f ca="1">IFERROR(__xludf.DUMMYFUNCTION("""COMPUTED_VALUE"""),12.84)</f>
        <v>12.84</v>
      </c>
      <c r="C1572" s="1">
        <f ca="1">IFERROR(__xludf.DUMMYFUNCTION("""COMPUTED_VALUE"""),12.98)</f>
        <v>12.98</v>
      </c>
      <c r="D1572" s="1">
        <f ca="1">IFERROR(__xludf.DUMMYFUNCTION("""COMPUTED_VALUE"""),12.71)</f>
        <v>12.71</v>
      </c>
      <c r="E1572" s="1">
        <f ca="1">IFERROR(__xludf.DUMMYFUNCTION("""COMPUTED_VALUE"""),12.87)</f>
        <v>12.87</v>
      </c>
      <c r="F1572" s="1">
        <f ca="1">IFERROR(__xludf.DUMMYFUNCTION("""COMPUTED_VALUE"""),5005062)</f>
        <v>5005062</v>
      </c>
    </row>
    <row r="1573" spans="1:6" x14ac:dyDescent="0.35">
      <c r="A1573" s="2">
        <f ca="1">IFERROR(__xludf.DUMMYFUNCTION("""COMPUTED_VALUE"""),44286.6666666666)</f>
        <v>44286.666666666599</v>
      </c>
      <c r="B1573" s="1">
        <f ca="1">IFERROR(__xludf.DUMMYFUNCTION("""COMPUTED_VALUE"""),13.02)</f>
        <v>13.02</v>
      </c>
      <c r="C1573" s="1">
        <f ca="1">IFERROR(__xludf.DUMMYFUNCTION("""COMPUTED_VALUE"""),13.47)</f>
        <v>13.47</v>
      </c>
      <c r="D1573" s="1">
        <f ca="1">IFERROR(__xludf.DUMMYFUNCTION("""COMPUTED_VALUE"""),12.98)</f>
        <v>12.98</v>
      </c>
      <c r="E1573" s="1">
        <f ca="1">IFERROR(__xludf.DUMMYFUNCTION("""COMPUTED_VALUE"""),13.35)</f>
        <v>13.35</v>
      </c>
      <c r="F1573" s="1">
        <f ca="1">IFERROR(__xludf.DUMMYFUNCTION("""COMPUTED_VALUE"""),7869438)</f>
        <v>7869438</v>
      </c>
    </row>
    <row r="1574" spans="1:6" x14ac:dyDescent="0.35">
      <c r="A1574" s="2">
        <f ca="1">IFERROR(__xludf.DUMMYFUNCTION("""COMPUTED_VALUE"""),44287.6666666666)</f>
        <v>44287.666666666599</v>
      </c>
      <c r="B1574" s="1">
        <f ca="1">IFERROR(__xludf.DUMMYFUNCTION("""COMPUTED_VALUE"""),13.57)</f>
        <v>13.57</v>
      </c>
      <c r="C1574" s="1">
        <f ca="1">IFERROR(__xludf.DUMMYFUNCTION("""COMPUTED_VALUE"""),13.87)</f>
        <v>13.87</v>
      </c>
      <c r="D1574" s="1">
        <f ca="1">IFERROR(__xludf.DUMMYFUNCTION("""COMPUTED_VALUE"""),13.51)</f>
        <v>13.51</v>
      </c>
      <c r="E1574" s="1">
        <f ca="1">IFERROR(__xludf.DUMMYFUNCTION("""COMPUTED_VALUE"""),13.81)</f>
        <v>13.81</v>
      </c>
      <c r="F1574" s="1">
        <f ca="1">IFERROR(__xludf.DUMMYFUNCTION("""COMPUTED_VALUE"""),7706865)</f>
        <v>7706865</v>
      </c>
    </row>
    <row r="1575" spans="1:6" x14ac:dyDescent="0.35">
      <c r="A1575" s="2">
        <f ca="1">IFERROR(__xludf.DUMMYFUNCTION("""COMPUTED_VALUE"""),44291.6666666666)</f>
        <v>44291.666666666599</v>
      </c>
      <c r="B1575" s="1">
        <f ca="1">IFERROR(__xludf.DUMMYFUNCTION("""COMPUTED_VALUE"""),13.87)</f>
        <v>13.87</v>
      </c>
      <c r="C1575" s="1">
        <f ca="1">IFERROR(__xludf.DUMMYFUNCTION("""COMPUTED_VALUE"""),14.01)</f>
        <v>14.01</v>
      </c>
      <c r="D1575" s="1">
        <f ca="1">IFERROR(__xludf.DUMMYFUNCTION("""COMPUTED_VALUE"""),13.73)</f>
        <v>13.73</v>
      </c>
      <c r="E1575" s="1">
        <f ca="1">IFERROR(__xludf.DUMMYFUNCTION("""COMPUTED_VALUE"""),13.99)</f>
        <v>13.99</v>
      </c>
      <c r="F1575" s="1">
        <f ca="1">IFERROR(__xludf.DUMMYFUNCTION("""COMPUTED_VALUE"""),6391785)</f>
        <v>6391785</v>
      </c>
    </row>
    <row r="1576" spans="1:6" x14ac:dyDescent="0.35">
      <c r="A1576" s="2">
        <f ca="1">IFERROR(__xludf.DUMMYFUNCTION("""COMPUTED_VALUE"""),44292.6666666666)</f>
        <v>44292.666666666599</v>
      </c>
      <c r="B1576" s="1">
        <f ca="1">IFERROR(__xludf.DUMMYFUNCTION("""COMPUTED_VALUE"""),14)</f>
        <v>14</v>
      </c>
      <c r="C1576" s="1">
        <f ca="1">IFERROR(__xludf.DUMMYFUNCTION("""COMPUTED_VALUE"""),14.05)</f>
        <v>14.05</v>
      </c>
      <c r="D1576" s="1">
        <f ca="1">IFERROR(__xludf.DUMMYFUNCTION("""COMPUTED_VALUE"""),13.77)</f>
        <v>13.77</v>
      </c>
      <c r="E1576" s="1">
        <f ca="1">IFERROR(__xludf.DUMMYFUNCTION("""COMPUTED_VALUE"""),13.86)</f>
        <v>13.86</v>
      </c>
      <c r="F1576" s="1">
        <f ca="1">IFERROR(__xludf.DUMMYFUNCTION("""COMPUTED_VALUE"""),4793649)</f>
        <v>4793649</v>
      </c>
    </row>
    <row r="1577" spans="1:6" x14ac:dyDescent="0.35">
      <c r="A1577" s="2">
        <f ca="1">IFERROR(__xludf.DUMMYFUNCTION("""COMPUTED_VALUE"""),44293.6666666666)</f>
        <v>44293.666666666599</v>
      </c>
      <c r="B1577" s="1">
        <f ca="1">IFERROR(__xludf.DUMMYFUNCTION("""COMPUTED_VALUE"""),13.88)</f>
        <v>13.88</v>
      </c>
      <c r="C1577" s="1">
        <f ca="1">IFERROR(__xludf.DUMMYFUNCTION("""COMPUTED_VALUE"""),14.24)</f>
        <v>14.24</v>
      </c>
      <c r="D1577" s="1">
        <f ca="1">IFERROR(__xludf.DUMMYFUNCTION("""COMPUTED_VALUE"""),13.71)</f>
        <v>13.71</v>
      </c>
      <c r="E1577" s="1">
        <f ca="1">IFERROR(__xludf.DUMMYFUNCTION("""COMPUTED_VALUE"""),14.14)</f>
        <v>14.14</v>
      </c>
      <c r="F1577" s="1">
        <f ca="1">IFERROR(__xludf.DUMMYFUNCTION("""COMPUTED_VALUE"""),6282109)</f>
        <v>6282109</v>
      </c>
    </row>
    <row r="1578" spans="1:6" x14ac:dyDescent="0.35">
      <c r="A1578" s="2">
        <f ca="1">IFERROR(__xludf.DUMMYFUNCTION("""COMPUTED_VALUE"""),44294.6666666666)</f>
        <v>44294.666666666599</v>
      </c>
      <c r="B1578" s="1">
        <f ca="1">IFERROR(__xludf.DUMMYFUNCTION("""COMPUTED_VALUE"""),14.25)</f>
        <v>14.25</v>
      </c>
      <c r="C1578" s="1">
        <f ca="1">IFERROR(__xludf.DUMMYFUNCTION("""COMPUTED_VALUE"""),14.47)</f>
        <v>14.47</v>
      </c>
      <c r="D1578" s="1">
        <f ca="1">IFERROR(__xludf.DUMMYFUNCTION("""COMPUTED_VALUE"""),14.25)</f>
        <v>14.25</v>
      </c>
      <c r="E1578" s="1">
        <f ca="1">IFERROR(__xludf.DUMMYFUNCTION("""COMPUTED_VALUE"""),14.32)</f>
        <v>14.32</v>
      </c>
      <c r="F1578" s="1">
        <f ca="1">IFERROR(__xludf.DUMMYFUNCTION("""COMPUTED_VALUE"""),6110373)</f>
        <v>6110373</v>
      </c>
    </row>
    <row r="1579" spans="1:6" x14ac:dyDescent="0.35">
      <c r="A1579" s="2">
        <f ca="1">IFERROR(__xludf.DUMMYFUNCTION("""COMPUTED_VALUE"""),44295.6666666666)</f>
        <v>44295.666666666599</v>
      </c>
      <c r="B1579" s="1">
        <f ca="1">IFERROR(__xludf.DUMMYFUNCTION("""COMPUTED_VALUE"""),14.21)</f>
        <v>14.21</v>
      </c>
      <c r="C1579" s="1">
        <f ca="1">IFERROR(__xludf.DUMMYFUNCTION("""COMPUTED_VALUE"""),14.41)</f>
        <v>14.41</v>
      </c>
      <c r="D1579" s="1">
        <f ca="1">IFERROR(__xludf.DUMMYFUNCTION("""COMPUTED_VALUE"""),14.18)</f>
        <v>14.18</v>
      </c>
      <c r="E1579" s="1">
        <f ca="1">IFERROR(__xludf.DUMMYFUNCTION("""COMPUTED_VALUE"""),14.4)</f>
        <v>14.4</v>
      </c>
      <c r="F1579" s="1">
        <f ca="1">IFERROR(__xludf.DUMMYFUNCTION("""COMPUTED_VALUE"""),4879272)</f>
        <v>4879272</v>
      </c>
    </row>
    <row r="1580" spans="1:6" x14ac:dyDescent="0.35">
      <c r="A1580" s="2">
        <f ca="1">IFERROR(__xludf.DUMMYFUNCTION("""COMPUTED_VALUE"""),44298.6666666666)</f>
        <v>44298.666666666599</v>
      </c>
      <c r="B1580" s="1">
        <f ca="1">IFERROR(__xludf.DUMMYFUNCTION("""COMPUTED_VALUE"""),14.29)</f>
        <v>14.29</v>
      </c>
      <c r="C1580" s="1">
        <f ca="1">IFERROR(__xludf.DUMMYFUNCTION("""COMPUTED_VALUE"""),15.35)</f>
        <v>15.35</v>
      </c>
      <c r="D1580" s="1">
        <f ca="1">IFERROR(__xludf.DUMMYFUNCTION("""COMPUTED_VALUE"""),14.14)</f>
        <v>14.14</v>
      </c>
      <c r="E1580" s="1">
        <f ca="1">IFERROR(__xludf.DUMMYFUNCTION("""COMPUTED_VALUE"""),15.21)</f>
        <v>15.21</v>
      </c>
      <c r="F1580" s="1">
        <f ca="1">IFERROR(__xludf.DUMMYFUNCTION("""COMPUTED_VALUE"""),21733050)</f>
        <v>21733050</v>
      </c>
    </row>
    <row r="1581" spans="1:6" x14ac:dyDescent="0.35">
      <c r="A1581" s="2">
        <f ca="1">IFERROR(__xludf.DUMMYFUNCTION("""COMPUTED_VALUE"""),44299.6666666666)</f>
        <v>44299.666666666599</v>
      </c>
      <c r="B1581" s="1">
        <f ca="1">IFERROR(__xludf.DUMMYFUNCTION("""COMPUTED_VALUE"""),15.23)</f>
        <v>15.23</v>
      </c>
      <c r="C1581" s="1">
        <f ca="1">IFERROR(__xludf.DUMMYFUNCTION("""COMPUTED_VALUE"""),15.7)</f>
        <v>15.7</v>
      </c>
      <c r="D1581" s="1">
        <f ca="1">IFERROR(__xludf.DUMMYFUNCTION("""COMPUTED_VALUE"""),15.13)</f>
        <v>15.13</v>
      </c>
      <c r="E1581" s="1">
        <f ca="1">IFERROR(__xludf.DUMMYFUNCTION("""COMPUTED_VALUE"""),15.68)</f>
        <v>15.68</v>
      </c>
      <c r="F1581" s="1">
        <f ca="1">IFERROR(__xludf.DUMMYFUNCTION("""COMPUTED_VALUE"""),16905297)</f>
        <v>16905297</v>
      </c>
    </row>
    <row r="1582" spans="1:6" x14ac:dyDescent="0.35">
      <c r="A1582" s="2">
        <f ca="1">IFERROR(__xludf.DUMMYFUNCTION("""COMPUTED_VALUE"""),44300.6666666666)</f>
        <v>44300.666666666599</v>
      </c>
      <c r="B1582" s="1">
        <f ca="1">IFERROR(__xludf.DUMMYFUNCTION("""COMPUTED_VALUE"""),15.63)</f>
        <v>15.63</v>
      </c>
      <c r="C1582" s="1">
        <f ca="1">IFERROR(__xludf.DUMMYFUNCTION("""COMPUTED_VALUE"""),15.72)</f>
        <v>15.72</v>
      </c>
      <c r="D1582" s="1">
        <f ca="1">IFERROR(__xludf.DUMMYFUNCTION("""COMPUTED_VALUE"""),15.23)</f>
        <v>15.23</v>
      </c>
      <c r="E1582" s="1">
        <f ca="1">IFERROR(__xludf.DUMMYFUNCTION("""COMPUTED_VALUE"""),15.28)</f>
        <v>15.28</v>
      </c>
      <c r="F1582" s="1">
        <f ca="1">IFERROR(__xludf.DUMMYFUNCTION("""COMPUTED_VALUE"""),9637548)</f>
        <v>9637548</v>
      </c>
    </row>
    <row r="1583" spans="1:6" x14ac:dyDescent="0.35">
      <c r="A1583" s="2">
        <f ca="1">IFERROR(__xludf.DUMMYFUNCTION("""COMPUTED_VALUE"""),44301.6666666666)</f>
        <v>44301.666666666599</v>
      </c>
      <c r="B1583" s="1">
        <f ca="1">IFERROR(__xludf.DUMMYFUNCTION("""COMPUTED_VALUE"""),15.66)</f>
        <v>15.66</v>
      </c>
      <c r="C1583" s="1">
        <f ca="1">IFERROR(__xludf.DUMMYFUNCTION("""COMPUTED_VALUE"""),16.21)</f>
        <v>16.21</v>
      </c>
      <c r="D1583" s="1">
        <f ca="1">IFERROR(__xludf.DUMMYFUNCTION("""COMPUTED_VALUE"""),15.63)</f>
        <v>15.63</v>
      </c>
      <c r="E1583" s="1">
        <f ca="1">IFERROR(__xludf.DUMMYFUNCTION("""COMPUTED_VALUE"""),16.14)</f>
        <v>16.14</v>
      </c>
      <c r="F1583" s="1">
        <f ca="1">IFERROR(__xludf.DUMMYFUNCTION("""COMPUTED_VALUE"""),14962017)</f>
        <v>14962017</v>
      </c>
    </row>
    <row r="1584" spans="1:6" x14ac:dyDescent="0.35">
      <c r="A1584" s="2">
        <f ca="1">IFERROR(__xludf.DUMMYFUNCTION("""COMPUTED_VALUE"""),44302.6666666666)</f>
        <v>44302.666666666599</v>
      </c>
      <c r="B1584" s="1">
        <f ca="1">IFERROR(__xludf.DUMMYFUNCTION("""COMPUTED_VALUE"""),16.05)</f>
        <v>16.05</v>
      </c>
      <c r="C1584" s="1">
        <f ca="1">IFERROR(__xludf.DUMMYFUNCTION("""COMPUTED_VALUE"""),16.17)</f>
        <v>16.170000000000002</v>
      </c>
      <c r="D1584" s="1">
        <f ca="1">IFERROR(__xludf.DUMMYFUNCTION("""COMPUTED_VALUE"""),15.87)</f>
        <v>15.87</v>
      </c>
      <c r="E1584" s="1">
        <f ca="1">IFERROR(__xludf.DUMMYFUNCTION("""COMPUTED_VALUE"""),15.91)</f>
        <v>15.91</v>
      </c>
      <c r="F1584" s="1">
        <f ca="1">IFERROR(__xludf.DUMMYFUNCTION("""COMPUTED_VALUE"""),8380189)</f>
        <v>8380189</v>
      </c>
    </row>
    <row r="1585" spans="1:6" x14ac:dyDescent="0.35">
      <c r="A1585" s="2">
        <f ca="1">IFERROR(__xludf.DUMMYFUNCTION("""COMPUTED_VALUE"""),44305.6666666666)</f>
        <v>44305.666666666599</v>
      </c>
      <c r="B1585" s="1">
        <f ca="1">IFERROR(__xludf.DUMMYFUNCTION("""COMPUTED_VALUE"""),15.54)</f>
        <v>15.54</v>
      </c>
      <c r="C1585" s="1">
        <f ca="1">IFERROR(__xludf.DUMMYFUNCTION("""COMPUTED_VALUE"""),15.81)</f>
        <v>15.81</v>
      </c>
      <c r="D1585" s="1">
        <f ca="1">IFERROR(__xludf.DUMMYFUNCTION("""COMPUTED_VALUE"""),15.23)</f>
        <v>15.23</v>
      </c>
      <c r="E1585" s="1">
        <f ca="1">IFERROR(__xludf.DUMMYFUNCTION("""COMPUTED_VALUE"""),15.36)</f>
        <v>15.36</v>
      </c>
      <c r="F1585" s="1">
        <f ca="1">IFERROR(__xludf.DUMMYFUNCTION("""COMPUTED_VALUE"""),10110452)</f>
        <v>10110452</v>
      </c>
    </row>
    <row r="1586" spans="1:6" x14ac:dyDescent="0.35">
      <c r="A1586" s="2">
        <f ca="1">IFERROR(__xludf.DUMMYFUNCTION("""COMPUTED_VALUE"""),44306.6666666666)</f>
        <v>44306.666666666599</v>
      </c>
      <c r="B1586" s="1">
        <f ca="1">IFERROR(__xludf.DUMMYFUNCTION("""COMPUTED_VALUE"""),15.32)</f>
        <v>15.32</v>
      </c>
      <c r="C1586" s="1">
        <f ca="1">IFERROR(__xludf.DUMMYFUNCTION("""COMPUTED_VALUE"""),15.5)</f>
        <v>15.5</v>
      </c>
      <c r="D1586" s="1">
        <f ca="1">IFERROR(__xludf.DUMMYFUNCTION("""COMPUTED_VALUE"""),14.96)</f>
        <v>14.96</v>
      </c>
      <c r="E1586" s="1">
        <f ca="1">IFERROR(__xludf.DUMMYFUNCTION("""COMPUTED_VALUE"""),15.17)</f>
        <v>15.17</v>
      </c>
      <c r="F1586" s="1">
        <f ca="1">IFERROR(__xludf.DUMMYFUNCTION("""COMPUTED_VALUE"""),8353326)</f>
        <v>8353326</v>
      </c>
    </row>
    <row r="1587" spans="1:6" x14ac:dyDescent="0.35">
      <c r="A1587" s="2">
        <f ca="1">IFERROR(__xludf.DUMMYFUNCTION("""COMPUTED_VALUE"""),44307.6666666666)</f>
        <v>44307.666666666599</v>
      </c>
      <c r="B1587" s="1">
        <f ca="1">IFERROR(__xludf.DUMMYFUNCTION("""COMPUTED_VALUE"""),15.12)</f>
        <v>15.12</v>
      </c>
      <c r="C1587" s="1">
        <f ca="1">IFERROR(__xludf.DUMMYFUNCTION("""COMPUTED_VALUE"""),15.36)</f>
        <v>15.36</v>
      </c>
      <c r="D1587" s="1">
        <f ca="1">IFERROR(__xludf.DUMMYFUNCTION("""COMPUTED_VALUE"""),15.1)</f>
        <v>15.1</v>
      </c>
      <c r="E1587" s="1">
        <f ca="1">IFERROR(__xludf.DUMMYFUNCTION("""COMPUTED_VALUE"""),15.36)</f>
        <v>15.36</v>
      </c>
      <c r="F1587" s="1">
        <f ca="1">IFERROR(__xludf.DUMMYFUNCTION("""COMPUTED_VALUE"""),5419426)</f>
        <v>5419426</v>
      </c>
    </row>
    <row r="1588" spans="1:6" x14ac:dyDescent="0.35">
      <c r="A1588" s="2">
        <f ca="1">IFERROR(__xludf.DUMMYFUNCTION("""COMPUTED_VALUE"""),44308.6666666666)</f>
        <v>44308.666666666599</v>
      </c>
      <c r="B1588" s="1">
        <f ca="1">IFERROR(__xludf.DUMMYFUNCTION("""COMPUTED_VALUE"""),15.38)</f>
        <v>15.38</v>
      </c>
      <c r="C1588" s="1">
        <f ca="1">IFERROR(__xludf.DUMMYFUNCTION("""COMPUTED_VALUE"""),15.44)</f>
        <v>15.44</v>
      </c>
      <c r="D1588" s="1">
        <f ca="1">IFERROR(__xludf.DUMMYFUNCTION("""COMPUTED_VALUE"""),14.78)</f>
        <v>14.78</v>
      </c>
      <c r="E1588" s="1">
        <f ca="1">IFERROR(__xludf.DUMMYFUNCTION("""COMPUTED_VALUE"""),14.85)</f>
        <v>14.85</v>
      </c>
      <c r="F1588" s="1">
        <f ca="1">IFERROR(__xludf.DUMMYFUNCTION("""COMPUTED_VALUE"""),6944657)</f>
        <v>6944657</v>
      </c>
    </row>
    <row r="1589" spans="1:6" x14ac:dyDescent="0.35">
      <c r="A1589" s="2">
        <f ca="1">IFERROR(__xludf.DUMMYFUNCTION("""COMPUTED_VALUE"""),44309.6666666666)</f>
        <v>44309.666666666599</v>
      </c>
      <c r="B1589" s="1">
        <f ca="1">IFERROR(__xludf.DUMMYFUNCTION("""COMPUTED_VALUE"""),14.93)</f>
        <v>14.93</v>
      </c>
      <c r="C1589" s="1">
        <f ca="1">IFERROR(__xludf.DUMMYFUNCTION("""COMPUTED_VALUE"""),15.33)</f>
        <v>15.33</v>
      </c>
      <c r="D1589" s="1">
        <f ca="1">IFERROR(__xludf.DUMMYFUNCTION("""COMPUTED_VALUE"""),14.9)</f>
        <v>14.9</v>
      </c>
      <c r="E1589" s="1">
        <f ca="1">IFERROR(__xludf.DUMMYFUNCTION("""COMPUTED_VALUE"""),15.27)</f>
        <v>15.27</v>
      </c>
      <c r="F1589" s="1">
        <f ca="1">IFERROR(__xludf.DUMMYFUNCTION("""COMPUTED_VALUE"""),5694305)</f>
        <v>5694305</v>
      </c>
    </row>
    <row r="1590" spans="1:6" x14ac:dyDescent="0.35">
      <c r="A1590" s="2">
        <f ca="1">IFERROR(__xludf.DUMMYFUNCTION("""COMPUTED_VALUE"""),44312.6666666666)</f>
        <v>44312.666666666599</v>
      </c>
      <c r="B1590" s="1">
        <f ca="1">IFERROR(__xludf.DUMMYFUNCTION("""COMPUTED_VALUE"""),15.19)</f>
        <v>15.19</v>
      </c>
      <c r="C1590" s="1">
        <f ca="1">IFERROR(__xludf.DUMMYFUNCTION("""COMPUTED_VALUE"""),15.48)</f>
        <v>15.48</v>
      </c>
      <c r="D1590" s="1">
        <f ca="1">IFERROR(__xludf.DUMMYFUNCTION("""COMPUTED_VALUE"""),15.13)</f>
        <v>15.13</v>
      </c>
      <c r="E1590" s="1">
        <f ca="1">IFERROR(__xludf.DUMMYFUNCTION("""COMPUTED_VALUE"""),15.48)</f>
        <v>15.48</v>
      </c>
      <c r="F1590" s="1">
        <f ca="1">IFERROR(__xludf.DUMMYFUNCTION("""COMPUTED_VALUE"""),4944927)</f>
        <v>4944927</v>
      </c>
    </row>
    <row r="1591" spans="1:6" x14ac:dyDescent="0.35">
      <c r="A1591" s="2">
        <f ca="1">IFERROR(__xludf.DUMMYFUNCTION("""COMPUTED_VALUE"""),44313.6666666666)</f>
        <v>44313.666666666599</v>
      </c>
      <c r="B1591" s="1">
        <f ca="1">IFERROR(__xludf.DUMMYFUNCTION("""COMPUTED_VALUE"""),15.58)</f>
        <v>15.58</v>
      </c>
      <c r="C1591" s="1">
        <f ca="1">IFERROR(__xludf.DUMMYFUNCTION("""COMPUTED_VALUE"""),15.67)</f>
        <v>15.67</v>
      </c>
      <c r="D1591" s="1">
        <f ca="1">IFERROR(__xludf.DUMMYFUNCTION("""COMPUTED_VALUE"""),15.35)</f>
        <v>15.35</v>
      </c>
      <c r="E1591" s="1">
        <f ca="1">IFERROR(__xludf.DUMMYFUNCTION("""COMPUTED_VALUE"""),15.38)</f>
        <v>15.38</v>
      </c>
      <c r="F1591" s="1">
        <f ca="1">IFERROR(__xludf.DUMMYFUNCTION("""COMPUTED_VALUE"""),4114325)</f>
        <v>4114325</v>
      </c>
    </row>
    <row r="1592" spans="1:6" x14ac:dyDescent="0.35">
      <c r="A1592" s="2">
        <f ca="1">IFERROR(__xludf.DUMMYFUNCTION("""COMPUTED_VALUE"""),44314.6666666666)</f>
        <v>44314.666666666599</v>
      </c>
      <c r="B1592" s="1">
        <f ca="1">IFERROR(__xludf.DUMMYFUNCTION("""COMPUTED_VALUE"""),15.36)</f>
        <v>15.36</v>
      </c>
      <c r="C1592" s="1">
        <f ca="1">IFERROR(__xludf.DUMMYFUNCTION("""COMPUTED_VALUE"""),15.53)</f>
        <v>15.53</v>
      </c>
      <c r="D1592" s="1">
        <f ca="1">IFERROR(__xludf.DUMMYFUNCTION("""COMPUTED_VALUE"""),15.22)</f>
        <v>15.22</v>
      </c>
      <c r="E1592" s="1">
        <f ca="1">IFERROR(__xludf.DUMMYFUNCTION("""COMPUTED_VALUE"""),15.28)</f>
        <v>15.28</v>
      </c>
      <c r="F1592" s="1">
        <f ca="1">IFERROR(__xludf.DUMMYFUNCTION("""COMPUTED_VALUE"""),5235405)</f>
        <v>5235405</v>
      </c>
    </row>
    <row r="1593" spans="1:6" x14ac:dyDescent="0.35">
      <c r="A1593" s="2">
        <f ca="1">IFERROR(__xludf.DUMMYFUNCTION("""COMPUTED_VALUE"""),44315.6666666666)</f>
        <v>44315.666666666599</v>
      </c>
      <c r="B1593" s="1">
        <f ca="1">IFERROR(__xludf.DUMMYFUNCTION("""COMPUTED_VALUE"""),15.4)</f>
        <v>15.4</v>
      </c>
      <c r="C1593" s="1">
        <f ca="1">IFERROR(__xludf.DUMMYFUNCTION("""COMPUTED_VALUE"""),15.44)</f>
        <v>15.44</v>
      </c>
      <c r="D1593" s="1">
        <f ca="1">IFERROR(__xludf.DUMMYFUNCTION("""COMPUTED_VALUE"""),15.07)</f>
        <v>15.07</v>
      </c>
      <c r="E1593" s="1">
        <f ca="1">IFERROR(__xludf.DUMMYFUNCTION("""COMPUTED_VALUE"""),15.32)</f>
        <v>15.32</v>
      </c>
      <c r="F1593" s="1">
        <f ca="1">IFERROR(__xludf.DUMMYFUNCTION("""COMPUTED_VALUE"""),4329912)</f>
        <v>4329912</v>
      </c>
    </row>
    <row r="1594" spans="1:6" x14ac:dyDescent="0.35">
      <c r="A1594" s="2">
        <f ca="1">IFERROR(__xludf.DUMMYFUNCTION("""COMPUTED_VALUE"""),44316.6666666666)</f>
        <v>44316.666666666599</v>
      </c>
      <c r="B1594" s="1">
        <f ca="1">IFERROR(__xludf.DUMMYFUNCTION("""COMPUTED_VALUE"""),15.17)</f>
        <v>15.17</v>
      </c>
      <c r="C1594" s="1">
        <f ca="1">IFERROR(__xludf.DUMMYFUNCTION("""COMPUTED_VALUE"""),15.36)</f>
        <v>15.36</v>
      </c>
      <c r="D1594" s="1">
        <f ca="1">IFERROR(__xludf.DUMMYFUNCTION("""COMPUTED_VALUE"""),15)</f>
        <v>15</v>
      </c>
      <c r="E1594" s="1">
        <f ca="1">IFERROR(__xludf.DUMMYFUNCTION("""COMPUTED_VALUE"""),15.01)</f>
        <v>15.01</v>
      </c>
      <c r="F1594" s="1">
        <f ca="1">IFERROR(__xludf.DUMMYFUNCTION("""COMPUTED_VALUE"""),5047752)</f>
        <v>5047752</v>
      </c>
    </row>
    <row r="1595" spans="1:6" x14ac:dyDescent="0.35">
      <c r="A1595" s="2">
        <f ca="1">IFERROR(__xludf.DUMMYFUNCTION("""COMPUTED_VALUE"""),44319.6666666666)</f>
        <v>44319.666666666599</v>
      </c>
      <c r="B1595" s="1">
        <f ca="1">IFERROR(__xludf.DUMMYFUNCTION("""COMPUTED_VALUE"""),15.13)</f>
        <v>15.13</v>
      </c>
      <c r="C1595" s="1">
        <f ca="1">IFERROR(__xludf.DUMMYFUNCTION("""COMPUTED_VALUE"""),15.25)</f>
        <v>15.25</v>
      </c>
      <c r="D1595" s="1">
        <f ca="1">IFERROR(__xludf.DUMMYFUNCTION("""COMPUTED_VALUE"""),14.79)</f>
        <v>14.79</v>
      </c>
      <c r="E1595" s="1">
        <f ca="1">IFERROR(__xludf.DUMMYFUNCTION("""COMPUTED_VALUE"""),14.84)</f>
        <v>14.84</v>
      </c>
      <c r="F1595" s="1">
        <f ca="1">IFERROR(__xludf.DUMMYFUNCTION("""COMPUTED_VALUE"""),5097796)</f>
        <v>5097796</v>
      </c>
    </row>
    <row r="1596" spans="1:6" x14ac:dyDescent="0.35">
      <c r="A1596" s="2">
        <f ca="1">IFERROR(__xludf.DUMMYFUNCTION("""COMPUTED_VALUE"""),44320.6666666666)</f>
        <v>44320.666666666599</v>
      </c>
      <c r="B1596" s="1">
        <f ca="1">IFERROR(__xludf.DUMMYFUNCTION("""COMPUTED_VALUE"""),14.64)</f>
        <v>14.64</v>
      </c>
      <c r="C1596" s="1">
        <f ca="1">IFERROR(__xludf.DUMMYFUNCTION("""COMPUTED_VALUE"""),14.64)</f>
        <v>14.64</v>
      </c>
      <c r="D1596" s="1">
        <f ca="1">IFERROR(__xludf.DUMMYFUNCTION("""COMPUTED_VALUE"""),14.01)</f>
        <v>14.01</v>
      </c>
      <c r="E1596" s="1">
        <f ca="1">IFERROR(__xludf.DUMMYFUNCTION("""COMPUTED_VALUE"""),14.35)</f>
        <v>14.35</v>
      </c>
      <c r="F1596" s="1">
        <f ca="1">IFERROR(__xludf.DUMMYFUNCTION("""COMPUTED_VALUE"""),10133120)</f>
        <v>10133120</v>
      </c>
    </row>
    <row r="1597" spans="1:6" x14ac:dyDescent="0.35">
      <c r="A1597" s="2">
        <f ca="1">IFERROR(__xludf.DUMMYFUNCTION("""COMPUTED_VALUE"""),44321.6666666666)</f>
        <v>44321.666666666599</v>
      </c>
      <c r="B1597" s="1">
        <f ca="1">IFERROR(__xludf.DUMMYFUNCTION("""COMPUTED_VALUE"""),14.71)</f>
        <v>14.71</v>
      </c>
      <c r="C1597" s="1">
        <f ca="1">IFERROR(__xludf.DUMMYFUNCTION("""COMPUTED_VALUE"""),14.81)</f>
        <v>14.81</v>
      </c>
      <c r="D1597" s="1">
        <f ca="1">IFERROR(__xludf.DUMMYFUNCTION("""COMPUTED_VALUE"""),14.39)</f>
        <v>14.39</v>
      </c>
      <c r="E1597" s="1">
        <f ca="1">IFERROR(__xludf.DUMMYFUNCTION("""COMPUTED_VALUE"""),14.46)</f>
        <v>14.46</v>
      </c>
      <c r="F1597" s="1">
        <f ca="1">IFERROR(__xludf.DUMMYFUNCTION("""COMPUTED_VALUE"""),7300576)</f>
        <v>7300576</v>
      </c>
    </row>
    <row r="1598" spans="1:6" x14ac:dyDescent="0.35">
      <c r="A1598" s="2">
        <f ca="1">IFERROR(__xludf.DUMMYFUNCTION("""COMPUTED_VALUE"""),44322.6666666666)</f>
        <v>44322.666666666599</v>
      </c>
      <c r="B1598" s="1">
        <f ca="1">IFERROR(__xludf.DUMMYFUNCTION("""COMPUTED_VALUE"""),14.5)</f>
        <v>14.5</v>
      </c>
      <c r="C1598" s="1">
        <f ca="1">IFERROR(__xludf.DUMMYFUNCTION("""COMPUTED_VALUE"""),14.57)</f>
        <v>14.57</v>
      </c>
      <c r="D1598" s="1">
        <f ca="1">IFERROR(__xludf.DUMMYFUNCTION("""COMPUTED_VALUE"""),14.22)</f>
        <v>14.22</v>
      </c>
      <c r="E1598" s="1">
        <f ca="1">IFERROR(__xludf.DUMMYFUNCTION("""COMPUTED_VALUE"""),14.52)</f>
        <v>14.52</v>
      </c>
      <c r="F1598" s="1">
        <f ca="1">IFERROR(__xludf.DUMMYFUNCTION("""COMPUTED_VALUE"""),4834523)</f>
        <v>4834523</v>
      </c>
    </row>
    <row r="1599" spans="1:6" x14ac:dyDescent="0.35">
      <c r="A1599" s="2">
        <f ca="1">IFERROR(__xludf.DUMMYFUNCTION("""COMPUTED_VALUE"""),44323.6666666666)</f>
        <v>44323.666666666599</v>
      </c>
      <c r="B1599" s="1">
        <f ca="1">IFERROR(__xludf.DUMMYFUNCTION("""COMPUTED_VALUE"""),14.81)</f>
        <v>14.81</v>
      </c>
      <c r="C1599" s="1">
        <f ca="1">IFERROR(__xludf.DUMMYFUNCTION("""COMPUTED_VALUE"""),14.97)</f>
        <v>14.97</v>
      </c>
      <c r="D1599" s="1">
        <f ca="1">IFERROR(__xludf.DUMMYFUNCTION("""COMPUTED_VALUE"""),14.67)</f>
        <v>14.67</v>
      </c>
      <c r="E1599" s="1">
        <f ca="1">IFERROR(__xludf.DUMMYFUNCTION("""COMPUTED_VALUE"""),14.81)</f>
        <v>14.81</v>
      </c>
      <c r="F1599" s="1">
        <f ca="1">IFERROR(__xludf.DUMMYFUNCTION("""COMPUTED_VALUE"""),5733183)</f>
        <v>5733183</v>
      </c>
    </row>
    <row r="1600" spans="1:6" x14ac:dyDescent="0.35">
      <c r="A1600" s="2">
        <f ca="1">IFERROR(__xludf.DUMMYFUNCTION("""COMPUTED_VALUE"""),44326.6666666666)</f>
        <v>44326.666666666599</v>
      </c>
      <c r="B1600" s="1">
        <f ca="1">IFERROR(__xludf.DUMMYFUNCTION("""COMPUTED_VALUE"""),14.79)</f>
        <v>14.79</v>
      </c>
      <c r="C1600" s="1">
        <f ca="1">IFERROR(__xludf.DUMMYFUNCTION("""COMPUTED_VALUE"""),14.81)</f>
        <v>14.81</v>
      </c>
      <c r="D1600" s="1">
        <f ca="1">IFERROR(__xludf.DUMMYFUNCTION("""COMPUTED_VALUE"""),14.25)</f>
        <v>14.25</v>
      </c>
      <c r="E1600" s="1">
        <f ca="1">IFERROR(__xludf.DUMMYFUNCTION("""COMPUTED_VALUE"""),14.27)</f>
        <v>14.27</v>
      </c>
      <c r="F1600" s="1">
        <f ca="1">IFERROR(__xludf.DUMMYFUNCTION("""COMPUTED_VALUE"""),6722595)</f>
        <v>6722595</v>
      </c>
    </row>
    <row r="1601" spans="1:6" x14ac:dyDescent="0.35">
      <c r="A1601" s="2">
        <f ca="1">IFERROR(__xludf.DUMMYFUNCTION("""COMPUTED_VALUE"""),44327.6666666666)</f>
        <v>44327.666666666599</v>
      </c>
      <c r="B1601" s="1">
        <f ca="1">IFERROR(__xludf.DUMMYFUNCTION("""COMPUTED_VALUE"""),13.83)</f>
        <v>13.83</v>
      </c>
      <c r="C1601" s="1">
        <f ca="1">IFERROR(__xludf.DUMMYFUNCTION("""COMPUTED_VALUE"""),14.35)</f>
        <v>14.35</v>
      </c>
      <c r="D1601" s="1">
        <f ca="1">IFERROR(__xludf.DUMMYFUNCTION("""COMPUTED_VALUE"""),13.75)</f>
        <v>13.75</v>
      </c>
      <c r="E1601" s="1">
        <f ca="1">IFERROR(__xludf.DUMMYFUNCTION("""COMPUTED_VALUE"""),14.31)</f>
        <v>14.31</v>
      </c>
      <c r="F1601" s="1">
        <f ca="1">IFERROR(__xludf.DUMMYFUNCTION("""COMPUTED_VALUE"""),7139634)</f>
        <v>7139634</v>
      </c>
    </row>
    <row r="1602" spans="1:6" x14ac:dyDescent="0.35">
      <c r="A1602" s="2">
        <f ca="1">IFERROR(__xludf.DUMMYFUNCTION("""COMPUTED_VALUE"""),44328.6666666666)</f>
        <v>44328.666666666599</v>
      </c>
      <c r="B1602" s="1">
        <f ca="1">IFERROR(__xludf.DUMMYFUNCTION("""COMPUTED_VALUE"""),14.01)</f>
        <v>14.01</v>
      </c>
      <c r="C1602" s="1">
        <f ca="1">IFERROR(__xludf.DUMMYFUNCTION("""COMPUTED_VALUE"""),14.26)</f>
        <v>14.26</v>
      </c>
      <c r="D1602" s="1">
        <f ca="1">IFERROR(__xludf.DUMMYFUNCTION("""COMPUTED_VALUE"""),13.71)</f>
        <v>13.71</v>
      </c>
      <c r="E1602" s="1">
        <f ca="1">IFERROR(__xludf.DUMMYFUNCTION("""COMPUTED_VALUE"""),13.76)</f>
        <v>13.76</v>
      </c>
      <c r="F1602" s="1">
        <f ca="1">IFERROR(__xludf.DUMMYFUNCTION("""COMPUTED_VALUE"""),7585233)</f>
        <v>7585233</v>
      </c>
    </row>
    <row r="1603" spans="1:6" x14ac:dyDescent="0.35">
      <c r="A1603" s="2">
        <f ca="1">IFERROR(__xludf.DUMMYFUNCTION("""COMPUTED_VALUE"""),44329.6666666666)</f>
        <v>44329.666666666599</v>
      </c>
      <c r="B1603" s="1">
        <f ca="1">IFERROR(__xludf.DUMMYFUNCTION("""COMPUTED_VALUE"""),14.03)</f>
        <v>14.03</v>
      </c>
      <c r="C1603" s="1">
        <f ca="1">IFERROR(__xludf.DUMMYFUNCTION("""COMPUTED_VALUE"""),14.08)</f>
        <v>14.08</v>
      </c>
      <c r="D1603" s="1">
        <f ca="1">IFERROR(__xludf.DUMMYFUNCTION("""COMPUTED_VALUE"""),13.46)</f>
        <v>13.46</v>
      </c>
      <c r="E1603" s="1">
        <f ca="1">IFERROR(__xludf.DUMMYFUNCTION("""COMPUTED_VALUE"""),13.67)</f>
        <v>13.67</v>
      </c>
      <c r="F1603" s="1">
        <f ca="1">IFERROR(__xludf.DUMMYFUNCTION("""COMPUTED_VALUE"""),7143187)</f>
        <v>7143187</v>
      </c>
    </row>
    <row r="1604" spans="1:6" x14ac:dyDescent="0.35">
      <c r="A1604" s="2">
        <f ca="1">IFERROR(__xludf.DUMMYFUNCTION("""COMPUTED_VALUE"""),44330.6666666666)</f>
        <v>44330.666666666599</v>
      </c>
      <c r="B1604" s="1">
        <f ca="1">IFERROR(__xludf.DUMMYFUNCTION("""COMPUTED_VALUE"""),13.89)</f>
        <v>13.89</v>
      </c>
      <c r="C1604" s="1">
        <f ca="1">IFERROR(__xludf.DUMMYFUNCTION("""COMPUTED_VALUE"""),14.33)</f>
        <v>14.33</v>
      </c>
      <c r="D1604" s="1">
        <f ca="1">IFERROR(__xludf.DUMMYFUNCTION("""COMPUTED_VALUE"""),13.75)</f>
        <v>13.75</v>
      </c>
      <c r="E1604" s="1">
        <f ca="1">IFERROR(__xludf.DUMMYFUNCTION("""COMPUTED_VALUE"""),14.24)</f>
        <v>14.24</v>
      </c>
      <c r="F1604" s="1">
        <f ca="1">IFERROR(__xludf.DUMMYFUNCTION("""COMPUTED_VALUE"""),6465375)</f>
        <v>6465375</v>
      </c>
    </row>
    <row r="1605" spans="1:6" x14ac:dyDescent="0.35">
      <c r="A1605" s="2">
        <f ca="1">IFERROR(__xludf.DUMMYFUNCTION("""COMPUTED_VALUE"""),44333.6666666666)</f>
        <v>44333.666666666599</v>
      </c>
      <c r="B1605" s="1">
        <f ca="1">IFERROR(__xludf.DUMMYFUNCTION("""COMPUTED_VALUE"""),14.16)</f>
        <v>14.16</v>
      </c>
      <c r="C1605" s="1">
        <f ca="1">IFERROR(__xludf.DUMMYFUNCTION("""COMPUTED_VALUE"""),14.17)</f>
        <v>14.17</v>
      </c>
      <c r="D1605" s="1">
        <f ca="1">IFERROR(__xludf.DUMMYFUNCTION("""COMPUTED_VALUE"""),13.85)</f>
        <v>13.85</v>
      </c>
      <c r="E1605" s="1">
        <f ca="1">IFERROR(__xludf.DUMMYFUNCTION("""COMPUTED_VALUE"""),14.17)</f>
        <v>14.17</v>
      </c>
      <c r="F1605" s="1">
        <f ca="1">IFERROR(__xludf.DUMMYFUNCTION("""COMPUTED_VALUE"""),5424521)</f>
        <v>5424521</v>
      </c>
    </row>
    <row r="1606" spans="1:6" x14ac:dyDescent="0.35">
      <c r="A1606" s="2">
        <f ca="1">IFERROR(__xludf.DUMMYFUNCTION("""COMPUTED_VALUE"""),44334.6666666666)</f>
        <v>44334.666666666599</v>
      </c>
      <c r="B1606" s="1">
        <f ca="1">IFERROR(__xludf.DUMMYFUNCTION("""COMPUTED_VALUE"""),14.27)</f>
        <v>14.27</v>
      </c>
      <c r="C1606" s="1">
        <f ca="1">IFERROR(__xludf.DUMMYFUNCTION("""COMPUTED_VALUE"""),14.4)</f>
        <v>14.4</v>
      </c>
      <c r="D1606" s="1">
        <f ca="1">IFERROR(__xludf.DUMMYFUNCTION("""COMPUTED_VALUE"""),14)</f>
        <v>14</v>
      </c>
      <c r="E1606" s="1">
        <f ca="1">IFERROR(__xludf.DUMMYFUNCTION("""COMPUTED_VALUE"""),14.02)</f>
        <v>14.02</v>
      </c>
      <c r="F1606" s="1">
        <f ca="1">IFERROR(__xludf.DUMMYFUNCTION("""COMPUTED_VALUE"""),4656356)</f>
        <v>4656356</v>
      </c>
    </row>
    <row r="1607" spans="1:6" x14ac:dyDescent="0.35">
      <c r="A1607" s="2">
        <f ca="1">IFERROR(__xludf.DUMMYFUNCTION("""COMPUTED_VALUE"""),44335.6666666666)</f>
        <v>44335.666666666599</v>
      </c>
      <c r="B1607" s="1">
        <f ca="1">IFERROR(__xludf.DUMMYFUNCTION("""COMPUTED_VALUE"""),13.57)</f>
        <v>13.57</v>
      </c>
      <c r="C1607" s="1">
        <f ca="1">IFERROR(__xludf.DUMMYFUNCTION("""COMPUTED_VALUE"""),14.08)</f>
        <v>14.08</v>
      </c>
      <c r="D1607" s="1">
        <f ca="1">IFERROR(__xludf.DUMMYFUNCTION("""COMPUTED_VALUE"""),13.54)</f>
        <v>13.54</v>
      </c>
      <c r="E1607" s="1">
        <f ca="1">IFERROR(__xludf.DUMMYFUNCTION("""COMPUTED_VALUE"""),14.07)</f>
        <v>14.07</v>
      </c>
      <c r="F1607" s="1">
        <f ca="1">IFERROR(__xludf.DUMMYFUNCTION("""COMPUTED_VALUE"""),8599984)</f>
        <v>8599984</v>
      </c>
    </row>
    <row r="1608" spans="1:6" x14ac:dyDescent="0.35">
      <c r="A1608" s="2">
        <f ca="1">IFERROR(__xludf.DUMMYFUNCTION("""COMPUTED_VALUE"""),44336.6666666666)</f>
        <v>44336.666666666599</v>
      </c>
      <c r="B1608" s="1">
        <f ca="1">IFERROR(__xludf.DUMMYFUNCTION("""COMPUTED_VALUE"""),14.3)</f>
        <v>14.3</v>
      </c>
      <c r="C1608" s="1">
        <f ca="1">IFERROR(__xludf.DUMMYFUNCTION("""COMPUTED_VALUE"""),14.68)</f>
        <v>14.68</v>
      </c>
      <c r="D1608" s="1">
        <f ca="1">IFERROR(__xludf.DUMMYFUNCTION("""COMPUTED_VALUE"""),14.27)</f>
        <v>14.27</v>
      </c>
      <c r="E1608" s="1">
        <f ca="1">IFERROR(__xludf.DUMMYFUNCTION("""COMPUTED_VALUE"""),14.61)</f>
        <v>14.61</v>
      </c>
      <c r="F1608" s="1">
        <f ca="1">IFERROR(__xludf.DUMMYFUNCTION("""COMPUTED_VALUE"""),8039798)</f>
        <v>8039798</v>
      </c>
    </row>
    <row r="1609" spans="1:6" x14ac:dyDescent="0.35">
      <c r="A1609" s="2">
        <f ca="1">IFERROR(__xludf.DUMMYFUNCTION("""COMPUTED_VALUE"""),44337.6666666666)</f>
        <v>44337.666666666599</v>
      </c>
      <c r="B1609" s="1">
        <f ca="1">IFERROR(__xludf.DUMMYFUNCTION("""COMPUTED_VALUE"""),15.16)</f>
        <v>15.16</v>
      </c>
      <c r="C1609" s="1">
        <f ca="1">IFERROR(__xludf.DUMMYFUNCTION("""COMPUTED_VALUE"""),15.22)</f>
        <v>15.22</v>
      </c>
      <c r="D1609" s="1">
        <f ca="1">IFERROR(__xludf.DUMMYFUNCTION("""COMPUTED_VALUE"""),14.87)</f>
        <v>14.87</v>
      </c>
      <c r="E1609" s="1">
        <f ca="1">IFERROR(__xludf.DUMMYFUNCTION("""COMPUTED_VALUE"""),14.99)</f>
        <v>14.99</v>
      </c>
      <c r="F1609" s="1">
        <f ca="1">IFERROR(__xludf.DUMMYFUNCTION("""COMPUTED_VALUE"""),16824800)</f>
        <v>16824800</v>
      </c>
    </row>
    <row r="1610" spans="1:6" x14ac:dyDescent="0.35">
      <c r="A1610" s="2">
        <f ca="1">IFERROR(__xludf.DUMMYFUNCTION("""COMPUTED_VALUE"""),44340.6666666666)</f>
        <v>44340.666666666599</v>
      </c>
      <c r="B1610" s="1">
        <f ca="1">IFERROR(__xludf.DUMMYFUNCTION("""COMPUTED_VALUE"""),15.21)</f>
        <v>15.21</v>
      </c>
      <c r="C1610" s="1">
        <f ca="1">IFERROR(__xludf.DUMMYFUNCTION("""COMPUTED_VALUE"""),15.75)</f>
        <v>15.75</v>
      </c>
      <c r="D1610" s="1">
        <f ca="1">IFERROR(__xludf.DUMMYFUNCTION("""COMPUTED_VALUE"""),15.18)</f>
        <v>15.18</v>
      </c>
      <c r="E1610" s="1">
        <f ca="1">IFERROR(__xludf.DUMMYFUNCTION("""COMPUTED_VALUE"""),15.61)</f>
        <v>15.61</v>
      </c>
      <c r="F1610" s="1">
        <f ca="1">IFERROR(__xludf.DUMMYFUNCTION("""COMPUTED_VALUE"""),13870405)</f>
        <v>13870405</v>
      </c>
    </row>
    <row r="1611" spans="1:6" x14ac:dyDescent="0.35">
      <c r="A1611" s="2">
        <f ca="1">IFERROR(__xludf.DUMMYFUNCTION("""COMPUTED_VALUE"""),44341.6666666666)</f>
        <v>44341.666666666599</v>
      </c>
      <c r="B1611" s="1">
        <f ca="1">IFERROR(__xludf.DUMMYFUNCTION("""COMPUTED_VALUE"""),15.77)</f>
        <v>15.77</v>
      </c>
      <c r="C1611" s="1">
        <f ca="1">IFERROR(__xludf.DUMMYFUNCTION("""COMPUTED_VALUE"""),15.82)</f>
        <v>15.82</v>
      </c>
      <c r="D1611" s="1">
        <f ca="1">IFERROR(__xludf.DUMMYFUNCTION("""COMPUTED_VALUE"""),15.48)</f>
        <v>15.48</v>
      </c>
      <c r="E1611" s="1">
        <f ca="1">IFERROR(__xludf.DUMMYFUNCTION("""COMPUTED_VALUE"""),15.65)</f>
        <v>15.65</v>
      </c>
      <c r="F1611" s="1">
        <f ca="1">IFERROR(__xludf.DUMMYFUNCTION("""COMPUTED_VALUE"""),10885172)</f>
        <v>10885172</v>
      </c>
    </row>
    <row r="1612" spans="1:6" x14ac:dyDescent="0.35">
      <c r="A1612" s="2">
        <f ca="1">IFERROR(__xludf.DUMMYFUNCTION("""COMPUTED_VALUE"""),44342.6666666666)</f>
        <v>44342.666666666599</v>
      </c>
      <c r="B1612" s="1">
        <f ca="1">IFERROR(__xludf.DUMMYFUNCTION("""COMPUTED_VALUE"""),15.73)</f>
        <v>15.73</v>
      </c>
      <c r="C1612" s="1">
        <f ca="1">IFERROR(__xludf.DUMMYFUNCTION("""COMPUTED_VALUE"""),15.79)</f>
        <v>15.79</v>
      </c>
      <c r="D1612" s="1">
        <f ca="1">IFERROR(__xludf.DUMMYFUNCTION("""COMPUTED_VALUE"""),15.59)</f>
        <v>15.59</v>
      </c>
      <c r="E1612" s="1">
        <f ca="1">IFERROR(__xludf.DUMMYFUNCTION("""COMPUTED_VALUE"""),15.7)</f>
        <v>15.7</v>
      </c>
      <c r="F1612" s="1">
        <f ca="1">IFERROR(__xludf.DUMMYFUNCTION("""COMPUTED_VALUE"""),9260966)</f>
        <v>9260966</v>
      </c>
    </row>
    <row r="1613" spans="1:6" x14ac:dyDescent="0.35">
      <c r="A1613" s="2">
        <f ca="1">IFERROR(__xludf.DUMMYFUNCTION("""COMPUTED_VALUE"""),44343.6666666666)</f>
        <v>44343.666666666599</v>
      </c>
      <c r="B1613" s="1">
        <f ca="1">IFERROR(__xludf.DUMMYFUNCTION("""COMPUTED_VALUE"""),15.7)</f>
        <v>15.7</v>
      </c>
      <c r="C1613" s="1">
        <f ca="1">IFERROR(__xludf.DUMMYFUNCTION("""COMPUTED_VALUE"""),15.75)</f>
        <v>15.75</v>
      </c>
      <c r="D1613" s="1">
        <f ca="1">IFERROR(__xludf.DUMMYFUNCTION("""COMPUTED_VALUE"""),15.46)</f>
        <v>15.46</v>
      </c>
      <c r="E1613" s="1">
        <f ca="1">IFERROR(__xludf.DUMMYFUNCTION("""COMPUTED_VALUE"""),15.49)</f>
        <v>15.49</v>
      </c>
      <c r="F1613" s="1">
        <f ca="1">IFERROR(__xludf.DUMMYFUNCTION("""COMPUTED_VALUE"""),14536880)</f>
        <v>14536880</v>
      </c>
    </row>
    <row r="1614" spans="1:6" x14ac:dyDescent="0.35">
      <c r="A1614" s="2">
        <f ca="1">IFERROR(__xludf.DUMMYFUNCTION("""COMPUTED_VALUE"""),44344.6666666666)</f>
        <v>44344.666666666599</v>
      </c>
      <c r="B1614" s="1">
        <f ca="1">IFERROR(__xludf.DUMMYFUNCTION("""COMPUTED_VALUE"""),15.5)</f>
        <v>15.5</v>
      </c>
      <c r="C1614" s="1">
        <f ca="1">IFERROR(__xludf.DUMMYFUNCTION("""COMPUTED_VALUE"""),16.28)</f>
        <v>16.28</v>
      </c>
      <c r="D1614" s="1">
        <f ca="1">IFERROR(__xludf.DUMMYFUNCTION("""COMPUTED_VALUE"""),15.5)</f>
        <v>15.5</v>
      </c>
      <c r="E1614" s="1">
        <f ca="1">IFERROR(__xludf.DUMMYFUNCTION("""COMPUTED_VALUE"""),16.24)</f>
        <v>16.239999999999998</v>
      </c>
      <c r="F1614" s="1">
        <f ca="1">IFERROR(__xludf.DUMMYFUNCTION("""COMPUTED_VALUE"""),16113390)</f>
        <v>16113390</v>
      </c>
    </row>
    <row r="1615" spans="1:6" x14ac:dyDescent="0.35">
      <c r="A1615" s="2">
        <f ca="1">IFERROR(__xludf.DUMMYFUNCTION("""COMPUTED_VALUE"""),44348.6666666666)</f>
        <v>44348.666666666599</v>
      </c>
      <c r="B1615" s="1">
        <f ca="1">IFERROR(__xludf.DUMMYFUNCTION("""COMPUTED_VALUE"""),16.27)</f>
        <v>16.27</v>
      </c>
      <c r="C1615" s="1">
        <f ca="1">IFERROR(__xludf.DUMMYFUNCTION("""COMPUTED_VALUE"""),16.39)</f>
        <v>16.39</v>
      </c>
      <c r="D1615" s="1">
        <f ca="1">IFERROR(__xludf.DUMMYFUNCTION("""COMPUTED_VALUE"""),15.9)</f>
        <v>15.9</v>
      </c>
      <c r="E1615" s="1">
        <f ca="1">IFERROR(__xludf.DUMMYFUNCTION("""COMPUTED_VALUE"""),16.26)</f>
        <v>16.260000000000002</v>
      </c>
      <c r="F1615" s="1">
        <f ca="1">IFERROR(__xludf.DUMMYFUNCTION("""COMPUTED_VALUE"""),11820075)</f>
        <v>11820075</v>
      </c>
    </row>
    <row r="1616" spans="1:6" x14ac:dyDescent="0.35">
      <c r="A1616" s="2">
        <f ca="1">IFERROR(__xludf.DUMMYFUNCTION("""COMPUTED_VALUE"""),44349.6666666666)</f>
        <v>44349.666666666599</v>
      </c>
      <c r="B1616" s="1">
        <f ca="1">IFERROR(__xludf.DUMMYFUNCTION("""COMPUTED_VALUE"""),16.25)</f>
        <v>16.25</v>
      </c>
      <c r="C1616" s="1">
        <f ca="1">IFERROR(__xludf.DUMMYFUNCTION("""COMPUTED_VALUE"""),16.92)</f>
        <v>16.920000000000002</v>
      </c>
      <c r="D1616" s="1">
        <f ca="1">IFERROR(__xludf.DUMMYFUNCTION("""COMPUTED_VALUE"""),16.24)</f>
        <v>16.239999999999998</v>
      </c>
      <c r="E1616" s="1">
        <f ca="1">IFERROR(__xludf.DUMMYFUNCTION("""COMPUTED_VALUE"""),16.78)</f>
        <v>16.78</v>
      </c>
      <c r="F1616" s="1">
        <f ca="1">IFERROR(__xludf.DUMMYFUNCTION("""COMPUTED_VALUE"""),14854189)</f>
        <v>14854189</v>
      </c>
    </row>
    <row r="1617" spans="1:6" x14ac:dyDescent="0.35">
      <c r="A1617" s="2">
        <f ca="1">IFERROR(__xludf.DUMMYFUNCTION("""COMPUTED_VALUE"""),44350.6666666666)</f>
        <v>44350.666666666599</v>
      </c>
      <c r="B1617" s="1">
        <f ca="1">IFERROR(__xludf.DUMMYFUNCTION("""COMPUTED_VALUE"""),16.7)</f>
        <v>16.7</v>
      </c>
      <c r="C1617" s="1">
        <f ca="1">IFERROR(__xludf.DUMMYFUNCTION("""COMPUTED_VALUE"""),17.26)</f>
        <v>17.260000000000002</v>
      </c>
      <c r="D1617" s="1">
        <f ca="1">IFERROR(__xludf.DUMMYFUNCTION("""COMPUTED_VALUE"""),16.58)</f>
        <v>16.579999999999998</v>
      </c>
      <c r="E1617" s="1">
        <f ca="1">IFERROR(__xludf.DUMMYFUNCTION("""COMPUTED_VALUE"""),16.97)</f>
        <v>16.97</v>
      </c>
      <c r="F1617" s="1">
        <f ca="1">IFERROR(__xludf.DUMMYFUNCTION("""COMPUTED_VALUE"""),14500170)</f>
        <v>14500170</v>
      </c>
    </row>
    <row r="1618" spans="1:6" x14ac:dyDescent="0.35">
      <c r="A1618" s="2">
        <f ca="1">IFERROR(__xludf.DUMMYFUNCTION("""COMPUTED_VALUE"""),44351.6666666666)</f>
        <v>44351.666666666599</v>
      </c>
      <c r="B1618" s="1">
        <f ca="1">IFERROR(__xludf.DUMMYFUNCTION("""COMPUTED_VALUE"""),17.11)</f>
        <v>17.11</v>
      </c>
      <c r="C1618" s="1">
        <f ca="1">IFERROR(__xludf.DUMMYFUNCTION("""COMPUTED_VALUE"""),17.66)</f>
        <v>17.66</v>
      </c>
      <c r="D1618" s="1">
        <f ca="1">IFERROR(__xludf.DUMMYFUNCTION("""COMPUTED_VALUE"""),17.1)</f>
        <v>17.100000000000001</v>
      </c>
      <c r="E1618" s="1">
        <f ca="1">IFERROR(__xludf.DUMMYFUNCTION("""COMPUTED_VALUE"""),17.58)</f>
        <v>17.579999999999998</v>
      </c>
      <c r="F1618" s="1">
        <f ca="1">IFERROR(__xludf.DUMMYFUNCTION("""COMPUTED_VALUE"""),15428007)</f>
        <v>15428007</v>
      </c>
    </row>
    <row r="1619" spans="1:6" x14ac:dyDescent="0.35">
      <c r="A1619" s="2">
        <f ca="1">IFERROR(__xludf.DUMMYFUNCTION("""COMPUTED_VALUE"""),44354.6666666666)</f>
        <v>44354.666666666599</v>
      </c>
      <c r="B1619" s="1">
        <f ca="1">IFERROR(__xludf.DUMMYFUNCTION("""COMPUTED_VALUE"""),17.57)</f>
        <v>17.57</v>
      </c>
      <c r="C1619" s="1">
        <f ca="1">IFERROR(__xludf.DUMMYFUNCTION("""COMPUTED_VALUE"""),17.81)</f>
        <v>17.809999999999999</v>
      </c>
      <c r="D1619" s="1">
        <f ca="1">IFERROR(__xludf.DUMMYFUNCTION("""COMPUTED_VALUE"""),17.19)</f>
        <v>17.190000000000001</v>
      </c>
      <c r="E1619" s="1">
        <f ca="1">IFERROR(__xludf.DUMMYFUNCTION("""COMPUTED_VALUE"""),17.62)</f>
        <v>17.62</v>
      </c>
      <c r="F1619" s="1">
        <f ca="1">IFERROR(__xludf.DUMMYFUNCTION("""COMPUTED_VALUE"""),14393873)</f>
        <v>14393873</v>
      </c>
    </row>
    <row r="1620" spans="1:6" x14ac:dyDescent="0.35">
      <c r="A1620" s="2">
        <f ca="1">IFERROR(__xludf.DUMMYFUNCTION("""COMPUTED_VALUE"""),44355.6666666666)</f>
        <v>44355.666666666599</v>
      </c>
      <c r="B1620" s="1">
        <f ca="1">IFERROR(__xludf.DUMMYFUNCTION("""COMPUTED_VALUE"""),17.53)</f>
        <v>17.53</v>
      </c>
      <c r="C1620" s="1">
        <f ca="1">IFERROR(__xludf.DUMMYFUNCTION("""COMPUTED_VALUE"""),17.62)</f>
        <v>17.62</v>
      </c>
      <c r="D1620" s="1">
        <f ca="1">IFERROR(__xludf.DUMMYFUNCTION("""COMPUTED_VALUE"""),17.25)</f>
        <v>17.25</v>
      </c>
      <c r="E1620" s="1">
        <f ca="1">IFERROR(__xludf.DUMMYFUNCTION("""COMPUTED_VALUE"""),17.46)</f>
        <v>17.46</v>
      </c>
      <c r="F1620" s="1">
        <f ca="1">IFERROR(__xludf.DUMMYFUNCTION("""COMPUTED_VALUE"""),8096169)</f>
        <v>8096169</v>
      </c>
    </row>
    <row r="1621" spans="1:6" x14ac:dyDescent="0.35">
      <c r="A1621" s="2">
        <f ca="1">IFERROR(__xludf.DUMMYFUNCTION("""COMPUTED_VALUE"""),44356.6666666666)</f>
        <v>44356.666666666599</v>
      </c>
      <c r="B1621" s="1">
        <f ca="1">IFERROR(__xludf.DUMMYFUNCTION("""COMPUTED_VALUE"""),17.52)</f>
        <v>17.52</v>
      </c>
      <c r="C1621" s="1">
        <f ca="1">IFERROR(__xludf.DUMMYFUNCTION("""COMPUTED_VALUE"""),17.58)</f>
        <v>17.579999999999998</v>
      </c>
      <c r="D1621" s="1">
        <f ca="1">IFERROR(__xludf.DUMMYFUNCTION("""COMPUTED_VALUE"""),17.26)</f>
        <v>17.260000000000002</v>
      </c>
      <c r="E1621" s="1">
        <f ca="1">IFERROR(__xludf.DUMMYFUNCTION("""COMPUTED_VALUE"""),17.36)</f>
        <v>17.36</v>
      </c>
      <c r="F1621" s="1">
        <f ca="1">IFERROR(__xludf.DUMMYFUNCTION("""COMPUTED_VALUE"""),9541437)</f>
        <v>9541437</v>
      </c>
    </row>
    <row r="1622" spans="1:6" x14ac:dyDescent="0.35">
      <c r="A1622" s="2">
        <f ca="1">IFERROR(__xludf.DUMMYFUNCTION("""COMPUTED_VALUE"""),44357.6666666666)</f>
        <v>44357.666666666599</v>
      </c>
      <c r="B1622" s="1">
        <f ca="1">IFERROR(__xludf.DUMMYFUNCTION("""COMPUTED_VALUE"""),17.35)</f>
        <v>17.350000000000001</v>
      </c>
      <c r="C1622" s="1">
        <f ca="1">IFERROR(__xludf.DUMMYFUNCTION("""COMPUTED_VALUE"""),17.49)</f>
        <v>17.489999999999998</v>
      </c>
      <c r="D1622" s="1">
        <f ca="1">IFERROR(__xludf.DUMMYFUNCTION("""COMPUTED_VALUE"""),17.18)</f>
        <v>17.18</v>
      </c>
      <c r="E1622" s="1">
        <f ca="1">IFERROR(__xludf.DUMMYFUNCTION("""COMPUTED_VALUE"""),17.43)</f>
        <v>17.43</v>
      </c>
      <c r="F1622" s="1">
        <f ca="1">IFERROR(__xludf.DUMMYFUNCTION("""COMPUTED_VALUE"""),7194261)</f>
        <v>7194261</v>
      </c>
    </row>
    <row r="1623" spans="1:6" x14ac:dyDescent="0.35">
      <c r="A1623" s="2">
        <f ca="1">IFERROR(__xludf.DUMMYFUNCTION("""COMPUTED_VALUE"""),44358.6666666666)</f>
        <v>44358.666666666599</v>
      </c>
      <c r="B1623" s="1">
        <f ca="1">IFERROR(__xludf.DUMMYFUNCTION("""COMPUTED_VALUE"""),17.48)</f>
        <v>17.48</v>
      </c>
      <c r="C1623" s="1">
        <f ca="1">IFERROR(__xludf.DUMMYFUNCTION("""COMPUTED_VALUE"""),17.94)</f>
        <v>17.940000000000001</v>
      </c>
      <c r="D1623" s="1">
        <f ca="1">IFERROR(__xludf.DUMMYFUNCTION("""COMPUTED_VALUE"""),17.44)</f>
        <v>17.440000000000001</v>
      </c>
      <c r="E1623" s="1">
        <f ca="1">IFERROR(__xludf.DUMMYFUNCTION("""COMPUTED_VALUE"""),17.83)</f>
        <v>17.829999999999998</v>
      </c>
      <c r="F1623" s="1">
        <f ca="1">IFERROR(__xludf.DUMMYFUNCTION("""COMPUTED_VALUE"""),10407691)</f>
        <v>10407691</v>
      </c>
    </row>
    <row r="1624" spans="1:6" x14ac:dyDescent="0.35">
      <c r="A1624" s="2">
        <f ca="1">IFERROR(__xludf.DUMMYFUNCTION("""COMPUTED_VALUE"""),44361.6666666666)</f>
        <v>44361.666666666599</v>
      </c>
      <c r="B1624" s="1">
        <f ca="1">IFERROR(__xludf.DUMMYFUNCTION("""COMPUTED_VALUE"""),17.91)</f>
        <v>17.91</v>
      </c>
      <c r="C1624" s="1">
        <f ca="1">IFERROR(__xludf.DUMMYFUNCTION("""COMPUTED_VALUE"""),18.04)</f>
        <v>18.04</v>
      </c>
      <c r="D1624" s="1">
        <f ca="1">IFERROR(__xludf.DUMMYFUNCTION("""COMPUTED_VALUE"""),17.66)</f>
        <v>17.66</v>
      </c>
      <c r="E1624" s="1">
        <f ca="1">IFERROR(__xludf.DUMMYFUNCTION("""COMPUTED_VALUE"""),18.02)</f>
        <v>18.02</v>
      </c>
      <c r="F1624" s="1">
        <f ca="1">IFERROR(__xludf.DUMMYFUNCTION("""COMPUTED_VALUE"""),8034357)</f>
        <v>8034357</v>
      </c>
    </row>
    <row r="1625" spans="1:6" x14ac:dyDescent="0.35">
      <c r="A1625" s="2">
        <f ca="1">IFERROR(__xludf.DUMMYFUNCTION("""COMPUTED_VALUE"""),44362.6666666666)</f>
        <v>44362.666666666599</v>
      </c>
      <c r="B1625" s="1">
        <f ca="1">IFERROR(__xludf.DUMMYFUNCTION("""COMPUTED_VALUE"""),17.92)</f>
        <v>17.920000000000002</v>
      </c>
      <c r="C1625" s="1">
        <f ca="1">IFERROR(__xludf.DUMMYFUNCTION("""COMPUTED_VALUE"""),18.02)</f>
        <v>18.02</v>
      </c>
      <c r="D1625" s="1">
        <f ca="1">IFERROR(__xludf.DUMMYFUNCTION("""COMPUTED_VALUE"""),17.73)</f>
        <v>17.73</v>
      </c>
      <c r="E1625" s="1">
        <f ca="1">IFERROR(__xludf.DUMMYFUNCTION("""COMPUTED_VALUE"""),17.79)</f>
        <v>17.79</v>
      </c>
      <c r="F1625" s="1">
        <f ca="1">IFERROR(__xludf.DUMMYFUNCTION("""COMPUTED_VALUE"""),6075761)</f>
        <v>6075761</v>
      </c>
    </row>
    <row r="1626" spans="1:6" x14ac:dyDescent="0.35">
      <c r="A1626" s="2">
        <f ca="1">IFERROR(__xludf.DUMMYFUNCTION("""COMPUTED_VALUE"""),44363.6666666666)</f>
        <v>44363.666666666599</v>
      </c>
      <c r="B1626" s="1">
        <f ca="1">IFERROR(__xludf.DUMMYFUNCTION("""COMPUTED_VALUE"""),17.79)</f>
        <v>17.79</v>
      </c>
      <c r="C1626" s="1">
        <f ca="1">IFERROR(__xludf.DUMMYFUNCTION("""COMPUTED_VALUE"""),17.95)</f>
        <v>17.95</v>
      </c>
      <c r="D1626" s="1">
        <f ca="1">IFERROR(__xludf.DUMMYFUNCTION("""COMPUTED_VALUE"""),17.58)</f>
        <v>17.579999999999998</v>
      </c>
      <c r="E1626" s="1">
        <f ca="1">IFERROR(__xludf.DUMMYFUNCTION("""COMPUTED_VALUE"""),17.81)</f>
        <v>17.809999999999999</v>
      </c>
      <c r="F1626" s="1">
        <f ca="1">IFERROR(__xludf.DUMMYFUNCTION("""COMPUTED_VALUE"""),7678065)</f>
        <v>7678065</v>
      </c>
    </row>
    <row r="1627" spans="1:6" x14ac:dyDescent="0.35">
      <c r="A1627" s="2">
        <f ca="1">IFERROR(__xludf.DUMMYFUNCTION("""COMPUTED_VALUE"""),44364.6666666666)</f>
        <v>44364.666666666599</v>
      </c>
      <c r="B1627" s="1">
        <f ca="1">IFERROR(__xludf.DUMMYFUNCTION("""COMPUTED_VALUE"""),17.77)</f>
        <v>17.77</v>
      </c>
      <c r="C1627" s="1">
        <f ca="1">IFERROR(__xludf.DUMMYFUNCTION("""COMPUTED_VALUE"""),18.84)</f>
        <v>18.84</v>
      </c>
      <c r="D1627" s="1">
        <f ca="1">IFERROR(__xludf.DUMMYFUNCTION("""COMPUTED_VALUE"""),17.76)</f>
        <v>17.760000000000002</v>
      </c>
      <c r="E1627" s="1">
        <f ca="1">IFERROR(__xludf.DUMMYFUNCTION("""COMPUTED_VALUE"""),18.66)</f>
        <v>18.66</v>
      </c>
      <c r="F1627" s="1">
        <f ca="1">IFERROR(__xludf.DUMMYFUNCTION("""COMPUTED_VALUE"""),20241372)</f>
        <v>20241372</v>
      </c>
    </row>
    <row r="1628" spans="1:6" x14ac:dyDescent="0.35">
      <c r="A1628" s="2">
        <f ca="1">IFERROR(__xludf.DUMMYFUNCTION("""COMPUTED_VALUE"""),44365.6666666666)</f>
        <v>44365.666666666599</v>
      </c>
      <c r="B1628" s="1">
        <f ca="1">IFERROR(__xludf.DUMMYFUNCTION("""COMPUTED_VALUE"""),18.78)</f>
        <v>18.78</v>
      </c>
      <c r="C1628" s="1">
        <f ca="1">IFERROR(__xludf.DUMMYFUNCTION("""COMPUTED_VALUE"""),19.38)</f>
        <v>19.38</v>
      </c>
      <c r="D1628" s="1">
        <f ca="1">IFERROR(__xludf.DUMMYFUNCTION("""COMPUTED_VALUE"""),18.58)</f>
        <v>18.579999999999998</v>
      </c>
      <c r="E1628" s="1">
        <f ca="1">IFERROR(__xludf.DUMMYFUNCTION("""COMPUTED_VALUE"""),18.64)</f>
        <v>18.64</v>
      </c>
      <c r="F1628" s="1">
        <f ca="1">IFERROR(__xludf.DUMMYFUNCTION("""COMPUTED_VALUE"""),24221357)</f>
        <v>24221357</v>
      </c>
    </row>
    <row r="1629" spans="1:6" x14ac:dyDescent="0.35">
      <c r="A1629" s="2">
        <f ca="1">IFERROR(__xludf.DUMMYFUNCTION("""COMPUTED_VALUE"""),44368.6666666666)</f>
        <v>44368.666666666599</v>
      </c>
      <c r="B1629" s="1">
        <f ca="1">IFERROR(__xludf.DUMMYFUNCTION("""COMPUTED_VALUE"""),18.44)</f>
        <v>18.440000000000001</v>
      </c>
      <c r="C1629" s="1">
        <f ca="1">IFERROR(__xludf.DUMMYFUNCTION("""COMPUTED_VALUE"""),18.54)</f>
        <v>18.54</v>
      </c>
      <c r="D1629" s="1">
        <f ca="1">IFERROR(__xludf.DUMMYFUNCTION("""COMPUTED_VALUE"""),17.82)</f>
        <v>17.82</v>
      </c>
      <c r="E1629" s="1">
        <f ca="1">IFERROR(__xludf.DUMMYFUNCTION("""COMPUTED_VALUE"""),18.43)</f>
        <v>18.43</v>
      </c>
      <c r="F1629" s="1">
        <f ca="1">IFERROR(__xludf.DUMMYFUNCTION("""COMPUTED_VALUE"""),16809554)</f>
        <v>16809554</v>
      </c>
    </row>
    <row r="1630" spans="1:6" x14ac:dyDescent="0.35">
      <c r="A1630" s="2">
        <f ca="1">IFERROR(__xludf.DUMMYFUNCTION("""COMPUTED_VALUE"""),44369.6666666666)</f>
        <v>44369.666666666599</v>
      </c>
      <c r="B1630" s="1">
        <f ca="1">IFERROR(__xludf.DUMMYFUNCTION("""COMPUTED_VALUE"""),18.47)</f>
        <v>18.47</v>
      </c>
      <c r="C1630" s="1">
        <f ca="1">IFERROR(__xludf.DUMMYFUNCTION("""COMPUTED_VALUE"""),18.96)</f>
        <v>18.96</v>
      </c>
      <c r="D1630" s="1">
        <f ca="1">IFERROR(__xludf.DUMMYFUNCTION("""COMPUTED_VALUE"""),18.39)</f>
        <v>18.39</v>
      </c>
      <c r="E1630" s="1">
        <f ca="1">IFERROR(__xludf.DUMMYFUNCTION("""COMPUTED_VALUE"""),18.89)</f>
        <v>18.89</v>
      </c>
      <c r="F1630" s="1">
        <f ca="1">IFERROR(__xludf.DUMMYFUNCTION("""COMPUTED_VALUE"""),14503639)</f>
        <v>14503639</v>
      </c>
    </row>
    <row r="1631" spans="1:6" x14ac:dyDescent="0.35">
      <c r="A1631" s="2">
        <f ca="1">IFERROR(__xludf.DUMMYFUNCTION("""COMPUTED_VALUE"""),44370.6666666666)</f>
        <v>44370.666666666599</v>
      </c>
      <c r="B1631" s="1">
        <f ca="1">IFERROR(__xludf.DUMMYFUNCTION("""COMPUTED_VALUE"""),19.01)</f>
        <v>19.010000000000002</v>
      </c>
      <c r="C1631" s="1">
        <f ca="1">IFERROR(__xludf.DUMMYFUNCTION("""COMPUTED_VALUE"""),19.15)</f>
        <v>19.149999999999999</v>
      </c>
      <c r="D1631" s="1">
        <f ca="1">IFERROR(__xludf.DUMMYFUNCTION("""COMPUTED_VALUE"""),18.91)</f>
        <v>18.91</v>
      </c>
      <c r="E1631" s="1">
        <f ca="1">IFERROR(__xludf.DUMMYFUNCTION("""COMPUTED_VALUE"""),19.06)</f>
        <v>19.059999999999999</v>
      </c>
      <c r="F1631" s="1">
        <f ca="1">IFERROR(__xludf.DUMMYFUNCTION("""COMPUTED_VALUE"""),8308926)</f>
        <v>8308926</v>
      </c>
    </row>
    <row r="1632" spans="1:6" x14ac:dyDescent="0.35">
      <c r="A1632" s="2">
        <f ca="1">IFERROR(__xludf.DUMMYFUNCTION("""COMPUTED_VALUE"""),44371.6666666666)</f>
        <v>44371.666666666599</v>
      </c>
      <c r="B1632" s="1">
        <f ca="1">IFERROR(__xludf.DUMMYFUNCTION("""COMPUTED_VALUE"""),19.23)</f>
        <v>19.23</v>
      </c>
      <c r="C1632" s="1">
        <f ca="1">IFERROR(__xludf.DUMMYFUNCTION("""COMPUTED_VALUE"""),19.42)</f>
        <v>19.420000000000002</v>
      </c>
      <c r="D1632" s="1">
        <f ca="1">IFERROR(__xludf.DUMMYFUNCTION("""COMPUTED_VALUE"""),19.09)</f>
        <v>19.09</v>
      </c>
      <c r="E1632" s="1">
        <f ca="1">IFERROR(__xludf.DUMMYFUNCTION("""COMPUTED_VALUE"""),19.21)</f>
        <v>19.21</v>
      </c>
      <c r="F1632" s="1">
        <f ca="1">IFERROR(__xludf.DUMMYFUNCTION("""COMPUTED_VALUE"""),8023060)</f>
        <v>8023060</v>
      </c>
    </row>
    <row r="1633" spans="1:6" x14ac:dyDescent="0.35">
      <c r="A1633" s="2">
        <f ca="1">IFERROR(__xludf.DUMMYFUNCTION("""COMPUTED_VALUE"""),44372.6666666666)</f>
        <v>44372.666666666599</v>
      </c>
      <c r="B1633" s="1">
        <f ca="1">IFERROR(__xludf.DUMMYFUNCTION("""COMPUTED_VALUE"""),19.28)</f>
        <v>19.28</v>
      </c>
      <c r="C1633" s="1">
        <f ca="1">IFERROR(__xludf.DUMMYFUNCTION("""COMPUTED_VALUE"""),19.35)</f>
        <v>19.350000000000001</v>
      </c>
      <c r="D1633" s="1">
        <f ca="1">IFERROR(__xludf.DUMMYFUNCTION("""COMPUTED_VALUE"""),18.89)</f>
        <v>18.89</v>
      </c>
      <c r="E1633" s="1">
        <f ca="1">IFERROR(__xludf.DUMMYFUNCTION("""COMPUTED_VALUE"""),19.03)</f>
        <v>19.03</v>
      </c>
      <c r="F1633" s="1">
        <f ca="1">IFERROR(__xludf.DUMMYFUNCTION("""COMPUTED_VALUE"""),6959148)</f>
        <v>6959148</v>
      </c>
    </row>
    <row r="1634" spans="1:6" x14ac:dyDescent="0.35">
      <c r="A1634" s="2">
        <f ca="1">IFERROR(__xludf.DUMMYFUNCTION("""COMPUTED_VALUE"""),44375.6666666666)</f>
        <v>44375.666666666599</v>
      </c>
      <c r="B1634" s="1">
        <f ca="1">IFERROR(__xludf.DUMMYFUNCTION("""COMPUTED_VALUE"""),19.36)</f>
        <v>19.36</v>
      </c>
      <c r="C1634" s="1">
        <f ca="1">IFERROR(__xludf.DUMMYFUNCTION("""COMPUTED_VALUE"""),20.08)</f>
        <v>20.079999999999998</v>
      </c>
      <c r="D1634" s="1">
        <f ca="1">IFERROR(__xludf.DUMMYFUNCTION("""COMPUTED_VALUE"""),19.32)</f>
        <v>19.32</v>
      </c>
      <c r="E1634" s="1">
        <f ca="1">IFERROR(__xludf.DUMMYFUNCTION("""COMPUTED_VALUE"""),19.99)</f>
        <v>19.989999999999998</v>
      </c>
      <c r="F1634" s="1">
        <f ca="1">IFERROR(__xludf.DUMMYFUNCTION("""COMPUTED_VALUE"""),12385914)</f>
        <v>12385914</v>
      </c>
    </row>
    <row r="1635" spans="1:6" x14ac:dyDescent="0.35">
      <c r="A1635" s="2">
        <f ca="1">IFERROR(__xludf.DUMMYFUNCTION("""COMPUTED_VALUE"""),44376.6666666666)</f>
        <v>44376.666666666599</v>
      </c>
      <c r="B1635" s="1">
        <f ca="1">IFERROR(__xludf.DUMMYFUNCTION("""COMPUTED_VALUE"""),19.88)</f>
        <v>19.88</v>
      </c>
      <c r="C1635" s="1">
        <f ca="1">IFERROR(__xludf.DUMMYFUNCTION("""COMPUTED_VALUE"""),20.1)</f>
        <v>20.100000000000001</v>
      </c>
      <c r="D1635" s="1">
        <f ca="1">IFERROR(__xludf.DUMMYFUNCTION("""COMPUTED_VALUE"""),19.66)</f>
        <v>19.66</v>
      </c>
      <c r="E1635" s="1">
        <f ca="1">IFERROR(__xludf.DUMMYFUNCTION("""COMPUTED_VALUE"""),20.03)</f>
        <v>20.03</v>
      </c>
      <c r="F1635" s="1">
        <f ca="1">IFERROR(__xludf.DUMMYFUNCTION("""COMPUTED_VALUE"""),9190846)</f>
        <v>9190846</v>
      </c>
    </row>
    <row r="1636" spans="1:6" x14ac:dyDescent="0.35">
      <c r="A1636" s="2">
        <f ca="1">IFERROR(__xludf.DUMMYFUNCTION("""COMPUTED_VALUE"""),44377.6666666666)</f>
        <v>44377.666666666599</v>
      </c>
      <c r="B1636" s="1">
        <f ca="1">IFERROR(__xludf.DUMMYFUNCTION("""COMPUTED_VALUE"""),20)</f>
        <v>20</v>
      </c>
      <c r="C1636" s="1">
        <f ca="1">IFERROR(__xludf.DUMMYFUNCTION("""COMPUTED_VALUE"""),20.16)</f>
        <v>20.16</v>
      </c>
      <c r="D1636" s="1">
        <f ca="1">IFERROR(__xludf.DUMMYFUNCTION("""COMPUTED_VALUE"""),19.86)</f>
        <v>19.86</v>
      </c>
      <c r="E1636" s="1">
        <f ca="1">IFERROR(__xludf.DUMMYFUNCTION("""COMPUTED_VALUE"""),20)</f>
        <v>20</v>
      </c>
      <c r="F1636" s="1">
        <f ca="1">IFERROR(__xludf.DUMMYFUNCTION("""COMPUTED_VALUE"""),8164154)</f>
        <v>8164154</v>
      </c>
    </row>
    <row r="1637" spans="1:6" x14ac:dyDescent="0.35">
      <c r="A1637" s="2">
        <f ca="1">IFERROR(__xludf.DUMMYFUNCTION("""COMPUTED_VALUE"""),44378.6666666666)</f>
        <v>44378.666666666599</v>
      </c>
      <c r="B1637" s="1">
        <f ca="1">IFERROR(__xludf.DUMMYFUNCTION("""COMPUTED_VALUE"""),20.13)</f>
        <v>20.13</v>
      </c>
      <c r="C1637" s="1">
        <f ca="1">IFERROR(__xludf.DUMMYFUNCTION("""COMPUTED_VALUE"""),20.46)</f>
        <v>20.46</v>
      </c>
      <c r="D1637" s="1">
        <f ca="1">IFERROR(__xludf.DUMMYFUNCTION("""COMPUTED_VALUE"""),20.02)</f>
        <v>20.02</v>
      </c>
      <c r="E1637" s="1">
        <f ca="1">IFERROR(__xludf.DUMMYFUNCTION("""COMPUTED_VALUE"""),20.21)</f>
        <v>20.21</v>
      </c>
      <c r="F1637" s="1">
        <f ca="1">IFERROR(__xludf.DUMMYFUNCTION("""COMPUTED_VALUE"""),12003374)</f>
        <v>12003374</v>
      </c>
    </row>
    <row r="1638" spans="1:6" x14ac:dyDescent="0.35">
      <c r="A1638" s="2">
        <f ca="1">IFERROR(__xludf.DUMMYFUNCTION("""COMPUTED_VALUE"""),44379.6666666666)</f>
        <v>44379.666666666599</v>
      </c>
      <c r="B1638" s="1">
        <f ca="1">IFERROR(__xludf.DUMMYFUNCTION("""COMPUTED_VALUE"""),20.44)</f>
        <v>20.440000000000001</v>
      </c>
      <c r="C1638" s="1">
        <f ca="1">IFERROR(__xludf.DUMMYFUNCTION("""COMPUTED_VALUE"""),20.51)</f>
        <v>20.51</v>
      </c>
      <c r="D1638" s="1">
        <f ca="1">IFERROR(__xludf.DUMMYFUNCTION("""COMPUTED_VALUE"""),20.29)</f>
        <v>20.29</v>
      </c>
      <c r="E1638" s="1">
        <f ca="1">IFERROR(__xludf.DUMMYFUNCTION("""COMPUTED_VALUE"""),20.49)</f>
        <v>20.49</v>
      </c>
      <c r="F1638" s="1">
        <f ca="1">IFERROR(__xludf.DUMMYFUNCTION("""COMPUTED_VALUE"""),8584917)</f>
        <v>8584917</v>
      </c>
    </row>
    <row r="1639" spans="1:6" x14ac:dyDescent="0.35">
      <c r="A1639" s="2">
        <f ca="1">IFERROR(__xludf.DUMMYFUNCTION("""COMPUTED_VALUE"""),44383.6666666666)</f>
        <v>44383.666666666599</v>
      </c>
      <c r="B1639" s="1">
        <f ca="1">IFERROR(__xludf.DUMMYFUNCTION("""COMPUTED_VALUE"""),20.74)</f>
        <v>20.74</v>
      </c>
      <c r="C1639" s="1">
        <f ca="1">IFERROR(__xludf.DUMMYFUNCTION("""COMPUTED_VALUE"""),20.84)</f>
        <v>20.84</v>
      </c>
      <c r="D1639" s="1">
        <f ca="1">IFERROR(__xludf.DUMMYFUNCTION("""COMPUTED_VALUE"""),20.35)</f>
        <v>20.350000000000001</v>
      </c>
      <c r="E1639" s="1">
        <f ca="1">IFERROR(__xludf.DUMMYFUNCTION("""COMPUTED_VALUE"""),20.7)</f>
        <v>20.7</v>
      </c>
      <c r="F1639" s="1">
        <f ca="1">IFERROR(__xludf.DUMMYFUNCTION("""COMPUTED_VALUE"""),11167687)</f>
        <v>11167687</v>
      </c>
    </row>
    <row r="1640" spans="1:6" x14ac:dyDescent="0.35">
      <c r="A1640" s="2">
        <f ca="1">IFERROR(__xludf.DUMMYFUNCTION("""COMPUTED_VALUE"""),44384.6666666666)</f>
        <v>44384.666666666599</v>
      </c>
      <c r="B1640" s="1">
        <f ca="1">IFERROR(__xludf.DUMMYFUNCTION("""COMPUTED_VALUE"""),20.85)</f>
        <v>20.85</v>
      </c>
      <c r="C1640" s="1">
        <f ca="1">IFERROR(__xludf.DUMMYFUNCTION("""COMPUTED_VALUE"""),20.88)</f>
        <v>20.88</v>
      </c>
      <c r="D1640" s="1">
        <f ca="1">IFERROR(__xludf.DUMMYFUNCTION("""COMPUTED_VALUE"""),20.33)</f>
        <v>20.329999999999998</v>
      </c>
      <c r="E1640" s="1">
        <f ca="1">IFERROR(__xludf.DUMMYFUNCTION("""COMPUTED_VALUE"""),20.37)</f>
        <v>20.37</v>
      </c>
      <c r="F1640" s="1">
        <f ca="1">IFERROR(__xludf.DUMMYFUNCTION("""COMPUTED_VALUE"""),10460682)</f>
        <v>10460682</v>
      </c>
    </row>
    <row r="1641" spans="1:6" x14ac:dyDescent="0.35">
      <c r="A1641" s="2">
        <f ca="1">IFERROR(__xludf.DUMMYFUNCTION("""COMPUTED_VALUE"""),44385.6666666666)</f>
        <v>44385.666666666599</v>
      </c>
      <c r="B1641" s="1">
        <f ca="1">IFERROR(__xludf.DUMMYFUNCTION("""COMPUTED_VALUE"""),19.86)</f>
        <v>19.86</v>
      </c>
      <c r="C1641" s="1">
        <f ca="1">IFERROR(__xludf.DUMMYFUNCTION("""COMPUTED_VALUE"""),20.13)</f>
        <v>20.13</v>
      </c>
      <c r="D1641" s="1">
        <f ca="1">IFERROR(__xludf.DUMMYFUNCTION("""COMPUTED_VALUE"""),19.7)</f>
        <v>19.7</v>
      </c>
      <c r="E1641" s="1">
        <f ca="1">IFERROR(__xludf.DUMMYFUNCTION("""COMPUTED_VALUE"""),19.9)</f>
        <v>19.899999999999999</v>
      </c>
      <c r="F1641" s="1">
        <f ca="1">IFERROR(__xludf.DUMMYFUNCTION("""COMPUTED_VALUE"""),12582492)</f>
        <v>12582492</v>
      </c>
    </row>
    <row r="1642" spans="1:6" x14ac:dyDescent="0.35">
      <c r="A1642" s="2">
        <f ca="1">IFERROR(__xludf.DUMMYFUNCTION("""COMPUTED_VALUE"""),44386.6666666666)</f>
        <v>44386.666666666599</v>
      </c>
      <c r="B1642" s="1">
        <f ca="1">IFERROR(__xludf.DUMMYFUNCTION("""COMPUTED_VALUE"""),19.96)</f>
        <v>19.96</v>
      </c>
      <c r="C1642" s="1">
        <f ca="1">IFERROR(__xludf.DUMMYFUNCTION("""COMPUTED_VALUE"""),20.08)</f>
        <v>20.079999999999998</v>
      </c>
      <c r="D1642" s="1">
        <f ca="1">IFERROR(__xludf.DUMMYFUNCTION("""COMPUTED_VALUE"""),19.75)</f>
        <v>19.75</v>
      </c>
      <c r="E1642" s="1">
        <f ca="1">IFERROR(__xludf.DUMMYFUNCTION("""COMPUTED_VALUE"""),20.05)</f>
        <v>20.05</v>
      </c>
      <c r="F1642" s="1">
        <f ca="1">IFERROR(__xludf.DUMMYFUNCTION("""COMPUTED_VALUE"""),7415567)</f>
        <v>7415567</v>
      </c>
    </row>
    <row r="1643" spans="1:6" x14ac:dyDescent="0.35">
      <c r="A1643" s="2">
        <f ca="1">IFERROR(__xludf.DUMMYFUNCTION("""COMPUTED_VALUE"""),44389.6666666666)</f>
        <v>44389.666666666599</v>
      </c>
      <c r="B1643" s="1">
        <f ca="1">IFERROR(__xludf.DUMMYFUNCTION("""COMPUTED_VALUE"""),20.24)</f>
        <v>20.239999999999998</v>
      </c>
      <c r="C1643" s="1">
        <f ca="1">IFERROR(__xludf.DUMMYFUNCTION("""COMPUTED_VALUE"""),20.53)</f>
        <v>20.53</v>
      </c>
      <c r="D1643" s="1">
        <f ca="1">IFERROR(__xludf.DUMMYFUNCTION("""COMPUTED_VALUE"""),20.19)</f>
        <v>20.190000000000001</v>
      </c>
      <c r="E1643" s="1">
        <f ca="1">IFERROR(__xludf.DUMMYFUNCTION("""COMPUTED_VALUE"""),20.51)</f>
        <v>20.51</v>
      </c>
      <c r="F1643" s="1">
        <f ca="1">IFERROR(__xludf.DUMMYFUNCTION("""COMPUTED_VALUE"""),8049619)</f>
        <v>8049619</v>
      </c>
    </row>
    <row r="1644" spans="1:6" x14ac:dyDescent="0.35">
      <c r="A1644" s="2">
        <f ca="1">IFERROR(__xludf.DUMMYFUNCTION("""COMPUTED_VALUE"""),44390.6666666666)</f>
        <v>44390.666666666599</v>
      </c>
      <c r="B1644" s="1">
        <f ca="1">IFERROR(__xludf.DUMMYFUNCTION("""COMPUTED_VALUE"""),20.4)</f>
        <v>20.399999999999999</v>
      </c>
      <c r="C1644" s="1">
        <f ca="1">IFERROR(__xludf.DUMMYFUNCTION("""COMPUTED_VALUE"""),20.46)</f>
        <v>20.46</v>
      </c>
      <c r="D1644" s="1">
        <f ca="1">IFERROR(__xludf.DUMMYFUNCTION("""COMPUTED_VALUE"""),20.11)</f>
        <v>20.11</v>
      </c>
      <c r="E1644" s="1">
        <f ca="1">IFERROR(__xludf.DUMMYFUNCTION("""COMPUTED_VALUE"""),20.25)</f>
        <v>20.25</v>
      </c>
      <c r="F1644" s="1">
        <f ca="1">IFERROR(__xludf.DUMMYFUNCTION("""COMPUTED_VALUE"""),7267658)</f>
        <v>7267658</v>
      </c>
    </row>
    <row r="1645" spans="1:6" x14ac:dyDescent="0.35">
      <c r="A1645" s="2">
        <f ca="1">IFERROR(__xludf.DUMMYFUNCTION("""COMPUTED_VALUE"""),44391.6666666666)</f>
        <v>44391.666666666599</v>
      </c>
      <c r="B1645" s="1">
        <f ca="1">IFERROR(__xludf.DUMMYFUNCTION("""COMPUTED_VALUE"""),20.36)</f>
        <v>20.36</v>
      </c>
      <c r="C1645" s="1">
        <f ca="1">IFERROR(__xludf.DUMMYFUNCTION("""COMPUTED_VALUE"""),20.42)</f>
        <v>20.420000000000002</v>
      </c>
      <c r="D1645" s="1">
        <f ca="1">IFERROR(__xludf.DUMMYFUNCTION("""COMPUTED_VALUE"""),19.75)</f>
        <v>19.75</v>
      </c>
      <c r="E1645" s="1">
        <f ca="1">IFERROR(__xludf.DUMMYFUNCTION("""COMPUTED_VALUE"""),19.84)</f>
        <v>19.84</v>
      </c>
      <c r="F1645" s="1">
        <f ca="1">IFERROR(__xludf.DUMMYFUNCTION("""COMPUTED_VALUE"""),9502480)</f>
        <v>9502480</v>
      </c>
    </row>
    <row r="1646" spans="1:6" x14ac:dyDescent="0.35">
      <c r="A1646" s="2">
        <f ca="1">IFERROR(__xludf.DUMMYFUNCTION("""COMPUTED_VALUE"""),44392.6666666666)</f>
        <v>44392.666666666599</v>
      </c>
      <c r="B1646" s="1">
        <f ca="1">IFERROR(__xludf.DUMMYFUNCTION("""COMPUTED_VALUE"""),19.81)</f>
        <v>19.809999999999999</v>
      </c>
      <c r="C1646" s="1">
        <f ca="1">IFERROR(__xludf.DUMMYFUNCTION("""COMPUTED_VALUE"""),19.85)</f>
        <v>19.850000000000001</v>
      </c>
      <c r="D1646" s="1">
        <f ca="1">IFERROR(__xludf.DUMMYFUNCTION("""COMPUTED_VALUE"""),18.86)</f>
        <v>18.86</v>
      </c>
      <c r="E1646" s="1">
        <f ca="1">IFERROR(__xludf.DUMMYFUNCTION("""COMPUTED_VALUE"""),18.97)</f>
        <v>18.97</v>
      </c>
      <c r="F1646" s="1">
        <f ca="1">IFERROR(__xludf.DUMMYFUNCTION("""COMPUTED_VALUE"""),13764113)</f>
        <v>13764113</v>
      </c>
    </row>
    <row r="1647" spans="1:6" x14ac:dyDescent="0.35">
      <c r="A1647" s="2">
        <f ca="1">IFERROR(__xludf.DUMMYFUNCTION("""COMPUTED_VALUE"""),44393.6666666666)</f>
        <v>44393.666666666599</v>
      </c>
      <c r="B1647" s="1">
        <f ca="1">IFERROR(__xludf.DUMMYFUNCTION("""COMPUTED_VALUE"""),19.03)</f>
        <v>19.03</v>
      </c>
      <c r="C1647" s="1">
        <f ca="1">IFERROR(__xludf.DUMMYFUNCTION("""COMPUTED_VALUE"""),19.16)</f>
        <v>19.16</v>
      </c>
      <c r="D1647" s="1">
        <f ca="1">IFERROR(__xludf.DUMMYFUNCTION("""COMPUTED_VALUE"""),18.07)</f>
        <v>18.07</v>
      </c>
      <c r="E1647" s="1">
        <f ca="1">IFERROR(__xludf.DUMMYFUNCTION("""COMPUTED_VALUE"""),18.16)</f>
        <v>18.16</v>
      </c>
      <c r="F1647" s="1">
        <f ca="1">IFERROR(__xludf.DUMMYFUNCTION("""COMPUTED_VALUE"""),17205566)</f>
        <v>17205566</v>
      </c>
    </row>
    <row r="1648" spans="1:6" x14ac:dyDescent="0.35">
      <c r="A1648" s="2">
        <f ca="1">IFERROR(__xludf.DUMMYFUNCTION("""COMPUTED_VALUE"""),44396.6666666666)</f>
        <v>44396.666666666599</v>
      </c>
      <c r="B1648" s="1">
        <f ca="1">IFERROR(__xludf.DUMMYFUNCTION("""COMPUTED_VALUE"""),17.92)</f>
        <v>17.920000000000002</v>
      </c>
      <c r="C1648" s="1">
        <f ca="1">IFERROR(__xludf.DUMMYFUNCTION("""COMPUTED_VALUE"""),19.04)</f>
        <v>19.04</v>
      </c>
      <c r="D1648" s="1">
        <f ca="1">IFERROR(__xludf.DUMMYFUNCTION("""COMPUTED_VALUE"""),17.87)</f>
        <v>17.87</v>
      </c>
      <c r="E1648" s="1">
        <f ca="1">IFERROR(__xludf.DUMMYFUNCTION("""COMPUTED_VALUE"""),18.78)</f>
        <v>18.78</v>
      </c>
      <c r="F1648" s="1">
        <f ca="1">IFERROR(__xludf.DUMMYFUNCTION("""COMPUTED_VALUE"""),18726469)</f>
        <v>18726469</v>
      </c>
    </row>
    <row r="1649" spans="1:6" x14ac:dyDescent="0.35">
      <c r="A1649" s="2">
        <f ca="1">IFERROR(__xludf.DUMMYFUNCTION("""COMPUTED_VALUE"""),44397.6666666666)</f>
        <v>44397.666666666599</v>
      </c>
      <c r="B1649" s="1">
        <f ca="1">IFERROR(__xludf.DUMMYFUNCTION("""COMPUTED_VALUE"""),18.73)</f>
        <v>18.73</v>
      </c>
      <c r="C1649" s="1">
        <f ca="1">IFERROR(__xludf.DUMMYFUNCTION("""COMPUTED_VALUE"""),18.84)</f>
        <v>18.84</v>
      </c>
      <c r="D1649" s="1">
        <f ca="1">IFERROR(__xludf.DUMMYFUNCTION("""COMPUTED_VALUE"""),18.16)</f>
        <v>18.16</v>
      </c>
      <c r="E1649" s="1">
        <f ca="1">IFERROR(__xludf.DUMMYFUNCTION("""COMPUTED_VALUE"""),18.61)</f>
        <v>18.61</v>
      </c>
      <c r="F1649" s="1">
        <f ca="1">IFERROR(__xludf.DUMMYFUNCTION("""COMPUTED_VALUE"""),43468654)</f>
        <v>43468654</v>
      </c>
    </row>
    <row r="1650" spans="1:6" x14ac:dyDescent="0.35">
      <c r="A1650" s="2">
        <f ca="1">IFERROR(__xludf.DUMMYFUNCTION("""COMPUTED_VALUE"""),44398.6666666666)</f>
        <v>44398.666666666599</v>
      </c>
      <c r="B1650" s="1">
        <f ca="1">IFERROR(__xludf.DUMMYFUNCTION("""COMPUTED_VALUE"""),18.88)</f>
        <v>18.88</v>
      </c>
      <c r="C1650" s="1">
        <f ca="1">IFERROR(__xludf.DUMMYFUNCTION("""COMPUTED_VALUE"""),19.53)</f>
        <v>19.53</v>
      </c>
      <c r="D1650" s="1">
        <f ca="1">IFERROR(__xludf.DUMMYFUNCTION("""COMPUTED_VALUE"""),18.74)</f>
        <v>18.739999999999998</v>
      </c>
      <c r="E1650" s="1">
        <f ca="1">IFERROR(__xludf.DUMMYFUNCTION("""COMPUTED_VALUE"""),19.41)</f>
        <v>19.41</v>
      </c>
      <c r="F1650" s="1">
        <f ca="1">IFERROR(__xludf.DUMMYFUNCTION("""COMPUTED_VALUE"""),37101736)</f>
        <v>37101736</v>
      </c>
    </row>
    <row r="1651" spans="1:6" x14ac:dyDescent="0.35">
      <c r="A1651" s="2">
        <f ca="1">IFERROR(__xludf.DUMMYFUNCTION("""COMPUTED_VALUE"""),44399.6666666666)</f>
        <v>44399.666666666599</v>
      </c>
      <c r="B1651" s="1">
        <f ca="1">IFERROR(__xludf.DUMMYFUNCTION("""COMPUTED_VALUE"""),19.64)</f>
        <v>19.64</v>
      </c>
      <c r="C1651" s="1">
        <f ca="1">IFERROR(__xludf.DUMMYFUNCTION("""COMPUTED_VALUE"""),19.89)</f>
        <v>19.89</v>
      </c>
      <c r="D1651" s="1">
        <f ca="1">IFERROR(__xludf.DUMMYFUNCTION("""COMPUTED_VALUE"""),19.28)</f>
        <v>19.28</v>
      </c>
      <c r="E1651" s="1">
        <f ca="1">IFERROR(__xludf.DUMMYFUNCTION("""COMPUTED_VALUE"""),19.59)</f>
        <v>19.59</v>
      </c>
      <c r="F1651" s="1">
        <f ca="1">IFERROR(__xludf.DUMMYFUNCTION("""COMPUTED_VALUE"""),32382595)</f>
        <v>32382595</v>
      </c>
    </row>
    <row r="1652" spans="1:6" x14ac:dyDescent="0.35">
      <c r="A1652" s="2">
        <f ca="1">IFERROR(__xludf.DUMMYFUNCTION("""COMPUTED_VALUE"""),44400.6666666666)</f>
        <v>44400.666666666599</v>
      </c>
      <c r="B1652" s="1">
        <f ca="1">IFERROR(__xludf.DUMMYFUNCTION("""COMPUTED_VALUE"""),19.66)</f>
        <v>19.66</v>
      </c>
      <c r="C1652" s="1">
        <f ca="1">IFERROR(__xludf.DUMMYFUNCTION("""COMPUTED_VALUE"""),19.7)</f>
        <v>19.7</v>
      </c>
      <c r="D1652" s="1">
        <f ca="1">IFERROR(__xludf.DUMMYFUNCTION("""COMPUTED_VALUE"""),19.25)</f>
        <v>19.25</v>
      </c>
      <c r="E1652" s="1">
        <f ca="1">IFERROR(__xludf.DUMMYFUNCTION("""COMPUTED_VALUE"""),19.56)</f>
        <v>19.559999999999999</v>
      </c>
      <c r="F1652" s="1">
        <f ca="1">IFERROR(__xludf.DUMMYFUNCTION("""COMPUTED_VALUE"""),19567198)</f>
        <v>19567198</v>
      </c>
    </row>
    <row r="1653" spans="1:6" x14ac:dyDescent="0.35">
      <c r="A1653" s="2">
        <f ca="1">IFERROR(__xludf.DUMMYFUNCTION("""COMPUTED_VALUE"""),44403.6666666666)</f>
        <v>44403.666666666599</v>
      </c>
      <c r="B1653" s="1">
        <f ca="1">IFERROR(__xludf.DUMMYFUNCTION("""COMPUTED_VALUE"""),19.31)</f>
        <v>19.309999999999999</v>
      </c>
      <c r="C1653" s="1">
        <f ca="1">IFERROR(__xludf.DUMMYFUNCTION("""COMPUTED_VALUE"""),19.44)</f>
        <v>19.440000000000001</v>
      </c>
      <c r="D1653" s="1">
        <f ca="1">IFERROR(__xludf.DUMMYFUNCTION("""COMPUTED_VALUE"""),18.91)</f>
        <v>18.91</v>
      </c>
      <c r="E1653" s="1">
        <f ca="1">IFERROR(__xludf.DUMMYFUNCTION("""COMPUTED_VALUE"""),19.29)</f>
        <v>19.29</v>
      </c>
      <c r="F1653" s="1">
        <f ca="1">IFERROR(__xludf.DUMMYFUNCTION("""COMPUTED_VALUE"""),20394316)</f>
        <v>20394316</v>
      </c>
    </row>
    <row r="1654" spans="1:6" x14ac:dyDescent="0.35">
      <c r="A1654" s="2">
        <f ca="1">IFERROR(__xludf.DUMMYFUNCTION("""COMPUTED_VALUE"""),44404.6666666666)</f>
        <v>44404.666666666599</v>
      </c>
      <c r="B1654" s="1">
        <f ca="1">IFERROR(__xludf.DUMMYFUNCTION("""COMPUTED_VALUE"""),19.27)</f>
        <v>19.27</v>
      </c>
      <c r="C1654" s="1">
        <f ca="1">IFERROR(__xludf.DUMMYFUNCTION("""COMPUTED_VALUE"""),19.62)</f>
        <v>19.62</v>
      </c>
      <c r="D1654" s="1">
        <f ca="1">IFERROR(__xludf.DUMMYFUNCTION("""COMPUTED_VALUE"""),18.74)</f>
        <v>18.739999999999998</v>
      </c>
      <c r="E1654" s="1">
        <f ca="1">IFERROR(__xludf.DUMMYFUNCTION("""COMPUTED_VALUE"""),19.21)</f>
        <v>19.21</v>
      </c>
      <c r="F1654" s="1">
        <f ca="1">IFERROR(__xludf.DUMMYFUNCTION("""COMPUTED_VALUE"""),24886258)</f>
        <v>24886258</v>
      </c>
    </row>
    <row r="1655" spans="1:6" x14ac:dyDescent="0.35">
      <c r="A1655" s="2">
        <f ca="1">IFERROR(__xludf.DUMMYFUNCTION("""COMPUTED_VALUE"""),44405.6666666666)</f>
        <v>44405.666666666599</v>
      </c>
      <c r="B1655" s="1">
        <f ca="1">IFERROR(__xludf.DUMMYFUNCTION("""COMPUTED_VALUE"""),19.32)</f>
        <v>19.32</v>
      </c>
      <c r="C1655" s="1">
        <f ca="1">IFERROR(__xludf.DUMMYFUNCTION("""COMPUTED_VALUE"""),19.65)</f>
        <v>19.649999999999999</v>
      </c>
      <c r="D1655" s="1">
        <f ca="1">IFERROR(__xludf.DUMMYFUNCTION("""COMPUTED_VALUE"""),19)</f>
        <v>19</v>
      </c>
      <c r="E1655" s="1">
        <f ca="1">IFERROR(__xludf.DUMMYFUNCTION("""COMPUTED_VALUE"""),19.5)</f>
        <v>19.5</v>
      </c>
      <c r="F1655" s="1">
        <f ca="1">IFERROR(__xludf.DUMMYFUNCTION("""COMPUTED_VALUE"""),20219115)</f>
        <v>20219115</v>
      </c>
    </row>
    <row r="1656" spans="1:6" x14ac:dyDescent="0.35">
      <c r="A1656" s="2">
        <f ca="1">IFERROR(__xludf.DUMMYFUNCTION("""COMPUTED_VALUE"""),44406.6666666666)</f>
        <v>44406.666666666599</v>
      </c>
      <c r="B1656" s="1">
        <f ca="1">IFERROR(__xludf.DUMMYFUNCTION("""COMPUTED_VALUE"""),19.52)</f>
        <v>19.52</v>
      </c>
      <c r="C1656" s="1">
        <f ca="1">IFERROR(__xludf.DUMMYFUNCTION("""COMPUTED_VALUE"""),19.85)</f>
        <v>19.850000000000001</v>
      </c>
      <c r="D1656" s="1">
        <f ca="1">IFERROR(__xludf.DUMMYFUNCTION("""COMPUTED_VALUE"""),19.33)</f>
        <v>19.329999999999998</v>
      </c>
      <c r="E1656" s="1">
        <f ca="1">IFERROR(__xludf.DUMMYFUNCTION("""COMPUTED_VALUE"""),19.66)</f>
        <v>19.66</v>
      </c>
      <c r="F1656" s="1">
        <f ca="1">IFERROR(__xludf.DUMMYFUNCTION("""COMPUTED_VALUE"""),19078088)</f>
        <v>19078088</v>
      </c>
    </row>
    <row r="1657" spans="1:6" x14ac:dyDescent="0.35">
      <c r="A1657" s="2">
        <f ca="1">IFERROR(__xludf.DUMMYFUNCTION("""COMPUTED_VALUE"""),44407.6666666666)</f>
        <v>44407.666666666599</v>
      </c>
      <c r="B1657" s="1">
        <f ca="1">IFERROR(__xludf.DUMMYFUNCTION("""COMPUTED_VALUE"""),19.42)</f>
        <v>19.420000000000002</v>
      </c>
      <c r="C1657" s="1">
        <f ca="1">IFERROR(__xludf.DUMMYFUNCTION("""COMPUTED_VALUE"""),19.63)</f>
        <v>19.63</v>
      </c>
      <c r="D1657" s="1">
        <f ca="1">IFERROR(__xludf.DUMMYFUNCTION("""COMPUTED_VALUE"""),19.26)</f>
        <v>19.260000000000002</v>
      </c>
      <c r="E1657" s="1">
        <f ca="1">IFERROR(__xludf.DUMMYFUNCTION("""COMPUTED_VALUE"""),19.5)</f>
        <v>19.5</v>
      </c>
      <c r="F1657" s="1">
        <f ca="1">IFERROR(__xludf.DUMMYFUNCTION("""COMPUTED_VALUE"""),18349746)</f>
        <v>18349746</v>
      </c>
    </row>
    <row r="1658" spans="1:6" x14ac:dyDescent="0.35">
      <c r="A1658" s="2">
        <f ca="1">IFERROR(__xludf.DUMMYFUNCTION("""COMPUTED_VALUE"""),44410.6666666666)</f>
        <v>44410.666666666599</v>
      </c>
      <c r="B1658" s="1">
        <f ca="1">IFERROR(__xludf.DUMMYFUNCTION("""COMPUTED_VALUE"""),19.7)</f>
        <v>19.7</v>
      </c>
      <c r="C1658" s="1">
        <f ca="1">IFERROR(__xludf.DUMMYFUNCTION("""COMPUTED_VALUE"""),19.96)</f>
        <v>19.96</v>
      </c>
      <c r="D1658" s="1">
        <f ca="1">IFERROR(__xludf.DUMMYFUNCTION("""COMPUTED_VALUE"""),19.36)</f>
        <v>19.36</v>
      </c>
      <c r="E1658" s="1">
        <f ca="1">IFERROR(__xludf.DUMMYFUNCTION("""COMPUTED_VALUE"""),19.75)</f>
        <v>19.75</v>
      </c>
      <c r="F1658" s="1">
        <f ca="1">IFERROR(__xludf.DUMMYFUNCTION("""COMPUTED_VALUE"""),21744397)</f>
        <v>21744397</v>
      </c>
    </row>
    <row r="1659" spans="1:6" x14ac:dyDescent="0.35">
      <c r="A1659" s="2">
        <f ca="1">IFERROR(__xludf.DUMMYFUNCTION("""COMPUTED_VALUE"""),44411.6666666666)</f>
        <v>44411.666666666599</v>
      </c>
      <c r="B1659" s="1">
        <f ca="1">IFERROR(__xludf.DUMMYFUNCTION("""COMPUTED_VALUE"""),19.74)</f>
        <v>19.739999999999998</v>
      </c>
      <c r="C1659" s="1">
        <f ca="1">IFERROR(__xludf.DUMMYFUNCTION("""COMPUTED_VALUE"""),20.22)</f>
        <v>20.22</v>
      </c>
      <c r="D1659" s="1">
        <f ca="1">IFERROR(__xludf.DUMMYFUNCTION("""COMPUTED_VALUE"""),19.22)</f>
        <v>19.22</v>
      </c>
      <c r="E1659" s="1">
        <f ca="1">IFERROR(__xludf.DUMMYFUNCTION("""COMPUTED_VALUE"""),19.82)</f>
        <v>19.82</v>
      </c>
      <c r="F1659" s="1">
        <f ca="1">IFERROR(__xludf.DUMMYFUNCTION("""COMPUTED_VALUE"""),30181074)</f>
        <v>30181074</v>
      </c>
    </row>
    <row r="1660" spans="1:6" x14ac:dyDescent="0.35">
      <c r="A1660" s="2">
        <f ca="1">IFERROR(__xludf.DUMMYFUNCTION("""COMPUTED_VALUE"""),44412.6666666666)</f>
        <v>44412.666666666599</v>
      </c>
      <c r="B1660" s="1">
        <f ca="1">IFERROR(__xludf.DUMMYFUNCTION("""COMPUTED_VALUE"""),19.99)</f>
        <v>19.989999999999998</v>
      </c>
      <c r="C1660" s="1">
        <f ca="1">IFERROR(__xludf.DUMMYFUNCTION("""COMPUTED_VALUE"""),20.32)</f>
        <v>20.32</v>
      </c>
      <c r="D1660" s="1">
        <f ca="1">IFERROR(__xludf.DUMMYFUNCTION("""COMPUTED_VALUE"""),19.83)</f>
        <v>19.829999999999998</v>
      </c>
      <c r="E1660" s="1">
        <f ca="1">IFERROR(__xludf.DUMMYFUNCTION("""COMPUTED_VALUE"""),20.27)</f>
        <v>20.27</v>
      </c>
      <c r="F1660" s="1">
        <f ca="1">IFERROR(__xludf.DUMMYFUNCTION("""COMPUTED_VALUE"""),23130940)</f>
        <v>23130940</v>
      </c>
    </row>
    <row r="1661" spans="1:6" x14ac:dyDescent="0.35">
      <c r="A1661" s="2">
        <f ca="1">IFERROR(__xludf.DUMMYFUNCTION("""COMPUTED_VALUE"""),44413.6666666666)</f>
        <v>44413.666666666599</v>
      </c>
      <c r="B1661" s="1">
        <f ca="1">IFERROR(__xludf.DUMMYFUNCTION("""COMPUTED_VALUE"""),20.5)</f>
        <v>20.5</v>
      </c>
      <c r="C1661" s="1">
        <f ca="1">IFERROR(__xludf.DUMMYFUNCTION("""COMPUTED_VALUE"""),20.73)</f>
        <v>20.73</v>
      </c>
      <c r="D1661" s="1">
        <f ca="1">IFERROR(__xludf.DUMMYFUNCTION("""COMPUTED_VALUE"""),20.34)</f>
        <v>20.34</v>
      </c>
      <c r="E1661" s="1">
        <f ca="1">IFERROR(__xludf.DUMMYFUNCTION("""COMPUTED_VALUE"""),20.64)</f>
        <v>20.64</v>
      </c>
      <c r="F1661" s="1">
        <f ca="1">IFERROR(__xludf.DUMMYFUNCTION("""COMPUTED_VALUE"""),21143537)</f>
        <v>21143537</v>
      </c>
    </row>
    <row r="1662" spans="1:6" x14ac:dyDescent="0.35">
      <c r="A1662" s="2">
        <f ca="1">IFERROR(__xludf.DUMMYFUNCTION("""COMPUTED_VALUE"""),44414.6666666666)</f>
        <v>44414.666666666599</v>
      </c>
      <c r="B1662" s="1">
        <f ca="1">IFERROR(__xludf.DUMMYFUNCTION("""COMPUTED_VALUE"""),20.52)</f>
        <v>20.52</v>
      </c>
      <c r="C1662" s="1">
        <f ca="1">IFERROR(__xludf.DUMMYFUNCTION("""COMPUTED_VALUE"""),20.57)</f>
        <v>20.57</v>
      </c>
      <c r="D1662" s="1">
        <f ca="1">IFERROR(__xludf.DUMMYFUNCTION("""COMPUTED_VALUE"""),20.21)</f>
        <v>20.21</v>
      </c>
      <c r="E1662" s="1">
        <f ca="1">IFERROR(__xludf.DUMMYFUNCTION("""COMPUTED_VALUE"""),20.37)</f>
        <v>20.37</v>
      </c>
      <c r="F1662" s="1">
        <f ca="1">IFERROR(__xludf.DUMMYFUNCTION("""COMPUTED_VALUE"""),17849661)</f>
        <v>17849661</v>
      </c>
    </row>
    <row r="1663" spans="1:6" x14ac:dyDescent="0.35">
      <c r="A1663" s="2">
        <f ca="1">IFERROR(__xludf.DUMMYFUNCTION("""COMPUTED_VALUE"""),44417.6666666666)</f>
        <v>44417.666666666599</v>
      </c>
      <c r="B1663" s="1">
        <f ca="1">IFERROR(__xludf.DUMMYFUNCTION("""COMPUTED_VALUE"""),20.45)</f>
        <v>20.45</v>
      </c>
      <c r="C1663" s="1">
        <f ca="1">IFERROR(__xludf.DUMMYFUNCTION("""COMPUTED_VALUE"""),20.51)</f>
        <v>20.51</v>
      </c>
      <c r="D1663" s="1">
        <f ca="1">IFERROR(__xludf.DUMMYFUNCTION("""COMPUTED_VALUE"""),20.14)</f>
        <v>20.14</v>
      </c>
      <c r="E1663" s="1">
        <f ca="1">IFERROR(__xludf.DUMMYFUNCTION("""COMPUTED_VALUE"""),20.3)</f>
        <v>20.3</v>
      </c>
      <c r="F1663" s="1">
        <f ca="1">IFERROR(__xludf.DUMMYFUNCTION("""COMPUTED_VALUE"""),14644310)</f>
        <v>14644310</v>
      </c>
    </row>
    <row r="1664" spans="1:6" x14ac:dyDescent="0.35">
      <c r="A1664" s="2">
        <f ca="1">IFERROR(__xludf.DUMMYFUNCTION("""COMPUTED_VALUE"""),44418.6666666666)</f>
        <v>44418.666666666599</v>
      </c>
      <c r="B1664" s="1">
        <f ca="1">IFERROR(__xludf.DUMMYFUNCTION("""COMPUTED_VALUE"""),20.32)</f>
        <v>20.32</v>
      </c>
      <c r="C1664" s="1">
        <f ca="1">IFERROR(__xludf.DUMMYFUNCTION("""COMPUTED_VALUE"""),20.43)</f>
        <v>20.43</v>
      </c>
      <c r="D1664" s="1">
        <f ca="1">IFERROR(__xludf.DUMMYFUNCTION("""COMPUTED_VALUE"""),19.83)</f>
        <v>19.829999999999998</v>
      </c>
      <c r="E1664" s="1">
        <f ca="1">IFERROR(__xludf.DUMMYFUNCTION("""COMPUTED_VALUE"""),19.94)</f>
        <v>19.940000000000001</v>
      </c>
      <c r="F1664" s="1">
        <f ca="1">IFERROR(__xludf.DUMMYFUNCTION("""COMPUTED_VALUE"""),17923778)</f>
        <v>17923778</v>
      </c>
    </row>
    <row r="1665" spans="1:6" x14ac:dyDescent="0.35">
      <c r="A1665" s="2">
        <f ca="1">IFERROR(__xludf.DUMMYFUNCTION("""COMPUTED_VALUE"""),44419.6666666666)</f>
        <v>44419.666666666599</v>
      </c>
      <c r="B1665" s="1">
        <f ca="1">IFERROR(__xludf.DUMMYFUNCTION("""COMPUTED_VALUE"""),20.04)</f>
        <v>20.04</v>
      </c>
      <c r="C1665" s="1">
        <f ca="1">IFERROR(__xludf.DUMMYFUNCTION("""COMPUTED_VALUE"""),20.05)</f>
        <v>20.05</v>
      </c>
      <c r="D1665" s="1">
        <f ca="1">IFERROR(__xludf.DUMMYFUNCTION("""COMPUTED_VALUE"""),19.43)</f>
        <v>19.43</v>
      </c>
      <c r="E1665" s="1">
        <f ca="1">IFERROR(__xludf.DUMMYFUNCTION("""COMPUTED_VALUE"""),19.7)</f>
        <v>19.7</v>
      </c>
      <c r="F1665" s="1">
        <f ca="1">IFERROR(__xludf.DUMMYFUNCTION("""COMPUTED_VALUE"""),18592484)</f>
        <v>18592484</v>
      </c>
    </row>
    <row r="1666" spans="1:6" x14ac:dyDescent="0.35">
      <c r="A1666" s="2">
        <f ca="1">IFERROR(__xludf.DUMMYFUNCTION("""COMPUTED_VALUE"""),44420.6666666666)</f>
        <v>44420.666666666599</v>
      </c>
      <c r="B1666" s="1">
        <f ca="1">IFERROR(__xludf.DUMMYFUNCTION("""COMPUTED_VALUE"""),19.87)</f>
        <v>19.87</v>
      </c>
      <c r="C1666" s="1">
        <f ca="1">IFERROR(__xludf.DUMMYFUNCTION("""COMPUTED_VALUE"""),20.03)</f>
        <v>20.03</v>
      </c>
      <c r="D1666" s="1">
        <f ca="1">IFERROR(__xludf.DUMMYFUNCTION("""COMPUTED_VALUE"""),19.62)</f>
        <v>19.62</v>
      </c>
      <c r="E1666" s="1">
        <f ca="1">IFERROR(__xludf.DUMMYFUNCTION("""COMPUTED_VALUE"""),19.91)</f>
        <v>19.91</v>
      </c>
      <c r="F1666" s="1">
        <f ca="1">IFERROR(__xludf.DUMMYFUNCTION("""COMPUTED_VALUE"""),15186155)</f>
        <v>15186155</v>
      </c>
    </row>
    <row r="1667" spans="1:6" x14ac:dyDescent="0.35">
      <c r="A1667" s="2">
        <f ca="1">IFERROR(__xludf.DUMMYFUNCTION("""COMPUTED_VALUE"""),44421.6666666666)</f>
        <v>44421.666666666599</v>
      </c>
      <c r="B1667" s="1">
        <f ca="1">IFERROR(__xludf.DUMMYFUNCTION("""COMPUTED_VALUE"""),19.91)</f>
        <v>19.91</v>
      </c>
      <c r="C1667" s="1">
        <f ca="1">IFERROR(__xludf.DUMMYFUNCTION("""COMPUTED_VALUE"""),20.21)</f>
        <v>20.21</v>
      </c>
      <c r="D1667" s="1">
        <f ca="1">IFERROR(__xludf.DUMMYFUNCTION("""COMPUTED_VALUE"""),19.85)</f>
        <v>19.850000000000001</v>
      </c>
      <c r="E1667" s="1">
        <f ca="1">IFERROR(__xludf.DUMMYFUNCTION("""COMPUTED_VALUE"""),20.19)</f>
        <v>20.190000000000001</v>
      </c>
      <c r="F1667" s="1">
        <f ca="1">IFERROR(__xludf.DUMMYFUNCTION("""COMPUTED_VALUE"""),18306286)</f>
        <v>18306286</v>
      </c>
    </row>
    <row r="1668" spans="1:6" x14ac:dyDescent="0.35">
      <c r="A1668" s="2">
        <f ca="1">IFERROR(__xludf.DUMMYFUNCTION("""COMPUTED_VALUE"""),44424.6666666666)</f>
        <v>44424.666666666599</v>
      </c>
      <c r="B1668" s="1">
        <f ca="1">IFERROR(__xludf.DUMMYFUNCTION("""COMPUTED_VALUE"""),20.14)</f>
        <v>20.14</v>
      </c>
      <c r="C1668" s="1">
        <f ca="1">IFERROR(__xludf.DUMMYFUNCTION("""COMPUTED_VALUE"""),20.29)</f>
        <v>20.29</v>
      </c>
      <c r="D1668" s="1">
        <f ca="1">IFERROR(__xludf.DUMMYFUNCTION("""COMPUTED_VALUE"""),19.45)</f>
        <v>19.45</v>
      </c>
      <c r="E1668" s="1">
        <f ca="1">IFERROR(__xludf.DUMMYFUNCTION("""COMPUTED_VALUE"""),19.95)</f>
        <v>19.95</v>
      </c>
      <c r="F1668" s="1">
        <f ca="1">IFERROR(__xludf.DUMMYFUNCTION("""COMPUTED_VALUE"""),21115280)</f>
        <v>21115280</v>
      </c>
    </row>
    <row r="1669" spans="1:6" x14ac:dyDescent="0.35">
      <c r="A1669" s="2">
        <f ca="1">IFERROR(__xludf.DUMMYFUNCTION("""COMPUTED_VALUE"""),44425.6666666666)</f>
        <v>44425.666666666599</v>
      </c>
      <c r="B1669" s="1">
        <f ca="1">IFERROR(__xludf.DUMMYFUNCTION("""COMPUTED_VALUE"""),19.68)</f>
        <v>19.68</v>
      </c>
      <c r="C1669" s="1">
        <f ca="1">IFERROR(__xludf.DUMMYFUNCTION("""COMPUTED_VALUE"""),19.77)</f>
        <v>19.77</v>
      </c>
      <c r="D1669" s="1">
        <f ca="1">IFERROR(__xludf.DUMMYFUNCTION("""COMPUTED_VALUE"""),19.27)</f>
        <v>19.27</v>
      </c>
      <c r="E1669" s="1">
        <f ca="1">IFERROR(__xludf.DUMMYFUNCTION("""COMPUTED_VALUE"""),19.46)</f>
        <v>19.46</v>
      </c>
      <c r="F1669" s="1">
        <f ca="1">IFERROR(__xludf.DUMMYFUNCTION("""COMPUTED_VALUE"""),20458485)</f>
        <v>20458485</v>
      </c>
    </row>
    <row r="1670" spans="1:6" x14ac:dyDescent="0.35">
      <c r="A1670" s="2">
        <f ca="1">IFERROR(__xludf.DUMMYFUNCTION("""COMPUTED_VALUE"""),44426.6666666666)</f>
        <v>44426.666666666599</v>
      </c>
      <c r="B1670" s="1">
        <f ca="1">IFERROR(__xludf.DUMMYFUNCTION("""COMPUTED_VALUE"""),19.5)</f>
        <v>19.5</v>
      </c>
      <c r="C1670" s="1">
        <f ca="1">IFERROR(__xludf.DUMMYFUNCTION("""COMPUTED_VALUE"""),19.63)</f>
        <v>19.63</v>
      </c>
      <c r="D1670" s="1">
        <f ca="1">IFERROR(__xludf.DUMMYFUNCTION("""COMPUTED_VALUE"""),19)</f>
        <v>19</v>
      </c>
      <c r="E1670" s="1">
        <f ca="1">IFERROR(__xludf.DUMMYFUNCTION("""COMPUTED_VALUE"""),19.04)</f>
        <v>19.04</v>
      </c>
      <c r="F1670" s="1">
        <f ca="1">IFERROR(__xludf.DUMMYFUNCTION("""COMPUTED_VALUE"""),28591348)</f>
        <v>28591348</v>
      </c>
    </row>
    <row r="1671" spans="1:6" x14ac:dyDescent="0.35">
      <c r="A1671" s="2">
        <f ca="1">IFERROR(__xludf.DUMMYFUNCTION("""COMPUTED_VALUE"""),44427.6666666666)</f>
        <v>44427.666666666599</v>
      </c>
      <c r="B1671" s="1">
        <f ca="1">IFERROR(__xludf.DUMMYFUNCTION("""COMPUTED_VALUE"""),19.49)</f>
        <v>19.489999999999998</v>
      </c>
      <c r="C1671" s="1">
        <f ca="1">IFERROR(__xludf.DUMMYFUNCTION("""COMPUTED_VALUE"""),20.5)</f>
        <v>20.5</v>
      </c>
      <c r="D1671" s="1">
        <f ca="1">IFERROR(__xludf.DUMMYFUNCTION("""COMPUTED_VALUE"""),18.76)</f>
        <v>18.760000000000002</v>
      </c>
      <c r="E1671" s="1">
        <f ca="1">IFERROR(__xludf.DUMMYFUNCTION("""COMPUTED_VALUE"""),19.8)</f>
        <v>19.8</v>
      </c>
      <c r="F1671" s="1">
        <f ca="1">IFERROR(__xludf.DUMMYFUNCTION("""COMPUTED_VALUE"""),76655477)</f>
        <v>76655477</v>
      </c>
    </row>
    <row r="1672" spans="1:6" x14ac:dyDescent="0.35">
      <c r="A1672" s="2">
        <f ca="1">IFERROR(__xludf.DUMMYFUNCTION("""COMPUTED_VALUE"""),44428.6666666666)</f>
        <v>44428.666666666599</v>
      </c>
      <c r="B1672" s="1">
        <f ca="1">IFERROR(__xludf.DUMMYFUNCTION("""COMPUTED_VALUE"""),19.99)</f>
        <v>19.989999999999998</v>
      </c>
      <c r="C1672" s="1">
        <f ca="1">IFERROR(__xludf.DUMMYFUNCTION("""COMPUTED_VALUE"""),20.87)</f>
        <v>20.87</v>
      </c>
      <c r="D1672" s="1">
        <f ca="1">IFERROR(__xludf.DUMMYFUNCTION("""COMPUTED_VALUE"""),19.93)</f>
        <v>19.93</v>
      </c>
      <c r="E1672" s="1">
        <f ca="1">IFERROR(__xludf.DUMMYFUNCTION("""COMPUTED_VALUE"""),20.82)</f>
        <v>20.82</v>
      </c>
      <c r="F1672" s="1">
        <f ca="1">IFERROR(__xludf.DUMMYFUNCTION("""COMPUTED_VALUE"""),67574131)</f>
        <v>67574131</v>
      </c>
    </row>
    <row r="1673" spans="1:6" x14ac:dyDescent="0.35">
      <c r="A1673" s="2">
        <f ca="1">IFERROR(__xludf.DUMMYFUNCTION("""COMPUTED_VALUE"""),44431.6666666666)</f>
        <v>44431.666666666599</v>
      </c>
      <c r="B1673" s="1">
        <f ca="1">IFERROR(__xludf.DUMMYFUNCTION("""COMPUTED_VALUE"""),20.97)</f>
        <v>20.97</v>
      </c>
      <c r="C1673" s="1">
        <f ca="1">IFERROR(__xludf.DUMMYFUNCTION("""COMPUTED_VALUE"""),22)</f>
        <v>22</v>
      </c>
      <c r="D1673" s="1">
        <f ca="1">IFERROR(__xludf.DUMMYFUNCTION("""COMPUTED_VALUE"""),20.95)</f>
        <v>20.95</v>
      </c>
      <c r="E1673" s="1">
        <f ca="1">IFERROR(__xludf.DUMMYFUNCTION("""COMPUTED_VALUE"""),21.96)</f>
        <v>21.96</v>
      </c>
      <c r="F1673" s="1">
        <f ca="1">IFERROR(__xludf.DUMMYFUNCTION("""COMPUTED_VALUE"""),57580658)</f>
        <v>57580658</v>
      </c>
    </row>
    <row r="1674" spans="1:6" x14ac:dyDescent="0.35">
      <c r="A1674" s="2">
        <f ca="1">IFERROR(__xludf.DUMMYFUNCTION("""COMPUTED_VALUE"""),44432.6666666666)</f>
        <v>44432.666666666599</v>
      </c>
      <c r="B1674" s="1">
        <f ca="1">IFERROR(__xludf.DUMMYFUNCTION("""COMPUTED_VALUE"""),21.75)</f>
        <v>21.75</v>
      </c>
      <c r="C1674" s="1">
        <f ca="1">IFERROR(__xludf.DUMMYFUNCTION("""COMPUTED_VALUE"""),21.96)</f>
        <v>21.96</v>
      </c>
      <c r="D1674" s="1">
        <f ca="1">IFERROR(__xludf.DUMMYFUNCTION("""COMPUTED_VALUE"""),21.54)</f>
        <v>21.54</v>
      </c>
      <c r="E1674" s="1">
        <f ca="1">IFERROR(__xludf.DUMMYFUNCTION("""COMPUTED_VALUE"""),21.79)</f>
        <v>21.79</v>
      </c>
      <c r="F1674" s="1">
        <f ca="1">IFERROR(__xludf.DUMMYFUNCTION("""COMPUTED_VALUE"""),29729892)</f>
        <v>29729892</v>
      </c>
    </row>
    <row r="1675" spans="1:6" x14ac:dyDescent="0.35">
      <c r="A1675" s="2">
        <f ca="1">IFERROR(__xludf.DUMMYFUNCTION("""COMPUTED_VALUE"""),44433.6666666666)</f>
        <v>44433.666666666599</v>
      </c>
      <c r="B1675" s="1">
        <f ca="1">IFERROR(__xludf.DUMMYFUNCTION("""COMPUTED_VALUE"""),21.74)</f>
        <v>21.74</v>
      </c>
      <c r="C1675" s="1">
        <f ca="1">IFERROR(__xludf.DUMMYFUNCTION("""COMPUTED_VALUE"""),22.47)</f>
        <v>22.47</v>
      </c>
      <c r="D1675" s="1">
        <f ca="1">IFERROR(__xludf.DUMMYFUNCTION("""COMPUTED_VALUE"""),21.72)</f>
        <v>21.72</v>
      </c>
      <c r="E1675" s="1">
        <f ca="1">IFERROR(__xludf.DUMMYFUNCTION("""COMPUTED_VALUE"""),22.21)</f>
        <v>22.21</v>
      </c>
      <c r="F1675" s="1">
        <f ca="1">IFERROR(__xludf.DUMMYFUNCTION("""COMPUTED_VALUE"""),34770104)</f>
        <v>34770104</v>
      </c>
    </row>
    <row r="1676" spans="1:6" x14ac:dyDescent="0.35">
      <c r="A1676" s="2">
        <f ca="1">IFERROR(__xludf.DUMMYFUNCTION("""COMPUTED_VALUE"""),44434.6666666666)</f>
        <v>44434.666666666599</v>
      </c>
      <c r="B1676" s="1">
        <f ca="1">IFERROR(__xludf.DUMMYFUNCTION("""COMPUTED_VALUE"""),22.2)</f>
        <v>22.2</v>
      </c>
      <c r="C1676" s="1">
        <f ca="1">IFERROR(__xludf.DUMMYFUNCTION("""COMPUTED_VALUE"""),22.34)</f>
        <v>22.34</v>
      </c>
      <c r="D1676" s="1">
        <f ca="1">IFERROR(__xludf.DUMMYFUNCTION("""COMPUTED_VALUE"""),21.79)</f>
        <v>21.79</v>
      </c>
      <c r="E1676" s="1">
        <f ca="1">IFERROR(__xludf.DUMMYFUNCTION("""COMPUTED_VALUE"""),22.07)</f>
        <v>22.07</v>
      </c>
      <c r="F1676" s="1">
        <f ca="1">IFERROR(__xludf.DUMMYFUNCTION("""COMPUTED_VALUE"""),23794042)</f>
        <v>23794042</v>
      </c>
    </row>
    <row r="1677" spans="1:6" x14ac:dyDescent="0.35">
      <c r="A1677" s="2">
        <f ca="1">IFERROR(__xludf.DUMMYFUNCTION("""COMPUTED_VALUE"""),44435.6666666666)</f>
        <v>44435.666666666599</v>
      </c>
      <c r="B1677" s="1">
        <f ca="1">IFERROR(__xludf.DUMMYFUNCTION("""COMPUTED_VALUE"""),22.18)</f>
        <v>22.18</v>
      </c>
      <c r="C1677" s="1">
        <f ca="1">IFERROR(__xludf.DUMMYFUNCTION("""COMPUTED_VALUE"""),22.72)</f>
        <v>22.72</v>
      </c>
      <c r="D1677" s="1">
        <f ca="1">IFERROR(__xludf.DUMMYFUNCTION("""COMPUTED_VALUE"""),22.17)</f>
        <v>22.17</v>
      </c>
      <c r="E1677" s="1">
        <f ca="1">IFERROR(__xludf.DUMMYFUNCTION("""COMPUTED_VALUE"""),22.64)</f>
        <v>22.64</v>
      </c>
      <c r="F1677" s="1">
        <f ca="1">IFERROR(__xludf.DUMMYFUNCTION("""COMPUTED_VALUE"""),30472219)</f>
        <v>30472219</v>
      </c>
    </row>
    <row r="1678" spans="1:6" x14ac:dyDescent="0.35">
      <c r="A1678" s="2">
        <f ca="1">IFERROR(__xludf.DUMMYFUNCTION("""COMPUTED_VALUE"""),44438.6666666666)</f>
        <v>44438.666666666599</v>
      </c>
      <c r="B1678" s="1">
        <f ca="1">IFERROR(__xludf.DUMMYFUNCTION("""COMPUTED_VALUE"""),22.83)</f>
        <v>22.83</v>
      </c>
      <c r="C1678" s="1">
        <f ca="1">IFERROR(__xludf.DUMMYFUNCTION("""COMPUTED_VALUE"""),23.04)</f>
        <v>23.04</v>
      </c>
      <c r="D1678" s="1">
        <f ca="1">IFERROR(__xludf.DUMMYFUNCTION("""COMPUTED_VALUE"""),22.55)</f>
        <v>22.55</v>
      </c>
      <c r="E1678" s="1">
        <f ca="1">IFERROR(__xludf.DUMMYFUNCTION("""COMPUTED_VALUE"""),22.69)</f>
        <v>22.69</v>
      </c>
      <c r="F1678" s="1">
        <f ca="1">IFERROR(__xludf.DUMMYFUNCTION("""COMPUTED_VALUE"""),26257990)</f>
        <v>26257990</v>
      </c>
    </row>
    <row r="1679" spans="1:6" x14ac:dyDescent="0.35">
      <c r="A1679" s="2">
        <f ca="1">IFERROR(__xludf.DUMMYFUNCTION("""COMPUTED_VALUE"""),44439.6666666666)</f>
        <v>44439.666666666599</v>
      </c>
      <c r="B1679" s="1">
        <f ca="1">IFERROR(__xludf.DUMMYFUNCTION("""COMPUTED_VALUE"""),22.7)</f>
        <v>22.7</v>
      </c>
      <c r="C1679" s="1">
        <f ca="1">IFERROR(__xludf.DUMMYFUNCTION("""COMPUTED_VALUE"""),22.7)</f>
        <v>22.7</v>
      </c>
      <c r="D1679" s="1">
        <f ca="1">IFERROR(__xludf.DUMMYFUNCTION("""COMPUTED_VALUE"""),22.12)</f>
        <v>22.12</v>
      </c>
      <c r="E1679" s="1">
        <f ca="1">IFERROR(__xludf.DUMMYFUNCTION("""COMPUTED_VALUE"""),22.39)</f>
        <v>22.39</v>
      </c>
      <c r="F1679" s="1">
        <f ca="1">IFERROR(__xludf.DUMMYFUNCTION("""COMPUTED_VALUE"""),25984968)</f>
        <v>25984968</v>
      </c>
    </row>
    <row r="1680" spans="1:6" x14ac:dyDescent="0.35">
      <c r="A1680" s="2">
        <f ca="1">IFERROR(__xludf.DUMMYFUNCTION("""COMPUTED_VALUE"""),44440.6666666666)</f>
        <v>44440.666666666599</v>
      </c>
      <c r="B1680" s="1">
        <f ca="1">IFERROR(__xludf.DUMMYFUNCTION("""COMPUTED_VALUE"""),22.49)</f>
        <v>22.49</v>
      </c>
      <c r="C1680" s="1">
        <f ca="1">IFERROR(__xludf.DUMMYFUNCTION("""COMPUTED_VALUE"""),22.7)</f>
        <v>22.7</v>
      </c>
      <c r="D1680" s="1">
        <f ca="1">IFERROR(__xludf.DUMMYFUNCTION("""COMPUTED_VALUE"""),22.36)</f>
        <v>22.36</v>
      </c>
      <c r="E1680" s="1">
        <f ca="1">IFERROR(__xludf.DUMMYFUNCTION("""COMPUTED_VALUE"""),22.44)</f>
        <v>22.44</v>
      </c>
      <c r="F1680" s="1">
        <f ca="1">IFERROR(__xludf.DUMMYFUNCTION("""COMPUTED_VALUE"""),20176695)</f>
        <v>20176695</v>
      </c>
    </row>
    <row r="1681" spans="1:6" x14ac:dyDescent="0.35">
      <c r="A1681" s="2">
        <f ca="1">IFERROR(__xludf.DUMMYFUNCTION("""COMPUTED_VALUE"""),44441.6666666666)</f>
        <v>44441.666666666599</v>
      </c>
      <c r="B1681" s="1">
        <f ca="1">IFERROR(__xludf.DUMMYFUNCTION("""COMPUTED_VALUE"""),22.52)</f>
        <v>22.52</v>
      </c>
      <c r="C1681" s="1">
        <f ca="1">IFERROR(__xludf.DUMMYFUNCTION("""COMPUTED_VALUE"""),22.59)</f>
        <v>22.59</v>
      </c>
      <c r="D1681" s="1">
        <f ca="1">IFERROR(__xludf.DUMMYFUNCTION("""COMPUTED_VALUE"""),22.29)</f>
        <v>22.29</v>
      </c>
      <c r="E1681" s="1">
        <f ca="1">IFERROR(__xludf.DUMMYFUNCTION("""COMPUTED_VALUE"""),22.4)</f>
        <v>22.4</v>
      </c>
      <c r="F1681" s="1">
        <f ca="1">IFERROR(__xludf.DUMMYFUNCTION("""COMPUTED_VALUE"""),18810957)</f>
        <v>18810957</v>
      </c>
    </row>
    <row r="1682" spans="1:6" x14ac:dyDescent="0.35">
      <c r="A1682" s="2">
        <f ca="1">IFERROR(__xludf.DUMMYFUNCTION("""COMPUTED_VALUE"""),44442.6666666666)</f>
        <v>44442.666666666599</v>
      </c>
      <c r="B1682" s="1">
        <f ca="1">IFERROR(__xludf.DUMMYFUNCTION("""COMPUTED_VALUE"""),22.33)</f>
        <v>22.33</v>
      </c>
      <c r="C1682" s="1">
        <f ca="1">IFERROR(__xludf.DUMMYFUNCTION("""COMPUTED_VALUE"""),22.99)</f>
        <v>22.99</v>
      </c>
      <c r="D1682" s="1">
        <f ca="1">IFERROR(__xludf.DUMMYFUNCTION("""COMPUTED_VALUE"""),22.2)</f>
        <v>22.2</v>
      </c>
      <c r="E1682" s="1">
        <f ca="1">IFERROR(__xludf.DUMMYFUNCTION("""COMPUTED_VALUE"""),22.84)</f>
        <v>22.84</v>
      </c>
      <c r="F1682" s="1">
        <f ca="1">IFERROR(__xludf.DUMMYFUNCTION("""COMPUTED_VALUE"""),28083198)</f>
        <v>28083198</v>
      </c>
    </row>
    <row r="1683" spans="1:6" x14ac:dyDescent="0.35">
      <c r="A1683" s="2">
        <f ca="1">IFERROR(__xludf.DUMMYFUNCTION("""COMPUTED_VALUE"""),44446.6666666666)</f>
        <v>44446.666666666599</v>
      </c>
      <c r="B1683" s="1">
        <f ca="1">IFERROR(__xludf.DUMMYFUNCTION("""COMPUTED_VALUE"""),22.83)</f>
        <v>22.83</v>
      </c>
      <c r="C1683" s="1">
        <f ca="1">IFERROR(__xludf.DUMMYFUNCTION("""COMPUTED_VALUE"""),22.9)</f>
        <v>22.9</v>
      </c>
      <c r="D1683" s="1">
        <f ca="1">IFERROR(__xludf.DUMMYFUNCTION("""COMPUTED_VALUE"""),22.52)</f>
        <v>22.52</v>
      </c>
      <c r="E1683" s="1">
        <f ca="1">IFERROR(__xludf.DUMMYFUNCTION("""COMPUTED_VALUE"""),22.66)</f>
        <v>22.66</v>
      </c>
      <c r="F1683" s="1">
        <f ca="1">IFERROR(__xludf.DUMMYFUNCTION("""COMPUTED_VALUE"""),19810716)</f>
        <v>19810716</v>
      </c>
    </row>
    <row r="1684" spans="1:6" x14ac:dyDescent="0.35">
      <c r="A1684" s="2">
        <f ca="1">IFERROR(__xludf.DUMMYFUNCTION("""COMPUTED_VALUE"""),44447.6666666666)</f>
        <v>44447.666666666599</v>
      </c>
      <c r="B1684" s="1">
        <f ca="1">IFERROR(__xludf.DUMMYFUNCTION("""COMPUTED_VALUE"""),22.51)</f>
        <v>22.51</v>
      </c>
      <c r="C1684" s="1">
        <f ca="1">IFERROR(__xludf.DUMMYFUNCTION("""COMPUTED_VALUE"""),22.61)</f>
        <v>22.61</v>
      </c>
      <c r="D1684" s="1">
        <f ca="1">IFERROR(__xludf.DUMMYFUNCTION("""COMPUTED_VALUE"""),21.98)</f>
        <v>21.98</v>
      </c>
      <c r="E1684" s="1">
        <f ca="1">IFERROR(__xludf.DUMMYFUNCTION("""COMPUTED_VALUE"""),22.34)</f>
        <v>22.34</v>
      </c>
      <c r="F1684" s="1">
        <f ca="1">IFERROR(__xludf.DUMMYFUNCTION("""COMPUTED_VALUE"""),25443421)</f>
        <v>25443421</v>
      </c>
    </row>
    <row r="1685" spans="1:6" x14ac:dyDescent="0.35">
      <c r="A1685" s="2">
        <f ca="1">IFERROR(__xludf.DUMMYFUNCTION("""COMPUTED_VALUE"""),44448.6666666666)</f>
        <v>44448.666666666599</v>
      </c>
      <c r="B1685" s="1">
        <f ca="1">IFERROR(__xludf.DUMMYFUNCTION("""COMPUTED_VALUE"""),22.31)</f>
        <v>22.31</v>
      </c>
      <c r="C1685" s="1">
        <f ca="1">IFERROR(__xludf.DUMMYFUNCTION("""COMPUTED_VALUE"""),22.54)</f>
        <v>22.54</v>
      </c>
      <c r="D1685" s="1">
        <f ca="1">IFERROR(__xludf.DUMMYFUNCTION("""COMPUTED_VALUE"""),22.13)</f>
        <v>22.13</v>
      </c>
      <c r="E1685" s="1">
        <f ca="1">IFERROR(__xludf.DUMMYFUNCTION("""COMPUTED_VALUE"""),22.18)</f>
        <v>22.18</v>
      </c>
      <c r="F1685" s="1">
        <f ca="1">IFERROR(__xludf.DUMMYFUNCTION("""COMPUTED_VALUE"""),19685601)</f>
        <v>19685601</v>
      </c>
    </row>
    <row r="1686" spans="1:6" x14ac:dyDescent="0.35">
      <c r="A1686" s="2">
        <f ca="1">IFERROR(__xludf.DUMMYFUNCTION("""COMPUTED_VALUE"""),44449.6666666666)</f>
        <v>44449.666666666599</v>
      </c>
      <c r="B1686" s="1">
        <f ca="1">IFERROR(__xludf.DUMMYFUNCTION("""COMPUTED_VALUE"""),22.35)</f>
        <v>22.35</v>
      </c>
      <c r="C1686" s="1">
        <f ca="1">IFERROR(__xludf.DUMMYFUNCTION("""COMPUTED_VALUE"""),22.63)</f>
        <v>22.63</v>
      </c>
      <c r="D1686" s="1">
        <f ca="1">IFERROR(__xludf.DUMMYFUNCTION("""COMPUTED_VALUE"""),22.27)</f>
        <v>22.27</v>
      </c>
      <c r="E1686" s="1">
        <f ca="1">IFERROR(__xludf.DUMMYFUNCTION("""COMPUTED_VALUE"""),22.48)</f>
        <v>22.48</v>
      </c>
      <c r="F1686" s="1">
        <f ca="1">IFERROR(__xludf.DUMMYFUNCTION("""COMPUTED_VALUE"""),24837574)</f>
        <v>24837574</v>
      </c>
    </row>
    <row r="1687" spans="1:6" x14ac:dyDescent="0.35">
      <c r="A1687" s="2">
        <f ca="1">IFERROR(__xludf.DUMMYFUNCTION("""COMPUTED_VALUE"""),44452.6666666666)</f>
        <v>44452.666666666599</v>
      </c>
      <c r="B1687" s="1">
        <f ca="1">IFERROR(__xludf.DUMMYFUNCTION("""COMPUTED_VALUE"""),22.68)</f>
        <v>22.68</v>
      </c>
      <c r="C1687" s="1">
        <f ca="1">IFERROR(__xludf.DUMMYFUNCTION("""COMPUTED_VALUE"""),22.96)</f>
        <v>22.96</v>
      </c>
      <c r="D1687" s="1">
        <f ca="1">IFERROR(__xludf.DUMMYFUNCTION("""COMPUTED_VALUE"""),21.86)</f>
        <v>21.86</v>
      </c>
      <c r="E1687" s="1">
        <f ca="1">IFERROR(__xludf.DUMMYFUNCTION("""COMPUTED_VALUE"""),22.15)</f>
        <v>22.15</v>
      </c>
      <c r="F1687" s="1">
        <f ca="1">IFERROR(__xludf.DUMMYFUNCTION("""COMPUTED_VALUE"""),29749990)</f>
        <v>29749990</v>
      </c>
    </row>
    <row r="1688" spans="1:6" x14ac:dyDescent="0.35">
      <c r="A1688" s="2">
        <f ca="1">IFERROR(__xludf.DUMMYFUNCTION("""COMPUTED_VALUE"""),44453.6666666666)</f>
        <v>44453.666666666599</v>
      </c>
      <c r="B1688" s="1">
        <f ca="1">IFERROR(__xludf.DUMMYFUNCTION("""COMPUTED_VALUE"""),22.28)</f>
        <v>22.28</v>
      </c>
      <c r="C1688" s="1">
        <f ca="1">IFERROR(__xludf.DUMMYFUNCTION("""COMPUTED_VALUE"""),22.41)</f>
        <v>22.41</v>
      </c>
      <c r="D1688" s="1">
        <f ca="1">IFERROR(__xludf.DUMMYFUNCTION("""COMPUTED_VALUE"""),22.09)</f>
        <v>22.09</v>
      </c>
      <c r="E1688" s="1">
        <f ca="1">IFERROR(__xludf.DUMMYFUNCTION("""COMPUTED_VALUE"""),22.24)</f>
        <v>22.24</v>
      </c>
      <c r="F1688" s="1">
        <f ca="1">IFERROR(__xludf.DUMMYFUNCTION("""COMPUTED_VALUE"""),19975460)</f>
        <v>19975460</v>
      </c>
    </row>
    <row r="1689" spans="1:6" x14ac:dyDescent="0.35">
      <c r="A1689" s="2">
        <f ca="1">IFERROR(__xludf.DUMMYFUNCTION("""COMPUTED_VALUE"""),44454.6666666666)</f>
        <v>44454.666666666599</v>
      </c>
      <c r="B1689" s="1">
        <f ca="1">IFERROR(__xludf.DUMMYFUNCTION("""COMPUTED_VALUE"""),22.31)</f>
        <v>22.31</v>
      </c>
      <c r="C1689" s="1">
        <f ca="1">IFERROR(__xludf.DUMMYFUNCTION("""COMPUTED_VALUE"""),22.37)</f>
        <v>22.37</v>
      </c>
      <c r="D1689" s="1">
        <f ca="1">IFERROR(__xludf.DUMMYFUNCTION("""COMPUTED_VALUE"""),21.97)</f>
        <v>21.97</v>
      </c>
      <c r="E1689" s="1">
        <f ca="1">IFERROR(__xludf.DUMMYFUNCTION("""COMPUTED_VALUE"""),22.34)</f>
        <v>22.34</v>
      </c>
      <c r="F1689" s="1">
        <f ca="1">IFERROR(__xludf.DUMMYFUNCTION("""COMPUTED_VALUE"""),16653801)</f>
        <v>16653801</v>
      </c>
    </row>
    <row r="1690" spans="1:6" x14ac:dyDescent="0.35">
      <c r="A1690" s="2">
        <f ca="1">IFERROR(__xludf.DUMMYFUNCTION("""COMPUTED_VALUE"""),44455.6666666666)</f>
        <v>44455.666666666599</v>
      </c>
      <c r="B1690" s="1">
        <f ca="1">IFERROR(__xludf.DUMMYFUNCTION("""COMPUTED_VALUE"""),22.18)</f>
        <v>22.18</v>
      </c>
      <c r="C1690" s="1">
        <f ca="1">IFERROR(__xludf.DUMMYFUNCTION("""COMPUTED_VALUE"""),22.28)</f>
        <v>22.28</v>
      </c>
      <c r="D1690" s="1">
        <f ca="1">IFERROR(__xludf.DUMMYFUNCTION("""COMPUTED_VALUE"""),21.93)</f>
        <v>21.93</v>
      </c>
      <c r="E1690" s="1">
        <f ca="1">IFERROR(__xludf.DUMMYFUNCTION("""COMPUTED_VALUE"""),22.24)</f>
        <v>22.24</v>
      </c>
      <c r="F1690" s="1">
        <f ca="1">IFERROR(__xludf.DUMMYFUNCTION("""COMPUTED_VALUE"""),15603344)</f>
        <v>15603344</v>
      </c>
    </row>
    <row r="1691" spans="1:6" x14ac:dyDescent="0.35">
      <c r="A1691" s="2">
        <f ca="1">IFERROR(__xludf.DUMMYFUNCTION("""COMPUTED_VALUE"""),44456.6666666666)</f>
        <v>44456.666666666599</v>
      </c>
      <c r="B1691" s="1">
        <f ca="1">IFERROR(__xludf.DUMMYFUNCTION("""COMPUTED_VALUE"""),22.3)</f>
        <v>22.3</v>
      </c>
      <c r="C1691" s="1">
        <f ca="1">IFERROR(__xludf.DUMMYFUNCTION("""COMPUTED_VALUE"""),22.32)</f>
        <v>22.32</v>
      </c>
      <c r="D1691" s="1">
        <f ca="1">IFERROR(__xludf.DUMMYFUNCTION("""COMPUTED_VALUE"""),21.83)</f>
        <v>21.83</v>
      </c>
      <c r="E1691" s="1">
        <f ca="1">IFERROR(__xludf.DUMMYFUNCTION("""COMPUTED_VALUE"""),21.9)</f>
        <v>21.9</v>
      </c>
      <c r="F1691" s="1">
        <f ca="1">IFERROR(__xludf.DUMMYFUNCTION("""COMPUTED_VALUE"""),29450284)</f>
        <v>29450284</v>
      </c>
    </row>
    <row r="1692" spans="1:6" x14ac:dyDescent="0.35">
      <c r="A1692" s="2">
        <f ca="1">IFERROR(__xludf.DUMMYFUNCTION("""COMPUTED_VALUE"""),44459.6666666666)</f>
        <v>44459.666666666599</v>
      </c>
      <c r="B1692" s="1">
        <f ca="1">IFERROR(__xludf.DUMMYFUNCTION("""COMPUTED_VALUE"""),21.15)</f>
        <v>21.15</v>
      </c>
      <c r="C1692" s="1">
        <f ca="1">IFERROR(__xludf.DUMMYFUNCTION("""COMPUTED_VALUE"""),21.43)</f>
        <v>21.43</v>
      </c>
      <c r="D1692" s="1">
        <f ca="1">IFERROR(__xludf.DUMMYFUNCTION("""COMPUTED_VALUE"""),20.66)</f>
        <v>20.66</v>
      </c>
      <c r="E1692" s="1">
        <f ca="1">IFERROR(__xludf.DUMMYFUNCTION("""COMPUTED_VALUE"""),21.11)</f>
        <v>21.11</v>
      </c>
      <c r="F1692" s="1">
        <f ca="1">IFERROR(__xludf.DUMMYFUNCTION("""COMPUTED_VALUE"""),34944045)</f>
        <v>34944045</v>
      </c>
    </row>
    <row r="1693" spans="1:6" x14ac:dyDescent="0.35">
      <c r="A1693" s="2">
        <f ca="1">IFERROR(__xludf.DUMMYFUNCTION("""COMPUTED_VALUE"""),44460.6666666666)</f>
        <v>44460.666666666599</v>
      </c>
      <c r="B1693" s="1">
        <f ca="1">IFERROR(__xludf.DUMMYFUNCTION("""COMPUTED_VALUE"""),21.42)</f>
        <v>21.42</v>
      </c>
      <c r="C1693" s="1">
        <f ca="1">IFERROR(__xludf.DUMMYFUNCTION("""COMPUTED_VALUE"""),21.43)</f>
        <v>21.43</v>
      </c>
      <c r="D1693" s="1">
        <f ca="1">IFERROR(__xludf.DUMMYFUNCTION("""COMPUTED_VALUE"""),20.95)</f>
        <v>20.95</v>
      </c>
      <c r="E1693" s="1">
        <f ca="1">IFERROR(__xludf.DUMMYFUNCTION("""COMPUTED_VALUE"""),21.25)</f>
        <v>21.25</v>
      </c>
      <c r="F1693" s="1">
        <f ca="1">IFERROR(__xludf.DUMMYFUNCTION("""COMPUTED_VALUE"""),20468810)</f>
        <v>20468810</v>
      </c>
    </row>
    <row r="1694" spans="1:6" x14ac:dyDescent="0.35">
      <c r="A1694" s="2">
        <f ca="1">IFERROR(__xludf.DUMMYFUNCTION("""COMPUTED_VALUE"""),44461.6666666666)</f>
        <v>44461.666666666599</v>
      </c>
      <c r="B1694" s="1">
        <f ca="1">IFERROR(__xludf.DUMMYFUNCTION("""COMPUTED_VALUE"""),21.37)</f>
        <v>21.37</v>
      </c>
      <c r="C1694" s="1">
        <f ca="1">IFERROR(__xludf.DUMMYFUNCTION("""COMPUTED_VALUE"""),21.96)</f>
        <v>21.96</v>
      </c>
      <c r="D1694" s="1">
        <f ca="1">IFERROR(__xludf.DUMMYFUNCTION("""COMPUTED_VALUE"""),21.2)</f>
        <v>21.2</v>
      </c>
      <c r="E1694" s="1">
        <f ca="1">IFERROR(__xludf.DUMMYFUNCTION("""COMPUTED_VALUE"""),21.94)</f>
        <v>21.94</v>
      </c>
      <c r="F1694" s="1">
        <f ca="1">IFERROR(__xludf.DUMMYFUNCTION("""COMPUTED_VALUE"""),26872556)</f>
        <v>26872556</v>
      </c>
    </row>
    <row r="1695" spans="1:6" x14ac:dyDescent="0.35">
      <c r="A1695" s="2">
        <f ca="1">IFERROR(__xludf.DUMMYFUNCTION("""COMPUTED_VALUE"""),44462.6666666666)</f>
        <v>44462.666666666599</v>
      </c>
      <c r="B1695" s="1">
        <f ca="1">IFERROR(__xludf.DUMMYFUNCTION("""COMPUTED_VALUE"""),22.14)</f>
        <v>22.14</v>
      </c>
      <c r="C1695" s="1">
        <f ca="1">IFERROR(__xludf.DUMMYFUNCTION("""COMPUTED_VALUE"""),22.53)</f>
        <v>22.53</v>
      </c>
      <c r="D1695" s="1">
        <f ca="1">IFERROR(__xludf.DUMMYFUNCTION("""COMPUTED_VALUE"""),21.89)</f>
        <v>21.89</v>
      </c>
      <c r="E1695" s="1">
        <f ca="1">IFERROR(__xludf.DUMMYFUNCTION("""COMPUTED_VALUE"""),22.48)</f>
        <v>22.48</v>
      </c>
      <c r="F1695" s="1">
        <f ca="1">IFERROR(__xludf.DUMMYFUNCTION("""COMPUTED_VALUE"""),24855491)</f>
        <v>24855491</v>
      </c>
    </row>
    <row r="1696" spans="1:6" x14ac:dyDescent="0.35">
      <c r="A1696" s="2">
        <f ca="1">IFERROR(__xludf.DUMMYFUNCTION("""COMPUTED_VALUE"""),44463.6666666666)</f>
        <v>44463.666666666599</v>
      </c>
      <c r="B1696" s="1">
        <f ca="1">IFERROR(__xludf.DUMMYFUNCTION("""COMPUTED_VALUE"""),22.07)</f>
        <v>22.07</v>
      </c>
      <c r="C1696" s="1">
        <f ca="1">IFERROR(__xludf.DUMMYFUNCTION("""COMPUTED_VALUE"""),22.15)</f>
        <v>22.15</v>
      </c>
      <c r="D1696" s="1">
        <f ca="1">IFERROR(__xludf.DUMMYFUNCTION("""COMPUTED_VALUE"""),21.86)</f>
        <v>21.86</v>
      </c>
      <c r="E1696" s="1">
        <f ca="1">IFERROR(__xludf.DUMMYFUNCTION("""COMPUTED_VALUE"""),22.08)</f>
        <v>22.08</v>
      </c>
      <c r="F1696" s="1">
        <f ca="1">IFERROR(__xludf.DUMMYFUNCTION("""COMPUTED_VALUE"""),21765545)</f>
        <v>21765545</v>
      </c>
    </row>
    <row r="1697" spans="1:6" x14ac:dyDescent="0.35">
      <c r="A1697" s="2">
        <f ca="1">IFERROR(__xludf.DUMMYFUNCTION("""COMPUTED_VALUE"""),44466.6666666666)</f>
        <v>44466.666666666599</v>
      </c>
      <c r="B1697" s="1">
        <f ca="1">IFERROR(__xludf.DUMMYFUNCTION("""COMPUTED_VALUE"""),21.71)</f>
        <v>21.71</v>
      </c>
      <c r="C1697" s="1">
        <f ca="1">IFERROR(__xludf.DUMMYFUNCTION("""COMPUTED_VALUE"""),21.8)</f>
        <v>21.8</v>
      </c>
      <c r="D1697" s="1">
        <f ca="1">IFERROR(__xludf.DUMMYFUNCTION("""COMPUTED_VALUE"""),21.33)</f>
        <v>21.33</v>
      </c>
      <c r="E1697" s="1">
        <f ca="1">IFERROR(__xludf.DUMMYFUNCTION("""COMPUTED_VALUE"""),21.66)</f>
        <v>21.66</v>
      </c>
      <c r="F1697" s="1">
        <f ca="1">IFERROR(__xludf.DUMMYFUNCTION("""COMPUTED_VALUE"""),24521514)</f>
        <v>24521514</v>
      </c>
    </row>
    <row r="1698" spans="1:6" x14ac:dyDescent="0.35">
      <c r="A1698" s="2">
        <f ca="1">IFERROR(__xludf.DUMMYFUNCTION("""COMPUTED_VALUE"""),44467.6666666666)</f>
        <v>44467.666666666599</v>
      </c>
      <c r="B1698" s="1">
        <f ca="1">IFERROR(__xludf.DUMMYFUNCTION("""COMPUTED_VALUE"""),21.21)</f>
        <v>21.21</v>
      </c>
      <c r="C1698" s="1">
        <f ca="1">IFERROR(__xludf.DUMMYFUNCTION("""COMPUTED_VALUE"""),21.42)</f>
        <v>21.42</v>
      </c>
      <c r="D1698" s="1">
        <f ca="1">IFERROR(__xludf.DUMMYFUNCTION("""COMPUTED_VALUE"""),20.65)</f>
        <v>20.65</v>
      </c>
      <c r="E1698" s="1">
        <f ca="1">IFERROR(__xludf.DUMMYFUNCTION("""COMPUTED_VALUE"""),20.7)</f>
        <v>20.7</v>
      </c>
      <c r="F1698" s="1">
        <f ca="1">IFERROR(__xludf.DUMMYFUNCTION("""COMPUTED_VALUE"""),34306895)</f>
        <v>34306895</v>
      </c>
    </row>
    <row r="1699" spans="1:6" x14ac:dyDescent="0.35">
      <c r="A1699" s="2">
        <f ca="1">IFERROR(__xludf.DUMMYFUNCTION("""COMPUTED_VALUE"""),44468.6666666666)</f>
        <v>44468.666666666599</v>
      </c>
      <c r="B1699" s="1">
        <f ca="1">IFERROR(__xludf.DUMMYFUNCTION("""COMPUTED_VALUE"""),20.94)</f>
        <v>20.94</v>
      </c>
      <c r="C1699" s="1">
        <f ca="1">IFERROR(__xludf.DUMMYFUNCTION("""COMPUTED_VALUE"""),21.02)</f>
        <v>21.02</v>
      </c>
      <c r="D1699" s="1">
        <f ca="1">IFERROR(__xludf.DUMMYFUNCTION("""COMPUTED_VALUE"""),20.47)</f>
        <v>20.47</v>
      </c>
      <c r="E1699" s="1">
        <f ca="1">IFERROR(__xludf.DUMMYFUNCTION("""COMPUTED_VALUE"""),20.52)</f>
        <v>20.52</v>
      </c>
      <c r="F1699" s="1">
        <f ca="1">IFERROR(__xludf.DUMMYFUNCTION("""COMPUTED_VALUE"""),21839363)</f>
        <v>21839363</v>
      </c>
    </row>
    <row r="1700" spans="1:6" x14ac:dyDescent="0.35">
      <c r="A1700" s="2">
        <f ca="1">IFERROR(__xludf.DUMMYFUNCTION("""COMPUTED_VALUE"""),44469.6666666666)</f>
        <v>44469.666666666599</v>
      </c>
      <c r="B1700" s="1">
        <f ca="1">IFERROR(__xludf.DUMMYFUNCTION("""COMPUTED_VALUE"""),20.77)</f>
        <v>20.77</v>
      </c>
      <c r="C1700" s="1">
        <f ca="1">IFERROR(__xludf.DUMMYFUNCTION("""COMPUTED_VALUE"""),21.07)</f>
        <v>21.07</v>
      </c>
      <c r="D1700" s="1">
        <f ca="1">IFERROR(__xludf.DUMMYFUNCTION("""COMPUTED_VALUE"""),20.69)</f>
        <v>20.69</v>
      </c>
      <c r="E1700" s="1">
        <f ca="1">IFERROR(__xludf.DUMMYFUNCTION("""COMPUTED_VALUE"""),20.72)</f>
        <v>20.72</v>
      </c>
      <c r="F1700" s="1">
        <f ca="1">IFERROR(__xludf.DUMMYFUNCTION("""COMPUTED_VALUE"""),22100912)</f>
        <v>22100912</v>
      </c>
    </row>
    <row r="1701" spans="1:6" x14ac:dyDescent="0.35">
      <c r="A1701" s="2">
        <f ca="1">IFERROR(__xludf.DUMMYFUNCTION("""COMPUTED_VALUE"""),44470.6666666666)</f>
        <v>44470.666666666599</v>
      </c>
      <c r="B1701" s="1">
        <f ca="1">IFERROR(__xludf.DUMMYFUNCTION("""COMPUTED_VALUE"""),20.75)</f>
        <v>20.75</v>
      </c>
      <c r="C1701" s="1">
        <f ca="1">IFERROR(__xludf.DUMMYFUNCTION("""COMPUTED_VALUE"""),20.86)</f>
        <v>20.86</v>
      </c>
      <c r="D1701" s="1">
        <f ca="1">IFERROR(__xludf.DUMMYFUNCTION("""COMPUTED_VALUE"""),20.2)</f>
        <v>20.2</v>
      </c>
      <c r="E1701" s="1">
        <f ca="1">IFERROR(__xludf.DUMMYFUNCTION("""COMPUTED_VALUE"""),20.74)</f>
        <v>20.74</v>
      </c>
      <c r="F1701" s="1">
        <f ca="1">IFERROR(__xludf.DUMMYFUNCTION("""COMPUTED_VALUE"""),24097796)</f>
        <v>24097796</v>
      </c>
    </row>
    <row r="1702" spans="1:6" x14ac:dyDescent="0.35">
      <c r="A1702" s="2">
        <f ca="1">IFERROR(__xludf.DUMMYFUNCTION("""COMPUTED_VALUE"""),44473.6666666666)</f>
        <v>44473.666666666599</v>
      </c>
      <c r="B1702" s="1">
        <f ca="1">IFERROR(__xludf.DUMMYFUNCTION("""COMPUTED_VALUE"""),20.5)</f>
        <v>20.5</v>
      </c>
      <c r="C1702" s="1">
        <f ca="1">IFERROR(__xludf.DUMMYFUNCTION("""COMPUTED_VALUE"""),20.54)</f>
        <v>20.54</v>
      </c>
      <c r="D1702" s="1">
        <f ca="1">IFERROR(__xludf.DUMMYFUNCTION("""COMPUTED_VALUE"""),19.56)</f>
        <v>19.559999999999999</v>
      </c>
      <c r="E1702" s="1">
        <f ca="1">IFERROR(__xludf.DUMMYFUNCTION("""COMPUTED_VALUE"""),19.73)</f>
        <v>19.73</v>
      </c>
      <c r="F1702" s="1">
        <f ca="1">IFERROR(__xludf.DUMMYFUNCTION("""COMPUTED_VALUE"""),34563497)</f>
        <v>34563497</v>
      </c>
    </row>
    <row r="1703" spans="1:6" x14ac:dyDescent="0.35">
      <c r="A1703" s="2">
        <f ca="1">IFERROR(__xludf.DUMMYFUNCTION("""COMPUTED_VALUE"""),44474.6666666666)</f>
        <v>44474.666666666599</v>
      </c>
      <c r="B1703" s="1">
        <f ca="1">IFERROR(__xludf.DUMMYFUNCTION("""COMPUTED_VALUE"""),19.95)</f>
        <v>19.95</v>
      </c>
      <c r="C1703" s="1">
        <f ca="1">IFERROR(__xludf.DUMMYFUNCTION("""COMPUTED_VALUE"""),20.65)</f>
        <v>20.65</v>
      </c>
      <c r="D1703" s="1">
        <f ca="1">IFERROR(__xludf.DUMMYFUNCTION("""COMPUTED_VALUE"""),19.85)</f>
        <v>19.850000000000001</v>
      </c>
      <c r="E1703" s="1">
        <f ca="1">IFERROR(__xludf.DUMMYFUNCTION("""COMPUTED_VALUE"""),20.45)</f>
        <v>20.45</v>
      </c>
      <c r="F1703" s="1">
        <f ca="1">IFERROR(__xludf.DUMMYFUNCTION("""COMPUTED_VALUE"""),27928165)</f>
        <v>27928165</v>
      </c>
    </row>
    <row r="1704" spans="1:6" x14ac:dyDescent="0.35">
      <c r="A1704" s="2">
        <f ca="1">IFERROR(__xludf.DUMMYFUNCTION("""COMPUTED_VALUE"""),44475.6666666666)</f>
        <v>44475.666666666599</v>
      </c>
      <c r="B1704" s="1">
        <f ca="1">IFERROR(__xludf.DUMMYFUNCTION("""COMPUTED_VALUE"""),20.12)</f>
        <v>20.12</v>
      </c>
      <c r="C1704" s="1">
        <f ca="1">IFERROR(__xludf.DUMMYFUNCTION("""COMPUTED_VALUE"""),20.72)</f>
        <v>20.72</v>
      </c>
      <c r="D1704" s="1">
        <f ca="1">IFERROR(__xludf.DUMMYFUNCTION("""COMPUTED_VALUE"""),20.08)</f>
        <v>20.079999999999998</v>
      </c>
      <c r="E1704" s="1">
        <f ca="1">IFERROR(__xludf.DUMMYFUNCTION("""COMPUTED_VALUE"""),20.7)</f>
        <v>20.7</v>
      </c>
      <c r="F1704" s="1">
        <f ca="1">IFERROR(__xludf.DUMMYFUNCTION("""COMPUTED_VALUE"""),29720175)</f>
        <v>29720175</v>
      </c>
    </row>
    <row r="1705" spans="1:6" x14ac:dyDescent="0.35">
      <c r="A1705" s="2">
        <f ca="1">IFERROR(__xludf.DUMMYFUNCTION("""COMPUTED_VALUE"""),44476.6666666666)</f>
        <v>44476.666666666599</v>
      </c>
      <c r="B1705" s="1">
        <f ca="1">IFERROR(__xludf.DUMMYFUNCTION("""COMPUTED_VALUE"""),21.09)</f>
        <v>21.09</v>
      </c>
      <c r="C1705" s="1">
        <f ca="1">IFERROR(__xludf.DUMMYFUNCTION("""COMPUTED_VALUE"""),21.32)</f>
        <v>21.32</v>
      </c>
      <c r="D1705" s="1">
        <f ca="1">IFERROR(__xludf.DUMMYFUNCTION("""COMPUTED_VALUE"""),20.97)</f>
        <v>20.97</v>
      </c>
      <c r="E1705" s="1">
        <f ca="1">IFERROR(__xludf.DUMMYFUNCTION("""COMPUTED_VALUE"""),21.08)</f>
        <v>21.08</v>
      </c>
      <c r="F1705" s="1">
        <f ca="1">IFERROR(__xludf.DUMMYFUNCTION("""COMPUTED_VALUE"""),25691893)</f>
        <v>25691893</v>
      </c>
    </row>
    <row r="1706" spans="1:6" x14ac:dyDescent="0.35">
      <c r="A1706" s="2">
        <f ca="1">IFERROR(__xludf.DUMMYFUNCTION("""COMPUTED_VALUE"""),44477.6666666666)</f>
        <v>44477.666666666599</v>
      </c>
      <c r="B1706" s="1">
        <f ca="1">IFERROR(__xludf.DUMMYFUNCTION("""COMPUTED_VALUE"""),21.1)</f>
        <v>21.1</v>
      </c>
      <c r="C1706" s="1">
        <f ca="1">IFERROR(__xludf.DUMMYFUNCTION("""COMPUTED_VALUE"""),21.21)</f>
        <v>21.21</v>
      </c>
      <c r="D1706" s="1">
        <f ca="1">IFERROR(__xludf.DUMMYFUNCTION("""COMPUTED_VALUE"""),20.78)</f>
        <v>20.78</v>
      </c>
      <c r="E1706" s="1">
        <f ca="1">IFERROR(__xludf.DUMMYFUNCTION("""COMPUTED_VALUE"""),20.83)</f>
        <v>20.83</v>
      </c>
      <c r="F1706" s="1">
        <f ca="1">IFERROR(__xludf.DUMMYFUNCTION("""COMPUTED_VALUE"""),15125791)</f>
        <v>15125791</v>
      </c>
    </row>
    <row r="1707" spans="1:6" x14ac:dyDescent="0.35">
      <c r="A1707" s="2">
        <f ca="1">IFERROR(__xludf.DUMMYFUNCTION("""COMPUTED_VALUE"""),44480.6666666666)</f>
        <v>44480.666666666599</v>
      </c>
      <c r="B1707" s="1">
        <f ca="1">IFERROR(__xludf.DUMMYFUNCTION("""COMPUTED_VALUE"""),20.58)</f>
        <v>20.58</v>
      </c>
      <c r="C1707" s="1">
        <f ca="1">IFERROR(__xludf.DUMMYFUNCTION("""COMPUTED_VALUE"""),21.06)</f>
        <v>21.06</v>
      </c>
      <c r="D1707" s="1">
        <f ca="1">IFERROR(__xludf.DUMMYFUNCTION("""COMPUTED_VALUE"""),20.51)</f>
        <v>20.51</v>
      </c>
      <c r="E1707" s="1">
        <f ca="1">IFERROR(__xludf.DUMMYFUNCTION("""COMPUTED_VALUE"""),20.7)</f>
        <v>20.7</v>
      </c>
      <c r="F1707" s="1">
        <f ca="1">IFERROR(__xludf.DUMMYFUNCTION("""COMPUTED_VALUE"""),16338754)</f>
        <v>16338754</v>
      </c>
    </row>
    <row r="1708" spans="1:6" x14ac:dyDescent="0.35">
      <c r="A1708" s="2">
        <f ca="1">IFERROR(__xludf.DUMMYFUNCTION("""COMPUTED_VALUE"""),44481.6666666666)</f>
        <v>44481.666666666599</v>
      </c>
      <c r="B1708" s="1">
        <f ca="1">IFERROR(__xludf.DUMMYFUNCTION("""COMPUTED_VALUE"""),20.83)</f>
        <v>20.83</v>
      </c>
      <c r="C1708" s="1">
        <f ca="1">IFERROR(__xludf.DUMMYFUNCTION("""COMPUTED_VALUE"""),21.06)</f>
        <v>21.06</v>
      </c>
      <c r="D1708" s="1">
        <f ca="1">IFERROR(__xludf.DUMMYFUNCTION("""COMPUTED_VALUE"""),20.53)</f>
        <v>20.53</v>
      </c>
      <c r="E1708" s="1">
        <f ca="1">IFERROR(__xludf.DUMMYFUNCTION("""COMPUTED_VALUE"""),20.67)</f>
        <v>20.67</v>
      </c>
      <c r="F1708" s="1">
        <f ca="1">IFERROR(__xludf.DUMMYFUNCTION("""COMPUTED_VALUE"""),16213354)</f>
        <v>16213354</v>
      </c>
    </row>
    <row r="1709" spans="1:6" x14ac:dyDescent="0.35">
      <c r="A1709" s="2">
        <f ca="1">IFERROR(__xludf.DUMMYFUNCTION("""COMPUTED_VALUE"""),44482.6666666666)</f>
        <v>44482.666666666599</v>
      </c>
      <c r="B1709" s="1">
        <f ca="1">IFERROR(__xludf.DUMMYFUNCTION("""COMPUTED_VALUE"""),20.92)</f>
        <v>20.92</v>
      </c>
      <c r="C1709" s="1">
        <f ca="1">IFERROR(__xludf.DUMMYFUNCTION("""COMPUTED_VALUE"""),20.99)</f>
        <v>20.99</v>
      </c>
      <c r="D1709" s="1">
        <f ca="1">IFERROR(__xludf.DUMMYFUNCTION("""COMPUTED_VALUE"""),20.71)</f>
        <v>20.71</v>
      </c>
      <c r="E1709" s="1">
        <f ca="1">IFERROR(__xludf.DUMMYFUNCTION("""COMPUTED_VALUE"""),20.94)</f>
        <v>20.94</v>
      </c>
      <c r="F1709" s="1">
        <f ca="1">IFERROR(__xludf.DUMMYFUNCTION("""COMPUTED_VALUE"""),18065188)</f>
        <v>18065188</v>
      </c>
    </row>
    <row r="1710" spans="1:6" x14ac:dyDescent="0.35">
      <c r="A1710" s="2">
        <f ca="1">IFERROR(__xludf.DUMMYFUNCTION("""COMPUTED_VALUE"""),44483.6666666666)</f>
        <v>44483.666666666599</v>
      </c>
      <c r="B1710" s="1">
        <f ca="1">IFERROR(__xludf.DUMMYFUNCTION("""COMPUTED_VALUE"""),21.29)</f>
        <v>21.29</v>
      </c>
      <c r="C1710" s="1">
        <f ca="1">IFERROR(__xludf.DUMMYFUNCTION("""COMPUTED_VALUE"""),21.76)</f>
        <v>21.76</v>
      </c>
      <c r="D1710" s="1">
        <f ca="1">IFERROR(__xludf.DUMMYFUNCTION("""COMPUTED_VALUE"""),21.12)</f>
        <v>21.12</v>
      </c>
      <c r="E1710" s="1">
        <f ca="1">IFERROR(__xludf.DUMMYFUNCTION("""COMPUTED_VALUE"""),21.75)</f>
        <v>21.75</v>
      </c>
      <c r="F1710" s="1">
        <f ca="1">IFERROR(__xludf.DUMMYFUNCTION("""COMPUTED_VALUE"""),24358881)</f>
        <v>24358881</v>
      </c>
    </row>
    <row r="1711" spans="1:6" x14ac:dyDescent="0.35">
      <c r="A1711" s="2">
        <f ca="1">IFERROR(__xludf.DUMMYFUNCTION("""COMPUTED_VALUE"""),44484.6666666666)</f>
        <v>44484.666666666599</v>
      </c>
      <c r="B1711" s="1">
        <f ca="1">IFERROR(__xludf.DUMMYFUNCTION("""COMPUTED_VALUE"""),21.81)</f>
        <v>21.81</v>
      </c>
      <c r="C1711" s="1">
        <f ca="1">IFERROR(__xludf.DUMMYFUNCTION("""COMPUTED_VALUE"""),21.93)</f>
        <v>21.93</v>
      </c>
      <c r="D1711" s="1">
        <f ca="1">IFERROR(__xludf.DUMMYFUNCTION("""COMPUTED_VALUE"""),21.66)</f>
        <v>21.66</v>
      </c>
      <c r="E1711" s="1">
        <f ca="1">IFERROR(__xludf.DUMMYFUNCTION("""COMPUTED_VALUE"""),21.86)</f>
        <v>21.86</v>
      </c>
      <c r="F1711" s="1">
        <f ca="1">IFERROR(__xludf.DUMMYFUNCTION("""COMPUTED_VALUE"""),22699401)</f>
        <v>22699401</v>
      </c>
    </row>
    <row r="1712" spans="1:6" x14ac:dyDescent="0.35">
      <c r="A1712" s="2">
        <f ca="1">IFERROR(__xludf.DUMMYFUNCTION("""COMPUTED_VALUE"""),44487.6666666666)</f>
        <v>44487.666666666599</v>
      </c>
      <c r="B1712" s="1">
        <f ca="1">IFERROR(__xludf.DUMMYFUNCTION("""COMPUTED_VALUE"""),21.75)</f>
        <v>21.75</v>
      </c>
      <c r="C1712" s="1">
        <f ca="1">IFERROR(__xludf.DUMMYFUNCTION("""COMPUTED_VALUE"""),22.29)</f>
        <v>22.29</v>
      </c>
      <c r="D1712" s="1">
        <f ca="1">IFERROR(__xludf.DUMMYFUNCTION("""COMPUTED_VALUE"""),21.64)</f>
        <v>21.64</v>
      </c>
      <c r="E1712" s="1">
        <f ca="1">IFERROR(__xludf.DUMMYFUNCTION("""COMPUTED_VALUE"""),22.22)</f>
        <v>22.22</v>
      </c>
      <c r="F1712" s="1">
        <f ca="1">IFERROR(__xludf.DUMMYFUNCTION("""COMPUTED_VALUE"""),18949356)</f>
        <v>18949356</v>
      </c>
    </row>
    <row r="1713" spans="1:6" x14ac:dyDescent="0.35">
      <c r="A1713" s="2">
        <f ca="1">IFERROR(__xludf.DUMMYFUNCTION("""COMPUTED_VALUE"""),44488.6666666666)</f>
        <v>44488.666666666599</v>
      </c>
      <c r="B1713" s="1">
        <f ca="1">IFERROR(__xludf.DUMMYFUNCTION("""COMPUTED_VALUE"""),22.28)</f>
        <v>22.28</v>
      </c>
      <c r="C1713" s="1">
        <f ca="1">IFERROR(__xludf.DUMMYFUNCTION("""COMPUTED_VALUE"""),22.38)</f>
        <v>22.38</v>
      </c>
      <c r="D1713" s="1">
        <f ca="1">IFERROR(__xludf.DUMMYFUNCTION("""COMPUTED_VALUE"""),22.04)</f>
        <v>22.04</v>
      </c>
      <c r="E1713" s="1">
        <f ca="1">IFERROR(__xludf.DUMMYFUNCTION("""COMPUTED_VALUE"""),22.29)</f>
        <v>22.29</v>
      </c>
      <c r="F1713" s="1">
        <f ca="1">IFERROR(__xludf.DUMMYFUNCTION("""COMPUTED_VALUE"""),16147329)</f>
        <v>16147329</v>
      </c>
    </row>
    <row r="1714" spans="1:6" x14ac:dyDescent="0.35">
      <c r="A1714" s="2">
        <f ca="1">IFERROR(__xludf.DUMMYFUNCTION("""COMPUTED_VALUE"""),44489.6666666666)</f>
        <v>44489.666666666599</v>
      </c>
      <c r="B1714" s="1">
        <f ca="1">IFERROR(__xludf.DUMMYFUNCTION("""COMPUTED_VALUE"""),22.3)</f>
        <v>22.3</v>
      </c>
      <c r="C1714" s="1">
        <f ca="1">IFERROR(__xludf.DUMMYFUNCTION("""COMPUTED_VALUE"""),22.43)</f>
        <v>22.43</v>
      </c>
      <c r="D1714" s="1">
        <f ca="1">IFERROR(__xludf.DUMMYFUNCTION("""COMPUTED_VALUE"""),21.98)</f>
        <v>21.98</v>
      </c>
      <c r="E1714" s="1">
        <f ca="1">IFERROR(__xludf.DUMMYFUNCTION("""COMPUTED_VALUE"""),22.1)</f>
        <v>22.1</v>
      </c>
      <c r="F1714" s="1">
        <f ca="1">IFERROR(__xludf.DUMMYFUNCTION("""COMPUTED_VALUE"""),14627594)</f>
        <v>14627594</v>
      </c>
    </row>
    <row r="1715" spans="1:6" x14ac:dyDescent="0.35">
      <c r="A1715" s="2">
        <f ca="1">IFERROR(__xludf.DUMMYFUNCTION("""COMPUTED_VALUE"""),44490.6666666666)</f>
        <v>44490.666666666599</v>
      </c>
      <c r="B1715" s="1">
        <f ca="1">IFERROR(__xludf.DUMMYFUNCTION("""COMPUTED_VALUE"""),22.1)</f>
        <v>22.1</v>
      </c>
      <c r="C1715" s="1">
        <f ca="1">IFERROR(__xludf.DUMMYFUNCTION("""COMPUTED_VALUE"""),22.71)</f>
        <v>22.71</v>
      </c>
      <c r="D1715" s="1">
        <f ca="1">IFERROR(__xludf.DUMMYFUNCTION("""COMPUTED_VALUE"""),22.08)</f>
        <v>22.08</v>
      </c>
      <c r="E1715" s="1">
        <f ca="1">IFERROR(__xludf.DUMMYFUNCTION("""COMPUTED_VALUE"""),22.69)</f>
        <v>22.69</v>
      </c>
      <c r="F1715" s="1">
        <f ca="1">IFERROR(__xludf.DUMMYFUNCTION("""COMPUTED_VALUE"""),18759032)</f>
        <v>18759032</v>
      </c>
    </row>
    <row r="1716" spans="1:6" x14ac:dyDescent="0.35">
      <c r="A1716" s="2">
        <f ca="1">IFERROR(__xludf.DUMMYFUNCTION("""COMPUTED_VALUE"""),44491.6666666666)</f>
        <v>44491.666666666599</v>
      </c>
      <c r="B1716" s="1">
        <f ca="1">IFERROR(__xludf.DUMMYFUNCTION("""COMPUTED_VALUE"""),22.82)</f>
        <v>22.82</v>
      </c>
      <c r="C1716" s="1">
        <f ca="1">IFERROR(__xludf.DUMMYFUNCTION("""COMPUTED_VALUE"""),23.13)</f>
        <v>23.13</v>
      </c>
      <c r="D1716" s="1">
        <f ca="1">IFERROR(__xludf.DUMMYFUNCTION("""COMPUTED_VALUE"""),22.56)</f>
        <v>22.56</v>
      </c>
      <c r="E1716" s="1">
        <f ca="1">IFERROR(__xludf.DUMMYFUNCTION("""COMPUTED_VALUE"""),22.73)</f>
        <v>22.73</v>
      </c>
      <c r="F1716" s="1">
        <f ca="1">IFERROR(__xludf.DUMMYFUNCTION("""COMPUTED_VALUE"""),24938379)</f>
        <v>24938379</v>
      </c>
    </row>
    <row r="1717" spans="1:6" x14ac:dyDescent="0.35">
      <c r="A1717" s="2">
        <f ca="1">IFERROR(__xludf.DUMMYFUNCTION("""COMPUTED_VALUE"""),44494.6666666666)</f>
        <v>44494.666666666599</v>
      </c>
      <c r="B1717" s="1">
        <f ca="1">IFERROR(__xludf.DUMMYFUNCTION("""COMPUTED_VALUE"""),22.97)</f>
        <v>22.97</v>
      </c>
      <c r="C1717" s="1">
        <f ca="1">IFERROR(__xludf.DUMMYFUNCTION("""COMPUTED_VALUE"""),23.35)</f>
        <v>23.35</v>
      </c>
      <c r="D1717" s="1">
        <f ca="1">IFERROR(__xludf.DUMMYFUNCTION("""COMPUTED_VALUE"""),22.77)</f>
        <v>22.77</v>
      </c>
      <c r="E1717" s="1">
        <f ca="1">IFERROR(__xludf.DUMMYFUNCTION("""COMPUTED_VALUE"""),23.17)</f>
        <v>23.17</v>
      </c>
      <c r="F1717" s="1">
        <f ca="1">IFERROR(__xludf.DUMMYFUNCTION("""COMPUTED_VALUE"""),23023483)</f>
        <v>23023483</v>
      </c>
    </row>
    <row r="1718" spans="1:6" x14ac:dyDescent="0.35">
      <c r="A1718" s="2">
        <f ca="1">IFERROR(__xludf.DUMMYFUNCTION("""COMPUTED_VALUE"""),44495.6666666666)</f>
        <v>44495.666666666599</v>
      </c>
      <c r="B1718" s="1">
        <f ca="1">IFERROR(__xludf.DUMMYFUNCTION("""COMPUTED_VALUE"""),23.99)</f>
        <v>23.99</v>
      </c>
      <c r="C1718" s="1">
        <f ca="1">IFERROR(__xludf.DUMMYFUNCTION("""COMPUTED_VALUE"""),25.26)</f>
        <v>25.26</v>
      </c>
      <c r="D1718" s="1">
        <f ca="1">IFERROR(__xludf.DUMMYFUNCTION("""COMPUTED_VALUE"""),23.92)</f>
        <v>23.92</v>
      </c>
      <c r="E1718" s="1">
        <f ca="1">IFERROR(__xludf.DUMMYFUNCTION("""COMPUTED_VALUE"""),24.72)</f>
        <v>24.72</v>
      </c>
      <c r="F1718" s="1">
        <f ca="1">IFERROR(__xludf.DUMMYFUNCTION("""COMPUTED_VALUE"""),48589830)</f>
        <v>48589830</v>
      </c>
    </row>
    <row r="1719" spans="1:6" x14ac:dyDescent="0.35">
      <c r="A1719" s="2">
        <f ca="1">IFERROR(__xludf.DUMMYFUNCTION("""COMPUTED_VALUE"""),44496.6666666666)</f>
        <v>44496.666666666599</v>
      </c>
      <c r="B1719" s="1">
        <f ca="1">IFERROR(__xludf.DUMMYFUNCTION("""COMPUTED_VALUE"""),24.47)</f>
        <v>24.47</v>
      </c>
      <c r="C1719" s="1">
        <f ca="1">IFERROR(__xludf.DUMMYFUNCTION("""COMPUTED_VALUE"""),25.09)</f>
        <v>25.09</v>
      </c>
      <c r="D1719" s="1">
        <f ca="1">IFERROR(__xludf.DUMMYFUNCTION("""COMPUTED_VALUE"""),24.28)</f>
        <v>24.28</v>
      </c>
      <c r="E1719" s="1">
        <f ca="1">IFERROR(__xludf.DUMMYFUNCTION("""COMPUTED_VALUE"""),24.45)</f>
        <v>24.45</v>
      </c>
      <c r="F1719" s="1">
        <f ca="1">IFERROR(__xludf.DUMMYFUNCTION("""COMPUTED_VALUE"""),24598989)</f>
        <v>24598989</v>
      </c>
    </row>
    <row r="1720" spans="1:6" x14ac:dyDescent="0.35">
      <c r="A1720" s="2">
        <f ca="1">IFERROR(__xludf.DUMMYFUNCTION("""COMPUTED_VALUE"""),44497.6666666666)</f>
        <v>44497.666666666599</v>
      </c>
      <c r="B1720" s="1">
        <f ca="1">IFERROR(__xludf.DUMMYFUNCTION("""COMPUTED_VALUE"""),24.88)</f>
        <v>24.88</v>
      </c>
      <c r="C1720" s="1">
        <f ca="1">IFERROR(__xludf.DUMMYFUNCTION("""COMPUTED_VALUE"""),24.95)</f>
        <v>24.95</v>
      </c>
      <c r="D1720" s="1">
        <f ca="1">IFERROR(__xludf.DUMMYFUNCTION("""COMPUTED_VALUE"""),24.52)</f>
        <v>24.52</v>
      </c>
      <c r="E1720" s="1">
        <f ca="1">IFERROR(__xludf.DUMMYFUNCTION("""COMPUTED_VALUE"""),24.94)</f>
        <v>24.94</v>
      </c>
      <c r="F1720" s="1">
        <f ca="1">IFERROR(__xludf.DUMMYFUNCTION("""COMPUTED_VALUE"""),23420431)</f>
        <v>23420431</v>
      </c>
    </row>
    <row r="1721" spans="1:6" x14ac:dyDescent="0.35">
      <c r="A1721" s="2">
        <f ca="1">IFERROR(__xludf.DUMMYFUNCTION("""COMPUTED_VALUE"""),44498.6666666666)</f>
        <v>44498.666666666599</v>
      </c>
      <c r="B1721" s="1">
        <f ca="1">IFERROR(__xludf.DUMMYFUNCTION("""COMPUTED_VALUE"""),25)</f>
        <v>25</v>
      </c>
      <c r="C1721" s="1">
        <f ca="1">IFERROR(__xludf.DUMMYFUNCTION("""COMPUTED_VALUE"""),25.71)</f>
        <v>25.71</v>
      </c>
      <c r="D1721" s="1">
        <f ca="1">IFERROR(__xludf.DUMMYFUNCTION("""COMPUTED_VALUE"""),25)</f>
        <v>25</v>
      </c>
      <c r="E1721" s="1">
        <f ca="1">IFERROR(__xludf.DUMMYFUNCTION("""COMPUTED_VALUE"""),25.57)</f>
        <v>25.57</v>
      </c>
      <c r="F1721" s="1">
        <f ca="1">IFERROR(__xludf.DUMMYFUNCTION("""COMPUTED_VALUE"""),29250284)</f>
        <v>29250284</v>
      </c>
    </row>
    <row r="1722" spans="1:6" x14ac:dyDescent="0.35">
      <c r="A1722" s="2">
        <f ca="1">IFERROR(__xludf.DUMMYFUNCTION("""COMPUTED_VALUE"""),44501.6666666666)</f>
        <v>44501.666666666599</v>
      </c>
      <c r="B1722" s="1">
        <f ca="1">IFERROR(__xludf.DUMMYFUNCTION("""COMPUTED_VALUE"""),25.65)</f>
        <v>25.65</v>
      </c>
      <c r="C1722" s="1">
        <f ca="1">IFERROR(__xludf.DUMMYFUNCTION("""COMPUTED_VALUE"""),25.89)</f>
        <v>25.89</v>
      </c>
      <c r="D1722" s="1">
        <f ca="1">IFERROR(__xludf.DUMMYFUNCTION("""COMPUTED_VALUE"""),25.23)</f>
        <v>25.23</v>
      </c>
      <c r="E1722" s="1">
        <f ca="1">IFERROR(__xludf.DUMMYFUNCTION("""COMPUTED_VALUE"""),25.83)</f>
        <v>25.83</v>
      </c>
      <c r="F1722" s="1">
        <f ca="1">IFERROR(__xludf.DUMMYFUNCTION("""COMPUTED_VALUE"""),26573976)</f>
        <v>26573976</v>
      </c>
    </row>
    <row r="1723" spans="1:6" x14ac:dyDescent="0.35">
      <c r="A1723" s="2">
        <f ca="1">IFERROR(__xludf.DUMMYFUNCTION("""COMPUTED_VALUE"""),44502.6666666666)</f>
        <v>44502.666666666599</v>
      </c>
      <c r="B1723" s="1">
        <f ca="1">IFERROR(__xludf.DUMMYFUNCTION("""COMPUTED_VALUE"""),25.82)</f>
        <v>25.82</v>
      </c>
      <c r="C1723" s="1">
        <f ca="1">IFERROR(__xludf.DUMMYFUNCTION("""COMPUTED_VALUE"""),26.68)</f>
        <v>26.68</v>
      </c>
      <c r="D1723" s="1">
        <f ca="1">IFERROR(__xludf.DUMMYFUNCTION("""COMPUTED_VALUE"""),25.8)</f>
        <v>25.8</v>
      </c>
      <c r="E1723" s="1">
        <f ca="1">IFERROR(__xludf.DUMMYFUNCTION("""COMPUTED_VALUE"""),26.4)</f>
        <v>26.4</v>
      </c>
      <c r="F1723" s="1">
        <f ca="1">IFERROR(__xludf.DUMMYFUNCTION("""COMPUTED_VALUE"""),29411239)</f>
        <v>29411239</v>
      </c>
    </row>
    <row r="1724" spans="1:6" x14ac:dyDescent="0.35">
      <c r="A1724" s="2">
        <f ca="1">IFERROR(__xludf.DUMMYFUNCTION("""COMPUTED_VALUE"""),44503.6666666666)</f>
        <v>44503.666666666599</v>
      </c>
      <c r="B1724" s="1">
        <f ca="1">IFERROR(__xludf.DUMMYFUNCTION("""COMPUTED_VALUE"""),26.67)</f>
        <v>26.67</v>
      </c>
      <c r="C1724" s="1">
        <f ca="1">IFERROR(__xludf.DUMMYFUNCTION("""COMPUTED_VALUE"""),26.78)</f>
        <v>26.78</v>
      </c>
      <c r="D1724" s="1">
        <f ca="1">IFERROR(__xludf.DUMMYFUNCTION("""COMPUTED_VALUE"""),26.24)</f>
        <v>26.24</v>
      </c>
      <c r="E1724" s="1">
        <f ca="1">IFERROR(__xludf.DUMMYFUNCTION("""COMPUTED_VALUE"""),26.6)</f>
        <v>26.6</v>
      </c>
      <c r="F1724" s="1">
        <f ca="1">IFERROR(__xludf.DUMMYFUNCTION("""COMPUTED_VALUE"""),23991033)</f>
        <v>23991033</v>
      </c>
    </row>
    <row r="1725" spans="1:6" x14ac:dyDescent="0.35">
      <c r="A1725" s="2">
        <f ca="1">IFERROR(__xludf.DUMMYFUNCTION("""COMPUTED_VALUE"""),44504.6666666666)</f>
        <v>44504.666666666599</v>
      </c>
      <c r="B1725" s="1">
        <f ca="1">IFERROR(__xludf.DUMMYFUNCTION("""COMPUTED_VALUE"""),27.23)</f>
        <v>27.23</v>
      </c>
      <c r="C1725" s="1">
        <f ca="1">IFERROR(__xludf.DUMMYFUNCTION("""COMPUTED_VALUE"""),31.37)</f>
        <v>31.37</v>
      </c>
      <c r="D1725" s="1">
        <f ca="1">IFERROR(__xludf.DUMMYFUNCTION("""COMPUTED_VALUE"""),27.12)</f>
        <v>27.12</v>
      </c>
      <c r="E1725" s="1">
        <f ca="1">IFERROR(__xludf.DUMMYFUNCTION("""COMPUTED_VALUE"""),29.8)</f>
        <v>29.8</v>
      </c>
      <c r="F1725" s="1">
        <f ca="1">IFERROR(__xludf.DUMMYFUNCTION("""COMPUTED_VALUE"""),115363115)</f>
        <v>115363115</v>
      </c>
    </row>
    <row r="1726" spans="1:6" x14ac:dyDescent="0.35">
      <c r="A1726" s="2">
        <f ca="1">IFERROR(__xludf.DUMMYFUNCTION("""COMPUTED_VALUE"""),44505.6666666666)</f>
        <v>44505.666666666599</v>
      </c>
      <c r="B1726" s="1">
        <f ca="1">IFERROR(__xludf.DUMMYFUNCTION("""COMPUTED_VALUE"""),30.19)</f>
        <v>30.19</v>
      </c>
      <c r="C1726" s="1">
        <f ca="1">IFERROR(__xludf.DUMMYFUNCTION("""COMPUTED_VALUE"""),31.4)</f>
        <v>31.4</v>
      </c>
      <c r="D1726" s="1">
        <f ca="1">IFERROR(__xludf.DUMMYFUNCTION("""COMPUTED_VALUE"""),29.41)</f>
        <v>29.41</v>
      </c>
      <c r="E1726" s="1">
        <f ca="1">IFERROR(__xludf.DUMMYFUNCTION("""COMPUTED_VALUE"""),29.75)</f>
        <v>29.75</v>
      </c>
      <c r="F1726" s="1">
        <f ca="1">IFERROR(__xludf.DUMMYFUNCTION("""COMPUTED_VALUE"""),85126015)</f>
        <v>85126015</v>
      </c>
    </row>
    <row r="1727" spans="1:6" x14ac:dyDescent="0.35">
      <c r="A1727" s="2">
        <f ca="1">IFERROR(__xludf.DUMMYFUNCTION("""COMPUTED_VALUE"""),44508.6666666666)</f>
        <v>44508.666666666599</v>
      </c>
      <c r="B1727" s="1">
        <f ca="1">IFERROR(__xludf.DUMMYFUNCTION("""COMPUTED_VALUE"""),30.15)</f>
        <v>30.15</v>
      </c>
      <c r="C1727" s="1">
        <f ca="1">IFERROR(__xludf.DUMMYFUNCTION("""COMPUTED_VALUE"""),31.1)</f>
        <v>31.1</v>
      </c>
      <c r="D1727" s="1">
        <f ca="1">IFERROR(__xludf.DUMMYFUNCTION("""COMPUTED_VALUE"""),29.91)</f>
        <v>29.91</v>
      </c>
      <c r="E1727" s="1">
        <f ca="1">IFERROR(__xludf.DUMMYFUNCTION("""COMPUTED_VALUE"""),30.8)</f>
        <v>30.8</v>
      </c>
      <c r="F1727" s="1">
        <f ca="1">IFERROR(__xludf.DUMMYFUNCTION("""COMPUTED_VALUE"""),50310093)</f>
        <v>50310093</v>
      </c>
    </row>
    <row r="1728" spans="1:6" x14ac:dyDescent="0.35">
      <c r="A1728" s="2">
        <f ca="1">IFERROR(__xludf.DUMMYFUNCTION("""COMPUTED_VALUE"""),44509.6666666666)</f>
        <v>44509.666666666599</v>
      </c>
      <c r="B1728" s="1">
        <f ca="1">IFERROR(__xludf.DUMMYFUNCTION("""COMPUTED_VALUE"""),32.28)</f>
        <v>32.28</v>
      </c>
      <c r="C1728" s="1">
        <f ca="1">IFERROR(__xludf.DUMMYFUNCTION("""COMPUTED_VALUE"""),32.31)</f>
        <v>32.31</v>
      </c>
      <c r="D1728" s="1">
        <f ca="1">IFERROR(__xludf.DUMMYFUNCTION("""COMPUTED_VALUE"""),29.96)</f>
        <v>29.96</v>
      </c>
      <c r="E1728" s="1">
        <f ca="1">IFERROR(__xludf.DUMMYFUNCTION("""COMPUTED_VALUE"""),30.66)</f>
        <v>30.66</v>
      </c>
      <c r="F1728" s="1">
        <f ca="1">IFERROR(__xludf.DUMMYFUNCTION("""COMPUTED_VALUE"""),64674621)</f>
        <v>64674621</v>
      </c>
    </row>
    <row r="1729" spans="1:6" x14ac:dyDescent="0.35">
      <c r="A1729" s="2">
        <f ca="1">IFERROR(__xludf.DUMMYFUNCTION("""COMPUTED_VALUE"""),44510.6666666666)</f>
        <v>44510.666666666599</v>
      </c>
      <c r="B1729" s="1">
        <f ca="1">IFERROR(__xludf.DUMMYFUNCTION("""COMPUTED_VALUE"""),29.36)</f>
        <v>29.36</v>
      </c>
      <c r="C1729" s="1">
        <f ca="1">IFERROR(__xludf.DUMMYFUNCTION("""COMPUTED_VALUE"""),30.85)</f>
        <v>30.85</v>
      </c>
      <c r="D1729" s="1">
        <f ca="1">IFERROR(__xludf.DUMMYFUNCTION("""COMPUTED_VALUE"""),28.78)</f>
        <v>28.78</v>
      </c>
      <c r="E1729" s="1">
        <f ca="1">IFERROR(__xludf.DUMMYFUNCTION("""COMPUTED_VALUE"""),29.46)</f>
        <v>29.46</v>
      </c>
      <c r="F1729" s="1">
        <f ca="1">IFERROR(__xludf.DUMMYFUNCTION("""COMPUTED_VALUE"""),63620572)</f>
        <v>63620572</v>
      </c>
    </row>
    <row r="1730" spans="1:6" x14ac:dyDescent="0.35">
      <c r="A1730" s="2">
        <f ca="1">IFERROR(__xludf.DUMMYFUNCTION("""COMPUTED_VALUE"""),44511.6666666666)</f>
        <v>44511.666666666599</v>
      </c>
      <c r="B1730" s="1">
        <f ca="1">IFERROR(__xludf.DUMMYFUNCTION("""COMPUTED_VALUE"""),30.47)</f>
        <v>30.47</v>
      </c>
      <c r="C1730" s="1">
        <f ca="1">IFERROR(__xludf.DUMMYFUNCTION("""COMPUTED_VALUE"""),30.59)</f>
        <v>30.59</v>
      </c>
      <c r="D1730" s="1">
        <f ca="1">IFERROR(__xludf.DUMMYFUNCTION("""COMPUTED_VALUE"""),29.78)</f>
        <v>29.78</v>
      </c>
      <c r="E1730" s="1">
        <f ca="1">IFERROR(__xludf.DUMMYFUNCTION("""COMPUTED_VALUE"""),30.39)</f>
        <v>30.39</v>
      </c>
      <c r="F1730" s="1">
        <f ca="1">IFERROR(__xludf.DUMMYFUNCTION("""COMPUTED_VALUE"""),33217211)</f>
        <v>33217211</v>
      </c>
    </row>
    <row r="1731" spans="1:6" x14ac:dyDescent="0.35">
      <c r="A1731" s="2">
        <f ca="1">IFERROR(__xludf.DUMMYFUNCTION("""COMPUTED_VALUE"""),44512.6666666666)</f>
        <v>44512.666666666599</v>
      </c>
      <c r="B1731" s="1">
        <f ca="1">IFERROR(__xludf.DUMMYFUNCTION("""COMPUTED_VALUE"""),30.01)</f>
        <v>30.01</v>
      </c>
      <c r="C1731" s="1">
        <f ca="1">IFERROR(__xludf.DUMMYFUNCTION("""COMPUTED_VALUE"""),30.68)</f>
        <v>30.68</v>
      </c>
      <c r="D1731" s="1">
        <f ca="1">IFERROR(__xludf.DUMMYFUNCTION("""COMPUTED_VALUE"""),29.63)</f>
        <v>29.63</v>
      </c>
      <c r="E1731" s="1">
        <f ca="1">IFERROR(__xludf.DUMMYFUNCTION("""COMPUTED_VALUE"""),30.39)</f>
        <v>30.39</v>
      </c>
      <c r="F1731" s="1">
        <f ca="1">IFERROR(__xludf.DUMMYFUNCTION("""COMPUTED_VALUE"""),41305428)</f>
        <v>41305428</v>
      </c>
    </row>
    <row r="1732" spans="1:6" x14ac:dyDescent="0.35">
      <c r="A1732" s="2">
        <f ca="1">IFERROR(__xludf.DUMMYFUNCTION("""COMPUTED_VALUE"""),44515.6666666666)</f>
        <v>44515.666666666599</v>
      </c>
      <c r="B1732" s="1">
        <f ca="1">IFERROR(__xludf.DUMMYFUNCTION("""COMPUTED_VALUE"""),30.55)</f>
        <v>30.55</v>
      </c>
      <c r="C1732" s="1">
        <f ca="1">IFERROR(__xludf.DUMMYFUNCTION("""COMPUTED_VALUE"""),30.64)</f>
        <v>30.64</v>
      </c>
      <c r="D1732" s="1">
        <f ca="1">IFERROR(__xludf.DUMMYFUNCTION("""COMPUTED_VALUE"""),29.25)</f>
        <v>29.25</v>
      </c>
      <c r="E1732" s="1">
        <f ca="1">IFERROR(__xludf.DUMMYFUNCTION("""COMPUTED_VALUE"""),30.03)</f>
        <v>30.03</v>
      </c>
      <c r="F1732" s="1">
        <f ca="1">IFERROR(__xludf.DUMMYFUNCTION("""COMPUTED_VALUE"""),38490900)</f>
        <v>38490900</v>
      </c>
    </row>
    <row r="1733" spans="1:6" x14ac:dyDescent="0.35">
      <c r="A1733" s="2">
        <f ca="1">IFERROR(__xludf.DUMMYFUNCTION("""COMPUTED_VALUE"""),44516.6666666666)</f>
        <v>44516.666666666599</v>
      </c>
      <c r="B1733" s="1">
        <f ca="1">IFERROR(__xludf.DUMMYFUNCTION("""COMPUTED_VALUE"""),29.76)</f>
        <v>29.76</v>
      </c>
      <c r="C1733" s="1">
        <f ca="1">IFERROR(__xludf.DUMMYFUNCTION("""COMPUTED_VALUE"""),30.39)</f>
        <v>30.39</v>
      </c>
      <c r="D1733" s="1">
        <f ca="1">IFERROR(__xludf.DUMMYFUNCTION("""COMPUTED_VALUE"""),29.71)</f>
        <v>29.71</v>
      </c>
      <c r="E1733" s="1">
        <f ca="1">IFERROR(__xludf.DUMMYFUNCTION("""COMPUTED_VALUE"""),30.2)</f>
        <v>30.2</v>
      </c>
      <c r="F1733" s="1">
        <f ca="1">IFERROR(__xludf.DUMMYFUNCTION("""COMPUTED_VALUE"""),26448367)</f>
        <v>26448367</v>
      </c>
    </row>
    <row r="1734" spans="1:6" x14ac:dyDescent="0.35">
      <c r="A1734" s="2">
        <f ca="1">IFERROR(__xludf.DUMMYFUNCTION("""COMPUTED_VALUE"""),44517.6666666666)</f>
        <v>44517.666666666599</v>
      </c>
      <c r="B1734" s="1">
        <f ca="1">IFERROR(__xludf.DUMMYFUNCTION("""COMPUTED_VALUE"""),30.42)</f>
        <v>30.42</v>
      </c>
      <c r="C1734" s="1">
        <f ca="1">IFERROR(__xludf.DUMMYFUNCTION("""COMPUTED_VALUE"""),30.51)</f>
        <v>30.51</v>
      </c>
      <c r="D1734" s="1">
        <f ca="1">IFERROR(__xludf.DUMMYFUNCTION("""COMPUTED_VALUE"""),28.8)</f>
        <v>28.8</v>
      </c>
      <c r="E1734" s="1">
        <f ca="1">IFERROR(__xludf.DUMMYFUNCTION("""COMPUTED_VALUE"""),29.26)</f>
        <v>29.26</v>
      </c>
      <c r="F1734" s="1">
        <f ca="1">IFERROR(__xludf.DUMMYFUNCTION("""COMPUTED_VALUE"""),42850799)</f>
        <v>42850799</v>
      </c>
    </row>
    <row r="1735" spans="1:6" x14ac:dyDescent="0.35">
      <c r="A1735" s="2">
        <f ca="1">IFERROR(__xludf.DUMMYFUNCTION("""COMPUTED_VALUE"""),44518.6666666666)</f>
        <v>44518.666666666599</v>
      </c>
      <c r="B1735" s="1">
        <f ca="1">IFERROR(__xludf.DUMMYFUNCTION("""COMPUTED_VALUE"""),32.37)</f>
        <v>32.369999999999997</v>
      </c>
      <c r="C1735" s="1">
        <f ca="1">IFERROR(__xludf.DUMMYFUNCTION("""COMPUTED_VALUE"""),32.76)</f>
        <v>32.76</v>
      </c>
      <c r="D1735" s="1">
        <f ca="1">IFERROR(__xludf.DUMMYFUNCTION("""COMPUTED_VALUE"""),31.32)</f>
        <v>31.32</v>
      </c>
      <c r="E1735" s="1">
        <f ca="1">IFERROR(__xludf.DUMMYFUNCTION("""COMPUTED_VALUE"""),31.68)</f>
        <v>31.68</v>
      </c>
      <c r="F1735" s="1">
        <f ca="1">IFERROR(__xludf.DUMMYFUNCTION("""COMPUTED_VALUE"""),78171075)</f>
        <v>78171075</v>
      </c>
    </row>
    <row r="1736" spans="1:6" x14ac:dyDescent="0.35">
      <c r="A1736" s="2">
        <f ca="1">IFERROR(__xludf.DUMMYFUNCTION("""COMPUTED_VALUE"""),44519.6666666666)</f>
        <v>44519.666666666599</v>
      </c>
      <c r="B1736" s="1">
        <f ca="1">IFERROR(__xludf.DUMMYFUNCTION("""COMPUTED_VALUE"""),32.24)</f>
        <v>32.24</v>
      </c>
      <c r="C1736" s="1">
        <f ca="1">IFERROR(__xludf.DUMMYFUNCTION("""COMPUTED_VALUE"""),33.09)</f>
        <v>33.090000000000003</v>
      </c>
      <c r="D1736" s="1">
        <f ca="1">IFERROR(__xludf.DUMMYFUNCTION("""COMPUTED_VALUE"""),31.91)</f>
        <v>31.91</v>
      </c>
      <c r="E1736" s="1">
        <f ca="1">IFERROR(__xludf.DUMMYFUNCTION("""COMPUTED_VALUE"""),32.99)</f>
        <v>32.99</v>
      </c>
      <c r="F1736" s="1">
        <f ca="1">IFERROR(__xludf.DUMMYFUNCTION("""COMPUTED_VALUE"""),53386665)</f>
        <v>53386665</v>
      </c>
    </row>
    <row r="1737" spans="1:6" x14ac:dyDescent="0.35">
      <c r="A1737" s="2">
        <f ca="1">IFERROR(__xludf.DUMMYFUNCTION("""COMPUTED_VALUE"""),44522.6666666666)</f>
        <v>44522.666666666599</v>
      </c>
      <c r="B1737" s="1">
        <f ca="1">IFERROR(__xludf.DUMMYFUNCTION("""COMPUTED_VALUE"""),33.52)</f>
        <v>33.520000000000003</v>
      </c>
      <c r="C1737" s="1">
        <f ca="1">IFERROR(__xludf.DUMMYFUNCTION("""COMPUTED_VALUE"""),34.65)</f>
        <v>34.65</v>
      </c>
      <c r="D1737" s="1">
        <f ca="1">IFERROR(__xludf.DUMMYFUNCTION("""COMPUTED_VALUE"""),31.9)</f>
        <v>31.9</v>
      </c>
      <c r="E1737" s="1">
        <f ca="1">IFERROR(__xludf.DUMMYFUNCTION("""COMPUTED_VALUE"""),31.96)</f>
        <v>31.96</v>
      </c>
      <c r="F1737" s="1">
        <f ca="1">IFERROR(__xludf.DUMMYFUNCTION("""COMPUTED_VALUE"""),75433524)</f>
        <v>75433524</v>
      </c>
    </row>
    <row r="1738" spans="1:6" x14ac:dyDescent="0.35">
      <c r="A1738" s="2">
        <f ca="1">IFERROR(__xludf.DUMMYFUNCTION("""COMPUTED_VALUE"""),44523.6666666666)</f>
        <v>44523.666666666599</v>
      </c>
      <c r="B1738" s="1">
        <f ca="1">IFERROR(__xludf.DUMMYFUNCTION("""COMPUTED_VALUE"""),31.54)</f>
        <v>31.54</v>
      </c>
      <c r="C1738" s="1">
        <f ca="1">IFERROR(__xludf.DUMMYFUNCTION("""COMPUTED_VALUE"""),32.36)</f>
        <v>32.36</v>
      </c>
      <c r="D1738" s="1">
        <f ca="1">IFERROR(__xludf.DUMMYFUNCTION("""COMPUTED_VALUE"""),30.88)</f>
        <v>30.88</v>
      </c>
      <c r="E1738" s="1">
        <f ca="1">IFERROR(__xludf.DUMMYFUNCTION("""COMPUTED_VALUE"""),31.75)</f>
        <v>31.75</v>
      </c>
      <c r="F1738" s="1">
        <f ca="1">IFERROR(__xludf.DUMMYFUNCTION("""COMPUTED_VALUE"""),53216270)</f>
        <v>53216270</v>
      </c>
    </row>
    <row r="1739" spans="1:6" x14ac:dyDescent="0.35">
      <c r="A1739" s="2">
        <f ca="1">IFERROR(__xludf.DUMMYFUNCTION("""COMPUTED_VALUE"""),44524.6666666666)</f>
        <v>44524.666666666599</v>
      </c>
      <c r="B1739" s="1">
        <f ca="1">IFERROR(__xludf.DUMMYFUNCTION("""COMPUTED_VALUE"""),31.46)</f>
        <v>31.46</v>
      </c>
      <c r="C1739" s="1">
        <f ca="1">IFERROR(__xludf.DUMMYFUNCTION("""COMPUTED_VALUE"""),32.85)</f>
        <v>32.85</v>
      </c>
      <c r="D1739" s="1">
        <f ca="1">IFERROR(__xludf.DUMMYFUNCTION("""COMPUTED_VALUE"""),30.93)</f>
        <v>30.93</v>
      </c>
      <c r="E1739" s="1">
        <f ca="1">IFERROR(__xludf.DUMMYFUNCTION("""COMPUTED_VALUE"""),32.67)</f>
        <v>32.67</v>
      </c>
      <c r="F1739" s="1">
        <f ca="1">IFERROR(__xludf.DUMMYFUNCTION("""COMPUTED_VALUE"""),43516226)</f>
        <v>43516226</v>
      </c>
    </row>
    <row r="1740" spans="1:6" x14ac:dyDescent="0.35">
      <c r="A1740" s="2">
        <f ca="1">IFERROR(__xludf.DUMMYFUNCTION("""COMPUTED_VALUE"""),44526.5416666666)</f>
        <v>44526.541666666599</v>
      </c>
      <c r="B1740" s="1">
        <f ca="1">IFERROR(__xludf.DUMMYFUNCTION("""COMPUTED_VALUE"""),32.6)</f>
        <v>32.6</v>
      </c>
      <c r="C1740" s="1">
        <f ca="1">IFERROR(__xludf.DUMMYFUNCTION("""COMPUTED_VALUE"""),32.71)</f>
        <v>32.71</v>
      </c>
      <c r="D1740" s="1">
        <f ca="1">IFERROR(__xludf.DUMMYFUNCTION("""COMPUTED_VALUE"""),31.35)</f>
        <v>31.35</v>
      </c>
      <c r="E1740" s="1">
        <f ca="1">IFERROR(__xludf.DUMMYFUNCTION("""COMPUTED_VALUE"""),31.5)</f>
        <v>31.5</v>
      </c>
      <c r="F1740" s="1">
        <f ca="1">IFERROR(__xludf.DUMMYFUNCTION("""COMPUTED_VALUE"""),28306886)</f>
        <v>28306886</v>
      </c>
    </row>
    <row r="1741" spans="1:6" x14ac:dyDescent="0.35">
      <c r="A1741" s="2">
        <f ca="1">IFERROR(__xludf.DUMMYFUNCTION("""COMPUTED_VALUE"""),44529.6666666666)</f>
        <v>44529.666666666599</v>
      </c>
      <c r="B1741" s="1">
        <f ca="1">IFERROR(__xludf.DUMMYFUNCTION("""COMPUTED_VALUE"""),32.37)</f>
        <v>32.369999999999997</v>
      </c>
      <c r="C1741" s="1">
        <f ca="1">IFERROR(__xludf.DUMMYFUNCTION("""COMPUTED_VALUE"""),33.41)</f>
        <v>33.409999999999997</v>
      </c>
      <c r="D1741" s="1">
        <f ca="1">IFERROR(__xludf.DUMMYFUNCTION("""COMPUTED_VALUE"""),32.04)</f>
        <v>32.04</v>
      </c>
      <c r="E1741" s="1">
        <f ca="1">IFERROR(__xludf.DUMMYFUNCTION("""COMPUTED_VALUE"""),33.38)</f>
        <v>33.380000000000003</v>
      </c>
      <c r="F1741" s="1">
        <f ca="1">IFERROR(__xludf.DUMMYFUNCTION("""COMPUTED_VALUE"""),45496398)</f>
        <v>45496398</v>
      </c>
    </row>
    <row r="1742" spans="1:6" x14ac:dyDescent="0.35">
      <c r="A1742" s="2">
        <f ca="1">IFERROR(__xludf.DUMMYFUNCTION("""COMPUTED_VALUE"""),44530.6666666666)</f>
        <v>44530.666666666599</v>
      </c>
      <c r="B1742" s="1">
        <f ca="1">IFERROR(__xludf.DUMMYFUNCTION("""COMPUTED_VALUE"""),33.17)</f>
        <v>33.17</v>
      </c>
      <c r="C1742" s="1">
        <f ca="1">IFERROR(__xludf.DUMMYFUNCTION("""COMPUTED_VALUE"""),33.35)</f>
        <v>33.35</v>
      </c>
      <c r="D1742" s="1">
        <f ca="1">IFERROR(__xludf.DUMMYFUNCTION("""COMPUTED_VALUE"""),31.86)</f>
        <v>31.86</v>
      </c>
      <c r="E1742" s="1">
        <f ca="1">IFERROR(__xludf.DUMMYFUNCTION("""COMPUTED_VALUE"""),32.68)</f>
        <v>32.68</v>
      </c>
      <c r="F1742" s="1">
        <f ca="1">IFERROR(__xludf.DUMMYFUNCTION("""COMPUTED_VALUE"""),62206647)</f>
        <v>62206647</v>
      </c>
    </row>
    <row r="1743" spans="1:6" x14ac:dyDescent="0.35">
      <c r="A1743" s="2">
        <f ca="1">IFERROR(__xludf.DUMMYFUNCTION("""COMPUTED_VALUE"""),44531.6666666666)</f>
        <v>44531.666666666599</v>
      </c>
      <c r="B1743" s="1">
        <f ca="1">IFERROR(__xludf.DUMMYFUNCTION("""COMPUTED_VALUE"""),33.22)</f>
        <v>33.22</v>
      </c>
      <c r="C1743" s="1">
        <f ca="1">IFERROR(__xludf.DUMMYFUNCTION("""COMPUTED_VALUE"""),33.29)</f>
        <v>33.29</v>
      </c>
      <c r="D1743" s="1">
        <f ca="1">IFERROR(__xludf.DUMMYFUNCTION("""COMPUTED_VALUE"""),31.38)</f>
        <v>31.38</v>
      </c>
      <c r="E1743" s="1">
        <f ca="1">IFERROR(__xludf.DUMMYFUNCTION("""COMPUTED_VALUE"""),31.44)</f>
        <v>31.44</v>
      </c>
      <c r="F1743" s="1">
        <f ca="1">IFERROR(__xludf.DUMMYFUNCTION("""COMPUTED_VALUE"""),48580204)</f>
        <v>48580204</v>
      </c>
    </row>
    <row r="1744" spans="1:6" x14ac:dyDescent="0.35">
      <c r="A1744" s="2">
        <f ca="1">IFERROR(__xludf.DUMMYFUNCTION("""COMPUTED_VALUE"""),44532.6666666666)</f>
        <v>44532.666666666599</v>
      </c>
      <c r="B1744" s="1">
        <f ca="1">IFERROR(__xludf.DUMMYFUNCTION("""COMPUTED_VALUE"""),31.21)</f>
        <v>31.21</v>
      </c>
      <c r="C1744" s="1">
        <f ca="1">IFERROR(__xludf.DUMMYFUNCTION("""COMPUTED_VALUE"""),32.48)</f>
        <v>32.479999999999997</v>
      </c>
      <c r="D1744" s="1">
        <f ca="1">IFERROR(__xludf.DUMMYFUNCTION("""COMPUTED_VALUE"""),31.03)</f>
        <v>31.03</v>
      </c>
      <c r="E1744" s="1">
        <f ca="1">IFERROR(__xludf.DUMMYFUNCTION("""COMPUTED_VALUE"""),32.13)</f>
        <v>32.130000000000003</v>
      </c>
      <c r="F1744" s="1">
        <f ca="1">IFERROR(__xludf.DUMMYFUNCTION("""COMPUTED_VALUE"""),47289033)</f>
        <v>47289033</v>
      </c>
    </row>
    <row r="1745" spans="1:6" x14ac:dyDescent="0.35">
      <c r="A1745" s="2">
        <f ca="1">IFERROR(__xludf.DUMMYFUNCTION("""COMPUTED_VALUE"""),44533.6666666666)</f>
        <v>44533.666666666599</v>
      </c>
      <c r="B1745" s="1">
        <f ca="1">IFERROR(__xludf.DUMMYFUNCTION("""COMPUTED_VALUE"""),32)</f>
        <v>32</v>
      </c>
      <c r="C1745" s="1">
        <f ca="1">IFERROR(__xludf.DUMMYFUNCTION("""COMPUTED_VALUE"""),32.13)</f>
        <v>32.130000000000003</v>
      </c>
      <c r="D1745" s="1">
        <f ca="1">IFERROR(__xludf.DUMMYFUNCTION("""COMPUTED_VALUE"""),30.13)</f>
        <v>30.13</v>
      </c>
      <c r="E1745" s="1">
        <f ca="1">IFERROR(__xludf.DUMMYFUNCTION("""COMPUTED_VALUE"""),30.69)</f>
        <v>30.69</v>
      </c>
      <c r="F1745" s="1">
        <f ca="1">IFERROR(__xludf.DUMMYFUNCTION("""COMPUTED_VALUE"""),54432505)</f>
        <v>54432505</v>
      </c>
    </row>
    <row r="1746" spans="1:6" x14ac:dyDescent="0.35">
      <c r="A1746" s="2">
        <f ca="1">IFERROR(__xludf.DUMMYFUNCTION("""COMPUTED_VALUE"""),44536.6666666666)</f>
        <v>44536.666666666599</v>
      </c>
      <c r="B1746" s="1">
        <f ca="1">IFERROR(__xludf.DUMMYFUNCTION("""COMPUTED_VALUE"""),29.88)</f>
        <v>29.88</v>
      </c>
      <c r="C1746" s="1">
        <f ca="1">IFERROR(__xludf.DUMMYFUNCTION("""COMPUTED_VALUE"""),30.24)</f>
        <v>30.24</v>
      </c>
      <c r="D1746" s="1">
        <f ca="1">IFERROR(__xludf.DUMMYFUNCTION("""COMPUTED_VALUE"""),28.04)</f>
        <v>28.04</v>
      </c>
      <c r="E1746" s="1">
        <f ca="1">IFERROR(__xludf.DUMMYFUNCTION("""COMPUTED_VALUE"""),30.04)</f>
        <v>30.04</v>
      </c>
      <c r="F1746" s="1">
        <f ca="1">IFERROR(__xludf.DUMMYFUNCTION("""COMPUTED_VALUE"""),65893845)</f>
        <v>65893845</v>
      </c>
    </row>
    <row r="1747" spans="1:6" x14ac:dyDescent="0.35">
      <c r="A1747" s="2">
        <f ca="1">IFERROR(__xludf.DUMMYFUNCTION("""COMPUTED_VALUE"""),44537.6666666666)</f>
        <v>44537.666666666599</v>
      </c>
      <c r="B1747" s="1">
        <f ca="1">IFERROR(__xludf.DUMMYFUNCTION("""COMPUTED_VALUE"""),30.96)</f>
        <v>30.96</v>
      </c>
      <c r="C1747" s="1">
        <f ca="1">IFERROR(__xludf.DUMMYFUNCTION("""COMPUTED_VALUE"""),32.45)</f>
        <v>32.450000000000003</v>
      </c>
      <c r="D1747" s="1">
        <f ca="1">IFERROR(__xludf.DUMMYFUNCTION("""COMPUTED_VALUE"""),30.65)</f>
        <v>30.65</v>
      </c>
      <c r="E1747" s="1">
        <f ca="1">IFERROR(__xludf.DUMMYFUNCTION("""COMPUTED_VALUE"""),32.43)</f>
        <v>32.43</v>
      </c>
      <c r="F1747" s="1">
        <f ca="1">IFERROR(__xludf.DUMMYFUNCTION("""COMPUTED_VALUE"""),59305348)</f>
        <v>59305348</v>
      </c>
    </row>
    <row r="1748" spans="1:6" x14ac:dyDescent="0.35">
      <c r="A1748" s="2">
        <f ca="1">IFERROR(__xludf.DUMMYFUNCTION("""COMPUTED_VALUE"""),44538.6666666666)</f>
        <v>44538.666666666599</v>
      </c>
      <c r="B1748" s="1">
        <f ca="1">IFERROR(__xludf.DUMMYFUNCTION("""COMPUTED_VALUE"""),32)</f>
        <v>32</v>
      </c>
      <c r="C1748" s="1">
        <f ca="1">IFERROR(__xludf.DUMMYFUNCTION("""COMPUTED_VALUE"""),32.29)</f>
        <v>32.29</v>
      </c>
      <c r="D1748" s="1">
        <f ca="1">IFERROR(__xludf.DUMMYFUNCTION("""COMPUTED_VALUE"""),31.42)</f>
        <v>31.42</v>
      </c>
      <c r="E1748" s="1">
        <f ca="1">IFERROR(__xludf.DUMMYFUNCTION("""COMPUTED_VALUE"""),31.83)</f>
        <v>31.83</v>
      </c>
      <c r="F1748" s="1">
        <f ca="1">IFERROR(__xludf.DUMMYFUNCTION("""COMPUTED_VALUE"""),47555145)</f>
        <v>47555145</v>
      </c>
    </row>
    <row r="1749" spans="1:6" x14ac:dyDescent="0.35">
      <c r="A1749" s="2">
        <f ca="1">IFERROR(__xludf.DUMMYFUNCTION("""COMPUTED_VALUE"""),44539.6666666666)</f>
        <v>44539.666666666599</v>
      </c>
      <c r="B1749" s="1">
        <f ca="1">IFERROR(__xludf.DUMMYFUNCTION("""COMPUTED_VALUE"""),31.73)</f>
        <v>31.73</v>
      </c>
      <c r="C1749" s="1">
        <f ca="1">IFERROR(__xludf.DUMMYFUNCTION("""COMPUTED_VALUE"""),32.21)</f>
        <v>32.21</v>
      </c>
      <c r="D1749" s="1">
        <f ca="1">IFERROR(__xludf.DUMMYFUNCTION("""COMPUTED_VALUE"""),30.43)</f>
        <v>30.43</v>
      </c>
      <c r="E1749" s="1">
        <f ca="1">IFERROR(__xludf.DUMMYFUNCTION("""COMPUTED_VALUE"""),30.49)</f>
        <v>30.49</v>
      </c>
      <c r="F1749" s="1">
        <f ca="1">IFERROR(__xludf.DUMMYFUNCTION("""COMPUTED_VALUE"""),48850716)</f>
        <v>48850716</v>
      </c>
    </row>
    <row r="1750" spans="1:6" x14ac:dyDescent="0.35">
      <c r="A1750" s="2">
        <f ca="1">IFERROR(__xludf.DUMMYFUNCTION("""COMPUTED_VALUE"""),44540.6666666666)</f>
        <v>44540.666666666599</v>
      </c>
      <c r="B1750" s="1">
        <f ca="1">IFERROR(__xludf.DUMMYFUNCTION("""COMPUTED_VALUE"""),31.15)</f>
        <v>31.15</v>
      </c>
      <c r="C1750" s="1">
        <f ca="1">IFERROR(__xludf.DUMMYFUNCTION("""COMPUTED_VALUE"""),31.31)</f>
        <v>31.31</v>
      </c>
      <c r="D1750" s="1">
        <f ca="1">IFERROR(__xludf.DUMMYFUNCTION("""COMPUTED_VALUE"""),29.86)</f>
        <v>29.86</v>
      </c>
      <c r="E1750" s="1">
        <f ca="1">IFERROR(__xludf.DUMMYFUNCTION("""COMPUTED_VALUE"""),30.2)</f>
        <v>30.2</v>
      </c>
      <c r="F1750" s="1">
        <f ca="1">IFERROR(__xludf.DUMMYFUNCTION("""COMPUTED_VALUE"""),48882509)</f>
        <v>48882509</v>
      </c>
    </row>
    <row r="1751" spans="1:6" x14ac:dyDescent="0.35">
      <c r="A1751" s="2">
        <f ca="1">IFERROR(__xludf.DUMMYFUNCTION("""COMPUTED_VALUE"""),44543.6666666666)</f>
        <v>44543.666666666599</v>
      </c>
      <c r="B1751" s="1">
        <f ca="1">IFERROR(__xludf.DUMMYFUNCTION("""COMPUTED_VALUE"""),30.25)</f>
        <v>30.25</v>
      </c>
      <c r="C1751" s="1">
        <f ca="1">IFERROR(__xludf.DUMMYFUNCTION("""COMPUTED_VALUE"""),30.29)</f>
        <v>30.29</v>
      </c>
      <c r="D1751" s="1">
        <f ca="1">IFERROR(__xludf.DUMMYFUNCTION("""COMPUTED_VALUE"""),28.12)</f>
        <v>28.12</v>
      </c>
      <c r="E1751" s="1">
        <f ca="1">IFERROR(__xludf.DUMMYFUNCTION("""COMPUTED_VALUE"""),28.16)</f>
        <v>28.16</v>
      </c>
      <c r="F1751" s="1">
        <f ca="1">IFERROR(__xludf.DUMMYFUNCTION("""COMPUTED_VALUE"""),59834366)</f>
        <v>59834366</v>
      </c>
    </row>
    <row r="1752" spans="1:6" x14ac:dyDescent="0.35">
      <c r="A1752" s="2">
        <f ca="1">IFERROR(__xludf.DUMMYFUNCTION("""COMPUTED_VALUE"""),44544.6666666666)</f>
        <v>44544.666666666599</v>
      </c>
      <c r="B1752" s="1">
        <f ca="1">IFERROR(__xludf.DUMMYFUNCTION("""COMPUTED_VALUE"""),27.7)</f>
        <v>27.7</v>
      </c>
      <c r="C1752" s="1">
        <f ca="1">IFERROR(__xludf.DUMMYFUNCTION("""COMPUTED_VALUE"""),28.68)</f>
        <v>28.68</v>
      </c>
      <c r="D1752" s="1">
        <f ca="1">IFERROR(__xludf.DUMMYFUNCTION("""COMPUTED_VALUE"""),27.25)</f>
        <v>27.25</v>
      </c>
      <c r="E1752" s="1">
        <f ca="1">IFERROR(__xludf.DUMMYFUNCTION("""COMPUTED_VALUE"""),28.34)</f>
        <v>28.34</v>
      </c>
      <c r="F1752" s="1">
        <f ca="1">IFERROR(__xludf.DUMMYFUNCTION("""COMPUTED_VALUE"""),66703537)</f>
        <v>66703537</v>
      </c>
    </row>
    <row r="1753" spans="1:6" x14ac:dyDescent="0.35">
      <c r="A1753" s="2">
        <f ca="1">IFERROR(__xludf.DUMMYFUNCTION("""COMPUTED_VALUE"""),44545.6666666666)</f>
        <v>44545.666666666599</v>
      </c>
      <c r="B1753" s="1">
        <f ca="1">IFERROR(__xludf.DUMMYFUNCTION("""COMPUTED_VALUE"""),28.4)</f>
        <v>28.4</v>
      </c>
      <c r="C1753" s="1">
        <f ca="1">IFERROR(__xludf.DUMMYFUNCTION("""COMPUTED_VALUE"""),30.5)</f>
        <v>30.5</v>
      </c>
      <c r="D1753" s="1">
        <f ca="1">IFERROR(__xludf.DUMMYFUNCTION("""COMPUTED_VALUE"""),27.84)</f>
        <v>27.84</v>
      </c>
      <c r="E1753" s="1">
        <f ca="1">IFERROR(__xludf.DUMMYFUNCTION("""COMPUTED_VALUE"""),30.46)</f>
        <v>30.46</v>
      </c>
      <c r="F1753" s="1">
        <f ca="1">IFERROR(__xludf.DUMMYFUNCTION("""COMPUTED_VALUE"""),69829688)</f>
        <v>69829688</v>
      </c>
    </row>
    <row r="1754" spans="1:6" x14ac:dyDescent="0.35">
      <c r="A1754" s="2">
        <f ca="1">IFERROR(__xludf.DUMMYFUNCTION("""COMPUTED_VALUE"""),44546.6666666666)</f>
        <v>44546.666666666599</v>
      </c>
      <c r="B1754" s="1">
        <f ca="1">IFERROR(__xludf.DUMMYFUNCTION("""COMPUTED_VALUE"""),31.15)</f>
        <v>31.15</v>
      </c>
      <c r="C1754" s="1">
        <f ca="1">IFERROR(__xludf.DUMMYFUNCTION("""COMPUTED_VALUE"""),31.16)</f>
        <v>31.16</v>
      </c>
      <c r="D1754" s="1">
        <f ca="1">IFERROR(__xludf.DUMMYFUNCTION("""COMPUTED_VALUE"""),28.09)</f>
        <v>28.09</v>
      </c>
      <c r="E1754" s="1">
        <f ca="1">IFERROR(__xludf.DUMMYFUNCTION("""COMPUTED_VALUE"""),28.39)</f>
        <v>28.39</v>
      </c>
      <c r="F1754" s="1">
        <f ca="1">IFERROR(__xludf.DUMMYFUNCTION("""COMPUTED_VALUE"""),70736595)</f>
        <v>70736595</v>
      </c>
    </row>
    <row r="1755" spans="1:6" x14ac:dyDescent="0.35">
      <c r="A1755" s="2">
        <f ca="1">IFERROR(__xludf.DUMMYFUNCTION("""COMPUTED_VALUE"""),44547.6666666666)</f>
        <v>44547.666666666599</v>
      </c>
      <c r="B1755" s="1">
        <f ca="1">IFERROR(__xludf.DUMMYFUNCTION("""COMPUTED_VALUE"""),27.99)</f>
        <v>27.99</v>
      </c>
      <c r="C1755" s="1">
        <f ca="1">IFERROR(__xludf.DUMMYFUNCTION("""COMPUTED_VALUE"""),28.92)</f>
        <v>28.92</v>
      </c>
      <c r="D1755" s="1">
        <f ca="1">IFERROR(__xludf.DUMMYFUNCTION("""COMPUTED_VALUE"""),27.76)</f>
        <v>27.76</v>
      </c>
      <c r="E1755" s="1">
        <f ca="1">IFERROR(__xludf.DUMMYFUNCTION("""COMPUTED_VALUE"""),27.8)</f>
        <v>27.8</v>
      </c>
      <c r="F1755" s="1">
        <f ca="1">IFERROR(__xludf.DUMMYFUNCTION("""COMPUTED_VALUE"""),71662239)</f>
        <v>71662239</v>
      </c>
    </row>
    <row r="1756" spans="1:6" x14ac:dyDescent="0.35">
      <c r="A1756" s="2">
        <f ca="1">IFERROR(__xludf.DUMMYFUNCTION("""COMPUTED_VALUE"""),44550.6666666666)</f>
        <v>44550.666666666599</v>
      </c>
      <c r="B1756" s="1">
        <f ca="1">IFERROR(__xludf.DUMMYFUNCTION("""COMPUTED_VALUE"""),27.31)</f>
        <v>27.31</v>
      </c>
      <c r="C1756" s="1">
        <f ca="1">IFERROR(__xludf.DUMMYFUNCTION("""COMPUTED_VALUE"""),28.14)</f>
        <v>28.14</v>
      </c>
      <c r="D1756" s="1">
        <f ca="1">IFERROR(__xludf.DUMMYFUNCTION("""COMPUTED_VALUE"""),27.15)</f>
        <v>27.15</v>
      </c>
      <c r="E1756" s="1">
        <f ca="1">IFERROR(__xludf.DUMMYFUNCTION("""COMPUTED_VALUE"""),27.72)</f>
        <v>27.72</v>
      </c>
      <c r="F1756" s="1">
        <f ca="1">IFERROR(__xludf.DUMMYFUNCTION("""COMPUTED_VALUE"""),46184676)</f>
        <v>46184676</v>
      </c>
    </row>
    <row r="1757" spans="1:6" x14ac:dyDescent="0.35">
      <c r="A1757" s="2">
        <f ca="1">IFERROR(__xludf.DUMMYFUNCTION("""COMPUTED_VALUE"""),44551.6666666666)</f>
        <v>44551.666666666599</v>
      </c>
      <c r="B1757" s="1">
        <f ca="1">IFERROR(__xludf.DUMMYFUNCTION("""COMPUTED_VALUE"""),28.37)</f>
        <v>28.37</v>
      </c>
      <c r="C1757" s="1">
        <f ca="1">IFERROR(__xludf.DUMMYFUNCTION("""COMPUTED_VALUE"""),29.12)</f>
        <v>29.12</v>
      </c>
      <c r="D1757" s="1">
        <f ca="1">IFERROR(__xludf.DUMMYFUNCTION("""COMPUTED_VALUE"""),27.4)</f>
        <v>27.4</v>
      </c>
      <c r="E1757" s="1">
        <f ca="1">IFERROR(__xludf.DUMMYFUNCTION("""COMPUTED_VALUE"""),29.08)</f>
        <v>29.08</v>
      </c>
      <c r="F1757" s="1">
        <f ca="1">IFERROR(__xludf.DUMMYFUNCTION("""COMPUTED_VALUE"""),52438494)</f>
        <v>52438494</v>
      </c>
    </row>
    <row r="1758" spans="1:6" x14ac:dyDescent="0.35">
      <c r="A1758" s="2">
        <f ca="1">IFERROR(__xludf.DUMMYFUNCTION("""COMPUTED_VALUE"""),44552.6666666666)</f>
        <v>44552.666666666599</v>
      </c>
      <c r="B1758" s="1">
        <f ca="1">IFERROR(__xludf.DUMMYFUNCTION("""COMPUTED_VALUE"""),28.89)</f>
        <v>28.89</v>
      </c>
      <c r="C1758" s="1">
        <f ca="1">IFERROR(__xludf.DUMMYFUNCTION("""COMPUTED_VALUE"""),29.56)</f>
        <v>29.56</v>
      </c>
      <c r="D1758" s="1">
        <f ca="1">IFERROR(__xludf.DUMMYFUNCTION("""COMPUTED_VALUE"""),28.45)</f>
        <v>28.45</v>
      </c>
      <c r="E1758" s="1">
        <f ca="1">IFERROR(__xludf.DUMMYFUNCTION("""COMPUTED_VALUE"""),29.4)</f>
        <v>29.4</v>
      </c>
      <c r="F1758" s="1">
        <f ca="1">IFERROR(__xludf.DUMMYFUNCTION("""COMPUTED_VALUE"""),39518438)</f>
        <v>39518438</v>
      </c>
    </row>
    <row r="1759" spans="1:6" x14ac:dyDescent="0.35">
      <c r="A1759" s="2">
        <f ca="1">IFERROR(__xludf.DUMMYFUNCTION("""COMPUTED_VALUE"""),44553.6666666666)</f>
        <v>44553.666666666599</v>
      </c>
      <c r="B1759" s="1">
        <f ca="1">IFERROR(__xludf.DUMMYFUNCTION("""COMPUTED_VALUE"""),29.76)</f>
        <v>29.76</v>
      </c>
      <c r="C1759" s="1">
        <f ca="1">IFERROR(__xludf.DUMMYFUNCTION("""COMPUTED_VALUE"""),30.06)</f>
        <v>30.06</v>
      </c>
      <c r="D1759" s="1">
        <f ca="1">IFERROR(__xludf.DUMMYFUNCTION("""COMPUTED_VALUE"""),29.43)</f>
        <v>29.43</v>
      </c>
      <c r="E1759" s="1">
        <f ca="1">IFERROR(__xludf.DUMMYFUNCTION("""COMPUTED_VALUE"""),29.64)</f>
        <v>29.64</v>
      </c>
      <c r="F1759" s="1">
        <f ca="1">IFERROR(__xludf.DUMMYFUNCTION("""COMPUTED_VALUE"""),34302174)</f>
        <v>34302174</v>
      </c>
    </row>
    <row r="1760" spans="1:6" x14ac:dyDescent="0.35">
      <c r="A1760" s="2">
        <f ca="1">IFERROR(__xludf.DUMMYFUNCTION("""COMPUTED_VALUE"""),44557.6666666666)</f>
        <v>44557.666666666599</v>
      </c>
      <c r="B1760" s="1">
        <f ca="1">IFERROR(__xludf.DUMMYFUNCTION("""COMPUTED_VALUE"""),29.66)</f>
        <v>29.66</v>
      </c>
      <c r="C1760" s="1">
        <f ca="1">IFERROR(__xludf.DUMMYFUNCTION("""COMPUTED_VALUE"""),31.09)</f>
        <v>31.09</v>
      </c>
      <c r="D1760" s="1">
        <f ca="1">IFERROR(__xludf.DUMMYFUNCTION("""COMPUTED_VALUE"""),29.64)</f>
        <v>29.64</v>
      </c>
      <c r="E1760" s="1">
        <f ca="1">IFERROR(__xludf.DUMMYFUNCTION("""COMPUTED_VALUE"""),30.95)</f>
        <v>30.95</v>
      </c>
      <c r="F1760" s="1">
        <f ca="1">IFERROR(__xludf.DUMMYFUNCTION("""COMPUTED_VALUE"""),40368587)</f>
        <v>40368587</v>
      </c>
    </row>
    <row r="1761" spans="1:6" x14ac:dyDescent="0.35">
      <c r="A1761" s="2">
        <f ca="1">IFERROR(__xludf.DUMMYFUNCTION("""COMPUTED_VALUE"""),44558.6666666666)</f>
        <v>44558.666666666599</v>
      </c>
      <c r="B1761" s="1">
        <f ca="1">IFERROR(__xludf.DUMMYFUNCTION("""COMPUTED_VALUE"""),31.31)</f>
        <v>31.31</v>
      </c>
      <c r="C1761" s="1">
        <f ca="1">IFERROR(__xludf.DUMMYFUNCTION("""COMPUTED_VALUE"""),31.33)</f>
        <v>31.33</v>
      </c>
      <c r="D1761" s="1">
        <f ca="1">IFERROR(__xludf.DUMMYFUNCTION("""COMPUTED_VALUE"""),30.01)</f>
        <v>30.01</v>
      </c>
      <c r="E1761" s="1">
        <f ca="1">IFERROR(__xludf.DUMMYFUNCTION("""COMPUTED_VALUE"""),30.32)</f>
        <v>30.32</v>
      </c>
      <c r="F1761" s="1">
        <f ca="1">IFERROR(__xludf.DUMMYFUNCTION("""COMPUTED_VALUE"""),42059121)</f>
        <v>42059121</v>
      </c>
    </row>
    <row r="1762" spans="1:6" x14ac:dyDescent="0.35">
      <c r="A1762" s="2">
        <f ca="1">IFERROR(__xludf.DUMMYFUNCTION("""COMPUTED_VALUE"""),44559.6666666666)</f>
        <v>44559.666666666599</v>
      </c>
      <c r="B1762" s="1">
        <f ca="1">IFERROR(__xludf.DUMMYFUNCTION("""COMPUTED_VALUE"""),30.27)</f>
        <v>30.27</v>
      </c>
      <c r="C1762" s="1">
        <f ca="1">IFERROR(__xludf.DUMMYFUNCTION("""COMPUTED_VALUE"""),30.55)</f>
        <v>30.55</v>
      </c>
      <c r="D1762" s="1">
        <f ca="1">IFERROR(__xludf.DUMMYFUNCTION("""COMPUTED_VALUE"""),29.37)</f>
        <v>29.37</v>
      </c>
      <c r="E1762" s="1">
        <f ca="1">IFERROR(__xludf.DUMMYFUNCTION("""COMPUTED_VALUE"""),30)</f>
        <v>30</v>
      </c>
      <c r="F1762" s="1">
        <f ca="1">IFERROR(__xludf.DUMMYFUNCTION("""COMPUTED_VALUE"""),34313928)</f>
        <v>34313928</v>
      </c>
    </row>
    <row r="1763" spans="1:6" x14ac:dyDescent="0.35">
      <c r="A1763" s="2">
        <f ca="1">IFERROR(__xludf.DUMMYFUNCTION("""COMPUTED_VALUE"""),44560.6666666666)</f>
        <v>44560.666666666599</v>
      </c>
      <c r="B1763" s="1">
        <f ca="1">IFERROR(__xludf.DUMMYFUNCTION("""COMPUTED_VALUE"""),29.83)</f>
        <v>29.83</v>
      </c>
      <c r="C1763" s="1">
        <f ca="1">IFERROR(__xludf.DUMMYFUNCTION("""COMPUTED_VALUE"""),30.46)</f>
        <v>30.46</v>
      </c>
      <c r="D1763" s="1">
        <f ca="1">IFERROR(__xludf.DUMMYFUNCTION("""COMPUTED_VALUE"""),29.54)</f>
        <v>29.54</v>
      </c>
      <c r="E1763" s="1">
        <f ca="1">IFERROR(__xludf.DUMMYFUNCTION("""COMPUTED_VALUE"""),29.59)</f>
        <v>29.59</v>
      </c>
      <c r="F1763" s="1">
        <f ca="1">IFERROR(__xludf.DUMMYFUNCTION("""COMPUTED_VALUE"""),30886422)</f>
        <v>30886422</v>
      </c>
    </row>
    <row r="1764" spans="1:6" x14ac:dyDescent="0.35">
      <c r="A1764" s="2">
        <f ca="1">IFERROR(__xludf.DUMMYFUNCTION("""COMPUTED_VALUE"""),44561.6666666666)</f>
        <v>44561.666666666599</v>
      </c>
      <c r="B1764" s="1">
        <f ca="1">IFERROR(__xludf.DUMMYFUNCTION("""COMPUTED_VALUE"""),29.67)</f>
        <v>29.67</v>
      </c>
      <c r="C1764" s="1">
        <f ca="1">IFERROR(__xludf.DUMMYFUNCTION("""COMPUTED_VALUE"""),30.03)</f>
        <v>30.03</v>
      </c>
      <c r="D1764" s="1">
        <f ca="1">IFERROR(__xludf.DUMMYFUNCTION("""COMPUTED_VALUE"""),29.33)</f>
        <v>29.33</v>
      </c>
      <c r="E1764" s="1">
        <f ca="1">IFERROR(__xludf.DUMMYFUNCTION("""COMPUTED_VALUE"""),29.41)</f>
        <v>29.41</v>
      </c>
      <c r="F1764" s="1">
        <f ca="1">IFERROR(__xludf.DUMMYFUNCTION("""COMPUTED_VALUE"""),26652991)</f>
        <v>26652991</v>
      </c>
    </row>
    <row r="1765" spans="1:6" x14ac:dyDescent="0.35">
      <c r="A1765" s="2">
        <f ca="1">IFERROR(__xludf.DUMMYFUNCTION("""COMPUTED_VALUE"""),44564.6666666666)</f>
        <v>44564.666666666599</v>
      </c>
      <c r="B1765" s="1">
        <f ca="1">IFERROR(__xludf.DUMMYFUNCTION("""COMPUTED_VALUE"""),29.82)</f>
        <v>29.82</v>
      </c>
      <c r="C1765" s="1">
        <f ca="1">IFERROR(__xludf.DUMMYFUNCTION("""COMPUTED_VALUE"""),30.71)</f>
        <v>30.71</v>
      </c>
      <c r="D1765" s="1">
        <f ca="1">IFERROR(__xludf.DUMMYFUNCTION("""COMPUTED_VALUE"""),29.79)</f>
        <v>29.79</v>
      </c>
      <c r="E1765" s="1">
        <f ca="1">IFERROR(__xludf.DUMMYFUNCTION("""COMPUTED_VALUE"""),30.12)</f>
        <v>30.12</v>
      </c>
      <c r="F1765" s="1">
        <f ca="1">IFERROR(__xludf.DUMMYFUNCTION("""COMPUTED_VALUE"""),39240294)</f>
        <v>39240294</v>
      </c>
    </row>
    <row r="1766" spans="1:6" x14ac:dyDescent="0.35">
      <c r="A1766" s="2">
        <f ca="1">IFERROR(__xludf.DUMMYFUNCTION("""COMPUTED_VALUE"""),44565.6666666666)</f>
        <v>44565.666666666599</v>
      </c>
      <c r="B1766" s="1">
        <f ca="1">IFERROR(__xludf.DUMMYFUNCTION("""COMPUTED_VALUE"""),30.28)</f>
        <v>30.28</v>
      </c>
      <c r="C1766" s="1">
        <f ca="1">IFERROR(__xludf.DUMMYFUNCTION("""COMPUTED_VALUE"""),30.47)</f>
        <v>30.47</v>
      </c>
      <c r="D1766" s="1">
        <f ca="1">IFERROR(__xludf.DUMMYFUNCTION("""COMPUTED_VALUE"""),28.35)</f>
        <v>28.35</v>
      </c>
      <c r="E1766" s="1">
        <f ca="1">IFERROR(__xludf.DUMMYFUNCTION("""COMPUTED_VALUE"""),29.29)</f>
        <v>29.29</v>
      </c>
      <c r="F1766" s="1">
        <f ca="1">IFERROR(__xludf.DUMMYFUNCTION("""COMPUTED_VALUE"""),52715440)</f>
        <v>52715440</v>
      </c>
    </row>
    <row r="1767" spans="1:6" x14ac:dyDescent="0.35">
      <c r="A1767" s="2">
        <f ca="1">IFERROR(__xludf.DUMMYFUNCTION("""COMPUTED_VALUE"""),44566.6666666666)</f>
        <v>44566.666666666599</v>
      </c>
      <c r="B1767" s="1">
        <f ca="1">IFERROR(__xludf.DUMMYFUNCTION("""COMPUTED_VALUE"""),28.95)</f>
        <v>28.95</v>
      </c>
      <c r="C1767" s="1">
        <f ca="1">IFERROR(__xludf.DUMMYFUNCTION("""COMPUTED_VALUE"""),29.42)</f>
        <v>29.42</v>
      </c>
      <c r="D1767" s="1">
        <f ca="1">IFERROR(__xludf.DUMMYFUNCTION("""COMPUTED_VALUE"""),27.53)</f>
        <v>27.53</v>
      </c>
      <c r="E1767" s="1">
        <f ca="1">IFERROR(__xludf.DUMMYFUNCTION("""COMPUTED_VALUE"""),27.6)</f>
        <v>27.6</v>
      </c>
      <c r="F1767" s="1">
        <f ca="1">IFERROR(__xludf.DUMMYFUNCTION("""COMPUTED_VALUE"""),49806388)</f>
        <v>49806388</v>
      </c>
    </row>
    <row r="1768" spans="1:6" x14ac:dyDescent="0.35">
      <c r="A1768" s="2">
        <f ca="1">IFERROR(__xludf.DUMMYFUNCTION("""COMPUTED_VALUE"""),44567.6666666666)</f>
        <v>44567.666666666599</v>
      </c>
      <c r="B1768" s="1">
        <f ca="1">IFERROR(__xludf.DUMMYFUNCTION("""COMPUTED_VALUE"""),27.64)</f>
        <v>27.64</v>
      </c>
      <c r="C1768" s="1">
        <f ca="1">IFERROR(__xludf.DUMMYFUNCTION("""COMPUTED_VALUE"""),28.44)</f>
        <v>28.44</v>
      </c>
      <c r="D1768" s="1">
        <f ca="1">IFERROR(__xludf.DUMMYFUNCTION("""COMPUTED_VALUE"""),27.07)</f>
        <v>27.07</v>
      </c>
      <c r="E1768" s="1">
        <f ca="1">IFERROR(__xludf.DUMMYFUNCTION("""COMPUTED_VALUE"""),28.18)</f>
        <v>28.18</v>
      </c>
      <c r="F1768" s="1">
        <f ca="1">IFERROR(__xludf.DUMMYFUNCTION("""COMPUTED_VALUE"""),45418637)</f>
        <v>45418637</v>
      </c>
    </row>
    <row r="1769" spans="1:6" x14ac:dyDescent="0.35">
      <c r="A1769" s="2">
        <f ca="1">IFERROR(__xludf.DUMMYFUNCTION("""COMPUTED_VALUE"""),44568.6666666666)</f>
        <v>44568.666666666599</v>
      </c>
      <c r="B1769" s="1">
        <f ca="1">IFERROR(__xludf.DUMMYFUNCTION("""COMPUTED_VALUE"""),28.14)</f>
        <v>28.14</v>
      </c>
      <c r="C1769" s="1">
        <f ca="1">IFERROR(__xludf.DUMMYFUNCTION("""COMPUTED_VALUE"""),28.42)</f>
        <v>28.42</v>
      </c>
      <c r="D1769" s="1">
        <f ca="1">IFERROR(__xludf.DUMMYFUNCTION("""COMPUTED_VALUE"""),27.06)</f>
        <v>27.06</v>
      </c>
      <c r="E1769" s="1">
        <f ca="1">IFERROR(__xludf.DUMMYFUNCTION("""COMPUTED_VALUE"""),27.25)</f>
        <v>27.25</v>
      </c>
      <c r="F1769" s="1">
        <f ca="1">IFERROR(__xludf.DUMMYFUNCTION("""COMPUTED_VALUE"""),40993851)</f>
        <v>40993851</v>
      </c>
    </row>
    <row r="1770" spans="1:6" x14ac:dyDescent="0.35">
      <c r="A1770" s="2">
        <f ca="1">IFERROR(__xludf.DUMMYFUNCTION("""COMPUTED_VALUE"""),44571.6666666666)</f>
        <v>44571.666666666599</v>
      </c>
      <c r="B1770" s="1">
        <f ca="1">IFERROR(__xludf.DUMMYFUNCTION("""COMPUTED_VALUE"""),26.58)</f>
        <v>26.58</v>
      </c>
      <c r="C1770" s="1">
        <f ca="1">IFERROR(__xludf.DUMMYFUNCTION("""COMPUTED_VALUE"""),27.47)</f>
        <v>27.47</v>
      </c>
      <c r="D1770" s="1">
        <f ca="1">IFERROR(__xludf.DUMMYFUNCTION("""COMPUTED_VALUE"""),25.64)</f>
        <v>25.64</v>
      </c>
      <c r="E1770" s="1">
        <f ca="1">IFERROR(__xludf.DUMMYFUNCTION("""COMPUTED_VALUE"""),27.4)</f>
        <v>27.4</v>
      </c>
      <c r="F1770" s="1">
        <f ca="1">IFERROR(__xludf.DUMMYFUNCTION("""COMPUTED_VALUE"""),59468095)</f>
        <v>59468095</v>
      </c>
    </row>
    <row r="1771" spans="1:6" x14ac:dyDescent="0.35">
      <c r="A1771" s="2">
        <f ca="1">IFERROR(__xludf.DUMMYFUNCTION("""COMPUTED_VALUE"""),44572.6666666666)</f>
        <v>44572.666666666599</v>
      </c>
      <c r="B1771" s="1">
        <f ca="1">IFERROR(__xludf.DUMMYFUNCTION("""COMPUTED_VALUE"""),27.32)</f>
        <v>27.32</v>
      </c>
      <c r="C1771" s="1">
        <f ca="1">IFERROR(__xludf.DUMMYFUNCTION("""COMPUTED_VALUE"""),28.07)</f>
        <v>28.07</v>
      </c>
      <c r="D1771" s="1">
        <f ca="1">IFERROR(__xludf.DUMMYFUNCTION("""COMPUTED_VALUE"""),26.84)</f>
        <v>26.84</v>
      </c>
      <c r="E1771" s="1">
        <f ca="1">IFERROR(__xludf.DUMMYFUNCTION("""COMPUTED_VALUE"""),27.82)</f>
        <v>27.82</v>
      </c>
      <c r="F1771" s="1">
        <f ca="1">IFERROR(__xludf.DUMMYFUNCTION("""COMPUTED_VALUE"""),40408929)</f>
        <v>40408929</v>
      </c>
    </row>
    <row r="1772" spans="1:6" x14ac:dyDescent="0.35">
      <c r="A1772" s="2">
        <f ca="1">IFERROR(__xludf.DUMMYFUNCTION("""COMPUTED_VALUE"""),44573.6666666666)</f>
        <v>44573.666666666599</v>
      </c>
      <c r="B1772" s="1">
        <f ca="1">IFERROR(__xludf.DUMMYFUNCTION("""COMPUTED_VALUE"""),28.07)</f>
        <v>28.07</v>
      </c>
      <c r="C1772" s="1">
        <f ca="1">IFERROR(__xludf.DUMMYFUNCTION("""COMPUTED_VALUE"""),28.6)</f>
        <v>28.6</v>
      </c>
      <c r="D1772" s="1">
        <f ca="1">IFERROR(__xludf.DUMMYFUNCTION("""COMPUTED_VALUE"""),27.61)</f>
        <v>27.61</v>
      </c>
      <c r="E1772" s="1">
        <f ca="1">IFERROR(__xludf.DUMMYFUNCTION("""COMPUTED_VALUE"""),28)</f>
        <v>28</v>
      </c>
      <c r="F1772" s="1">
        <f ca="1">IFERROR(__xludf.DUMMYFUNCTION("""COMPUTED_VALUE"""),38341348)</f>
        <v>38341348</v>
      </c>
    </row>
    <row r="1773" spans="1:6" x14ac:dyDescent="0.35">
      <c r="A1773" s="2">
        <f ca="1">IFERROR(__xludf.DUMMYFUNCTION("""COMPUTED_VALUE"""),44574.6666666666)</f>
        <v>44574.666666666599</v>
      </c>
      <c r="B1773" s="1">
        <f ca="1">IFERROR(__xludf.DUMMYFUNCTION("""COMPUTED_VALUE"""),28.38)</f>
        <v>28.38</v>
      </c>
      <c r="C1773" s="1">
        <f ca="1">IFERROR(__xludf.DUMMYFUNCTION("""COMPUTED_VALUE"""),28.48)</f>
        <v>28.48</v>
      </c>
      <c r="D1773" s="1">
        <f ca="1">IFERROR(__xludf.DUMMYFUNCTION("""COMPUTED_VALUE"""),26.5)</f>
        <v>26.5</v>
      </c>
      <c r="E1773" s="1">
        <f ca="1">IFERROR(__xludf.DUMMYFUNCTION("""COMPUTED_VALUE"""),26.58)</f>
        <v>26.58</v>
      </c>
      <c r="F1773" s="1">
        <f ca="1">IFERROR(__xludf.DUMMYFUNCTION("""COMPUTED_VALUE"""),53886809)</f>
        <v>53886809</v>
      </c>
    </row>
    <row r="1774" spans="1:6" x14ac:dyDescent="0.35">
      <c r="A1774" s="2">
        <f ca="1">IFERROR(__xludf.DUMMYFUNCTION("""COMPUTED_VALUE"""),44575.6666666666)</f>
        <v>44575.666666666599</v>
      </c>
      <c r="B1774" s="1">
        <f ca="1">IFERROR(__xludf.DUMMYFUNCTION("""COMPUTED_VALUE"""),26.3)</f>
        <v>26.3</v>
      </c>
      <c r="C1774" s="1">
        <f ca="1">IFERROR(__xludf.DUMMYFUNCTION("""COMPUTED_VALUE"""),27.2)</f>
        <v>27.2</v>
      </c>
      <c r="D1774" s="1">
        <f ca="1">IFERROR(__xludf.DUMMYFUNCTION("""COMPUTED_VALUE"""),26.21)</f>
        <v>26.21</v>
      </c>
      <c r="E1774" s="1">
        <f ca="1">IFERROR(__xludf.DUMMYFUNCTION("""COMPUTED_VALUE"""),26.94)</f>
        <v>26.94</v>
      </c>
      <c r="F1774" s="1">
        <f ca="1">IFERROR(__xludf.DUMMYFUNCTION("""COMPUTED_VALUE"""),39583235)</f>
        <v>39583235</v>
      </c>
    </row>
    <row r="1775" spans="1:6" x14ac:dyDescent="0.35">
      <c r="A1775" s="2">
        <f ca="1">IFERROR(__xludf.DUMMYFUNCTION("""COMPUTED_VALUE"""),44579.6666666666)</f>
        <v>44579.666666666599</v>
      </c>
      <c r="B1775" s="1">
        <f ca="1">IFERROR(__xludf.DUMMYFUNCTION("""COMPUTED_VALUE"""),26.26)</f>
        <v>26.26</v>
      </c>
      <c r="C1775" s="1">
        <f ca="1">IFERROR(__xludf.DUMMYFUNCTION("""COMPUTED_VALUE"""),26.64)</f>
        <v>26.64</v>
      </c>
      <c r="D1775" s="1">
        <f ca="1">IFERROR(__xludf.DUMMYFUNCTION("""COMPUTED_VALUE"""),25.77)</f>
        <v>25.77</v>
      </c>
      <c r="E1775" s="1">
        <f ca="1">IFERROR(__xludf.DUMMYFUNCTION("""COMPUTED_VALUE"""),25.9)</f>
        <v>25.9</v>
      </c>
      <c r="F1775" s="1">
        <f ca="1">IFERROR(__xludf.DUMMYFUNCTION("""COMPUTED_VALUE"""),42530617)</f>
        <v>42530617</v>
      </c>
    </row>
    <row r="1776" spans="1:6" x14ac:dyDescent="0.35">
      <c r="A1776" s="2">
        <f ca="1">IFERROR(__xludf.DUMMYFUNCTION("""COMPUTED_VALUE"""),44580.6666666666)</f>
        <v>44580.666666666599</v>
      </c>
      <c r="B1776" s="1">
        <f ca="1">IFERROR(__xludf.DUMMYFUNCTION("""COMPUTED_VALUE"""),26.08)</f>
        <v>26.08</v>
      </c>
      <c r="C1776" s="1">
        <f ca="1">IFERROR(__xludf.DUMMYFUNCTION("""COMPUTED_VALUE"""),26.54)</f>
        <v>26.54</v>
      </c>
      <c r="D1776" s="1">
        <f ca="1">IFERROR(__xludf.DUMMYFUNCTION("""COMPUTED_VALUE"""),25.05)</f>
        <v>25.05</v>
      </c>
      <c r="E1776" s="1">
        <f ca="1">IFERROR(__xludf.DUMMYFUNCTION("""COMPUTED_VALUE"""),25.07)</f>
        <v>25.07</v>
      </c>
      <c r="F1776" s="1">
        <f ca="1">IFERROR(__xludf.DUMMYFUNCTION("""COMPUTED_VALUE"""),48831451)</f>
        <v>48831451</v>
      </c>
    </row>
    <row r="1777" spans="1:6" x14ac:dyDescent="0.35">
      <c r="A1777" s="2">
        <f ca="1">IFERROR(__xludf.DUMMYFUNCTION("""COMPUTED_VALUE"""),44581.6666666666)</f>
        <v>44581.666666666599</v>
      </c>
      <c r="B1777" s="1">
        <f ca="1">IFERROR(__xludf.DUMMYFUNCTION("""COMPUTED_VALUE"""),25.3)</f>
        <v>25.3</v>
      </c>
      <c r="C1777" s="1">
        <f ca="1">IFERROR(__xludf.DUMMYFUNCTION("""COMPUTED_VALUE"""),25.58)</f>
        <v>25.58</v>
      </c>
      <c r="D1777" s="1">
        <f ca="1">IFERROR(__xludf.DUMMYFUNCTION("""COMPUTED_VALUE"""),24.08)</f>
        <v>24.08</v>
      </c>
      <c r="E1777" s="1">
        <f ca="1">IFERROR(__xludf.DUMMYFUNCTION("""COMPUTED_VALUE"""),24.15)</f>
        <v>24.15</v>
      </c>
      <c r="F1777" s="1">
        <f ca="1">IFERROR(__xludf.DUMMYFUNCTION("""COMPUTED_VALUE"""),43518073)</f>
        <v>43518073</v>
      </c>
    </row>
    <row r="1778" spans="1:6" x14ac:dyDescent="0.35">
      <c r="A1778" s="2">
        <f ca="1">IFERROR(__xludf.DUMMYFUNCTION("""COMPUTED_VALUE"""),44582.6666666666)</f>
        <v>44582.666666666599</v>
      </c>
      <c r="B1778" s="1">
        <f ca="1">IFERROR(__xludf.DUMMYFUNCTION("""COMPUTED_VALUE"""),23.51)</f>
        <v>23.51</v>
      </c>
      <c r="C1778" s="1">
        <f ca="1">IFERROR(__xludf.DUMMYFUNCTION("""COMPUTED_VALUE"""),24.82)</f>
        <v>24.82</v>
      </c>
      <c r="D1778" s="1">
        <f ca="1">IFERROR(__xludf.DUMMYFUNCTION("""COMPUTED_VALUE"""),23.26)</f>
        <v>23.26</v>
      </c>
      <c r="E1778" s="1">
        <f ca="1">IFERROR(__xludf.DUMMYFUNCTION("""COMPUTED_VALUE"""),23.37)</f>
        <v>23.37</v>
      </c>
      <c r="F1778" s="1">
        <f ca="1">IFERROR(__xludf.DUMMYFUNCTION("""COMPUTED_VALUE"""),71895784)</f>
        <v>71895784</v>
      </c>
    </row>
    <row r="1779" spans="1:6" x14ac:dyDescent="0.35">
      <c r="A1779" s="2">
        <f ca="1">IFERROR(__xludf.DUMMYFUNCTION("""COMPUTED_VALUE"""),44585.6666666666)</f>
        <v>44585.666666666599</v>
      </c>
      <c r="B1779" s="1">
        <f ca="1">IFERROR(__xludf.DUMMYFUNCTION("""COMPUTED_VALUE"""),22.33)</f>
        <v>22.33</v>
      </c>
      <c r="C1779" s="1">
        <f ca="1">IFERROR(__xludf.DUMMYFUNCTION("""COMPUTED_VALUE"""),23.38)</f>
        <v>23.38</v>
      </c>
      <c r="D1779" s="1">
        <f ca="1">IFERROR(__xludf.DUMMYFUNCTION("""COMPUTED_VALUE"""),20.89)</f>
        <v>20.89</v>
      </c>
      <c r="E1779" s="1">
        <f ca="1">IFERROR(__xludf.DUMMYFUNCTION("""COMPUTED_VALUE"""),23.37)</f>
        <v>23.37</v>
      </c>
      <c r="F1779" s="1">
        <f ca="1">IFERROR(__xludf.DUMMYFUNCTION("""COMPUTED_VALUE"""),91581063)</f>
        <v>91581063</v>
      </c>
    </row>
    <row r="1780" spans="1:6" x14ac:dyDescent="0.35">
      <c r="A1780" s="2">
        <f ca="1">IFERROR(__xludf.DUMMYFUNCTION("""COMPUTED_VALUE"""),44586.6666666666)</f>
        <v>44586.666666666599</v>
      </c>
      <c r="B1780" s="1">
        <f ca="1">IFERROR(__xludf.DUMMYFUNCTION("""COMPUTED_VALUE"""),22.55)</f>
        <v>22.55</v>
      </c>
      <c r="C1780" s="1">
        <f ca="1">IFERROR(__xludf.DUMMYFUNCTION("""COMPUTED_VALUE"""),22.94)</f>
        <v>22.94</v>
      </c>
      <c r="D1780" s="1">
        <f ca="1">IFERROR(__xludf.DUMMYFUNCTION("""COMPUTED_VALUE"""),22)</f>
        <v>22</v>
      </c>
      <c r="E1780" s="1">
        <f ca="1">IFERROR(__xludf.DUMMYFUNCTION("""COMPUTED_VALUE"""),22.32)</f>
        <v>22.32</v>
      </c>
      <c r="F1780" s="1">
        <f ca="1">IFERROR(__xludf.DUMMYFUNCTION("""COMPUTED_VALUE"""),66461636)</f>
        <v>66461636</v>
      </c>
    </row>
    <row r="1781" spans="1:6" x14ac:dyDescent="0.35">
      <c r="A1781" s="2">
        <f ca="1">IFERROR(__xludf.DUMMYFUNCTION("""COMPUTED_VALUE"""),44587.6666666666)</f>
        <v>44587.666666666599</v>
      </c>
      <c r="B1781" s="1">
        <f ca="1">IFERROR(__xludf.DUMMYFUNCTION("""COMPUTED_VALUE"""),23.24)</f>
        <v>23.24</v>
      </c>
      <c r="C1781" s="1">
        <f ca="1">IFERROR(__xludf.DUMMYFUNCTION("""COMPUTED_VALUE"""),24.06)</f>
        <v>24.06</v>
      </c>
      <c r="D1781" s="1">
        <f ca="1">IFERROR(__xludf.DUMMYFUNCTION("""COMPUTED_VALUE"""),22.3)</f>
        <v>22.3</v>
      </c>
      <c r="E1781" s="1">
        <f ca="1">IFERROR(__xludf.DUMMYFUNCTION("""COMPUTED_VALUE"""),22.77)</f>
        <v>22.77</v>
      </c>
      <c r="F1781" s="1">
        <f ca="1">IFERROR(__xludf.DUMMYFUNCTION("""COMPUTED_VALUE"""),75595873)</f>
        <v>75595873</v>
      </c>
    </row>
    <row r="1782" spans="1:6" x14ac:dyDescent="0.35">
      <c r="A1782" s="2">
        <f ca="1">IFERROR(__xludf.DUMMYFUNCTION("""COMPUTED_VALUE"""),44588.6666666666)</f>
        <v>44588.666666666599</v>
      </c>
      <c r="B1782" s="1">
        <f ca="1">IFERROR(__xludf.DUMMYFUNCTION("""COMPUTED_VALUE"""),23.57)</f>
        <v>23.57</v>
      </c>
      <c r="C1782" s="1">
        <f ca="1">IFERROR(__xludf.DUMMYFUNCTION("""COMPUTED_VALUE"""),24)</f>
        <v>24</v>
      </c>
      <c r="D1782" s="1">
        <f ca="1">IFERROR(__xludf.DUMMYFUNCTION("""COMPUTED_VALUE"""),21.68)</f>
        <v>21.68</v>
      </c>
      <c r="E1782" s="1">
        <f ca="1">IFERROR(__xludf.DUMMYFUNCTION("""COMPUTED_VALUE"""),21.94)</f>
        <v>21.94</v>
      </c>
      <c r="F1782" s="1">
        <f ca="1">IFERROR(__xludf.DUMMYFUNCTION("""COMPUTED_VALUE"""),57335272)</f>
        <v>57335272</v>
      </c>
    </row>
    <row r="1783" spans="1:6" x14ac:dyDescent="0.35">
      <c r="A1783" s="2">
        <f ca="1">IFERROR(__xludf.DUMMYFUNCTION("""COMPUTED_VALUE"""),44589.6666666666)</f>
        <v>44589.666666666599</v>
      </c>
      <c r="B1783" s="1">
        <f ca="1">IFERROR(__xludf.DUMMYFUNCTION("""COMPUTED_VALUE"""),22.01)</f>
        <v>22.01</v>
      </c>
      <c r="C1783" s="1">
        <f ca="1">IFERROR(__xludf.DUMMYFUNCTION("""COMPUTED_VALUE"""),22.86)</f>
        <v>22.86</v>
      </c>
      <c r="D1783" s="1">
        <f ca="1">IFERROR(__xludf.DUMMYFUNCTION("""COMPUTED_VALUE"""),21.3)</f>
        <v>21.3</v>
      </c>
      <c r="E1783" s="1">
        <f ca="1">IFERROR(__xludf.DUMMYFUNCTION("""COMPUTED_VALUE"""),22.84)</f>
        <v>22.84</v>
      </c>
      <c r="F1783" s="1">
        <f ca="1">IFERROR(__xludf.DUMMYFUNCTION("""COMPUTED_VALUE"""),54377425)</f>
        <v>54377425</v>
      </c>
    </row>
    <row r="1784" spans="1:6" x14ac:dyDescent="0.35">
      <c r="A1784" s="2">
        <f ca="1">IFERROR(__xludf.DUMMYFUNCTION("""COMPUTED_VALUE"""),44592.6666666666)</f>
        <v>44592.666666666599</v>
      </c>
      <c r="B1784" s="1">
        <f ca="1">IFERROR(__xludf.DUMMYFUNCTION("""COMPUTED_VALUE"""),23.18)</f>
        <v>23.18</v>
      </c>
      <c r="C1784" s="1">
        <f ca="1">IFERROR(__xludf.DUMMYFUNCTION("""COMPUTED_VALUE"""),24.51)</f>
        <v>24.51</v>
      </c>
      <c r="D1784" s="1">
        <f ca="1">IFERROR(__xludf.DUMMYFUNCTION("""COMPUTED_VALUE"""),23.05)</f>
        <v>23.05</v>
      </c>
      <c r="E1784" s="1">
        <f ca="1">IFERROR(__xludf.DUMMYFUNCTION("""COMPUTED_VALUE"""),24.49)</f>
        <v>24.49</v>
      </c>
      <c r="F1784" s="1">
        <f ca="1">IFERROR(__xludf.DUMMYFUNCTION("""COMPUTED_VALUE"""),56467968)</f>
        <v>56467968</v>
      </c>
    </row>
    <row r="1785" spans="1:6" x14ac:dyDescent="0.35">
      <c r="A1785" s="2">
        <f ca="1">IFERROR(__xludf.DUMMYFUNCTION("""COMPUTED_VALUE"""),44593.6666666666)</f>
        <v>44593.666666666599</v>
      </c>
      <c r="B1785" s="1">
        <f ca="1">IFERROR(__xludf.DUMMYFUNCTION("""COMPUTED_VALUE"""),25.1)</f>
        <v>25.1</v>
      </c>
      <c r="C1785" s="1">
        <f ca="1">IFERROR(__xludf.DUMMYFUNCTION("""COMPUTED_VALUE"""),25.15)</f>
        <v>25.15</v>
      </c>
      <c r="D1785" s="1">
        <f ca="1">IFERROR(__xludf.DUMMYFUNCTION("""COMPUTED_VALUE"""),23.89)</f>
        <v>23.89</v>
      </c>
      <c r="E1785" s="1">
        <f ca="1">IFERROR(__xludf.DUMMYFUNCTION("""COMPUTED_VALUE"""),24.64)</f>
        <v>24.64</v>
      </c>
      <c r="F1785" s="1">
        <f ca="1">IFERROR(__xludf.DUMMYFUNCTION("""COMPUTED_VALUE"""),51892517)</f>
        <v>51892517</v>
      </c>
    </row>
    <row r="1786" spans="1:6" x14ac:dyDescent="0.35">
      <c r="A1786" s="2">
        <f ca="1">IFERROR(__xludf.DUMMYFUNCTION("""COMPUTED_VALUE"""),44594.6666666666)</f>
        <v>44594.666666666599</v>
      </c>
      <c r="B1786" s="1">
        <f ca="1">IFERROR(__xludf.DUMMYFUNCTION("""COMPUTED_VALUE"""),25.79)</f>
        <v>25.79</v>
      </c>
      <c r="C1786" s="1">
        <f ca="1">IFERROR(__xludf.DUMMYFUNCTION("""COMPUTED_VALUE"""),25.82)</f>
        <v>25.82</v>
      </c>
      <c r="D1786" s="1">
        <f ca="1">IFERROR(__xludf.DUMMYFUNCTION("""COMPUTED_VALUE"""),24.55)</f>
        <v>24.55</v>
      </c>
      <c r="E1786" s="1">
        <f ca="1">IFERROR(__xludf.DUMMYFUNCTION("""COMPUTED_VALUE"""),25.24)</f>
        <v>25.24</v>
      </c>
      <c r="F1786" s="1">
        <f ca="1">IFERROR(__xludf.DUMMYFUNCTION("""COMPUTED_VALUE"""),54341941)</f>
        <v>54341941</v>
      </c>
    </row>
    <row r="1787" spans="1:6" x14ac:dyDescent="0.35">
      <c r="A1787" s="2">
        <f ca="1">IFERROR(__xludf.DUMMYFUNCTION("""COMPUTED_VALUE"""),44595.6666666666)</f>
        <v>44595.666666666599</v>
      </c>
      <c r="B1787" s="1">
        <f ca="1">IFERROR(__xludf.DUMMYFUNCTION("""COMPUTED_VALUE"""),24.46)</f>
        <v>24.46</v>
      </c>
      <c r="C1787" s="1">
        <f ca="1">IFERROR(__xludf.DUMMYFUNCTION("""COMPUTED_VALUE"""),25.08)</f>
        <v>25.08</v>
      </c>
      <c r="D1787" s="1">
        <f ca="1">IFERROR(__xludf.DUMMYFUNCTION("""COMPUTED_VALUE"""),23.78)</f>
        <v>23.78</v>
      </c>
      <c r="E1787" s="1">
        <f ca="1">IFERROR(__xludf.DUMMYFUNCTION("""COMPUTED_VALUE"""),23.95)</f>
        <v>23.95</v>
      </c>
      <c r="F1787" s="1">
        <f ca="1">IFERROR(__xludf.DUMMYFUNCTION("""COMPUTED_VALUE"""),41017778)</f>
        <v>41017778</v>
      </c>
    </row>
    <row r="1788" spans="1:6" x14ac:dyDescent="0.35">
      <c r="A1788" s="2">
        <f ca="1">IFERROR(__xludf.DUMMYFUNCTION("""COMPUTED_VALUE"""),44596.6666666666)</f>
        <v>44596.666666666599</v>
      </c>
      <c r="B1788" s="1">
        <f ca="1">IFERROR(__xludf.DUMMYFUNCTION("""COMPUTED_VALUE"""),23.97)</f>
        <v>23.97</v>
      </c>
      <c r="C1788" s="1">
        <f ca="1">IFERROR(__xludf.DUMMYFUNCTION("""COMPUTED_VALUE"""),24.64)</f>
        <v>24.64</v>
      </c>
      <c r="D1788" s="1">
        <f ca="1">IFERROR(__xludf.DUMMYFUNCTION("""COMPUTED_VALUE"""),23.63)</f>
        <v>23.63</v>
      </c>
      <c r="E1788" s="1">
        <f ca="1">IFERROR(__xludf.DUMMYFUNCTION("""COMPUTED_VALUE"""),24.32)</f>
        <v>24.32</v>
      </c>
      <c r="F1788" s="1">
        <f ca="1">IFERROR(__xludf.DUMMYFUNCTION("""COMPUTED_VALUE"""),35482850)</f>
        <v>35482850</v>
      </c>
    </row>
    <row r="1789" spans="1:6" x14ac:dyDescent="0.35">
      <c r="A1789" s="2">
        <f ca="1">IFERROR(__xludf.DUMMYFUNCTION("""COMPUTED_VALUE"""),44599.6666666666)</f>
        <v>44599.666666666599</v>
      </c>
      <c r="B1789" s="1">
        <f ca="1">IFERROR(__xludf.DUMMYFUNCTION("""COMPUTED_VALUE"""),24.37)</f>
        <v>24.37</v>
      </c>
      <c r="C1789" s="1">
        <f ca="1">IFERROR(__xludf.DUMMYFUNCTION("""COMPUTED_VALUE"""),25.18)</f>
        <v>25.18</v>
      </c>
      <c r="D1789" s="1">
        <f ca="1">IFERROR(__xludf.DUMMYFUNCTION("""COMPUTED_VALUE"""),24.2)</f>
        <v>24.2</v>
      </c>
      <c r="E1789" s="1">
        <f ca="1">IFERROR(__xludf.DUMMYFUNCTION("""COMPUTED_VALUE"""),24.73)</f>
        <v>24.73</v>
      </c>
      <c r="F1789" s="1">
        <f ca="1">IFERROR(__xludf.DUMMYFUNCTION("""COMPUTED_VALUE"""),37686750)</f>
        <v>37686750</v>
      </c>
    </row>
    <row r="1790" spans="1:6" x14ac:dyDescent="0.35">
      <c r="A1790" s="2">
        <f ca="1">IFERROR(__xludf.DUMMYFUNCTION("""COMPUTED_VALUE"""),44600.6666666666)</f>
        <v>44600.666666666599</v>
      </c>
      <c r="B1790" s="1">
        <f ca="1">IFERROR(__xludf.DUMMYFUNCTION("""COMPUTED_VALUE"""),24.36)</f>
        <v>24.36</v>
      </c>
      <c r="C1790" s="1">
        <f ca="1">IFERROR(__xludf.DUMMYFUNCTION("""COMPUTED_VALUE"""),25.23)</f>
        <v>25.23</v>
      </c>
      <c r="D1790" s="1">
        <f ca="1">IFERROR(__xludf.DUMMYFUNCTION("""COMPUTED_VALUE"""),23.98)</f>
        <v>23.98</v>
      </c>
      <c r="E1790" s="1">
        <f ca="1">IFERROR(__xludf.DUMMYFUNCTION("""COMPUTED_VALUE"""),25.11)</f>
        <v>25.11</v>
      </c>
      <c r="F1790" s="1">
        <f ca="1">IFERROR(__xludf.DUMMYFUNCTION("""COMPUTED_VALUE"""),41035864)</f>
        <v>41035864</v>
      </c>
    </row>
    <row r="1791" spans="1:6" x14ac:dyDescent="0.35">
      <c r="A1791" s="2">
        <f ca="1">IFERROR(__xludf.DUMMYFUNCTION("""COMPUTED_VALUE"""),44601.6666666666)</f>
        <v>44601.666666666599</v>
      </c>
      <c r="B1791" s="1">
        <f ca="1">IFERROR(__xludf.DUMMYFUNCTION("""COMPUTED_VALUE"""),25.62)</f>
        <v>25.62</v>
      </c>
      <c r="C1791" s="1">
        <f ca="1">IFERROR(__xludf.DUMMYFUNCTION("""COMPUTED_VALUE"""),26.73)</f>
        <v>26.73</v>
      </c>
      <c r="D1791" s="1">
        <f ca="1">IFERROR(__xludf.DUMMYFUNCTION("""COMPUTED_VALUE"""),25.35)</f>
        <v>25.35</v>
      </c>
      <c r="E1791" s="1">
        <f ca="1">IFERROR(__xludf.DUMMYFUNCTION("""COMPUTED_VALUE"""),26.71)</f>
        <v>26.71</v>
      </c>
      <c r="F1791" s="1">
        <f ca="1">IFERROR(__xludf.DUMMYFUNCTION("""COMPUTED_VALUE"""),52428166)</f>
        <v>52428166</v>
      </c>
    </row>
    <row r="1792" spans="1:6" x14ac:dyDescent="0.35">
      <c r="A1792" s="2">
        <f ca="1">IFERROR(__xludf.DUMMYFUNCTION("""COMPUTED_VALUE"""),44602.6666666666)</f>
        <v>44602.666666666599</v>
      </c>
      <c r="B1792" s="1">
        <f ca="1">IFERROR(__xludf.DUMMYFUNCTION("""COMPUTED_VALUE"""),26)</f>
        <v>26</v>
      </c>
      <c r="C1792" s="1">
        <f ca="1">IFERROR(__xludf.DUMMYFUNCTION("""COMPUTED_VALUE"""),26.92)</f>
        <v>26.92</v>
      </c>
      <c r="D1792" s="1">
        <f ca="1">IFERROR(__xludf.DUMMYFUNCTION("""COMPUTED_VALUE"""),25.6)</f>
        <v>25.6</v>
      </c>
      <c r="E1792" s="1">
        <f ca="1">IFERROR(__xludf.DUMMYFUNCTION("""COMPUTED_VALUE"""),25.82)</f>
        <v>25.82</v>
      </c>
      <c r="F1792" s="1">
        <f ca="1">IFERROR(__xludf.DUMMYFUNCTION("""COMPUTED_VALUE"""),51319972)</f>
        <v>51319972</v>
      </c>
    </row>
    <row r="1793" spans="1:6" x14ac:dyDescent="0.35">
      <c r="A1793" s="2">
        <f ca="1">IFERROR(__xludf.DUMMYFUNCTION("""COMPUTED_VALUE"""),44603.6666666666)</f>
        <v>44603.666666666599</v>
      </c>
      <c r="B1793" s="1">
        <f ca="1">IFERROR(__xludf.DUMMYFUNCTION("""COMPUTED_VALUE"""),25.92)</f>
        <v>25.92</v>
      </c>
      <c r="C1793" s="1">
        <f ca="1">IFERROR(__xludf.DUMMYFUNCTION("""COMPUTED_VALUE"""),26.15)</f>
        <v>26.15</v>
      </c>
      <c r="D1793" s="1">
        <f ca="1">IFERROR(__xludf.DUMMYFUNCTION("""COMPUTED_VALUE"""),23.77)</f>
        <v>23.77</v>
      </c>
      <c r="E1793" s="1">
        <f ca="1">IFERROR(__xludf.DUMMYFUNCTION("""COMPUTED_VALUE"""),23.95)</f>
        <v>23.95</v>
      </c>
      <c r="F1793" s="1">
        <f ca="1">IFERROR(__xludf.DUMMYFUNCTION("""COMPUTED_VALUE"""),60547198)</f>
        <v>60547198</v>
      </c>
    </row>
    <row r="1794" spans="1:6" x14ac:dyDescent="0.35">
      <c r="A1794" s="2">
        <f ca="1">IFERROR(__xludf.DUMMYFUNCTION("""COMPUTED_VALUE"""),44606.6666666666)</f>
        <v>44606.666666666599</v>
      </c>
      <c r="B1794" s="1">
        <f ca="1">IFERROR(__xludf.DUMMYFUNCTION("""COMPUTED_VALUE"""),23.93)</f>
        <v>23.93</v>
      </c>
      <c r="C1794" s="1">
        <f ca="1">IFERROR(__xludf.DUMMYFUNCTION("""COMPUTED_VALUE"""),24.88)</f>
        <v>24.88</v>
      </c>
      <c r="D1794" s="1">
        <f ca="1">IFERROR(__xludf.DUMMYFUNCTION("""COMPUTED_VALUE"""),23.76)</f>
        <v>23.76</v>
      </c>
      <c r="E1794" s="1">
        <f ca="1">IFERROR(__xludf.DUMMYFUNCTION("""COMPUTED_VALUE"""),24.27)</f>
        <v>24.27</v>
      </c>
      <c r="F1794" s="1">
        <f ca="1">IFERROR(__xludf.DUMMYFUNCTION("""COMPUTED_VALUE"""),44042443)</f>
        <v>44042443</v>
      </c>
    </row>
    <row r="1795" spans="1:6" x14ac:dyDescent="0.35">
      <c r="A1795" s="2">
        <f ca="1">IFERROR(__xludf.DUMMYFUNCTION("""COMPUTED_VALUE"""),44607.6666666666)</f>
        <v>44607.666666666599</v>
      </c>
      <c r="B1795" s="1">
        <f ca="1">IFERROR(__xludf.DUMMYFUNCTION("""COMPUTED_VALUE"""),24.95)</f>
        <v>24.95</v>
      </c>
      <c r="C1795" s="1">
        <f ca="1">IFERROR(__xludf.DUMMYFUNCTION("""COMPUTED_VALUE"""),26.55)</f>
        <v>26.55</v>
      </c>
      <c r="D1795" s="1">
        <f ca="1">IFERROR(__xludf.DUMMYFUNCTION("""COMPUTED_VALUE"""),24.78)</f>
        <v>24.78</v>
      </c>
      <c r="E1795" s="1">
        <f ca="1">IFERROR(__xludf.DUMMYFUNCTION("""COMPUTED_VALUE"""),26.5)</f>
        <v>26.5</v>
      </c>
      <c r="F1795" s="1">
        <f ca="1">IFERROR(__xludf.DUMMYFUNCTION("""COMPUTED_VALUE"""),70175280)</f>
        <v>70175280</v>
      </c>
    </row>
    <row r="1796" spans="1:6" x14ac:dyDescent="0.35">
      <c r="A1796" s="2">
        <f ca="1">IFERROR(__xludf.DUMMYFUNCTION("""COMPUTED_VALUE"""),44608.6666666666)</f>
        <v>44608.666666666599</v>
      </c>
      <c r="B1796" s="1">
        <f ca="1">IFERROR(__xludf.DUMMYFUNCTION("""COMPUTED_VALUE"""),26.26)</f>
        <v>26.26</v>
      </c>
      <c r="C1796" s="1">
        <f ca="1">IFERROR(__xludf.DUMMYFUNCTION("""COMPUTED_VALUE"""),26.58)</f>
        <v>26.58</v>
      </c>
      <c r="D1796" s="1">
        <f ca="1">IFERROR(__xludf.DUMMYFUNCTION("""COMPUTED_VALUE"""),25.55)</f>
        <v>25.55</v>
      </c>
      <c r="E1796" s="1">
        <f ca="1">IFERROR(__xludf.DUMMYFUNCTION("""COMPUTED_VALUE"""),26.51)</f>
        <v>26.51</v>
      </c>
      <c r="F1796" s="1">
        <f ca="1">IFERROR(__xludf.DUMMYFUNCTION("""COMPUTED_VALUE"""),73267633)</f>
        <v>73267633</v>
      </c>
    </row>
    <row r="1797" spans="1:6" x14ac:dyDescent="0.35">
      <c r="A1797" s="2">
        <f ca="1">IFERROR(__xludf.DUMMYFUNCTION("""COMPUTED_VALUE"""),44609.6666666666)</f>
        <v>44609.666666666599</v>
      </c>
      <c r="B1797" s="1">
        <f ca="1">IFERROR(__xludf.DUMMYFUNCTION("""COMPUTED_VALUE"""),25.63)</f>
        <v>25.63</v>
      </c>
      <c r="C1797" s="1">
        <f ca="1">IFERROR(__xludf.DUMMYFUNCTION("""COMPUTED_VALUE"""),25.79)</f>
        <v>25.79</v>
      </c>
      <c r="D1797" s="1">
        <f ca="1">IFERROR(__xludf.DUMMYFUNCTION("""COMPUTED_VALUE"""),24.17)</f>
        <v>24.17</v>
      </c>
      <c r="E1797" s="1">
        <f ca="1">IFERROR(__xludf.DUMMYFUNCTION("""COMPUTED_VALUE"""),24.51)</f>
        <v>24.51</v>
      </c>
      <c r="F1797" s="1">
        <f ca="1">IFERROR(__xludf.DUMMYFUNCTION("""COMPUTED_VALUE"""),81059508)</f>
        <v>81059508</v>
      </c>
    </row>
    <row r="1798" spans="1:6" x14ac:dyDescent="0.35">
      <c r="A1798" s="2">
        <f ca="1">IFERROR(__xludf.DUMMYFUNCTION("""COMPUTED_VALUE"""),44610.6666666666)</f>
        <v>44610.666666666599</v>
      </c>
      <c r="B1798" s="1">
        <f ca="1">IFERROR(__xludf.DUMMYFUNCTION("""COMPUTED_VALUE"""),24.67)</f>
        <v>24.67</v>
      </c>
      <c r="C1798" s="1">
        <f ca="1">IFERROR(__xludf.DUMMYFUNCTION("""COMPUTED_VALUE"""),24.99)</f>
        <v>24.99</v>
      </c>
      <c r="D1798" s="1">
        <f ca="1">IFERROR(__xludf.DUMMYFUNCTION("""COMPUTED_VALUE"""),23.1)</f>
        <v>23.1</v>
      </c>
      <c r="E1798" s="1">
        <f ca="1">IFERROR(__xludf.DUMMYFUNCTION("""COMPUTED_VALUE"""),23.64)</f>
        <v>23.64</v>
      </c>
      <c r="F1798" s="1">
        <f ca="1">IFERROR(__xludf.DUMMYFUNCTION("""COMPUTED_VALUE"""),76125491)</f>
        <v>76125491</v>
      </c>
    </row>
    <row r="1799" spans="1:6" x14ac:dyDescent="0.35">
      <c r="A1799" s="2">
        <f ca="1">IFERROR(__xludf.DUMMYFUNCTION("""COMPUTED_VALUE"""),44614.6666666666)</f>
        <v>44614.666666666599</v>
      </c>
      <c r="B1799" s="1">
        <f ca="1">IFERROR(__xludf.DUMMYFUNCTION("""COMPUTED_VALUE"""),23.04)</f>
        <v>23.04</v>
      </c>
      <c r="C1799" s="1">
        <f ca="1">IFERROR(__xludf.DUMMYFUNCTION("""COMPUTED_VALUE"""),24.06)</f>
        <v>24.06</v>
      </c>
      <c r="D1799" s="1">
        <f ca="1">IFERROR(__xludf.DUMMYFUNCTION("""COMPUTED_VALUE"""),23)</f>
        <v>23</v>
      </c>
      <c r="E1799" s="1">
        <f ca="1">IFERROR(__xludf.DUMMYFUNCTION("""COMPUTED_VALUE"""),23.39)</f>
        <v>23.39</v>
      </c>
      <c r="F1799" s="1">
        <f ca="1">IFERROR(__xludf.DUMMYFUNCTION("""COMPUTED_VALUE"""),63342244)</f>
        <v>63342244</v>
      </c>
    </row>
    <row r="1800" spans="1:6" x14ac:dyDescent="0.35">
      <c r="A1800" s="2">
        <f ca="1">IFERROR(__xludf.DUMMYFUNCTION("""COMPUTED_VALUE"""),44615.6666666666)</f>
        <v>44615.666666666599</v>
      </c>
      <c r="B1800" s="1">
        <f ca="1">IFERROR(__xludf.DUMMYFUNCTION("""COMPUTED_VALUE"""),23.8)</f>
        <v>23.8</v>
      </c>
      <c r="C1800" s="1">
        <f ca="1">IFERROR(__xludf.DUMMYFUNCTION("""COMPUTED_VALUE"""),24.15)</f>
        <v>24.15</v>
      </c>
      <c r="D1800" s="1">
        <f ca="1">IFERROR(__xludf.DUMMYFUNCTION("""COMPUTED_VALUE"""),22.3)</f>
        <v>22.3</v>
      </c>
      <c r="E1800" s="1">
        <f ca="1">IFERROR(__xludf.DUMMYFUNCTION("""COMPUTED_VALUE"""),22.39)</f>
        <v>22.39</v>
      </c>
      <c r="F1800" s="1">
        <f ca="1">IFERROR(__xludf.DUMMYFUNCTION("""COMPUTED_VALUE"""),56651077)</f>
        <v>56651077</v>
      </c>
    </row>
    <row r="1801" spans="1:6" x14ac:dyDescent="0.35">
      <c r="A1801" s="2">
        <f ca="1">IFERROR(__xludf.DUMMYFUNCTION("""COMPUTED_VALUE"""),44616.6666666666)</f>
        <v>44616.666666666599</v>
      </c>
      <c r="B1801" s="1">
        <f ca="1">IFERROR(__xludf.DUMMYFUNCTION("""COMPUTED_VALUE"""),21.02)</f>
        <v>21.02</v>
      </c>
      <c r="C1801" s="1">
        <f ca="1">IFERROR(__xludf.DUMMYFUNCTION("""COMPUTED_VALUE"""),23.8)</f>
        <v>23.8</v>
      </c>
      <c r="D1801" s="1">
        <f ca="1">IFERROR(__xludf.DUMMYFUNCTION("""COMPUTED_VALUE"""),20.89)</f>
        <v>20.89</v>
      </c>
      <c r="E1801" s="1">
        <f ca="1">IFERROR(__xludf.DUMMYFUNCTION("""COMPUTED_VALUE"""),23.75)</f>
        <v>23.75</v>
      </c>
      <c r="F1801" s="1">
        <f ca="1">IFERROR(__xludf.DUMMYFUNCTION("""COMPUTED_VALUE"""),73580063)</f>
        <v>73580063</v>
      </c>
    </row>
    <row r="1802" spans="1:6" x14ac:dyDescent="0.35">
      <c r="A1802" s="2">
        <f ca="1">IFERROR(__xludf.DUMMYFUNCTION("""COMPUTED_VALUE"""),44617.6666666666)</f>
        <v>44617.666666666599</v>
      </c>
      <c r="B1802" s="1">
        <f ca="1">IFERROR(__xludf.DUMMYFUNCTION("""COMPUTED_VALUE"""),23.72)</f>
        <v>23.72</v>
      </c>
      <c r="C1802" s="1">
        <f ca="1">IFERROR(__xludf.DUMMYFUNCTION("""COMPUTED_VALUE"""),24.22)</f>
        <v>24.22</v>
      </c>
      <c r="D1802" s="1">
        <f ca="1">IFERROR(__xludf.DUMMYFUNCTION("""COMPUTED_VALUE"""),23.38)</f>
        <v>23.38</v>
      </c>
      <c r="E1802" s="1">
        <f ca="1">IFERROR(__xludf.DUMMYFUNCTION("""COMPUTED_VALUE"""),24.16)</f>
        <v>24.16</v>
      </c>
      <c r="F1802" s="1">
        <f ca="1">IFERROR(__xludf.DUMMYFUNCTION("""COMPUTED_VALUE"""),52886551)</f>
        <v>52886551</v>
      </c>
    </row>
    <row r="1803" spans="1:6" x14ac:dyDescent="0.35">
      <c r="A1803" s="2">
        <f ca="1">IFERROR(__xludf.DUMMYFUNCTION("""COMPUTED_VALUE"""),44620.6666666666)</f>
        <v>44620.666666666599</v>
      </c>
      <c r="B1803" s="1">
        <f ca="1">IFERROR(__xludf.DUMMYFUNCTION("""COMPUTED_VALUE"""),23.99)</f>
        <v>23.99</v>
      </c>
      <c r="C1803" s="1">
        <f ca="1">IFERROR(__xludf.DUMMYFUNCTION("""COMPUTED_VALUE"""),24.67)</f>
        <v>24.67</v>
      </c>
      <c r="D1803" s="1">
        <f ca="1">IFERROR(__xludf.DUMMYFUNCTION("""COMPUTED_VALUE"""),23.71)</f>
        <v>23.71</v>
      </c>
      <c r="E1803" s="1">
        <f ca="1">IFERROR(__xludf.DUMMYFUNCTION("""COMPUTED_VALUE"""),24.39)</f>
        <v>24.39</v>
      </c>
      <c r="F1803" s="1">
        <f ca="1">IFERROR(__xludf.DUMMYFUNCTION("""COMPUTED_VALUE"""),47731861)</f>
        <v>47731861</v>
      </c>
    </row>
    <row r="1804" spans="1:6" x14ac:dyDescent="0.35">
      <c r="A1804" s="2">
        <f ca="1">IFERROR(__xludf.DUMMYFUNCTION("""COMPUTED_VALUE"""),44621.6666666666)</f>
        <v>44621.666666666599</v>
      </c>
      <c r="B1804" s="1">
        <f ca="1">IFERROR(__xludf.DUMMYFUNCTION("""COMPUTED_VALUE"""),24.29)</f>
        <v>24.29</v>
      </c>
      <c r="C1804" s="1">
        <f ca="1">IFERROR(__xludf.DUMMYFUNCTION("""COMPUTED_VALUE"""),24.38)</f>
        <v>24.38</v>
      </c>
      <c r="D1804" s="1">
        <f ca="1">IFERROR(__xludf.DUMMYFUNCTION("""COMPUTED_VALUE"""),23.13)</f>
        <v>23.13</v>
      </c>
      <c r="E1804" s="1">
        <f ca="1">IFERROR(__xludf.DUMMYFUNCTION("""COMPUTED_VALUE"""),23.48)</f>
        <v>23.48</v>
      </c>
      <c r="F1804" s="1">
        <f ca="1">IFERROR(__xludf.DUMMYFUNCTION("""COMPUTED_VALUE"""),41205598)</f>
        <v>41205598</v>
      </c>
    </row>
    <row r="1805" spans="1:6" x14ac:dyDescent="0.35">
      <c r="A1805" s="2">
        <f ca="1">IFERROR(__xludf.DUMMYFUNCTION("""COMPUTED_VALUE"""),44622.6666666666)</f>
        <v>44622.666666666599</v>
      </c>
      <c r="B1805" s="1">
        <f ca="1">IFERROR(__xludf.DUMMYFUNCTION("""COMPUTED_VALUE"""),23.76)</f>
        <v>23.76</v>
      </c>
      <c r="C1805" s="1">
        <f ca="1">IFERROR(__xludf.DUMMYFUNCTION("""COMPUTED_VALUE"""),24.41)</f>
        <v>24.41</v>
      </c>
      <c r="D1805" s="1">
        <f ca="1">IFERROR(__xludf.DUMMYFUNCTION("""COMPUTED_VALUE"""),23.42)</f>
        <v>23.42</v>
      </c>
      <c r="E1805" s="1">
        <f ca="1">IFERROR(__xludf.DUMMYFUNCTION("""COMPUTED_VALUE"""),24.22)</f>
        <v>24.22</v>
      </c>
      <c r="F1805" s="1">
        <f ca="1">IFERROR(__xludf.DUMMYFUNCTION("""COMPUTED_VALUE"""),38964185)</f>
        <v>38964185</v>
      </c>
    </row>
    <row r="1806" spans="1:6" x14ac:dyDescent="0.35">
      <c r="A1806" s="2">
        <f ca="1">IFERROR(__xludf.DUMMYFUNCTION("""COMPUTED_VALUE"""),44623.6666666666)</f>
        <v>44623.666666666599</v>
      </c>
      <c r="B1806" s="1">
        <f ca="1">IFERROR(__xludf.DUMMYFUNCTION("""COMPUTED_VALUE"""),24.26)</f>
        <v>24.26</v>
      </c>
      <c r="C1806" s="1">
        <f ca="1">IFERROR(__xludf.DUMMYFUNCTION("""COMPUTED_VALUE"""),24.33)</f>
        <v>24.33</v>
      </c>
      <c r="D1806" s="1">
        <f ca="1">IFERROR(__xludf.DUMMYFUNCTION("""COMPUTED_VALUE"""),23.47)</f>
        <v>23.47</v>
      </c>
      <c r="E1806" s="1">
        <f ca="1">IFERROR(__xludf.DUMMYFUNCTION("""COMPUTED_VALUE"""),23.71)</f>
        <v>23.71</v>
      </c>
      <c r="F1806" s="1">
        <f ca="1">IFERROR(__xludf.DUMMYFUNCTION("""COMPUTED_VALUE"""),36509504)</f>
        <v>36509504</v>
      </c>
    </row>
    <row r="1807" spans="1:6" x14ac:dyDescent="0.35">
      <c r="A1807" s="2">
        <f ca="1">IFERROR(__xludf.DUMMYFUNCTION("""COMPUTED_VALUE"""),44624.6666666666)</f>
        <v>44624.666666666599</v>
      </c>
      <c r="B1807" s="1">
        <f ca="1">IFERROR(__xludf.DUMMYFUNCTION("""COMPUTED_VALUE"""),23.38)</f>
        <v>23.38</v>
      </c>
      <c r="C1807" s="1">
        <f ca="1">IFERROR(__xludf.DUMMYFUNCTION("""COMPUTED_VALUE"""),23.68)</f>
        <v>23.68</v>
      </c>
      <c r="D1807" s="1">
        <f ca="1">IFERROR(__xludf.DUMMYFUNCTION("""COMPUTED_VALUE"""),22.48)</f>
        <v>22.48</v>
      </c>
      <c r="E1807" s="1">
        <f ca="1">IFERROR(__xludf.DUMMYFUNCTION("""COMPUTED_VALUE"""),22.94)</f>
        <v>22.94</v>
      </c>
      <c r="F1807" s="1">
        <f ca="1">IFERROR(__xludf.DUMMYFUNCTION("""COMPUTED_VALUE"""),43201070)</f>
        <v>43201070</v>
      </c>
    </row>
    <row r="1808" spans="1:6" x14ac:dyDescent="0.35">
      <c r="A1808" s="2">
        <f ca="1">IFERROR(__xludf.DUMMYFUNCTION("""COMPUTED_VALUE"""),44627.6666666666)</f>
        <v>44627.666666666599</v>
      </c>
      <c r="B1808" s="1">
        <f ca="1">IFERROR(__xludf.DUMMYFUNCTION("""COMPUTED_VALUE"""),22.82)</f>
        <v>22.82</v>
      </c>
      <c r="C1808" s="1">
        <f ca="1">IFERROR(__xludf.DUMMYFUNCTION("""COMPUTED_VALUE"""),23.03)</f>
        <v>23.03</v>
      </c>
      <c r="D1808" s="1">
        <f ca="1">IFERROR(__xludf.DUMMYFUNCTION("""COMPUTED_VALUE"""),21.33)</f>
        <v>21.33</v>
      </c>
      <c r="E1808" s="1">
        <f ca="1">IFERROR(__xludf.DUMMYFUNCTION("""COMPUTED_VALUE"""),21.35)</f>
        <v>21.35</v>
      </c>
      <c r="F1808" s="1">
        <f ca="1">IFERROR(__xludf.DUMMYFUNCTION("""COMPUTED_VALUE"""),45082089)</f>
        <v>45082089</v>
      </c>
    </row>
    <row r="1809" spans="1:6" x14ac:dyDescent="0.35">
      <c r="A1809" s="2">
        <f ca="1">IFERROR(__xludf.DUMMYFUNCTION("""COMPUTED_VALUE"""),44628.6666666666)</f>
        <v>44628.666666666599</v>
      </c>
      <c r="B1809" s="1">
        <f ca="1">IFERROR(__xludf.DUMMYFUNCTION("""COMPUTED_VALUE"""),21.31)</f>
        <v>21.31</v>
      </c>
      <c r="C1809" s="1">
        <f ca="1">IFERROR(__xludf.DUMMYFUNCTION("""COMPUTED_VALUE"""),22.37)</f>
        <v>22.37</v>
      </c>
      <c r="D1809" s="1">
        <f ca="1">IFERROR(__xludf.DUMMYFUNCTION("""COMPUTED_VALUE"""),20.65)</f>
        <v>20.65</v>
      </c>
      <c r="E1809" s="1">
        <f ca="1">IFERROR(__xludf.DUMMYFUNCTION("""COMPUTED_VALUE"""),21.51)</f>
        <v>21.51</v>
      </c>
      <c r="F1809" s="1">
        <f ca="1">IFERROR(__xludf.DUMMYFUNCTION("""COMPUTED_VALUE"""),55746719)</f>
        <v>55746719</v>
      </c>
    </row>
    <row r="1810" spans="1:6" x14ac:dyDescent="0.35">
      <c r="A1810" s="2">
        <f ca="1">IFERROR(__xludf.DUMMYFUNCTION("""COMPUTED_VALUE"""),44629.6666666666)</f>
        <v>44629.666666666599</v>
      </c>
      <c r="B1810" s="1">
        <f ca="1">IFERROR(__xludf.DUMMYFUNCTION("""COMPUTED_VALUE"""),22.39)</f>
        <v>22.39</v>
      </c>
      <c r="C1810" s="1">
        <f ca="1">IFERROR(__xludf.DUMMYFUNCTION("""COMPUTED_VALUE"""),23.22)</f>
        <v>23.22</v>
      </c>
      <c r="D1810" s="1">
        <f ca="1">IFERROR(__xludf.DUMMYFUNCTION("""COMPUTED_VALUE"""),22.25)</f>
        <v>22.25</v>
      </c>
      <c r="E1810" s="1">
        <f ca="1">IFERROR(__xludf.DUMMYFUNCTION("""COMPUTED_VALUE"""),23.01)</f>
        <v>23.01</v>
      </c>
      <c r="F1810" s="1">
        <f ca="1">IFERROR(__xludf.DUMMYFUNCTION("""COMPUTED_VALUE"""),49274195)</f>
        <v>49274195</v>
      </c>
    </row>
    <row r="1811" spans="1:6" x14ac:dyDescent="0.35">
      <c r="A1811" s="2">
        <f ca="1">IFERROR(__xludf.DUMMYFUNCTION("""COMPUTED_VALUE"""),44630.6666666666)</f>
        <v>44630.666666666599</v>
      </c>
      <c r="B1811" s="1">
        <f ca="1">IFERROR(__xludf.DUMMYFUNCTION("""COMPUTED_VALUE"""),22.53)</f>
        <v>22.53</v>
      </c>
      <c r="C1811" s="1">
        <f ca="1">IFERROR(__xludf.DUMMYFUNCTION("""COMPUTED_VALUE"""),22.79)</f>
        <v>22.79</v>
      </c>
      <c r="D1811" s="1">
        <f ca="1">IFERROR(__xludf.DUMMYFUNCTION("""COMPUTED_VALUE"""),21.88)</f>
        <v>21.88</v>
      </c>
      <c r="E1811" s="1">
        <f ca="1">IFERROR(__xludf.DUMMYFUNCTION("""COMPUTED_VALUE"""),22.66)</f>
        <v>22.66</v>
      </c>
      <c r="F1811" s="1">
        <f ca="1">IFERROR(__xludf.DUMMYFUNCTION("""COMPUTED_VALUE"""),42806565)</f>
        <v>42806565</v>
      </c>
    </row>
    <row r="1812" spans="1:6" x14ac:dyDescent="0.35">
      <c r="A1812" s="2">
        <f ca="1">IFERROR(__xludf.DUMMYFUNCTION("""COMPUTED_VALUE"""),44631.6666666666)</f>
        <v>44631.666666666599</v>
      </c>
      <c r="B1812" s="1">
        <f ca="1">IFERROR(__xludf.DUMMYFUNCTION("""COMPUTED_VALUE"""),23.02)</f>
        <v>23.02</v>
      </c>
      <c r="C1812" s="1">
        <f ca="1">IFERROR(__xludf.DUMMYFUNCTION("""COMPUTED_VALUE"""),23.15)</f>
        <v>23.15</v>
      </c>
      <c r="D1812" s="1">
        <f ca="1">IFERROR(__xludf.DUMMYFUNCTION("""COMPUTED_VALUE"""),22.05)</f>
        <v>22.05</v>
      </c>
      <c r="E1812" s="1">
        <f ca="1">IFERROR(__xludf.DUMMYFUNCTION("""COMPUTED_VALUE"""),22.1)</f>
        <v>22.1</v>
      </c>
      <c r="F1812" s="1">
        <f ca="1">IFERROR(__xludf.DUMMYFUNCTION("""COMPUTED_VALUE"""),36720857)</f>
        <v>36720857</v>
      </c>
    </row>
    <row r="1813" spans="1:6" x14ac:dyDescent="0.35">
      <c r="A1813" s="2">
        <f ca="1">IFERROR(__xludf.DUMMYFUNCTION("""COMPUTED_VALUE"""),44634.6666666666)</f>
        <v>44634.666666666599</v>
      </c>
      <c r="B1813" s="1">
        <f ca="1">IFERROR(__xludf.DUMMYFUNCTION("""COMPUTED_VALUE"""),21.87)</f>
        <v>21.87</v>
      </c>
      <c r="C1813" s="1">
        <f ca="1">IFERROR(__xludf.DUMMYFUNCTION("""COMPUTED_VALUE"""),22.26)</f>
        <v>22.26</v>
      </c>
      <c r="D1813" s="1">
        <f ca="1">IFERROR(__xludf.DUMMYFUNCTION("""COMPUTED_VALUE"""),21.16)</f>
        <v>21.16</v>
      </c>
      <c r="E1813" s="1">
        <f ca="1">IFERROR(__xludf.DUMMYFUNCTION("""COMPUTED_VALUE"""),21.33)</f>
        <v>21.33</v>
      </c>
      <c r="F1813" s="1">
        <f ca="1">IFERROR(__xludf.DUMMYFUNCTION("""COMPUTED_VALUE"""),38535424)</f>
        <v>38535424</v>
      </c>
    </row>
    <row r="1814" spans="1:6" x14ac:dyDescent="0.35">
      <c r="A1814" s="2">
        <f ca="1">IFERROR(__xludf.DUMMYFUNCTION("""COMPUTED_VALUE"""),44635.6666666666)</f>
        <v>44635.666666666599</v>
      </c>
      <c r="B1814" s="1">
        <f ca="1">IFERROR(__xludf.DUMMYFUNCTION("""COMPUTED_VALUE"""),21.52)</f>
        <v>21.52</v>
      </c>
      <c r="C1814" s="1">
        <f ca="1">IFERROR(__xludf.DUMMYFUNCTION("""COMPUTED_VALUE"""),23.04)</f>
        <v>23.04</v>
      </c>
      <c r="D1814" s="1">
        <f ca="1">IFERROR(__xludf.DUMMYFUNCTION("""COMPUTED_VALUE"""),21.32)</f>
        <v>21.32</v>
      </c>
      <c r="E1814" s="1">
        <f ca="1">IFERROR(__xludf.DUMMYFUNCTION("""COMPUTED_VALUE"""),22.97)</f>
        <v>22.97</v>
      </c>
      <c r="F1814" s="1">
        <f ca="1">IFERROR(__xludf.DUMMYFUNCTION("""COMPUTED_VALUE"""),49199569)</f>
        <v>49199569</v>
      </c>
    </row>
    <row r="1815" spans="1:6" x14ac:dyDescent="0.35">
      <c r="A1815" s="2">
        <f ca="1">IFERROR(__xludf.DUMMYFUNCTION("""COMPUTED_VALUE"""),44636.6666666666)</f>
        <v>44636.666666666599</v>
      </c>
      <c r="B1815" s="1">
        <f ca="1">IFERROR(__xludf.DUMMYFUNCTION("""COMPUTED_VALUE"""),23.5)</f>
        <v>23.5</v>
      </c>
      <c r="C1815" s="1">
        <f ca="1">IFERROR(__xludf.DUMMYFUNCTION("""COMPUTED_VALUE"""),24.6)</f>
        <v>24.6</v>
      </c>
      <c r="D1815" s="1">
        <f ca="1">IFERROR(__xludf.DUMMYFUNCTION("""COMPUTED_VALUE"""),23.17)</f>
        <v>23.17</v>
      </c>
      <c r="E1815" s="1">
        <f ca="1">IFERROR(__xludf.DUMMYFUNCTION("""COMPUTED_VALUE"""),24.5)</f>
        <v>24.5</v>
      </c>
      <c r="F1815" s="1">
        <f ca="1">IFERROR(__xludf.DUMMYFUNCTION("""COMPUTED_VALUE"""),67142174)</f>
        <v>67142174</v>
      </c>
    </row>
    <row r="1816" spans="1:6" x14ac:dyDescent="0.35">
      <c r="A1816" s="2">
        <f ca="1">IFERROR(__xludf.DUMMYFUNCTION("""COMPUTED_VALUE"""),44637.6666666666)</f>
        <v>44637.666666666599</v>
      </c>
      <c r="B1816" s="1">
        <f ca="1">IFERROR(__xludf.DUMMYFUNCTION("""COMPUTED_VALUE"""),24.12)</f>
        <v>24.12</v>
      </c>
      <c r="C1816" s="1">
        <f ca="1">IFERROR(__xludf.DUMMYFUNCTION("""COMPUTED_VALUE"""),24.84)</f>
        <v>24.84</v>
      </c>
      <c r="D1816" s="1">
        <f ca="1">IFERROR(__xludf.DUMMYFUNCTION("""COMPUTED_VALUE"""),23.91)</f>
        <v>23.91</v>
      </c>
      <c r="E1816" s="1">
        <f ca="1">IFERROR(__xludf.DUMMYFUNCTION("""COMPUTED_VALUE"""),24.77)</f>
        <v>24.77</v>
      </c>
      <c r="F1816" s="1">
        <f ca="1">IFERROR(__xludf.DUMMYFUNCTION("""COMPUTED_VALUE"""),47194119)</f>
        <v>47194119</v>
      </c>
    </row>
    <row r="1817" spans="1:6" x14ac:dyDescent="0.35">
      <c r="A1817" s="2">
        <f ca="1">IFERROR(__xludf.DUMMYFUNCTION("""COMPUTED_VALUE"""),44638.6666666666)</f>
        <v>44638.666666666599</v>
      </c>
      <c r="B1817" s="1">
        <f ca="1">IFERROR(__xludf.DUMMYFUNCTION("""COMPUTED_VALUE"""),24.8)</f>
        <v>24.8</v>
      </c>
      <c r="C1817" s="1">
        <f ca="1">IFERROR(__xludf.DUMMYFUNCTION("""COMPUTED_VALUE"""),26.57)</f>
        <v>26.57</v>
      </c>
      <c r="D1817" s="1">
        <f ca="1">IFERROR(__xludf.DUMMYFUNCTION("""COMPUTED_VALUE"""),24.62)</f>
        <v>24.62</v>
      </c>
      <c r="E1817" s="1">
        <f ca="1">IFERROR(__xludf.DUMMYFUNCTION("""COMPUTED_VALUE"""),26.45)</f>
        <v>26.45</v>
      </c>
      <c r="F1817" s="1">
        <f ca="1">IFERROR(__xludf.DUMMYFUNCTION("""COMPUTED_VALUE"""),73071856)</f>
        <v>73071856</v>
      </c>
    </row>
    <row r="1818" spans="1:6" x14ac:dyDescent="0.35">
      <c r="A1818" s="2">
        <f ca="1">IFERROR(__xludf.DUMMYFUNCTION("""COMPUTED_VALUE"""),44641.6666666666)</f>
        <v>44641.666666666599</v>
      </c>
      <c r="B1818" s="1">
        <f ca="1">IFERROR(__xludf.DUMMYFUNCTION("""COMPUTED_VALUE"""),26.51)</f>
        <v>26.51</v>
      </c>
      <c r="C1818" s="1">
        <f ca="1">IFERROR(__xludf.DUMMYFUNCTION("""COMPUTED_VALUE"""),27.15)</f>
        <v>27.15</v>
      </c>
      <c r="D1818" s="1">
        <f ca="1">IFERROR(__xludf.DUMMYFUNCTION("""COMPUTED_VALUE"""),25.97)</f>
        <v>25.97</v>
      </c>
      <c r="E1818" s="1">
        <f ca="1">IFERROR(__xludf.DUMMYFUNCTION("""COMPUTED_VALUE"""),26.73)</f>
        <v>26.73</v>
      </c>
      <c r="F1818" s="1">
        <f ca="1">IFERROR(__xludf.DUMMYFUNCTION("""COMPUTED_VALUE"""),59172708)</f>
        <v>59172708</v>
      </c>
    </row>
    <row r="1819" spans="1:6" x14ac:dyDescent="0.35">
      <c r="A1819" s="2">
        <f ca="1">IFERROR(__xludf.DUMMYFUNCTION("""COMPUTED_VALUE"""),44642.6666666666)</f>
        <v>44642.666666666599</v>
      </c>
      <c r="B1819" s="1">
        <f ca="1">IFERROR(__xludf.DUMMYFUNCTION("""COMPUTED_VALUE"""),26.73)</f>
        <v>26.73</v>
      </c>
      <c r="C1819" s="1">
        <f ca="1">IFERROR(__xludf.DUMMYFUNCTION("""COMPUTED_VALUE"""),27.24)</f>
        <v>27.24</v>
      </c>
      <c r="D1819" s="1">
        <f ca="1">IFERROR(__xludf.DUMMYFUNCTION("""COMPUTED_VALUE"""),26.07)</f>
        <v>26.07</v>
      </c>
      <c r="E1819" s="1">
        <f ca="1">IFERROR(__xludf.DUMMYFUNCTION("""COMPUTED_VALUE"""),26.52)</f>
        <v>26.52</v>
      </c>
      <c r="F1819" s="1">
        <f ca="1">IFERROR(__xludf.DUMMYFUNCTION("""COMPUTED_VALUE"""),54700710)</f>
        <v>54700710</v>
      </c>
    </row>
    <row r="1820" spans="1:6" x14ac:dyDescent="0.35">
      <c r="A1820" s="2">
        <f ca="1">IFERROR(__xludf.DUMMYFUNCTION("""COMPUTED_VALUE"""),44643.6666666666)</f>
        <v>44643.666666666599</v>
      </c>
      <c r="B1820" s="1">
        <f ca="1">IFERROR(__xludf.DUMMYFUNCTION("""COMPUTED_VALUE"""),26.13)</f>
        <v>26.13</v>
      </c>
      <c r="C1820" s="1">
        <f ca="1">IFERROR(__xludf.DUMMYFUNCTION("""COMPUTED_VALUE"""),26.61)</f>
        <v>26.61</v>
      </c>
      <c r="D1820" s="1">
        <f ca="1">IFERROR(__xludf.DUMMYFUNCTION("""COMPUTED_VALUE"""),25.58)</f>
        <v>25.58</v>
      </c>
      <c r="E1820" s="1">
        <f ca="1">IFERROR(__xludf.DUMMYFUNCTION("""COMPUTED_VALUE"""),25.63)</f>
        <v>25.63</v>
      </c>
      <c r="F1820" s="1">
        <f ca="1">IFERROR(__xludf.DUMMYFUNCTION("""COMPUTED_VALUE"""),50211986)</f>
        <v>50211986</v>
      </c>
    </row>
    <row r="1821" spans="1:6" x14ac:dyDescent="0.35">
      <c r="A1821" s="2">
        <f ca="1">IFERROR(__xludf.DUMMYFUNCTION("""COMPUTED_VALUE"""),44644.6666666666)</f>
        <v>44644.666666666599</v>
      </c>
      <c r="B1821" s="1">
        <f ca="1">IFERROR(__xludf.DUMMYFUNCTION("""COMPUTED_VALUE"""),26.17)</f>
        <v>26.17</v>
      </c>
      <c r="C1821" s="1">
        <f ca="1">IFERROR(__xludf.DUMMYFUNCTION("""COMPUTED_VALUE"""),28.32)</f>
        <v>28.32</v>
      </c>
      <c r="D1821" s="1">
        <f ca="1">IFERROR(__xludf.DUMMYFUNCTION("""COMPUTED_VALUE"""),25.91)</f>
        <v>25.91</v>
      </c>
      <c r="E1821" s="1">
        <f ca="1">IFERROR(__xludf.DUMMYFUNCTION("""COMPUTED_VALUE"""),28.15)</f>
        <v>28.15</v>
      </c>
      <c r="F1821" s="1">
        <f ca="1">IFERROR(__xludf.DUMMYFUNCTION("""COMPUTED_VALUE"""),87737914)</f>
        <v>87737914</v>
      </c>
    </row>
    <row r="1822" spans="1:6" x14ac:dyDescent="0.35">
      <c r="A1822" s="2">
        <f ca="1">IFERROR(__xludf.DUMMYFUNCTION("""COMPUTED_VALUE"""),44645.6666666666)</f>
        <v>44645.666666666599</v>
      </c>
      <c r="B1822" s="1">
        <f ca="1">IFERROR(__xludf.DUMMYFUNCTION("""COMPUTED_VALUE"""),27.89)</f>
        <v>27.89</v>
      </c>
      <c r="C1822" s="1">
        <f ca="1">IFERROR(__xludf.DUMMYFUNCTION("""COMPUTED_VALUE"""),28.36)</f>
        <v>28.36</v>
      </c>
      <c r="D1822" s="1">
        <f ca="1">IFERROR(__xludf.DUMMYFUNCTION("""COMPUTED_VALUE"""),27.27)</f>
        <v>27.27</v>
      </c>
      <c r="E1822" s="1">
        <f ca="1">IFERROR(__xludf.DUMMYFUNCTION("""COMPUTED_VALUE"""),27.69)</f>
        <v>27.69</v>
      </c>
      <c r="F1822" s="1">
        <f ca="1">IFERROR(__xludf.DUMMYFUNCTION("""COMPUTED_VALUE"""),57901618)</f>
        <v>57901618</v>
      </c>
    </row>
    <row r="1823" spans="1:6" x14ac:dyDescent="0.35">
      <c r="A1823" s="2">
        <f ca="1">IFERROR(__xludf.DUMMYFUNCTION("""COMPUTED_VALUE"""),44648.6666666666)</f>
        <v>44648.666666666599</v>
      </c>
      <c r="B1823" s="1">
        <f ca="1">IFERROR(__xludf.DUMMYFUNCTION("""COMPUTED_VALUE"""),27.76)</f>
        <v>27.76</v>
      </c>
      <c r="C1823" s="1">
        <f ca="1">IFERROR(__xludf.DUMMYFUNCTION("""COMPUTED_VALUE"""),28.25)</f>
        <v>28.25</v>
      </c>
      <c r="D1823" s="1">
        <f ca="1">IFERROR(__xludf.DUMMYFUNCTION("""COMPUTED_VALUE"""),27.21)</f>
        <v>27.21</v>
      </c>
      <c r="E1823" s="1">
        <f ca="1">IFERROR(__xludf.DUMMYFUNCTION("""COMPUTED_VALUE"""),28.22)</f>
        <v>28.22</v>
      </c>
      <c r="F1823" s="1">
        <f ca="1">IFERROR(__xludf.DUMMYFUNCTION("""COMPUTED_VALUE"""),42549392)</f>
        <v>42549392</v>
      </c>
    </row>
    <row r="1824" spans="1:6" x14ac:dyDescent="0.35">
      <c r="A1824" s="2">
        <f ca="1">IFERROR(__xludf.DUMMYFUNCTION("""COMPUTED_VALUE"""),44649.6666666666)</f>
        <v>44649.666666666599</v>
      </c>
      <c r="B1824" s="1">
        <f ca="1">IFERROR(__xludf.DUMMYFUNCTION("""COMPUTED_VALUE"""),28.69)</f>
        <v>28.69</v>
      </c>
      <c r="C1824" s="1">
        <f ca="1">IFERROR(__xludf.DUMMYFUNCTION("""COMPUTED_VALUE"""),28.95)</f>
        <v>28.95</v>
      </c>
      <c r="D1824" s="1">
        <f ca="1">IFERROR(__xludf.DUMMYFUNCTION("""COMPUTED_VALUE"""),27.98)</f>
        <v>27.98</v>
      </c>
      <c r="E1824" s="1">
        <f ca="1">IFERROR(__xludf.DUMMYFUNCTION("""COMPUTED_VALUE"""),28.66)</f>
        <v>28.66</v>
      </c>
      <c r="F1824" s="1">
        <f ca="1">IFERROR(__xludf.DUMMYFUNCTION("""COMPUTED_VALUE"""),48898440)</f>
        <v>48898440</v>
      </c>
    </row>
    <row r="1825" spans="1:6" x14ac:dyDescent="0.35">
      <c r="A1825" s="2">
        <f ca="1">IFERROR(__xludf.DUMMYFUNCTION("""COMPUTED_VALUE"""),44650.6666666666)</f>
        <v>44650.666666666599</v>
      </c>
      <c r="B1825" s="1">
        <f ca="1">IFERROR(__xludf.DUMMYFUNCTION("""COMPUTED_VALUE"""),28.3)</f>
        <v>28.3</v>
      </c>
      <c r="C1825" s="1">
        <f ca="1">IFERROR(__xludf.DUMMYFUNCTION("""COMPUTED_VALUE"""),28.5)</f>
        <v>28.5</v>
      </c>
      <c r="D1825" s="1">
        <f ca="1">IFERROR(__xludf.DUMMYFUNCTION("""COMPUTED_VALUE"""),27.5)</f>
        <v>27.5</v>
      </c>
      <c r="E1825" s="1">
        <f ca="1">IFERROR(__xludf.DUMMYFUNCTION("""COMPUTED_VALUE"""),27.69)</f>
        <v>27.69</v>
      </c>
      <c r="F1825" s="1">
        <f ca="1">IFERROR(__xludf.DUMMYFUNCTION("""COMPUTED_VALUE"""),46348713)</f>
        <v>46348713</v>
      </c>
    </row>
    <row r="1826" spans="1:6" x14ac:dyDescent="0.35">
      <c r="A1826" s="2">
        <f ca="1">IFERROR(__xludf.DUMMYFUNCTION("""COMPUTED_VALUE"""),44651.6666666666)</f>
        <v>44651.666666666599</v>
      </c>
      <c r="B1826" s="1">
        <f ca="1">IFERROR(__xludf.DUMMYFUNCTION("""COMPUTED_VALUE"""),27.78)</f>
        <v>27.78</v>
      </c>
      <c r="C1826" s="1">
        <f ca="1">IFERROR(__xludf.DUMMYFUNCTION("""COMPUTED_VALUE"""),28.25)</f>
        <v>28.25</v>
      </c>
      <c r="D1826" s="1">
        <f ca="1">IFERROR(__xludf.DUMMYFUNCTION("""COMPUTED_VALUE"""),27.27)</f>
        <v>27.27</v>
      </c>
      <c r="E1826" s="1">
        <f ca="1">IFERROR(__xludf.DUMMYFUNCTION("""COMPUTED_VALUE"""),27.29)</f>
        <v>27.29</v>
      </c>
      <c r="F1826" s="1">
        <f ca="1">IFERROR(__xludf.DUMMYFUNCTION("""COMPUTED_VALUE"""),52344022)</f>
        <v>52344022</v>
      </c>
    </row>
    <row r="1827" spans="1:6" x14ac:dyDescent="0.35">
      <c r="A1827" s="2">
        <f ca="1">IFERROR(__xludf.DUMMYFUNCTION("""COMPUTED_VALUE"""),44652.6666666666)</f>
        <v>44652.666666666599</v>
      </c>
      <c r="B1827" s="1">
        <f ca="1">IFERROR(__xludf.DUMMYFUNCTION("""COMPUTED_VALUE"""),27.38)</f>
        <v>27.38</v>
      </c>
      <c r="C1827" s="1">
        <f ca="1">IFERROR(__xludf.DUMMYFUNCTION("""COMPUTED_VALUE"""),27.5)</f>
        <v>27.5</v>
      </c>
      <c r="D1827" s="1">
        <f ca="1">IFERROR(__xludf.DUMMYFUNCTION("""COMPUTED_VALUE"""),26.27)</f>
        <v>26.27</v>
      </c>
      <c r="E1827" s="1">
        <f ca="1">IFERROR(__xludf.DUMMYFUNCTION("""COMPUTED_VALUE"""),26.71)</f>
        <v>26.71</v>
      </c>
      <c r="F1827" s="1">
        <f ca="1">IFERROR(__xludf.DUMMYFUNCTION("""COMPUTED_VALUE"""),51723511)</f>
        <v>51723511</v>
      </c>
    </row>
    <row r="1828" spans="1:6" x14ac:dyDescent="0.35">
      <c r="A1828" s="2">
        <f ca="1">IFERROR(__xludf.DUMMYFUNCTION("""COMPUTED_VALUE"""),44655.6666666666)</f>
        <v>44655.666666666599</v>
      </c>
      <c r="B1828" s="1">
        <f ca="1">IFERROR(__xludf.DUMMYFUNCTION("""COMPUTED_VALUE"""),26.73)</f>
        <v>26.73</v>
      </c>
      <c r="C1828" s="1">
        <f ca="1">IFERROR(__xludf.DUMMYFUNCTION("""COMPUTED_VALUE"""),27.56)</f>
        <v>27.56</v>
      </c>
      <c r="D1828" s="1">
        <f ca="1">IFERROR(__xludf.DUMMYFUNCTION("""COMPUTED_VALUE"""),26.61)</f>
        <v>26.61</v>
      </c>
      <c r="E1828" s="1">
        <f ca="1">IFERROR(__xludf.DUMMYFUNCTION("""COMPUTED_VALUE"""),27.36)</f>
        <v>27.36</v>
      </c>
      <c r="F1828" s="1">
        <f ca="1">IFERROR(__xludf.DUMMYFUNCTION("""COMPUTED_VALUE"""),39770782)</f>
        <v>39770782</v>
      </c>
    </row>
    <row r="1829" spans="1:6" x14ac:dyDescent="0.35">
      <c r="A1829" s="2">
        <f ca="1">IFERROR(__xludf.DUMMYFUNCTION("""COMPUTED_VALUE"""),44656.6666666666)</f>
        <v>44656.666666666599</v>
      </c>
      <c r="B1829" s="1">
        <f ca="1">IFERROR(__xludf.DUMMYFUNCTION("""COMPUTED_VALUE"""),27.25)</f>
        <v>27.25</v>
      </c>
      <c r="C1829" s="1">
        <f ca="1">IFERROR(__xludf.DUMMYFUNCTION("""COMPUTED_VALUE"""),27.32)</f>
        <v>27.32</v>
      </c>
      <c r="D1829" s="1">
        <f ca="1">IFERROR(__xludf.DUMMYFUNCTION("""COMPUTED_VALUE"""),25.82)</f>
        <v>25.82</v>
      </c>
      <c r="E1829" s="1">
        <f ca="1">IFERROR(__xludf.DUMMYFUNCTION("""COMPUTED_VALUE"""),25.93)</f>
        <v>25.93</v>
      </c>
      <c r="F1829" s="1">
        <f ca="1">IFERROR(__xludf.DUMMYFUNCTION("""COMPUTED_VALUE"""),43661473)</f>
        <v>43661473</v>
      </c>
    </row>
    <row r="1830" spans="1:6" x14ac:dyDescent="0.35">
      <c r="A1830" s="2">
        <f ca="1">IFERROR(__xludf.DUMMYFUNCTION("""COMPUTED_VALUE"""),44657.6666666666)</f>
        <v>44657.666666666599</v>
      </c>
      <c r="B1830" s="1">
        <f ca="1">IFERROR(__xludf.DUMMYFUNCTION("""COMPUTED_VALUE"""),24.93)</f>
        <v>24.93</v>
      </c>
      <c r="C1830" s="1">
        <f ca="1">IFERROR(__xludf.DUMMYFUNCTION("""COMPUTED_VALUE"""),25.3)</f>
        <v>25.3</v>
      </c>
      <c r="D1830" s="1">
        <f ca="1">IFERROR(__xludf.DUMMYFUNCTION("""COMPUTED_VALUE"""),24)</f>
        <v>24</v>
      </c>
      <c r="E1830" s="1">
        <f ca="1">IFERROR(__xludf.DUMMYFUNCTION("""COMPUTED_VALUE"""),24.41)</f>
        <v>24.41</v>
      </c>
      <c r="F1830" s="1">
        <f ca="1">IFERROR(__xludf.DUMMYFUNCTION("""COMPUTED_VALUE"""),70383256)</f>
        <v>70383256</v>
      </c>
    </row>
    <row r="1831" spans="1:6" x14ac:dyDescent="0.35">
      <c r="A1831" s="2">
        <f ca="1">IFERROR(__xludf.DUMMYFUNCTION("""COMPUTED_VALUE"""),44658.6666666666)</f>
        <v>44658.666666666599</v>
      </c>
      <c r="B1831" s="1">
        <f ca="1">IFERROR(__xludf.DUMMYFUNCTION("""COMPUTED_VALUE"""),24.44)</f>
        <v>24.44</v>
      </c>
      <c r="C1831" s="1">
        <f ca="1">IFERROR(__xludf.DUMMYFUNCTION("""COMPUTED_VALUE"""),24.72)</f>
        <v>24.72</v>
      </c>
      <c r="D1831" s="1">
        <f ca="1">IFERROR(__xludf.DUMMYFUNCTION("""COMPUTED_VALUE"""),23.48)</f>
        <v>23.48</v>
      </c>
      <c r="E1831" s="1">
        <f ca="1">IFERROR(__xludf.DUMMYFUNCTION("""COMPUTED_VALUE"""),24.21)</f>
        <v>24.21</v>
      </c>
      <c r="F1831" s="1">
        <f ca="1">IFERROR(__xludf.DUMMYFUNCTION("""COMPUTED_VALUE"""),55799236)</f>
        <v>55799236</v>
      </c>
    </row>
    <row r="1832" spans="1:6" x14ac:dyDescent="0.35">
      <c r="A1832" s="2">
        <f ca="1">IFERROR(__xludf.DUMMYFUNCTION("""COMPUTED_VALUE"""),44659.6666666666)</f>
        <v>44659.666666666599</v>
      </c>
      <c r="B1832" s="1">
        <f ca="1">IFERROR(__xludf.DUMMYFUNCTION("""COMPUTED_VALUE"""),23.92)</f>
        <v>23.92</v>
      </c>
      <c r="C1832" s="1">
        <f ca="1">IFERROR(__xludf.DUMMYFUNCTION("""COMPUTED_VALUE"""),23.92)</f>
        <v>23.92</v>
      </c>
      <c r="D1832" s="1">
        <f ca="1">IFERROR(__xludf.DUMMYFUNCTION("""COMPUTED_VALUE"""),23.06)</f>
        <v>23.06</v>
      </c>
      <c r="E1832" s="1">
        <f ca="1">IFERROR(__xludf.DUMMYFUNCTION("""COMPUTED_VALUE"""),23.12)</f>
        <v>23.12</v>
      </c>
      <c r="F1832" s="1">
        <f ca="1">IFERROR(__xludf.DUMMYFUNCTION("""COMPUTED_VALUE"""),52478064)</f>
        <v>52478064</v>
      </c>
    </row>
    <row r="1833" spans="1:6" x14ac:dyDescent="0.35">
      <c r="A1833" s="2">
        <f ca="1">IFERROR(__xludf.DUMMYFUNCTION("""COMPUTED_VALUE"""),44662.6666666666)</f>
        <v>44662.666666666599</v>
      </c>
      <c r="B1833" s="1">
        <f ca="1">IFERROR(__xludf.DUMMYFUNCTION("""COMPUTED_VALUE"""),22.21)</f>
        <v>22.21</v>
      </c>
      <c r="C1833" s="1">
        <f ca="1">IFERROR(__xludf.DUMMYFUNCTION("""COMPUTED_VALUE"""),22.32)</f>
        <v>22.32</v>
      </c>
      <c r="D1833" s="1">
        <f ca="1">IFERROR(__xludf.DUMMYFUNCTION("""COMPUTED_VALUE"""),21.66)</f>
        <v>21.66</v>
      </c>
      <c r="E1833" s="1">
        <f ca="1">IFERROR(__xludf.DUMMYFUNCTION("""COMPUTED_VALUE"""),21.92)</f>
        <v>21.92</v>
      </c>
      <c r="F1833" s="1">
        <f ca="1">IFERROR(__xludf.DUMMYFUNCTION("""COMPUTED_VALUE"""),57520684)</f>
        <v>57520684</v>
      </c>
    </row>
    <row r="1834" spans="1:6" x14ac:dyDescent="0.35">
      <c r="A1834" s="2">
        <f ca="1">IFERROR(__xludf.DUMMYFUNCTION("""COMPUTED_VALUE"""),44663.6666666666)</f>
        <v>44663.666666666599</v>
      </c>
      <c r="B1834" s="1">
        <f ca="1">IFERROR(__xludf.DUMMYFUNCTION("""COMPUTED_VALUE"""),22.54)</f>
        <v>22.54</v>
      </c>
      <c r="C1834" s="1">
        <f ca="1">IFERROR(__xludf.DUMMYFUNCTION("""COMPUTED_VALUE"""),22.73)</f>
        <v>22.73</v>
      </c>
      <c r="D1834" s="1">
        <f ca="1">IFERROR(__xludf.DUMMYFUNCTION("""COMPUTED_VALUE"""),21.28)</f>
        <v>21.28</v>
      </c>
      <c r="E1834" s="1">
        <f ca="1">IFERROR(__xludf.DUMMYFUNCTION("""COMPUTED_VALUE"""),21.5)</f>
        <v>21.5</v>
      </c>
      <c r="F1834" s="1">
        <f ca="1">IFERROR(__xludf.DUMMYFUNCTION("""COMPUTED_VALUE"""),66225807)</f>
        <v>66225807</v>
      </c>
    </row>
    <row r="1835" spans="1:6" x14ac:dyDescent="0.35">
      <c r="A1835" s="2">
        <f ca="1">IFERROR(__xludf.DUMMYFUNCTION("""COMPUTED_VALUE"""),44664.6666666666)</f>
        <v>44664.666666666599</v>
      </c>
      <c r="B1835" s="1">
        <f ca="1">IFERROR(__xludf.DUMMYFUNCTION("""COMPUTED_VALUE"""),21.73)</f>
        <v>21.73</v>
      </c>
      <c r="C1835" s="1">
        <f ca="1">IFERROR(__xludf.DUMMYFUNCTION("""COMPUTED_VALUE"""),22.5)</f>
        <v>22.5</v>
      </c>
      <c r="D1835" s="1">
        <f ca="1">IFERROR(__xludf.DUMMYFUNCTION("""COMPUTED_VALUE"""),21.46)</f>
        <v>21.46</v>
      </c>
      <c r="E1835" s="1">
        <f ca="1">IFERROR(__xludf.DUMMYFUNCTION("""COMPUTED_VALUE"""),22.2)</f>
        <v>22.2</v>
      </c>
      <c r="F1835" s="1">
        <f ca="1">IFERROR(__xludf.DUMMYFUNCTION("""COMPUTED_VALUE"""),51694344)</f>
        <v>51694344</v>
      </c>
    </row>
    <row r="1836" spans="1:6" x14ac:dyDescent="0.35">
      <c r="A1836" s="2">
        <f ca="1">IFERROR(__xludf.DUMMYFUNCTION("""COMPUTED_VALUE"""),44665.6666666666)</f>
        <v>44665.666666666599</v>
      </c>
      <c r="B1836" s="1">
        <f ca="1">IFERROR(__xludf.DUMMYFUNCTION("""COMPUTED_VALUE"""),22.51)</f>
        <v>22.51</v>
      </c>
      <c r="C1836" s="1">
        <f ca="1">IFERROR(__xludf.DUMMYFUNCTION("""COMPUTED_VALUE"""),22.78)</f>
        <v>22.78</v>
      </c>
      <c r="D1836" s="1">
        <f ca="1">IFERROR(__xludf.DUMMYFUNCTION("""COMPUTED_VALUE"""),21.16)</f>
        <v>21.16</v>
      </c>
      <c r="E1836" s="1">
        <f ca="1">IFERROR(__xludf.DUMMYFUNCTION("""COMPUTED_VALUE"""),21.26)</f>
        <v>21.26</v>
      </c>
      <c r="F1836" s="1">
        <f ca="1">IFERROR(__xludf.DUMMYFUNCTION("""COMPUTED_VALUE"""),56909685)</f>
        <v>56909685</v>
      </c>
    </row>
    <row r="1837" spans="1:6" x14ac:dyDescent="0.35">
      <c r="A1837" s="2">
        <f ca="1">IFERROR(__xludf.DUMMYFUNCTION("""COMPUTED_VALUE"""),44669.6666666666)</f>
        <v>44669.666666666599</v>
      </c>
      <c r="B1837" s="1">
        <f ca="1">IFERROR(__xludf.DUMMYFUNCTION("""COMPUTED_VALUE"""),21.2)</f>
        <v>21.2</v>
      </c>
      <c r="C1837" s="1">
        <f ca="1">IFERROR(__xludf.DUMMYFUNCTION("""COMPUTED_VALUE"""),22.09)</f>
        <v>22.09</v>
      </c>
      <c r="D1837" s="1">
        <f ca="1">IFERROR(__xludf.DUMMYFUNCTION("""COMPUTED_VALUE"""),21.08)</f>
        <v>21.08</v>
      </c>
      <c r="E1837" s="1">
        <f ca="1">IFERROR(__xludf.DUMMYFUNCTION("""COMPUTED_VALUE"""),21.78)</f>
        <v>21.78</v>
      </c>
      <c r="F1837" s="1">
        <f ca="1">IFERROR(__xludf.DUMMYFUNCTION("""COMPUTED_VALUE"""),52570061)</f>
        <v>52570061</v>
      </c>
    </row>
    <row r="1838" spans="1:6" x14ac:dyDescent="0.35">
      <c r="A1838" s="2">
        <f ca="1">IFERROR(__xludf.DUMMYFUNCTION("""COMPUTED_VALUE"""),44670.6666666666)</f>
        <v>44670.666666666599</v>
      </c>
      <c r="B1838" s="1">
        <f ca="1">IFERROR(__xludf.DUMMYFUNCTION("""COMPUTED_VALUE"""),21.72)</f>
        <v>21.72</v>
      </c>
      <c r="C1838" s="1">
        <f ca="1">IFERROR(__xludf.DUMMYFUNCTION("""COMPUTED_VALUE"""),22.37)</f>
        <v>22.37</v>
      </c>
      <c r="D1838" s="1">
        <f ca="1">IFERROR(__xludf.DUMMYFUNCTION("""COMPUTED_VALUE"""),21.31)</f>
        <v>21.31</v>
      </c>
      <c r="E1838" s="1">
        <f ca="1">IFERROR(__xludf.DUMMYFUNCTION("""COMPUTED_VALUE"""),22.2)</f>
        <v>22.2</v>
      </c>
      <c r="F1838" s="1">
        <f ca="1">IFERROR(__xludf.DUMMYFUNCTION("""COMPUTED_VALUE"""),51278058)</f>
        <v>51278058</v>
      </c>
    </row>
    <row r="1839" spans="1:6" x14ac:dyDescent="0.35">
      <c r="A1839" s="2">
        <f ca="1">IFERROR(__xludf.DUMMYFUNCTION("""COMPUTED_VALUE"""),44671.6666666666)</f>
        <v>44671.666666666599</v>
      </c>
      <c r="B1839" s="1">
        <f ca="1">IFERROR(__xludf.DUMMYFUNCTION("""COMPUTED_VALUE"""),22.52)</f>
        <v>22.52</v>
      </c>
      <c r="C1839" s="1">
        <f ca="1">IFERROR(__xludf.DUMMYFUNCTION("""COMPUTED_VALUE"""),22.67)</f>
        <v>22.67</v>
      </c>
      <c r="D1839" s="1">
        <f ca="1">IFERROR(__xludf.DUMMYFUNCTION("""COMPUTED_VALUE"""),21.2)</f>
        <v>21.2</v>
      </c>
      <c r="E1839" s="1">
        <f ca="1">IFERROR(__xludf.DUMMYFUNCTION("""COMPUTED_VALUE"""),21.48)</f>
        <v>21.48</v>
      </c>
      <c r="F1839" s="1">
        <f ca="1">IFERROR(__xludf.DUMMYFUNCTION("""COMPUTED_VALUE"""),46897444)</f>
        <v>46897444</v>
      </c>
    </row>
    <row r="1840" spans="1:6" x14ac:dyDescent="0.35">
      <c r="A1840" s="2">
        <f ca="1">IFERROR(__xludf.DUMMYFUNCTION("""COMPUTED_VALUE"""),44672.6666666666)</f>
        <v>44672.666666666599</v>
      </c>
      <c r="B1840" s="1">
        <f ca="1">IFERROR(__xludf.DUMMYFUNCTION("""COMPUTED_VALUE"""),21.71)</f>
        <v>21.71</v>
      </c>
      <c r="C1840" s="1">
        <f ca="1">IFERROR(__xludf.DUMMYFUNCTION("""COMPUTED_VALUE"""),22.39)</f>
        <v>22.39</v>
      </c>
      <c r="D1840" s="1">
        <f ca="1">IFERROR(__xludf.DUMMYFUNCTION("""COMPUTED_VALUE"""),20)</f>
        <v>20</v>
      </c>
      <c r="E1840" s="1">
        <f ca="1">IFERROR(__xludf.DUMMYFUNCTION("""COMPUTED_VALUE"""),20.18)</f>
        <v>20.18</v>
      </c>
      <c r="F1840" s="1">
        <f ca="1">IFERROR(__xludf.DUMMYFUNCTION("""COMPUTED_VALUE"""),65620944)</f>
        <v>65620944</v>
      </c>
    </row>
    <row r="1841" spans="1:6" x14ac:dyDescent="0.35">
      <c r="A1841" s="2">
        <f ca="1">IFERROR(__xludf.DUMMYFUNCTION("""COMPUTED_VALUE"""),44673.6666666666)</f>
        <v>44673.666666666599</v>
      </c>
      <c r="B1841" s="1">
        <f ca="1">IFERROR(__xludf.DUMMYFUNCTION("""COMPUTED_VALUE"""),20.3)</f>
        <v>20.3</v>
      </c>
      <c r="C1841" s="1">
        <f ca="1">IFERROR(__xludf.DUMMYFUNCTION("""COMPUTED_VALUE"""),20.49)</f>
        <v>20.49</v>
      </c>
      <c r="D1841" s="1">
        <f ca="1">IFERROR(__xludf.DUMMYFUNCTION("""COMPUTED_VALUE"""),19.5)</f>
        <v>19.5</v>
      </c>
      <c r="E1841" s="1">
        <f ca="1">IFERROR(__xludf.DUMMYFUNCTION("""COMPUTED_VALUE"""),19.52)</f>
        <v>19.52</v>
      </c>
      <c r="F1841" s="1">
        <f ca="1">IFERROR(__xludf.DUMMYFUNCTION("""COMPUTED_VALUE"""),62471343)</f>
        <v>62471343</v>
      </c>
    </row>
    <row r="1842" spans="1:6" x14ac:dyDescent="0.35">
      <c r="A1842" s="2">
        <f ca="1">IFERROR(__xludf.DUMMYFUNCTION("""COMPUTED_VALUE"""),44676.6666666666)</f>
        <v>44676.666666666599</v>
      </c>
      <c r="B1842" s="1">
        <f ca="1">IFERROR(__xludf.DUMMYFUNCTION("""COMPUTED_VALUE"""),19.2)</f>
        <v>19.2</v>
      </c>
      <c r="C1842" s="1">
        <f ca="1">IFERROR(__xludf.DUMMYFUNCTION("""COMPUTED_VALUE"""),19.95)</f>
        <v>19.95</v>
      </c>
      <c r="D1842" s="1">
        <f ca="1">IFERROR(__xludf.DUMMYFUNCTION("""COMPUTED_VALUE"""),19.1)</f>
        <v>19.100000000000001</v>
      </c>
      <c r="E1842" s="1">
        <f ca="1">IFERROR(__xludf.DUMMYFUNCTION("""COMPUTED_VALUE"""),19.9)</f>
        <v>19.899999999999999</v>
      </c>
      <c r="F1842" s="1">
        <f ca="1">IFERROR(__xludf.DUMMYFUNCTION("""COMPUTED_VALUE"""),64156561)</f>
        <v>64156561</v>
      </c>
    </row>
    <row r="1843" spans="1:6" x14ac:dyDescent="0.35">
      <c r="A1843" s="2">
        <f ca="1">IFERROR(__xludf.DUMMYFUNCTION("""COMPUTED_VALUE"""),44677.6666666666)</f>
        <v>44677.666666666599</v>
      </c>
      <c r="B1843" s="1">
        <f ca="1">IFERROR(__xludf.DUMMYFUNCTION("""COMPUTED_VALUE"""),19.72)</f>
        <v>19.72</v>
      </c>
      <c r="C1843" s="1">
        <f ca="1">IFERROR(__xludf.DUMMYFUNCTION("""COMPUTED_VALUE"""),19.79)</f>
        <v>19.79</v>
      </c>
      <c r="D1843" s="1">
        <f ca="1">IFERROR(__xludf.DUMMYFUNCTION("""COMPUTED_VALUE"""),18.67)</f>
        <v>18.670000000000002</v>
      </c>
      <c r="E1843" s="1">
        <f ca="1">IFERROR(__xludf.DUMMYFUNCTION("""COMPUTED_VALUE"""),18.79)</f>
        <v>18.79</v>
      </c>
      <c r="F1843" s="1">
        <f ca="1">IFERROR(__xludf.DUMMYFUNCTION("""COMPUTED_VALUE"""),65314250)</f>
        <v>65314250</v>
      </c>
    </row>
    <row r="1844" spans="1:6" x14ac:dyDescent="0.35">
      <c r="A1844" s="2">
        <f ca="1">IFERROR(__xludf.DUMMYFUNCTION("""COMPUTED_VALUE"""),44678.6666666666)</f>
        <v>44678.666666666599</v>
      </c>
      <c r="B1844" s="1">
        <f ca="1">IFERROR(__xludf.DUMMYFUNCTION("""COMPUTED_VALUE"""),18.6)</f>
        <v>18.600000000000001</v>
      </c>
      <c r="C1844" s="1">
        <f ca="1">IFERROR(__xludf.DUMMYFUNCTION("""COMPUTED_VALUE"""),19.17)</f>
        <v>19.170000000000002</v>
      </c>
      <c r="D1844" s="1">
        <f ca="1">IFERROR(__xludf.DUMMYFUNCTION("""COMPUTED_VALUE"""),18.29)</f>
        <v>18.29</v>
      </c>
      <c r="E1844" s="1">
        <f ca="1">IFERROR(__xludf.DUMMYFUNCTION("""COMPUTED_VALUE"""),18.42)</f>
        <v>18.420000000000002</v>
      </c>
      <c r="F1844" s="1">
        <f ca="1">IFERROR(__xludf.DUMMYFUNCTION("""COMPUTED_VALUE"""),49946017)</f>
        <v>49946017</v>
      </c>
    </row>
    <row r="1845" spans="1:6" x14ac:dyDescent="0.35">
      <c r="A1845" s="2">
        <f ca="1">IFERROR(__xludf.DUMMYFUNCTION("""COMPUTED_VALUE"""),44679.6666666666)</f>
        <v>44679.666666666599</v>
      </c>
      <c r="B1845" s="1">
        <f ca="1">IFERROR(__xludf.DUMMYFUNCTION("""COMPUTED_VALUE"""),18.97)</f>
        <v>18.97</v>
      </c>
      <c r="C1845" s="1">
        <f ca="1">IFERROR(__xludf.DUMMYFUNCTION("""COMPUTED_VALUE"""),20.04)</f>
        <v>20.04</v>
      </c>
      <c r="D1845" s="1">
        <f ca="1">IFERROR(__xludf.DUMMYFUNCTION("""COMPUTED_VALUE"""),18.49)</f>
        <v>18.489999999999998</v>
      </c>
      <c r="E1845" s="1">
        <f ca="1">IFERROR(__xludf.DUMMYFUNCTION("""COMPUTED_VALUE"""),19.78)</f>
        <v>19.78</v>
      </c>
      <c r="F1845" s="1">
        <f ca="1">IFERROR(__xludf.DUMMYFUNCTION("""COMPUTED_VALUE"""),57032671)</f>
        <v>57032671</v>
      </c>
    </row>
    <row r="1846" spans="1:6" x14ac:dyDescent="0.35">
      <c r="A1846" s="2">
        <f ca="1">IFERROR(__xludf.DUMMYFUNCTION("""COMPUTED_VALUE"""),44680.6666666666)</f>
        <v>44680.666666666599</v>
      </c>
      <c r="B1846" s="1">
        <f ca="1">IFERROR(__xludf.DUMMYFUNCTION("""COMPUTED_VALUE"""),19.4)</f>
        <v>19.399999999999999</v>
      </c>
      <c r="C1846" s="1">
        <f ca="1">IFERROR(__xludf.DUMMYFUNCTION("""COMPUTED_VALUE"""),20.13)</f>
        <v>20.13</v>
      </c>
      <c r="D1846" s="1">
        <f ca="1">IFERROR(__xludf.DUMMYFUNCTION("""COMPUTED_VALUE"""),18.52)</f>
        <v>18.52</v>
      </c>
      <c r="E1846" s="1">
        <f ca="1">IFERROR(__xludf.DUMMYFUNCTION("""COMPUTED_VALUE"""),18.55)</f>
        <v>18.55</v>
      </c>
      <c r="F1846" s="1">
        <f ca="1">IFERROR(__xludf.DUMMYFUNCTION("""COMPUTED_VALUE"""),50043491)</f>
        <v>50043491</v>
      </c>
    </row>
    <row r="1847" spans="1:6" x14ac:dyDescent="0.35">
      <c r="A1847" s="2">
        <f ca="1">IFERROR(__xludf.DUMMYFUNCTION("""COMPUTED_VALUE"""),44683.6666666666)</f>
        <v>44683.666666666599</v>
      </c>
      <c r="B1847" s="1">
        <f ca="1">IFERROR(__xludf.DUMMYFUNCTION("""COMPUTED_VALUE"""),18.54)</f>
        <v>18.54</v>
      </c>
      <c r="C1847" s="1">
        <f ca="1">IFERROR(__xludf.DUMMYFUNCTION("""COMPUTED_VALUE"""),19.57)</f>
        <v>19.57</v>
      </c>
      <c r="D1847" s="1">
        <f ca="1">IFERROR(__xludf.DUMMYFUNCTION("""COMPUTED_VALUE"""),18.39)</f>
        <v>18.39</v>
      </c>
      <c r="E1847" s="1">
        <f ca="1">IFERROR(__xludf.DUMMYFUNCTION("""COMPUTED_VALUE"""),19.53)</f>
        <v>19.53</v>
      </c>
      <c r="F1847" s="1">
        <f ca="1">IFERROR(__xludf.DUMMYFUNCTION("""COMPUTED_VALUE"""),57204868)</f>
        <v>57204868</v>
      </c>
    </row>
    <row r="1848" spans="1:6" x14ac:dyDescent="0.35">
      <c r="A1848" s="2">
        <f ca="1">IFERROR(__xludf.DUMMYFUNCTION("""COMPUTED_VALUE"""),44684.6666666666)</f>
        <v>44684.666666666599</v>
      </c>
      <c r="B1848" s="1">
        <f ca="1">IFERROR(__xludf.DUMMYFUNCTION("""COMPUTED_VALUE"""),19.4)</f>
        <v>19.399999999999999</v>
      </c>
      <c r="C1848" s="1">
        <f ca="1">IFERROR(__xludf.DUMMYFUNCTION("""COMPUTED_VALUE"""),19.83)</f>
        <v>19.829999999999998</v>
      </c>
      <c r="D1848" s="1">
        <f ca="1">IFERROR(__xludf.DUMMYFUNCTION("""COMPUTED_VALUE"""),19.13)</f>
        <v>19.13</v>
      </c>
      <c r="E1848" s="1">
        <f ca="1">IFERROR(__xludf.DUMMYFUNCTION("""COMPUTED_VALUE"""),19.6)</f>
        <v>19.600000000000001</v>
      </c>
      <c r="F1848" s="1">
        <f ca="1">IFERROR(__xludf.DUMMYFUNCTION("""COMPUTED_VALUE"""),47575084)</f>
        <v>47575084</v>
      </c>
    </row>
    <row r="1849" spans="1:6" x14ac:dyDescent="0.35">
      <c r="A1849" s="2">
        <f ca="1">IFERROR(__xludf.DUMMYFUNCTION("""COMPUTED_VALUE"""),44685.6666666666)</f>
        <v>44685.666666666599</v>
      </c>
      <c r="B1849" s="1">
        <f ca="1">IFERROR(__xludf.DUMMYFUNCTION("""COMPUTED_VALUE"""),19.92)</f>
        <v>19.920000000000002</v>
      </c>
      <c r="C1849" s="1">
        <f ca="1">IFERROR(__xludf.DUMMYFUNCTION("""COMPUTED_VALUE"""),20.4)</f>
        <v>20.399999999999999</v>
      </c>
      <c r="D1849" s="1">
        <f ca="1">IFERROR(__xludf.DUMMYFUNCTION("""COMPUTED_VALUE"""),18.75)</f>
        <v>18.75</v>
      </c>
      <c r="E1849" s="1">
        <f ca="1">IFERROR(__xludf.DUMMYFUNCTION("""COMPUTED_VALUE"""),20.33)</f>
        <v>20.329999999999998</v>
      </c>
      <c r="F1849" s="1">
        <f ca="1">IFERROR(__xludf.DUMMYFUNCTION("""COMPUTED_VALUE"""),64885463)</f>
        <v>64885463</v>
      </c>
    </row>
    <row r="1850" spans="1:6" x14ac:dyDescent="0.35">
      <c r="A1850" s="2">
        <f ca="1">IFERROR(__xludf.DUMMYFUNCTION("""COMPUTED_VALUE"""),44686.6666666666)</f>
        <v>44686.666666666599</v>
      </c>
      <c r="B1850" s="1">
        <f ca="1">IFERROR(__xludf.DUMMYFUNCTION("""COMPUTED_VALUE"""),19.87)</f>
        <v>19.87</v>
      </c>
      <c r="C1850" s="1">
        <f ca="1">IFERROR(__xludf.DUMMYFUNCTION("""COMPUTED_VALUE"""),19.93)</f>
        <v>19.93</v>
      </c>
      <c r="D1850" s="1">
        <f ca="1">IFERROR(__xludf.DUMMYFUNCTION("""COMPUTED_VALUE"""),18.5)</f>
        <v>18.5</v>
      </c>
      <c r="E1850" s="1">
        <f ca="1">IFERROR(__xludf.DUMMYFUNCTION("""COMPUTED_VALUE"""),18.84)</f>
        <v>18.84</v>
      </c>
      <c r="F1850" s="1">
        <f ca="1">IFERROR(__xludf.DUMMYFUNCTION("""COMPUTED_VALUE"""),62633141)</f>
        <v>62633141</v>
      </c>
    </row>
    <row r="1851" spans="1:6" x14ac:dyDescent="0.35">
      <c r="A1851" s="2">
        <f ca="1">IFERROR(__xludf.DUMMYFUNCTION("""COMPUTED_VALUE"""),44687.6666666666)</f>
        <v>44687.666666666599</v>
      </c>
      <c r="B1851" s="1">
        <f ca="1">IFERROR(__xludf.DUMMYFUNCTION("""COMPUTED_VALUE"""),18.74)</f>
        <v>18.739999999999998</v>
      </c>
      <c r="C1851" s="1">
        <f ca="1">IFERROR(__xludf.DUMMYFUNCTION("""COMPUTED_VALUE"""),19.51)</f>
        <v>19.510000000000002</v>
      </c>
      <c r="D1851" s="1">
        <f ca="1">IFERROR(__xludf.DUMMYFUNCTION("""COMPUTED_VALUE"""),17.99)</f>
        <v>17.989999999999998</v>
      </c>
      <c r="E1851" s="1">
        <f ca="1">IFERROR(__xludf.DUMMYFUNCTION("""COMPUTED_VALUE"""),18.68)</f>
        <v>18.68</v>
      </c>
      <c r="F1851" s="1">
        <f ca="1">IFERROR(__xludf.DUMMYFUNCTION("""COMPUTED_VALUE"""),63329672)</f>
        <v>63329672</v>
      </c>
    </row>
    <row r="1852" spans="1:6" x14ac:dyDescent="0.35">
      <c r="A1852" s="2">
        <f ca="1">IFERROR(__xludf.DUMMYFUNCTION("""COMPUTED_VALUE"""),44690.6666666666)</f>
        <v>44690.666666666599</v>
      </c>
      <c r="B1852" s="1">
        <f ca="1">IFERROR(__xludf.DUMMYFUNCTION("""COMPUTED_VALUE"""),18.03)</f>
        <v>18.03</v>
      </c>
      <c r="C1852" s="1">
        <f ca="1">IFERROR(__xludf.DUMMYFUNCTION("""COMPUTED_VALUE"""),18.26)</f>
        <v>18.260000000000002</v>
      </c>
      <c r="D1852" s="1">
        <f ca="1">IFERROR(__xludf.DUMMYFUNCTION("""COMPUTED_VALUE"""),16.83)</f>
        <v>16.829999999999998</v>
      </c>
      <c r="E1852" s="1">
        <f ca="1">IFERROR(__xludf.DUMMYFUNCTION("""COMPUTED_VALUE"""),16.95)</f>
        <v>16.95</v>
      </c>
      <c r="F1852" s="1">
        <f ca="1">IFERROR(__xludf.DUMMYFUNCTION("""COMPUTED_VALUE"""),64445451)</f>
        <v>64445451</v>
      </c>
    </row>
    <row r="1853" spans="1:6" x14ac:dyDescent="0.35">
      <c r="A1853" s="2">
        <f ca="1">IFERROR(__xludf.DUMMYFUNCTION("""COMPUTED_VALUE"""),44691.6666666666)</f>
        <v>44691.666666666599</v>
      </c>
      <c r="B1853" s="1">
        <f ca="1">IFERROR(__xludf.DUMMYFUNCTION("""COMPUTED_VALUE"""),17.69)</f>
        <v>17.690000000000001</v>
      </c>
      <c r="C1853" s="1">
        <f ca="1">IFERROR(__xludf.DUMMYFUNCTION("""COMPUTED_VALUE"""),18.2)</f>
        <v>18.2</v>
      </c>
      <c r="D1853" s="1">
        <f ca="1">IFERROR(__xludf.DUMMYFUNCTION("""COMPUTED_VALUE"""),17.02)</f>
        <v>17.02</v>
      </c>
      <c r="E1853" s="1">
        <f ca="1">IFERROR(__xludf.DUMMYFUNCTION("""COMPUTED_VALUE"""),17.6)</f>
        <v>17.600000000000001</v>
      </c>
      <c r="F1853" s="1">
        <f ca="1">IFERROR(__xludf.DUMMYFUNCTION("""COMPUTED_VALUE"""),76147429)</f>
        <v>76147429</v>
      </c>
    </row>
    <row r="1854" spans="1:6" x14ac:dyDescent="0.35">
      <c r="A1854" s="2">
        <f ca="1">IFERROR(__xludf.DUMMYFUNCTION("""COMPUTED_VALUE"""),44692.6666666666)</f>
        <v>44692.666666666599</v>
      </c>
      <c r="B1854" s="1">
        <f ca="1">IFERROR(__xludf.DUMMYFUNCTION("""COMPUTED_VALUE"""),17.35)</f>
        <v>17.350000000000001</v>
      </c>
      <c r="C1854" s="1">
        <f ca="1">IFERROR(__xludf.DUMMYFUNCTION("""COMPUTED_VALUE"""),17.75)</f>
        <v>17.75</v>
      </c>
      <c r="D1854" s="1">
        <f ca="1">IFERROR(__xludf.DUMMYFUNCTION("""COMPUTED_VALUE"""),16.57)</f>
        <v>16.57</v>
      </c>
      <c r="E1854" s="1">
        <f ca="1">IFERROR(__xludf.DUMMYFUNCTION("""COMPUTED_VALUE"""),16.63)</f>
        <v>16.63</v>
      </c>
      <c r="F1854" s="1">
        <f ca="1">IFERROR(__xludf.DUMMYFUNCTION("""COMPUTED_VALUE"""),67016703)</f>
        <v>67016703</v>
      </c>
    </row>
    <row r="1855" spans="1:6" x14ac:dyDescent="0.35">
      <c r="A1855" s="2">
        <f ca="1">IFERROR(__xludf.DUMMYFUNCTION("""COMPUTED_VALUE"""),44693.6666666666)</f>
        <v>44693.666666666599</v>
      </c>
      <c r="B1855" s="1">
        <f ca="1">IFERROR(__xludf.DUMMYFUNCTION("""COMPUTED_VALUE"""),16.22)</f>
        <v>16.22</v>
      </c>
      <c r="C1855" s="1">
        <f ca="1">IFERROR(__xludf.DUMMYFUNCTION("""COMPUTED_VALUE"""),16.79)</f>
        <v>16.79</v>
      </c>
      <c r="D1855" s="1">
        <f ca="1">IFERROR(__xludf.DUMMYFUNCTION("""COMPUTED_VALUE"""),15.57)</f>
        <v>15.57</v>
      </c>
      <c r="E1855" s="1">
        <f ca="1">IFERROR(__xludf.DUMMYFUNCTION("""COMPUTED_VALUE"""),16.18)</f>
        <v>16.18</v>
      </c>
      <c r="F1855" s="1">
        <f ca="1">IFERROR(__xludf.DUMMYFUNCTION("""COMPUTED_VALUE"""),70872837)</f>
        <v>70872837</v>
      </c>
    </row>
    <row r="1856" spans="1:6" x14ac:dyDescent="0.35">
      <c r="A1856" s="2">
        <f ca="1">IFERROR(__xludf.DUMMYFUNCTION("""COMPUTED_VALUE"""),44694.6666666666)</f>
        <v>44694.666666666599</v>
      </c>
      <c r="B1856" s="1">
        <f ca="1">IFERROR(__xludf.DUMMYFUNCTION("""COMPUTED_VALUE"""),16.79)</f>
        <v>16.79</v>
      </c>
      <c r="C1856" s="1">
        <f ca="1">IFERROR(__xludf.DUMMYFUNCTION("""COMPUTED_VALUE"""),17.93)</f>
        <v>17.93</v>
      </c>
      <c r="D1856" s="1">
        <f ca="1">IFERROR(__xludf.DUMMYFUNCTION("""COMPUTED_VALUE"""),16.59)</f>
        <v>16.59</v>
      </c>
      <c r="E1856" s="1">
        <f ca="1">IFERROR(__xludf.DUMMYFUNCTION("""COMPUTED_VALUE"""),17.71)</f>
        <v>17.71</v>
      </c>
      <c r="F1856" s="1">
        <f ca="1">IFERROR(__xludf.DUMMYFUNCTION("""COMPUTED_VALUE"""),67043651)</f>
        <v>67043651</v>
      </c>
    </row>
    <row r="1857" spans="1:6" x14ac:dyDescent="0.35">
      <c r="A1857" s="2">
        <f ca="1">IFERROR(__xludf.DUMMYFUNCTION("""COMPUTED_VALUE"""),44697.6666666666)</f>
        <v>44697.666666666599</v>
      </c>
      <c r="B1857" s="1">
        <f ca="1">IFERROR(__xludf.DUMMYFUNCTION("""COMPUTED_VALUE"""),17.51)</f>
        <v>17.510000000000002</v>
      </c>
      <c r="C1857" s="1">
        <f ca="1">IFERROR(__xludf.DUMMYFUNCTION("""COMPUTED_VALUE"""),17.79)</f>
        <v>17.79</v>
      </c>
      <c r="D1857" s="1">
        <f ca="1">IFERROR(__xludf.DUMMYFUNCTION("""COMPUTED_VALUE"""),17.11)</f>
        <v>17.11</v>
      </c>
      <c r="E1857" s="1">
        <f ca="1">IFERROR(__xludf.DUMMYFUNCTION("""COMPUTED_VALUE"""),17.26)</f>
        <v>17.260000000000002</v>
      </c>
      <c r="F1857" s="1">
        <f ca="1">IFERROR(__xludf.DUMMYFUNCTION("""COMPUTED_VALUE"""),52144598)</f>
        <v>52144598</v>
      </c>
    </row>
    <row r="1858" spans="1:6" x14ac:dyDescent="0.35">
      <c r="A1858" s="2">
        <f ca="1">IFERROR(__xludf.DUMMYFUNCTION("""COMPUTED_VALUE"""),44698.6666666666)</f>
        <v>44698.666666666599</v>
      </c>
      <c r="B1858" s="1">
        <f ca="1">IFERROR(__xludf.DUMMYFUNCTION("""COMPUTED_VALUE"""),18.07)</f>
        <v>18.07</v>
      </c>
      <c r="C1858" s="1">
        <f ca="1">IFERROR(__xludf.DUMMYFUNCTION("""COMPUTED_VALUE"""),18.37)</f>
        <v>18.37</v>
      </c>
      <c r="D1858" s="1">
        <f ca="1">IFERROR(__xludf.DUMMYFUNCTION("""COMPUTED_VALUE"""),17.63)</f>
        <v>17.63</v>
      </c>
      <c r="E1858" s="1">
        <f ca="1">IFERROR(__xludf.DUMMYFUNCTION("""COMPUTED_VALUE"""),18.18)</f>
        <v>18.18</v>
      </c>
      <c r="F1858" s="1">
        <f ca="1">IFERROR(__xludf.DUMMYFUNCTION("""COMPUTED_VALUE"""),58582971)</f>
        <v>58582971</v>
      </c>
    </row>
    <row r="1859" spans="1:6" x14ac:dyDescent="0.35">
      <c r="A1859" s="2">
        <f ca="1">IFERROR(__xludf.DUMMYFUNCTION("""COMPUTED_VALUE"""),44699.6666666666)</f>
        <v>44699.666666666599</v>
      </c>
      <c r="B1859" s="1">
        <f ca="1">IFERROR(__xludf.DUMMYFUNCTION("""COMPUTED_VALUE"""),17.7)</f>
        <v>17.7</v>
      </c>
      <c r="C1859" s="1">
        <f ca="1">IFERROR(__xludf.DUMMYFUNCTION("""COMPUTED_VALUE"""),18.12)</f>
        <v>18.12</v>
      </c>
      <c r="D1859" s="1">
        <f ca="1">IFERROR(__xludf.DUMMYFUNCTION("""COMPUTED_VALUE"""),16.86)</f>
        <v>16.86</v>
      </c>
      <c r="E1859" s="1">
        <f ca="1">IFERROR(__xludf.DUMMYFUNCTION("""COMPUTED_VALUE"""),16.94)</f>
        <v>16.940000000000001</v>
      </c>
      <c r="F1859" s="1">
        <f ca="1">IFERROR(__xludf.DUMMYFUNCTION("""COMPUTED_VALUE"""),54516106)</f>
        <v>54516106</v>
      </c>
    </row>
    <row r="1860" spans="1:6" x14ac:dyDescent="0.35">
      <c r="A1860" s="2">
        <f ca="1">IFERROR(__xludf.DUMMYFUNCTION("""COMPUTED_VALUE"""),44700.6666666666)</f>
        <v>44700.666666666599</v>
      </c>
      <c r="B1860" s="1">
        <f ca="1">IFERROR(__xludf.DUMMYFUNCTION("""COMPUTED_VALUE"""),16.94)</f>
        <v>16.940000000000001</v>
      </c>
      <c r="C1860" s="1">
        <f ca="1">IFERROR(__xludf.DUMMYFUNCTION("""COMPUTED_VALUE"""),17.69)</f>
        <v>17.690000000000001</v>
      </c>
      <c r="D1860" s="1">
        <f ca="1">IFERROR(__xludf.DUMMYFUNCTION("""COMPUTED_VALUE"""),16.73)</f>
        <v>16.73</v>
      </c>
      <c r="E1860" s="1">
        <f ca="1">IFERROR(__xludf.DUMMYFUNCTION("""COMPUTED_VALUE"""),17.12)</f>
        <v>17.12</v>
      </c>
      <c r="F1860" s="1">
        <f ca="1">IFERROR(__xludf.DUMMYFUNCTION("""COMPUTED_VALUE"""),62130959)</f>
        <v>62130959</v>
      </c>
    </row>
    <row r="1861" spans="1:6" x14ac:dyDescent="0.35">
      <c r="A1861" s="2">
        <f ca="1">IFERROR(__xludf.DUMMYFUNCTION("""COMPUTED_VALUE"""),44701.6666666666)</f>
        <v>44701.666666666599</v>
      </c>
      <c r="B1861" s="1">
        <f ca="1">IFERROR(__xludf.DUMMYFUNCTION("""COMPUTED_VALUE"""),17.33)</f>
        <v>17.329999999999998</v>
      </c>
      <c r="C1861" s="1">
        <f ca="1">IFERROR(__xludf.DUMMYFUNCTION("""COMPUTED_VALUE"""),17.41)</f>
        <v>17.41</v>
      </c>
      <c r="D1861" s="1">
        <f ca="1">IFERROR(__xludf.DUMMYFUNCTION("""COMPUTED_VALUE"""),15.76)</f>
        <v>15.76</v>
      </c>
      <c r="E1861" s="1">
        <f ca="1">IFERROR(__xludf.DUMMYFUNCTION("""COMPUTED_VALUE"""),16.69)</f>
        <v>16.690000000000001</v>
      </c>
      <c r="F1861" s="1">
        <f ca="1">IFERROR(__xludf.DUMMYFUNCTION("""COMPUTED_VALUE"""),73910526)</f>
        <v>73910526</v>
      </c>
    </row>
    <row r="1862" spans="1:6" x14ac:dyDescent="0.35">
      <c r="A1862" s="2">
        <f ca="1">IFERROR(__xludf.DUMMYFUNCTION("""COMPUTED_VALUE"""),44704.6666666666)</f>
        <v>44704.666666666599</v>
      </c>
      <c r="B1862" s="1">
        <f ca="1">IFERROR(__xludf.DUMMYFUNCTION("""COMPUTED_VALUE"""),16.27)</f>
        <v>16.27</v>
      </c>
      <c r="C1862" s="1">
        <f ca="1">IFERROR(__xludf.DUMMYFUNCTION("""COMPUTED_VALUE"""),16.92)</f>
        <v>16.920000000000002</v>
      </c>
      <c r="D1862" s="1">
        <f ca="1">IFERROR(__xludf.DUMMYFUNCTION("""COMPUTED_VALUE"""),16.18)</f>
        <v>16.18</v>
      </c>
      <c r="E1862" s="1">
        <f ca="1">IFERROR(__xludf.DUMMYFUNCTION("""COMPUTED_VALUE"""),16.9)</f>
        <v>16.899999999999999</v>
      </c>
      <c r="F1862" s="1">
        <f ca="1">IFERROR(__xludf.DUMMYFUNCTION("""COMPUTED_VALUE"""),63988869)</f>
        <v>63988869</v>
      </c>
    </row>
    <row r="1863" spans="1:6" x14ac:dyDescent="0.35">
      <c r="A1863" s="2">
        <f ca="1">IFERROR(__xludf.DUMMYFUNCTION("""COMPUTED_VALUE"""),44705.6666666666)</f>
        <v>44705.666666666599</v>
      </c>
      <c r="B1863" s="1">
        <f ca="1">IFERROR(__xludf.DUMMYFUNCTION("""COMPUTED_VALUE"""),16.51)</f>
        <v>16.510000000000002</v>
      </c>
      <c r="C1863" s="1">
        <f ca="1">IFERROR(__xludf.DUMMYFUNCTION("""COMPUTED_VALUE"""),16.6)</f>
        <v>16.600000000000001</v>
      </c>
      <c r="D1863" s="1">
        <f ca="1">IFERROR(__xludf.DUMMYFUNCTION("""COMPUTED_VALUE"""),15.78)</f>
        <v>15.78</v>
      </c>
      <c r="E1863" s="1">
        <f ca="1">IFERROR(__xludf.DUMMYFUNCTION("""COMPUTED_VALUE"""),16.15)</f>
        <v>16.149999999999999</v>
      </c>
      <c r="F1863" s="1">
        <f ca="1">IFERROR(__xludf.DUMMYFUNCTION("""COMPUTED_VALUE"""),58855002)</f>
        <v>58855002</v>
      </c>
    </row>
    <row r="1864" spans="1:6" x14ac:dyDescent="0.35">
      <c r="A1864" s="2">
        <f ca="1">IFERROR(__xludf.DUMMYFUNCTION("""COMPUTED_VALUE"""),44706.6666666666)</f>
        <v>44706.666666666599</v>
      </c>
      <c r="B1864" s="1">
        <f ca="1">IFERROR(__xludf.DUMMYFUNCTION("""COMPUTED_VALUE"""),16.02)</f>
        <v>16.02</v>
      </c>
      <c r="C1864" s="1">
        <f ca="1">IFERROR(__xludf.DUMMYFUNCTION("""COMPUTED_VALUE"""),17.11)</f>
        <v>17.11</v>
      </c>
      <c r="D1864" s="1">
        <f ca="1">IFERROR(__xludf.DUMMYFUNCTION("""COMPUTED_VALUE"""),16)</f>
        <v>16</v>
      </c>
      <c r="E1864" s="1">
        <f ca="1">IFERROR(__xludf.DUMMYFUNCTION("""COMPUTED_VALUE"""),16.98)</f>
        <v>16.98</v>
      </c>
      <c r="F1864" s="1">
        <f ca="1">IFERROR(__xludf.DUMMYFUNCTION("""COMPUTED_VALUE"""),78113190)</f>
        <v>78113190</v>
      </c>
    </row>
    <row r="1865" spans="1:6" x14ac:dyDescent="0.35">
      <c r="A1865" s="2">
        <f ca="1">IFERROR(__xludf.DUMMYFUNCTION("""COMPUTED_VALUE"""),44707.6666666666)</f>
        <v>44707.666666666599</v>
      </c>
      <c r="B1865" s="1">
        <f ca="1">IFERROR(__xludf.DUMMYFUNCTION("""COMPUTED_VALUE"""),16.04)</f>
        <v>16.04</v>
      </c>
      <c r="C1865" s="1">
        <f ca="1">IFERROR(__xludf.DUMMYFUNCTION("""COMPUTED_VALUE"""),18.09)</f>
        <v>18.09</v>
      </c>
      <c r="D1865" s="1">
        <f ca="1">IFERROR(__xludf.DUMMYFUNCTION("""COMPUTED_VALUE"""),16.02)</f>
        <v>16.02</v>
      </c>
      <c r="E1865" s="1">
        <f ca="1">IFERROR(__xludf.DUMMYFUNCTION("""COMPUTED_VALUE"""),17.85)</f>
        <v>17.850000000000001</v>
      </c>
      <c r="F1865" s="1">
        <f ca="1">IFERROR(__xludf.DUMMYFUNCTION("""COMPUTED_VALUE"""),99657452)</f>
        <v>99657452</v>
      </c>
    </row>
    <row r="1866" spans="1:6" x14ac:dyDescent="0.35">
      <c r="A1866" s="2">
        <f ca="1">IFERROR(__xludf.DUMMYFUNCTION("""COMPUTED_VALUE"""),44708.6666666666)</f>
        <v>44708.666666666599</v>
      </c>
      <c r="B1866" s="1">
        <f ca="1">IFERROR(__xludf.DUMMYFUNCTION("""COMPUTED_VALUE"""),18.19)</f>
        <v>18.190000000000001</v>
      </c>
      <c r="C1866" s="1">
        <f ca="1">IFERROR(__xludf.DUMMYFUNCTION("""COMPUTED_VALUE"""),18.88)</f>
        <v>18.88</v>
      </c>
      <c r="D1866" s="1">
        <f ca="1">IFERROR(__xludf.DUMMYFUNCTION("""COMPUTED_VALUE"""),18.1)</f>
        <v>18.100000000000001</v>
      </c>
      <c r="E1866" s="1">
        <f ca="1">IFERROR(__xludf.DUMMYFUNCTION("""COMPUTED_VALUE"""),18.81)</f>
        <v>18.809999999999999</v>
      </c>
      <c r="F1866" s="1">
        <f ca="1">IFERROR(__xludf.DUMMYFUNCTION("""COMPUTED_VALUE"""),73837935)</f>
        <v>73837935</v>
      </c>
    </row>
    <row r="1867" spans="1:6" x14ac:dyDescent="0.35">
      <c r="A1867" s="2">
        <f ca="1">IFERROR(__xludf.DUMMYFUNCTION("""COMPUTED_VALUE"""),44712.6666666666)</f>
        <v>44712.666666666599</v>
      </c>
      <c r="B1867" s="1">
        <f ca="1">IFERROR(__xludf.DUMMYFUNCTION("""COMPUTED_VALUE"""),18.98)</f>
        <v>18.98</v>
      </c>
      <c r="C1867" s="1">
        <f ca="1">IFERROR(__xludf.DUMMYFUNCTION("""COMPUTED_VALUE"""),19.2)</f>
        <v>19.2</v>
      </c>
      <c r="D1867" s="1">
        <f ca="1">IFERROR(__xludf.DUMMYFUNCTION("""COMPUTED_VALUE"""),18.35)</f>
        <v>18.350000000000001</v>
      </c>
      <c r="E1867" s="1">
        <f ca="1">IFERROR(__xludf.DUMMYFUNCTION("""COMPUTED_VALUE"""),18.67)</f>
        <v>18.670000000000002</v>
      </c>
      <c r="F1867" s="1">
        <f ca="1">IFERROR(__xludf.DUMMYFUNCTION("""COMPUTED_VALUE"""),66409951)</f>
        <v>66409951</v>
      </c>
    </row>
    <row r="1868" spans="1:6" x14ac:dyDescent="0.35">
      <c r="A1868" s="2">
        <f ca="1">IFERROR(__xludf.DUMMYFUNCTION("""COMPUTED_VALUE"""),44713.6666666666)</f>
        <v>44713.666666666599</v>
      </c>
      <c r="B1868" s="1">
        <f ca="1">IFERROR(__xludf.DUMMYFUNCTION("""COMPUTED_VALUE"""),18.72)</f>
        <v>18.72</v>
      </c>
      <c r="C1868" s="1">
        <f ca="1">IFERROR(__xludf.DUMMYFUNCTION("""COMPUTED_VALUE"""),19.05)</f>
        <v>19.05</v>
      </c>
      <c r="D1868" s="1">
        <f ca="1">IFERROR(__xludf.DUMMYFUNCTION("""COMPUTED_VALUE"""),18.12)</f>
        <v>18.12</v>
      </c>
      <c r="E1868" s="1">
        <f ca="1">IFERROR(__xludf.DUMMYFUNCTION("""COMPUTED_VALUE"""),18.32)</f>
        <v>18.32</v>
      </c>
      <c r="F1868" s="1">
        <f ca="1">IFERROR(__xludf.DUMMYFUNCTION("""COMPUTED_VALUE"""),54451390)</f>
        <v>54451390</v>
      </c>
    </row>
    <row r="1869" spans="1:6" x14ac:dyDescent="0.35">
      <c r="A1869" s="2">
        <f ca="1">IFERROR(__xludf.DUMMYFUNCTION("""COMPUTED_VALUE"""),44714.6666666666)</f>
        <v>44714.666666666599</v>
      </c>
      <c r="B1869" s="1">
        <f ca="1">IFERROR(__xludf.DUMMYFUNCTION("""COMPUTED_VALUE"""),18.29)</f>
        <v>18.29</v>
      </c>
      <c r="C1869" s="1">
        <f ca="1">IFERROR(__xludf.DUMMYFUNCTION("""COMPUTED_VALUE"""),19.62)</f>
        <v>19.62</v>
      </c>
      <c r="D1869" s="1">
        <f ca="1">IFERROR(__xludf.DUMMYFUNCTION("""COMPUTED_VALUE"""),18.2)</f>
        <v>18.2</v>
      </c>
      <c r="E1869" s="1">
        <f ca="1">IFERROR(__xludf.DUMMYFUNCTION("""COMPUTED_VALUE"""),19.59)</f>
        <v>19.59</v>
      </c>
      <c r="F1869" s="1">
        <f ca="1">IFERROR(__xludf.DUMMYFUNCTION("""COMPUTED_VALUE"""),64865580)</f>
        <v>64865580</v>
      </c>
    </row>
    <row r="1870" spans="1:6" x14ac:dyDescent="0.35">
      <c r="A1870" s="2">
        <f ca="1">IFERROR(__xludf.DUMMYFUNCTION("""COMPUTED_VALUE"""),44715.6666666666)</f>
        <v>44715.666666666599</v>
      </c>
      <c r="B1870" s="1">
        <f ca="1">IFERROR(__xludf.DUMMYFUNCTION("""COMPUTED_VALUE"""),19.08)</f>
        <v>19.079999999999998</v>
      </c>
      <c r="C1870" s="1">
        <f ca="1">IFERROR(__xludf.DUMMYFUNCTION("""COMPUTED_VALUE"""),19.33)</f>
        <v>19.329999999999998</v>
      </c>
      <c r="D1870" s="1">
        <f ca="1">IFERROR(__xludf.DUMMYFUNCTION("""COMPUTED_VALUE"""),18.52)</f>
        <v>18.52</v>
      </c>
      <c r="E1870" s="1">
        <f ca="1">IFERROR(__xludf.DUMMYFUNCTION("""COMPUTED_VALUE"""),18.72)</f>
        <v>18.72</v>
      </c>
      <c r="F1870" s="1">
        <f ca="1">IFERROR(__xludf.DUMMYFUNCTION("""COMPUTED_VALUE"""),59877870)</f>
        <v>59877870</v>
      </c>
    </row>
    <row r="1871" spans="1:6" x14ac:dyDescent="0.35">
      <c r="A1871" s="2">
        <f ca="1">IFERROR(__xludf.DUMMYFUNCTION("""COMPUTED_VALUE"""),44718.6666666666)</f>
        <v>44718.666666666599</v>
      </c>
      <c r="B1871" s="1">
        <f ca="1">IFERROR(__xludf.DUMMYFUNCTION("""COMPUTED_VALUE"""),19.14)</f>
        <v>19.14</v>
      </c>
      <c r="C1871" s="1">
        <f ca="1">IFERROR(__xludf.DUMMYFUNCTION("""COMPUTED_VALUE"""),19.34)</f>
        <v>19.34</v>
      </c>
      <c r="D1871" s="1">
        <f ca="1">IFERROR(__xludf.DUMMYFUNCTION("""COMPUTED_VALUE"""),18.56)</f>
        <v>18.559999999999999</v>
      </c>
      <c r="E1871" s="1">
        <f ca="1">IFERROR(__xludf.DUMMYFUNCTION("""COMPUTED_VALUE"""),18.79)</f>
        <v>18.79</v>
      </c>
      <c r="F1871" s="1">
        <f ca="1">IFERROR(__xludf.DUMMYFUNCTION("""COMPUTED_VALUE"""),42240615)</f>
        <v>42240615</v>
      </c>
    </row>
    <row r="1872" spans="1:6" x14ac:dyDescent="0.35">
      <c r="A1872" s="2">
        <f ca="1">IFERROR(__xludf.DUMMYFUNCTION("""COMPUTED_VALUE"""),44719.6666666666)</f>
        <v>44719.666666666599</v>
      </c>
      <c r="B1872" s="1">
        <f ca="1">IFERROR(__xludf.DUMMYFUNCTION("""COMPUTED_VALUE"""),18.47)</f>
        <v>18.47</v>
      </c>
      <c r="C1872" s="1">
        <f ca="1">IFERROR(__xludf.DUMMYFUNCTION("""COMPUTED_VALUE"""),19)</f>
        <v>19</v>
      </c>
      <c r="D1872" s="1">
        <f ca="1">IFERROR(__xludf.DUMMYFUNCTION("""COMPUTED_VALUE"""),18.19)</f>
        <v>18.190000000000001</v>
      </c>
      <c r="E1872" s="1">
        <f ca="1">IFERROR(__xludf.DUMMYFUNCTION("""COMPUTED_VALUE"""),18.93)</f>
        <v>18.93</v>
      </c>
      <c r="F1872" s="1">
        <f ca="1">IFERROR(__xludf.DUMMYFUNCTION("""COMPUTED_VALUE"""),38891411)</f>
        <v>38891411</v>
      </c>
    </row>
    <row r="1873" spans="1:6" x14ac:dyDescent="0.35">
      <c r="A1873" s="2">
        <f ca="1">IFERROR(__xludf.DUMMYFUNCTION("""COMPUTED_VALUE"""),44720.6666666666)</f>
        <v>44720.666666666599</v>
      </c>
      <c r="B1873" s="1">
        <f ca="1">IFERROR(__xludf.DUMMYFUNCTION("""COMPUTED_VALUE"""),18.8)</f>
        <v>18.8</v>
      </c>
      <c r="C1873" s="1">
        <f ca="1">IFERROR(__xludf.DUMMYFUNCTION("""COMPUTED_VALUE"""),19.18)</f>
        <v>19.18</v>
      </c>
      <c r="D1873" s="1">
        <f ca="1">IFERROR(__xludf.DUMMYFUNCTION("""COMPUTED_VALUE"""),18.54)</f>
        <v>18.54</v>
      </c>
      <c r="E1873" s="1">
        <f ca="1">IFERROR(__xludf.DUMMYFUNCTION("""COMPUTED_VALUE"""),18.65)</f>
        <v>18.649999999999999</v>
      </c>
      <c r="F1873" s="1">
        <f ca="1">IFERROR(__xludf.DUMMYFUNCTION("""COMPUTED_VALUE"""),36325246)</f>
        <v>36325246</v>
      </c>
    </row>
    <row r="1874" spans="1:6" x14ac:dyDescent="0.35">
      <c r="A1874" s="2">
        <f ca="1">IFERROR(__xludf.DUMMYFUNCTION("""COMPUTED_VALUE"""),44721.6666666666)</f>
        <v>44721.666666666599</v>
      </c>
      <c r="B1874" s="1">
        <f ca="1">IFERROR(__xludf.DUMMYFUNCTION("""COMPUTED_VALUE"""),18.48)</f>
        <v>18.48</v>
      </c>
      <c r="C1874" s="1">
        <f ca="1">IFERROR(__xludf.DUMMYFUNCTION("""COMPUTED_VALUE"""),18.93)</f>
        <v>18.93</v>
      </c>
      <c r="D1874" s="1">
        <f ca="1">IFERROR(__xludf.DUMMYFUNCTION("""COMPUTED_VALUE"""),18.04)</f>
        <v>18.04</v>
      </c>
      <c r="E1874" s="1">
        <f ca="1">IFERROR(__xludf.DUMMYFUNCTION("""COMPUTED_VALUE"""),18.05)</f>
        <v>18.05</v>
      </c>
      <c r="F1874" s="1">
        <f ca="1">IFERROR(__xludf.DUMMYFUNCTION("""COMPUTED_VALUE"""),39557379)</f>
        <v>39557379</v>
      </c>
    </row>
    <row r="1875" spans="1:6" x14ac:dyDescent="0.35">
      <c r="A1875" s="2">
        <f ca="1">IFERROR(__xludf.DUMMYFUNCTION("""COMPUTED_VALUE"""),44722.6666666666)</f>
        <v>44722.666666666599</v>
      </c>
      <c r="B1875" s="1">
        <f ca="1">IFERROR(__xludf.DUMMYFUNCTION("""COMPUTED_VALUE"""),17.6)</f>
        <v>17.600000000000001</v>
      </c>
      <c r="C1875" s="1">
        <f ca="1">IFERROR(__xludf.DUMMYFUNCTION("""COMPUTED_VALUE"""),17.7)</f>
        <v>17.7</v>
      </c>
      <c r="D1875" s="1">
        <f ca="1">IFERROR(__xludf.DUMMYFUNCTION("""COMPUTED_VALUE"""),16.87)</f>
        <v>16.87</v>
      </c>
      <c r="E1875" s="1">
        <f ca="1">IFERROR(__xludf.DUMMYFUNCTION("""COMPUTED_VALUE"""),16.97)</f>
        <v>16.97</v>
      </c>
      <c r="F1875" s="1">
        <f ca="1">IFERROR(__xludf.DUMMYFUNCTION("""COMPUTED_VALUE"""),46564966)</f>
        <v>46564966</v>
      </c>
    </row>
    <row r="1876" spans="1:6" x14ac:dyDescent="0.35">
      <c r="A1876" s="2">
        <f ca="1">IFERROR(__xludf.DUMMYFUNCTION("""COMPUTED_VALUE"""),44725.6666666666)</f>
        <v>44725.666666666599</v>
      </c>
      <c r="B1876" s="1">
        <f ca="1">IFERROR(__xludf.DUMMYFUNCTION("""COMPUTED_VALUE"""),16)</f>
        <v>16</v>
      </c>
      <c r="C1876" s="1">
        <f ca="1">IFERROR(__xludf.DUMMYFUNCTION("""COMPUTED_VALUE"""),16.31)</f>
        <v>16.309999999999999</v>
      </c>
      <c r="D1876" s="1">
        <f ca="1">IFERROR(__xludf.DUMMYFUNCTION("""COMPUTED_VALUE"""),15.61)</f>
        <v>15.61</v>
      </c>
      <c r="E1876" s="1">
        <f ca="1">IFERROR(__xludf.DUMMYFUNCTION("""COMPUTED_VALUE"""),15.65)</f>
        <v>15.65</v>
      </c>
      <c r="F1876" s="1">
        <f ca="1">IFERROR(__xludf.DUMMYFUNCTION("""COMPUTED_VALUE"""),60415338)</f>
        <v>60415338</v>
      </c>
    </row>
    <row r="1877" spans="1:6" x14ac:dyDescent="0.35">
      <c r="A1877" s="2">
        <f ca="1">IFERROR(__xludf.DUMMYFUNCTION("""COMPUTED_VALUE"""),44726.6666666666)</f>
        <v>44726.666666666599</v>
      </c>
      <c r="B1877" s="1">
        <f ca="1">IFERROR(__xludf.DUMMYFUNCTION("""COMPUTED_VALUE"""),15.73)</f>
        <v>15.73</v>
      </c>
      <c r="C1877" s="1">
        <f ca="1">IFERROR(__xludf.DUMMYFUNCTION("""COMPUTED_VALUE"""),16.07)</f>
        <v>16.07</v>
      </c>
      <c r="D1877" s="1">
        <f ca="1">IFERROR(__xludf.DUMMYFUNCTION("""COMPUTED_VALUE"""),15.41)</f>
        <v>15.41</v>
      </c>
      <c r="E1877" s="1">
        <f ca="1">IFERROR(__xludf.DUMMYFUNCTION("""COMPUTED_VALUE"""),15.84)</f>
        <v>15.84</v>
      </c>
      <c r="F1877" s="1">
        <f ca="1">IFERROR(__xludf.DUMMYFUNCTION("""COMPUTED_VALUE"""),46967952)</f>
        <v>46967952</v>
      </c>
    </row>
    <row r="1878" spans="1:6" x14ac:dyDescent="0.35">
      <c r="A1878" s="2">
        <f ca="1">IFERROR(__xludf.DUMMYFUNCTION("""COMPUTED_VALUE"""),44727.6666666666)</f>
        <v>44727.666666666599</v>
      </c>
      <c r="B1878" s="1">
        <f ca="1">IFERROR(__xludf.DUMMYFUNCTION("""COMPUTED_VALUE"""),16.1)</f>
        <v>16.100000000000001</v>
      </c>
      <c r="C1878" s="1">
        <f ca="1">IFERROR(__xludf.DUMMYFUNCTION("""COMPUTED_VALUE"""),16.87)</f>
        <v>16.87</v>
      </c>
      <c r="D1878" s="1">
        <f ca="1">IFERROR(__xludf.DUMMYFUNCTION("""COMPUTED_VALUE"""),15.93)</f>
        <v>15.93</v>
      </c>
      <c r="E1878" s="1">
        <f ca="1">IFERROR(__xludf.DUMMYFUNCTION("""COMPUTED_VALUE"""),16.53)</f>
        <v>16.53</v>
      </c>
      <c r="F1878" s="1">
        <f ca="1">IFERROR(__xludf.DUMMYFUNCTION("""COMPUTED_VALUE"""),56393565)</f>
        <v>56393565</v>
      </c>
    </row>
    <row r="1879" spans="1:6" x14ac:dyDescent="0.35">
      <c r="A1879" s="2">
        <f ca="1">IFERROR(__xludf.DUMMYFUNCTION("""COMPUTED_VALUE"""),44728.6666666666)</f>
        <v>44728.666666666599</v>
      </c>
      <c r="B1879" s="1">
        <f ca="1">IFERROR(__xludf.DUMMYFUNCTION("""COMPUTED_VALUE"""),15.86)</f>
        <v>15.86</v>
      </c>
      <c r="C1879" s="1">
        <f ca="1">IFERROR(__xludf.DUMMYFUNCTION("""COMPUTED_VALUE"""),15.94)</f>
        <v>15.94</v>
      </c>
      <c r="D1879" s="1">
        <f ca="1">IFERROR(__xludf.DUMMYFUNCTION("""COMPUTED_VALUE"""),15.4)</f>
        <v>15.4</v>
      </c>
      <c r="E1879" s="1">
        <f ca="1">IFERROR(__xludf.DUMMYFUNCTION("""COMPUTED_VALUE"""),15.6)</f>
        <v>15.6</v>
      </c>
      <c r="F1879" s="1">
        <f ca="1">IFERROR(__xludf.DUMMYFUNCTION("""COMPUTED_VALUE"""),54574867)</f>
        <v>54574867</v>
      </c>
    </row>
    <row r="1880" spans="1:6" x14ac:dyDescent="0.35">
      <c r="A1880" s="2">
        <f ca="1">IFERROR(__xludf.DUMMYFUNCTION("""COMPUTED_VALUE"""),44729.6666666666)</f>
        <v>44729.666666666599</v>
      </c>
      <c r="B1880" s="1">
        <f ca="1">IFERROR(__xludf.DUMMYFUNCTION("""COMPUTED_VALUE"""),15.65)</f>
        <v>15.65</v>
      </c>
      <c r="C1880" s="1">
        <f ca="1">IFERROR(__xludf.DUMMYFUNCTION("""COMPUTED_VALUE"""),16)</f>
        <v>16</v>
      </c>
      <c r="D1880" s="1">
        <f ca="1">IFERROR(__xludf.DUMMYFUNCTION("""COMPUTED_VALUE"""),15.33)</f>
        <v>15.33</v>
      </c>
      <c r="E1880" s="1">
        <f ca="1">IFERROR(__xludf.DUMMYFUNCTION("""COMPUTED_VALUE"""),15.88)</f>
        <v>15.88</v>
      </c>
      <c r="F1880" s="1">
        <f ca="1">IFERROR(__xludf.DUMMYFUNCTION("""COMPUTED_VALUE"""),63033397)</f>
        <v>63033397</v>
      </c>
    </row>
    <row r="1881" spans="1:6" x14ac:dyDescent="0.35">
      <c r="A1881" s="2">
        <f ca="1">IFERROR(__xludf.DUMMYFUNCTION("""COMPUTED_VALUE"""),44733.6666666666)</f>
        <v>44733.666666666599</v>
      </c>
      <c r="B1881" s="1">
        <f ca="1">IFERROR(__xludf.DUMMYFUNCTION("""COMPUTED_VALUE"""),16.47)</f>
        <v>16.47</v>
      </c>
      <c r="C1881" s="1">
        <f ca="1">IFERROR(__xludf.DUMMYFUNCTION("""COMPUTED_VALUE"""),17.01)</f>
        <v>17.010000000000002</v>
      </c>
      <c r="D1881" s="1">
        <f ca="1">IFERROR(__xludf.DUMMYFUNCTION("""COMPUTED_VALUE"""),16.41)</f>
        <v>16.41</v>
      </c>
      <c r="E1881" s="1">
        <f ca="1">IFERROR(__xludf.DUMMYFUNCTION("""COMPUTED_VALUE"""),16.57)</f>
        <v>16.57</v>
      </c>
      <c r="F1881" s="1">
        <f ca="1">IFERROR(__xludf.DUMMYFUNCTION("""COMPUTED_VALUE"""),48308888)</f>
        <v>48308888</v>
      </c>
    </row>
    <row r="1882" spans="1:6" x14ac:dyDescent="0.35">
      <c r="A1882" s="2">
        <f ca="1">IFERROR(__xludf.DUMMYFUNCTION("""COMPUTED_VALUE"""),44734.6666666666)</f>
        <v>44734.666666666599</v>
      </c>
      <c r="B1882" s="1">
        <f ca="1">IFERROR(__xludf.DUMMYFUNCTION("""COMPUTED_VALUE"""),16.23)</f>
        <v>16.23</v>
      </c>
      <c r="C1882" s="1">
        <f ca="1">IFERROR(__xludf.DUMMYFUNCTION("""COMPUTED_VALUE"""),16.66)</f>
        <v>16.66</v>
      </c>
      <c r="D1882" s="1">
        <f ca="1">IFERROR(__xludf.DUMMYFUNCTION("""COMPUTED_VALUE"""),16.18)</f>
        <v>16.18</v>
      </c>
      <c r="E1882" s="1">
        <f ca="1">IFERROR(__xludf.DUMMYFUNCTION("""COMPUTED_VALUE"""),16.36)</f>
        <v>16.36</v>
      </c>
      <c r="F1882" s="1">
        <f ca="1">IFERROR(__xludf.DUMMYFUNCTION("""COMPUTED_VALUE"""),43799744)</f>
        <v>43799744</v>
      </c>
    </row>
    <row r="1883" spans="1:6" x14ac:dyDescent="0.35">
      <c r="A1883" s="2">
        <f ca="1">IFERROR(__xludf.DUMMYFUNCTION("""COMPUTED_VALUE"""),44735.6666666666)</f>
        <v>44735.666666666599</v>
      </c>
      <c r="B1883" s="1">
        <f ca="1">IFERROR(__xludf.DUMMYFUNCTION("""COMPUTED_VALUE"""),16.52)</f>
        <v>16.52</v>
      </c>
      <c r="C1883" s="1">
        <f ca="1">IFERROR(__xludf.DUMMYFUNCTION("""COMPUTED_VALUE"""),16.59)</f>
        <v>16.59</v>
      </c>
      <c r="D1883" s="1">
        <f ca="1">IFERROR(__xludf.DUMMYFUNCTION("""COMPUTED_VALUE"""),15.85)</f>
        <v>15.85</v>
      </c>
      <c r="E1883" s="1">
        <f ca="1">IFERROR(__xludf.DUMMYFUNCTION("""COMPUTED_VALUE"""),16.23)</f>
        <v>16.23</v>
      </c>
      <c r="F1883" s="1">
        <f ca="1">IFERROR(__xludf.DUMMYFUNCTION("""COMPUTED_VALUE"""),46367959)</f>
        <v>46367959</v>
      </c>
    </row>
    <row r="1884" spans="1:6" x14ac:dyDescent="0.35">
      <c r="A1884" s="2">
        <f ca="1">IFERROR(__xludf.DUMMYFUNCTION("""COMPUTED_VALUE"""),44736.6666666666)</f>
        <v>44736.666666666599</v>
      </c>
      <c r="B1884" s="1">
        <f ca="1">IFERROR(__xludf.DUMMYFUNCTION("""COMPUTED_VALUE"""),16.5)</f>
        <v>16.5</v>
      </c>
      <c r="C1884" s="1">
        <f ca="1">IFERROR(__xludf.DUMMYFUNCTION("""COMPUTED_VALUE"""),17.14)</f>
        <v>17.14</v>
      </c>
      <c r="D1884" s="1">
        <f ca="1">IFERROR(__xludf.DUMMYFUNCTION("""COMPUTED_VALUE"""),16.31)</f>
        <v>16.309999999999999</v>
      </c>
      <c r="E1884" s="1">
        <f ca="1">IFERROR(__xludf.DUMMYFUNCTION("""COMPUTED_VALUE"""),17.13)</f>
        <v>17.13</v>
      </c>
      <c r="F1884" s="1">
        <f ca="1">IFERROR(__xludf.DUMMYFUNCTION("""COMPUTED_VALUE"""),47215283)</f>
        <v>47215283</v>
      </c>
    </row>
    <row r="1885" spans="1:6" x14ac:dyDescent="0.35">
      <c r="A1885" s="2">
        <f ca="1">IFERROR(__xludf.DUMMYFUNCTION("""COMPUTED_VALUE"""),44739.6666666666)</f>
        <v>44739.666666666599</v>
      </c>
      <c r="B1885" s="1">
        <f ca="1">IFERROR(__xludf.DUMMYFUNCTION("""COMPUTED_VALUE"""),17.31)</f>
        <v>17.309999999999999</v>
      </c>
      <c r="C1885" s="1">
        <f ca="1">IFERROR(__xludf.DUMMYFUNCTION("""COMPUTED_VALUE"""),17.33)</f>
        <v>17.329999999999998</v>
      </c>
      <c r="D1885" s="1">
        <f ca="1">IFERROR(__xludf.DUMMYFUNCTION("""COMPUTED_VALUE"""),16.63)</f>
        <v>16.63</v>
      </c>
      <c r="E1885" s="1">
        <f ca="1">IFERROR(__xludf.DUMMYFUNCTION("""COMPUTED_VALUE"""),16.87)</f>
        <v>16.87</v>
      </c>
      <c r="F1885" s="1">
        <f ca="1">IFERROR(__xludf.DUMMYFUNCTION("""COMPUTED_VALUE"""),42796788)</f>
        <v>42796788</v>
      </c>
    </row>
    <row r="1886" spans="1:6" x14ac:dyDescent="0.35">
      <c r="A1886" s="2">
        <f ca="1">IFERROR(__xludf.DUMMYFUNCTION("""COMPUTED_VALUE"""),44740.6666666666)</f>
        <v>44740.666666666599</v>
      </c>
      <c r="B1886" s="1">
        <f ca="1">IFERROR(__xludf.DUMMYFUNCTION("""COMPUTED_VALUE"""),16.9)</f>
        <v>16.899999999999999</v>
      </c>
      <c r="C1886" s="1">
        <f ca="1">IFERROR(__xludf.DUMMYFUNCTION("""COMPUTED_VALUE"""),17.2)</f>
        <v>17.2</v>
      </c>
      <c r="D1886" s="1">
        <f ca="1">IFERROR(__xludf.DUMMYFUNCTION("""COMPUTED_VALUE"""),15.95)</f>
        <v>15.95</v>
      </c>
      <c r="E1886" s="1">
        <f ca="1">IFERROR(__xludf.DUMMYFUNCTION("""COMPUTED_VALUE"""),15.98)</f>
        <v>15.98</v>
      </c>
      <c r="F1886" s="1">
        <f ca="1">IFERROR(__xludf.DUMMYFUNCTION("""COMPUTED_VALUE"""),46185936)</f>
        <v>46185936</v>
      </c>
    </row>
    <row r="1887" spans="1:6" x14ac:dyDescent="0.35">
      <c r="A1887" s="2">
        <f ca="1">IFERROR(__xludf.DUMMYFUNCTION("""COMPUTED_VALUE"""),44741.6666666666)</f>
        <v>44741.666666666599</v>
      </c>
      <c r="B1887" s="1">
        <f ca="1">IFERROR(__xludf.DUMMYFUNCTION("""COMPUTED_VALUE"""),15.81)</f>
        <v>15.81</v>
      </c>
      <c r="C1887" s="1">
        <f ca="1">IFERROR(__xludf.DUMMYFUNCTION("""COMPUTED_VALUE"""),15.82)</f>
        <v>15.82</v>
      </c>
      <c r="D1887" s="1">
        <f ca="1">IFERROR(__xludf.DUMMYFUNCTION("""COMPUTED_VALUE"""),15.17)</f>
        <v>15.17</v>
      </c>
      <c r="E1887" s="1">
        <f ca="1">IFERROR(__xludf.DUMMYFUNCTION("""COMPUTED_VALUE"""),15.54)</f>
        <v>15.54</v>
      </c>
      <c r="F1887" s="1">
        <f ca="1">IFERROR(__xludf.DUMMYFUNCTION("""COMPUTED_VALUE"""),48235228)</f>
        <v>48235228</v>
      </c>
    </row>
    <row r="1888" spans="1:6" x14ac:dyDescent="0.35">
      <c r="A1888" s="2">
        <f ca="1">IFERROR(__xludf.DUMMYFUNCTION("""COMPUTED_VALUE"""),44742.6666666666)</f>
        <v>44742.666666666599</v>
      </c>
      <c r="B1888" s="1">
        <f ca="1">IFERROR(__xludf.DUMMYFUNCTION("""COMPUTED_VALUE"""),15.36)</f>
        <v>15.36</v>
      </c>
      <c r="C1888" s="1">
        <f ca="1">IFERROR(__xludf.DUMMYFUNCTION("""COMPUTED_VALUE"""),15.57)</f>
        <v>15.57</v>
      </c>
      <c r="D1888" s="1">
        <f ca="1">IFERROR(__xludf.DUMMYFUNCTION("""COMPUTED_VALUE"""),14.86)</f>
        <v>14.86</v>
      </c>
      <c r="E1888" s="1">
        <f ca="1">IFERROR(__xludf.DUMMYFUNCTION("""COMPUTED_VALUE"""),15.16)</f>
        <v>15.16</v>
      </c>
      <c r="F1888" s="1">
        <f ca="1">IFERROR(__xludf.DUMMYFUNCTION("""COMPUTED_VALUE"""),68607003)</f>
        <v>68607003</v>
      </c>
    </row>
    <row r="1889" spans="1:6" x14ac:dyDescent="0.35">
      <c r="A1889" s="2">
        <f ca="1">IFERROR(__xludf.DUMMYFUNCTION("""COMPUTED_VALUE"""),44743.6666666666)</f>
        <v>44743.666666666599</v>
      </c>
      <c r="B1889" s="1">
        <f ca="1">IFERROR(__xludf.DUMMYFUNCTION("""COMPUTED_VALUE"""),14.9)</f>
        <v>14.9</v>
      </c>
      <c r="C1889" s="1">
        <f ca="1">IFERROR(__xludf.DUMMYFUNCTION("""COMPUTED_VALUE"""),15.06)</f>
        <v>15.06</v>
      </c>
      <c r="D1889" s="1">
        <f ca="1">IFERROR(__xludf.DUMMYFUNCTION("""COMPUTED_VALUE"""),14.39)</f>
        <v>14.39</v>
      </c>
      <c r="E1889" s="1">
        <f ca="1">IFERROR(__xludf.DUMMYFUNCTION("""COMPUTED_VALUE"""),14.52)</f>
        <v>14.52</v>
      </c>
      <c r="F1889" s="1">
        <f ca="1">IFERROR(__xludf.DUMMYFUNCTION("""COMPUTED_VALUE"""),57761008)</f>
        <v>57761008</v>
      </c>
    </row>
    <row r="1890" spans="1:6" x14ac:dyDescent="0.35">
      <c r="A1890" s="2">
        <f ca="1">IFERROR(__xludf.DUMMYFUNCTION("""COMPUTED_VALUE"""),44747.6666666666)</f>
        <v>44747.666666666599</v>
      </c>
      <c r="B1890" s="1">
        <f ca="1">IFERROR(__xludf.DUMMYFUNCTION("""COMPUTED_VALUE"""),14.18)</f>
        <v>14.18</v>
      </c>
      <c r="C1890" s="1">
        <f ca="1">IFERROR(__xludf.DUMMYFUNCTION("""COMPUTED_VALUE"""),14.97)</f>
        <v>14.97</v>
      </c>
      <c r="D1890" s="1">
        <f ca="1">IFERROR(__xludf.DUMMYFUNCTION("""COMPUTED_VALUE"""),14.06)</f>
        <v>14.06</v>
      </c>
      <c r="E1890" s="1">
        <f ca="1">IFERROR(__xludf.DUMMYFUNCTION("""COMPUTED_VALUE"""),14.96)</f>
        <v>14.96</v>
      </c>
      <c r="F1890" s="1">
        <f ca="1">IFERROR(__xludf.DUMMYFUNCTION("""COMPUTED_VALUE"""),65220761)</f>
        <v>65220761</v>
      </c>
    </row>
    <row r="1891" spans="1:6" x14ac:dyDescent="0.35">
      <c r="A1891" s="2">
        <f ca="1">IFERROR(__xludf.DUMMYFUNCTION("""COMPUTED_VALUE"""),44748.6666666666)</f>
        <v>44748.666666666599</v>
      </c>
      <c r="B1891" s="1">
        <f ca="1">IFERROR(__xludf.DUMMYFUNCTION("""COMPUTED_VALUE"""),15.01)</f>
        <v>15.01</v>
      </c>
      <c r="C1891" s="1">
        <f ca="1">IFERROR(__xludf.DUMMYFUNCTION("""COMPUTED_VALUE"""),15.32)</f>
        <v>15.32</v>
      </c>
      <c r="D1891" s="1">
        <f ca="1">IFERROR(__xludf.DUMMYFUNCTION("""COMPUTED_VALUE"""),14.79)</f>
        <v>14.79</v>
      </c>
      <c r="E1891" s="1">
        <f ca="1">IFERROR(__xludf.DUMMYFUNCTION("""COMPUTED_VALUE"""),15.13)</f>
        <v>15.13</v>
      </c>
      <c r="F1891" s="1">
        <f ca="1">IFERROR(__xludf.DUMMYFUNCTION("""COMPUTED_VALUE"""),52906586)</f>
        <v>52906586</v>
      </c>
    </row>
    <row r="1892" spans="1:6" x14ac:dyDescent="0.35">
      <c r="A1892" s="2">
        <f ca="1">IFERROR(__xludf.DUMMYFUNCTION("""COMPUTED_VALUE"""),44749.6666666666)</f>
        <v>44749.666666666599</v>
      </c>
      <c r="B1892" s="1">
        <f ca="1">IFERROR(__xludf.DUMMYFUNCTION("""COMPUTED_VALUE"""),15.46)</f>
        <v>15.46</v>
      </c>
      <c r="C1892" s="1">
        <f ca="1">IFERROR(__xludf.DUMMYFUNCTION("""COMPUTED_VALUE"""),15.95)</f>
        <v>15.95</v>
      </c>
      <c r="D1892" s="1">
        <f ca="1">IFERROR(__xludf.DUMMYFUNCTION("""COMPUTED_VALUE"""),15.39)</f>
        <v>15.39</v>
      </c>
      <c r="E1892" s="1">
        <f ca="1">IFERROR(__xludf.DUMMYFUNCTION("""COMPUTED_VALUE"""),15.86)</f>
        <v>15.86</v>
      </c>
      <c r="F1892" s="1">
        <f ca="1">IFERROR(__xludf.DUMMYFUNCTION("""COMPUTED_VALUE"""),49290276)</f>
        <v>49290276</v>
      </c>
    </row>
    <row r="1893" spans="1:6" x14ac:dyDescent="0.35">
      <c r="A1893" s="2">
        <f ca="1">IFERROR(__xludf.DUMMYFUNCTION("""COMPUTED_VALUE"""),44750.6666666666)</f>
        <v>44750.666666666599</v>
      </c>
      <c r="B1893" s="1">
        <f ca="1">IFERROR(__xludf.DUMMYFUNCTION("""COMPUTED_VALUE"""),15.43)</f>
        <v>15.43</v>
      </c>
      <c r="C1893" s="1">
        <f ca="1">IFERROR(__xludf.DUMMYFUNCTION("""COMPUTED_VALUE"""),16.04)</f>
        <v>16.04</v>
      </c>
      <c r="D1893" s="1">
        <f ca="1">IFERROR(__xludf.DUMMYFUNCTION("""COMPUTED_VALUE"""),15.39)</f>
        <v>15.39</v>
      </c>
      <c r="E1893" s="1">
        <f ca="1">IFERROR(__xludf.DUMMYFUNCTION("""COMPUTED_VALUE"""),15.84)</f>
        <v>15.84</v>
      </c>
      <c r="F1893" s="1">
        <f ca="1">IFERROR(__xludf.DUMMYFUNCTION("""COMPUTED_VALUE"""),46797176)</f>
        <v>46797176</v>
      </c>
    </row>
    <row r="1894" spans="1:6" x14ac:dyDescent="0.35">
      <c r="A1894" s="2">
        <f ca="1">IFERROR(__xludf.DUMMYFUNCTION("""COMPUTED_VALUE"""),44753.6666666666)</f>
        <v>44753.666666666599</v>
      </c>
      <c r="B1894" s="1">
        <f ca="1">IFERROR(__xludf.DUMMYFUNCTION("""COMPUTED_VALUE"""),15.53)</f>
        <v>15.53</v>
      </c>
      <c r="C1894" s="1">
        <f ca="1">IFERROR(__xludf.DUMMYFUNCTION("""COMPUTED_VALUE"""),15.53)</f>
        <v>15.53</v>
      </c>
      <c r="D1894" s="1">
        <f ca="1">IFERROR(__xludf.DUMMYFUNCTION("""COMPUTED_VALUE"""),15.04)</f>
        <v>15.04</v>
      </c>
      <c r="E1894" s="1">
        <f ca="1">IFERROR(__xludf.DUMMYFUNCTION("""COMPUTED_VALUE"""),15.15)</f>
        <v>15.15</v>
      </c>
      <c r="F1894" s="1">
        <f ca="1">IFERROR(__xludf.DUMMYFUNCTION("""COMPUTED_VALUE"""),43838873)</f>
        <v>43838873</v>
      </c>
    </row>
    <row r="1895" spans="1:6" x14ac:dyDescent="0.35">
      <c r="A1895" s="2">
        <f ca="1">IFERROR(__xludf.DUMMYFUNCTION("""COMPUTED_VALUE"""),44754.6666666666)</f>
        <v>44754.666666666599</v>
      </c>
      <c r="B1895" s="1">
        <f ca="1">IFERROR(__xludf.DUMMYFUNCTION("""COMPUTED_VALUE"""),15.27)</f>
        <v>15.27</v>
      </c>
      <c r="C1895" s="1">
        <f ca="1">IFERROR(__xludf.DUMMYFUNCTION("""COMPUTED_VALUE"""),15.43)</f>
        <v>15.43</v>
      </c>
      <c r="D1895" s="1">
        <f ca="1">IFERROR(__xludf.DUMMYFUNCTION("""COMPUTED_VALUE"""),14.88)</f>
        <v>14.88</v>
      </c>
      <c r="E1895" s="1">
        <f ca="1">IFERROR(__xludf.DUMMYFUNCTION("""COMPUTED_VALUE"""),15.08)</f>
        <v>15.08</v>
      </c>
      <c r="F1895" s="1">
        <f ca="1">IFERROR(__xludf.DUMMYFUNCTION("""COMPUTED_VALUE"""),45848310)</f>
        <v>45848310</v>
      </c>
    </row>
    <row r="1896" spans="1:6" x14ac:dyDescent="0.35">
      <c r="A1896" s="2">
        <f ca="1">IFERROR(__xludf.DUMMYFUNCTION("""COMPUTED_VALUE"""),44755.6666666666)</f>
        <v>44755.666666666599</v>
      </c>
      <c r="B1896" s="1">
        <f ca="1">IFERROR(__xludf.DUMMYFUNCTION("""COMPUTED_VALUE"""),14.59)</f>
        <v>14.59</v>
      </c>
      <c r="C1896" s="1">
        <f ca="1">IFERROR(__xludf.DUMMYFUNCTION("""COMPUTED_VALUE"""),15.38)</f>
        <v>15.38</v>
      </c>
      <c r="D1896" s="1">
        <f ca="1">IFERROR(__xludf.DUMMYFUNCTION("""COMPUTED_VALUE"""),14.47)</f>
        <v>14.47</v>
      </c>
      <c r="E1896" s="1">
        <f ca="1">IFERROR(__xludf.DUMMYFUNCTION("""COMPUTED_VALUE"""),15.16)</f>
        <v>15.16</v>
      </c>
      <c r="F1896" s="1">
        <f ca="1">IFERROR(__xludf.DUMMYFUNCTION("""COMPUTED_VALUE"""),52191834)</f>
        <v>52191834</v>
      </c>
    </row>
    <row r="1897" spans="1:6" x14ac:dyDescent="0.35">
      <c r="A1897" s="2">
        <f ca="1">IFERROR(__xludf.DUMMYFUNCTION("""COMPUTED_VALUE"""),44756.6666666666)</f>
        <v>44756.666666666599</v>
      </c>
      <c r="B1897" s="1">
        <f ca="1">IFERROR(__xludf.DUMMYFUNCTION("""COMPUTED_VALUE"""),15.11)</f>
        <v>15.11</v>
      </c>
      <c r="C1897" s="1">
        <f ca="1">IFERROR(__xludf.DUMMYFUNCTION("""COMPUTED_VALUE"""),15.47)</f>
        <v>15.47</v>
      </c>
      <c r="D1897" s="1">
        <f ca="1">IFERROR(__xludf.DUMMYFUNCTION("""COMPUTED_VALUE"""),14.73)</f>
        <v>14.73</v>
      </c>
      <c r="E1897" s="1">
        <f ca="1">IFERROR(__xludf.DUMMYFUNCTION("""COMPUTED_VALUE"""),15.37)</f>
        <v>15.37</v>
      </c>
      <c r="F1897" s="1">
        <f ca="1">IFERROR(__xludf.DUMMYFUNCTION("""COMPUTED_VALUE"""),45623484)</f>
        <v>45623484</v>
      </c>
    </row>
    <row r="1898" spans="1:6" x14ac:dyDescent="0.35">
      <c r="A1898" s="2">
        <f ca="1">IFERROR(__xludf.DUMMYFUNCTION("""COMPUTED_VALUE"""),44757.6666666666)</f>
        <v>44757.666666666599</v>
      </c>
      <c r="B1898" s="1">
        <f ca="1">IFERROR(__xludf.DUMMYFUNCTION("""COMPUTED_VALUE"""),15.66)</f>
        <v>15.66</v>
      </c>
      <c r="C1898" s="1">
        <f ca="1">IFERROR(__xludf.DUMMYFUNCTION("""COMPUTED_VALUE"""),15.78)</f>
        <v>15.78</v>
      </c>
      <c r="D1898" s="1">
        <f ca="1">IFERROR(__xludf.DUMMYFUNCTION("""COMPUTED_VALUE"""),15.45)</f>
        <v>15.45</v>
      </c>
      <c r="E1898" s="1">
        <f ca="1">IFERROR(__xludf.DUMMYFUNCTION("""COMPUTED_VALUE"""),15.76)</f>
        <v>15.76</v>
      </c>
      <c r="F1898" s="1">
        <f ca="1">IFERROR(__xludf.DUMMYFUNCTION("""COMPUTED_VALUE"""),38593547)</f>
        <v>38593547</v>
      </c>
    </row>
    <row r="1899" spans="1:6" x14ac:dyDescent="0.35">
      <c r="A1899" s="2">
        <f ca="1">IFERROR(__xludf.DUMMYFUNCTION("""COMPUTED_VALUE"""),44760.6666666666)</f>
        <v>44760.666666666599</v>
      </c>
      <c r="B1899" s="1">
        <f ca="1">IFERROR(__xludf.DUMMYFUNCTION("""COMPUTED_VALUE"""),16.3)</f>
        <v>16.3</v>
      </c>
      <c r="C1899" s="1">
        <f ca="1">IFERROR(__xludf.DUMMYFUNCTION("""COMPUTED_VALUE"""),16.9)</f>
        <v>16.899999999999999</v>
      </c>
      <c r="D1899" s="1">
        <f ca="1">IFERROR(__xludf.DUMMYFUNCTION("""COMPUTED_VALUE"""),16)</f>
        <v>16</v>
      </c>
      <c r="E1899" s="1">
        <f ca="1">IFERROR(__xludf.DUMMYFUNCTION("""COMPUTED_VALUE"""),16.1)</f>
        <v>16.100000000000001</v>
      </c>
      <c r="F1899" s="1">
        <f ca="1">IFERROR(__xludf.DUMMYFUNCTION("""COMPUTED_VALUE"""),67051745)</f>
        <v>67051745</v>
      </c>
    </row>
    <row r="1900" spans="1:6" x14ac:dyDescent="0.35">
      <c r="A1900" s="2">
        <f ca="1">IFERROR(__xludf.DUMMYFUNCTION("""COMPUTED_VALUE"""),44761.6666666666)</f>
        <v>44761.666666666599</v>
      </c>
      <c r="B1900" s="1">
        <f ca="1">IFERROR(__xludf.DUMMYFUNCTION("""COMPUTED_VALUE"""),16.49)</f>
        <v>16.489999999999998</v>
      </c>
      <c r="C1900" s="1">
        <f ca="1">IFERROR(__xludf.DUMMYFUNCTION("""COMPUTED_VALUE"""),17.11)</f>
        <v>17.11</v>
      </c>
      <c r="D1900" s="1">
        <f ca="1">IFERROR(__xludf.DUMMYFUNCTION("""COMPUTED_VALUE"""),16.17)</f>
        <v>16.170000000000002</v>
      </c>
      <c r="E1900" s="1">
        <f ca="1">IFERROR(__xludf.DUMMYFUNCTION("""COMPUTED_VALUE"""),16.99)</f>
        <v>16.989999999999998</v>
      </c>
      <c r="F1900" s="1">
        <f ca="1">IFERROR(__xludf.DUMMYFUNCTION("""COMPUTED_VALUE"""),70236608)</f>
        <v>70236608</v>
      </c>
    </row>
    <row r="1901" spans="1:6" x14ac:dyDescent="0.35">
      <c r="A1901" s="2">
        <f ca="1">IFERROR(__xludf.DUMMYFUNCTION("""COMPUTED_VALUE"""),44762.6666666666)</f>
        <v>44762.666666666599</v>
      </c>
      <c r="B1901" s="1">
        <f ca="1">IFERROR(__xludf.DUMMYFUNCTION("""COMPUTED_VALUE"""),16.95)</f>
        <v>16.95</v>
      </c>
      <c r="C1901" s="1">
        <f ca="1">IFERROR(__xludf.DUMMYFUNCTION("""COMPUTED_VALUE"""),17.93)</f>
        <v>17.93</v>
      </c>
      <c r="D1901" s="1">
        <f ca="1">IFERROR(__xludf.DUMMYFUNCTION("""COMPUTED_VALUE"""),16.8)</f>
        <v>16.8</v>
      </c>
      <c r="E1901" s="1">
        <f ca="1">IFERROR(__xludf.DUMMYFUNCTION("""COMPUTED_VALUE"""),17.81)</f>
        <v>17.809999999999999</v>
      </c>
      <c r="F1901" s="1">
        <f ca="1">IFERROR(__xludf.DUMMYFUNCTION("""COMPUTED_VALUE"""),76053779)</f>
        <v>76053779</v>
      </c>
    </row>
    <row r="1902" spans="1:6" x14ac:dyDescent="0.35">
      <c r="A1902" s="2">
        <f ca="1">IFERROR(__xludf.DUMMYFUNCTION("""COMPUTED_VALUE"""),44763.6666666666)</f>
        <v>44763.666666666599</v>
      </c>
      <c r="B1902" s="1">
        <f ca="1">IFERROR(__xludf.DUMMYFUNCTION("""COMPUTED_VALUE"""),17.89)</f>
        <v>17.89</v>
      </c>
      <c r="C1902" s="1">
        <f ca="1">IFERROR(__xludf.DUMMYFUNCTION("""COMPUTED_VALUE"""),18.14)</f>
        <v>18.14</v>
      </c>
      <c r="D1902" s="1">
        <f ca="1">IFERROR(__xludf.DUMMYFUNCTION("""COMPUTED_VALUE"""),17.54)</f>
        <v>17.54</v>
      </c>
      <c r="E1902" s="1">
        <f ca="1">IFERROR(__xludf.DUMMYFUNCTION("""COMPUTED_VALUE"""),18.05)</f>
        <v>18.05</v>
      </c>
      <c r="F1902" s="1">
        <f ca="1">IFERROR(__xludf.DUMMYFUNCTION("""COMPUTED_VALUE"""),55704928)</f>
        <v>55704928</v>
      </c>
    </row>
    <row r="1903" spans="1:6" x14ac:dyDescent="0.35">
      <c r="A1903" s="2">
        <f ca="1">IFERROR(__xludf.DUMMYFUNCTION("""COMPUTED_VALUE"""),44764.6666666666)</f>
        <v>44764.666666666599</v>
      </c>
      <c r="B1903" s="1">
        <f ca="1">IFERROR(__xludf.DUMMYFUNCTION("""COMPUTED_VALUE"""),17.89)</f>
        <v>17.89</v>
      </c>
      <c r="C1903" s="1">
        <f ca="1">IFERROR(__xludf.DUMMYFUNCTION("""COMPUTED_VALUE"""),17.97)</f>
        <v>17.97</v>
      </c>
      <c r="D1903" s="1">
        <f ca="1">IFERROR(__xludf.DUMMYFUNCTION("""COMPUTED_VALUE"""),17.14)</f>
        <v>17.14</v>
      </c>
      <c r="E1903" s="1">
        <f ca="1">IFERROR(__xludf.DUMMYFUNCTION("""COMPUTED_VALUE"""),17.32)</f>
        <v>17.32</v>
      </c>
      <c r="F1903" s="1">
        <f ca="1">IFERROR(__xludf.DUMMYFUNCTION("""COMPUTED_VALUE"""),53667088)</f>
        <v>53667088</v>
      </c>
    </row>
    <row r="1904" spans="1:6" x14ac:dyDescent="0.35">
      <c r="A1904" s="2">
        <f ca="1">IFERROR(__xludf.DUMMYFUNCTION("""COMPUTED_VALUE"""),44767.6666666666)</f>
        <v>44767.666666666599</v>
      </c>
      <c r="B1904" s="1">
        <f ca="1">IFERROR(__xludf.DUMMYFUNCTION("""COMPUTED_VALUE"""),17.02)</f>
        <v>17.02</v>
      </c>
      <c r="C1904" s="1">
        <f ca="1">IFERROR(__xludf.DUMMYFUNCTION("""COMPUTED_VALUE"""),17.12)</f>
        <v>17.12</v>
      </c>
      <c r="D1904" s="1">
        <f ca="1">IFERROR(__xludf.DUMMYFUNCTION("""COMPUTED_VALUE"""),16.65)</f>
        <v>16.649999999999999</v>
      </c>
      <c r="E1904" s="1">
        <f ca="1">IFERROR(__xludf.DUMMYFUNCTION("""COMPUTED_VALUE"""),17.02)</f>
        <v>17.02</v>
      </c>
      <c r="F1904" s="1">
        <f ca="1">IFERROR(__xludf.DUMMYFUNCTION("""COMPUTED_VALUE"""),48074751)</f>
        <v>48074751</v>
      </c>
    </row>
    <row r="1905" spans="1:6" x14ac:dyDescent="0.35">
      <c r="A1905" s="2">
        <f ca="1">IFERROR(__xludf.DUMMYFUNCTION("""COMPUTED_VALUE"""),44768.6666666666)</f>
        <v>44768.666666666599</v>
      </c>
      <c r="B1905" s="1">
        <f ca="1">IFERROR(__xludf.DUMMYFUNCTION("""COMPUTED_VALUE"""),16.89)</f>
        <v>16.89</v>
      </c>
      <c r="C1905" s="1">
        <f ca="1">IFERROR(__xludf.DUMMYFUNCTION("""COMPUTED_VALUE"""),16.92)</f>
        <v>16.920000000000002</v>
      </c>
      <c r="D1905" s="1">
        <f ca="1">IFERROR(__xludf.DUMMYFUNCTION("""COMPUTED_VALUE"""),16.48)</f>
        <v>16.48</v>
      </c>
      <c r="E1905" s="1">
        <f ca="1">IFERROR(__xludf.DUMMYFUNCTION("""COMPUTED_VALUE"""),16.53)</f>
        <v>16.53</v>
      </c>
      <c r="F1905" s="1">
        <f ca="1">IFERROR(__xludf.DUMMYFUNCTION("""COMPUTED_VALUE"""),39786491)</f>
        <v>39786491</v>
      </c>
    </row>
    <row r="1906" spans="1:6" x14ac:dyDescent="0.35">
      <c r="A1906" s="2">
        <f ca="1">IFERROR(__xludf.DUMMYFUNCTION("""COMPUTED_VALUE"""),44769.6666666666)</f>
        <v>44769.666666666599</v>
      </c>
      <c r="B1906" s="1">
        <f ca="1">IFERROR(__xludf.DUMMYFUNCTION("""COMPUTED_VALUE"""),17.03)</f>
        <v>17.03</v>
      </c>
      <c r="C1906" s="1">
        <f ca="1">IFERROR(__xludf.DUMMYFUNCTION("""COMPUTED_VALUE"""),17.94)</f>
        <v>17.940000000000001</v>
      </c>
      <c r="D1906" s="1">
        <f ca="1">IFERROR(__xludf.DUMMYFUNCTION("""COMPUTED_VALUE"""),16.91)</f>
        <v>16.91</v>
      </c>
      <c r="E1906" s="1">
        <f ca="1">IFERROR(__xludf.DUMMYFUNCTION("""COMPUTED_VALUE"""),17.79)</f>
        <v>17.79</v>
      </c>
      <c r="F1906" s="1">
        <f ca="1">IFERROR(__xludf.DUMMYFUNCTION("""COMPUTED_VALUE"""),56977623)</f>
        <v>56977623</v>
      </c>
    </row>
    <row r="1907" spans="1:6" x14ac:dyDescent="0.35">
      <c r="A1907" s="2">
        <f ca="1">IFERROR(__xludf.DUMMYFUNCTION("""COMPUTED_VALUE"""),44770.6666666666)</f>
        <v>44770.666666666599</v>
      </c>
      <c r="B1907" s="1">
        <f ca="1">IFERROR(__xludf.DUMMYFUNCTION("""COMPUTED_VALUE"""),17.98)</f>
        <v>17.98</v>
      </c>
      <c r="C1907" s="1">
        <f ca="1">IFERROR(__xludf.DUMMYFUNCTION("""COMPUTED_VALUE"""),18.14)</f>
        <v>18.14</v>
      </c>
      <c r="D1907" s="1">
        <f ca="1">IFERROR(__xludf.DUMMYFUNCTION("""COMPUTED_VALUE"""),17.44)</f>
        <v>17.440000000000001</v>
      </c>
      <c r="E1907" s="1">
        <f ca="1">IFERROR(__xludf.DUMMYFUNCTION("""COMPUTED_VALUE"""),17.98)</f>
        <v>17.98</v>
      </c>
      <c r="F1907" s="1">
        <f ca="1">IFERROR(__xludf.DUMMYFUNCTION("""COMPUTED_VALUE"""),47464628)</f>
        <v>47464628</v>
      </c>
    </row>
    <row r="1908" spans="1:6" x14ac:dyDescent="0.35">
      <c r="A1908" s="2">
        <f ca="1">IFERROR(__xludf.DUMMYFUNCTION("""COMPUTED_VALUE"""),44771.6666666666)</f>
        <v>44771.666666666599</v>
      </c>
      <c r="B1908" s="1">
        <f ca="1">IFERROR(__xludf.DUMMYFUNCTION("""COMPUTED_VALUE"""),17.81)</f>
        <v>17.809999999999999</v>
      </c>
      <c r="C1908" s="1">
        <f ca="1">IFERROR(__xludf.DUMMYFUNCTION("""COMPUTED_VALUE"""),18.24)</f>
        <v>18.239999999999998</v>
      </c>
      <c r="D1908" s="1">
        <f ca="1">IFERROR(__xludf.DUMMYFUNCTION("""COMPUTED_VALUE"""),17.69)</f>
        <v>17.690000000000001</v>
      </c>
      <c r="E1908" s="1">
        <f ca="1">IFERROR(__xludf.DUMMYFUNCTION("""COMPUTED_VALUE"""),18.16)</f>
        <v>18.16</v>
      </c>
      <c r="F1908" s="1">
        <f ca="1">IFERROR(__xludf.DUMMYFUNCTION("""COMPUTED_VALUE"""),43546042)</f>
        <v>43546042</v>
      </c>
    </row>
    <row r="1909" spans="1:6" x14ac:dyDescent="0.35">
      <c r="A1909" s="2">
        <f ca="1">IFERROR(__xludf.DUMMYFUNCTION("""COMPUTED_VALUE"""),44774.6666666666)</f>
        <v>44774.666666666599</v>
      </c>
      <c r="B1909" s="1">
        <f ca="1">IFERROR(__xludf.DUMMYFUNCTION("""COMPUTED_VALUE"""),18.18)</f>
        <v>18.18</v>
      </c>
      <c r="C1909" s="1">
        <f ca="1">IFERROR(__xludf.DUMMYFUNCTION("""COMPUTED_VALUE"""),18.85)</f>
        <v>18.850000000000001</v>
      </c>
      <c r="D1909" s="1">
        <f ca="1">IFERROR(__xludf.DUMMYFUNCTION("""COMPUTED_VALUE"""),17.99)</f>
        <v>17.989999999999998</v>
      </c>
      <c r="E1909" s="1">
        <f ca="1">IFERROR(__xludf.DUMMYFUNCTION("""COMPUTED_VALUE"""),18.44)</f>
        <v>18.440000000000001</v>
      </c>
      <c r="F1909" s="1">
        <f ca="1">IFERROR(__xludf.DUMMYFUNCTION("""COMPUTED_VALUE"""),47646904)</f>
        <v>47646904</v>
      </c>
    </row>
    <row r="1910" spans="1:6" x14ac:dyDescent="0.35">
      <c r="A1910" s="2">
        <f ca="1">IFERROR(__xludf.DUMMYFUNCTION("""COMPUTED_VALUE"""),44775.6666666666)</f>
        <v>44775.666666666599</v>
      </c>
      <c r="B1910" s="1">
        <f ca="1">IFERROR(__xludf.DUMMYFUNCTION("""COMPUTED_VALUE"""),18.12)</f>
        <v>18.12</v>
      </c>
      <c r="C1910" s="1">
        <f ca="1">IFERROR(__xludf.DUMMYFUNCTION("""COMPUTED_VALUE"""),18.94)</f>
        <v>18.940000000000001</v>
      </c>
      <c r="D1910" s="1">
        <f ca="1">IFERROR(__xludf.DUMMYFUNCTION("""COMPUTED_VALUE"""),18.09)</f>
        <v>18.09</v>
      </c>
      <c r="E1910" s="1">
        <f ca="1">IFERROR(__xludf.DUMMYFUNCTION("""COMPUTED_VALUE"""),18.53)</f>
        <v>18.53</v>
      </c>
      <c r="F1910" s="1">
        <f ca="1">IFERROR(__xludf.DUMMYFUNCTION("""COMPUTED_VALUE"""),48952692)</f>
        <v>48952692</v>
      </c>
    </row>
    <row r="1911" spans="1:6" x14ac:dyDescent="0.35">
      <c r="A1911" s="2">
        <f ca="1">IFERROR(__xludf.DUMMYFUNCTION("""COMPUTED_VALUE"""),44776.6666666666)</f>
        <v>44776.666666666599</v>
      </c>
      <c r="B1911" s="1">
        <f ca="1">IFERROR(__xludf.DUMMYFUNCTION("""COMPUTED_VALUE"""),18.18)</f>
        <v>18.18</v>
      </c>
      <c r="C1911" s="1">
        <f ca="1">IFERROR(__xludf.DUMMYFUNCTION("""COMPUTED_VALUE"""),18.97)</f>
        <v>18.97</v>
      </c>
      <c r="D1911" s="1">
        <f ca="1">IFERROR(__xludf.DUMMYFUNCTION("""COMPUTED_VALUE"""),18.14)</f>
        <v>18.14</v>
      </c>
      <c r="E1911" s="1">
        <f ca="1">IFERROR(__xludf.DUMMYFUNCTION("""COMPUTED_VALUE"""),18.89)</f>
        <v>18.89</v>
      </c>
      <c r="F1911" s="1">
        <f ca="1">IFERROR(__xludf.DUMMYFUNCTION("""COMPUTED_VALUE"""),41814557)</f>
        <v>41814557</v>
      </c>
    </row>
    <row r="1912" spans="1:6" x14ac:dyDescent="0.35">
      <c r="A1912" s="2">
        <f ca="1">IFERROR(__xludf.DUMMYFUNCTION("""COMPUTED_VALUE"""),44777.6666666666)</f>
        <v>44777.666666666599</v>
      </c>
      <c r="B1912" s="1">
        <f ca="1">IFERROR(__xludf.DUMMYFUNCTION("""COMPUTED_VALUE"""),18.85)</f>
        <v>18.850000000000001</v>
      </c>
      <c r="C1912" s="1">
        <f ca="1">IFERROR(__xludf.DUMMYFUNCTION("""COMPUTED_VALUE"""),19.27)</f>
        <v>19.27</v>
      </c>
      <c r="D1912" s="1">
        <f ca="1">IFERROR(__xludf.DUMMYFUNCTION("""COMPUTED_VALUE"""),18.76)</f>
        <v>18.760000000000002</v>
      </c>
      <c r="E1912" s="1">
        <f ca="1">IFERROR(__xludf.DUMMYFUNCTION("""COMPUTED_VALUE"""),19.22)</f>
        <v>19.22</v>
      </c>
      <c r="F1912" s="1">
        <f ca="1">IFERROR(__xludf.DUMMYFUNCTION("""COMPUTED_VALUE"""),40965227)</f>
        <v>40965227</v>
      </c>
    </row>
    <row r="1913" spans="1:6" x14ac:dyDescent="0.35">
      <c r="A1913" s="2">
        <f ca="1">IFERROR(__xludf.DUMMYFUNCTION("""COMPUTED_VALUE"""),44778.6666666666)</f>
        <v>44778.666666666599</v>
      </c>
      <c r="B1913" s="1">
        <f ca="1">IFERROR(__xludf.DUMMYFUNCTION("""COMPUTED_VALUE"""),18.81)</f>
        <v>18.809999999999999</v>
      </c>
      <c r="C1913" s="1">
        <f ca="1">IFERROR(__xludf.DUMMYFUNCTION("""COMPUTED_VALUE"""),19.23)</f>
        <v>19.23</v>
      </c>
      <c r="D1913" s="1">
        <f ca="1">IFERROR(__xludf.DUMMYFUNCTION("""COMPUTED_VALUE"""),18.67)</f>
        <v>18.670000000000002</v>
      </c>
      <c r="E1913" s="1">
        <f ca="1">IFERROR(__xludf.DUMMYFUNCTION("""COMPUTED_VALUE"""),18.99)</f>
        <v>18.989999999999998</v>
      </c>
      <c r="F1913" s="1">
        <f ca="1">IFERROR(__xludf.DUMMYFUNCTION("""COMPUTED_VALUE"""),38606829)</f>
        <v>38606829</v>
      </c>
    </row>
    <row r="1914" spans="1:6" x14ac:dyDescent="0.35">
      <c r="A1914" s="2">
        <f ca="1">IFERROR(__xludf.DUMMYFUNCTION("""COMPUTED_VALUE"""),44781.6666666666)</f>
        <v>44781.666666666599</v>
      </c>
      <c r="B1914" s="1">
        <f ca="1">IFERROR(__xludf.DUMMYFUNCTION("""COMPUTED_VALUE"""),17.5)</f>
        <v>17.5</v>
      </c>
      <c r="C1914" s="1">
        <f ca="1">IFERROR(__xludf.DUMMYFUNCTION("""COMPUTED_VALUE"""),18.24)</f>
        <v>18.239999999999998</v>
      </c>
      <c r="D1914" s="1">
        <f ca="1">IFERROR(__xludf.DUMMYFUNCTION("""COMPUTED_VALUE"""),17.24)</f>
        <v>17.239999999999998</v>
      </c>
      <c r="E1914" s="1">
        <f ca="1">IFERROR(__xludf.DUMMYFUNCTION("""COMPUTED_VALUE"""),17.79)</f>
        <v>17.79</v>
      </c>
      <c r="F1914" s="1">
        <f ca="1">IFERROR(__xludf.DUMMYFUNCTION("""COMPUTED_VALUE"""),98378318)</f>
        <v>98378318</v>
      </c>
    </row>
    <row r="1915" spans="1:6" x14ac:dyDescent="0.35">
      <c r="A1915" s="2">
        <f ca="1">IFERROR(__xludf.DUMMYFUNCTION("""COMPUTED_VALUE"""),44782.6666666666)</f>
        <v>44782.666666666599</v>
      </c>
      <c r="B1915" s="1">
        <f ca="1">IFERROR(__xludf.DUMMYFUNCTION("""COMPUTED_VALUE"""),17.25)</f>
        <v>17.25</v>
      </c>
      <c r="C1915" s="1">
        <f ca="1">IFERROR(__xludf.DUMMYFUNCTION("""COMPUTED_VALUE"""),17.45)</f>
        <v>17.45</v>
      </c>
      <c r="D1915" s="1">
        <f ca="1">IFERROR(__xludf.DUMMYFUNCTION("""COMPUTED_VALUE"""),16.72)</f>
        <v>16.72</v>
      </c>
      <c r="E1915" s="1">
        <f ca="1">IFERROR(__xludf.DUMMYFUNCTION("""COMPUTED_VALUE"""),17.09)</f>
        <v>17.09</v>
      </c>
      <c r="F1915" s="1">
        <f ca="1">IFERROR(__xludf.DUMMYFUNCTION("""COMPUTED_VALUE"""),66826265)</f>
        <v>66826265</v>
      </c>
    </row>
    <row r="1916" spans="1:6" x14ac:dyDescent="0.35">
      <c r="A1916" s="2">
        <f ca="1">IFERROR(__xludf.DUMMYFUNCTION("""COMPUTED_VALUE"""),44783.6666666666)</f>
        <v>44783.666666666599</v>
      </c>
      <c r="B1916" s="1">
        <f ca="1">IFERROR(__xludf.DUMMYFUNCTION("""COMPUTED_VALUE"""),17.7)</f>
        <v>17.7</v>
      </c>
      <c r="C1916" s="1">
        <f ca="1">IFERROR(__xludf.DUMMYFUNCTION("""COMPUTED_VALUE"""),18.12)</f>
        <v>18.12</v>
      </c>
      <c r="D1916" s="1">
        <f ca="1">IFERROR(__xludf.DUMMYFUNCTION("""COMPUTED_VALUE"""),17.32)</f>
        <v>17.32</v>
      </c>
      <c r="E1916" s="1">
        <f ca="1">IFERROR(__xludf.DUMMYFUNCTION("""COMPUTED_VALUE"""),18.1)</f>
        <v>18.100000000000001</v>
      </c>
      <c r="F1916" s="1">
        <f ca="1">IFERROR(__xludf.DUMMYFUNCTION("""COMPUTED_VALUE"""),59742246)</f>
        <v>59742246</v>
      </c>
    </row>
    <row r="1917" spans="1:6" x14ac:dyDescent="0.35">
      <c r="A1917" s="2">
        <f ca="1">IFERROR(__xludf.DUMMYFUNCTION("""COMPUTED_VALUE"""),44784.6666666666)</f>
        <v>44784.666666666599</v>
      </c>
      <c r="B1917" s="1">
        <f ca="1">IFERROR(__xludf.DUMMYFUNCTION("""COMPUTED_VALUE"""),18.13)</f>
        <v>18.13</v>
      </c>
      <c r="C1917" s="1">
        <f ca="1">IFERROR(__xludf.DUMMYFUNCTION("""COMPUTED_VALUE"""),18.71)</f>
        <v>18.71</v>
      </c>
      <c r="D1917" s="1">
        <f ca="1">IFERROR(__xludf.DUMMYFUNCTION("""COMPUTED_VALUE"""),17.88)</f>
        <v>17.88</v>
      </c>
      <c r="E1917" s="1">
        <f ca="1">IFERROR(__xludf.DUMMYFUNCTION("""COMPUTED_VALUE"""),17.94)</f>
        <v>17.940000000000001</v>
      </c>
      <c r="F1917" s="1">
        <f ca="1">IFERROR(__xludf.DUMMYFUNCTION("""COMPUTED_VALUE"""),50932655)</f>
        <v>50932655</v>
      </c>
    </row>
    <row r="1918" spans="1:6" x14ac:dyDescent="0.35">
      <c r="A1918" s="2">
        <f ca="1">IFERROR(__xludf.DUMMYFUNCTION("""COMPUTED_VALUE"""),44785.6666666666)</f>
        <v>44785.666666666599</v>
      </c>
      <c r="B1918" s="1">
        <f ca="1">IFERROR(__xludf.DUMMYFUNCTION("""COMPUTED_VALUE"""),18.16)</f>
        <v>18.16</v>
      </c>
      <c r="C1918" s="1">
        <f ca="1">IFERROR(__xludf.DUMMYFUNCTION("""COMPUTED_VALUE"""),18.72)</f>
        <v>18.72</v>
      </c>
      <c r="D1918" s="1">
        <f ca="1">IFERROR(__xludf.DUMMYFUNCTION("""COMPUTED_VALUE"""),17.95)</f>
        <v>17.95</v>
      </c>
      <c r="E1918" s="1">
        <f ca="1">IFERROR(__xludf.DUMMYFUNCTION("""COMPUTED_VALUE"""),18.71)</f>
        <v>18.71</v>
      </c>
      <c r="F1918" s="1">
        <f ca="1">IFERROR(__xludf.DUMMYFUNCTION("""COMPUTED_VALUE"""),47809415)</f>
        <v>47809415</v>
      </c>
    </row>
    <row r="1919" spans="1:6" x14ac:dyDescent="0.35">
      <c r="A1919" s="2">
        <f ca="1">IFERROR(__xludf.DUMMYFUNCTION("""COMPUTED_VALUE"""),44788.6666666666)</f>
        <v>44788.666666666599</v>
      </c>
      <c r="B1919" s="1">
        <f ca="1">IFERROR(__xludf.DUMMYFUNCTION("""COMPUTED_VALUE"""),18.7)</f>
        <v>18.7</v>
      </c>
      <c r="C1919" s="1">
        <f ca="1">IFERROR(__xludf.DUMMYFUNCTION("""COMPUTED_VALUE"""),19.16)</f>
        <v>19.16</v>
      </c>
      <c r="D1919" s="1">
        <f ca="1">IFERROR(__xludf.DUMMYFUNCTION("""COMPUTED_VALUE"""),18.61)</f>
        <v>18.61</v>
      </c>
      <c r="E1919" s="1">
        <f ca="1">IFERROR(__xludf.DUMMYFUNCTION("""COMPUTED_VALUE"""),19.03)</f>
        <v>19.03</v>
      </c>
      <c r="F1919" s="1">
        <f ca="1">IFERROR(__xludf.DUMMYFUNCTION("""COMPUTED_VALUE"""),45766556)</f>
        <v>45766556</v>
      </c>
    </row>
    <row r="1920" spans="1:6" x14ac:dyDescent="0.35">
      <c r="A1920" s="2">
        <f ca="1">IFERROR(__xludf.DUMMYFUNCTION("""COMPUTED_VALUE"""),44789.6666666666)</f>
        <v>44789.666666666599</v>
      </c>
      <c r="B1920" s="1">
        <f ca="1">IFERROR(__xludf.DUMMYFUNCTION("""COMPUTED_VALUE"""),18.92)</f>
        <v>18.920000000000002</v>
      </c>
      <c r="C1920" s="1">
        <f ca="1">IFERROR(__xludf.DUMMYFUNCTION("""COMPUTED_VALUE"""),19.14)</f>
        <v>19.14</v>
      </c>
      <c r="D1920" s="1">
        <f ca="1">IFERROR(__xludf.DUMMYFUNCTION("""COMPUTED_VALUE"""),18.5)</f>
        <v>18.5</v>
      </c>
      <c r="E1920" s="1">
        <f ca="1">IFERROR(__xludf.DUMMYFUNCTION("""COMPUTED_VALUE"""),18.88)</f>
        <v>18.88</v>
      </c>
      <c r="F1920" s="1">
        <f ca="1">IFERROR(__xludf.DUMMYFUNCTION("""COMPUTED_VALUE"""),45123964)</f>
        <v>45123964</v>
      </c>
    </row>
    <row r="1921" spans="1:6" x14ac:dyDescent="0.35">
      <c r="A1921" s="2">
        <f ca="1">IFERROR(__xludf.DUMMYFUNCTION("""COMPUTED_VALUE"""),44790.6666666666)</f>
        <v>44790.666666666599</v>
      </c>
      <c r="B1921" s="1">
        <f ca="1">IFERROR(__xludf.DUMMYFUNCTION("""COMPUTED_VALUE"""),18.52)</f>
        <v>18.52</v>
      </c>
      <c r="C1921" s="1">
        <f ca="1">IFERROR(__xludf.DUMMYFUNCTION("""COMPUTED_VALUE"""),18.69)</f>
        <v>18.690000000000001</v>
      </c>
      <c r="D1921" s="1">
        <f ca="1">IFERROR(__xludf.DUMMYFUNCTION("""COMPUTED_VALUE"""),18.15)</f>
        <v>18.149999999999999</v>
      </c>
      <c r="E1921" s="1">
        <f ca="1">IFERROR(__xludf.DUMMYFUNCTION("""COMPUTED_VALUE"""),18.34)</f>
        <v>18.34</v>
      </c>
      <c r="F1921" s="1">
        <f ca="1">IFERROR(__xludf.DUMMYFUNCTION("""COMPUTED_VALUE"""),44679911)</f>
        <v>44679911</v>
      </c>
    </row>
    <row r="1922" spans="1:6" x14ac:dyDescent="0.35">
      <c r="A1922" s="2">
        <f ca="1">IFERROR(__xludf.DUMMYFUNCTION("""COMPUTED_VALUE"""),44791.6666666666)</f>
        <v>44791.666666666599</v>
      </c>
      <c r="B1922" s="1">
        <f ca="1">IFERROR(__xludf.DUMMYFUNCTION("""COMPUTED_VALUE"""),18.3)</f>
        <v>18.3</v>
      </c>
      <c r="C1922" s="1">
        <f ca="1">IFERROR(__xludf.DUMMYFUNCTION("""COMPUTED_VALUE"""),18.86)</f>
        <v>18.86</v>
      </c>
      <c r="D1922" s="1">
        <f ca="1">IFERROR(__xludf.DUMMYFUNCTION("""COMPUTED_VALUE"""),18.18)</f>
        <v>18.18</v>
      </c>
      <c r="E1922" s="1">
        <f ca="1">IFERROR(__xludf.DUMMYFUNCTION("""COMPUTED_VALUE"""),18.77)</f>
        <v>18.77</v>
      </c>
      <c r="F1922" s="1">
        <f ca="1">IFERROR(__xludf.DUMMYFUNCTION("""COMPUTED_VALUE"""),41544656)</f>
        <v>41544656</v>
      </c>
    </row>
    <row r="1923" spans="1:6" x14ac:dyDescent="0.35">
      <c r="A1923" s="2">
        <f ca="1">IFERROR(__xludf.DUMMYFUNCTION("""COMPUTED_VALUE"""),44792.6666666666)</f>
        <v>44792.666666666599</v>
      </c>
      <c r="B1923" s="1">
        <f ca="1">IFERROR(__xludf.DUMMYFUNCTION("""COMPUTED_VALUE"""),18.41)</f>
        <v>18.41</v>
      </c>
      <c r="C1923" s="1">
        <f ca="1">IFERROR(__xludf.DUMMYFUNCTION("""COMPUTED_VALUE"""),18.52)</f>
        <v>18.52</v>
      </c>
      <c r="D1923" s="1">
        <f ca="1">IFERROR(__xludf.DUMMYFUNCTION("""COMPUTED_VALUE"""),17.77)</f>
        <v>17.77</v>
      </c>
      <c r="E1923" s="1">
        <f ca="1">IFERROR(__xludf.DUMMYFUNCTION("""COMPUTED_VALUE"""),17.85)</f>
        <v>17.850000000000001</v>
      </c>
      <c r="F1923" s="1">
        <f ca="1">IFERROR(__xludf.DUMMYFUNCTION("""COMPUTED_VALUE"""),44158833)</f>
        <v>44158833</v>
      </c>
    </row>
    <row r="1924" spans="1:6" x14ac:dyDescent="0.35">
      <c r="A1924" s="2">
        <f ca="1">IFERROR(__xludf.DUMMYFUNCTION("""COMPUTED_VALUE"""),44795.6666666666)</f>
        <v>44795.666666666599</v>
      </c>
      <c r="B1924" s="1">
        <f ca="1">IFERROR(__xludf.DUMMYFUNCTION("""COMPUTED_VALUE"""),17.49)</f>
        <v>17.489999999999998</v>
      </c>
      <c r="C1924" s="1">
        <f ca="1">IFERROR(__xludf.DUMMYFUNCTION("""COMPUTED_VALUE"""),17.56)</f>
        <v>17.559999999999999</v>
      </c>
      <c r="D1924" s="1">
        <f ca="1">IFERROR(__xludf.DUMMYFUNCTION("""COMPUTED_VALUE"""),16.97)</f>
        <v>16.97</v>
      </c>
      <c r="E1924" s="1">
        <f ca="1">IFERROR(__xludf.DUMMYFUNCTION("""COMPUTED_VALUE"""),17.03)</f>
        <v>17.03</v>
      </c>
      <c r="F1924" s="1">
        <f ca="1">IFERROR(__xludf.DUMMYFUNCTION("""COMPUTED_VALUE"""),40959271)</f>
        <v>40959271</v>
      </c>
    </row>
    <row r="1925" spans="1:6" x14ac:dyDescent="0.35">
      <c r="A1925" s="2">
        <f ca="1">IFERROR(__xludf.DUMMYFUNCTION("""COMPUTED_VALUE"""),44796.6666666666)</f>
        <v>44796.666666666599</v>
      </c>
      <c r="B1925" s="1">
        <f ca="1">IFERROR(__xludf.DUMMYFUNCTION("""COMPUTED_VALUE"""),16.99)</f>
        <v>16.989999999999998</v>
      </c>
      <c r="C1925" s="1">
        <f ca="1">IFERROR(__xludf.DUMMYFUNCTION("""COMPUTED_VALUE"""),17.47)</f>
        <v>17.47</v>
      </c>
      <c r="D1925" s="1">
        <f ca="1">IFERROR(__xludf.DUMMYFUNCTION("""COMPUTED_VALUE"""),16.97)</f>
        <v>16.97</v>
      </c>
      <c r="E1925" s="1">
        <f ca="1">IFERROR(__xludf.DUMMYFUNCTION("""COMPUTED_VALUE"""),17.18)</f>
        <v>17.18</v>
      </c>
      <c r="F1925" s="1">
        <f ca="1">IFERROR(__xludf.DUMMYFUNCTION("""COMPUTED_VALUE"""),36998577)</f>
        <v>36998577</v>
      </c>
    </row>
    <row r="1926" spans="1:6" x14ac:dyDescent="0.35">
      <c r="A1926" s="2">
        <f ca="1">IFERROR(__xludf.DUMMYFUNCTION("""COMPUTED_VALUE"""),44797.6666666666)</f>
        <v>44797.666666666599</v>
      </c>
      <c r="B1926" s="1">
        <f ca="1">IFERROR(__xludf.DUMMYFUNCTION("""COMPUTED_VALUE"""),17.01)</f>
        <v>17.010000000000002</v>
      </c>
      <c r="C1926" s="1">
        <f ca="1">IFERROR(__xludf.DUMMYFUNCTION("""COMPUTED_VALUE"""),17.41)</f>
        <v>17.41</v>
      </c>
      <c r="D1926" s="1">
        <f ca="1">IFERROR(__xludf.DUMMYFUNCTION("""COMPUTED_VALUE"""),16.9)</f>
        <v>16.899999999999999</v>
      </c>
      <c r="E1926" s="1">
        <f ca="1">IFERROR(__xludf.DUMMYFUNCTION("""COMPUTED_VALUE"""),17.22)</f>
        <v>17.22</v>
      </c>
      <c r="F1926" s="1">
        <f ca="1">IFERROR(__xludf.DUMMYFUNCTION("""COMPUTED_VALUE"""),52266071)</f>
        <v>52266071</v>
      </c>
    </row>
    <row r="1927" spans="1:6" x14ac:dyDescent="0.35">
      <c r="A1927" s="2">
        <f ca="1">IFERROR(__xludf.DUMMYFUNCTION("""COMPUTED_VALUE"""),44798.6666666666)</f>
        <v>44798.666666666599</v>
      </c>
      <c r="B1927" s="1">
        <f ca="1">IFERROR(__xludf.DUMMYFUNCTION("""COMPUTED_VALUE"""),16.84)</f>
        <v>16.84</v>
      </c>
      <c r="C1927" s="1">
        <f ca="1">IFERROR(__xludf.DUMMYFUNCTION("""COMPUTED_VALUE"""),17.95)</f>
        <v>17.95</v>
      </c>
      <c r="D1927" s="1">
        <f ca="1">IFERROR(__xludf.DUMMYFUNCTION("""COMPUTED_VALUE"""),16.83)</f>
        <v>16.829999999999998</v>
      </c>
      <c r="E1927" s="1">
        <f ca="1">IFERROR(__xludf.DUMMYFUNCTION("""COMPUTED_VALUE"""),17.91)</f>
        <v>17.91</v>
      </c>
      <c r="F1927" s="1">
        <f ca="1">IFERROR(__xludf.DUMMYFUNCTION("""COMPUTED_VALUE"""),77069133)</f>
        <v>77069133</v>
      </c>
    </row>
    <row r="1928" spans="1:6" x14ac:dyDescent="0.35">
      <c r="A1928" s="2">
        <f ca="1">IFERROR(__xludf.DUMMYFUNCTION("""COMPUTED_VALUE"""),44799.6666666666)</f>
        <v>44799.666666666599</v>
      </c>
      <c r="B1928" s="1">
        <f ca="1">IFERROR(__xludf.DUMMYFUNCTION("""COMPUTED_VALUE"""),17.86)</f>
        <v>17.86</v>
      </c>
      <c r="C1928" s="1">
        <f ca="1">IFERROR(__xludf.DUMMYFUNCTION("""COMPUTED_VALUE"""),17.92)</f>
        <v>17.920000000000002</v>
      </c>
      <c r="D1928" s="1">
        <f ca="1">IFERROR(__xludf.DUMMYFUNCTION("""COMPUTED_VALUE"""),16.24)</f>
        <v>16.239999999999998</v>
      </c>
      <c r="E1928" s="1">
        <f ca="1">IFERROR(__xludf.DUMMYFUNCTION("""COMPUTED_VALUE"""),16.26)</f>
        <v>16.260000000000002</v>
      </c>
      <c r="F1928" s="1">
        <f ca="1">IFERROR(__xludf.DUMMYFUNCTION("""COMPUTED_VALUE"""),76912743)</f>
        <v>76912743</v>
      </c>
    </row>
    <row r="1929" spans="1:6" x14ac:dyDescent="0.35">
      <c r="A1929" s="2">
        <f ca="1">IFERROR(__xludf.DUMMYFUNCTION("""COMPUTED_VALUE"""),44802.6666666666)</f>
        <v>44802.666666666599</v>
      </c>
      <c r="B1929" s="1">
        <f ca="1">IFERROR(__xludf.DUMMYFUNCTION("""COMPUTED_VALUE"""),16.02)</f>
        <v>16.02</v>
      </c>
      <c r="C1929" s="1">
        <f ca="1">IFERROR(__xludf.DUMMYFUNCTION("""COMPUTED_VALUE"""),16.34)</f>
        <v>16.34</v>
      </c>
      <c r="D1929" s="1">
        <f ca="1">IFERROR(__xludf.DUMMYFUNCTION("""COMPUTED_VALUE"""),15.77)</f>
        <v>15.77</v>
      </c>
      <c r="E1929" s="1">
        <f ca="1">IFERROR(__xludf.DUMMYFUNCTION("""COMPUTED_VALUE"""),15.8)</f>
        <v>15.8</v>
      </c>
      <c r="F1929" s="1">
        <f ca="1">IFERROR(__xludf.DUMMYFUNCTION("""COMPUTED_VALUE"""),49613194)</f>
        <v>49613194</v>
      </c>
    </row>
    <row r="1930" spans="1:6" x14ac:dyDescent="0.35">
      <c r="A1930" s="2">
        <f ca="1">IFERROR(__xludf.DUMMYFUNCTION("""COMPUTED_VALUE"""),44803.6666666666)</f>
        <v>44803.666666666599</v>
      </c>
      <c r="B1930" s="1">
        <f ca="1">IFERROR(__xludf.DUMMYFUNCTION("""COMPUTED_VALUE"""),15.96)</f>
        <v>15.96</v>
      </c>
      <c r="C1930" s="1">
        <f ca="1">IFERROR(__xludf.DUMMYFUNCTION("""COMPUTED_VALUE"""),16.04)</f>
        <v>16.04</v>
      </c>
      <c r="D1930" s="1">
        <f ca="1">IFERROR(__xludf.DUMMYFUNCTION("""COMPUTED_VALUE"""),15.18)</f>
        <v>15.18</v>
      </c>
      <c r="E1930" s="1">
        <f ca="1">IFERROR(__xludf.DUMMYFUNCTION("""COMPUTED_VALUE"""),15.47)</f>
        <v>15.47</v>
      </c>
      <c r="F1930" s="1">
        <f ca="1">IFERROR(__xludf.DUMMYFUNCTION("""COMPUTED_VALUE"""),53018069)</f>
        <v>53018069</v>
      </c>
    </row>
    <row r="1931" spans="1:6" x14ac:dyDescent="0.35">
      <c r="A1931" s="2">
        <f ca="1">IFERROR(__xludf.DUMMYFUNCTION("""COMPUTED_VALUE"""),44804.6666666666)</f>
        <v>44804.666666666599</v>
      </c>
      <c r="B1931" s="1">
        <f ca="1">IFERROR(__xludf.DUMMYFUNCTION("""COMPUTED_VALUE"""),15.38)</f>
        <v>15.38</v>
      </c>
      <c r="C1931" s="1">
        <f ca="1">IFERROR(__xludf.DUMMYFUNCTION("""COMPUTED_VALUE"""),15.54)</f>
        <v>15.54</v>
      </c>
      <c r="D1931" s="1">
        <f ca="1">IFERROR(__xludf.DUMMYFUNCTION("""COMPUTED_VALUE"""),14.96)</f>
        <v>14.96</v>
      </c>
      <c r="E1931" s="1">
        <f ca="1">IFERROR(__xludf.DUMMYFUNCTION("""COMPUTED_VALUE"""),15.09)</f>
        <v>15.09</v>
      </c>
      <c r="F1931" s="1">
        <f ca="1">IFERROR(__xludf.DUMMYFUNCTION("""COMPUTED_VALUE"""),57370986)</f>
        <v>57370986</v>
      </c>
    </row>
    <row r="1932" spans="1:6" x14ac:dyDescent="0.35">
      <c r="A1932" s="2">
        <f ca="1">IFERROR(__xludf.DUMMYFUNCTION("""COMPUTED_VALUE"""),44805.6666666666)</f>
        <v>44805.666666666599</v>
      </c>
      <c r="B1932" s="1">
        <f ca="1">IFERROR(__xludf.DUMMYFUNCTION("""COMPUTED_VALUE"""),14.21)</f>
        <v>14.21</v>
      </c>
      <c r="C1932" s="1">
        <f ca="1">IFERROR(__xludf.DUMMYFUNCTION("""COMPUTED_VALUE"""),14.38)</f>
        <v>14.38</v>
      </c>
      <c r="D1932" s="1">
        <f ca="1">IFERROR(__xludf.DUMMYFUNCTION("""COMPUTED_VALUE"""),13.27)</f>
        <v>13.27</v>
      </c>
      <c r="E1932" s="1">
        <f ca="1">IFERROR(__xludf.DUMMYFUNCTION("""COMPUTED_VALUE"""),13.94)</f>
        <v>13.94</v>
      </c>
      <c r="F1932" s="1">
        <f ca="1">IFERROR(__xludf.DUMMYFUNCTION("""COMPUTED_VALUE"""),117886514)</f>
        <v>117886514</v>
      </c>
    </row>
    <row r="1933" spans="1:6" x14ac:dyDescent="0.35">
      <c r="A1933" s="2">
        <f ca="1">IFERROR(__xludf.DUMMYFUNCTION("""COMPUTED_VALUE"""),44806.6666666666)</f>
        <v>44806.666666666599</v>
      </c>
      <c r="B1933" s="1">
        <f ca="1">IFERROR(__xludf.DUMMYFUNCTION("""COMPUTED_VALUE"""),14.1)</f>
        <v>14.1</v>
      </c>
      <c r="C1933" s="1">
        <f ca="1">IFERROR(__xludf.DUMMYFUNCTION("""COMPUTED_VALUE"""),14.17)</f>
        <v>14.17</v>
      </c>
      <c r="D1933" s="1">
        <f ca="1">IFERROR(__xludf.DUMMYFUNCTION("""COMPUTED_VALUE"""),13.59)</f>
        <v>13.59</v>
      </c>
      <c r="E1933" s="1">
        <f ca="1">IFERROR(__xludf.DUMMYFUNCTION("""COMPUTED_VALUE"""),13.65)</f>
        <v>13.65</v>
      </c>
      <c r="F1933" s="1">
        <f ca="1">IFERROR(__xludf.DUMMYFUNCTION("""COMPUTED_VALUE"""),74315746)</f>
        <v>74315746</v>
      </c>
    </row>
    <row r="1934" spans="1:6" x14ac:dyDescent="0.35">
      <c r="A1934" s="2">
        <f ca="1">IFERROR(__xludf.DUMMYFUNCTION("""COMPUTED_VALUE"""),44810.6666666666)</f>
        <v>44810.666666666599</v>
      </c>
      <c r="B1934" s="1">
        <f ca="1">IFERROR(__xludf.DUMMYFUNCTION("""COMPUTED_VALUE"""),13.73)</f>
        <v>13.73</v>
      </c>
      <c r="C1934" s="1">
        <f ca="1">IFERROR(__xludf.DUMMYFUNCTION("""COMPUTED_VALUE"""),13.78)</f>
        <v>13.78</v>
      </c>
      <c r="D1934" s="1">
        <f ca="1">IFERROR(__xludf.DUMMYFUNCTION("""COMPUTED_VALUE"""),13.35)</f>
        <v>13.35</v>
      </c>
      <c r="E1934" s="1">
        <f ca="1">IFERROR(__xludf.DUMMYFUNCTION("""COMPUTED_VALUE"""),13.47)</f>
        <v>13.47</v>
      </c>
      <c r="F1934" s="1">
        <f ca="1">IFERROR(__xludf.DUMMYFUNCTION("""COMPUTED_VALUE"""),53575118)</f>
        <v>53575118</v>
      </c>
    </row>
    <row r="1935" spans="1:6" x14ac:dyDescent="0.35">
      <c r="A1935" s="2">
        <f ca="1">IFERROR(__xludf.DUMMYFUNCTION("""COMPUTED_VALUE"""),44811.6666666666)</f>
        <v>44811.666666666599</v>
      </c>
      <c r="B1935" s="1">
        <f ca="1">IFERROR(__xludf.DUMMYFUNCTION("""COMPUTED_VALUE"""),13.56)</f>
        <v>13.56</v>
      </c>
      <c r="C1935" s="1">
        <f ca="1">IFERROR(__xludf.DUMMYFUNCTION("""COMPUTED_VALUE"""),13.84)</f>
        <v>13.84</v>
      </c>
      <c r="D1935" s="1">
        <f ca="1">IFERROR(__xludf.DUMMYFUNCTION("""COMPUTED_VALUE"""),13.35)</f>
        <v>13.35</v>
      </c>
      <c r="E1935" s="1">
        <f ca="1">IFERROR(__xludf.DUMMYFUNCTION("""COMPUTED_VALUE"""),13.71)</f>
        <v>13.71</v>
      </c>
      <c r="F1935" s="1">
        <f ca="1">IFERROR(__xludf.DUMMYFUNCTION("""COMPUTED_VALUE"""),51265746)</f>
        <v>51265746</v>
      </c>
    </row>
    <row r="1936" spans="1:6" x14ac:dyDescent="0.35">
      <c r="A1936" s="2">
        <f ca="1">IFERROR(__xludf.DUMMYFUNCTION("""COMPUTED_VALUE"""),44812.6666666666)</f>
        <v>44812.666666666599</v>
      </c>
      <c r="B1936" s="1">
        <f ca="1">IFERROR(__xludf.DUMMYFUNCTION("""COMPUTED_VALUE"""),13.46)</f>
        <v>13.46</v>
      </c>
      <c r="C1936" s="1">
        <f ca="1">IFERROR(__xludf.DUMMYFUNCTION("""COMPUTED_VALUE"""),14.01)</f>
        <v>14.01</v>
      </c>
      <c r="D1936" s="1">
        <f ca="1">IFERROR(__xludf.DUMMYFUNCTION("""COMPUTED_VALUE"""),13.37)</f>
        <v>13.37</v>
      </c>
      <c r="E1936" s="1">
        <f ca="1">IFERROR(__xludf.DUMMYFUNCTION("""COMPUTED_VALUE"""),13.99)</f>
        <v>13.99</v>
      </c>
      <c r="F1936" s="1">
        <f ca="1">IFERROR(__xludf.DUMMYFUNCTION("""COMPUTED_VALUE"""),62487312)</f>
        <v>62487312</v>
      </c>
    </row>
    <row r="1937" spans="1:6" x14ac:dyDescent="0.35">
      <c r="A1937" s="2">
        <f ca="1">IFERROR(__xludf.DUMMYFUNCTION("""COMPUTED_VALUE"""),44813.6666666666)</f>
        <v>44813.666666666599</v>
      </c>
      <c r="B1937" s="1">
        <f ca="1">IFERROR(__xludf.DUMMYFUNCTION("""COMPUTED_VALUE"""),14.16)</f>
        <v>14.16</v>
      </c>
      <c r="C1937" s="1">
        <f ca="1">IFERROR(__xludf.DUMMYFUNCTION("""COMPUTED_VALUE"""),14.47)</f>
        <v>14.47</v>
      </c>
      <c r="D1937" s="1">
        <f ca="1">IFERROR(__xludf.DUMMYFUNCTION("""COMPUTED_VALUE"""),14.13)</f>
        <v>14.13</v>
      </c>
      <c r="E1937" s="1">
        <f ca="1">IFERROR(__xludf.DUMMYFUNCTION("""COMPUTED_VALUE"""),14.39)</f>
        <v>14.39</v>
      </c>
      <c r="F1937" s="1">
        <f ca="1">IFERROR(__xludf.DUMMYFUNCTION("""COMPUTED_VALUE"""),48712842)</f>
        <v>48712842</v>
      </c>
    </row>
    <row r="1938" spans="1:6" x14ac:dyDescent="0.35">
      <c r="A1938" s="2">
        <f ca="1">IFERROR(__xludf.DUMMYFUNCTION("""COMPUTED_VALUE"""),44816.6666666666)</f>
        <v>44816.666666666599</v>
      </c>
      <c r="B1938" s="1">
        <f ca="1">IFERROR(__xludf.DUMMYFUNCTION("""COMPUTED_VALUE"""),14.37)</f>
        <v>14.37</v>
      </c>
      <c r="C1938" s="1">
        <f ca="1">IFERROR(__xludf.DUMMYFUNCTION("""COMPUTED_VALUE"""),14.55)</f>
        <v>14.55</v>
      </c>
      <c r="D1938" s="1">
        <f ca="1">IFERROR(__xludf.DUMMYFUNCTION("""COMPUTED_VALUE"""),14.2)</f>
        <v>14.2</v>
      </c>
      <c r="E1938" s="1">
        <f ca="1">IFERROR(__xludf.DUMMYFUNCTION("""COMPUTED_VALUE"""),14.51)</f>
        <v>14.51</v>
      </c>
      <c r="F1938" s="1">
        <f ca="1">IFERROR(__xludf.DUMMYFUNCTION("""COMPUTED_VALUE"""),48415924)</f>
        <v>48415924</v>
      </c>
    </row>
    <row r="1939" spans="1:6" x14ac:dyDescent="0.35">
      <c r="A1939" s="2">
        <f ca="1">IFERROR(__xludf.DUMMYFUNCTION("""COMPUTED_VALUE"""),44817.6666666666)</f>
        <v>44817.666666666599</v>
      </c>
      <c r="B1939" s="1">
        <f ca="1">IFERROR(__xludf.DUMMYFUNCTION("""COMPUTED_VALUE"""),13.8)</f>
        <v>13.8</v>
      </c>
      <c r="C1939" s="1">
        <f ca="1">IFERROR(__xludf.DUMMYFUNCTION("""COMPUTED_VALUE"""),13.92)</f>
        <v>13.92</v>
      </c>
      <c r="D1939" s="1">
        <f ca="1">IFERROR(__xludf.DUMMYFUNCTION("""COMPUTED_VALUE"""),13.1)</f>
        <v>13.1</v>
      </c>
      <c r="E1939" s="1">
        <f ca="1">IFERROR(__xludf.DUMMYFUNCTION("""COMPUTED_VALUE"""),13.13)</f>
        <v>13.13</v>
      </c>
      <c r="F1939" s="1">
        <f ca="1">IFERROR(__xludf.DUMMYFUNCTION("""COMPUTED_VALUE"""),71495563)</f>
        <v>71495563</v>
      </c>
    </row>
    <row r="1940" spans="1:6" x14ac:dyDescent="0.35">
      <c r="A1940" s="2">
        <f ca="1">IFERROR(__xludf.DUMMYFUNCTION("""COMPUTED_VALUE"""),44818.6666666666)</f>
        <v>44818.666666666599</v>
      </c>
      <c r="B1940" s="1">
        <f ca="1">IFERROR(__xludf.DUMMYFUNCTION("""COMPUTED_VALUE"""),13.25)</f>
        <v>13.25</v>
      </c>
      <c r="C1940" s="1">
        <f ca="1">IFERROR(__xludf.DUMMYFUNCTION("""COMPUTED_VALUE"""),13.29)</f>
        <v>13.29</v>
      </c>
      <c r="D1940" s="1">
        <f ca="1">IFERROR(__xludf.DUMMYFUNCTION("""COMPUTED_VALUE"""),12.91)</f>
        <v>12.91</v>
      </c>
      <c r="E1940" s="1">
        <f ca="1">IFERROR(__xludf.DUMMYFUNCTION("""COMPUTED_VALUE"""),13.13)</f>
        <v>13.13</v>
      </c>
      <c r="F1940" s="1">
        <f ca="1">IFERROR(__xludf.DUMMYFUNCTION("""COMPUTED_VALUE"""),58850654)</f>
        <v>58850654</v>
      </c>
    </row>
    <row r="1941" spans="1:6" x14ac:dyDescent="0.35">
      <c r="A1941" s="2">
        <f ca="1">IFERROR(__xludf.DUMMYFUNCTION("""COMPUTED_VALUE"""),44819.6666666666)</f>
        <v>44819.666666666599</v>
      </c>
      <c r="B1941" s="1">
        <f ca="1">IFERROR(__xludf.DUMMYFUNCTION("""COMPUTED_VALUE"""),13.02)</f>
        <v>13.02</v>
      </c>
      <c r="C1941" s="1">
        <f ca="1">IFERROR(__xludf.DUMMYFUNCTION("""COMPUTED_VALUE"""),13.23)</f>
        <v>13.23</v>
      </c>
      <c r="D1941" s="1">
        <f ca="1">IFERROR(__xludf.DUMMYFUNCTION("""COMPUTED_VALUE"""),12.79)</f>
        <v>12.79</v>
      </c>
      <c r="E1941" s="1">
        <f ca="1">IFERROR(__xludf.DUMMYFUNCTION("""COMPUTED_VALUE"""),12.93)</f>
        <v>12.93</v>
      </c>
      <c r="F1941" s="1">
        <f ca="1">IFERROR(__xludf.DUMMYFUNCTION("""COMPUTED_VALUE"""),52362516)</f>
        <v>52362516</v>
      </c>
    </row>
    <row r="1942" spans="1:6" x14ac:dyDescent="0.35">
      <c r="A1942" s="2">
        <f ca="1">IFERROR(__xludf.DUMMYFUNCTION("""COMPUTED_VALUE"""),44820.6666666666)</f>
        <v>44820.666666666599</v>
      </c>
      <c r="B1942" s="1">
        <f ca="1">IFERROR(__xludf.DUMMYFUNCTION("""COMPUTED_VALUE"""),12.74)</f>
        <v>12.74</v>
      </c>
      <c r="C1942" s="1">
        <f ca="1">IFERROR(__xludf.DUMMYFUNCTION("""COMPUTED_VALUE"""),13.21)</f>
        <v>13.21</v>
      </c>
      <c r="D1942" s="1">
        <f ca="1">IFERROR(__xludf.DUMMYFUNCTION("""COMPUTED_VALUE"""),12.62)</f>
        <v>12.62</v>
      </c>
      <c r="E1942" s="1">
        <f ca="1">IFERROR(__xludf.DUMMYFUNCTION("""COMPUTED_VALUE"""),13.2)</f>
        <v>13.2</v>
      </c>
      <c r="F1942" s="1">
        <f ca="1">IFERROR(__xludf.DUMMYFUNCTION("""COMPUTED_VALUE"""),67075140)</f>
        <v>67075140</v>
      </c>
    </row>
    <row r="1943" spans="1:6" x14ac:dyDescent="0.35">
      <c r="A1943" s="2">
        <f ca="1">IFERROR(__xludf.DUMMYFUNCTION("""COMPUTED_VALUE"""),44823.6666666666)</f>
        <v>44823.666666666599</v>
      </c>
      <c r="B1943" s="1">
        <f ca="1">IFERROR(__xludf.DUMMYFUNCTION("""COMPUTED_VALUE"""),13.01)</f>
        <v>13.01</v>
      </c>
      <c r="C1943" s="1">
        <f ca="1">IFERROR(__xludf.DUMMYFUNCTION("""COMPUTED_VALUE"""),13.46)</f>
        <v>13.46</v>
      </c>
      <c r="D1943" s="1">
        <f ca="1">IFERROR(__xludf.DUMMYFUNCTION("""COMPUTED_VALUE"""),13.01)</f>
        <v>13.01</v>
      </c>
      <c r="E1943" s="1">
        <f ca="1">IFERROR(__xludf.DUMMYFUNCTION("""COMPUTED_VALUE"""),13.38)</f>
        <v>13.38</v>
      </c>
      <c r="F1943" s="1">
        <f ca="1">IFERROR(__xludf.DUMMYFUNCTION("""COMPUTED_VALUE"""),56968528)</f>
        <v>56968528</v>
      </c>
    </row>
    <row r="1944" spans="1:6" x14ac:dyDescent="0.35">
      <c r="A1944" s="2">
        <f ca="1">IFERROR(__xludf.DUMMYFUNCTION("""COMPUTED_VALUE"""),44824.6666666666)</f>
        <v>44824.666666666599</v>
      </c>
      <c r="B1944" s="1">
        <f ca="1">IFERROR(__xludf.DUMMYFUNCTION("""COMPUTED_VALUE"""),13.21)</f>
        <v>13.21</v>
      </c>
      <c r="C1944" s="1">
        <f ca="1">IFERROR(__xludf.DUMMYFUNCTION("""COMPUTED_VALUE"""),13.48)</f>
        <v>13.48</v>
      </c>
      <c r="D1944" s="1">
        <f ca="1">IFERROR(__xludf.DUMMYFUNCTION("""COMPUTED_VALUE"""),13.06)</f>
        <v>13.06</v>
      </c>
      <c r="E1944" s="1">
        <f ca="1">IFERROR(__xludf.DUMMYFUNCTION("""COMPUTED_VALUE"""),13.18)</f>
        <v>13.18</v>
      </c>
      <c r="F1944" s="1">
        <f ca="1">IFERROR(__xludf.DUMMYFUNCTION("""COMPUTED_VALUE"""),52481775)</f>
        <v>52481775</v>
      </c>
    </row>
    <row r="1945" spans="1:6" x14ac:dyDescent="0.35">
      <c r="A1945" s="2">
        <f ca="1">IFERROR(__xludf.DUMMYFUNCTION("""COMPUTED_VALUE"""),44825.6666666666)</f>
        <v>44825.666666666599</v>
      </c>
      <c r="B1945" s="1">
        <f ca="1">IFERROR(__xludf.DUMMYFUNCTION("""COMPUTED_VALUE"""),13.21)</f>
        <v>13.21</v>
      </c>
      <c r="C1945" s="1">
        <f ca="1">IFERROR(__xludf.DUMMYFUNCTION("""COMPUTED_VALUE"""),14.03)</f>
        <v>14.03</v>
      </c>
      <c r="D1945" s="1">
        <f ca="1">IFERROR(__xludf.DUMMYFUNCTION("""COMPUTED_VALUE"""),13.11)</f>
        <v>13.11</v>
      </c>
      <c r="E1945" s="1">
        <f ca="1">IFERROR(__xludf.DUMMYFUNCTION("""COMPUTED_VALUE"""),13.26)</f>
        <v>13.26</v>
      </c>
      <c r="F1945" s="1">
        <f ca="1">IFERROR(__xludf.DUMMYFUNCTION("""COMPUTED_VALUE"""),80767940)</f>
        <v>80767940</v>
      </c>
    </row>
    <row r="1946" spans="1:6" x14ac:dyDescent="0.35">
      <c r="A1946" s="2">
        <f ca="1">IFERROR(__xludf.DUMMYFUNCTION("""COMPUTED_VALUE"""),44826.6666666666)</f>
        <v>44826.666666666599</v>
      </c>
      <c r="B1946" s="1">
        <f ca="1">IFERROR(__xludf.DUMMYFUNCTION("""COMPUTED_VALUE"""),13.07)</f>
        <v>13.07</v>
      </c>
      <c r="C1946" s="1">
        <f ca="1">IFERROR(__xludf.DUMMYFUNCTION("""COMPUTED_VALUE"""),13.15)</f>
        <v>13.15</v>
      </c>
      <c r="D1946" s="1">
        <f ca="1">IFERROR(__xludf.DUMMYFUNCTION("""COMPUTED_VALUE"""),12.43)</f>
        <v>12.43</v>
      </c>
      <c r="E1946" s="1">
        <f ca="1">IFERROR(__xludf.DUMMYFUNCTION("""COMPUTED_VALUE"""),12.56)</f>
        <v>12.56</v>
      </c>
      <c r="F1946" s="1">
        <f ca="1">IFERROR(__xludf.DUMMYFUNCTION("""COMPUTED_VALUE"""),75916216)</f>
        <v>75916216</v>
      </c>
    </row>
    <row r="1947" spans="1:6" x14ac:dyDescent="0.35">
      <c r="A1947" s="2">
        <f ca="1">IFERROR(__xludf.DUMMYFUNCTION("""COMPUTED_VALUE"""),44827.6666666666)</f>
        <v>44827.666666666599</v>
      </c>
      <c r="B1947" s="1">
        <f ca="1">IFERROR(__xludf.DUMMYFUNCTION("""COMPUTED_VALUE"""),12.42)</f>
        <v>12.42</v>
      </c>
      <c r="C1947" s="1">
        <f ca="1">IFERROR(__xludf.DUMMYFUNCTION("""COMPUTED_VALUE"""),12.61)</f>
        <v>12.61</v>
      </c>
      <c r="D1947" s="1">
        <f ca="1">IFERROR(__xludf.DUMMYFUNCTION("""COMPUTED_VALUE"""),12.26)</f>
        <v>12.26</v>
      </c>
      <c r="E1947" s="1">
        <f ca="1">IFERROR(__xludf.DUMMYFUNCTION("""COMPUTED_VALUE"""),12.52)</f>
        <v>12.52</v>
      </c>
      <c r="F1947" s="1">
        <f ca="1">IFERROR(__xludf.DUMMYFUNCTION("""COMPUTED_VALUE"""),66330931)</f>
        <v>66330931</v>
      </c>
    </row>
    <row r="1948" spans="1:6" x14ac:dyDescent="0.35">
      <c r="A1948" s="2">
        <f ca="1">IFERROR(__xludf.DUMMYFUNCTION("""COMPUTED_VALUE"""),44830.6666666666)</f>
        <v>44830.666666666599</v>
      </c>
      <c r="B1948" s="1">
        <f ca="1">IFERROR(__xludf.DUMMYFUNCTION("""COMPUTED_VALUE"""),12.49)</f>
        <v>12.49</v>
      </c>
      <c r="C1948" s="1">
        <f ca="1">IFERROR(__xludf.DUMMYFUNCTION("""COMPUTED_VALUE"""),12.66)</f>
        <v>12.66</v>
      </c>
      <c r="D1948" s="1">
        <f ca="1">IFERROR(__xludf.DUMMYFUNCTION("""COMPUTED_VALUE"""),12.21)</f>
        <v>12.21</v>
      </c>
      <c r="E1948" s="1">
        <f ca="1">IFERROR(__xludf.DUMMYFUNCTION("""COMPUTED_VALUE"""),12.23)</f>
        <v>12.23</v>
      </c>
      <c r="F1948" s="1">
        <f ca="1">IFERROR(__xludf.DUMMYFUNCTION("""COMPUTED_VALUE"""),54734269)</f>
        <v>54734269</v>
      </c>
    </row>
    <row r="1949" spans="1:6" x14ac:dyDescent="0.35">
      <c r="A1949" s="2">
        <f ca="1">IFERROR(__xludf.DUMMYFUNCTION("""COMPUTED_VALUE"""),44831.6666666666)</f>
        <v>44831.666666666599</v>
      </c>
      <c r="B1949" s="1">
        <f ca="1">IFERROR(__xludf.DUMMYFUNCTION("""COMPUTED_VALUE"""),12.51)</f>
        <v>12.51</v>
      </c>
      <c r="C1949" s="1">
        <f ca="1">IFERROR(__xludf.DUMMYFUNCTION("""COMPUTED_VALUE"""),12.74)</f>
        <v>12.74</v>
      </c>
      <c r="D1949" s="1">
        <f ca="1">IFERROR(__xludf.DUMMYFUNCTION("""COMPUTED_VALUE"""),12.26)</f>
        <v>12.26</v>
      </c>
      <c r="E1949" s="1">
        <f ca="1">IFERROR(__xludf.DUMMYFUNCTION("""COMPUTED_VALUE"""),12.41)</f>
        <v>12.41</v>
      </c>
      <c r="F1949" s="1">
        <f ca="1">IFERROR(__xludf.DUMMYFUNCTION("""COMPUTED_VALUE"""),55385406)</f>
        <v>55385406</v>
      </c>
    </row>
    <row r="1950" spans="1:6" x14ac:dyDescent="0.35">
      <c r="A1950" s="2">
        <f ca="1">IFERROR(__xludf.DUMMYFUNCTION("""COMPUTED_VALUE"""),44832.6666666666)</f>
        <v>44832.666666666599</v>
      </c>
      <c r="B1950" s="1">
        <f ca="1">IFERROR(__xludf.DUMMYFUNCTION("""COMPUTED_VALUE"""),12.41)</f>
        <v>12.41</v>
      </c>
      <c r="C1950" s="1">
        <f ca="1">IFERROR(__xludf.DUMMYFUNCTION("""COMPUTED_VALUE"""),12.82)</f>
        <v>12.82</v>
      </c>
      <c r="D1950" s="1">
        <f ca="1">IFERROR(__xludf.DUMMYFUNCTION("""COMPUTED_VALUE"""),12.35)</f>
        <v>12.35</v>
      </c>
      <c r="E1950" s="1">
        <f ca="1">IFERROR(__xludf.DUMMYFUNCTION("""COMPUTED_VALUE"""),12.74)</f>
        <v>12.74</v>
      </c>
      <c r="F1950" s="1">
        <f ca="1">IFERROR(__xludf.DUMMYFUNCTION("""COMPUTED_VALUE"""),54241388)</f>
        <v>54241388</v>
      </c>
    </row>
    <row r="1951" spans="1:6" x14ac:dyDescent="0.35">
      <c r="A1951" s="2">
        <f ca="1">IFERROR(__xludf.DUMMYFUNCTION("""COMPUTED_VALUE"""),44833.6666666666)</f>
        <v>44833.666666666599</v>
      </c>
      <c r="B1951" s="1">
        <f ca="1">IFERROR(__xludf.DUMMYFUNCTION("""COMPUTED_VALUE"""),12.45)</f>
        <v>12.45</v>
      </c>
      <c r="C1951" s="1">
        <f ca="1">IFERROR(__xludf.DUMMYFUNCTION("""COMPUTED_VALUE"""),12.5)</f>
        <v>12.5</v>
      </c>
      <c r="D1951" s="1">
        <f ca="1">IFERROR(__xludf.DUMMYFUNCTION("""COMPUTED_VALUE"""),11.95)</f>
        <v>11.95</v>
      </c>
      <c r="E1951" s="1">
        <f ca="1">IFERROR(__xludf.DUMMYFUNCTION("""COMPUTED_VALUE"""),12.22)</f>
        <v>12.22</v>
      </c>
      <c r="F1951" s="1">
        <f ca="1">IFERROR(__xludf.DUMMYFUNCTION("""COMPUTED_VALUE"""),53276312)</f>
        <v>53276312</v>
      </c>
    </row>
    <row r="1952" spans="1:6" x14ac:dyDescent="0.35">
      <c r="A1952" s="2">
        <f ca="1">IFERROR(__xludf.DUMMYFUNCTION("""COMPUTED_VALUE"""),44834.6666666666)</f>
        <v>44834.666666666599</v>
      </c>
      <c r="B1952" s="1">
        <f ca="1">IFERROR(__xludf.DUMMYFUNCTION("""COMPUTED_VALUE"""),12.09)</f>
        <v>12.09</v>
      </c>
      <c r="C1952" s="1">
        <f ca="1">IFERROR(__xludf.DUMMYFUNCTION("""COMPUTED_VALUE"""),12.63)</f>
        <v>12.63</v>
      </c>
      <c r="D1952" s="1">
        <f ca="1">IFERROR(__xludf.DUMMYFUNCTION("""COMPUTED_VALUE"""),12.08)</f>
        <v>12.08</v>
      </c>
      <c r="E1952" s="1">
        <f ca="1">IFERROR(__xludf.DUMMYFUNCTION("""COMPUTED_VALUE"""),12.14)</f>
        <v>12.14</v>
      </c>
      <c r="F1952" s="1">
        <f ca="1">IFERROR(__xludf.DUMMYFUNCTION("""COMPUTED_VALUE"""),56563842)</f>
        <v>56563842</v>
      </c>
    </row>
    <row r="1953" spans="1:6" x14ac:dyDescent="0.35">
      <c r="A1953" s="2">
        <f ca="1">IFERROR(__xludf.DUMMYFUNCTION("""COMPUTED_VALUE"""),44837.6666666666)</f>
        <v>44837.666666666599</v>
      </c>
      <c r="B1953" s="1">
        <f ca="1">IFERROR(__xludf.DUMMYFUNCTION("""COMPUTED_VALUE"""),12.35)</f>
        <v>12.35</v>
      </c>
      <c r="C1953" s="1">
        <f ca="1">IFERROR(__xludf.DUMMYFUNCTION("""COMPUTED_VALUE"""),12.68)</f>
        <v>12.68</v>
      </c>
      <c r="D1953" s="1">
        <f ca="1">IFERROR(__xludf.DUMMYFUNCTION("""COMPUTED_VALUE"""),12.11)</f>
        <v>12.11</v>
      </c>
      <c r="E1953" s="1">
        <f ca="1">IFERROR(__xludf.DUMMYFUNCTION("""COMPUTED_VALUE"""),12.51)</f>
        <v>12.51</v>
      </c>
      <c r="F1953" s="1">
        <f ca="1">IFERROR(__xludf.DUMMYFUNCTION("""COMPUTED_VALUE"""),54747847)</f>
        <v>54747847</v>
      </c>
    </row>
    <row r="1954" spans="1:6" x14ac:dyDescent="0.35">
      <c r="A1954" s="2">
        <f ca="1">IFERROR(__xludf.DUMMYFUNCTION("""COMPUTED_VALUE"""),44838.6666666666)</f>
        <v>44838.666666666599</v>
      </c>
      <c r="B1954" s="1">
        <f ca="1">IFERROR(__xludf.DUMMYFUNCTION("""COMPUTED_VALUE"""),12.88)</f>
        <v>12.88</v>
      </c>
      <c r="C1954" s="1">
        <f ca="1">IFERROR(__xludf.DUMMYFUNCTION("""COMPUTED_VALUE"""),13.22)</f>
        <v>13.22</v>
      </c>
      <c r="D1954" s="1">
        <f ca="1">IFERROR(__xludf.DUMMYFUNCTION("""COMPUTED_VALUE"""),12.88)</f>
        <v>12.88</v>
      </c>
      <c r="E1954" s="1">
        <f ca="1">IFERROR(__xludf.DUMMYFUNCTION("""COMPUTED_VALUE"""),13.17)</f>
        <v>13.17</v>
      </c>
      <c r="F1954" s="1">
        <f ca="1">IFERROR(__xludf.DUMMYFUNCTION("""COMPUTED_VALUE"""),58418167)</f>
        <v>58418167</v>
      </c>
    </row>
    <row r="1955" spans="1:6" x14ac:dyDescent="0.35">
      <c r="A1955" s="2">
        <f ca="1">IFERROR(__xludf.DUMMYFUNCTION("""COMPUTED_VALUE"""),44839.6666666666)</f>
        <v>44839.666666666599</v>
      </c>
      <c r="B1955" s="1">
        <f ca="1">IFERROR(__xludf.DUMMYFUNCTION("""COMPUTED_VALUE"""),12.91)</f>
        <v>12.91</v>
      </c>
      <c r="C1955" s="1">
        <f ca="1">IFERROR(__xludf.DUMMYFUNCTION("""COMPUTED_VALUE"""),13.32)</f>
        <v>13.32</v>
      </c>
      <c r="D1955" s="1">
        <f ca="1">IFERROR(__xludf.DUMMYFUNCTION("""COMPUTED_VALUE"""),12.62)</f>
        <v>12.62</v>
      </c>
      <c r="E1955" s="1">
        <f ca="1">IFERROR(__xludf.DUMMYFUNCTION("""COMPUTED_VALUE"""),13.21)</f>
        <v>13.21</v>
      </c>
      <c r="F1955" s="1">
        <f ca="1">IFERROR(__xludf.DUMMYFUNCTION("""COMPUTED_VALUE"""),50713073)</f>
        <v>50713073</v>
      </c>
    </row>
    <row r="1956" spans="1:6" x14ac:dyDescent="0.35">
      <c r="A1956" s="2">
        <f ca="1">IFERROR(__xludf.DUMMYFUNCTION("""COMPUTED_VALUE"""),44840.6666666666)</f>
        <v>44840.666666666599</v>
      </c>
      <c r="B1956" s="1">
        <f ca="1">IFERROR(__xludf.DUMMYFUNCTION("""COMPUTED_VALUE"""),13.22)</f>
        <v>13.22</v>
      </c>
      <c r="C1956" s="1">
        <f ca="1">IFERROR(__xludf.DUMMYFUNCTION("""COMPUTED_VALUE"""),13.66)</f>
        <v>13.66</v>
      </c>
      <c r="D1956" s="1">
        <f ca="1">IFERROR(__xludf.DUMMYFUNCTION("""COMPUTED_VALUE"""),13.1)</f>
        <v>13.1</v>
      </c>
      <c r="E1956" s="1">
        <f ca="1">IFERROR(__xludf.DUMMYFUNCTION("""COMPUTED_VALUE"""),13.13)</f>
        <v>13.13</v>
      </c>
      <c r="F1956" s="1">
        <f ca="1">IFERROR(__xludf.DUMMYFUNCTION("""COMPUTED_VALUE"""),64415689)</f>
        <v>64415689</v>
      </c>
    </row>
    <row r="1957" spans="1:6" x14ac:dyDescent="0.35">
      <c r="A1957" s="2">
        <f ca="1">IFERROR(__xludf.DUMMYFUNCTION("""COMPUTED_VALUE"""),44841.6666666666)</f>
        <v>44841.666666666599</v>
      </c>
      <c r="B1957" s="1">
        <f ca="1">IFERROR(__xludf.DUMMYFUNCTION("""COMPUTED_VALUE"""),12.51)</f>
        <v>12.51</v>
      </c>
      <c r="C1957" s="1">
        <f ca="1">IFERROR(__xludf.DUMMYFUNCTION("""COMPUTED_VALUE"""),12.67)</f>
        <v>12.67</v>
      </c>
      <c r="D1957" s="1">
        <f ca="1">IFERROR(__xludf.DUMMYFUNCTION("""COMPUTED_VALUE"""),12.02)</f>
        <v>12.02</v>
      </c>
      <c r="E1957" s="1">
        <f ca="1">IFERROR(__xludf.DUMMYFUNCTION("""COMPUTED_VALUE"""),12.08)</f>
        <v>12.08</v>
      </c>
      <c r="F1957" s="1">
        <f ca="1">IFERROR(__xludf.DUMMYFUNCTION("""COMPUTED_VALUE"""),67247816)</f>
        <v>67247816</v>
      </c>
    </row>
    <row r="1958" spans="1:6" x14ac:dyDescent="0.35">
      <c r="A1958" s="2">
        <f ca="1">IFERROR(__xludf.DUMMYFUNCTION("""COMPUTED_VALUE"""),44844.6666666666)</f>
        <v>44844.666666666599</v>
      </c>
      <c r="B1958" s="1">
        <f ca="1">IFERROR(__xludf.DUMMYFUNCTION("""COMPUTED_VALUE"""),12.04)</f>
        <v>12.04</v>
      </c>
      <c r="C1958" s="1">
        <f ca="1">IFERROR(__xludf.DUMMYFUNCTION("""COMPUTED_VALUE"""),12.12)</f>
        <v>12.12</v>
      </c>
      <c r="D1958" s="1">
        <f ca="1">IFERROR(__xludf.DUMMYFUNCTION("""COMPUTED_VALUE"""),11.41)</f>
        <v>11.41</v>
      </c>
      <c r="E1958" s="1">
        <f ca="1">IFERROR(__xludf.DUMMYFUNCTION("""COMPUTED_VALUE"""),11.67)</f>
        <v>11.67</v>
      </c>
      <c r="F1958" s="1">
        <f ca="1">IFERROR(__xludf.DUMMYFUNCTION("""COMPUTED_VALUE"""),69869925)</f>
        <v>69869925</v>
      </c>
    </row>
    <row r="1959" spans="1:6" x14ac:dyDescent="0.35">
      <c r="A1959" s="2">
        <f ca="1">IFERROR(__xludf.DUMMYFUNCTION("""COMPUTED_VALUE"""),44845.6666666666)</f>
        <v>44845.666666666599</v>
      </c>
      <c r="B1959" s="1">
        <f ca="1">IFERROR(__xludf.DUMMYFUNCTION("""COMPUTED_VALUE"""),11.56)</f>
        <v>11.56</v>
      </c>
      <c r="C1959" s="1">
        <f ca="1">IFERROR(__xludf.DUMMYFUNCTION("""COMPUTED_VALUE"""),11.85)</f>
        <v>11.85</v>
      </c>
      <c r="D1959" s="1">
        <f ca="1">IFERROR(__xludf.DUMMYFUNCTION("""COMPUTED_VALUE"""),11.28)</f>
        <v>11.28</v>
      </c>
      <c r="E1959" s="1">
        <f ca="1">IFERROR(__xludf.DUMMYFUNCTION("""COMPUTED_VALUE"""),11.59)</f>
        <v>11.59</v>
      </c>
      <c r="F1959" s="1">
        <f ca="1">IFERROR(__xludf.DUMMYFUNCTION("""COMPUTED_VALUE"""),66748163)</f>
        <v>66748163</v>
      </c>
    </row>
    <row r="1960" spans="1:6" x14ac:dyDescent="0.35">
      <c r="A1960" s="2">
        <f ca="1">IFERROR(__xludf.DUMMYFUNCTION("""COMPUTED_VALUE"""),44846.6666666666)</f>
        <v>44846.666666666599</v>
      </c>
      <c r="B1960" s="1">
        <f ca="1">IFERROR(__xludf.DUMMYFUNCTION("""COMPUTED_VALUE"""),11.58)</f>
        <v>11.58</v>
      </c>
      <c r="C1960" s="1">
        <f ca="1">IFERROR(__xludf.DUMMYFUNCTION("""COMPUTED_VALUE"""),11.74)</f>
        <v>11.74</v>
      </c>
      <c r="D1960" s="1">
        <f ca="1">IFERROR(__xludf.DUMMYFUNCTION("""COMPUTED_VALUE"""),11.35)</f>
        <v>11.35</v>
      </c>
      <c r="E1960" s="1">
        <f ca="1">IFERROR(__xludf.DUMMYFUNCTION("""COMPUTED_VALUE"""),11.5)</f>
        <v>11.5</v>
      </c>
      <c r="F1960" s="1">
        <f ca="1">IFERROR(__xludf.DUMMYFUNCTION("""COMPUTED_VALUE"""),49259019)</f>
        <v>49259019</v>
      </c>
    </row>
    <row r="1961" spans="1:6" x14ac:dyDescent="0.35">
      <c r="A1961" s="2">
        <f ca="1">IFERROR(__xludf.DUMMYFUNCTION("""COMPUTED_VALUE"""),44847.6666666666)</f>
        <v>44847.666666666599</v>
      </c>
      <c r="B1961" s="1">
        <f ca="1">IFERROR(__xludf.DUMMYFUNCTION("""COMPUTED_VALUE"""),10.97)</f>
        <v>10.97</v>
      </c>
      <c r="C1961" s="1">
        <f ca="1">IFERROR(__xludf.DUMMYFUNCTION("""COMPUTED_VALUE"""),12.08)</f>
        <v>12.08</v>
      </c>
      <c r="D1961" s="1">
        <f ca="1">IFERROR(__xludf.DUMMYFUNCTION("""COMPUTED_VALUE"""),10.81)</f>
        <v>10.81</v>
      </c>
      <c r="E1961" s="1">
        <f ca="1">IFERROR(__xludf.DUMMYFUNCTION("""COMPUTED_VALUE"""),11.96)</f>
        <v>11.96</v>
      </c>
      <c r="F1961" s="1">
        <f ca="1">IFERROR(__xludf.DUMMYFUNCTION("""COMPUTED_VALUE"""),85010301)</f>
        <v>85010301</v>
      </c>
    </row>
    <row r="1962" spans="1:6" x14ac:dyDescent="0.35">
      <c r="A1962" s="2">
        <f ca="1">IFERROR(__xludf.DUMMYFUNCTION("""COMPUTED_VALUE"""),44848.6666666666)</f>
        <v>44848.666666666599</v>
      </c>
      <c r="B1962" s="1">
        <f ca="1">IFERROR(__xludf.DUMMYFUNCTION("""COMPUTED_VALUE"""),12.06)</f>
        <v>12.06</v>
      </c>
      <c r="C1962" s="1">
        <f ca="1">IFERROR(__xludf.DUMMYFUNCTION("""COMPUTED_VALUE"""),12.11)</f>
        <v>12.11</v>
      </c>
      <c r="D1962" s="1">
        <f ca="1">IFERROR(__xludf.DUMMYFUNCTION("""COMPUTED_VALUE"""),11.2)</f>
        <v>11.2</v>
      </c>
      <c r="E1962" s="1">
        <f ca="1">IFERROR(__xludf.DUMMYFUNCTION("""COMPUTED_VALUE"""),11.23)</f>
        <v>11.23</v>
      </c>
      <c r="F1962" s="1">
        <f ca="1">IFERROR(__xludf.DUMMYFUNCTION("""COMPUTED_VALUE"""),71343199)</f>
        <v>71343199</v>
      </c>
    </row>
    <row r="1963" spans="1:6" x14ac:dyDescent="0.35">
      <c r="A1963" s="2">
        <f ca="1">IFERROR(__xludf.DUMMYFUNCTION("""COMPUTED_VALUE"""),44851.6666666666)</f>
        <v>44851.666666666599</v>
      </c>
      <c r="B1963" s="1">
        <f ca="1">IFERROR(__xludf.DUMMYFUNCTION("""COMPUTED_VALUE"""),11.52)</f>
        <v>11.52</v>
      </c>
      <c r="C1963" s="1">
        <f ca="1">IFERROR(__xludf.DUMMYFUNCTION("""COMPUTED_VALUE"""),11.95)</f>
        <v>11.95</v>
      </c>
      <c r="D1963" s="1">
        <f ca="1">IFERROR(__xludf.DUMMYFUNCTION("""COMPUTED_VALUE"""),11.52)</f>
        <v>11.52</v>
      </c>
      <c r="E1963" s="1">
        <f ca="1">IFERROR(__xludf.DUMMYFUNCTION("""COMPUTED_VALUE"""),11.89)</f>
        <v>11.89</v>
      </c>
      <c r="F1963" s="1">
        <f ca="1">IFERROR(__xludf.DUMMYFUNCTION("""COMPUTED_VALUE"""),58077417)</f>
        <v>58077417</v>
      </c>
    </row>
    <row r="1964" spans="1:6" x14ac:dyDescent="0.35">
      <c r="A1964" s="2">
        <f ca="1">IFERROR(__xludf.DUMMYFUNCTION("""COMPUTED_VALUE"""),44852.6666666666)</f>
        <v>44852.666666666599</v>
      </c>
      <c r="B1964" s="1">
        <f ca="1">IFERROR(__xludf.DUMMYFUNCTION("""COMPUTED_VALUE"""),12.34)</f>
        <v>12.34</v>
      </c>
      <c r="C1964" s="1">
        <f ca="1">IFERROR(__xludf.DUMMYFUNCTION("""COMPUTED_VALUE"""),12.49)</f>
        <v>12.49</v>
      </c>
      <c r="D1964" s="1">
        <f ca="1">IFERROR(__xludf.DUMMYFUNCTION("""COMPUTED_VALUE"""),11.62)</f>
        <v>11.62</v>
      </c>
      <c r="E1964" s="1">
        <f ca="1">IFERROR(__xludf.DUMMYFUNCTION("""COMPUTED_VALUE"""),11.97)</f>
        <v>11.97</v>
      </c>
      <c r="F1964" s="1">
        <f ca="1">IFERROR(__xludf.DUMMYFUNCTION("""COMPUTED_VALUE"""),65936206)</f>
        <v>65936206</v>
      </c>
    </row>
    <row r="1965" spans="1:6" x14ac:dyDescent="0.35">
      <c r="A1965" s="2">
        <f ca="1">IFERROR(__xludf.DUMMYFUNCTION("""COMPUTED_VALUE"""),44853.6666666666)</f>
        <v>44853.666666666599</v>
      </c>
      <c r="B1965" s="1">
        <f ca="1">IFERROR(__xludf.DUMMYFUNCTION("""COMPUTED_VALUE"""),11.88)</f>
        <v>11.88</v>
      </c>
      <c r="C1965" s="1">
        <f ca="1">IFERROR(__xludf.DUMMYFUNCTION("""COMPUTED_VALUE"""),12.35)</f>
        <v>12.35</v>
      </c>
      <c r="D1965" s="1">
        <f ca="1">IFERROR(__xludf.DUMMYFUNCTION("""COMPUTED_VALUE"""),11.83)</f>
        <v>11.83</v>
      </c>
      <c r="E1965" s="1">
        <f ca="1">IFERROR(__xludf.DUMMYFUNCTION("""COMPUTED_VALUE"""),12.05)</f>
        <v>12.05</v>
      </c>
      <c r="F1965" s="1">
        <f ca="1">IFERROR(__xludf.DUMMYFUNCTION("""COMPUTED_VALUE"""),52313061)</f>
        <v>52313061</v>
      </c>
    </row>
    <row r="1966" spans="1:6" x14ac:dyDescent="0.35">
      <c r="A1966" s="2">
        <f ca="1">IFERROR(__xludf.DUMMYFUNCTION("""COMPUTED_VALUE"""),44854.6666666666)</f>
        <v>44854.666666666599</v>
      </c>
      <c r="B1966" s="1">
        <f ca="1">IFERROR(__xludf.DUMMYFUNCTION("""COMPUTED_VALUE"""),12.11)</f>
        <v>12.11</v>
      </c>
      <c r="C1966" s="1">
        <f ca="1">IFERROR(__xludf.DUMMYFUNCTION("""COMPUTED_VALUE"""),12.77)</f>
        <v>12.77</v>
      </c>
      <c r="D1966" s="1">
        <f ca="1">IFERROR(__xludf.DUMMYFUNCTION("""COMPUTED_VALUE"""),12.11)</f>
        <v>12.11</v>
      </c>
      <c r="E1966" s="1">
        <f ca="1">IFERROR(__xludf.DUMMYFUNCTION("""COMPUTED_VALUE"""),12.19)</f>
        <v>12.19</v>
      </c>
      <c r="F1966" s="1">
        <f ca="1">IFERROR(__xludf.DUMMYFUNCTION("""COMPUTED_VALUE"""),65239761)</f>
        <v>65239761</v>
      </c>
    </row>
    <row r="1967" spans="1:6" x14ac:dyDescent="0.35">
      <c r="A1967" s="2">
        <f ca="1">IFERROR(__xludf.DUMMYFUNCTION("""COMPUTED_VALUE"""),44855.6666666666)</f>
        <v>44855.666666666599</v>
      </c>
      <c r="B1967" s="1">
        <f ca="1">IFERROR(__xludf.DUMMYFUNCTION("""COMPUTED_VALUE"""),12.1)</f>
        <v>12.1</v>
      </c>
      <c r="C1967" s="1">
        <f ca="1">IFERROR(__xludf.DUMMYFUNCTION("""COMPUTED_VALUE"""),12.5)</f>
        <v>12.5</v>
      </c>
      <c r="D1967" s="1">
        <f ca="1">IFERROR(__xludf.DUMMYFUNCTION("""COMPUTED_VALUE"""),11.89)</f>
        <v>11.89</v>
      </c>
      <c r="E1967" s="1">
        <f ca="1">IFERROR(__xludf.DUMMYFUNCTION("""COMPUTED_VALUE"""),12.47)</f>
        <v>12.47</v>
      </c>
      <c r="F1967" s="1">
        <f ca="1">IFERROR(__xludf.DUMMYFUNCTION("""COMPUTED_VALUE"""),60949441)</f>
        <v>60949441</v>
      </c>
    </row>
    <row r="1968" spans="1:6" x14ac:dyDescent="0.35">
      <c r="A1968" s="2">
        <f ca="1">IFERROR(__xludf.DUMMYFUNCTION("""COMPUTED_VALUE"""),44858.6666666666)</f>
        <v>44858.666666666599</v>
      </c>
      <c r="B1968" s="1">
        <f ca="1">IFERROR(__xludf.DUMMYFUNCTION("""COMPUTED_VALUE"""),12.51)</f>
        <v>12.51</v>
      </c>
      <c r="C1968" s="1">
        <f ca="1">IFERROR(__xludf.DUMMYFUNCTION("""COMPUTED_VALUE"""),12.71)</f>
        <v>12.71</v>
      </c>
      <c r="D1968" s="1">
        <f ca="1">IFERROR(__xludf.DUMMYFUNCTION("""COMPUTED_VALUE"""),12.06)</f>
        <v>12.06</v>
      </c>
      <c r="E1968" s="1">
        <f ca="1">IFERROR(__xludf.DUMMYFUNCTION("""COMPUTED_VALUE"""),12.6)</f>
        <v>12.6</v>
      </c>
      <c r="F1968" s="1">
        <f ca="1">IFERROR(__xludf.DUMMYFUNCTION("""COMPUTED_VALUE"""),51745740)</f>
        <v>51745740</v>
      </c>
    </row>
    <row r="1969" spans="1:6" x14ac:dyDescent="0.35">
      <c r="A1969" s="2">
        <f ca="1">IFERROR(__xludf.DUMMYFUNCTION("""COMPUTED_VALUE"""),44859.6666666666)</f>
        <v>44859.666666666599</v>
      </c>
      <c r="B1969" s="1">
        <f ca="1">IFERROR(__xludf.DUMMYFUNCTION("""COMPUTED_VALUE"""),12.69)</f>
        <v>12.69</v>
      </c>
      <c r="C1969" s="1">
        <f ca="1">IFERROR(__xludf.DUMMYFUNCTION("""COMPUTED_VALUE"""),13.3)</f>
        <v>13.3</v>
      </c>
      <c r="D1969" s="1">
        <f ca="1">IFERROR(__xludf.DUMMYFUNCTION("""COMPUTED_VALUE"""),12.66)</f>
        <v>12.66</v>
      </c>
      <c r="E1969" s="1">
        <f ca="1">IFERROR(__xludf.DUMMYFUNCTION("""COMPUTED_VALUE"""),13.26)</f>
        <v>13.26</v>
      </c>
      <c r="F1969" s="1">
        <f ca="1">IFERROR(__xludf.DUMMYFUNCTION("""COMPUTED_VALUE"""),50548233)</f>
        <v>50548233</v>
      </c>
    </row>
    <row r="1970" spans="1:6" x14ac:dyDescent="0.35">
      <c r="A1970" s="2">
        <f ca="1">IFERROR(__xludf.DUMMYFUNCTION("""COMPUTED_VALUE"""),44860.6666666666)</f>
        <v>44860.666666666599</v>
      </c>
      <c r="B1970" s="1">
        <f ca="1">IFERROR(__xludf.DUMMYFUNCTION("""COMPUTED_VALUE"""),12.87)</f>
        <v>12.87</v>
      </c>
      <c r="C1970" s="1">
        <f ca="1">IFERROR(__xludf.DUMMYFUNCTION("""COMPUTED_VALUE"""),13.39)</f>
        <v>13.39</v>
      </c>
      <c r="D1970" s="1">
        <f ca="1">IFERROR(__xludf.DUMMYFUNCTION("""COMPUTED_VALUE"""),12.71)</f>
        <v>12.71</v>
      </c>
      <c r="E1970" s="1">
        <f ca="1">IFERROR(__xludf.DUMMYFUNCTION("""COMPUTED_VALUE"""),12.9)</f>
        <v>12.9</v>
      </c>
      <c r="F1970" s="1">
        <f ca="1">IFERROR(__xludf.DUMMYFUNCTION("""COMPUTED_VALUE"""),53553329)</f>
        <v>53553329</v>
      </c>
    </row>
    <row r="1971" spans="1:6" x14ac:dyDescent="0.35">
      <c r="A1971" s="2">
        <f ca="1">IFERROR(__xludf.DUMMYFUNCTION("""COMPUTED_VALUE"""),44861.6666666666)</f>
        <v>44861.666666666599</v>
      </c>
      <c r="B1971" s="1">
        <f ca="1">IFERROR(__xludf.DUMMYFUNCTION("""COMPUTED_VALUE"""),13.63)</f>
        <v>13.63</v>
      </c>
      <c r="C1971" s="1">
        <f ca="1">IFERROR(__xludf.DUMMYFUNCTION("""COMPUTED_VALUE"""),13.84)</f>
        <v>13.84</v>
      </c>
      <c r="D1971" s="1">
        <f ca="1">IFERROR(__xludf.DUMMYFUNCTION("""COMPUTED_VALUE"""),13.12)</f>
        <v>13.12</v>
      </c>
      <c r="E1971" s="1">
        <f ca="1">IFERROR(__xludf.DUMMYFUNCTION("""COMPUTED_VALUE"""),13.18)</f>
        <v>13.18</v>
      </c>
      <c r="F1971" s="1">
        <f ca="1">IFERROR(__xludf.DUMMYFUNCTION("""COMPUTED_VALUE"""),58311308)</f>
        <v>58311308</v>
      </c>
    </row>
    <row r="1972" spans="1:6" x14ac:dyDescent="0.35">
      <c r="A1972" s="2">
        <f ca="1">IFERROR(__xludf.DUMMYFUNCTION("""COMPUTED_VALUE"""),44862.6666666666)</f>
        <v>44862.666666666599</v>
      </c>
      <c r="B1972" s="1">
        <f ca="1">IFERROR(__xludf.DUMMYFUNCTION("""COMPUTED_VALUE"""),13.1)</f>
        <v>13.1</v>
      </c>
      <c r="C1972" s="1">
        <f ca="1">IFERROR(__xludf.DUMMYFUNCTION("""COMPUTED_VALUE"""),13.85)</f>
        <v>13.85</v>
      </c>
      <c r="D1972" s="1">
        <f ca="1">IFERROR(__xludf.DUMMYFUNCTION("""COMPUTED_VALUE"""),13.06)</f>
        <v>13.06</v>
      </c>
      <c r="E1972" s="1">
        <f ca="1">IFERROR(__xludf.DUMMYFUNCTION("""COMPUTED_VALUE"""),13.83)</f>
        <v>13.83</v>
      </c>
      <c r="F1972" s="1">
        <f ca="1">IFERROR(__xludf.DUMMYFUNCTION("""COMPUTED_VALUE"""),52103993)</f>
        <v>52103993</v>
      </c>
    </row>
    <row r="1973" spans="1:6" x14ac:dyDescent="0.35">
      <c r="A1973" s="2">
        <f ca="1">IFERROR(__xludf.DUMMYFUNCTION("""COMPUTED_VALUE"""),44865.6666666666)</f>
        <v>44865.666666666599</v>
      </c>
      <c r="B1973" s="1">
        <f ca="1">IFERROR(__xludf.DUMMYFUNCTION("""COMPUTED_VALUE"""),13.78)</f>
        <v>13.78</v>
      </c>
      <c r="C1973" s="1">
        <f ca="1">IFERROR(__xludf.DUMMYFUNCTION("""COMPUTED_VALUE"""),13.84)</f>
        <v>13.84</v>
      </c>
      <c r="D1973" s="1">
        <f ca="1">IFERROR(__xludf.DUMMYFUNCTION("""COMPUTED_VALUE"""),13.3)</f>
        <v>13.3</v>
      </c>
      <c r="E1973" s="1">
        <f ca="1">IFERROR(__xludf.DUMMYFUNCTION("""COMPUTED_VALUE"""),13.5)</f>
        <v>13.5</v>
      </c>
      <c r="F1973" s="1">
        <f ca="1">IFERROR(__xludf.DUMMYFUNCTION("""COMPUTED_VALUE"""),48634099)</f>
        <v>48634099</v>
      </c>
    </row>
    <row r="1974" spans="1:6" x14ac:dyDescent="0.35">
      <c r="A1974" s="2">
        <f ca="1">IFERROR(__xludf.DUMMYFUNCTION("""COMPUTED_VALUE"""),44866.6666666666)</f>
        <v>44866.666666666599</v>
      </c>
      <c r="B1974" s="1">
        <f ca="1">IFERROR(__xludf.DUMMYFUNCTION("""COMPUTED_VALUE"""),13.81)</f>
        <v>13.81</v>
      </c>
      <c r="C1974" s="1">
        <f ca="1">IFERROR(__xludf.DUMMYFUNCTION("""COMPUTED_VALUE"""),13.93)</f>
        <v>13.93</v>
      </c>
      <c r="D1974" s="1">
        <f ca="1">IFERROR(__xludf.DUMMYFUNCTION("""COMPUTED_VALUE"""),13.52)</f>
        <v>13.52</v>
      </c>
      <c r="E1974" s="1">
        <f ca="1">IFERROR(__xludf.DUMMYFUNCTION("""COMPUTED_VALUE"""),13.54)</f>
        <v>13.54</v>
      </c>
      <c r="F1974" s="1">
        <f ca="1">IFERROR(__xludf.DUMMYFUNCTION("""COMPUTED_VALUE"""),43281690)</f>
        <v>43281690</v>
      </c>
    </row>
    <row r="1975" spans="1:6" x14ac:dyDescent="0.35">
      <c r="A1975" s="2">
        <f ca="1">IFERROR(__xludf.DUMMYFUNCTION("""COMPUTED_VALUE"""),44867.6666666666)</f>
        <v>44867.666666666599</v>
      </c>
      <c r="B1975" s="1">
        <f ca="1">IFERROR(__xludf.DUMMYFUNCTION("""COMPUTED_VALUE"""),13.85)</f>
        <v>13.85</v>
      </c>
      <c r="C1975" s="1">
        <f ca="1">IFERROR(__xludf.DUMMYFUNCTION("""COMPUTED_VALUE"""),14.21)</f>
        <v>14.21</v>
      </c>
      <c r="D1975" s="1">
        <f ca="1">IFERROR(__xludf.DUMMYFUNCTION("""COMPUTED_VALUE"""),13.21)</f>
        <v>13.21</v>
      </c>
      <c r="E1975" s="1">
        <f ca="1">IFERROR(__xludf.DUMMYFUNCTION("""COMPUTED_VALUE"""),13.22)</f>
        <v>13.22</v>
      </c>
      <c r="F1975" s="1">
        <f ca="1">IFERROR(__xludf.DUMMYFUNCTION("""COMPUTED_VALUE"""),67262784)</f>
        <v>67262784</v>
      </c>
    </row>
    <row r="1976" spans="1:6" x14ac:dyDescent="0.35">
      <c r="A1976" s="2">
        <f ca="1">IFERROR(__xludf.DUMMYFUNCTION("""COMPUTED_VALUE"""),44868.6666666666)</f>
        <v>44868.666666666599</v>
      </c>
      <c r="B1976" s="1">
        <f ca="1">IFERROR(__xludf.DUMMYFUNCTION("""COMPUTED_VALUE"""),13.04)</f>
        <v>13.04</v>
      </c>
      <c r="C1976" s="1">
        <f ca="1">IFERROR(__xludf.DUMMYFUNCTION("""COMPUTED_VALUE"""),13.78)</f>
        <v>13.78</v>
      </c>
      <c r="D1976" s="1">
        <f ca="1">IFERROR(__xludf.DUMMYFUNCTION("""COMPUTED_VALUE"""),12.96)</f>
        <v>12.96</v>
      </c>
      <c r="E1976" s="1">
        <f ca="1">IFERROR(__xludf.DUMMYFUNCTION("""COMPUTED_VALUE"""),13.42)</f>
        <v>13.42</v>
      </c>
      <c r="F1976" s="1">
        <f ca="1">IFERROR(__xludf.DUMMYFUNCTION("""COMPUTED_VALUE"""),50006486)</f>
        <v>50006486</v>
      </c>
    </row>
    <row r="1977" spans="1:6" x14ac:dyDescent="0.35">
      <c r="A1977" s="2">
        <f ca="1">IFERROR(__xludf.DUMMYFUNCTION("""COMPUTED_VALUE"""),44869.6666666666)</f>
        <v>44869.666666666599</v>
      </c>
      <c r="B1977" s="1">
        <f ca="1">IFERROR(__xludf.DUMMYFUNCTION("""COMPUTED_VALUE"""),13.99)</f>
        <v>13.99</v>
      </c>
      <c r="C1977" s="1">
        <f ca="1">IFERROR(__xludf.DUMMYFUNCTION("""COMPUTED_VALUE"""),14.23)</f>
        <v>14.23</v>
      </c>
      <c r="D1977" s="1">
        <f ca="1">IFERROR(__xludf.DUMMYFUNCTION("""COMPUTED_VALUE"""),13.7)</f>
        <v>13.7</v>
      </c>
      <c r="E1977" s="1">
        <f ca="1">IFERROR(__xludf.DUMMYFUNCTION("""COMPUTED_VALUE"""),14.16)</f>
        <v>14.16</v>
      </c>
      <c r="F1977" s="1">
        <f ca="1">IFERROR(__xludf.DUMMYFUNCTION("""COMPUTED_VALUE"""),61257591)</f>
        <v>61257591</v>
      </c>
    </row>
    <row r="1978" spans="1:6" x14ac:dyDescent="0.35">
      <c r="A1978" s="2">
        <f ca="1">IFERROR(__xludf.DUMMYFUNCTION("""COMPUTED_VALUE"""),44872.6666666666)</f>
        <v>44872.666666666599</v>
      </c>
      <c r="B1978" s="1">
        <f ca="1">IFERROR(__xludf.DUMMYFUNCTION("""COMPUTED_VALUE"""),14.23)</f>
        <v>14.23</v>
      </c>
      <c r="C1978" s="1">
        <f ca="1">IFERROR(__xludf.DUMMYFUNCTION("""COMPUTED_VALUE"""),14.41)</f>
        <v>14.41</v>
      </c>
      <c r="D1978" s="1">
        <f ca="1">IFERROR(__xludf.DUMMYFUNCTION("""COMPUTED_VALUE"""),13.95)</f>
        <v>13.95</v>
      </c>
      <c r="E1978" s="1">
        <f ca="1">IFERROR(__xludf.DUMMYFUNCTION("""COMPUTED_VALUE"""),14.3)</f>
        <v>14.3</v>
      </c>
      <c r="F1978" s="1">
        <f ca="1">IFERROR(__xludf.DUMMYFUNCTION("""COMPUTED_VALUE"""),41006095)</f>
        <v>41006095</v>
      </c>
    </row>
    <row r="1979" spans="1:6" x14ac:dyDescent="0.35">
      <c r="A1979" s="2">
        <f ca="1">IFERROR(__xludf.DUMMYFUNCTION("""COMPUTED_VALUE"""),44873.6666666666)</f>
        <v>44873.666666666599</v>
      </c>
      <c r="B1979" s="1">
        <f ca="1">IFERROR(__xludf.DUMMYFUNCTION("""COMPUTED_VALUE"""),14.8)</f>
        <v>14.8</v>
      </c>
      <c r="C1979" s="1">
        <f ca="1">IFERROR(__xludf.DUMMYFUNCTION("""COMPUTED_VALUE"""),14.89)</f>
        <v>14.89</v>
      </c>
      <c r="D1979" s="1">
        <f ca="1">IFERROR(__xludf.DUMMYFUNCTION("""COMPUTED_VALUE"""),14.22)</f>
        <v>14.22</v>
      </c>
      <c r="E1979" s="1">
        <f ca="1">IFERROR(__xludf.DUMMYFUNCTION("""COMPUTED_VALUE"""),14.6)</f>
        <v>14.6</v>
      </c>
      <c r="F1979" s="1">
        <f ca="1">IFERROR(__xludf.DUMMYFUNCTION("""COMPUTED_VALUE"""),59529199)</f>
        <v>59529199</v>
      </c>
    </row>
    <row r="1980" spans="1:6" x14ac:dyDescent="0.35">
      <c r="A1980" s="2">
        <f ca="1">IFERROR(__xludf.DUMMYFUNCTION("""COMPUTED_VALUE"""),44874.6666666666)</f>
        <v>44874.666666666599</v>
      </c>
      <c r="B1980" s="1">
        <f ca="1">IFERROR(__xludf.DUMMYFUNCTION("""COMPUTED_VALUE"""),14.16)</f>
        <v>14.16</v>
      </c>
      <c r="C1980" s="1">
        <f ca="1">IFERROR(__xludf.DUMMYFUNCTION("""COMPUTED_VALUE"""),14.21)</f>
        <v>14.21</v>
      </c>
      <c r="D1980" s="1">
        <f ca="1">IFERROR(__xludf.DUMMYFUNCTION("""COMPUTED_VALUE"""),13.76)</f>
        <v>13.76</v>
      </c>
      <c r="E1980" s="1">
        <f ca="1">IFERROR(__xludf.DUMMYFUNCTION("""COMPUTED_VALUE"""),13.78)</f>
        <v>13.78</v>
      </c>
      <c r="F1980" s="1">
        <f ca="1">IFERROR(__xludf.DUMMYFUNCTION("""COMPUTED_VALUE"""),45441366)</f>
        <v>45441366</v>
      </c>
    </row>
    <row r="1981" spans="1:6" x14ac:dyDescent="0.35">
      <c r="A1981" s="2">
        <f ca="1">IFERROR(__xludf.DUMMYFUNCTION("""COMPUTED_VALUE"""),44875.6666666666)</f>
        <v>44875.666666666599</v>
      </c>
      <c r="B1981" s="1">
        <f ca="1">IFERROR(__xludf.DUMMYFUNCTION("""COMPUTED_VALUE"""),14.8)</f>
        <v>14.8</v>
      </c>
      <c r="C1981" s="1">
        <f ca="1">IFERROR(__xludf.DUMMYFUNCTION("""COMPUTED_VALUE"""),15.77)</f>
        <v>15.77</v>
      </c>
      <c r="D1981" s="1">
        <f ca="1">IFERROR(__xludf.DUMMYFUNCTION("""COMPUTED_VALUE"""),14.55)</f>
        <v>14.55</v>
      </c>
      <c r="E1981" s="1">
        <f ca="1">IFERROR(__xludf.DUMMYFUNCTION("""COMPUTED_VALUE"""),15.75)</f>
        <v>15.75</v>
      </c>
      <c r="F1981" s="1">
        <f ca="1">IFERROR(__xludf.DUMMYFUNCTION("""COMPUTED_VALUE"""),70081925)</f>
        <v>70081925</v>
      </c>
    </row>
    <row r="1982" spans="1:6" x14ac:dyDescent="0.35">
      <c r="A1982" s="2">
        <f ca="1">IFERROR(__xludf.DUMMYFUNCTION("""COMPUTED_VALUE"""),44876.6666666666)</f>
        <v>44876.666666666599</v>
      </c>
      <c r="B1982" s="1">
        <f ca="1">IFERROR(__xludf.DUMMYFUNCTION("""COMPUTED_VALUE"""),15.81)</f>
        <v>15.81</v>
      </c>
      <c r="C1982" s="1">
        <f ca="1">IFERROR(__xludf.DUMMYFUNCTION("""COMPUTED_VALUE"""),16.39)</f>
        <v>16.39</v>
      </c>
      <c r="D1982" s="1">
        <f ca="1">IFERROR(__xludf.DUMMYFUNCTION("""COMPUTED_VALUE"""),15.48)</f>
        <v>15.48</v>
      </c>
      <c r="E1982" s="1">
        <f ca="1">IFERROR(__xludf.DUMMYFUNCTION("""COMPUTED_VALUE"""),16.33)</f>
        <v>16.329999999999998</v>
      </c>
      <c r="F1982" s="1">
        <f ca="1">IFERROR(__xludf.DUMMYFUNCTION("""COMPUTED_VALUE"""),65548747)</f>
        <v>65548747</v>
      </c>
    </row>
    <row r="1983" spans="1:6" x14ac:dyDescent="0.35">
      <c r="A1983" s="2">
        <f ca="1">IFERROR(__xludf.DUMMYFUNCTION("""COMPUTED_VALUE"""),44879.6666666666)</f>
        <v>44879.666666666599</v>
      </c>
      <c r="B1983" s="1">
        <f ca="1">IFERROR(__xludf.DUMMYFUNCTION("""COMPUTED_VALUE"""),16.22)</f>
        <v>16.22</v>
      </c>
      <c r="C1983" s="1">
        <f ca="1">IFERROR(__xludf.DUMMYFUNCTION("""COMPUTED_VALUE"""),16.54)</f>
        <v>16.54</v>
      </c>
      <c r="D1983" s="1">
        <f ca="1">IFERROR(__xludf.DUMMYFUNCTION("""COMPUTED_VALUE"""),15.92)</f>
        <v>15.92</v>
      </c>
      <c r="E1983" s="1">
        <f ca="1">IFERROR(__xludf.DUMMYFUNCTION("""COMPUTED_VALUE"""),16.3)</f>
        <v>16.3</v>
      </c>
      <c r="F1983" s="1">
        <f ca="1">IFERROR(__xludf.DUMMYFUNCTION("""COMPUTED_VALUE"""),52785245)</f>
        <v>52785245</v>
      </c>
    </row>
    <row r="1984" spans="1:6" x14ac:dyDescent="0.35">
      <c r="A1984" s="2">
        <f ca="1">IFERROR(__xludf.DUMMYFUNCTION("""COMPUTED_VALUE"""),44880.6666666666)</f>
        <v>44880.666666666599</v>
      </c>
      <c r="B1984" s="1">
        <f ca="1">IFERROR(__xludf.DUMMYFUNCTION("""COMPUTED_VALUE"""),16.72)</f>
        <v>16.72</v>
      </c>
      <c r="C1984" s="1">
        <f ca="1">IFERROR(__xludf.DUMMYFUNCTION("""COMPUTED_VALUE"""),17)</f>
        <v>17</v>
      </c>
      <c r="D1984" s="1">
        <f ca="1">IFERROR(__xludf.DUMMYFUNCTION("""COMPUTED_VALUE"""),16.38)</f>
        <v>16.38</v>
      </c>
      <c r="E1984" s="1">
        <f ca="1">IFERROR(__xludf.DUMMYFUNCTION("""COMPUTED_VALUE"""),16.67)</f>
        <v>16.670000000000002</v>
      </c>
      <c r="F1984" s="1">
        <f ca="1">IFERROR(__xludf.DUMMYFUNCTION("""COMPUTED_VALUE"""),54587550)</f>
        <v>54587550</v>
      </c>
    </row>
    <row r="1985" spans="1:6" x14ac:dyDescent="0.35">
      <c r="A1985" s="2">
        <f ca="1">IFERROR(__xludf.DUMMYFUNCTION("""COMPUTED_VALUE"""),44881.6666666666)</f>
        <v>44881.666666666599</v>
      </c>
      <c r="B1985" s="1">
        <f ca="1">IFERROR(__xludf.DUMMYFUNCTION("""COMPUTED_VALUE"""),16.16)</f>
        <v>16.16</v>
      </c>
      <c r="C1985" s="1">
        <f ca="1">IFERROR(__xludf.DUMMYFUNCTION("""COMPUTED_VALUE"""),16.36)</f>
        <v>16.36</v>
      </c>
      <c r="D1985" s="1">
        <f ca="1">IFERROR(__xludf.DUMMYFUNCTION("""COMPUTED_VALUE"""),15.87)</f>
        <v>15.87</v>
      </c>
      <c r="E1985" s="1">
        <f ca="1">IFERROR(__xludf.DUMMYFUNCTION("""COMPUTED_VALUE"""),15.91)</f>
        <v>15.91</v>
      </c>
      <c r="F1985" s="1">
        <f ca="1">IFERROR(__xludf.DUMMYFUNCTION("""COMPUTED_VALUE"""),64954684)</f>
        <v>64954684</v>
      </c>
    </row>
    <row r="1986" spans="1:6" x14ac:dyDescent="0.35">
      <c r="A1986" s="2">
        <f ca="1">IFERROR(__xludf.DUMMYFUNCTION("""COMPUTED_VALUE"""),44882.6666666666)</f>
        <v>44882.666666666599</v>
      </c>
      <c r="B1986" s="1">
        <f ca="1">IFERROR(__xludf.DUMMYFUNCTION("""COMPUTED_VALUE"""),15.72)</f>
        <v>15.72</v>
      </c>
      <c r="C1986" s="1">
        <f ca="1">IFERROR(__xludf.DUMMYFUNCTION("""COMPUTED_VALUE"""),16.27)</f>
        <v>16.27</v>
      </c>
      <c r="D1986" s="1">
        <f ca="1">IFERROR(__xludf.DUMMYFUNCTION("""COMPUTED_VALUE"""),15.54)</f>
        <v>15.54</v>
      </c>
      <c r="E1986" s="1">
        <f ca="1">IFERROR(__xludf.DUMMYFUNCTION("""COMPUTED_VALUE"""),15.68)</f>
        <v>15.68</v>
      </c>
      <c r="F1986" s="1">
        <f ca="1">IFERROR(__xludf.DUMMYFUNCTION("""COMPUTED_VALUE"""),71089356)</f>
        <v>71089356</v>
      </c>
    </row>
    <row r="1987" spans="1:6" x14ac:dyDescent="0.35">
      <c r="A1987" s="2">
        <f ca="1">IFERROR(__xludf.DUMMYFUNCTION("""COMPUTED_VALUE"""),44883.6666666666)</f>
        <v>44883.666666666599</v>
      </c>
      <c r="B1987" s="1">
        <f ca="1">IFERROR(__xludf.DUMMYFUNCTION("""COMPUTED_VALUE"""),15.97)</f>
        <v>15.97</v>
      </c>
      <c r="C1987" s="1">
        <f ca="1">IFERROR(__xludf.DUMMYFUNCTION("""COMPUTED_VALUE"""),16)</f>
        <v>16</v>
      </c>
      <c r="D1987" s="1">
        <f ca="1">IFERROR(__xludf.DUMMYFUNCTION("""COMPUTED_VALUE"""),15.12)</f>
        <v>15.12</v>
      </c>
      <c r="E1987" s="1">
        <f ca="1">IFERROR(__xludf.DUMMYFUNCTION("""COMPUTED_VALUE"""),15.41)</f>
        <v>15.41</v>
      </c>
      <c r="F1987" s="1">
        <f ca="1">IFERROR(__xludf.DUMMYFUNCTION("""COMPUTED_VALUE"""),49207165)</f>
        <v>49207165</v>
      </c>
    </row>
    <row r="1988" spans="1:6" x14ac:dyDescent="0.35">
      <c r="A1988" s="2">
        <f ca="1">IFERROR(__xludf.DUMMYFUNCTION("""COMPUTED_VALUE"""),44886.6666666666)</f>
        <v>44886.666666666599</v>
      </c>
      <c r="B1988" s="1">
        <f ca="1">IFERROR(__xludf.DUMMYFUNCTION("""COMPUTED_VALUE"""),15.15)</f>
        <v>15.15</v>
      </c>
      <c r="C1988" s="1">
        <f ca="1">IFERROR(__xludf.DUMMYFUNCTION("""COMPUTED_VALUE"""),15.48)</f>
        <v>15.48</v>
      </c>
      <c r="D1988" s="1">
        <f ca="1">IFERROR(__xludf.DUMMYFUNCTION("""COMPUTED_VALUE"""),15.08)</f>
        <v>15.08</v>
      </c>
      <c r="E1988" s="1">
        <f ca="1">IFERROR(__xludf.DUMMYFUNCTION("""COMPUTED_VALUE"""),15.32)</f>
        <v>15.32</v>
      </c>
      <c r="F1988" s="1">
        <f ca="1">IFERROR(__xludf.DUMMYFUNCTION("""COMPUTED_VALUE"""),40473931)</f>
        <v>40473931</v>
      </c>
    </row>
    <row r="1989" spans="1:6" x14ac:dyDescent="0.35">
      <c r="A1989" s="2">
        <f ca="1">IFERROR(__xludf.DUMMYFUNCTION("""COMPUTED_VALUE"""),44887.6666666666)</f>
        <v>44887.666666666599</v>
      </c>
      <c r="B1989" s="1">
        <f ca="1">IFERROR(__xludf.DUMMYFUNCTION("""COMPUTED_VALUE"""),15.33)</f>
        <v>15.33</v>
      </c>
      <c r="C1989" s="1">
        <f ca="1">IFERROR(__xludf.DUMMYFUNCTION("""COMPUTED_VALUE"""),16.06)</f>
        <v>16.059999999999999</v>
      </c>
      <c r="D1989" s="1">
        <f ca="1">IFERROR(__xludf.DUMMYFUNCTION("""COMPUTED_VALUE"""),15.12)</f>
        <v>15.12</v>
      </c>
      <c r="E1989" s="1">
        <f ca="1">IFERROR(__xludf.DUMMYFUNCTION("""COMPUTED_VALUE"""),16.04)</f>
        <v>16.04</v>
      </c>
      <c r="F1989" s="1">
        <f ca="1">IFERROR(__xludf.DUMMYFUNCTION("""COMPUTED_VALUE"""),47286607)</f>
        <v>47286607</v>
      </c>
    </row>
    <row r="1990" spans="1:6" x14ac:dyDescent="0.35">
      <c r="A1990" s="2">
        <f ca="1">IFERROR(__xludf.DUMMYFUNCTION("""COMPUTED_VALUE"""),44888.6666666666)</f>
        <v>44888.666666666599</v>
      </c>
      <c r="B1990" s="1">
        <f ca="1">IFERROR(__xludf.DUMMYFUNCTION("""COMPUTED_VALUE"""),16.1)</f>
        <v>16.100000000000001</v>
      </c>
      <c r="C1990" s="1">
        <f ca="1">IFERROR(__xludf.DUMMYFUNCTION("""COMPUTED_VALUE"""),16.53)</f>
        <v>16.53</v>
      </c>
      <c r="D1990" s="1">
        <f ca="1">IFERROR(__xludf.DUMMYFUNCTION("""COMPUTED_VALUE"""),16.05)</f>
        <v>16.05</v>
      </c>
      <c r="E1990" s="1">
        <f ca="1">IFERROR(__xludf.DUMMYFUNCTION("""COMPUTED_VALUE"""),16.52)</f>
        <v>16.52</v>
      </c>
      <c r="F1990" s="1">
        <f ca="1">IFERROR(__xludf.DUMMYFUNCTION("""COMPUTED_VALUE"""),42724093)</f>
        <v>42724093</v>
      </c>
    </row>
    <row r="1991" spans="1:6" x14ac:dyDescent="0.35">
      <c r="A1991" s="2">
        <f ca="1">IFERROR(__xludf.DUMMYFUNCTION("""COMPUTED_VALUE"""),44890.5451388888)</f>
        <v>44890.545138888803</v>
      </c>
      <c r="B1991" s="1">
        <f ca="1">IFERROR(__xludf.DUMMYFUNCTION("""COMPUTED_VALUE"""),16.32)</f>
        <v>16.32</v>
      </c>
      <c r="C1991" s="1">
        <f ca="1">IFERROR(__xludf.DUMMYFUNCTION("""COMPUTED_VALUE"""),16.49)</f>
        <v>16.489999999999998</v>
      </c>
      <c r="D1991" s="1">
        <f ca="1">IFERROR(__xludf.DUMMYFUNCTION("""COMPUTED_VALUE"""),16.17)</f>
        <v>16.170000000000002</v>
      </c>
      <c r="E1991" s="1">
        <f ca="1">IFERROR(__xludf.DUMMYFUNCTION("""COMPUTED_VALUE"""),16.27)</f>
        <v>16.27</v>
      </c>
      <c r="F1991" s="1">
        <f ca="1">IFERROR(__xludf.DUMMYFUNCTION("""COMPUTED_VALUE"""),16793430)</f>
        <v>16793430</v>
      </c>
    </row>
    <row r="1992" spans="1:6" x14ac:dyDescent="0.35">
      <c r="A1992" s="2">
        <f ca="1">IFERROR(__xludf.DUMMYFUNCTION("""COMPUTED_VALUE"""),44893.6666666666)</f>
        <v>44893.666666666599</v>
      </c>
      <c r="B1992" s="1">
        <f ca="1">IFERROR(__xludf.DUMMYFUNCTION("""COMPUTED_VALUE"""),16.03)</f>
        <v>16.03</v>
      </c>
      <c r="C1992" s="1">
        <f ca="1">IFERROR(__xludf.DUMMYFUNCTION("""COMPUTED_VALUE"""),16.36)</f>
        <v>16.36</v>
      </c>
      <c r="D1992" s="1">
        <f ca="1">IFERROR(__xludf.DUMMYFUNCTION("""COMPUTED_VALUE"""),15.73)</f>
        <v>15.73</v>
      </c>
      <c r="E1992" s="1">
        <f ca="1">IFERROR(__xludf.DUMMYFUNCTION("""COMPUTED_VALUE"""),15.83)</f>
        <v>15.83</v>
      </c>
      <c r="F1992" s="1">
        <f ca="1">IFERROR(__xludf.DUMMYFUNCTION("""COMPUTED_VALUE"""),30415201)</f>
        <v>30415201</v>
      </c>
    </row>
    <row r="1993" spans="1:6" x14ac:dyDescent="0.35">
      <c r="A1993" s="2">
        <f ca="1">IFERROR(__xludf.DUMMYFUNCTION("""COMPUTED_VALUE"""),44894.6666666666)</f>
        <v>44894.666666666599</v>
      </c>
      <c r="B1993" s="1">
        <f ca="1">IFERROR(__xludf.DUMMYFUNCTION("""COMPUTED_VALUE"""),15.83)</f>
        <v>15.83</v>
      </c>
      <c r="C1993" s="1">
        <f ca="1">IFERROR(__xludf.DUMMYFUNCTION("""COMPUTED_VALUE"""),15.93)</f>
        <v>15.93</v>
      </c>
      <c r="D1993" s="1">
        <f ca="1">IFERROR(__xludf.DUMMYFUNCTION("""COMPUTED_VALUE"""),15.52)</f>
        <v>15.52</v>
      </c>
      <c r="E1993" s="1">
        <f ca="1">IFERROR(__xludf.DUMMYFUNCTION("""COMPUTED_VALUE"""),15.64)</f>
        <v>15.64</v>
      </c>
      <c r="F1993" s="1">
        <f ca="1">IFERROR(__xludf.DUMMYFUNCTION("""COMPUTED_VALUE"""),29838449)</f>
        <v>29838449</v>
      </c>
    </row>
    <row r="1994" spans="1:6" x14ac:dyDescent="0.35">
      <c r="A1994" s="2">
        <f ca="1">IFERROR(__xludf.DUMMYFUNCTION("""COMPUTED_VALUE"""),44895.6666666666)</f>
        <v>44895.666666666599</v>
      </c>
      <c r="B1994" s="1">
        <f ca="1">IFERROR(__xludf.DUMMYFUNCTION("""COMPUTED_VALUE"""),15.7)</f>
        <v>15.7</v>
      </c>
      <c r="C1994" s="1">
        <f ca="1">IFERROR(__xludf.DUMMYFUNCTION("""COMPUTED_VALUE"""),16.93)</f>
        <v>16.93</v>
      </c>
      <c r="D1994" s="1">
        <f ca="1">IFERROR(__xludf.DUMMYFUNCTION("""COMPUTED_VALUE"""),15.6)</f>
        <v>15.6</v>
      </c>
      <c r="E1994" s="1">
        <f ca="1">IFERROR(__xludf.DUMMYFUNCTION("""COMPUTED_VALUE"""),16.92)</f>
        <v>16.920000000000002</v>
      </c>
      <c r="F1994" s="1">
        <f ca="1">IFERROR(__xludf.DUMMYFUNCTION("""COMPUTED_VALUE"""),56529822)</f>
        <v>56529822</v>
      </c>
    </row>
    <row r="1995" spans="1:6" x14ac:dyDescent="0.35">
      <c r="A1995" s="2">
        <f ca="1">IFERROR(__xludf.DUMMYFUNCTION("""COMPUTED_VALUE"""),44896.6666666666)</f>
        <v>44896.666666666599</v>
      </c>
      <c r="B1995" s="1">
        <f ca="1">IFERROR(__xludf.DUMMYFUNCTION("""COMPUTED_VALUE"""),17)</f>
        <v>17</v>
      </c>
      <c r="C1995" s="1">
        <f ca="1">IFERROR(__xludf.DUMMYFUNCTION("""COMPUTED_VALUE"""),17.27)</f>
        <v>17.27</v>
      </c>
      <c r="D1995" s="1">
        <f ca="1">IFERROR(__xludf.DUMMYFUNCTION("""COMPUTED_VALUE"""),16.64)</f>
        <v>16.64</v>
      </c>
      <c r="E1995" s="1">
        <f ca="1">IFERROR(__xludf.DUMMYFUNCTION("""COMPUTED_VALUE"""),17.14)</f>
        <v>17.14</v>
      </c>
      <c r="F1995" s="1">
        <f ca="1">IFERROR(__xludf.DUMMYFUNCTION("""COMPUTED_VALUE"""),47097657)</f>
        <v>47097657</v>
      </c>
    </row>
    <row r="1996" spans="1:6" x14ac:dyDescent="0.35">
      <c r="A1996" s="2">
        <f ca="1">IFERROR(__xludf.DUMMYFUNCTION("""COMPUTED_VALUE"""),44897.6666666666)</f>
        <v>44897.666666666599</v>
      </c>
      <c r="B1996" s="1">
        <f ca="1">IFERROR(__xludf.DUMMYFUNCTION("""COMPUTED_VALUE"""),16.66)</f>
        <v>16.66</v>
      </c>
      <c r="C1996" s="1">
        <f ca="1">IFERROR(__xludf.DUMMYFUNCTION("""COMPUTED_VALUE"""),16.93)</f>
        <v>16.93</v>
      </c>
      <c r="D1996" s="1">
        <f ca="1">IFERROR(__xludf.DUMMYFUNCTION("""COMPUTED_VALUE"""),16.45)</f>
        <v>16.45</v>
      </c>
      <c r="E1996" s="1">
        <f ca="1">IFERROR(__xludf.DUMMYFUNCTION("""COMPUTED_VALUE"""),16.88)</f>
        <v>16.88</v>
      </c>
      <c r="F1996" s="1">
        <f ca="1">IFERROR(__xludf.DUMMYFUNCTION("""COMPUTED_VALUE"""),37138858)</f>
        <v>37138858</v>
      </c>
    </row>
    <row r="1997" spans="1:6" x14ac:dyDescent="0.35">
      <c r="A1997" s="2">
        <f ca="1">IFERROR(__xludf.DUMMYFUNCTION("""COMPUTED_VALUE"""),44900.6666666666)</f>
        <v>44900.666666666599</v>
      </c>
      <c r="B1997" s="1">
        <f ca="1">IFERROR(__xludf.DUMMYFUNCTION("""COMPUTED_VALUE"""),16.68)</f>
        <v>16.68</v>
      </c>
      <c r="C1997" s="1">
        <f ca="1">IFERROR(__xludf.DUMMYFUNCTION("""COMPUTED_VALUE"""),17)</f>
        <v>17</v>
      </c>
      <c r="D1997" s="1">
        <f ca="1">IFERROR(__xludf.DUMMYFUNCTION("""COMPUTED_VALUE"""),16.47)</f>
        <v>16.47</v>
      </c>
      <c r="E1997" s="1">
        <f ca="1">IFERROR(__xludf.DUMMYFUNCTION("""COMPUTED_VALUE"""),16.61)</f>
        <v>16.61</v>
      </c>
      <c r="F1997" s="1">
        <f ca="1">IFERROR(__xludf.DUMMYFUNCTION("""COMPUTED_VALUE"""),35225517)</f>
        <v>35225517</v>
      </c>
    </row>
    <row r="1998" spans="1:6" x14ac:dyDescent="0.35">
      <c r="A1998" s="2">
        <f ca="1">IFERROR(__xludf.DUMMYFUNCTION("""COMPUTED_VALUE"""),44901.6666666666)</f>
        <v>44901.666666666599</v>
      </c>
      <c r="B1998" s="1">
        <f ca="1">IFERROR(__xludf.DUMMYFUNCTION("""COMPUTED_VALUE"""),16.53)</f>
        <v>16.53</v>
      </c>
      <c r="C1998" s="1">
        <f ca="1">IFERROR(__xludf.DUMMYFUNCTION("""COMPUTED_VALUE"""),16.57)</f>
        <v>16.57</v>
      </c>
      <c r="D1998" s="1">
        <f ca="1">IFERROR(__xludf.DUMMYFUNCTION("""COMPUTED_VALUE"""),15.82)</f>
        <v>15.82</v>
      </c>
      <c r="E1998" s="1">
        <f ca="1">IFERROR(__xludf.DUMMYFUNCTION("""COMPUTED_VALUE"""),15.99)</f>
        <v>15.99</v>
      </c>
      <c r="F1998" s="1">
        <f ca="1">IFERROR(__xludf.DUMMYFUNCTION("""COMPUTED_VALUE"""),35269427)</f>
        <v>35269427</v>
      </c>
    </row>
    <row r="1999" spans="1:6" x14ac:dyDescent="0.35">
      <c r="A1999" s="2">
        <f ca="1">IFERROR(__xludf.DUMMYFUNCTION("""COMPUTED_VALUE"""),44902.6666666666)</f>
        <v>44902.666666666599</v>
      </c>
      <c r="B1999" s="1">
        <f ca="1">IFERROR(__xludf.DUMMYFUNCTION("""COMPUTED_VALUE"""),15.77)</f>
        <v>15.77</v>
      </c>
      <c r="C1999" s="1">
        <f ca="1">IFERROR(__xludf.DUMMYFUNCTION("""COMPUTED_VALUE"""),16.19)</f>
        <v>16.190000000000001</v>
      </c>
      <c r="D1999" s="1">
        <f ca="1">IFERROR(__xludf.DUMMYFUNCTION("""COMPUTED_VALUE"""),15.67)</f>
        <v>15.67</v>
      </c>
      <c r="E1999" s="1">
        <f ca="1">IFERROR(__xludf.DUMMYFUNCTION("""COMPUTED_VALUE"""),16.12)</f>
        <v>16.12</v>
      </c>
      <c r="F1999" s="1">
        <f ca="1">IFERROR(__xludf.DUMMYFUNCTION("""COMPUTED_VALUE"""),37238758)</f>
        <v>37238758</v>
      </c>
    </row>
    <row r="2000" spans="1:6" x14ac:dyDescent="0.35">
      <c r="A2000" s="2">
        <f ca="1">IFERROR(__xludf.DUMMYFUNCTION("""COMPUTED_VALUE"""),44903.6666666666)</f>
        <v>44903.666666666599</v>
      </c>
      <c r="B2000" s="1">
        <f ca="1">IFERROR(__xludf.DUMMYFUNCTION("""COMPUTED_VALUE"""),16.27)</f>
        <v>16.27</v>
      </c>
      <c r="C2000" s="1">
        <f ca="1">IFERROR(__xludf.DUMMYFUNCTION("""COMPUTED_VALUE"""),17.18)</f>
        <v>17.18</v>
      </c>
      <c r="D2000" s="1">
        <f ca="1">IFERROR(__xludf.DUMMYFUNCTION("""COMPUTED_VALUE"""),15.96)</f>
        <v>15.96</v>
      </c>
      <c r="E2000" s="1">
        <f ca="1">IFERROR(__xludf.DUMMYFUNCTION("""COMPUTED_VALUE"""),17.17)</f>
        <v>17.170000000000002</v>
      </c>
      <c r="F2000" s="1">
        <f ca="1">IFERROR(__xludf.DUMMYFUNCTION("""COMPUTED_VALUE"""),51545554)</f>
        <v>51545554</v>
      </c>
    </row>
    <row r="2001" spans="1:6" x14ac:dyDescent="0.35">
      <c r="A2001" s="2">
        <f ca="1">IFERROR(__xludf.DUMMYFUNCTION("""COMPUTED_VALUE"""),44904.6666666666)</f>
        <v>44904.666666666599</v>
      </c>
      <c r="B2001" s="1">
        <f ca="1">IFERROR(__xludf.DUMMYFUNCTION("""COMPUTED_VALUE"""),17.16)</f>
        <v>17.16</v>
      </c>
      <c r="C2001" s="1">
        <f ca="1">IFERROR(__xludf.DUMMYFUNCTION("""COMPUTED_VALUE"""),17.58)</f>
        <v>17.579999999999998</v>
      </c>
      <c r="D2001" s="1">
        <f ca="1">IFERROR(__xludf.DUMMYFUNCTION("""COMPUTED_VALUE"""),16.98)</f>
        <v>16.98</v>
      </c>
      <c r="E2001" s="1">
        <f ca="1">IFERROR(__xludf.DUMMYFUNCTION("""COMPUTED_VALUE"""),17)</f>
        <v>17</v>
      </c>
      <c r="F2001" s="1">
        <f ca="1">IFERROR(__xludf.DUMMYFUNCTION("""COMPUTED_VALUE"""),46533819)</f>
        <v>46533819</v>
      </c>
    </row>
    <row r="2002" spans="1:6" x14ac:dyDescent="0.35">
      <c r="A2002" s="2">
        <f ca="1">IFERROR(__xludf.DUMMYFUNCTION("""COMPUTED_VALUE"""),44907.6666666666)</f>
        <v>44907.666666666599</v>
      </c>
      <c r="B2002" s="1">
        <f ca="1">IFERROR(__xludf.DUMMYFUNCTION("""COMPUTED_VALUE"""),17.04)</f>
        <v>17.04</v>
      </c>
      <c r="C2002" s="1">
        <f ca="1">IFERROR(__xludf.DUMMYFUNCTION("""COMPUTED_VALUE"""),17.54)</f>
        <v>17.54</v>
      </c>
      <c r="D2002" s="1">
        <f ca="1">IFERROR(__xludf.DUMMYFUNCTION("""COMPUTED_VALUE"""),16.8)</f>
        <v>16.8</v>
      </c>
      <c r="E2002" s="1">
        <f ca="1">IFERROR(__xludf.DUMMYFUNCTION("""COMPUTED_VALUE"""),17.54)</f>
        <v>17.54</v>
      </c>
      <c r="F2002" s="1">
        <f ca="1">IFERROR(__xludf.DUMMYFUNCTION("""COMPUTED_VALUE"""),45732780)</f>
        <v>45732780</v>
      </c>
    </row>
    <row r="2003" spans="1:6" x14ac:dyDescent="0.35">
      <c r="A2003" s="2">
        <f ca="1">IFERROR(__xludf.DUMMYFUNCTION("""COMPUTED_VALUE"""),44908.6666666666)</f>
        <v>44908.666666666599</v>
      </c>
      <c r="B2003" s="1">
        <f ca="1">IFERROR(__xludf.DUMMYFUNCTION("""COMPUTED_VALUE"""),18.53)</f>
        <v>18.53</v>
      </c>
      <c r="C2003" s="1">
        <f ca="1">IFERROR(__xludf.DUMMYFUNCTION("""COMPUTED_VALUE"""),18.79)</f>
        <v>18.79</v>
      </c>
      <c r="D2003" s="1">
        <f ca="1">IFERROR(__xludf.DUMMYFUNCTION("""COMPUTED_VALUE"""),17.71)</f>
        <v>17.71</v>
      </c>
      <c r="E2003" s="1">
        <f ca="1">IFERROR(__xludf.DUMMYFUNCTION("""COMPUTED_VALUE"""),18.07)</f>
        <v>18.07</v>
      </c>
      <c r="F2003" s="1">
        <f ca="1">IFERROR(__xludf.DUMMYFUNCTION("""COMPUTED_VALUE"""),65658876)</f>
        <v>65658876</v>
      </c>
    </row>
    <row r="2004" spans="1:6" x14ac:dyDescent="0.35">
      <c r="A2004" s="2">
        <f ca="1">IFERROR(__xludf.DUMMYFUNCTION("""COMPUTED_VALUE"""),44909.6666666666)</f>
        <v>44909.666666666599</v>
      </c>
      <c r="B2004" s="1">
        <f ca="1">IFERROR(__xludf.DUMMYFUNCTION("""COMPUTED_VALUE"""),17.99)</f>
        <v>17.989999999999998</v>
      </c>
      <c r="C2004" s="1">
        <f ca="1">IFERROR(__xludf.DUMMYFUNCTION("""COMPUTED_VALUE"""),18.25)</f>
        <v>18.25</v>
      </c>
      <c r="D2004" s="1">
        <f ca="1">IFERROR(__xludf.DUMMYFUNCTION("""COMPUTED_VALUE"""),17.42)</f>
        <v>17.420000000000002</v>
      </c>
      <c r="E2004" s="1">
        <f ca="1">IFERROR(__xludf.DUMMYFUNCTION("""COMPUTED_VALUE"""),17.67)</f>
        <v>17.670000000000002</v>
      </c>
      <c r="F2004" s="1">
        <f ca="1">IFERROR(__xludf.DUMMYFUNCTION("""COMPUTED_VALUE"""),49688810)</f>
        <v>49688810</v>
      </c>
    </row>
    <row r="2005" spans="1:6" x14ac:dyDescent="0.35">
      <c r="A2005" s="2">
        <f ca="1">IFERROR(__xludf.DUMMYFUNCTION("""COMPUTED_VALUE"""),44910.6666666666)</f>
        <v>44910.666666666599</v>
      </c>
      <c r="B2005" s="1">
        <f ca="1">IFERROR(__xludf.DUMMYFUNCTION("""COMPUTED_VALUE"""),17.15)</f>
        <v>17.149999999999999</v>
      </c>
      <c r="C2005" s="1">
        <f ca="1">IFERROR(__xludf.DUMMYFUNCTION("""COMPUTED_VALUE"""),17.32)</f>
        <v>17.32</v>
      </c>
      <c r="D2005" s="1">
        <f ca="1">IFERROR(__xludf.DUMMYFUNCTION("""COMPUTED_VALUE"""),16.7)</f>
        <v>16.7</v>
      </c>
      <c r="E2005" s="1">
        <f ca="1">IFERROR(__xludf.DUMMYFUNCTION("""COMPUTED_VALUE"""),16.95)</f>
        <v>16.95</v>
      </c>
      <c r="F2005" s="1">
        <f ca="1">IFERROR(__xludf.DUMMYFUNCTION("""COMPUTED_VALUE"""),47854210)</f>
        <v>47854210</v>
      </c>
    </row>
    <row r="2006" spans="1:6" x14ac:dyDescent="0.35">
      <c r="A2006" s="2">
        <f ca="1">IFERROR(__xludf.DUMMYFUNCTION("""COMPUTED_VALUE"""),44911.6666666666)</f>
        <v>44911.666666666599</v>
      </c>
      <c r="B2006" s="1">
        <f ca="1">IFERROR(__xludf.DUMMYFUNCTION("""COMPUTED_VALUE"""),16.86)</f>
        <v>16.86</v>
      </c>
      <c r="C2006" s="1">
        <f ca="1">IFERROR(__xludf.DUMMYFUNCTION("""COMPUTED_VALUE"""),17.04)</f>
        <v>17.04</v>
      </c>
      <c r="D2006" s="1">
        <f ca="1">IFERROR(__xludf.DUMMYFUNCTION("""COMPUTED_VALUE"""),16.41)</f>
        <v>16.41</v>
      </c>
      <c r="E2006" s="1">
        <f ca="1">IFERROR(__xludf.DUMMYFUNCTION("""COMPUTED_VALUE"""),16.57)</f>
        <v>16.57</v>
      </c>
      <c r="F2006" s="1">
        <f ca="1">IFERROR(__xludf.DUMMYFUNCTION("""COMPUTED_VALUE"""),47823193)</f>
        <v>47823193</v>
      </c>
    </row>
    <row r="2007" spans="1:6" x14ac:dyDescent="0.35">
      <c r="A2007" s="2">
        <f ca="1">IFERROR(__xludf.DUMMYFUNCTION("""COMPUTED_VALUE"""),44914.6666666666)</f>
        <v>44914.666666666599</v>
      </c>
      <c r="B2007" s="1">
        <f ca="1">IFERROR(__xludf.DUMMYFUNCTION("""COMPUTED_VALUE"""),16.57)</f>
        <v>16.57</v>
      </c>
      <c r="C2007" s="1">
        <f ca="1">IFERROR(__xludf.DUMMYFUNCTION("""COMPUTED_VALUE"""),16.61)</f>
        <v>16.61</v>
      </c>
      <c r="D2007" s="1">
        <f ca="1">IFERROR(__xludf.DUMMYFUNCTION("""COMPUTED_VALUE"""),16.15)</f>
        <v>16.149999999999999</v>
      </c>
      <c r="E2007" s="1">
        <f ca="1">IFERROR(__xludf.DUMMYFUNCTION("""COMPUTED_VALUE"""),16.25)</f>
        <v>16.25</v>
      </c>
      <c r="F2007" s="1">
        <f ca="1">IFERROR(__xludf.DUMMYFUNCTION("""COMPUTED_VALUE"""),35403877)</f>
        <v>35403877</v>
      </c>
    </row>
    <row r="2008" spans="1:6" x14ac:dyDescent="0.35">
      <c r="A2008" s="2">
        <f ca="1">IFERROR(__xludf.DUMMYFUNCTION("""COMPUTED_VALUE"""),44915.6666666666)</f>
        <v>44915.666666666599</v>
      </c>
      <c r="B2008" s="1">
        <f ca="1">IFERROR(__xludf.DUMMYFUNCTION("""COMPUTED_VALUE"""),16.06)</f>
        <v>16.059999999999999</v>
      </c>
      <c r="C2008" s="1">
        <f ca="1">IFERROR(__xludf.DUMMYFUNCTION("""COMPUTED_VALUE"""),16.31)</f>
        <v>16.309999999999999</v>
      </c>
      <c r="D2008" s="1">
        <f ca="1">IFERROR(__xludf.DUMMYFUNCTION("""COMPUTED_VALUE"""),15.85)</f>
        <v>15.85</v>
      </c>
      <c r="E2008" s="1">
        <f ca="1">IFERROR(__xludf.DUMMYFUNCTION("""COMPUTED_VALUE"""),16.09)</f>
        <v>16.09</v>
      </c>
      <c r="F2008" s="1">
        <f ca="1">IFERROR(__xludf.DUMMYFUNCTION("""COMPUTED_VALUE"""),40325979)</f>
        <v>40325979</v>
      </c>
    </row>
    <row r="2009" spans="1:6" x14ac:dyDescent="0.35">
      <c r="A2009" s="2">
        <f ca="1">IFERROR(__xludf.DUMMYFUNCTION("""COMPUTED_VALUE"""),44916.6666666666)</f>
        <v>44916.666666666599</v>
      </c>
      <c r="B2009" s="1">
        <f ca="1">IFERROR(__xludf.DUMMYFUNCTION("""COMPUTED_VALUE"""),16.11)</f>
        <v>16.11</v>
      </c>
      <c r="C2009" s="1">
        <f ca="1">IFERROR(__xludf.DUMMYFUNCTION("""COMPUTED_VALUE"""),16.63)</f>
        <v>16.63</v>
      </c>
      <c r="D2009" s="1">
        <f ca="1">IFERROR(__xludf.DUMMYFUNCTION("""COMPUTED_VALUE"""),16.1)</f>
        <v>16.100000000000001</v>
      </c>
      <c r="E2009" s="1">
        <f ca="1">IFERROR(__xludf.DUMMYFUNCTION("""COMPUTED_VALUE"""),16.5)</f>
        <v>16.5</v>
      </c>
      <c r="F2009" s="1">
        <f ca="1">IFERROR(__xludf.DUMMYFUNCTION("""COMPUTED_VALUE"""),32502538)</f>
        <v>32502538</v>
      </c>
    </row>
    <row r="2010" spans="1:6" x14ac:dyDescent="0.35">
      <c r="A2010" s="2">
        <f ca="1">IFERROR(__xludf.DUMMYFUNCTION("""COMPUTED_VALUE"""),44917.6666666666)</f>
        <v>44917.666666666599</v>
      </c>
      <c r="B2010" s="1">
        <f ca="1">IFERROR(__xludf.DUMMYFUNCTION("""COMPUTED_VALUE"""),16.09)</f>
        <v>16.09</v>
      </c>
      <c r="C2010" s="1">
        <f ca="1">IFERROR(__xludf.DUMMYFUNCTION("""COMPUTED_VALUE"""),16.14)</f>
        <v>16.14</v>
      </c>
      <c r="D2010" s="1">
        <f ca="1">IFERROR(__xludf.DUMMYFUNCTION("""COMPUTED_VALUE"""),14.88)</f>
        <v>14.88</v>
      </c>
      <c r="E2010" s="1">
        <f ca="1">IFERROR(__xludf.DUMMYFUNCTION("""COMPUTED_VALUE"""),15.34)</f>
        <v>15.34</v>
      </c>
      <c r="F2010" s="1">
        <f ca="1">IFERROR(__xludf.DUMMYFUNCTION("""COMPUTED_VALUE"""),56504527)</f>
        <v>56504527</v>
      </c>
    </row>
    <row r="2011" spans="1:6" x14ac:dyDescent="0.35">
      <c r="A2011" s="2">
        <f ca="1">IFERROR(__xludf.DUMMYFUNCTION("""COMPUTED_VALUE"""),44918.6666666666)</f>
        <v>44918.666666666599</v>
      </c>
      <c r="B2011" s="1">
        <f ca="1">IFERROR(__xludf.DUMMYFUNCTION("""COMPUTED_VALUE"""),15.2)</f>
        <v>15.2</v>
      </c>
      <c r="C2011" s="1">
        <f ca="1">IFERROR(__xludf.DUMMYFUNCTION("""COMPUTED_VALUE"""),15.34)</f>
        <v>15.34</v>
      </c>
      <c r="D2011" s="1">
        <f ca="1">IFERROR(__xludf.DUMMYFUNCTION("""COMPUTED_VALUE"""),14.88)</f>
        <v>14.88</v>
      </c>
      <c r="E2011" s="1">
        <f ca="1">IFERROR(__xludf.DUMMYFUNCTION("""COMPUTED_VALUE"""),15.21)</f>
        <v>15.21</v>
      </c>
      <c r="F2011" s="1">
        <f ca="1">IFERROR(__xludf.DUMMYFUNCTION("""COMPUTED_VALUE"""),34932563)</f>
        <v>34932563</v>
      </c>
    </row>
    <row r="2012" spans="1:6" x14ac:dyDescent="0.35">
      <c r="A2012" s="2">
        <f ca="1">IFERROR(__xludf.DUMMYFUNCTION("""COMPUTED_VALUE"""),44922.6666666666)</f>
        <v>44922.666666666599</v>
      </c>
      <c r="B2012" s="1">
        <f ca="1">IFERROR(__xludf.DUMMYFUNCTION("""COMPUTED_VALUE"""),15.07)</f>
        <v>15.07</v>
      </c>
      <c r="C2012" s="1">
        <f ca="1">IFERROR(__xludf.DUMMYFUNCTION("""COMPUTED_VALUE"""),15.1)</f>
        <v>15.1</v>
      </c>
      <c r="D2012" s="1">
        <f ca="1">IFERROR(__xludf.DUMMYFUNCTION("""COMPUTED_VALUE"""),14.06)</f>
        <v>14.06</v>
      </c>
      <c r="E2012" s="1">
        <f ca="1">IFERROR(__xludf.DUMMYFUNCTION("""COMPUTED_VALUE"""),14.12)</f>
        <v>14.12</v>
      </c>
      <c r="F2012" s="1">
        <f ca="1">IFERROR(__xludf.DUMMYFUNCTION("""COMPUTED_VALUE"""),46490226)</f>
        <v>46490226</v>
      </c>
    </row>
    <row r="2013" spans="1:6" x14ac:dyDescent="0.35">
      <c r="A2013" s="2">
        <f ca="1">IFERROR(__xludf.DUMMYFUNCTION("""COMPUTED_VALUE"""),44923.6666666666)</f>
        <v>44923.666666666599</v>
      </c>
      <c r="B2013" s="1">
        <f ca="1">IFERROR(__xludf.DUMMYFUNCTION("""COMPUTED_VALUE"""),13.93)</f>
        <v>13.93</v>
      </c>
      <c r="C2013" s="1">
        <f ca="1">IFERROR(__xludf.DUMMYFUNCTION("""COMPUTED_VALUE"""),14.26)</f>
        <v>14.26</v>
      </c>
      <c r="D2013" s="1">
        <f ca="1">IFERROR(__xludf.DUMMYFUNCTION("""COMPUTED_VALUE"""),13.88)</f>
        <v>13.88</v>
      </c>
      <c r="E2013" s="1">
        <f ca="1">IFERROR(__xludf.DUMMYFUNCTION("""COMPUTED_VALUE"""),14.04)</f>
        <v>14.04</v>
      </c>
      <c r="F2013" s="1">
        <f ca="1">IFERROR(__xludf.DUMMYFUNCTION("""COMPUTED_VALUE"""),35106645)</f>
        <v>35106645</v>
      </c>
    </row>
    <row r="2014" spans="1:6" x14ac:dyDescent="0.35">
      <c r="A2014" s="2">
        <f ca="1">IFERROR(__xludf.DUMMYFUNCTION("""COMPUTED_VALUE"""),44924.6666666666)</f>
        <v>44924.666666666599</v>
      </c>
      <c r="B2014" s="1">
        <f ca="1">IFERROR(__xludf.DUMMYFUNCTION("""COMPUTED_VALUE"""),14.4)</f>
        <v>14.4</v>
      </c>
      <c r="C2014" s="1">
        <f ca="1">IFERROR(__xludf.DUMMYFUNCTION("""COMPUTED_VALUE"""),14.68)</f>
        <v>14.68</v>
      </c>
      <c r="D2014" s="1">
        <f ca="1">IFERROR(__xludf.DUMMYFUNCTION("""COMPUTED_VALUE"""),14.23)</f>
        <v>14.23</v>
      </c>
      <c r="E2014" s="1">
        <f ca="1">IFERROR(__xludf.DUMMYFUNCTION("""COMPUTED_VALUE"""),14.6)</f>
        <v>14.6</v>
      </c>
      <c r="F2014" s="1">
        <f ca="1">IFERROR(__xludf.DUMMYFUNCTION("""COMPUTED_VALUE"""),35492324)</f>
        <v>35492324</v>
      </c>
    </row>
    <row r="2015" spans="1:6" x14ac:dyDescent="0.35">
      <c r="A2015" s="2">
        <f ca="1">IFERROR(__xludf.DUMMYFUNCTION("""COMPUTED_VALUE"""),44925.6666666666)</f>
        <v>44925.666666666599</v>
      </c>
      <c r="B2015" s="1">
        <f ca="1">IFERROR(__xludf.DUMMYFUNCTION("""COMPUTED_VALUE"""),14.33)</f>
        <v>14.33</v>
      </c>
      <c r="C2015" s="1">
        <f ca="1">IFERROR(__xludf.DUMMYFUNCTION("""COMPUTED_VALUE"""),14.63)</f>
        <v>14.63</v>
      </c>
      <c r="D2015" s="1">
        <f ca="1">IFERROR(__xludf.DUMMYFUNCTION("""COMPUTED_VALUE"""),14.23)</f>
        <v>14.23</v>
      </c>
      <c r="E2015" s="1">
        <f ca="1">IFERROR(__xludf.DUMMYFUNCTION("""COMPUTED_VALUE"""),14.61)</f>
        <v>14.61</v>
      </c>
      <c r="F2015" s="1">
        <f ca="1">IFERROR(__xludf.DUMMYFUNCTION("""COMPUTED_VALUE"""),31048983)</f>
        <v>31048983</v>
      </c>
    </row>
    <row r="2016" spans="1:6" x14ac:dyDescent="0.35">
      <c r="A2016" s="2">
        <f ca="1">IFERROR(__xludf.DUMMYFUNCTION("""COMPUTED_VALUE"""),44929.6666666666)</f>
        <v>44929.666666666599</v>
      </c>
      <c r="B2016" s="1">
        <f ca="1">IFERROR(__xludf.DUMMYFUNCTION("""COMPUTED_VALUE"""),14.85)</f>
        <v>14.85</v>
      </c>
      <c r="C2016" s="1">
        <f ca="1">IFERROR(__xludf.DUMMYFUNCTION("""COMPUTED_VALUE"""),15)</f>
        <v>15</v>
      </c>
      <c r="D2016" s="1">
        <f ca="1">IFERROR(__xludf.DUMMYFUNCTION("""COMPUTED_VALUE"""),14.1)</f>
        <v>14.1</v>
      </c>
      <c r="E2016" s="1">
        <f ca="1">IFERROR(__xludf.DUMMYFUNCTION("""COMPUTED_VALUE"""),14.32)</f>
        <v>14.32</v>
      </c>
      <c r="F2016" s="1">
        <f ca="1">IFERROR(__xludf.DUMMYFUNCTION("""COMPUTED_VALUE"""),40127658)</f>
        <v>40127658</v>
      </c>
    </row>
    <row r="2017" spans="1:6" x14ac:dyDescent="0.35">
      <c r="A2017" s="2">
        <f ca="1">IFERROR(__xludf.DUMMYFUNCTION("""COMPUTED_VALUE"""),44930.6666666666)</f>
        <v>44930.666666666599</v>
      </c>
      <c r="B2017" s="1">
        <f ca="1">IFERROR(__xludf.DUMMYFUNCTION("""COMPUTED_VALUE"""),14.57)</f>
        <v>14.57</v>
      </c>
      <c r="C2017" s="1">
        <f ca="1">IFERROR(__xludf.DUMMYFUNCTION("""COMPUTED_VALUE"""),14.85)</f>
        <v>14.85</v>
      </c>
      <c r="D2017" s="1">
        <f ca="1">IFERROR(__xludf.DUMMYFUNCTION("""COMPUTED_VALUE"""),14.24)</f>
        <v>14.24</v>
      </c>
      <c r="E2017" s="1">
        <f ca="1">IFERROR(__xludf.DUMMYFUNCTION("""COMPUTED_VALUE"""),14.75)</f>
        <v>14.75</v>
      </c>
      <c r="F2017" s="1">
        <f ca="1">IFERROR(__xludf.DUMMYFUNCTION("""COMPUTED_VALUE"""),43132360)</f>
        <v>43132360</v>
      </c>
    </row>
    <row r="2018" spans="1:6" x14ac:dyDescent="0.35">
      <c r="A2018" s="2">
        <f ca="1">IFERROR(__xludf.DUMMYFUNCTION("""COMPUTED_VALUE"""),44931.6666666666)</f>
        <v>44931.666666666599</v>
      </c>
      <c r="B2018" s="1">
        <f ca="1">IFERROR(__xludf.DUMMYFUNCTION("""COMPUTED_VALUE"""),14.49)</f>
        <v>14.49</v>
      </c>
      <c r="C2018" s="1">
        <f ca="1">IFERROR(__xludf.DUMMYFUNCTION("""COMPUTED_VALUE"""),14.56)</f>
        <v>14.56</v>
      </c>
      <c r="D2018" s="1">
        <f ca="1">IFERROR(__xludf.DUMMYFUNCTION("""COMPUTED_VALUE"""),14.15)</f>
        <v>14.15</v>
      </c>
      <c r="E2018" s="1">
        <f ca="1">IFERROR(__xludf.DUMMYFUNCTION("""COMPUTED_VALUE"""),14.27)</f>
        <v>14.27</v>
      </c>
      <c r="F2018" s="1">
        <f ca="1">IFERROR(__xludf.DUMMYFUNCTION("""COMPUTED_VALUE"""),38916811)</f>
        <v>38916811</v>
      </c>
    </row>
    <row r="2019" spans="1:6" x14ac:dyDescent="0.35">
      <c r="A2019" s="2">
        <f ca="1">IFERROR(__xludf.DUMMYFUNCTION("""COMPUTED_VALUE"""),44932.6666666666)</f>
        <v>44932.666666666599</v>
      </c>
      <c r="B2019" s="1">
        <f ca="1">IFERROR(__xludf.DUMMYFUNCTION("""COMPUTED_VALUE"""),14.47)</f>
        <v>14.47</v>
      </c>
      <c r="C2019" s="1">
        <f ca="1">IFERROR(__xludf.DUMMYFUNCTION("""COMPUTED_VALUE"""),15.01)</f>
        <v>15.01</v>
      </c>
      <c r="D2019" s="1">
        <f ca="1">IFERROR(__xludf.DUMMYFUNCTION("""COMPUTED_VALUE"""),14.03)</f>
        <v>14.03</v>
      </c>
      <c r="E2019" s="1">
        <f ca="1">IFERROR(__xludf.DUMMYFUNCTION("""COMPUTED_VALUE"""),14.86)</f>
        <v>14.86</v>
      </c>
      <c r="F2019" s="1">
        <f ca="1">IFERROR(__xludf.DUMMYFUNCTION("""COMPUTED_VALUE"""),40504362)</f>
        <v>40504362</v>
      </c>
    </row>
    <row r="2020" spans="1:6" x14ac:dyDescent="0.35">
      <c r="A2020" s="2">
        <f ca="1">IFERROR(__xludf.DUMMYFUNCTION("""COMPUTED_VALUE"""),44935.6666666666)</f>
        <v>44935.666666666599</v>
      </c>
      <c r="B2020" s="1">
        <f ca="1">IFERROR(__xludf.DUMMYFUNCTION("""COMPUTED_VALUE"""),15.28)</f>
        <v>15.28</v>
      </c>
      <c r="C2020" s="1">
        <f ca="1">IFERROR(__xludf.DUMMYFUNCTION("""COMPUTED_VALUE"""),16.06)</f>
        <v>16.059999999999999</v>
      </c>
      <c r="D2020" s="1">
        <f ca="1">IFERROR(__xludf.DUMMYFUNCTION("""COMPUTED_VALUE"""),15.14)</f>
        <v>15.14</v>
      </c>
      <c r="E2020" s="1">
        <f ca="1">IFERROR(__xludf.DUMMYFUNCTION("""COMPUTED_VALUE"""),15.63)</f>
        <v>15.63</v>
      </c>
      <c r="F2020" s="1">
        <f ca="1">IFERROR(__xludf.DUMMYFUNCTION("""COMPUTED_VALUE"""),50423056)</f>
        <v>50423056</v>
      </c>
    </row>
    <row r="2021" spans="1:6" x14ac:dyDescent="0.35">
      <c r="A2021" s="2">
        <f ca="1">IFERROR(__xludf.DUMMYFUNCTION("""COMPUTED_VALUE"""),44936.6666666666)</f>
        <v>44936.666666666599</v>
      </c>
      <c r="B2021" s="1">
        <f ca="1">IFERROR(__xludf.DUMMYFUNCTION("""COMPUTED_VALUE"""),15.51)</f>
        <v>15.51</v>
      </c>
      <c r="C2021" s="1">
        <f ca="1">IFERROR(__xludf.DUMMYFUNCTION("""COMPUTED_VALUE"""),15.96)</f>
        <v>15.96</v>
      </c>
      <c r="D2021" s="1">
        <f ca="1">IFERROR(__xludf.DUMMYFUNCTION("""COMPUTED_VALUE"""),15.47)</f>
        <v>15.47</v>
      </c>
      <c r="E2021" s="1">
        <f ca="1">IFERROR(__xludf.DUMMYFUNCTION("""COMPUTED_VALUE"""),15.91)</f>
        <v>15.91</v>
      </c>
      <c r="F2021" s="1">
        <f ca="1">IFERROR(__xludf.DUMMYFUNCTION("""COMPUTED_VALUE"""),38410126)</f>
        <v>38410126</v>
      </c>
    </row>
    <row r="2022" spans="1:6" x14ac:dyDescent="0.35">
      <c r="A2022" s="2">
        <f ca="1">IFERROR(__xludf.DUMMYFUNCTION("""COMPUTED_VALUE"""),44937.6666666666)</f>
        <v>44937.666666666599</v>
      </c>
      <c r="B2022" s="1">
        <f ca="1">IFERROR(__xludf.DUMMYFUNCTION("""COMPUTED_VALUE"""),15.84)</f>
        <v>15.84</v>
      </c>
      <c r="C2022" s="1">
        <f ca="1">IFERROR(__xludf.DUMMYFUNCTION("""COMPUTED_VALUE"""),16.03)</f>
        <v>16.03</v>
      </c>
      <c r="D2022" s="1">
        <f ca="1">IFERROR(__xludf.DUMMYFUNCTION("""COMPUTED_VALUE"""),15.56)</f>
        <v>15.56</v>
      </c>
      <c r="E2022" s="1">
        <f ca="1">IFERROR(__xludf.DUMMYFUNCTION("""COMPUTED_VALUE"""),16)</f>
        <v>16</v>
      </c>
      <c r="F2022" s="1">
        <f ca="1">IFERROR(__xludf.DUMMYFUNCTION("""COMPUTED_VALUE"""),35328493)</f>
        <v>35328493</v>
      </c>
    </row>
    <row r="2023" spans="1:6" x14ac:dyDescent="0.35">
      <c r="A2023" s="2">
        <f ca="1">IFERROR(__xludf.DUMMYFUNCTION("""COMPUTED_VALUE"""),44938.6666666666)</f>
        <v>44938.666666666599</v>
      </c>
      <c r="B2023" s="1">
        <f ca="1">IFERROR(__xludf.DUMMYFUNCTION("""COMPUTED_VALUE"""),16.1)</f>
        <v>16.100000000000001</v>
      </c>
      <c r="C2023" s="1">
        <f ca="1">IFERROR(__xludf.DUMMYFUNCTION("""COMPUTED_VALUE"""),16.64)</f>
        <v>16.64</v>
      </c>
      <c r="D2023" s="1">
        <f ca="1">IFERROR(__xludf.DUMMYFUNCTION("""COMPUTED_VALUE"""),15.49)</f>
        <v>15.49</v>
      </c>
      <c r="E2023" s="1">
        <f ca="1">IFERROR(__xludf.DUMMYFUNCTION("""COMPUTED_VALUE"""),16.51)</f>
        <v>16.510000000000002</v>
      </c>
      <c r="F2023" s="1">
        <f ca="1">IFERROR(__xludf.DUMMYFUNCTION("""COMPUTED_VALUE"""),55140906)</f>
        <v>55140906</v>
      </c>
    </row>
    <row r="2024" spans="1:6" x14ac:dyDescent="0.35">
      <c r="A2024" s="2">
        <f ca="1">IFERROR(__xludf.DUMMYFUNCTION("""COMPUTED_VALUE"""),44939.6666666666)</f>
        <v>44939.666666666599</v>
      </c>
      <c r="B2024" s="1">
        <f ca="1">IFERROR(__xludf.DUMMYFUNCTION("""COMPUTED_VALUE"""),16.28)</f>
        <v>16.28</v>
      </c>
      <c r="C2024" s="1">
        <f ca="1">IFERROR(__xludf.DUMMYFUNCTION("""COMPUTED_VALUE"""),16.92)</f>
        <v>16.920000000000002</v>
      </c>
      <c r="D2024" s="1">
        <f ca="1">IFERROR(__xludf.DUMMYFUNCTION("""COMPUTED_VALUE"""),16.17)</f>
        <v>16.170000000000002</v>
      </c>
      <c r="E2024" s="1">
        <f ca="1">IFERROR(__xludf.DUMMYFUNCTION("""COMPUTED_VALUE"""),16.9)</f>
        <v>16.899999999999999</v>
      </c>
      <c r="F2024" s="1">
        <f ca="1">IFERROR(__xludf.DUMMYFUNCTION("""COMPUTED_VALUE"""),44728706)</f>
        <v>44728706</v>
      </c>
    </row>
    <row r="2025" spans="1:6" x14ac:dyDescent="0.35">
      <c r="A2025" s="2">
        <f ca="1">IFERROR(__xludf.DUMMYFUNCTION("""COMPUTED_VALUE"""),44943.6666666666)</f>
        <v>44943.666666666599</v>
      </c>
      <c r="B2025" s="1">
        <f ca="1">IFERROR(__xludf.DUMMYFUNCTION("""COMPUTED_VALUE"""),16.9)</f>
        <v>16.899999999999999</v>
      </c>
      <c r="C2025" s="1">
        <f ca="1">IFERROR(__xludf.DUMMYFUNCTION("""COMPUTED_VALUE"""),17.73)</f>
        <v>17.73</v>
      </c>
      <c r="D2025" s="1">
        <f ca="1">IFERROR(__xludf.DUMMYFUNCTION("""COMPUTED_VALUE"""),16.9)</f>
        <v>16.899999999999999</v>
      </c>
      <c r="E2025" s="1">
        <f ca="1">IFERROR(__xludf.DUMMYFUNCTION("""COMPUTED_VALUE"""),17.7)</f>
        <v>17.7</v>
      </c>
      <c r="F2025" s="1">
        <f ca="1">IFERROR(__xludf.DUMMYFUNCTION("""COMPUTED_VALUE"""),51110216)</f>
        <v>51110216</v>
      </c>
    </row>
    <row r="2026" spans="1:6" x14ac:dyDescent="0.35">
      <c r="A2026" s="2">
        <f ca="1">IFERROR(__xludf.DUMMYFUNCTION("""COMPUTED_VALUE"""),44944.6666666666)</f>
        <v>44944.666666666599</v>
      </c>
      <c r="B2026" s="1">
        <f ca="1">IFERROR(__xludf.DUMMYFUNCTION("""COMPUTED_VALUE"""),17.67)</f>
        <v>17.670000000000002</v>
      </c>
      <c r="C2026" s="1">
        <f ca="1">IFERROR(__xludf.DUMMYFUNCTION("""COMPUTED_VALUE"""),17.87)</f>
        <v>17.87</v>
      </c>
      <c r="D2026" s="1">
        <f ca="1">IFERROR(__xludf.DUMMYFUNCTION("""COMPUTED_VALUE"""),17.28)</f>
        <v>17.28</v>
      </c>
      <c r="E2026" s="1">
        <f ca="1">IFERROR(__xludf.DUMMYFUNCTION("""COMPUTED_VALUE"""),17.38)</f>
        <v>17.38</v>
      </c>
      <c r="F2026" s="1">
        <f ca="1">IFERROR(__xludf.DUMMYFUNCTION("""COMPUTED_VALUE"""),43962355)</f>
        <v>43962355</v>
      </c>
    </row>
    <row r="2027" spans="1:6" x14ac:dyDescent="0.35">
      <c r="A2027" s="2">
        <f ca="1">IFERROR(__xludf.DUMMYFUNCTION("""COMPUTED_VALUE"""),44945.6666666666)</f>
        <v>44945.666666666599</v>
      </c>
      <c r="B2027" s="1">
        <f ca="1">IFERROR(__xludf.DUMMYFUNCTION("""COMPUTED_VALUE"""),17.04)</f>
        <v>17.04</v>
      </c>
      <c r="C2027" s="1">
        <f ca="1">IFERROR(__xludf.DUMMYFUNCTION("""COMPUTED_VALUE"""),17.2)</f>
        <v>17.2</v>
      </c>
      <c r="D2027" s="1">
        <f ca="1">IFERROR(__xludf.DUMMYFUNCTION("""COMPUTED_VALUE"""),16.73)</f>
        <v>16.73</v>
      </c>
      <c r="E2027" s="1">
        <f ca="1">IFERROR(__xludf.DUMMYFUNCTION("""COMPUTED_VALUE"""),16.77)</f>
        <v>16.77</v>
      </c>
      <c r="F2027" s="1">
        <f ca="1">IFERROR(__xludf.DUMMYFUNCTION("""COMPUTED_VALUE"""),45293160)</f>
        <v>45293160</v>
      </c>
    </row>
    <row r="2028" spans="1:6" x14ac:dyDescent="0.35">
      <c r="A2028" s="2">
        <f ca="1">IFERROR(__xludf.DUMMYFUNCTION("""COMPUTED_VALUE"""),44946.6666666666)</f>
        <v>44946.666666666599</v>
      </c>
      <c r="B2028" s="1">
        <f ca="1">IFERROR(__xludf.DUMMYFUNCTION("""COMPUTED_VALUE"""),17.01)</f>
        <v>17.010000000000002</v>
      </c>
      <c r="C2028" s="1">
        <f ca="1">IFERROR(__xludf.DUMMYFUNCTION("""COMPUTED_VALUE"""),17.86)</f>
        <v>17.86</v>
      </c>
      <c r="D2028" s="1">
        <f ca="1">IFERROR(__xludf.DUMMYFUNCTION("""COMPUTED_VALUE"""),16.83)</f>
        <v>16.829999999999998</v>
      </c>
      <c r="E2028" s="1">
        <f ca="1">IFERROR(__xludf.DUMMYFUNCTION("""COMPUTED_VALUE"""),17.84)</f>
        <v>17.84</v>
      </c>
      <c r="F2028" s="1">
        <f ca="1">IFERROR(__xludf.DUMMYFUNCTION("""COMPUTED_VALUE"""),56496712)</f>
        <v>56496712</v>
      </c>
    </row>
    <row r="2029" spans="1:6" x14ac:dyDescent="0.35">
      <c r="A2029" s="2">
        <f ca="1">IFERROR(__xludf.DUMMYFUNCTION("""COMPUTED_VALUE"""),44949.6666666666)</f>
        <v>44949.666666666599</v>
      </c>
      <c r="B2029" s="1">
        <f ca="1">IFERROR(__xludf.DUMMYFUNCTION("""COMPUTED_VALUE"""),18.06)</f>
        <v>18.059999999999999</v>
      </c>
      <c r="C2029" s="1">
        <f ca="1">IFERROR(__xludf.DUMMYFUNCTION("""COMPUTED_VALUE"""),19.25)</f>
        <v>19.25</v>
      </c>
      <c r="D2029" s="1">
        <f ca="1">IFERROR(__xludf.DUMMYFUNCTION("""COMPUTED_VALUE"""),17.82)</f>
        <v>17.82</v>
      </c>
      <c r="E2029" s="1">
        <f ca="1">IFERROR(__xludf.DUMMYFUNCTION("""COMPUTED_VALUE"""),19.19)</f>
        <v>19.190000000000001</v>
      </c>
      <c r="F2029" s="1">
        <f ca="1">IFERROR(__xludf.DUMMYFUNCTION("""COMPUTED_VALUE"""),65516259)</f>
        <v>65516259</v>
      </c>
    </row>
    <row r="2030" spans="1:6" x14ac:dyDescent="0.35">
      <c r="A2030" s="2">
        <f ca="1">IFERROR(__xludf.DUMMYFUNCTION("""COMPUTED_VALUE"""),44950.6666666666)</f>
        <v>44950.666666666599</v>
      </c>
      <c r="B2030" s="1">
        <f ca="1">IFERROR(__xludf.DUMMYFUNCTION("""COMPUTED_VALUE"""),18.83)</f>
        <v>18.829999999999998</v>
      </c>
      <c r="C2030" s="1">
        <f ca="1">IFERROR(__xludf.DUMMYFUNCTION("""COMPUTED_VALUE"""),19.5)</f>
        <v>19.5</v>
      </c>
      <c r="D2030" s="1">
        <f ca="1">IFERROR(__xludf.DUMMYFUNCTION("""COMPUTED_VALUE"""),18.82)</f>
        <v>18.82</v>
      </c>
      <c r="E2030" s="1">
        <f ca="1">IFERROR(__xludf.DUMMYFUNCTION("""COMPUTED_VALUE"""),19.27)</f>
        <v>19.27</v>
      </c>
      <c r="F2030" s="1">
        <f ca="1">IFERROR(__xludf.DUMMYFUNCTION("""COMPUTED_VALUE"""),49620410)</f>
        <v>49620410</v>
      </c>
    </row>
    <row r="2031" spans="1:6" x14ac:dyDescent="0.35">
      <c r="A2031" s="2">
        <f ca="1">IFERROR(__xludf.DUMMYFUNCTION("""COMPUTED_VALUE"""),44951.6666666666)</f>
        <v>44951.666666666599</v>
      </c>
      <c r="B2031" s="1">
        <f ca="1">IFERROR(__xludf.DUMMYFUNCTION("""COMPUTED_VALUE"""),18.91)</f>
        <v>18.91</v>
      </c>
      <c r="C2031" s="1">
        <f ca="1">IFERROR(__xludf.DUMMYFUNCTION("""COMPUTED_VALUE"""),19.37)</f>
        <v>19.37</v>
      </c>
      <c r="D2031" s="1">
        <f ca="1">IFERROR(__xludf.DUMMYFUNCTION("""COMPUTED_VALUE"""),18.58)</f>
        <v>18.579999999999998</v>
      </c>
      <c r="E2031" s="1">
        <f ca="1">IFERROR(__xludf.DUMMYFUNCTION("""COMPUTED_VALUE"""),19.32)</f>
        <v>19.32</v>
      </c>
      <c r="F2031" s="1">
        <f ca="1">IFERROR(__xludf.DUMMYFUNCTION("""COMPUTED_VALUE"""),44953711)</f>
        <v>44953711</v>
      </c>
    </row>
    <row r="2032" spans="1:6" x14ac:dyDescent="0.35">
      <c r="A2032" s="2">
        <f ca="1">IFERROR(__xludf.DUMMYFUNCTION("""COMPUTED_VALUE"""),44952.6666666666)</f>
        <v>44952.666666666599</v>
      </c>
      <c r="B2032" s="1">
        <f ca="1">IFERROR(__xludf.DUMMYFUNCTION("""COMPUTED_VALUE"""),19.7)</f>
        <v>19.7</v>
      </c>
      <c r="C2032" s="1">
        <f ca="1">IFERROR(__xludf.DUMMYFUNCTION("""COMPUTED_VALUE"""),20.17)</f>
        <v>20.170000000000002</v>
      </c>
      <c r="D2032" s="1">
        <f ca="1">IFERROR(__xludf.DUMMYFUNCTION("""COMPUTED_VALUE"""),19.28)</f>
        <v>19.28</v>
      </c>
      <c r="E2032" s="1">
        <f ca="1">IFERROR(__xludf.DUMMYFUNCTION("""COMPUTED_VALUE"""),19.8)</f>
        <v>19.8</v>
      </c>
      <c r="F2032" s="1">
        <f ca="1">IFERROR(__xludf.DUMMYFUNCTION("""COMPUTED_VALUE"""),48953542)</f>
        <v>48953542</v>
      </c>
    </row>
    <row r="2033" spans="1:6" x14ac:dyDescent="0.35">
      <c r="A2033" s="2">
        <f ca="1">IFERROR(__xludf.DUMMYFUNCTION("""COMPUTED_VALUE"""),44953.6666666666)</f>
        <v>44953.666666666599</v>
      </c>
      <c r="B2033" s="1">
        <f ca="1">IFERROR(__xludf.DUMMYFUNCTION("""COMPUTED_VALUE"""),19.46)</f>
        <v>19.46</v>
      </c>
      <c r="C2033" s="1">
        <f ca="1">IFERROR(__xludf.DUMMYFUNCTION("""COMPUTED_VALUE"""),20.63)</f>
        <v>20.63</v>
      </c>
      <c r="D2033" s="1">
        <f ca="1">IFERROR(__xludf.DUMMYFUNCTION("""COMPUTED_VALUE"""),19.41)</f>
        <v>19.41</v>
      </c>
      <c r="E2033" s="1">
        <f ca="1">IFERROR(__xludf.DUMMYFUNCTION("""COMPUTED_VALUE"""),20.36)</f>
        <v>20.36</v>
      </c>
      <c r="F2033" s="1">
        <f ca="1">IFERROR(__xludf.DUMMYFUNCTION("""COMPUTED_VALUE"""),54214198)</f>
        <v>54214198</v>
      </c>
    </row>
    <row r="2034" spans="1:6" x14ac:dyDescent="0.35">
      <c r="A2034" s="2">
        <f ca="1">IFERROR(__xludf.DUMMYFUNCTION("""COMPUTED_VALUE"""),44956.6666666666)</f>
        <v>44956.666666666599</v>
      </c>
      <c r="B2034" s="1">
        <f ca="1">IFERROR(__xludf.DUMMYFUNCTION("""COMPUTED_VALUE"""),19.95)</f>
        <v>19.95</v>
      </c>
      <c r="C2034" s="1">
        <f ca="1">IFERROR(__xludf.DUMMYFUNCTION("""COMPUTED_VALUE"""),20.14)</f>
        <v>20.14</v>
      </c>
      <c r="D2034" s="1">
        <f ca="1">IFERROR(__xludf.DUMMYFUNCTION("""COMPUTED_VALUE"""),19.15)</f>
        <v>19.149999999999999</v>
      </c>
      <c r="E2034" s="1">
        <f ca="1">IFERROR(__xludf.DUMMYFUNCTION("""COMPUTED_VALUE"""),19.16)</f>
        <v>19.16</v>
      </c>
      <c r="F2034" s="1">
        <f ca="1">IFERROR(__xludf.DUMMYFUNCTION("""COMPUTED_VALUE"""),48861115)</f>
        <v>48861115</v>
      </c>
    </row>
    <row r="2035" spans="1:6" x14ac:dyDescent="0.35">
      <c r="A2035" s="2">
        <f ca="1">IFERROR(__xludf.DUMMYFUNCTION("""COMPUTED_VALUE"""),44957.6666666666)</f>
        <v>44957.666666666599</v>
      </c>
      <c r="B2035" s="1">
        <f ca="1">IFERROR(__xludf.DUMMYFUNCTION("""COMPUTED_VALUE"""),19.17)</f>
        <v>19.170000000000002</v>
      </c>
      <c r="C2035" s="1">
        <f ca="1">IFERROR(__xludf.DUMMYFUNCTION("""COMPUTED_VALUE"""),19.69)</f>
        <v>19.690000000000001</v>
      </c>
      <c r="D2035" s="1">
        <f ca="1">IFERROR(__xludf.DUMMYFUNCTION("""COMPUTED_VALUE"""),18.95)</f>
        <v>18.95</v>
      </c>
      <c r="E2035" s="1">
        <f ca="1">IFERROR(__xludf.DUMMYFUNCTION("""COMPUTED_VALUE"""),19.54)</f>
        <v>19.54</v>
      </c>
      <c r="F2035" s="1">
        <f ca="1">IFERROR(__xludf.DUMMYFUNCTION("""COMPUTED_VALUE"""),49801658)</f>
        <v>49801658</v>
      </c>
    </row>
    <row r="2036" spans="1:6" x14ac:dyDescent="0.35">
      <c r="A2036" s="2">
        <f ca="1">IFERROR(__xludf.DUMMYFUNCTION("""COMPUTED_VALUE"""),44958.6666666666)</f>
        <v>44958.666666666599</v>
      </c>
      <c r="B2036" s="1">
        <f ca="1">IFERROR(__xludf.DUMMYFUNCTION("""COMPUTED_VALUE"""),19.69)</f>
        <v>19.690000000000001</v>
      </c>
      <c r="C2036" s="1">
        <f ca="1">IFERROR(__xludf.DUMMYFUNCTION("""COMPUTED_VALUE"""),21.19)</f>
        <v>21.19</v>
      </c>
      <c r="D2036" s="1">
        <f ca="1">IFERROR(__xludf.DUMMYFUNCTION("""COMPUTED_VALUE"""),19.61)</f>
        <v>19.61</v>
      </c>
      <c r="E2036" s="1">
        <f ca="1">IFERROR(__xludf.DUMMYFUNCTION("""COMPUTED_VALUE"""),20.94)</f>
        <v>20.94</v>
      </c>
      <c r="F2036" s="1">
        <f ca="1">IFERROR(__xludf.DUMMYFUNCTION("""COMPUTED_VALUE"""),66047704)</f>
        <v>66047704</v>
      </c>
    </row>
    <row r="2037" spans="1:6" x14ac:dyDescent="0.35">
      <c r="A2037" s="2">
        <f ca="1">IFERROR(__xludf.DUMMYFUNCTION("""COMPUTED_VALUE"""),44959.6666666666)</f>
        <v>44959.666666666599</v>
      </c>
      <c r="B2037" s="1">
        <f ca="1">IFERROR(__xludf.DUMMYFUNCTION("""COMPUTED_VALUE"""),21)</f>
        <v>21</v>
      </c>
      <c r="C2037" s="1">
        <f ca="1">IFERROR(__xludf.DUMMYFUNCTION("""COMPUTED_VALUE"""),21.95)</f>
        <v>21.95</v>
      </c>
      <c r="D2037" s="1">
        <f ca="1">IFERROR(__xludf.DUMMYFUNCTION("""COMPUTED_VALUE"""),20.7)</f>
        <v>20.7</v>
      </c>
      <c r="E2037" s="1">
        <f ca="1">IFERROR(__xludf.DUMMYFUNCTION("""COMPUTED_VALUE"""),21.71)</f>
        <v>21.71</v>
      </c>
      <c r="F2037" s="1">
        <f ca="1">IFERROR(__xludf.DUMMYFUNCTION("""COMPUTED_VALUE"""),56427580)</f>
        <v>56427580</v>
      </c>
    </row>
    <row r="2038" spans="1:6" x14ac:dyDescent="0.35">
      <c r="A2038" s="2">
        <f ca="1">IFERROR(__xludf.DUMMYFUNCTION("""COMPUTED_VALUE"""),44960.6666666666)</f>
        <v>44960.666666666599</v>
      </c>
      <c r="B2038" s="1">
        <f ca="1">IFERROR(__xludf.DUMMYFUNCTION("""COMPUTED_VALUE"""),21)</f>
        <v>21</v>
      </c>
      <c r="C2038" s="1">
        <f ca="1">IFERROR(__xludf.DUMMYFUNCTION("""COMPUTED_VALUE"""),21.74)</f>
        <v>21.74</v>
      </c>
      <c r="D2038" s="1">
        <f ca="1">IFERROR(__xludf.DUMMYFUNCTION("""COMPUTED_VALUE"""),20.79)</f>
        <v>20.79</v>
      </c>
      <c r="E2038" s="1">
        <f ca="1">IFERROR(__xludf.DUMMYFUNCTION("""COMPUTED_VALUE"""),21.1)</f>
        <v>21.1</v>
      </c>
      <c r="F2038" s="1">
        <f ca="1">IFERROR(__xludf.DUMMYFUNCTION("""COMPUTED_VALUE"""),42936595)</f>
        <v>42936595</v>
      </c>
    </row>
    <row r="2039" spans="1:6" x14ac:dyDescent="0.35">
      <c r="A2039" s="2">
        <f ca="1">IFERROR(__xludf.DUMMYFUNCTION("""COMPUTED_VALUE"""),44963.6666666666)</f>
        <v>44963.666666666599</v>
      </c>
      <c r="B2039" s="1">
        <f ca="1">IFERROR(__xludf.DUMMYFUNCTION("""COMPUTED_VALUE"""),20.81)</f>
        <v>20.81</v>
      </c>
      <c r="C2039" s="1">
        <f ca="1">IFERROR(__xludf.DUMMYFUNCTION("""COMPUTED_VALUE"""),21.57)</f>
        <v>21.57</v>
      </c>
      <c r="D2039" s="1">
        <f ca="1">IFERROR(__xludf.DUMMYFUNCTION("""COMPUTED_VALUE"""),20.79)</f>
        <v>20.79</v>
      </c>
      <c r="E2039" s="1">
        <f ca="1">IFERROR(__xludf.DUMMYFUNCTION("""COMPUTED_VALUE"""),21.09)</f>
        <v>21.09</v>
      </c>
      <c r="F2039" s="1">
        <f ca="1">IFERROR(__xludf.DUMMYFUNCTION("""COMPUTED_VALUE"""),45219709)</f>
        <v>45219709</v>
      </c>
    </row>
    <row r="2040" spans="1:6" x14ac:dyDescent="0.35">
      <c r="A2040" s="2">
        <f ca="1">IFERROR(__xludf.DUMMYFUNCTION("""COMPUTED_VALUE"""),44964.6666666666)</f>
        <v>44964.666666666599</v>
      </c>
      <c r="B2040" s="1">
        <f ca="1">IFERROR(__xludf.DUMMYFUNCTION("""COMPUTED_VALUE"""),21.38)</f>
        <v>21.38</v>
      </c>
      <c r="C2040" s="1">
        <f ca="1">IFERROR(__xludf.DUMMYFUNCTION("""COMPUTED_VALUE"""),22.26)</f>
        <v>22.26</v>
      </c>
      <c r="D2040" s="1">
        <f ca="1">IFERROR(__xludf.DUMMYFUNCTION("""COMPUTED_VALUE"""),21.15)</f>
        <v>21.15</v>
      </c>
      <c r="E2040" s="1">
        <f ca="1">IFERROR(__xludf.DUMMYFUNCTION("""COMPUTED_VALUE"""),22.17)</f>
        <v>22.17</v>
      </c>
      <c r="F2040" s="1">
        <f ca="1">IFERROR(__xludf.DUMMYFUNCTION("""COMPUTED_VALUE"""),66414961)</f>
        <v>66414961</v>
      </c>
    </row>
    <row r="2041" spans="1:6" x14ac:dyDescent="0.35">
      <c r="A2041" s="2">
        <f ca="1">IFERROR(__xludf.DUMMYFUNCTION("""COMPUTED_VALUE"""),44965.6666666666)</f>
        <v>44965.666666666599</v>
      </c>
      <c r="B2041" s="1">
        <f ca="1">IFERROR(__xludf.DUMMYFUNCTION("""COMPUTED_VALUE"""),22.39)</f>
        <v>22.39</v>
      </c>
      <c r="C2041" s="1">
        <f ca="1">IFERROR(__xludf.DUMMYFUNCTION("""COMPUTED_VALUE"""),22.88)</f>
        <v>22.88</v>
      </c>
      <c r="D2041" s="1">
        <f ca="1">IFERROR(__xludf.DUMMYFUNCTION("""COMPUTED_VALUE"""),22.01)</f>
        <v>22.01</v>
      </c>
      <c r="E2041" s="1">
        <f ca="1">IFERROR(__xludf.DUMMYFUNCTION("""COMPUTED_VALUE"""),22.21)</f>
        <v>22.21</v>
      </c>
      <c r="F2041" s="1">
        <f ca="1">IFERROR(__xludf.DUMMYFUNCTION("""COMPUTED_VALUE"""),55965122)</f>
        <v>55965122</v>
      </c>
    </row>
    <row r="2042" spans="1:6" x14ac:dyDescent="0.35">
      <c r="A2042" s="2">
        <f ca="1">IFERROR(__xludf.DUMMYFUNCTION("""COMPUTED_VALUE"""),44966.6666666666)</f>
        <v>44966.666666666599</v>
      </c>
      <c r="B2042" s="1">
        <f ca="1">IFERROR(__xludf.DUMMYFUNCTION("""COMPUTED_VALUE"""),22.61)</f>
        <v>22.61</v>
      </c>
      <c r="C2042" s="1">
        <f ca="1">IFERROR(__xludf.DUMMYFUNCTION("""COMPUTED_VALUE"""),23.02)</f>
        <v>23.02</v>
      </c>
      <c r="D2042" s="1">
        <f ca="1">IFERROR(__xludf.DUMMYFUNCTION("""COMPUTED_VALUE"""),22.12)</f>
        <v>22.12</v>
      </c>
      <c r="E2042" s="1">
        <f ca="1">IFERROR(__xludf.DUMMYFUNCTION("""COMPUTED_VALUE"""),22.34)</f>
        <v>22.34</v>
      </c>
      <c r="F2042" s="1">
        <f ca="1">IFERROR(__xludf.DUMMYFUNCTION("""COMPUTED_VALUE"""),52387578)</f>
        <v>52387578</v>
      </c>
    </row>
    <row r="2043" spans="1:6" x14ac:dyDescent="0.35">
      <c r="A2043" s="2">
        <f ca="1">IFERROR(__xludf.DUMMYFUNCTION("""COMPUTED_VALUE"""),44967.6666666666)</f>
        <v>44967.666666666599</v>
      </c>
      <c r="B2043" s="1">
        <f ca="1">IFERROR(__xludf.DUMMYFUNCTION("""COMPUTED_VALUE"""),21.69)</f>
        <v>21.69</v>
      </c>
      <c r="C2043" s="1">
        <f ca="1">IFERROR(__xludf.DUMMYFUNCTION("""COMPUTED_VALUE"""),22.08)</f>
        <v>22.08</v>
      </c>
      <c r="D2043" s="1">
        <f ca="1">IFERROR(__xludf.DUMMYFUNCTION("""COMPUTED_VALUE"""),20.81)</f>
        <v>20.81</v>
      </c>
      <c r="E2043" s="1">
        <f ca="1">IFERROR(__xludf.DUMMYFUNCTION("""COMPUTED_VALUE"""),21.27)</f>
        <v>21.27</v>
      </c>
      <c r="F2043" s="1">
        <f ca="1">IFERROR(__xludf.DUMMYFUNCTION("""COMPUTED_VALUE"""),55073675)</f>
        <v>55073675</v>
      </c>
    </row>
    <row r="2044" spans="1:6" x14ac:dyDescent="0.35">
      <c r="A2044" s="2">
        <f ca="1">IFERROR(__xludf.DUMMYFUNCTION("""COMPUTED_VALUE"""),44970.6666666666)</f>
        <v>44970.666666666599</v>
      </c>
      <c r="B2044" s="1">
        <f ca="1">IFERROR(__xludf.DUMMYFUNCTION("""COMPUTED_VALUE"""),21.54)</f>
        <v>21.54</v>
      </c>
      <c r="C2044" s="1">
        <f ca="1">IFERROR(__xludf.DUMMYFUNCTION("""COMPUTED_VALUE"""),22.05)</f>
        <v>22.05</v>
      </c>
      <c r="D2044" s="1">
        <f ca="1">IFERROR(__xludf.DUMMYFUNCTION("""COMPUTED_VALUE"""),20.96)</f>
        <v>20.96</v>
      </c>
      <c r="E2044" s="1">
        <f ca="1">IFERROR(__xludf.DUMMYFUNCTION("""COMPUTED_VALUE"""),21.79)</f>
        <v>21.79</v>
      </c>
      <c r="F2044" s="1">
        <f ca="1">IFERROR(__xludf.DUMMYFUNCTION("""COMPUTED_VALUE"""),47491862)</f>
        <v>47491862</v>
      </c>
    </row>
    <row r="2045" spans="1:6" x14ac:dyDescent="0.35">
      <c r="A2045" s="2">
        <f ca="1">IFERROR(__xludf.DUMMYFUNCTION("""COMPUTED_VALUE"""),44971.6666666666)</f>
        <v>44971.666666666599</v>
      </c>
      <c r="B2045" s="1">
        <f ca="1">IFERROR(__xludf.DUMMYFUNCTION("""COMPUTED_VALUE"""),21.58)</f>
        <v>21.58</v>
      </c>
      <c r="C2045" s="1">
        <f ca="1">IFERROR(__xludf.DUMMYFUNCTION("""COMPUTED_VALUE"""),23.05)</f>
        <v>23.05</v>
      </c>
      <c r="D2045" s="1">
        <f ca="1">IFERROR(__xludf.DUMMYFUNCTION("""COMPUTED_VALUE"""),21.37)</f>
        <v>21.37</v>
      </c>
      <c r="E2045" s="1">
        <f ca="1">IFERROR(__xludf.DUMMYFUNCTION("""COMPUTED_VALUE"""),22.97)</f>
        <v>22.97</v>
      </c>
      <c r="F2045" s="1">
        <f ca="1">IFERROR(__xludf.DUMMYFUNCTION("""COMPUTED_VALUE"""),67547350)</f>
        <v>67547350</v>
      </c>
    </row>
    <row r="2046" spans="1:6" x14ac:dyDescent="0.35">
      <c r="A2046" s="2">
        <f ca="1">IFERROR(__xludf.DUMMYFUNCTION("""COMPUTED_VALUE"""),44972.6666666666)</f>
        <v>44972.666666666599</v>
      </c>
      <c r="B2046" s="1">
        <f ca="1">IFERROR(__xludf.DUMMYFUNCTION("""COMPUTED_VALUE"""),22.55)</f>
        <v>22.55</v>
      </c>
      <c r="C2046" s="1">
        <f ca="1">IFERROR(__xludf.DUMMYFUNCTION("""COMPUTED_VALUE"""),22.86)</f>
        <v>22.86</v>
      </c>
      <c r="D2046" s="1">
        <f ca="1">IFERROR(__xludf.DUMMYFUNCTION("""COMPUTED_VALUE"""),22.11)</f>
        <v>22.11</v>
      </c>
      <c r="E2046" s="1">
        <f ca="1">IFERROR(__xludf.DUMMYFUNCTION("""COMPUTED_VALUE"""),22.76)</f>
        <v>22.76</v>
      </c>
      <c r="F2046" s="1">
        <f ca="1">IFERROR(__xludf.DUMMYFUNCTION("""COMPUTED_VALUE"""),42118826)</f>
        <v>42118826</v>
      </c>
    </row>
    <row r="2047" spans="1:6" x14ac:dyDescent="0.35">
      <c r="A2047" s="2">
        <f ca="1">IFERROR(__xludf.DUMMYFUNCTION("""COMPUTED_VALUE"""),44973.6666666666)</f>
        <v>44973.666666666599</v>
      </c>
      <c r="B2047" s="1">
        <f ca="1">IFERROR(__xludf.DUMMYFUNCTION("""COMPUTED_VALUE"""),22.13)</f>
        <v>22.13</v>
      </c>
      <c r="C2047" s="1">
        <f ca="1">IFERROR(__xludf.DUMMYFUNCTION("""COMPUTED_VALUE"""),22.55)</f>
        <v>22.55</v>
      </c>
      <c r="D2047" s="1">
        <f ca="1">IFERROR(__xludf.DUMMYFUNCTION("""COMPUTED_VALUE"""),21.93)</f>
        <v>21.93</v>
      </c>
      <c r="E2047" s="1">
        <f ca="1">IFERROR(__xludf.DUMMYFUNCTION("""COMPUTED_VALUE"""),22)</f>
        <v>22</v>
      </c>
      <c r="F2047" s="1">
        <f ca="1">IFERROR(__xludf.DUMMYFUNCTION("""COMPUTED_VALUE"""),41202628)</f>
        <v>41202628</v>
      </c>
    </row>
    <row r="2048" spans="1:6" x14ac:dyDescent="0.35">
      <c r="A2048" s="2">
        <f ca="1">IFERROR(__xludf.DUMMYFUNCTION("""COMPUTED_VALUE"""),44974.6666666666)</f>
        <v>44974.666666666599</v>
      </c>
      <c r="B2048" s="1">
        <f ca="1">IFERROR(__xludf.DUMMYFUNCTION("""COMPUTED_VALUE"""),21.63)</f>
        <v>21.63</v>
      </c>
      <c r="C2048" s="1">
        <f ca="1">IFERROR(__xludf.DUMMYFUNCTION("""COMPUTED_VALUE"""),21.74)</f>
        <v>21.74</v>
      </c>
      <c r="D2048" s="1">
        <f ca="1">IFERROR(__xludf.DUMMYFUNCTION("""COMPUTED_VALUE"""),20.98)</f>
        <v>20.98</v>
      </c>
      <c r="E2048" s="1">
        <f ca="1">IFERROR(__xludf.DUMMYFUNCTION("""COMPUTED_VALUE"""),21.39)</f>
        <v>21.39</v>
      </c>
      <c r="F2048" s="1">
        <f ca="1">IFERROR(__xludf.DUMMYFUNCTION("""COMPUTED_VALUE"""),46588764)</f>
        <v>46588764</v>
      </c>
    </row>
    <row r="2049" spans="1:6" x14ac:dyDescent="0.35">
      <c r="A2049" s="2">
        <f ca="1">IFERROR(__xludf.DUMMYFUNCTION("""COMPUTED_VALUE"""),44978.6666666666)</f>
        <v>44978.666666666599</v>
      </c>
      <c r="B2049" s="1">
        <f ca="1">IFERROR(__xludf.DUMMYFUNCTION("""COMPUTED_VALUE"""),21)</f>
        <v>21</v>
      </c>
      <c r="C2049" s="1">
        <f ca="1">IFERROR(__xludf.DUMMYFUNCTION("""COMPUTED_VALUE"""),21.49)</f>
        <v>21.49</v>
      </c>
      <c r="D2049" s="1">
        <f ca="1">IFERROR(__xludf.DUMMYFUNCTION("""COMPUTED_VALUE"""),20.62)</f>
        <v>20.62</v>
      </c>
      <c r="E2049" s="1">
        <f ca="1">IFERROR(__xludf.DUMMYFUNCTION("""COMPUTED_VALUE"""),20.66)</f>
        <v>20.66</v>
      </c>
      <c r="F2049" s="1">
        <f ca="1">IFERROR(__xludf.DUMMYFUNCTION("""COMPUTED_VALUE"""),41001455)</f>
        <v>41001455</v>
      </c>
    </row>
    <row r="2050" spans="1:6" x14ac:dyDescent="0.35">
      <c r="A2050" s="2">
        <f ca="1">IFERROR(__xludf.DUMMYFUNCTION("""COMPUTED_VALUE"""),44979.6666666666)</f>
        <v>44979.666666666599</v>
      </c>
      <c r="B2050" s="1">
        <f ca="1">IFERROR(__xludf.DUMMYFUNCTION("""COMPUTED_VALUE"""),20.71)</f>
        <v>20.71</v>
      </c>
      <c r="C2050" s="1">
        <f ca="1">IFERROR(__xludf.DUMMYFUNCTION("""COMPUTED_VALUE"""),21.1)</f>
        <v>21.1</v>
      </c>
      <c r="D2050" s="1">
        <f ca="1">IFERROR(__xludf.DUMMYFUNCTION("""COMPUTED_VALUE"""),20.42)</f>
        <v>20.420000000000002</v>
      </c>
      <c r="E2050" s="1">
        <f ca="1">IFERROR(__xludf.DUMMYFUNCTION("""COMPUTED_VALUE"""),20.75)</f>
        <v>20.75</v>
      </c>
      <c r="F2050" s="1">
        <f ca="1">IFERROR(__xludf.DUMMYFUNCTION("""COMPUTED_VALUE"""),51318432)</f>
        <v>51318432</v>
      </c>
    </row>
    <row r="2051" spans="1:6" x14ac:dyDescent="0.35">
      <c r="A2051" s="2">
        <f ca="1">IFERROR(__xludf.DUMMYFUNCTION("""COMPUTED_VALUE"""),44980.6666666666)</f>
        <v>44980.666666666599</v>
      </c>
      <c r="B2051" s="1">
        <f ca="1">IFERROR(__xludf.DUMMYFUNCTION("""COMPUTED_VALUE"""),23.44)</f>
        <v>23.44</v>
      </c>
      <c r="C2051" s="1">
        <f ca="1">IFERROR(__xludf.DUMMYFUNCTION("""COMPUTED_VALUE"""),23.89)</f>
        <v>23.89</v>
      </c>
      <c r="D2051" s="1">
        <f ca="1">IFERROR(__xludf.DUMMYFUNCTION("""COMPUTED_VALUE"""),23.03)</f>
        <v>23.03</v>
      </c>
      <c r="E2051" s="1">
        <f ca="1">IFERROR(__xludf.DUMMYFUNCTION("""COMPUTED_VALUE"""),23.66)</f>
        <v>23.66</v>
      </c>
      <c r="F2051" s="1">
        <f ca="1">IFERROR(__xludf.DUMMYFUNCTION("""COMPUTED_VALUE"""),111799541)</f>
        <v>111799541</v>
      </c>
    </row>
    <row r="2052" spans="1:6" x14ac:dyDescent="0.35">
      <c r="A2052" s="2">
        <f ca="1">IFERROR(__xludf.DUMMYFUNCTION("""COMPUTED_VALUE"""),44981.6666666666)</f>
        <v>44981.666666666599</v>
      </c>
      <c r="B2052" s="1">
        <f ca="1">IFERROR(__xludf.DUMMYFUNCTION("""COMPUTED_VALUE"""),23.23)</f>
        <v>23.23</v>
      </c>
      <c r="C2052" s="1">
        <f ca="1">IFERROR(__xludf.DUMMYFUNCTION("""COMPUTED_VALUE"""),23.47)</f>
        <v>23.47</v>
      </c>
      <c r="D2052" s="1">
        <f ca="1">IFERROR(__xludf.DUMMYFUNCTION("""COMPUTED_VALUE"""),22.95)</f>
        <v>22.95</v>
      </c>
      <c r="E2052" s="1">
        <f ca="1">IFERROR(__xludf.DUMMYFUNCTION("""COMPUTED_VALUE"""),23.29)</f>
        <v>23.29</v>
      </c>
      <c r="F2052" s="1">
        <f ca="1">IFERROR(__xludf.DUMMYFUNCTION("""COMPUTED_VALUE"""),58971591)</f>
        <v>58971591</v>
      </c>
    </row>
    <row r="2053" spans="1:6" x14ac:dyDescent="0.35">
      <c r="A2053" s="2">
        <f ca="1">IFERROR(__xludf.DUMMYFUNCTION("""COMPUTED_VALUE"""),44984.6666666666)</f>
        <v>44984.666666666599</v>
      </c>
      <c r="B2053" s="1">
        <f ca="1">IFERROR(__xludf.DUMMYFUNCTION("""COMPUTED_VALUE"""),23.67)</f>
        <v>23.67</v>
      </c>
      <c r="C2053" s="1">
        <f ca="1">IFERROR(__xludf.DUMMYFUNCTION("""COMPUTED_VALUE"""),23.88)</f>
        <v>23.88</v>
      </c>
      <c r="D2053" s="1">
        <f ca="1">IFERROR(__xludf.DUMMYFUNCTION("""COMPUTED_VALUE"""),23.45)</f>
        <v>23.45</v>
      </c>
      <c r="E2053" s="1">
        <f ca="1">IFERROR(__xludf.DUMMYFUNCTION("""COMPUTED_VALUE"""),23.5)</f>
        <v>23.5</v>
      </c>
      <c r="F2053" s="1">
        <f ca="1">IFERROR(__xludf.DUMMYFUNCTION("""COMPUTED_VALUE"""),45299367)</f>
        <v>45299367</v>
      </c>
    </row>
    <row r="2054" spans="1:6" x14ac:dyDescent="0.35">
      <c r="A2054" s="2">
        <f ca="1">IFERROR(__xludf.DUMMYFUNCTION("""COMPUTED_VALUE"""),44985.6666666666)</f>
        <v>44985.666666666599</v>
      </c>
      <c r="B2054" s="1">
        <f ca="1">IFERROR(__xludf.DUMMYFUNCTION("""COMPUTED_VALUE"""),23.37)</f>
        <v>23.37</v>
      </c>
      <c r="C2054" s="1">
        <f ca="1">IFERROR(__xludf.DUMMYFUNCTION("""COMPUTED_VALUE"""),23.83)</f>
        <v>23.83</v>
      </c>
      <c r="D2054" s="1">
        <f ca="1">IFERROR(__xludf.DUMMYFUNCTION("""COMPUTED_VALUE"""),23.21)</f>
        <v>23.21</v>
      </c>
      <c r="E2054" s="1">
        <f ca="1">IFERROR(__xludf.DUMMYFUNCTION("""COMPUTED_VALUE"""),23.22)</f>
        <v>23.22</v>
      </c>
      <c r="F2054" s="1">
        <f ca="1">IFERROR(__xludf.DUMMYFUNCTION("""COMPUTED_VALUE"""),45596280)</f>
        <v>45596280</v>
      </c>
    </row>
    <row r="2055" spans="1:6" x14ac:dyDescent="0.35">
      <c r="A2055" s="2">
        <f ca="1">IFERROR(__xludf.DUMMYFUNCTION("""COMPUTED_VALUE"""),44986.6666666666)</f>
        <v>44986.666666666599</v>
      </c>
      <c r="B2055" s="1">
        <f ca="1">IFERROR(__xludf.DUMMYFUNCTION("""COMPUTED_VALUE"""),23.19)</f>
        <v>23.19</v>
      </c>
      <c r="C2055" s="1">
        <f ca="1">IFERROR(__xludf.DUMMYFUNCTION("""COMPUTED_VALUE"""),23.26)</f>
        <v>23.26</v>
      </c>
      <c r="D2055" s="1">
        <f ca="1">IFERROR(__xludf.DUMMYFUNCTION("""COMPUTED_VALUE"""),22.51)</f>
        <v>22.51</v>
      </c>
      <c r="E2055" s="1">
        <f ca="1">IFERROR(__xludf.DUMMYFUNCTION("""COMPUTED_VALUE"""),22.7)</f>
        <v>22.7</v>
      </c>
      <c r="F2055" s="1">
        <f ca="1">IFERROR(__xludf.DUMMYFUNCTION("""COMPUTED_VALUE"""),46002562)</f>
        <v>46002562</v>
      </c>
    </row>
    <row r="2056" spans="1:6" x14ac:dyDescent="0.35">
      <c r="A2056" s="2">
        <f ca="1">IFERROR(__xludf.DUMMYFUNCTION("""COMPUTED_VALUE"""),44987.6666666666)</f>
        <v>44987.666666666599</v>
      </c>
      <c r="B2056" s="1">
        <f ca="1">IFERROR(__xludf.DUMMYFUNCTION("""COMPUTED_VALUE"""),22.49)</f>
        <v>22.49</v>
      </c>
      <c r="C2056" s="1">
        <f ca="1">IFERROR(__xludf.DUMMYFUNCTION("""COMPUTED_VALUE"""),23.38)</f>
        <v>23.38</v>
      </c>
      <c r="D2056" s="1">
        <f ca="1">IFERROR(__xludf.DUMMYFUNCTION("""COMPUTED_VALUE"""),22.43)</f>
        <v>22.43</v>
      </c>
      <c r="E2056" s="1">
        <f ca="1">IFERROR(__xludf.DUMMYFUNCTION("""COMPUTED_VALUE"""),23.31)</f>
        <v>23.31</v>
      </c>
      <c r="F2056" s="1">
        <f ca="1">IFERROR(__xludf.DUMMYFUNCTION("""COMPUTED_VALUE"""),39007465)</f>
        <v>39007465</v>
      </c>
    </row>
    <row r="2057" spans="1:6" x14ac:dyDescent="0.35">
      <c r="A2057" s="2">
        <f ca="1">IFERROR(__xludf.DUMMYFUNCTION("""COMPUTED_VALUE"""),44988.6666666666)</f>
        <v>44988.666666666599</v>
      </c>
      <c r="B2057" s="1">
        <f ca="1">IFERROR(__xludf.DUMMYFUNCTION("""COMPUTED_VALUE"""),23.32)</f>
        <v>23.32</v>
      </c>
      <c r="C2057" s="1">
        <f ca="1">IFERROR(__xludf.DUMMYFUNCTION("""COMPUTED_VALUE"""),23.9)</f>
        <v>23.9</v>
      </c>
      <c r="D2057" s="1">
        <f ca="1">IFERROR(__xludf.DUMMYFUNCTION("""COMPUTED_VALUE"""),23.13)</f>
        <v>23.13</v>
      </c>
      <c r="E2057" s="1">
        <f ca="1">IFERROR(__xludf.DUMMYFUNCTION("""COMPUTED_VALUE"""),23.89)</f>
        <v>23.89</v>
      </c>
      <c r="F2057" s="1">
        <f ca="1">IFERROR(__xludf.DUMMYFUNCTION("""COMPUTED_VALUE"""),41239330)</f>
        <v>41239330</v>
      </c>
    </row>
    <row r="2058" spans="1:6" x14ac:dyDescent="0.35">
      <c r="A2058" s="2">
        <f ca="1">IFERROR(__xludf.DUMMYFUNCTION("""COMPUTED_VALUE"""),44991.6666666666)</f>
        <v>44991.666666666599</v>
      </c>
      <c r="B2058" s="1">
        <f ca="1">IFERROR(__xludf.DUMMYFUNCTION("""COMPUTED_VALUE"""),23.89)</f>
        <v>23.89</v>
      </c>
      <c r="C2058" s="1">
        <f ca="1">IFERROR(__xludf.DUMMYFUNCTION("""COMPUTED_VALUE"""),24.25)</f>
        <v>24.25</v>
      </c>
      <c r="D2058" s="1">
        <f ca="1">IFERROR(__xludf.DUMMYFUNCTION("""COMPUTED_VALUE"""),23.49)</f>
        <v>23.49</v>
      </c>
      <c r="E2058" s="1">
        <f ca="1">IFERROR(__xludf.DUMMYFUNCTION("""COMPUTED_VALUE"""),23.55)</f>
        <v>23.55</v>
      </c>
      <c r="F2058" s="1">
        <f ca="1">IFERROR(__xludf.DUMMYFUNCTION("""COMPUTED_VALUE"""),43742923)</f>
        <v>43742923</v>
      </c>
    </row>
    <row r="2059" spans="1:6" x14ac:dyDescent="0.35">
      <c r="A2059" s="2">
        <f ca="1">IFERROR(__xludf.DUMMYFUNCTION("""COMPUTED_VALUE"""),44992.6666666666)</f>
        <v>44992.666666666599</v>
      </c>
      <c r="B2059" s="1">
        <f ca="1">IFERROR(__xludf.DUMMYFUNCTION("""COMPUTED_VALUE"""),23.6)</f>
        <v>23.6</v>
      </c>
      <c r="C2059" s="1">
        <f ca="1">IFERROR(__xludf.DUMMYFUNCTION("""COMPUTED_VALUE"""),24.13)</f>
        <v>24.13</v>
      </c>
      <c r="D2059" s="1">
        <f ca="1">IFERROR(__xludf.DUMMYFUNCTION("""COMPUTED_VALUE"""),23.24)</f>
        <v>23.24</v>
      </c>
      <c r="E2059" s="1">
        <f ca="1">IFERROR(__xludf.DUMMYFUNCTION("""COMPUTED_VALUE"""),23.29)</f>
        <v>23.29</v>
      </c>
      <c r="F2059" s="1">
        <f ca="1">IFERROR(__xludf.DUMMYFUNCTION("""COMPUTED_VALUE"""),51515388)</f>
        <v>51515388</v>
      </c>
    </row>
    <row r="2060" spans="1:6" x14ac:dyDescent="0.35">
      <c r="A2060" s="2">
        <f ca="1">IFERROR(__xludf.DUMMYFUNCTION("""COMPUTED_VALUE"""),44993.6666666666)</f>
        <v>44993.666666666599</v>
      </c>
      <c r="B2060" s="1">
        <f ca="1">IFERROR(__xludf.DUMMYFUNCTION("""COMPUTED_VALUE"""),23.49)</f>
        <v>23.49</v>
      </c>
      <c r="C2060" s="1">
        <f ca="1">IFERROR(__xludf.DUMMYFUNCTION("""COMPUTED_VALUE"""),24.2)</f>
        <v>24.2</v>
      </c>
      <c r="D2060" s="1">
        <f ca="1">IFERROR(__xludf.DUMMYFUNCTION("""COMPUTED_VALUE"""),23.42)</f>
        <v>23.42</v>
      </c>
      <c r="E2060" s="1">
        <f ca="1">IFERROR(__xludf.DUMMYFUNCTION("""COMPUTED_VALUE"""),24.18)</f>
        <v>24.18</v>
      </c>
      <c r="F2060" s="1">
        <f ca="1">IFERROR(__xludf.DUMMYFUNCTION("""COMPUTED_VALUE"""),51357339)</f>
        <v>51357339</v>
      </c>
    </row>
    <row r="2061" spans="1:6" x14ac:dyDescent="0.35">
      <c r="A2061" s="2">
        <f ca="1">IFERROR(__xludf.DUMMYFUNCTION("""COMPUTED_VALUE"""),44994.6666666666)</f>
        <v>44994.666666666599</v>
      </c>
      <c r="B2061" s="1">
        <f ca="1">IFERROR(__xludf.DUMMYFUNCTION("""COMPUTED_VALUE"""),24.18)</f>
        <v>24.18</v>
      </c>
      <c r="C2061" s="1">
        <f ca="1">IFERROR(__xludf.DUMMYFUNCTION("""COMPUTED_VALUE"""),24.45)</f>
        <v>24.45</v>
      </c>
      <c r="D2061" s="1">
        <f ca="1">IFERROR(__xludf.DUMMYFUNCTION("""COMPUTED_VALUE"""),23.38)</f>
        <v>23.38</v>
      </c>
      <c r="E2061" s="1">
        <f ca="1">IFERROR(__xludf.DUMMYFUNCTION("""COMPUTED_VALUE"""),23.44)</f>
        <v>23.44</v>
      </c>
      <c r="F2061" s="1">
        <f ca="1">IFERROR(__xludf.DUMMYFUNCTION("""COMPUTED_VALUE"""),50125699)</f>
        <v>50125699</v>
      </c>
    </row>
    <row r="2062" spans="1:6" x14ac:dyDescent="0.35">
      <c r="A2062" s="2">
        <f ca="1">IFERROR(__xludf.DUMMYFUNCTION("""COMPUTED_VALUE"""),44995.6666666666)</f>
        <v>44995.666666666599</v>
      </c>
      <c r="B2062" s="1">
        <f ca="1">IFERROR(__xludf.DUMMYFUNCTION("""COMPUTED_VALUE"""),23.41)</f>
        <v>23.41</v>
      </c>
      <c r="C2062" s="1">
        <f ca="1">IFERROR(__xludf.DUMMYFUNCTION("""COMPUTED_VALUE"""),23.63)</f>
        <v>23.63</v>
      </c>
      <c r="D2062" s="1">
        <f ca="1">IFERROR(__xludf.DUMMYFUNCTION("""COMPUTED_VALUE"""),22.73)</f>
        <v>22.73</v>
      </c>
      <c r="E2062" s="1">
        <f ca="1">IFERROR(__xludf.DUMMYFUNCTION("""COMPUTED_VALUE"""),22.97)</f>
        <v>22.97</v>
      </c>
      <c r="F2062" s="1">
        <f ca="1">IFERROR(__xludf.DUMMYFUNCTION("""COMPUTED_VALUE"""),47486565)</f>
        <v>47486565</v>
      </c>
    </row>
    <row r="2063" spans="1:6" x14ac:dyDescent="0.35">
      <c r="A2063" s="2">
        <f ca="1">IFERROR(__xludf.DUMMYFUNCTION("""COMPUTED_VALUE"""),44998.6666666666)</f>
        <v>44998.666666666599</v>
      </c>
      <c r="B2063" s="1">
        <f ca="1">IFERROR(__xludf.DUMMYFUNCTION("""COMPUTED_VALUE"""),22.75)</f>
        <v>22.75</v>
      </c>
      <c r="C2063" s="1">
        <f ca="1">IFERROR(__xludf.DUMMYFUNCTION("""COMPUTED_VALUE"""),23.3)</f>
        <v>23.3</v>
      </c>
      <c r="D2063" s="1">
        <f ca="1">IFERROR(__xludf.DUMMYFUNCTION("""COMPUTED_VALUE"""),22.3)</f>
        <v>22.3</v>
      </c>
      <c r="E2063" s="1">
        <f ca="1">IFERROR(__xludf.DUMMYFUNCTION("""COMPUTED_VALUE"""),22.97)</f>
        <v>22.97</v>
      </c>
      <c r="F2063" s="1">
        <f ca="1">IFERROR(__xludf.DUMMYFUNCTION("""COMPUTED_VALUE"""),42189032)</f>
        <v>42189032</v>
      </c>
    </row>
    <row r="2064" spans="1:6" x14ac:dyDescent="0.35">
      <c r="A2064" s="2">
        <f ca="1">IFERROR(__xludf.DUMMYFUNCTION("""COMPUTED_VALUE"""),44999.6666666666)</f>
        <v>44999.666666666599</v>
      </c>
      <c r="B2064" s="1">
        <f ca="1">IFERROR(__xludf.DUMMYFUNCTION("""COMPUTED_VALUE"""),23.5)</f>
        <v>23.5</v>
      </c>
      <c r="C2064" s="1">
        <f ca="1">IFERROR(__xludf.DUMMYFUNCTION("""COMPUTED_VALUE"""),24.22)</f>
        <v>24.22</v>
      </c>
      <c r="D2064" s="1">
        <f ca="1">IFERROR(__xludf.DUMMYFUNCTION("""COMPUTED_VALUE"""),23.46)</f>
        <v>23.46</v>
      </c>
      <c r="E2064" s="1">
        <f ca="1">IFERROR(__xludf.DUMMYFUNCTION("""COMPUTED_VALUE"""),24.06)</f>
        <v>24.06</v>
      </c>
      <c r="F2064" s="1">
        <f ca="1">IFERROR(__xludf.DUMMYFUNCTION("""COMPUTED_VALUE"""),47491013)</f>
        <v>47491013</v>
      </c>
    </row>
    <row r="2065" spans="1:6" x14ac:dyDescent="0.35">
      <c r="A2065" s="2">
        <f ca="1">IFERROR(__xludf.DUMMYFUNCTION("""COMPUTED_VALUE"""),45000.6666666666)</f>
        <v>45000.666666666599</v>
      </c>
      <c r="B2065" s="1">
        <f ca="1">IFERROR(__xludf.DUMMYFUNCTION("""COMPUTED_VALUE"""),23.76)</f>
        <v>23.76</v>
      </c>
      <c r="C2065" s="1">
        <f ca="1">IFERROR(__xludf.DUMMYFUNCTION("""COMPUTED_VALUE"""),24.29)</f>
        <v>24.29</v>
      </c>
      <c r="D2065" s="1">
        <f ca="1">IFERROR(__xludf.DUMMYFUNCTION("""COMPUTED_VALUE"""),23.36)</f>
        <v>23.36</v>
      </c>
      <c r="E2065" s="1">
        <f ca="1">IFERROR(__xludf.DUMMYFUNCTION("""COMPUTED_VALUE"""),24.23)</f>
        <v>24.23</v>
      </c>
      <c r="F2065" s="1">
        <f ca="1">IFERROR(__xludf.DUMMYFUNCTION("""COMPUTED_VALUE"""),52448574)</f>
        <v>52448574</v>
      </c>
    </row>
    <row r="2066" spans="1:6" x14ac:dyDescent="0.35">
      <c r="A2066" s="2">
        <f ca="1">IFERROR(__xludf.DUMMYFUNCTION("""COMPUTED_VALUE"""),45001.6666666666)</f>
        <v>45001.666666666599</v>
      </c>
      <c r="B2066" s="1">
        <f ca="1">IFERROR(__xludf.DUMMYFUNCTION("""COMPUTED_VALUE"""),24.03)</f>
        <v>24.03</v>
      </c>
      <c r="C2066" s="1">
        <f ca="1">IFERROR(__xludf.DUMMYFUNCTION("""COMPUTED_VALUE"""),25.59)</f>
        <v>25.59</v>
      </c>
      <c r="D2066" s="1">
        <f ca="1">IFERROR(__xludf.DUMMYFUNCTION("""COMPUTED_VALUE"""),23.89)</f>
        <v>23.89</v>
      </c>
      <c r="E2066" s="1">
        <f ca="1">IFERROR(__xludf.DUMMYFUNCTION("""COMPUTED_VALUE"""),25.54)</f>
        <v>25.54</v>
      </c>
      <c r="F2066" s="1">
        <f ca="1">IFERROR(__xludf.DUMMYFUNCTION("""COMPUTED_VALUE"""),58494626)</f>
        <v>58494626</v>
      </c>
    </row>
    <row r="2067" spans="1:6" x14ac:dyDescent="0.35">
      <c r="A2067" s="2">
        <f ca="1">IFERROR(__xludf.DUMMYFUNCTION("""COMPUTED_VALUE"""),45002.6666666666)</f>
        <v>45002.666666666599</v>
      </c>
      <c r="B2067" s="1">
        <f ca="1">IFERROR(__xludf.DUMMYFUNCTION("""COMPUTED_VALUE"""),25.98)</f>
        <v>25.98</v>
      </c>
      <c r="C2067" s="1">
        <f ca="1">IFERROR(__xludf.DUMMYFUNCTION("""COMPUTED_VALUE"""),26.4)</f>
        <v>26.4</v>
      </c>
      <c r="D2067" s="1">
        <f ca="1">IFERROR(__xludf.DUMMYFUNCTION("""COMPUTED_VALUE"""),25.67)</f>
        <v>25.67</v>
      </c>
      <c r="E2067" s="1">
        <f ca="1">IFERROR(__xludf.DUMMYFUNCTION("""COMPUTED_VALUE"""),25.73)</f>
        <v>25.73</v>
      </c>
      <c r="F2067" s="1">
        <f ca="1">IFERROR(__xludf.DUMMYFUNCTION("""COMPUTED_VALUE"""),84854656)</f>
        <v>84854656</v>
      </c>
    </row>
    <row r="2068" spans="1:6" x14ac:dyDescent="0.35">
      <c r="A2068" s="2">
        <f ca="1">IFERROR(__xludf.DUMMYFUNCTION("""COMPUTED_VALUE"""),45005.6666666666)</f>
        <v>45005.666666666599</v>
      </c>
      <c r="B2068" s="1">
        <f ca="1">IFERROR(__xludf.DUMMYFUNCTION("""COMPUTED_VALUE"""),25.62)</f>
        <v>25.62</v>
      </c>
      <c r="C2068" s="1">
        <f ca="1">IFERROR(__xludf.DUMMYFUNCTION("""COMPUTED_VALUE"""),26.02)</f>
        <v>26.02</v>
      </c>
      <c r="D2068" s="1">
        <f ca="1">IFERROR(__xludf.DUMMYFUNCTION("""COMPUTED_VALUE"""),25.13)</f>
        <v>25.13</v>
      </c>
      <c r="E2068" s="1">
        <f ca="1">IFERROR(__xludf.DUMMYFUNCTION("""COMPUTED_VALUE"""),25.9)</f>
        <v>25.9</v>
      </c>
      <c r="F2068" s="1">
        <f ca="1">IFERROR(__xludf.DUMMYFUNCTION("""COMPUTED_VALUE"""),43274719)</f>
        <v>43274719</v>
      </c>
    </row>
    <row r="2069" spans="1:6" x14ac:dyDescent="0.35">
      <c r="A2069" s="2">
        <f ca="1">IFERROR(__xludf.DUMMYFUNCTION("""COMPUTED_VALUE"""),45006.6666666666)</f>
        <v>45006.666666666599</v>
      </c>
      <c r="B2069" s="1">
        <f ca="1">IFERROR(__xludf.DUMMYFUNCTION("""COMPUTED_VALUE"""),26.18)</f>
        <v>26.18</v>
      </c>
      <c r="C2069" s="1">
        <f ca="1">IFERROR(__xludf.DUMMYFUNCTION("""COMPUTED_VALUE"""),26.39)</f>
        <v>26.39</v>
      </c>
      <c r="D2069" s="1">
        <f ca="1">IFERROR(__xludf.DUMMYFUNCTION("""COMPUTED_VALUE"""),25.38)</f>
        <v>25.38</v>
      </c>
      <c r="E2069" s="1">
        <f ca="1">IFERROR(__xludf.DUMMYFUNCTION("""COMPUTED_VALUE"""),26.2)</f>
        <v>26.2</v>
      </c>
      <c r="F2069" s="1">
        <f ca="1">IFERROR(__xludf.DUMMYFUNCTION("""COMPUTED_VALUE"""),54740776)</f>
        <v>54740776</v>
      </c>
    </row>
    <row r="2070" spans="1:6" x14ac:dyDescent="0.35">
      <c r="A2070" s="2">
        <f ca="1">IFERROR(__xludf.DUMMYFUNCTION("""COMPUTED_VALUE"""),45007.6666666666)</f>
        <v>45007.666666666599</v>
      </c>
      <c r="B2070" s="1">
        <f ca="1">IFERROR(__xludf.DUMMYFUNCTION("""COMPUTED_VALUE"""),26.43)</f>
        <v>26.43</v>
      </c>
      <c r="C2070" s="1">
        <f ca="1">IFERROR(__xludf.DUMMYFUNCTION("""COMPUTED_VALUE"""),27.59)</f>
        <v>27.59</v>
      </c>
      <c r="D2070" s="1">
        <f ca="1">IFERROR(__xludf.DUMMYFUNCTION("""COMPUTED_VALUE"""),26.24)</f>
        <v>26.24</v>
      </c>
      <c r="E2070" s="1">
        <f ca="1">IFERROR(__xludf.DUMMYFUNCTION("""COMPUTED_VALUE"""),26.47)</f>
        <v>26.47</v>
      </c>
      <c r="F2070" s="1">
        <f ca="1">IFERROR(__xludf.DUMMYFUNCTION("""COMPUTED_VALUE"""),79729511)</f>
        <v>79729511</v>
      </c>
    </row>
    <row r="2071" spans="1:6" x14ac:dyDescent="0.35">
      <c r="A2071" s="2">
        <f ca="1">IFERROR(__xludf.DUMMYFUNCTION("""COMPUTED_VALUE"""),45008.6666666666)</f>
        <v>45008.666666666599</v>
      </c>
      <c r="B2071" s="1">
        <f ca="1">IFERROR(__xludf.DUMMYFUNCTION("""COMPUTED_VALUE"""),27.12)</f>
        <v>27.12</v>
      </c>
      <c r="C2071" s="1">
        <f ca="1">IFERROR(__xludf.DUMMYFUNCTION("""COMPUTED_VALUE"""),27.5)</f>
        <v>27.5</v>
      </c>
      <c r="D2071" s="1">
        <f ca="1">IFERROR(__xludf.DUMMYFUNCTION("""COMPUTED_VALUE"""),26.69)</f>
        <v>26.69</v>
      </c>
      <c r="E2071" s="1">
        <f ca="1">IFERROR(__xludf.DUMMYFUNCTION("""COMPUTED_VALUE"""),27.19)</f>
        <v>27.19</v>
      </c>
      <c r="F2071" s="1">
        <f ca="1">IFERROR(__xludf.DUMMYFUNCTION("""COMPUTED_VALUE"""),56488876)</f>
        <v>56488876</v>
      </c>
    </row>
    <row r="2072" spans="1:6" x14ac:dyDescent="0.35">
      <c r="A2072" s="2">
        <f ca="1">IFERROR(__xludf.DUMMYFUNCTION("""COMPUTED_VALUE"""),45009.6666666666)</f>
        <v>45009.666666666599</v>
      </c>
      <c r="B2072" s="1">
        <f ca="1">IFERROR(__xludf.DUMMYFUNCTION("""COMPUTED_VALUE"""),27.03)</f>
        <v>27.03</v>
      </c>
      <c r="C2072" s="1">
        <f ca="1">IFERROR(__xludf.DUMMYFUNCTION("""COMPUTED_VALUE"""),27.17)</f>
        <v>27.17</v>
      </c>
      <c r="D2072" s="1">
        <f ca="1">IFERROR(__xludf.DUMMYFUNCTION("""COMPUTED_VALUE"""),26.36)</f>
        <v>26.36</v>
      </c>
      <c r="E2072" s="1">
        <f ca="1">IFERROR(__xludf.DUMMYFUNCTION("""COMPUTED_VALUE"""),26.78)</f>
        <v>26.78</v>
      </c>
      <c r="F2072" s="1">
        <f ca="1">IFERROR(__xludf.DUMMYFUNCTION("""COMPUTED_VALUE"""),45541407)</f>
        <v>45541407</v>
      </c>
    </row>
    <row r="2073" spans="1:6" x14ac:dyDescent="0.35">
      <c r="A2073" s="2">
        <f ca="1">IFERROR(__xludf.DUMMYFUNCTION("""COMPUTED_VALUE"""),45012.6666666666)</f>
        <v>45012.666666666599</v>
      </c>
      <c r="B2073" s="1">
        <f ca="1">IFERROR(__xludf.DUMMYFUNCTION("""COMPUTED_VALUE"""),26.84)</f>
        <v>26.84</v>
      </c>
      <c r="C2073" s="1">
        <f ca="1">IFERROR(__xludf.DUMMYFUNCTION("""COMPUTED_VALUE"""),27)</f>
        <v>27</v>
      </c>
      <c r="D2073" s="1">
        <f ca="1">IFERROR(__xludf.DUMMYFUNCTION("""COMPUTED_VALUE"""),26.37)</f>
        <v>26.37</v>
      </c>
      <c r="E2073" s="1">
        <f ca="1">IFERROR(__xludf.DUMMYFUNCTION("""COMPUTED_VALUE"""),26.53)</f>
        <v>26.53</v>
      </c>
      <c r="F2073" s="1">
        <f ca="1">IFERROR(__xludf.DUMMYFUNCTION("""COMPUTED_VALUE"""),36102574)</f>
        <v>36102574</v>
      </c>
    </row>
    <row r="2074" spans="1:6" x14ac:dyDescent="0.35">
      <c r="A2074" s="2">
        <f ca="1">IFERROR(__xludf.DUMMYFUNCTION("""COMPUTED_VALUE"""),45013.6666666666)</f>
        <v>45013.666666666599</v>
      </c>
      <c r="B2074" s="1">
        <f ca="1">IFERROR(__xludf.DUMMYFUNCTION("""COMPUTED_VALUE"""),26.45)</f>
        <v>26.45</v>
      </c>
      <c r="C2074" s="1">
        <f ca="1">IFERROR(__xludf.DUMMYFUNCTION("""COMPUTED_VALUE"""),26.51)</f>
        <v>26.51</v>
      </c>
      <c r="D2074" s="1">
        <f ca="1">IFERROR(__xludf.DUMMYFUNCTION("""COMPUTED_VALUE"""),25.85)</f>
        <v>25.85</v>
      </c>
      <c r="E2074" s="1">
        <f ca="1">IFERROR(__xludf.DUMMYFUNCTION("""COMPUTED_VALUE"""),26.41)</f>
        <v>26.41</v>
      </c>
      <c r="F2074" s="1">
        <f ca="1">IFERROR(__xludf.DUMMYFUNCTION("""COMPUTED_VALUE"""),35610378)</f>
        <v>35610378</v>
      </c>
    </row>
    <row r="2075" spans="1:6" x14ac:dyDescent="0.35">
      <c r="A2075" s="2">
        <f ca="1">IFERROR(__xludf.DUMMYFUNCTION("""COMPUTED_VALUE"""),45014.6666666666)</f>
        <v>45014.666666666599</v>
      </c>
      <c r="B2075" s="1">
        <f ca="1">IFERROR(__xludf.DUMMYFUNCTION("""COMPUTED_VALUE"""),26.83)</f>
        <v>26.83</v>
      </c>
      <c r="C2075" s="1">
        <f ca="1">IFERROR(__xludf.DUMMYFUNCTION("""COMPUTED_VALUE"""),27.08)</f>
        <v>27.08</v>
      </c>
      <c r="D2075" s="1">
        <f ca="1">IFERROR(__xludf.DUMMYFUNCTION("""COMPUTED_VALUE"""),26.6)</f>
        <v>26.6</v>
      </c>
      <c r="E2075" s="1">
        <f ca="1">IFERROR(__xludf.DUMMYFUNCTION("""COMPUTED_VALUE"""),26.98)</f>
        <v>26.98</v>
      </c>
      <c r="F2075" s="1">
        <f ca="1">IFERROR(__xludf.DUMMYFUNCTION("""COMPUTED_VALUE"""),39369387)</f>
        <v>39369387</v>
      </c>
    </row>
    <row r="2076" spans="1:6" x14ac:dyDescent="0.35">
      <c r="A2076" s="2">
        <f ca="1">IFERROR(__xludf.DUMMYFUNCTION("""COMPUTED_VALUE"""),45015.6666666666)</f>
        <v>45015.666666666599</v>
      </c>
      <c r="B2076" s="1">
        <f ca="1">IFERROR(__xludf.DUMMYFUNCTION("""COMPUTED_VALUE"""),27.23)</f>
        <v>27.23</v>
      </c>
      <c r="C2076" s="1">
        <f ca="1">IFERROR(__xludf.DUMMYFUNCTION("""COMPUTED_VALUE"""),27.5)</f>
        <v>27.5</v>
      </c>
      <c r="D2076" s="1">
        <f ca="1">IFERROR(__xludf.DUMMYFUNCTION("""COMPUTED_VALUE"""),27.1)</f>
        <v>27.1</v>
      </c>
      <c r="E2076" s="1">
        <f ca="1">IFERROR(__xludf.DUMMYFUNCTION("""COMPUTED_VALUE"""),27.38)</f>
        <v>27.38</v>
      </c>
      <c r="F2076" s="1">
        <f ca="1">IFERROR(__xludf.DUMMYFUNCTION("""COMPUTED_VALUE"""),36451574)</f>
        <v>36451574</v>
      </c>
    </row>
    <row r="2077" spans="1:6" x14ac:dyDescent="0.35">
      <c r="A2077" s="2">
        <f ca="1">IFERROR(__xludf.DUMMYFUNCTION("""COMPUTED_VALUE"""),45016.6666666666)</f>
        <v>45016.666666666599</v>
      </c>
      <c r="B2077" s="1">
        <f ca="1">IFERROR(__xludf.DUMMYFUNCTION("""COMPUTED_VALUE"""),27.14)</f>
        <v>27.14</v>
      </c>
      <c r="C2077" s="1">
        <f ca="1">IFERROR(__xludf.DUMMYFUNCTION("""COMPUTED_VALUE"""),27.83)</f>
        <v>27.83</v>
      </c>
      <c r="D2077" s="1">
        <f ca="1">IFERROR(__xludf.DUMMYFUNCTION("""COMPUTED_VALUE"""),27.11)</f>
        <v>27.11</v>
      </c>
      <c r="E2077" s="1">
        <f ca="1">IFERROR(__xludf.DUMMYFUNCTION("""COMPUTED_VALUE"""),27.78)</f>
        <v>27.78</v>
      </c>
      <c r="F2077" s="1">
        <f ca="1">IFERROR(__xludf.DUMMYFUNCTION("""COMPUTED_VALUE"""),43393277)</f>
        <v>43393277</v>
      </c>
    </row>
    <row r="2078" spans="1:6" x14ac:dyDescent="0.35">
      <c r="A2078" s="2">
        <f ca="1">IFERROR(__xludf.DUMMYFUNCTION("""COMPUTED_VALUE"""),45019.6666666666)</f>
        <v>45019.666666666599</v>
      </c>
      <c r="B2078" s="1">
        <f ca="1">IFERROR(__xludf.DUMMYFUNCTION("""COMPUTED_VALUE"""),27.51)</f>
        <v>27.51</v>
      </c>
      <c r="C2078" s="1">
        <f ca="1">IFERROR(__xludf.DUMMYFUNCTION("""COMPUTED_VALUE"""),28)</f>
        <v>28</v>
      </c>
      <c r="D2078" s="1">
        <f ca="1">IFERROR(__xludf.DUMMYFUNCTION("""COMPUTED_VALUE"""),27.34)</f>
        <v>27.34</v>
      </c>
      <c r="E2078" s="1">
        <f ca="1">IFERROR(__xludf.DUMMYFUNCTION("""COMPUTED_VALUE"""),27.97)</f>
        <v>27.97</v>
      </c>
      <c r="F2078" s="1">
        <f ca="1">IFERROR(__xludf.DUMMYFUNCTION("""COMPUTED_VALUE"""),39871560)</f>
        <v>39871560</v>
      </c>
    </row>
    <row r="2079" spans="1:6" x14ac:dyDescent="0.35">
      <c r="A2079" s="2">
        <f ca="1">IFERROR(__xludf.DUMMYFUNCTION("""COMPUTED_VALUE"""),45020.6666666666)</f>
        <v>45020.666666666599</v>
      </c>
      <c r="B2079" s="1">
        <f ca="1">IFERROR(__xludf.DUMMYFUNCTION("""COMPUTED_VALUE"""),27.97)</f>
        <v>27.97</v>
      </c>
      <c r="C2079" s="1">
        <f ca="1">IFERROR(__xludf.DUMMYFUNCTION("""COMPUTED_VALUE"""),28)</f>
        <v>28</v>
      </c>
      <c r="D2079" s="1">
        <f ca="1">IFERROR(__xludf.DUMMYFUNCTION("""COMPUTED_VALUE"""),27.31)</f>
        <v>27.31</v>
      </c>
      <c r="E2079" s="1">
        <f ca="1">IFERROR(__xludf.DUMMYFUNCTION("""COMPUTED_VALUE"""),27.45)</f>
        <v>27.45</v>
      </c>
      <c r="F2079" s="1">
        <f ca="1">IFERROR(__xludf.DUMMYFUNCTION("""COMPUTED_VALUE"""),36859153)</f>
        <v>36859153</v>
      </c>
    </row>
    <row r="2080" spans="1:6" x14ac:dyDescent="0.35">
      <c r="A2080" s="2">
        <f ca="1">IFERROR(__xludf.DUMMYFUNCTION("""COMPUTED_VALUE"""),45021.6666666666)</f>
        <v>45021.666666666599</v>
      </c>
      <c r="B2080" s="1">
        <f ca="1">IFERROR(__xludf.DUMMYFUNCTION("""COMPUTED_VALUE"""),26.83)</f>
        <v>26.83</v>
      </c>
      <c r="C2080" s="1">
        <f ca="1">IFERROR(__xludf.DUMMYFUNCTION("""COMPUTED_VALUE"""),27)</f>
        <v>27</v>
      </c>
      <c r="D2080" s="1">
        <f ca="1">IFERROR(__xludf.DUMMYFUNCTION("""COMPUTED_VALUE"""),26.4)</f>
        <v>26.4</v>
      </c>
      <c r="E2080" s="1">
        <f ca="1">IFERROR(__xludf.DUMMYFUNCTION("""COMPUTED_VALUE"""),26.88)</f>
        <v>26.88</v>
      </c>
      <c r="F2080" s="1">
        <f ca="1">IFERROR(__xludf.DUMMYFUNCTION("""COMPUTED_VALUE"""),51501474)</f>
        <v>51501474</v>
      </c>
    </row>
    <row r="2081" spans="1:6" x14ac:dyDescent="0.35">
      <c r="A2081" s="2">
        <f ca="1">IFERROR(__xludf.DUMMYFUNCTION("""COMPUTED_VALUE"""),45022.6666666666)</f>
        <v>45022.666666666599</v>
      </c>
      <c r="B2081" s="1">
        <f ca="1">IFERROR(__xludf.DUMMYFUNCTION("""COMPUTED_VALUE"""),26.58)</f>
        <v>26.58</v>
      </c>
      <c r="C2081" s="1">
        <f ca="1">IFERROR(__xludf.DUMMYFUNCTION("""COMPUTED_VALUE"""),27.08)</f>
        <v>27.08</v>
      </c>
      <c r="D2081" s="1">
        <f ca="1">IFERROR(__xludf.DUMMYFUNCTION("""COMPUTED_VALUE"""),26.43)</f>
        <v>26.43</v>
      </c>
      <c r="E2081" s="1">
        <f ca="1">IFERROR(__xludf.DUMMYFUNCTION("""COMPUTED_VALUE"""),27.04)</f>
        <v>27.04</v>
      </c>
      <c r="F2081" s="1">
        <f ca="1">IFERROR(__xludf.DUMMYFUNCTION("""COMPUTED_VALUE"""),39765434)</f>
        <v>39765434</v>
      </c>
    </row>
    <row r="2082" spans="1:6" x14ac:dyDescent="0.35">
      <c r="A2082" s="2">
        <f ca="1">IFERROR(__xludf.DUMMYFUNCTION("""COMPUTED_VALUE"""),45026.6666666666)</f>
        <v>45026.666666666599</v>
      </c>
      <c r="B2082" s="1">
        <f ca="1">IFERROR(__xludf.DUMMYFUNCTION("""COMPUTED_VALUE"""),26.82)</f>
        <v>26.82</v>
      </c>
      <c r="C2082" s="1">
        <f ca="1">IFERROR(__xludf.DUMMYFUNCTION("""COMPUTED_VALUE"""),27.62)</f>
        <v>27.62</v>
      </c>
      <c r="D2082" s="1">
        <f ca="1">IFERROR(__xludf.DUMMYFUNCTION("""COMPUTED_VALUE"""),26.67)</f>
        <v>26.67</v>
      </c>
      <c r="E2082" s="1">
        <f ca="1">IFERROR(__xludf.DUMMYFUNCTION("""COMPUTED_VALUE"""),27.58)</f>
        <v>27.58</v>
      </c>
      <c r="F2082" s="1">
        <f ca="1">IFERROR(__xludf.DUMMYFUNCTION("""COMPUTED_VALUE"""),39527855)</f>
        <v>39527855</v>
      </c>
    </row>
    <row r="2083" spans="1:6" x14ac:dyDescent="0.35">
      <c r="A2083" s="2">
        <f ca="1">IFERROR(__xludf.DUMMYFUNCTION("""COMPUTED_VALUE"""),45027.6666666666)</f>
        <v>45027.666666666599</v>
      </c>
      <c r="B2083" s="1">
        <f ca="1">IFERROR(__xludf.DUMMYFUNCTION("""COMPUTED_VALUE"""),27.72)</f>
        <v>27.72</v>
      </c>
      <c r="C2083" s="1">
        <f ca="1">IFERROR(__xludf.DUMMYFUNCTION("""COMPUTED_VALUE"""),27.79)</f>
        <v>27.79</v>
      </c>
      <c r="D2083" s="1">
        <f ca="1">IFERROR(__xludf.DUMMYFUNCTION("""COMPUTED_VALUE"""),27.13)</f>
        <v>27.13</v>
      </c>
      <c r="E2083" s="1">
        <f ca="1">IFERROR(__xludf.DUMMYFUNCTION("""COMPUTED_VALUE"""),27.17)</f>
        <v>27.17</v>
      </c>
      <c r="F2083" s="1">
        <f ca="1">IFERROR(__xludf.DUMMYFUNCTION("""COMPUTED_VALUE"""),31437817)</f>
        <v>31437817</v>
      </c>
    </row>
    <row r="2084" spans="1:6" x14ac:dyDescent="0.35">
      <c r="A2084" s="2">
        <f ca="1">IFERROR(__xludf.DUMMYFUNCTION("""COMPUTED_VALUE"""),45028.6666666666)</f>
        <v>45028.666666666599</v>
      </c>
      <c r="B2084" s="1">
        <f ca="1">IFERROR(__xludf.DUMMYFUNCTION("""COMPUTED_VALUE"""),27.37)</f>
        <v>27.37</v>
      </c>
      <c r="C2084" s="1">
        <f ca="1">IFERROR(__xludf.DUMMYFUNCTION("""COMPUTED_VALUE"""),27.47)</f>
        <v>27.47</v>
      </c>
      <c r="D2084" s="1">
        <f ca="1">IFERROR(__xludf.DUMMYFUNCTION("""COMPUTED_VALUE"""),26.45)</f>
        <v>26.45</v>
      </c>
      <c r="E2084" s="1">
        <f ca="1">IFERROR(__xludf.DUMMYFUNCTION("""COMPUTED_VALUE"""),26.5)</f>
        <v>26.5</v>
      </c>
      <c r="F2084" s="1">
        <f ca="1">IFERROR(__xludf.DUMMYFUNCTION("""COMPUTED_VALUE"""),44625895)</f>
        <v>44625895</v>
      </c>
    </row>
    <row r="2085" spans="1:6" x14ac:dyDescent="0.35">
      <c r="A2085" s="2">
        <f ca="1">IFERROR(__xludf.DUMMYFUNCTION("""COMPUTED_VALUE"""),45029.6666666666)</f>
        <v>45029.666666666599</v>
      </c>
      <c r="B2085" s="1">
        <f ca="1">IFERROR(__xludf.DUMMYFUNCTION("""COMPUTED_VALUE"""),26.73)</f>
        <v>26.73</v>
      </c>
      <c r="C2085" s="1">
        <f ca="1">IFERROR(__xludf.DUMMYFUNCTION("""COMPUTED_VALUE"""),26.89)</f>
        <v>26.89</v>
      </c>
      <c r="D2085" s="1">
        <f ca="1">IFERROR(__xludf.DUMMYFUNCTION("""COMPUTED_VALUE"""),26.33)</f>
        <v>26.33</v>
      </c>
      <c r="E2085" s="1">
        <f ca="1">IFERROR(__xludf.DUMMYFUNCTION("""COMPUTED_VALUE"""),26.46)</f>
        <v>26.46</v>
      </c>
      <c r="F2085" s="1">
        <f ca="1">IFERROR(__xludf.DUMMYFUNCTION("""COMPUTED_VALUE"""),35361528)</f>
        <v>35361528</v>
      </c>
    </row>
    <row r="2086" spans="1:6" x14ac:dyDescent="0.35">
      <c r="A2086" s="2">
        <f ca="1">IFERROR(__xludf.DUMMYFUNCTION("""COMPUTED_VALUE"""),45030.6666666666)</f>
        <v>45030.666666666599</v>
      </c>
      <c r="B2086" s="1">
        <f ca="1">IFERROR(__xludf.DUMMYFUNCTION("""COMPUTED_VALUE"""),26.5)</f>
        <v>26.5</v>
      </c>
      <c r="C2086" s="1">
        <f ca="1">IFERROR(__xludf.DUMMYFUNCTION("""COMPUTED_VALUE"""),26.88)</f>
        <v>26.88</v>
      </c>
      <c r="D2086" s="1">
        <f ca="1">IFERROR(__xludf.DUMMYFUNCTION("""COMPUTED_VALUE"""),26.22)</f>
        <v>26.22</v>
      </c>
      <c r="E2086" s="1">
        <f ca="1">IFERROR(__xludf.DUMMYFUNCTION("""COMPUTED_VALUE"""),26.76)</f>
        <v>26.76</v>
      </c>
      <c r="F2086" s="1">
        <f ca="1">IFERROR(__xludf.DUMMYFUNCTION("""COMPUTED_VALUE"""),39566013)</f>
        <v>39566013</v>
      </c>
    </row>
    <row r="2087" spans="1:6" x14ac:dyDescent="0.35">
      <c r="A2087" s="2">
        <f ca="1">IFERROR(__xludf.DUMMYFUNCTION("""COMPUTED_VALUE"""),45033.6666666666)</f>
        <v>45033.666666666599</v>
      </c>
      <c r="B2087" s="1">
        <f ca="1">IFERROR(__xludf.DUMMYFUNCTION("""COMPUTED_VALUE"""),26.57)</f>
        <v>26.57</v>
      </c>
      <c r="C2087" s="1">
        <f ca="1">IFERROR(__xludf.DUMMYFUNCTION("""COMPUTED_VALUE"""),27.01)</f>
        <v>27.01</v>
      </c>
      <c r="D2087" s="1">
        <f ca="1">IFERROR(__xludf.DUMMYFUNCTION("""COMPUTED_VALUE"""),26.43)</f>
        <v>26.43</v>
      </c>
      <c r="E2087" s="1">
        <f ca="1">IFERROR(__xludf.DUMMYFUNCTION("""COMPUTED_VALUE"""),27)</f>
        <v>27</v>
      </c>
      <c r="F2087" s="1">
        <f ca="1">IFERROR(__xludf.DUMMYFUNCTION("""COMPUTED_VALUE"""),32147130)</f>
        <v>32147130</v>
      </c>
    </row>
    <row r="2088" spans="1:6" x14ac:dyDescent="0.35">
      <c r="A2088" s="2">
        <f ca="1">IFERROR(__xludf.DUMMYFUNCTION("""COMPUTED_VALUE"""),45034.6666666666)</f>
        <v>45034.666666666599</v>
      </c>
      <c r="B2088" s="1">
        <f ca="1">IFERROR(__xludf.DUMMYFUNCTION("""COMPUTED_VALUE"""),27.53)</f>
        <v>27.53</v>
      </c>
      <c r="C2088" s="1">
        <f ca="1">IFERROR(__xludf.DUMMYFUNCTION("""COMPUTED_VALUE"""),28.11)</f>
        <v>28.11</v>
      </c>
      <c r="D2088" s="1">
        <f ca="1">IFERROR(__xludf.DUMMYFUNCTION("""COMPUTED_VALUE"""),27.36)</f>
        <v>27.36</v>
      </c>
      <c r="E2088" s="1">
        <f ca="1">IFERROR(__xludf.DUMMYFUNCTION("""COMPUTED_VALUE"""),27.67)</f>
        <v>27.67</v>
      </c>
      <c r="F2088" s="1">
        <f ca="1">IFERROR(__xludf.DUMMYFUNCTION("""COMPUTED_VALUE"""),60481154)</f>
        <v>60481154</v>
      </c>
    </row>
    <row r="2089" spans="1:6" x14ac:dyDescent="0.35">
      <c r="A2089" s="2">
        <f ca="1">IFERROR(__xludf.DUMMYFUNCTION("""COMPUTED_VALUE"""),45035.6666666666)</f>
        <v>45035.666666666599</v>
      </c>
      <c r="B2089" s="1">
        <f ca="1">IFERROR(__xludf.DUMMYFUNCTION("""COMPUTED_VALUE"""),27.36)</f>
        <v>27.36</v>
      </c>
      <c r="C2089" s="1">
        <f ca="1">IFERROR(__xludf.DUMMYFUNCTION("""COMPUTED_VALUE"""),28)</f>
        <v>28</v>
      </c>
      <c r="D2089" s="1">
        <f ca="1">IFERROR(__xludf.DUMMYFUNCTION("""COMPUTED_VALUE"""),27.23)</f>
        <v>27.23</v>
      </c>
      <c r="E2089" s="1">
        <f ca="1">IFERROR(__xludf.DUMMYFUNCTION("""COMPUTED_VALUE"""),27.93)</f>
        <v>27.93</v>
      </c>
      <c r="F2089" s="1">
        <f ca="1">IFERROR(__xludf.DUMMYFUNCTION("""COMPUTED_VALUE"""),35866041)</f>
        <v>35866041</v>
      </c>
    </row>
    <row r="2090" spans="1:6" x14ac:dyDescent="0.35">
      <c r="A2090" s="2">
        <f ca="1">IFERROR(__xludf.DUMMYFUNCTION("""COMPUTED_VALUE"""),45036.6666666666)</f>
        <v>45036.666666666599</v>
      </c>
      <c r="B2090" s="1">
        <f ca="1">IFERROR(__xludf.DUMMYFUNCTION("""COMPUTED_VALUE"""),27.67)</f>
        <v>27.67</v>
      </c>
      <c r="C2090" s="1">
        <f ca="1">IFERROR(__xludf.DUMMYFUNCTION("""COMPUTED_VALUE"""),28.03)</f>
        <v>28.03</v>
      </c>
      <c r="D2090" s="1">
        <f ca="1">IFERROR(__xludf.DUMMYFUNCTION("""COMPUTED_VALUE"""),27)</f>
        <v>27</v>
      </c>
      <c r="E2090" s="1">
        <f ca="1">IFERROR(__xludf.DUMMYFUNCTION("""COMPUTED_VALUE"""),27.1)</f>
        <v>27.1</v>
      </c>
      <c r="F2090" s="1">
        <f ca="1">IFERROR(__xludf.DUMMYFUNCTION("""COMPUTED_VALUE"""),42771326)</f>
        <v>42771326</v>
      </c>
    </row>
    <row r="2091" spans="1:6" x14ac:dyDescent="0.35">
      <c r="A2091" s="2">
        <f ca="1">IFERROR(__xludf.DUMMYFUNCTION("""COMPUTED_VALUE"""),45037.6666666666)</f>
        <v>45037.666666666599</v>
      </c>
      <c r="B2091" s="1">
        <f ca="1">IFERROR(__xludf.DUMMYFUNCTION("""COMPUTED_VALUE"""),26.95)</f>
        <v>26.95</v>
      </c>
      <c r="C2091" s="1">
        <f ca="1">IFERROR(__xludf.DUMMYFUNCTION("""COMPUTED_VALUE"""),27.18)</f>
        <v>27.18</v>
      </c>
      <c r="D2091" s="1">
        <f ca="1">IFERROR(__xludf.DUMMYFUNCTION("""COMPUTED_VALUE"""),26.72)</f>
        <v>26.72</v>
      </c>
      <c r="E2091" s="1">
        <f ca="1">IFERROR(__xludf.DUMMYFUNCTION("""COMPUTED_VALUE"""),27.12)</f>
        <v>27.12</v>
      </c>
      <c r="F2091" s="1">
        <f ca="1">IFERROR(__xludf.DUMMYFUNCTION("""COMPUTED_VALUE"""),34510277)</f>
        <v>34510277</v>
      </c>
    </row>
    <row r="2092" spans="1:6" x14ac:dyDescent="0.35">
      <c r="A2092" s="2">
        <f ca="1">IFERROR(__xludf.DUMMYFUNCTION("""COMPUTED_VALUE"""),45040.6666666666)</f>
        <v>45040.666666666599</v>
      </c>
      <c r="B2092" s="1">
        <f ca="1">IFERROR(__xludf.DUMMYFUNCTION("""COMPUTED_VALUE"""),27.01)</f>
        <v>27.01</v>
      </c>
      <c r="C2092" s="1">
        <f ca="1">IFERROR(__xludf.DUMMYFUNCTION("""COMPUTED_VALUE"""),27.37)</f>
        <v>27.37</v>
      </c>
      <c r="D2092" s="1">
        <f ca="1">IFERROR(__xludf.DUMMYFUNCTION("""COMPUTED_VALUE"""),26.67)</f>
        <v>26.67</v>
      </c>
      <c r="E2092" s="1">
        <f ca="1">IFERROR(__xludf.DUMMYFUNCTION("""COMPUTED_VALUE"""),27.04)</f>
        <v>27.04</v>
      </c>
      <c r="F2092" s="1">
        <f ca="1">IFERROR(__xludf.DUMMYFUNCTION("""COMPUTED_VALUE"""),33928186)</f>
        <v>33928186</v>
      </c>
    </row>
    <row r="2093" spans="1:6" x14ac:dyDescent="0.35">
      <c r="A2093" s="2">
        <f ca="1">IFERROR(__xludf.DUMMYFUNCTION("""COMPUTED_VALUE"""),45041.6666666666)</f>
        <v>45041.666666666599</v>
      </c>
      <c r="B2093" s="1">
        <f ca="1">IFERROR(__xludf.DUMMYFUNCTION("""COMPUTED_VALUE"""),27.08)</f>
        <v>27.08</v>
      </c>
      <c r="C2093" s="1">
        <f ca="1">IFERROR(__xludf.DUMMYFUNCTION("""COMPUTED_VALUE"""),27.25)</f>
        <v>27.25</v>
      </c>
      <c r="D2093" s="1">
        <f ca="1">IFERROR(__xludf.DUMMYFUNCTION("""COMPUTED_VALUE"""),26.23)</f>
        <v>26.23</v>
      </c>
      <c r="E2093" s="1">
        <f ca="1">IFERROR(__xludf.DUMMYFUNCTION("""COMPUTED_VALUE"""),26.24)</f>
        <v>26.24</v>
      </c>
      <c r="F2093" s="1">
        <f ca="1">IFERROR(__xludf.DUMMYFUNCTION("""COMPUTED_VALUE"""),37852716)</f>
        <v>37852716</v>
      </c>
    </row>
    <row r="2094" spans="1:6" x14ac:dyDescent="0.35">
      <c r="A2094" s="2">
        <f ca="1">IFERROR(__xludf.DUMMYFUNCTION("""COMPUTED_VALUE"""),45042.6666666666)</f>
        <v>45042.666666666599</v>
      </c>
      <c r="B2094" s="1">
        <f ca="1">IFERROR(__xludf.DUMMYFUNCTION("""COMPUTED_VALUE"""),27)</f>
        <v>27</v>
      </c>
      <c r="C2094" s="1">
        <f ca="1">IFERROR(__xludf.DUMMYFUNCTION("""COMPUTED_VALUE"""),27.33)</f>
        <v>27.33</v>
      </c>
      <c r="D2094" s="1">
        <f ca="1">IFERROR(__xludf.DUMMYFUNCTION("""COMPUTED_VALUE"""),26.71)</f>
        <v>26.71</v>
      </c>
      <c r="E2094" s="1">
        <f ca="1">IFERROR(__xludf.DUMMYFUNCTION("""COMPUTED_VALUE"""),26.96)</f>
        <v>26.96</v>
      </c>
      <c r="F2094" s="1">
        <f ca="1">IFERROR(__xludf.DUMMYFUNCTION("""COMPUTED_VALUE"""),40633681)</f>
        <v>40633681</v>
      </c>
    </row>
    <row r="2095" spans="1:6" x14ac:dyDescent="0.35">
      <c r="A2095" s="2">
        <f ca="1">IFERROR(__xludf.DUMMYFUNCTION("""COMPUTED_VALUE"""),45043.6666666666)</f>
        <v>45043.666666666599</v>
      </c>
      <c r="B2095" s="1">
        <f ca="1">IFERROR(__xludf.DUMMYFUNCTION("""COMPUTED_VALUE"""),27.36)</f>
        <v>27.36</v>
      </c>
      <c r="C2095" s="1">
        <f ca="1">IFERROR(__xludf.DUMMYFUNCTION("""COMPUTED_VALUE"""),27.5)</f>
        <v>27.5</v>
      </c>
      <c r="D2095" s="1">
        <f ca="1">IFERROR(__xludf.DUMMYFUNCTION("""COMPUTED_VALUE"""),26.63)</f>
        <v>26.63</v>
      </c>
      <c r="E2095" s="1">
        <f ca="1">IFERROR(__xludf.DUMMYFUNCTION("""COMPUTED_VALUE"""),27.23)</f>
        <v>27.23</v>
      </c>
      <c r="F2095" s="1">
        <f ca="1">IFERROR(__xludf.DUMMYFUNCTION("""COMPUTED_VALUE"""),37716119)</f>
        <v>37716119</v>
      </c>
    </row>
    <row r="2096" spans="1:6" x14ac:dyDescent="0.35">
      <c r="A2096" s="2">
        <f ca="1">IFERROR(__xludf.DUMMYFUNCTION("""COMPUTED_VALUE"""),45044.6666666666)</f>
        <v>45044.666666666599</v>
      </c>
      <c r="B2096" s="1">
        <f ca="1">IFERROR(__xludf.DUMMYFUNCTION("""COMPUTED_VALUE"""),27.23)</f>
        <v>27.23</v>
      </c>
      <c r="C2096" s="1">
        <f ca="1">IFERROR(__xludf.DUMMYFUNCTION("""COMPUTED_VALUE"""),27.76)</f>
        <v>27.76</v>
      </c>
      <c r="D2096" s="1">
        <f ca="1">IFERROR(__xludf.DUMMYFUNCTION("""COMPUTED_VALUE"""),27.07)</f>
        <v>27.07</v>
      </c>
      <c r="E2096" s="1">
        <f ca="1">IFERROR(__xludf.DUMMYFUNCTION("""COMPUTED_VALUE"""),27.75)</f>
        <v>27.75</v>
      </c>
      <c r="F2096" s="1">
        <f ca="1">IFERROR(__xludf.DUMMYFUNCTION("""COMPUTED_VALUE"""),29221614)</f>
        <v>29221614</v>
      </c>
    </row>
    <row r="2097" spans="1:6" x14ac:dyDescent="0.35">
      <c r="A2097" s="2">
        <f ca="1">IFERROR(__xludf.DUMMYFUNCTION("""COMPUTED_VALUE"""),45047.6666666666)</f>
        <v>45047.666666666599</v>
      </c>
      <c r="B2097" s="1">
        <f ca="1">IFERROR(__xludf.DUMMYFUNCTION("""COMPUTED_VALUE"""),27.84)</f>
        <v>27.84</v>
      </c>
      <c r="C2097" s="1">
        <f ca="1">IFERROR(__xludf.DUMMYFUNCTION("""COMPUTED_VALUE"""),29.06)</f>
        <v>29.06</v>
      </c>
      <c r="D2097" s="1">
        <f ca="1">IFERROR(__xludf.DUMMYFUNCTION("""COMPUTED_VALUE"""),27.78)</f>
        <v>27.78</v>
      </c>
      <c r="E2097" s="1">
        <f ca="1">IFERROR(__xludf.DUMMYFUNCTION("""COMPUTED_VALUE"""),28.91)</f>
        <v>28.91</v>
      </c>
      <c r="F2097" s="1">
        <f ca="1">IFERROR(__xludf.DUMMYFUNCTION("""COMPUTED_VALUE"""),57032853)</f>
        <v>57032853</v>
      </c>
    </row>
    <row r="2098" spans="1:6" x14ac:dyDescent="0.35">
      <c r="A2098" s="2">
        <f ca="1">IFERROR(__xludf.DUMMYFUNCTION("""COMPUTED_VALUE"""),45048.6666666666)</f>
        <v>45048.666666666599</v>
      </c>
      <c r="B2098" s="1">
        <f ca="1">IFERROR(__xludf.DUMMYFUNCTION("""COMPUTED_VALUE"""),28.68)</f>
        <v>28.68</v>
      </c>
      <c r="C2098" s="1">
        <f ca="1">IFERROR(__xludf.DUMMYFUNCTION("""COMPUTED_VALUE"""),28.84)</f>
        <v>28.84</v>
      </c>
      <c r="D2098" s="1">
        <f ca="1">IFERROR(__xludf.DUMMYFUNCTION("""COMPUTED_VALUE"""),28.08)</f>
        <v>28.08</v>
      </c>
      <c r="E2098" s="1">
        <f ca="1">IFERROR(__xludf.DUMMYFUNCTION("""COMPUTED_VALUE"""),28.21)</f>
        <v>28.21</v>
      </c>
      <c r="F2098" s="1">
        <f ca="1">IFERROR(__xludf.DUMMYFUNCTION("""COMPUTED_VALUE"""),40272957)</f>
        <v>40272957</v>
      </c>
    </row>
    <row r="2099" spans="1:6" x14ac:dyDescent="0.35">
      <c r="A2099" s="2">
        <f ca="1">IFERROR(__xludf.DUMMYFUNCTION("""COMPUTED_VALUE"""),45049.6666666666)</f>
        <v>45049.666666666599</v>
      </c>
      <c r="B2099" s="1">
        <f ca="1">IFERROR(__xludf.DUMMYFUNCTION("""COMPUTED_VALUE"""),27.84)</f>
        <v>27.84</v>
      </c>
      <c r="C2099" s="1">
        <f ca="1">IFERROR(__xludf.DUMMYFUNCTION("""COMPUTED_VALUE"""),28.37)</f>
        <v>28.37</v>
      </c>
      <c r="D2099" s="1">
        <f ca="1">IFERROR(__xludf.DUMMYFUNCTION("""COMPUTED_VALUE"""),27.47)</f>
        <v>27.47</v>
      </c>
      <c r="E2099" s="1">
        <f ca="1">IFERROR(__xludf.DUMMYFUNCTION("""COMPUTED_VALUE"""),27.8)</f>
        <v>27.8</v>
      </c>
      <c r="F2099" s="1">
        <f ca="1">IFERROR(__xludf.DUMMYFUNCTION("""COMPUTED_VALUE"""),38338740)</f>
        <v>38338740</v>
      </c>
    </row>
    <row r="2100" spans="1:6" x14ac:dyDescent="0.35">
      <c r="A2100" s="2">
        <f ca="1">IFERROR(__xludf.DUMMYFUNCTION("""COMPUTED_VALUE"""),45050.6666666666)</f>
        <v>45050.666666666599</v>
      </c>
      <c r="B2100" s="1">
        <f ca="1">IFERROR(__xludf.DUMMYFUNCTION("""COMPUTED_VALUE"""),27.65)</f>
        <v>27.65</v>
      </c>
      <c r="C2100" s="1">
        <f ca="1">IFERROR(__xludf.DUMMYFUNCTION("""COMPUTED_VALUE"""),27.86)</f>
        <v>27.86</v>
      </c>
      <c r="D2100" s="1">
        <f ca="1">IFERROR(__xludf.DUMMYFUNCTION("""COMPUTED_VALUE"""),27.24)</f>
        <v>27.24</v>
      </c>
      <c r="E2100" s="1">
        <f ca="1">IFERROR(__xludf.DUMMYFUNCTION("""COMPUTED_VALUE"""),27.56)</f>
        <v>27.56</v>
      </c>
      <c r="F2100" s="1">
        <f ca="1">IFERROR(__xludf.DUMMYFUNCTION("""COMPUTED_VALUE"""),32185041)</f>
        <v>32185041</v>
      </c>
    </row>
    <row r="2101" spans="1:6" x14ac:dyDescent="0.35">
      <c r="A2101" s="2">
        <f ca="1">IFERROR(__xludf.DUMMYFUNCTION("""COMPUTED_VALUE"""),45051.6666666666)</f>
        <v>45051.666666666599</v>
      </c>
      <c r="B2101" s="1">
        <f ca="1">IFERROR(__xludf.DUMMYFUNCTION("""COMPUTED_VALUE"""),27.83)</f>
        <v>27.83</v>
      </c>
      <c r="C2101" s="1">
        <f ca="1">IFERROR(__xludf.DUMMYFUNCTION("""COMPUTED_VALUE"""),28.76)</f>
        <v>28.76</v>
      </c>
      <c r="D2101" s="1">
        <f ca="1">IFERROR(__xludf.DUMMYFUNCTION("""COMPUTED_VALUE"""),27.73)</f>
        <v>27.73</v>
      </c>
      <c r="E2101" s="1">
        <f ca="1">IFERROR(__xludf.DUMMYFUNCTION("""COMPUTED_VALUE"""),28.68)</f>
        <v>28.68</v>
      </c>
      <c r="F2101" s="1">
        <f ca="1">IFERROR(__xludf.DUMMYFUNCTION("""COMPUTED_VALUE"""),36149408)</f>
        <v>36149408</v>
      </c>
    </row>
    <row r="2102" spans="1:6" x14ac:dyDescent="0.35">
      <c r="A2102" s="2">
        <f ca="1">IFERROR(__xludf.DUMMYFUNCTION("""COMPUTED_VALUE"""),45054.6666666666)</f>
        <v>45054.666666666599</v>
      </c>
      <c r="B2102" s="1">
        <f ca="1">IFERROR(__xludf.DUMMYFUNCTION("""COMPUTED_VALUE"""),28.52)</f>
        <v>28.52</v>
      </c>
      <c r="C2102" s="1">
        <f ca="1">IFERROR(__xludf.DUMMYFUNCTION("""COMPUTED_VALUE"""),29.22)</f>
        <v>29.22</v>
      </c>
      <c r="D2102" s="1">
        <f ca="1">IFERROR(__xludf.DUMMYFUNCTION("""COMPUTED_VALUE"""),28.35)</f>
        <v>28.35</v>
      </c>
      <c r="E2102" s="1">
        <f ca="1">IFERROR(__xludf.DUMMYFUNCTION("""COMPUTED_VALUE"""),29.15)</f>
        <v>29.15</v>
      </c>
      <c r="F2102" s="1">
        <f ca="1">IFERROR(__xludf.DUMMYFUNCTION("""COMPUTED_VALUE"""),34497890)</f>
        <v>34497890</v>
      </c>
    </row>
    <row r="2103" spans="1:6" x14ac:dyDescent="0.35">
      <c r="A2103" s="2">
        <f ca="1">IFERROR(__xludf.DUMMYFUNCTION("""COMPUTED_VALUE"""),45055.6666666666)</f>
        <v>45055.666666666599</v>
      </c>
      <c r="B2103" s="1">
        <f ca="1">IFERROR(__xludf.DUMMYFUNCTION("""COMPUTED_VALUE"""),28.9)</f>
        <v>28.9</v>
      </c>
      <c r="C2103" s="1">
        <f ca="1">IFERROR(__xludf.DUMMYFUNCTION("""COMPUTED_VALUE"""),28.97)</f>
        <v>28.97</v>
      </c>
      <c r="D2103" s="1">
        <f ca="1">IFERROR(__xludf.DUMMYFUNCTION("""COMPUTED_VALUE"""),28.45)</f>
        <v>28.45</v>
      </c>
      <c r="E2103" s="1">
        <f ca="1">IFERROR(__xludf.DUMMYFUNCTION("""COMPUTED_VALUE"""),28.57)</f>
        <v>28.57</v>
      </c>
      <c r="F2103" s="1">
        <f ca="1">IFERROR(__xludf.DUMMYFUNCTION("""COMPUTED_VALUE"""),31486946)</f>
        <v>31486946</v>
      </c>
    </row>
    <row r="2104" spans="1:6" x14ac:dyDescent="0.35">
      <c r="A2104" s="2">
        <f ca="1">IFERROR(__xludf.DUMMYFUNCTION("""COMPUTED_VALUE"""),45056.6666666666)</f>
        <v>45056.666666666599</v>
      </c>
      <c r="B2104" s="1">
        <f ca="1">IFERROR(__xludf.DUMMYFUNCTION("""COMPUTED_VALUE"""),29.01)</f>
        <v>29.01</v>
      </c>
      <c r="C2104" s="1">
        <f ca="1">IFERROR(__xludf.DUMMYFUNCTION("""COMPUTED_VALUE"""),29.11)</f>
        <v>29.11</v>
      </c>
      <c r="D2104" s="1">
        <f ca="1">IFERROR(__xludf.DUMMYFUNCTION("""COMPUTED_VALUE"""),28.46)</f>
        <v>28.46</v>
      </c>
      <c r="E2104" s="1">
        <f ca="1">IFERROR(__xludf.DUMMYFUNCTION("""COMPUTED_VALUE"""),28.89)</f>
        <v>28.89</v>
      </c>
      <c r="F2104" s="1">
        <f ca="1">IFERROR(__xludf.DUMMYFUNCTION("""COMPUTED_VALUE"""),36934998)</f>
        <v>36934998</v>
      </c>
    </row>
    <row r="2105" spans="1:6" x14ac:dyDescent="0.35">
      <c r="A2105" s="2">
        <f ca="1">IFERROR(__xludf.DUMMYFUNCTION("""COMPUTED_VALUE"""),45057.6666666666)</f>
        <v>45057.666666666599</v>
      </c>
      <c r="B2105" s="1">
        <f ca="1">IFERROR(__xludf.DUMMYFUNCTION("""COMPUTED_VALUE"""),28.9)</f>
        <v>28.9</v>
      </c>
      <c r="C2105" s="1">
        <f ca="1">IFERROR(__xludf.DUMMYFUNCTION("""COMPUTED_VALUE"""),28.95)</f>
        <v>28.95</v>
      </c>
      <c r="D2105" s="1">
        <f ca="1">IFERROR(__xludf.DUMMYFUNCTION("""COMPUTED_VALUE"""),28.25)</f>
        <v>28.25</v>
      </c>
      <c r="E2105" s="1">
        <f ca="1">IFERROR(__xludf.DUMMYFUNCTION("""COMPUTED_VALUE"""),28.58)</f>
        <v>28.58</v>
      </c>
      <c r="F2105" s="1">
        <f ca="1">IFERROR(__xludf.DUMMYFUNCTION("""COMPUTED_VALUE"""),32214903)</f>
        <v>32214903</v>
      </c>
    </row>
    <row r="2106" spans="1:6" x14ac:dyDescent="0.35">
      <c r="A2106" s="2">
        <f ca="1">IFERROR(__xludf.DUMMYFUNCTION("""COMPUTED_VALUE"""),45058.6666666666)</f>
        <v>45058.666666666599</v>
      </c>
      <c r="B2106" s="1">
        <f ca="1">IFERROR(__xludf.DUMMYFUNCTION("""COMPUTED_VALUE"""),28.53)</f>
        <v>28.53</v>
      </c>
      <c r="C2106" s="1">
        <f ca="1">IFERROR(__xludf.DUMMYFUNCTION("""COMPUTED_VALUE"""),28.78)</f>
        <v>28.78</v>
      </c>
      <c r="D2106" s="1">
        <f ca="1">IFERROR(__xludf.DUMMYFUNCTION("""COMPUTED_VALUE"""),28.05)</f>
        <v>28.05</v>
      </c>
      <c r="E2106" s="1">
        <f ca="1">IFERROR(__xludf.DUMMYFUNCTION("""COMPUTED_VALUE"""),28.34)</f>
        <v>28.34</v>
      </c>
      <c r="F2106" s="1">
        <f ca="1">IFERROR(__xludf.DUMMYFUNCTION("""COMPUTED_VALUE"""),27422225)</f>
        <v>27422225</v>
      </c>
    </row>
    <row r="2107" spans="1:6" x14ac:dyDescent="0.35">
      <c r="A2107" s="2">
        <f ca="1">IFERROR(__xludf.DUMMYFUNCTION("""COMPUTED_VALUE"""),45061.6666666666)</f>
        <v>45061.666666666599</v>
      </c>
      <c r="B2107" s="1">
        <f ca="1">IFERROR(__xludf.DUMMYFUNCTION("""COMPUTED_VALUE"""),28.51)</f>
        <v>28.51</v>
      </c>
      <c r="C2107" s="1">
        <f ca="1">IFERROR(__xludf.DUMMYFUNCTION("""COMPUTED_VALUE"""),28.97)</f>
        <v>28.97</v>
      </c>
      <c r="D2107" s="1">
        <f ca="1">IFERROR(__xludf.DUMMYFUNCTION("""COMPUTED_VALUE"""),28.15)</f>
        <v>28.15</v>
      </c>
      <c r="E2107" s="1">
        <f ca="1">IFERROR(__xludf.DUMMYFUNCTION("""COMPUTED_VALUE"""),28.95)</f>
        <v>28.95</v>
      </c>
      <c r="F2107" s="1">
        <f ca="1">IFERROR(__xludf.DUMMYFUNCTION("""COMPUTED_VALUE"""),29392587)</f>
        <v>29392587</v>
      </c>
    </row>
    <row r="2108" spans="1:6" x14ac:dyDescent="0.35">
      <c r="A2108" s="2">
        <f ca="1">IFERROR(__xludf.DUMMYFUNCTION("""COMPUTED_VALUE"""),45062.6666666666)</f>
        <v>45062.666666666599</v>
      </c>
      <c r="B2108" s="1">
        <f ca="1">IFERROR(__xludf.DUMMYFUNCTION("""COMPUTED_VALUE"""),28.84)</f>
        <v>28.84</v>
      </c>
      <c r="C2108" s="1">
        <f ca="1">IFERROR(__xludf.DUMMYFUNCTION("""COMPUTED_VALUE"""),29.87)</f>
        <v>29.87</v>
      </c>
      <c r="D2108" s="1">
        <f ca="1">IFERROR(__xludf.DUMMYFUNCTION("""COMPUTED_VALUE"""),28.83)</f>
        <v>28.83</v>
      </c>
      <c r="E2108" s="1">
        <f ca="1">IFERROR(__xludf.DUMMYFUNCTION("""COMPUTED_VALUE"""),29.21)</f>
        <v>29.21</v>
      </c>
      <c r="F2108" s="1">
        <f ca="1">IFERROR(__xludf.DUMMYFUNCTION("""COMPUTED_VALUE"""),44940494)</f>
        <v>44940494</v>
      </c>
    </row>
    <row r="2109" spans="1:6" x14ac:dyDescent="0.35">
      <c r="A2109" s="2">
        <f ca="1">IFERROR(__xludf.DUMMYFUNCTION("""COMPUTED_VALUE"""),45063.6666666666)</f>
        <v>45063.666666666599</v>
      </c>
      <c r="B2109" s="1">
        <f ca="1">IFERROR(__xludf.DUMMYFUNCTION("""COMPUTED_VALUE"""),29.58)</f>
        <v>29.58</v>
      </c>
      <c r="C2109" s="1">
        <f ca="1">IFERROR(__xludf.DUMMYFUNCTION("""COMPUTED_VALUE"""),30.2)</f>
        <v>30.2</v>
      </c>
      <c r="D2109" s="1">
        <f ca="1">IFERROR(__xludf.DUMMYFUNCTION("""COMPUTED_VALUE"""),29.43)</f>
        <v>29.43</v>
      </c>
      <c r="E2109" s="1">
        <f ca="1">IFERROR(__xludf.DUMMYFUNCTION("""COMPUTED_VALUE"""),30.18)</f>
        <v>30.18</v>
      </c>
      <c r="F2109" s="1">
        <f ca="1">IFERROR(__xludf.DUMMYFUNCTION("""COMPUTED_VALUE"""),43253541)</f>
        <v>43253541</v>
      </c>
    </row>
    <row r="2110" spans="1:6" x14ac:dyDescent="0.35">
      <c r="A2110" s="2">
        <f ca="1">IFERROR(__xludf.DUMMYFUNCTION("""COMPUTED_VALUE"""),45064.6666666666)</f>
        <v>45064.666666666599</v>
      </c>
      <c r="B2110" s="1">
        <f ca="1">IFERROR(__xludf.DUMMYFUNCTION("""COMPUTED_VALUE"""),30.41)</f>
        <v>30.41</v>
      </c>
      <c r="C2110" s="1">
        <f ca="1">IFERROR(__xludf.DUMMYFUNCTION("""COMPUTED_VALUE"""),31.83)</f>
        <v>31.83</v>
      </c>
      <c r="D2110" s="1">
        <f ca="1">IFERROR(__xludf.DUMMYFUNCTION("""COMPUTED_VALUE"""),30.32)</f>
        <v>30.32</v>
      </c>
      <c r="E2110" s="1">
        <f ca="1">IFERROR(__xludf.DUMMYFUNCTION("""COMPUTED_VALUE"""),31.68)</f>
        <v>31.68</v>
      </c>
      <c r="F2110" s="1">
        <f ca="1">IFERROR(__xludf.DUMMYFUNCTION("""COMPUTED_VALUE"""),74872501)</f>
        <v>74872501</v>
      </c>
    </row>
    <row r="2111" spans="1:6" x14ac:dyDescent="0.35">
      <c r="A2111" s="2">
        <f ca="1">IFERROR(__xludf.DUMMYFUNCTION("""COMPUTED_VALUE"""),45065.6666666666)</f>
        <v>45065.666666666599</v>
      </c>
      <c r="B2111" s="1">
        <f ca="1">IFERROR(__xludf.DUMMYFUNCTION("""COMPUTED_VALUE"""),31.54)</f>
        <v>31.54</v>
      </c>
      <c r="C2111" s="1">
        <f ca="1">IFERROR(__xludf.DUMMYFUNCTION("""COMPUTED_VALUE"""),31.58)</f>
        <v>31.58</v>
      </c>
      <c r="D2111" s="1">
        <f ca="1">IFERROR(__xludf.DUMMYFUNCTION("""COMPUTED_VALUE"""),30.92)</f>
        <v>30.92</v>
      </c>
      <c r="E2111" s="1">
        <f ca="1">IFERROR(__xludf.DUMMYFUNCTION("""COMPUTED_VALUE"""),31.26)</f>
        <v>31.26</v>
      </c>
      <c r="F2111" s="1">
        <f ca="1">IFERROR(__xludf.DUMMYFUNCTION("""COMPUTED_VALUE"""),47390765)</f>
        <v>47390765</v>
      </c>
    </row>
    <row r="2112" spans="1:6" x14ac:dyDescent="0.35">
      <c r="A2112" s="2">
        <f ca="1">IFERROR(__xludf.DUMMYFUNCTION("""COMPUTED_VALUE"""),45068.6666666666)</f>
        <v>45068.666666666599</v>
      </c>
      <c r="B2112" s="1">
        <f ca="1">IFERROR(__xludf.DUMMYFUNCTION("""COMPUTED_VALUE"""),30.9)</f>
        <v>30.9</v>
      </c>
      <c r="C2112" s="1">
        <f ca="1">IFERROR(__xludf.DUMMYFUNCTION("""COMPUTED_VALUE"""),31.52)</f>
        <v>31.52</v>
      </c>
      <c r="D2112" s="1">
        <f ca="1">IFERROR(__xludf.DUMMYFUNCTION("""COMPUTED_VALUE"""),30.68)</f>
        <v>30.68</v>
      </c>
      <c r="E2112" s="1">
        <f ca="1">IFERROR(__xludf.DUMMYFUNCTION("""COMPUTED_VALUE"""),31.18)</f>
        <v>31.18</v>
      </c>
      <c r="F2112" s="1">
        <f ca="1">IFERROR(__xludf.DUMMYFUNCTION("""COMPUTED_VALUE"""),37199967)</f>
        <v>37199967</v>
      </c>
    </row>
    <row r="2113" spans="1:6" x14ac:dyDescent="0.35">
      <c r="A2113" s="2">
        <f ca="1">IFERROR(__xludf.DUMMYFUNCTION("""COMPUTED_VALUE"""),45069.6666666666)</f>
        <v>45069.666666666599</v>
      </c>
      <c r="B2113" s="1">
        <f ca="1">IFERROR(__xludf.DUMMYFUNCTION("""COMPUTED_VALUE"""),31)</f>
        <v>31</v>
      </c>
      <c r="C2113" s="1">
        <f ca="1">IFERROR(__xludf.DUMMYFUNCTION("""COMPUTED_VALUE"""),31.29)</f>
        <v>31.29</v>
      </c>
      <c r="D2113" s="1">
        <f ca="1">IFERROR(__xludf.DUMMYFUNCTION("""COMPUTED_VALUE"""),30.63)</f>
        <v>30.63</v>
      </c>
      <c r="E2113" s="1">
        <f ca="1">IFERROR(__xludf.DUMMYFUNCTION("""COMPUTED_VALUE"""),30.69)</f>
        <v>30.69</v>
      </c>
      <c r="F2113" s="1">
        <f ca="1">IFERROR(__xludf.DUMMYFUNCTION("""COMPUTED_VALUE"""),35625326)</f>
        <v>35625326</v>
      </c>
    </row>
    <row r="2114" spans="1:6" x14ac:dyDescent="0.35">
      <c r="A2114" s="2">
        <f ca="1">IFERROR(__xludf.DUMMYFUNCTION("""COMPUTED_VALUE"""),45070.6666666666)</f>
        <v>45070.666666666599</v>
      </c>
      <c r="B2114" s="1">
        <f ca="1">IFERROR(__xludf.DUMMYFUNCTION("""COMPUTED_VALUE"""),30.21)</f>
        <v>30.21</v>
      </c>
      <c r="C2114" s="1">
        <f ca="1">IFERROR(__xludf.DUMMYFUNCTION("""COMPUTED_VALUE"""),30.61)</f>
        <v>30.61</v>
      </c>
      <c r="D2114" s="1">
        <f ca="1">IFERROR(__xludf.DUMMYFUNCTION("""COMPUTED_VALUE"""),29.81)</f>
        <v>29.81</v>
      </c>
      <c r="E2114" s="1">
        <f ca="1">IFERROR(__xludf.DUMMYFUNCTION("""COMPUTED_VALUE"""),30.54)</f>
        <v>30.54</v>
      </c>
      <c r="F2114" s="1">
        <f ca="1">IFERROR(__xludf.DUMMYFUNCTION("""COMPUTED_VALUE"""),72141851)</f>
        <v>72141851</v>
      </c>
    </row>
    <row r="2115" spans="1:6" x14ac:dyDescent="0.35">
      <c r="A2115" s="2">
        <f ca="1">IFERROR(__xludf.DUMMYFUNCTION("""COMPUTED_VALUE"""),45071.6666666666)</f>
        <v>45071.666666666599</v>
      </c>
      <c r="B2115" s="1">
        <f ca="1">IFERROR(__xludf.DUMMYFUNCTION("""COMPUTED_VALUE"""),38.52)</f>
        <v>38.520000000000003</v>
      </c>
      <c r="C2115" s="1">
        <f ca="1">IFERROR(__xludf.DUMMYFUNCTION("""COMPUTED_VALUE"""),39.48)</f>
        <v>39.479999999999997</v>
      </c>
      <c r="D2115" s="1">
        <f ca="1">IFERROR(__xludf.DUMMYFUNCTION("""COMPUTED_VALUE"""),36.64)</f>
        <v>36.64</v>
      </c>
      <c r="E2115" s="1">
        <f ca="1">IFERROR(__xludf.DUMMYFUNCTION("""COMPUTED_VALUE"""),37.98)</f>
        <v>37.979999999999997</v>
      </c>
      <c r="F2115" s="1">
        <f ca="1">IFERROR(__xludf.DUMMYFUNCTION("""COMPUTED_VALUE"""),154391067)</f>
        <v>154391067</v>
      </c>
    </row>
    <row r="2116" spans="1:6" x14ac:dyDescent="0.35">
      <c r="A2116" s="2">
        <f ca="1">IFERROR(__xludf.DUMMYFUNCTION("""COMPUTED_VALUE"""),45072.6666666666)</f>
        <v>45072.666666666599</v>
      </c>
      <c r="B2116" s="1">
        <f ca="1">IFERROR(__xludf.DUMMYFUNCTION("""COMPUTED_VALUE"""),37.89)</f>
        <v>37.89</v>
      </c>
      <c r="C2116" s="1">
        <f ca="1">IFERROR(__xludf.DUMMYFUNCTION("""COMPUTED_VALUE"""),39.17)</f>
        <v>39.17</v>
      </c>
      <c r="D2116" s="1">
        <f ca="1">IFERROR(__xludf.DUMMYFUNCTION("""COMPUTED_VALUE"""),37.55)</f>
        <v>37.549999999999997</v>
      </c>
      <c r="E2116" s="1">
        <f ca="1">IFERROR(__xludf.DUMMYFUNCTION("""COMPUTED_VALUE"""),38.95)</f>
        <v>38.950000000000003</v>
      </c>
      <c r="F2116" s="1">
        <f ca="1">IFERROR(__xludf.DUMMYFUNCTION("""COMPUTED_VALUE"""),71439676)</f>
        <v>71439676</v>
      </c>
    </row>
    <row r="2117" spans="1:6" x14ac:dyDescent="0.35">
      <c r="A2117" s="2">
        <f ca="1">IFERROR(__xludf.DUMMYFUNCTION("""COMPUTED_VALUE"""),45076.6666666666)</f>
        <v>45076.666666666599</v>
      </c>
      <c r="B2117" s="1">
        <f ca="1">IFERROR(__xludf.DUMMYFUNCTION("""COMPUTED_VALUE"""),40.6)</f>
        <v>40.6</v>
      </c>
      <c r="C2117" s="1">
        <f ca="1">IFERROR(__xludf.DUMMYFUNCTION("""COMPUTED_VALUE"""),41.94)</f>
        <v>41.94</v>
      </c>
      <c r="D2117" s="1">
        <f ca="1">IFERROR(__xludf.DUMMYFUNCTION("""COMPUTED_VALUE"""),39.95)</f>
        <v>39.950000000000003</v>
      </c>
      <c r="E2117" s="1">
        <f ca="1">IFERROR(__xludf.DUMMYFUNCTION("""COMPUTED_VALUE"""),40.11)</f>
        <v>40.11</v>
      </c>
      <c r="F2117" s="1">
        <f ca="1">IFERROR(__xludf.DUMMYFUNCTION("""COMPUTED_VALUE"""),92340110)</f>
        <v>92340110</v>
      </c>
    </row>
    <row r="2118" spans="1:6" x14ac:dyDescent="0.35">
      <c r="A2118" s="2">
        <f ca="1">IFERROR(__xludf.DUMMYFUNCTION("""COMPUTED_VALUE"""),45077.6666666666)</f>
        <v>45077.666666666599</v>
      </c>
      <c r="B2118" s="1">
        <f ca="1">IFERROR(__xludf.DUMMYFUNCTION("""COMPUTED_VALUE"""),39.49)</f>
        <v>39.49</v>
      </c>
      <c r="C2118" s="1">
        <f ca="1">IFERROR(__xludf.DUMMYFUNCTION("""COMPUTED_VALUE"""),40.3)</f>
        <v>40.299999999999997</v>
      </c>
      <c r="D2118" s="1">
        <f ca="1">IFERROR(__xludf.DUMMYFUNCTION("""COMPUTED_VALUE"""),37.82)</f>
        <v>37.82</v>
      </c>
      <c r="E2118" s="1">
        <f ca="1">IFERROR(__xludf.DUMMYFUNCTION("""COMPUTED_VALUE"""),37.83)</f>
        <v>37.83</v>
      </c>
      <c r="F2118" s="1">
        <f ca="1">IFERROR(__xludf.DUMMYFUNCTION("""COMPUTED_VALUE"""),100258020)</f>
        <v>100258020</v>
      </c>
    </row>
    <row r="2119" spans="1:6" x14ac:dyDescent="0.35">
      <c r="A2119" s="2">
        <f ca="1">IFERROR(__xludf.DUMMYFUNCTION("""COMPUTED_VALUE"""),45078.6666666666)</f>
        <v>45078.666666666599</v>
      </c>
      <c r="B2119" s="1">
        <f ca="1">IFERROR(__xludf.DUMMYFUNCTION("""COMPUTED_VALUE"""),38.49)</f>
        <v>38.49</v>
      </c>
      <c r="C2119" s="1">
        <f ca="1">IFERROR(__xludf.DUMMYFUNCTION("""COMPUTED_VALUE"""),40.05)</f>
        <v>40.049999999999997</v>
      </c>
      <c r="D2119" s="1">
        <f ca="1">IFERROR(__xludf.DUMMYFUNCTION("""COMPUTED_VALUE"""),38.34)</f>
        <v>38.340000000000003</v>
      </c>
      <c r="E2119" s="1">
        <f ca="1">IFERROR(__xludf.DUMMYFUNCTION("""COMPUTED_VALUE"""),39.77)</f>
        <v>39.770000000000003</v>
      </c>
      <c r="F2119" s="1">
        <f ca="1">IFERROR(__xludf.DUMMYFUNCTION("""COMPUTED_VALUE"""),63587295)</f>
        <v>63587295</v>
      </c>
    </row>
    <row r="2120" spans="1:6" x14ac:dyDescent="0.35">
      <c r="A2120" s="2">
        <f ca="1">IFERROR(__xludf.DUMMYFUNCTION("""COMPUTED_VALUE"""),45079.6666666666)</f>
        <v>45079.666666666599</v>
      </c>
      <c r="B2120" s="1">
        <f ca="1">IFERROR(__xludf.DUMMYFUNCTION("""COMPUTED_VALUE"""),40.1)</f>
        <v>40.1</v>
      </c>
      <c r="C2120" s="1">
        <f ca="1">IFERROR(__xludf.DUMMYFUNCTION("""COMPUTED_VALUE"""),40.5)</f>
        <v>40.5</v>
      </c>
      <c r="D2120" s="1">
        <f ca="1">IFERROR(__xludf.DUMMYFUNCTION("""COMPUTED_VALUE"""),39.06)</f>
        <v>39.06</v>
      </c>
      <c r="E2120" s="1">
        <f ca="1">IFERROR(__xludf.DUMMYFUNCTION("""COMPUTED_VALUE"""),39.33)</f>
        <v>39.33</v>
      </c>
      <c r="F2120" s="1">
        <f ca="1">IFERROR(__xludf.DUMMYFUNCTION("""COMPUTED_VALUE"""),48273121)</f>
        <v>48273121</v>
      </c>
    </row>
    <row r="2121" spans="1:6" x14ac:dyDescent="0.35">
      <c r="A2121" s="2">
        <f ca="1">IFERROR(__xludf.DUMMYFUNCTION("""COMPUTED_VALUE"""),45082.6666666666)</f>
        <v>45082.666666666599</v>
      </c>
      <c r="B2121" s="1">
        <f ca="1">IFERROR(__xludf.DUMMYFUNCTION("""COMPUTED_VALUE"""),38.91)</f>
        <v>38.909999999999997</v>
      </c>
      <c r="C2121" s="1">
        <f ca="1">IFERROR(__xludf.DUMMYFUNCTION("""COMPUTED_VALUE"""),39.57)</f>
        <v>39.57</v>
      </c>
      <c r="D2121" s="1">
        <f ca="1">IFERROR(__xludf.DUMMYFUNCTION("""COMPUTED_VALUE"""),38.71)</f>
        <v>38.71</v>
      </c>
      <c r="E2121" s="1">
        <f ca="1">IFERROR(__xludf.DUMMYFUNCTION("""COMPUTED_VALUE"""),39.17)</f>
        <v>39.17</v>
      </c>
      <c r="F2121" s="1">
        <f ca="1">IFERROR(__xludf.DUMMYFUNCTION("""COMPUTED_VALUE"""),39609381)</f>
        <v>39609381</v>
      </c>
    </row>
    <row r="2122" spans="1:6" x14ac:dyDescent="0.35">
      <c r="A2122" s="2">
        <f ca="1">IFERROR(__xludf.DUMMYFUNCTION("""COMPUTED_VALUE"""),45083.6666666666)</f>
        <v>45083.666666666599</v>
      </c>
      <c r="B2122" s="1">
        <f ca="1">IFERROR(__xludf.DUMMYFUNCTION("""COMPUTED_VALUE"""),38.83)</f>
        <v>38.83</v>
      </c>
      <c r="C2122" s="1">
        <f ca="1">IFERROR(__xludf.DUMMYFUNCTION("""COMPUTED_VALUE"""),39.16)</f>
        <v>39.159999999999997</v>
      </c>
      <c r="D2122" s="1">
        <f ca="1">IFERROR(__xludf.DUMMYFUNCTION("""COMPUTED_VALUE"""),38.15)</f>
        <v>38.15</v>
      </c>
      <c r="E2122" s="1">
        <f ca="1">IFERROR(__xludf.DUMMYFUNCTION("""COMPUTED_VALUE"""),38.65)</f>
        <v>38.65</v>
      </c>
      <c r="F2122" s="1">
        <f ca="1">IFERROR(__xludf.DUMMYFUNCTION("""COMPUTED_VALUE"""),38872914)</f>
        <v>38872914</v>
      </c>
    </row>
    <row r="2123" spans="1:6" x14ac:dyDescent="0.35">
      <c r="A2123" s="2">
        <f ca="1">IFERROR(__xludf.DUMMYFUNCTION("""COMPUTED_VALUE"""),45084.6666666666)</f>
        <v>45084.666666666599</v>
      </c>
      <c r="B2123" s="1">
        <f ca="1">IFERROR(__xludf.DUMMYFUNCTION("""COMPUTED_VALUE"""),38.92)</f>
        <v>38.92</v>
      </c>
      <c r="C2123" s="1">
        <f ca="1">IFERROR(__xludf.DUMMYFUNCTION("""COMPUTED_VALUE"""),39.5)</f>
        <v>39.5</v>
      </c>
      <c r="D2123" s="1">
        <f ca="1">IFERROR(__xludf.DUMMYFUNCTION("""COMPUTED_VALUE"""),37.36)</f>
        <v>37.36</v>
      </c>
      <c r="E2123" s="1">
        <f ca="1">IFERROR(__xludf.DUMMYFUNCTION("""COMPUTED_VALUE"""),37.48)</f>
        <v>37.479999999999997</v>
      </c>
      <c r="F2123" s="1">
        <f ca="1">IFERROR(__xludf.DUMMYFUNCTION("""COMPUTED_VALUE"""),51199789)</f>
        <v>51199789</v>
      </c>
    </row>
    <row r="2124" spans="1:6" x14ac:dyDescent="0.35">
      <c r="A2124" s="2">
        <f ca="1">IFERROR(__xludf.DUMMYFUNCTION("""COMPUTED_VALUE"""),45085.6666666666)</f>
        <v>45085.666666666599</v>
      </c>
      <c r="B2124" s="1">
        <f ca="1">IFERROR(__xludf.DUMMYFUNCTION("""COMPUTED_VALUE"""),37.72)</f>
        <v>37.72</v>
      </c>
      <c r="C2124" s="1">
        <f ca="1">IFERROR(__xludf.DUMMYFUNCTION("""COMPUTED_VALUE"""),38.86)</f>
        <v>38.86</v>
      </c>
      <c r="D2124" s="1">
        <f ca="1">IFERROR(__xludf.DUMMYFUNCTION("""COMPUTED_VALUE"""),37.51)</f>
        <v>37.51</v>
      </c>
      <c r="E2124" s="1">
        <f ca="1">IFERROR(__xludf.DUMMYFUNCTION("""COMPUTED_VALUE"""),38.51)</f>
        <v>38.51</v>
      </c>
      <c r="F2124" s="1">
        <f ca="1">IFERROR(__xludf.DUMMYFUNCTION("""COMPUTED_VALUE"""),41777240)</f>
        <v>41777240</v>
      </c>
    </row>
    <row r="2125" spans="1:6" x14ac:dyDescent="0.35">
      <c r="A2125" s="2">
        <f ca="1">IFERROR(__xludf.DUMMYFUNCTION("""COMPUTED_VALUE"""),45086.6666666666)</f>
        <v>45086.666666666599</v>
      </c>
      <c r="B2125" s="1">
        <f ca="1">IFERROR(__xludf.DUMMYFUNCTION("""COMPUTED_VALUE"""),39.04)</f>
        <v>39.04</v>
      </c>
      <c r="C2125" s="1">
        <f ca="1">IFERROR(__xludf.DUMMYFUNCTION("""COMPUTED_VALUE"""),39.71)</f>
        <v>39.71</v>
      </c>
      <c r="D2125" s="1">
        <f ca="1">IFERROR(__xludf.DUMMYFUNCTION("""COMPUTED_VALUE"""),38.57)</f>
        <v>38.57</v>
      </c>
      <c r="E2125" s="1">
        <f ca="1">IFERROR(__xludf.DUMMYFUNCTION("""COMPUTED_VALUE"""),38.77)</f>
        <v>38.770000000000003</v>
      </c>
      <c r="F2125" s="1">
        <f ca="1">IFERROR(__xludf.DUMMYFUNCTION("""COMPUTED_VALUE"""),42771747)</f>
        <v>42771747</v>
      </c>
    </row>
    <row r="2126" spans="1:6" x14ac:dyDescent="0.35">
      <c r="A2126" s="2">
        <f ca="1">IFERROR(__xludf.DUMMYFUNCTION("""COMPUTED_VALUE"""),45089.6666666666)</f>
        <v>45089.666666666599</v>
      </c>
      <c r="B2126" s="1">
        <f ca="1">IFERROR(__xludf.DUMMYFUNCTION("""COMPUTED_VALUE"""),39.2)</f>
        <v>39.200000000000003</v>
      </c>
      <c r="C2126" s="1">
        <f ca="1">IFERROR(__xludf.DUMMYFUNCTION("""COMPUTED_VALUE"""),39.53)</f>
        <v>39.53</v>
      </c>
      <c r="D2126" s="1">
        <f ca="1">IFERROR(__xludf.DUMMYFUNCTION("""COMPUTED_VALUE"""),38.62)</f>
        <v>38.619999999999997</v>
      </c>
      <c r="E2126" s="1">
        <f ca="1">IFERROR(__xludf.DUMMYFUNCTION("""COMPUTED_VALUE"""),39.48)</f>
        <v>39.479999999999997</v>
      </c>
      <c r="F2126" s="1">
        <f ca="1">IFERROR(__xludf.DUMMYFUNCTION("""COMPUTED_VALUE"""),38967335)</f>
        <v>38967335</v>
      </c>
    </row>
    <row r="2127" spans="1:6" x14ac:dyDescent="0.35">
      <c r="A2127" s="2">
        <f ca="1">IFERROR(__xludf.DUMMYFUNCTION("""COMPUTED_VALUE"""),45090.6666666666)</f>
        <v>45090.666666666599</v>
      </c>
      <c r="B2127" s="1">
        <f ca="1">IFERROR(__xludf.DUMMYFUNCTION("""COMPUTED_VALUE"""),40.19)</f>
        <v>40.19</v>
      </c>
      <c r="C2127" s="1">
        <f ca="1">IFERROR(__xludf.DUMMYFUNCTION("""COMPUTED_VALUE"""),41.1)</f>
        <v>41.1</v>
      </c>
      <c r="D2127" s="1">
        <f ca="1">IFERROR(__xludf.DUMMYFUNCTION("""COMPUTED_VALUE"""),39.74)</f>
        <v>39.74</v>
      </c>
      <c r="E2127" s="1">
        <f ca="1">IFERROR(__xludf.DUMMYFUNCTION("""COMPUTED_VALUE"""),41.02)</f>
        <v>41.02</v>
      </c>
      <c r="F2127" s="1">
        <f ca="1">IFERROR(__xludf.DUMMYFUNCTION("""COMPUTED_VALUE"""),61320816)</f>
        <v>61320816</v>
      </c>
    </row>
    <row r="2128" spans="1:6" x14ac:dyDescent="0.35">
      <c r="A2128" s="2">
        <f ca="1">IFERROR(__xludf.DUMMYFUNCTION("""COMPUTED_VALUE"""),45091.6666666666)</f>
        <v>45091.666666666599</v>
      </c>
      <c r="B2128" s="1">
        <f ca="1">IFERROR(__xludf.DUMMYFUNCTION("""COMPUTED_VALUE"""),40.82)</f>
        <v>40.82</v>
      </c>
      <c r="C2128" s="1">
        <f ca="1">IFERROR(__xludf.DUMMYFUNCTION("""COMPUTED_VALUE"""),43)</f>
        <v>43</v>
      </c>
      <c r="D2128" s="1">
        <f ca="1">IFERROR(__xludf.DUMMYFUNCTION("""COMPUTED_VALUE"""),40.55)</f>
        <v>40.549999999999997</v>
      </c>
      <c r="E2128" s="1">
        <f ca="1">IFERROR(__xludf.DUMMYFUNCTION("""COMPUTED_VALUE"""),43)</f>
        <v>43</v>
      </c>
      <c r="F2128" s="1">
        <f ca="1">IFERROR(__xludf.DUMMYFUNCTION("""COMPUTED_VALUE"""),74046502)</f>
        <v>74046502</v>
      </c>
    </row>
    <row r="2129" spans="1:6" x14ac:dyDescent="0.35">
      <c r="A2129" s="2">
        <f ca="1">IFERROR(__xludf.DUMMYFUNCTION("""COMPUTED_VALUE"""),45092.6666666666)</f>
        <v>45092.666666666599</v>
      </c>
      <c r="B2129" s="1">
        <f ca="1">IFERROR(__xludf.DUMMYFUNCTION("""COMPUTED_VALUE"""),42.6)</f>
        <v>42.6</v>
      </c>
      <c r="C2129" s="1">
        <f ca="1">IFERROR(__xludf.DUMMYFUNCTION("""COMPUTED_VALUE"""),43.29)</f>
        <v>43.29</v>
      </c>
      <c r="D2129" s="1">
        <f ca="1">IFERROR(__xludf.DUMMYFUNCTION("""COMPUTED_VALUE"""),42.15)</f>
        <v>42.15</v>
      </c>
      <c r="E2129" s="1">
        <f ca="1">IFERROR(__xludf.DUMMYFUNCTION("""COMPUTED_VALUE"""),42.65)</f>
        <v>42.65</v>
      </c>
      <c r="F2129" s="1">
        <f ca="1">IFERROR(__xludf.DUMMYFUNCTION("""COMPUTED_VALUE"""),56862204)</f>
        <v>56862204</v>
      </c>
    </row>
    <row r="2130" spans="1:6" x14ac:dyDescent="0.35">
      <c r="A2130" s="2">
        <f ca="1">IFERROR(__xludf.DUMMYFUNCTION("""COMPUTED_VALUE"""),45093.6666666666)</f>
        <v>45093.666666666599</v>
      </c>
      <c r="B2130" s="1">
        <f ca="1">IFERROR(__xludf.DUMMYFUNCTION("""COMPUTED_VALUE"""),43.45)</f>
        <v>43.45</v>
      </c>
      <c r="C2130" s="1">
        <f ca="1">IFERROR(__xludf.DUMMYFUNCTION("""COMPUTED_VALUE"""),43.72)</f>
        <v>43.72</v>
      </c>
      <c r="D2130" s="1">
        <f ca="1">IFERROR(__xludf.DUMMYFUNCTION("""COMPUTED_VALUE"""),42.66)</f>
        <v>42.66</v>
      </c>
      <c r="E2130" s="1">
        <f ca="1">IFERROR(__xludf.DUMMYFUNCTION("""COMPUTED_VALUE"""),42.69)</f>
        <v>42.69</v>
      </c>
      <c r="F2130" s="1">
        <f ca="1">IFERROR(__xludf.DUMMYFUNCTION("""COMPUTED_VALUE"""),65570941)</f>
        <v>65570941</v>
      </c>
    </row>
    <row r="2131" spans="1:6" x14ac:dyDescent="0.35">
      <c r="A2131" s="2">
        <f ca="1">IFERROR(__xludf.DUMMYFUNCTION("""COMPUTED_VALUE"""),45097.6666666666)</f>
        <v>45097.666666666599</v>
      </c>
      <c r="B2131" s="1">
        <f ca="1">IFERROR(__xludf.DUMMYFUNCTION("""COMPUTED_VALUE"""),43)</f>
        <v>43</v>
      </c>
      <c r="C2131" s="1">
        <f ca="1">IFERROR(__xludf.DUMMYFUNCTION("""COMPUTED_VALUE"""),43.99)</f>
        <v>43.99</v>
      </c>
      <c r="D2131" s="1">
        <f ca="1">IFERROR(__xludf.DUMMYFUNCTION("""COMPUTED_VALUE"""),42.67)</f>
        <v>42.67</v>
      </c>
      <c r="E2131" s="1">
        <f ca="1">IFERROR(__xludf.DUMMYFUNCTION("""COMPUTED_VALUE"""),43.81)</f>
        <v>43.81</v>
      </c>
      <c r="F2131" s="1">
        <f ca="1">IFERROR(__xludf.DUMMYFUNCTION("""COMPUTED_VALUE"""),45115311)</f>
        <v>45115311</v>
      </c>
    </row>
    <row r="2132" spans="1:6" x14ac:dyDescent="0.35">
      <c r="A2132" s="2">
        <f ca="1">IFERROR(__xludf.DUMMYFUNCTION("""COMPUTED_VALUE"""),45098.6666666666)</f>
        <v>45098.666666666599</v>
      </c>
      <c r="B2132" s="1">
        <f ca="1">IFERROR(__xludf.DUMMYFUNCTION("""COMPUTED_VALUE"""),43.5)</f>
        <v>43.5</v>
      </c>
      <c r="C2132" s="1">
        <f ca="1">IFERROR(__xludf.DUMMYFUNCTION("""COMPUTED_VALUE"""),43.62)</f>
        <v>43.62</v>
      </c>
      <c r="D2132" s="1">
        <f ca="1">IFERROR(__xludf.DUMMYFUNCTION("""COMPUTED_VALUE"""),42.08)</f>
        <v>42.08</v>
      </c>
      <c r="E2132" s="1">
        <f ca="1">IFERROR(__xludf.DUMMYFUNCTION("""COMPUTED_VALUE"""),43.05)</f>
        <v>43.05</v>
      </c>
      <c r="F2132" s="1">
        <f ca="1">IFERROR(__xludf.DUMMYFUNCTION("""COMPUTED_VALUE"""),55160291)</f>
        <v>55160291</v>
      </c>
    </row>
    <row r="2133" spans="1:6" x14ac:dyDescent="0.35">
      <c r="A2133" s="2">
        <f ca="1">IFERROR(__xludf.DUMMYFUNCTION("""COMPUTED_VALUE"""),45099.6666666666)</f>
        <v>45099.666666666599</v>
      </c>
      <c r="B2133" s="1">
        <f ca="1">IFERROR(__xludf.DUMMYFUNCTION("""COMPUTED_VALUE"""),42.25)</f>
        <v>42.25</v>
      </c>
      <c r="C2133" s="1">
        <f ca="1">IFERROR(__xludf.DUMMYFUNCTION("""COMPUTED_VALUE"""),43.43)</f>
        <v>43.43</v>
      </c>
      <c r="D2133" s="1">
        <f ca="1">IFERROR(__xludf.DUMMYFUNCTION("""COMPUTED_VALUE"""),42.23)</f>
        <v>42.23</v>
      </c>
      <c r="E2133" s="1">
        <f ca="1">IFERROR(__xludf.DUMMYFUNCTION("""COMPUTED_VALUE"""),43.03)</f>
        <v>43.03</v>
      </c>
      <c r="F2133" s="1">
        <f ca="1">IFERROR(__xludf.DUMMYFUNCTION("""COMPUTED_VALUE"""),41773743)</f>
        <v>41773743</v>
      </c>
    </row>
    <row r="2134" spans="1:6" x14ac:dyDescent="0.35">
      <c r="A2134" s="2">
        <f ca="1">IFERROR(__xludf.DUMMYFUNCTION("""COMPUTED_VALUE"""),45100.6666666666)</f>
        <v>45100.666666666599</v>
      </c>
      <c r="B2134" s="1">
        <f ca="1">IFERROR(__xludf.DUMMYFUNCTION("""COMPUTED_VALUE"""),42.46)</f>
        <v>42.46</v>
      </c>
      <c r="C2134" s="1">
        <f ca="1">IFERROR(__xludf.DUMMYFUNCTION("""COMPUTED_VALUE"""),42.81)</f>
        <v>42.81</v>
      </c>
      <c r="D2134" s="1">
        <f ca="1">IFERROR(__xludf.DUMMYFUNCTION("""COMPUTED_VALUE"""),42.02)</f>
        <v>42.02</v>
      </c>
      <c r="E2134" s="1">
        <f ca="1">IFERROR(__xludf.DUMMYFUNCTION("""COMPUTED_VALUE"""),42.21)</f>
        <v>42.21</v>
      </c>
      <c r="F2134" s="1">
        <f ca="1">IFERROR(__xludf.DUMMYFUNCTION("""COMPUTED_VALUE"""),35813984)</f>
        <v>35813984</v>
      </c>
    </row>
    <row r="2135" spans="1:6" x14ac:dyDescent="0.35">
      <c r="A2135" s="2">
        <f ca="1">IFERROR(__xludf.DUMMYFUNCTION("""COMPUTED_VALUE"""),45103.6666666666)</f>
        <v>45103.666666666599</v>
      </c>
      <c r="B2135" s="1">
        <f ca="1">IFERROR(__xludf.DUMMYFUNCTION("""COMPUTED_VALUE"""),42.46)</f>
        <v>42.46</v>
      </c>
      <c r="C2135" s="1">
        <f ca="1">IFERROR(__xludf.DUMMYFUNCTION("""COMPUTED_VALUE"""),42.76)</f>
        <v>42.76</v>
      </c>
      <c r="D2135" s="1">
        <f ca="1">IFERROR(__xludf.DUMMYFUNCTION("""COMPUTED_VALUE"""),40.1)</f>
        <v>40.1</v>
      </c>
      <c r="E2135" s="1">
        <f ca="1">IFERROR(__xludf.DUMMYFUNCTION("""COMPUTED_VALUE"""),40.63)</f>
        <v>40.630000000000003</v>
      </c>
      <c r="F2135" s="1">
        <f ca="1">IFERROR(__xludf.DUMMYFUNCTION("""COMPUTED_VALUE"""),59432192)</f>
        <v>59432192</v>
      </c>
    </row>
    <row r="2136" spans="1:6" x14ac:dyDescent="0.35">
      <c r="A2136" s="2">
        <f ca="1">IFERROR(__xludf.DUMMYFUNCTION("""COMPUTED_VALUE"""),45104.6666666666)</f>
        <v>45104.666666666599</v>
      </c>
      <c r="B2136" s="1">
        <f ca="1">IFERROR(__xludf.DUMMYFUNCTION("""COMPUTED_VALUE"""),40.8)</f>
        <v>40.799999999999997</v>
      </c>
      <c r="C2136" s="1">
        <f ca="1">IFERROR(__xludf.DUMMYFUNCTION("""COMPUTED_VALUE"""),41.94)</f>
        <v>41.94</v>
      </c>
      <c r="D2136" s="1">
        <f ca="1">IFERROR(__xludf.DUMMYFUNCTION("""COMPUTED_VALUE"""),40.45)</f>
        <v>40.450000000000003</v>
      </c>
      <c r="E2136" s="1">
        <f ca="1">IFERROR(__xludf.DUMMYFUNCTION("""COMPUTED_VALUE"""),41.88)</f>
        <v>41.88</v>
      </c>
      <c r="F2136" s="1">
        <f ca="1">IFERROR(__xludf.DUMMYFUNCTION("""COMPUTED_VALUE"""),46217470)</f>
        <v>46217470</v>
      </c>
    </row>
    <row r="2137" spans="1:6" x14ac:dyDescent="0.35">
      <c r="A2137" s="2">
        <f ca="1">IFERROR(__xludf.DUMMYFUNCTION("""COMPUTED_VALUE"""),45105.6666666666)</f>
        <v>45105.666666666599</v>
      </c>
      <c r="B2137" s="1">
        <f ca="1">IFERROR(__xludf.DUMMYFUNCTION("""COMPUTED_VALUE"""),40.66)</f>
        <v>40.659999999999997</v>
      </c>
      <c r="C2137" s="1">
        <f ca="1">IFERROR(__xludf.DUMMYFUNCTION("""COMPUTED_VALUE"""),41.85)</f>
        <v>41.85</v>
      </c>
      <c r="D2137" s="1">
        <f ca="1">IFERROR(__xludf.DUMMYFUNCTION("""COMPUTED_VALUE"""),40.52)</f>
        <v>40.520000000000003</v>
      </c>
      <c r="E2137" s="1">
        <f ca="1">IFERROR(__xludf.DUMMYFUNCTION("""COMPUTED_VALUE"""),41.12)</f>
        <v>41.12</v>
      </c>
      <c r="F2137" s="1">
        <f ca="1">IFERROR(__xludf.DUMMYFUNCTION("""COMPUTED_VALUE"""),58263927)</f>
        <v>58263927</v>
      </c>
    </row>
    <row r="2138" spans="1:6" x14ac:dyDescent="0.35">
      <c r="A2138" s="2">
        <f ca="1">IFERROR(__xludf.DUMMYFUNCTION("""COMPUTED_VALUE"""),45106.6666666666)</f>
        <v>45106.666666666599</v>
      </c>
      <c r="B2138" s="1">
        <f ca="1">IFERROR(__xludf.DUMMYFUNCTION("""COMPUTED_VALUE"""),41.56)</f>
        <v>41.56</v>
      </c>
      <c r="C2138" s="1">
        <f ca="1">IFERROR(__xludf.DUMMYFUNCTION("""COMPUTED_VALUE"""),41.6)</f>
        <v>41.6</v>
      </c>
      <c r="D2138" s="1">
        <f ca="1">IFERROR(__xludf.DUMMYFUNCTION("""COMPUTED_VALUE"""),40.6)</f>
        <v>40.6</v>
      </c>
      <c r="E2138" s="1">
        <f ca="1">IFERROR(__xludf.DUMMYFUNCTION("""COMPUTED_VALUE"""),40.82)</f>
        <v>40.82</v>
      </c>
      <c r="F2138" s="1">
        <f ca="1">IFERROR(__xludf.DUMMYFUNCTION("""COMPUTED_VALUE"""),38051430)</f>
        <v>38051430</v>
      </c>
    </row>
    <row r="2139" spans="1:6" x14ac:dyDescent="0.35">
      <c r="A2139" s="2">
        <f ca="1">IFERROR(__xludf.DUMMYFUNCTION("""COMPUTED_VALUE"""),45107.6666666666)</f>
        <v>45107.666666666599</v>
      </c>
      <c r="B2139" s="1">
        <f ca="1">IFERROR(__xludf.DUMMYFUNCTION("""COMPUTED_VALUE"""),41.68)</f>
        <v>41.68</v>
      </c>
      <c r="C2139" s="1">
        <f ca="1">IFERROR(__xludf.DUMMYFUNCTION("""COMPUTED_VALUE"""),42.55)</f>
        <v>42.55</v>
      </c>
      <c r="D2139" s="1">
        <f ca="1">IFERROR(__xludf.DUMMYFUNCTION("""COMPUTED_VALUE"""),41.5)</f>
        <v>41.5</v>
      </c>
      <c r="E2139" s="1">
        <f ca="1">IFERROR(__xludf.DUMMYFUNCTION("""COMPUTED_VALUE"""),42.3)</f>
        <v>42.3</v>
      </c>
      <c r="F2139" s="1">
        <f ca="1">IFERROR(__xludf.DUMMYFUNCTION("""COMPUTED_VALUE"""),50114775)</f>
        <v>50114775</v>
      </c>
    </row>
    <row r="2140" spans="1:6" x14ac:dyDescent="0.35">
      <c r="A2140" s="2">
        <f ca="1">IFERROR(__xludf.DUMMYFUNCTION("""COMPUTED_VALUE"""),45110.5451388888)</f>
        <v>45110.545138888803</v>
      </c>
      <c r="B2140" s="1">
        <f ca="1">IFERROR(__xludf.DUMMYFUNCTION("""COMPUTED_VALUE"""),42.52)</f>
        <v>42.52</v>
      </c>
      <c r="C2140" s="1">
        <f ca="1">IFERROR(__xludf.DUMMYFUNCTION("""COMPUTED_VALUE"""),42.9)</f>
        <v>42.9</v>
      </c>
      <c r="D2140" s="1">
        <f ca="1">IFERROR(__xludf.DUMMYFUNCTION("""COMPUTED_VALUE"""),42.2)</f>
        <v>42.2</v>
      </c>
      <c r="E2140" s="1">
        <f ca="1">IFERROR(__xludf.DUMMYFUNCTION("""COMPUTED_VALUE"""),42.41)</f>
        <v>42.41</v>
      </c>
      <c r="F2140" s="1">
        <f ca="1">IFERROR(__xludf.DUMMYFUNCTION("""COMPUTED_VALUE"""),19820919)</f>
        <v>19820919</v>
      </c>
    </row>
    <row r="2141" spans="1:6" x14ac:dyDescent="0.35">
      <c r="A2141" s="2">
        <f ca="1">IFERROR(__xludf.DUMMYFUNCTION("""COMPUTED_VALUE"""),45112.6666666666)</f>
        <v>45112.666666666599</v>
      </c>
      <c r="B2141" s="1">
        <f ca="1">IFERROR(__xludf.DUMMYFUNCTION("""COMPUTED_VALUE"""),42.14)</f>
        <v>42.14</v>
      </c>
      <c r="C2141" s="1">
        <f ca="1">IFERROR(__xludf.DUMMYFUNCTION("""COMPUTED_VALUE"""),43.18)</f>
        <v>43.18</v>
      </c>
      <c r="D2141" s="1">
        <f ca="1">IFERROR(__xludf.DUMMYFUNCTION("""COMPUTED_VALUE"""),42.09)</f>
        <v>42.09</v>
      </c>
      <c r="E2141" s="1">
        <f ca="1">IFERROR(__xludf.DUMMYFUNCTION("""COMPUTED_VALUE"""),42.32)</f>
        <v>42.32</v>
      </c>
      <c r="F2141" s="1">
        <f ca="1">IFERROR(__xludf.DUMMYFUNCTION("""COMPUTED_VALUE"""),32361756)</f>
        <v>32361756</v>
      </c>
    </row>
    <row r="2142" spans="1:6" x14ac:dyDescent="0.35">
      <c r="A2142" s="2">
        <f ca="1">IFERROR(__xludf.DUMMYFUNCTION("""COMPUTED_VALUE"""),45113.6666666666)</f>
        <v>45113.666666666599</v>
      </c>
      <c r="B2142" s="1">
        <f ca="1">IFERROR(__xludf.DUMMYFUNCTION("""COMPUTED_VALUE"""),41.84)</f>
        <v>41.84</v>
      </c>
      <c r="C2142" s="1">
        <f ca="1">IFERROR(__xludf.DUMMYFUNCTION("""COMPUTED_VALUE"""),42.18)</f>
        <v>42.18</v>
      </c>
      <c r="D2142" s="1">
        <f ca="1">IFERROR(__xludf.DUMMYFUNCTION("""COMPUTED_VALUE"""),41.35)</f>
        <v>41.35</v>
      </c>
      <c r="E2142" s="1">
        <f ca="1">IFERROR(__xludf.DUMMYFUNCTION("""COMPUTED_VALUE"""),42.1)</f>
        <v>42.1</v>
      </c>
      <c r="F2142" s="1">
        <f ca="1">IFERROR(__xludf.DUMMYFUNCTION("""COMPUTED_VALUE"""),30413879)</f>
        <v>30413879</v>
      </c>
    </row>
    <row r="2143" spans="1:6" x14ac:dyDescent="0.35">
      <c r="A2143" s="2">
        <f ca="1">IFERROR(__xludf.DUMMYFUNCTION("""COMPUTED_VALUE"""),45114.6666666666)</f>
        <v>45114.666666666599</v>
      </c>
      <c r="B2143" s="1">
        <f ca="1">IFERROR(__xludf.DUMMYFUNCTION("""COMPUTED_VALUE"""),42.32)</f>
        <v>42.32</v>
      </c>
      <c r="C2143" s="1">
        <f ca="1">IFERROR(__xludf.DUMMYFUNCTION("""COMPUTED_VALUE"""),43.21)</f>
        <v>43.21</v>
      </c>
      <c r="D2143" s="1">
        <f ca="1">IFERROR(__xludf.DUMMYFUNCTION("""COMPUTED_VALUE"""),42.18)</f>
        <v>42.18</v>
      </c>
      <c r="E2143" s="1">
        <f ca="1">IFERROR(__xludf.DUMMYFUNCTION("""COMPUTED_VALUE"""),42.5)</f>
        <v>42.5</v>
      </c>
      <c r="F2143" s="1">
        <f ca="1">IFERROR(__xludf.DUMMYFUNCTION("""COMPUTED_VALUE"""),35588147)</f>
        <v>35588147</v>
      </c>
    </row>
    <row r="2144" spans="1:6" x14ac:dyDescent="0.35">
      <c r="A2144" s="2">
        <f ca="1">IFERROR(__xludf.DUMMYFUNCTION("""COMPUTED_VALUE"""),45117.6666666666)</f>
        <v>45117.666666666599</v>
      </c>
      <c r="B2144" s="1">
        <f ca="1">IFERROR(__xludf.DUMMYFUNCTION("""COMPUTED_VALUE"""),42.66)</f>
        <v>42.66</v>
      </c>
      <c r="C2144" s="1">
        <f ca="1">IFERROR(__xludf.DUMMYFUNCTION("""COMPUTED_VALUE"""),42.81)</f>
        <v>42.81</v>
      </c>
      <c r="D2144" s="1">
        <f ca="1">IFERROR(__xludf.DUMMYFUNCTION("""COMPUTED_VALUE"""),41.65)</f>
        <v>41.65</v>
      </c>
      <c r="E2144" s="1">
        <f ca="1">IFERROR(__xludf.DUMMYFUNCTION("""COMPUTED_VALUE"""),42.18)</f>
        <v>42.18</v>
      </c>
      <c r="F2144" s="1">
        <f ca="1">IFERROR(__xludf.DUMMYFUNCTION("""COMPUTED_VALUE"""),35390811)</f>
        <v>35390811</v>
      </c>
    </row>
    <row r="2145" spans="1:6" x14ac:dyDescent="0.35">
      <c r="A2145" s="2">
        <f ca="1">IFERROR(__xludf.DUMMYFUNCTION("""COMPUTED_VALUE"""),45118.6666666666)</f>
        <v>45118.666666666599</v>
      </c>
      <c r="B2145" s="1">
        <f ca="1">IFERROR(__xludf.DUMMYFUNCTION("""COMPUTED_VALUE"""),42.48)</f>
        <v>42.48</v>
      </c>
      <c r="C2145" s="1">
        <f ca="1">IFERROR(__xludf.DUMMYFUNCTION("""COMPUTED_VALUE"""),42.76)</f>
        <v>42.76</v>
      </c>
      <c r="D2145" s="1">
        <f ca="1">IFERROR(__xludf.DUMMYFUNCTION("""COMPUTED_VALUE"""),42.07)</f>
        <v>42.07</v>
      </c>
      <c r="E2145" s="1">
        <f ca="1">IFERROR(__xludf.DUMMYFUNCTION("""COMPUTED_VALUE"""),42.41)</f>
        <v>42.41</v>
      </c>
      <c r="F2145" s="1">
        <f ca="1">IFERROR(__xludf.DUMMYFUNCTION("""COMPUTED_VALUE"""),29824406)</f>
        <v>29824406</v>
      </c>
    </row>
    <row r="2146" spans="1:6" x14ac:dyDescent="0.35">
      <c r="A2146" s="2">
        <f ca="1">IFERROR(__xludf.DUMMYFUNCTION("""COMPUTED_VALUE"""),45119.6666666666)</f>
        <v>45119.666666666599</v>
      </c>
      <c r="B2146" s="1">
        <f ca="1">IFERROR(__xludf.DUMMYFUNCTION("""COMPUTED_VALUE"""),43.03)</f>
        <v>43.03</v>
      </c>
      <c r="C2146" s="1">
        <f ca="1">IFERROR(__xludf.DUMMYFUNCTION("""COMPUTED_VALUE"""),43.94)</f>
        <v>43.94</v>
      </c>
      <c r="D2146" s="1">
        <f ca="1">IFERROR(__xludf.DUMMYFUNCTION("""COMPUTED_VALUE"""),42.78)</f>
        <v>42.78</v>
      </c>
      <c r="E2146" s="1">
        <f ca="1">IFERROR(__xludf.DUMMYFUNCTION("""COMPUTED_VALUE"""),43.9)</f>
        <v>43.9</v>
      </c>
      <c r="F2146" s="1">
        <f ca="1">IFERROR(__xludf.DUMMYFUNCTION("""COMPUTED_VALUE"""),48127702)</f>
        <v>48127702</v>
      </c>
    </row>
    <row r="2147" spans="1:6" x14ac:dyDescent="0.35">
      <c r="A2147" s="2">
        <f ca="1">IFERROR(__xludf.DUMMYFUNCTION("""COMPUTED_VALUE"""),45120.6666666666)</f>
        <v>45120.666666666599</v>
      </c>
      <c r="B2147" s="1">
        <f ca="1">IFERROR(__xludf.DUMMYFUNCTION("""COMPUTED_VALUE"""),44.52)</f>
        <v>44.52</v>
      </c>
      <c r="C2147" s="1">
        <f ca="1">IFERROR(__xludf.DUMMYFUNCTION("""COMPUTED_VALUE"""),46.16)</f>
        <v>46.16</v>
      </c>
      <c r="D2147" s="1">
        <f ca="1">IFERROR(__xludf.DUMMYFUNCTION("""COMPUTED_VALUE"""),44.49)</f>
        <v>44.49</v>
      </c>
      <c r="E2147" s="1">
        <f ca="1">IFERROR(__xludf.DUMMYFUNCTION("""COMPUTED_VALUE"""),45.98)</f>
        <v>45.98</v>
      </c>
      <c r="F2147" s="1">
        <f ca="1">IFERROR(__xludf.DUMMYFUNCTION("""COMPUTED_VALUE"""),47820369)</f>
        <v>47820369</v>
      </c>
    </row>
    <row r="2148" spans="1:6" x14ac:dyDescent="0.35">
      <c r="A2148" s="2">
        <f ca="1">IFERROR(__xludf.DUMMYFUNCTION("""COMPUTED_VALUE"""),45121.6666666666)</f>
        <v>45121.666666666599</v>
      </c>
      <c r="B2148" s="1">
        <f ca="1">IFERROR(__xludf.DUMMYFUNCTION("""COMPUTED_VALUE"""),46.58)</f>
        <v>46.58</v>
      </c>
      <c r="C2148" s="1">
        <f ca="1">IFERROR(__xludf.DUMMYFUNCTION("""COMPUTED_VALUE"""),48.09)</f>
        <v>48.09</v>
      </c>
      <c r="D2148" s="1">
        <f ca="1">IFERROR(__xludf.DUMMYFUNCTION("""COMPUTED_VALUE"""),45.06)</f>
        <v>45.06</v>
      </c>
      <c r="E2148" s="1">
        <f ca="1">IFERROR(__xludf.DUMMYFUNCTION("""COMPUTED_VALUE"""),45.47)</f>
        <v>45.47</v>
      </c>
      <c r="F2148" s="1">
        <f ca="1">IFERROR(__xludf.DUMMYFUNCTION("""COMPUTED_VALUE"""),77207533)</f>
        <v>77207533</v>
      </c>
    </row>
    <row r="2149" spans="1:6" x14ac:dyDescent="0.35">
      <c r="A2149" s="2">
        <f ca="1">IFERROR(__xludf.DUMMYFUNCTION("""COMPUTED_VALUE"""),45124.6666666666)</f>
        <v>45124.666666666599</v>
      </c>
      <c r="B2149" s="1">
        <f ca="1">IFERROR(__xludf.DUMMYFUNCTION("""COMPUTED_VALUE"""),46.29)</f>
        <v>46.29</v>
      </c>
      <c r="C2149" s="1">
        <f ca="1">IFERROR(__xludf.DUMMYFUNCTION("""COMPUTED_VALUE"""),46.5)</f>
        <v>46.5</v>
      </c>
      <c r="D2149" s="1">
        <f ca="1">IFERROR(__xludf.DUMMYFUNCTION("""COMPUTED_VALUE"""),45.26)</f>
        <v>45.26</v>
      </c>
      <c r="E2149" s="1">
        <f ca="1">IFERROR(__xludf.DUMMYFUNCTION("""COMPUTED_VALUE"""),46.46)</f>
        <v>46.46</v>
      </c>
      <c r="F2149" s="1">
        <f ca="1">IFERROR(__xludf.DUMMYFUNCTION("""COMPUTED_VALUE"""),51048822)</f>
        <v>51048822</v>
      </c>
    </row>
    <row r="2150" spans="1:6" x14ac:dyDescent="0.35">
      <c r="A2150" s="2">
        <f ca="1">IFERROR(__xludf.DUMMYFUNCTION("""COMPUTED_VALUE"""),45125.6666666666)</f>
        <v>45125.666666666599</v>
      </c>
      <c r="B2150" s="1">
        <f ca="1">IFERROR(__xludf.DUMMYFUNCTION("""COMPUTED_VALUE"""),46.7)</f>
        <v>46.7</v>
      </c>
      <c r="C2150" s="1">
        <f ca="1">IFERROR(__xludf.DUMMYFUNCTION("""COMPUTED_VALUE"""),47.9)</f>
        <v>47.9</v>
      </c>
      <c r="D2150" s="1">
        <f ca="1">IFERROR(__xludf.DUMMYFUNCTION("""COMPUTED_VALUE"""),45.73)</f>
        <v>45.73</v>
      </c>
      <c r="E2150" s="1">
        <f ca="1">IFERROR(__xludf.DUMMYFUNCTION("""COMPUTED_VALUE"""),47.49)</f>
        <v>47.49</v>
      </c>
      <c r="F2150" s="1">
        <f ca="1">IFERROR(__xludf.DUMMYFUNCTION("""COMPUTED_VALUE"""),57019042)</f>
        <v>57019042</v>
      </c>
    </row>
    <row r="2151" spans="1:6" x14ac:dyDescent="0.35">
      <c r="A2151" s="2">
        <f ca="1">IFERROR(__xludf.DUMMYFUNCTION("""COMPUTED_VALUE"""),45126.6666666666)</f>
        <v>45126.666666666599</v>
      </c>
      <c r="B2151" s="1">
        <f ca="1">IFERROR(__xludf.DUMMYFUNCTION("""COMPUTED_VALUE"""),47.46)</f>
        <v>47.46</v>
      </c>
      <c r="C2151" s="1">
        <f ca="1">IFERROR(__xludf.DUMMYFUNCTION("""COMPUTED_VALUE"""),47.82)</f>
        <v>47.82</v>
      </c>
      <c r="D2151" s="1">
        <f ca="1">IFERROR(__xludf.DUMMYFUNCTION("""COMPUTED_VALUE"""),46.74)</f>
        <v>46.74</v>
      </c>
      <c r="E2151" s="1">
        <f ca="1">IFERROR(__xludf.DUMMYFUNCTION("""COMPUTED_VALUE"""),47.08)</f>
        <v>47.08</v>
      </c>
      <c r="F2151" s="1">
        <f ca="1">IFERROR(__xludf.DUMMYFUNCTION("""COMPUTED_VALUE"""),42750179)</f>
        <v>42750179</v>
      </c>
    </row>
    <row r="2152" spans="1:6" x14ac:dyDescent="0.35">
      <c r="A2152" s="2">
        <f ca="1">IFERROR(__xludf.DUMMYFUNCTION("""COMPUTED_VALUE"""),45127.6666666666)</f>
        <v>45127.666666666599</v>
      </c>
      <c r="B2152" s="1">
        <f ca="1">IFERROR(__xludf.DUMMYFUNCTION("""COMPUTED_VALUE"""),46.51)</f>
        <v>46.51</v>
      </c>
      <c r="C2152" s="1">
        <f ca="1">IFERROR(__xludf.DUMMYFUNCTION("""COMPUTED_VALUE"""),47.09)</f>
        <v>47.09</v>
      </c>
      <c r="D2152" s="1">
        <f ca="1">IFERROR(__xludf.DUMMYFUNCTION("""COMPUTED_VALUE"""),45.06)</f>
        <v>45.06</v>
      </c>
      <c r="E2152" s="1">
        <f ca="1">IFERROR(__xludf.DUMMYFUNCTION("""COMPUTED_VALUE"""),45.52)</f>
        <v>45.52</v>
      </c>
      <c r="F2152" s="1">
        <f ca="1">IFERROR(__xludf.DUMMYFUNCTION("""COMPUTED_VALUE"""),53786451)</f>
        <v>53786451</v>
      </c>
    </row>
    <row r="2153" spans="1:6" x14ac:dyDescent="0.35">
      <c r="A2153" s="2">
        <f ca="1">IFERROR(__xludf.DUMMYFUNCTION("""COMPUTED_VALUE"""),45128.6666666666)</f>
        <v>45128.666666666599</v>
      </c>
      <c r="B2153" s="1">
        <f ca="1">IFERROR(__xludf.DUMMYFUNCTION("""COMPUTED_VALUE"""),45.79)</f>
        <v>45.79</v>
      </c>
      <c r="C2153" s="1">
        <f ca="1">IFERROR(__xludf.DUMMYFUNCTION("""COMPUTED_VALUE"""),45.87)</f>
        <v>45.87</v>
      </c>
      <c r="D2153" s="1">
        <f ca="1">IFERROR(__xludf.DUMMYFUNCTION("""COMPUTED_VALUE"""),44.1)</f>
        <v>44.1</v>
      </c>
      <c r="E2153" s="1">
        <f ca="1">IFERROR(__xludf.DUMMYFUNCTION("""COMPUTED_VALUE"""),44.31)</f>
        <v>44.31</v>
      </c>
      <c r="F2153" s="1">
        <f ca="1">IFERROR(__xludf.DUMMYFUNCTION("""COMPUTED_VALUE"""),96376863)</f>
        <v>96376863</v>
      </c>
    </row>
    <row r="2154" spans="1:6" x14ac:dyDescent="0.35">
      <c r="A2154" s="2">
        <f ca="1">IFERROR(__xludf.DUMMYFUNCTION("""COMPUTED_VALUE"""),45131.6666666666)</f>
        <v>45131.666666666599</v>
      </c>
      <c r="B2154" s="1">
        <f ca="1">IFERROR(__xludf.DUMMYFUNCTION("""COMPUTED_VALUE"""),44.73)</f>
        <v>44.73</v>
      </c>
      <c r="C2154" s="1">
        <f ca="1">IFERROR(__xludf.DUMMYFUNCTION("""COMPUTED_VALUE"""),45.11)</f>
        <v>45.11</v>
      </c>
      <c r="D2154" s="1">
        <f ca="1">IFERROR(__xludf.DUMMYFUNCTION("""COMPUTED_VALUE"""),44.04)</f>
        <v>44.04</v>
      </c>
      <c r="E2154" s="1">
        <f ca="1">IFERROR(__xludf.DUMMYFUNCTION("""COMPUTED_VALUE"""),44.61)</f>
        <v>44.61</v>
      </c>
      <c r="F2154" s="1">
        <f ca="1">IFERROR(__xludf.DUMMYFUNCTION("""COMPUTED_VALUE"""),38309974)</f>
        <v>38309974</v>
      </c>
    </row>
    <row r="2155" spans="1:6" x14ac:dyDescent="0.35">
      <c r="A2155" s="2">
        <f ca="1">IFERROR(__xludf.DUMMYFUNCTION("""COMPUTED_VALUE"""),45132.6666666666)</f>
        <v>45132.666666666599</v>
      </c>
      <c r="B2155" s="1">
        <f ca="1">IFERROR(__xludf.DUMMYFUNCTION("""COMPUTED_VALUE"""),44.94)</f>
        <v>44.94</v>
      </c>
      <c r="C2155" s="1">
        <f ca="1">IFERROR(__xludf.DUMMYFUNCTION("""COMPUTED_VALUE"""),46.18)</f>
        <v>46.18</v>
      </c>
      <c r="D2155" s="1">
        <f ca="1">IFERROR(__xludf.DUMMYFUNCTION("""COMPUTED_VALUE"""),44.92)</f>
        <v>44.92</v>
      </c>
      <c r="E2155" s="1">
        <f ca="1">IFERROR(__xludf.DUMMYFUNCTION("""COMPUTED_VALUE"""),45.68)</f>
        <v>45.68</v>
      </c>
      <c r="F2155" s="1">
        <f ca="1">IFERROR(__xludf.DUMMYFUNCTION("""COMPUTED_VALUE"""),34808091)</f>
        <v>34808091</v>
      </c>
    </row>
    <row r="2156" spans="1:6" x14ac:dyDescent="0.35">
      <c r="A2156" s="2">
        <f ca="1">IFERROR(__xludf.DUMMYFUNCTION("""COMPUTED_VALUE"""),45133.6666666666)</f>
        <v>45133.666666666599</v>
      </c>
      <c r="B2156" s="1">
        <f ca="1">IFERROR(__xludf.DUMMYFUNCTION("""COMPUTED_VALUE"""),46.02)</f>
        <v>46.02</v>
      </c>
      <c r="C2156" s="1">
        <f ca="1">IFERROR(__xludf.DUMMYFUNCTION("""COMPUTED_VALUE"""),46.05)</f>
        <v>46.05</v>
      </c>
      <c r="D2156" s="1">
        <f ca="1">IFERROR(__xludf.DUMMYFUNCTION("""COMPUTED_VALUE"""),44.63)</f>
        <v>44.63</v>
      </c>
      <c r="E2156" s="1">
        <f ca="1">IFERROR(__xludf.DUMMYFUNCTION("""COMPUTED_VALUE"""),45.45)</f>
        <v>45.45</v>
      </c>
      <c r="F2156" s="1">
        <f ca="1">IFERROR(__xludf.DUMMYFUNCTION("""COMPUTED_VALUE"""),36423726)</f>
        <v>36423726</v>
      </c>
    </row>
    <row r="2157" spans="1:6" x14ac:dyDescent="0.35">
      <c r="A2157" s="2">
        <f ca="1">IFERROR(__xludf.DUMMYFUNCTION("""COMPUTED_VALUE"""),45134.6666666666)</f>
        <v>45134.666666666599</v>
      </c>
      <c r="B2157" s="1">
        <f ca="1">IFERROR(__xludf.DUMMYFUNCTION("""COMPUTED_VALUE"""),46.52)</f>
        <v>46.52</v>
      </c>
      <c r="C2157" s="1">
        <f ca="1">IFERROR(__xludf.DUMMYFUNCTION("""COMPUTED_VALUE"""),47.4)</f>
        <v>47.4</v>
      </c>
      <c r="D2157" s="1">
        <f ca="1">IFERROR(__xludf.DUMMYFUNCTION("""COMPUTED_VALUE"""),45.75)</f>
        <v>45.75</v>
      </c>
      <c r="E2157" s="1">
        <f ca="1">IFERROR(__xludf.DUMMYFUNCTION("""COMPUTED_VALUE"""),45.9)</f>
        <v>45.9</v>
      </c>
      <c r="F2157" s="1">
        <f ca="1">IFERROR(__xludf.DUMMYFUNCTION("""COMPUTED_VALUE"""),45597552)</f>
        <v>45597552</v>
      </c>
    </row>
    <row r="2158" spans="1:6" x14ac:dyDescent="0.35">
      <c r="A2158" s="2">
        <f ca="1">IFERROR(__xludf.DUMMYFUNCTION("""COMPUTED_VALUE"""),45135.6666666666)</f>
        <v>45135.666666666599</v>
      </c>
      <c r="B2158" s="1">
        <f ca="1">IFERROR(__xludf.DUMMYFUNCTION("""COMPUTED_VALUE"""),46.67)</f>
        <v>46.67</v>
      </c>
      <c r="C2158" s="1">
        <f ca="1">IFERROR(__xludf.DUMMYFUNCTION("""COMPUTED_VALUE"""),47.03)</f>
        <v>47.03</v>
      </c>
      <c r="D2158" s="1">
        <f ca="1">IFERROR(__xludf.DUMMYFUNCTION("""COMPUTED_VALUE"""),46.38)</f>
        <v>46.38</v>
      </c>
      <c r="E2158" s="1">
        <f ca="1">IFERROR(__xludf.DUMMYFUNCTION("""COMPUTED_VALUE"""),46.75)</f>
        <v>46.75</v>
      </c>
      <c r="F2158" s="1">
        <f ca="1">IFERROR(__xludf.DUMMYFUNCTION("""COMPUTED_VALUE"""),33119424)</f>
        <v>33119424</v>
      </c>
    </row>
    <row r="2159" spans="1:6" x14ac:dyDescent="0.35">
      <c r="A2159" s="2">
        <f ca="1">IFERROR(__xludf.DUMMYFUNCTION("""COMPUTED_VALUE"""),45138.6666666666)</f>
        <v>45138.666666666599</v>
      </c>
      <c r="B2159" s="1">
        <f ca="1">IFERROR(__xludf.DUMMYFUNCTION("""COMPUTED_VALUE"""),46.75)</f>
        <v>46.75</v>
      </c>
      <c r="C2159" s="1">
        <f ca="1">IFERROR(__xludf.DUMMYFUNCTION("""COMPUTED_VALUE"""),47.13)</f>
        <v>47.13</v>
      </c>
      <c r="D2159" s="1">
        <f ca="1">IFERROR(__xludf.DUMMYFUNCTION("""COMPUTED_VALUE"""),46.51)</f>
        <v>46.51</v>
      </c>
      <c r="E2159" s="1">
        <f ca="1">IFERROR(__xludf.DUMMYFUNCTION("""COMPUTED_VALUE"""),46.73)</f>
        <v>46.73</v>
      </c>
      <c r="F2159" s="1">
        <f ca="1">IFERROR(__xludf.DUMMYFUNCTION("""COMPUTED_VALUE"""),25105528)</f>
        <v>25105528</v>
      </c>
    </row>
    <row r="2160" spans="1:6" x14ac:dyDescent="0.35">
      <c r="A2160" s="2">
        <f ca="1">IFERROR(__xludf.DUMMYFUNCTION("""COMPUTED_VALUE"""),45139.6666666666)</f>
        <v>45139.666666666599</v>
      </c>
      <c r="B2160" s="1">
        <f ca="1">IFERROR(__xludf.DUMMYFUNCTION("""COMPUTED_VALUE"""),46.46)</f>
        <v>46.46</v>
      </c>
      <c r="C2160" s="1">
        <f ca="1">IFERROR(__xludf.DUMMYFUNCTION("""COMPUTED_VALUE"""),46.9)</f>
        <v>46.9</v>
      </c>
      <c r="D2160" s="1">
        <f ca="1">IFERROR(__xludf.DUMMYFUNCTION("""COMPUTED_VALUE"""),46.03)</f>
        <v>46.03</v>
      </c>
      <c r="E2160" s="1">
        <f ca="1">IFERROR(__xludf.DUMMYFUNCTION("""COMPUTED_VALUE"""),46.51)</f>
        <v>46.51</v>
      </c>
      <c r="F2160" s="1">
        <f ca="1">IFERROR(__xludf.DUMMYFUNCTION("""COMPUTED_VALUE"""),23927597)</f>
        <v>23927597</v>
      </c>
    </row>
    <row r="2161" spans="1:6" x14ac:dyDescent="0.35">
      <c r="A2161" s="2">
        <f ca="1">IFERROR(__xludf.DUMMYFUNCTION("""COMPUTED_VALUE"""),45140.6666666666)</f>
        <v>45140.666666666599</v>
      </c>
      <c r="B2161" s="1">
        <f ca="1">IFERROR(__xludf.DUMMYFUNCTION("""COMPUTED_VALUE"""),45.83)</f>
        <v>45.83</v>
      </c>
      <c r="C2161" s="1">
        <f ca="1">IFERROR(__xludf.DUMMYFUNCTION("""COMPUTED_VALUE"""),45.84)</f>
        <v>45.84</v>
      </c>
      <c r="D2161" s="1">
        <f ca="1">IFERROR(__xludf.DUMMYFUNCTION("""COMPUTED_VALUE"""),43.39)</f>
        <v>43.39</v>
      </c>
      <c r="E2161" s="1">
        <f ca="1">IFERROR(__xludf.DUMMYFUNCTION("""COMPUTED_VALUE"""),44.27)</f>
        <v>44.27</v>
      </c>
      <c r="F2161" s="1">
        <f ca="1">IFERROR(__xludf.DUMMYFUNCTION("""COMPUTED_VALUE"""),53014157)</f>
        <v>53014157</v>
      </c>
    </row>
    <row r="2162" spans="1:6" x14ac:dyDescent="0.35">
      <c r="A2162" s="2">
        <f ca="1">IFERROR(__xludf.DUMMYFUNCTION("""COMPUTED_VALUE"""),45141.6666666666)</f>
        <v>45141.666666666599</v>
      </c>
      <c r="B2162" s="1">
        <f ca="1">IFERROR(__xludf.DUMMYFUNCTION("""COMPUTED_VALUE"""),43.8)</f>
        <v>43.8</v>
      </c>
      <c r="C2162" s="1">
        <f ca="1">IFERROR(__xludf.DUMMYFUNCTION("""COMPUTED_VALUE"""),45.12)</f>
        <v>45.12</v>
      </c>
      <c r="D2162" s="1">
        <f ca="1">IFERROR(__xludf.DUMMYFUNCTION("""COMPUTED_VALUE"""),43.8)</f>
        <v>43.8</v>
      </c>
      <c r="E2162" s="1">
        <f ca="1">IFERROR(__xludf.DUMMYFUNCTION("""COMPUTED_VALUE"""),44.52)</f>
        <v>44.52</v>
      </c>
      <c r="F2162" s="1">
        <f ca="1">IFERROR(__xludf.DUMMYFUNCTION("""COMPUTED_VALUE"""),32507660)</f>
        <v>32507660</v>
      </c>
    </row>
    <row r="2163" spans="1:6" x14ac:dyDescent="0.35">
      <c r="A2163" s="2">
        <f ca="1">IFERROR(__xludf.DUMMYFUNCTION("""COMPUTED_VALUE"""),45142.6666666666)</f>
        <v>45142.666666666599</v>
      </c>
      <c r="B2163" s="1">
        <f ca="1">IFERROR(__xludf.DUMMYFUNCTION("""COMPUTED_VALUE"""),44.99)</f>
        <v>44.99</v>
      </c>
      <c r="C2163" s="1">
        <f ca="1">IFERROR(__xludf.DUMMYFUNCTION("""COMPUTED_VALUE"""),45.64)</f>
        <v>45.64</v>
      </c>
      <c r="D2163" s="1">
        <f ca="1">IFERROR(__xludf.DUMMYFUNCTION("""COMPUTED_VALUE"""),44.39)</f>
        <v>44.39</v>
      </c>
      <c r="E2163" s="1">
        <f ca="1">IFERROR(__xludf.DUMMYFUNCTION("""COMPUTED_VALUE"""),44.68)</f>
        <v>44.68</v>
      </c>
      <c r="F2163" s="1">
        <f ca="1">IFERROR(__xludf.DUMMYFUNCTION("""COMPUTED_VALUE"""),36266618)</f>
        <v>36266618</v>
      </c>
    </row>
    <row r="2164" spans="1:6" x14ac:dyDescent="0.35">
      <c r="A2164" s="2">
        <f ca="1">IFERROR(__xludf.DUMMYFUNCTION("""COMPUTED_VALUE"""),45145.6666666666)</f>
        <v>45145.666666666599</v>
      </c>
      <c r="B2164" s="1">
        <f ca="1">IFERROR(__xludf.DUMMYFUNCTION("""COMPUTED_VALUE"""),45.11)</f>
        <v>45.11</v>
      </c>
      <c r="C2164" s="1">
        <f ca="1">IFERROR(__xludf.DUMMYFUNCTION("""COMPUTED_VALUE"""),45.54)</f>
        <v>45.54</v>
      </c>
      <c r="D2164" s="1">
        <f ca="1">IFERROR(__xludf.DUMMYFUNCTION("""COMPUTED_VALUE"""),44.56)</f>
        <v>44.56</v>
      </c>
      <c r="E2164" s="1">
        <f ca="1">IFERROR(__xludf.DUMMYFUNCTION("""COMPUTED_VALUE"""),45.42)</f>
        <v>45.42</v>
      </c>
      <c r="F2164" s="1">
        <f ca="1">IFERROR(__xludf.DUMMYFUNCTION("""COMPUTED_VALUE"""),32215354)</f>
        <v>32215354</v>
      </c>
    </row>
    <row r="2165" spans="1:6" x14ac:dyDescent="0.35">
      <c r="A2165" s="2">
        <f ca="1">IFERROR(__xludf.DUMMYFUNCTION("""COMPUTED_VALUE"""),45146.6666666666)</f>
        <v>45146.666666666599</v>
      </c>
      <c r="B2165" s="1">
        <f ca="1">IFERROR(__xludf.DUMMYFUNCTION("""COMPUTED_VALUE"""),44.85)</f>
        <v>44.85</v>
      </c>
      <c r="C2165" s="1">
        <f ca="1">IFERROR(__xludf.DUMMYFUNCTION("""COMPUTED_VALUE"""),45.24)</f>
        <v>45.24</v>
      </c>
      <c r="D2165" s="1">
        <f ca="1">IFERROR(__xludf.DUMMYFUNCTION("""COMPUTED_VALUE"""),44.06)</f>
        <v>44.06</v>
      </c>
      <c r="E2165" s="1">
        <f ca="1">IFERROR(__xludf.DUMMYFUNCTION("""COMPUTED_VALUE"""),44.66)</f>
        <v>44.66</v>
      </c>
      <c r="F2165" s="1">
        <f ca="1">IFERROR(__xludf.DUMMYFUNCTION("""COMPUTED_VALUE"""),35384343)</f>
        <v>35384343</v>
      </c>
    </row>
    <row r="2166" spans="1:6" x14ac:dyDescent="0.35">
      <c r="A2166" s="2">
        <f ca="1">IFERROR(__xludf.DUMMYFUNCTION("""COMPUTED_VALUE"""),45147.6666666666)</f>
        <v>45147.666666666599</v>
      </c>
      <c r="B2166" s="1">
        <f ca="1">IFERROR(__xludf.DUMMYFUNCTION("""COMPUTED_VALUE"""),44.27)</f>
        <v>44.27</v>
      </c>
      <c r="C2166" s="1">
        <f ca="1">IFERROR(__xludf.DUMMYFUNCTION("""COMPUTED_VALUE"""),44.31)</f>
        <v>44.31</v>
      </c>
      <c r="D2166" s="1">
        <f ca="1">IFERROR(__xludf.DUMMYFUNCTION("""COMPUTED_VALUE"""),42.13)</f>
        <v>42.13</v>
      </c>
      <c r="E2166" s="1">
        <f ca="1">IFERROR(__xludf.DUMMYFUNCTION("""COMPUTED_VALUE"""),42.55)</f>
        <v>42.55</v>
      </c>
      <c r="F2166" s="1">
        <f ca="1">IFERROR(__xludf.DUMMYFUNCTION("""COMPUTED_VALUE"""),58644907)</f>
        <v>58644907</v>
      </c>
    </row>
    <row r="2167" spans="1:6" x14ac:dyDescent="0.35">
      <c r="A2167" s="2">
        <f ca="1">IFERROR(__xludf.DUMMYFUNCTION("""COMPUTED_VALUE"""),45148.6666666666)</f>
        <v>45148.666666666599</v>
      </c>
      <c r="B2167" s="1">
        <f ca="1">IFERROR(__xludf.DUMMYFUNCTION("""COMPUTED_VALUE"""),42.16)</f>
        <v>42.16</v>
      </c>
      <c r="C2167" s="1">
        <f ca="1">IFERROR(__xludf.DUMMYFUNCTION("""COMPUTED_VALUE"""),43.57)</f>
        <v>43.57</v>
      </c>
      <c r="D2167" s="1">
        <f ca="1">IFERROR(__xludf.DUMMYFUNCTION("""COMPUTED_VALUE"""),41.84)</f>
        <v>41.84</v>
      </c>
      <c r="E2167" s="1">
        <f ca="1">IFERROR(__xludf.DUMMYFUNCTION("""COMPUTED_VALUE"""),42.39)</f>
        <v>42.39</v>
      </c>
      <c r="F2167" s="1">
        <f ca="1">IFERROR(__xludf.DUMMYFUNCTION("""COMPUTED_VALUE"""),49270530)</f>
        <v>49270530</v>
      </c>
    </row>
    <row r="2168" spans="1:6" x14ac:dyDescent="0.35">
      <c r="A2168" s="2">
        <f ca="1">IFERROR(__xludf.DUMMYFUNCTION("""COMPUTED_VALUE"""),45149.6666666666)</f>
        <v>45149.666666666599</v>
      </c>
      <c r="B2168" s="1">
        <f ca="1">IFERROR(__xludf.DUMMYFUNCTION("""COMPUTED_VALUE"""),41.75)</f>
        <v>41.75</v>
      </c>
      <c r="C2168" s="1">
        <f ca="1">IFERROR(__xludf.DUMMYFUNCTION("""COMPUTED_VALUE"""),42.02)</f>
        <v>42.02</v>
      </c>
      <c r="D2168" s="1">
        <f ca="1">IFERROR(__xludf.DUMMYFUNCTION("""COMPUTED_VALUE"""),40.64)</f>
        <v>40.64</v>
      </c>
      <c r="E2168" s="1">
        <f ca="1">IFERROR(__xludf.DUMMYFUNCTION("""COMPUTED_VALUE"""),40.85)</f>
        <v>40.85</v>
      </c>
      <c r="F2168" s="1">
        <f ca="1">IFERROR(__xludf.DUMMYFUNCTION("""COMPUTED_VALUE"""),53308526)</f>
        <v>53308526</v>
      </c>
    </row>
    <row r="2169" spans="1:6" x14ac:dyDescent="0.35">
      <c r="A2169" s="2">
        <f ca="1">IFERROR(__xludf.DUMMYFUNCTION("""COMPUTED_VALUE"""),45152.6666666666)</f>
        <v>45152.666666666599</v>
      </c>
      <c r="B2169" s="1">
        <f ca="1">IFERROR(__xludf.DUMMYFUNCTION("""COMPUTED_VALUE"""),40.49)</f>
        <v>40.49</v>
      </c>
      <c r="C2169" s="1">
        <f ca="1">IFERROR(__xludf.DUMMYFUNCTION("""COMPUTED_VALUE"""),43.8)</f>
        <v>43.8</v>
      </c>
      <c r="D2169" s="1">
        <f ca="1">IFERROR(__xludf.DUMMYFUNCTION("""COMPUTED_VALUE"""),40.31)</f>
        <v>40.31</v>
      </c>
      <c r="E2169" s="1">
        <f ca="1">IFERROR(__xludf.DUMMYFUNCTION("""COMPUTED_VALUE"""),43.75)</f>
        <v>43.75</v>
      </c>
      <c r="F2169" s="1">
        <f ca="1">IFERROR(__xludf.DUMMYFUNCTION("""COMPUTED_VALUE"""),69028583)</f>
        <v>69028583</v>
      </c>
    </row>
    <row r="2170" spans="1:6" x14ac:dyDescent="0.35">
      <c r="A2170" s="2">
        <f ca="1">IFERROR(__xludf.DUMMYFUNCTION("""COMPUTED_VALUE"""),45153.6666666666)</f>
        <v>45153.666666666599</v>
      </c>
      <c r="B2170" s="1">
        <f ca="1">IFERROR(__xludf.DUMMYFUNCTION("""COMPUTED_VALUE"""),44.56)</f>
        <v>44.56</v>
      </c>
      <c r="C2170" s="1">
        <f ca="1">IFERROR(__xludf.DUMMYFUNCTION("""COMPUTED_VALUE"""),45.27)</f>
        <v>45.27</v>
      </c>
      <c r="D2170" s="1">
        <f ca="1">IFERROR(__xludf.DUMMYFUNCTION("""COMPUTED_VALUE"""),43.71)</f>
        <v>43.71</v>
      </c>
      <c r="E2170" s="1">
        <f ca="1">IFERROR(__xludf.DUMMYFUNCTION("""COMPUTED_VALUE"""),43.94)</f>
        <v>43.94</v>
      </c>
      <c r="F2170" s="1">
        <f ca="1">IFERROR(__xludf.DUMMYFUNCTION("""COMPUTED_VALUE"""),67651151)</f>
        <v>67651151</v>
      </c>
    </row>
    <row r="2171" spans="1:6" x14ac:dyDescent="0.35">
      <c r="A2171" s="2">
        <f ca="1">IFERROR(__xludf.DUMMYFUNCTION("""COMPUTED_VALUE"""),45154.6666666666)</f>
        <v>45154.666666666599</v>
      </c>
      <c r="B2171" s="1">
        <f ca="1">IFERROR(__xludf.DUMMYFUNCTION("""COMPUTED_VALUE"""),44.52)</f>
        <v>44.52</v>
      </c>
      <c r="C2171" s="1">
        <f ca="1">IFERROR(__xludf.DUMMYFUNCTION("""COMPUTED_VALUE"""),44.68)</f>
        <v>44.68</v>
      </c>
      <c r="D2171" s="1">
        <f ca="1">IFERROR(__xludf.DUMMYFUNCTION("""COMPUTED_VALUE"""),43.41)</f>
        <v>43.41</v>
      </c>
      <c r="E2171" s="1">
        <f ca="1">IFERROR(__xludf.DUMMYFUNCTION("""COMPUTED_VALUE"""),43.49)</f>
        <v>43.49</v>
      </c>
      <c r="F2171" s="1">
        <f ca="1">IFERROR(__xludf.DUMMYFUNCTION("""COMPUTED_VALUE"""),52745068)</f>
        <v>52745068</v>
      </c>
    </row>
    <row r="2172" spans="1:6" x14ac:dyDescent="0.35">
      <c r="A2172" s="2">
        <f ca="1">IFERROR(__xludf.DUMMYFUNCTION("""COMPUTED_VALUE"""),45155.6666666666)</f>
        <v>45155.666666666599</v>
      </c>
      <c r="B2172" s="1">
        <f ca="1">IFERROR(__xludf.DUMMYFUNCTION("""COMPUTED_VALUE"""),43.97)</f>
        <v>43.97</v>
      </c>
      <c r="C2172" s="1">
        <f ca="1">IFERROR(__xludf.DUMMYFUNCTION("""COMPUTED_VALUE"""),44.06)</f>
        <v>44.06</v>
      </c>
      <c r="D2172" s="1">
        <f ca="1">IFERROR(__xludf.DUMMYFUNCTION("""COMPUTED_VALUE"""),43)</f>
        <v>43</v>
      </c>
      <c r="E2172" s="1">
        <f ca="1">IFERROR(__xludf.DUMMYFUNCTION("""COMPUTED_VALUE"""),43.34)</f>
        <v>43.34</v>
      </c>
      <c r="F2172" s="1">
        <f ca="1">IFERROR(__xludf.DUMMYFUNCTION("""COMPUTED_VALUE"""),45239482)</f>
        <v>45239482</v>
      </c>
    </row>
    <row r="2173" spans="1:6" x14ac:dyDescent="0.35">
      <c r="A2173" s="2">
        <f ca="1">IFERROR(__xludf.DUMMYFUNCTION("""COMPUTED_VALUE"""),45156.6666666666)</f>
        <v>45156.666666666599</v>
      </c>
      <c r="B2173" s="1">
        <f ca="1">IFERROR(__xludf.DUMMYFUNCTION("""COMPUTED_VALUE"""),42.64)</f>
        <v>42.64</v>
      </c>
      <c r="C2173" s="1">
        <f ca="1">IFERROR(__xludf.DUMMYFUNCTION("""COMPUTED_VALUE"""),43.58)</f>
        <v>43.58</v>
      </c>
      <c r="D2173" s="1">
        <f ca="1">IFERROR(__xludf.DUMMYFUNCTION("""COMPUTED_VALUE"""),41.66)</f>
        <v>41.66</v>
      </c>
      <c r="E2173" s="1">
        <f ca="1">IFERROR(__xludf.DUMMYFUNCTION("""COMPUTED_VALUE"""),43.3)</f>
        <v>43.3</v>
      </c>
      <c r="F2173" s="1">
        <f ca="1">IFERROR(__xludf.DUMMYFUNCTION("""COMPUTED_VALUE"""),58376787)</f>
        <v>58376787</v>
      </c>
    </row>
    <row r="2174" spans="1:6" x14ac:dyDescent="0.35">
      <c r="A2174" s="2">
        <f ca="1">IFERROR(__xludf.DUMMYFUNCTION("""COMPUTED_VALUE"""),45159.6666666666)</f>
        <v>45159.666666666599</v>
      </c>
      <c r="B2174" s="1">
        <f ca="1">IFERROR(__xludf.DUMMYFUNCTION("""COMPUTED_VALUE"""),44.49)</f>
        <v>44.49</v>
      </c>
      <c r="C2174" s="1">
        <f ca="1">IFERROR(__xludf.DUMMYFUNCTION("""COMPUTED_VALUE"""),47.07)</f>
        <v>47.07</v>
      </c>
      <c r="D2174" s="1">
        <f ca="1">IFERROR(__xludf.DUMMYFUNCTION("""COMPUTED_VALUE"""),44.22)</f>
        <v>44.22</v>
      </c>
      <c r="E2174" s="1">
        <f ca="1">IFERROR(__xludf.DUMMYFUNCTION("""COMPUTED_VALUE"""),46.97)</f>
        <v>46.97</v>
      </c>
      <c r="F2174" s="1">
        <f ca="1">IFERROR(__xludf.DUMMYFUNCTION("""COMPUTED_VALUE"""),69257337)</f>
        <v>69257337</v>
      </c>
    </row>
    <row r="2175" spans="1:6" x14ac:dyDescent="0.35">
      <c r="A2175" s="2">
        <f ca="1">IFERROR(__xludf.DUMMYFUNCTION("""COMPUTED_VALUE"""),45160.6666666666)</f>
        <v>45160.666666666599</v>
      </c>
      <c r="B2175" s="1">
        <f ca="1">IFERROR(__xludf.DUMMYFUNCTION("""COMPUTED_VALUE"""),48.14)</f>
        <v>48.14</v>
      </c>
      <c r="C2175" s="1">
        <f ca="1">IFERROR(__xludf.DUMMYFUNCTION("""COMPUTED_VALUE"""),48.19)</f>
        <v>48.19</v>
      </c>
      <c r="D2175" s="1">
        <f ca="1">IFERROR(__xludf.DUMMYFUNCTION("""COMPUTED_VALUE"""),45.33)</f>
        <v>45.33</v>
      </c>
      <c r="E2175" s="1">
        <f ca="1">IFERROR(__xludf.DUMMYFUNCTION("""COMPUTED_VALUE"""),45.67)</f>
        <v>45.67</v>
      </c>
      <c r="F2175" s="1">
        <f ca="1">IFERROR(__xludf.DUMMYFUNCTION("""COMPUTED_VALUE"""),75720691)</f>
        <v>75720691</v>
      </c>
    </row>
    <row r="2176" spans="1:6" x14ac:dyDescent="0.35">
      <c r="A2176" s="2">
        <f ca="1">IFERROR(__xludf.DUMMYFUNCTION("""COMPUTED_VALUE"""),45161.6666666666)</f>
        <v>45161.666666666599</v>
      </c>
      <c r="B2176" s="1">
        <f ca="1">IFERROR(__xludf.DUMMYFUNCTION("""COMPUTED_VALUE"""),45.87)</f>
        <v>45.87</v>
      </c>
      <c r="C2176" s="1">
        <f ca="1">IFERROR(__xludf.DUMMYFUNCTION("""COMPUTED_VALUE"""),47.2)</f>
        <v>47.2</v>
      </c>
      <c r="D2176" s="1">
        <f ca="1">IFERROR(__xludf.DUMMYFUNCTION("""COMPUTED_VALUE"""),45.21)</f>
        <v>45.21</v>
      </c>
      <c r="E2176" s="1">
        <f ca="1">IFERROR(__xludf.DUMMYFUNCTION("""COMPUTED_VALUE"""),47.12)</f>
        <v>47.12</v>
      </c>
      <c r="F2176" s="1">
        <f ca="1">IFERROR(__xludf.DUMMYFUNCTION("""COMPUTED_VALUE"""),77904608)</f>
        <v>77904608</v>
      </c>
    </row>
    <row r="2177" spans="1:6" x14ac:dyDescent="0.35">
      <c r="A2177" s="2">
        <f ca="1">IFERROR(__xludf.DUMMYFUNCTION("""COMPUTED_VALUE"""),45162.6666666666)</f>
        <v>45162.666666666599</v>
      </c>
      <c r="B2177" s="1">
        <f ca="1">IFERROR(__xludf.DUMMYFUNCTION("""COMPUTED_VALUE"""),50.22)</f>
        <v>50.22</v>
      </c>
      <c r="C2177" s="1">
        <f ca="1">IFERROR(__xludf.DUMMYFUNCTION("""COMPUTED_VALUE"""),50.27)</f>
        <v>50.27</v>
      </c>
      <c r="D2177" s="1">
        <f ca="1">IFERROR(__xludf.DUMMYFUNCTION("""COMPUTED_VALUE"""),47.16)</f>
        <v>47.16</v>
      </c>
      <c r="E2177" s="1">
        <f ca="1">IFERROR(__xludf.DUMMYFUNCTION("""COMPUTED_VALUE"""),47.16)</f>
        <v>47.16</v>
      </c>
      <c r="F2177" s="1">
        <f ca="1">IFERROR(__xludf.DUMMYFUNCTION("""COMPUTED_VALUE"""),115604409)</f>
        <v>115604409</v>
      </c>
    </row>
    <row r="2178" spans="1:6" x14ac:dyDescent="0.35">
      <c r="A2178" s="2">
        <f ca="1">IFERROR(__xludf.DUMMYFUNCTION("""COMPUTED_VALUE"""),45163.6666666666)</f>
        <v>45163.666666666599</v>
      </c>
      <c r="B2178" s="1">
        <f ca="1">IFERROR(__xludf.DUMMYFUNCTION("""COMPUTED_VALUE"""),47.01)</f>
        <v>47.01</v>
      </c>
      <c r="C2178" s="1">
        <f ca="1">IFERROR(__xludf.DUMMYFUNCTION("""COMPUTED_VALUE"""),47.81)</f>
        <v>47.81</v>
      </c>
      <c r="D2178" s="1">
        <f ca="1">IFERROR(__xludf.DUMMYFUNCTION("""COMPUTED_VALUE"""),45.02)</f>
        <v>45.02</v>
      </c>
      <c r="E2178" s="1">
        <f ca="1">IFERROR(__xludf.DUMMYFUNCTION("""COMPUTED_VALUE"""),46.02)</f>
        <v>46.02</v>
      </c>
      <c r="F2178" s="1">
        <f ca="1">IFERROR(__xludf.DUMMYFUNCTION("""COMPUTED_VALUE"""),92534052)</f>
        <v>92534052</v>
      </c>
    </row>
    <row r="2179" spans="1:6" x14ac:dyDescent="0.35">
      <c r="A2179" s="2">
        <f ca="1">IFERROR(__xludf.DUMMYFUNCTION("""COMPUTED_VALUE"""),45166.6666666666)</f>
        <v>45166.666666666599</v>
      </c>
      <c r="B2179" s="1">
        <f ca="1">IFERROR(__xludf.DUMMYFUNCTION("""COMPUTED_VALUE"""),46.48)</f>
        <v>46.48</v>
      </c>
      <c r="C2179" s="1">
        <f ca="1">IFERROR(__xludf.DUMMYFUNCTION("""COMPUTED_VALUE"""),46.98)</f>
        <v>46.98</v>
      </c>
      <c r="D2179" s="1">
        <f ca="1">IFERROR(__xludf.DUMMYFUNCTION("""COMPUTED_VALUE"""),44.89)</f>
        <v>44.89</v>
      </c>
      <c r="E2179" s="1">
        <f ca="1">IFERROR(__xludf.DUMMYFUNCTION("""COMPUTED_VALUE"""),46.84)</f>
        <v>46.84</v>
      </c>
      <c r="F2179" s="1">
        <f ca="1">IFERROR(__xludf.DUMMYFUNCTION("""COMPUTED_VALUE"""),68519223)</f>
        <v>68519223</v>
      </c>
    </row>
    <row r="2180" spans="1:6" x14ac:dyDescent="0.35">
      <c r="A2180" s="2">
        <f ca="1">IFERROR(__xludf.DUMMYFUNCTION("""COMPUTED_VALUE"""),45167.6666666666)</f>
        <v>45167.666666666599</v>
      </c>
      <c r="B2180" s="1">
        <f ca="1">IFERROR(__xludf.DUMMYFUNCTION("""COMPUTED_VALUE"""),46.67)</f>
        <v>46.67</v>
      </c>
      <c r="C2180" s="1">
        <f ca="1">IFERROR(__xludf.DUMMYFUNCTION("""COMPUTED_VALUE"""),49.08)</f>
        <v>49.08</v>
      </c>
      <c r="D2180" s="1">
        <f ca="1">IFERROR(__xludf.DUMMYFUNCTION("""COMPUTED_VALUE"""),46.39)</f>
        <v>46.39</v>
      </c>
      <c r="E2180" s="1">
        <f ca="1">IFERROR(__xludf.DUMMYFUNCTION("""COMPUTED_VALUE"""),48.78)</f>
        <v>48.78</v>
      </c>
      <c r="F2180" s="1">
        <f ca="1">IFERROR(__xludf.DUMMYFUNCTION("""COMPUTED_VALUE"""),70139699)</f>
        <v>70139699</v>
      </c>
    </row>
    <row r="2181" spans="1:6" x14ac:dyDescent="0.35">
      <c r="A2181" s="2">
        <f ca="1">IFERROR(__xludf.DUMMYFUNCTION("""COMPUTED_VALUE"""),45168.6666666666)</f>
        <v>45168.666666666599</v>
      </c>
      <c r="B2181" s="1">
        <f ca="1">IFERROR(__xludf.DUMMYFUNCTION("""COMPUTED_VALUE"""),49.04)</f>
        <v>49.04</v>
      </c>
      <c r="C2181" s="1">
        <f ca="1">IFERROR(__xludf.DUMMYFUNCTION("""COMPUTED_VALUE"""),49.93)</f>
        <v>49.93</v>
      </c>
      <c r="D2181" s="1">
        <f ca="1">IFERROR(__xludf.DUMMYFUNCTION("""COMPUTED_VALUE"""),48.43)</f>
        <v>48.43</v>
      </c>
      <c r="E2181" s="1">
        <f ca="1">IFERROR(__xludf.DUMMYFUNCTION("""COMPUTED_VALUE"""),49.26)</f>
        <v>49.26</v>
      </c>
      <c r="F2181" s="1">
        <f ca="1">IFERROR(__xludf.DUMMYFUNCTION("""COMPUTED_VALUE"""),73520598)</f>
        <v>73520598</v>
      </c>
    </row>
    <row r="2182" spans="1:6" x14ac:dyDescent="0.35">
      <c r="A2182" s="2">
        <f ca="1">IFERROR(__xludf.DUMMYFUNCTION("""COMPUTED_VALUE"""),45169.6666666666)</f>
        <v>45169.666666666599</v>
      </c>
      <c r="B2182" s="1">
        <f ca="1">IFERROR(__xludf.DUMMYFUNCTION("""COMPUTED_VALUE"""),49.38)</f>
        <v>49.38</v>
      </c>
      <c r="C2182" s="1">
        <f ca="1">IFERROR(__xludf.DUMMYFUNCTION("""COMPUTED_VALUE"""),49.74)</f>
        <v>49.74</v>
      </c>
      <c r="D2182" s="1">
        <f ca="1">IFERROR(__xludf.DUMMYFUNCTION("""COMPUTED_VALUE"""),48.96)</f>
        <v>48.96</v>
      </c>
      <c r="E2182" s="1">
        <f ca="1">IFERROR(__xludf.DUMMYFUNCTION("""COMPUTED_VALUE"""),49.36)</f>
        <v>49.36</v>
      </c>
      <c r="F2182" s="1">
        <f ca="1">IFERROR(__xludf.DUMMYFUNCTION("""COMPUTED_VALUE"""),52856977)</f>
        <v>52856977</v>
      </c>
    </row>
    <row r="2183" spans="1:6" x14ac:dyDescent="0.35">
      <c r="A2183" s="2">
        <f ca="1">IFERROR(__xludf.DUMMYFUNCTION("""COMPUTED_VALUE"""),45170.6666666666)</f>
        <v>45170.666666666599</v>
      </c>
      <c r="B2183" s="1">
        <f ca="1">IFERROR(__xludf.DUMMYFUNCTION("""COMPUTED_VALUE"""),49.76)</f>
        <v>49.76</v>
      </c>
      <c r="C2183" s="1">
        <f ca="1">IFERROR(__xludf.DUMMYFUNCTION("""COMPUTED_VALUE"""),49.8)</f>
        <v>49.8</v>
      </c>
      <c r="D2183" s="1">
        <f ca="1">IFERROR(__xludf.DUMMYFUNCTION("""COMPUTED_VALUE"""),48.14)</f>
        <v>48.14</v>
      </c>
      <c r="E2183" s="1">
        <f ca="1">IFERROR(__xludf.DUMMYFUNCTION("""COMPUTED_VALUE"""),48.51)</f>
        <v>48.51</v>
      </c>
      <c r="F2183" s="1">
        <f ca="1">IFERROR(__xludf.DUMMYFUNCTION("""COMPUTED_VALUE"""),46383030)</f>
        <v>46383030</v>
      </c>
    </row>
    <row r="2184" spans="1:6" x14ac:dyDescent="0.35">
      <c r="A2184" s="2">
        <f ca="1">IFERROR(__xludf.DUMMYFUNCTION("""COMPUTED_VALUE"""),45174.6666666666)</f>
        <v>45174.666666666599</v>
      </c>
      <c r="B2184" s="1">
        <f ca="1">IFERROR(__xludf.DUMMYFUNCTION("""COMPUTED_VALUE"""),48.22)</f>
        <v>48.22</v>
      </c>
      <c r="C2184" s="1">
        <f ca="1">IFERROR(__xludf.DUMMYFUNCTION("""COMPUTED_VALUE"""),48.85)</f>
        <v>48.85</v>
      </c>
      <c r="D2184" s="1">
        <f ca="1">IFERROR(__xludf.DUMMYFUNCTION("""COMPUTED_VALUE"""),47.86)</f>
        <v>47.86</v>
      </c>
      <c r="E2184" s="1">
        <f ca="1">IFERROR(__xludf.DUMMYFUNCTION("""COMPUTED_VALUE"""),48.55)</f>
        <v>48.55</v>
      </c>
      <c r="F2184" s="1">
        <f ca="1">IFERROR(__xludf.DUMMYFUNCTION("""COMPUTED_VALUE"""),38265258)</f>
        <v>38265258</v>
      </c>
    </row>
    <row r="2185" spans="1:6" x14ac:dyDescent="0.35">
      <c r="A2185" s="2">
        <f ca="1">IFERROR(__xludf.DUMMYFUNCTION("""COMPUTED_VALUE"""),45175.6666666666)</f>
        <v>45175.666666666599</v>
      </c>
      <c r="B2185" s="1">
        <f ca="1">IFERROR(__xludf.DUMMYFUNCTION("""COMPUTED_VALUE"""),48.44)</f>
        <v>48.44</v>
      </c>
      <c r="C2185" s="1">
        <f ca="1">IFERROR(__xludf.DUMMYFUNCTION("""COMPUTED_VALUE"""),48.55)</f>
        <v>48.55</v>
      </c>
      <c r="D2185" s="1">
        <f ca="1">IFERROR(__xludf.DUMMYFUNCTION("""COMPUTED_VALUE"""),46.58)</f>
        <v>46.58</v>
      </c>
      <c r="E2185" s="1">
        <f ca="1">IFERROR(__xludf.DUMMYFUNCTION("""COMPUTED_VALUE"""),47.06)</f>
        <v>47.06</v>
      </c>
      <c r="F2185" s="1">
        <f ca="1">IFERROR(__xludf.DUMMYFUNCTION("""COMPUTED_VALUE"""),46866957)</f>
        <v>46866957</v>
      </c>
    </row>
    <row r="2186" spans="1:6" x14ac:dyDescent="0.35">
      <c r="A2186" s="2">
        <f ca="1">IFERROR(__xludf.DUMMYFUNCTION("""COMPUTED_VALUE"""),45176.6666666666)</f>
        <v>45176.666666666599</v>
      </c>
      <c r="B2186" s="1">
        <f ca="1">IFERROR(__xludf.DUMMYFUNCTION("""COMPUTED_VALUE"""),45.53)</f>
        <v>45.53</v>
      </c>
      <c r="C2186" s="1">
        <f ca="1">IFERROR(__xludf.DUMMYFUNCTION("""COMPUTED_VALUE"""),46.34)</f>
        <v>46.34</v>
      </c>
      <c r="D2186" s="1">
        <f ca="1">IFERROR(__xludf.DUMMYFUNCTION("""COMPUTED_VALUE"""),45.15)</f>
        <v>45.15</v>
      </c>
      <c r="E2186" s="1">
        <f ca="1">IFERROR(__xludf.DUMMYFUNCTION("""COMPUTED_VALUE"""),46.24)</f>
        <v>46.24</v>
      </c>
      <c r="F2186" s="1">
        <f ca="1">IFERROR(__xludf.DUMMYFUNCTION("""COMPUTED_VALUE"""),43332989)</f>
        <v>43332989</v>
      </c>
    </row>
    <row r="2187" spans="1:6" x14ac:dyDescent="0.35">
      <c r="A2187" s="2">
        <f ca="1">IFERROR(__xludf.DUMMYFUNCTION("""COMPUTED_VALUE"""),45177.6666666666)</f>
        <v>45177.666666666599</v>
      </c>
      <c r="B2187" s="1">
        <f ca="1">IFERROR(__xludf.DUMMYFUNCTION("""COMPUTED_VALUE"""),45.94)</f>
        <v>45.94</v>
      </c>
      <c r="C2187" s="1">
        <f ca="1">IFERROR(__xludf.DUMMYFUNCTION("""COMPUTED_VALUE"""),46.61)</f>
        <v>46.61</v>
      </c>
      <c r="D2187" s="1">
        <f ca="1">IFERROR(__xludf.DUMMYFUNCTION("""COMPUTED_VALUE"""),45.27)</f>
        <v>45.27</v>
      </c>
      <c r="E2187" s="1">
        <f ca="1">IFERROR(__xludf.DUMMYFUNCTION("""COMPUTED_VALUE"""),45.57)</f>
        <v>45.57</v>
      </c>
      <c r="F2187" s="1">
        <f ca="1">IFERROR(__xludf.DUMMYFUNCTION("""COMPUTED_VALUE"""),47389994)</f>
        <v>47389994</v>
      </c>
    </row>
    <row r="2188" spans="1:6" x14ac:dyDescent="0.35">
      <c r="A2188" s="2">
        <f ca="1">IFERROR(__xludf.DUMMYFUNCTION("""COMPUTED_VALUE"""),45180.6666666666)</f>
        <v>45180.666666666599</v>
      </c>
      <c r="B2188" s="1">
        <f ca="1">IFERROR(__xludf.DUMMYFUNCTION("""COMPUTED_VALUE"""),46.15)</f>
        <v>46.15</v>
      </c>
      <c r="C2188" s="1">
        <f ca="1">IFERROR(__xludf.DUMMYFUNCTION("""COMPUTED_VALUE"""),46.16)</f>
        <v>46.16</v>
      </c>
      <c r="D2188" s="1">
        <f ca="1">IFERROR(__xludf.DUMMYFUNCTION("""COMPUTED_VALUE"""),44.31)</f>
        <v>44.31</v>
      </c>
      <c r="E2188" s="1">
        <f ca="1">IFERROR(__xludf.DUMMYFUNCTION("""COMPUTED_VALUE"""),45.18)</f>
        <v>45.18</v>
      </c>
      <c r="F2188" s="1">
        <f ca="1">IFERROR(__xludf.DUMMYFUNCTION("""COMPUTED_VALUE"""),47396555)</f>
        <v>47396555</v>
      </c>
    </row>
    <row r="2189" spans="1:6" x14ac:dyDescent="0.35">
      <c r="A2189" s="2">
        <f ca="1">IFERROR(__xludf.DUMMYFUNCTION("""COMPUTED_VALUE"""),45181.6666666666)</f>
        <v>45181.666666666599</v>
      </c>
      <c r="B2189" s="1">
        <f ca="1">IFERROR(__xludf.DUMMYFUNCTION("""COMPUTED_VALUE"""),44.74)</f>
        <v>44.74</v>
      </c>
      <c r="C2189" s="1">
        <f ca="1">IFERROR(__xludf.DUMMYFUNCTION("""COMPUTED_VALUE"""),45.67)</f>
        <v>45.67</v>
      </c>
      <c r="D2189" s="1">
        <f ca="1">IFERROR(__xludf.DUMMYFUNCTION("""COMPUTED_VALUE"""),44.53)</f>
        <v>44.53</v>
      </c>
      <c r="E2189" s="1">
        <f ca="1">IFERROR(__xludf.DUMMYFUNCTION("""COMPUTED_VALUE"""),44.87)</f>
        <v>44.87</v>
      </c>
      <c r="F2189" s="1">
        <f ca="1">IFERROR(__xludf.DUMMYFUNCTION("""COMPUTED_VALUE"""),34925634)</f>
        <v>34925634</v>
      </c>
    </row>
    <row r="2190" spans="1:6" x14ac:dyDescent="0.35">
      <c r="A2190" s="2">
        <f ca="1">IFERROR(__xludf.DUMMYFUNCTION("""COMPUTED_VALUE"""),45182.6666666666)</f>
        <v>45182.666666666599</v>
      </c>
      <c r="B2190" s="1">
        <f ca="1">IFERROR(__xludf.DUMMYFUNCTION("""COMPUTED_VALUE"""),44.6)</f>
        <v>44.6</v>
      </c>
      <c r="C2190" s="1">
        <f ca="1">IFERROR(__xludf.DUMMYFUNCTION("""COMPUTED_VALUE"""),45.93)</f>
        <v>45.93</v>
      </c>
      <c r="D2190" s="1">
        <f ca="1">IFERROR(__xludf.DUMMYFUNCTION("""COMPUTED_VALUE"""),44.5)</f>
        <v>44.5</v>
      </c>
      <c r="E2190" s="1">
        <f ca="1">IFERROR(__xludf.DUMMYFUNCTION("""COMPUTED_VALUE"""),45.49)</f>
        <v>45.49</v>
      </c>
      <c r="F2190" s="1">
        <f ca="1">IFERROR(__xludf.DUMMYFUNCTION("""COMPUTED_VALUE"""),39835535)</f>
        <v>39835535</v>
      </c>
    </row>
    <row r="2191" spans="1:6" x14ac:dyDescent="0.35">
      <c r="A2191" s="2">
        <f ca="1">IFERROR(__xludf.DUMMYFUNCTION("""COMPUTED_VALUE"""),45183.6666666666)</f>
        <v>45183.666666666599</v>
      </c>
      <c r="B2191" s="1">
        <f ca="1">IFERROR(__xludf.DUMMYFUNCTION("""COMPUTED_VALUE"""),45.95)</f>
        <v>45.95</v>
      </c>
      <c r="C2191" s="1">
        <f ca="1">IFERROR(__xludf.DUMMYFUNCTION("""COMPUTED_VALUE"""),45.99)</f>
        <v>45.99</v>
      </c>
      <c r="D2191" s="1">
        <f ca="1">IFERROR(__xludf.DUMMYFUNCTION("""COMPUTED_VALUE"""),45.13)</f>
        <v>45.13</v>
      </c>
      <c r="E2191" s="1">
        <f ca="1">IFERROR(__xludf.DUMMYFUNCTION("""COMPUTED_VALUE"""),45.58)</f>
        <v>45.58</v>
      </c>
      <c r="F2191" s="1">
        <f ca="1">IFERROR(__xludf.DUMMYFUNCTION("""COMPUTED_VALUE"""),37009720)</f>
        <v>37009720</v>
      </c>
    </row>
    <row r="2192" spans="1:6" x14ac:dyDescent="0.35">
      <c r="A2192" s="2">
        <f ca="1">IFERROR(__xludf.DUMMYFUNCTION("""COMPUTED_VALUE"""),45184.6666666666)</f>
        <v>45184.666666666599</v>
      </c>
      <c r="B2192" s="1">
        <f ca="1">IFERROR(__xludf.DUMMYFUNCTION("""COMPUTED_VALUE"""),45.34)</f>
        <v>45.34</v>
      </c>
      <c r="C2192" s="1">
        <f ca="1">IFERROR(__xludf.DUMMYFUNCTION("""COMPUTED_VALUE"""),45.6)</f>
        <v>45.6</v>
      </c>
      <c r="D2192" s="1">
        <f ca="1">IFERROR(__xludf.DUMMYFUNCTION("""COMPUTED_VALUE"""),43.81)</f>
        <v>43.81</v>
      </c>
      <c r="E2192" s="1">
        <f ca="1">IFERROR(__xludf.DUMMYFUNCTION("""COMPUTED_VALUE"""),43.9)</f>
        <v>43.9</v>
      </c>
      <c r="F2192" s="1">
        <f ca="1">IFERROR(__xludf.DUMMYFUNCTION("""COMPUTED_VALUE"""),50683051)</f>
        <v>50683051</v>
      </c>
    </row>
    <row r="2193" spans="1:6" x14ac:dyDescent="0.35">
      <c r="A2193" s="2">
        <f ca="1">IFERROR(__xludf.DUMMYFUNCTION("""COMPUTED_VALUE"""),45187.6666666666)</f>
        <v>45187.666666666599</v>
      </c>
      <c r="B2193" s="1">
        <f ca="1">IFERROR(__xludf.DUMMYFUNCTION("""COMPUTED_VALUE"""),42.75)</f>
        <v>42.75</v>
      </c>
      <c r="C2193" s="1">
        <f ca="1">IFERROR(__xludf.DUMMYFUNCTION("""COMPUTED_VALUE"""),44.24)</f>
        <v>44.24</v>
      </c>
      <c r="D2193" s="1">
        <f ca="1">IFERROR(__xludf.DUMMYFUNCTION("""COMPUTED_VALUE"""),42)</f>
        <v>42</v>
      </c>
      <c r="E2193" s="1">
        <f ca="1">IFERROR(__xludf.DUMMYFUNCTION("""COMPUTED_VALUE"""),43.97)</f>
        <v>43.97</v>
      </c>
      <c r="F2193" s="1">
        <f ca="1">IFERROR(__xludf.DUMMYFUNCTION("""COMPUTED_VALUE"""),50027079)</f>
        <v>50027079</v>
      </c>
    </row>
    <row r="2194" spans="1:6" x14ac:dyDescent="0.35">
      <c r="A2194" s="2">
        <f ca="1">IFERROR(__xludf.DUMMYFUNCTION("""COMPUTED_VALUE"""),45188.6666666666)</f>
        <v>45188.666666666599</v>
      </c>
      <c r="B2194" s="1">
        <f ca="1">IFERROR(__xludf.DUMMYFUNCTION("""COMPUTED_VALUE"""),43.83)</f>
        <v>43.83</v>
      </c>
      <c r="C2194" s="1">
        <f ca="1">IFERROR(__xludf.DUMMYFUNCTION("""COMPUTED_VALUE"""),43.97)</f>
        <v>43.97</v>
      </c>
      <c r="D2194" s="1">
        <f ca="1">IFERROR(__xludf.DUMMYFUNCTION("""COMPUTED_VALUE"""),43)</f>
        <v>43</v>
      </c>
      <c r="E2194" s="1">
        <f ca="1">IFERROR(__xludf.DUMMYFUNCTION("""COMPUTED_VALUE"""),43.52)</f>
        <v>43.52</v>
      </c>
      <c r="F2194" s="1">
        <f ca="1">IFERROR(__xludf.DUMMYFUNCTION("""COMPUTED_VALUE"""),37306424)</f>
        <v>37306424</v>
      </c>
    </row>
    <row r="2195" spans="1:6" x14ac:dyDescent="0.35">
      <c r="A2195" s="2">
        <f ca="1">IFERROR(__xludf.DUMMYFUNCTION("""COMPUTED_VALUE"""),45189.6666666666)</f>
        <v>45189.666666666599</v>
      </c>
      <c r="B2195" s="1">
        <f ca="1">IFERROR(__xludf.DUMMYFUNCTION("""COMPUTED_VALUE"""),43.6)</f>
        <v>43.6</v>
      </c>
      <c r="C2195" s="1">
        <f ca="1">IFERROR(__xludf.DUMMYFUNCTION("""COMPUTED_VALUE"""),43.9)</f>
        <v>43.9</v>
      </c>
      <c r="D2195" s="1">
        <f ca="1">IFERROR(__xludf.DUMMYFUNCTION("""COMPUTED_VALUE"""),42.22)</f>
        <v>42.22</v>
      </c>
      <c r="E2195" s="1">
        <f ca="1">IFERROR(__xludf.DUMMYFUNCTION("""COMPUTED_VALUE"""),42.24)</f>
        <v>42.24</v>
      </c>
      <c r="F2195" s="1">
        <f ca="1">IFERROR(__xludf.DUMMYFUNCTION("""COMPUTED_VALUE"""),36710769)</f>
        <v>36710769</v>
      </c>
    </row>
    <row r="2196" spans="1:6" x14ac:dyDescent="0.35">
      <c r="A2196" s="2">
        <f ca="1">IFERROR(__xludf.DUMMYFUNCTION("""COMPUTED_VALUE"""),45190.6666666666)</f>
        <v>45190.666666666599</v>
      </c>
      <c r="B2196" s="1">
        <f ca="1">IFERROR(__xludf.DUMMYFUNCTION("""COMPUTED_VALUE"""),41.58)</f>
        <v>41.58</v>
      </c>
      <c r="C2196" s="1">
        <f ca="1">IFERROR(__xludf.DUMMYFUNCTION("""COMPUTED_VALUE"""),42.1)</f>
        <v>42.1</v>
      </c>
      <c r="D2196" s="1">
        <f ca="1">IFERROR(__xludf.DUMMYFUNCTION("""COMPUTED_VALUE"""),40.98)</f>
        <v>40.98</v>
      </c>
      <c r="E2196" s="1">
        <f ca="1">IFERROR(__xludf.DUMMYFUNCTION("""COMPUTED_VALUE"""),41.02)</f>
        <v>41.02</v>
      </c>
      <c r="F2196" s="1">
        <f ca="1">IFERROR(__xludf.DUMMYFUNCTION("""COMPUTED_VALUE"""),45073596)</f>
        <v>45073596</v>
      </c>
    </row>
    <row r="2197" spans="1:6" x14ac:dyDescent="0.35">
      <c r="A2197" s="2">
        <f ca="1">IFERROR(__xludf.DUMMYFUNCTION("""COMPUTED_VALUE"""),45191.6666666666)</f>
        <v>45191.666666666599</v>
      </c>
      <c r="B2197" s="1">
        <f ca="1">IFERROR(__xludf.DUMMYFUNCTION("""COMPUTED_VALUE"""),41.57)</f>
        <v>41.57</v>
      </c>
      <c r="C2197" s="1">
        <f ca="1">IFERROR(__xludf.DUMMYFUNCTION("""COMPUTED_VALUE"""),42.12)</f>
        <v>42.12</v>
      </c>
      <c r="D2197" s="1">
        <f ca="1">IFERROR(__xludf.DUMMYFUNCTION("""COMPUTED_VALUE"""),41.23)</f>
        <v>41.23</v>
      </c>
      <c r="E2197" s="1">
        <f ca="1">IFERROR(__xludf.DUMMYFUNCTION("""COMPUTED_VALUE"""),41.61)</f>
        <v>41.61</v>
      </c>
      <c r="F2197" s="1">
        <f ca="1">IFERROR(__xludf.DUMMYFUNCTION("""COMPUTED_VALUE"""),47923631)</f>
        <v>47923631</v>
      </c>
    </row>
    <row r="2198" spans="1:6" x14ac:dyDescent="0.35">
      <c r="A2198" s="2">
        <f ca="1">IFERROR(__xludf.DUMMYFUNCTION("""COMPUTED_VALUE"""),45194.6666666666)</f>
        <v>45194.666666666599</v>
      </c>
      <c r="B2198" s="1">
        <f ca="1">IFERROR(__xludf.DUMMYFUNCTION("""COMPUTED_VALUE"""),41.59)</f>
        <v>41.59</v>
      </c>
      <c r="C2198" s="1">
        <f ca="1">IFERROR(__xludf.DUMMYFUNCTION("""COMPUTED_VALUE"""),42.54)</f>
        <v>42.54</v>
      </c>
      <c r="D2198" s="1">
        <f ca="1">IFERROR(__xludf.DUMMYFUNCTION("""COMPUTED_VALUE"""),41.18)</f>
        <v>41.18</v>
      </c>
      <c r="E2198" s="1">
        <f ca="1">IFERROR(__xludf.DUMMYFUNCTION("""COMPUTED_VALUE"""),42.22)</f>
        <v>42.22</v>
      </c>
      <c r="F2198" s="1">
        <f ca="1">IFERROR(__xludf.DUMMYFUNCTION("""COMPUTED_VALUE"""),41909096)</f>
        <v>41909096</v>
      </c>
    </row>
    <row r="2199" spans="1:6" x14ac:dyDescent="0.35">
      <c r="A2199" s="2">
        <f ca="1">IFERROR(__xludf.DUMMYFUNCTION("""COMPUTED_VALUE"""),45195.6666666666)</f>
        <v>45195.666666666599</v>
      </c>
      <c r="B2199" s="1">
        <f ca="1">IFERROR(__xludf.DUMMYFUNCTION("""COMPUTED_VALUE"""),42)</f>
        <v>42</v>
      </c>
      <c r="C2199" s="1">
        <f ca="1">IFERROR(__xludf.DUMMYFUNCTION("""COMPUTED_VALUE"""),42.82)</f>
        <v>42.82</v>
      </c>
      <c r="D2199" s="1">
        <f ca="1">IFERROR(__xludf.DUMMYFUNCTION("""COMPUTED_VALUE"""),41.66)</f>
        <v>41.66</v>
      </c>
      <c r="E2199" s="1">
        <f ca="1">IFERROR(__xludf.DUMMYFUNCTION("""COMPUTED_VALUE"""),41.91)</f>
        <v>41.91</v>
      </c>
      <c r="F2199" s="1">
        <f ca="1">IFERROR(__xludf.DUMMYFUNCTION("""COMPUTED_VALUE"""),40228209)</f>
        <v>40228209</v>
      </c>
    </row>
    <row r="2200" spans="1:6" x14ac:dyDescent="0.35">
      <c r="A2200" s="2">
        <f ca="1">IFERROR(__xludf.DUMMYFUNCTION("""COMPUTED_VALUE"""),45196.6666666666)</f>
        <v>45196.666666666599</v>
      </c>
      <c r="B2200" s="1">
        <f ca="1">IFERROR(__xludf.DUMMYFUNCTION("""COMPUTED_VALUE"""),42.33)</f>
        <v>42.33</v>
      </c>
      <c r="C2200" s="1">
        <f ca="1">IFERROR(__xludf.DUMMYFUNCTION("""COMPUTED_VALUE"""),42.87)</f>
        <v>42.87</v>
      </c>
      <c r="D2200" s="1">
        <f ca="1">IFERROR(__xludf.DUMMYFUNCTION("""COMPUTED_VALUE"""),41.63)</f>
        <v>41.63</v>
      </c>
      <c r="E2200" s="1">
        <f ca="1">IFERROR(__xludf.DUMMYFUNCTION("""COMPUTED_VALUE"""),42.47)</f>
        <v>42.47</v>
      </c>
      <c r="F2200" s="1">
        <f ca="1">IFERROR(__xludf.DUMMYFUNCTION("""COMPUTED_VALUE"""),44493520)</f>
        <v>44493520</v>
      </c>
    </row>
    <row r="2201" spans="1:6" x14ac:dyDescent="0.35">
      <c r="A2201" s="2">
        <f ca="1">IFERROR(__xludf.DUMMYFUNCTION("""COMPUTED_VALUE"""),45197.6666666666)</f>
        <v>45197.666666666599</v>
      </c>
      <c r="B2201" s="1">
        <f ca="1">IFERROR(__xludf.DUMMYFUNCTION("""COMPUTED_VALUE"""),42.46)</f>
        <v>42.46</v>
      </c>
      <c r="C2201" s="1">
        <f ca="1">IFERROR(__xludf.DUMMYFUNCTION("""COMPUTED_VALUE"""),43.45)</f>
        <v>43.45</v>
      </c>
      <c r="D2201" s="1">
        <f ca="1">IFERROR(__xludf.DUMMYFUNCTION("""COMPUTED_VALUE"""),42.12)</f>
        <v>42.12</v>
      </c>
      <c r="E2201" s="1">
        <f ca="1">IFERROR(__xludf.DUMMYFUNCTION("""COMPUTED_VALUE"""),43.09)</f>
        <v>43.09</v>
      </c>
      <c r="F2201" s="1">
        <f ca="1">IFERROR(__xludf.DUMMYFUNCTION("""COMPUTED_VALUE"""),42466279)</f>
        <v>42466279</v>
      </c>
    </row>
    <row r="2202" spans="1:6" x14ac:dyDescent="0.35">
      <c r="A2202" s="2">
        <f ca="1">IFERROR(__xludf.DUMMYFUNCTION("""COMPUTED_VALUE"""),45198.6666666666)</f>
        <v>45198.666666666599</v>
      </c>
      <c r="B2202" s="1">
        <f ca="1">IFERROR(__xludf.DUMMYFUNCTION("""COMPUTED_VALUE"""),43.83)</f>
        <v>43.83</v>
      </c>
      <c r="C2202" s="1">
        <f ca="1">IFERROR(__xludf.DUMMYFUNCTION("""COMPUTED_VALUE"""),44.14)</f>
        <v>44.14</v>
      </c>
      <c r="D2202" s="1">
        <f ca="1">IFERROR(__xludf.DUMMYFUNCTION("""COMPUTED_VALUE"""),43.31)</f>
        <v>43.31</v>
      </c>
      <c r="E2202" s="1">
        <f ca="1">IFERROR(__xludf.DUMMYFUNCTION("""COMPUTED_VALUE"""),43.5)</f>
        <v>43.5</v>
      </c>
      <c r="F2202" s="1">
        <f ca="1">IFERROR(__xludf.DUMMYFUNCTION("""COMPUTED_VALUE"""),39782993)</f>
        <v>39782993</v>
      </c>
    </row>
    <row r="2203" spans="1:6" x14ac:dyDescent="0.35">
      <c r="A2203" s="2">
        <f ca="1">IFERROR(__xludf.DUMMYFUNCTION("""COMPUTED_VALUE"""),45201.6666666666)</f>
        <v>45201.666666666599</v>
      </c>
      <c r="B2203" s="1">
        <f ca="1">IFERROR(__xludf.DUMMYFUNCTION("""COMPUTED_VALUE"""),44.03)</f>
        <v>44.03</v>
      </c>
      <c r="C2203" s="1">
        <f ca="1">IFERROR(__xludf.DUMMYFUNCTION("""COMPUTED_VALUE"""),45.18)</f>
        <v>45.18</v>
      </c>
      <c r="D2203" s="1">
        <f ca="1">IFERROR(__xludf.DUMMYFUNCTION("""COMPUTED_VALUE"""),43.86)</f>
        <v>43.86</v>
      </c>
      <c r="E2203" s="1">
        <f ca="1">IFERROR(__xludf.DUMMYFUNCTION("""COMPUTED_VALUE"""),44.78)</f>
        <v>44.78</v>
      </c>
      <c r="F2203" s="1">
        <f ca="1">IFERROR(__xludf.DUMMYFUNCTION("""COMPUTED_VALUE"""),43329821)</f>
        <v>43329821</v>
      </c>
    </row>
    <row r="2204" spans="1:6" x14ac:dyDescent="0.35">
      <c r="A2204" s="2">
        <f ca="1">IFERROR(__xludf.DUMMYFUNCTION("""COMPUTED_VALUE"""),45202.6666666666)</f>
        <v>45202.666666666599</v>
      </c>
      <c r="B2204" s="1">
        <f ca="1">IFERROR(__xludf.DUMMYFUNCTION("""COMPUTED_VALUE"""),44.81)</f>
        <v>44.81</v>
      </c>
      <c r="C2204" s="1">
        <f ca="1">IFERROR(__xludf.DUMMYFUNCTION("""COMPUTED_VALUE"""),45.13)</f>
        <v>45.13</v>
      </c>
      <c r="D2204" s="1">
        <f ca="1">IFERROR(__xludf.DUMMYFUNCTION("""COMPUTED_VALUE"""),43.25)</f>
        <v>43.25</v>
      </c>
      <c r="E2204" s="1">
        <f ca="1">IFERROR(__xludf.DUMMYFUNCTION("""COMPUTED_VALUE"""),43.52)</f>
        <v>43.52</v>
      </c>
      <c r="F2204" s="1">
        <f ca="1">IFERROR(__xludf.DUMMYFUNCTION("""COMPUTED_VALUE"""),47084954)</f>
        <v>47084954</v>
      </c>
    </row>
    <row r="2205" spans="1:6" x14ac:dyDescent="0.35">
      <c r="A2205" s="2">
        <f ca="1">IFERROR(__xludf.DUMMYFUNCTION("""COMPUTED_VALUE"""),45203.6666666666)</f>
        <v>45203.666666666599</v>
      </c>
      <c r="B2205" s="1">
        <f ca="1">IFERROR(__xludf.DUMMYFUNCTION("""COMPUTED_VALUE"""),43.74)</f>
        <v>43.74</v>
      </c>
      <c r="C2205" s="1">
        <f ca="1">IFERROR(__xludf.DUMMYFUNCTION("""COMPUTED_VALUE"""),44.14)</f>
        <v>44.14</v>
      </c>
      <c r="D2205" s="1">
        <f ca="1">IFERROR(__xludf.DUMMYFUNCTION("""COMPUTED_VALUE"""),43.29)</f>
        <v>43.29</v>
      </c>
      <c r="E2205" s="1">
        <f ca="1">IFERROR(__xludf.DUMMYFUNCTION("""COMPUTED_VALUE"""),44.04)</f>
        <v>44.04</v>
      </c>
      <c r="F2205" s="1">
        <f ca="1">IFERROR(__xludf.DUMMYFUNCTION("""COMPUTED_VALUE"""),36182086)</f>
        <v>36182086</v>
      </c>
    </row>
    <row r="2206" spans="1:6" x14ac:dyDescent="0.35">
      <c r="A2206" s="2">
        <f ca="1">IFERROR(__xludf.DUMMYFUNCTION("""COMPUTED_VALUE"""),45204.6666666666)</f>
        <v>45204.666666666599</v>
      </c>
      <c r="B2206" s="1">
        <f ca="1">IFERROR(__xludf.DUMMYFUNCTION("""COMPUTED_VALUE"""),44.05)</f>
        <v>44.05</v>
      </c>
      <c r="C2206" s="1">
        <f ca="1">IFERROR(__xludf.DUMMYFUNCTION("""COMPUTED_VALUE"""),44.9)</f>
        <v>44.9</v>
      </c>
      <c r="D2206" s="1">
        <f ca="1">IFERROR(__xludf.DUMMYFUNCTION("""COMPUTED_VALUE"""),43.89)</f>
        <v>43.89</v>
      </c>
      <c r="E2206" s="1">
        <f ca="1">IFERROR(__xludf.DUMMYFUNCTION("""COMPUTED_VALUE"""),44.69)</f>
        <v>44.69</v>
      </c>
      <c r="F2206" s="1">
        <f ca="1">IFERROR(__xludf.DUMMYFUNCTION("""COMPUTED_VALUE"""),39348309)</f>
        <v>39348309</v>
      </c>
    </row>
    <row r="2207" spans="1:6" x14ac:dyDescent="0.35">
      <c r="A2207" s="2">
        <f ca="1">IFERROR(__xludf.DUMMYFUNCTION("""COMPUTED_VALUE"""),45205.6666666666)</f>
        <v>45205.666666666599</v>
      </c>
      <c r="B2207" s="1">
        <f ca="1">IFERROR(__xludf.DUMMYFUNCTION("""COMPUTED_VALUE"""),44.19)</f>
        <v>44.19</v>
      </c>
      <c r="C2207" s="1">
        <f ca="1">IFERROR(__xludf.DUMMYFUNCTION("""COMPUTED_VALUE"""),45.79)</f>
        <v>45.79</v>
      </c>
      <c r="D2207" s="1">
        <f ca="1">IFERROR(__xludf.DUMMYFUNCTION("""COMPUTED_VALUE"""),44.03)</f>
        <v>44.03</v>
      </c>
      <c r="E2207" s="1">
        <f ca="1">IFERROR(__xludf.DUMMYFUNCTION("""COMPUTED_VALUE"""),45.76)</f>
        <v>45.76</v>
      </c>
      <c r="F2207" s="1">
        <f ca="1">IFERROR(__xludf.DUMMYFUNCTION("""COMPUTED_VALUE"""),43443602)</f>
        <v>43443602</v>
      </c>
    </row>
    <row r="2208" spans="1:6" x14ac:dyDescent="0.35">
      <c r="A2208" s="2">
        <f ca="1">IFERROR(__xludf.DUMMYFUNCTION("""COMPUTED_VALUE"""),45208.6666666666)</f>
        <v>45208.666666666599</v>
      </c>
      <c r="B2208" s="1">
        <f ca="1">IFERROR(__xludf.DUMMYFUNCTION("""COMPUTED_VALUE"""),44.84)</f>
        <v>44.84</v>
      </c>
      <c r="C2208" s="1">
        <f ca="1">IFERROR(__xludf.DUMMYFUNCTION("""COMPUTED_VALUE"""),45.61)</f>
        <v>45.61</v>
      </c>
      <c r="D2208" s="1">
        <f ca="1">IFERROR(__xludf.DUMMYFUNCTION("""COMPUTED_VALUE"""),44.37)</f>
        <v>44.37</v>
      </c>
      <c r="E2208" s="1">
        <f ca="1">IFERROR(__xludf.DUMMYFUNCTION("""COMPUTED_VALUE"""),45.27)</f>
        <v>45.27</v>
      </c>
      <c r="F2208" s="1">
        <f ca="1">IFERROR(__xludf.DUMMYFUNCTION("""COMPUTED_VALUE"""),40967472)</f>
        <v>40967472</v>
      </c>
    </row>
    <row r="2209" spans="1:6" x14ac:dyDescent="0.35">
      <c r="A2209" s="2">
        <f ca="1">IFERROR(__xludf.DUMMYFUNCTION("""COMPUTED_VALUE"""),45209.6666666666)</f>
        <v>45209.666666666599</v>
      </c>
      <c r="B2209" s="1">
        <f ca="1">IFERROR(__xludf.DUMMYFUNCTION("""COMPUTED_VALUE"""),45.31)</f>
        <v>45.31</v>
      </c>
      <c r="C2209" s="1">
        <f ca="1">IFERROR(__xludf.DUMMYFUNCTION("""COMPUTED_VALUE"""),46.26)</f>
        <v>46.26</v>
      </c>
      <c r="D2209" s="1">
        <f ca="1">IFERROR(__xludf.DUMMYFUNCTION("""COMPUTED_VALUE"""),45.09)</f>
        <v>45.09</v>
      </c>
      <c r="E2209" s="1">
        <f ca="1">IFERROR(__xludf.DUMMYFUNCTION("""COMPUTED_VALUE"""),45.8)</f>
        <v>45.8</v>
      </c>
      <c r="F2209" s="1">
        <f ca="1">IFERROR(__xludf.DUMMYFUNCTION("""COMPUTED_VALUE"""),36858208)</f>
        <v>36858208</v>
      </c>
    </row>
    <row r="2210" spans="1:6" x14ac:dyDescent="0.35">
      <c r="A2210" s="2">
        <f ca="1">IFERROR(__xludf.DUMMYFUNCTION("""COMPUTED_VALUE"""),45210.6666666666)</f>
        <v>45210.666666666599</v>
      </c>
      <c r="B2210" s="1">
        <f ca="1">IFERROR(__xludf.DUMMYFUNCTION("""COMPUTED_VALUE"""),46.2)</f>
        <v>46.2</v>
      </c>
      <c r="C2210" s="1">
        <f ca="1">IFERROR(__xludf.DUMMYFUNCTION("""COMPUTED_VALUE"""),46.86)</f>
        <v>46.86</v>
      </c>
      <c r="D2210" s="1">
        <f ca="1">IFERROR(__xludf.DUMMYFUNCTION("""COMPUTED_VALUE"""),46.05)</f>
        <v>46.05</v>
      </c>
      <c r="E2210" s="1">
        <f ca="1">IFERROR(__xludf.DUMMYFUNCTION("""COMPUTED_VALUE"""),46.81)</f>
        <v>46.81</v>
      </c>
      <c r="F2210" s="1">
        <f ca="1">IFERROR(__xludf.DUMMYFUNCTION("""COMPUTED_VALUE"""),37813689)</f>
        <v>37813689</v>
      </c>
    </row>
    <row r="2211" spans="1:6" x14ac:dyDescent="0.35">
      <c r="A2211" s="2">
        <f ca="1">IFERROR(__xludf.DUMMYFUNCTION("""COMPUTED_VALUE"""),45211.6666666666)</f>
        <v>45211.666666666599</v>
      </c>
      <c r="B2211" s="1">
        <f ca="1">IFERROR(__xludf.DUMMYFUNCTION("""COMPUTED_VALUE"""),46.78)</f>
        <v>46.78</v>
      </c>
      <c r="C2211" s="1">
        <f ca="1">IFERROR(__xludf.DUMMYFUNCTION("""COMPUTED_VALUE"""),47.61)</f>
        <v>47.61</v>
      </c>
      <c r="D2211" s="1">
        <f ca="1">IFERROR(__xludf.DUMMYFUNCTION("""COMPUTED_VALUE"""),46.33)</f>
        <v>46.33</v>
      </c>
      <c r="E2211" s="1">
        <f ca="1">IFERROR(__xludf.DUMMYFUNCTION("""COMPUTED_VALUE"""),46.95)</f>
        <v>46.95</v>
      </c>
      <c r="F2211" s="1">
        <f ca="1">IFERROR(__xludf.DUMMYFUNCTION("""COMPUTED_VALUE"""),48132500)</f>
        <v>48132500</v>
      </c>
    </row>
    <row r="2212" spans="1:6" x14ac:dyDescent="0.35">
      <c r="A2212" s="2">
        <f ca="1">IFERROR(__xludf.DUMMYFUNCTION("""COMPUTED_VALUE"""),45212.6666666666)</f>
        <v>45212.666666666599</v>
      </c>
      <c r="B2212" s="1">
        <f ca="1">IFERROR(__xludf.DUMMYFUNCTION("""COMPUTED_VALUE"""),46.96)</f>
        <v>46.96</v>
      </c>
      <c r="C2212" s="1">
        <f ca="1">IFERROR(__xludf.DUMMYFUNCTION("""COMPUTED_VALUE"""),47.12)</f>
        <v>47.12</v>
      </c>
      <c r="D2212" s="1">
        <f ca="1">IFERROR(__xludf.DUMMYFUNCTION("""COMPUTED_VALUE"""),45.28)</f>
        <v>45.28</v>
      </c>
      <c r="E2212" s="1">
        <f ca="1">IFERROR(__xludf.DUMMYFUNCTION("""COMPUTED_VALUE"""),45.46)</f>
        <v>45.46</v>
      </c>
      <c r="F2212" s="1">
        <f ca="1">IFERROR(__xludf.DUMMYFUNCTION("""COMPUTED_VALUE"""),47542599)</f>
        <v>47542599</v>
      </c>
    </row>
    <row r="2213" spans="1:6" x14ac:dyDescent="0.35">
      <c r="A2213" s="2">
        <f ca="1">IFERROR(__xludf.DUMMYFUNCTION("""COMPUTED_VALUE"""),45215.6666666666)</f>
        <v>45215.666666666599</v>
      </c>
      <c r="B2213" s="1">
        <f ca="1">IFERROR(__xludf.DUMMYFUNCTION("""COMPUTED_VALUE"""),45.06)</f>
        <v>45.06</v>
      </c>
      <c r="C2213" s="1">
        <f ca="1">IFERROR(__xludf.DUMMYFUNCTION("""COMPUTED_VALUE"""),46.23)</f>
        <v>46.23</v>
      </c>
      <c r="D2213" s="1">
        <f ca="1">IFERROR(__xludf.DUMMYFUNCTION("""COMPUTED_VALUE"""),44.91)</f>
        <v>44.91</v>
      </c>
      <c r="E2213" s="1">
        <f ca="1">IFERROR(__xludf.DUMMYFUNCTION("""COMPUTED_VALUE"""),46.1)</f>
        <v>46.1</v>
      </c>
      <c r="F2213" s="1">
        <f ca="1">IFERROR(__xludf.DUMMYFUNCTION("""COMPUTED_VALUE"""),37509924)</f>
        <v>37509924</v>
      </c>
    </row>
    <row r="2214" spans="1:6" x14ac:dyDescent="0.35">
      <c r="A2214" s="2">
        <f ca="1">IFERROR(__xludf.DUMMYFUNCTION("""COMPUTED_VALUE"""),45216.6666666666)</f>
        <v>45216.666666666599</v>
      </c>
      <c r="B2214" s="1">
        <f ca="1">IFERROR(__xludf.DUMMYFUNCTION("""COMPUTED_VALUE"""),44)</f>
        <v>44</v>
      </c>
      <c r="C2214" s="1">
        <f ca="1">IFERROR(__xludf.DUMMYFUNCTION("""COMPUTED_VALUE"""),44.75)</f>
        <v>44.75</v>
      </c>
      <c r="D2214" s="1">
        <f ca="1">IFERROR(__xludf.DUMMYFUNCTION("""COMPUTED_VALUE"""),42.48)</f>
        <v>42.48</v>
      </c>
      <c r="E2214" s="1">
        <f ca="1">IFERROR(__xludf.DUMMYFUNCTION("""COMPUTED_VALUE"""),43.94)</f>
        <v>43.94</v>
      </c>
      <c r="F2214" s="1">
        <f ca="1">IFERROR(__xludf.DUMMYFUNCTION("""COMPUTED_VALUE"""),81233267)</f>
        <v>81233267</v>
      </c>
    </row>
    <row r="2215" spans="1:6" x14ac:dyDescent="0.35">
      <c r="A2215" s="2">
        <f ca="1">IFERROR(__xludf.DUMMYFUNCTION("""COMPUTED_VALUE"""),45217.6666666666)</f>
        <v>45217.666666666599</v>
      </c>
      <c r="B2215" s="1">
        <f ca="1">IFERROR(__xludf.DUMMYFUNCTION("""COMPUTED_VALUE"""),42.59)</f>
        <v>42.59</v>
      </c>
      <c r="C2215" s="1">
        <f ca="1">IFERROR(__xludf.DUMMYFUNCTION("""COMPUTED_VALUE"""),43.22)</f>
        <v>43.22</v>
      </c>
      <c r="D2215" s="1">
        <f ca="1">IFERROR(__xludf.DUMMYFUNCTION("""COMPUTED_VALUE"""),41.83)</f>
        <v>41.83</v>
      </c>
      <c r="E2215" s="1">
        <f ca="1">IFERROR(__xludf.DUMMYFUNCTION("""COMPUTED_VALUE"""),42.2)</f>
        <v>42.2</v>
      </c>
      <c r="F2215" s="1">
        <f ca="1">IFERROR(__xludf.DUMMYFUNCTION("""COMPUTED_VALUE"""),62729434)</f>
        <v>62729434</v>
      </c>
    </row>
    <row r="2216" spans="1:6" x14ac:dyDescent="0.35">
      <c r="A2216" s="2">
        <f ca="1">IFERROR(__xludf.DUMMYFUNCTION("""COMPUTED_VALUE"""),45218.6666666666)</f>
        <v>45218.666666666599</v>
      </c>
      <c r="B2216" s="1">
        <f ca="1">IFERROR(__xludf.DUMMYFUNCTION("""COMPUTED_VALUE"""),42.81)</f>
        <v>42.81</v>
      </c>
      <c r="C2216" s="1">
        <f ca="1">IFERROR(__xludf.DUMMYFUNCTION("""COMPUTED_VALUE"""),43.3)</f>
        <v>43.3</v>
      </c>
      <c r="D2216" s="1">
        <f ca="1">IFERROR(__xludf.DUMMYFUNCTION("""COMPUTED_VALUE"""),41.88)</f>
        <v>41.88</v>
      </c>
      <c r="E2216" s="1">
        <f ca="1">IFERROR(__xludf.DUMMYFUNCTION("""COMPUTED_VALUE"""),42.1)</f>
        <v>42.1</v>
      </c>
      <c r="F2216" s="1">
        <f ca="1">IFERROR(__xludf.DUMMYFUNCTION("""COMPUTED_VALUE"""),50123308)</f>
        <v>50123308</v>
      </c>
    </row>
    <row r="2217" spans="1:6" x14ac:dyDescent="0.35">
      <c r="A2217" s="2">
        <f ca="1">IFERROR(__xludf.DUMMYFUNCTION("""COMPUTED_VALUE"""),45219.6666666666)</f>
        <v>45219.666666666599</v>
      </c>
      <c r="B2217" s="1">
        <f ca="1">IFERROR(__xludf.DUMMYFUNCTION("""COMPUTED_VALUE"""),41.89)</f>
        <v>41.89</v>
      </c>
      <c r="C2217" s="1">
        <f ca="1">IFERROR(__xludf.DUMMYFUNCTION("""COMPUTED_VALUE"""),42.47)</f>
        <v>42.47</v>
      </c>
      <c r="D2217" s="1">
        <f ca="1">IFERROR(__xludf.DUMMYFUNCTION("""COMPUTED_VALUE"""),41.08)</f>
        <v>41.08</v>
      </c>
      <c r="E2217" s="1">
        <f ca="1">IFERROR(__xludf.DUMMYFUNCTION("""COMPUTED_VALUE"""),41.39)</f>
        <v>41.39</v>
      </c>
      <c r="F2217" s="1">
        <f ca="1">IFERROR(__xludf.DUMMYFUNCTION("""COMPUTED_VALUE"""),47726605)</f>
        <v>47726605</v>
      </c>
    </row>
    <row r="2218" spans="1:6" x14ac:dyDescent="0.35">
      <c r="A2218" s="2">
        <f ca="1">IFERROR(__xludf.DUMMYFUNCTION("""COMPUTED_VALUE"""),45222.6666666666)</f>
        <v>45222.666666666599</v>
      </c>
      <c r="B2218" s="1">
        <f ca="1">IFERROR(__xludf.DUMMYFUNCTION("""COMPUTED_VALUE"""),41.23)</f>
        <v>41.23</v>
      </c>
      <c r="C2218" s="1">
        <f ca="1">IFERROR(__xludf.DUMMYFUNCTION("""COMPUTED_VALUE"""),43.25)</f>
        <v>43.25</v>
      </c>
      <c r="D2218" s="1">
        <f ca="1">IFERROR(__xludf.DUMMYFUNCTION("""COMPUTED_VALUE"""),40.95)</f>
        <v>40.950000000000003</v>
      </c>
      <c r="E2218" s="1">
        <f ca="1">IFERROR(__xludf.DUMMYFUNCTION("""COMPUTED_VALUE"""),42.98)</f>
        <v>42.98</v>
      </c>
      <c r="F2218" s="1">
        <f ca="1">IFERROR(__xludf.DUMMYFUNCTION("""COMPUTED_VALUE"""),47853049)</f>
        <v>47853049</v>
      </c>
    </row>
    <row r="2219" spans="1:6" x14ac:dyDescent="0.35">
      <c r="A2219" s="2">
        <f ca="1">IFERROR(__xludf.DUMMYFUNCTION("""COMPUTED_VALUE"""),45223.6666666666)</f>
        <v>45223.666666666599</v>
      </c>
      <c r="B2219" s="1">
        <f ca="1">IFERROR(__xludf.DUMMYFUNCTION("""COMPUTED_VALUE"""),43.08)</f>
        <v>43.08</v>
      </c>
      <c r="C2219" s="1">
        <f ca="1">IFERROR(__xludf.DUMMYFUNCTION("""COMPUTED_VALUE"""),43.7)</f>
        <v>43.7</v>
      </c>
      <c r="D2219" s="1">
        <f ca="1">IFERROR(__xludf.DUMMYFUNCTION("""COMPUTED_VALUE"""),42.69)</f>
        <v>42.69</v>
      </c>
      <c r="E2219" s="1">
        <f ca="1">IFERROR(__xludf.DUMMYFUNCTION("""COMPUTED_VALUE"""),43.66)</f>
        <v>43.66</v>
      </c>
      <c r="F2219" s="1">
        <f ca="1">IFERROR(__xludf.DUMMYFUNCTION("""COMPUTED_VALUE"""),40146337)</f>
        <v>40146337</v>
      </c>
    </row>
    <row r="2220" spans="1:6" x14ac:dyDescent="0.35">
      <c r="A2220" s="2">
        <f ca="1">IFERROR(__xludf.DUMMYFUNCTION("""COMPUTED_VALUE"""),45224.6666666666)</f>
        <v>45224.666666666599</v>
      </c>
      <c r="B2220" s="1">
        <f ca="1">IFERROR(__xludf.DUMMYFUNCTION("""COMPUTED_VALUE"""),43.4)</f>
        <v>43.4</v>
      </c>
      <c r="C2220" s="1">
        <f ca="1">IFERROR(__xludf.DUMMYFUNCTION("""COMPUTED_VALUE"""),43.65)</f>
        <v>43.65</v>
      </c>
      <c r="D2220" s="1">
        <f ca="1">IFERROR(__xludf.DUMMYFUNCTION("""COMPUTED_VALUE"""),41.56)</f>
        <v>41.56</v>
      </c>
      <c r="E2220" s="1">
        <f ca="1">IFERROR(__xludf.DUMMYFUNCTION("""COMPUTED_VALUE"""),41.78)</f>
        <v>41.78</v>
      </c>
      <c r="F2220" s="1">
        <f ca="1">IFERROR(__xludf.DUMMYFUNCTION("""COMPUTED_VALUE"""),39837922)</f>
        <v>39837922</v>
      </c>
    </row>
    <row r="2221" spans="1:6" x14ac:dyDescent="0.35">
      <c r="A2221" s="2">
        <f ca="1">IFERROR(__xludf.DUMMYFUNCTION("""COMPUTED_VALUE"""),45225.6666666666)</f>
        <v>45225.666666666599</v>
      </c>
      <c r="B2221" s="1">
        <f ca="1">IFERROR(__xludf.DUMMYFUNCTION("""COMPUTED_VALUE"""),41.85)</f>
        <v>41.85</v>
      </c>
      <c r="C2221" s="1">
        <f ca="1">IFERROR(__xludf.DUMMYFUNCTION("""COMPUTED_VALUE"""),42.26)</f>
        <v>42.26</v>
      </c>
      <c r="D2221" s="1">
        <f ca="1">IFERROR(__xludf.DUMMYFUNCTION("""COMPUTED_VALUE"""),39.88)</f>
        <v>39.880000000000003</v>
      </c>
      <c r="E2221" s="1">
        <f ca="1">IFERROR(__xludf.DUMMYFUNCTION("""COMPUTED_VALUE"""),40.33)</f>
        <v>40.33</v>
      </c>
      <c r="F2221" s="1">
        <f ca="1">IFERROR(__xludf.DUMMYFUNCTION("""COMPUTED_VALUE"""),54100132)</f>
        <v>54100132</v>
      </c>
    </row>
    <row r="2222" spans="1:6" x14ac:dyDescent="0.35">
      <c r="A2222" s="2">
        <f ca="1">IFERROR(__xludf.DUMMYFUNCTION("""COMPUTED_VALUE"""),45226.6666666666)</f>
        <v>45226.666666666599</v>
      </c>
      <c r="B2222" s="1">
        <f ca="1">IFERROR(__xludf.DUMMYFUNCTION("""COMPUTED_VALUE"""),41.13)</f>
        <v>41.13</v>
      </c>
      <c r="C2222" s="1">
        <f ca="1">IFERROR(__xludf.DUMMYFUNCTION("""COMPUTED_VALUE"""),41.21)</f>
        <v>41.21</v>
      </c>
      <c r="D2222" s="1">
        <f ca="1">IFERROR(__xludf.DUMMYFUNCTION("""COMPUTED_VALUE"""),40.02)</f>
        <v>40.020000000000003</v>
      </c>
      <c r="E2222" s="1">
        <f ca="1">IFERROR(__xludf.DUMMYFUNCTION("""COMPUTED_VALUE"""),40.5)</f>
        <v>40.5</v>
      </c>
      <c r="F2222" s="1">
        <f ca="1">IFERROR(__xludf.DUMMYFUNCTION("""COMPUTED_VALUE"""),41678441)</f>
        <v>41678441</v>
      </c>
    </row>
    <row r="2223" spans="1:6" x14ac:dyDescent="0.35">
      <c r="A2223" s="2">
        <f ca="1">IFERROR(__xludf.DUMMYFUNCTION("""COMPUTED_VALUE"""),45229.6666666666)</f>
        <v>45229.666666666599</v>
      </c>
      <c r="B2223" s="1">
        <f ca="1">IFERROR(__xludf.DUMMYFUNCTION("""COMPUTED_VALUE"""),41.09)</f>
        <v>41.09</v>
      </c>
      <c r="C2223" s="1">
        <f ca="1">IFERROR(__xludf.DUMMYFUNCTION("""COMPUTED_VALUE"""),41.77)</f>
        <v>41.77</v>
      </c>
      <c r="D2223" s="1">
        <f ca="1">IFERROR(__xludf.DUMMYFUNCTION("""COMPUTED_VALUE"""),40.48)</f>
        <v>40.479999999999997</v>
      </c>
      <c r="E2223" s="1">
        <f ca="1">IFERROR(__xludf.DUMMYFUNCTION("""COMPUTED_VALUE"""),41.16)</f>
        <v>41.16</v>
      </c>
      <c r="F2223" s="1">
        <f ca="1">IFERROR(__xludf.DUMMYFUNCTION("""COMPUTED_VALUE"""),38802814)</f>
        <v>38802814</v>
      </c>
    </row>
    <row r="2224" spans="1:6" x14ac:dyDescent="0.35">
      <c r="A2224" s="2">
        <f ca="1">IFERROR(__xludf.DUMMYFUNCTION("""COMPUTED_VALUE"""),45230.6666666666)</f>
        <v>45230.666666666599</v>
      </c>
      <c r="B2224" s="1">
        <f ca="1">IFERROR(__xludf.DUMMYFUNCTION("""COMPUTED_VALUE"""),40.45)</f>
        <v>40.450000000000003</v>
      </c>
      <c r="C2224" s="1">
        <f ca="1">IFERROR(__xludf.DUMMYFUNCTION("""COMPUTED_VALUE"""),40.88)</f>
        <v>40.880000000000003</v>
      </c>
      <c r="D2224" s="1">
        <f ca="1">IFERROR(__xludf.DUMMYFUNCTION("""COMPUTED_VALUE"""),39.23)</f>
        <v>39.229999999999997</v>
      </c>
      <c r="E2224" s="1">
        <f ca="1">IFERROR(__xludf.DUMMYFUNCTION("""COMPUTED_VALUE"""),40.78)</f>
        <v>40.78</v>
      </c>
      <c r="F2224" s="1">
        <f ca="1">IFERROR(__xludf.DUMMYFUNCTION("""COMPUTED_VALUE"""),51796870)</f>
        <v>51796870</v>
      </c>
    </row>
    <row r="2225" spans="1:6" x14ac:dyDescent="0.35">
      <c r="A2225" s="2">
        <f ca="1">IFERROR(__xludf.DUMMYFUNCTION("""COMPUTED_VALUE"""),45231.6666666666)</f>
        <v>45231.666666666599</v>
      </c>
      <c r="B2225" s="1">
        <f ca="1">IFERROR(__xludf.DUMMYFUNCTION("""COMPUTED_VALUE"""),40.88)</f>
        <v>40.880000000000003</v>
      </c>
      <c r="C2225" s="1">
        <f ca="1">IFERROR(__xludf.DUMMYFUNCTION("""COMPUTED_VALUE"""),42.38)</f>
        <v>42.38</v>
      </c>
      <c r="D2225" s="1">
        <f ca="1">IFERROR(__xludf.DUMMYFUNCTION("""COMPUTED_VALUE"""),40.87)</f>
        <v>40.869999999999997</v>
      </c>
      <c r="E2225" s="1">
        <f ca="1">IFERROR(__xludf.DUMMYFUNCTION("""COMPUTED_VALUE"""),42.33)</f>
        <v>42.33</v>
      </c>
      <c r="F2225" s="1">
        <f ca="1">IFERROR(__xludf.DUMMYFUNCTION("""COMPUTED_VALUE"""),43759290)</f>
        <v>43759290</v>
      </c>
    </row>
    <row r="2226" spans="1:6" x14ac:dyDescent="0.35">
      <c r="A2226" s="2">
        <f ca="1">IFERROR(__xludf.DUMMYFUNCTION("""COMPUTED_VALUE"""),45232.6666666666)</f>
        <v>45232.666666666599</v>
      </c>
      <c r="B2226" s="1">
        <f ca="1">IFERROR(__xludf.DUMMYFUNCTION("""COMPUTED_VALUE"""),43.33)</f>
        <v>43.33</v>
      </c>
      <c r="C2226" s="1">
        <f ca="1">IFERROR(__xludf.DUMMYFUNCTION("""COMPUTED_VALUE"""),43.88)</f>
        <v>43.88</v>
      </c>
      <c r="D2226" s="1">
        <f ca="1">IFERROR(__xludf.DUMMYFUNCTION("""COMPUTED_VALUE"""),42.89)</f>
        <v>42.89</v>
      </c>
      <c r="E2226" s="1">
        <f ca="1">IFERROR(__xludf.DUMMYFUNCTION("""COMPUTED_VALUE"""),43.51)</f>
        <v>43.51</v>
      </c>
      <c r="F2226" s="1">
        <f ca="1">IFERROR(__xludf.DUMMYFUNCTION("""COMPUTED_VALUE"""),40917187)</f>
        <v>40917187</v>
      </c>
    </row>
    <row r="2227" spans="1:6" x14ac:dyDescent="0.35">
      <c r="A2227" s="2">
        <f ca="1">IFERROR(__xludf.DUMMYFUNCTION("""COMPUTED_VALUE"""),45233.6666666666)</f>
        <v>45233.666666666599</v>
      </c>
      <c r="B2227" s="1">
        <f ca="1">IFERROR(__xludf.DUMMYFUNCTION("""COMPUTED_VALUE"""),44.02)</f>
        <v>44.02</v>
      </c>
      <c r="C2227" s="1">
        <f ca="1">IFERROR(__xludf.DUMMYFUNCTION("""COMPUTED_VALUE"""),45.31)</f>
        <v>45.31</v>
      </c>
      <c r="D2227" s="1">
        <f ca="1">IFERROR(__xludf.DUMMYFUNCTION("""COMPUTED_VALUE"""),43.72)</f>
        <v>43.72</v>
      </c>
      <c r="E2227" s="1">
        <f ca="1">IFERROR(__xludf.DUMMYFUNCTION("""COMPUTED_VALUE"""),45.01)</f>
        <v>45.01</v>
      </c>
      <c r="F2227" s="1">
        <f ca="1">IFERROR(__xludf.DUMMYFUNCTION("""COMPUTED_VALUE"""),42460959)</f>
        <v>42460959</v>
      </c>
    </row>
    <row r="2228" spans="1:6" x14ac:dyDescent="0.35">
      <c r="A2228" s="2">
        <f ca="1">IFERROR(__xludf.DUMMYFUNCTION("""COMPUTED_VALUE"""),45236.6666666666)</f>
        <v>45236.666666666599</v>
      </c>
      <c r="B2228" s="1">
        <f ca="1">IFERROR(__xludf.DUMMYFUNCTION("""COMPUTED_VALUE"""),45.28)</f>
        <v>45.28</v>
      </c>
      <c r="C2228" s="1">
        <f ca="1">IFERROR(__xludf.DUMMYFUNCTION("""COMPUTED_VALUE"""),45.94)</f>
        <v>45.94</v>
      </c>
      <c r="D2228" s="1">
        <f ca="1">IFERROR(__xludf.DUMMYFUNCTION("""COMPUTED_VALUE"""),44.9)</f>
        <v>44.9</v>
      </c>
      <c r="E2228" s="1">
        <f ca="1">IFERROR(__xludf.DUMMYFUNCTION("""COMPUTED_VALUE"""),45.75)</f>
        <v>45.75</v>
      </c>
      <c r="F2228" s="1">
        <f ca="1">IFERROR(__xludf.DUMMYFUNCTION("""COMPUTED_VALUE"""),40073335)</f>
        <v>40073335</v>
      </c>
    </row>
    <row r="2229" spans="1:6" x14ac:dyDescent="0.35">
      <c r="A2229" s="2">
        <f ca="1">IFERROR(__xludf.DUMMYFUNCTION("""COMPUTED_VALUE"""),45237.6666666666)</f>
        <v>45237.666666666599</v>
      </c>
      <c r="B2229" s="1">
        <f ca="1">IFERROR(__xludf.DUMMYFUNCTION("""COMPUTED_VALUE"""),45.72)</f>
        <v>45.72</v>
      </c>
      <c r="C2229" s="1">
        <f ca="1">IFERROR(__xludf.DUMMYFUNCTION("""COMPUTED_VALUE"""),46.22)</f>
        <v>46.22</v>
      </c>
      <c r="D2229" s="1">
        <f ca="1">IFERROR(__xludf.DUMMYFUNCTION("""COMPUTED_VALUE"""),45.16)</f>
        <v>45.16</v>
      </c>
      <c r="E2229" s="1">
        <f ca="1">IFERROR(__xludf.DUMMYFUNCTION("""COMPUTED_VALUE"""),45.96)</f>
        <v>45.96</v>
      </c>
      <c r="F2229" s="1">
        <f ca="1">IFERROR(__xludf.DUMMYFUNCTION("""COMPUTED_VALUE"""),34316547)</f>
        <v>34316547</v>
      </c>
    </row>
    <row r="2230" spans="1:6" x14ac:dyDescent="0.35">
      <c r="A2230" s="2">
        <f ca="1">IFERROR(__xludf.DUMMYFUNCTION("""COMPUTED_VALUE"""),45238.6666666666)</f>
        <v>45238.666666666599</v>
      </c>
      <c r="B2230" s="1">
        <f ca="1">IFERROR(__xludf.DUMMYFUNCTION("""COMPUTED_VALUE"""),46.1)</f>
        <v>46.1</v>
      </c>
      <c r="C2230" s="1">
        <f ca="1">IFERROR(__xludf.DUMMYFUNCTION("""COMPUTED_VALUE"""),46.87)</f>
        <v>46.87</v>
      </c>
      <c r="D2230" s="1">
        <f ca="1">IFERROR(__xludf.DUMMYFUNCTION("""COMPUTED_VALUE"""),45.97)</f>
        <v>45.97</v>
      </c>
      <c r="E2230" s="1">
        <f ca="1">IFERROR(__xludf.DUMMYFUNCTION("""COMPUTED_VALUE"""),46.57)</f>
        <v>46.57</v>
      </c>
      <c r="F2230" s="1">
        <f ca="1">IFERROR(__xludf.DUMMYFUNCTION("""COMPUTED_VALUE"""),34671894)</f>
        <v>34671894</v>
      </c>
    </row>
    <row r="2231" spans="1:6" x14ac:dyDescent="0.35">
      <c r="A2231" s="2">
        <f ca="1">IFERROR(__xludf.DUMMYFUNCTION("""COMPUTED_VALUE"""),45239.6666666666)</f>
        <v>45239.666666666599</v>
      </c>
      <c r="B2231" s="1">
        <f ca="1">IFERROR(__xludf.DUMMYFUNCTION("""COMPUTED_VALUE"""),47.47)</f>
        <v>47.47</v>
      </c>
      <c r="C2231" s="1">
        <f ca="1">IFERROR(__xludf.DUMMYFUNCTION("""COMPUTED_VALUE"""),48.23)</f>
        <v>48.23</v>
      </c>
      <c r="D2231" s="1">
        <f ca="1">IFERROR(__xludf.DUMMYFUNCTION("""COMPUTED_VALUE"""),46.75)</f>
        <v>46.75</v>
      </c>
      <c r="E2231" s="1">
        <f ca="1">IFERROR(__xludf.DUMMYFUNCTION("""COMPUTED_VALUE"""),46.95)</f>
        <v>46.95</v>
      </c>
      <c r="F2231" s="1">
        <f ca="1">IFERROR(__xludf.DUMMYFUNCTION("""COMPUTED_VALUE"""),54049597)</f>
        <v>54049597</v>
      </c>
    </row>
    <row r="2232" spans="1:6" x14ac:dyDescent="0.35">
      <c r="A2232" s="2">
        <f ca="1">IFERROR(__xludf.DUMMYFUNCTION("""COMPUTED_VALUE"""),45240.6666666666)</f>
        <v>45240.666666666599</v>
      </c>
      <c r="B2232" s="1">
        <f ca="1">IFERROR(__xludf.DUMMYFUNCTION("""COMPUTED_VALUE"""),47.5)</f>
        <v>47.5</v>
      </c>
      <c r="C2232" s="1">
        <f ca="1">IFERROR(__xludf.DUMMYFUNCTION("""COMPUTED_VALUE"""),48.47)</f>
        <v>48.47</v>
      </c>
      <c r="D2232" s="1">
        <f ca="1">IFERROR(__xludf.DUMMYFUNCTION("""COMPUTED_VALUE"""),47.28)</f>
        <v>47.28</v>
      </c>
      <c r="E2232" s="1">
        <f ca="1">IFERROR(__xludf.DUMMYFUNCTION("""COMPUTED_VALUE"""),48.34)</f>
        <v>48.34</v>
      </c>
      <c r="F2232" s="1">
        <f ca="1">IFERROR(__xludf.DUMMYFUNCTION("""COMPUTED_VALUE"""),42244156)</f>
        <v>42244156</v>
      </c>
    </row>
    <row r="2233" spans="1:6" x14ac:dyDescent="0.35">
      <c r="A2233" s="2">
        <f ca="1">IFERROR(__xludf.DUMMYFUNCTION("""COMPUTED_VALUE"""),45243.6666666666)</f>
        <v>45243.666666666599</v>
      </c>
      <c r="B2233" s="1">
        <f ca="1">IFERROR(__xludf.DUMMYFUNCTION("""COMPUTED_VALUE"""),48.32)</f>
        <v>48.32</v>
      </c>
      <c r="C2233" s="1">
        <f ca="1">IFERROR(__xludf.DUMMYFUNCTION("""COMPUTED_VALUE"""),49.12)</f>
        <v>49.12</v>
      </c>
      <c r="D2233" s="1">
        <f ca="1">IFERROR(__xludf.DUMMYFUNCTION("""COMPUTED_VALUE"""),48.1)</f>
        <v>48.1</v>
      </c>
      <c r="E2233" s="1">
        <f ca="1">IFERROR(__xludf.DUMMYFUNCTION("""COMPUTED_VALUE"""),48.62)</f>
        <v>48.62</v>
      </c>
      <c r="F2233" s="1">
        <f ca="1">IFERROR(__xludf.DUMMYFUNCTION("""COMPUTED_VALUE"""),38413570)</f>
        <v>38413570</v>
      </c>
    </row>
    <row r="2234" spans="1:6" x14ac:dyDescent="0.35">
      <c r="A2234" s="2">
        <f ca="1">IFERROR(__xludf.DUMMYFUNCTION("""COMPUTED_VALUE"""),45244.6666666666)</f>
        <v>45244.666666666599</v>
      </c>
      <c r="B2234" s="1">
        <f ca="1">IFERROR(__xludf.DUMMYFUNCTION("""COMPUTED_VALUE"""),49.68)</f>
        <v>49.68</v>
      </c>
      <c r="C2234" s="1">
        <f ca="1">IFERROR(__xludf.DUMMYFUNCTION("""COMPUTED_VALUE"""),49.83)</f>
        <v>49.83</v>
      </c>
      <c r="D2234" s="1">
        <f ca="1">IFERROR(__xludf.DUMMYFUNCTION("""COMPUTED_VALUE"""),49.04)</f>
        <v>49.04</v>
      </c>
      <c r="E2234" s="1">
        <f ca="1">IFERROR(__xludf.DUMMYFUNCTION("""COMPUTED_VALUE"""),49.66)</f>
        <v>49.66</v>
      </c>
      <c r="F2234" s="1">
        <f ca="1">IFERROR(__xludf.DUMMYFUNCTION("""COMPUTED_VALUE"""),41695387)</f>
        <v>41695387</v>
      </c>
    </row>
    <row r="2235" spans="1:6" x14ac:dyDescent="0.35">
      <c r="A2235" s="2">
        <f ca="1">IFERROR(__xludf.DUMMYFUNCTION("""COMPUTED_VALUE"""),45245.6666666666)</f>
        <v>45245.666666666599</v>
      </c>
      <c r="B2235" s="1">
        <f ca="1">IFERROR(__xludf.DUMMYFUNCTION("""COMPUTED_VALUE"""),49.94)</f>
        <v>49.94</v>
      </c>
      <c r="C2235" s="1">
        <f ca="1">IFERROR(__xludf.DUMMYFUNCTION("""COMPUTED_VALUE"""),49.96)</f>
        <v>49.96</v>
      </c>
      <c r="D2235" s="1">
        <f ca="1">IFERROR(__xludf.DUMMYFUNCTION("""COMPUTED_VALUE"""),48.2)</f>
        <v>48.2</v>
      </c>
      <c r="E2235" s="1">
        <f ca="1">IFERROR(__xludf.DUMMYFUNCTION("""COMPUTED_VALUE"""),48.89)</f>
        <v>48.89</v>
      </c>
      <c r="F2235" s="1">
        <f ca="1">IFERROR(__xludf.DUMMYFUNCTION("""COMPUTED_VALUE"""),47549735)</f>
        <v>47549735</v>
      </c>
    </row>
    <row r="2236" spans="1:6" x14ac:dyDescent="0.35">
      <c r="A2236" s="2">
        <f ca="1">IFERROR(__xludf.DUMMYFUNCTION("""COMPUTED_VALUE"""),45246.6666666666)</f>
        <v>45246.666666666599</v>
      </c>
      <c r="B2236" s="1">
        <f ca="1">IFERROR(__xludf.DUMMYFUNCTION("""COMPUTED_VALUE"""),48.68)</f>
        <v>48.68</v>
      </c>
      <c r="C2236" s="1">
        <f ca="1">IFERROR(__xludf.DUMMYFUNCTION("""COMPUTED_VALUE"""),49.52)</f>
        <v>49.52</v>
      </c>
      <c r="D2236" s="1">
        <f ca="1">IFERROR(__xludf.DUMMYFUNCTION("""COMPUTED_VALUE"""),48.33)</f>
        <v>48.33</v>
      </c>
      <c r="E2236" s="1">
        <f ca="1">IFERROR(__xludf.DUMMYFUNCTION("""COMPUTED_VALUE"""),49.48)</f>
        <v>49.48</v>
      </c>
      <c r="F2236" s="1">
        <f ca="1">IFERROR(__xludf.DUMMYFUNCTION("""COMPUTED_VALUE"""),33975624)</f>
        <v>33975624</v>
      </c>
    </row>
    <row r="2237" spans="1:6" x14ac:dyDescent="0.35">
      <c r="A2237" s="2">
        <f ca="1">IFERROR(__xludf.DUMMYFUNCTION("""COMPUTED_VALUE"""),45247.6666666666)</f>
        <v>45247.666666666599</v>
      </c>
      <c r="B2237" s="1">
        <f ca="1">IFERROR(__xludf.DUMMYFUNCTION("""COMPUTED_VALUE"""),49.52)</f>
        <v>49.52</v>
      </c>
      <c r="C2237" s="1">
        <f ca="1">IFERROR(__xludf.DUMMYFUNCTION("""COMPUTED_VALUE"""),49.72)</f>
        <v>49.72</v>
      </c>
      <c r="D2237" s="1">
        <f ca="1">IFERROR(__xludf.DUMMYFUNCTION("""COMPUTED_VALUE"""),49.01)</f>
        <v>49.01</v>
      </c>
      <c r="E2237" s="1">
        <f ca="1">IFERROR(__xludf.DUMMYFUNCTION("""COMPUTED_VALUE"""),49.3)</f>
        <v>49.3</v>
      </c>
      <c r="F2237" s="1">
        <f ca="1">IFERROR(__xludf.DUMMYFUNCTION("""COMPUTED_VALUE"""),32589691)</f>
        <v>32589691</v>
      </c>
    </row>
    <row r="2238" spans="1:6" x14ac:dyDescent="0.35">
      <c r="A2238" s="2">
        <f ca="1">IFERROR(__xludf.DUMMYFUNCTION("""COMPUTED_VALUE"""),45250.6666666666)</f>
        <v>45250.666666666599</v>
      </c>
      <c r="B2238" s="1">
        <f ca="1">IFERROR(__xludf.DUMMYFUNCTION("""COMPUTED_VALUE"""),49.31)</f>
        <v>49.31</v>
      </c>
      <c r="C2238" s="1">
        <f ca="1">IFERROR(__xludf.DUMMYFUNCTION("""COMPUTED_VALUE"""),50.55)</f>
        <v>50.55</v>
      </c>
      <c r="D2238" s="1">
        <f ca="1">IFERROR(__xludf.DUMMYFUNCTION("""COMPUTED_VALUE"""),49.18)</f>
        <v>49.18</v>
      </c>
      <c r="E2238" s="1">
        <f ca="1">IFERROR(__xludf.DUMMYFUNCTION("""COMPUTED_VALUE"""),50.41)</f>
        <v>50.41</v>
      </c>
      <c r="F2238" s="1">
        <f ca="1">IFERROR(__xludf.DUMMYFUNCTION("""COMPUTED_VALUE"""),41614260)</f>
        <v>41614260</v>
      </c>
    </row>
    <row r="2239" spans="1:6" x14ac:dyDescent="0.35">
      <c r="A2239" s="2">
        <f ca="1">IFERROR(__xludf.DUMMYFUNCTION("""COMPUTED_VALUE"""),45251.6666666666)</f>
        <v>45251.666666666599</v>
      </c>
      <c r="B2239" s="1">
        <f ca="1">IFERROR(__xludf.DUMMYFUNCTION("""COMPUTED_VALUE"""),50.13)</f>
        <v>50.13</v>
      </c>
      <c r="C2239" s="1">
        <f ca="1">IFERROR(__xludf.DUMMYFUNCTION("""COMPUTED_VALUE"""),50.52)</f>
        <v>50.52</v>
      </c>
      <c r="D2239" s="1">
        <f ca="1">IFERROR(__xludf.DUMMYFUNCTION("""COMPUTED_VALUE"""),49.22)</f>
        <v>49.22</v>
      </c>
      <c r="E2239" s="1">
        <f ca="1">IFERROR(__xludf.DUMMYFUNCTION("""COMPUTED_VALUE"""),49.94)</f>
        <v>49.94</v>
      </c>
      <c r="F2239" s="1">
        <f ca="1">IFERROR(__xludf.DUMMYFUNCTION("""COMPUTED_VALUE"""),56574687)</f>
        <v>56574687</v>
      </c>
    </row>
    <row r="2240" spans="1:6" x14ac:dyDescent="0.35">
      <c r="A2240" s="2">
        <f ca="1">IFERROR(__xludf.DUMMYFUNCTION("""COMPUTED_VALUE"""),45252.6666666666)</f>
        <v>45252.666666666599</v>
      </c>
      <c r="B2240" s="1">
        <f ca="1">IFERROR(__xludf.DUMMYFUNCTION("""COMPUTED_VALUE"""),49.85)</f>
        <v>49.85</v>
      </c>
      <c r="C2240" s="1">
        <f ca="1">IFERROR(__xludf.DUMMYFUNCTION("""COMPUTED_VALUE"""),50.33)</f>
        <v>50.33</v>
      </c>
      <c r="D2240" s="1">
        <f ca="1">IFERROR(__xludf.DUMMYFUNCTION("""COMPUTED_VALUE"""),47.69)</f>
        <v>47.69</v>
      </c>
      <c r="E2240" s="1">
        <f ca="1">IFERROR(__xludf.DUMMYFUNCTION("""COMPUTED_VALUE"""),48.72)</f>
        <v>48.72</v>
      </c>
      <c r="F2240" s="1">
        <f ca="1">IFERROR(__xludf.DUMMYFUNCTION("""COMPUTED_VALUE"""),90064233)</f>
        <v>90064233</v>
      </c>
    </row>
    <row r="2241" spans="1:6" x14ac:dyDescent="0.35">
      <c r="A2241" s="2">
        <f ca="1">IFERROR(__xludf.DUMMYFUNCTION("""COMPUTED_VALUE"""),45254.5451388888)</f>
        <v>45254.545138888803</v>
      </c>
      <c r="B2241" s="1">
        <f ca="1">IFERROR(__xludf.DUMMYFUNCTION("""COMPUTED_VALUE"""),48.47)</f>
        <v>48.47</v>
      </c>
      <c r="C2241" s="1">
        <f ca="1">IFERROR(__xludf.DUMMYFUNCTION("""COMPUTED_VALUE"""),48.92)</f>
        <v>48.92</v>
      </c>
      <c r="D2241" s="1">
        <f ca="1">IFERROR(__xludf.DUMMYFUNCTION("""COMPUTED_VALUE"""),47.75)</f>
        <v>47.75</v>
      </c>
      <c r="E2241" s="1">
        <f ca="1">IFERROR(__xludf.DUMMYFUNCTION("""COMPUTED_VALUE"""),47.78)</f>
        <v>47.78</v>
      </c>
      <c r="F2241" s="1">
        <f ca="1">IFERROR(__xludf.DUMMYFUNCTION("""COMPUTED_VALUE"""),29464464)</f>
        <v>29464464</v>
      </c>
    </row>
    <row r="2242" spans="1:6" x14ac:dyDescent="0.35">
      <c r="A2242" s="2">
        <f ca="1">IFERROR(__xludf.DUMMYFUNCTION("""COMPUTED_VALUE"""),45257.6666666666)</f>
        <v>45257.666666666599</v>
      </c>
      <c r="B2242" s="1">
        <f ca="1">IFERROR(__xludf.DUMMYFUNCTION("""COMPUTED_VALUE"""),47.8)</f>
        <v>47.8</v>
      </c>
      <c r="C2242" s="1">
        <f ca="1">IFERROR(__xludf.DUMMYFUNCTION("""COMPUTED_VALUE"""),48.53)</f>
        <v>48.53</v>
      </c>
      <c r="D2242" s="1">
        <f ca="1">IFERROR(__xludf.DUMMYFUNCTION("""COMPUTED_VALUE"""),47.65)</f>
        <v>47.65</v>
      </c>
      <c r="E2242" s="1">
        <f ca="1">IFERROR(__xludf.DUMMYFUNCTION("""COMPUTED_VALUE"""),48.24)</f>
        <v>48.24</v>
      </c>
      <c r="F2242" s="1">
        <f ca="1">IFERROR(__xludf.DUMMYFUNCTION("""COMPUTED_VALUE"""),39566190)</f>
        <v>39566190</v>
      </c>
    </row>
    <row r="2243" spans="1:6" x14ac:dyDescent="0.35">
      <c r="A2243" s="2">
        <f ca="1">IFERROR(__xludf.DUMMYFUNCTION("""COMPUTED_VALUE"""),45258.6666666666)</f>
        <v>45258.666666666599</v>
      </c>
      <c r="B2243" s="1">
        <f ca="1">IFERROR(__xludf.DUMMYFUNCTION("""COMPUTED_VALUE"""),48.24)</f>
        <v>48.24</v>
      </c>
      <c r="C2243" s="1">
        <f ca="1">IFERROR(__xludf.DUMMYFUNCTION("""COMPUTED_VALUE"""),48.32)</f>
        <v>48.32</v>
      </c>
      <c r="D2243" s="1">
        <f ca="1">IFERROR(__xludf.DUMMYFUNCTION("""COMPUTED_VALUE"""),47.47)</f>
        <v>47.47</v>
      </c>
      <c r="E2243" s="1">
        <f ca="1">IFERROR(__xludf.DUMMYFUNCTION("""COMPUTED_VALUE"""),47.82)</f>
        <v>47.82</v>
      </c>
      <c r="F2243" s="1">
        <f ca="1">IFERROR(__xludf.DUMMYFUNCTION("""COMPUTED_VALUE"""),40149085)</f>
        <v>40149085</v>
      </c>
    </row>
    <row r="2244" spans="1:6" x14ac:dyDescent="0.35">
      <c r="A2244" s="2">
        <f ca="1">IFERROR(__xludf.DUMMYFUNCTION("""COMPUTED_VALUE"""),45259.6666666666)</f>
        <v>45259.666666666599</v>
      </c>
      <c r="B2244" s="1">
        <f ca="1">IFERROR(__xludf.DUMMYFUNCTION("""COMPUTED_VALUE"""),48.38)</f>
        <v>48.38</v>
      </c>
      <c r="C2244" s="1">
        <f ca="1">IFERROR(__xludf.DUMMYFUNCTION("""COMPUTED_VALUE"""),48.76)</f>
        <v>48.76</v>
      </c>
      <c r="D2244" s="1">
        <f ca="1">IFERROR(__xludf.DUMMYFUNCTION("""COMPUTED_VALUE"""),47.86)</f>
        <v>47.86</v>
      </c>
      <c r="E2244" s="1">
        <f ca="1">IFERROR(__xludf.DUMMYFUNCTION("""COMPUTED_VALUE"""),48.14)</f>
        <v>48.14</v>
      </c>
      <c r="F2244" s="1">
        <f ca="1">IFERROR(__xludf.DUMMYFUNCTION("""COMPUTED_VALUE"""),38200465)</f>
        <v>38200465</v>
      </c>
    </row>
    <row r="2245" spans="1:6" x14ac:dyDescent="0.35">
      <c r="A2245" s="2">
        <f ca="1">IFERROR(__xludf.DUMMYFUNCTION("""COMPUTED_VALUE"""),45260.6666666666)</f>
        <v>45260.666666666599</v>
      </c>
      <c r="B2245" s="1">
        <f ca="1">IFERROR(__xludf.DUMMYFUNCTION("""COMPUTED_VALUE"""),48.02)</f>
        <v>48.02</v>
      </c>
      <c r="C2245" s="1">
        <f ca="1">IFERROR(__xludf.DUMMYFUNCTION("""COMPUTED_VALUE"""),48.11)</f>
        <v>48.11</v>
      </c>
      <c r="D2245" s="1">
        <f ca="1">IFERROR(__xludf.DUMMYFUNCTION("""COMPUTED_VALUE"""),46.42)</f>
        <v>46.42</v>
      </c>
      <c r="E2245" s="1">
        <f ca="1">IFERROR(__xludf.DUMMYFUNCTION("""COMPUTED_VALUE"""),46.77)</f>
        <v>46.77</v>
      </c>
      <c r="F2245" s="1">
        <f ca="1">IFERROR(__xludf.DUMMYFUNCTION("""COMPUTED_VALUE"""),52624663)</f>
        <v>52624663</v>
      </c>
    </row>
    <row r="2246" spans="1:6" x14ac:dyDescent="0.35">
      <c r="A2246" s="2">
        <f ca="1">IFERROR(__xludf.DUMMYFUNCTION("""COMPUTED_VALUE"""),45261.6666666666)</f>
        <v>45261.666666666599</v>
      </c>
      <c r="B2246" s="1">
        <f ca="1">IFERROR(__xludf.DUMMYFUNCTION("""COMPUTED_VALUE"""),46.53)</f>
        <v>46.53</v>
      </c>
      <c r="C2246" s="1">
        <f ca="1">IFERROR(__xludf.DUMMYFUNCTION("""COMPUTED_VALUE"""),47.2)</f>
        <v>47.2</v>
      </c>
      <c r="D2246" s="1">
        <f ca="1">IFERROR(__xludf.DUMMYFUNCTION("""COMPUTED_VALUE"""),46.19)</f>
        <v>46.19</v>
      </c>
      <c r="E2246" s="1">
        <f ca="1">IFERROR(__xludf.DUMMYFUNCTION("""COMPUTED_VALUE"""),46.77)</f>
        <v>46.77</v>
      </c>
      <c r="F2246" s="1">
        <f ca="1">IFERROR(__xludf.DUMMYFUNCTION("""COMPUTED_VALUE"""),36931701)</f>
        <v>36931701</v>
      </c>
    </row>
    <row r="2247" spans="1:6" x14ac:dyDescent="0.35">
      <c r="A2247" s="2">
        <f ca="1">IFERROR(__xludf.DUMMYFUNCTION("""COMPUTED_VALUE"""),45264.6666666666)</f>
        <v>45264.666666666599</v>
      </c>
      <c r="B2247" s="1">
        <f ca="1">IFERROR(__xludf.DUMMYFUNCTION("""COMPUTED_VALUE"""),46.08)</f>
        <v>46.08</v>
      </c>
      <c r="C2247" s="1">
        <f ca="1">IFERROR(__xludf.DUMMYFUNCTION("""COMPUTED_VALUE"""),46.08)</f>
        <v>46.08</v>
      </c>
      <c r="D2247" s="1">
        <f ca="1">IFERROR(__xludf.DUMMYFUNCTION("""COMPUTED_VALUE"""),45.01)</f>
        <v>45.01</v>
      </c>
      <c r="E2247" s="1">
        <f ca="1">IFERROR(__xludf.DUMMYFUNCTION("""COMPUTED_VALUE"""),45.51)</f>
        <v>45.51</v>
      </c>
      <c r="F2247" s="1">
        <f ca="1">IFERROR(__xludf.DUMMYFUNCTION("""COMPUTED_VALUE"""),43754344)</f>
        <v>43754344</v>
      </c>
    </row>
    <row r="2248" spans="1:6" x14ac:dyDescent="0.35">
      <c r="A2248" s="2">
        <f ca="1">IFERROR(__xludf.DUMMYFUNCTION("""COMPUTED_VALUE"""),45265.6666666666)</f>
        <v>45265.666666666599</v>
      </c>
      <c r="B2248" s="1">
        <f ca="1">IFERROR(__xludf.DUMMYFUNCTION("""COMPUTED_VALUE"""),45.47)</f>
        <v>45.47</v>
      </c>
      <c r="C2248" s="1">
        <f ca="1">IFERROR(__xludf.DUMMYFUNCTION("""COMPUTED_VALUE"""),46.6)</f>
        <v>46.6</v>
      </c>
      <c r="D2248" s="1">
        <f ca="1">IFERROR(__xludf.DUMMYFUNCTION("""COMPUTED_VALUE"""),45.27)</f>
        <v>45.27</v>
      </c>
      <c r="E2248" s="1">
        <f ca="1">IFERROR(__xludf.DUMMYFUNCTION("""COMPUTED_VALUE"""),46.57)</f>
        <v>46.57</v>
      </c>
      <c r="F2248" s="1">
        <f ca="1">IFERROR(__xludf.DUMMYFUNCTION("""COMPUTED_VALUE"""),37171762)</f>
        <v>37171762</v>
      </c>
    </row>
    <row r="2249" spans="1:6" x14ac:dyDescent="0.35">
      <c r="A2249" s="2">
        <f ca="1">IFERROR(__xludf.DUMMYFUNCTION("""COMPUTED_VALUE"""),45266.6666666666)</f>
        <v>45266.666666666599</v>
      </c>
      <c r="B2249" s="1">
        <f ca="1">IFERROR(__xludf.DUMMYFUNCTION("""COMPUTED_VALUE"""),47.21)</f>
        <v>47.21</v>
      </c>
      <c r="C2249" s="1">
        <f ca="1">IFERROR(__xludf.DUMMYFUNCTION("""COMPUTED_VALUE"""),47.39)</f>
        <v>47.39</v>
      </c>
      <c r="D2249" s="1">
        <f ca="1">IFERROR(__xludf.DUMMYFUNCTION("""COMPUTED_VALUE"""),45.41)</f>
        <v>45.41</v>
      </c>
      <c r="E2249" s="1">
        <f ca="1">IFERROR(__xludf.DUMMYFUNCTION("""COMPUTED_VALUE"""),45.5)</f>
        <v>45.5</v>
      </c>
      <c r="F2249" s="1">
        <f ca="1">IFERROR(__xludf.DUMMYFUNCTION("""COMPUTED_VALUE"""),38058955)</f>
        <v>38058955</v>
      </c>
    </row>
    <row r="2250" spans="1:6" x14ac:dyDescent="0.35">
      <c r="A2250" s="2">
        <f ca="1">IFERROR(__xludf.DUMMYFUNCTION("""COMPUTED_VALUE"""),45267.6666666666)</f>
        <v>45267.666666666599</v>
      </c>
      <c r="B2250" s="1">
        <f ca="1">IFERROR(__xludf.DUMMYFUNCTION("""COMPUTED_VALUE"""),45.7)</f>
        <v>45.7</v>
      </c>
      <c r="C2250" s="1">
        <f ca="1">IFERROR(__xludf.DUMMYFUNCTION("""COMPUTED_VALUE"""),46.63)</f>
        <v>46.63</v>
      </c>
      <c r="D2250" s="1">
        <f ca="1">IFERROR(__xludf.DUMMYFUNCTION("""COMPUTED_VALUE"""),45.6)</f>
        <v>45.6</v>
      </c>
      <c r="E2250" s="1">
        <f ca="1">IFERROR(__xludf.DUMMYFUNCTION("""COMPUTED_VALUE"""),46.6)</f>
        <v>46.6</v>
      </c>
      <c r="F2250" s="1">
        <f ca="1">IFERROR(__xludf.DUMMYFUNCTION("""COMPUTED_VALUE"""),35082255)</f>
        <v>35082255</v>
      </c>
    </row>
    <row r="2251" spans="1:6" x14ac:dyDescent="0.35">
      <c r="A2251" s="2">
        <f ca="1">IFERROR(__xludf.DUMMYFUNCTION("""COMPUTED_VALUE"""),45268.6666666666)</f>
        <v>45268.666666666599</v>
      </c>
      <c r="B2251" s="1">
        <f ca="1">IFERROR(__xludf.DUMMYFUNCTION("""COMPUTED_VALUE"""),46.6)</f>
        <v>46.6</v>
      </c>
      <c r="C2251" s="1">
        <f ca="1">IFERROR(__xludf.DUMMYFUNCTION("""COMPUTED_VALUE"""),47.74)</f>
        <v>47.74</v>
      </c>
      <c r="D2251" s="1">
        <f ca="1">IFERROR(__xludf.DUMMYFUNCTION("""COMPUTED_VALUE"""),46.55)</f>
        <v>46.55</v>
      </c>
      <c r="E2251" s="1">
        <f ca="1">IFERROR(__xludf.DUMMYFUNCTION("""COMPUTED_VALUE"""),47.51)</f>
        <v>47.51</v>
      </c>
      <c r="F2251" s="1">
        <f ca="1">IFERROR(__xludf.DUMMYFUNCTION("""COMPUTED_VALUE"""),35922370)</f>
        <v>35922370</v>
      </c>
    </row>
    <row r="2252" spans="1:6" x14ac:dyDescent="0.35">
      <c r="A2252" s="2">
        <f ca="1">IFERROR(__xludf.DUMMYFUNCTION("""COMPUTED_VALUE"""),45271.6666666666)</f>
        <v>45271.666666666599</v>
      </c>
      <c r="B2252" s="1">
        <f ca="1">IFERROR(__xludf.DUMMYFUNCTION("""COMPUTED_VALUE"""),47.49)</f>
        <v>47.49</v>
      </c>
      <c r="C2252" s="1">
        <f ca="1">IFERROR(__xludf.DUMMYFUNCTION("""COMPUTED_VALUE"""),47.53)</f>
        <v>47.53</v>
      </c>
      <c r="D2252" s="1">
        <f ca="1">IFERROR(__xludf.DUMMYFUNCTION("""COMPUTED_VALUE"""),45.83)</f>
        <v>45.83</v>
      </c>
      <c r="E2252" s="1">
        <f ca="1">IFERROR(__xludf.DUMMYFUNCTION("""COMPUTED_VALUE"""),46.63)</f>
        <v>46.63</v>
      </c>
      <c r="F2252" s="1">
        <f ca="1">IFERROR(__xludf.DUMMYFUNCTION("""COMPUTED_VALUE"""),50972809)</f>
        <v>50972809</v>
      </c>
    </row>
    <row r="2253" spans="1:6" x14ac:dyDescent="0.35">
      <c r="A2253" s="2">
        <f ca="1">IFERROR(__xludf.DUMMYFUNCTION("""COMPUTED_VALUE"""),45272.6666666666)</f>
        <v>45272.666666666599</v>
      </c>
      <c r="B2253" s="1">
        <f ca="1">IFERROR(__xludf.DUMMYFUNCTION("""COMPUTED_VALUE"""),46.05)</f>
        <v>46.05</v>
      </c>
      <c r="C2253" s="1">
        <f ca="1">IFERROR(__xludf.DUMMYFUNCTION("""COMPUTED_VALUE"""),47.67)</f>
        <v>47.67</v>
      </c>
      <c r="D2253" s="1">
        <f ca="1">IFERROR(__xludf.DUMMYFUNCTION("""COMPUTED_VALUE"""),46.05)</f>
        <v>46.05</v>
      </c>
      <c r="E2253" s="1">
        <f ca="1">IFERROR(__xludf.DUMMYFUNCTION("""COMPUTED_VALUE"""),47.66)</f>
        <v>47.66</v>
      </c>
      <c r="F2253" s="1">
        <f ca="1">IFERROR(__xludf.DUMMYFUNCTION("""COMPUTED_VALUE"""),37238686)</f>
        <v>37238686</v>
      </c>
    </row>
    <row r="2254" spans="1:6" x14ac:dyDescent="0.35">
      <c r="A2254" s="2">
        <f ca="1">IFERROR(__xludf.DUMMYFUNCTION("""COMPUTED_VALUE"""),45273.6666666666)</f>
        <v>45273.666666666599</v>
      </c>
      <c r="B2254" s="1">
        <f ca="1">IFERROR(__xludf.DUMMYFUNCTION("""COMPUTED_VALUE"""),47.63)</f>
        <v>47.63</v>
      </c>
      <c r="C2254" s="1">
        <f ca="1">IFERROR(__xludf.DUMMYFUNCTION("""COMPUTED_VALUE"""),48.59)</f>
        <v>48.59</v>
      </c>
      <c r="D2254" s="1">
        <f ca="1">IFERROR(__xludf.DUMMYFUNCTION("""COMPUTED_VALUE"""),47.61)</f>
        <v>47.61</v>
      </c>
      <c r="E2254" s="1">
        <f ca="1">IFERROR(__xludf.DUMMYFUNCTION("""COMPUTED_VALUE"""),48.09)</f>
        <v>48.09</v>
      </c>
      <c r="F2254" s="1">
        <f ca="1">IFERROR(__xludf.DUMMYFUNCTION("""COMPUTED_VALUE"""),44779186)</f>
        <v>44779186</v>
      </c>
    </row>
    <row r="2255" spans="1:6" x14ac:dyDescent="0.35">
      <c r="A2255" s="2">
        <f ca="1">IFERROR(__xludf.DUMMYFUNCTION("""COMPUTED_VALUE"""),45274.6666666666)</f>
        <v>45274.666666666599</v>
      </c>
      <c r="B2255" s="1">
        <f ca="1">IFERROR(__xludf.DUMMYFUNCTION("""COMPUTED_VALUE"""),48.39)</f>
        <v>48.39</v>
      </c>
      <c r="C2255" s="1">
        <f ca="1">IFERROR(__xludf.DUMMYFUNCTION("""COMPUTED_VALUE"""),48.67)</f>
        <v>48.67</v>
      </c>
      <c r="D2255" s="1">
        <f ca="1">IFERROR(__xludf.DUMMYFUNCTION("""COMPUTED_VALUE"""),47.42)</f>
        <v>47.42</v>
      </c>
      <c r="E2255" s="1">
        <f ca="1">IFERROR(__xludf.DUMMYFUNCTION("""COMPUTED_VALUE"""),48.35)</f>
        <v>48.35</v>
      </c>
      <c r="F2255" s="1">
        <f ca="1">IFERROR(__xludf.DUMMYFUNCTION("""COMPUTED_VALUE"""),39123174)</f>
        <v>39123174</v>
      </c>
    </row>
    <row r="2256" spans="1:6" x14ac:dyDescent="0.35">
      <c r="A2256" s="2">
        <f ca="1">IFERROR(__xludf.DUMMYFUNCTION("""COMPUTED_VALUE"""),45275.6666666666)</f>
        <v>45275.666666666599</v>
      </c>
      <c r="B2256" s="1">
        <f ca="1">IFERROR(__xludf.DUMMYFUNCTION("""COMPUTED_VALUE"""),48.19)</f>
        <v>48.19</v>
      </c>
      <c r="C2256" s="1">
        <f ca="1">IFERROR(__xludf.DUMMYFUNCTION("""COMPUTED_VALUE"""),49.4)</f>
        <v>49.4</v>
      </c>
      <c r="D2256" s="1">
        <f ca="1">IFERROR(__xludf.DUMMYFUNCTION("""COMPUTED_VALUE"""),48.12)</f>
        <v>48.12</v>
      </c>
      <c r="E2256" s="1">
        <f ca="1">IFERROR(__xludf.DUMMYFUNCTION("""COMPUTED_VALUE"""),48.89)</f>
        <v>48.89</v>
      </c>
      <c r="F2256" s="1">
        <f ca="1">IFERROR(__xludf.DUMMYFUNCTION("""COMPUTED_VALUE"""),47994758)</f>
        <v>47994758</v>
      </c>
    </row>
    <row r="2257" spans="1:6" x14ac:dyDescent="0.35">
      <c r="A2257" s="2">
        <f ca="1">IFERROR(__xludf.DUMMYFUNCTION("""COMPUTED_VALUE"""),45278.6666666666)</f>
        <v>45278.666666666599</v>
      </c>
      <c r="B2257" s="1">
        <f ca="1">IFERROR(__xludf.DUMMYFUNCTION("""COMPUTED_VALUE"""),49.4)</f>
        <v>49.4</v>
      </c>
      <c r="C2257" s="1">
        <f ca="1">IFERROR(__xludf.DUMMYFUNCTION("""COMPUTED_VALUE"""),50.43)</f>
        <v>50.43</v>
      </c>
      <c r="D2257" s="1">
        <f ca="1">IFERROR(__xludf.DUMMYFUNCTION("""COMPUTED_VALUE"""),49.15)</f>
        <v>49.15</v>
      </c>
      <c r="E2257" s="1">
        <f ca="1">IFERROR(__xludf.DUMMYFUNCTION("""COMPUTED_VALUE"""),50.08)</f>
        <v>50.08</v>
      </c>
      <c r="F2257" s="1">
        <f ca="1">IFERROR(__xludf.DUMMYFUNCTION("""COMPUTED_VALUE"""),41258717)</f>
        <v>41258717</v>
      </c>
    </row>
    <row r="2258" spans="1:6" x14ac:dyDescent="0.35">
      <c r="A2258" s="2">
        <f ca="1">IFERROR(__xludf.DUMMYFUNCTION("""COMPUTED_VALUE"""),45279.6666666666)</f>
        <v>45279.666666666599</v>
      </c>
      <c r="B2258" s="1">
        <f ca="1">IFERROR(__xludf.DUMMYFUNCTION("""COMPUTED_VALUE"""),49.42)</f>
        <v>49.42</v>
      </c>
      <c r="C2258" s="1">
        <f ca="1">IFERROR(__xludf.DUMMYFUNCTION("""COMPUTED_VALUE"""),49.7)</f>
        <v>49.7</v>
      </c>
      <c r="D2258" s="1">
        <f ca="1">IFERROR(__xludf.DUMMYFUNCTION("""COMPUTED_VALUE"""),48.9)</f>
        <v>48.9</v>
      </c>
      <c r="E2258" s="1">
        <f ca="1">IFERROR(__xludf.DUMMYFUNCTION("""COMPUTED_VALUE"""),49.6)</f>
        <v>49.6</v>
      </c>
      <c r="F2258" s="1">
        <f ca="1">IFERROR(__xludf.DUMMYFUNCTION("""COMPUTED_VALUE"""),46444446)</f>
        <v>46444446</v>
      </c>
    </row>
    <row r="2259" spans="1:6" x14ac:dyDescent="0.35">
      <c r="A2259" s="2">
        <f ca="1">IFERROR(__xludf.DUMMYFUNCTION("""COMPUTED_VALUE"""),45280.6666666666)</f>
        <v>45280.666666666599</v>
      </c>
      <c r="B2259" s="1">
        <f ca="1">IFERROR(__xludf.DUMMYFUNCTION("""COMPUTED_VALUE"""),49.66)</f>
        <v>49.66</v>
      </c>
      <c r="C2259" s="1">
        <f ca="1">IFERROR(__xludf.DUMMYFUNCTION("""COMPUTED_VALUE"""),50)</f>
        <v>50</v>
      </c>
      <c r="D2259" s="1">
        <f ca="1">IFERROR(__xludf.DUMMYFUNCTION("""COMPUTED_VALUE"""),48.1)</f>
        <v>48.1</v>
      </c>
      <c r="E2259" s="1">
        <f ca="1">IFERROR(__xludf.DUMMYFUNCTION("""COMPUTED_VALUE"""),48.11)</f>
        <v>48.11</v>
      </c>
      <c r="F2259" s="1">
        <f ca="1">IFERROR(__xludf.DUMMYFUNCTION("""COMPUTED_VALUE"""),39789439)</f>
        <v>39789439</v>
      </c>
    </row>
    <row r="2260" spans="1:6" x14ac:dyDescent="0.35">
      <c r="A2260" s="2">
        <f ca="1">IFERROR(__xludf.DUMMYFUNCTION("""COMPUTED_VALUE"""),45281.6666666666)</f>
        <v>45281.666666666599</v>
      </c>
      <c r="B2260" s="1">
        <f ca="1">IFERROR(__xludf.DUMMYFUNCTION("""COMPUTED_VALUE"""),48.81)</f>
        <v>48.81</v>
      </c>
      <c r="C2260" s="1">
        <f ca="1">IFERROR(__xludf.DUMMYFUNCTION("""COMPUTED_VALUE"""),49.1)</f>
        <v>49.1</v>
      </c>
      <c r="D2260" s="1">
        <f ca="1">IFERROR(__xludf.DUMMYFUNCTION("""COMPUTED_VALUE"""),48.42)</f>
        <v>48.42</v>
      </c>
      <c r="E2260" s="1">
        <f ca="1">IFERROR(__xludf.DUMMYFUNCTION("""COMPUTED_VALUE"""),48.99)</f>
        <v>48.99</v>
      </c>
      <c r="F2260" s="1">
        <f ca="1">IFERROR(__xludf.DUMMYFUNCTION("""COMPUTED_VALUE"""),30042535)</f>
        <v>30042535</v>
      </c>
    </row>
    <row r="2261" spans="1:6" x14ac:dyDescent="0.35">
      <c r="A2261" s="2">
        <f ca="1">IFERROR(__xludf.DUMMYFUNCTION("""COMPUTED_VALUE"""),45282.6666666666)</f>
        <v>45282.666666666599</v>
      </c>
      <c r="B2261" s="1">
        <f ca="1">IFERROR(__xludf.DUMMYFUNCTION("""COMPUTED_VALUE"""),49.2)</f>
        <v>49.2</v>
      </c>
      <c r="C2261" s="1">
        <f ca="1">IFERROR(__xludf.DUMMYFUNCTION("""COMPUTED_VALUE"""),49.38)</f>
        <v>49.38</v>
      </c>
      <c r="D2261" s="1">
        <f ca="1">IFERROR(__xludf.DUMMYFUNCTION("""COMPUTED_VALUE"""),48.47)</f>
        <v>48.47</v>
      </c>
      <c r="E2261" s="1">
        <f ca="1">IFERROR(__xludf.DUMMYFUNCTION("""COMPUTED_VALUE"""),48.83)</f>
        <v>48.83</v>
      </c>
      <c r="F2261" s="1">
        <f ca="1">IFERROR(__xludf.DUMMYFUNCTION("""COMPUTED_VALUE"""),25250676)</f>
        <v>25250676</v>
      </c>
    </row>
    <row r="2262" spans="1:6" x14ac:dyDescent="0.35">
      <c r="A2262" s="2">
        <f ca="1">IFERROR(__xludf.DUMMYFUNCTION("""COMPUTED_VALUE"""),45286.6666666666)</f>
        <v>45286.666666666599</v>
      </c>
      <c r="B2262" s="1">
        <f ca="1">IFERROR(__xludf.DUMMYFUNCTION("""COMPUTED_VALUE"""),48.97)</f>
        <v>48.97</v>
      </c>
      <c r="C2262" s="1">
        <f ca="1">IFERROR(__xludf.DUMMYFUNCTION("""COMPUTED_VALUE"""),49.6)</f>
        <v>49.6</v>
      </c>
      <c r="D2262" s="1">
        <f ca="1">IFERROR(__xludf.DUMMYFUNCTION("""COMPUTED_VALUE"""),48.96)</f>
        <v>48.96</v>
      </c>
      <c r="E2262" s="1">
        <f ca="1">IFERROR(__xludf.DUMMYFUNCTION("""COMPUTED_VALUE"""),49.28)</f>
        <v>49.28</v>
      </c>
      <c r="F2262" s="1">
        <f ca="1">IFERROR(__xludf.DUMMYFUNCTION("""COMPUTED_VALUE"""),24419952)</f>
        <v>24419952</v>
      </c>
    </row>
    <row r="2263" spans="1:6" x14ac:dyDescent="0.35">
      <c r="A2263" s="2">
        <f ca="1">IFERROR(__xludf.DUMMYFUNCTION("""COMPUTED_VALUE"""),45287.6666666666)</f>
        <v>45287.666666666599</v>
      </c>
      <c r="B2263" s="1">
        <f ca="1">IFERROR(__xludf.DUMMYFUNCTION("""COMPUTED_VALUE"""),49.51)</f>
        <v>49.51</v>
      </c>
      <c r="C2263" s="1">
        <f ca="1">IFERROR(__xludf.DUMMYFUNCTION("""COMPUTED_VALUE"""),49.68)</f>
        <v>49.68</v>
      </c>
      <c r="D2263" s="1">
        <f ca="1">IFERROR(__xludf.DUMMYFUNCTION("""COMPUTED_VALUE"""),49.09)</f>
        <v>49.09</v>
      </c>
      <c r="E2263" s="1">
        <f ca="1">IFERROR(__xludf.DUMMYFUNCTION("""COMPUTED_VALUE"""),49.42)</f>
        <v>49.42</v>
      </c>
      <c r="F2263" s="1">
        <f ca="1">IFERROR(__xludf.DUMMYFUNCTION("""COMPUTED_VALUE"""),23364798)</f>
        <v>23364798</v>
      </c>
    </row>
    <row r="2264" spans="1:6" x14ac:dyDescent="0.35">
      <c r="A2264" s="2">
        <f ca="1">IFERROR(__xludf.DUMMYFUNCTION("""COMPUTED_VALUE"""),45288.6666666666)</f>
        <v>45288.666666666599</v>
      </c>
      <c r="B2264" s="1">
        <f ca="1">IFERROR(__xludf.DUMMYFUNCTION("""COMPUTED_VALUE"""),49.64)</f>
        <v>49.64</v>
      </c>
      <c r="C2264" s="1">
        <f ca="1">IFERROR(__xludf.DUMMYFUNCTION("""COMPUTED_VALUE"""),49.88)</f>
        <v>49.88</v>
      </c>
      <c r="D2264" s="1">
        <f ca="1">IFERROR(__xludf.DUMMYFUNCTION("""COMPUTED_VALUE"""),49.41)</f>
        <v>49.41</v>
      </c>
      <c r="E2264" s="1">
        <f ca="1">IFERROR(__xludf.DUMMYFUNCTION("""COMPUTED_VALUE"""),49.52)</f>
        <v>49.52</v>
      </c>
      <c r="F2264" s="1">
        <f ca="1">IFERROR(__xludf.DUMMYFUNCTION("""COMPUTED_VALUE"""),24658748)</f>
        <v>24658748</v>
      </c>
    </row>
    <row r="2265" spans="1:6" x14ac:dyDescent="0.35">
      <c r="A2265" s="2">
        <f ca="1">IFERROR(__xludf.DUMMYFUNCTION("""COMPUTED_VALUE"""),45289.6666666666)</f>
        <v>45289.666666666599</v>
      </c>
      <c r="B2265" s="1">
        <f ca="1">IFERROR(__xludf.DUMMYFUNCTION("""COMPUTED_VALUE"""),49.81)</f>
        <v>49.81</v>
      </c>
      <c r="C2265" s="1">
        <f ca="1">IFERROR(__xludf.DUMMYFUNCTION("""COMPUTED_VALUE"""),50)</f>
        <v>50</v>
      </c>
      <c r="D2265" s="1">
        <f ca="1">IFERROR(__xludf.DUMMYFUNCTION("""COMPUTED_VALUE"""),48.75)</f>
        <v>48.75</v>
      </c>
      <c r="E2265" s="1">
        <f ca="1">IFERROR(__xludf.DUMMYFUNCTION("""COMPUTED_VALUE"""),49.52)</f>
        <v>49.52</v>
      </c>
      <c r="F2265" s="1">
        <f ca="1">IFERROR(__xludf.DUMMYFUNCTION("""COMPUTED_VALUE"""),38929330)</f>
        <v>38929330</v>
      </c>
    </row>
    <row r="2266" spans="1:6" x14ac:dyDescent="0.35">
      <c r="A2266" s="2">
        <f ca="1">IFERROR(__xludf.DUMMYFUNCTION("""COMPUTED_VALUE"""),45293.6666666666)</f>
        <v>45293.666666666599</v>
      </c>
      <c r="B2266" s="1">
        <f ca="1">IFERROR(__xludf.DUMMYFUNCTION("""COMPUTED_VALUE"""),49.24)</f>
        <v>49.24</v>
      </c>
      <c r="C2266" s="1">
        <f ca="1">IFERROR(__xludf.DUMMYFUNCTION("""COMPUTED_VALUE"""),49.3)</f>
        <v>49.3</v>
      </c>
      <c r="D2266" s="1">
        <f ca="1">IFERROR(__xludf.DUMMYFUNCTION("""COMPUTED_VALUE"""),47.6)</f>
        <v>47.6</v>
      </c>
      <c r="E2266" s="1">
        <f ca="1">IFERROR(__xludf.DUMMYFUNCTION("""COMPUTED_VALUE"""),48.17)</f>
        <v>48.17</v>
      </c>
      <c r="F2266" s="1">
        <f ca="1">IFERROR(__xludf.DUMMYFUNCTION("""COMPUTED_VALUE"""),41125422)</f>
        <v>41125422</v>
      </c>
    </row>
    <row r="2267" spans="1:6" x14ac:dyDescent="0.35">
      <c r="A2267" s="2">
        <f ca="1">IFERROR(__xludf.DUMMYFUNCTION("""COMPUTED_VALUE"""),45294.6666666666)</f>
        <v>45294.666666666599</v>
      </c>
      <c r="B2267" s="1">
        <f ca="1">IFERROR(__xludf.DUMMYFUNCTION("""COMPUTED_VALUE"""),47.49)</f>
        <v>47.49</v>
      </c>
      <c r="C2267" s="1">
        <f ca="1">IFERROR(__xludf.DUMMYFUNCTION("""COMPUTED_VALUE"""),48.18)</f>
        <v>48.18</v>
      </c>
      <c r="D2267" s="1">
        <f ca="1">IFERROR(__xludf.DUMMYFUNCTION("""COMPUTED_VALUE"""),47.32)</f>
        <v>47.32</v>
      </c>
      <c r="E2267" s="1">
        <f ca="1">IFERROR(__xludf.DUMMYFUNCTION("""COMPUTED_VALUE"""),47.57)</f>
        <v>47.57</v>
      </c>
      <c r="F2267" s="1">
        <f ca="1">IFERROR(__xludf.DUMMYFUNCTION("""COMPUTED_VALUE"""),32089617)</f>
        <v>32089617</v>
      </c>
    </row>
    <row r="2268" spans="1:6" x14ac:dyDescent="0.35">
      <c r="A2268" s="2">
        <f ca="1">IFERROR(__xludf.DUMMYFUNCTION("""COMPUTED_VALUE"""),45295.6666666666)</f>
        <v>45295.666666666599</v>
      </c>
      <c r="B2268" s="1">
        <f ca="1">IFERROR(__xludf.DUMMYFUNCTION("""COMPUTED_VALUE"""),47.77)</f>
        <v>47.77</v>
      </c>
      <c r="C2268" s="1">
        <f ca="1">IFERROR(__xludf.DUMMYFUNCTION("""COMPUTED_VALUE"""),48.5)</f>
        <v>48.5</v>
      </c>
      <c r="D2268" s="1">
        <f ca="1">IFERROR(__xludf.DUMMYFUNCTION("""COMPUTED_VALUE"""),47.51)</f>
        <v>47.51</v>
      </c>
      <c r="E2268" s="1">
        <f ca="1">IFERROR(__xludf.DUMMYFUNCTION("""COMPUTED_VALUE"""),48)</f>
        <v>48</v>
      </c>
      <c r="F2268" s="1">
        <f ca="1">IFERROR(__xludf.DUMMYFUNCTION("""COMPUTED_VALUE"""),30653489)</f>
        <v>30653489</v>
      </c>
    </row>
    <row r="2269" spans="1:6" x14ac:dyDescent="0.35">
      <c r="A2269" s="2">
        <f ca="1">IFERROR(__xludf.DUMMYFUNCTION("""COMPUTED_VALUE"""),45296.6666666666)</f>
        <v>45296.666666666599</v>
      </c>
      <c r="B2269" s="1">
        <f ca="1">IFERROR(__xludf.DUMMYFUNCTION("""COMPUTED_VALUE"""),48.46)</f>
        <v>48.46</v>
      </c>
      <c r="C2269" s="1">
        <f ca="1">IFERROR(__xludf.DUMMYFUNCTION("""COMPUTED_VALUE"""),49.55)</f>
        <v>49.55</v>
      </c>
      <c r="D2269" s="1">
        <f ca="1">IFERROR(__xludf.DUMMYFUNCTION("""COMPUTED_VALUE"""),48.31)</f>
        <v>48.31</v>
      </c>
      <c r="E2269" s="1">
        <f ca="1">IFERROR(__xludf.DUMMYFUNCTION("""COMPUTED_VALUE"""),49.1)</f>
        <v>49.1</v>
      </c>
      <c r="F2269" s="1">
        <f ca="1">IFERROR(__xludf.DUMMYFUNCTION("""COMPUTED_VALUE"""),41503927)</f>
        <v>41503927</v>
      </c>
    </row>
    <row r="2270" spans="1:6" x14ac:dyDescent="0.35">
      <c r="A2270" s="2">
        <f ca="1">IFERROR(__xludf.DUMMYFUNCTION("""COMPUTED_VALUE"""),45299.6666666666)</f>
        <v>45299.666666666599</v>
      </c>
      <c r="B2270" s="1">
        <f ca="1">IFERROR(__xludf.DUMMYFUNCTION("""COMPUTED_VALUE"""),49.51)</f>
        <v>49.51</v>
      </c>
      <c r="C2270" s="1">
        <f ca="1">IFERROR(__xludf.DUMMYFUNCTION("""COMPUTED_VALUE"""),52.28)</f>
        <v>52.28</v>
      </c>
      <c r="D2270" s="1">
        <f ca="1">IFERROR(__xludf.DUMMYFUNCTION("""COMPUTED_VALUE"""),49.48)</f>
        <v>49.48</v>
      </c>
      <c r="E2270" s="1">
        <f ca="1">IFERROR(__xludf.DUMMYFUNCTION("""COMPUTED_VALUE"""),52.25)</f>
        <v>52.25</v>
      </c>
      <c r="F2270" s="1">
        <f ca="1">IFERROR(__xludf.DUMMYFUNCTION("""COMPUTED_VALUE"""),64250990)</f>
        <v>64250990</v>
      </c>
    </row>
    <row r="2271" spans="1:6" x14ac:dyDescent="0.35">
      <c r="A2271" s="2">
        <f ca="1">IFERROR(__xludf.DUMMYFUNCTION("""COMPUTED_VALUE"""),45300.6666666666)</f>
        <v>45300.666666666599</v>
      </c>
      <c r="B2271" s="1">
        <f ca="1">IFERROR(__xludf.DUMMYFUNCTION("""COMPUTED_VALUE"""),52.4)</f>
        <v>52.4</v>
      </c>
      <c r="C2271" s="1">
        <f ca="1">IFERROR(__xludf.DUMMYFUNCTION("""COMPUTED_VALUE"""),54.33)</f>
        <v>54.33</v>
      </c>
      <c r="D2271" s="1">
        <f ca="1">IFERROR(__xludf.DUMMYFUNCTION("""COMPUTED_VALUE"""),51.69)</f>
        <v>51.69</v>
      </c>
      <c r="E2271" s="1">
        <f ca="1">IFERROR(__xludf.DUMMYFUNCTION("""COMPUTED_VALUE"""),53.14)</f>
        <v>53.14</v>
      </c>
      <c r="F2271" s="1">
        <f ca="1">IFERROR(__xludf.DUMMYFUNCTION("""COMPUTED_VALUE"""),77310006)</f>
        <v>77310006</v>
      </c>
    </row>
    <row r="2272" spans="1:6" x14ac:dyDescent="0.35">
      <c r="A2272" s="2">
        <f ca="1">IFERROR(__xludf.DUMMYFUNCTION("""COMPUTED_VALUE"""),45301.6666666666)</f>
        <v>45301.666666666599</v>
      </c>
      <c r="B2272" s="1">
        <f ca="1">IFERROR(__xludf.DUMMYFUNCTION("""COMPUTED_VALUE"""),53.62)</f>
        <v>53.62</v>
      </c>
      <c r="C2272" s="1">
        <f ca="1">IFERROR(__xludf.DUMMYFUNCTION("""COMPUTED_VALUE"""),54.6)</f>
        <v>54.6</v>
      </c>
      <c r="D2272" s="1">
        <f ca="1">IFERROR(__xludf.DUMMYFUNCTION("""COMPUTED_VALUE"""),53.49)</f>
        <v>53.49</v>
      </c>
      <c r="E2272" s="1">
        <f ca="1">IFERROR(__xludf.DUMMYFUNCTION("""COMPUTED_VALUE"""),54.35)</f>
        <v>54.35</v>
      </c>
      <c r="F2272" s="1">
        <f ca="1">IFERROR(__xludf.DUMMYFUNCTION("""COMPUTED_VALUE"""),53379576)</f>
        <v>53379576</v>
      </c>
    </row>
    <row r="2273" spans="1:6" x14ac:dyDescent="0.35">
      <c r="A2273" s="2">
        <f ca="1">IFERROR(__xludf.DUMMYFUNCTION("""COMPUTED_VALUE"""),45302.6666666666)</f>
        <v>45302.666666666599</v>
      </c>
      <c r="B2273" s="1">
        <f ca="1">IFERROR(__xludf.DUMMYFUNCTION("""COMPUTED_VALUE"""),55)</f>
        <v>55</v>
      </c>
      <c r="C2273" s="1">
        <f ca="1">IFERROR(__xludf.DUMMYFUNCTION("""COMPUTED_VALUE"""),55.35)</f>
        <v>55.35</v>
      </c>
      <c r="D2273" s="1">
        <f ca="1">IFERROR(__xludf.DUMMYFUNCTION("""COMPUTED_VALUE"""),53.56)</f>
        <v>53.56</v>
      </c>
      <c r="E2273" s="1">
        <f ca="1">IFERROR(__xludf.DUMMYFUNCTION("""COMPUTED_VALUE"""),54.82)</f>
        <v>54.82</v>
      </c>
      <c r="F2273" s="1">
        <f ca="1">IFERROR(__xludf.DUMMYFUNCTION("""COMPUTED_VALUE"""),59675877)</f>
        <v>59675877</v>
      </c>
    </row>
    <row r="2274" spans="1:6" x14ac:dyDescent="0.35">
      <c r="A2274" s="2">
        <f ca="1">IFERROR(__xludf.DUMMYFUNCTION("""COMPUTED_VALUE"""),45303.6666666666)</f>
        <v>45303.666666666599</v>
      </c>
      <c r="B2274" s="1">
        <f ca="1">IFERROR(__xludf.DUMMYFUNCTION("""COMPUTED_VALUE"""),54.62)</f>
        <v>54.62</v>
      </c>
      <c r="C2274" s="1">
        <f ca="1">IFERROR(__xludf.DUMMYFUNCTION("""COMPUTED_VALUE"""),54.97)</f>
        <v>54.97</v>
      </c>
      <c r="D2274" s="1">
        <f ca="1">IFERROR(__xludf.DUMMYFUNCTION("""COMPUTED_VALUE"""),54.33)</f>
        <v>54.33</v>
      </c>
      <c r="E2274" s="1">
        <f ca="1">IFERROR(__xludf.DUMMYFUNCTION("""COMPUTED_VALUE"""),54.71)</f>
        <v>54.71</v>
      </c>
      <c r="F2274" s="1">
        <f ca="1">IFERROR(__xludf.DUMMYFUNCTION("""COMPUTED_VALUE"""),35299360)</f>
        <v>35299360</v>
      </c>
    </row>
    <row r="2275" spans="1:6" x14ac:dyDescent="0.35">
      <c r="A2275" s="2">
        <f ca="1">IFERROR(__xludf.DUMMYFUNCTION("""COMPUTED_VALUE"""),45307.6666666666)</f>
        <v>45307.666666666599</v>
      </c>
      <c r="B2275" s="1">
        <f ca="1">IFERROR(__xludf.DUMMYFUNCTION("""COMPUTED_VALUE"""),55.02)</f>
        <v>55.02</v>
      </c>
      <c r="C2275" s="1">
        <f ca="1">IFERROR(__xludf.DUMMYFUNCTION("""COMPUTED_VALUE"""),56.83)</f>
        <v>56.83</v>
      </c>
      <c r="D2275" s="1">
        <f ca="1">IFERROR(__xludf.DUMMYFUNCTION("""COMPUTED_VALUE"""),54.9)</f>
        <v>54.9</v>
      </c>
      <c r="E2275" s="1">
        <f ca="1">IFERROR(__xludf.DUMMYFUNCTION("""COMPUTED_VALUE"""),56.38)</f>
        <v>56.38</v>
      </c>
      <c r="F2275" s="1">
        <f ca="1">IFERROR(__xludf.DUMMYFUNCTION("""COMPUTED_VALUE"""),44957973)</f>
        <v>44957973</v>
      </c>
    </row>
    <row r="2276" spans="1:6" x14ac:dyDescent="0.35">
      <c r="A2276" s="2">
        <f ca="1">IFERROR(__xludf.DUMMYFUNCTION("""COMPUTED_VALUE"""),45308.6666666666)</f>
        <v>45308.666666666599</v>
      </c>
      <c r="B2276" s="1">
        <f ca="1">IFERROR(__xludf.DUMMYFUNCTION("""COMPUTED_VALUE"""),56.35)</f>
        <v>56.35</v>
      </c>
      <c r="C2276" s="1">
        <f ca="1">IFERROR(__xludf.DUMMYFUNCTION("""COMPUTED_VALUE"""),56.47)</f>
        <v>56.47</v>
      </c>
      <c r="D2276" s="1">
        <f ca="1">IFERROR(__xludf.DUMMYFUNCTION("""COMPUTED_VALUE"""),54.74)</f>
        <v>54.74</v>
      </c>
      <c r="E2276" s="1">
        <f ca="1">IFERROR(__xludf.DUMMYFUNCTION("""COMPUTED_VALUE"""),56.05)</f>
        <v>56.05</v>
      </c>
      <c r="F2276" s="1">
        <f ca="1">IFERROR(__xludf.DUMMYFUNCTION("""COMPUTED_VALUE"""),47439444)</f>
        <v>47439444</v>
      </c>
    </row>
    <row r="2277" spans="1:6" x14ac:dyDescent="0.35">
      <c r="A2277" s="2">
        <f ca="1">IFERROR(__xludf.DUMMYFUNCTION("""COMPUTED_VALUE"""),45309.6666666666)</f>
        <v>45309.666666666599</v>
      </c>
      <c r="B2277" s="1">
        <f ca="1">IFERROR(__xludf.DUMMYFUNCTION("""COMPUTED_VALUE"""),57.26)</f>
        <v>57.26</v>
      </c>
      <c r="C2277" s="1">
        <f ca="1">IFERROR(__xludf.DUMMYFUNCTION("""COMPUTED_VALUE"""),57.6)</f>
        <v>57.6</v>
      </c>
      <c r="D2277" s="1">
        <f ca="1">IFERROR(__xludf.DUMMYFUNCTION("""COMPUTED_VALUE"""),56.11)</f>
        <v>56.11</v>
      </c>
      <c r="E2277" s="1">
        <f ca="1">IFERROR(__xludf.DUMMYFUNCTION("""COMPUTED_VALUE"""),57.11)</f>
        <v>57.11</v>
      </c>
      <c r="F2277" s="1">
        <f ca="1">IFERROR(__xludf.DUMMYFUNCTION("""COMPUTED_VALUE"""),49165036)</f>
        <v>49165036</v>
      </c>
    </row>
    <row r="2278" spans="1:6" x14ac:dyDescent="0.35">
      <c r="A2278" s="2">
        <f ca="1">IFERROR(__xludf.DUMMYFUNCTION("""COMPUTED_VALUE"""),45310.6666666666)</f>
        <v>45310.666666666599</v>
      </c>
      <c r="B2278" s="1">
        <f ca="1">IFERROR(__xludf.DUMMYFUNCTION("""COMPUTED_VALUE"""),57.99)</f>
        <v>57.99</v>
      </c>
      <c r="C2278" s="1">
        <f ca="1">IFERROR(__xludf.DUMMYFUNCTION("""COMPUTED_VALUE"""),59.5)</f>
        <v>59.5</v>
      </c>
      <c r="D2278" s="1">
        <f ca="1">IFERROR(__xludf.DUMMYFUNCTION("""COMPUTED_VALUE"""),57.23)</f>
        <v>57.23</v>
      </c>
      <c r="E2278" s="1">
        <f ca="1">IFERROR(__xludf.DUMMYFUNCTION("""COMPUTED_VALUE"""),59.49)</f>
        <v>59.49</v>
      </c>
      <c r="F2278" s="1">
        <f ca="1">IFERROR(__xludf.DUMMYFUNCTION("""COMPUTED_VALUE"""),54350148)</f>
        <v>54350148</v>
      </c>
    </row>
    <row r="2279" spans="1:6" x14ac:dyDescent="0.35">
      <c r="A2279" s="2">
        <f ca="1">IFERROR(__xludf.DUMMYFUNCTION("""COMPUTED_VALUE"""),45313.6666666666)</f>
        <v>45313.666666666599</v>
      </c>
      <c r="B2279" s="1">
        <f ca="1">IFERROR(__xludf.DUMMYFUNCTION("""COMPUTED_VALUE"""),60.05)</f>
        <v>60.05</v>
      </c>
      <c r="C2279" s="1">
        <f ca="1">IFERROR(__xludf.DUMMYFUNCTION("""COMPUTED_VALUE"""),60.33)</f>
        <v>60.33</v>
      </c>
      <c r="D2279" s="1">
        <f ca="1">IFERROR(__xludf.DUMMYFUNCTION("""COMPUTED_VALUE"""),59.07)</f>
        <v>59.07</v>
      </c>
      <c r="E2279" s="1">
        <f ca="1">IFERROR(__xludf.DUMMYFUNCTION("""COMPUTED_VALUE"""),59.65)</f>
        <v>59.65</v>
      </c>
      <c r="F2279" s="1">
        <f ca="1">IFERROR(__xludf.DUMMYFUNCTION("""COMPUTED_VALUE"""),45295463)</f>
        <v>45295463</v>
      </c>
    </row>
    <row r="2280" spans="1:6" x14ac:dyDescent="0.35">
      <c r="A2280" s="2">
        <f ca="1">IFERROR(__xludf.DUMMYFUNCTION("""COMPUTED_VALUE"""),45314.6666666666)</f>
        <v>45314.666666666599</v>
      </c>
      <c r="B2280" s="1">
        <f ca="1">IFERROR(__xludf.DUMMYFUNCTION("""COMPUTED_VALUE"""),59.57)</f>
        <v>59.57</v>
      </c>
      <c r="C2280" s="1">
        <f ca="1">IFERROR(__xludf.DUMMYFUNCTION("""COMPUTED_VALUE"""),59.91)</f>
        <v>59.91</v>
      </c>
      <c r="D2280" s="1">
        <f ca="1">IFERROR(__xludf.DUMMYFUNCTION("""COMPUTED_VALUE"""),58.59)</f>
        <v>58.59</v>
      </c>
      <c r="E2280" s="1">
        <f ca="1">IFERROR(__xludf.DUMMYFUNCTION("""COMPUTED_VALUE"""),59.87)</f>
        <v>59.87</v>
      </c>
      <c r="F2280" s="1">
        <f ca="1">IFERROR(__xludf.DUMMYFUNCTION("""COMPUTED_VALUE"""),29465445)</f>
        <v>29465445</v>
      </c>
    </row>
    <row r="2281" spans="1:6" x14ac:dyDescent="0.35">
      <c r="A2281" s="2">
        <f ca="1">IFERROR(__xludf.DUMMYFUNCTION("""COMPUTED_VALUE"""),45315.6666666666)</f>
        <v>45315.666666666599</v>
      </c>
      <c r="B2281" s="1">
        <f ca="1">IFERROR(__xludf.DUMMYFUNCTION("""COMPUTED_VALUE"""),60.3)</f>
        <v>60.3</v>
      </c>
      <c r="C2281" s="1">
        <f ca="1">IFERROR(__xludf.DUMMYFUNCTION("""COMPUTED_VALUE"""),62.85)</f>
        <v>62.85</v>
      </c>
      <c r="D2281" s="1">
        <f ca="1">IFERROR(__xludf.DUMMYFUNCTION("""COMPUTED_VALUE"""),59.94)</f>
        <v>59.94</v>
      </c>
      <c r="E2281" s="1">
        <f ca="1">IFERROR(__xludf.DUMMYFUNCTION("""COMPUTED_VALUE"""),61.36)</f>
        <v>61.36</v>
      </c>
      <c r="F2281" s="1">
        <f ca="1">IFERROR(__xludf.DUMMYFUNCTION("""COMPUTED_VALUE"""),56027076)</f>
        <v>56027076</v>
      </c>
    </row>
    <row r="2282" spans="1:6" x14ac:dyDescent="0.35">
      <c r="A2282" s="2">
        <f ca="1">IFERROR(__xludf.DUMMYFUNCTION("""COMPUTED_VALUE"""),45316.6666666666)</f>
        <v>45316.666666666599</v>
      </c>
      <c r="B2282" s="1">
        <f ca="1">IFERROR(__xludf.DUMMYFUNCTION("""COMPUTED_VALUE"""),62.35)</f>
        <v>62.35</v>
      </c>
      <c r="C2282" s="1">
        <f ca="1">IFERROR(__xludf.DUMMYFUNCTION("""COMPUTED_VALUE"""),62.72)</f>
        <v>62.72</v>
      </c>
      <c r="D2282" s="1">
        <f ca="1">IFERROR(__xludf.DUMMYFUNCTION("""COMPUTED_VALUE"""),60.85)</f>
        <v>60.85</v>
      </c>
      <c r="E2282" s="1">
        <f ca="1">IFERROR(__xludf.DUMMYFUNCTION("""COMPUTED_VALUE"""),61.62)</f>
        <v>61.62</v>
      </c>
      <c r="F2282" s="1">
        <f ca="1">IFERROR(__xludf.DUMMYFUNCTION("""COMPUTED_VALUE"""),48277684)</f>
        <v>48277684</v>
      </c>
    </row>
    <row r="2283" spans="1:6" x14ac:dyDescent="0.35">
      <c r="A2283" s="2">
        <f ca="1">IFERROR(__xludf.DUMMYFUNCTION("""COMPUTED_VALUE"""),45317.6666666666)</f>
        <v>45317.666666666599</v>
      </c>
      <c r="B2283" s="1">
        <f ca="1">IFERROR(__xludf.DUMMYFUNCTION("""COMPUTED_VALUE"""),60.96)</f>
        <v>60.96</v>
      </c>
      <c r="C2283" s="1">
        <f ca="1">IFERROR(__xludf.DUMMYFUNCTION("""COMPUTED_VALUE"""),61.78)</f>
        <v>61.78</v>
      </c>
      <c r="D2283" s="1">
        <f ca="1">IFERROR(__xludf.DUMMYFUNCTION("""COMPUTED_VALUE"""),60.57)</f>
        <v>60.57</v>
      </c>
      <c r="E2283" s="1">
        <f ca="1">IFERROR(__xludf.DUMMYFUNCTION("""COMPUTED_VALUE"""),61.03)</f>
        <v>61.03</v>
      </c>
      <c r="F2283" s="1">
        <f ca="1">IFERROR(__xludf.DUMMYFUNCTION("""COMPUTED_VALUE"""),39030859)</f>
        <v>39030859</v>
      </c>
    </row>
    <row r="2284" spans="1:6" x14ac:dyDescent="0.35">
      <c r="A2284" s="2">
        <f ca="1">IFERROR(__xludf.DUMMYFUNCTION("""COMPUTED_VALUE"""),45320.6666666666)</f>
        <v>45320.666666666599</v>
      </c>
      <c r="B2284" s="1">
        <f ca="1">IFERROR(__xludf.DUMMYFUNCTION("""COMPUTED_VALUE"""),61.23)</f>
        <v>61.23</v>
      </c>
      <c r="C2284" s="1">
        <f ca="1">IFERROR(__xludf.DUMMYFUNCTION("""COMPUTED_VALUE"""),62.49)</f>
        <v>62.49</v>
      </c>
      <c r="D2284" s="1">
        <f ca="1">IFERROR(__xludf.DUMMYFUNCTION("""COMPUTED_VALUE"""),60.91)</f>
        <v>60.91</v>
      </c>
      <c r="E2284" s="1">
        <f ca="1">IFERROR(__xludf.DUMMYFUNCTION("""COMPUTED_VALUE"""),62.47)</f>
        <v>62.47</v>
      </c>
      <c r="F2284" s="1">
        <f ca="1">IFERROR(__xludf.DUMMYFUNCTION("""COMPUTED_VALUE"""),34873298)</f>
        <v>34873298</v>
      </c>
    </row>
    <row r="2285" spans="1:6" x14ac:dyDescent="0.35">
      <c r="A2285" s="2">
        <f ca="1">IFERROR(__xludf.DUMMYFUNCTION("""COMPUTED_VALUE"""),45321.6666666666)</f>
        <v>45321.666666666599</v>
      </c>
      <c r="B2285" s="1">
        <f ca="1">IFERROR(__xludf.DUMMYFUNCTION("""COMPUTED_VALUE"""),62.9)</f>
        <v>62.9</v>
      </c>
      <c r="C2285" s="1">
        <f ca="1">IFERROR(__xludf.DUMMYFUNCTION("""COMPUTED_VALUE"""),63.49)</f>
        <v>63.49</v>
      </c>
      <c r="D2285" s="1">
        <f ca="1">IFERROR(__xludf.DUMMYFUNCTION("""COMPUTED_VALUE"""),62.26)</f>
        <v>62.26</v>
      </c>
      <c r="E2285" s="1">
        <f ca="1">IFERROR(__xludf.DUMMYFUNCTION("""COMPUTED_VALUE"""),62.77)</f>
        <v>62.77</v>
      </c>
      <c r="F2285" s="1">
        <f ca="1">IFERROR(__xludf.DUMMYFUNCTION("""COMPUTED_VALUE"""),41073530)</f>
        <v>41073530</v>
      </c>
    </row>
    <row r="2286" spans="1:6" x14ac:dyDescent="0.35">
      <c r="A2286" s="2">
        <f ca="1">IFERROR(__xludf.DUMMYFUNCTION("""COMPUTED_VALUE"""),45322.6666666666)</f>
        <v>45322.666666666599</v>
      </c>
      <c r="B2286" s="1">
        <f ca="1">IFERROR(__xludf.DUMMYFUNCTION("""COMPUTED_VALUE"""),61.44)</f>
        <v>61.44</v>
      </c>
      <c r="C2286" s="1">
        <f ca="1">IFERROR(__xludf.DUMMYFUNCTION("""COMPUTED_VALUE"""),62.27)</f>
        <v>62.27</v>
      </c>
      <c r="D2286" s="1">
        <f ca="1">IFERROR(__xludf.DUMMYFUNCTION("""COMPUTED_VALUE"""),60.7)</f>
        <v>60.7</v>
      </c>
      <c r="E2286" s="1">
        <f ca="1">IFERROR(__xludf.DUMMYFUNCTION("""COMPUTED_VALUE"""),61.53)</f>
        <v>61.53</v>
      </c>
      <c r="F2286" s="1">
        <f ca="1">IFERROR(__xludf.DUMMYFUNCTION("""COMPUTED_VALUE"""),45379487)</f>
        <v>45379487</v>
      </c>
    </row>
    <row r="2287" spans="1:6" x14ac:dyDescent="0.35">
      <c r="A2287" s="2">
        <f ca="1">IFERROR(__xludf.DUMMYFUNCTION("""COMPUTED_VALUE"""),45323.6666666666)</f>
        <v>45323.666666666599</v>
      </c>
      <c r="B2287" s="1">
        <f ca="1">IFERROR(__xludf.DUMMYFUNCTION("""COMPUTED_VALUE"""),62.1)</f>
        <v>62.1</v>
      </c>
      <c r="C2287" s="1">
        <f ca="1">IFERROR(__xludf.DUMMYFUNCTION("""COMPUTED_VALUE"""),63.19)</f>
        <v>63.19</v>
      </c>
      <c r="D2287" s="1">
        <f ca="1">IFERROR(__xludf.DUMMYFUNCTION("""COMPUTED_VALUE"""),61.65)</f>
        <v>61.65</v>
      </c>
      <c r="E2287" s="1">
        <f ca="1">IFERROR(__xludf.DUMMYFUNCTION("""COMPUTED_VALUE"""),63.03)</f>
        <v>63.03</v>
      </c>
      <c r="F2287" s="1">
        <f ca="1">IFERROR(__xludf.DUMMYFUNCTION("""COMPUTED_VALUE"""),36914579)</f>
        <v>36914579</v>
      </c>
    </row>
    <row r="2288" spans="1:6" x14ac:dyDescent="0.35">
      <c r="A2288" s="2">
        <f ca="1">IFERROR(__xludf.DUMMYFUNCTION("""COMPUTED_VALUE"""),45324.6666666666)</f>
        <v>45324.666666666599</v>
      </c>
      <c r="B2288" s="1">
        <f ca="1">IFERROR(__xludf.DUMMYFUNCTION("""COMPUTED_VALUE"""),63.97)</f>
        <v>63.97</v>
      </c>
      <c r="C2288" s="1">
        <f ca="1">IFERROR(__xludf.DUMMYFUNCTION("""COMPUTED_VALUE"""),66.6)</f>
        <v>66.599999999999994</v>
      </c>
      <c r="D2288" s="1">
        <f ca="1">IFERROR(__xludf.DUMMYFUNCTION("""COMPUTED_VALUE"""),63.69)</f>
        <v>63.69</v>
      </c>
      <c r="E2288" s="1">
        <f ca="1">IFERROR(__xludf.DUMMYFUNCTION("""COMPUTED_VALUE"""),66.16)</f>
        <v>66.16</v>
      </c>
      <c r="F2288" s="1">
        <f ca="1">IFERROR(__xludf.DUMMYFUNCTION("""COMPUTED_VALUE"""),47657765)</f>
        <v>47657765</v>
      </c>
    </row>
    <row r="2289" spans="1:6" x14ac:dyDescent="0.35">
      <c r="A2289" s="2">
        <f ca="1">IFERROR(__xludf.DUMMYFUNCTION("""COMPUTED_VALUE"""),45327.6666666666)</f>
        <v>45327.666666666599</v>
      </c>
      <c r="B2289" s="1">
        <f ca="1">IFERROR(__xludf.DUMMYFUNCTION("""COMPUTED_VALUE"""),68.22)</f>
        <v>68.22</v>
      </c>
      <c r="C2289" s="1">
        <f ca="1">IFERROR(__xludf.DUMMYFUNCTION("""COMPUTED_VALUE"""),69.5)</f>
        <v>69.5</v>
      </c>
      <c r="D2289" s="1">
        <f ca="1">IFERROR(__xludf.DUMMYFUNCTION("""COMPUTED_VALUE"""),67.21)</f>
        <v>67.209999999999994</v>
      </c>
      <c r="E2289" s="1">
        <f ca="1">IFERROR(__xludf.DUMMYFUNCTION("""COMPUTED_VALUE"""),69.33)</f>
        <v>69.33</v>
      </c>
      <c r="F2289" s="1">
        <f ca="1">IFERROR(__xludf.DUMMYFUNCTION("""COMPUTED_VALUE"""),68007801)</f>
        <v>68007801</v>
      </c>
    </row>
    <row r="2290" spans="1:6" x14ac:dyDescent="0.35">
      <c r="A2290" s="2">
        <f ca="1">IFERROR(__xludf.DUMMYFUNCTION("""COMPUTED_VALUE"""),45328.6666666666)</f>
        <v>45328.666666666599</v>
      </c>
      <c r="B2290" s="1">
        <f ca="1">IFERROR(__xludf.DUMMYFUNCTION("""COMPUTED_VALUE"""),69.63)</f>
        <v>69.63</v>
      </c>
      <c r="C2290" s="1">
        <f ca="1">IFERROR(__xludf.DUMMYFUNCTION("""COMPUTED_VALUE"""),69.75)</f>
        <v>69.75</v>
      </c>
      <c r="D2290" s="1">
        <f ca="1">IFERROR(__xludf.DUMMYFUNCTION("""COMPUTED_VALUE"""),66.3)</f>
        <v>66.3</v>
      </c>
      <c r="E2290" s="1">
        <f ca="1">IFERROR(__xludf.DUMMYFUNCTION("""COMPUTED_VALUE"""),68.22)</f>
        <v>68.22</v>
      </c>
      <c r="F2290" s="1">
        <f ca="1">IFERROR(__xludf.DUMMYFUNCTION("""COMPUTED_VALUE"""),68311136)</f>
        <v>68311136</v>
      </c>
    </row>
    <row r="2291" spans="1:6" x14ac:dyDescent="0.35">
      <c r="A2291" s="2">
        <f ca="1">IFERROR(__xludf.DUMMYFUNCTION("""COMPUTED_VALUE"""),45329.6666666666)</f>
        <v>45329.666666666599</v>
      </c>
      <c r="B2291" s="1">
        <f ca="1">IFERROR(__xludf.DUMMYFUNCTION("""COMPUTED_VALUE"""),68.32)</f>
        <v>68.319999999999993</v>
      </c>
      <c r="C2291" s="1">
        <f ca="1">IFERROR(__xludf.DUMMYFUNCTION("""COMPUTED_VALUE"""),70.22)</f>
        <v>70.22</v>
      </c>
      <c r="D2291" s="1">
        <f ca="1">IFERROR(__xludf.DUMMYFUNCTION("""COMPUTED_VALUE"""),67.6)</f>
        <v>67.599999999999994</v>
      </c>
      <c r="E2291" s="1">
        <f ca="1">IFERROR(__xludf.DUMMYFUNCTION("""COMPUTED_VALUE"""),70.1)</f>
        <v>70.099999999999994</v>
      </c>
      <c r="F2291" s="1">
        <f ca="1">IFERROR(__xludf.DUMMYFUNCTION("""COMPUTED_VALUE"""),49557455)</f>
        <v>49557455</v>
      </c>
    </row>
    <row r="2292" spans="1:6" x14ac:dyDescent="0.35">
      <c r="A2292" s="2">
        <f ca="1">IFERROR(__xludf.DUMMYFUNCTION("""COMPUTED_VALUE"""),45330.6666666666)</f>
        <v>45330.666666666599</v>
      </c>
      <c r="B2292" s="1">
        <f ca="1">IFERROR(__xludf.DUMMYFUNCTION("""COMPUTED_VALUE"""),70.07)</f>
        <v>70.069999999999993</v>
      </c>
      <c r="C2292" s="1">
        <f ca="1">IFERROR(__xludf.DUMMYFUNCTION("""COMPUTED_VALUE"""),70.79)</f>
        <v>70.790000000000006</v>
      </c>
      <c r="D2292" s="1">
        <f ca="1">IFERROR(__xludf.DUMMYFUNCTION("""COMPUTED_VALUE"""),69.46)</f>
        <v>69.459999999999994</v>
      </c>
      <c r="E2292" s="1">
        <f ca="1">IFERROR(__xludf.DUMMYFUNCTION("""COMPUTED_VALUE"""),69.64)</f>
        <v>69.64</v>
      </c>
      <c r="F2292" s="1">
        <f ca="1">IFERROR(__xludf.DUMMYFUNCTION("""COMPUTED_VALUE"""),41442211)</f>
        <v>41442211</v>
      </c>
    </row>
    <row r="2293" spans="1:6" x14ac:dyDescent="0.35">
      <c r="A2293" s="2">
        <f ca="1">IFERROR(__xludf.DUMMYFUNCTION("""COMPUTED_VALUE"""),45331.6666666666)</f>
        <v>45331.666666666599</v>
      </c>
      <c r="B2293" s="1">
        <f ca="1">IFERROR(__xludf.DUMMYFUNCTION("""COMPUTED_VALUE"""),70.53)</f>
        <v>70.53</v>
      </c>
      <c r="C2293" s="1">
        <f ca="1">IFERROR(__xludf.DUMMYFUNCTION("""COMPUTED_VALUE"""),72.19)</f>
        <v>72.19</v>
      </c>
      <c r="D2293" s="1">
        <f ca="1">IFERROR(__xludf.DUMMYFUNCTION("""COMPUTED_VALUE"""),70.21)</f>
        <v>70.209999999999994</v>
      </c>
      <c r="E2293" s="1">
        <f ca="1">IFERROR(__xludf.DUMMYFUNCTION("""COMPUTED_VALUE"""),72.13)</f>
        <v>72.13</v>
      </c>
      <c r="F2293" s="1">
        <f ca="1">IFERROR(__xludf.DUMMYFUNCTION("""COMPUTED_VALUE"""),43663689)</f>
        <v>43663689</v>
      </c>
    </row>
    <row r="2294" spans="1:6" x14ac:dyDescent="0.35">
      <c r="A2294" s="2">
        <f ca="1">IFERROR(__xludf.DUMMYFUNCTION("""COMPUTED_VALUE"""),45334.6666666666)</f>
        <v>45334.666666666599</v>
      </c>
      <c r="B2294" s="1">
        <f ca="1">IFERROR(__xludf.DUMMYFUNCTION("""COMPUTED_VALUE"""),72.6)</f>
        <v>72.599999999999994</v>
      </c>
      <c r="C2294" s="1">
        <f ca="1">IFERROR(__xludf.DUMMYFUNCTION("""COMPUTED_VALUE"""),74.61)</f>
        <v>74.61</v>
      </c>
      <c r="D2294" s="1">
        <f ca="1">IFERROR(__xludf.DUMMYFUNCTION("""COMPUTED_VALUE"""),71.25)</f>
        <v>71.25</v>
      </c>
      <c r="E2294" s="1">
        <f ca="1">IFERROR(__xludf.DUMMYFUNCTION("""COMPUTED_VALUE"""),72.25)</f>
        <v>72.25</v>
      </c>
      <c r="F2294" s="1">
        <f ca="1">IFERROR(__xludf.DUMMYFUNCTION("""COMPUTED_VALUE"""),61371018)</f>
        <v>61371018</v>
      </c>
    </row>
    <row r="2295" spans="1:6" x14ac:dyDescent="0.35">
      <c r="A2295" s="2">
        <f ca="1">IFERROR(__xludf.DUMMYFUNCTION("""COMPUTED_VALUE"""),45335.6666666666)</f>
        <v>45335.666666666599</v>
      </c>
      <c r="B2295" s="1">
        <f ca="1">IFERROR(__xludf.DUMMYFUNCTION("""COMPUTED_VALUE"""),70.4)</f>
        <v>70.400000000000006</v>
      </c>
      <c r="C2295" s="1">
        <f ca="1">IFERROR(__xludf.DUMMYFUNCTION("""COMPUTED_VALUE"""),73.45)</f>
        <v>73.45</v>
      </c>
      <c r="D2295" s="1">
        <f ca="1">IFERROR(__xludf.DUMMYFUNCTION("""COMPUTED_VALUE"""),69.62)</f>
        <v>69.62</v>
      </c>
      <c r="E2295" s="1">
        <f ca="1">IFERROR(__xludf.DUMMYFUNCTION("""COMPUTED_VALUE"""),72.13)</f>
        <v>72.13</v>
      </c>
      <c r="F2295" s="1">
        <f ca="1">IFERROR(__xludf.DUMMYFUNCTION("""COMPUTED_VALUE"""),60258015)</f>
        <v>60258015</v>
      </c>
    </row>
    <row r="2296" spans="1:6" x14ac:dyDescent="0.35">
      <c r="A2296" s="2">
        <f ca="1">IFERROR(__xludf.DUMMYFUNCTION("""COMPUTED_VALUE"""),45336.6666666666)</f>
        <v>45336.666666666599</v>
      </c>
      <c r="B2296" s="1">
        <f ca="1">IFERROR(__xludf.DUMMYFUNCTION("""COMPUTED_VALUE"""),73.2)</f>
        <v>73.2</v>
      </c>
      <c r="C2296" s="1">
        <f ca="1">IFERROR(__xludf.DUMMYFUNCTION("""COMPUTED_VALUE"""),74.24)</f>
        <v>74.239999999999995</v>
      </c>
      <c r="D2296" s="1">
        <f ca="1">IFERROR(__xludf.DUMMYFUNCTION("""COMPUTED_VALUE"""),71.94)</f>
        <v>71.94</v>
      </c>
      <c r="E2296" s="1">
        <f ca="1">IFERROR(__xludf.DUMMYFUNCTION("""COMPUTED_VALUE"""),73.9)</f>
        <v>73.900000000000006</v>
      </c>
      <c r="F2296" s="1">
        <f ca="1">IFERROR(__xludf.DUMMYFUNCTION("""COMPUTED_VALUE"""),50491742)</f>
        <v>50491742</v>
      </c>
    </row>
    <row r="2297" spans="1:6" x14ac:dyDescent="0.35">
      <c r="A2297" s="2">
        <f ca="1">IFERROR(__xludf.DUMMYFUNCTION("""COMPUTED_VALUE"""),45337.6666666666)</f>
        <v>45337.666666666599</v>
      </c>
      <c r="B2297" s="1">
        <f ca="1">IFERROR(__xludf.DUMMYFUNCTION("""COMPUTED_VALUE"""),73.87)</f>
        <v>73.87</v>
      </c>
      <c r="C2297" s="1">
        <f ca="1">IFERROR(__xludf.DUMMYFUNCTION("""COMPUTED_VALUE"""),73.97)</f>
        <v>73.97</v>
      </c>
      <c r="D2297" s="1">
        <f ca="1">IFERROR(__xludf.DUMMYFUNCTION("""COMPUTED_VALUE"""),72.4)</f>
        <v>72.400000000000006</v>
      </c>
      <c r="E2297" s="1">
        <f ca="1">IFERROR(__xludf.DUMMYFUNCTION("""COMPUTED_VALUE"""),72.66)</f>
        <v>72.66</v>
      </c>
      <c r="F2297" s="1">
        <f ca="1">IFERROR(__xludf.DUMMYFUNCTION("""COMPUTED_VALUE"""),42012181)</f>
        <v>42012181</v>
      </c>
    </row>
    <row r="2298" spans="1:6" x14ac:dyDescent="0.35">
      <c r="A2298" s="2">
        <f ca="1">IFERROR(__xludf.DUMMYFUNCTION("""COMPUTED_VALUE"""),45338.6666666666)</f>
        <v>45338.666666666599</v>
      </c>
      <c r="B2298" s="1">
        <f ca="1">IFERROR(__xludf.DUMMYFUNCTION("""COMPUTED_VALUE"""),74.1)</f>
        <v>74.099999999999994</v>
      </c>
      <c r="C2298" s="1">
        <f ca="1">IFERROR(__xludf.DUMMYFUNCTION("""COMPUTED_VALUE"""),74.4)</f>
        <v>74.400000000000006</v>
      </c>
      <c r="D2298" s="1">
        <f ca="1">IFERROR(__xludf.DUMMYFUNCTION("""COMPUTED_VALUE"""),72.5)</f>
        <v>72.5</v>
      </c>
      <c r="E2298" s="1">
        <f ca="1">IFERROR(__xludf.DUMMYFUNCTION("""COMPUTED_VALUE"""),72.61)</f>
        <v>72.61</v>
      </c>
      <c r="F2298" s="1">
        <f ca="1">IFERROR(__xludf.DUMMYFUNCTION("""COMPUTED_VALUE"""),49532662)</f>
        <v>49532662</v>
      </c>
    </row>
    <row r="2299" spans="1:6" x14ac:dyDescent="0.35">
      <c r="A2299" s="2">
        <f ca="1">IFERROR(__xludf.DUMMYFUNCTION("""COMPUTED_VALUE"""),45342.6666666666)</f>
        <v>45342.666666666599</v>
      </c>
      <c r="B2299" s="1">
        <f ca="1">IFERROR(__xludf.DUMMYFUNCTION("""COMPUTED_VALUE"""),71.95)</f>
        <v>71.95</v>
      </c>
      <c r="C2299" s="1">
        <f ca="1">IFERROR(__xludf.DUMMYFUNCTION("""COMPUTED_VALUE"""),71.96)</f>
        <v>71.959999999999994</v>
      </c>
      <c r="D2299" s="1">
        <f ca="1">IFERROR(__xludf.DUMMYFUNCTION("""COMPUTED_VALUE"""),67.73)</f>
        <v>67.73</v>
      </c>
      <c r="E2299" s="1">
        <f ca="1">IFERROR(__xludf.DUMMYFUNCTION("""COMPUTED_VALUE"""),69.45)</f>
        <v>69.45</v>
      </c>
      <c r="F2299" s="1">
        <f ca="1">IFERROR(__xludf.DUMMYFUNCTION("""COMPUTED_VALUE"""),70483310)</f>
        <v>70483310</v>
      </c>
    </row>
    <row r="2300" spans="1:6" x14ac:dyDescent="0.35">
      <c r="A2300" s="2">
        <f ca="1">IFERROR(__xludf.DUMMYFUNCTION("""COMPUTED_VALUE"""),45343.6666666666)</f>
        <v>45343.666666666599</v>
      </c>
      <c r="B2300" s="1">
        <f ca="1">IFERROR(__xludf.DUMMYFUNCTION("""COMPUTED_VALUE"""),68.01)</f>
        <v>68.010000000000005</v>
      </c>
      <c r="C2300" s="1">
        <f ca="1">IFERROR(__xludf.DUMMYFUNCTION("""COMPUTED_VALUE"""),68.89)</f>
        <v>68.89</v>
      </c>
      <c r="D2300" s="1">
        <f ca="1">IFERROR(__xludf.DUMMYFUNCTION("""COMPUTED_VALUE"""),66.25)</f>
        <v>66.25</v>
      </c>
      <c r="E2300" s="1">
        <f ca="1">IFERROR(__xludf.DUMMYFUNCTION("""COMPUTED_VALUE"""),67.47)</f>
        <v>67.47</v>
      </c>
      <c r="F2300" s="1">
        <f ca="1">IFERROR(__xludf.DUMMYFUNCTION("""COMPUTED_VALUE"""),69029813)</f>
        <v>69029813</v>
      </c>
    </row>
    <row r="2301" spans="1:6" x14ac:dyDescent="0.35">
      <c r="A2301" s="2">
        <f ca="1">IFERROR(__xludf.DUMMYFUNCTION("""COMPUTED_VALUE"""),45344.6666666666)</f>
        <v>45344.666666666599</v>
      </c>
      <c r="B2301" s="1">
        <f ca="1">IFERROR(__xludf.DUMMYFUNCTION("""COMPUTED_VALUE"""),75.03)</f>
        <v>75.03</v>
      </c>
      <c r="C2301" s="1">
        <f ca="1">IFERROR(__xludf.DUMMYFUNCTION("""COMPUTED_VALUE"""),78.58)</f>
        <v>78.58</v>
      </c>
      <c r="D2301" s="1">
        <f ca="1">IFERROR(__xludf.DUMMYFUNCTION("""COMPUTED_VALUE"""),74.22)</f>
        <v>74.22</v>
      </c>
      <c r="E2301" s="1">
        <f ca="1">IFERROR(__xludf.DUMMYFUNCTION("""COMPUTED_VALUE"""),78.54)</f>
        <v>78.540000000000006</v>
      </c>
      <c r="F2301" s="1">
        <f ca="1">IFERROR(__xludf.DUMMYFUNCTION("""COMPUTED_VALUE"""),86509974)</f>
        <v>86509974</v>
      </c>
    </row>
    <row r="2302" spans="1:6" x14ac:dyDescent="0.35">
      <c r="A2302" s="2">
        <f ca="1">IFERROR(__xludf.DUMMYFUNCTION("""COMPUTED_VALUE"""),45345.6666666666)</f>
        <v>45345.666666666599</v>
      </c>
      <c r="B2302" s="1">
        <f ca="1">IFERROR(__xludf.DUMMYFUNCTION("""COMPUTED_VALUE"""),80.79)</f>
        <v>80.790000000000006</v>
      </c>
      <c r="C2302" s="1">
        <f ca="1">IFERROR(__xludf.DUMMYFUNCTION("""COMPUTED_VALUE"""),82.39)</f>
        <v>82.39</v>
      </c>
      <c r="D2302" s="1">
        <f ca="1">IFERROR(__xludf.DUMMYFUNCTION("""COMPUTED_VALUE"""),77.57)</f>
        <v>77.569999999999993</v>
      </c>
      <c r="E2302" s="1">
        <f ca="1">IFERROR(__xludf.DUMMYFUNCTION("""COMPUTED_VALUE"""),78.82)</f>
        <v>78.819999999999993</v>
      </c>
      <c r="F2302" s="1">
        <f ca="1">IFERROR(__xludf.DUMMYFUNCTION("""COMPUTED_VALUE"""),82938837)</f>
        <v>82938837</v>
      </c>
    </row>
    <row r="2303" spans="1:6" x14ac:dyDescent="0.35">
      <c r="A2303" s="2">
        <f ca="1">IFERROR(__xludf.DUMMYFUNCTION("""COMPUTED_VALUE"""),45348.6666666666)</f>
        <v>45348.666666666599</v>
      </c>
      <c r="B2303" s="1">
        <f ca="1">IFERROR(__xludf.DUMMYFUNCTION("""COMPUTED_VALUE"""),79.7)</f>
        <v>79.7</v>
      </c>
      <c r="C2303" s="1">
        <f ca="1">IFERROR(__xludf.DUMMYFUNCTION("""COMPUTED_VALUE"""),80.65)</f>
        <v>80.650000000000006</v>
      </c>
      <c r="D2303" s="1">
        <f ca="1">IFERROR(__xludf.DUMMYFUNCTION("""COMPUTED_VALUE"""),78.51)</f>
        <v>78.510000000000005</v>
      </c>
      <c r="E2303" s="1">
        <f ca="1">IFERROR(__xludf.DUMMYFUNCTION("""COMPUTED_VALUE"""),79.09)</f>
        <v>79.09</v>
      </c>
      <c r="F2303" s="1">
        <f ca="1">IFERROR(__xludf.DUMMYFUNCTION("""COMPUTED_VALUE"""),50397273)</f>
        <v>50397273</v>
      </c>
    </row>
    <row r="2304" spans="1:6" x14ac:dyDescent="0.35">
      <c r="A2304" s="2">
        <f ca="1">IFERROR(__xludf.DUMMYFUNCTION("""COMPUTED_VALUE"""),45349.6666666666)</f>
        <v>45349.666666666599</v>
      </c>
      <c r="B2304" s="1">
        <f ca="1">IFERROR(__xludf.DUMMYFUNCTION("""COMPUTED_VALUE"""),79.38)</f>
        <v>79.38</v>
      </c>
      <c r="C2304" s="1">
        <f ca="1">IFERROR(__xludf.DUMMYFUNCTION("""COMPUTED_VALUE"""),79.48)</f>
        <v>79.48</v>
      </c>
      <c r="D2304" s="1">
        <f ca="1">IFERROR(__xludf.DUMMYFUNCTION("""COMPUTED_VALUE"""),77.16)</f>
        <v>77.16</v>
      </c>
      <c r="E2304" s="1">
        <f ca="1">IFERROR(__xludf.DUMMYFUNCTION("""COMPUTED_VALUE"""),78.7)</f>
        <v>78.7</v>
      </c>
      <c r="F2304" s="1">
        <f ca="1">IFERROR(__xludf.DUMMYFUNCTION("""COMPUTED_VALUE"""),39170524)</f>
        <v>39170524</v>
      </c>
    </row>
    <row r="2305" spans="1:6" x14ac:dyDescent="0.35">
      <c r="A2305" s="2">
        <f ca="1">IFERROR(__xludf.DUMMYFUNCTION("""COMPUTED_VALUE"""),45350.6666666666)</f>
        <v>45350.666666666599</v>
      </c>
      <c r="B2305" s="1">
        <f ca="1">IFERROR(__xludf.DUMMYFUNCTION("""COMPUTED_VALUE"""),77.62)</f>
        <v>77.62</v>
      </c>
      <c r="C2305" s="1">
        <f ca="1">IFERROR(__xludf.DUMMYFUNCTION("""COMPUTED_VALUE"""),78.93)</f>
        <v>78.930000000000007</v>
      </c>
      <c r="D2305" s="1">
        <f ca="1">IFERROR(__xludf.DUMMYFUNCTION("""COMPUTED_VALUE"""),77.13)</f>
        <v>77.13</v>
      </c>
      <c r="E2305" s="1">
        <f ca="1">IFERROR(__xludf.DUMMYFUNCTION("""COMPUTED_VALUE"""),77.66)</f>
        <v>77.66</v>
      </c>
      <c r="F2305" s="1">
        <f ca="1">IFERROR(__xludf.DUMMYFUNCTION("""COMPUTED_VALUE"""),39311040)</f>
        <v>39311040</v>
      </c>
    </row>
    <row r="2306" spans="1:6" x14ac:dyDescent="0.35">
      <c r="A2306" s="2">
        <f ca="1">IFERROR(__xludf.DUMMYFUNCTION("""COMPUTED_VALUE"""),45351.6666666666)</f>
        <v>45351.666666666599</v>
      </c>
      <c r="B2306" s="1">
        <f ca="1">IFERROR(__xludf.DUMMYFUNCTION("""COMPUTED_VALUE"""),79.09)</f>
        <v>79.09</v>
      </c>
      <c r="C2306" s="1">
        <f ca="1">IFERROR(__xludf.DUMMYFUNCTION("""COMPUTED_VALUE"""),79.99)</f>
        <v>79.989999999999995</v>
      </c>
      <c r="D2306" s="1">
        <f ca="1">IFERROR(__xludf.DUMMYFUNCTION("""COMPUTED_VALUE"""),78.35)</f>
        <v>78.349999999999994</v>
      </c>
      <c r="E2306" s="1">
        <f ca="1">IFERROR(__xludf.DUMMYFUNCTION("""COMPUTED_VALUE"""),79.11)</f>
        <v>79.11</v>
      </c>
      <c r="F2306" s="1">
        <f ca="1">IFERROR(__xludf.DUMMYFUNCTION("""COMPUTED_VALUE"""),50728898)</f>
        <v>50728898</v>
      </c>
    </row>
    <row r="2307" spans="1:6" x14ac:dyDescent="0.35">
      <c r="A2307" s="2">
        <f ca="1">IFERROR(__xludf.DUMMYFUNCTION("""COMPUTED_VALUE"""),45352.6666666666)</f>
        <v>45352.666666666599</v>
      </c>
      <c r="B2307" s="1">
        <f ca="1">IFERROR(__xludf.DUMMYFUNCTION("""COMPUTED_VALUE"""),80)</f>
        <v>80</v>
      </c>
      <c r="C2307" s="1">
        <f ca="1">IFERROR(__xludf.DUMMYFUNCTION("""COMPUTED_VALUE"""),82.3)</f>
        <v>82.3</v>
      </c>
      <c r="D2307" s="1">
        <f ca="1">IFERROR(__xludf.DUMMYFUNCTION("""COMPUTED_VALUE"""),79.44)</f>
        <v>79.44</v>
      </c>
      <c r="E2307" s="1">
        <f ca="1">IFERROR(__xludf.DUMMYFUNCTION("""COMPUTED_VALUE"""),82.28)</f>
        <v>82.28</v>
      </c>
      <c r="F2307" s="1">
        <f ca="1">IFERROR(__xludf.DUMMYFUNCTION("""COMPUTED_VALUE"""),47913510)</f>
        <v>47913510</v>
      </c>
    </row>
    <row r="2308" spans="1:6" x14ac:dyDescent="0.35">
      <c r="A2308" s="2">
        <f ca="1">IFERROR(__xludf.DUMMYFUNCTION("""COMPUTED_VALUE"""),45355.6666666666)</f>
        <v>45355.666666666599</v>
      </c>
      <c r="B2308" s="1">
        <f ca="1">IFERROR(__xludf.DUMMYFUNCTION("""COMPUTED_VALUE"""),84.13)</f>
        <v>84.13</v>
      </c>
      <c r="C2308" s="1">
        <f ca="1">IFERROR(__xludf.DUMMYFUNCTION("""COMPUTED_VALUE"""),87.7)</f>
        <v>87.7</v>
      </c>
      <c r="D2308" s="1">
        <f ca="1">IFERROR(__xludf.DUMMYFUNCTION("""COMPUTED_VALUE"""),83.72)</f>
        <v>83.72</v>
      </c>
      <c r="E2308" s="1">
        <f ca="1">IFERROR(__xludf.DUMMYFUNCTION("""COMPUTED_VALUE"""),85.24)</f>
        <v>85.24</v>
      </c>
      <c r="F2308" s="1">
        <f ca="1">IFERROR(__xludf.DUMMYFUNCTION("""COMPUTED_VALUE"""),61561645)</f>
        <v>61561645</v>
      </c>
    </row>
    <row r="2309" spans="1:6" x14ac:dyDescent="0.35">
      <c r="A2309" s="2">
        <f ca="1">IFERROR(__xludf.DUMMYFUNCTION("""COMPUTED_VALUE"""),45356.6666666666)</f>
        <v>45356.666666666599</v>
      </c>
      <c r="B2309" s="1">
        <f ca="1">IFERROR(__xludf.DUMMYFUNCTION("""COMPUTED_VALUE"""),85.27)</f>
        <v>85.27</v>
      </c>
      <c r="C2309" s="1">
        <f ca="1">IFERROR(__xludf.DUMMYFUNCTION("""COMPUTED_VALUE"""),86.1)</f>
        <v>86.1</v>
      </c>
      <c r="D2309" s="1">
        <f ca="1">IFERROR(__xludf.DUMMYFUNCTION("""COMPUTED_VALUE"""),83.42)</f>
        <v>83.42</v>
      </c>
      <c r="E2309" s="1">
        <f ca="1">IFERROR(__xludf.DUMMYFUNCTION("""COMPUTED_VALUE"""),85.96)</f>
        <v>85.96</v>
      </c>
      <c r="F2309" s="1">
        <f ca="1">IFERROR(__xludf.DUMMYFUNCTION("""COMPUTED_VALUE"""),52063930)</f>
        <v>52063930</v>
      </c>
    </row>
    <row r="2310" spans="1:6" x14ac:dyDescent="0.35">
      <c r="A2310" s="2">
        <f ca="1">IFERROR(__xludf.DUMMYFUNCTION("""COMPUTED_VALUE"""),45357.6666666666)</f>
        <v>45357.666666666599</v>
      </c>
      <c r="B2310" s="1">
        <f ca="1">IFERROR(__xludf.DUMMYFUNCTION("""COMPUTED_VALUE"""),88.02)</f>
        <v>88.02</v>
      </c>
      <c r="C2310" s="1">
        <f ca="1">IFERROR(__xludf.DUMMYFUNCTION("""COMPUTED_VALUE"""),89.72)</f>
        <v>89.72</v>
      </c>
      <c r="D2310" s="1">
        <f ca="1">IFERROR(__xludf.DUMMYFUNCTION("""COMPUTED_VALUE"""),87.03)</f>
        <v>87.03</v>
      </c>
      <c r="E2310" s="1">
        <f ca="1">IFERROR(__xludf.DUMMYFUNCTION("""COMPUTED_VALUE"""),88.7)</f>
        <v>88.7</v>
      </c>
      <c r="F2310" s="1">
        <f ca="1">IFERROR(__xludf.DUMMYFUNCTION("""COMPUTED_VALUE"""),58252030)</f>
        <v>58252030</v>
      </c>
    </row>
    <row r="2311" spans="1:6" x14ac:dyDescent="0.35">
      <c r="A2311" s="2">
        <f ca="1">IFERROR(__xludf.DUMMYFUNCTION("""COMPUTED_VALUE"""),45358.6666666666)</f>
        <v>45358.666666666599</v>
      </c>
      <c r="B2311" s="1">
        <f ca="1">IFERROR(__xludf.DUMMYFUNCTION("""COMPUTED_VALUE"""),90.16)</f>
        <v>90.16</v>
      </c>
      <c r="C2311" s="1">
        <f ca="1">IFERROR(__xludf.DUMMYFUNCTION("""COMPUTED_VALUE"""),92.77)</f>
        <v>92.77</v>
      </c>
      <c r="D2311" s="1">
        <f ca="1">IFERROR(__xludf.DUMMYFUNCTION("""COMPUTED_VALUE"""),89.6)</f>
        <v>89.6</v>
      </c>
      <c r="E2311" s="1">
        <f ca="1">IFERROR(__xludf.DUMMYFUNCTION("""COMPUTED_VALUE"""),92.67)</f>
        <v>92.67</v>
      </c>
      <c r="F2311" s="1">
        <f ca="1">IFERROR(__xludf.DUMMYFUNCTION("""COMPUTED_VALUE"""),60811916)</f>
        <v>60811916</v>
      </c>
    </row>
    <row r="2312" spans="1:6" x14ac:dyDescent="0.35">
      <c r="A2312" s="2">
        <f ca="1">IFERROR(__xludf.DUMMYFUNCTION("""COMPUTED_VALUE"""),45359.6666666666)</f>
        <v>45359.666666666599</v>
      </c>
      <c r="B2312" s="1">
        <f ca="1">IFERROR(__xludf.DUMMYFUNCTION("""COMPUTED_VALUE"""),95.14)</f>
        <v>95.14</v>
      </c>
      <c r="C2312" s="1">
        <f ca="1">IFERROR(__xludf.DUMMYFUNCTION("""COMPUTED_VALUE"""),97.4)</f>
        <v>97.4</v>
      </c>
      <c r="D2312" s="1">
        <f ca="1">IFERROR(__xludf.DUMMYFUNCTION("""COMPUTED_VALUE"""),86.51)</f>
        <v>86.51</v>
      </c>
      <c r="E2312" s="1">
        <f ca="1">IFERROR(__xludf.DUMMYFUNCTION("""COMPUTED_VALUE"""),87.53)</f>
        <v>87.53</v>
      </c>
      <c r="F2312" s="1">
        <f ca="1">IFERROR(__xludf.DUMMYFUNCTION("""COMPUTED_VALUE"""),114226906)</f>
        <v>114226906</v>
      </c>
    </row>
    <row r="2313" spans="1:6" x14ac:dyDescent="0.35">
      <c r="A2313" s="2">
        <f ca="1">IFERROR(__xludf.DUMMYFUNCTION("""COMPUTED_VALUE"""),45362.6666666666)</f>
        <v>45362.666666666599</v>
      </c>
      <c r="B2313" s="1">
        <f ca="1">IFERROR(__xludf.DUMMYFUNCTION("""COMPUTED_VALUE"""),86.43)</f>
        <v>86.43</v>
      </c>
      <c r="C2313" s="1">
        <f ca="1">IFERROR(__xludf.DUMMYFUNCTION("""COMPUTED_VALUE"""),88.8)</f>
        <v>88.8</v>
      </c>
      <c r="D2313" s="1">
        <f ca="1">IFERROR(__xludf.DUMMYFUNCTION("""COMPUTED_VALUE"""),84.17)</f>
        <v>84.17</v>
      </c>
      <c r="E2313" s="1">
        <f ca="1">IFERROR(__xludf.DUMMYFUNCTION("""COMPUTED_VALUE"""),85.77)</f>
        <v>85.77</v>
      </c>
      <c r="F2313" s="1">
        <f ca="1">IFERROR(__xludf.DUMMYFUNCTION("""COMPUTED_VALUE"""),67836412)</f>
        <v>67836412</v>
      </c>
    </row>
    <row r="2314" spans="1:6" x14ac:dyDescent="0.35">
      <c r="A2314" s="2">
        <f ca="1">IFERROR(__xludf.DUMMYFUNCTION("""COMPUTED_VALUE"""),45363.6666666666)</f>
        <v>45363.666666666599</v>
      </c>
      <c r="B2314" s="1">
        <f ca="1">IFERROR(__xludf.DUMMYFUNCTION("""COMPUTED_VALUE"""),88.05)</f>
        <v>88.05</v>
      </c>
      <c r="C2314" s="1">
        <f ca="1">IFERROR(__xludf.DUMMYFUNCTION("""COMPUTED_VALUE"""),91.96)</f>
        <v>91.96</v>
      </c>
      <c r="D2314" s="1">
        <f ca="1">IFERROR(__xludf.DUMMYFUNCTION("""COMPUTED_VALUE"""),86.15)</f>
        <v>86.15</v>
      </c>
      <c r="E2314" s="1">
        <f ca="1">IFERROR(__xludf.DUMMYFUNCTION("""COMPUTED_VALUE"""),91.91)</f>
        <v>91.91</v>
      </c>
      <c r="F2314" s="1">
        <f ca="1">IFERROR(__xludf.DUMMYFUNCTION("""COMPUTED_VALUE"""),66807515)</f>
        <v>66807515</v>
      </c>
    </row>
    <row r="2315" spans="1:6" x14ac:dyDescent="0.35">
      <c r="A2315" s="2">
        <f ca="1">IFERROR(__xludf.DUMMYFUNCTION("""COMPUTED_VALUE"""),45364.6666666666)</f>
        <v>45364.666666666599</v>
      </c>
      <c r="B2315" s="1">
        <f ca="1">IFERROR(__xludf.DUMMYFUNCTION("""COMPUTED_VALUE"""),91.06)</f>
        <v>91.06</v>
      </c>
      <c r="C2315" s="1">
        <f ca="1">IFERROR(__xludf.DUMMYFUNCTION("""COMPUTED_VALUE"""),91.5)</f>
        <v>91.5</v>
      </c>
      <c r="D2315" s="1">
        <f ca="1">IFERROR(__xludf.DUMMYFUNCTION("""COMPUTED_VALUE"""),88.44)</f>
        <v>88.44</v>
      </c>
      <c r="E2315" s="1">
        <f ca="1">IFERROR(__xludf.DUMMYFUNCTION("""COMPUTED_VALUE"""),90.89)</f>
        <v>90.89</v>
      </c>
      <c r="F2315" s="1">
        <f ca="1">IFERROR(__xludf.DUMMYFUNCTION("""COMPUTED_VALUE"""),63571289)</f>
        <v>63571289</v>
      </c>
    </row>
    <row r="2316" spans="1:6" x14ac:dyDescent="0.35">
      <c r="A2316" s="2">
        <f ca="1">IFERROR(__xludf.DUMMYFUNCTION("""COMPUTED_VALUE"""),45365.6666666666)</f>
        <v>45365.666666666599</v>
      </c>
      <c r="B2316" s="1">
        <f ca="1">IFERROR(__xludf.DUMMYFUNCTION("""COMPUTED_VALUE"""),89.58)</f>
        <v>89.58</v>
      </c>
      <c r="C2316" s="1">
        <f ca="1">IFERROR(__xludf.DUMMYFUNCTION("""COMPUTED_VALUE"""),90.65)</f>
        <v>90.65</v>
      </c>
      <c r="D2316" s="1">
        <f ca="1">IFERROR(__xludf.DUMMYFUNCTION("""COMPUTED_VALUE"""),86.6)</f>
        <v>86.6</v>
      </c>
      <c r="E2316" s="1">
        <f ca="1">IFERROR(__xludf.DUMMYFUNCTION("""COMPUTED_VALUE"""),87.94)</f>
        <v>87.94</v>
      </c>
      <c r="F2316" s="1">
        <f ca="1">IFERROR(__xludf.DUMMYFUNCTION("""COMPUTED_VALUE"""),60231816)</f>
        <v>60231816</v>
      </c>
    </row>
    <row r="2317" spans="1:6" x14ac:dyDescent="0.35">
      <c r="A2317" s="2">
        <f ca="1">IFERROR(__xludf.DUMMYFUNCTION("""COMPUTED_VALUE"""),45366.6666666666)</f>
        <v>45366.666666666599</v>
      </c>
      <c r="B2317" s="1">
        <f ca="1">IFERROR(__xludf.DUMMYFUNCTION("""COMPUTED_VALUE"""),86.93)</f>
        <v>86.93</v>
      </c>
      <c r="C2317" s="1">
        <f ca="1">IFERROR(__xludf.DUMMYFUNCTION("""COMPUTED_VALUE"""),89.55)</f>
        <v>89.55</v>
      </c>
      <c r="D2317" s="1">
        <f ca="1">IFERROR(__xludf.DUMMYFUNCTION("""COMPUTED_VALUE"""),86.26)</f>
        <v>86.26</v>
      </c>
      <c r="E2317" s="1">
        <f ca="1">IFERROR(__xludf.DUMMYFUNCTION("""COMPUTED_VALUE"""),87.84)</f>
        <v>87.84</v>
      </c>
      <c r="F2317" s="1">
        <f ca="1">IFERROR(__xludf.DUMMYFUNCTION("""COMPUTED_VALUE"""),64208616)</f>
        <v>64208616</v>
      </c>
    </row>
    <row r="2318" spans="1:6" x14ac:dyDescent="0.35">
      <c r="A2318" s="2">
        <f ca="1">IFERROR(__xludf.DUMMYFUNCTION("""COMPUTED_VALUE"""),45369.6666666666)</f>
        <v>45369.666666666599</v>
      </c>
      <c r="B2318" s="1">
        <f ca="1">IFERROR(__xludf.DUMMYFUNCTION("""COMPUTED_VALUE"""),90.39)</f>
        <v>90.39</v>
      </c>
      <c r="C2318" s="1">
        <f ca="1">IFERROR(__xludf.DUMMYFUNCTION("""COMPUTED_VALUE"""),92.41)</f>
        <v>92.41</v>
      </c>
      <c r="D2318" s="1">
        <f ca="1">IFERROR(__xludf.DUMMYFUNCTION("""COMPUTED_VALUE"""),87.09)</f>
        <v>87.09</v>
      </c>
      <c r="E2318" s="1">
        <f ca="1">IFERROR(__xludf.DUMMYFUNCTION("""COMPUTED_VALUE"""),88.46)</f>
        <v>88.46</v>
      </c>
      <c r="F2318" s="1">
        <f ca="1">IFERROR(__xludf.DUMMYFUNCTION("""COMPUTED_VALUE"""),66897593)</f>
        <v>66897593</v>
      </c>
    </row>
    <row r="2319" spans="1:6" x14ac:dyDescent="0.35">
      <c r="A2319" s="2">
        <f ca="1">IFERROR(__xludf.DUMMYFUNCTION("""COMPUTED_VALUE"""),45370.6666666666)</f>
        <v>45370.666666666599</v>
      </c>
      <c r="B2319" s="1">
        <f ca="1">IFERROR(__xludf.DUMMYFUNCTION("""COMPUTED_VALUE"""),86.7)</f>
        <v>86.7</v>
      </c>
      <c r="C2319" s="1">
        <f ca="1">IFERROR(__xludf.DUMMYFUNCTION("""COMPUTED_VALUE"""),90.54)</f>
        <v>90.54</v>
      </c>
      <c r="D2319" s="1">
        <f ca="1">IFERROR(__xludf.DUMMYFUNCTION("""COMPUTED_VALUE"""),85.01)</f>
        <v>85.01</v>
      </c>
      <c r="E2319" s="1">
        <f ca="1">IFERROR(__xludf.DUMMYFUNCTION("""COMPUTED_VALUE"""),89.4)</f>
        <v>89.4</v>
      </c>
      <c r="F2319" s="1">
        <f ca="1">IFERROR(__xludf.DUMMYFUNCTION("""COMPUTED_VALUE"""),67217127)</f>
        <v>67217127</v>
      </c>
    </row>
    <row r="2320" spans="1:6" x14ac:dyDescent="0.35">
      <c r="A2320" s="2">
        <f ca="1">IFERROR(__xludf.DUMMYFUNCTION("""COMPUTED_VALUE"""),45371.6666666666)</f>
        <v>45371.666666666599</v>
      </c>
      <c r="B2320" s="1">
        <f ca="1">IFERROR(__xludf.DUMMYFUNCTION("""COMPUTED_VALUE"""),89.8)</f>
        <v>89.8</v>
      </c>
      <c r="C2320" s="1">
        <f ca="1">IFERROR(__xludf.DUMMYFUNCTION("""COMPUTED_VALUE"""),90.41)</f>
        <v>90.41</v>
      </c>
      <c r="D2320" s="1">
        <f ca="1">IFERROR(__xludf.DUMMYFUNCTION("""COMPUTED_VALUE"""),88.22)</f>
        <v>88.22</v>
      </c>
      <c r="E2320" s="1">
        <f ca="1">IFERROR(__xludf.DUMMYFUNCTION("""COMPUTED_VALUE"""),90.37)</f>
        <v>90.37</v>
      </c>
      <c r="F2320" s="1">
        <f ca="1">IFERROR(__xludf.DUMMYFUNCTION("""COMPUTED_VALUE"""),47906279)</f>
        <v>47906279</v>
      </c>
    </row>
    <row r="2321" spans="1:6" x14ac:dyDescent="0.35">
      <c r="A2321" s="2">
        <f ca="1">IFERROR(__xludf.DUMMYFUNCTION("""COMPUTED_VALUE"""),45372.6666666666)</f>
        <v>45372.666666666599</v>
      </c>
      <c r="B2321" s="1">
        <f ca="1">IFERROR(__xludf.DUMMYFUNCTION("""COMPUTED_VALUE"""),92.3)</f>
        <v>92.3</v>
      </c>
      <c r="C2321" s="1">
        <f ca="1">IFERROR(__xludf.DUMMYFUNCTION("""COMPUTED_VALUE"""),92.65)</f>
        <v>92.65</v>
      </c>
      <c r="D2321" s="1">
        <f ca="1">IFERROR(__xludf.DUMMYFUNCTION("""COMPUTED_VALUE"""),90.41)</f>
        <v>90.41</v>
      </c>
      <c r="E2321" s="1">
        <f ca="1">IFERROR(__xludf.DUMMYFUNCTION("""COMPUTED_VALUE"""),91.44)</f>
        <v>91.44</v>
      </c>
      <c r="F2321" s="1">
        <f ca="1">IFERROR(__xludf.DUMMYFUNCTION("""COMPUTED_VALUE"""),48037231)</f>
        <v>48037231</v>
      </c>
    </row>
    <row r="2322" spans="1:6" x14ac:dyDescent="0.35">
      <c r="A2322" s="2">
        <f ca="1">IFERROR(__xludf.DUMMYFUNCTION("""COMPUTED_VALUE"""),45373.6666666666)</f>
        <v>45373.666666666599</v>
      </c>
      <c r="B2322" s="1">
        <f ca="1">IFERROR(__xludf.DUMMYFUNCTION("""COMPUTED_VALUE"""),91.14)</f>
        <v>91.14</v>
      </c>
      <c r="C2322" s="1">
        <f ca="1">IFERROR(__xludf.DUMMYFUNCTION("""COMPUTED_VALUE"""),94.78)</f>
        <v>94.78</v>
      </c>
      <c r="D2322" s="1">
        <f ca="1">IFERROR(__xludf.DUMMYFUNCTION("""COMPUTED_VALUE"""),90.83)</f>
        <v>90.83</v>
      </c>
      <c r="E2322" s="1">
        <f ca="1">IFERROR(__xludf.DUMMYFUNCTION("""COMPUTED_VALUE"""),94.29)</f>
        <v>94.29</v>
      </c>
      <c r="F2322" s="1">
        <f ca="1">IFERROR(__xludf.DUMMYFUNCTION("""COMPUTED_VALUE"""),58671936)</f>
        <v>58671936</v>
      </c>
    </row>
    <row r="2323" spans="1:6" x14ac:dyDescent="0.35">
      <c r="A2323" s="2">
        <f ca="1">IFERROR(__xludf.DUMMYFUNCTION("""COMPUTED_VALUE"""),45376.6666666666)</f>
        <v>45376.666666666599</v>
      </c>
      <c r="B2323" s="1">
        <f ca="1">IFERROR(__xludf.DUMMYFUNCTION("""COMPUTED_VALUE"""),93.94)</f>
        <v>93.94</v>
      </c>
      <c r="C2323" s="1">
        <f ca="1">IFERROR(__xludf.DUMMYFUNCTION("""COMPUTED_VALUE"""),96.77)</f>
        <v>96.77</v>
      </c>
      <c r="D2323" s="1">
        <f ca="1">IFERROR(__xludf.DUMMYFUNCTION("""COMPUTED_VALUE"""),93.51)</f>
        <v>93.51</v>
      </c>
      <c r="E2323" s="1">
        <f ca="1">IFERROR(__xludf.DUMMYFUNCTION("""COMPUTED_VALUE"""),95)</f>
        <v>95</v>
      </c>
      <c r="F2323" s="1">
        <f ca="1">IFERROR(__xludf.DUMMYFUNCTION("""COMPUTED_VALUE"""),55213608)</f>
        <v>55213608</v>
      </c>
    </row>
    <row r="2324" spans="1:6" x14ac:dyDescent="0.35">
      <c r="A2324" s="2">
        <f ca="1">IFERROR(__xludf.DUMMYFUNCTION("""COMPUTED_VALUE"""),45377.6666666666)</f>
        <v>45377.666666666599</v>
      </c>
      <c r="B2324" s="1">
        <f ca="1">IFERROR(__xludf.DUMMYFUNCTION("""COMPUTED_VALUE"""),95.85)</f>
        <v>95.85</v>
      </c>
      <c r="C2324" s="1">
        <f ca="1">IFERROR(__xludf.DUMMYFUNCTION("""COMPUTED_VALUE"""),96.38)</f>
        <v>96.38</v>
      </c>
      <c r="D2324" s="1">
        <f ca="1">IFERROR(__xludf.DUMMYFUNCTION("""COMPUTED_VALUE"""),92.5)</f>
        <v>92.5</v>
      </c>
      <c r="E2324" s="1">
        <f ca="1">IFERROR(__xludf.DUMMYFUNCTION("""COMPUTED_VALUE"""),92.56)</f>
        <v>92.56</v>
      </c>
      <c r="F2324" s="1">
        <f ca="1">IFERROR(__xludf.DUMMYFUNCTION("""COMPUTED_VALUE"""),51364758)</f>
        <v>51364758</v>
      </c>
    </row>
    <row r="2325" spans="1:6" x14ac:dyDescent="0.35">
      <c r="A2325" s="2">
        <f ca="1">IFERROR(__xludf.DUMMYFUNCTION("""COMPUTED_VALUE"""),45378.6666666666)</f>
        <v>45378.666666666599</v>
      </c>
      <c r="B2325" s="1">
        <f ca="1">IFERROR(__xludf.DUMMYFUNCTION("""COMPUTED_VALUE"""),93.11)</f>
        <v>93.11</v>
      </c>
      <c r="C2325" s="1">
        <f ca="1">IFERROR(__xludf.DUMMYFUNCTION("""COMPUTED_VALUE"""),93.24)</f>
        <v>93.24</v>
      </c>
      <c r="D2325" s="1">
        <f ca="1">IFERROR(__xludf.DUMMYFUNCTION("""COMPUTED_VALUE"""),89.12)</f>
        <v>89.12</v>
      </c>
      <c r="E2325" s="1">
        <f ca="1">IFERROR(__xludf.DUMMYFUNCTION("""COMPUTED_VALUE"""),90.25)</f>
        <v>90.25</v>
      </c>
      <c r="F2325" s="1">
        <f ca="1">IFERROR(__xludf.DUMMYFUNCTION("""COMPUTED_VALUE"""),58606723)</f>
        <v>58606723</v>
      </c>
    </row>
    <row r="2326" spans="1:6" x14ac:dyDescent="0.35">
      <c r="A2326" s="2">
        <f ca="1">IFERROR(__xludf.DUMMYFUNCTION("""COMPUTED_VALUE"""),45379.6666666666)</f>
        <v>45379.666666666599</v>
      </c>
      <c r="B2326" s="1">
        <f ca="1">IFERROR(__xludf.DUMMYFUNCTION("""COMPUTED_VALUE"""),90)</f>
        <v>90</v>
      </c>
      <c r="C2326" s="1">
        <f ca="1">IFERROR(__xludf.DUMMYFUNCTION("""COMPUTED_VALUE"""),91.3)</f>
        <v>91.3</v>
      </c>
      <c r="D2326" s="1">
        <f ca="1">IFERROR(__xludf.DUMMYFUNCTION("""COMPUTED_VALUE"""),89.19)</f>
        <v>89.19</v>
      </c>
      <c r="E2326" s="1">
        <f ca="1">IFERROR(__xludf.DUMMYFUNCTION("""COMPUTED_VALUE"""),90.36)</f>
        <v>90.36</v>
      </c>
      <c r="F2326" s="1">
        <f ca="1">IFERROR(__xludf.DUMMYFUNCTION("""COMPUTED_VALUE"""),43521227)</f>
        <v>43521227</v>
      </c>
    </row>
    <row r="2327" spans="1:6" x14ac:dyDescent="0.35">
      <c r="A2327" s="2">
        <f ca="1">IFERROR(__xludf.DUMMYFUNCTION("""COMPUTED_VALUE"""),45383.6666666666)</f>
        <v>45383.666666666599</v>
      </c>
      <c r="B2327" s="1">
        <f ca="1">IFERROR(__xludf.DUMMYFUNCTION("""COMPUTED_VALUE"""),90.3)</f>
        <v>90.3</v>
      </c>
      <c r="C2327" s="1">
        <f ca="1">IFERROR(__xludf.DUMMYFUNCTION("""COMPUTED_VALUE"""),92.23)</f>
        <v>92.23</v>
      </c>
      <c r="D2327" s="1">
        <f ca="1">IFERROR(__xludf.DUMMYFUNCTION("""COMPUTED_VALUE"""),89.2)</f>
        <v>89.2</v>
      </c>
      <c r="E2327" s="1">
        <f ca="1">IFERROR(__xludf.DUMMYFUNCTION("""COMPUTED_VALUE"""),90.36)</f>
        <v>90.36</v>
      </c>
      <c r="F2327" s="1">
        <f ca="1">IFERROR(__xludf.DUMMYFUNCTION("""COMPUTED_VALUE"""),45244149)</f>
        <v>45244149</v>
      </c>
    </row>
    <row r="2328" spans="1:6" x14ac:dyDescent="0.35">
      <c r="A2328" s="2">
        <f ca="1">IFERROR(__xludf.DUMMYFUNCTION("""COMPUTED_VALUE"""),45384.6666666666)</f>
        <v>45384.666666666599</v>
      </c>
      <c r="B2328" s="1">
        <f ca="1">IFERROR(__xludf.DUMMYFUNCTION("""COMPUTED_VALUE"""),88.45)</f>
        <v>88.45</v>
      </c>
      <c r="C2328" s="1">
        <f ca="1">IFERROR(__xludf.DUMMYFUNCTION("""COMPUTED_VALUE"""),90.09)</f>
        <v>90.09</v>
      </c>
      <c r="D2328" s="1">
        <f ca="1">IFERROR(__xludf.DUMMYFUNCTION("""COMPUTED_VALUE"""),87.62)</f>
        <v>87.62</v>
      </c>
      <c r="E2328" s="1">
        <f ca="1">IFERROR(__xludf.DUMMYFUNCTION("""COMPUTED_VALUE"""),89.45)</f>
        <v>89.45</v>
      </c>
      <c r="F2328" s="1">
        <f ca="1">IFERROR(__xludf.DUMMYFUNCTION("""COMPUTED_VALUE"""),43306355)</f>
        <v>43306355</v>
      </c>
    </row>
    <row r="2329" spans="1:6" x14ac:dyDescent="0.35">
      <c r="A2329" s="2">
        <f ca="1">IFERROR(__xludf.DUMMYFUNCTION("""COMPUTED_VALUE"""),45385.6666666666)</f>
        <v>45385.666666666599</v>
      </c>
      <c r="B2329" s="1">
        <f ca="1">IFERROR(__xludf.DUMMYFUNCTION("""COMPUTED_VALUE"""),88.48)</f>
        <v>88.48</v>
      </c>
      <c r="C2329" s="1">
        <f ca="1">IFERROR(__xludf.DUMMYFUNCTION("""COMPUTED_VALUE"""),90.37)</f>
        <v>90.37</v>
      </c>
      <c r="D2329" s="1">
        <f ca="1">IFERROR(__xludf.DUMMYFUNCTION("""COMPUTED_VALUE"""),88.4)</f>
        <v>88.4</v>
      </c>
      <c r="E2329" s="1">
        <f ca="1">IFERROR(__xludf.DUMMYFUNCTION("""COMPUTED_VALUE"""),88.96)</f>
        <v>88.96</v>
      </c>
      <c r="F2329" s="1">
        <f ca="1">IFERROR(__xludf.DUMMYFUNCTION("""COMPUTED_VALUE"""),37006655)</f>
        <v>37006655</v>
      </c>
    </row>
    <row r="2330" spans="1:6" x14ac:dyDescent="0.35">
      <c r="A2330" s="2">
        <f ca="1">IFERROR(__xludf.DUMMYFUNCTION("""COMPUTED_VALUE"""),45386.6666666666)</f>
        <v>45386.666666666599</v>
      </c>
      <c r="B2330" s="1">
        <f ca="1">IFERROR(__xludf.DUMMYFUNCTION("""COMPUTED_VALUE"""),90.41)</f>
        <v>90.41</v>
      </c>
      <c r="C2330" s="1">
        <f ca="1">IFERROR(__xludf.DUMMYFUNCTION("""COMPUTED_VALUE"""),90.63)</f>
        <v>90.63</v>
      </c>
      <c r="D2330" s="1">
        <f ca="1">IFERROR(__xludf.DUMMYFUNCTION("""COMPUTED_VALUE"""),85.88)</f>
        <v>85.88</v>
      </c>
      <c r="E2330" s="1">
        <f ca="1">IFERROR(__xludf.DUMMYFUNCTION("""COMPUTED_VALUE"""),85.91)</f>
        <v>85.91</v>
      </c>
      <c r="F2330" s="1">
        <f ca="1">IFERROR(__xludf.DUMMYFUNCTION("""COMPUTED_VALUE"""),43496492)</f>
        <v>43496492</v>
      </c>
    </row>
    <row r="2331" spans="1:6" x14ac:dyDescent="0.35">
      <c r="A2331" s="2">
        <f ca="1">IFERROR(__xludf.DUMMYFUNCTION("""COMPUTED_VALUE"""),45387.6666666666)</f>
        <v>45387.666666666599</v>
      </c>
      <c r="B2331" s="1">
        <f ca="1">IFERROR(__xludf.DUMMYFUNCTION("""COMPUTED_VALUE"""),86.87)</f>
        <v>86.87</v>
      </c>
      <c r="C2331" s="1">
        <f ca="1">IFERROR(__xludf.DUMMYFUNCTION("""COMPUTED_VALUE"""),88.48)</f>
        <v>88.48</v>
      </c>
      <c r="D2331" s="1">
        <f ca="1">IFERROR(__xludf.DUMMYFUNCTION("""COMPUTED_VALUE"""),85.93)</f>
        <v>85.93</v>
      </c>
      <c r="E2331" s="1">
        <f ca="1">IFERROR(__xludf.DUMMYFUNCTION("""COMPUTED_VALUE"""),88.01)</f>
        <v>88.01</v>
      </c>
      <c r="F2331" s="1">
        <f ca="1">IFERROR(__xludf.DUMMYFUNCTION("""COMPUTED_VALUE"""),39967846)</f>
        <v>39967846</v>
      </c>
    </row>
    <row r="2332" spans="1:6" x14ac:dyDescent="0.35">
      <c r="A2332" s="2">
        <f ca="1">IFERROR(__xludf.DUMMYFUNCTION("""COMPUTED_VALUE"""),45390.6666666666)</f>
        <v>45390.666666666599</v>
      </c>
      <c r="B2332" s="1">
        <f ca="1">IFERROR(__xludf.DUMMYFUNCTION("""COMPUTED_VALUE"""),88.7)</f>
        <v>88.7</v>
      </c>
      <c r="C2332" s="1">
        <f ca="1">IFERROR(__xludf.DUMMYFUNCTION("""COMPUTED_VALUE"""),88.83)</f>
        <v>88.83</v>
      </c>
      <c r="D2332" s="1">
        <f ca="1">IFERROR(__xludf.DUMMYFUNCTION("""COMPUTED_VALUE"""),86.73)</f>
        <v>86.73</v>
      </c>
      <c r="E2332" s="1">
        <f ca="1">IFERROR(__xludf.DUMMYFUNCTION("""COMPUTED_VALUE"""),87.13)</f>
        <v>87.13</v>
      </c>
      <c r="F2332" s="1">
        <f ca="1">IFERROR(__xludf.DUMMYFUNCTION("""COMPUTED_VALUE"""),28322000)</f>
        <v>28322000</v>
      </c>
    </row>
    <row r="2333" spans="1:6" x14ac:dyDescent="0.35">
      <c r="A2333" s="2">
        <f ca="1">IFERROR(__xludf.DUMMYFUNCTION("""COMPUTED_VALUE"""),45391.6666666666)</f>
        <v>45391.666666666599</v>
      </c>
      <c r="B2333" s="1">
        <f ca="1">IFERROR(__xludf.DUMMYFUNCTION("""COMPUTED_VALUE"""),87.44)</f>
        <v>87.44</v>
      </c>
      <c r="C2333" s="1">
        <f ca="1">IFERROR(__xludf.DUMMYFUNCTION("""COMPUTED_VALUE"""),87.64)</f>
        <v>87.64</v>
      </c>
      <c r="D2333" s="1">
        <f ca="1">IFERROR(__xludf.DUMMYFUNCTION("""COMPUTED_VALUE"""),83.02)</f>
        <v>83.02</v>
      </c>
      <c r="E2333" s="1">
        <f ca="1">IFERROR(__xludf.DUMMYFUNCTION("""COMPUTED_VALUE"""),85.35)</f>
        <v>85.35</v>
      </c>
      <c r="F2333" s="1">
        <f ca="1">IFERROR(__xludf.DUMMYFUNCTION("""COMPUTED_VALUE"""),50354735)</f>
        <v>50354735</v>
      </c>
    </row>
    <row r="2334" spans="1:6" x14ac:dyDescent="0.35">
      <c r="A2334" s="2">
        <f ca="1">IFERROR(__xludf.DUMMYFUNCTION("""COMPUTED_VALUE"""),45392.6666666666)</f>
        <v>45392.666666666599</v>
      </c>
      <c r="B2334" s="1">
        <f ca="1">IFERROR(__xludf.DUMMYFUNCTION("""COMPUTED_VALUE"""),83.93)</f>
        <v>83.93</v>
      </c>
      <c r="C2334" s="1">
        <f ca="1">IFERROR(__xludf.DUMMYFUNCTION("""COMPUTED_VALUE"""),87.4)</f>
        <v>87.4</v>
      </c>
      <c r="D2334" s="1">
        <f ca="1">IFERROR(__xludf.DUMMYFUNCTION("""COMPUTED_VALUE"""),83.71)</f>
        <v>83.71</v>
      </c>
      <c r="E2334" s="1">
        <f ca="1">IFERROR(__xludf.DUMMYFUNCTION("""COMPUTED_VALUE"""),87.04)</f>
        <v>87.04</v>
      </c>
      <c r="F2334" s="1">
        <f ca="1">IFERROR(__xludf.DUMMYFUNCTION("""COMPUTED_VALUE"""),43192853)</f>
        <v>43192853</v>
      </c>
    </row>
    <row r="2335" spans="1:6" x14ac:dyDescent="0.35">
      <c r="A2335" s="2">
        <f ca="1">IFERROR(__xludf.DUMMYFUNCTION("""COMPUTED_VALUE"""),45393.6666666666)</f>
        <v>45393.666666666599</v>
      </c>
      <c r="B2335" s="1">
        <f ca="1">IFERROR(__xludf.DUMMYFUNCTION("""COMPUTED_VALUE"""),87.42)</f>
        <v>87.42</v>
      </c>
      <c r="C2335" s="1">
        <f ca="1">IFERROR(__xludf.DUMMYFUNCTION("""COMPUTED_VALUE"""),90.74)</f>
        <v>90.74</v>
      </c>
      <c r="D2335" s="1">
        <f ca="1">IFERROR(__xludf.DUMMYFUNCTION("""COMPUTED_VALUE"""),86.93)</f>
        <v>86.93</v>
      </c>
      <c r="E2335" s="1">
        <f ca="1">IFERROR(__xludf.DUMMYFUNCTION("""COMPUTED_VALUE"""),90.62)</f>
        <v>90.62</v>
      </c>
      <c r="F2335" s="1">
        <f ca="1">IFERROR(__xludf.DUMMYFUNCTION("""COMPUTED_VALUE"""),43163727)</f>
        <v>43163727</v>
      </c>
    </row>
    <row r="2336" spans="1:6" x14ac:dyDescent="0.35">
      <c r="A2336" s="2">
        <f ca="1">IFERROR(__xludf.DUMMYFUNCTION("""COMPUTED_VALUE"""),45394.6666666666)</f>
        <v>45394.666666666599</v>
      </c>
      <c r="B2336" s="1">
        <f ca="1">IFERROR(__xludf.DUMMYFUNCTION("""COMPUTED_VALUE"""),89.7)</f>
        <v>89.7</v>
      </c>
      <c r="C2336" s="1">
        <f ca="1">IFERROR(__xludf.DUMMYFUNCTION("""COMPUTED_VALUE"""),90.17)</f>
        <v>90.17</v>
      </c>
      <c r="D2336" s="1">
        <f ca="1">IFERROR(__xludf.DUMMYFUNCTION("""COMPUTED_VALUE"""),87.53)</f>
        <v>87.53</v>
      </c>
      <c r="E2336" s="1">
        <f ca="1">IFERROR(__xludf.DUMMYFUNCTION("""COMPUTED_VALUE"""),88.19)</f>
        <v>88.19</v>
      </c>
      <c r="F2336" s="1">
        <f ca="1">IFERROR(__xludf.DUMMYFUNCTION("""COMPUTED_VALUE"""),42680479)</f>
        <v>42680479</v>
      </c>
    </row>
    <row r="2337" spans="1:6" x14ac:dyDescent="0.35">
      <c r="A2337" s="2">
        <f ca="1">IFERROR(__xludf.DUMMYFUNCTION("""COMPUTED_VALUE"""),45397.6666666666)</f>
        <v>45397.666666666599</v>
      </c>
      <c r="B2337" s="1">
        <f ca="1">IFERROR(__xludf.DUMMYFUNCTION("""COMPUTED_VALUE"""),89.1)</f>
        <v>89.1</v>
      </c>
      <c r="C2337" s="1">
        <f ca="1">IFERROR(__xludf.DUMMYFUNCTION("""COMPUTED_VALUE"""),90.61)</f>
        <v>90.61</v>
      </c>
      <c r="D2337" s="1">
        <f ca="1">IFERROR(__xludf.DUMMYFUNCTION("""COMPUTED_VALUE"""),85.93)</f>
        <v>85.93</v>
      </c>
      <c r="E2337" s="1">
        <f ca="1">IFERROR(__xludf.DUMMYFUNCTION("""COMPUTED_VALUE"""),86)</f>
        <v>86</v>
      </c>
      <c r="F2337" s="1">
        <f ca="1">IFERROR(__xludf.DUMMYFUNCTION("""COMPUTED_VALUE"""),44307695)</f>
        <v>44307695</v>
      </c>
    </row>
    <row r="2338" spans="1:6" x14ac:dyDescent="0.35">
      <c r="A2338" s="2">
        <f ca="1">IFERROR(__xludf.DUMMYFUNCTION("""COMPUTED_VALUE"""),45398.6666666666)</f>
        <v>45398.666666666599</v>
      </c>
      <c r="B2338" s="1">
        <f ca="1">IFERROR(__xludf.DUMMYFUNCTION("""COMPUTED_VALUE"""),86.43)</f>
        <v>86.43</v>
      </c>
      <c r="C2338" s="1">
        <f ca="1">IFERROR(__xludf.DUMMYFUNCTION("""COMPUTED_VALUE"""),88.12)</f>
        <v>88.12</v>
      </c>
      <c r="D2338" s="1">
        <f ca="1">IFERROR(__xludf.DUMMYFUNCTION("""COMPUTED_VALUE"""),86.06)</f>
        <v>86.06</v>
      </c>
      <c r="E2338" s="1">
        <f ca="1">IFERROR(__xludf.DUMMYFUNCTION("""COMPUTED_VALUE"""),87.42)</f>
        <v>87.42</v>
      </c>
      <c r="F2338" s="1">
        <f ca="1">IFERROR(__xludf.DUMMYFUNCTION("""COMPUTED_VALUE"""),37045302)</f>
        <v>37045302</v>
      </c>
    </row>
    <row r="2339" spans="1:6" x14ac:dyDescent="0.35">
      <c r="A2339" s="2">
        <f ca="1">IFERROR(__xludf.DUMMYFUNCTION("""COMPUTED_VALUE"""),45399.6666666666)</f>
        <v>45399.666666666599</v>
      </c>
      <c r="B2339" s="1">
        <f ca="1">IFERROR(__xludf.DUMMYFUNCTION("""COMPUTED_VALUE"""),88.34)</f>
        <v>88.34</v>
      </c>
      <c r="C2339" s="1">
        <f ca="1">IFERROR(__xludf.DUMMYFUNCTION("""COMPUTED_VALUE"""),88.78)</f>
        <v>88.78</v>
      </c>
      <c r="D2339" s="1">
        <f ca="1">IFERROR(__xludf.DUMMYFUNCTION("""COMPUTED_VALUE"""),83.95)</f>
        <v>83.95</v>
      </c>
      <c r="E2339" s="1">
        <f ca="1">IFERROR(__xludf.DUMMYFUNCTION("""COMPUTED_VALUE"""),84.04)</f>
        <v>84.04</v>
      </c>
      <c r="F2339" s="1">
        <f ca="1">IFERROR(__xludf.DUMMYFUNCTION("""COMPUTED_VALUE"""),49539951)</f>
        <v>49539951</v>
      </c>
    </row>
    <row r="2340" spans="1:6" x14ac:dyDescent="0.35">
      <c r="A2340" s="2">
        <f ca="1">IFERROR(__xludf.DUMMYFUNCTION("""COMPUTED_VALUE"""),45400.6666666666)</f>
        <v>45400.666666666599</v>
      </c>
      <c r="B2340" s="1">
        <f ca="1">IFERROR(__xludf.DUMMYFUNCTION("""COMPUTED_VALUE"""),84.97)</f>
        <v>84.97</v>
      </c>
      <c r="C2340" s="1">
        <f ca="1">IFERROR(__xludf.DUMMYFUNCTION("""COMPUTED_VALUE"""),86.19)</f>
        <v>86.19</v>
      </c>
      <c r="D2340" s="1">
        <f ca="1">IFERROR(__xludf.DUMMYFUNCTION("""COMPUTED_VALUE"""),82.4)</f>
        <v>82.4</v>
      </c>
      <c r="E2340" s="1">
        <f ca="1">IFERROR(__xludf.DUMMYFUNCTION("""COMPUTED_VALUE"""),84.67)</f>
        <v>84.67</v>
      </c>
      <c r="F2340" s="1">
        <f ca="1">IFERROR(__xludf.DUMMYFUNCTION("""COMPUTED_VALUE"""),44726034)</f>
        <v>44726034</v>
      </c>
    </row>
    <row r="2341" spans="1:6" x14ac:dyDescent="0.35">
      <c r="A2341" s="2">
        <f ca="1">IFERROR(__xludf.DUMMYFUNCTION("""COMPUTED_VALUE"""),45401.6666666666)</f>
        <v>45401.666666666599</v>
      </c>
      <c r="B2341" s="1">
        <f ca="1">IFERROR(__xludf.DUMMYFUNCTION("""COMPUTED_VALUE"""),83.15)</f>
        <v>83.15</v>
      </c>
      <c r="C2341" s="1">
        <f ca="1">IFERROR(__xludf.DUMMYFUNCTION("""COMPUTED_VALUE"""),84.32)</f>
        <v>84.32</v>
      </c>
      <c r="D2341" s="1">
        <f ca="1">IFERROR(__xludf.DUMMYFUNCTION("""COMPUTED_VALUE"""),75.61)</f>
        <v>75.61</v>
      </c>
      <c r="E2341" s="1">
        <f ca="1">IFERROR(__xludf.DUMMYFUNCTION("""COMPUTED_VALUE"""),76.2)</f>
        <v>76.2</v>
      </c>
      <c r="F2341" s="1">
        <f ca="1">IFERROR(__xludf.DUMMYFUNCTION("""COMPUTED_VALUE"""),87519800)</f>
        <v>87519800</v>
      </c>
    </row>
    <row r="2342" spans="1:6" x14ac:dyDescent="0.35">
      <c r="A2342" s="2">
        <f ca="1">IFERROR(__xludf.DUMMYFUNCTION("""COMPUTED_VALUE"""),45404.6666666666)</f>
        <v>45404.666666666599</v>
      </c>
      <c r="B2342" s="1">
        <f ca="1">IFERROR(__xludf.DUMMYFUNCTION("""COMPUTED_VALUE"""),78.1)</f>
        <v>78.099999999999994</v>
      </c>
      <c r="C2342" s="1">
        <f ca="1">IFERROR(__xludf.DUMMYFUNCTION("""COMPUTED_VALUE"""),80.07)</f>
        <v>80.069999999999993</v>
      </c>
      <c r="D2342" s="1">
        <f ca="1">IFERROR(__xludf.DUMMYFUNCTION("""COMPUTED_VALUE"""),76.4)</f>
        <v>76.400000000000006</v>
      </c>
      <c r="E2342" s="1">
        <f ca="1">IFERROR(__xludf.DUMMYFUNCTION("""COMPUTED_VALUE"""),79.52)</f>
        <v>79.52</v>
      </c>
      <c r="F2342" s="1">
        <f ca="1">IFERROR(__xludf.DUMMYFUNCTION("""COMPUTED_VALUE"""),59634051)</f>
        <v>59634051</v>
      </c>
    </row>
    <row r="2343" spans="1:6" x14ac:dyDescent="0.35">
      <c r="A2343" s="2">
        <f ca="1">IFERROR(__xludf.DUMMYFUNCTION("""COMPUTED_VALUE"""),45405.6666666666)</f>
        <v>45405.666666666599</v>
      </c>
      <c r="B2343" s="1">
        <f ca="1">IFERROR(__xludf.DUMMYFUNCTION("""COMPUTED_VALUE"""),80.77)</f>
        <v>80.77</v>
      </c>
      <c r="C2343" s="1">
        <f ca="1">IFERROR(__xludf.DUMMYFUNCTION("""COMPUTED_VALUE"""),82.77)</f>
        <v>82.77</v>
      </c>
      <c r="D2343" s="1">
        <f ca="1">IFERROR(__xludf.DUMMYFUNCTION("""COMPUTED_VALUE"""),80.26)</f>
        <v>80.260000000000005</v>
      </c>
      <c r="E2343" s="1">
        <f ca="1">IFERROR(__xludf.DUMMYFUNCTION("""COMPUTED_VALUE"""),82.42)</f>
        <v>82.42</v>
      </c>
      <c r="F2343" s="1">
        <f ca="1">IFERROR(__xludf.DUMMYFUNCTION("""COMPUTED_VALUE"""),43855937)</f>
        <v>43855937</v>
      </c>
    </row>
    <row r="2344" spans="1:6" x14ac:dyDescent="0.35">
      <c r="A2344" s="2">
        <f ca="1">IFERROR(__xludf.DUMMYFUNCTION("""COMPUTED_VALUE"""),45406.6666666666)</f>
        <v>45406.666666666599</v>
      </c>
      <c r="B2344" s="1">
        <f ca="1">IFERROR(__xludf.DUMMYFUNCTION("""COMPUTED_VALUE"""),83.95)</f>
        <v>83.95</v>
      </c>
      <c r="C2344" s="1">
        <f ca="1">IFERROR(__xludf.DUMMYFUNCTION("""COMPUTED_VALUE"""),84.08)</f>
        <v>84.08</v>
      </c>
      <c r="D2344" s="1">
        <f ca="1">IFERROR(__xludf.DUMMYFUNCTION("""COMPUTED_VALUE"""),79.18)</f>
        <v>79.180000000000007</v>
      </c>
      <c r="E2344" s="1">
        <f ca="1">IFERROR(__xludf.DUMMYFUNCTION("""COMPUTED_VALUE"""),79.68)</f>
        <v>79.680000000000007</v>
      </c>
      <c r="F2344" s="1">
        <f ca="1">IFERROR(__xludf.DUMMYFUNCTION("""COMPUTED_VALUE"""),51220753)</f>
        <v>51220753</v>
      </c>
    </row>
    <row r="2345" spans="1:6" x14ac:dyDescent="0.35">
      <c r="A2345" s="2">
        <f ca="1">IFERROR(__xludf.DUMMYFUNCTION("""COMPUTED_VALUE"""),45407.6666666666)</f>
        <v>45407.666666666599</v>
      </c>
      <c r="B2345" s="1">
        <f ca="1">IFERROR(__xludf.DUMMYFUNCTION("""COMPUTED_VALUE"""),78.87)</f>
        <v>78.87</v>
      </c>
      <c r="C2345" s="1">
        <f ca="1">IFERROR(__xludf.DUMMYFUNCTION("""COMPUTED_VALUE"""),83.32)</f>
        <v>83.32</v>
      </c>
      <c r="D2345" s="1">
        <f ca="1">IFERROR(__xludf.DUMMYFUNCTION("""COMPUTED_VALUE"""),78.22)</f>
        <v>78.22</v>
      </c>
      <c r="E2345" s="1">
        <f ca="1">IFERROR(__xludf.DUMMYFUNCTION("""COMPUTED_VALUE"""),82.63)</f>
        <v>82.63</v>
      </c>
      <c r="F2345" s="1">
        <f ca="1">IFERROR(__xludf.DUMMYFUNCTION("""COMPUTED_VALUE"""),42464073)</f>
        <v>42464073</v>
      </c>
    </row>
    <row r="2346" spans="1:6" x14ac:dyDescent="0.35">
      <c r="A2346" s="2">
        <f ca="1">IFERROR(__xludf.DUMMYFUNCTION("""COMPUTED_VALUE"""),45408.6666666666)</f>
        <v>45408.666666666599</v>
      </c>
      <c r="B2346" s="1">
        <f ca="1">IFERROR(__xludf.DUMMYFUNCTION("""COMPUTED_VALUE"""),83.82)</f>
        <v>83.82</v>
      </c>
      <c r="C2346" s="1">
        <f ca="1">IFERROR(__xludf.DUMMYFUNCTION("""COMPUTED_VALUE"""),88.33)</f>
        <v>88.33</v>
      </c>
      <c r="D2346" s="1">
        <f ca="1">IFERROR(__xludf.DUMMYFUNCTION("""COMPUTED_VALUE"""),83.39)</f>
        <v>83.39</v>
      </c>
      <c r="E2346" s="1">
        <f ca="1">IFERROR(__xludf.DUMMYFUNCTION("""COMPUTED_VALUE"""),87.74)</f>
        <v>87.74</v>
      </c>
      <c r="F2346" s="1">
        <f ca="1">IFERROR(__xludf.DUMMYFUNCTION("""COMPUTED_VALUE"""),55101078)</f>
        <v>55101078</v>
      </c>
    </row>
    <row r="2347" spans="1:6" x14ac:dyDescent="0.35">
      <c r="A2347" s="2">
        <f ca="1">IFERROR(__xludf.DUMMYFUNCTION("""COMPUTED_VALUE"""),45411.6666666666)</f>
        <v>45411.666666666599</v>
      </c>
      <c r="B2347" s="1">
        <f ca="1">IFERROR(__xludf.DUMMYFUNCTION("""COMPUTED_VALUE"""),87.6)</f>
        <v>87.6</v>
      </c>
      <c r="C2347" s="1">
        <f ca="1">IFERROR(__xludf.DUMMYFUNCTION("""COMPUTED_VALUE"""),87.99)</f>
        <v>87.99</v>
      </c>
      <c r="D2347" s="1">
        <f ca="1">IFERROR(__xludf.DUMMYFUNCTION("""COMPUTED_VALUE"""),85.27)</f>
        <v>85.27</v>
      </c>
      <c r="E2347" s="1">
        <f ca="1">IFERROR(__xludf.DUMMYFUNCTION("""COMPUTED_VALUE"""),87.76)</f>
        <v>87.76</v>
      </c>
      <c r="F2347" s="1">
        <f ca="1">IFERROR(__xludf.DUMMYFUNCTION("""COMPUTED_VALUE"""),38897076)</f>
        <v>38897076</v>
      </c>
    </row>
    <row r="2348" spans="1:6" x14ac:dyDescent="0.35">
      <c r="A2348" s="2">
        <f ca="1">IFERROR(__xludf.DUMMYFUNCTION("""COMPUTED_VALUE"""),45412.6666666666)</f>
        <v>45412.666666666599</v>
      </c>
      <c r="B2348" s="1">
        <f ca="1">IFERROR(__xludf.DUMMYFUNCTION("""COMPUTED_VALUE"""),87.24)</f>
        <v>87.24</v>
      </c>
      <c r="C2348" s="1">
        <f ca="1">IFERROR(__xludf.DUMMYFUNCTION("""COMPUTED_VALUE"""),88.82)</f>
        <v>88.82</v>
      </c>
      <c r="D2348" s="1">
        <f ca="1">IFERROR(__xludf.DUMMYFUNCTION("""COMPUTED_VALUE"""),86.3)</f>
        <v>86.3</v>
      </c>
      <c r="E2348" s="1">
        <f ca="1">IFERROR(__xludf.DUMMYFUNCTION("""COMPUTED_VALUE"""),86.4)</f>
        <v>86.4</v>
      </c>
      <c r="F2348" s="1">
        <f ca="1">IFERROR(__xludf.DUMMYFUNCTION("""COMPUTED_VALUE"""),36370870)</f>
        <v>36370870</v>
      </c>
    </row>
    <row r="2349" spans="1:6" x14ac:dyDescent="0.35">
      <c r="A2349" s="2">
        <f ca="1">IFERROR(__xludf.DUMMYFUNCTION("""COMPUTED_VALUE"""),45413.6666666666)</f>
        <v>45413.666666666599</v>
      </c>
      <c r="B2349" s="1">
        <f ca="1">IFERROR(__xludf.DUMMYFUNCTION("""COMPUTED_VALUE"""),85.08)</f>
        <v>85.08</v>
      </c>
      <c r="C2349" s="1">
        <f ca="1">IFERROR(__xludf.DUMMYFUNCTION("""COMPUTED_VALUE"""),86)</f>
        <v>86</v>
      </c>
      <c r="D2349" s="1">
        <f ca="1">IFERROR(__xludf.DUMMYFUNCTION("""COMPUTED_VALUE"""),81.25)</f>
        <v>81.25</v>
      </c>
      <c r="E2349" s="1">
        <f ca="1">IFERROR(__xludf.DUMMYFUNCTION("""COMPUTED_VALUE"""),83.04)</f>
        <v>83.04</v>
      </c>
      <c r="F2349" s="1">
        <f ca="1">IFERROR(__xludf.DUMMYFUNCTION("""COMPUTED_VALUE"""),55986317)</f>
        <v>55986317</v>
      </c>
    </row>
    <row r="2350" spans="1:6" x14ac:dyDescent="0.35">
      <c r="A2350" s="2">
        <f ca="1">IFERROR(__xludf.DUMMYFUNCTION("""COMPUTED_VALUE"""),45414.6666666666)</f>
        <v>45414.666666666599</v>
      </c>
      <c r="B2350" s="1">
        <f ca="1">IFERROR(__xludf.DUMMYFUNCTION("""COMPUTED_VALUE"""),84.45)</f>
        <v>84.45</v>
      </c>
      <c r="C2350" s="1">
        <f ca="1">IFERROR(__xludf.DUMMYFUNCTION("""COMPUTED_VALUE"""),86.24)</f>
        <v>86.24</v>
      </c>
      <c r="D2350" s="1">
        <f ca="1">IFERROR(__xludf.DUMMYFUNCTION("""COMPUTED_VALUE"""),83.2)</f>
        <v>83.2</v>
      </c>
      <c r="E2350" s="1">
        <f ca="1">IFERROR(__xludf.DUMMYFUNCTION("""COMPUTED_VALUE"""),85.82)</f>
        <v>85.82</v>
      </c>
      <c r="F2350" s="1">
        <f ca="1">IFERROR(__xludf.DUMMYFUNCTION("""COMPUTED_VALUE"""),37789754)</f>
        <v>37789754</v>
      </c>
    </row>
    <row r="2351" spans="1:6" x14ac:dyDescent="0.35">
      <c r="A2351" s="2">
        <f ca="1">IFERROR(__xludf.DUMMYFUNCTION("""COMPUTED_VALUE"""),45415.6666666666)</f>
        <v>45415.666666666599</v>
      </c>
      <c r="B2351" s="1">
        <f ca="1">IFERROR(__xludf.DUMMYFUNCTION("""COMPUTED_VALUE"""),87.79)</f>
        <v>87.79</v>
      </c>
      <c r="C2351" s="1">
        <f ca="1">IFERROR(__xludf.DUMMYFUNCTION("""COMPUTED_VALUE"""),89.28)</f>
        <v>89.28</v>
      </c>
      <c r="D2351" s="1">
        <f ca="1">IFERROR(__xludf.DUMMYFUNCTION("""COMPUTED_VALUE"""),87.04)</f>
        <v>87.04</v>
      </c>
      <c r="E2351" s="1">
        <f ca="1">IFERROR(__xludf.DUMMYFUNCTION("""COMPUTED_VALUE"""),88.79)</f>
        <v>88.79</v>
      </c>
      <c r="F2351" s="1">
        <f ca="1">IFERROR(__xludf.DUMMYFUNCTION("""COMPUTED_VALUE"""),39834072)</f>
        <v>39834072</v>
      </c>
    </row>
    <row r="2352" spans="1:6" x14ac:dyDescent="0.35">
      <c r="A2352" s="2">
        <f ca="1">IFERROR(__xludf.DUMMYFUNCTION("""COMPUTED_VALUE"""),45418.6666666666)</f>
        <v>45418.666666666599</v>
      </c>
      <c r="B2352" s="1">
        <f ca="1">IFERROR(__xludf.DUMMYFUNCTION("""COMPUTED_VALUE"""),89.39)</f>
        <v>89.39</v>
      </c>
      <c r="C2352" s="1">
        <f ca="1">IFERROR(__xludf.DUMMYFUNCTION("""COMPUTED_VALUE"""),92.22)</f>
        <v>92.22</v>
      </c>
      <c r="D2352" s="1">
        <f ca="1">IFERROR(__xludf.DUMMYFUNCTION("""COMPUTED_VALUE"""),89.06)</f>
        <v>89.06</v>
      </c>
      <c r="E2352" s="1">
        <f ca="1">IFERROR(__xludf.DUMMYFUNCTION("""COMPUTED_VALUE"""),92.14)</f>
        <v>92.14</v>
      </c>
      <c r="F2352" s="1">
        <f ca="1">IFERROR(__xludf.DUMMYFUNCTION("""COMPUTED_VALUE"""),37620255)</f>
        <v>37620255</v>
      </c>
    </row>
    <row r="2353" spans="1:6" x14ac:dyDescent="0.35">
      <c r="A2353" s="2">
        <f ca="1">IFERROR(__xludf.DUMMYFUNCTION("""COMPUTED_VALUE"""),45419.6666666666)</f>
        <v>45419.666666666599</v>
      </c>
      <c r="B2353" s="1">
        <f ca="1">IFERROR(__xludf.DUMMYFUNCTION("""COMPUTED_VALUE"""),91.1)</f>
        <v>91.1</v>
      </c>
      <c r="C2353" s="1">
        <f ca="1">IFERROR(__xludf.DUMMYFUNCTION("""COMPUTED_VALUE"""),91.78)</f>
        <v>91.78</v>
      </c>
      <c r="D2353" s="1">
        <f ca="1">IFERROR(__xludf.DUMMYFUNCTION("""COMPUTED_VALUE"""),89.01)</f>
        <v>89.01</v>
      </c>
      <c r="E2353" s="1">
        <f ca="1">IFERROR(__xludf.DUMMYFUNCTION("""COMPUTED_VALUE"""),90.55)</f>
        <v>90.55</v>
      </c>
      <c r="F2353" s="1">
        <f ca="1">IFERROR(__xludf.DUMMYFUNCTION("""COMPUTED_VALUE"""),43734161)</f>
        <v>43734161</v>
      </c>
    </row>
    <row r="2354" spans="1:6" x14ac:dyDescent="0.35">
      <c r="A2354" s="2">
        <f ca="1">IFERROR(__xludf.DUMMYFUNCTION("""COMPUTED_VALUE"""),45420.6666666666)</f>
        <v>45420.666666666599</v>
      </c>
      <c r="B2354" s="1">
        <f ca="1">IFERROR(__xludf.DUMMYFUNCTION("""COMPUTED_VALUE"""),89.48)</f>
        <v>89.48</v>
      </c>
      <c r="C2354" s="1">
        <f ca="1">IFERROR(__xludf.DUMMYFUNCTION("""COMPUTED_VALUE"""),91.19)</f>
        <v>91.19</v>
      </c>
      <c r="D2354" s="1">
        <f ca="1">IFERROR(__xludf.DUMMYFUNCTION("""COMPUTED_VALUE"""),89.42)</f>
        <v>89.42</v>
      </c>
      <c r="E2354" s="1">
        <f ca="1">IFERROR(__xludf.DUMMYFUNCTION("""COMPUTED_VALUE"""),90.41)</f>
        <v>90.41</v>
      </c>
      <c r="F2354" s="1">
        <f ca="1">IFERROR(__xludf.DUMMYFUNCTION("""COMPUTED_VALUE"""),32572102)</f>
        <v>32572102</v>
      </c>
    </row>
    <row r="2355" spans="1:6" x14ac:dyDescent="0.35">
      <c r="A2355" s="2">
        <f ca="1">IFERROR(__xludf.DUMMYFUNCTION("""COMPUTED_VALUE"""),45421.6666666666)</f>
        <v>45421.666666666599</v>
      </c>
      <c r="B2355" s="1">
        <f ca="1">IFERROR(__xludf.DUMMYFUNCTION("""COMPUTED_VALUE"""),90.53)</f>
        <v>90.53</v>
      </c>
      <c r="C2355" s="1">
        <f ca="1">IFERROR(__xludf.DUMMYFUNCTION("""COMPUTED_VALUE"""),91.07)</f>
        <v>91.07</v>
      </c>
      <c r="D2355" s="1">
        <f ca="1">IFERROR(__xludf.DUMMYFUNCTION("""COMPUTED_VALUE"""),88.23)</f>
        <v>88.23</v>
      </c>
      <c r="E2355" s="1">
        <f ca="1">IFERROR(__xludf.DUMMYFUNCTION("""COMPUTED_VALUE"""),88.75)</f>
        <v>88.75</v>
      </c>
      <c r="F2355" s="1">
        <f ca="1">IFERROR(__xludf.DUMMYFUNCTION("""COMPUTED_VALUE"""),37801268)</f>
        <v>37801268</v>
      </c>
    </row>
    <row r="2356" spans="1:6" x14ac:dyDescent="0.35">
      <c r="A2356" s="2">
        <f ca="1">IFERROR(__xludf.DUMMYFUNCTION("""COMPUTED_VALUE"""),45422.6666666666)</f>
        <v>45422.666666666599</v>
      </c>
      <c r="B2356" s="1">
        <f ca="1">IFERROR(__xludf.DUMMYFUNCTION("""COMPUTED_VALUE"""),90.3)</f>
        <v>90.3</v>
      </c>
      <c r="C2356" s="1">
        <f ca="1">IFERROR(__xludf.DUMMYFUNCTION("""COMPUTED_VALUE"""),91.4)</f>
        <v>91.4</v>
      </c>
      <c r="D2356" s="1">
        <f ca="1">IFERROR(__xludf.DUMMYFUNCTION("""COMPUTED_VALUE"""),89.23)</f>
        <v>89.23</v>
      </c>
      <c r="E2356" s="1">
        <f ca="1">IFERROR(__xludf.DUMMYFUNCTION("""COMPUTED_VALUE"""),89.88)</f>
        <v>89.88</v>
      </c>
      <c r="F2356" s="1">
        <f ca="1">IFERROR(__xludf.DUMMYFUNCTION("""COMPUTED_VALUE"""),33532541)</f>
        <v>33532541</v>
      </c>
    </row>
    <row r="2357" spans="1:6" x14ac:dyDescent="0.35">
      <c r="A2357" s="2">
        <f ca="1">IFERROR(__xludf.DUMMYFUNCTION("""COMPUTED_VALUE"""),45425.6666666666)</f>
        <v>45425.666666666599</v>
      </c>
      <c r="B2357" s="1">
        <f ca="1">IFERROR(__xludf.DUMMYFUNCTION("""COMPUTED_VALUE"""),90.48)</f>
        <v>90.48</v>
      </c>
      <c r="C2357" s="1">
        <f ca="1">IFERROR(__xludf.DUMMYFUNCTION("""COMPUTED_VALUE"""),91)</f>
        <v>91</v>
      </c>
      <c r="D2357" s="1">
        <f ca="1">IFERROR(__xludf.DUMMYFUNCTION("""COMPUTED_VALUE"""),88.53)</f>
        <v>88.53</v>
      </c>
      <c r="E2357" s="1">
        <f ca="1">IFERROR(__xludf.DUMMYFUNCTION("""COMPUTED_VALUE"""),90.4)</f>
        <v>90.4</v>
      </c>
      <c r="F2357" s="1">
        <f ca="1">IFERROR(__xludf.DUMMYFUNCTION("""COMPUTED_VALUE"""),28968017)</f>
        <v>28968017</v>
      </c>
    </row>
    <row r="2358" spans="1:6" x14ac:dyDescent="0.35">
      <c r="A2358" s="2">
        <f ca="1">IFERROR(__xludf.DUMMYFUNCTION("""COMPUTED_VALUE"""),45426.6666666666)</f>
        <v>45426.666666666599</v>
      </c>
      <c r="B2358" s="1">
        <f ca="1">IFERROR(__xludf.DUMMYFUNCTION("""COMPUTED_VALUE"""),89.6)</f>
        <v>89.6</v>
      </c>
      <c r="C2358" s="1">
        <f ca="1">IFERROR(__xludf.DUMMYFUNCTION("""COMPUTED_VALUE"""),91.65)</f>
        <v>91.65</v>
      </c>
      <c r="D2358" s="1">
        <f ca="1">IFERROR(__xludf.DUMMYFUNCTION("""COMPUTED_VALUE"""),88.93)</f>
        <v>88.93</v>
      </c>
      <c r="E2358" s="1">
        <f ca="1">IFERROR(__xludf.DUMMYFUNCTION("""COMPUTED_VALUE"""),91.36)</f>
        <v>91.36</v>
      </c>
      <c r="F2358" s="1">
        <f ca="1">IFERROR(__xludf.DUMMYFUNCTION("""COMPUTED_VALUE"""),29650708)</f>
        <v>29650708</v>
      </c>
    </row>
    <row r="2359" spans="1:6" x14ac:dyDescent="0.35">
      <c r="A2359" s="2">
        <f ca="1">IFERROR(__xludf.DUMMYFUNCTION("""COMPUTED_VALUE"""),45427.6666666666)</f>
        <v>45427.666666666599</v>
      </c>
      <c r="B2359" s="1">
        <f ca="1">IFERROR(__xludf.DUMMYFUNCTION("""COMPUTED_VALUE"""),92.47)</f>
        <v>92.47</v>
      </c>
      <c r="C2359" s="1">
        <f ca="1">IFERROR(__xludf.DUMMYFUNCTION("""COMPUTED_VALUE"""),94.86)</f>
        <v>94.86</v>
      </c>
      <c r="D2359" s="1">
        <f ca="1">IFERROR(__xludf.DUMMYFUNCTION("""COMPUTED_VALUE"""),91.6)</f>
        <v>91.6</v>
      </c>
      <c r="E2359" s="1">
        <f ca="1">IFERROR(__xludf.DUMMYFUNCTION("""COMPUTED_VALUE"""),94.63)</f>
        <v>94.63</v>
      </c>
      <c r="F2359" s="1">
        <f ca="1">IFERROR(__xludf.DUMMYFUNCTION("""COMPUTED_VALUE"""),41773545)</f>
        <v>41773545</v>
      </c>
    </row>
    <row r="2360" spans="1:6" x14ac:dyDescent="0.35">
      <c r="A2360" s="2">
        <f ca="1">IFERROR(__xludf.DUMMYFUNCTION("""COMPUTED_VALUE"""),45428.6666666666)</f>
        <v>45428.666666666599</v>
      </c>
      <c r="B2360" s="1">
        <f ca="1">IFERROR(__xludf.DUMMYFUNCTION("""COMPUTED_VALUE"""),94.91)</f>
        <v>94.91</v>
      </c>
      <c r="C2360" s="1">
        <f ca="1">IFERROR(__xludf.DUMMYFUNCTION("""COMPUTED_VALUE"""),95.82)</f>
        <v>95.82</v>
      </c>
      <c r="D2360" s="1">
        <f ca="1">IFERROR(__xludf.DUMMYFUNCTION("""COMPUTED_VALUE"""),94.1)</f>
        <v>94.1</v>
      </c>
      <c r="E2360" s="1">
        <f ca="1">IFERROR(__xludf.DUMMYFUNCTION("""COMPUTED_VALUE"""),94.36)</f>
        <v>94.36</v>
      </c>
      <c r="F2360" s="1">
        <f ca="1">IFERROR(__xludf.DUMMYFUNCTION("""COMPUTED_VALUE"""),32395182)</f>
        <v>32395182</v>
      </c>
    </row>
    <row r="2361" spans="1:6" x14ac:dyDescent="0.35">
      <c r="A2361" s="2">
        <f ca="1">IFERROR(__xludf.DUMMYFUNCTION("""COMPUTED_VALUE"""),45429.6666666666)</f>
        <v>45429.666666666599</v>
      </c>
      <c r="B2361" s="1">
        <f ca="1">IFERROR(__xludf.DUMMYFUNCTION("""COMPUTED_VALUE"""),94.37)</f>
        <v>94.37</v>
      </c>
      <c r="C2361" s="1">
        <f ca="1">IFERROR(__xludf.DUMMYFUNCTION("""COMPUTED_VALUE"""),94.74)</f>
        <v>94.74</v>
      </c>
      <c r="D2361" s="1">
        <f ca="1">IFERROR(__xludf.DUMMYFUNCTION("""COMPUTED_VALUE"""),91.81)</f>
        <v>91.81</v>
      </c>
      <c r="E2361" s="1">
        <f ca="1">IFERROR(__xludf.DUMMYFUNCTION("""COMPUTED_VALUE"""),92.48)</f>
        <v>92.48</v>
      </c>
      <c r="F2361" s="1">
        <f ca="1">IFERROR(__xludf.DUMMYFUNCTION("""COMPUTED_VALUE"""),35969103)</f>
        <v>35969103</v>
      </c>
    </row>
    <row r="2362" spans="1:6" x14ac:dyDescent="0.35">
      <c r="A2362" s="2">
        <f ca="1">IFERROR(__xludf.DUMMYFUNCTION("""COMPUTED_VALUE"""),45432.6666666666)</f>
        <v>45432.666666666599</v>
      </c>
      <c r="B2362" s="1">
        <f ca="1">IFERROR(__xludf.DUMMYFUNCTION("""COMPUTED_VALUE"""),93.75)</f>
        <v>93.75</v>
      </c>
      <c r="C2362" s="1">
        <f ca="1">IFERROR(__xludf.DUMMYFUNCTION("""COMPUTED_VALUE"""),95.2)</f>
        <v>95.2</v>
      </c>
      <c r="D2362" s="1">
        <f ca="1">IFERROR(__xludf.DUMMYFUNCTION("""COMPUTED_VALUE"""),93.44)</f>
        <v>93.44</v>
      </c>
      <c r="E2362" s="1">
        <f ca="1">IFERROR(__xludf.DUMMYFUNCTION("""COMPUTED_VALUE"""),94.78)</f>
        <v>94.78</v>
      </c>
      <c r="F2362" s="1">
        <f ca="1">IFERROR(__xludf.DUMMYFUNCTION("""COMPUTED_VALUE"""),31876446)</f>
        <v>31876446</v>
      </c>
    </row>
    <row r="2363" spans="1:6" x14ac:dyDescent="0.35">
      <c r="A2363" s="2">
        <f ca="1">IFERROR(__xludf.DUMMYFUNCTION("""COMPUTED_VALUE"""),45433.6666666666)</f>
        <v>45433.666666666599</v>
      </c>
      <c r="B2363" s="1">
        <f ca="1">IFERROR(__xludf.DUMMYFUNCTION("""COMPUTED_VALUE"""),93.6)</f>
        <v>93.6</v>
      </c>
      <c r="C2363" s="1">
        <f ca="1">IFERROR(__xludf.DUMMYFUNCTION("""COMPUTED_VALUE"""),95.4)</f>
        <v>95.4</v>
      </c>
      <c r="D2363" s="1">
        <f ca="1">IFERROR(__xludf.DUMMYFUNCTION("""COMPUTED_VALUE"""),93.18)</f>
        <v>93.18</v>
      </c>
      <c r="E2363" s="1">
        <f ca="1">IFERROR(__xludf.DUMMYFUNCTION("""COMPUTED_VALUE"""),95.39)</f>
        <v>95.39</v>
      </c>
      <c r="F2363" s="1">
        <f ca="1">IFERROR(__xludf.DUMMYFUNCTION("""COMPUTED_VALUE"""),32894646)</f>
        <v>32894646</v>
      </c>
    </row>
    <row r="2364" spans="1:6" x14ac:dyDescent="0.35">
      <c r="A2364" s="2">
        <f ca="1">IFERROR(__xludf.DUMMYFUNCTION("""COMPUTED_VALUE"""),45434.6666666666)</f>
        <v>45434.666666666599</v>
      </c>
      <c r="B2364" s="1">
        <f ca="1">IFERROR(__xludf.DUMMYFUNCTION("""COMPUTED_VALUE"""),95.46)</f>
        <v>95.46</v>
      </c>
      <c r="C2364" s="1">
        <f ca="1">IFERROR(__xludf.DUMMYFUNCTION("""COMPUTED_VALUE"""),96.02)</f>
        <v>96.02</v>
      </c>
      <c r="D2364" s="1">
        <f ca="1">IFERROR(__xludf.DUMMYFUNCTION("""COMPUTED_VALUE"""),93.25)</f>
        <v>93.25</v>
      </c>
      <c r="E2364" s="1">
        <f ca="1">IFERROR(__xludf.DUMMYFUNCTION("""COMPUTED_VALUE"""),94.95)</f>
        <v>94.95</v>
      </c>
      <c r="F2364" s="1">
        <f ca="1">IFERROR(__xludf.DUMMYFUNCTION("""COMPUTED_VALUE"""),54864799)</f>
        <v>54864799</v>
      </c>
    </row>
    <row r="2365" spans="1:6" x14ac:dyDescent="0.35">
      <c r="A2365" s="2">
        <f ca="1">IFERROR(__xludf.DUMMYFUNCTION("""COMPUTED_VALUE"""),45435.6666666666)</f>
        <v>45435.666666666599</v>
      </c>
      <c r="B2365" s="1">
        <f ca="1">IFERROR(__xludf.DUMMYFUNCTION("""COMPUTED_VALUE"""),102.03)</f>
        <v>102.03</v>
      </c>
      <c r="C2365" s="1">
        <f ca="1">IFERROR(__xludf.DUMMYFUNCTION("""COMPUTED_VALUE"""),106.32)</f>
        <v>106.32</v>
      </c>
      <c r="D2365" s="1">
        <f ca="1">IFERROR(__xludf.DUMMYFUNCTION("""COMPUTED_VALUE"""),101.52)</f>
        <v>101.52</v>
      </c>
      <c r="E2365" s="1">
        <f ca="1">IFERROR(__xludf.DUMMYFUNCTION("""COMPUTED_VALUE"""),103.8)</f>
        <v>103.8</v>
      </c>
      <c r="F2365" s="1">
        <f ca="1">IFERROR(__xludf.DUMMYFUNCTION("""COMPUTED_VALUE"""),83506528)</f>
        <v>83506528</v>
      </c>
    </row>
    <row r="2366" spans="1:6" x14ac:dyDescent="0.35">
      <c r="A2366" s="2">
        <f ca="1">IFERROR(__xludf.DUMMYFUNCTION("""COMPUTED_VALUE"""),45436.6666666666)</f>
        <v>45436.666666666599</v>
      </c>
      <c r="B2366" s="1">
        <f ca="1">IFERROR(__xludf.DUMMYFUNCTION("""COMPUTED_VALUE"""),104.45)</f>
        <v>104.45</v>
      </c>
      <c r="C2366" s="1">
        <f ca="1">IFERROR(__xludf.DUMMYFUNCTION("""COMPUTED_VALUE"""),106.48)</f>
        <v>106.48</v>
      </c>
      <c r="D2366" s="1">
        <f ca="1">IFERROR(__xludf.DUMMYFUNCTION("""COMPUTED_VALUE"""),103)</f>
        <v>103</v>
      </c>
      <c r="E2366" s="1">
        <f ca="1">IFERROR(__xludf.DUMMYFUNCTION("""COMPUTED_VALUE"""),106.47)</f>
        <v>106.47</v>
      </c>
      <c r="F2366" s="1">
        <f ca="1">IFERROR(__xludf.DUMMYFUNCTION("""COMPUTED_VALUE"""),42949367)</f>
        <v>42949367</v>
      </c>
    </row>
    <row r="2367" spans="1:6" x14ac:dyDescent="0.35">
      <c r="A2367" s="2">
        <f ca="1">IFERROR(__xludf.DUMMYFUNCTION("""COMPUTED_VALUE"""),45440.6666666666)</f>
        <v>45440.666666666599</v>
      </c>
      <c r="B2367" s="1">
        <f ca="1">IFERROR(__xludf.DUMMYFUNCTION("""COMPUTED_VALUE"""),110.24)</f>
        <v>110.24</v>
      </c>
      <c r="C2367" s="1">
        <f ca="1">IFERROR(__xludf.DUMMYFUNCTION("""COMPUTED_VALUE"""),114.94)</f>
        <v>114.94</v>
      </c>
      <c r="D2367" s="1">
        <f ca="1">IFERROR(__xludf.DUMMYFUNCTION("""COMPUTED_VALUE"""),109.88)</f>
        <v>109.88</v>
      </c>
      <c r="E2367" s="1">
        <f ca="1">IFERROR(__xludf.DUMMYFUNCTION("""COMPUTED_VALUE"""),113.9)</f>
        <v>113.9</v>
      </c>
      <c r="F2367" s="1">
        <f ca="1">IFERROR(__xludf.DUMMYFUNCTION("""COMPUTED_VALUE"""),65272789)</f>
        <v>65272789</v>
      </c>
    </row>
    <row r="2368" spans="1:6" x14ac:dyDescent="0.35">
      <c r="A2368" s="2">
        <f ca="1">IFERROR(__xludf.DUMMYFUNCTION("""COMPUTED_VALUE"""),45441.6666666666)</f>
        <v>45441.666666666599</v>
      </c>
      <c r="B2368" s="1">
        <f ca="1">IFERROR(__xludf.DUMMYFUNCTION("""COMPUTED_VALUE"""),113.05)</f>
        <v>113.05</v>
      </c>
      <c r="C2368" s="1">
        <f ca="1">IFERROR(__xludf.DUMMYFUNCTION("""COMPUTED_VALUE"""),115.49)</f>
        <v>115.49</v>
      </c>
      <c r="D2368" s="1">
        <f ca="1">IFERROR(__xludf.DUMMYFUNCTION("""COMPUTED_VALUE"""),110.9)</f>
        <v>110.9</v>
      </c>
      <c r="E2368" s="1">
        <f ca="1">IFERROR(__xludf.DUMMYFUNCTION("""COMPUTED_VALUE"""),114.83)</f>
        <v>114.83</v>
      </c>
      <c r="F2368" s="1">
        <f ca="1">IFERROR(__xludf.DUMMYFUNCTION("""COMPUTED_VALUE"""),55744193)</f>
        <v>55744193</v>
      </c>
    </row>
    <row r="2369" spans="1:6" x14ac:dyDescent="0.35">
      <c r="A2369" s="2">
        <f ca="1">IFERROR(__xludf.DUMMYFUNCTION("""COMPUTED_VALUE"""),45442.6666666666)</f>
        <v>45442.666666666599</v>
      </c>
      <c r="B2369" s="1">
        <f ca="1">IFERROR(__xludf.DUMMYFUNCTION("""COMPUTED_VALUE"""),114.65)</f>
        <v>114.65</v>
      </c>
      <c r="C2369" s="1">
        <f ca="1">IFERROR(__xludf.DUMMYFUNCTION("""COMPUTED_VALUE"""),115.82)</f>
        <v>115.82</v>
      </c>
      <c r="D2369" s="1">
        <f ca="1">IFERROR(__xludf.DUMMYFUNCTION("""COMPUTED_VALUE"""),109.66)</f>
        <v>109.66</v>
      </c>
      <c r="E2369" s="1">
        <f ca="1">IFERROR(__xludf.DUMMYFUNCTION("""COMPUTED_VALUE"""),110.5)</f>
        <v>110.5</v>
      </c>
      <c r="F2369" s="1">
        <f ca="1">IFERROR(__xludf.DUMMYFUNCTION("""COMPUTED_VALUE"""),48735033)</f>
        <v>48735033</v>
      </c>
    </row>
    <row r="2370" spans="1:6" x14ac:dyDescent="0.35">
      <c r="A2370" s="2">
        <f ca="1">IFERROR(__xludf.DUMMYFUNCTION("""COMPUTED_VALUE"""),45443.6666666666)</f>
        <v>45443.666666666599</v>
      </c>
      <c r="B2370" s="1">
        <f ca="1">IFERROR(__xludf.DUMMYFUNCTION("""COMPUTED_VALUE"""),112.52)</f>
        <v>112.52</v>
      </c>
      <c r="C2370" s="1">
        <f ca="1">IFERROR(__xludf.DUMMYFUNCTION("""COMPUTED_VALUE"""),112.72)</f>
        <v>112.72</v>
      </c>
      <c r="D2370" s="1">
        <f ca="1">IFERROR(__xludf.DUMMYFUNCTION("""COMPUTED_VALUE"""),106.94)</f>
        <v>106.94</v>
      </c>
      <c r="E2370" s="1">
        <f ca="1">IFERROR(__xludf.DUMMYFUNCTION("""COMPUTED_VALUE"""),109.63)</f>
        <v>109.63</v>
      </c>
      <c r="F2370" s="1">
        <f ca="1">IFERROR(__xludf.DUMMYFUNCTION("""COMPUTED_VALUE"""),61326250)</f>
        <v>61326250</v>
      </c>
    </row>
    <row r="2371" spans="1:6" x14ac:dyDescent="0.35">
      <c r="A2371" s="2">
        <f ca="1">IFERROR(__xludf.DUMMYFUNCTION("""COMPUTED_VALUE"""),45446.6666666666)</f>
        <v>45446.666666666599</v>
      </c>
      <c r="B2371" s="1">
        <f ca="1">IFERROR(__xludf.DUMMYFUNCTION("""COMPUTED_VALUE"""),113.62)</f>
        <v>113.62</v>
      </c>
      <c r="C2371" s="1">
        <f ca="1">IFERROR(__xludf.DUMMYFUNCTION("""COMPUTED_VALUE"""),115)</f>
        <v>115</v>
      </c>
      <c r="D2371" s="1">
        <f ca="1">IFERROR(__xludf.DUMMYFUNCTION("""COMPUTED_VALUE"""),112)</f>
        <v>112</v>
      </c>
      <c r="E2371" s="1">
        <f ca="1">IFERROR(__xludf.DUMMYFUNCTION("""COMPUTED_VALUE"""),115)</f>
        <v>115</v>
      </c>
      <c r="F2371" s="1">
        <f ca="1">IFERROR(__xludf.DUMMYFUNCTION("""COMPUTED_VALUE"""),43839176)</f>
        <v>43839176</v>
      </c>
    </row>
    <row r="2372" spans="1:6" x14ac:dyDescent="0.35">
      <c r="A2372" s="2">
        <f ca="1">IFERROR(__xludf.DUMMYFUNCTION("""COMPUTED_VALUE"""),45447.6666666666)</f>
        <v>45447.666666666599</v>
      </c>
      <c r="B2372" s="1">
        <f ca="1">IFERROR(__xludf.DUMMYFUNCTION("""COMPUTED_VALUE"""),115.72)</f>
        <v>115.72</v>
      </c>
      <c r="C2372" s="1">
        <f ca="1">IFERROR(__xludf.DUMMYFUNCTION("""COMPUTED_VALUE"""),116.6)</f>
        <v>116.6</v>
      </c>
      <c r="D2372" s="1">
        <f ca="1">IFERROR(__xludf.DUMMYFUNCTION("""COMPUTED_VALUE"""),114.05)</f>
        <v>114.05</v>
      </c>
      <c r="E2372" s="1">
        <f ca="1">IFERROR(__xludf.DUMMYFUNCTION("""COMPUTED_VALUE"""),116.44)</f>
        <v>116.44</v>
      </c>
      <c r="F2372" s="1">
        <f ca="1">IFERROR(__xludf.DUMMYFUNCTION("""COMPUTED_VALUE"""),40332401)</f>
        <v>40332401</v>
      </c>
    </row>
    <row r="2373" spans="1:6" x14ac:dyDescent="0.35">
      <c r="A2373" s="2">
        <f ca="1">IFERROR(__xludf.DUMMYFUNCTION("""COMPUTED_VALUE"""),45448.6666666666)</f>
        <v>45448.666666666599</v>
      </c>
      <c r="B2373" s="1">
        <f ca="1">IFERROR(__xludf.DUMMYFUNCTION("""COMPUTED_VALUE"""),118.37)</f>
        <v>118.37</v>
      </c>
      <c r="C2373" s="1">
        <f ca="1">IFERROR(__xludf.DUMMYFUNCTION("""COMPUTED_VALUE"""),122.45)</f>
        <v>122.45</v>
      </c>
      <c r="D2373" s="1">
        <f ca="1">IFERROR(__xludf.DUMMYFUNCTION("""COMPUTED_VALUE"""),117.47)</f>
        <v>117.47</v>
      </c>
      <c r="E2373" s="1">
        <f ca="1">IFERROR(__xludf.DUMMYFUNCTION("""COMPUTED_VALUE"""),122.44)</f>
        <v>122.44</v>
      </c>
      <c r="F2373" s="1">
        <f ca="1">IFERROR(__xludf.DUMMYFUNCTION("""COMPUTED_VALUE"""),52840178)</f>
        <v>52840178</v>
      </c>
    </row>
    <row r="2374" spans="1:6" x14ac:dyDescent="0.35">
      <c r="A2374" s="2">
        <f ca="1">IFERROR(__xludf.DUMMYFUNCTION("""COMPUTED_VALUE"""),45449.6666666666)</f>
        <v>45449.666666666599</v>
      </c>
      <c r="B2374" s="1">
        <f ca="1">IFERROR(__xludf.DUMMYFUNCTION("""COMPUTED_VALUE"""),124.05)</f>
        <v>124.05</v>
      </c>
      <c r="C2374" s="1">
        <f ca="1">IFERROR(__xludf.DUMMYFUNCTION("""COMPUTED_VALUE"""),125.59)</f>
        <v>125.59</v>
      </c>
      <c r="D2374" s="1">
        <f ca="1">IFERROR(__xludf.DUMMYFUNCTION("""COMPUTED_VALUE"""),118.32)</f>
        <v>118.32</v>
      </c>
      <c r="E2374" s="1">
        <f ca="1">IFERROR(__xludf.DUMMYFUNCTION("""COMPUTED_VALUE"""),121)</f>
        <v>121</v>
      </c>
      <c r="F2374" s="1">
        <f ca="1">IFERROR(__xludf.DUMMYFUNCTION("""COMPUTED_VALUE"""),66469619)</f>
        <v>66469619</v>
      </c>
    </row>
    <row r="2375" spans="1:6" x14ac:dyDescent="0.35">
      <c r="A2375" s="2">
        <f ca="1">IFERROR(__xludf.DUMMYFUNCTION("""COMPUTED_VALUE"""),45450.6666666666)</f>
        <v>45450.666666666599</v>
      </c>
      <c r="B2375" s="1">
        <f ca="1">IFERROR(__xludf.DUMMYFUNCTION("""COMPUTED_VALUE"""),119.77)</f>
        <v>119.77</v>
      </c>
      <c r="C2375" s="1">
        <f ca="1">IFERROR(__xludf.DUMMYFUNCTION("""COMPUTED_VALUE"""),121.69)</f>
        <v>121.69</v>
      </c>
      <c r="D2375" s="1">
        <f ca="1">IFERROR(__xludf.DUMMYFUNCTION("""COMPUTED_VALUE"""),118.02)</f>
        <v>118.02</v>
      </c>
      <c r="E2375" s="1">
        <f ca="1">IFERROR(__xludf.DUMMYFUNCTION("""COMPUTED_VALUE"""),120.89)</f>
        <v>120.89</v>
      </c>
      <c r="F2375" s="1">
        <f ca="1">IFERROR(__xludf.DUMMYFUNCTION("""COMPUTED_VALUE"""),41238580)</f>
        <v>41238580</v>
      </c>
    </row>
    <row r="2376" spans="1:6" x14ac:dyDescent="0.35">
      <c r="A2376" s="2">
        <f ca="1">IFERROR(__xludf.DUMMYFUNCTION("""COMPUTED_VALUE"""),45453.6666666666)</f>
        <v>45453.666666666599</v>
      </c>
      <c r="B2376" s="1">
        <f ca="1">IFERROR(__xludf.DUMMYFUNCTION("""COMPUTED_VALUE"""),120.37)</f>
        <v>120.37</v>
      </c>
      <c r="C2376" s="1">
        <f ca="1">IFERROR(__xludf.DUMMYFUNCTION("""COMPUTED_VALUE"""),123.1)</f>
        <v>123.1</v>
      </c>
      <c r="D2376" s="1">
        <f ca="1">IFERROR(__xludf.DUMMYFUNCTION("""COMPUTED_VALUE"""),117.01)</f>
        <v>117.01</v>
      </c>
      <c r="E2376" s="1">
        <f ca="1">IFERROR(__xludf.DUMMYFUNCTION("""COMPUTED_VALUE"""),121.79)</f>
        <v>121.79</v>
      </c>
      <c r="F2376" s="1">
        <f ca="1">IFERROR(__xludf.DUMMYFUNCTION("""COMPUTED_VALUE"""),314162650)</f>
        <v>314162650</v>
      </c>
    </row>
    <row r="2377" spans="1:6" x14ac:dyDescent="0.35">
      <c r="A2377" s="2">
        <f ca="1">IFERROR(__xludf.DUMMYFUNCTION("""COMPUTED_VALUE"""),45454.6666666666)</f>
        <v>45454.666666666599</v>
      </c>
      <c r="B2377" s="1">
        <f ca="1">IFERROR(__xludf.DUMMYFUNCTION("""COMPUTED_VALUE"""),121.77)</f>
        <v>121.77</v>
      </c>
      <c r="C2377" s="1">
        <f ca="1">IFERROR(__xludf.DUMMYFUNCTION("""COMPUTED_VALUE"""),122.87)</f>
        <v>122.87</v>
      </c>
      <c r="D2377" s="1">
        <f ca="1">IFERROR(__xludf.DUMMYFUNCTION("""COMPUTED_VALUE"""),118.74)</f>
        <v>118.74</v>
      </c>
      <c r="E2377" s="1">
        <f ca="1">IFERROR(__xludf.DUMMYFUNCTION("""COMPUTED_VALUE"""),120.91)</f>
        <v>120.91</v>
      </c>
      <c r="F2377" s="1">
        <f ca="1">IFERROR(__xludf.DUMMYFUNCTION("""COMPUTED_VALUE"""),222551158)</f>
        <v>222551158</v>
      </c>
    </row>
    <row r="2378" spans="1:6" x14ac:dyDescent="0.35">
      <c r="A2378" s="2">
        <f ca="1">IFERROR(__xludf.DUMMYFUNCTION("""COMPUTED_VALUE"""),45455.6666666666)</f>
        <v>45455.666666666599</v>
      </c>
      <c r="B2378" s="1">
        <f ca="1">IFERROR(__xludf.DUMMYFUNCTION("""COMPUTED_VALUE"""),123.06)</f>
        <v>123.06</v>
      </c>
      <c r="C2378" s="1">
        <f ca="1">IFERROR(__xludf.DUMMYFUNCTION("""COMPUTED_VALUE"""),126.88)</f>
        <v>126.88</v>
      </c>
      <c r="D2378" s="1">
        <f ca="1">IFERROR(__xludf.DUMMYFUNCTION("""COMPUTED_VALUE"""),122.57)</f>
        <v>122.57</v>
      </c>
      <c r="E2378" s="1">
        <f ca="1">IFERROR(__xludf.DUMMYFUNCTION("""COMPUTED_VALUE"""),125.2)</f>
        <v>125.2</v>
      </c>
      <c r="F2378" s="1">
        <f ca="1">IFERROR(__xludf.DUMMYFUNCTION("""COMPUTED_VALUE"""),299595001)</f>
        <v>299595001</v>
      </c>
    </row>
    <row r="2379" spans="1:6" x14ac:dyDescent="0.35">
      <c r="A2379" s="2">
        <f ca="1">IFERROR(__xludf.DUMMYFUNCTION("""COMPUTED_VALUE"""),45456.6666666666)</f>
        <v>45456.666666666599</v>
      </c>
      <c r="B2379" s="1">
        <f ca="1">IFERROR(__xludf.DUMMYFUNCTION("""COMPUTED_VALUE"""),129.39)</f>
        <v>129.38999999999999</v>
      </c>
      <c r="C2379" s="1">
        <f ca="1">IFERROR(__xludf.DUMMYFUNCTION("""COMPUTED_VALUE"""),129.8)</f>
        <v>129.80000000000001</v>
      </c>
      <c r="D2379" s="1">
        <f ca="1">IFERROR(__xludf.DUMMYFUNCTION("""COMPUTED_VALUE"""),127.16)</f>
        <v>127.16</v>
      </c>
      <c r="E2379" s="1">
        <f ca="1">IFERROR(__xludf.DUMMYFUNCTION("""COMPUTED_VALUE"""),129.61)</f>
        <v>129.61000000000001</v>
      </c>
      <c r="F2379" s="1">
        <f ca="1">IFERROR(__xludf.DUMMYFUNCTION("""COMPUTED_VALUE"""),260704537)</f>
        <v>260704537</v>
      </c>
    </row>
    <row r="2380" spans="1:6" x14ac:dyDescent="0.35">
      <c r="A2380" s="2">
        <f ca="1">IFERROR(__xludf.DUMMYFUNCTION("""COMPUTED_VALUE"""),45457.6666666666)</f>
        <v>45457.666666666599</v>
      </c>
      <c r="B2380" s="1">
        <f ca="1">IFERROR(__xludf.DUMMYFUNCTION("""COMPUTED_VALUE"""),129.96)</f>
        <v>129.96</v>
      </c>
      <c r="C2380" s="1">
        <f ca="1">IFERROR(__xludf.DUMMYFUNCTION("""COMPUTED_VALUE"""),132.84)</f>
        <v>132.84</v>
      </c>
      <c r="D2380" s="1">
        <f ca="1">IFERROR(__xludf.DUMMYFUNCTION("""COMPUTED_VALUE"""),128.32)</f>
        <v>128.32</v>
      </c>
      <c r="E2380" s="1">
        <f ca="1">IFERROR(__xludf.DUMMYFUNCTION("""COMPUTED_VALUE"""),131.88)</f>
        <v>131.88</v>
      </c>
      <c r="F2380" s="1">
        <f ca="1">IFERROR(__xludf.DUMMYFUNCTION("""COMPUTED_VALUE"""),309320376)</f>
        <v>309320376</v>
      </c>
    </row>
    <row r="2381" spans="1:6" x14ac:dyDescent="0.35">
      <c r="A2381" s="2">
        <f ca="1">IFERROR(__xludf.DUMMYFUNCTION("""COMPUTED_VALUE"""),45460.6666666666)</f>
        <v>45460.666666666599</v>
      </c>
      <c r="B2381" s="1">
        <f ca="1">IFERROR(__xludf.DUMMYFUNCTION("""COMPUTED_VALUE"""),132.99)</f>
        <v>132.99</v>
      </c>
      <c r="C2381" s="1">
        <f ca="1">IFERROR(__xludf.DUMMYFUNCTION("""COMPUTED_VALUE"""),133.73)</f>
        <v>133.72999999999999</v>
      </c>
      <c r="D2381" s="1">
        <f ca="1">IFERROR(__xludf.DUMMYFUNCTION("""COMPUTED_VALUE"""),129.58)</f>
        <v>129.58000000000001</v>
      </c>
      <c r="E2381" s="1">
        <f ca="1">IFERROR(__xludf.DUMMYFUNCTION("""COMPUTED_VALUE"""),130.98)</f>
        <v>130.97999999999999</v>
      </c>
      <c r="F2381" s="1">
        <f ca="1">IFERROR(__xludf.DUMMYFUNCTION("""COMPUTED_VALUE"""),288504444)</f>
        <v>288504444</v>
      </c>
    </row>
    <row r="2382" spans="1:6" x14ac:dyDescent="0.35">
      <c r="A2382" s="2">
        <f ca="1">IFERROR(__xludf.DUMMYFUNCTION("""COMPUTED_VALUE"""),45461.6666666666)</f>
        <v>45461.666666666599</v>
      </c>
      <c r="B2382" s="1">
        <f ca="1">IFERROR(__xludf.DUMMYFUNCTION("""COMPUTED_VALUE"""),131.14)</f>
        <v>131.13999999999999</v>
      </c>
      <c r="C2382" s="1">
        <f ca="1">IFERROR(__xludf.DUMMYFUNCTION("""COMPUTED_VALUE"""),136.33)</f>
        <v>136.33000000000001</v>
      </c>
      <c r="D2382" s="1">
        <f ca="1">IFERROR(__xludf.DUMMYFUNCTION("""COMPUTED_VALUE"""),130.69)</f>
        <v>130.69</v>
      </c>
      <c r="E2382" s="1">
        <f ca="1">IFERROR(__xludf.DUMMYFUNCTION("""COMPUTED_VALUE"""),135.58)</f>
        <v>135.58000000000001</v>
      </c>
      <c r="F2382" s="1">
        <f ca="1">IFERROR(__xludf.DUMMYFUNCTION("""COMPUTED_VALUE"""),294335054)</f>
        <v>294335054</v>
      </c>
    </row>
    <row r="2383" spans="1:6" x14ac:dyDescent="0.35">
      <c r="A2383" s="2">
        <f ca="1">IFERROR(__xludf.DUMMYFUNCTION("""COMPUTED_VALUE"""),45463.6666666666)</f>
        <v>45463.666666666599</v>
      </c>
      <c r="B2383" s="1">
        <f ca="1">IFERROR(__xludf.DUMMYFUNCTION("""COMPUTED_VALUE"""),139.8)</f>
        <v>139.80000000000001</v>
      </c>
      <c r="C2383" s="1">
        <f ca="1">IFERROR(__xludf.DUMMYFUNCTION("""COMPUTED_VALUE"""),140.76)</f>
        <v>140.76</v>
      </c>
      <c r="D2383" s="1">
        <f ca="1">IFERROR(__xludf.DUMMYFUNCTION("""COMPUTED_VALUE"""),129.52)</f>
        <v>129.52000000000001</v>
      </c>
      <c r="E2383" s="1">
        <f ca="1">IFERROR(__xludf.DUMMYFUNCTION("""COMPUTED_VALUE"""),130.78)</f>
        <v>130.78</v>
      </c>
      <c r="F2383" s="1">
        <f ca="1">IFERROR(__xludf.DUMMYFUNCTION("""COMPUTED_VALUE"""),517768425)</f>
        <v>517768425</v>
      </c>
    </row>
    <row r="2384" spans="1:6" x14ac:dyDescent="0.35">
      <c r="A2384" s="2">
        <f ca="1">IFERROR(__xludf.DUMMYFUNCTION("""COMPUTED_VALUE"""),45464.6666666666)</f>
        <v>45464.666666666599</v>
      </c>
      <c r="B2384" s="1">
        <f ca="1">IFERROR(__xludf.DUMMYFUNCTION("""COMPUTED_VALUE"""),127.12)</f>
        <v>127.12</v>
      </c>
      <c r="C2384" s="1">
        <f ca="1">IFERROR(__xludf.DUMMYFUNCTION("""COMPUTED_VALUE"""),130.63)</f>
        <v>130.63</v>
      </c>
      <c r="D2384" s="1">
        <f ca="1">IFERROR(__xludf.DUMMYFUNCTION("""COMPUTED_VALUE"""),124.3)</f>
        <v>124.3</v>
      </c>
      <c r="E2384" s="1">
        <f ca="1">IFERROR(__xludf.DUMMYFUNCTION("""COMPUTED_VALUE"""),126.57)</f>
        <v>126.57</v>
      </c>
      <c r="F2384" s="1">
        <f ca="1">IFERROR(__xludf.DUMMYFUNCTION("""COMPUTED_VALUE"""),655484664)</f>
        <v>655484664</v>
      </c>
    </row>
    <row r="2385" spans="1:6" x14ac:dyDescent="0.35">
      <c r="A2385" s="2">
        <f ca="1">IFERROR(__xludf.DUMMYFUNCTION("""COMPUTED_VALUE"""),45467.6666666666)</f>
        <v>45467.666666666599</v>
      </c>
      <c r="B2385" s="1">
        <f ca="1">IFERROR(__xludf.DUMMYFUNCTION("""COMPUTED_VALUE"""),123.24)</f>
        <v>123.24</v>
      </c>
      <c r="C2385" s="1">
        <f ca="1">IFERROR(__xludf.DUMMYFUNCTION("""COMPUTED_VALUE"""),124.46)</f>
        <v>124.46</v>
      </c>
      <c r="D2385" s="1">
        <f ca="1">IFERROR(__xludf.DUMMYFUNCTION("""COMPUTED_VALUE"""),118.04)</f>
        <v>118.04</v>
      </c>
      <c r="E2385" s="1">
        <f ca="1">IFERROR(__xludf.DUMMYFUNCTION("""COMPUTED_VALUE"""),118.11)</f>
        <v>118.11</v>
      </c>
      <c r="F2385" s="1">
        <f ca="1">IFERROR(__xludf.DUMMYFUNCTION("""COMPUTED_VALUE"""),476060866)</f>
        <v>476060866</v>
      </c>
    </row>
    <row r="2386" spans="1:6" x14ac:dyDescent="0.35">
      <c r="A2386" s="2">
        <f ca="1">IFERROR(__xludf.DUMMYFUNCTION("""COMPUTED_VALUE"""),45468.6666666666)</f>
        <v>45468.666666666599</v>
      </c>
      <c r="B2386" s="1">
        <f ca="1">IFERROR(__xludf.DUMMYFUNCTION("""COMPUTED_VALUE"""),121.2)</f>
        <v>121.2</v>
      </c>
      <c r="C2386" s="1">
        <f ca="1">IFERROR(__xludf.DUMMYFUNCTION("""COMPUTED_VALUE"""),126.5)</f>
        <v>126.5</v>
      </c>
      <c r="D2386" s="1">
        <f ca="1">IFERROR(__xludf.DUMMYFUNCTION("""COMPUTED_VALUE"""),119.32)</f>
        <v>119.32</v>
      </c>
      <c r="E2386" s="1">
        <f ca="1">IFERROR(__xludf.DUMMYFUNCTION("""COMPUTED_VALUE"""),126.09)</f>
        <v>126.09</v>
      </c>
      <c r="F2386" s="1">
        <f ca="1">IFERROR(__xludf.DUMMYFUNCTION("""COMPUTED_VALUE"""),425787456)</f>
        <v>425787456</v>
      </c>
    </row>
    <row r="2387" spans="1:6" x14ac:dyDescent="0.35">
      <c r="A2387" s="2">
        <f ca="1">IFERROR(__xludf.DUMMYFUNCTION("""COMPUTED_VALUE"""),45469.6666666666)</f>
        <v>45469.666666666599</v>
      </c>
      <c r="B2387" s="1">
        <f ca="1">IFERROR(__xludf.DUMMYFUNCTION("""COMPUTED_VALUE"""),126.13)</f>
        <v>126.13</v>
      </c>
      <c r="C2387" s="1">
        <f ca="1">IFERROR(__xludf.DUMMYFUNCTION("""COMPUTED_VALUE"""),128.12)</f>
        <v>128.12</v>
      </c>
      <c r="D2387" s="1">
        <f ca="1">IFERROR(__xludf.DUMMYFUNCTION("""COMPUTED_VALUE"""),122.6)</f>
        <v>122.6</v>
      </c>
      <c r="E2387" s="1">
        <f ca="1">IFERROR(__xludf.DUMMYFUNCTION("""COMPUTED_VALUE"""),126.4)</f>
        <v>126.4</v>
      </c>
      <c r="F2387" s="1">
        <f ca="1">IFERROR(__xludf.DUMMYFUNCTION("""COMPUTED_VALUE"""),362975918)</f>
        <v>362975918</v>
      </c>
    </row>
    <row r="2388" spans="1:6" x14ac:dyDescent="0.35">
      <c r="A2388" s="2">
        <f ca="1">IFERROR(__xludf.DUMMYFUNCTION("""COMPUTED_VALUE"""),45470.6666666666)</f>
        <v>45470.666666666599</v>
      </c>
      <c r="B2388" s="1">
        <f ca="1">IFERROR(__xludf.DUMMYFUNCTION("""COMPUTED_VALUE"""),124.1)</f>
        <v>124.1</v>
      </c>
      <c r="C2388" s="1">
        <f ca="1">IFERROR(__xludf.DUMMYFUNCTION("""COMPUTED_VALUE"""),126.41)</f>
        <v>126.41</v>
      </c>
      <c r="D2388" s="1">
        <f ca="1">IFERROR(__xludf.DUMMYFUNCTION("""COMPUTED_VALUE"""),122.92)</f>
        <v>122.92</v>
      </c>
      <c r="E2388" s="1">
        <f ca="1">IFERROR(__xludf.DUMMYFUNCTION("""COMPUTED_VALUE"""),123.99)</f>
        <v>123.99</v>
      </c>
      <c r="F2388" s="1">
        <f ca="1">IFERROR(__xludf.DUMMYFUNCTION("""COMPUTED_VALUE"""),252571693)</f>
        <v>252571693</v>
      </c>
    </row>
    <row r="2389" spans="1:6" x14ac:dyDescent="0.35">
      <c r="A2389" s="2">
        <f ca="1">IFERROR(__xludf.DUMMYFUNCTION("""COMPUTED_VALUE"""),45471.6666666666)</f>
        <v>45471.666666666599</v>
      </c>
      <c r="B2389" s="1">
        <f ca="1">IFERROR(__xludf.DUMMYFUNCTION("""COMPUTED_VALUE"""),124.58)</f>
        <v>124.58</v>
      </c>
      <c r="C2389" s="1">
        <f ca="1">IFERROR(__xludf.DUMMYFUNCTION("""COMPUTED_VALUE"""),127.71)</f>
        <v>127.71</v>
      </c>
      <c r="D2389" s="1">
        <f ca="1">IFERROR(__xludf.DUMMYFUNCTION("""COMPUTED_VALUE"""),122.75)</f>
        <v>122.75</v>
      </c>
      <c r="E2389" s="1">
        <f ca="1">IFERROR(__xludf.DUMMYFUNCTION("""COMPUTED_VALUE"""),123.54)</f>
        <v>123.54</v>
      </c>
      <c r="F2389" s="1">
        <f ca="1">IFERROR(__xludf.DUMMYFUNCTION("""COMPUTED_VALUE"""),315516740)</f>
        <v>315516740</v>
      </c>
    </row>
    <row r="2390" spans="1:6" x14ac:dyDescent="0.35">
      <c r="A2390" s="2">
        <f ca="1">IFERROR(__xludf.DUMMYFUNCTION("""COMPUTED_VALUE"""),45474.6666666666)</f>
        <v>45474.666666666599</v>
      </c>
      <c r="B2390" s="1">
        <f ca="1">IFERROR(__xludf.DUMMYFUNCTION("""COMPUTED_VALUE"""),123.47)</f>
        <v>123.47</v>
      </c>
      <c r="C2390" s="1">
        <f ca="1">IFERROR(__xludf.DUMMYFUNCTION("""COMPUTED_VALUE"""),124.84)</f>
        <v>124.84</v>
      </c>
      <c r="D2390" s="1">
        <f ca="1">IFERROR(__xludf.DUMMYFUNCTION("""COMPUTED_VALUE"""),118.83)</f>
        <v>118.83</v>
      </c>
      <c r="E2390" s="1">
        <f ca="1">IFERROR(__xludf.DUMMYFUNCTION("""COMPUTED_VALUE"""),124.3)</f>
        <v>124.3</v>
      </c>
      <c r="F2390" s="1">
        <f ca="1">IFERROR(__xludf.DUMMYFUNCTION("""COMPUTED_VALUE"""),284885534)</f>
        <v>284885534</v>
      </c>
    </row>
    <row r="2391" spans="1:6" x14ac:dyDescent="0.35">
      <c r="A2391" s="2">
        <f ca="1">IFERROR(__xludf.DUMMYFUNCTION("""COMPUTED_VALUE"""),45475.6666666666)</f>
        <v>45475.666666666599</v>
      </c>
      <c r="B2391" s="1">
        <f ca="1">IFERROR(__xludf.DUMMYFUNCTION("""COMPUTED_VALUE"""),121.13)</f>
        <v>121.13</v>
      </c>
      <c r="C2391" s="1">
        <f ca="1">IFERROR(__xludf.DUMMYFUNCTION("""COMPUTED_VALUE"""),123.41)</f>
        <v>123.41</v>
      </c>
      <c r="D2391" s="1">
        <f ca="1">IFERROR(__xludf.DUMMYFUNCTION("""COMPUTED_VALUE"""),121.03)</f>
        <v>121.03</v>
      </c>
      <c r="E2391" s="1">
        <f ca="1">IFERROR(__xludf.DUMMYFUNCTION("""COMPUTED_VALUE"""),122.67)</f>
        <v>122.67</v>
      </c>
      <c r="F2391" s="1">
        <f ca="1">IFERROR(__xludf.DUMMYFUNCTION("""COMPUTED_VALUE"""),218373969)</f>
        <v>218373969</v>
      </c>
    </row>
    <row r="2392" spans="1:6" x14ac:dyDescent="0.35">
      <c r="A2392" s="2">
        <f ca="1">IFERROR(__xludf.DUMMYFUNCTION("""COMPUTED_VALUE"""),45476.5451388888)</f>
        <v>45476.545138888803</v>
      </c>
      <c r="B2392" s="1">
        <f ca="1">IFERROR(__xludf.DUMMYFUNCTION("""COMPUTED_VALUE"""),121.66)</f>
        <v>121.66</v>
      </c>
      <c r="C2392" s="1">
        <f ca="1">IFERROR(__xludf.DUMMYFUNCTION("""COMPUTED_VALUE"""),128.28)</f>
        <v>128.28</v>
      </c>
      <c r="D2392" s="1">
        <f ca="1">IFERROR(__xludf.DUMMYFUNCTION("""COMPUTED_VALUE"""),121.36)</f>
        <v>121.36</v>
      </c>
      <c r="E2392" s="1">
        <f ca="1">IFERROR(__xludf.DUMMYFUNCTION("""COMPUTED_VALUE"""),128.28)</f>
        <v>128.28</v>
      </c>
      <c r="F2392" s="1">
        <f ca="1">IFERROR(__xludf.DUMMYFUNCTION("""COMPUTED_VALUE"""),215748955)</f>
        <v>215748955</v>
      </c>
    </row>
    <row r="2393" spans="1:6" x14ac:dyDescent="0.35">
      <c r="A2393" s="2">
        <f ca="1">IFERROR(__xludf.DUMMYFUNCTION("""COMPUTED_VALUE"""),45478.6666666666)</f>
        <v>45478.666666666599</v>
      </c>
      <c r="B2393" s="1">
        <f ca="1">IFERROR(__xludf.DUMMYFUNCTION("""COMPUTED_VALUE"""),127.38)</f>
        <v>127.38</v>
      </c>
      <c r="C2393" s="1">
        <f ca="1">IFERROR(__xludf.DUMMYFUNCTION("""COMPUTED_VALUE"""),128.85)</f>
        <v>128.85</v>
      </c>
      <c r="D2393" s="1">
        <f ca="1">IFERROR(__xludf.DUMMYFUNCTION("""COMPUTED_VALUE"""),125.68)</f>
        <v>125.68</v>
      </c>
      <c r="E2393" s="1">
        <f ca="1">IFERROR(__xludf.DUMMYFUNCTION("""COMPUTED_VALUE"""),125.83)</f>
        <v>125.83</v>
      </c>
      <c r="F2393" s="1">
        <f ca="1">IFERROR(__xludf.DUMMYFUNCTION("""COMPUTED_VALUE"""),214176689)</f>
        <v>214176689</v>
      </c>
    </row>
    <row r="2394" spans="1:6" x14ac:dyDescent="0.35">
      <c r="A2394" s="2">
        <f ca="1">IFERROR(__xludf.DUMMYFUNCTION("""COMPUTED_VALUE"""),45481.6666666666)</f>
        <v>45481.666666666599</v>
      </c>
      <c r="B2394" s="1">
        <f ca="1">IFERROR(__xludf.DUMMYFUNCTION("""COMPUTED_VALUE"""),127.49)</f>
        <v>127.49</v>
      </c>
      <c r="C2394" s="1">
        <f ca="1">IFERROR(__xludf.DUMMYFUNCTION("""COMPUTED_VALUE"""),130.77)</f>
        <v>130.77000000000001</v>
      </c>
      <c r="D2394" s="1">
        <f ca="1">IFERROR(__xludf.DUMMYFUNCTION("""COMPUTED_VALUE"""),127.04)</f>
        <v>127.04</v>
      </c>
      <c r="E2394" s="1">
        <f ca="1">IFERROR(__xludf.DUMMYFUNCTION("""COMPUTED_VALUE"""),128.2)</f>
        <v>128.19999999999999</v>
      </c>
      <c r="F2394" s="1">
        <f ca="1">IFERROR(__xludf.DUMMYFUNCTION("""COMPUTED_VALUE"""),237677322)</f>
        <v>237677322</v>
      </c>
    </row>
    <row r="2395" spans="1:6" x14ac:dyDescent="0.35">
      <c r="A2395" s="2">
        <f ca="1">IFERROR(__xludf.DUMMYFUNCTION("""COMPUTED_VALUE"""),45482.6666666666)</f>
        <v>45482.666666666599</v>
      </c>
      <c r="B2395" s="1">
        <f ca="1">IFERROR(__xludf.DUMMYFUNCTION("""COMPUTED_VALUE"""),130.35)</f>
        <v>130.35</v>
      </c>
      <c r="C2395" s="1">
        <f ca="1">IFERROR(__xludf.DUMMYFUNCTION("""COMPUTED_VALUE"""),133.82)</f>
        <v>133.82</v>
      </c>
      <c r="D2395" s="1">
        <f ca="1">IFERROR(__xludf.DUMMYFUNCTION("""COMPUTED_VALUE"""),128.65)</f>
        <v>128.65</v>
      </c>
      <c r="E2395" s="1">
        <f ca="1">IFERROR(__xludf.DUMMYFUNCTION("""COMPUTED_VALUE"""),131.38)</f>
        <v>131.38</v>
      </c>
      <c r="F2395" s="1">
        <f ca="1">IFERROR(__xludf.DUMMYFUNCTION("""COMPUTED_VALUE"""),287020820)</f>
        <v>287020820</v>
      </c>
    </row>
    <row r="2396" spans="1:6" x14ac:dyDescent="0.35">
      <c r="A2396" s="2">
        <f ca="1">IFERROR(__xludf.DUMMYFUNCTION("""COMPUTED_VALUE"""),45483.6666666666)</f>
        <v>45483.666666666599</v>
      </c>
      <c r="B2396" s="1">
        <f ca="1">IFERROR(__xludf.DUMMYFUNCTION("""COMPUTED_VALUE"""),134.03)</f>
        <v>134.03</v>
      </c>
      <c r="C2396" s="1">
        <f ca="1">IFERROR(__xludf.DUMMYFUNCTION("""COMPUTED_VALUE"""),135.1)</f>
        <v>135.1</v>
      </c>
      <c r="D2396" s="1">
        <f ca="1">IFERROR(__xludf.DUMMYFUNCTION("""COMPUTED_VALUE"""),132.42)</f>
        <v>132.41999999999999</v>
      </c>
      <c r="E2396" s="1">
        <f ca="1">IFERROR(__xludf.DUMMYFUNCTION("""COMPUTED_VALUE"""),134.91)</f>
        <v>134.91</v>
      </c>
      <c r="F2396" s="1">
        <f ca="1">IFERROR(__xludf.DUMMYFUNCTION("""COMPUTED_VALUE"""),248978569)</f>
        <v>248978569</v>
      </c>
    </row>
    <row r="2397" spans="1:6" x14ac:dyDescent="0.35">
      <c r="A2397" s="2">
        <f ca="1">IFERROR(__xludf.DUMMYFUNCTION("""COMPUTED_VALUE"""),45484.6666666666)</f>
        <v>45484.666666666599</v>
      </c>
      <c r="B2397" s="1">
        <f ca="1">IFERROR(__xludf.DUMMYFUNCTION("""COMPUTED_VALUE"""),135.75)</f>
        <v>135.75</v>
      </c>
      <c r="C2397" s="1">
        <f ca="1">IFERROR(__xludf.DUMMYFUNCTION("""COMPUTED_VALUE"""),136.15)</f>
        <v>136.15</v>
      </c>
      <c r="D2397" s="1">
        <f ca="1">IFERROR(__xludf.DUMMYFUNCTION("""COMPUTED_VALUE"""),127.05)</f>
        <v>127.05</v>
      </c>
      <c r="E2397" s="1">
        <f ca="1">IFERROR(__xludf.DUMMYFUNCTION("""COMPUTED_VALUE"""),127.4)</f>
        <v>127.4</v>
      </c>
      <c r="F2397" s="1">
        <f ca="1">IFERROR(__xludf.DUMMYFUNCTION("""COMPUTED_VALUE"""),374782738)</f>
        <v>374782738</v>
      </c>
    </row>
    <row r="2398" spans="1:6" x14ac:dyDescent="0.35">
      <c r="A2398" s="2">
        <f ca="1">IFERROR(__xludf.DUMMYFUNCTION("""COMPUTED_VALUE"""),45485.6666666666)</f>
        <v>45485.666666666599</v>
      </c>
      <c r="B2398" s="1">
        <f ca="1">IFERROR(__xludf.DUMMYFUNCTION("""COMPUTED_VALUE"""),128.26)</f>
        <v>128.26</v>
      </c>
      <c r="C2398" s="1">
        <f ca="1">IFERROR(__xludf.DUMMYFUNCTION("""COMPUTED_VALUE"""),131.92)</f>
        <v>131.91999999999999</v>
      </c>
      <c r="D2398" s="1">
        <f ca="1">IFERROR(__xludf.DUMMYFUNCTION("""COMPUTED_VALUE"""),127.22)</f>
        <v>127.22</v>
      </c>
      <c r="E2398" s="1">
        <f ca="1">IFERROR(__xludf.DUMMYFUNCTION("""COMPUTED_VALUE"""),129.24)</f>
        <v>129.24</v>
      </c>
      <c r="F2398" s="1">
        <f ca="1">IFERROR(__xludf.DUMMYFUNCTION("""COMPUTED_VALUE"""),252680535)</f>
        <v>252680535</v>
      </c>
    </row>
    <row r="2399" spans="1:6" x14ac:dyDescent="0.35">
      <c r="A2399" s="2">
        <f ca="1">IFERROR(__xludf.DUMMYFUNCTION("""COMPUTED_VALUE"""),45488.6666666666)</f>
        <v>45488.666666666599</v>
      </c>
      <c r="B2399" s="1">
        <f ca="1">IFERROR(__xludf.DUMMYFUNCTION("""COMPUTED_VALUE"""),130.56)</f>
        <v>130.56</v>
      </c>
      <c r="C2399" s="1">
        <f ca="1">IFERROR(__xludf.DUMMYFUNCTION("""COMPUTED_VALUE"""),131.39)</f>
        <v>131.38999999999999</v>
      </c>
      <c r="D2399" s="1">
        <f ca="1">IFERROR(__xludf.DUMMYFUNCTION("""COMPUTED_VALUE"""),127.18)</f>
        <v>127.18</v>
      </c>
      <c r="E2399" s="1">
        <f ca="1">IFERROR(__xludf.DUMMYFUNCTION("""COMPUTED_VALUE"""),128.44)</f>
        <v>128.44</v>
      </c>
      <c r="F2399" s="1">
        <f ca="1">IFERROR(__xludf.DUMMYFUNCTION("""COMPUTED_VALUE"""),208326164)</f>
        <v>208326164</v>
      </c>
    </row>
    <row r="2400" spans="1:6" x14ac:dyDescent="0.35">
      <c r="A2400" s="2">
        <f ca="1">IFERROR(__xludf.DUMMYFUNCTION("""COMPUTED_VALUE"""),45489.6666666666)</f>
        <v>45489.666666666599</v>
      </c>
      <c r="B2400" s="1">
        <f ca="1">IFERROR(__xludf.DUMMYFUNCTION("""COMPUTED_VALUE"""),128.44)</f>
        <v>128.44</v>
      </c>
      <c r="C2400" s="1">
        <f ca="1">IFERROR(__xludf.DUMMYFUNCTION("""COMPUTED_VALUE"""),129.04)</f>
        <v>129.04</v>
      </c>
      <c r="D2400" s="1">
        <f ca="1">IFERROR(__xludf.DUMMYFUNCTION("""COMPUTED_VALUE"""),124.58)</f>
        <v>124.58</v>
      </c>
      <c r="E2400" s="1">
        <f ca="1">IFERROR(__xludf.DUMMYFUNCTION("""COMPUTED_VALUE"""),126.36)</f>
        <v>126.36</v>
      </c>
      <c r="F2400" s="1">
        <f ca="1">IFERROR(__xludf.DUMMYFUNCTION("""COMPUTED_VALUE"""),214769515)</f>
        <v>214769515</v>
      </c>
    </row>
    <row r="2401" spans="1:6" x14ac:dyDescent="0.35">
      <c r="A2401" s="2">
        <f ca="1">IFERROR(__xludf.DUMMYFUNCTION("""COMPUTED_VALUE"""),45490.6666666666)</f>
        <v>45490.666666666599</v>
      </c>
      <c r="B2401" s="1">
        <f ca="1">IFERROR(__xludf.DUMMYFUNCTION("""COMPUTED_VALUE"""),121.35)</f>
        <v>121.35</v>
      </c>
      <c r="C2401" s="1">
        <f ca="1">IFERROR(__xludf.DUMMYFUNCTION("""COMPUTED_VALUE"""),121.85)</f>
        <v>121.85</v>
      </c>
      <c r="D2401" s="1">
        <f ca="1">IFERROR(__xludf.DUMMYFUNCTION("""COMPUTED_VALUE"""),116.72)</f>
        <v>116.72</v>
      </c>
      <c r="E2401" s="1">
        <f ca="1">IFERROR(__xludf.DUMMYFUNCTION("""COMPUTED_VALUE"""),117.99)</f>
        <v>117.99</v>
      </c>
      <c r="F2401" s="1">
        <f ca="1">IFERROR(__xludf.DUMMYFUNCTION("""COMPUTED_VALUE"""),390086189)</f>
        <v>390086189</v>
      </c>
    </row>
    <row r="2402" spans="1:6" x14ac:dyDescent="0.35">
      <c r="A2402" s="2">
        <f ca="1">IFERROR(__xludf.DUMMYFUNCTION("""COMPUTED_VALUE"""),45491.6666666666)</f>
        <v>45491.666666666599</v>
      </c>
      <c r="B2402" s="1">
        <f ca="1">IFERROR(__xludf.DUMMYFUNCTION("""COMPUTED_VALUE"""),121.85)</f>
        <v>121.85</v>
      </c>
      <c r="C2402" s="1">
        <f ca="1">IFERROR(__xludf.DUMMYFUNCTION("""COMPUTED_VALUE"""),122.4)</f>
        <v>122.4</v>
      </c>
      <c r="D2402" s="1">
        <f ca="1">IFERROR(__xludf.DUMMYFUNCTION("""COMPUTED_VALUE"""),116.56)</f>
        <v>116.56</v>
      </c>
      <c r="E2402" s="1">
        <f ca="1">IFERROR(__xludf.DUMMYFUNCTION("""COMPUTED_VALUE"""),121.09)</f>
        <v>121.09</v>
      </c>
      <c r="F2402" s="1">
        <f ca="1">IFERROR(__xludf.DUMMYFUNCTION("""COMPUTED_VALUE"""),320979530)</f>
        <v>320979530</v>
      </c>
    </row>
    <row r="2403" spans="1:6" x14ac:dyDescent="0.35">
      <c r="A2403" s="2">
        <f ca="1">IFERROR(__xludf.DUMMYFUNCTION("""COMPUTED_VALUE"""),45492.6666666666)</f>
        <v>45492.666666666599</v>
      </c>
      <c r="B2403" s="1">
        <f ca="1">IFERROR(__xludf.DUMMYFUNCTION("""COMPUTED_VALUE"""),120.35)</f>
        <v>120.35</v>
      </c>
      <c r="C2403" s="1">
        <f ca="1">IFERROR(__xludf.DUMMYFUNCTION("""COMPUTED_VALUE"""),121.6)</f>
        <v>121.6</v>
      </c>
      <c r="D2403" s="1">
        <f ca="1">IFERROR(__xludf.DUMMYFUNCTION("""COMPUTED_VALUE"""),117.37)</f>
        <v>117.37</v>
      </c>
      <c r="E2403" s="1">
        <f ca="1">IFERROR(__xludf.DUMMYFUNCTION("""COMPUTED_VALUE"""),117.93)</f>
        <v>117.93</v>
      </c>
      <c r="F2403" s="1">
        <f ca="1">IFERROR(__xludf.DUMMYFUNCTION("""COMPUTED_VALUE"""),217223800)</f>
        <v>217223800</v>
      </c>
    </row>
    <row r="2404" spans="1:6" x14ac:dyDescent="0.35">
      <c r="A2404" s="2">
        <f ca="1">IFERROR(__xludf.DUMMYFUNCTION("""COMPUTED_VALUE"""),45495.6666666666)</f>
        <v>45495.666666666599</v>
      </c>
      <c r="B2404" s="1">
        <f ca="1">IFERROR(__xludf.DUMMYFUNCTION("""COMPUTED_VALUE"""),120.35)</f>
        <v>120.35</v>
      </c>
      <c r="C2404" s="1">
        <f ca="1">IFERROR(__xludf.DUMMYFUNCTION("""COMPUTED_VALUE"""),124.07)</f>
        <v>124.07</v>
      </c>
      <c r="D2404" s="1">
        <f ca="1">IFERROR(__xludf.DUMMYFUNCTION("""COMPUTED_VALUE"""),119.86)</f>
        <v>119.86</v>
      </c>
      <c r="E2404" s="1">
        <f ca="1">IFERROR(__xludf.DUMMYFUNCTION("""COMPUTED_VALUE"""),123.54)</f>
        <v>123.54</v>
      </c>
      <c r="F2404" s="1">
        <f ca="1">IFERROR(__xludf.DUMMYFUNCTION("""COMPUTED_VALUE"""),258068943)</f>
        <v>258068943</v>
      </c>
    </row>
    <row r="2405" spans="1:6" x14ac:dyDescent="0.35">
      <c r="A2405" s="2">
        <f ca="1">IFERROR(__xludf.DUMMYFUNCTION("""COMPUTED_VALUE"""),45496.6666666666)</f>
        <v>45496.666666666599</v>
      </c>
      <c r="B2405" s="1">
        <f ca="1">IFERROR(__xludf.DUMMYFUNCTION("""COMPUTED_VALUE"""),122.78)</f>
        <v>122.78</v>
      </c>
      <c r="C2405" s="1">
        <f ca="1">IFERROR(__xludf.DUMMYFUNCTION("""COMPUTED_VALUE"""),124.69)</f>
        <v>124.69</v>
      </c>
      <c r="D2405" s="1">
        <f ca="1">IFERROR(__xludf.DUMMYFUNCTION("""COMPUTED_VALUE"""),122.1)</f>
        <v>122.1</v>
      </c>
      <c r="E2405" s="1">
        <f ca="1">IFERROR(__xludf.DUMMYFUNCTION("""COMPUTED_VALUE"""),122.59)</f>
        <v>122.59</v>
      </c>
      <c r="F2405" s="1">
        <f ca="1">IFERROR(__xludf.DUMMYFUNCTION("""COMPUTED_VALUE"""),173910983)</f>
        <v>173910983</v>
      </c>
    </row>
    <row r="2406" spans="1:6" x14ac:dyDescent="0.35">
      <c r="A2406" s="2">
        <f ca="1">IFERROR(__xludf.DUMMYFUNCTION("""COMPUTED_VALUE"""),45497.6666666666)</f>
        <v>45497.666666666599</v>
      </c>
      <c r="B2406" s="1">
        <f ca="1">IFERROR(__xludf.DUMMYFUNCTION("""COMPUTED_VALUE"""),119.17)</f>
        <v>119.17</v>
      </c>
      <c r="C2406" s="1">
        <f ca="1">IFERROR(__xludf.DUMMYFUNCTION("""COMPUTED_VALUE"""),119.95)</f>
        <v>119.95</v>
      </c>
      <c r="D2406" s="1">
        <f ca="1">IFERROR(__xludf.DUMMYFUNCTION("""COMPUTED_VALUE"""),113.44)</f>
        <v>113.44</v>
      </c>
      <c r="E2406" s="1">
        <f ca="1">IFERROR(__xludf.DUMMYFUNCTION("""COMPUTED_VALUE"""),114.25)</f>
        <v>114.25</v>
      </c>
      <c r="F2406" s="1">
        <f ca="1">IFERROR(__xludf.DUMMYFUNCTION("""COMPUTED_VALUE"""),327776884)</f>
        <v>327776884</v>
      </c>
    </row>
    <row r="2407" spans="1:6" x14ac:dyDescent="0.35">
      <c r="A2407" s="2">
        <f ca="1">IFERROR(__xludf.DUMMYFUNCTION("""COMPUTED_VALUE"""),45498.6666666666)</f>
        <v>45498.666666666599</v>
      </c>
      <c r="B2407" s="1">
        <f ca="1">IFERROR(__xludf.DUMMYFUNCTION("""COMPUTED_VALUE"""),113.04)</f>
        <v>113.04</v>
      </c>
      <c r="C2407" s="1">
        <f ca="1">IFERROR(__xludf.DUMMYFUNCTION("""COMPUTED_VALUE"""),116.63)</f>
        <v>116.63</v>
      </c>
      <c r="D2407" s="1">
        <f ca="1">IFERROR(__xludf.DUMMYFUNCTION("""COMPUTED_VALUE"""),106.3)</f>
        <v>106.3</v>
      </c>
      <c r="E2407" s="1">
        <f ca="1">IFERROR(__xludf.DUMMYFUNCTION("""COMPUTED_VALUE"""),112.28)</f>
        <v>112.28</v>
      </c>
      <c r="F2407" s="1">
        <f ca="1">IFERROR(__xludf.DUMMYFUNCTION("""COMPUTED_VALUE"""),460067019)</f>
        <v>460067019</v>
      </c>
    </row>
    <row r="2408" spans="1:6" x14ac:dyDescent="0.35">
      <c r="A2408" s="2">
        <f ca="1">IFERROR(__xludf.DUMMYFUNCTION("""COMPUTED_VALUE"""),45499.6666666666)</f>
        <v>45499.666666666599</v>
      </c>
      <c r="B2408" s="1">
        <f ca="1">IFERROR(__xludf.DUMMYFUNCTION("""COMPUTED_VALUE"""),116.19)</f>
        <v>116.19</v>
      </c>
      <c r="C2408" s="1">
        <f ca="1">IFERROR(__xludf.DUMMYFUNCTION("""COMPUTED_VALUE"""),116.2)</f>
        <v>116.2</v>
      </c>
      <c r="D2408" s="1">
        <f ca="1">IFERROR(__xludf.DUMMYFUNCTION("""COMPUTED_VALUE"""),111.58)</f>
        <v>111.58</v>
      </c>
      <c r="E2408" s="1">
        <f ca="1">IFERROR(__xludf.DUMMYFUNCTION("""COMPUTED_VALUE"""),113.06)</f>
        <v>113.06</v>
      </c>
      <c r="F2408" s="1">
        <f ca="1">IFERROR(__xludf.DUMMYFUNCTION("""COMPUTED_VALUE"""),293399073)</f>
        <v>293399073</v>
      </c>
    </row>
    <row r="2409" spans="1:6" x14ac:dyDescent="0.35">
      <c r="A2409" s="2">
        <f ca="1">IFERROR(__xludf.DUMMYFUNCTION("""COMPUTED_VALUE"""),45502.6666666666)</f>
        <v>45502.666666666599</v>
      </c>
      <c r="B2409" s="1">
        <f ca="1">IFERROR(__xludf.DUMMYFUNCTION("""COMPUTED_VALUE"""),113.69)</f>
        <v>113.69</v>
      </c>
      <c r="C2409" s="1">
        <f ca="1">IFERROR(__xludf.DUMMYFUNCTION("""COMPUTED_VALUE"""),116.28)</f>
        <v>116.28</v>
      </c>
      <c r="D2409" s="1">
        <f ca="1">IFERROR(__xludf.DUMMYFUNCTION("""COMPUTED_VALUE"""),111.3)</f>
        <v>111.3</v>
      </c>
      <c r="E2409" s="1">
        <f ca="1">IFERROR(__xludf.DUMMYFUNCTION("""COMPUTED_VALUE"""),111.59)</f>
        <v>111.59</v>
      </c>
      <c r="F2409" s="1">
        <f ca="1">IFERROR(__xludf.DUMMYFUNCTION("""COMPUTED_VALUE"""),248152068)</f>
        <v>248152068</v>
      </c>
    </row>
    <row r="2410" spans="1:6" x14ac:dyDescent="0.35">
      <c r="A2410" s="2">
        <f ca="1">IFERROR(__xludf.DUMMYFUNCTION("""COMPUTED_VALUE"""),45503.6666666666)</f>
        <v>45503.666666666599</v>
      </c>
      <c r="B2410" s="1">
        <f ca="1">IFERROR(__xludf.DUMMYFUNCTION("""COMPUTED_VALUE"""),111.52)</f>
        <v>111.52</v>
      </c>
      <c r="C2410" s="1">
        <f ca="1">IFERROR(__xludf.DUMMYFUNCTION("""COMPUTED_VALUE"""),111.99)</f>
        <v>111.99</v>
      </c>
      <c r="D2410" s="1">
        <f ca="1">IFERROR(__xludf.DUMMYFUNCTION("""COMPUTED_VALUE"""),102.54)</f>
        <v>102.54</v>
      </c>
      <c r="E2410" s="1">
        <f ca="1">IFERROR(__xludf.DUMMYFUNCTION("""COMPUTED_VALUE"""),103.73)</f>
        <v>103.73</v>
      </c>
      <c r="F2410" s="1">
        <f ca="1">IFERROR(__xludf.DUMMYFUNCTION("""COMPUTED_VALUE"""),486833274)</f>
        <v>486833274</v>
      </c>
    </row>
    <row r="2411" spans="1:6" x14ac:dyDescent="0.35">
      <c r="A2411" s="2">
        <f ca="1">IFERROR(__xludf.DUMMYFUNCTION("""COMPUTED_VALUE"""),45504.6666666666)</f>
        <v>45504.666666666599</v>
      </c>
      <c r="B2411" s="1">
        <f ca="1">IFERROR(__xludf.DUMMYFUNCTION("""COMPUTED_VALUE"""),112.9)</f>
        <v>112.9</v>
      </c>
      <c r="C2411" s="1">
        <f ca="1">IFERROR(__xludf.DUMMYFUNCTION("""COMPUTED_VALUE"""),118.34)</f>
        <v>118.34</v>
      </c>
      <c r="D2411" s="1">
        <f ca="1">IFERROR(__xludf.DUMMYFUNCTION("""COMPUTED_VALUE"""),110.88)</f>
        <v>110.88</v>
      </c>
      <c r="E2411" s="1">
        <f ca="1">IFERROR(__xludf.DUMMYFUNCTION("""COMPUTED_VALUE"""),117.02)</f>
        <v>117.02</v>
      </c>
      <c r="F2411" s="1">
        <f ca="1">IFERROR(__xludf.DUMMYFUNCTION("""COMPUTED_VALUE"""),473174182)</f>
        <v>473174182</v>
      </c>
    </row>
    <row r="2412" spans="1:6" x14ac:dyDescent="0.35">
      <c r="A2412" s="2">
        <f ca="1">IFERROR(__xludf.DUMMYFUNCTION("""COMPUTED_VALUE"""),45505.6666666666)</f>
        <v>45505.666666666599</v>
      </c>
      <c r="B2412" s="1">
        <f ca="1">IFERROR(__xludf.DUMMYFUNCTION("""COMPUTED_VALUE"""),117.53)</f>
        <v>117.53</v>
      </c>
      <c r="C2412" s="1">
        <f ca="1">IFERROR(__xludf.DUMMYFUNCTION("""COMPUTED_VALUE"""),120.16)</f>
        <v>120.16</v>
      </c>
      <c r="D2412" s="1">
        <f ca="1">IFERROR(__xludf.DUMMYFUNCTION("""COMPUTED_VALUE"""),106.81)</f>
        <v>106.81</v>
      </c>
      <c r="E2412" s="1">
        <f ca="1">IFERROR(__xludf.DUMMYFUNCTION("""COMPUTED_VALUE"""),109.21)</f>
        <v>109.21</v>
      </c>
      <c r="F2412" s="1">
        <f ca="1">IFERROR(__xludf.DUMMYFUNCTION("""COMPUTED_VALUE"""),523462326)</f>
        <v>523462326</v>
      </c>
    </row>
    <row r="2413" spans="1:6" x14ac:dyDescent="0.35">
      <c r="A2413" s="2">
        <f ca="1">IFERROR(__xludf.DUMMYFUNCTION("""COMPUTED_VALUE"""),45506.6666666666)</f>
        <v>45506.666666666599</v>
      </c>
      <c r="B2413" s="1">
        <f ca="1">IFERROR(__xludf.DUMMYFUNCTION("""COMPUTED_VALUE"""),103.76)</f>
        <v>103.76</v>
      </c>
      <c r="C2413" s="1">
        <f ca="1">IFERROR(__xludf.DUMMYFUNCTION("""COMPUTED_VALUE"""),108.72)</f>
        <v>108.72</v>
      </c>
      <c r="D2413" s="1">
        <f ca="1">IFERROR(__xludf.DUMMYFUNCTION("""COMPUTED_VALUE"""),101.37)</f>
        <v>101.37</v>
      </c>
      <c r="E2413" s="1">
        <f ca="1">IFERROR(__xludf.DUMMYFUNCTION("""COMPUTED_VALUE"""),107.27)</f>
        <v>107.27</v>
      </c>
      <c r="F2413" s="1">
        <f ca="1">IFERROR(__xludf.DUMMYFUNCTION("""COMPUTED_VALUE"""),482027464)</f>
        <v>482027464</v>
      </c>
    </row>
    <row r="2414" spans="1:6" x14ac:dyDescent="0.35">
      <c r="A2414" s="2">
        <f ca="1">IFERROR(__xludf.DUMMYFUNCTION("""COMPUTED_VALUE"""),45509.6666666666)</f>
        <v>45509.666666666599</v>
      </c>
      <c r="B2414" s="1">
        <f ca="1">IFERROR(__xludf.DUMMYFUNCTION("""COMPUTED_VALUE"""),92.06)</f>
        <v>92.06</v>
      </c>
      <c r="C2414" s="1">
        <f ca="1">IFERROR(__xludf.DUMMYFUNCTION("""COMPUTED_VALUE"""),103.41)</f>
        <v>103.41</v>
      </c>
      <c r="D2414" s="1">
        <f ca="1">IFERROR(__xludf.DUMMYFUNCTION("""COMPUTED_VALUE"""),90.69)</f>
        <v>90.69</v>
      </c>
      <c r="E2414" s="1">
        <f ca="1">IFERROR(__xludf.DUMMYFUNCTION("""COMPUTED_VALUE"""),100.45)</f>
        <v>100.45</v>
      </c>
      <c r="F2414" s="1">
        <f ca="1">IFERROR(__xludf.DUMMYFUNCTION("""COMPUTED_VALUE"""),552842375)</f>
        <v>552842375</v>
      </c>
    </row>
    <row r="2415" spans="1:6" x14ac:dyDescent="0.35">
      <c r="A2415" s="2">
        <f ca="1">IFERROR(__xludf.DUMMYFUNCTION("""COMPUTED_VALUE"""),45510.6666666666)</f>
        <v>45510.666666666599</v>
      </c>
      <c r="B2415" s="1">
        <f ca="1">IFERROR(__xludf.DUMMYFUNCTION("""COMPUTED_VALUE"""),103.84)</f>
        <v>103.84</v>
      </c>
      <c r="C2415" s="1">
        <f ca="1">IFERROR(__xludf.DUMMYFUNCTION("""COMPUTED_VALUE"""),107.71)</f>
        <v>107.71</v>
      </c>
      <c r="D2415" s="1">
        <f ca="1">IFERROR(__xludf.DUMMYFUNCTION("""COMPUTED_VALUE"""),100.55)</f>
        <v>100.55</v>
      </c>
      <c r="E2415" s="1">
        <f ca="1">IFERROR(__xludf.DUMMYFUNCTION("""COMPUTED_VALUE"""),104.25)</f>
        <v>104.25</v>
      </c>
      <c r="F2415" s="1">
        <f ca="1">IFERROR(__xludf.DUMMYFUNCTION("""COMPUTED_VALUE"""),409012089)</f>
        <v>409012089</v>
      </c>
    </row>
    <row r="2416" spans="1:6" x14ac:dyDescent="0.35">
      <c r="A2416" s="2">
        <f ca="1">IFERROR(__xludf.DUMMYFUNCTION("""COMPUTED_VALUE"""),45511.6666666666)</f>
        <v>45511.666666666599</v>
      </c>
      <c r="B2416" s="1">
        <f ca="1">IFERROR(__xludf.DUMMYFUNCTION("""COMPUTED_VALUE"""),107.81)</f>
        <v>107.81</v>
      </c>
      <c r="C2416" s="1">
        <f ca="1">IFERROR(__xludf.DUMMYFUNCTION("""COMPUTED_VALUE"""),108.8)</f>
        <v>108.8</v>
      </c>
      <c r="D2416" s="1">
        <f ca="1">IFERROR(__xludf.DUMMYFUNCTION("""COMPUTED_VALUE"""),98.69)</f>
        <v>98.69</v>
      </c>
      <c r="E2416" s="1">
        <f ca="1">IFERROR(__xludf.DUMMYFUNCTION("""COMPUTED_VALUE"""),98.91)</f>
        <v>98.91</v>
      </c>
      <c r="F2416" s="1">
        <f ca="1">IFERROR(__xludf.DUMMYFUNCTION("""COMPUTED_VALUE"""),411440423)</f>
        <v>411440423</v>
      </c>
    </row>
    <row r="2417" spans="1:6" x14ac:dyDescent="0.35">
      <c r="A2417" s="2">
        <f ca="1">IFERROR(__xludf.DUMMYFUNCTION("""COMPUTED_VALUE"""),45512.6666666666)</f>
        <v>45512.666666666599</v>
      </c>
      <c r="B2417" s="1">
        <f ca="1">IFERROR(__xludf.DUMMYFUNCTION("""COMPUTED_VALUE"""),102)</f>
        <v>102</v>
      </c>
      <c r="C2417" s="1">
        <f ca="1">IFERROR(__xludf.DUMMYFUNCTION("""COMPUTED_VALUE"""),105.5)</f>
        <v>105.5</v>
      </c>
      <c r="D2417" s="1">
        <f ca="1">IFERROR(__xludf.DUMMYFUNCTION("""COMPUTED_VALUE"""),97.52)</f>
        <v>97.52</v>
      </c>
      <c r="E2417" s="1">
        <f ca="1">IFERROR(__xludf.DUMMYFUNCTION("""COMPUTED_VALUE"""),104.97)</f>
        <v>104.97</v>
      </c>
      <c r="F2417" s="1">
        <f ca="1">IFERROR(__xludf.DUMMYFUNCTION("""COMPUTED_VALUE"""),391910023)</f>
        <v>391910023</v>
      </c>
    </row>
    <row r="2418" spans="1:6" x14ac:dyDescent="0.35">
      <c r="A2418" s="2">
        <f ca="1">IFERROR(__xludf.DUMMYFUNCTION("""COMPUTED_VALUE"""),45513.6666666666)</f>
        <v>45513.666666666599</v>
      </c>
      <c r="B2418" s="1">
        <f ca="1">IFERROR(__xludf.DUMMYFUNCTION("""COMPUTED_VALUE"""),105.64)</f>
        <v>105.64</v>
      </c>
      <c r="C2418" s="1">
        <f ca="1">IFERROR(__xludf.DUMMYFUNCTION("""COMPUTED_VALUE"""),106.6)</f>
        <v>106.6</v>
      </c>
      <c r="D2418" s="1">
        <f ca="1">IFERROR(__xludf.DUMMYFUNCTION("""COMPUTED_VALUE"""),103.43)</f>
        <v>103.43</v>
      </c>
      <c r="E2418" s="1">
        <f ca="1">IFERROR(__xludf.DUMMYFUNCTION("""COMPUTED_VALUE"""),104.75)</f>
        <v>104.75</v>
      </c>
      <c r="F2418" s="1">
        <f ca="1">IFERROR(__xludf.DUMMYFUNCTION("""COMPUTED_VALUE"""),290844157)</f>
        <v>290844157</v>
      </c>
    </row>
    <row r="2419" spans="1:6" x14ac:dyDescent="0.35">
      <c r="A2419" s="2">
        <f ca="1">IFERROR(__xludf.DUMMYFUNCTION("""COMPUTED_VALUE"""),45516.6666666666)</f>
        <v>45516.666666666599</v>
      </c>
      <c r="B2419" s="1">
        <f ca="1">IFERROR(__xludf.DUMMYFUNCTION("""COMPUTED_VALUE"""),106.32)</f>
        <v>106.32</v>
      </c>
      <c r="C2419" s="1">
        <f ca="1">IFERROR(__xludf.DUMMYFUNCTION("""COMPUTED_VALUE"""),111.07)</f>
        <v>111.07</v>
      </c>
      <c r="D2419" s="1">
        <f ca="1">IFERROR(__xludf.DUMMYFUNCTION("""COMPUTED_VALUE"""),106.26)</f>
        <v>106.26</v>
      </c>
      <c r="E2419" s="1">
        <f ca="1">IFERROR(__xludf.DUMMYFUNCTION("""COMPUTED_VALUE"""),109.02)</f>
        <v>109.02</v>
      </c>
      <c r="F2419" s="1">
        <f ca="1">IFERROR(__xludf.DUMMYFUNCTION("""COMPUTED_VALUE"""),325559870)</f>
        <v>325559870</v>
      </c>
    </row>
    <row r="2420" spans="1:6" x14ac:dyDescent="0.35">
      <c r="A2420" s="2">
        <f ca="1">IFERROR(__xludf.DUMMYFUNCTION("""COMPUTED_VALUE"""),45517.6666666666)</f>
        <v>45517.666666666599</v>
      </c>
      <c r="B2420" s="1">
        <f ca="1">IFERROR(__xludf.DUMMYFUNCTION("""COMPUTED_VALUE"""),112.44)</f>
        <v>112.44</v>
      </c>
      <c r="C2420" s="1">
        <f ca="1">IFERROR(__xludf.DUMMYFUNCTION("""COMPUTED_VALUE"""),116.23)</f>
        <v>116.23</v>
      </c>
      <c r="D2420" s="1">
        <f ca="1">IFERROR(__xludf.DUMMYFUNCTION("""COMPUTED_VALUE"""),111.58)</f>
        <v>111.58</v>
      </c>
      <c r="E2420" s="1">
        <f ca="1">IFERROR(__xludf.DUMMYFUNCTION("""COMPUTED_VALUE"""),116.14)</f>
        <v>116.14</v>
      </c>
      <c r="F2420" s="1">
        <f ca="1">IFERROR(__xludf.DUMMYFUNCTION("""COMPUTED_VALUE"""),312646660)</f>
        <v>312646660</v>
      </c>
    </row>
    <row r="2421" spans="1:6" x14ac:dyDescent="0.35">
      <c r="A2421" s="2">
        <f ca="1">IFERROR(__xludf.DUMMYFUNCTION("""COMPUTED_VALUE"""),45518.6666666666)</f>
        <v>45518.666666666599</v>
      </c>
      <c r="B2421" s="1">
        <f ca="1">IFERROR(__xludf.DUMMYFUNCTION("""COMPUTED_VALUE"""),118.53)</f>
        <v>118.53</v>
      </c>
      <c r="C2421" s="1">
        <f ca="1">IFERROR(__xludf.DUMMYFUNCTION("""COMPUTED_VALUE"""),118.6)</f>
        <v>118.6</v>
      </c>
      <c r="D2421" s="1">
        <f ca="1">IFERROR(__xludf.DUMMYFUNCTION("""COMPUTED_VALUE"""),114.07)</f>
        <v>114.07</v>
      </c>
      <c r="E2421" s="1">
        <f ca="1">IFERROR(__xludf.DUMMYFUNCTION("""COMPUTED_VALUE"""),118.08)</f>
        <v>118.08</v>
      </c>
      <c r="F2421" s="1">
        <f ca="1">IFERROR(__xludf.DUMMYFUNCTION("""COMPUTED_VALUE"""),339246407)</f>
        <v>339246407</v>
      </c>
    </row>
    <row r="2422" spans="1:6" x14ac:dyDescent="0.35">
      <c r="A2422" s="2">
        <f ca="1">IFERROR(__xludf.DUMMYFUNCTION("""COMPUTED_VALUE"""),45519.6666666666)</f>
        <v>45519.666666666599</v>
      </c>
      <c r="B2422" s="1">
        <f ca="1">IFERROR(__xludf.DUMMYFUNCTION("""COMPUTED_VALUE"""),118.76)</f>
        <v>118.76</v>
      </c>
      <c r="C2422" s="1">
        <f ca="1">IFERROR(__xludf.DUMMYFUNCTION("""COMPUTED_VALUE"""),123.24)</f>
        <v>123.24</v>
      </c>
      <c r="D2422" s="1">
        <f ca="1">IFERROR(__xludf.DUMMYFUNCTION("""COMPUTED_VALUE"""),117.47)</f>
        <v>117.47</v>
      </c>
      <c r="E2422" s="1">
        <f ca="1">IFERROR(__xludf.DUMMYFUNCTION("""COMPUTED_VALUE"""),122.86)</f>
        <v>122.86</v>
      </c>
      <c r="F2422" s="1">
        <f ca="1">IFERROR(__xludf.DUMMYFUNCTION("""COMPUTED_VALUE"""),318086673)</f>
        <v>318086673</v>
      </c>
    </row>
    <row r="2423" spans="1:6" x14ac:dyDescent="0.35">
      <c r="A2423" s="2">
        <f ca="1">IFERROR(__xludf.DUMMYFUNCTION("""COMPUTED_VALUE"""),45520.6666666666)</f>
        <v>45520.666666666599</v>
      </c>
      <c r="B2423" s="1">
        <f ca="1">IFERROR(__xludf.DUMMYFUNCTION("""COMPUTED_VALUE"""),121.94)</f>
        <v>121.94</v>
      </c>
      <c r="C2423" s="1">
        <f ca="1">IFERROR(__xludf.DUMMYFUNCTION("""COMPUTED_VALUE"""),125)</f>
        <v>125</v>
      </c>
      <c r="D2423" s="1">
        <f ca="1">IFERROR(__xludf.DUMMYFUNCTION("""COMPUTED_VALUE"""),121.18)</f>
        <v>121.18</v>
      </c>
      <c r="E2423" s="1">
        <f ca="1">IFERROR(__xludf.DUMMYFUNCTION("""COMPUTED_VALUE"""),124.58)</f>
        <v>124.58</v>
      </c>
      <c r="F2423" s="1">
        <f ca="1">IFERROR(__xludf.DUMMYFUNCTION("""COMPUTED_VALUE"""),302589872)</f>
        <v>302589872</v>
      </c>
    </row>
    <row r="2424" spans="1:6" x14ac:dyDescent="0.35">
      <c r="A2424" s="2">
        <f ca="1">IFERROR(__xludf.DUMMYFUNCTION("""COMPUTED_VALUE"""),45523.6666666666)</f>
        <v>45523.666666666599</v>
      </c>
      <c r="B2424" s="1">
        <f ca="1">IFERROR(__xludf.DUMMYFUNCTION("""COMPUTED_VALUE"""),124.28)</f>
        <v>124.28</v>
      </c>
      <c r="C2424" s="1">
        <f ca="1">IFERROR(__xludf.DUMMYFUNCTION("""COMPUTED_VALUE"""),130)</f>
        <v>130</v>
      </c>
      <c r="D2424" s="1">
        <f ca="1">IFERROR(__xludf.DUMMYFUNCTION("""COMPUTED_VALUE"""),123.42)</f>
        <v>123.42</v>
      </c>
      <c r="E2424" s="1">
        <f ca="1">IFERROR(__xludf.DUMMYFUNCTION("""COMPUTED_VALUE"""),130)</f>
        <v>130</v>
      </c>
      <c r="F2424" s="1">
        <f ca="1">IFERROR(__xludf.DUMMYFUNCTION("""COMPUTED_VALUE"""),318333577)</f>
        <v>318333577</v>
      </c>
    </row>
    <row r="2425" spans="1:6" x14ac:dyDescent="0.35">
      <c r="A2425" s="2">
        <f ca="1">IFERROR(__xludf.DUMMYFUNCTION("""COMPUTED_VALUE"""),45524.6666666666)</f>
        <v>45524.666666666599</v>
      </c>
      <c r="B2425" s="1">
        <f ca="1">IFERROR(__xludf.DUMMYFUNCTION("""COMPUTED_VALUE"""),128.4)</f>
        <v>128.4</v>
      </c>
      <c r="C2425" s="1">
        <f ca="1">IFERROR(__xludf.DUMMYFUNCTION("""COMPUTED_VALUE"""),129.88)</f>
        <v>129.88</v>
      </c>
      <c r="D2425" s="1">
        <f ca="1">IFERROR(__xludf.DUMMYFUNCTION("""COMPUTED_VALUE"""),125.89)</f>
        <v>125.89</v>
      </c>
      <c r="E2425" s="1">
        <f ca="1">IFERROR(__xludf.DUMMYFUNCTION("""COMPUTED_VALUE"""),127.25)</f>
        <v>127.25</v>
      </c>
      <c r="F2425" s="1">
        <f ca="1">IFERROR(__xludf.DUMMYFUNCTION("""COMPUTED_VALUE"""),300087415)</f>
        <v>300087415</v>
      </c>
    </row>
    <row r="2426" spans="1:6" x14ac:dyDescent="0.35">
      <c r="A2426" s="2">
        <f ca="1">IFERROR(__xludf.DUMMYFUNCTION("""COMPUTED_VALUE"""),45525.6666666666)</f>
        <v>45525.666666666599</v>
      </c>
      <c r="B2426" s="1">
        <f ca="1">IFERROR(__xludf.DUMMYFUNCTION("""COMPUTED_VALUE"""),127.32)</f>
        <v>127.32</v>
      </c>
      <c r="C2426" s="1">
        <f ca="1">IFERROR(__xludf.DUMMYFUNCTION("""COMPUTED_VALUE"""),129.35)</f>
        <v>129.35</v>
      </c>
      <c r="D2426" s="1">
        <f ca="1">IFERROR(__xludf.DUMMYFUNCTION("""COMPUTED_VALUE"""),126.66)</f>
        <v>126.66</v>
      </c>
      <c r="E2426" s="1">
        <f ca="1">IFERROR(__xludf.DUMMYFUNCTION("""COMPUTED_VALUE"""),128.5)</f>
        <v>128.5</v>
      </c>
      <c r="F2426" s="1">
        <f ca="1">IFERROR(__xludf.DUMMYFUNCTION("""COMPUTED_VALUE"""),257883572)</f>
        <v>257883572</v>
      </c>
    </row>
    <row r="2427" spans="1:6" x14ac:dyDescent="0.35">
      <c r="A2427" s="2">
        <f ca="1">IFERROR(__xludf.DUMMYFUNCTION("""COMPUTED_VALUE"""),45526.6666666666)</f>
        <v>45526.666666666599</v>
      </c>
      <c r="B2427" s="1">
        <f ca="1">IFERROR(__xludf.DUMMYFUNCTION("""COMPUTED_VALUE"""),130.02)</f>
        <v>130.02000000000001</v>
      </c>
      <c r="C2427" s="1">
        <f ca="1">IFERROR(__xludf.DUMMYFUNCTION("""COMPUTED_VALUE"""),130.75)</f>
        <v>130.75</v>
      </c>
      <c r="D2427" s="1">
        <f ca="1">IFERROR(__xludf.DUMMYFUNCTION("""COMPUTED_VALUE"""),123.1)</f>
        <v>123.1</v>
      </c>
      <c r="E2427" s="1">
        <f ca="1">IFERROR(__xludf.DUMMYFUNCTION("""COMPUTED_VALUE"""),123.74)</f>
        <v>123.74</v>
      </c>
      <c r="F2427" s="1">
        <f ca="1">IFERROR(__xludf.DUMMYFUNCTION("""COMPUTED_VALUE"""),376189076)</f>
        <v>376189076</v>
      </c>
    </row>
    <row r="2428" spans="1:6" x14ac:dyDescent="0.35">
      <c r="A2428" s="2">
        <f ca="1">IFERROR(__xludf.DUMMYFUNCTION("""COMPUTED_VALUE"""),45527.6666666666)</f>
        <v>45527.666666666599</v>
      </c>
      <c r="B2428" s="1">
        <f ca="1">IFERROR(__xludf.DUMMYFUNCTION("""COMPUTED_VALUE"""),125.86)</f>
        <v>125.86</v>
      </c>
      <c r="C2428" s="1">
        <f ca="1">IFERROR(__xludf.DUMMYFUNCTION("""COMPUTED_VALUE"""),129.6)</f>
        <v>129.6</v>
      </c>
      <c r="D2428" s="1">
        <f ca="1">IFERROR(__xludf.DUMMYFUNCTION("""COMPUTED_VALUE"""),125.22)</f>
        <v>125.22</v>
      </c>
      <c r="E2428" s="1">
        <f ca="1">IFERROR(__xludf.DUMMYFUNCTION("""COMPUTED_VALUE"""),129.37)</f>
        <v>129.37</v>
      </c>
      <c r="F2428" s="1">
        <f ca="1">IFERROR(__xludf.DUMMYFUNCTION("""COMPUTED_VALUE"""),323230332)</f>
        <v>323230332</v>
      </c>
    </row>
    <row r="2429" spans="1:6" x14ac:dyDescent="0.35">
      <c r="A2429" s="2">
        <f ca="1">IFERROR(__xludf.DUMMYFUNCTION("""COMPUTED_VALUE"""),45530.6666666666)</f>
        <v>45530.666666666599</v>
      </c>
      <c r="B2429" s="1">
        <f ca="1">IFERROR(__xludf.DUMMYFUNCTION("""COMPUTED_VALUE"""),129.57)</f>
        <v>129.57</v>
      </c>
      <c r="C2429" s="1">
        <f ca="1">IFERROR(__xludf.DUMMYFUNCTION("""COMPUTED_VALUE"""),131.26)</f>
        <v>131.26</v>
      </c>
      <c r="D2429" s="1">
        <f ca="1">IFERROR(__xludf.DUMMYFUNCTION("""COMPUTED_VALUE"""),124.37)</f>
        <v>124.37</v>
      </c>
      <c r="E2429" s="1">
        <f ca="1">IFERROR(__xludf.DUMMYFUNCTION("""COMPUTED_VALUE"""),126.46)</f>
        <v>126.46</v>
      </c>
      <c r="F2429" s="1">
        <f ca="1">IFERROR(__xludf.DUMMYFUNCTION("""COMPUTED_VALUE"""),331964672)</f>
        <v>331964672</v>
      </c>
    </row>
    <row r="2430" spans="1:6" x14ac:dyDescent="0.35">
      <c r="A2430" s="2">
        <f ca="1">IFERROR(__xludf.DUMMYFUNCTION("""COMPUTED_VALUE"""),45531.6666666666)</f>
        <v>45531.666666666599</v>
      </c>
      <c r="B2430" s="1">
        <f ca="1">IFERROR(__xludf.DUMMYFUNCTION("""COMPUTED_VALUE"""),125.05)</f>
        <v>125.05</v>
      </c>
      <c r="C2430" s="1">
        <f ca="1">IFERROR(__xludf.DUMMYFUNCTION("""COMPUTED_VALUE"""),129.2)</f>
        <v>129.19999999999999</v>
      </c>
      <c r="D2430" s="1">
        <f ca="1">IFERROR(__xludf.DUMMYFUNCTION("""COMPUTED_VALUE"""),123.88)</f>
        <v>123.88</v>
      </c>
      <c r="E2430" s="1">
        <f ca="1">IFERROR(__xludf.DUMMYFUNCTION("""COMPUTED_VALUE"""),128.3)</f>
        <v>128.30000000000001</v>
      </c>
      <c r="F2430" s="1">
        <f ca="1">IFERROR(__xludf.DUMMYFUNCTION("""COMPUTED_VALUE"""),303134573)</f>
        <v>303134573</v>
      </c>
    </row>
    <row r="2431" spans="1:6" x14ac:dyDescent="0.35">
      <c r="A2431" s="2">
        <f ca="1">IFERROR(__xludf.DUMMYFUNCTION("""COMPUTED_VALUE"""),45532.6666666666)</f>
        <v>45532.666666666599</v>
      </c>
      <c r="B2431" s="1">
        <f ca="1">IFERROR(__xludf.DUMMYFUNCTION("""COMPUTED_VALUE"""),128.12)</f>
        <v>128.12</v>
      </c>
      <c r="C2431" s="1">
        <f ca="1">IFERROR(__xludf.DUMMYFUNCTION("""COMPUTED_VALUE"""),128.33)</f>
        <v>128.33000000000001</v>
      </c>
      <c r="D2431" s="1">
        <f ca="1">IFERROR(__xludf.DUMMYFUNCTION("""COMPUTED_VALUE"""),122.64)</f>
        <v>122.64</v>
      </c>
      <c r="E2431" s="1">
        <f ca="1">IFERROR(__xludf.DUMMYFUNCTION("""COMPUTED_VALUE"""),125.61)</f>
        <v>125.61</v>
      </c>
      <c r="F2431" s="1">
        <f ca="1">IFERROR(__xludf.DUMMYFUNCTION("""COMPUTED_VALUE"""),448101115)</f>
        <v>448101115</v>
      </c>
    </row>
    <row r="2432" spans="1:6" x14ac:dyDescent="0.35">
      <c r="A2432" s="2">
        <f ca="1">IFERROR(__xludf.DUMMYFUNCTION("""COMPUTED_VALUE"""),45533.6666666666)</f>
        <v>45533.666666666599</v>
      </c>
      <c r="B2432" s="1">
        <f ca="1">IFERROR(__xludf.DUMMYFUNCTION("""COMPUTED_VALUE"""),121.36)</f>
        <v>121.36</v>
      </c>
      <c r="C2432" s="1">
        <f ca="1">IFERROR(__xludf.DUMMYFUNCTION("""COMPUTED_VALUE"""),124.43)</f>
        <v>124.43</v>
      </c>
      <c r="D2432" s="1">
        <f ca="1">IFERROR(__xludf.DUMMYFUNCTION("""COMPUTED_VALUE"""),116.71)</f>
        <v>116.71</v>
      </c>
      <c r="E2432" s="1">
        <f ca="1">IFERROR(__xludf.DUMMYFUNCTION("""COMPUTED_VALUE"""),117.59)</f>
        <v>117.59</v>
      </c>
      <c r="F2432" s="1">
        <f ca="1">IFERROR(__xludf.DUMMYFUNCTION("""COMPUTED_VALUE"""),453023305)</f>
        <v>453023305</v>
      </c>
    </row>
    <row r="2433" spans="1:6" x14ac:dyDescent="0.35">
      <c r="A2433" s="2">
        <f ca="1">IFERROR(__xludf.DUMMYFUNCTION("""COMPUTED_VALUE"""),45534.6666666666)</f>
        <v>45534.666666666599</v>
      </c>
      <c r="B2433" s="1">
        <f ca="1">IFERROR(__xludf.DUMMYFUNCTION("""COMPUTED_VALUE"""),119.53)</f>
        <v>119.53</v>
      </c>
      <c r="C2433" s="1">
        <f ca="1">IFERROR(__xludf.DUMMYFUNCTION("""COMPUTED_VALUE"""),121.75)</f>
        <v>121.75</v>
      </c>
      <c r="D2433" s="1">
        <f ca="1">IFERROR(__xludf.DUMMYFUNCTION("""COMPUTED_VALUE"""),117.22)</f>
        <v>117.22</v>
      </c>
      <c r="E2433" s="1">
        <f ca="1">IFERROR(__xludf.DUMMYFUNCTION("""COMPUTED_VALUE"""),119.37)</f>
        <v>119.37</v>
      </c>
      <c r="F2433" s="1">
        <f ca="1">IFERROR(__xludf.DUMMYFUNCTION("""COMPUTED_VALUE"""),333751583)</f>
        <v>333751583</v>
      </c>
    </row>
    <row r="2434" spans="1:6" x14ac:dyDescent="0.35">
      <c r="A2434" s="2">
        <f ca="1">IFERROR(__xludf.DUMMYFUNCTION("""COMPUTED_VALUE"""),45538.6666666666)</f>
        <v>45538.666666666599</v>
      </c>
      <c r="B2434" s="1">
        <f ca="1">IFERROR(__xludf.DUMMYFUNCTION("""COMPUTED_VALUE"""),116.01)</f>
        <v>116.01</v>
      </c>
      <c r="C2434" s="1">
        <f ca="1">IFERROR(__xludf.DUMMYFUNCTION("""COMPUTED_VALUE"""),116.21)</f>
        <v>116.21</v>
      </c>
      <c r="D2434" s="1">
        <f ca="1">IFERROR(__xludf.DUMMYFUNCTION("""COMPUTED_VALUE"""),107.29)</f>
        <v>107.29</v>
      </c>
      <c r="E2434" s="1">
        <f ca="1">IFERROR(__xludf.DUMMYFUNCTION("""COMPUTED_VALUE"""),108)</f>
        <v>108</v>
      </c>
      <c r="F2434" s="1">
        <f ca="1">IFERROR(__xludf.DUMMYFUNCTION("""COMPUTED_VALUE"""),477155100)</f>
        <v>477155100</v>
      </c>
    </row>
    <row r="2435" spans="1:6" x14ac:dyDescent="0.35">
      <c r="A2435" s="2">
        <f ca="1">IFERROR(__xludf.DUMMYFUNCTION("""COMPUTED_VALUE"""),45539.6666666666)</f>
        <v>45539.666666666599</v>
      </c>
      <c r="B2435" s="1">
        <f ca="1">IFERROR(__xludf.DUMMYFUNCTION("""COMPUTED_VALUE"""),105.41)</f>
        <v>105.41</v>
      </c>
      <c r="C2435" s="1">
        <f ca="1">IFERROR(__xludf.DUMMYFUNCTION("""COMPUTED_VALUE"""),113.27)</f>
        <v>113.27</v>
      </c>
      <c r="D2435" s="1">
        <f ca="1">IFERROR(__xludf.DUMMYFUNCTION("""COMPUTED_VALUE"""),104.12)</f>
        <v>104.12</v>
      </c>
      <c r="E2435" s="1">
        <f ca="1">IFERROR(__xludf.DUMMYFUNCTION("""COMPUTED_VALUE"""),106.21)</f>
        <v>106.21</v>
      </c>
      <c r="F2435" s="1">
        <f ca="1">IFERROR(__xludf.DUMMYFUNCTION("""COMPUTED_VALUE"""),372470291)</f>
        <v>372470291</v>
      </c>
    </row>
    <row r="2436" spans="1:6" x14ac:dyDescent="0.35">
      <c r="A2436" s="2">
        <f ca="1">IFERROR(__xludf.DUMMYFUNCTION("""COMPUTED_VALUE"""),45540.6666666666)</f>
        <v>45540.666666666599</v>
      </c>
      <c r="B2436" s="1">
        <f ca="1">IFERROR(__xludf.DUMMYFUNCTION("""COMPUTED_VALUE"""),104.99)</f>
        <v>104.99</v>
      </c>
      <c r="C2436" s="1">
        <f ca="1">IFERROR(__xludf.DUMMYFUNCTION("""COMPUTED_VALUE"""),109.65)</f>
        <v>109.65</v>
      </c>
      <c r="D2436" s="1">
        <f ca="1">IFERROR(__xludf.DUMMYFUNCTION("""COMPUTED_VALUE"""),104.76)</f>
        <v>104.76</v>
      </c>
      <c r="E2436" s="1">
        <f ca="1">IFERROR(__xludf.DUMMYFUNCTION("""COMPUTED_VALUE"""),107.21)</f>
        <v>107.21</v>
      </c>
      <c r="F2436" s="1">
        <f ca="1">IFERROR(__xludf.DUMMYFUNCTION("""COMPUTED_VALUE"""),306850696)</f>
        <v>306850696</v>
      </c>
    </row>
    <row r="2437" spans="1:6" x14ac:dyDescent="0.35">
      <c r="A2437" s="2">
        <f ca="1">IFERROR(__xludf.DUMMYFUNCTION("""COMPUTED_VALUE"""),45541.6666666666)</f>
        <v>45541.666666666599</v>
      </c>
      <c r="B2437" s="1">
        <f ca="1">IFERROR(__xludf.DUMMYFUNCTION("""COMPUTED_VALUE"""),108.04)</f>
        <v>108.04</v>
      </c>
      <c r="C2437" s="1">
        <f ca="1">IFERROR(__xludf.DUMMYFUNCTION("""COMPUTED_VALUE"""),108.15)</f>
        <v>108.15</v>
      </c>
      <c r="D2437" s="1">
        <f ca="1">IFERROR(__xludf.DUMMYFUNCTION("""COMPUTED_VALUE"""),100.95)</f>
        <v>100.95</v>
      </c>
      <c r="E2437" s="1">
        <f ca="1">IFERROR(__xludf.DUMMYFUNCTION("""COMPUTED_VALUE"""),102.83)</f>
        <v>102.83</v>
      </c>
      <c r="F2437" s="1">
        <f ca="1">IFERROR(__xludf.DUMMYFUNCTION("""COMPUTED_VALUE"""),413638098)</f>
        <v>413638098</v>
      </c>
    </row>
    <row r="2438" spans="1:6" x14ac:dyDescent="0.35">
      <c r="A2438" s="2">
        <f ca="1">IFERROR(__xludf.DUMMYFUNCTION("""COMPUTED_VALUE"""),45544.6666666666)</f>
        <v>45544.666666666599</v>
      </c>
      <c r="B2438" s="1">
        <f ca="1">IFERROR(__xludf.DUMMYFUNCTION("""COMPUTED_VALUE"""),104.88)</f>
        <v>104.88</v>
      </c>
      <c r="C2438" s="1">
        <f ca="1">IFERROR(__xludf.DUMMYFUNCTION("""COMPUTED_VALUE"""),106.55)</f>
        <v>106.55</v>
      </c>
      <c r="D2438" s="1">
        <f ca="1">IFERROR(__xludf.DUMMYFUNCTION("""COMPUTED_VALUE"""),103.69)</f>
        <v>103.69</v>
      </c>
      <c r="E2438" s="1">
        <f ca="1">IFERROR(__xludf.DUMMYFUNCTION("""COMPUTED_VALUE"""),106.47)</f>
        <v>106.47</v>
      </c>
      <c r="F2438" s="1">
        <f ca="1">IFERROR(__xludf.DUMMYFUNCTION("""COMPUTED_VALUE"""),273912015)</f>
        <v>273912015</v>
      </c>
    </row>
    <row r="2439" spans="1:6" x14ac:dyDescent="0.35">
      <c r="A2439" s="2">
        <f ca="1">IFERROR(__xludf.DUMMYFUNCTION("""COMPUTED_VALUE"""),45545.6666666666)</f>
        <v>45545.666666666599</v>
      </c>
      <c r="B2439" s="1">
        <f ca="1">IFERROR(__xludf.DUMMYFUNCTION("""COMPUTED_VALUE"""),107.81)</f>
        <v>107.81</v>
      </c>
      <c r="C2439" s="1">
        <f ca="1">IFERROR(__xludf.DUMMYFUNCTION("""COMPUTED_VALUE"""),109.4)</f>
        <v>109.4</v>
      </c>
      <c r="D2439" s="1">
        <f ca="1">IFERROR(__xludf.DUMMYFUNCTION("""COMPUTED_VALUE"""),104.95)</f>
        <v>104.95</v>
      </c>
      <c r="E2439" s="1">
        <f ca="1">IFERROR(__xludf.DUMMYFUNCTION("""COMPUTED_VALUE"""),108.1)</f>
        <v>108.1</v>
      </c>
      <c r="F2439" s="1">
        <f ca="1">IFERROR(__xludf.DUMMYFUNCTION("""COMPUTED_VALUE"""),268283736)</f>
        <v>268283736</v>
      </c>
    </row>
    <row r="2440" spans="1:6" x14ac:dyDescent="0.35">
      <c r="A2440" s="2">
        <f ca="1">IFERROR(__xludf.DUMMYFUNCTION("""COMPUTED_VALUE"""),45546.6666666666)</f>
        <v>45546.666666666599</v>
      </c>
      <c r="B2440" s="1">
        <f ca="1">IFERROR(__xludf.DUMMYFUNCTION("""COMPUTED_VALUE"""),109.39)</f>
        <v>109.39</v>
      </c>
      <c r="C2440" s="1">
        <f ca="1">IFERROR(__xludf.DUMMYFUNCTION("""COMPUTED_VALUE"""),117.19)</f>
        <v>117.19</v>
      </c>
      <c r="D2440" s="1">
        <f ca="1">IFERROR(__xludf.DUMMYFUNCTION("""COMPUTED_VALUE"""),107.42)</f>
        <v>107.42</v>
      </c>
      <c r="E2440" s="1">
        <f ca="1">IFERROR(__xludf.DUMMYFUNCTION("""COMPUTED_VALUE"""),116.91)</f>
        <v>116.91</v>
      </c>
      <c r="F2440" s="1">
        <f ca="1">IFERROR(__xludf.DUMMYFUNCTION("""COMPUTED_VALUE"""),441422370)</f>
        <v>441422370</v>
      </c>
    </row>
    <row r="2441" spans="1:6" x14ac:dyDescent="0.35">
      <c r="A2441" s="2">
        <f ca="1">IFERROR(__xludf.DUMMYFUNCTION("""COMPUTED_VALUE"""),45547.6666666666)</f>
        <v>45547.666666666599</v>
      </c>
      <c r="B2441" s="1">
        <f ca="1">IFERROR(__xludf.DUMMYFUNCTION("""COMPUTED_VALUE"""),116.84)</f>
        <v>116.84</v>
      </c>
      <c r="C2441" s="1">
        <f ca="1">IFERROR(__xludf.DUMMYFUNCTION("""COMPUTED_VALUE"""),120.79)</f>
        <v>120.79</v>
      </c>
      <c r="D2441" s="1">
        <f ca="1">IFERROR(__xludf.DUMMYFUNCTION("""COMPUTED_VALUE"""),115.38)</f>
        <v>115.38</v>
      </c>
      <c r="E2441" s="1">
        <f ca="1">IFERROR(__xludf.DUMMYFUNCTION("""COMPUTED_VALUE"""),119.14)</f>
        <v>119.14</v>
      </c>
      <c r="F2441" s="1">
        <f ca="1">IFERROR(__xludf.DUMMYFUNCTION("""COMPUTED_VALUE"""),367100496)</f>
        <v>367100496</v>
      </c>
    </row>
    <row r="2442" spans="1:6" x14ac:dyDescent="0.35">
      <c r="A2442" s="2">
        <f ca="1">IFERROR(__xludf.DUMMYFUNCTION("""COMPUTED_VALUE"""),45548.6666666666)</f>
        <v>45548.666666666599</v>
      </c>
      <c r="B2442" s="1">
        <f ca="1">IFERROR(__xludf.DUMMYFUNCTION("""COMPUTED_VALUE"""),119.08)</f>
        <v>119.08</v>
      </c>
      <c r="C2442" s="1">
        <f ca="1">IFERROR(__xludf.DUMMYFUNCTION("""COMPUTED_VALUE"""),119.96)</f>
        <v>119.96</v>
      </c>
      <c r="D2442" s="1">
        <f ca="1">IFERROR(__xludf.DUMMYFUNCTION("""COMPUTED_VALUE"""),117.6)</f>
        <v>117.6</v>
      </c>
      <c r="E2442" s="1">
        <f ca="1">IFERROR(__xludf.DUMMYFUNCTION("""COMPUTED_VALUE"""),119.1)</f>
        <v>119.1</v>
      </c>
      <c r="F2442" s="1">
        <f ca="1">IFERROR(__xludf.DUMMYFUNCTION("""COMPUTED_VALUE"""),238358328)</f>
        <v>238358328</v>
      </c>
    </row>
    <row r="2443" spans="1:6" x14ac:dyDescent="0.35">
      <c r="A2443" s="2">
        <f ca="1">IFERROR(__xludf.DUMMYFUNCTION("""COMPUTED_VALUE"""),45551.6666666666)</f>
        <v>45551.666666666599</v>
      </c>
      <c r="B2443" s="1">
        <f ca="1">IFERROR(__xludf.DUMMYFUNCTION("""COMPUTED_VALUE"""),116.79)</f>
        <v>116.79</v>
      </c>
      <c r="C2443" s="1">
        <f ca="1">IFERROR(__xludf.DUMMYFUNCTION("""COMPUTED_VALUE"""),118.18)</f>
        <v>118.18</v>
      </c>
      <c r="D2443" s="1">
        <f ca="1">IFERROR(__xludf.DUMMYFUNCTION("""COMPUTED_VALUE"""),114.36)</f>
        <v>114.36</v>
      </c>
      <c r="E2443" s="1">
        <f ca="1">IFERROR(__xludf.DUMMYFUNCTION("""COMPUTED_VALUE"""),116.78)</f>
        <v>116.78</v>
      </c>
      <c r="F2443" s="1">
        <f ca="1">IFERROR(__xludf.DUMMYFUNCTION("""COMPUTED_VALUE"""),248772308)</f>
        <v>248772308</v>
      </c>
    </row>
    <row r="2444" spans="1:6" x14ac:dyDescent="0.35">
      <c r="A2444" s="2">
        <f ca="1">IFERROR(__xludf.DUMMYFUNCTION("""COMPUTED_VALUE"""),45552.6666666666)</f>
        <v>45552.666666666599</v>
      </c>
      <c r="B2444" s="1">
        <f ca="1">IFERROR(__xludf.DUMMYFUNCTION("""COMPUTED_VALUE"""),118.17)</f>
        <v>118.17</v>
      </c>
      <c r="C2444" s="1">
        <f ca="1">IFERROR(__xludf.DUMMYFUNCTION("""COMPUTED_VALUE"""),118.8)</f>
        <v>118.8</v>
      </c>
      <c r="D2444" s="1">
        <f ca="1">IFERROR(__xludf.DUMMYFUNCTION("""COMPUTED_VALUE"""),114.83)</f>
        <v>114.83</v>
      </c>
      <c r="E2444" s="1">
        <f ca="1">IFERROR(__xludf.DUMMYFUNCTION("""COMPUTED_VALUE"""),115.59)</f>
        <v>115.59</v>
      </c>
      <c r="F2444" s="1">
        <f ca="1">IFERROR(__xludf.DUMMYFUNCTION("""COMPUTED_VALUE"""),231925876)</f>
        <v>231925876</v>
      </c>
    </row>
    <row r="2445" spans="1:6" x14ac:dyDescent="0.35">
      <c r="A2445" s="2">
        <f ca="1">IFERROR(__xludf.DUMMYFUNCTION("""COMPUTED_VALUE"""),45553.6666666666)</f>
        <v>45553.666666666599</v>
      </c>
      <c r="B2445" s="1">
        <f ca="1">IFERROR(__xludf.DUMMYFUNCTION("""COMPUTED_VALUE"""),115.89)</f>
        <v>115.89</v>
      </c>
      <c r="C2445" s="1">
        <f ca="1">IFERROR(__xludf.DUMMYFUNCTION("""COMPUTED_VALUE"""),117.7)</f>
        <v>117.7</v>
      </c>
      <c r="D2445" s="1">
        <f ca="1">IFERROR(__xludf.DUMMYFUNCTION("""COMPUTED_VALUE"""),113.22)</f>
        <v>113.22</v>
      </c>
      <c r="E2445" s="1">
        <f ca="1">IFERROR(__xludf.DUMMYFUNCTION("""COMPUTED_VALUE"""),113.37)</f>
        <v>113.37</v>
      </c>
      <c r="F2445" s="1">
        <f ca="1">IFERROR(__xludf.DUMMYFUNCTION("""COMPUTED_VALUE"""),310318937)</f>
        <v>310318937</v>
      </c>
    </row>
    <row r="2446" spans="1:6" x14ac:dyDescent="0.35">
      <c r="A2446" s="2">
        <f ca="1">IFERROR(__xludf.DUMMYFUNCTION("""COMPUTED_VALUE"""),45554.6666666666)</f>
        <v>45554.666666666599</v>
      </c>
      <c r="B2446" s="1">
        <f ca="1">IFERROR(__xludf.DUMMYFUNCTION("""COMPUTED_VALUE"""),117.35)</f>
        <v>117.35</v>
      </c>
      <c r="C2446" s="1">
        <f ca="1">IFERROR(__xludf.DUMMYFUNCTION("""COMPUTED_VALUE"""),119.66)</f>
        <v>119.66</v>
      </c>
      <c r="D2446" s="1">
        <f ca="1">IFERROR(__xludf.DUMMYFUNCTION("""COMPUTED_VALUE"""),117.25)</f>
        <v>117.25</v>
      </c>
      <c r="E2446" s="1">
        <f ca="1">IFERROR(__xludf.DUMMYFUNCTION("""COMPUTED_VALUE"""),117.87)</f>
        <v>117.87</v>
      </c>
      <c r="F2446" s="1">
        <f ca="1">IFERROR(__xludf.DUMMYFUNCTION("""COMPUTED_VALUE"""),293506438)</f>
        <v>293506438</v>
      </c>
    </row>
    <row r="2447" spans="1:6" x14ac:dyDescent="0.35">
      <c r="A2447" s="2">
        <f ca="1">IFERROR(__xludf.DUMMYFUNCTION("""COMPUTED_VALUE"""),45555.6666666666)</f>
        <v>45555.666666666599</v>
      </c>
      <c r="B2447" s="1">
        <f ca="1">IFERROR(__xludf.DUMMYFUNCTION("""COMPUTED_VALUE"""),117.06)</f>
        <v>117.06</v>
      </c>
      <c r="C2447" s="1">
        <f ca="1">IFERROR(__xludf.DUMMYFUNCTION("""COMPUTED_VALUE"""),118.62)</f>
        <v>118.62</v>
      </c>
      <c r="D2447" s="1">
        <f ca="1">IFERROR(__xludf.DUMMYFUNCTION("""COMPUTED_VALUE"""),115.39)</f>
        <v>115.39</v>
      </c>
      <c r="E2447" s="1">
        <f ca="1">IFERROR(__xludf.DUMMYFUNCTION("""COMPUTED_VALUE"""),116)</f>
        <v>116</v>
      </c>
      <c r="F2447" s="1">
        <f ca="1">IFERROR(__xludf.DUMMYFUNCTION("""COMPUTED_VALUE"""),382462428)</f>
        <v>382462428</v>
      </c>
    </row>
    <row r="2448" spans="1:6" x14ac:dyDescent="0.35">
      <c r="A2448" s="2">
        <f ca="1">IFERROR(__xludf.DUMMYFUNCTION("""COMPUTED_VALUE"""),45558.6666666666)</f>
        <v>45558.666666666599</v>
      </c>
      <c r="B2448" s="1">
        <f ca="1">IFERROR(__xludf.DUMMYFUNCTION("""COMPUTED_VALUE"""),116.55)</f>
        <v>116.55</v>
      </c>
      <c r="C2448" s="1">
        <f ca="1">IFERROR(__xludf.DUMMYFUNCTION("""COMPUTED_VALUE"""),116.99)</f>
        <v>116.99</v>
      </c>
      <c r="D2448" s="1">
        <f ca="1">IFERROR(__xludf.DUMMYFUNCTION("""COMPUTED_VALUE"""),114.86)</f>
        <v>114.86</v>
      </c>
      <c r="E2448" s="1">
        <f ca="1">IFERROR(__xludf.DUMMYFUNCTION("""COMPUTED_VALUE"""),116.26)</f>
        <v>116.26</v>
      </c>
      <c r="F2448" s="1">
        <f ca="1">IFERROR(__xludf.DUMMYFUNCTION("""COMPUTED_VALUE"""),206228490)</f>
        <v>206228490</v>
      </c>
    </row>
    <row r="2449" spans="1:6" x14ac:dyDescent="0.35">
      <c r="A2449" s="2">
        <f ca="1">IFERROR(__xludf.DUMMYFUNCTION("""COMPUTED_VALUE"""),45559.6666666666)</f>
        <v>45559.666666666599</v>
      </c>
      <c r="B2449" s="1">
        <f ca="1">IFERROR(__xludf.DUMMYFUNCTION("""COMPUTED_VALUE"""),116.52)</f>
        <v>116.52</v>
      </c>
      <c r="C2449" s="1">
        <f ca="1">IFERROR(__xludf.DUMMYFUNCTION("""COMPUTED_VALUE"""),121.8)</f>
        <v>121.8</v>
      </c>
      <c r="D2449" s="1">
        <f ca="1">IFERROR(__xludf.DUMMYFUNCTION("""COMPUTED_VALUE"""),115.38)</f>
        <v>115.38</v>
      </c>
      <c r="E2449" s="1">
        <f ca="1">IFERROR(__xludf.DUMMYFUNCTION("""COMPUTED_VALUE"""),120.87)</f>
        <v>120.87</v>
      </c>
      <c r="F2449" s="1">
        <f ca="1">IFERROR(__xludf.DUMMYFUNCTION("""COMPUTED_VALUE"""),354966772)</f>
        <v>354966772</v>
      </c>
    </row>
    <row r="2450" spans="1:6" x14ac:dyDescent="0.35">
      <c r="A2450" s="2">
        <f ca="1">IFERROR(__xludf.DUMMYFUNCTION("""COMPUTED_VALUE"""),45560.6666666666)</f>
        <v>45560.666666666599</v>
      </c>
      <c r="B2450" s="1">
        <f ca="1">IFERROR(__xludf.DUMMYFUNCTION("""COMPUTED_VALUE"""),122.02)</f>
        <v>122.02</v>
      </c>
      <c r="C2450" s="1">
        <f ca="1">IFERROR(__xludf.DUMMYFUNCTION("""COMPUTED_VALUE"""),124.94)</f>
        <v>124.94</v>
      </c>
      <c r="D2450" s="1">
        <f ca="1">IFERROR(__xludf.DUMMYFUNCTION("""COMPUTED_VALUE"""),121.61)</f>
        <v>121.61</v>
      </c>
      <c r="E2450" s="1">
        <f ca="1">IFERROR(__xludf.DUMMYFUNCTION("""COMPUTED_VALUE"""),123.51)</f>
        <v>123.51</v>
      </c>
      <c r="F2450" s="1">
        <f ca="1">IFERROR(__xludf.DUMMYFUNCTION("""COMPUTED_VALUE"""),284692948)</f>
        <v>284692948</v>
      </c>
    </row>
    <row r="2451" spans="1:6" x14ac:dyDescent="0.35">
      <c r="A2451" s="2">
        <f ca="1">IFERROR(__xludf.DUMMYFUNCTION("""COMPUTED_VALUE"""),45561.6666666666)</f>
        <v>45561.666666666599</v>
      </c>
      <c r="B2451" s="1">
        <f ca="1">IFERROR(__xludf.DUMMYFUNCTION("""COMPUTED_VALUE"""),126.8)</f>
        <v>126.8</v>
      </c>
      <c r="C2451" s="1">
        <f ca="1">IFERROR(__xludf.DUMMYFUNCTION("""COMPUTED_VALUE"""),127.67)</f>
        <v>127.67</v>
      </c>
      <c r="D2451" s="1">
        <f ca="1">IFERROR(__xludf.DUMMYFUNCTION("""COMPUTED_VALUE"""),121.8)</f>
        <v>121.8</v>
      </c>
      <c r="E2451" s="1">
        <f ca="1">IFERROR(__xludf.DUMMYFUNCTION("""COMPUTED_VALUE"""),124.04)</f>
        <v>124.04</v>
      </c>
      <c r="F2451" s="1">
        <f ca="1">IFERROR(__xludf.DUMMYFUNCTION("""COMPUTED_VALUE"""),302582868)</f>
        <v>302582868</v>
      </c>
    </row>
    <row r="2452" spans="1:6" x14ac:dyDescent="0.35">
      <c r="A2452" s="2">
        <f ca="1">IFERROR(__xludf.DUMMYFUNCTION("""COMPUTED_VALUE"""),45562.6666666666)</f>
        <v>45562.666666666599</v>
      </c>
      <c r="B2452" s="1">
        <f ca="1">IFERROR(__xludf.DUMMYFUNCTION("""COMPUTED_VALUE"""),123.97)</f>
        <v>123.97</v>
      </c>
      <c r="C2452" s="1">
        <f ca="1">IFERROR(__xludf.DUMMYFUNCTION("""COMPUTED_VALUE"""),124.03)</f>
        <v>124.03</v>
      </c>
      <c r="D2452" s="1">
        <f ca="1">IFERROR(__xludf.DUMMYFUNCTION("""COMPUTED_VALUE"""),119.26)</f>
        <v>119.26</v>
      </c>
      <c r="E2452" s="1">
        <f ca="1">IFERROR(__xludf.DUMMYFUNCTION("""COMPUTED_VALUE"""),121.4)</f>
        <v>121.4</v>
      </c>
      <c r="F2452" s="1">
        <f ca="1">IFERROR(__xludf.DUMMYFUNCTION("""COMPUTED_VALUE"""),271009175)</f>
        <v>271009175</v>
      </c>
    </row>
    <row r="2453" spans="1:6" x14ac:dyDescent="0.35">
      <c r="A2453" s="2">
        <f ca="1">IFERROR(__xludf.DUMMYFUNCTION("""COMPUTED_VALUE"""),45565.6666666666)</f>
        <v>45565.666666666599</v>
      </c>
      <c r="B2453" s="1">
        <f ca="1">IFERROR(__xludf.DUMMYFUNCTION("""COMPUTED_VALUE"""),118.31)</f>
        <v>118.31</v>
      </c>
      <c r="C2453" s="1">
        <f ca="1">IFERROR(__xludf.DUMMYFUNCTION("""COMPUTED_VALUE"""),121.5)</f>
        <v>121.5</v>
      </c>
      <c r="D2453" s="1">
        <f ca="1">IFERROR(__xludf.DUMMYFUNCTION("""COMPUTED_VALUE"""),118.15)</f>
        <v>118.15</v>
      </c>
      <c r="E2453" s="1">
        <f ca="1">IFERROR(__xludf.DUMMYFUNCTION("""COMPUTED_VALUE"""),121.44)</f>
        <v>121.44</v>
      </c>
      <c r="F2453" s="1">
        <f ca="1">IFERROR(__xludf.DUMMYFUNCTION("""COMPUTED_VALUE"""),227053651)</f>
        <v>227053651</v>
      </c>
    </row>
    <row r="2454" spans="1:6" x14ac:dyDescent="0.35">
      <c r="A2454" s="2">
        <f ca="1">IFERROR(__xludf.DUMMYFUNCTION("""COMPUTED_VALUE"""),45566.6666666666)</f>
        <v>45566.666666666599</v>
      </c>
      <c r="B2454" s="1">
        <f ca="1">IFERROR(__xludf.DUMMYFUNCTION("""COMPUTED_VALUE"""),121.77)</f>
        <v>121.77</v>
      </c>
      <c r="C2454" s="1">
        <f ca="1">IFERROR(__xludf.DUMMYFUNCTION("""COMPUTED_VALUE"""),122.44)</f>
        <v>122.44</v>
      </c>
      <c r="D2454" s="1">
        <f ca="1">IFERROR(__xludf.DUMMYFUNCTION("""COMPUTED_VALUE"""),115.79)</f>
        <v>115.79</v>
      </c>
      <c r="E2454" s="1">
        <f ca="1">IFERROR(__xludf.DUMMYFUNCTION("""COMPUTED_VALUE"""),117)</f>
        <v>117</v>
      </c>
      <c r="F2454" s="1">
        <f ca="1">IFERROR(__xludf.DUMMYFUNCTION("""COMPUTED_VALUE"""),302094485)</f>
        <v>302094485</v>
      </c>
    </row>
    <row r="2455" spans="1:6" x14ac:dyDescent="0.35">
      <c r="A2455" s="2">
        <f ca="1">IFERROR(__xludf.DUMMYFUNCTION("""COMPUTED_VALUE"""),45567.6666666666)</f>
        <v>45567.666666666599</v>
      </c>
      <c r="B2455" s="1">
        <f ca="1">IFERROR(__xludf.DUMMYFUNCTION("""COMPUTED_VALUE"""),116.44)</f>
        <v>116.44</v>
      </c>
      <c r="C2455" s="1">
        <f ca="1">IFERROR(__xludf.DUMMYFUNCTION("""COMPUTED_VALUE"""),119.38)</f>
        <v>119.38</v>
      </c>
      <c r="D2455" s="1">
        <f ca="1">IFERROR(__xludf.DUMMYFUNCTION("""COMPUTED_VALUE"""),115.14)</f>
        <v>115.14</v>
      </c>
      <c r="E2455" s="1">
        <f ca="1">IFERROR(__xludf.DUMMYFUNCTION("""COMPUTED_VALUE"""),118.85)</f>
        <v>118.85</v>
      </c>
      <c r="F2455" s="1">
        <f ca="1">IFERROR(__xludf.DUMMYFUNCTION("""COMPUTED_VALUE"""),221845887)</f>
        <v>221845887</v>
      </c>
    </row>
    <row r="2456" spans="1:6" x14ac:dyDescent="0.35">
      <c r="A2456" s="2">
        <f ca="1">IFERROR(__xludf.DUMMYFUNCTION("""COMPUTED_VALUE"""),45568.6666666666)</f>
        <v>45568.666666666599</v>
      </c>
      <c r="B2456" s="1">
        <f ca="1">IFERROR(__xludf.DUMMYFUNCTION("""COMPUTED_VALUE"""),120.92)</f>
        <v>120.92</v>
      </c>
      <c r="C2456" s="1">
        <f ca="1">IFERROR(__xludf.DUMMYFUNCTION("""COMPUTED_VALUE"""),124.36)</f>
        <v>124.36</v>
      </c>
      <c r="D2456" s="1">
        <f ca="1">IFERROR(__xludf.DUMMYFUNCTION("""COMPUTED_VALUE"""),120.34)</f>
        <v>120.34</v>
      </c>
      <c r="E2456" s="1">
        <f ca="1">IFERROR(__xludf.DUMMYFUNCTION("""COMPUTED_VALUE"""),122.85)</f>
        <v>122.85</v>
      </c>
      <c r="F2456" s="1">
        <f ca="1">IFERROR(__xludf.DUMMYFUNCTION("""COMPUTED_VALUE"""),277117973)</f>
        <v>277117973</v>
      </c>
    </row>
    <row r="2457" spans="1:6" x14ac:dyDescent="0.35">
      <c r="A2457" s="2">
        <f ca="1">IFERROR(__xludf.DUMMYFUNCTION("""COMPUTED_VALUE"""),45569.6666666666)</f>
        <v>45569.666666666599</v>
      </c>
      <c r="B2457" s="1">
        <f ca="1">IFERROR(__xludf.DUMMYFUNCTION("""COMPUTED_VALUE"""),124.94)</f>
        <v>124.94</v>
      </c>
      <c r="C2457" s="1">
        <f ca="1">IFERROR(__xludf.DUMMYFUNCTION("""COMPUTED_VALUE"""),125.04)</f>
        <v>125.04</v>
      </c>
      <c r="D2457" s="1">
        <f ca="1">IFERROR(__xludf.DUMMYFUNCTION("""COMPUTED_VALUE"""),121.83)</f>
        <v>121.83</v>
      </c>
      <c r="E2457" s="1">
        <f ca="1">IFERROR(__xludf.DUMMYFUNCTION("""COMPUTED_VALUE"""),124.92)</f>
        <v>124.92</v>
      </c>
      <c r="F2457" s="1">
        <f ca="1">IFERROR(__xludf.DUMMYFUNCTION("""COMPUTED_VALUE"""),244465552)</f>
        <v>244465552</v>
      </c>
    </row>
    <row r="2458" spans="1:6" x14ac:dyDescent="0.35">
      <c r="A2458" s="2">
        <f ca="1">IFERROR(__xludf.DUMMYFUNCTION("""COMPUTED_VALUE"""),45572.6666666666)</f>
        <v>45572.666666666599</v>
      </c>
      <c r="B2458" s="1">
        <f ca="1">IFERROR(__xludf.DUMMYFUNCTION("""COMPUTED_VALUE"""),124.99)</f>
        <v>124.99</v>
      </c>
      <c r="C2458" s="1">
        <f ca="1">IFERROR(__xludf.DUMMYFUNCTION("""COMPUTED_VALUE"""),130.64)</f>
        <v>130.63999999999999</v>
      </c>
      <c r="D2458" s="1">
        <f ca="1">IFERROR(__xludf.DUMMYFUNCTION("""COMPUTED_VALUE"""),124.95)</f>
        <v>124.95</v>
      </c>
      <c r="E2458" s="1">
        <f ca="1">IFERROR(__xludf.DUMMYFUNCTION("""COMPUTED_VALUE"""),127.72)</f>
        <v>127.72</v>
      </c>
      <c r="F2458" s="1">
        <f ca="1">IFERROR(__xludf.DUMMYFUNCTION("""COMPUTED_VALUE"""),346250233)</f>
        <v>346250233</v>
      </c>
    </row>
    <row r="2459" spans="1:6" x14ac:dyDescent="0.35">
      <c r="A2459" s="2">
        <f ca="1">IFERROR(__xludf.DUMMYFUNCTION("""COMPUTED_VALUE"""),45573.6666666666)</f>
        <v>45573.666666666599</v>
      </c>
      <c r="B2459" s="1">
        <f ca="1">IFERROR(__xludf.DUMMYFUNCTION("""COMPUTED_VALUE"""),130.26)</f>
        <v>130.26</v>
      </c>
      <c r="C2459" s="1">
        <f ca="1">IFERROR(__xludf.DUMMYFUNCTION("""COMPUTED_VALUE"""),133.48)</f>
        <v>133.47999999999999</v>
      </c>
      <c r="D2459" s="1">
        <f ca="1">IFERROR(__xludf.DUMMYFUNCTION("""COMPUTED_VALUE"""),129.42)</f>
        <v>129.41999999999999</v>
      </c>
      <c r="E2459" s="1">
        <f ca="1">IFERROR(__xludf.DUMMYFUNCTION("""COMPUTED_VALUE"""),132.89)</f>
        <v>132.88999999999999</v>
      </c>
      <c r="F2459" s="1">
        <f ca="1">IFERROR(__xludf.DUMMYFUNCTION("""COMPUTED_VALUE"""),285722485)</f>
        <v>285722485</v>
      </c>
    </row>
    <row r="2460" spans="1:6" x14ac:dyDescent="0.35">
      <c r="A2460" s="2">
        <f ca="1">IFERROR(__xludf.DUMMYFUNCTION("""COMPUTED_VALUE"""),45574.6666666666)</f>
        <v>45574.666666666599</v>
      </c>
      <c r="B2460" s="1">
        <f ca="1">IFERROR(__xludf.DUMMYFUNCTION("""COMPUTED_VALUE"""),134.11)</f>
        <v>134.11000000000001</v>
      </c>
      <c r="C2460" s="1">
        <f ca="1">IFERROR(__xludf.DUMMYFUNCTION("""COMPUTED_VALUE"""),134.52)</f>
        <v>134.52000000000001</v>
      </c>
      <c r="D2460" s="1">
        <f ca="1">IFERROR(__xludf.DUMMYFUNCTION("""COMPUTED_VALUE"""),131.38)</f>
        <v>131.38</v>
      </c>
      <c r="E2460" s="1">
        <f ca="1">IFERROR(__xludf.DUMMYFUNCTION("""COMPUTED_VALUE"""),132.65)</f>
        <v>132.65</v>
      </c>
      <c r="F2460" s="1">
        <f ca="1">IFERROR(__xludf.DUMMYFUNCTION("""COMPUTED_VALUE"""),246191612)</f>
        <v>246191612</v>
      </c>
    </row>
    <row r="2461" spans="1:6" x14ac:dyDescent="0.35">
      <c r="A2461" s="2">
        <f ca="1">IFERROR(__xludf.DUMMYFUNCTION("""COMPUTED_VALUE"""),45575.6666666666)</f>
        <v>45575.666666666599</v>
      </c>
      <c r="B2461" s="1">
        <f ca="1">IFERROR(__xludf.DUMMYFUNCTION("""COMPUTED_VALUE"""),131.91)</f>
        <v>131.91</v>
      </c>
      <c r="C2461" s="1">
        <f ca="1">IFERROR(__xludf.DUMMYFUNCTION("""COMPUTED_VALUE"""),135)</f>
        <v>135</v>
      </c>
      <c r="D2461" s="1">
        <f ca="1">IFERROR(__xludf.DUMMYFUNCTION("""COMPUTED_VALUE"""),131)</f>
        <v>131</v>
      </c>
      <c r="E2461" s="1">
        <f ca="1">IFERROR(__xludf.DUMMYFUNCTION("""COMPUTED_VALUE"""),134.81)</f>
        <v>134.81</v>
      </c>
      <c r="F2461" s="1">
        <f ca="1">IFERROR(__xludf.DUMMYFUNCTION("""COMPUTED_VALUE"""),242311337)</f>
        <v>242311337</v>
      </c>
    </row>
    <row r="2462" spans="1:6" x14ac:dyDescent="0.35">
      <c r="A2462" s="2">
        <f ca="1">IFERROR(__xludf.DUMMYFUNCTION("""COMPUTED_VALUE"""),45576.6666666666)</f>
        <v>45576.666666666599</v>
      </c>
      <c r="B2462" s="1">
        <f ca="1">IFERROR(__xludf.DUMMYFUNCTION("""COMPUTED_VALUE"""),134.01)</f>
        <v>134.01</v>
      </c>
      <c r="C2462" s="1">
        <f ca="1">IFERROR(__xludf.DUMMYFUNCTION("""COMPUTED_VALUE"""),135.78)</f>
        <v>135.78</v>
      </c>
      <c r="D2462" s="1">
        <f ca="1">IFERROR(__xludf.DUMMYFUNCTION("""COMPUTED_VALUE"""),133.66)</f>
        <v>133.66</v>
      </c>
      <c r="E2462" s="1">
        <f ca="1">IFERROR(__xludf.DUMMYFUNCTION("""COMPUTED_VALUE"""),134.8)</f>
        <v>134.80000000000001</v>
      </c>
      <c r="F2462" s="1">
        <f ca="1">IFERROR(__xludf.DUMMYFUNCTION("""COMPUTED_VALUE"""),170209474)</f>
        <v>170209474</v>
      </c>
    </row>
    <row r="2463" spans="1:6" x14ac:dyDescent="0.35">
      <c r="A2463" s="2">
        <f ca="1">IFERROR(__xludf.DUMMYFUNCTION("""COMPUTED_VALUE"""),45579.6666666666)</f>
        <v>45579.666666666599</v>
      </c>
      <c r="B2463" s="1">
        <f ca="1">IFERROR(__xludf.DUMMYFUNCTION("""COMPUTED_VALUE"""),136.47)</f>
        <v>136.47</v>
      </c>
      <c r="C2463" s="1">
        <f ca="1">IFERROR(__xludf.DUMMYFUNCTION("""COMPUTED_VALUE"""),139.6)</f>
        <v>139.6</v>
      </c>
      <c r="D2463" s="1">
        <f ca="1">IFERROR(__xludf.DUMMYFUNCTION("""COMPUTED_VALUE"""),136.3)</f>
        <v>136.30000000000001</v>
      </c>
      <c r="E2463" s="1">
        <f ca="1">IFERROR(__xludf.DUMMYFUNCTION("""COMPUTED_VALUE"""),138.07)</f>
        <v>138.07</v>
      </c>
      <c r="F2463" s="1">
        <f ca="1">IFERROR(__xludf.DUMMYFUNCTION("""COMPUTED_VALUE"""),232347668)</f>
        <v>232347668</v>
      </c>
    </row>
    <row r="2464" spans="1:6" x14ac:dyDescent="0.35">
      <c r="A2464" s="2">
        <f ca="1">IFERROR(__xludf.DUMMYFUNCTION("""COMPUTED_VALUE"""),45580.6666666666)</f>
        <v>45580.666666666599</v>
      </c>
      <c r="B2464" s="1">
        <f ca="1">IFERROR(__xludf.DUMMYFUNCTION("""COMPUTED_VALUE"""),137.87)</f>
        <v>137.87</v>
      </c>
      <c r="C2464" s="1">
        <f ca="1">IFERROR(__xludf.DUMMYFUNCTION("""COMPUTED_VALUE"""),138.57)</f>
        <v>138.57</v>
      </c>
      <c r="D2464" s="1">
        <f ca="1">IFERROR(__xludf.DUMMYFUNCTION("""COMPUTED_VALUE"""),128.74)</f>
        <v>128.74</v>
      </c>
      <c r="E2464" s="1">
        <f ca="1">IFERROR(__xludf.DUMMYFUNCTION("""COMPUTED_VALUE"""),131.6)</f>
        <v>131.6</v>
      </c>
      <c r="F2464" s="1">
        <f ca="1">IFERROR(__xludf.DUMMYFUNCTION("""COMPUTED_VALUE"""),377831021)</f>
        <v>377831021</v>
      </c>
    </row>
    <row r="2465" spans="1:6" x14ac:dyDescent="0.35">
      <c r="A2465" s="2">
        <f ca="1">IFERROR(__xludf.DUMMYFUNCTION("""COMPUTED_VALUE"""),45581.6666666666)</f>
        <v>45581.666666666599</v>
      </c>
      <c r="B2465" s="1">
        <f ca="1">IFERROR(__xludf.DUMMYFUNCTION("""COMPUTED_VALUE"""),133.98)</f>
        <v>133.97999999999999</v>
      </c>
      <c r="C2465" s="1">
        <f ca="1">IFERROR(__xludf.DUMMYFUNCTION("""COMPUTED_VALUE"""),136.62)</f>
        <v>136.62</v>
      </c>
      <c r="D2465" s="1">
        <f ca="1">IFERROR(__xludf.DUMMYFUNCTION("""COMPUTED_VALUE"""),131.58)</f>
        <v>131.58000000000001</v>
      </c>
      <c r="E2465" s="1">
        <f ca="1">IFERROR(__xludf.DUMMYFUNCTION("""COMPUTED_VALUE"""),135.72)</f>
        <v>135.72</v>
      </c>
      <c r="F2465" s="1">
        <f ca="1">IFERROR(__xludf.DUMMYFUNCTION("""COMPUTED_VALUE"""),264879720)</f>
        <v>264879720</v>
      </c>
    </row>
    <row r="2466" spans="1:6" x14ac:dyDescent="0.35">
      <c r="A2466" s="2">
        <f ca="1">IFERROR(__xludf.DUMMYFUNCTION("""COMPUTED_VALUE"""),45582.6666666666)</f>
        <v>45582.666666666599</v>
      </c>
      <c r="B2466" s="1">
        <f ca="1">IFERROR(__xludf.DUMMYFUNCTION("""COMPUTED_VALUE"""),139.34)</f>
        <v>139.34</v>
      </c>
      <c r="C2466" s="1">
        <f ca="1">IFERROR(__xludf.DUMMYFUNCTION("""COMPUTED_VALUE"""),140.89)</f>
        <v>140.88999999999999</v>
      </c>
      <c r="D2466" s="1">
        <f ca="1">IFERROR(__xludf.DUMMYFUNCTION("""COMPUTED_VALUE"""),136.87)</f>
        <v>136.87</v>
      </c>
      <c r="E2466" s="1">
        <f ca="1">IFERROR(__xludf.DUMMYFUNCTION("""COMPUTED_VALUE"""),136.93)</f>
        <v>136.93</v>
      </c>
      <c r="F2466" s="1">
        <f ca="1">IFERROR(__xludf.DUMMYFUNCTION("""COMPUTED_VALUE"""),306435921)</f>
        <v>306435921</v>
      </c>
    </row>
    <row r="2467" spans="1:6" x14ac:dyDescent="0.35">
      <c r="A2467" s="2">
        <f ca="1">IFERROR(__xludf.DUMMYFUNCTION("""COMPUTED_VALUE"""),45583.6666666666)</f>
        <v>45583.666666666599</v>
      </c>
      <c r="B2467" s="1">
        <f ca="1">IFERROR(__xludf.DUMMYFUNCTION("""COMPUTED_VALUE"""),138.67)</f>
        <v>138.66999999999999</v>
      </c>
      <c r="C2467" s="1">
        <f ca="1">IFERROR(__xludf.DUMMYFUNCTION("""COMPUTED_VALUE"""),138.9)</f>
        <v>138.9</v>
      </c>
      <c r="D2467" s="1">
        <f ca="1">IFERROR(__xludf.DUMMYFUNCTION("""COMPUTED_VALUE"""),137.28)</f>
        <v>137.28</v>
      </c>
      <c r="E2467" s="1">
        <f ca="1">IFERROR(__xludf.DUMMYFUNCTION("""COMPUTED_VALUE"""),138)</f>
        <v>138</v>
      </c>
      <c r="F2467" s="1">
        <f ca="1">IFERROR(__xludf.DUMMYFUNCTION("""COMPUTED_VALUE"""),176090184)</f>
        <v>176090184</v>
      </c>
    </row>
    <row r="2468" spans="1:6" x14ac:dyDescent="0.35">
      <c r="A2468" s="2">
        <f ca="1">IFERROR(__xludf.DUMMYFUNCTION("""COMPUTED_VALUE"""),45586.6666666666)</f>
        <v>45586.666666666599</v>
      </c>
      <c r="B2468" s="1">
        <f ca="1">IFERROR(__xludf.DUMMYFUNCTION("""COMPUTED_VALUE"""),138.13)</f>
        <v>138.13</v>
      </c>
      <c r="C2468" s="1">
        <f ca="1">IFERROR(__xludf.DUMMYFUNCTION("""COMPUTED_VALUE"""),143.71)</f>
        <v>143.71</v>
      </c>
      <c r="D2468" s="1">
        <f ca="1">IFERROR(__xludf.DUMMYFUNCTION("""COMPUTED_VALUE"""),138)</f>
        <v>138</v>
      </c>
      <c r="E2468" s="1">
        <f ca="1">IFERROR(__xludf.DUMMYFUNCTION("""COMPUTED_VALUE"""),143.71)</f>
        <v>143.71</v>
      </c>
      <c r="F2468" s="1">
        <f ca="1">IFERROR(__xludf.DUMMYFUNCTION("""COMPUTED_VALUE"""),264554514)</f>
        <v>264554514</v>
      </c>
    </row>
    <row r="2469" spans="1:6" x14ac:dyDescent="0.35">
      <c r="A2469" s="2">
        <f ca="1">IFERROR(__xludf.DUMMYFUNCTION("""COMPUTED_VALUE"""),45587.6666666666)</f>
        <v>45587.666666666599</v>
      </c>
      <c r="B2469" s="1">
        <f ca="1">IFERROR(__xludf.DUMMYFUNCTION("""COMPUTED_VALUE"""),142.91)</f>
        <v>142.91</v>
      </c>
      <c r="C2469" s="1">
        <f ca="1">IFERROR(__xludf.DUMMYFUNCTION("""COMPUTED_VALUE"""),144.42)</f>
        <v>144.41999999999999</v>
      </c>
      <c r="D2469" s="1">
        <f ca="1">IFERROR(__xludf.DUMMYFUNCTION("""COMPUTED_VALUE"""),141.78)</f>
        <v>141.78</v>
      </c>
      <c r="E2469" s="1">
        <f ca="1">IFERROR(__xludf.DUMMYFUNCTION("""COMPUTED_VALUE"""),143.59)</f>
        <v>143.59</v>
      </c>
      <c r="F2469" s="1">
        <f ca="1">IFERROR(__xludf.DUMMYFUNCTION("""COMPUTED_VALUE"""),226311589)</f>
        <v>226311589</v>
      </c>
    </row>
    <row r="2470" spans="1:6" x14ac:dyDescent="0.35">
      <c r="A2470" s="2">
        <f ca="1">IFERROR(__xludf.DUMMYFUNCTION("""COMPUTED_VALUE"""),45588.6666666666)</f>
        <v>45588.666666666599</v>
      </c>
      <c r="B2470" s="1">
        <f ca="1">IFERROR(__xludf.DUMMYFUNCTION("""COMPUTED_VALUE"""),142.03)</f>
        <v>142.03</v>
      </c>
      <c r="C2470" s="1">
        <f ca="1">IFERROR(__xludf.DUMMYFUNCTION("""COMPUTED_VALUE"""),142.43)</f>
        <v>142.43</v>
      </c>
      <c r="D2470" s="1">
        <f ca="1">IFERROR(__xludf.DUMMYFUNCTION("""COMPUTED_VALUE"""),137.46)</f>
        <v>137.46</v>
      </c>
      <c r="E2470" s="1">
        <f ca="1">IFERROR(__xludf.DUMMYFUNCTION("""COMPUTED_VALUE"""),139.56)</f>
        <v>139.56</v>
      </c>
      <c r="F2470" s="1">
        <f ca="1">IFERROR(__xludf.DUMMYFUNCTION("""COMPUTED_VALUE"""),285930038)</f>
        <v>285930038</v>
      </c>
    </row>
    <row r="2471" spans="1:6" x14ac:dyDescent="0.35">
      <c r="A2471" s="2">
        <f ca="1">IFERROR(__xludf.DUMMYFUNCTION("""COMPUTED_VALUE"""),45589.6666666666)</f>
        <v>45589.666666666599</v>
      </c>
      <c r="B2471" s="1">
        <f ca="1">IFERROR(__xludf.DUMMYFUNCTION("""COMPUTED_VALUE"""),140.82)</f>
        <v>140.82</v>
      </c>
      <c r="C2471" s="1">
        <f ca="1">IFERROR(__xludf.DUMMYFUNCTION("""COMPUTED_VALUE"""),141.35)</f>
        <v>141.35</v>
      </c>
      <c r="D2471" s="1">
        <f ca="1">IFERROR(__xludf.DUMMYFUNCTION("""COMPUTED_VALUE"""),138.46)</f>
        <v>138.46</v>
      </c>
      <c r="E2471" s="1">
        <f ca="1">IFERROR(__xludf.DUMMYFUNCTION("""COMPUTED_VALUE"""),140.41)</f>
        <v>140.41</v>
      </c>
      <c r="F2471" s="1">
        <f ca="1">IFERROR(__xludf.DUMMYFUNCTION("""COMPUTED_VALUE"""),172354888)</f>
        <v>172354888</v>
      </c>
    </row>
    <row r="2472" spans="1:6" x14ac:dyDescent="0.35">
      <c r="A2472" s="2">
        <f ca="1">IFERROR(__xludf.DUMMYFUNCTION("""COMPUTED_VALUE"""),45590.6666666666)</f>
        <v>45590.666666666599</v>
      </c>
      <c r="B2472" s="1">
        <f ca="1">IFERROR(__xludf.DUMMYFUNCTION("""COMPUTED_VALUE"""),140.93)</f>
        <v>140.93</v>
      </c>
      <c r="C2472" s="1">
        <f ca="1">IFERROR(__xludf.DUMMYFUNCTION("""COMPUTED_VALUE"""),144.13)</f>
        <v>144.13</v>
      </c>
      <c r="D2472" s="1">
        <f ca="1">IFERROR(__xludf.DUMMYFUNCTION("""COMPUTED_VALUE"""),140.8)</f>
        <v>140.80000000000001</v>
      </c>
      <c r="E2472" s="1">
        <f ca="1">IFERROR(__xludf.DUMMYFUNCTION("""COMPUTED_VALUE"""),141.54)</f>
        <v>141.54</v>
      </c>
      <c r="F2472" s="1">
        <f ca="1">IFERROR(__xludf.DUMMYFUNCTION("""COMPUTED_VALUE"""),205122109)</f>
        <v>205122109</v>
      </c>
    </row>
    <row r="2473" spans="1:6" x14ac:dyDescent="0.35">
      <c r="A2473" s="2">
        <f ca="1">IFERROR(__xludf.DUMMYFUNCTION("""COMPUTED_VALUE"""),45593.6666666666)</f>
        <v>45593.666666666599</v>
      </c>
      <c r="B2473" s="1">
        <f ca="1">IFERROR(__xludf.DUMMYFUNCTION("""COMPUTED_VALUE"""),143)</f>
        <v>143</v>
      </c>
      <c r="C2473" s="1">
        <f ca="1">IFERROR(__xludf.DUMMYFUNCTION("""COMPUTED_VALUE"""),143.14)</f>
        <v>143.13999999999999</v>
      </c>
      <c r="D2473" s="1">
        <f ca="1">IFERROR(__xludf.DUMMYFUNCTION("""COMPUTED_VALUE"""),140.05)</f>
        <v>140.05000000000001</v>
      </c>
      <c r="E2473" s="1">
        <f ca="1">IFERROR(__xludf.DUMMYFUNCTION("""COMPUTED_VALUE"""),140.52)</f>
        <v>140.52000000000001</v>
      </c>
      <c r="F2473" s="1">
        <f ca="1">IFERROR(__xludf.DUMMYFUNCTION("""COMPUTED_VALUE"""),173586745)</f>
        <v>173586745</v>
      </c>
    </row>
    <row r="2474" spans="1:6" x14ac:dyDescent="0.35">
      <c r="A2474" s="2">
        <f ca="1">IFERROR(__xludf.DUMMYFUNCTION("""COMPUTED_VALUE"""),45594.6666666666)</f>
        <v>45594.666666666599</v>
      </c>
      <c r="B2474" s="1">
        <f ca="1">IFERROR(__xludf.DUMMYFUNCTION("""COMPUTED_VALUE"""),140.29)</f>
        <v>140.29</v>
      </c>
      <c r="C2474" s="1">
        <f ca="1">IFERROR(__xludf.DUMMYFUNCTION("""COMPUTED_VALUE"""),142.26)</f>
        <v>142.26</v>
      </c>
      <c r="D2474" s="1">
        <f ca="1">IFERROR(__xludf.DUMMYFUNCTION("""COMPUTED_VALUE"""),138.9)</f>
        <v>138.9</v>
      </c>
      <c r="E2474" s="1">
        <f ca="1">IFERROR(__xludf.DUMMYFUNCTION("""COMPUTED_VALUE"""),141.25)</f>
        <v>141.25</v>
      </c>
      <c r="F2474" s="1">
        <f ca="1">IFERROR(__xludf.DUMMYFUNCTION("""COMPUTED_VALUE"""),157593634)</f>
        <v>157593634</v>
      </c>
    </row>
    <row r="2475" spans="1:6" x14ac:dyDescent="0.35">
      <c r="A2475" s="2">
        <f ca="1">IFERROR(__xludf.DUMMYFUNCTION("""COMPUTED_VALUE"""),45595.6666666666)</f>
        <v>45595.666666666599</v>
      </c>
      <c r="B2475" s="1">
        <f ca="1">IFERROR(__xludf.DUMMYFUNCTION("""COMPUTED_VALUE"""),139.54)</f>
        <v>139.54</v>
      </c>
      <c r="C2475" s="1">
        <f ca="1">IFERROR(__xludf.DUMMYFUNCTION("""COMPUTED_VALUE"""),140.33)</f>
        <v>140.33000000000001</v>
      </c>
      <c r="D2475" s="1">
        <f ca="1">IFERROR(__xludf.DUMMYFUNCTION("""COMPUTED_VALUE"""),136.81)</f>
        <v>136.81</v>
      </c>
      <c r="E2475" s="1">
        <f ca="1">IFERROR(__xludf.DUMMYFUNCTION("""COMPUTED_VALUE"""),139.34)</f>
        <v>139.34</v>
      </c>
      <c r="F2475" s="1">
        <f ca="1">IFERROR(__xludf.DUMMYFUNCTION("""COMPUTED_VALUE"""),179418082)</f>
        <v>179418082</v>
      </c>
    </row>
    <row r="2476" spans="1:6" x14ac:dyDescent="0.35">
      <c r="A2476" s="2">
        <f ca="1">IFERROR(__xludf.DUMMYFUNCTION("""COMPUTED_VALUE"""),45596.6666666666)</f>
        <v>45596.666666666599</v>
      </c>
      <c r="B2476" s="1">
        <f ca="1">IFERROR(__xludf.DUMMYFUNCTION("""COMPUTED_VALUE"""),137.6)</f>
        <v>137.6</v>
      </c>
      <c r="C2476" s="1">
        <f ca="1">IFERROR(__xludf.DUMMYFUNCTION("""COMPUTED_VALUE"""),137.61)</f>
        <v>137.61000000000001</v>
      </c>
      <c r="D2476" s="1">
        <f ca="1">IFERROR(__xludf.DUMMYFUNCTION("""COMPUTED_VALUE"""),132.11)</f>
        <v>132.11000000000001</v>
      </c>
      <c r="E2476" s="1">
        <f ca="1">IFERROR(__xludf.DUMMYFUNCTION("""COMPUTED_VALUE"""),132.76)</f>
        <v>132.76</v>
      </c>
      <c r="F2476" s="1">
        <f ca="1">IFERROR(__xludf.DUMMYFUNCTION("""COMPUTED_VALUE"""),270039641)</f>
        <v>270039641</v>
      </c>
    </row>
    <row r="2477" spans="1:6" x14ac:dyDescent="0.35">
      <c r="A2477" s="2">
        <f ca="1">IFERROR(__xludf.DUMMYFUNCTION("""COMPUTED_VALUE"""),45597.6666666666)</f>
        <v>45597.666666666599</v>
      </c>
      <c r="B2477" s="1">
        <f ca="1">IFERROR(__xludf.DUMMYFUNCTION("""COMPUTED_VALUE"""),134.7)</f>
        <v>134.69999999999999</v>
      </c>
      <c r="C2477" s="1">
        <f ca="1">IFERROR(__xludf.DUMMYFUNCTION("""COMPUTED_VALUE"""),137.31)</f>
        <v>137.31</v>
      </c>
      <c r="D2477" s="1">
        <f ca="1">IFERROR(__xludf.DUMMYFUNCTION("""COMPUTED_VALUE"""),134.57)</f>
        <v>134.57</v>
      </c>
      <c r="E2477" s="1">
        <f ca="1">IFERROR(__xludf.DUMMYFUNCTION("""COMPUTED_VALUE"""),135.4)</f>
        <v>135.4</v>
      </c>
      <c r="F2477" s="1">
        <f ca="1">IFERROR(__xludf.DUMMYFUNCTION("""COMPUTED_VALUE"""),207127838)</f>
        <v>207127838</v>
      </c>
    </row>
    <row r="2478" spans="1:6" x14ac:dyDescent="0.35">
      <c r="A2478" s="2">
        <f ca="1">IFERROR(__xludf.DUMMYFUNCTION("""COMPUTED_VALUE"""),45600.6666666666)</f>
        <v>45600.666666666599</v>
      </c>
      <c r="B2478" s="1">
        <f ca="1">IFERROR(__xludf.DUMMYFUNCTION("""COMPUTED_VALUE"""),137.21)</f>
        <v>137.21</v>
      </c>
      <c r="C2478" s="1">
        <f ca="1">IFERROR(__xludf.DUMMYFUNCTION("""COMPUTED_VALUE"""),138.96)</f>
        <v>138.96</v>
      </c>
      <c r="D2478" s="1">
        <f ca="1">IFERROR(__xludf.DUMMYFUNCTION("""COMPUTED_VALUE"""),135.57)</f>
        <v>135.57</v>
      </c>
      <c r="E2478" s="1">
        <f ca="1">IFERROR(__xludf.DUMMYFUNCTION("""COMPUTED_VALUE"""),136.05)</f>
        <v>136.05000000000001</v>
      </c>
      <c r="F2478" s="1">
        <f ca="1">IFERROR(__xludf.DUMMYFUNCTION("""COMPUTED_VALUE"""),187528173)</f>
        <v>187528173</v>
      </c>
    </row>
    <row r="2479" spans="1:6" x14ac:dyDescent="0.35">
      <c r="A2479" s="2">
        <f ca="1">IFERROR(__xludf.DUMMYFUNCTION("""COMPUTED_VALUE"""),45601.6666666666)</f>
        <v>45601.666666666599</v>
      </c>
      <c r="B2479" s="1">
        <f ca="1">IFERROR(__xludf.DUMMYFUNCTION("""COMPUTED_VALUE"""),137.45)</f>
        <v>137.44999999999999</v>
      </c>
      <c r="C2479" s="1">
        <f ca="1">IFERROR(__xludf.DUMMYFUNCTION("""COMPUTED_VALUE"""),140.37)</f>
        <v>140.37</v>
      </c>
      <c r="D2479" s="1">
        <f ca="1">IFERROR(__xludf.DUMMYFUNCTION("""COMPUTED_VALUE"""),137.33)</f>
        <v>137.33000000000001</v>
      </c>
      <c r="E2479" s="1">
        <f ca="1">IFERROR(__xludf.DUMMYFUNCTION("""COMPUTED_VALUE"""),139.91)</f>
        <v>139.91</v>
      </c>
      <c r="F2479" s="1">
        <f ca="1">IFERROR(__xludf.DUMMYFUNCTION("""COMPUTED_VALUE"""),160537373)</f>
        <v>160537373</v>
      </c>
    </row>
    <row r="2480" spans="1:6" x14ac:dyDescent="0.35">
      <c r="A2480" s="2">
        <f ca="1">IFERROR(__xludf.DUMMYFUNCTION("""COMPUTED_VALUE"""),45602.6666666666)</f>
        <v>45602.666666666599</v>
      </c>
      <c r="B2480" s="1">
        <f ca="1">IFERROR(__xludf.DUMMYFUNCTION("""COMPUTED_VALUE"""),142.96)</f>
        <v>142.96</v>
      </c>
      <c r="C2480" s="1">
        <f ca="1">IFERROR(__xludf.DUMMYFUNCTION("""COMPUTED_VALUE"""),146.49)</f>
        <v>146.49</v>
      </c>
      <c r="D2480" s="1">
        <f ca="1">IFERROR(__xludf.DUMMYFUNCTION("""COMPUTED_VALUE"""),141.96)</f>
        <v>141.96</v>
      </c>
      <c r="E2480" s="1">
        <f ca="1">IFERROR(__xludf.DUMMYFUNCTION("""COMPUTED_VALUE"""),145.61)</f>
        <v>145.61000000000001</v>
      </c>
      <c r="F2480" s="1">
        <f ca="1">IFERROR(__xludf.DUMMYFUNCTION("""COMPUTED_VALUE"""),242043945)</f>
        <v>242043945</v>
      </c>
    </row>
    <row r="2481" spans="1:6" x14ac:dyDescent="0.35">
      <c r="A2481" s="2">
        <f ca="1">IFERROR(__xludf.DUMMYFUNCTION("""COMPUTED_VALUE"""),45603.6666666666)</f>
        <v>45603.666666666599</v>
      </c>
      <c r="B2481" s="1">
        <f ca="1">IFERROR(__xludf.DUMMYFUNCTION("""COMPUTED_VALUE"""),146.39)</f>
        <v>146.38999999999999</v>
      </c>
      <c r="C2481" s="1">
        <f ca="1">IFERROR(__xludf.DUMMYFUNCTION("""COMPUTED_VALUE"""),148.93)</f>
        <v>148.93</v>
      </c>
      <c r="D2481" s="1">
        <f ca="1">IFERROR(__xludf.DUMMYFUNCTION("""COMPUTED_VALUE"""),146.17)</f>
        <v>146.16999999999999</v>
      </c>
      <c r="E2481" s="1">
        <f ca="1">IFERROR(__xludf.DUMMYFUNCTION("""COMPUTED_VALUE"""),148.88)</f>
        <v>148.88</v>
      </c>
      <c r="F2481" s="1">
        <f ca="1">IFERROR(__xludf.DUMMYFUNCTION("""COMPUTED_VALUE"""),207323303)</f>
        <v>207323303</v>
      </c>
    </row>
    <row r="2482" spans="1:6" x14ac:dyDescent="0.35">
      <c r="A2482" s="2">
        <f ca="1">IFERROR(__xludf.DUMMYFUNCTION("""COMPUTED_VALUE"""),45604.6666666666)</f>
        <v>45604.666666666599</v>
      </c>
      <c r="B2482" s="1">
        <f ca="1">IFERROR(__xludf.DUMMYFUNCTION("""COMPUTED_VALUE"""),148.77)</f>
        <v>148.77000000000001</v>
      </c>
      <c r="C2482" s="1">
        <f ca="1">IFERROR(__xludf.DUMMYFUNCTION("""COMPUTED_VALUE"""),149.77)</f>
        <v>149.77000000000001</v>
      </c>
      <c r="D2482" s="1">
        <f ca="1">IFERROR(__xludf.DUMMYFUNCTION("""COMPUTED_VALUE"""),146.26)</f>
        <v>146.26</v>
      </c>
      <c r="E2482" s="1">
        <f ca="1">IFERROR(__xludf.DUMMYFUNCTION("""COMPUTED_VALUE"""),147.63)</f>
        <v>147.63</v>
      </c>
      <c r="F2482" s="1">
        <f ca="1">IFERROR(__xludf.DUMMYFUNCTION("""COMPUTED_VALUE"""),175665830)</f>
        <v>175665830</v>
      </c>
    </row>
    <row r="2483" spans="1:6" x14ac:dyDescent="0.35">
      <c r="A2483" s="2">
        <f ca="1">IFERROR(__xludf.DUMMYFUNCTION("""COMPUTED_VALUE"""),45607.6666666666)</f>
        <v>45607.666666666599</v>
      </c>
      <c r="B2483" s="1">
        <f ca="1">IFERROR(__xludf.DUMMYFUNCTION("""COMPUTED_VALUE"""),148.68)</f>
        <v>148.68</v>
      </c>
      <c r="C2483" s="1">
        <f ca="1">IFERROR(__xludf.DUMMYFUNCTION("""COMPUTED_VALUE"""),148.85)</f>
        <v>148.85</v>
      </c>
      <c r="D2483" s="1">
        <f ca="1">IFERROR(__xludf.DUMMYFUNCTION("""COMPUTED_VALUE"""),143.57)</f>
        <v>143.57</v>
      </c>
      <c r="E2483" s="1">
        <f ca="1">IFERROR(__xludf.DUMMYFUNCTION("""COMPUTED_VALUE"""),145.26)</f>
        <v>145.26</v>
      </c>
      <c r="F2483" s="1">
        <f ca="1">IFERROR(__xludf.DUMMYFUNCTION("""COMPUTED_VALUE"""),182325620)</f>
        <v>182325620</v>
      </c>
    </row>
    <row r="2484" spans="1:6" x14ac:dyDescent="0.35">
      <c r="A2484" s="2">
        <f ca="1">IFERROR(__xludf.DUMMYFUNCTION("""COMPUTED_VALUE"""),45608.6666666666)</f>
        <v>45608.666666666599</v>
      </c>
      <c r="B2484" s="1">
        <f ca="1">IFERROR(__xludf.DUMMYFUNCTION("""COMPUTED_VALUE"""),146.78)</f>
        <v>146.78</v>
      </c>
      <c r="C2484" s="1">
        <f ca="1">IFERROR(__xludf.DUMMYFUNCTION("""COMPUTED_VALUE"""),149.65)</f>
        <v>149.65</v>
      </c>
      <c r="D2484" s="1">
        <f ca="1">IFERROR(__xludf.DUMMYFUNCTION("""COMPUTED_VALUE"""),146.01)</f>
        <v>146.01</v>
      </c>
      <c r="E2484" s="1">
        <f ca="1">IFERROR(__xludf.DUMMYFUNCTION("""COMPUTED_VALUE"""),148.29)</f>
        <v>148.29</v>
      </c>
      <c r="F2484" s="1">
        <f ca="1">IFERROR(__xludf.DUMMYFUNCTION("""COMPUTED_VALUE"""),198634738)</f>
        <v>198634738</v>
      </c>
    </row>
    <row r="2485" spans="1:6" x14ac:dyDescent="0.35">
      <c r="A2485" s="2">
        <f ca="1">IFERROR(__xludf.DUMMYFUNCTION("""COMPUTED_VALUE"""),45609.6666666666)</f>
        <v>45609.666666666599</v>
      </c>
      <c r="B2485" s="1">
        <f ca="1">IFERROR(__xludf.DUMMYFUNCTION("""COMPUTED_VALUE"""),149.07)</f>
        <v>149.07</v>
      </c>
      <c r="C2485" s="1">
        <f ca="1">IFERROR(__xludf.DUMMYFUNCTION("""COMPUTED_VALUE"""),149.33)</f>
        <v>149.33000000000001</v>
      </c>
      <c r="D2485" s="1">
        <f ca="1">IFERROR(__xludf.DUMMYFUNCTION("""COMPUTED_VALUE"""),145.9)</f>
        <v>145.9</v>
      </c>
      <c r="E2485" s="1">
        <f ca="1">IFERROR(__xludf.DUMMYFUNCTION("""COMPUTED_VALUE"""),146.27)</f>
        <v>146.27000000000001</v>
      </c>
      <c r="F2485" s="1">
        <f ca="1">IFERROR(__xludf.DUMMYFUNCTION("""COMPUTED_VALUE"""),191903267)</f>
        <v>191903267</v>
      </c>
    </row>
    <row r="2486" spans="1:6" x14ac:dyDescent="0.35">
      <c r="A2486" s="2">
        <f ca="1">IFERROR(__xludf.DUMMYFUNCTION("""COMPUTED_VALUE"""),45610.6666666666)</f>
        <v>45610.666666666599</v>
      </c>
      <c r="B2486" s="1">
        <f ca="1">IFERROR(__xludf.DUMMYFUNCTION("""COMPUTED_VALUE"""),147.64)</f>
        <v>147.63999999999999</v>
      </c>
      <c r="C2486" s="1">
        <f ca="1">IFERROR(__xludf.DUMMYFUNCTION("""COMPUTED_VALUE"""),149)</f>
        <v>149</v>
      </c>
      <c r="D2486" s="1">
        <f ca="1">IFERROR(__xludf.DUMMYFUNCTION("""COMPUTED_VALUE"""),145.55)</f>
        <v>145.55000000000001</v>
      </c>
      <c r="E2486" s="1">
        <f ca="1">IFERROR(__xludf.DUMMYFUNCTION("""COMPUTED_VALUE"""),146.76)</f>
        <v>146.76</v>
      </c>
      <c r="F2486" s="1">
        <f ca="1">IFERROR(__xludf.DUMMYFUNCTION("""COMPUTED_VALUE"""),194463301)</f>
        <v>194463301</v>
      </c>
    </row>
    <row r="2487" spans="1:6" x14ac:dyDescent="0.35">
      <c r="A2487" s="2">
        <f ca="1">IFERROR(__xludf.DUMMYFUNCTION("""COMPUTED_VALUE"""),45611.6666666666)</f>
        <v>45611.666666666599</v>
      </c>
      <c r="B2487" s="1">
        <f ca="1">IFERROR(__xludf.DUMMYFUNCTION("""COMPUTED_VALUE"""),144.87)</f>
        <v>144.87</v>
      </c>
      <c r="C2487" s="1">
        <f ca="1">IFERROR(__xludf.DUMMYFUNCTION("""COMPUTED_VALUE"""),145.24)</f>
        <v>145.24</v>
      </c>
      <c r="D2487" s="1">
        <f ca="1">IFERROR(__xludf.DUMMYFUNCTION("""COMPUTED_VALUE"""),140.08)</f>
        <v>140.08000000000001</v>
      </c>
      <c r="E2487" s="1">
        <f ca="1">IFERROR(__xludf.DUMMYFUNCTION("""COMPUTED_VALUE"""),141.98)</f>
        <v>141.97999999999999</v>
      </c>
      <c r="F2487" s="1">
        <f ca="1">IFERROR(__xludf.DUMMYFUNCTION("""COMPUTED_VALUE"""),250132869)</f>
        <v>250132869</v>
      </c>
    </row>
    <row r="2488" spans="1:6" x14ac:dyDescent="0.35">
      <c r="A2488" s="2">
        <f ca="1">IFERROR(__xludf.DUMMYFUNCTION("""COMPUTED_VALUE"""),45614.6666666666)</f>
        <v>45614.666666666599</v>
      </c>
      <c r="B2488" s="1">
        <f ca="1">IFERROR(__xludf.DUMMYFUNCTION("""COMPUTED_VALUE"""),139.5)</f>
        <v>139.5</v>
      </c>
      <c r="C2488" s="1">
        <f ca="1">IFERROR(__xludf.DUMMYFUNCTION("""COMPUTED_VALUE"""),141.55)</f>
        <v>141.55000000000001</v>
      </c>
      <c r="D2488" s="1">
        <f ca="1">IFERROR(__xludf.DUMMYFUNCTION("""COMPUTED_VALUE"""),137.15)</f>
        <v>137.15</v>
      </c>
      <c r="E2488" s="1">
        <f ca="1">IFERROR(__xludf.DUMMYFUNCTION("""COMPUTED_VALUE"""),140.15)</f>
        <v>140.15</v>
      </c>
      <c r="F2488" s="1">
        <f ca="1">IFERROR(__xludf.DUMMYFUNCTION("""COMPUTED_VALUE"""),221865993)</f>
        <v>221865993</v>
      </c>
    </row>
    <row r="2489" spans="1:6" x14ac:dyDescent="0.35">
      <c r="A2489" s="2">
        <f ca="1">IFERROR(__xludf.DUMMYFUNCTION("""COMPUTED_VALUE"""),45615.6666666666)</f>
        <v>45615.666666666599</v>
      </c>
      <c r="B2489" s="1">
        <f ca="1">IFERROR(__xludf.DUMMYFUNCTION("""COMPUTED_VALUE"""),141.32)</f>
        <v>141.32</v>
      </c>
      <c r="C2489" s="1">
        <f ca="1">IFERROR(__xludf.DUMMYFUNCTION("""COMPUTED_VALUE"""),147.13)</f>
        <v>147.13</v>
      </c>
      <c r="D2489" s="1">
        <f ca="1">IFERROR(__xludf.DUMMYFUNCTION("""COMPUTED_VALUE"""),140.99)</f>
        <v>140.99</v>
      </c>
      <c r="E2489" s="1">
        <f ca="1">IFERROR(__xludf.DUMMYFUNCTION("""COMPUTED_VALUE"""),147.01)</f>
        <v>147.01</v>
      </c>
      <c r="F2489" s="1">
        <f ca="1">IFERROR(__xludf.DUMMYFUNCTION("""COMPUTED_VALUE"""),227834912)</f>
        <v>227834912</v>
      </c>
    </row>
    <row r="2490" spans="1:6" x14ac:dyDescent="0.35">
      <c r="A2490" s="2">
        <f ca="1">IFERROR(__xludf.DUMMYFUNCTION("""COMPUTED_VALUE"""),45616.6666666666)</f>
        <v>45616.666666666599</v>
      </c>
      <c r="B2490" s="1">
        <f ca="1">IFERROR(__xludf.DUMMYFUNCTION("""COMPUTED_VALUE"""),147.41)</f>
        <v>147.41</v>
      </c>
      <c r="C2490" s="1">
        <f ca="1">IFERROR(__xludf.DUMMYFUNCTION("""COMPUTED_VALUE"""),147.56)</f>
        <v>147.56</v>
      </c>
      <c r="D2490" s="1">
        <f ca="1">IFERROR(__xludf.DUMMYFUNCTION("""COMPUTED_VALUE"""),142.73)</f>
        <v>142.72999999999999</v>
      </c>
      <c r="E2490" s="1">
        <f ca="1">IFERROR(__xludf.DUMMYFUNCTION("""COMPUTED_VALUE"""),145.89)</f>
        <v>145.88999999999999</v>
      </c>
      <c r="F2490" s="1">
        <f ca="1">IFERROR(__xludf.DUMMYFUNCTION("""COMPUTED_VALUE"""),309871654)</f>
        <v>309871654</v>
      </c>
    </row>
    <row r="2491" spans="1:6" x14ac:dyDescent="0.35">
      <c r="A2491" s="2">
        <f ca="1">IFERROR(__xludf.DUMMYFUNCTION("""COMPUTED_VALUE"""),45617.6666666666)</f>
        <v>45617.666666666599</v>
      </c>
      <c r="B2491" s="1">
        <f ca="1">IFERROR(__xludf.DUMMYFUNCTION("""COMPUTED_VALUE"""),149.35)</f>
        <v>149.35</v>
      </c>
      <c r="C2491" s="1">
        <f ca="1">IFERROR(__xludf.DUMMYFUNCTION("""COMPUTED_VALUE"""),152.89)</f>
        <v>152.88999999999999</v>
      </c>
      <c r="D2491" s="1">
        <f ca="1">IFERROR(__xludf.DUMMYFUNCTION("""COMPUTED_VALUE"""),140.7)</f>
        <v>140.69999999999999</v>
      </c>
      <c r="E2491" s="1">
        <f ca="1">IFERROR(__xludf.DUMMYFUNCTION("""COMPUTED_VALUE"""),146.67)</f>
        <v>146.66999999999999</v>
      </c>
      <c r="F2491" s="1">
        <f ca="1">IFERROR(__xludf.DUMMYFUNCTION("""COMPUTED_VALUE"""),400946570)</f>
        <v>400946570</v>
      </c>
    </row>
    <row r="2492" spans="1:6" x14ac:dyDescent="0.35">
      <c r="A2492" s="2">
        <f ca="1">IFERROR(__xludf.DUMMYFUNCTION("""COMPUTED_VALUE"""),45618.6666666666)</f>
        <v>45618.666666666599</v>
      </c>
      <c r="B2492" s="1">
        <f ca="1">IFERROR(__xludf.DUMMYFUNCTION("""COMPUTED_VALUE"""),145.93)</f>
        <v>145.93</v>
      </c>
      <c r="C2492" s="1">
        <f ca="1">IFERROR(__xludf.DUMMYFUNCTION("""COMPUTED_VALUE"""),147.16)</f>
        <v>147.16</v>
      </c>
      <c r="D2492" s="1">
        <f ca="1">IFERROR(__xludf.DUMMYFUNCTION("""COMPUTED_VALUE"""),141.1)</f>
        <v>141.1</v>
      </c>
      <c r="E2492" s="1">
        <f ca="1">IFERROR(__xludf.DUMMYFUNCTION("""COMPUTED_VALUE"""),141.95)</f>
        <v>141.94999999999999</v>
      </c>
      <c r="F2492" s="1">
        <f ca="1">IFERROR(__xludf.DUMMYFUNCTION("""COMPUTED_VALUE"""),236406154)</f>
        <v>236406154</v>
      </c>
    </row>
    <row r="2493" spans="1:6" x14ac:dyDescent="0.35">
      <c r="A2493" s="2">
        <f ca="1">IFERROR(__xludf.DUMMYFUNCTION("""COMPUTED_VALUE"""),45621.6666666666)</f>
        <v>45621.666666666599</v>
      </c>
      <c r="B2493" s="1">
        <f ca="1">IFERROR(__xludf.DUMMYFUNCTION("""COMPUTED_VALUE"""),141.99)</f>
        <v>141.99</v>
      </c>
      <c r="C2493" s="1">
        <f ca="1">IFERROR(__xludf.DUMMYFUNCTION("""COMPUTED_VALUE"""),142.05)</f>
        <v>142.05000000000001</v>
      </c>
      <c r="D2493" s="1">
        <f ca="1">IFERROR(__xludf.DUMMYFUNCTION("""COMPUTED_VALUE"""),135.82)</f>
        <v>135.82</v>
      </c>
      <c r="E2493" s="1">
        <f ca="1">IFERROR(__xludf.DUMMYFUNCTION("""COMPUTED_VALUE"""),136.02)</f>
        <v>136.02000000000001</v>
      </c>
      <c r="F2493" s="1">
        <f ca="1">IFERROR(__xludf.DUMMYFUNCTION("""COMPUTED_VALUE"""),344941875)</f>
        <v>344941875</v>
      </c>
    </row>
    <row r="2494" spans="1:6" x14ac:dyDescent="0.35">
      <c r="A2494" s="2">
        <f ca="1">IFERROR(__xludf.DUMMYFUNCTION("""COMPUTED_VALUE"""),45622.6666666666)</f>
        <v>45622.666666666599</v>
      </c>
      <c r="B2494" s="1">
        <f ca="1">IFERROR(__xludf.DUMMYFUNCTION("""COMPUTED_VALUE"""),137.7)</f>
        <v>137.69999999999999</v>
      </c>
      <c r="C2494" s="1">
        <f ca="1">IFERROR(__xludf.DUMMYFUNCTION("""COMPUTED_VALUE"""),139.3)</f>
        <v>139.30000000000001</v>
      </c>
      <c r="D2494" s="1">
        <f ca="1">IFERROR(__xludf.DUMMYFUNCTION("""COMPUTED_VALUE"""),135.67)</f>
        <v>135.66999999999999</v>
      </c>
      <c r="E2494" s="1">
        <f ca="1">IFERROR(__xludf.DUMMYFUNCTION("""COMPUTED_VALUE"""),136.92)</f>
        <v>136.91999999999999</v>
      </c>
      <c r="F2494" s="1">
        <f ca="1">IFERROR(__xludf.DUMMYFUNCTION("""COMPUTED_VALUE"""),190287654)</f>
        <v>190287654</v>
      </c>
    </row>
    <row r="2495" spans="1:6" x14ac:dyDescent="0.35">
      <c r="A2495" s="2">
        <f ca="1">IFERROR(__xludf.DUMMYFUNCTION("""COMPUTED_VALUE"""),45623.6666666666)</f>
        <v>45623.666666666599</v>
      </c>
      <c r="B2495" s="1">
        <f ca="1">IFERROR(__xludf.DUMMYFUNCTION("""COMPUTED_VALUE"""),135.01)</f>
        <v>135.01</v>
      </c>
      <c r="C2495" s="1">
        <f ca="1">IFERROR(__xludf.DUMMYFUNCTION("""COMPUTED_VALUE"""),137.22)</f>
        <v>137.22</v>
      </c>
      <c r="D2495" s="1">
        <f ca="1">IFERROR(__xludf.DUMMYFUNCTION("""COMPUTED_VALUE"""),131.8)</f>
        <v>131.80000000000001</v>
      </c>
      <c r="E2495" s="1">
        <f ca="1">IFERROR(__xludf.DUMMYFUNCTION("""COMPUTED_VALUE"""),135.34)</f>
        <v>135.34</v>
      </c>
      <c r="F2495" s="1">
        <f ca="1">IFERROR(__xludf.DUMMYFUNCTION("""COMPUTED_VALUE"""),226370912)</f>
        <v>226370912</v>
      </c>
    </row>
    <row r="2496" spans="1:6" x14ac:dyDescent="0.35">
      <c r="A2496" s="2">
        <f ca="1">IFERROR(__xludf.DUMMYFUNCTION("""COMPUTED_VALUE"""),45625.5451388888)</f>
        <v>45625.545138888803</v>
      </c>
      <c r="B2496" s="1">
        <f ca="1">IFERROR(__xludf.DUMMYFUNCTION("""COMPUTED_VALUE"""),136.78)</f>
        <v>136.78</v>
      </c>
      <c r="C2496" s="1">
        <f ca="1">IFERROR(__xludf.DUMMYFUNCTION("""COMPUTED_VALUE"""),139.35)</f>
        <v>139.35</v>
      </c>
      <c r="D2496" s="1">
        <f ca="1">IFERROR(__xludf.DUMMYFUNCTION("""COMPUTED_VALUE"""),136.05)</f>
        <v>136.05000000000001</v>
      </c>
      <c r="E2496" s="1">
        <f ca="1">IFERROR(__xludf.DUMMYFUNCTION("""COMPUTED_VALUE"""),138.25)</f>
        <v>138.25</v>
      </c>
      <c r="F2496" s="1">
        <f ca="1">IFERROR(__xludf.DUMMYFUNCTION("""COMPUTED_VALUE"""),141863156)</f>
        <v>141863156</v>
      </c>
    </row>
    <row r="2497" spans="1:6" x14ac:dyDescent="0.35">
      <c r="A2497" s="2">
        <f ca="1">IFERROR(__xludf.DUMMYFUNCTION("""COMPUTED_VALUE"""),45628.6666666666)</f>
        <v>45628.666666666599</v>
      </c>
      <c r="B2497" s="1">
        <f ca="1">IFERROR(__xludf.DUMMYFUNCTION("""COMPUTED_VALUE"""),138.83)</f>
        <v>138.83000000000001</v>
      </c>
      <c r="C2497" s="1">
        <f ca="1">IFERROR(__xludf.DUMMYFUNCTION("""COMPUTED_VALUE"""),140.45)</f>
        <v>140.44999999999999</v>
      </c>
      <c r="D2497" s="1">
        <f ca="1">IFERROR(__xludf.DUMMYFUNCTION("""COMPUTED_VALUE"""),137.82)</f>
        <v>137.82</v>
      </c>
      <c r="E2497" s="1">
        <f ca="1">IFERROR(__xludf.DUMMYFUNCTION("""COMPUTED_VALUE"""),138.63)</f>
        <v>138.63</v>
      </c>
      <c r="F2497" s="1">
        <f ca="1">IFERROR(__xludf.DUMMYFUNCTION("""COMPUTED_VALUE"""),171682777)</f>
        <v>171682777</v>
      </c>
    </row>
    <row r="2498" spans="1:6" x14ac:dyDescent="0.35">
      <c r="A2498" s="2">
        <f ca="1">IFERROR(__xludf.DUMMYFUNCTION("""COMPUTED_VALUE"""),45629.6666666666)</f>
        <v>45629.666666666599</v>
      </c>
      <c r="B2498" s="1">
        <f ca="1">IFERROR(__xludf.DUMMYFUNCTION("""COMPUTED_VALUE"""),138.26)</f>
        <v>138.26</v>
      </c>
      <c r="C2498" s="1">
        <f ca="1">IFERROR(__xludf.DUMMYFUNCTION("""COMPUTED_VALUE"""),140.54)</f>
        <v>140.54</v>
      </c>
      <c r="D2498" s="1">
        <f ca="1">IFERROR(__xludf.DUMMYFUNCTION("""COMPUTED_VALUE"""),137.95)</f>
        <v>137.94999999999999</v>
      </c>
      <c r="E2498" s="1">
        <f ca="1">IFERROR(__xludf.DUMMYFUNCTION("""COMPUTED_VALUE"""),140.26)</f>
        <v>140.26</v>
      </c>
      <c r="F2498" s="1">
        <f ca="1">IFERROR(__xludf.DUMMYFUNCTION("""COMPUTED_VALUE"""),164413965)</f>
        <v>164413965</v>
      </c>
    </row>
    <row r="2499" spans="1:6" x14ac:dyDescent="0.35">
      <c r="A2499" s="2">
        <f ca="1">IFERROR(__xludf.DUMMYFUNCTION("""COMPUTED_VALUE"""),45630.6666666666)</f>
        <v>45630.666666666599</v>
      </c>
      <c r="B2499" s="1">
        <f ca="1">IFERROR(__xludf.DUMMYFUNCTION("""COMPUTED_VALUE"""),142)</f>
        <v>142</v>
      </c>
      <c r="C2499" s="1">
        <f ca="1">IFERROR(__xludf.DUMMYFUNCTION("""COMPUTED_VALUE"""),145.79)</f>
        <v>145.79</v>
      </c>
      <c r="D2499" s="1">
        <f ca="1">IFERROR(__xludf.DUMMYFUNCTION("""COMPUTED_VALUE"""),140.29)</f>
        <v>140.29</v>
      </c>
      <c r="E2499" s="1">
        <f ca="1">IFERROR(__xludf.DUMMYFUNCTION("""COMPUTED_VALUE"""),145.14)</f>
        <v>145.13999999999999</v>
      </c>
      <c r="F2499" s="1">
        <f ca="1">IFERROR(__xludf.DUMMYFUNCTION("""COMPUTED_VALUE"""),231224295)</f>
        <v>231224295</v>
      </c>
    </row>
    <row r="2500" spans="1:6" x14ac:dyDescent="0.35">
      <c r="A2500" s="2">
        <f ca="1">IFERROR(__xludf.DUMMYFUNCTION("""COMPUTED_VALUE"""),45631.6666666666)</f>
        <v>45631.666666666599</v>
      </c>
      <c r="B2500" s="1">
        <f ca="1">IFERROR(__xludf.DUMMYFUNCTION("""COMPUTED_VALUE"""),145.11)</f>
        <v>145.11000000000001</v>
      </c>
      <c r="C2500" s="1">
        <f ca="1">IFERROR(__xludf.DUMMYFUNCTION("""COMPUTED_VALUE"""),146.54)</f>
        <v>146.54</v>
      </c>
      <c r="D2500" s="1">
        <f ca="1">IFERROR(__xludf.DUMMYFUNCTION("""COMPUTED_VALUE"""),143.95)</f>
        <v>143.94999999999999</v>
      </c>
      <c r="E2500" s="1">
        <f ca="1">IFERROR(__xludf.DUMMYFUNCTION("""COMPUTED_VALUE"""),145.06)</f>
        <v>145.06</v>
      </c>
      <c r="F2500" s="1">
        <f ca="1">IFERROR(__xludf.DUMMYFUNCTION("""COMPUTED_VALUE"""),172621180)</f>
        <v>172621180</v>
      </c>
    </row>
    <row r="2501" spans="1:6" x14ac:dyDescent="0.35">
      <c r="A2501" s="2">
        <f ca="1">IFERROR(__xludf.DUMMYFUNCTION("""COMPUTED_VALUE"""),45632.6666666666)</f>
        <v>45632.666666666599</v>
      </c>
      <c r="B2501" s="1">
        <f ca="1">IFERROR(__xludf.DUMMYFUNCTION("""COMPUTED_VALUE"""),144.6)</f>
        <v>144.6</v>
      </c>
      <c r="C2501" s="1">
        <f ca="1">IFERROR(__xludf.DUMMYFUNCTION("""COMPUTED_VALUE"""),145.7)</f>
        <v>145.69999999999999</v>
      </c>
      <c r="D2501" s="1">
        <f ca="1">IFERROR(__xludf.DUMMYFUNCTION("""COMPUTED_VALUE"""),141.31)</f>
        <v>141.31</v>
      </c>
      <c r="E2501" s="1">
        <f ca="1">IFERROR(__xludf.DUMMYFUNCTION("""COMPUTED_VALUE"""),142.44)</f>
        <v>142.44</v>
      </c>
      <c r="F2501" s="1">
        <f ca="1">IFERROR(__xludf.DUMMYFUNCTION("""COMPUTED_VALUE"""),188505573)</f>
        <v>188505573</v>
      </c>
    </row>
    <row r="2502" spans="1:6" x14ac:dyDescent="0.35">
      <c r="A2502" s="2">
        <f ca="1">IFERROR(__xludf.DUMMYFUNCTION("""COMPUTED_VALUE"""),45635.6666666666)</f>
        <v>45635.666666666599</v>
      </c>
      <c r="B2502" s="1">
        <f ca="1">IFERROR(__xludf.DUMMYFUNCTION("""COMPUTED_VALUE"""),138.97)</f>
        <v>138.97</v>
      </c>
      <c r="C2502" s="1">
        <f ca="1">IFERROR(__xludf.DUMMYFUNCTION("""COMPUTED_VALUE"""),139.95)</f>
        <v>139.94999999999999</v>
      </c>
      <c r="D2502" s="1">
        <f ca="1">IFERROR(__xludf.DUMMYFUNCTION("""COMPUTED_VALUE"""),137.13)</f>
        <v>137.13</v>
      </c>
      <c r="E2502" s="1">
        <f ca="1">IFERROR(__xludf.DUMMYFUNCTION("""COMPUTED_VALUE"""),138.81)</f>
        <v>138.81</v>
      </c>
      <c r="F2502" s="1">
        <f ca="1">IFERROR(__xludf.DUMMYFUNCTION("""COMPUTED_VALUE"""),189308625)</f>
        <v>189308625</v>
      </c>
    </row>
    <row r="2503" spans="1:6" x14ac:dyDescent="0.35">
      <c r="A2503" s="2">
        <f ca="1">IFERROR(__xludf.DUMMYFUNCTION("""COMPUTED_VALUE"""),45636.6666666666)</f>
        <v>45636.666666666599</v>
      </c>
      <c r="B2503" s="1">
        <f ca="1">IFERROR(__xludf.DUMMYFUNCTION("""COMPUTED_VALUE"""),139.01)</f>
        <v>139.01</v>
      </c>
      <c r="C2503" s="1">
        <f ca="1">IFERROR(__xludf.DUMMYFUNCTION("""COMPUTED_VALUE"""),141.82)</f>
        <v>141.82</v>
      </c>
      <c r="D2503" s="1">
        <f ca="1">IFERROR(__xludf.DUMMYFUNCTION("""COMPUTED_VALUE"""),133.79)</f>
        <v>133.79</v>
      </c>
      <c r="E2503" s="1">
        <f ca="1">IFERROR(__xludf.DUMMYFUNCTION("""COMPUTED_VALUE"""),135.07)</f>
        <v>135.07</v>
      </c>
      <c r="F2503" s="1">
        <f ca="1">IFERROR(__xludf.DUMMYFUNCTION("""COMPUTED_VALUE"""),210020888)</f>
        <v>210020888</v>
      </c>
    </row>
    <row r="2504" spans="1:6" x14ac:dyDescent="0.35">
      <c r="A2504" s="2">
        <f ca="1">IFERROR(__xludf.DUMMYFUNCTION("""COMPUTED_VALUE"""),45637.6666666666)</f>
        <v>45637.666666666599</v>
      </c>
      <c r="B2504" s="1">
        <f ca="1">IFERROR(__xludf.DUMMYFUNCTION("""COMPUTED_VALUE"""),137.36)</f>
        <v>137.36000000000001</v>
      </c>
      <c r="C2504" s="1">
        <f ca="1">IFERROR(__xludf.DUMMYFUNCTION("""COMPUTED_VALUE"""),140.17)</f>
        <v>140.16999999999999</v>
      </c>
      <c r="D2504" s="1">
        <f ca="1">IFERROR(__xludf.DUMMYFUNCTION("""COMPUTED_VALUE"""),135.21)</f>
        <v>135.21</v>
      </c>
      <c r="E2504" s="1">
        <f ca="1">IFERROR(__xludf.DUMMYFUNCTION("""COMPUTED_VALUE"""),139.31)</f>
        <v>139.31</v>
      </c>
      <c r="F2504" s="1">
        <f ca="1">IFERROR(__xludf.DUMMYFUNCTION("""COMPUTED_VALUE"""),184905192)</f>
        <v>184905192</v>
      </c>
    </row>
    <row r="2505" spans="1:6" x14ac:dyDescent="0.35">
      <c r="A2505" s="2">
        <f ca="1">IFERROR(__xludf.DUMMYFUNCTION("""COMPUTED_VALUE"""),45638.6666666666)</f>
        <v>45638.666666666599</v>
      </c>
      <c r="B2505" s="1">
        <f ca="1">IFERROR(__xludf.DUMMYFUNCTION("""COMPUTED_VALUE"""),137.08)</f>
        <v>137.08000000000001</v>
      </c>
      <c r="C2505" s="1">
        <f ca="1">IFERROR(__xludf.DUMMYFUNCTION("""COMPUTED_VALUE"""),138.44)</f>
        <v>138.44</v>
      </c>
      <c r="D2505" s="1">
        <f ca="1">IFERROR(__xludf.DUMMYFUNCTION("""COMPUTED_VALUE"""),135.8)</f>
        <v>135.80000000000001</v>
      </c>
      <c r="E2505" s="1">
        <f ca="1">IFERROR(__xludf.DUMMYFUNCTION("""COMPUTED_VALUE"""),137.34)</f>
        <v>137.34</v>
      </c>
      <c r="F2505" s="1">
        <f ca="1">IFERROR(__xludf.DUMMYFUNCTION("""COMPUTED_VALUE"""),159211393)</f>
        <v>159211393</v>
      </c>
    </row>
    <row r="2506" spans="1:6" x14ac:dyDescent="0.35">
      <c r="A2506" s="2">
        <f ca="1">IFERROR(__xludf.DUMMYFUNCTION("""COMPUTED_VALUE"""),45639.6666666666)</f>
        <v>45639.666666666599</v>
      </c>
      <c r="B2506" s="1">
        <f ca="1">IFERROR(__xludf.DUMMYFUNCTION("""COMPUTED_VALUE"""),138.94)</f>
        <v>138.94</v>
      </c>
      <c r="C2506" s="1">
        <f ca="1">IFERROR(__xludf.DUMMYFUNCTION("""COMPUTED_VALUE"""),139.6)</f>
        <v>139.6</v>
      </c>
      <c r="D2506" s="1">
        <f ca="1">IFERROR(__xludf.DUMMYFUNCTION("""COMPUTED_VALUE"""),132.54)</f>
        <v>132.54</v>
      </c>
      <c r="E2506" s="1">
        <f ca="1">IFERROR(__xludf.DUMMYFUNCTION("""COMPUTED_VALUE"""),134.25)</f>
        <v>134.25</v>
      </c>
      <c r="F2506" s="1">
        <f ca="1">IFERROR(__xludf.DUMMYFUNCTION("""COMPUTED_VALUE"""),231514881)</f>
        <v>231514881</v>
      </c>
    </row>
    <row r="2507" spans="1:6" x14ac:dyDescent="0.35">
      <c r="A2507" s="2">
        <f ca="1">IFERROR(__xludf.DUMMYFUNCTION("""COMPUTED_VALUE"""),45642.6666666666)</f>
        <v>45642.666666666599</v>
      </c>
      <c r="B2507" s="1">
        <f ca="1">IFERROR(__xludf.DUMMYFUNCTION("""COMPUTED_VALUE"""),134.18)</f>
        <v>134.18</v>
      </c>
      <c r="C2507" s="1">
        <f ca="1">IFERROR(__xludf.DUMMYFUNCTION("""COMPUTED_VALUE"""),134.4)</f>
        <v>134.4</v>
      </c>
      <c r="D2507" s="1">
        <f ca="1">IFERROR(__xludf.DUMMYFUNCTION("""COMPUTED_VALUE"""),130.42)</f>
        <v>130.41999999999999</v>
      </c>
      <c r="E2507" s="1">
        <f ca="1">IFERROR(__xludf.DUMMYFUNCTION("""COMPUTED_VALUE"""),132)</f>
        <v>132</v>
      </c>
      <c r="F2507" s="1">
        <f ca="1">IFERROR(__xludf.DUMMYFUNCTION("""COMPUTED_VALUE"""),237951130)</f>
        <v>237951130</v>
      </c>
    </row>
    <row r="2508" spans="1:6" x14ac:dyDescent="0.35">
      <c r="A2508" s="2">
        <f ca="1">IFERROR(__xludf.DUMMYFUNCTION("""COMPUTED_VALUE"""),45643.6666666666)</f>
        <v>45643.666666666599</v>
      </c>
      <c r="B2508" s="1">
        <f ca="1">IFERROR(__xludf.DUMMYFUNCTION("""COMPUTED_VALUE"""),129.09)</f>
        <v>129.09</v>
      </c>
      <c r="C2508" s="1">
        <f ca="1">IFERROR(__xludf.DUMMYFUNCTION("""COMPUTED_VALUE"""),131.59)</f>
        <v>131.59</v>
      </c>
      <c r="D2508" s="1">
        <f ca="1">IFERROR(__xludf.DUMMYFUNCTION("""COMPUTED_VALUE"""),126.86)</f>
        <v>126.86</v>
      </c>
      <c r="E2508" s="1">
        <f ca="1">IFERROR(__xludf.DUMMYFUNCTION("""COMPUTED_VALUE"""),130.39)</f>
        <v>130.38999999999999</v>
      </c>
      <c r="F2508" s="1">
        <f ca="1">IFERROR(__xludf.DUMMYFUNCTION("""COMPUTED_VALUE"""),259410263)</f>
        <v>259410263</v>
      </c>
    </row>
    <row r="2509" spans="1:6" x14ac:dyDescent="0.35">
      <c r="A2509" s="2">
        <f ca="1">IFERROR(__xludf.DUMMYFUNCTION("""COMPUTED_VALUE"""),45644.6666666666)</f>
        <v>45644.666666666599</v>
      </c>
      <c r="B2509" s="1">
        <f ca="1">IFERROR(__xludf.DUMMYFUNCTION("""COMPUTED_VALUE"""),133.86)</f>
        <v>133.86000000000001</v>
      </c>
      <c r="C2509" s="1">
        <f ca="1">IFERROR(__xludf.DUMMYFUNCTION("""COMPUTED_VALUE"""),136.7)</f>
        <v>136.69999999999999</v>
      </c>
      <c r="D2509" s="1">
        <f ca="1">IFERROR(__xludf.DUMMYFUNCTION("""COMPUTED_VALUE"""),128.28)</f>
        <v>128.28</v>
      </c>
      <c r="E2509" s="1">
        <f ca="1">IFERROR(__xludf.DUMMYFUNCTION("""COMPUTED_VALUE"""),128.91)</f>
        <v>128.91</v>
      </c>
      <c r="F2509" s="1">
        <f ca="1">IFERROR(__xludf.DUMMYFUNCTION("""COMPUTED_VALUE"""),277444533)</f>
        <v>277444533</v>
      </c>
    </row>
    <row r="2510" spans="1:6" x14ac:dyDescent="0.35">
      <c r="A2510" s="2">
        <f ca="1">IFERROR(__xludf.DUMMYFUNCTION("""COMPUTED_VALUE"""),45645.6666666666)</f>
        <v>45645.666666666599</v>
      </c>
      <c r="B2510" s="1">
        <f ca="1">IFERROR(__xludf.DUMMYFUNCTION("""COMPUTED_VALUE"""),131.76)</f>
        <v>131.76</v>
      </c>
      <c r="C2510" s="1">
        <f ca="1">IFERROR(__xludf.DUMMYFUNCTION("""COMPUTED_VALUE"""),134.03)</f>
        <v>134.03</v>
      </c>
      <c r="D2510" s="1">
        <f ca="1">IFERROR(__xludf.DUMMYFUNCTION("""COMPUTED_VALUE"""),129.55)</f>
        <v>129.55000000000001</v>
      </c>
      <c r="E2510" s="1">
        <f ca="1">IFERROR(__xludf.DUMMYFUNCTION("""COMPUTED_VALUE"""),130.68)</f>
        <v>130.68</v>
      </c>
      <c r="F2510" s="1">
        <f ca="1">IFERROR(__xludf.DUMMYFUNCTION("""COMPUTED_VALUE"""),209719210)</f>
        <v>209719210</v>
      </c>
    </row>
    <row r="2511" spans="1:6" x14ac:dyDescent="0.35">
      <c r="A2511" s="2">
        <f ca="1">IFERROR(__xludf.DUMMYFUNCTION("""COMPUTED_VALUE"""),45646.6666666666)</f>
        <v>45646.666666666599</v>
      </c>
      <c r="B2511" s="1">
        <f ca="1">IFERROR(__xludf.DUMMYFUNCTION("""COMPUTED_VALUE"""),129.81)</f>
        <v>129.81</v>
      </c>
      <c r="C2511" s="1">
        <f ca="1">IFERROR(__xludf.DUMMYFUNCTION("""COMPUTED_VALUE"""),135.28)</f>
        <v>135.28</v>
      </c>
      <c r="D2511" s="1">
        <f ca="1">IFERROR(__xludf.DUMMYFUNCTION("""COMPUTED_VALUE"""),128.22)</f>
        <v>128.22</v>
      </c>
      <c r="E2511" s="1">
        <f ca="1">IFERROR(__xludf.DUMMYFUNCTION("""COMPUTED_VALUE"""),134.7)</f>
        <v>134.69999999999999</v>
      </c>
      <c r="F2511" s="1">
        <f ca="1">IFERROR(__xludf.DUMMYFUNCTION("""COMPUTED_VALUE"""),306528553)</f>
        <v>306528553</v>
      </c>
    </row>
    <row r="2512" spans="1:6" x14ac:dyDescent="0.35">
      <c r="A2512" s="2">
        <f ca="1">IFERROR(__xludf.DUMMYFUNCTION("""COMPUTED_VALUE"""),45649.6666666666)</f>
        <v>45649.666666666599</v>
      </c>
      <c r="B2512" s="1">
        <f ca="1">IFERROR(__xludf.DUMMYFUNCTION("""COMPUTED_VALUE"""),136.28)</f>
        <v>136.28</v>
      </c>
      <c r="C2512" s="1">
        <f ca="1">IFERROR(__xludf.DUMMYFUNCTION("""COMPUTED_VALUE"""),139.79)</f>
        <v>139.79</v>
      </c>
      <c r="D2512" s="1">
        <f ca="1">IFERROR(__xludf.DUMMYFUNCTION("""COMPUTED_VALUE"""),135.12)</f>
        <v>135.12</v>
      </c>
      <c r="E2512" s="1">
        <f ca="1">IFERROR(__xludf.DUMMYFUNCTION("""COMPUTED_VALUE"""),139.67)</f>
        <v>139.66999999999999</v>
      </c>
      <c r="F2512" s="1">
        <f ca="1">IFERROR(__xludf.DUMMYFUNCTION("""COMPUTED_VALUE"""),176053506)</f>
        <v>176053506</v>
      </c>
    </row>
    <row r="2513" spans="1:6" x14ac:dyDescent="0.35">
      <c r="A2513" s="2">
        <f ca="1">IFERROR(__xludf.DUMMYFUNCTION("""COMPUTED_VALUE"""),45650.5451388888)</f>
        <v>45650.545138888803</v>
      </c>
      <c r="B2513" s="1">
        <f ca="1">IFERROR(__xludf.DUMMYFUNCTION("""COMPUTED_VALUE"""),140)</f>
        <v>140</v>
      </c>
      <c r="C2513" s="1">
        <f ca="1">IFERROR(__xludf.DUMMYFUNCTION("""COMPUTED_VALUE"""),141.9)</f>
        <v>141.9</v>
      </c>
      <c r="D2513" s="1">
        <f ca="1">IFERROR(__xludf.DUMMYFUNCTION("""COMPUTED_VALUE"""),138.65)</f>
        <v>138.65</v>
      </c>
      <c r="E2513" s="1">
        <f ca="1">IFERROR(__xludf.DUMMYFUNCTION("""COMPUTED_VALUE"""),140.22)</f>
        <v>140.22</v>
      </c>
      <c r="F2513" s="1">
        <f ca="1">IFERROR(__xludf.DUMMYFUNCTION("""COMPUTED_VALUE"""),105156989)</f>
        <v>105156989</v>
      </c>
    </row>
    <row r="2514" spans="1:6" x14ac:dyDescent="0.35">
      <c r="A2514" s="2">
        <f ca="1">IFERROR(__xludf.DUMMYFUNCTION("""COMPUTED_VALUE"""),45652.6666666666)</f>
        <v>45652.666666666599</v>
      </c>
      <c r="B2514" s="1">
        <f ca="1">IFERROR(__xludf.DUMMYFUNCTION("""COMPUTED_VALUE"""),139.7)</f>
        <v>139.69999999999999</v>
      </c>
      <c r="C2514" s="1">
        <f ca="1">IFERROR(__xludf.DUMMYFUNCTION("""COMPUTED_VALUE"""),140.85)</f>
        <v>140.85</v>
      </c>
      <c r="D2514" s="1">
        <f ca="1">IFERROR(__xludf.DUMMYFUNCTION("""COMPUTED_VALUE"""),137.73)</f>
        <v>137.72999999999999</v>
      </c>
      <c r="E2514" s="1">
        <f ca="1">IFERROR(__xludf.DUMMYFUNCTION("""COMPUTED_VALUE"""),139.93)</f>
        <v>139.93</v>
      </c>
      <c r="F2514" s="1">
        <f ca="1">IFERROR(__xludf.DUMMYFUNCTION("""COMPUTED_VALUE"""),116519090)</f>
        <v>116519090</v>
      </c>
    </row>
    <row r="2515" spans="1:6" x14ac:dyDescent="0.35">
      <c r="A2515" s="2">
        <f ca="1">IFERROR(__xludf.DUMMYFUNCTION("""COMPUTED_VALUE"""),45653.6666666666)</f>
        <v>45653.666666666599</v>
      </c>
      <c r="B2515" s="1">
        <f ca="1">IFERROR(__xludf.DUMMYFUNCTION("""COMPUTED_VALUE"""),138.55)</f>
        <v>138.55000000000001</v>
      </c>
      <c r="C2515" s="1">
        <f ca="1">IFERROR(__xludf.DUMMYFUNCTION("""COMPUTED_VALUE"""),139.02)</f>
        <v>139.02000000000001</v>
      </c>
      <c r="D2515" s="1">
        <f ca="1">IFERROR(__xludf.DUMMYFUNCTION("""COMPUTED_VALUE"""),134.71)</f>
        <v>134.71</v>
      </c>
      <c r="E2515" s="1">
        <f ca="1">IFERROR(__xludf.DUMMYFUNCTION("""COMPUTED_VALUE"""),137.01)</f>
        <v>137.01</v>
      </c>
      <c r="F2515" s="1">
        <f ca="1">IFERROR(__xludf.DUMMYFUNCTION("""COMPUTED_VALUE"""),170582603)</f>
        <v>170582603</v>
      </c>
    </row>
    <row r="2516" spans="1:6" x14ac:dyDescent="0.35">
      <c r="A2516" s="2">
        <f ca="1">IFERROR(__xludf.DUMMYFUNCTION("""COMPUTED_VALUE"""),45656.6666666666)</f>
        <v>45656.666666666599</v>
      </c>
      <c r="B2516" s="1">
        <f ca="1">IFERROR(__xludf.DUMMYFUNCTION("""COMPUTED_VALUE"""),134.83)</f>
        <v>134.83000000000001</v>
      </c>
      <c r="C2516" s="1">
        <f ca="1">IFERROR(__xludf.DUMMYFUNCTION("""COMPUTED_VALUE"""),140.27)</f>
        <v>140.27000000000001</v>
      </c>
      <c r="D2516" s="1">
        <f ca="1">IFERROR(__xludf.DUMMYFUNCTION("""COMPUTED_VALUE"""),134.02)</f>
        <v>134.02000000000001</v>
      </c>
      <c r="E2516" s="1">
        <f ca="1">IFERROR(__xludf.DUMMYFUNCTION("""COMPUTED_VALUE"""),137.49)</f>
        <v>137.49</v>
      </c>
      <c r="F2516" s="1">
        <f ca="1">IFERROR(__xludf.DUMMYFUNCTION("""COMPUTED_VALUE"""),167734700)</f>
        <v>167734700</v>
      </c>
    </row>
    <row r="2517" spans="1:6" x14ac:dyDescent="0.35">
      <c r="A2517" s="2">
        <f ca="1">IFERROR(__xludf.DUMMYFUNCTION("""COMPUTED_VALUE"""),45657.6666666666)</f>
        <v>45657.666666666599</v>
      </c>
      <c r="B2517" s="1">
        <f ca="1">IFERROR(__xludf.DUMMYFUNCTION("""COMPUTED_VALUE"""),138.03)</f>
        <v>138.03</v>
      </c>
      <c r="C2517" s="1">
        <f ca="1">IFERROR(__xludf.DUMMYFUNCTION("""COMPUTED_VALUE"""),138.07)</f>
        <v>138.07</v>
      </c>
      <c r="D2517" s="1">
        <f ca="1">IFERROR(__xludf.DUMMYFUNCTION("""COMPUTED_VALUE"""),133.83)</f>
        <v>133.83000000000001</v>
      </c>
      <c r="E2517" s="1">
        <f ca="1">IFERROR(__xludf.DUMMYFUNCTION("""COMPUTED_VALUE"""),134.29)</f>
        <v>134.29</v>
      </c>
      <c r="F2517" s="1">
        <f ca="1">IFERROR(__xludf.DUMMYFUNCTION("""COMPUTED_VALUE"""),155659211)</f>
        <v>155659211</v>
      </c>
    </row>
    <row r="2518" spans="1:6" x14ac:dyDescent="0.35">
      <c r="A2518" s="2">
        <f ca="1">IFERROR(__xludf.DUMMYFUNCTION("""COMPUTED_VALUE"""),45659.6666666666)</f>
        <v>45659.666666666599</v>
      </c>
      <c r="B2518" s="1">
        <f ca="1">IFERROR(__xludf.DUMMYFUNCTION("""COMPUTED_VALUE"""),136)</f>
        <v>136</v>
      </c>
      <c r="C2518" s="1">
        <f ca="1">IFERROR(__xludf.DUMMYFUNCTION("""COMPUTED_VALUE"""),138.88)</f>
        <v>138.88</v>
      </c>
      <c r="D2518" s="1">
        <f ca="1">IFERROR(__xludf.DUMMYFUNCTION("""COMPUTED_VALUE"""),134.63)</f>
        <v>134.63</v>
      </c>
      <c r="E2518" s="1">
        <f ca="1">IFERROR(__xludf.DUMMYFUNCTION("""COMPUTED_VALUE"""),138.31)</f>
        <v>138.31</v>
      </c>
      <c r="F2518" s="1">
        <f ca="1">IFERROR(__xludf.DUMMYFUNCTION("""COMPUTED_VALUE"""),198247166)</f>
        <v>198247166</v>
      </c>
    </row>
    <row r="2519" spans="1:6" x14ac:dyDescent="0.35">
      <c r="A2519" s="2">
        <f ca="1">IFERROR(__xludf.DUMMYFUNCTION("""COMPUTED_VALUE"""),45660.6666666666)</f>
        <v>45660.666666666599</v>
      </c>
      <c r="B2519" s="1">
        <f ca="1">IFERROR(__xludf.DUMMYFUNCTION("""COMPUTED_VALUE"""),140.01)</f>
        <v>140.01</v>
      </c>
      <c r="C2519" s="1">
        <f ca="1">IFERROR(__xludf.DUMMYFUNCTION("""COMPUTED_VALUE"""),144.9)</f>
        <v>144.9</v>
      </c>
      <c r="D2519" s="1">
        <f ca="1">IFERROR(__xludf.DUMMYFUNCTION("""COMPUTED_VALUE"""),139.73)</f>
        <v>139.72999999999999</v>
      </c>
      <c r="E2519" s="1">
        <f ca="1">IFERROR(__xludf.DUMMYFUNCTION("""COMPUTED_VALUE"""),144.47)</f>
        <v>144.47</v>
      </c>
      <c r="F2519" s="1">
        <f ca="1">IFERROR(__xludf.DUMMYFUNCTION("""COMPUTED_VALUE"""),229322478)</f>
        <v>229322478</v>
      </c>
    </row>
    <row r="2520" spans="1:6" x14ac:dyDescent="0.35">
      <c r="A2520" s="2">
        <f ca="1">IFERROR(__xludf.DUMMYFUNCTION("""COMPUTED_VALUE"""),45663.6666666666)</f>
        <v>45663.666666666599</v>
      </c>
      <c r="B2520" s="1">
        <f ca="1">IFERROR(__xludf.DUMMYFUNCTION("""COMPUTED_VALUE"""),148.59)</f>
        <v>148.59</v>
      </c>
      <c r="C2520" s="1">
        <f ca="1">IFERROR(__xludf.DUMMYFUNCTION("""COMPUTED_VALUE"""),152.16)</f>
        <v>152.16</v>
      </c>
      <c r="D2520" s="1">
        <f ca="1">IFERROR(__xludf.DUMMYFUNCTION("""COMPUTED_VALUE"""),147.82)</f>
        <v>147.82</v>
      </c>
      <c r="E2520" s="1">
        <f ca="1">IFERROR(__xludf.DUMMYFUNCTION("""COMPUTED_VALUE"""),149.43)</f>
        <v>149.43</v>
      </c>
      <c r="F2520" s="1">
        <f ca="1">IFERROR(__xludf.DUMMYFUNCTION("""COMPUTED_VALUE"""),265377359)</f>
        <v>265377359</v>
      </c>
    </row>
    <row r="2521" spans="1:6" x14ac:dyDescent="0.35">
      <c r="A2521" s="2">
        <f ca="1">IFERROR(__xludf.DUMMYFUNCTION("""COMPUTED_VALUE"""),45664.6666666666)</f>
        <v>45664.666666666599</v>
      </c>
      <c r="B2521" s="1">
        <f ca="1">IFERROR(__xludf.DUMMYFUNCTION("""COMPUTED_VALUE"""),153.03)</f>
        <v>153.03</v>
      </c>
      <c r="C2521" s="1">
        <f ca="1">IFERROR(__xludf.DUMMYFUNCTION("""COMPUTED_VALUE"""),153.13)</f>
        <v>153.13</v>
      </c>
      <c r="D2521" s="1">
        <f ca="1">IFERROR(__xludf.DUMMYFUNCTION("""COMPUTED_VALUE"""),140.01)</f>
        <v>140.01</v>
      </c>
      <c r="E2521" s="1">
        <f ca="1">IFERROR(__xludf.DUMMYFUNCTION("""COMPUTED_VALUE"""),140.14)</f>
        <v>140.13999999999999</v>
      </c>
      <c r="F2521" s="1">
        <f ca="1">IFERROR(__xludf.DUMMYFUNCTION("""COMPUTED_VALUE"""),351782174)</f>
        <v>351782174</v>
      </c>
    </row>
    <row r="2522" spans="1:6" x14ac:dyDescent="0.35">
      <c r="A2522" s="2">
        <f ca="1">IFERROR(__xludf.DUMMYFUNCTION("""COMPUTED_VALUE"""),45665.6666666666)</f>
        <v>45665.666666666599</v>
      </c>
      <c r="B2522" s="1">
        <f ca="1">IFERROR(__xludf.DUMMYFUNCTION("""COMPUTED_VALUE"""),142.58)</f>
        <v>142.58000000000001</v>
      </c>
      <c r="C2522" s="1">
        <f ca="1">IFERROR(__xludf.DUMMYFUNCTION("""COMPUTED_VALUE"""),143.95)</f>
        <v>143.94999999999999</v>
      </c>
      <c r="D2522" s="1">
        <f ca="1">IFERROR(__xludf.DUMMYFUNCTION("""COMPUTED_VALUE"""),137.56)</f>
        <v>137.56</v>
      </c>
      <c r="E2522" s="1">
        <f ca="1">IFERROR(__xludf.DUMMYFUNCTION("""COMPUTED_VALUE"""),140.11)</f>
        <v>140.11000000000001</v>
      </c>
      <c r="F2522" s="1">
        <f ca="1">IFERROR(__xludf.DUMMYFUNCTION("""COMPUTED_VALUE"""),227349948)</f>
        <v>227349948</v>
      </c>
    </row>
    <row r="2523" spans="1:6" x14ac:dyDescent="0.35">
      <c r="A2523" s="2">
        <f ca="1">IFERROR(__xludf.DUMMYFUNCTION("""COMPUTED_VALUE"""),45667.6666666666)</f>
        <v>45667.666666666599</v>
      </c>
      <c r="B2523" s="1">
        <f ca="1">IFERROR(__xludf.DUMMYFUNCTION("""COMPUTED_VALUE"""),137.45)</f>
        <v>137.44999999999999</v>
      </c>
      <c r="C2523" s="1">
        <f ca="1">IFERROR(__xludf.DUMMYFUNCTION("""COMPUTED_VALUE"""),139.92)</f>
        <v>139.91999999999999</v>
      </c>
      <c r="D2523" s="1">
        <f ca="1">IFERROR(__xludf.DUMMYFUNCTION("""COMPUTED_VALUE"""),134.22)</f>
        <v>134.22</v>
      </c>
      <c r="E2523" s="1">
        <f ca="1">IFERROR(__xludf.DUMMYFUNCTION("""COMPUTED_VALUE"""),135.91)</f>
        <v>135.91</v>
      </c>
      <c r="F2523" s="1">
        <f ca="1">IFERROR(__xludf.DUMMYFUNCTION("""COMPUTED_VALUE"""),207602514)</f>
        <v>207602514</v>
      </c>
    </row>
    <row r="2524" spans="1:6" x14ac:dyDescent="0.35">
      <c r="A2524" s="2">
        <f ca="1">IFERROR(__xludf.DUMMYFUNCTION("""COMPUTED_VALUE"""),45670.6666666666)</f>
        <v>45670.666666666599</v>
      </c>
      <c r="B2524" s="1">
        <f ca="1">IFERROR(__xludf.DUMMYFUNCTION("""COMPUTED_VALUE"""),129.99)</f>
        <v>129.99</v>
      </c>
      <c r="C2524" s="1">
        <f ca="1">IFERROR(__xludf.DUMMYFUNCTION("""COMPUTED_VALUE"""),133.49)</f>
        <v>133.49</v>
      </c>
      <c r="D2524" s="1">
        <f ca="1">IFERROR(__xludf.DUMMYFUNCTION("""COMPUTED_VALUE"""),129.51)</f>
        <v>129.51</v>
      </c>
      <c r="E2524" s="1">
        <f ca="1">IFERROR(__xludf.DUMMYFUNCTION("""COMPUTED_VALUE"""),133.23)</f>
        <v>133.22999999999999</v>
      </c>
      <c r="F2524" s="1">
        <f ca="1">IFERROR(__xludf.DUMMYFUNCTION("""COMPUTED_VALUE"""),204808914)</f>
        <v>204808914</v>
      </c>
    </row>
    <row r="2525" spans="1:6" x14ac:dyDescent="0.35">
      <c r="A2525" s="2">
        <f ca="1">IFERROR(__xludf.DUMMYFUNCTION("""COMPUTED_VALUE"""),45671.6666666666)</f>
        <v>45671.666666666599</v>
      </c>
      <c r="B2525" s="1">
        <f ca="1">IFERROR(__xludf.DUMMYFUNCTION("""COMPUTED_VALUE"""),136.05)</f>
        <v>136.05000000000001</v>
      </c>
      <c r="C2525" s="1">
        <f ca="1">IFERROR(__xludf.DUMMYFUNCTION("""COMPUTED_VALUE"""),136.38)</f>
        <v>136.38</v>
      </c>
      <c r="D2525" s="1">
        <f ca="1">IFERROR(__xludf.DUMMYFUNCTION("""COMPUTED_VALUE"""),130.05)</f>
        <v>130.05000000000001</v>
      </c>
      <c r="E2525" s="1">
        <f ca="1">IFERROR(__xludf.DUMMYFUNCTION("""COMPUTED_VALUE"""),131.76)</f>
        <v>131.76</v>
      </c>
      <c r="F2525" s="1">
        <f ca="1">IFERROR(__xludf.DUMMYFUNCTION("""COMPUTED_VALUE"""),195590485)</f>
        <v>195590485</v>
      </c>
    </row>
    <row r="2526" spans="1:6" x14ac:dyDescent="0.35">
      <c r="A2526" s="2">
        <f ca="1">IFERROR(__xludf.DUMMYFUNCTION("""COMPUTED_VALUE"""),45672.6666666666)</f>
        <v>45672.666666666599</v>
      </c>
      <c r="B2526" s="1">
        <f ca="1">IFERROR(__xludf.DUMMYFUNCTION("""COMPUTED_VALUE"""),133.65)</f>
        <v>133.65</v>
      </c>
      <c r="C2526" s="1">
        <f ca="1">IFERROR(__xludf.DUMMYFUNCTION("""COMPUTED_VALUE"""),136.45)</f>
        <v>136.44999999999999</v>
      </c>
      <c r="D2526" s="1">
        <f ca="1">IFERROR(__xludf.DUMMYFUNCTION("""COMPUTED_VALUE"""),131.29)</f>
        <v>131.29</v>
      </c>
      <c r="E2526" s="1">
        <f ca="1">IFERROR(__xludf.DUMMYFUNCTION("""COMPUTED_VALUE"""),136.24)</f>
        <v>136.24</v>
      </c>
      <c r="F2526" s="1">
        <f ca="1">IFERROR(__xludf.DUMMYFUNCTION("""COMPUTED_VALUE"""),185217338)</f>
        <v>185217338</v>
      </c>
    </row>
    <row r="2527" spans="1:6" x14ac:dyDescent="0.35">
      <c r="A2527" s="2">
        <f ca="1">IFERROR(__xludf.DUMMYFUNCTION("""COMPUTED_VALUE"""),45673.6666666666)</f>
        <v>45673.666666666599</v>
      </c>
      <c r="B2527" s="1">
        <f ca="1">IFERROR(__xludf.DUMMYFUNCTION("""COMPUTED_VALUE"""),138.64)</f>
        <v>138.63999999999999</v>
      </c>
      <c r="C2527" s="1">
        <f ca="1">IFERROR(__xludf.DUMMYFUNCTION("""COMPUTED_VALUE"""),138.75)</f>
        <v>138.75</v>
      </c>
      <c r="D2527" s="1">
        <f ca="1">IFERROR(__xludf.DUMMYFUNCTION("""COMPUTED_VALUE"""),133.49)</f>
        <v>133.49</v>
      </c>
      <c r="E2527" s="1">
        <f ca="1">IFERROR(__xludf.DUMMYFUNCTION("""COMPUTED_VALUE"""),133.57)</f>
        <v>133.57</v>
      </c>
      <c r="F2527" s="1">
        <f ca="1">IFERROR(__xludf.DUMMYFUNCTION("""COMPUTED_VALUE"""),209235583)</f>
        <v>209235583</v>
      </c>
    </row>
    <row r="2528" spans="1:6" x14ac:dyDescent="0.35">
      <c r="A2528" s="2">
        <f ca="1">IFERROR(__xludf.DUMMYFUNCTION("""COMPUTED_VALUE"""),45674.6666666666)</f>
        <v>45674.666666666599</v>
      </c>
      <c r="B2528" s="1">
        <f ca="1">IFERROR(__xludf.DUMMYFUNCTION("""COMPUTED_VALUE"""),136.69)</f>
        <v>136.69</v>
      </c>
      <c r="C2528" s="1">
        <f ca="1">IFERROR(__xludf.DUMMYFUNCTION("""COMPUTED_VALUE"""),138.5)</f>
        <v>138.5</v>
      </c>
      <c r="D2528" s="1">
        <f ca="1">IFERROR(__xludf.DUMMYFUNCTION("""COMPUTED_VALUE"""),135.46)</f>
        <v>135.46</v>
      </c>
      <c r="E2528" s="1">
        <f ca="1">IFERROR(__xludf.DUMMYFUNCTION("""COMPUTED_VALUE"""),137.71)</f>
        <v>137.71</v>
      </c>
      <c r="F2528" s="1">
        <f ca="1">IFERROR(__xludf.DUMMYFUNCTION("""COMPUTED_VALUE"""),201188760)</f>
        <v>201188760</v>
      </c>
    </row>
    <row r="2529" spans="1:6" x14ac:dyDescent="0.35">
      <c r="A2529" s="2">
        <f ca="1">IFERROR(__xludf.DUMMYFUNCTION("""COMPUTED_VALUE"""),45678.6666666666)</f>
        <v>45678.666666666599</v>
      </c>
      <c r="B2529" s="1">
        <f ca="1">IFERROR(__xludf.DUMMYFUNCTION("""COMPUTED_VALUE"""),139.16)</f>
        <v>139.16</v>
      </c>
      <c r="C2529" s="1">
        <f ca="1">IFERROR(__xludf.DUMMYFUNCTION("""COMPUTED_VALUE"""),141.83)</f>
        <v>141.83000000000001</v>
      </c>
      <c r="D2529" s="1">
        <f ca="1">IFERROR(__xludf.DUMMYFUNCTION("""COMPUTED_VALUE"""),137.09)</f>
        <v>137.09</v>
      </c>
      <c r="E2529" s="1">
        <f ca="1">IFERROR(__xludf.DUMMYFUNCTION("""COMPUTED_VALUE"""),140.83)</f>
        <v>140.83000000000001</v>
      </c>
      <c r="F2529" s="1">
        <f ca="1">IFERROR(__xludf.DUMMYFUNCTION("""COMPUTED_VALUE"""),197748985)</f>
        <v>197748985</v>
      </c>
    </row>
    <row r="2530" spans="1:6" x14ac:dyDescent="0.35">
      <c r="A2530" s="2">
        <f ca="1">IFERROR(__xludf.DUMMYFUNCTION("""COMPUTED_VALUE"""),45679.6666666666)</f>
        <v>45679.666666666599</v>
      </c>
      <c r="B2530" s="1">
        <f ca="1">IFERROR(__xludf.DUMMYFUNCTION("""COMPUTED_VALUE"""),144.66)</f>
        <v>144.66</v>
      </c>
      <c r="C2530" s="1">
        <f ca="1">IFERROR(__xludf.DUMMYFUNCTION("""COMPUTED_VALUE"""),147.79)</f>
        <v>147.79</v>
      </c>
      <c r="D2530" s="1">
        <f ca="1">IFERROR(__xludf.DUMMYFUNCTION("""COMPUTED_VALUE"""),143.67)</f>
        <v>143.66999999999999</v>
      </c>
      <c r="E2530" s="1">
        <f ca="1">IFERROR(__xludf.DUMMYFUNCTION("""COMPUTED_VALUE"""),147.07)</f>
        <v>147.07</v>
      </c>
      <c r="F2530" s="1">
        <f ca="1">IFERROR(__xludf.DUMMYFUNCTION("""COMPUTED_VALUE"""),237651395)</f>
        <v>237651395</v>
      </c>
    </row>
    <row r="2531" spans="1:6" x14ac:dyDescent="0.35">
      <c r="A2531" s="2">
        <f ca="1">IFERROR(__xludf.DUMMYFUNCTION("""COMPUTED_VALUE"""),45680.6666666666)</f>
        <v>45680.666666666599</v>
      </c>
      <c r="B2531" s="1">
        <f ca="1">IFERROR(__xludf.DUMMYFUNCTION("""COMPUTED_VALUE"""),145.05)</f>
        <v>145.05000000000001</v>
      </c>
      <c r="C2531" s="1">
        <f ca="1">IFERROR(__xludf.DUMMYFUNCTION("""COMPUTED_VALUE"""),147.23)</f>
        <v>147.22999999999999</v>
      </c>
      <c r="D2531" s="1">
        <f ca="1">IFERROR(__xludf.DUMMYFUNCTION("""COMPUTED_VALUE"""),143.72)</f>
        <v>143.72</v>
      </c>
      <c r="E2531" s="1">
        <f ca="1">IFERROR(__xludf.DUMMYFUNCTION("""COMPUTED_VALUE"""),147.22)</f>
        <v>147.22</v>
      </c>
      <c r="F2531" s="1">
        <f ca="1">IFERROR(__xludf.DUMMYFUNCTION("""COMPUTED_VALUE"""),155915549)</f>
        <v>155915549</v>
      </c>
    </row>
    <row r="2532" spans="1:6" x14ac:dyDescent="0.35">
      <c r="A2532" s="2">
        <f ca="1">IFERROR(__xludf.DUMMYFUNCTION("""COMPUTED_VALUE"""),45681.6666666666)</f>
        <v>45681.666666666599</v>
      </c>
      <c r="B2532" s="1">
        <f ca="1">IFERROR(__xludf.DUMMYFUNCTION("""COMPUTED_VALUE"""),148.37)</f>
        <v>148.37</v>
      </c>
      <c r="C2532" s="1">
        <f ca="1">IFERROR(__xludf.DUMMYFUNCTION("""COMPUTED_VALUE"""),148.97)</f>
        <v>148.97</v>
      </c>
      <c r="D2532" s="1">
        <f ca="1">IFERROR(__xludf.DUMMYFUNCTION("""COMPUTED_VALUE"""),141.88)</f>
        <v>141.88</v>
      </c>
      <c r="E2532" s="1">
        <f ca="1">IFERROR(__xludf.DUMMYFUNCTION("""COMPUTED_VALUE"""),142.62)</f>
        <v>142.62</v>
      </c>
      <c r="F2532" s="1">
        <f ca="1">IFERROR(__xludf.DUMMYFUNCTION("""COMPUTED_VALUE"""),234657635)</f>
        <v>234657635</v>
      </c>
    </row>
    <row r="2533" spans="1:6" x14ac:dyDescent="0.35">
      <c r="A2533" s="2">
        <f ca="1">IFERROR(__xludf.DUMMYFUNCTION("""COMPUTED_VALUE"""),45684.6666666666)</f>
        <v>45684.666666666599</v>
      </c>
      <c r="B2533" s="1">
        <f ca="1">IFERROR(__xludf.DUMMYFUNCTION("""COMPUTED_VALUE"""),124.8)</f>
        <v>124.8</v>
      </c>
      <c r="C2533" s="1">
        <f ca="1">IFERROR(__xludf.DUMMYFUNCTION("""COMPUTED_VALUE"""),128.4)</f>
        <v>128.4</v>
      </c>
      <c r="D2533" s="1">
        <f ca="1">IFERROR(__xludf.DUMMYFUNCTION("""COMPUTED_VALUE"""),116.7)</f>
        <v>116.7</v>
      </c>
      <c r="E2533" s="1">
        <f ca="1">IFERROR(__xludf.DUMMYFUNCTION("""COMPUTED_VALUE"""),118.42)</f>
        <v>118.42</v>
      </c>
      <c r="F2533" s="1">
        <f ca="1">IFERROR(__xludf.DUMMYFUNCTION("""COMPUTED_VALUE"""),818830895)</f>
        <v>818830895</v>
      </c>
    </row>
    <row r="2534" spans="1:6" x14ac:dyDescent="0.35">
      <c r="A2534" s="2">
        <f ca="1">IFERROR(__xludf.DUMMYFUNCTION("""COMPUTED_VALUE"""),45685.6666666666)</f>
        <v>45685.666666666599</v>
      </c>
      <c r="B2534" s="1">
        <f ca="1">IFERROR(__xludf.DUMMYFUNCTION("""COMPUTED_VALUE"""),121.81)</f>
        <v>121.81</v>
      </c>
      <c r="C2534" s="1">
        <f ca="1">IFERROR(__xludf.DUMMYFUNCTION("""COMPUTED_VALUE"""),129)</f>
        <v>129</v>
      </c>
      <c r="D2534" s="1">
        <f ca="1">IFERROR(__xludf.DUMMYFUNCTION("""COMPUTED_VALUE"""),116.25)</f>
        <v>116.25</v>
      </c>
      <c r="E2534" s="1">
        <f ca="1">IFERROR(__xludf.DUMMYFUNCTION("""COMPUTED_VALUE"""),128.99)</f>
        <v>128.99</v>
      </c>
      <c r="F2534" s="1">
        <f ca="1">IFERROR(__xludf.DUMMYFUNCTION("""COMPUTED_VALUE"""),579666350)</f>
        <v>579666350</v>
      </c>
    </row>
    <row r="2535" spans="1:6" x14ac:dyDescent="0.35">
      <c r="A2535" s="2">
        <f ca="1">IFERROR(__xludf.DUMMYFUNCTION("""COMPUTED_VALUE"""),45686.6666666666)</f>
        <v>45686.666666666599</v>
      </c>
      <c r="B2535" s="1">
        <f ca="1">IFERROR(__xludf.DUMMYFUNCTION("""COMPUTED_VALUE"""),126.5)</f>
        <v>126.5</v>
      </c>
      <c r="C2535" s="1">
        <f ca="1">IFERROR(__xludf.DUMMYFUNCTION("""COMPUTED_VALUE"""),126.89)</f>
        <v>126.89</v>
      </c>
      <c r="D2535" s="1">
        <f ca="1">IFERROR(__xludf.DUMMYFUNCTION("""COMPUTED_VALUE"""),120.05)</f>
        <v>120.05</v>
      </c>
      <c r="E2535" s="1">
        <f ca="1">IFERROR(__xludf.DUMMYFUNCTION("""COMPUTED_VALUE"""),123.7)</f>
        <v>123.7</v>
      </c>
      <c r="F2535" s="1">
        <f ca="1">IFERROR(__xludf.DUMMYFUNCTION("""COMPUTED_VALUE"""),467120640)</f>
        <v>467120640</v>
      </c>
    </row>
    <row r="2536" spans="1:6" x14ac:dyDescent="0.35">
      <c r="A2536" s="2">
        <f ca="1">IFERROR(__xludf.DUMMYFUNCTION("""COMPUTED_VALUE"""),45687.6666666666)</f>
        <v>45687.666666666599</v>
      </c>
      <c r="B2536" s="1">
        <f ca="1">IFERROR(__xludf.DUMMYFUNCTION("""COMPUTED_VALUE"""),123.1)</f>
        <v>123.1</v>
      </c>
      <c r="C2536" s="1">
        <f ca="1">IFERROR(__xludf.DUMMYFUNCTION("""COMPUTED_VALUE"""),125)</f>
        <v>125</v>
      </c>
      <c r="D2536" s="1">
        <f ca="1">IFERROR(__xludf.DUMMYFUNCTION("""COMPUTED_VALUE"""),118.1)</f>
        <v>118.1</v>
      </c>
      <c r="E2536" s="1">
        <f ca="1">IFERROR(__xludf.DUMMYFUNCTION("""COMPUTED_VALUE"""),124.65)</f>
        <v>124.65</v>
      </c>
      <c r="F2536" s="1">
        <f ca="1">IFERROR(__xludf.DUMMYFUNCTION("""COMPUTED_VALUE"""),392925469)</f>
        <v>392925469</v>
      </c>
    </row>
    <row r="2537" spans="1:6" x14ac:dyDescent="0.35">
      <c r="A2537" s="2">
        <f ca="1">IFERROR(__xludf.DUMMYFUNCTION("""COMPUTED_VALUE"""),45688.6666666666)</f>
        <v>45688.666666666599</v>
      </c>
      <c r="B2537" s="1">
        <f ca="1">IFERROR(__xludf.DUMMYFUNCTION("""COMPUTED_VALUE"""),123.78)</f>
        <v>123.78</v>
      </c>
      <c r="C2537" s="1">
        <f ca="1">IFERROR(__xludf.DUMMYFUNCTION("""COMPUTED_VALUE"""),127.85)</f>
        <v>127.85</v>
      </c>
      <c r="D2537" s="1">
        <f ca="1">IFERROR(__xludf.DUMMYFUNCTION("""COMPUTED_VALUE"""),119.19)</f>
        <v>119.19</v>
      </c>
      <c r="E2537" s="1">
        <f ca="1">IFERROR(__xludf.DUMMYFUNCTION("""COMPUTED_VALUE"""),120.07)</f>
        <v>120.07</v>
      </c>
      <c r="F2537" s="1">
        <f ca="1">IFERROR(__xludf.DUMMYFUNCTION("""COMPUTED_VALUE"""),390372899)</f>
        <v>390372899</v>
      </c>
    </row>
    <row r="2538" spans="1:6" x14ac:dyDescent="0.35">
      <c r="A2538" s="2">
        <f ca="1">IFERROR(__xludf.DUMMYFUNCTION("""COMPUTED_VALUE"""),45691.6666666666)</f>
        <v>45691.666666666599</v>
      </c>
      <c r="B2538" s="1">
        <f ca="1">IFERROR(__xludf.DUMMYFUNCTION("""COMPUTED_VALUE"""),114.75)</f>
        <v>114.75</v>
      </c>
      <c r="C2538" s="1">
        <f ca="1">IFERROR(__xludf.DUMMYFUNCTION("""COMPUTED_VALUE"""),118.57)</f>
        <v>118.57</v>
      </c>
      <c r="D2538" s="1">
        <f ca="1">IFERROR(__xludf.DUMMYFUNCTION("""COMPUTED_VALUE"""),113.01)</f>
        <v>113.01</v>
      </c>
      <c r="E2538" s="1">
        <f ca="1">IFERROR(__xludf.DUMMYFUNCTION("""COMPUTED_VALUE"""),116.66)</f>
        <v>116.66</v>
      </c>
      <c r="F2538" s="1">
        <f ca="1">IFERROR(__xludf.DUMMYFUNCTION("""COMPUTED_VALUE"""),371235677)</f>
        <v>371235677</v>
      </c>
    </row>
    <row r="2539" spans="1:6" x14ac:dyDescent="0.35">
      <c r="A2539" s="2">
        <f ca="1">IFERROR(__xludf.DUMMYFUNCTION("""COMPUTED_VALUE"""),45692.6666666666)</f>
        <v>45692.666666666599</v>
      </c>
      <c r="B2539" s="1">
        <f ca="1">IFERROR(__xludf.DUMMYFUNCTION("""COMPUTED_VALUE"""),116.96)</f>
        <v>116.96</v>
      </c>
      <c r="C2539" s="1">
        <f ca="1">IFERROR(__xludf.DUMMYFUNCTION("""COMPUTED_VALUE"""),121.2)</f>
        <v>121.2</v>
      </c>
      <c r="D2539" s="1">
        <f ca="1">IFERROR(__xludf.DUMMYFUNCTION("""COMPUTED_VALUE"""),116.7)</f>
        <v>116.7</v>
      </c>
      <c r="E2539" s="1">
        <f ca="1">IFERROR(__xludf.DUMMYFUNCTION("""COMPUTED_VALUE"""),118.65)</f>
        <v>118.65</v>
      </c>
      <c r="F2539" s="1">
        <f ca="1">IFERROR(__xludf.DUMMYFUNCTION("""COMPUTED_VALUE"""),256550040)</f>
        <v>256550040</v>
      </c>
    </row>
    <row r="2540" spans="1:6" x14ac:dyDescent="0.35">
      <c r="A2540" s="2">
        <f ca="1">IFERROR(__xludf.DUMMYFUNCTION("""COMPUTED_VALUE"""),45693.6666666666)</f>
        <v>45693.666666666599</v>
      </c>
      <c r="B2540" s="1">
        <f ca="1">IFERROR(__xludf.DUMMYFUNCTION("""COMPUTED_VALUE"""),121.76)</f>
        <v>121.76</v>
      </c>
      <c r="C2540" s="1">
        <f ca="1">IFERROR(__xludf.DUMMYFUNCTION("""COMPUTED_VALUE"""),125)</f>
        <v>125</v>
      </c>
      <c r="D2540" s="1">
        <f ca="1">IFERROR(__xludf.DUMMYFUNCTION("""COMPUTED_VALUE"""),120.76)</f>
        <v>120.76</v>
      </c>
      <c r="E2540" s="1">
        <f ca="1">IFERROR(__xludf.DUMMYFUNCTION("""COMPUTED_VALUE"""),124.83)</f>
        <v>124.83</v>
      </c>
      <c r="F2540" s="1">
        <f ca="1">IFERROR(__xludf.DUMMYFUNCTION("""COMPUTED_VALUE"""),263110629)</f>
        <v>263110629</v>
      </c>
    </row>
    <row r="2541" spans="1:6" x14ac:dyDescent="0.35">
      <c r="A2541" s="2">
        <f ca="1">IFERROR(__xludf.DUMMYFUNCTION("""COMPUTED_VALUE"""),45694.6666666666)</f>
        <v>45694.666666666599</v>
      </c>
      <c r="B2541" s="1">
        <f ca="1">IFERROR(__xludf.DUMMYFUNCTION("""COMPUTED_VALUE"""),127.42)</f>
        <v>127.42</v>
      </c>
      <c r="C2541" s="1">
        <f ca="1">IFERROR(__xludf.DUMMYFUNCTION("""COMPUTED_VALUE"""),128.77)</f>
        <v>128.77000000000001</v>
      </c>
      <c r="D2541" s="1">
        <f ca="1">IFERROR(__xludf.DUMMYFUNCTION("""COMPUTED_VALUE"""),125.21)</f>
        <v>125.21</v>
      </c>
      <c r="E2541" s="1">
        <f ca="1">IFERROR(__xludf.DUMMYFUNCTION("""COMPUTED_VALUE"""),128.68)</f>
        <v>128.68</v>
      </c>
      <c r="F2541" s="1">
        <f ca="1">IFERROR(__xludf.DUMMYFUNCTION("""COMPUTED_VALUE"""),251483574)</f>
        <v>251483574</v>
      </c>
    </row>
    <row r="2542" spans="1:6" x14ac:dyDescent="0.35">
      <c r="A2542" s="2">
        <f ca="1">IFERROR(__xludf.DUMMYFUNCTION("""COMPUTED_VALUE"""),45695.6666666666)</f>
        <v>45695.666666666599</v>
      </c>
      <c r="B2542" s="1">
        <f ca="1">IFERROR(__xludf.DUMMYFUNCTION("""COMPUTED_VALUE"""),129.22)</f>
        <v>129.22</v>
      </c>
      <c r="C2542" s="1">
        <f ca="1">IFERROR(__xludf.DUMMYFUNCTION("""COMPUTED_VALUE"""),130.37)</f>
        <v>130.37</v>
      </c>
      <c r="D2542" s="1">
        <f ca="1">IFERROR(__xludf.DUMMYFUNCTION("""COMPUTED_VALUE"""),125)</f>
        <v>125</v>
      </c>
      <c r="E2542" s="1">
        <f ca="1">IFERROR(__xludf.DUMMYFUNCTION("""COMPUTED_VALUE"""),129.84)</f>
        <v>129.84</v>
      </c>
      <c r="F2542" s="1">
        <f ca="1">IFERROR(__xludf.DUMMYFUNCTION("""COMPUTED_VALUE"""),228186298)</f>
        <v>228186298</v>
      </c>
    </row>
    <row r="2543" spans="1:6" x14ac:dyDescent="0.35">
      <c r="A2543" s="2">
        <f ca="1">IFERROR(__xludf.DUMMYFUNCTION("""COMPUTED_VALUE"""),45698.6666666666)</f>
        <v>45698.666666666599</v>
      </c>
      <c r="B2543" s="1">
        <f ca="1">IFERROR(__xludf.DUMMYFUNCTION("""COMPUTED_VALUE"""),130.09)</f>
        <v>130.09</v>
      </c>
      <c r="C2543" s="1">
        <f ca="1">IFERROR(__xludf.DUMMYFUNCTION("""COMPUTED_VALUE"""),135)</f>
        <v>135</v>
      </c>
      <c r="D2543" s="1">
        <f ca="1">IFERROR(__xludf.DUMMYFUNCTION("""COMPUTED_VALUE"""),129.96)</f>
        <v>129.96</v>
      </c>
      <c r="E2543" s="1">
        <f ca="1">IFERROR(__xludf.DUMMYFUNCTION("""COMPUTED_VALUE"""),133.57)</f>
        <v>133.57</v>
      </c>
      <c r="F2543" s="1">
        <f ca="1">IFERROR(__xludf.DUMMYFUNCTION("""COMPUTED_VALUE"""),216989086)</f>
        <v>216989086</v>
      </c>
    </row>
    <row r="2544" spans="1:6" x14ac:dyDescent="0.35">
      <c r="A2544" s="2">
        <f ca="1">IFERROR(__xludf.DUMMYFUNCTION("""COMPUTED_VALUE"""),45699.6666666666)</f>
        <v>45699.666666666599</v>
      </c>
      <c r="B2544" s="1">
        <f ca="1">IFERROR(__xludf.DUMMYFUNCTION("""COMPUTED_VALUE"""),132.58)</f>
        <v>132.58000000000001</v>
      </c>
      <c r="C2544" s="1">
        <f ca="1">IFERROR(__xludf.DUMMYFUNCTION("""COMPUTED_VALUE"""),134.48)</f>
        <v>134.47999999999999</v>
      </c>
      <c r="D2544" s="1">
        <f ca="1">IFERROR(__xludf.DUMMYFUNCTION("""COMPUTED_VALUE"""),131.02)</f>
        <v>131.02000000000001</v>
      </c>
      <c r="E2544" s="1">
        <f ca="1">IFERROR(__xludf.DUMMYFUNCTION("""COMPUTED_VALUE"""),132.8)</f>
        <v>132.80000000000001</v>
      </c>
      <c r="F2544" s="1">
        <f ca="1">IFERROR(__xludf.DUMMYFUNCTION("""COMPUTED_VALUE"""),178902379)</f>
        <v>178902379</v>
      </c>
    </row>
    <row r="2545" spans="1:6" x14ac:dyDescent="0.35">
      <c r="A2545" s="2">
        <f ca="1">IFERROR(__xludf.DUMMYFUNCTION("""COMPUTED_VALUE"""),45700.6666666666)</f>
        <v>45700.666666666599</v>
      </c>
      <c r="B2545" s="1">
        <f ca="1">IFERROR(__xludf.DUMMYFUNCTION("""COMPUTED_VALUE"""),130.02)</f>
        <v>130.02000000000001</v>
      </c>
      <c r="C2545" s="1">
        <f ca="1">IFERROR(__xludf.DUMMYFUNCTION("""COMPUTED_VALUE"""),132.24)</f>
        <v>132.24</v>
      </c>
      <c r="D2545" s="1">
        <f ca="1">IFERROR(__xludf.DUMMYFUNCTION("""COMPUTED_VALUE"""),129.08)</f>
        <v>129.08000000000001</v>
      </c>
      <c r="E2545" s="1">
        <f ca="1">IFERROR(__xludf.DUMMYFUNCTION("""COMPUTED_VALUE"""),131.14)</f>
        <v>131.13999999999999</v>
      </c>
      <c r="F2545" s="1">
        <f ca="1">IFERROR(__xludf.DUMMYFUNCTION("""COMPUTED_VALUE"""),160278552)</f>
        <v>160278552</v>
      </c>
    </row>
    <row r="2546" spans="1:6" x14ac:dyDescent="0.35">
      <c r="A2546" s="2">
        <f ca="1">IFERROR(__xludf.DUMMYFUNCTION("""COMPUTED_VALUE"""),45701.6666666666)</f>
        <v>45701.666666666599</v>
      </c>
      <c r="B2546" s="1">
        <f ca="1">IFERROR(__xludf.DUMMYFUNCTION("""COMPUTED_VALUE"""),131.56)</f>
        <v>131.56</v>
      </c>
      <c r="C2546" s="1">
        <f ca="1">IFERROR(__xludf.DUMMYFUNCTION("""COMPUTED_VALUE"""),136.5)</f>
        <v>136.5</v>
      </c>
      <c r="D2546" s="1">
        <f ca="1">IFERROR(__xludf.DUMMYFUNCTION("""COMPUTED_VALUE"""),131.17)</f>
        <v>131.16999999999999</v>
      </c>
      <c r="E2546" s="1">
        <f ca="1">IFERROR(__xludf.DUMMYFUNCTION("""COMPUTED_VALUE"""),135.29)</f>
        <v>135.29</v>
      </c>
      <c r="F2546" s="1">
        <f ca="1">IFERROR(__xludf.DUMMYFUNCTION("""COMPUTED_VALUE"""),197429975)</f>
        <v>197429975</v>
      </c>
    </row>
    <row r="2547" spans="1:6" x14ac:dyDescent="0.35">
      <c r="A2547" s="2">
        <f ca="1">IFERROR(__xludf.DUMMYFUNCTION("""COMPUTED_VALUE"""),45702.6666666666)</f>
        <v>45702.666666666599</v>
      </c>
      <c r="B2547" s="1">
        <f ca="1">IFERROR(__xludf.DUMMYFUNCTION("""COMPUTED_VALUE"""),136.48)</f>
        <v>136.47999999999999</v>
      </c>
      <c r="C2547" s="1">
        <f ca="1">IFERROR(__xludf.DUMMYFUNCTION("""COMPUTED_VALUE"""),139.25)</f>
        <v>139.25</v>
      </c>
      <c r="D2547" s="1">
        <f ca="1">IFERROR(__xludf.DUMMYFUNCTION("""COMPUTED_VALUE"""),135.5)</f>
        <v>135.5</v>
      </c>
      <c r="E2547" s="1">
        <f ca="1">IFERROR(__xludf.DUMMYFUNCTION("""COMPUTED_VALUE"""),138.85)</f>
        <v>138.85</v>
      </c>
      <c r="F2547" s="1">
        <f ca="1">IFERROR(__xludf.DUMMYFUNCTION("""COMPUTED_VALUE"""),195479557)</f>
        <v>195479557</v>
      </c>
    </row>
    <row r="2548" spans="1:6" x14ac:dyDescent="0.35">
      <c r="A2548" s="2">
        <f ca="1">IFERROR(__xludf.DUMMYFUNCTION("""COMPUTED_VALUE"""),45706.6666666666)</f>
        <v>45706.666666666599</v>
      </c>
      <c r="B2548" s="1">
        <f ca="1">IFERROR(__xludf.DUMMYFUNCTION("""COMPUTED_VALUE"""),141.27)</f>
        <v>141.27000000000001</v>
      </c>
      <c r="C2548" s="1">
        <f ca="1">IFERROR(__xludf.DUMMYFUNCTION("""COMPUTED_VALUE"""),143.44)</f>
        <v>143.44</v>
      </c>
      <c r="D2548" s="1">
        <f ca="1">IFERROR(__xludf.DUMMYFUNCTION("""COMPUTED_VALUE"""),137.93)</f>
        <v>137.93</v>
      </c>
      <c r="E2548" s="1">
        <f ca="1">IFERROR(__xludf.DUMMYFUNCTION("""COMPUTED_VALUE"""),139.4)</f>
        <v>139.4</v>
      </c>
      <c r="F2548" s="1">
        <f ca="1">IFERROR(__xludf.DUMMYFUNCTION("""COMPUTED_VALUE"""),219176627)</f>
        <v>219176627</v>
      </c>
    </row>
    <row r="2549" spans="1:6" x14ac:dyDescent="0.35">
      <c r="A2549" s="2">
        <f ca="1">IFERROR(__xludf.DUMMYFUNCTION("""COMPUTED_VALUE"""),45707.6666666666)</f>
        <v>45707.666666666599</v>
      </c>
      <c r="B2549" s="1">
        <f ca="1">IFERROR(__xludf.DUMMYFUNCTION("""COMPUTED_VALUE"""),139.51)</f>
        <v>139.51</v>
      </c>
      <c r="C2549" s="1">
        <f ca="1">IFERROR(__xludf.DUMMYFUNCTION("""COMPUTED_VALUE"""),141.36)</f>
        <v>141.36000000000001</v>
      </c>
      <c r="D2549" s="1">
        <f ca="1">IFERROR(__xludf.DUMMYFUNCTION("""COMPUTED_VALUE"""),137.22)</f>
        <v>137.22</v>
      </c>
      <c r="E2549" s="1">
        <f ca="1">IFERROR(__xludf.DUMMYFUNCTION("""COMPUTED_VALUE"""),139.23)</f>
        <v>139.22999999999999</v>
      </c>
      <c r="F2549" s="1">
        <f ca="1">IFERROR(__xludf.DUMMYFUNCTION("""COMPUTED_VALUE"""),167536006)</f>
        <v>167536006</v>
      </c>
    </row>
    <row r="2550" spans="1:6" x14ac:dyDescent="0.35">
      <c r="A2550" s="2">
        <f ca="1">IFERROR(__xludf.DUMMYFUNCTION("""COMPUTED_VALUE"""),45708.6666666666)</f>
        <v>45708.666666666599</v>
      </c>
      <c r="B2550" s="1">
        <f ca="1">IFERROR(__xludf.DUMMYFUNCTION("""COMPUTED_VALUE"""),140.03)</f>
        <v>140.03</v>
      </c>
      <c r="C2550" s="1">
        <f ca="1">IFERROR(__xludf.DUMMYFUNCTION("""COMPUTED_VALUE"""),140.66)</f>
        <v>140.66</v>
      </c>
      <c r="D2550" s="1">
        <f ca="1">IFERROR(__xludf.DUMMYFUNCTION("""COMPUTED_VALUE"""),136.79)</f>
        <v>136.79</v>
      </c>
      <c r="E2550" s="1">
        <f ca="1">IFERROR(__xludf.DUMMYFUNCTION("""COMPUTED_VALUE"""),140.11)</f>
        <v>140.11000000000001</v>
      </c>
      <c r="F2550" s="1">
        <f ca="1">IFERROR(__xludf.DUMMYFUNCTION("""COMPUTED_VALUE"""),143903583)</f>
        <v>143903583</v>
      </c>
    </row>
    <row r="2551" spans="1:6" x14ac:dyDescent="0.35">
      <c r="A2551" s="2">
        <f ca="1">IFERROR(__xludf.DUMMYFUNCTION("""COMPUTED_VALUE"""),45709.6666666666)</f>
        <v>45709.666666666599</v>
      </c>
      <c r="B2551" s="1">
        <f ca="1">IFERROR(__xludf.DUMMYFUNCTION("""COMPUTED_VALUE"""),140.04)</f>
        <v>140.04</v>
      </c>
      <c r="C2551" s="1">
        <f ca="1">IFERROR(__xludf.DUMMYFUNCTION("""COMPUTED_VALUE"""),141.46)</f>
        <v>141.46</v>
      </c>
      <c r="D2551" s="1">
        <f ca="1">IFERROR(__xludf.DUMMYFUNCTION("""COMPUTED_VALUE"""),134.03)</f>
        <v>134.03</v>
      </c>
      <c r="E2551" s="1">
        <f ca="1">IFERROR(__xludf.DUMMYFUNCTION("""COMPUTED_VALUE"""),134.43)</f>
        <v>134.43</v>
      </c>
      <c r="F2551" s="1">
        <f ca="1">IFERROR(__xludf.DUMMYFUNCTION("""COMPUTED_VALUE"""),228217585)</f>
        <v>228217585</v>
      </c>
    </row>
    <row r="2552" spans="1:6" x14ac:dyDescent="0.35">
      <c r="A2552" s="2">
        <f ca="1">IFERROR(__xludf.DUMMYFUNCTION("""COMPUTED_VALUE"""),45712.6666666666)</f>
        <v>45712.666666666599</v>
      </c>
      <c r="B2552" s="1">
        <f ca="1">IFERROR(__xludf.DUMMYFUNCTION("""COMPUTED_VALUE"""),136.56)</f>
        <v>136.56</v>
      </c>
      <c r="C2552" s="1">
        <f ca="1">IFERROR(__xludf.DUMMYFUNCTION("""COMPUTED_VALUE"""),138.59)</f>
        <v>138.59</v>
      </c>
      <c r="D2552" s="1">
        <f ca="1">IFERROR(__xludf.DUMMYFUNCTION("""COMPUTED_VALUE"""),130.08)</f>
        <v>130.08000000000001</v>
      </c>
      <c r="E2552" s="1">
        <f ca="1">IFERROR(__xludf.DUMMYFUNCTION("""COMPUTED_VALUE"""),130.28)</f>
        <v>130.28</v>
      </c>
      <c r="F2552" s="1">
        <f ca="1">IFERROR(__xludf.DUMMYFUNCTION("""COMPUTED_VALUE"""),251381137)</f>
        <v>251381137</v>
      </c>
    </row>
    <row r="2553" spans="1:6" x14ac:dyDescent="0.35">
      <c r="A2553" s="2">
        <f ca="1">IFERROR(__xludf.DUMMYFUNCTION("""COMPUTED_VALUE"""),45713.6666666666)</f>
        <v>45713.666666666599</v>
      </c>
      <c r="B2553" s="1">
        <f ca="1">IFERROR(__xludf.DUMMYFUNCTION("""COMPUTED_VALUE"""),129.98)</f>
        <v>129.97999999999999</v>
      </c>
      <c r="C2553" s="1">
        <f ca="1">IFERROR(__xludf.DUMMYFUNCTION("""COMPUTED_VALUE"""),130.2)</f>
        <v>130.19999999999999</v>
      </c>
      <c r="D2553" s="1">
        <f ca="1">IFERROR(__xludf.DUMMYFUNCTION("""COMPUTED_VALUE"""),124.44)</f>
        <v>124.44</v>
      </c>
      <c r="E2553" s="1">
        <f ca="1">IFERROR(__xludf.DUMMYFUNCTION("""COMPUTED_VALUE"""),126.63)</f>
        <v>126.63</v>
      </c>
      <c r="F2553" s="1">
        <f ca="1">IFERROR(__xludf.DUMMYFUNCTION("""COMPUTED_VALUE"""),271428711)</f>
        <v>271428711</v>
      </c>
    </row>
    <row r="2554" spans="1:6" x14ac:dyDescent="0.35">
      <c r="A2554" s="2">
        <f ca="1">IFERROR(__xludf.DUMMYFUNCTION("""COMPUTED_VALUE"""),45714.6666666666)</f>
        <v>45714.666666666599</v>
      </c>
      <c r="B2554" s="1">
        <f ca="1">IFERROR(__xludf.DUMMYFUNCTION("""COMPUTED_VALUE"""),129.99)</f>
        <v>129.99</v>
      </c>
      <c r="C2554" s="1">
        <f ca="1">IFERROR(__xludf.DUMMYFUNCTION("""COMPUTED_VALUE"""),133.73)</f>
        <v>133.72999999999999</v>
      </c>
      <c r="D2554" s="1">
        <f ca="1">IFERROR(__xludf.DUMMYFUNCTION("""COMPUTED_VALUE"""),128.49)</f>
        <v>128.49</v>
      </c>
      <c r="E2554" s="1">
        <f ca="1">IFERROR(__xludf.DUMMYFUNCTION("""COMPUTED_VALUE"""),131.28)</f>
        <v>131.28</v>
      </c>
      <c r="F2554" s="1">
        <f ca="1">IFERROR(__xludf.DUMMYFUNCTION("""COMPUTED_VALUE"""),322553814)</f>
        <v>322553814</v>
      </c>
    </row>
    <row r="2555" spans="1:6" x14ac:dyDescent="0.35">
      <c r="A2555" s="2">
        <f ca="1">IFERROR(__xludf.DUMMYFUNCTION("""COMPUTED_VALUE"""),45715.6666666666)</f>
        <v>45715.666666666599</v>
      </c>
      <c r="B2555" s="1">
        <f ca="1">IFERROR(__xludf.DUMMYFUNCTION("""COMPUTED_VALUE"""),135)</f>
        <v>135</v>
      </c>
      <c r="C2555" s="1">
        <f ca="1">IFERROR(__xludf.DUMMYFUNCTION("""COMPUTED_VALUE"""),135.01)</f>
        <v>135.01</v>
      </c>
      <c r="D2555" s="1">
        <f ca="1">IFERROR(__xludf.DUMMYFUNCTION("""COMPUTED_VALUE"""),120.01)</f>
        <v>120.01</v>
      </c>
      <c r="E2555" s="1">
        <f ca="1">IFERROR(__xludf.DUMMYFUNCTION("""COMPUTED_VALUE"""),120.15)</f>
        <v>120.15</v>
      </c>
      <c r="F2555" s="1">
        <f ca="1">IFERROR(__xludf.DUMMYFUNCTION("""COMPUTED_VALUE"""),443175846)</f>
        <v>443175846</v>
      </c>
    </row>
    <row r="2556" spans="1:6" x14ac:dyDescent="0.35">
      <c r="A2556" s="2">
        <f ca="1">IFERROR(__xludf.DUMMYFUNCTION("""COMPUTED_VALUE"""),45716.6666666666)</f>
        <v>45716.666666666599</v>
      </c>
      <c r="B2556" s="1">
        <f ca="1">IFERROR(__xludf.DUMMYFUNCTION("""COMPUTED_VALUE"""),118.02)</f>
        <v>118.02</v>
      </c>
      <c r="C2556" s="1">
        <f ca="1">IFERROR(__xludf.DUMMYFUNCTION("""COMPUTED_VALUE"""),125.09)</f>
        <v>125.09</v>
      </c>
      <c r="D2556" s="1">
        <f ca="1">IFERROR(__xludf.DUMMYFUNCTION("""COMPUTED_VALUE"""),116.4)</f>
        <v>116.4</v>
      </c>
      <c r="E2556" s="1">
        <f ca="1">IFERROR(__xludf.DUMMYFUNCTION("""COMPUTED_VALUE"""),124.92)</f>
        <v>124.92</v>
      </c>
      <c r="F2556" s="1">
        <f ca="1">IFERROR(__xludf.DUMMYFUNCTION("""COMPUTED_VALUE"""),389091145)</f>
        <v>389091145</v>
      </c>
    </row>
    <row r="2557" spans="1:6" x14ac:dyDescent="0.35">
      <c r="A2557" s="2">
        <f ca="1">IFERROR(__xludf.DUMMYFUNCTION("""COMPUTED_VALUE"""),45719.6666666666)</f>
        <v>45719.666666666599</v>
      </c>
      <c r="B2557" s="1">
        <f ca="1">IFERROR(__xludf.DUMMYFUNCTION("""COMPUTED_VALUE"""),123.51)</f>
        <v>123.51</v>
      </c>
      <c r="C2557" s="1">
        <f ca="1">IFERROR(__xludf.DUMMYFUNCTION("""COMPUTED_VALUE"""),123.7)</f>
        <v>123.7</v>
      </c>
      <c r="D2557" s="1">
        <f ca="1">IFERROR(__xludf.DUMMYFUNCTION("""COMPUTED_VALUE"""),112.28)</f>
        <v>112.28</v>
      </c>
      <c r="E2557" s="1">
        <f ca="1">IFERROR(__xludf.DUMMYFUNCTION("""COMPUTED_VALUE"""),114.06)</f>
        <v>114.06</v>
      </c>
      <c r="F2557" s="1">
        <f ca="1">IFERROR(__xludf.DUMMYFUNCTION("""COMPUTED_VALUE"""),411381373)</f>
        <v>411381373</v>
      </c>
    </row>
    <row r="2558" spans="1:6" x14ac:dyDescent="0.35">
      <c r="A2558" s="2">
        <f ca="1">IFERROR(__xludf.DUMMYFUNCTION("""COMPUTED_VALUE"""),45720.6666666666)</f>
        <v>45720.666666666599</v>
      </c>
      <c r="B2558" s="1">
        <f ca="1">IFERROR(__xludf.DUMMYFUNCTION("""COMPUTED_VALUE"""),110.65)</f>
        <v>110.65</v>
      </c>
      <c r="C2558" s="1">
        <f ca="1">IFERROR(__xludf.DUMMYFUNCTION("""COMPUTED_VALUE"""),119.31)</f>
        <v>119.31</v>
      </c>
      <c r="D2558" s="1">
        <f ca="1">IFERROR(__xludf.DUMMYFUNCTION("""COMPUTED_VALUE"""),110.11)</f>
        <v>110.11</v>
      </c>
      <c r="E2558" s="1">
        <f ca="1">IFERROR(__xludf.DUMMYFUNCTION("""COMPUTED_VALUE"""),115.99)</f>
        <v>115.99</v>
      </c>
      <c r="F2558" s="1">
        <f ca="1">IFERROR(__xludf.DUMMYFUNCTION("""COMPUTED_VALUE"""),398163305)</f>
        <v>398163305</v>
      </c>
    </row>
    <row r="2559" spans="1:6" x14ac:dyDescent="0.35">
      <c r="A2559" s="2">
        <f ca="1">IFERROR(__xludf.DUMMYFUNCTION("""COMPUTED_VALUE"""),45721.6666666666)</f>
        <v>45721.666666666599</v>
      </c>
      <c r="B2559" s="1">
        <f ca="1">IFERROR(__xludf.DUMMYFUNCTION("""COMPUTED_VALUE"""),117.58)</f>
        <v>117.58</v>
      </c>
      <c r="C2559" s="1">
        <f ca="1">IFERROR(__xludf.DUMMYFUNCTION("""COMPUTED_VALUE"""),118.28)</f>
        <v>118.28</v>
      </c>
      <c r="D2559" s="1">
        <f ca="1">IFERROR(__xludf.DUMMYFUNCTION("""COMPUTED_VALUE"""),114.51)</f>
        <v>114.51</v>
      </c>
      <c r="E2559" s="1">
        <f ca="1">IFERROR(__xludf.DUMMYFUNCTION("""COMPUTED_VALUE"""),117.3)</f>
        <v>117.3</v>
      </c>
      <c r="F2559" s="1">
        <f ca="1">IFERROR(__xludf.DUMMYFUNCTION("""COMPUTED_VALUE"""),284337886)</f>
        <v>284337886</v>
      </c>
    </row>
    <row r="2560" spans="1:6" x14ac:dyDescent="0.35">
      <c r="A2560" s="2">
        <f ca="1">IFERROR(__xludf.DUMMYFUNCTION("""COMPUTED_VALUE"""),45722.6666666666)</f>
        <v>45722.666666666599</v>
      </c>
      <c r="B2560" s="1">
        <f ca="1">IFERROR(__xludf.DUMMYFUNCTION("""COMPUTED_VALUE"""),113.53)</f>
        <v>113.53</v>
      </c>
      <c r="C2560" s="1">
        <f ca="1">IFERROR(__xludf.DUMMYFUNCTION("""COMPUTED_VALUE"""),115.35)</f>
        <v>115.35</v>
      </c>
      <c r="D2560" s="1">
        <f ca="1">IFERROR(__xludf.DUMMYFUNCTION("""COMPUTED_VALUE"""),110.22)</f>
        <v>110.22</v>
      </c>
      <c r="E2560" s="1">
        <f ca="1">IFERROR(__xludf.DUMMYFUNCTION("""COMPUTED_VALUE"""),110.57)</f>
        <v>110.57</v>
      </c>
      <c r="F2560" s="1">
        <f ca="1">IFERROR(__xludf.DUMMYFUNCTION("""COMPUTED_VALUE"""),321181861)</f>
        <v>321181861</v>
      </c>
    </row>
    <row r="2561" spans="1:6" x14ac:dyDescent="0.35">
      <c r="A2561" s="2">
        <f ca="1">IFERROR(__xludf.DUMMYFUNCTION("""COMPUTED_VALUE"""),45723.6666666666)</f>
        <v>45723.666666666599</v>
      </c>
      <c r="B2561" s="1">
        <f ca="1">IFERROR(__xludf.DUMMYFUNCTION("""COMPUTED_VALUE"""),111.25)</f>
        <v>111.25</v>
      </c>
      <c r="C2561" s="1">
        <f ca="1">IFERROR(__xludf.DUMMYFUNCTION("""COMPUTED_VALUE"""),113.48)</f>
        <v>113.48</v>
      </c>
      <c r="D2561" s="1">
        <f ca="1">IFERROR(__xludf.DUMMYFUNCTION("""COMPUTED_VALUE"""),107.56)</f>
        <v>107.56</v>
      </c>
      <c r="E2561" s="1">
        <f ca="1">IFERROR(__xludf.DUMMYFUNCTION("""COMPUTED_VALUE"""),112.69)</f>
        <v>112.69</v>
      </c>
      <c r="F2561" s="1">
        <f ca="1">IFERROR(__xludf.DUMMYFUNCTION("""COMPUTED_VALUE"""),341755468)</f>
        <v>341755468</v>
      </c>
    </row>
    <row r="2562" spans="1:6" x14ac:dyDescent="0.35">
      <c r="A2562" s="2">
        <f ca="1">IFERROR(__xludf.DUMMYFUNCTION("""COMPUTED_VALUE"""),45726.6666666666)</f>
        <v>45726.666666666599</v>
      </c>
      <c r="B2562" s="1">
        <f ca="1">IFERROR(__xludf.DUMMYFUNCTION("""COMPUTED_VALUE"""),109.9)</f>
        <v>109.9</v>
      </c>
      <c r="C2562" s="1">
        <f ca="1">IFERROR(__xludf.DUMMYFUNCTION("""COMPUTED_VALUE"""),111.85)</f>
        <v>111.85</v>
      </c>
      <c r="D2562" s="1">
        <f ca="1">IFERROR(__xludf.DUMMYFUNCTION("""COMPUTED_VALUE"""),105.46)</f>
        <v>105.46</v>
      </c>
      <c r="E2562" s="1">
        <f ca="1">IFERROR(__xludf.DUMMYFUNCTION("""COMPUTED_VALUE"""),106.98)</f>
        <v>106.98</v>
      </c>
      <c r="F2562" s="1">
        <f ca="1">IFERROR(__xludf.DUMMYFUNCTION("""COMPUTED_VALUE"""),366487363)</f>
        <v>366487363</v>
      </c>
    </row>
    <row r="2563" spans="1:6" x14ac:dyDescent="0.35">
      <c r="A2563" s="2">
        <f ca="1">IFERROR(__xludf.DUMMYFUNCTION("""COMPUTED_VALUE"""),45727.6666666666)</f>
        <v>45727.666666666599</v>
      </c>
      <c r="B2563" s="1">
        <f ca="1">IFERROR(__xludf.DUMMYFUNCTION("""COMPUTED_VALUE"""),106.99)</f>
        <v>106.99</v>
      </c>
      <c r="C2563" s="1">
        <f ca="1">IFERROR(__xludf.DUMMYFUNCTION("""COMPUTED_VALUE"""),112.24)</f>
        <v>112.24</v>
      </c>
      <c r="D2563" s="1">
        <f ca="1">IFERROR(__xludf.DUMMYFUNCTION("""COMPUTED_VALUE"""),104.77)</f>
        <v>104.77</v>
      </c>
      <c r="E2563" s="1">
        <f ca="1">IFERROR(__xludf.DUMMYFUNCTION("""COMPUTED_VALUE"""),108.76)</f>
        <v>108.76</v>
      </c>
      <c r="F2563" s="1">
        <f ca="1">IFERROR(__xludf.DUMMYFUNCTION("""COMPUTED_VALUE"""),354865692)</f>
        <v>354865692</v>
      </c>
    </row>
    <row r="2564" spans="1:6" x14ac:dyDescent="0.35">
      <c r="A2564" s="2">
        <f ca="1">IFERROR(__xludf.DUMMYFUNCTION("""COMPUTED_VALUE"""),45728.6666666666)</f>
        <v>45728.666666666599</v>
      </c>
      <c r="B2564" s="1">
        <f ca="1">IFERROR(__xludf.DUMMYFUNCTION("""COMPUTED_VALUE"""),114.12)</f>
        <v>114.12</v>
      </c>
      <c r="C2564" s="1">
        <f ca="1">IFERROR(__xludf.DUMMYFUNCTION("""COMPUTED_VALUE"""),116.76)</f>
        <v>116.76</v>
      </c>
      <c r="D2564" s="1">
        <f ca="1">IFERROR(__xludf.DUMMYFUNCTION("""COMPUTED_VALUE"""),112.88)</f>
        <v>112.88</v>
      </c>
      <c r="E2564" s="1">
        <f ca="1">IFERROR(__xludf.DUMMYFUNCTION("""COMPUTED_VALUE"""),115.74)</f>
        <v>115.74</v>
      </c>
      <c r="F2564" s="1">
        <f ca="1">IFERROR(__xludf.DUMMYFUNCTION("""COMPUTED_VALUE"""),323857454)</f>
        <v>323857454</v>
      </c>
    </row>
    <row r="2565" spans="1:6" x14ac:dyDescent="0.35">
      <c r="A2565" s="2">
        <f ca="1">IFERROR(__xludf.DUMMYFUNCTION("""COMPUTED_VALUE"""),45729.6666666666)</f>
        <v>45729.666666666599</v>
      </c>
      <c r="B2565" s="1">
        <f ca="1">IFERROR(__xludf.DUMMYFUNCTION("""COMPUTED_VALUE"""),117.03)</f>
        <v>117.03</v>
      </c>
      <c r="C2565" s="1">
        <f ca="1">IFERROR(__xludf.DUMMYFUNCTION("""COMPUTED_VALUE"""),117.76)</f>
        <v>117.76</v>
      </c>
      <c r="D2565" s="1">
        <f ca="1">IFERROR(__xludf.DUMMYFUNCTION("""COMPUTED_VALUE"""),113.79)</f>
        <v>113.79</v>
      </c>
      <c r="E2565" s="1">
        <f ca="1">IFERROR(__xludf.DUMMYFUNCTION("""COMPUTED_VALUE"""),115.58)</f>
        <v>115.58</v>
      </c>
      <c r="F2565" s="1">
        <f ca="1">IFERROR(__xludf.DUMMYFUNCTION("""COMPUTED_VALUE"""),299033131)</f>
        <v>299033131</v>
      </c>
    </row>
    <row r="2566" spans="1:6" x14ac:dyDescent="0.35">
      <c r="A2566" s="2">
        <f ca="1">IFERROR(__xludf.DUMMYFUNCTION("""COMPUTED_VALUE"""),45730.6666666666)</f>
        <v>45730.666666666599</v>
      </c>
      <c r="B2566" s="1">
        <f ca="1">IFERROR(__xludf.DUMMYFUNCTION("""COMPUTED_VALUE"""),118.61)</f>
        <v>118.61</v>
      </c>
      <c r="C2566" s="1">
        <f ca="1">IFERROR(__xludf.DUMMYFUNCTION("""COMPUTED_VALUE"""),121.88)</f>
        <v>121.88</v>
      </c>
      <c r="D2566" s="1">
        <f ca="1">IFERROR(__xludf.DUMMYFUNCTION("""COMPUTED_VALUE"""),118.15)</f>
        <v>118.15</v>
      </c>
      <c r="E2566" s="1">
        <f ca="1">IFERROR(__xludf.DUMMYFUNCTION("""COMPUTED_VALUE"""),121.67)</f>
        <v>121.67</v>
      </c>
      <c r="F2566" s="1">
        <f ca="1">IFERROR(__xludf.DUMMYFUNCTION("""COMPUTED_VALUE"""),277593455)</f>
        <v>277593455</v>
      </c>
    </row>
    <row r="2567" spans="1:6" x14ac:dyDescent="0.35">
      <c r="A2567" s="2">
        <f ca="1">IFERROR(__xludf.DUMMYFUNCTION("""COMPUTED_VALUE"""),45733.6666666666)</f>
        <v>45733.666666666599</v>
      </c>
      <c r="B2567" s="1">
        <f ca="1">IFERROR(__xludf.DUMMYFUNCTION("""COMPUTED_VALUE"""),122.74)</f>
        <v>122.74</v>
      </c>
      <c r="C2567" s="1">
        <f ca="1">IFERROR(__xludf.DUMMYFUNCTION("""COMPUTED_VALUE"""),122.89)</f>
        <v>122.89</v>
      </c>
      <c r="D2567" s="1">
        <f ca="1">IFERROR(__xludf.DUMMYFUNCTION("""COMPUTED_VALUE"""),118.03)</f>
        <v>118.03</v>
      </c>
      <c r="E2567" s="1">
        <f ca="1">IFERROR(__xludf.DUMMYFUNCTION("""COMPUTED_VALUE"""),119.53)</f>
        <v>119.53</v>
      </c>
      <c r="F2567" s="1">
        <f ca="1">IFERROR(__xludf.DUMMYFUNCTION("""COMPUTED_VALUE"""),255501481)</f>
        <v>255501481</v>
      </c>
    </row>
    <row r="2568" spans="1:6" x14ac:dyDescent="0.35">
      <c r="A2568" s="2">
        <f ca="1">IFERROR(__xludf.DUMMYFUNCTION("""COMPUTED_VALUE"""),45734.6666666666)</f>
        <v>45734.666666666599</v>
      </c>
      <c r="B2568" s="1">
        <f ca="1">IFERROR(__xludf.DUMMYFUNCTION("""COMPUTED_VALUE"""),118)</f>
        <v>118</v>
      </c>
      <c r="C2568" s="1">
        <f ca="1">IFERROR(__xludf.DUMMYFUNCTION("""COMPUTED_VALUE"""),119.02)</f>
        <v>119.02</v>
      </c>
      <c r="D2568" s="1">
        <f ca="1">IFERROR(__xludf.DUMMYFUNCTION("""COMPUTED_VALUE"""),114.54)</f>
        <v>114.54</v>
      </c>
      <c r="E2568" s="1">
        <f ca="1">IFERROR(__xludf.DUMMYFUNCTION("""COMPUTED_VALUE"""),115.43)</f>
        <v>115.43</v>
      </c>
      <c r="F2568" s="1">
        <f ca="1">IFERROR(__xludf.DUMMYFUNCTION("""COMPUTED_VALUE"""),299686944)</f>
        <v>299686944</v>
      </c>
    </row>
    <row r="2569" spans="1:6" x14ac:dyDescent="0.35">
      <c r="A2569" s="2">
        <f ca="1">IFERROR(__xludf.DUMMYFUNCTION("""COMPUTED_VALUE"""),45735.6666666666)</f>
        <v>45735.666666666599</v>
      </c>
      <c r="B2569" s="1">
        <f ca="1">IFERROR(__xludf.DUMMYFUNCTION("""COMPUTED_VALUE"""),117.27)</f>
        <v>117.27</v>
      </c>
      <c r="C2569" s="1">
        <f ca="1">IFERROR(__xludf.DUMMYFUNCTION("""COMPUTED_VALUE"""),120.45)</f>
        <v>120.45</v>
      </c>
      <c r="D2569" s="1">
        <f ca="1">IFERROR(__xludf.DUMMYFUNCTION("""COMPUTED_VALUE"""),115.68)</f>
        <v>115.68</v>
      </c>
      <c r="E2569" s="1">
        <f ca="1">IFERROR(__xludf.DUMMYFUNCTION("""COMPUTED_VALUE"""),117.52)</f>
        <v>117.52</v>
      </c>
      <c r="F2569" s="1">
        <f ca="1">IFERROR(__xludf.DUMMYFUNCTION("""COMPUTED_VALUE"""),273426225)</f>
        <v>273426225</v>
      </c>
    </row>
    <row r="2570" spans="1:6" x14ac:dyDescent="0.35">
      <c r="A2570" s="2">
        <f ca="1">IFERROR(__xludf.DUMMYFUNCTION("""COMPUTED_VALUE"""),45736.6666666666)</f>
        <v>45736.666666666599</v>
      </c>
      <c r="B2570" s="1">
        <f ca="1">IFERROR(__xludf.DUMMYFUNCTION("""COMPUTED_VALUE"""),116.55)</f>
        <v>116.55</v>
      </c>
      <c r="C2570" s="1">
        <f ca="1">IFERROR(__xludf.DUMMYFUNCTION("""COMPUTED_VALUE"""),120.2)</f>
        <v>120.2</v>
      </c>
      <c r="D2570" s="1">
        <f ca="1">IFERROR(__xludf.DUMMYFUNCTION("""COMPUTED_VALUE"""),116.47)</f>
        <v>116.47</v>
      </c>
      <c r="E2570" s="1">
        <f ca="1">IFERROR(__xludf.DUMMYFUNCTION("""COMPUTED_VALUE"""),118.53)</f>
        <v>118.53</v>
      </c>
      <c r="F2570" s="1">
        <f ca="1">IFERROR(__xludf.DUMMYFUNCTION("""COMPUTED_VALUE"""),248829749)</f>
        <v>248829749</v>
      </c>
    </row>
    <row r="2571" spans="1:6" x14ac:dyDescent="0.35">
      <c r="A2571" s="2">
        <f ca="1">IFERROR(__xludf.DUMMYFUNCTION("""COMPUTED_VALUE"""),45737.6666666666)</f>
        <v>45737.666666666599</v>
      </c>
      <c r="B2571" s="1">
        <f ca="1">IFERROR(__xludf.DUMMYFUNCTION("""COMPUTED_VALUE"""),116.94)</f>
        <v>116.94</v>
      </c>
      <c r="C2571" s="1">
        <f ca="1">IFERROR(__xludf.DUMMYFUNCTION("""COMPUTED_VALUE"""),117.99)</f>
        <v>117.99</v>
      </c>
      <c r="D2571" s="1">
        <f ca="1">IFERROR(__xludf.DUMMYFUNCTION("""COMPUTED_VALUE"""),115.42)</f>
        <v>115.42</v>
      </c>
      <c r="E2571" s="1">
        <f ca="1">IFERROR(__xludf.DUMMYFUNCTION("""COMPUTED_VALUE"""),117.7)</f>
        <v>117.7</v>
      </c>
      <c r="F2571" s="1">
        <f ca="1">IFERROR(__xludf.DUMMYFUNCTION("""COMPUTED_VALUE"""),266498528)</f>
        <v>266498528</v>
      </c>
    </row>
    <row r="2572" spans="1:6" x14ac:dyDescent="0.35">
      <c r="A2572" s="2">
        <f ca="1">IFERROR(__xludf.DUMMYFUNCTION("""COMPUTED_VALUE"""),45740.6666666666)</f>
        <v>45740.666666666599</v>
      </c>
      <c r="B2572" s="1">
        <f ca="1">IFERROR(__xludf.DUMMYFUNCTION("""COMPUTED_VALUE"""),119.88)</f>
        <v>119.88</v>
      </c>
      <c r="C2572" s="1">
        <f ca="1">IFERROR(__xludf.DUMMYFUNCTION("""COMPUTED_VALUE"""),122.22)</f>
        <v>122.22</v>
      </c>
      <c r="D2572" s="1">
        <f ca="1">IFERROR(__xludf.DUMMYFUNCTION("""COMPUTED_VALUE"""),119.34)</f>
        <v>119.34</v>
      </c>
      <c r="E2572" s="1">
        <f ca="1">IFERROR(__xludf.DUMMYFUNCTION("""COMPUTED_VALUE"""),121.41)</f>
        <v>121.41</v>
      </c>
      <c r="F2572" s="1">
        <f ca="1">IFERROR(__xludf.DUMMYFUNCTION("""COMPUTED_VALUE"""),228452534)</f>
        <v>228452534</v>
      </c>
    </row>
    <row r="2573" spans="1:6" x14ac:dyDescent="0.35">
      <c r="A2573" s="2">
        <f ca="1">IFERROR(__xludf.DUMMYFUNCTION("""COMPUTED_VALUE"""),45741.6666666666)</f>
        <v>45741.666666666599</v>
      </c>
      <c r="B2573" s="1">
        <f ca="1">IFERROR(__xludf.DUMMYFUNCTION("""COMPUTED_VALUE"""),120.55)</f>
        <v>120.55</v>
      </c>
      <c r="C2573" s="1">
        <f ca="1">IFERROR(__xludf.DUMMYFUNCTION("""COMPUTED_VALUE"""),121.29)</f>
        <v>121.29</v>
      </c>
      <c r="D2573" s="1">
        <f ca="1">IFERROR(__xludf.DUMMYFUNCTION("""COMPUTED_VALUE"""),118.92)</f>
        <v>118.92</v>
      </c>
      <c r="E2573" s="1">
        <f ca="1">IFERROR(__xludf.DUMMYFUNCTION("""COMPUTED_VALUE"""),120.69)</f>
        <v>120.69</v>
      </c>
      <c r="F2573" s="1">
        <f ca="1">IFERROR(__xludf.DUMMYFUNCTION("""COMPUTED_VALUE"""),167447198)</f>
        <v>167447198</v>
      </c>
    </row>
    <row r="2574" spans="1:6" x14ac:dyDescent="0.35">
      <c r="A2574" s="2">
        <f ca="1">IFERROR(__xludf.DUMMYFUNCTION("""COMPUTED_VALUE"""),45742.6666666666)</f>
        <v>45742.666666666599</v>
      </c>
      <c r="B2574" s="1">
        <f ca="1">IFERROR(__xludf.DUMMYFUNCTION("""COMPUTED_VALUE"""),118.73)</f>
        <v>118.73</v>
      </c>
      <c r="C2574" s="1">
        <f ca="1">IFERROR(__xludf.DUMMYFUNCTION("""COMPUTED_VALUE"""),118.84)</f>
        <v>118.84</v>
      </c>
      <c r="D2574" s="1">
        <f ca="1">IFERROR(__xludf.DUMMYFUNCTION("""COMPUTED_VALUE"""),112.71)</f>
        <v>112.71</v>
      </c>
      <c r="E2574" s="1">
        <f ca="1">IFERROR(__xludf.DUMMYFUNCTION("""COMPUTED_VALUE"""),113.76)</f>
        <v>113.76</v>
      </c>
      <c r="F2574" s="1">
        <f ca="1">IFERROR(__xludf.DUMMYFUNCTION("""COMPUTED_VALUE"""),296431667)</f>
        <v>296431667</v>
      </c>
    </row>
    <row r="2575" spans="1:6" x14ac:dyDescent="0.35">
      <c r="A2575" s="2">
        <f ca="1">IFERROR(__xludf.DUMMYFUNCTION("""COMPUTED_VALUE"""),45743.6666666666)</f>
        <v>45743.666666666599</v>
      </c>
      <c r="B2575" s="1">
        <f ca="1">IFERROR(__xludf.DUMMYFUNCTION("""COMPUTED_VALUE"""),111.35)</f>
        <v>111.35</v>
      </c>
      <c r="C2575" s="1">
        <f ca="1">IFERROR(__xludf.DUMMYFUNCTION("""COMPUTED_VALUE"""),114.45)</f>
        <v>114.45</v>
      </c>
      <c r="D2575" s="1">
        <f ca="1">IFERROR(__xludf.DUMMYFUNCTION("""COMPUTED_VALUE"""),110.66)</f>
        <v>110.66</v>
      </c>
      <c r="E2575" s="1">
        <f ca="1">IFERROR(__xludf.DUMMYFUNCTION("""COMPUTED_VALUE"""),111.43)</f>
        <v>111.43</v>
      </c>
      <c r="F2575" s="1">
        <f ca="1">IFERROR(__xludf.DUMMYFUNCTION("""COMPUTED_VALUE"""),236902055)</f>
        <v>236902055</v>
      </c>
    </row>
    <row r="2576" spans="1:6" x14ac:dyDescent="0.35">
      <c r="A2576" s="2">
        <f ca="1">IFERROR(__xludf.DUMMYFUNCTION("""COMPUTED_VALUE"""),45744.6666666666)</f>
        <v>45744.666666666599</v>
      </c>
      <c r="B2576" s="1">
        <f ca="1">IFERROR(__xludf.DUMMYFUNCTION("""COMPUTED_VALUE"""),111.49)</f>
        <v>111.49</v>
      </c>
      <c r="C2576" s="1">
        <f ca="1">IFERROR(__xludf.DUMMYFUNCTION("""COMPUTED_VALUE"""),112.87)</f>
        <v>112.87</v>
      </c>
      <c r="D2576" s="1">
        <f ca="1">IFERROR(__xludf.DUMMYFUNCTION("""COMPUTED_VALUE"""),109.07)</f>
        <v>109.07</v>
      </c>
      <c r="E2576" s="1">
        <f ca="1">IFERROR(__xludf.DUMMYFUNCTION("""COMPUTED_VALUE"""),109.67)</f>
        <v>109.67</v>
      </c>
      <c r="F2576" s="1">
        <f ca="1">IFERROR(__xludf.DUMMYFUNCTION("""COMPUTED_VALUE"""),229872549)</f>
        <v>229872549</v>
      </c>
    </row>
    <row r="2577" spans="1:6" x14ac:dyDescent="0.35">
      <c r="A2577" s="2">
        <f ca="1">IFERROR(__xludf.DUMMYFUNCTION("""COMPUTED_VALUE"""),45747.6666666666)</f>
        <v>45747.666666666599</v>
      </c>
      <c r="B2577" s="1">
        <f ca="1">IFERROR(__xludf.DUMMYFUNCTION("""COMPUTED_VALUE"""),105.13)</f>
        <v>105.13</v>
      </c>
      <c r="C2577" s="1">
        <f ca="1">IFERROR(__xludf.DUMMYFUNCTION("""COMPUTED_VALUE"""),110.96)</f>
        <v>110.96</v>
      </c>
      <c r="D2577" s="1">
        <f ca="1">IFERROR(__xludf.DUMMYFUNCTION("""COMPUTED_VALUE"""),103.65)</f>
        <v>103.65</v>
      </c>
      <c r="E2577" s="1">
        <f ca="1">IFERROR(__xludf.DUMMYFUNCTION("""COMPUTED_VALUE"""),108.38)</f>
        <v>108.38</v>
      </c>
      <c r="F2577" s="1">
        <f ca="1">IFERROR(__xludf.DUMMYFUNCTION("""COMPUTED_VALUE"""),299212653)</f>
        <v>299212653</v>
      </c>
    </row>
    <row r="2578" spans="1:6" x14ac:dyDescent="0.35">
      <c r="A2578" s="2">
        <f ca="1">IFERROR(__xludf.DUMMYFUNCTION("""COMPUTED_VALUE"""),45748.6666666666)</f>
        <v>45748.666666666599</v>
      </c>
      <c r="B2578" s="1">
        <f ca="1">IFERROR(__xludf.DUMMYFUNCTION("""COMPUTED_VALUE"""),108.52)</f>
        <v>108.52</v>
      </c>
      <c r="C2578" s="1">
        <f ca="1">IFERROR(__xludf.DUMMYFUNCTION("""COMPUTED_VALUE"""),110.2)</f>
        <v>110.2</v>
      </c>
      <c r="D2578" s="1">
        <f ca="1">IFERROR(__xludf.DUMMYFUNCTION("""COMPUTED_VALUE"""),106.47)</f>
        <v>106.47</v>
      </c>
      <c r="E2578" s="1">
        <f ca="1">IFERROR(__xludf.DUMMYFUNCTION("""COMPUTED_VALUE"""),110.15)</f>
        <v>110.15</v>
      </c>
      <c r="F2578" s="1">
        <f ca="1">IFERROR(__xludf.DUMMYFUNCTION("""COMPUTED_VALUE"""),222614034)</f>
        <v>222614034</v>
      </c>
    </row>
    <row r="2579" spans="1:6" x14ac:dyDescent="0.35">
      <c r="A2579" s="2">
        <f ca="1">IFERROR(__xludf.DUMMYFUNCTION("""COMPUTED_VALUE"""),45749.6666666666)</f>
        <v>45749.666666666599</v>
      </c>
      <c r="B2579" s="1">
        <f ca="1">IFERROR(__xludf.DUMMYFUNCTION("""COMPUTED_VALUE"""),107.29)</f>
        <v>107.29</v>
      </c>
      <c r="C2579" s="1">
        <f ca="1">IFERROR(__xludf.DUMMYFUNCTION("""COMPUTED_VALUE"""),111.98)</f>
        <v>111.98</v>
      </c>
      <c r="D2579" s="1">
        <f ca="1">IFERROR(__xludf.DUMMYFUNCTION("""COMPUTED_VALUE"""),106.79)</f>
        <v>106.79</v>
      </c>
      <c r="E2579" s="1">
        <f ca="1">IFERROR(__xludf.DUMMYFUNCTION("""COMPUTED_VALUE"""),110.42)</f>
        <v>110.42</v>
      </c>
      <c r="F2579" s="1">
        <f ca="1">IFERROR(__xludf.DUMMYFUNCTION("""COMPUTED_VALUE"""),220601243)</f>
        <v>220601243</v>
      </c>
    </row>
    <row r="2580" spans="1:6" x14ac:dyDescent="0.35">
      <c r="A2580" s="2">
        <f ca="1">IFERROR(__xludf.DUMMYFUNCTION("""COMPUTED_VALUE"""),45750.6666666666)</f>
        <v>45750.666666666599</v>
      </c>
      <c r="B2580" s="1">
        <f ca="1">IFERROR(__xludf.DUMMYFUNCTION("""COMPUTED_VALUE"""),103.51)</f>
        <v>103.51</v>
      </c>
      <c r="C2580" s="1">
        <f ca="1">IFERROR(__xludf.DUMMYFUNCTION("""COMPUTED_VALUE"""),105.63)</f>
        <v>105.63</v>
      </c>
      <c r="D2580" s="1">
        <f ca="1">IFERROR(__xludf.DUMMYFUNCTION("""COMPUTED_VALUE"""),101.6)</f>
        <v>101.6</v>
      </c>
      <c r="E2580" s="1">
        <f ca="1">IFERROR(__xludf.DUMMYFUNCTION("""COMPUTED_VALUE"""),101.8)</f>
        <v>101.8</v>
      </c>
      <c r="F2580" s="1">
        <f ca="1">IFERROR(__xludf.DUMMYFUNCTION("""COMPUTED_VALUE"""),338769412)</f>
        <v>338769412</v>
      </c>
    </row>
    <row r="2581" spans="1:6" x14ac:dyDescent="0.35">
      <c r="A2581" s="2">
        <f ca="1">IFERROR(__xludf.DUMMYFUNCTION("""COMPUTED_VALUE"""),45751.6666666666)</f>
        <v>45751.666666666599</v>
      </c>
      <c r="B2581" s="1">
        <f ca="1">IFERROR(__xludf.DUMMYFUNCTION("""COMPUTED_VALUE"""),98.91)</f>
        <v>98.91</v>
      </c>
      <c r="C2581" s="1">
        <f ca="1">IFERROR(__xludf.DUMMYFUNCTION("""COMPUTED_VALUE"""),100.13)</f>
        <v>100.13</v>
      </c>
      <c r="D2581" s="1">
        <f ca="1">IFERROR(__xludf.DUMMYFUNCTION("""COMPUTED_VALUE"""),92.11)</f>
        <v>92.11</v>
      </c>
      <c r="E2581" s="1">
        <f ca="1">IFERROR(__xludf.DUMMYFUNCTION("""COMPUTED_VALUE"""),94.31)</f>
        <v>94.31</v>
      </c>
      <c r="F2581" s="1">
        <f ca="1">IFERROR(__xludf.DUMMYFUNCTION("""COMPUTED_VALUE"""),532273810)</f>
        <v>532273810</v>
      </c>
    </row>
    <row r="2582" spans="1:6" x14ac:dyDescent="0.35">
      <c r="A2582" s="2">
        <f ca="1">IFERROR(__xludf.DUMMYFUNCTION("""COMPUTED_VALUE"""),45754.6666666666)</f>
        <v>45754.666666666599</v>
      </c>
      <c r="B2582" s="1">
        <f ca="1">IFERROR(__xludf.DUMMYFUNCTION("""COMPUTED_VALUE"""),87.46)</f>
        <v>87.46</v>
      </c>
      <c r="C2582" s="1">
        <f ca="1">IFERROR(__xludf.DUMMYFUNCTION("""COMPUTED_VALUE"""),101.75)</f>
        <v>101.75</v>
      </c>
      <c r="D2582" s="1">
        <f ca="1">IFERROR(__xludf.DUMMYFUNCTION("""COMPUTED_VALUE"""),86.62)</f>
        <v>86.62</v>
      </c>
      <c r="E2582" s="1">
        <f ca="1">IFERROR(__xludf.DUMMYFUNCTION("""COMPUTED_VALUE"""),97.64)</f>
        <v>97.64</v>
      </c>
      <c r="F2582" s="1">
        <f ca="1">IFERROR(__xludf.DUMMYFUNCTION("""COMPUTED_VALUE"""),611041347)</f>
        <v>611041347</v>
      </c>
    </row>
    <row r="2583" spans="1:6" x14ac:dyDescent="0.35">
      <c r="A2583" s="2">
        <f ca="1">IFERROR(__xludf.DUMMYFUNCTION("""COMPUTED_VALUE"""),45755.6666666666)</f>
        <v>45755.666666666599</v>
      </c>
      <c r="B2583" s="1">
        <f ca="1">IFERROR(__xludf.DUMMYFUNCTION("""COMPUTED_VALUE"""),103.81)</f>
        <v>103.81</v>
      </c>
      <c r="C2583" s="1">
        <f ca="1">IFERROR(__xludf.DUMMYFUNCTION("""COMPUTED_VALUE"""),105.85)</f>
        <v>105.85</v>
      </c>
      <c r="D2583" s="1">
        <f ca="1">IFERROR(__xludf.DUMMYFUNCTION("""COMPUTED_VALUE"""),94.46)</f>
        <v>94.46</v>
      </c>
      <c r="E2583" s="1">
        <f ca="1">IFERROR(__xludf.DUMMYFUNCTION("""COMPUTED_VALUE"""),96.3)</f>
        <v>96.3</v>
      </c>
      <c r="F2583" s="1">
        <f ca="1">IFERROR(__xludf.DUMMYFUNCTION("""COMPUTED_VALUE"""),476243392)</f>
        <v>476243392</v>
      </c>
    </row>
    <row r="2584" spans="1:6" x14ac:dyDescent="0.35">
      <c r="A2584" s="2">
        <f ca="1">IFERROR(__xludf.DUMMYFUNCTION("""COMPUTED_VALUE"""),45756.6666666666)</f>
        <v>45756.666666666599</v>
      </c>
      <c r="B2584" s="1">
        <f ca="1">IFERROR(__xludf.DUMMYFUNCTION("""COMPUTED_VALUE"""),98.89)</f>
        <v>98.89</v>
      </c>
      <c r="C2584" s="1">
        <f ca="1">IFERROR(__xludf.DUMMYFUNCTION("""COMPUTED_VALUE"""),115.1)</f>
        <v>115.1</v>
      </c>
      <c r="D2584" s="1">
        <f ca="1">IFERROR(__xludf.DUMMYFUNCTION("""COMPUTED_VALUE"""),97.53)</f>
        <v>97.53</v>
      </c>
      <c r="E2584" s="1">
        <f ca="1">IFERROR(__xludf.DUMMYFUNCTION("""COMPUTED_VALUE"""),114.33)</f>
        <v>114.33</v>
      </c>
      <c r="F2584" s="1">
        <f ca="1">IFERROR(__xludf.DUMMYFUNCTION("""COMPUTED_VALUE"""),612918336)</f>
        <v>612918336</v>
      </c>
    </row>
    <row r="2585" spans="1:6" x14ac:dyDescent="0.35">
      <c r="A2585" s="2">
        <f ca="1">IFERROR(__xludf.DUMMYFUNCTION("""COMPUTED_VALUE"""),45757.6666666666)</f>
        <v>45757.666666666599</v>
      </c>
      <c r="B2585" s="1">
        <f ca="1">IFERROR(__xludf.DUMMYFUNCTION("""COMPUTED_VALUE"""),109.37)</f>
        <v>109.37</v>
      </c>
      <c r="C2585" s="1">
        <f ca="1">IFERROR(__xludf.DUMMYFUNCTION("""COMPUTED_VALUE"""),110.86)</f>
        <v>110.86</v>
      </c>
      <c r="D2585" s="1">
        <f ca="1">IFERROR(__xludf.DUMMYFUNCTION("""COMPUTED_VALUE"""),99.15)</f>
        <v>99.15</v>
      </c>
      <c r="E2585" s="1">
        <f ca="1">IFERROR(__xludf.DUMMYFUNCTION("""COMPUTED_VALUE"""),107.57)</f>
        <v>107.57</v>
      </c>
      <c r="F2585" s="1">
        <f ca="1">IFERROR(__xludf.DUMMYFUNCTION("""COMPUTED_VALUE"""),437812353)</f>
        <v>437812353</v>
      </c>
    </row>
    <row r="2586" spans="1:6" x14ac:dyDescent="0.35">
      <c r="A2586" s="2">
        <f ca="1">IFERROR(__xludf.DUMMYFUNCTION("""COMPUTED_VALUE"""),45758.6666666666)</f>
        <v>45758.666666666599</v>
      </c>
      <c r="B2586" s="1">
        <f ca="1">IFERROR(__xludf.DUMMYFUNCTION("""COMPUTED_VALUE"""),108.5)</f>
        <v>108.5</v>
      </c>
      <c r="C2586" s="1">
        <f ca="1">IFERROR(__xludf.DUMMYFUNCTION("""COMPUTED_VALUE"""),111.55)</f>
        <v>111.55</v>
      </c>
      <c r="D2586" s="1">
        <f ca="1">IFERROR(__xludf.DUMMYFUNCTION("""COMPUTED_VALUE"""),107.48)</f>
        <v>107.48</v>
      </c>
      <c r="E2586" s="1">
        <f ca="1">IFERROR(__xludf.DUMMYFUNCTION("""COMPUTED_VALUE"""),110.93)</f>
        <v>110.93</v>
      </c>
      <c r="F2586" s="1">
        <f ca="1">IFERROR(__xludf.DUMMYFUNCTION("""COMPUTED_VALUE"""),313417265)</f>
        <v>313417265</v>
      </c>
    </row>
    <row r="2587" spans="1:6" x14ac:dyDescent="0.35">
      <c r="A2587" s="2">
        <f ca="1">IFERROR(__xludf.DUMMYFUNCTION("""COMPUTED_VALUE"""),45761.6666666666)</f>
        <v>45761.666666666599</v>
      </c>
      <c r="B2587" s="1">
        <f ca="1">IFERROR(__xludf.DUMMYFUNCTION("""COMPUTED_VALUE"""),114.11)</f>
        <v>114.11</v>
      </c>
      <c r="C2587" s="1">
        <f ca="1">IFERROR(__xludf.DUMMYFUNCTION("""COMPUTED_VALUE"""),114.29)</f>
        <v>114.29</v>
      </c>
      <c r="D2587" s="1">
        <f ca="1">IFERROR(__xludf.DUMMYFUNCTION("""COMPUTED_VALUE"""),109.07)</f>
        <v>109.07</v>
      </c>
      <c r="E2587" s="1">
        <f ca="1">IFERROR(__xludf.DUMMYFUNCTION("""COMPUTED_VALUE"""),110.71)</f>
        <v>110.71</v>
      </c>
      <c r="F2587" s="1">
        <f ca="1">IFERROR(__xludf.DUMMYFUNCTION("""COMPUTED_VALUE"""),264705049)</f>
        <v>264705049</v>
      </c>
    </row>
    <row r="2588" spans="1:6" x14ac:dyDescent="0.35">
      <c r="A2588" s="2">
        <f ca="1">IFERROR(__xludf.DUMMYFUNCTION("""COMPUTED_VALUE"""),45762.6666666666)</f>
        <v>45762.666666666599</v>
      </c>
      <c r="B2588" s="1">
        <f ca="1">IFERROR(__xludf.DUMMYFUNCTION("""COMPUTED_VALUE"""),110.97)</f>
        <v>110.97</v>
      </c>
      <c r="C2588" s="1">
        <f ca="1">IFERROR(__xludf.DUMMYFUNCTION("""COMPUTED_VALUE"""),113.62)</f>
        <v>113.62</v>
      </c>
      <c r="D2588" s="1">
        <f ca="1">IFERROR(__xludf.DUMMYFUNCTION("""COMPUTED_VALUE"""),110.5)</f>
        <v>110.5</v>
      </c>
      <c r="E2588" s="1">
        <f ca="1">IFERROR(__xludf.DUMMYFUNCTION("""COMPUTED_VALUE"""),112.2)</f>
        <v>112.2</v>
      </c>
      <c r="F2588" s="1">
        <f ca="1">IFERROR(__xludf.DUMMYFUNCTION("""COMPUTED_VALUE"""),228966900)</f>
        <v>228966900</v>
      </c>
    </row>
    <row r="2589" spans="1:6" x14ac:dyDescent="0.35">
      <c r="A2589" s="2">
        <f ca="1">IFERROR(__xludf.DUMMYFUNCTION("""COMPUTED_VALUE"""),45763.6666666666)</f>
        <v>45763.666666666599</v>
      </c>
      <c r="B2589" s="1">
        <f ca="1">IFERROR(__xludf.DUMMYFUNCTION("""COMPUTED_VALUE"""),104.55)</f>
        <v>104.55</v>
      </c>
      <c r="C2589" s="1">
        <f ca="1">IFERROR(__xludf.DUMMYFUNCTION("""COMPUTED_VALUE"""),106.79)</f>
        <v>106.79</v>
      </c>
      <c r="D2589" s="1">
        <f ca="1">IFERROR(__xludf.DUMMYFUNCTION("""COMPUTED_VALUE"""),100.45)</f>
        <v>100.45</v>
      </c>
      <c r="E2589" s="1">
        <f ca="1">IFERROR(__xludf.DUMMYFUNCTION("""COMPUTED_VALUE"""),104.49)</f>
        <v>104.49</v>
      </c>
      <c r="F2589" s="1">
        <f ca="1">IFERROR(__xludf.DUMMYFUNCTION("""COMPUTED_VALUE"""),397016870)</f>
        <v>397016870</v>
      </c>
    </row>
    <row r="2590" spans="1:6" x14ac:dyDescent="0.35">
      <c r="A2590" s="2">
        <f ca="1">IFERROR(__xludf.DUMMYFUNCTION("""COMPUTED_VALUE"""),45764.6666666666)</f>
        <v>45764.666666666599</v>
      </c>
      <c r="B2590" s="1">
        <f ca="1">IFERROR(__xludf.DUMMYFUNCTION("""COMPUTED_VALUE"""),104.45)</f>
        <v>104.45</v>
      </c>
      <c r="C2590" s="1">
        <f ca="1">IFERROR(__xludf.DUMMYFUNCTION("""COMPUTED_VALUE"""),104.47)</f>
        <v>104.47</v>
      </c>
      <c r="D2590" s="1">
        <f ca="1">IFERROR(__xludf.DUMMYFUNCTION("""COMPUTED_VALUE"""),100.05)</f>
        <v>100.05</v>
      </c>
      <c r="E2590" s="1">
        <f ca="1">IFERROR(__xludf.DUMMYFUNCTION("""COMPUTED_VALUE"""),101.49)</f>
        <v>101.49</v>
      </c>
      <c r="F2590" s="1">
        <f ca="1">IFERROR(__xludf.DUMMYFUNCTION("""COMPUTED_VALUE"""),292517465)</f>
        <v>292517465</v>
      </c>
    </row>
    <row r="2591" spans="1:6" x14ac:dyDescent="0.35">
      <c r="A2591" s="2">
        <f ca="1">IFERROR(__xludf.DUMMYFUNCTION("""COMPUTED_VALUE"""),45768.6666666666)</f>
        <v>45768.666666666599</v>
      </c>
      <c r="B2591" s="1">
        <f ca="1">IFERROR(__xludf.DUMMYFUNCTION("""COMPUTED_VALUE"""),98.77)</f>
        <v>98.77</v>
      </c>
      <c r="C2591" s="1">
        <f ca="1">IFERROR(__xludf.DUMMYFUNCTION("""COMPUTED_VALUE"""),99.44)</f>
        <v>99.44</v>
      </c>
      <c r="D2591" s="1">
        <f ca="1">IFERROR(__xludf.DUMMYFUNCTION("""COMPUTED_VALUE"""),95.04)</f>
        <v>95.04</v>
      </c>
      <c r="E2591" s="1">
        <f ca="1">IFERROR(__xludf.DUMMYFUNCTION("""COMPUTED_VALUE"""),96.91)</f>
        <v>96.91</v>
      </c>
      <c r="F2591" s="1">
        <f ca="1">IFERROR(__xludf.DUMMYFUNCTION("""COMPUTED_VALUE"""),288501136)</f>
        <v>288501136</v>
      </c>
    </row>
    <row r="2592" spans="1:6" x14ac:dyDescent="0.35">
      <c r="A2592" s="2">
        <f ca="1">IFERROR(__xludf.DUMMYFUNCTION("""COMPUTED_VALUE"""),45769.6666666666)</f>
        <v>45769.666666666599</v>
      </c>
      <c r="B2592" s="1">
        <f ca="1">IFERROR(__xludf.DUMMYFUNCTION("""COMPUTED_VALUE"""),98.78)</f>
        <v>98.78</v>
      </c>
      <c r="C2592" s="1">
        <f ca="1">IFERROR(__xludf.DUMMYFUNCTION("""COMPUTED_VALUE"""),99.81)</f>
        <v>99.81</v>
      </c>
      <c r="D2592" s="1">
        <f ca="1">IFERROR(__xludf.DUMMYFUNCTION("""COMPUTED_VALUE"""),97.28)</f>
        <v>97.28</v>
      </c>
      <c r="E2592" s="1">
        <f ca="1">IFERROR(__xludf.DUMMYFUNCTION("""COMPUTED_VALUE"""),98.89)</f>
        <v>98.89</v>
      </c>
      <c r="F2592" s="1">
        <f ca="1">IFERROR(__xludf.DUMMYFUNCTION("""COMPUTED_VALUE"""),241004784)</f>
        <v>241004784</v>
      </c>
    </row>
    <row r="2593" spans="1:6" x14ac:dyDescent="0.35">
      <c r="A2593" s="2">
        <f ca="1">IFERROR(__xludf.DUMMYFUNCTION("""COMPUTED_VALUE"""),45770.6666666666)</f>
        <v>45770.666666666599</v>
      </c>
      <c r="B2593" s="1">
        <f ca="1">IFERROR(__xludf.DUMMYFUNCTION("""COMPUTED_VALUE"""),104.52)</f>
        <v>104.52</v>
      </c>
      <c r="C2593" s="1">
        <f ca="1">IFERROR(__xludf.DUMMYFUNCTION("""COMPUTED_VALUE"""),104.8)</f>
        <v>104.8</v>
      </c>
      <c r="D2593" s="1">
        <f ca="1">IFERROR(__xludf.DUMMYFUNCTION("""COMPUTED_VALUE"""),102.02)</f>
        <v>102.02</v>
      </c>
      <c r="E2593" s="1">
        <f ca="1">IFERROR(__xludf.DUMMYFUNCTION("""COMPUTED_VALUE"""),102.71)</f>
        <v>102.71</v>
      </c>
      <c r="F2593" s="1">
        <f ca="1">IFERROR(__xludf.DUMMYFUNCTION("""COMPUTED_VALUE"""),247525971)</f>
        <v>247525971</v>
      </c>
    </row>
    <row r="2594" spans="1:6" x14ac:dyDescent="0.35">
      <c r="A2594" s="2">
        <f ca="1">IFERROR(__xludf.DUMMYFUNCTION("""COMPUTED_VALUE"""),45771.6666666666)</f>
        <v>45771.666666666599</v>
      </c>
      <c r="B2594" s="1">
        <f ca="1">IFERROR(__xludf.DUMMYFUNCTION("""COMPUTED_VALUE"""),103.48)</f>
        <v>103.48</v>
      </c>
      <c r="C2594" s="1">
        <f ca="1">IFERROR(__xludf.DUMMYFUNCTION("""COMPUTED_VALUE"""),106.54)</f>
        <v>106.54</v>
      </c>
      <c r="D2594" s="1">
        <f ca="1">IFERROR(__xludf.DUMMYFUNCTION("""COMPUTED_VALUE"""),103.11)</f>
        <v>103.11</v>
      </c>
      <c r="E2594" s="1">
        <f ca="1">IFERROR(__xludf.DUMMYFUNCTION("""COMPUTED_VALUE"""),106.43)</f>
        <v>106.43</v>
      </c>
      <c r="F2594" s="1">
        <f ca="1">IFERROR(__xludf.DUMMYFUNCTION("""COMPUTED_VALUE"""),220815041)</f>
        <v>220815041</v>
      </c>
    </row>
    <row r="2595" spans="1:6" x14ac:dyDescent="0.35">
      <c r="A2595" s="2">
        <f ca="1">IFERROR(__xludf.DUMMYFUNCTION("""COMPUTED_VALUE"""),45772.6666666666)</f>
        <v>45772.666666666599</v>
      </c>
      <c r="B2595" s="1">
        <f ca="1">IFERROR(__xludf.DUMMYFUNCTION("""COMPUTED_VALUE"""),106.85)</f>
        <v>106.85</v>
      </c>
      <c r="C2595" s="1">
        <f ca="1">IFERROR(__xludf.DUMMYFUNCTION("""COMPUTED_VALUE"""),111.92)</f>
        <v>111.92</v>
      </c>
      <c r="D2595" s="1">
        <f ca="1">IFERROR(__xludf.DUMMYFUNCTION("""COMPUTED_VALUE"""),105.73)</f>
        <v>105.73</v>
      </c>
      <c r="E2595" s="1">
        <f ca="1">IFERROR(__xludf.DUMMYFUNCTION("""COMPUTED_VALUE"""),111.01)</f>
        <v>111.01</v>
      </c>
      <c r="F2595" s="1">
        <f ca="1">IFERROR(__xludf.DUMMYFUNCTION("""COMPUTED_VALUE"""),251064672)</f>
        <v>251064672</v>
      </c>
    </row>
    <row r="2596" spans="1:6" x14ac:dyDescent="0.35">
      <c r="A2596" s="2">
        <f ca="1">IFERROR(__xludf.DUMMYFUNCTION("""COMPUTED_VALUE"""),45775.6666666666)</f>
        <v>45775.666666666599</v>
      </c>
      <c r="B2596" s="1">
        <f ca="1">IFERROR(__xludf.DUMMYFUNCTION("""COMPUTED_VALUE"""),109.69)</f>
        <v>109.69</v>
      </c>
      <c r="C2596" s="1">
        <f ca="1">IFERROR(__xludf.DUMMYFUNCTION("""COMPUTED_VALUE"""),110.37)</f>
        <v>110.37</v>
      </c>
      <c r="D2596" s="1">
        <f ca="1">IFERROR(__xludf.DUMMYFUNCTION("""COMPUTED_VALUE"""),106.02)</f>
        <v>106.02</v>
      </c>
      <c r="E2596" s="1">
        <f ca="1">IFERROR(__xludf.DUMMYFUNCTION("""COMPUTED_VALUE"""),108.73)</f>
        <v>108.73</v>
      </c>
      <c r="F2596" s="1">
        <f ca="1">IFERROR(__xludf.DUMMYFUNCTION("""COMPUTED_VALUE"""),207708479)</f>
        <v>207708479</v>
      </c>
    </row>
    <row r="2597" spans="1:6" x14ac:dyDescent="0.35">
      <c r="A2597" s="2">
        <f ca="1">IFERROR(__xludf.DUMMYFUNCTION("""COMPUTED_VALUE"""),45776.6666666666)</f>
        <v>45776.666666666599</v>
      </c>
      <c r="B2597" s="1">
        <f ca="1">IFERROR(__xludf.DUMMYFUNCTION("""COMPUTED_VALUE"""),107.67)</f>
        <v>107.67</v>
      </c>
      <c r="C2597" s="1">
        <f ca="1">IFERROR(__xludf.DUMMYFUNCTION("""COMPUTED_VALUE"""),110.2)</f>
        <v>110.2</v>
      </c>
      <c r="D2597" s="1">
        <f ca="1">IFERROR(__xludf.DUMMYFUNCTION("""COMPUTED_VALUE"""),107.44)</f>
        <v>107.44</v>
      </c>
      <c r="E2597" s="1">
        <f ca="1">IFERROR(__xludf.DUMMYFUNCTION("""COMPUTED_VALUE"""),109.02)</f>
        <v>109.02</v>
      </c>
      <c r="F2597" s="1">
        <f ca="1">IFERROR(__xludf.DUMMYFUNCTION("""COMPUTED_VALUE"""),170444263)</f>
        <v>170444263</v>
      </c>
    </row>
    <row r="2598" spans="1:6" x14ac:dyDescent="0.35">
      <c r="A2598" s="2">
        <f ca="1">IFERROR(__xludf.DUMMYFUNCTION("""COMPUTED_VALUE"""),45777.6666666666)</f>
        <v>45777.666666666599</v>
      </c>
      <c r="B2598" s="1">
        <f ca="1">IFERROR(__xludf.DUMMYFUNCTION("""COMPUTED_VALUE"""),104.47)</f>
        <v>104.47</v>
      </c>
      <c r="C2598" s="1">
        <f ca="1">IFERROR(__xludf.DUMMYFUNCTION("""COMPUTED_VALUE"""),108.92)</f>
        <v>108.92</v>
      </c>
      <c r="D2598" s="1">
        <f ca="1">IFERROR(__xludf.DUMMYFUNCTION("""COMPUTED_VALUE"""),104.08)</f>
        <v>104.08</v>
      </c>
      <c r="E2598" s="1">
        <f ca="1">IFERROR(__xludf.DUMMYFUNCTION("""COMPUTED_VALUE"""),108.92)</f>
        <v>108.92</v>
      </c>
      <c r="F2598" s="1">
        <f ca="1">IFERROR(__xludf.DUMMYFUNCTION("""COMPUTED_VALUE"""),235044611)</f>
        <v>235044611</v>
      </c>
    </row>
    <row r="2599" spans="1:6" x14ac:dyDescent="0.35">
      <c r="A2599" s="2">
        <f ca="1">IFERROR(__xludf.DUMMYFUNCTION("""COMPUTED_VALUE"""),45778.6666666666)</f>
        <v>45778.666666666599</v>
      </c>
      <c r="B2599" s="1">
        <f ca="1">IFERROR(__xludf.DUMMYFUNCTION("""COMPUTED_VALUE"""),113.08)</f>
        <v>113.08</v>
      </c>
      <c r="C2599" s="1">
        <f ca="1">IFERROR(__xludf.DUMMYFUNCTION("""COMPUTED_VALUE"""),114.94)</f>
        <v>114.94</v>
      </c>
      <c r="D2599" s="1">
        <f ca="1">IFERROR(__xludf.DUMMYFUNCTION("""COMPUTED_VALUE"""),111.3)</f>
        <v>111.3</v>
      </c>
      <c r="E2599" s="1">
        <f ca="1">IFERROR(__xludf.DUMMYFUNCTION("""COMPUTED_VALUE"""),111.61)</f>
        <v>111.61</v>
      </c>
      <c r="F2599" s="1">
        <f ca="1">IFERROR(__xludf.DUMMYFUNCTION("""COMPUTED_VALUE"""),236121507)</f>
        <v>236121507</v>
      </c>
    </row>
    <row r="2600" spans="1:6" x14ac:dyDescent="0.35">
      <c r="A2600" s="2">
        <f ca="1">IFERROR(__xludf.DUMMYFUNCTION("""COMPUTED_VALUE"""),45779.6666666666)</f>
        <v>45779.666666666599</v>
      </c>
      <c r="B2600" s="1">
        <f ca="1">IFERROR(__xludf.DUMMYFUNCTION("""COMPUTED_VALUE"""),114.18)</f>
        <v>114.18</v>
      </c>
      <c r="C2600" s="1">
        <f ca="1">IFERROR(__xludf.DUMMYFUNCTION("""COMPUTED_VALUE"""),115.4)</f>
        <v>115.4</v>
      </c>
      <c r="D2600" s="1">
        <f ca="1">IFERROR(__xludf.DUMMYFUNCTION("""COMPUTED_VALUE"""),113.37)</f>
        <v>113.37</v>
      </c>
      <c r="E2600" s="1">
        <f ca="1">IFERROR(__xludf.DUMMYFUNCTION("""COMPUTED_VALUE"""),114.5)</f>
        <v>114.5</v>
      </c>
      <c r="F2600" s="1">
        <f ca="1">IFERROR(__xludf.DUMMYFUNCTION("""COMPUTED_VALUE"""),190194778)</f>
        <v>190194778</v>
      </c>
    </row>
    <row r="2601" spans="1:6" x14ac:dyDescent="0.35">
      <c r="A2601" s="2">
        <f ca="1">IFERROR(__xludf.DUMMYFUNCTION("""COMPUTED_VALUE"""),45782.6666666666)</f>
        <v>45782.666666666599</v>
      </c>
      <c r="B2601" s="1">
        <f ca="1">IFERROR(__xludf.DUMMYFUNCTION("""COMPUTED_VALUE"""),112.91)</f>
        <v>112.91</v>
      </c>
      <c r="C2601" s="1">
        <f ca="1">IFERROR(__xludf.DUMMYFUNCTION("""COMPUTED_VALUE"""),114.67)</f>
        <v>114.67</v>
      </c>
      <c r="D2601" s="1">
        <f ca="1">IFERROR(__xludf.DUMMYFUNCTION("""COMPUTED_VALUE"""),112.66)</f>
        <v>112.66</v>
      </c>
      <c r="E2601" s="1">
        <f ca="1">IFERROR(__xludf.DUMMYFUNCTION("""COMPUTED_VALUE"""),113.82)</f>
        <v>113.82</v>
      </c>
      <c r="F2601" s="1">
        <f ca="1">IFERROR(__xludf.DUMMYFUNCTION("""COMPUTED_VALUE"""),133163241)</f>
        <v>133163241</v>
      </c>
    </row>
    <row r="2602" spans="1:6" x14ac:dyDescent="0.35">
      <c r="A2602" s="2">
        <f ca="1">IFERROR(__xludf.DUMMYFUNCTION("""COMPUTED_VALUE"""),45783.6666666666)</f>
        <v>45783.666666666599</v>
      </c>
      <c r="B2602" s="1">
        <f ca="1">IFERROR(__xludf.DUMMYFUNCTION("""COMPUTED_VALUE"""),111.48)</f>
        <v>111.48</v>
      </c>
      <c r="C2602" s="1">
        <f ca="1">IFERROR(__xludf.DUMMYFUNCTION("""COMPUTED_VALUE"""),114.74)</f>
        <v>114.74</v>
      </c>
      <c r="D2602" s="1">
        <f ca="1">IFERROR(__xludf.DUMMYFUNCTION("""COMPUTED_VALUE"""),110.82)</f>
        <v>110.82</v>
      </c>
      <c r="E2602" s="1">
        <f ca="1">IFERROR(__xludf.DUMMYFUNCTION("""COMPUTED_VALUE"""),113.54)</f>
        <v>113.54</v>
      </c>
      <c r="F2602" s="1">
        <f ca="1">IFERROR(__xludf.DUMMYFUNCTION("""COMPUTED_VALUE"""),158525621)</f>
        <v>158525621</v>
      </c>
    </row>
    <row r="2603" spans="1:6" x14ac:dyDescent="0.35">
      <c r="A2603" s="2">
        <f ca="1">IFERROR(__xludf.DUMMYFUNCTION("""COMPUTED_VALUE"""),45784.6666666666)</f>
        <v>45784.666666666599</v>
      </c>
      <c r="B2603" s="1">
        <f ca="1">IFERROR(__xludf.DUMMYFUNCTION("""COMPUTED_VALUE"""),113.05)</f>
        <v>113.05</v>
      </c>
      <c r="C2603" s="1">
        <f ca="1">IFERROR(__xludf.DUMMYFUNCTION("""COMPUTED_VALUE"""),117.68)</f>
        <v>117.68</v>
      </c>
      <c r="D2603" s="1">
        <f ca="1">IFERROR(__xludf.DUMMYFUNCTION("""COMPUTED_VALUE"""),112.28)</f>
        <v>112.28</v>
      </c>
      <c r="E2603" s="1">
        <f ca="1">IFERROR(__xludf.DUMMYFUNCTION("""COMPUTED_VALUE"""),117.06)</f>
        <v>117.06</v>
      </c>
      <c r="F2603" s="1">
        <f ca="1">IFERROR(__xludf.DUMMYFUNCTION("""COMPUTED_VALUE"""),207827821)</f>
        <v>207827821</v>
      </c>
    </row>
    <row r="2604" spans="1:6" x14ac:dyDescent="0.35">
      <c r="A2604" s="2">
        <f ca="1">IFERROR(__xludf.DUMMYFUNCTION("""COMPUTED_VALUE"""),45785.6666666666)</f>
        <v>45785.666666666599</v>
      </c>
      <c r="B2604" s="1">
        <f ca="1">IFERROR(__xludf.DUMMYFUNCTION("""COMPUTED_VALUE"""),118.25)</f>
        <v>118.25</v>
      </c>
      <c r="C2604" s="1">
        <f ca="1">IFERROR(__xludf.DUMMYFUNCTION("""COMPUTED_VALUE"""),118.68)</f>
        <v>118.68</v>
      </c>
      <c r="D2604" s="1">
        <f ca="1">IFERROR(__xludf.DUMMYFUNCTION("""COMPUTED_VALUE"""),115.85)</f>
        <v>115.85</v>
      </c>
      <c r="E2604" s="1">
        <f ca="1">IFERROR(__xludf.DUMMYFUNCTION("""COMPUTED_VALUE"""),117.37)</f>
        <v>117.37</v>
      </c>
      <c r="F2604" s="1">
        <f ca="1">IFERROR(__xludf.DUMMYFUNCTION("""COMPUTED_VALUE"""),198428122)</f>
        <v>198428122</v>
      </c>
    </row>
    <row r="2605" spans="1:6" x14ac:dyDescent="0.35">
      <c r="A2605" s="2">
        <f ca="1">IFERROR(__xludf.DUMMYFUNCTION("""COMPUTED_VALUE"""),45786.6666666666)</f>
        <v>45786.666666666599</v>
      </c>
      <c r="B2605" s="1">
        <f ca="1">IFERROR(__xludf.DUMMYFUNCTION("""COMPUTED_VALUE"""),117.35)</f>
        <v>117.35</v>
      </c>
      <c r="C2605" s="1">
        <f ca="1">IFERROR(__xludf.DUMMYFUNCTION("""COMPUTED_VALUE"""),118.23)</f>
        <v>118.23</v>
      </c>
      <c r="D2605" s="1">
        <f ca="1">IFERROR(__xludf.DUMMYFUNCTION("""COMPUTED_VALUE"""),115.21)</f>
        <v>115.21</v>
      </c>
      <c r="E2605" s="1">
        <f ca="1">IFERROR(__xludf.DUMMYFUNCTION("""COMPUTED_VALUE"""),116.65)</f>
        <v>116.65</v>
      </c>
      <c r="F2605" s="1">
        <f ca="1">IFERROR(__xludf.DUMMYFUNCTION("""COMPUTED_VALUE"""),132972189)</f>
        <v>132972189</v>
      </c>
    </row>
    <row r="2606" spans="1:6" x14ac:dyDescent="0.35">
      <c r="A2606" s="2">
        <f ca="1">IFERROR(__xludf.DUMMYFUNCTION("""COMPUTED_VALUE"""),45789.6666666666)</f>
        <v>45789.666666666599</v>
      </c>
      <c r="B2606" s="1">
        <f ca="1">IFERROR(__xludf.DUMMYFUNCTION("""COMPUTED_VALUE"""),121.97)</f>
        <v>121.97</v>
      </c>
      <c r="C2606" s="1">
        <f ca="1">IFERROR(__xludf.DUMMYFUNCTION("""COMPUTED_VALUE"""),123)</f>
        <v>123</v>
      </c>
      <c r="D2606" s="1">
        <f ca="1">IFERROR(__xludf.DUMMYFUNCTION("""COMPUTED_VALUE"""),120.28)</f>
        <v>120.28</v>
      </c>
      <c r="E2606" s="1">
        <f ca="1">IFERROR(__xludf.DUMMYFUNCTION("""COMPUTED_VALUE"""),123)</f>
        <v>123</v>
      </c>
      <c r="F2606" s="1">
        <f ca="1">IFERROR(__xludf.DUMMYFUNCTION("""COMPUTED_VALUE"""),225023345)</f>
        <v>225023345</v>
      </c>
    </row>
    <row r="2607" spans="1:6" x14ac:dyDescent="0.35">
      <c r="A2607" s="2">
        <f ca="1">IFERROR(__xludf.DUMMYFUNCTION("""COMPUTED_VALUE"""),45790.6666666666)</f>
        <v>45790.666666666599</v>
      </c>
      <c r="B2607" s="1">
        <f ca="1">IFERROR(__xludf.DUMMYFUNCTION("""COMPUTED_VALUE"""),124.98)</f>
        <v>124.98</v>
      </c>
      <c r="C2607" s="1">
        <f ca="1">IFERROR(__xludf.DUMMYFUNCTION("""COMPUTED_VALUE"""),131.22)</f>
        <v>131.22</v>
      </c>
      <c r="D2607" s="1">
        <f ca="1">IFERROR(__xludf.DUMMYFUNCTION("""COMPUTED_VALUE"""),124.47)</f>
        <v>124.47</v>
      </c>
      <c r="E2607" s="1">
        <f ca="1">IFERROR(__xludf.DUMMYFUNCTION("""COMPUTED_VALUE"""),129.93)</f>
        <v>129.93</v>
      </c>
      <c r="F2607" s="1">
        <f ca="1">IFERROR(__xludf.DUMMYFUNCTION("""COMPUTED_VALUE"""),330430105)</f>
        <v>330430105</v>
      </c>
    </row>
    <row r="2608" spans="1:6" x14ac:dyDescent="0.35">
      <c r="A2608" s="2">
        <f ca="1">IFERROR(__xludf.DUMMYFUNCTION("""COMPUTED_VALUE"""),45791.6666666666)</f>
        <v>45791.666666666599</v>
      </c>
      <c r="B2608" s="1">
        <f ca="1">IFERROR(__xludf.DUMMYFUNCTION("""COMPUTED_VALUE"""),133.2)</f>
        <v>133.19999999999999</v>
      </c>
      <c r="C2608" s="1">
        <f ca="1">IFERROR(__xludf.DUMMYFUNCTION("""COMPUTED_VALUE"""),135.44)</f>
        <v>135.44</v>
      </c>
      <c r="D2608" s="1">
        <f ca="1">IFERROR(__xludf.DUMMYFUNCTION("""COMPUTED_VALUE"""),131.68)</f>
        <v>131.68</v>
      </c>
      <c r="E2608" s="1">
        <f ca="1">IFERROR(__xludf.DUMMYFUNCTION("""COMPUTED_VALUE"""),135.34)</f>
        <v>135.34</v>
      </c>
      <c r="F2608" s="1">
        <f ca="1">IFERROR(__xludf.DUMMYFUNCTION("""COMPUTED_VALUE"""),281180830)</f>
        <v>281180830</v>
      </c>
    </row>
    <row r="2609" spans="1:6" x14ac:dyDescent="0.35">
      <c r="A2609" s="2">
        <f ca="1">IFERROR(__xludf.DUMMYFUNCTION("""COMPUTED_VALUE"""),45792.6666666666)</f>
        <v>45792.666666666599</v>
      </c>
      <c r="B2609" s="1">
        <f ca="1">IFERROR(__xludf.DUMMYFUNCTION("""COMPUTED_VALUE"""),134.29)</f>
        <v>134.29</v>
      </c>
      <c r="C2609" s="1">
        <f ca="1">IFERROR(__xludf.DUMMYFUNCTION("""COMPUTED_VALUE"""),136.3)</f>
        <v>136.30000000000001</v>
      </c>
      <c r="D2609" s="1">
        <f ca="1">IFERROR(__xludf.DUMMYFUNCTION("""COMPUTED_VALUE"""),132.66)</f>
        <v>132.66</v>
      </c>
      <c r="E2609" s="1">
        <f ca="1">IFERROR(__xludf.DUMMYFUNCTION("""COMPUTED_VALUE"""),134.83)</f>
        <v>134.83000000000001</v>
      </c>
      <c r="F2609" s="1">
        <f ca="1">IFERROR(__xludf.DUMMYFUNCTION("""COMPUTED_VALUE"""),226632563)</f>
        <v>226632563</v>
      </c>
    </row>
    <row r="2610" spans="1:6" x14ac:dyDescent="0.35">
      <c r="A2610" s="2">
        <f ca="1">IFERROR(__xludf.DUMMYFUNCTION("""COMPUTED_VALUE"""),45793.6666666666)</f>
        <v>45793.666666666599</v>
      </c>
      <c r="B2610" s="1">
        <f ca="1">IFERROR(__xludf.DUMMYFUNCTION("""COMPUTED_VALUE"""),136.22)</f>
        <v>136.22</v>
      </c>
      <c r="C2610" s="1">
        <f ca="1">IFERROR(__xludf.DUMMYFUNCTION("""COMPUTED_VALUE"""),136.35)</f>
        <v>136.35</v>
      </c>
      <c r="D2610" s="1">
        <f ca="1">IFERROR(__xludf.DUMMYFUNCTION("""COMPUTED_VALUE"""),133.46)</f>
        <v>133.46</v>
      </c>
      <c r="E2610" s="1">
        <f ca="1">IFERROR(__xludf.DUMMYFUNCTION("""COMPUTED_VALUE"""),135.4)</f>
        <v>135.4</v>
      </c>
      <c r="F2610" s="1">
        <f ca="1">IFERROR(__xludf.DUMMYFUNCTION("""COMPUTED_VALUE"""),226542451)</f>
        <v>226542451</v>
      </c>
    </row>
    <row r="2611" spans="1:6" x14ac:dyDescent="0.35">
      <c r="A2611" s="2">
        <f ca="1">IFERROR(__xludf.DUMMYFUNCTION("""COMPUTED_VALUE"""),45796.6666666666)</f>
        <v>45796.666666666599</v>
      </c>
      <c r="B2611" s="1">
        <f ca="1">IFERROR(__xludf.DUMMYFUNCTION("""COMPUTED_VALUE"""),132.39)</f>
        <v>132.38999999999999</v>
      </c>
      <c r="C2611" s="1">
        <f ca="1">IFERROR(__xludf.DUMMYFUNCTION("""COMPUTED_VALUE"""),135.87)</f>
        <v>135.87</v>
      </c>
      <c r="D2611" s="1">
        <f ca="1">IFERROR(__xludf.DUMMYFUNCTION("""COMPUTED_VALUE"""),132.39)</f>
        <v>132.38999999999999</v>
      </c>
      <c r="E2611" s="1">
        <f ca="1">IFERROR(__xludf.DUMMYFUNCTION("""COMPUTED_VALUE"""),135.57)</f>
        <v>135.57</v>
      </c>
      <c r="F2611" s="1">
        <f ca="1">IFERROR(__xludf.DUMMYFUNCTION("""COMPUTED_VALUE"""),193154571)</f>
        <v>193154571</v>
      </c>
    </row>
    <row r="2612" spans="1:6" x14ac:dyDescent="0.35">
      <c r="A2612" s="2">
        <f ca="1">IFERROR(__xludf.DUMMYFUNCTION("""COMPUTED_VALUE"""),45797.6666666666)</f>
        <v>45797.666666666599</v>
      </c>
      <c r="B2612" s="1">
        <f ca="1">IFERROR(__xludf.DUMMYFUNCTION("""COMPUTED_VALUE"""),134.29)</f>
        <v>134.29</v>
      </c>
      <c r="C2612" s="1">
        <f ca="1">IFERROR(__xludf.DUMMYFUNCTION("""COMPUTED_VALUE"""),134.58)</f>
        <v>134.58000000000001</v>
      </c>
      <c r="D2612" s="1">
        <f ca="1">IFERROR(__xludf.DUMMYFUNCTION("""COMPUTED_VALUE"""),132.62)</f>
        <v>132.62</v>
      </c>
      <c r="E2612" s="1">
        <f ca="1">IFERROR(__xludf.DUMMYFUNCTION("""COMPUTED_VALUE"""),134.38)</f>
        <v>134.38</v>
      </c>
      <c r="F2612" s="1">
        <f ca="1">IFERROR(__xludf.DUMMYFUNCTION("""COMPUTED_VALUE"""),161514247)</f>
        <v>161514247</v>
      </c>
    </row>
    <row r="2613" spans="1:6" x14ac:dyDescent="0.35">
      <c r="A2613" s="2">
        <f ca="1">IFERROR(__xludf.DUMMYFUNCTION("""COMPUTED_VALUE"""),45798.6666666666)</f>
        <v>45798.666666666599</v>
      </c>
      <c r="B2613" s="1">
        <f ca="1">IFERROR(__xludf.DUMMYFUNCTION("""COMPUTED_VALUE"""),133.06)</f>
        <v>133.06</v>
      </c>
      <c r="C2613" s="1">
        <f ca="1">IFERROR(__xludf.DUMMYFUNCTION("""COMPUTED_VALUE"""),137.4)</f>
        <v>137.4</v>
      </c>
      <c r="D2613" s="1">
        <f ca="1">IFERROR(__xludf.DUMMYFUNCTION("""COMPUTED_VALUE"""),130.59)</f>
        <v>130.59</v>
      </c>
      <c r="E2613" s="1">
        <f ca="1">IFERROR(__xludf.DUMMYFUNCTION("""COMPUTED_VALUE"""),131.8)</f>
        <v>131.80000000000001</v>
      </c>
      <c r="F2613" s="1">
        <f ca="1">IFERROR(__xludf.DUMMYFUNCTION("""COMPUTED_VALUE"""),270608738)</f>
        <v>270608738</v>
      </c>
    </row>
    <row r="2614" spans="1:6" x14ac:dyDescent="0.35">
      <c r="A2614" s="2">
        <f ca="1">IFERROR(__xludf.DUMMYFUNCTION("""COMPUTED_VALUE"""),45799.6666666666)</f>
        <v>45799.666666666599</v>
      </c>
      <c r="B2614" s="1">
        <f ca="1">IFERROR(__xludf.DUMMYFUNCTION("""COMPUTED_VALUE"""),133.06)</f>
        <v>133.06</v>
      </c>
      <c r="C2614" s="1">
        <f ca="1">IFERROR(__xludf.DUMMYFUNCTION("""COMPUTED_VALUE"""),137.4)</f>
        <v>137.4</v>
      </c>
      <c r="D2614" s="1">
        <f ca="1">IFERROR(__xludf.DUMMYFUNCTION("""COMPUTED_VALUE"""),130.59)</f>
        <v>130.59</v>
      </c>
      <c r="E2614" s="1">
        <f ca="1">IFERROR(__xludf.DUMMYFUNCTION("""COMPUTED_VALUE"""),131.8)</f>
        <v>131.80000000000001</v>
      </c>
      <c r="F2614" s="1">
        <f ca="1">IFERROR(__xludf.DUMMYFUNCTION("""COMPUTED_VALUE"""),7196599)</f>
        <v>7196599</v>
      </c>
    </row>
    <row r="2615" spans="1:6" x14ac:dyDescent="0.35">
      <c r="A2615" s="2">
        <f ca="1">IFERROR(__xludf.DUMMYFUNCTION("""COMPUTED_VALUE"""),45800.6666666666)</f>
        <v>45800.666666666599</v>
      </c>
      <c r="B2615" s="1">
        <f ca="1">IFERROR(__xludf.DUMMYFUNCTION("""COMPUTED_VALUE"""),130)</f>
        <v>130</v>
      </c>
      <c r="C2615" s="1">
        <f ca="1">IFERROR(__xludf.DUMMYFUNCTION("""COMPUTED_VALUE"""),132.68)</f>
        <v>132.68</v>
      </c>
      <c r="D2615" s="1">
        <f ca="1">IFERROR(__xludf.DUMMYFUNCTION("""COMPUTED_VALUE"""),129.16)</f>
        <v>129.16</v>
      </c>
      <c r="E2615" s="1">
        <f ca="1">IFERROR(__xludf.DUMMYFUNCTION("""COMPUTED_VALUE"""),131.29)</f>
        <v>131.29</v>
      </c>
      <c r="F2615" s="1">
        <f ca="1">IFERROR(__xludf.DUMMYFUNCTION("""COMPUTED_VALUE"""),198821324)</f>
        <v>198821324</v>
      </c>
    </row>
    <row r="2616" spans="1:6" x14ac:dyDescent="0.35">
      <c r="A2616" s="2">
        <f ca="1">IFERROR(__xludf.DUMMYFUNCTION("""COMPUTED_VALUE"""),45804.6666666666)</f>
        <v>45804.666666666599</v>
      </c>
      <c r="B2616" s="1">
        <f ca="1">IFERROR(__xludf.DUMMYFUNCTION("""COMPUTED_VALUE"""),134.15)</f>
        <v>134.15</v>
      </c>
      <c r="C2616" s="1">
        <f ca="1">IFERROR(__xludf.DUMMYFUNCTION("""COMPUTED_VALUE"""),135.66)</f>
        <v>135.66</v>
      </c>
      <c r="D2616" s="1">
        <f ca="1">IFERROR(__xludf.DUMMYFUNCTION("""COMPUTED_VALUE"""),133.31)</f>
        <v>133.31</v>
      </c>
      <c r="E2616" s="1">
        <f ca="1">IFERROR(__xludf.DUMMYFUNCTION("""COMPUTED_VALUE"""),135.5)</f>
        <v>135.5</v>
      </c>
      <c r="F2616" s="1">
        <f ca="1">IFERROR(__xludf.DUMMYFUNCTION("""COMPUTED_VALUE"""),192953613)</f>
        <v>192953613</v>
      </c>
    </row>
    <row r="2617" spans="1:6" x14ac:dyDescent="0.35">
      <c r="A2617" s="2">
        <f ca="1">IFERROR(__xludf.DUMMYFUNCTION("""COMPUTED_VALUE"""),45805.6666666666)</f>
        <v>45805.666666666599</v>
      </c>
      <c r="B2617" s="1">
        <f ca="1">IFERROR(__xludf.DUMMYFUNCTION("""COMPUTED_VALUE"""),136.03)</f>
        <v>136.03</v>
      </c>
      <c r="C2617" s="1">
        <f ca="1">IFERROR(__xludf.DUMMYFUNCTION("""COMPUTED_VALUE"""),137.25)</f>
        <v>137.25</v>
      </c>
      <c r="D2617" s="1">
        <f ca="1">IFERROR(__xludf.DUMMYFUNCTION("""COMPUTED_VALUE"""),134.79)</f>
        <v>134.79</v>
      </c>
      <c r="E2617" s="1">
        <f ca="1">IFERROR(__xludf.DUMMYFUNCTION("""COMPUTED_VALUE"""),134.81)</f>
        <v>134.81</v>
      </c>
      <c r="F2617" s="1">
        <f ca="1">IFERROR(__xludf.DUMMYFUNCTION("""COMPUTED_VALUE"""),304021146)</f>
        <v>304021146</v>
      </c>
    </row>
    <row r="2618" spans="1:6" x14ac:dyDescent="0.35">
      <c r="A2618" s="2">
        <f ca="1">IFERROR(__xludf.DUMMYFUNCTION("""COMPUTED_VALUE"""),45806.6666666666)</f>
        <v>45806.666666666599</v>
      </c>
      <c r="B2618" s="1">
        <f ca="1">IFERROR(__xludf.DUMMYFUNCTION("""COMPUTED_VALUE"""),142.25)</f>
        <v>142.25</v>
      </c>
      <c r="C2618" s="1">
        <f ca="1">IFERROR(__xludf.DUMMYFUNCTION("""COMPUTED_VALUE"""),143.49)</f>
        <v>143.49</v>
      </c>
      <c r="D2618" s="1">
        <f ca="1">IFERROR(__xludf.DUMMYFUNCTION("""COMPUTED_VALUE"""),137.91)</f>
        <v>137.91</v>
      </c>
      <c r="E2618" s="1">
        <f ca="1">IFERROR(__xludf.DUMMYFUNCTION("""COMPUTED_VALUE"""),139.19)</f>
        <v>139.19</v>
      </c>
      <c r="F2618" s="1">
        <f ca="1">IFERROR(__xludf.DUMMYFUNCTION("""COMPUTED_VALUE"""),370615167)</f>
        <v>370615167</v>
      </c>
    </row>
    <row r="2619" spans="1:6" x14ac:dyDescent="0.35">
      <c r="A2619" s="2">
        <f ca="1">IFERROR(__xludf.DUMMYFUNCTION("""COMPUTED_VALUE"""),45807.6666666666)</f>
        <v>45807.666666666599</v>
      </c>
      <c r="B2619" s="1">
        <f ca="1">IFERROR(__xludf.DUMMYFUNCTION("""COMPUTED_VALUE"""),138.72)</f>
        <v>138.72</v>
      </c>
      <c r="C2619" s="1">
        <f ca="1">IFERROR(__xludf.DUMMYFUNCTION("""COMPUTED_VALUE"""),139.62)</f>
        <v>139.62</v>
      </c>
      <c r="D2619" s="1">
        <f ca="1">IFERROR(__xludf.DUMMYFUNCTION("""COMPUTED_VALUE"""),132.92)</f>
        <v>132.91999999999999</v>
      </c>
      <c r="E2619" s="1">
        <f ca="1">IFERROR(__xludf.DUMMYFUNCTION("""COMPUTED_VALUE"""),135.13)</f>
        <v>135.13</v>
      </c>
      <c r="F2619" s="1">
        <f ca="1">IFERROR(__xludf.DUMMYFUNCTION("""COMPUTED_VALUE"""),333170851)</f>
        <v>333170851</v>
      </c>
    </row>
    <row r="2620" spans="1:6" x14ac:dyDescent="0.35">
      <c r="A2620" s="2">
        <f ca="1">IFERROR(__xludf.DUMMYFUNCTION("""COMPUTED_VALUE"""),45810.6666666666)</f>
        <v>45810.666666666599</v>
      </c>
      <c r="B2620" s="1">
        <f ca="1">IFERROR(__xludf.DUMMYFUNCTION("""COMPUTED_VALUE"""),135.49)</f>
        <v>135.49</v>
      </c>
      <c r="C2620" s="1">
        <f ca="1">IFERROR(__xludf.DUMMYFUNCTION("""COMPUTED_VALUE"""),138.12)</f>
        <v>138.12</v>
      </c>
      <c r="D2620" s="1">
        <f ca="1">IFERROR(__xludf.DUMMYFUNCTION("""COMPUTED_VALUE"""),135.4)</f>
        <v>135.4</v>
      </c>
      <c r="E2620" s="1">
        <f ca="1">IFERROR(__xludf.DUMMYFUNCTION("""COMPUTED_VALUE"""),137.38)</f>
        <v>137.38</v>
      </c>
      <c r="F2620" s="1">
        <f ca="1">IFERROR(__xludf.DUMMYFUNCTION("""COMPUTED_VALUE"""),197663116)</f>
        <v>197663116</v>
      </c>
    </row>
    <row r="2621" spans="1:6" x14ac:dyDescent="0.35">
      <c r="A2621" s="2">
        <f ca="1">IFERROR(__xludf.DUMMYFUNCTION("""COMPUTED_VALUE"""),45811.6666666666)</f>
        <v>45811.666666666599</v>
      </c>
      <c r="B2621" s="1">
        <f ca="1">IFERROR(__xludf.DUMMYFUNCTION("""COMPUTED_VALUE"""),138.78)</f>
        <v>138.78</v>
      </c>
      <c r="C2621" s="1">
        <f ca="1">IFERROR(__xludf.DUMMYFUNCTION("""COMPUTED_VALUE"""),142)</f>
        <v>142</v>
      </c>
      <c r="D2621" s="1">
        <f ca="1">IFERROR(__xludf.DUMMYFUNCTION("""COMPUTED_VALUE"""),137.95)</f>
        <v>137.94999999999999</v>
      </c>
      <c r="E2621" s="1">
        <f ca="1">IFERROR(__xludf.DUMMYFUNCTION("""COMPUTED_VALUE"""),141.22)</f>
        <v>141.22</v>
      </c>
      <c r="F2621" s="1">
        <f ca="1">IFERROR(__xludf.DUMMYFUNCTION("""COMPUTED_VALUE"""),225578783)</f>
        <v>225578783</v>
      </c>
    </row>
    <row r="2622" spans="1:6" x14ac:dyDescent="0.35">
      <c r="A2622" s="2">
        <f ca="1">IFERROR(__xludf.DUMMYFUNCTION("""COMPUTED_VALUE"""),45812.6666666666)</f>
        <v>45812.666666666599</v>
      </c>
      <c r="B2622" s="1">
        <f ca="1">IFERROR(__xludf.DUMMYFUNCTION("""COMPUTED_VALUE"""),142.19)</f>
        <v>142.19</v>
      </c>
      <c r="C2622" s="1">
        <f ca="1">IFERROR(__xludf.DUMMYFUNCTION("""COMPUTED_VALUE"""),142.39)</f>
        <v>142.38999999999999</v>
      </c>
      <c r="D2622" s="1">
        <f ca="1">IFERROR(__xludf.DUMMYFUNCTION("""COMPUTED_VALUE"""),139.54)</f>
        <v>139.54</v>
      </c>
      <c r="E2622" s="1">
        <f ca="1">IFERROR(__xludf.DUMMYFUNCTION("""COMPUTED_VALUE"""),141.92)</f>
        <v>141.91999999999999</v>
      </c>
      <c r="F2622" s="1">
        <f ca="1">IFERROR(__xludf.DUMMYFUNCTION("""COMPUTED_VALUE"""),167120819)</f>
        <v>167120819</v>
      </c>
    </row>
    <row r="2623" spans="1:6" x14ac:dyDescent="0.35">
      <c r="A2623" s="2">
        <f ca="1">IFERROR(__xludf.DUMMYFUNCTION("""COMPUTED_VALUE"""),45813.6666666666)</f>
        <v>45813.666666666599</v>
      </c>
      <c r="B2623" s="1">
        <f ca="1">IFERROR(__xludf.DUMMYFUNCTION("""COMPUTED_VALUE"""),142.17)</f>
        <v>142.16999999999999</v>
      </c>
      <c r="C2623" s="1">
        <f ca="1">IFERROR(__xludf.DUMMYFUNCTION("""COMPUTED_VALUE"""),144)</f>
        <v>144</v>
      </c>
      <c r="D2623" s="1">
        <f ca="1">IFERROR(__xludf.DUMMYFUNCTION("""COMPUTED_VALUE"""),138.83)</f>
        <v>138.83000000000001</v>
      </c>
      <c r="E2623" s="1">
        <f ca="1">IFERROR(__xludf.DUMMYFUNCTION("""COMPUTED_VALUE"""),139.99)</f>
        <v>139.99</v>
      </c>
      <c r="F2623" s="1">
        <f ca="1">IFERROR(__xludf.DUMMYFUNCTION("""COMPUTED_VALUE"""),232410759)</f>
        <v>232410759</v>
      </c>
    </row>
    <row r="2624" spans="1:6" x14ac:dyDescent="0.35">
      <c r="A2624" s="2">
        <f ca="1">IFERROR(__xludf.DUMMYFUNCTION("""COMPUTED_VALUE"""),45814.6666666666)</f>
        <v>45814.666666666599</v>
      </c>
      <c r="B2624" s="1">
        <f ca="1">IFERROR(__xludf.DUMMYFUNCTION("""COMPUTED_VALUE"""),142.51)</f>
        <v>142.51</v>
      </c>
      <c r="C2624" s="1">
        <f ca="1">IFERROR(__xludf.DUMMYFUNCTION("""COMPUTED_VALUE"""),143.27)</f>
        <v>143.27000000000001</v>
      </c>
      <c r="D2624" s="1">
        <f ca="1">IFERROR(__xludf.DUMMYFUNCTION("""COMPUTED_VALUE"""),141.51)</f>
        <v>141.51</v>
      </c>
      <c r="E2624" s="1">
        <f ca="1">IFERROR(__xludf.DUMMYFUNCTION("""COMPUTED_VALUE"""),141.72)</f>
        <v>141.72</v>
      </c>
      <c r="F2624" s="1">
        <f ca="1">IFERROR(__xludf.DUMMYFUNCTION("""COMPUTED_VALUE"""),153986153)</f>
        <v>153986153</v>
      </c>
    </row>
    <row r="2625" spans="1:6" x14ac:dyDescent="0.35">
      <c r="A2625" s="2">
        <f ca="1">IFERROR(__xludf.DUMMYFUNCTION("""COMPUTED_VALUE"""),45817.6666666666)</f>
        <v>45817.666666666599</v>
      </c>
      <c r="B2625" s="1">
        <f ca="1">IFERROR(__xludf.DUMMYFUNCTION("""COMPUTED_VALUE"""),143.19)</f>
        <v>143.19</v>
      </c>
      <c r="C2625" s="1">
        <f ca="1">IFERROR(__xludf.DUMMYFUNCTION("""COMPUTED_VALUE"""),145)</f>
        <v>145</v>
      </c>
      <c r="D2625" s="1">
        <f ca="1">IFERROR(__xludf.DUMMYFUNCTION("""COMPUTED_VALUE"""),141.94)</f>
        <v>141.94</v>
      </c>
      <c r="E2625" s="1">
        <f ca="1">IFERROR(__xludf.DUMMYFUNCTION("""COMPUTED_VALUE"""),142.63)</f>
        <v>142.63</v>
      </c>
      <c r="F2625" s="1">
        <f ca="1">IFERROR(__xludf.DUMMYFUNCTION("""COMPUTED_VALUE"""),185114494)</f>
        <v>185114494</v>
      </c>
    </row>
    <row r="2626" spans="1:6" x14ac:dyDescent="0.35">
      <c r="A2626" s="2">
        <f ca="1">IFERROR(__xludf.DUMMYFUNCTION("""COMPUTED_VALUE"""),45818.6666666666)</f>
        <v>45818.666666666599</v>
      </c>
      <c r="B2626" s="1">
        <f ca="1">IFERROR(__xludf.DUMMYFUNCTION("""COMPUTED_VALUE"""),142.69)</f>
        <v>142.69</v>
      </c>
      <c r="C2626" s="1">
        <f ca="1">IFERROR(__xludf.DUMMYFUNCTION("""COMPUTED_VALUE"""),144.29)</f>
        <v>144.29</v>
      </c>
      <c r="D2626" s="1">
        <f ca="1">IFERROR(__xludf.DUMMYFUNCTION("""COMPUTED_VALUE"""),141.53)</f>
        <v>141.53</v>
      </c>
      <c r="E2626" s="1">
        <f ca="1">IFERROR(__xludf.DUMMYFUNCTION("""COMPUTED_VALUE"""),143.96)</f>
        <v>143.96</v>
      </c>
      <c r="F2626" s="1">
        <f ca="1">IFERROR(__xludf.DUMMYFUNCTION("""COMPUTED_VALUE"""),155881897)</f>
        <v>155881897</v>
      </c>
    </row>
    <row r="2627" spans="1:6" x14ac:dyDescent="0.35">
      <c r="A2627" s="2">
        <f ca="1">IFERROR(__xludf.DUMMYFUNCTION("""COMPUTED_VALUE"""),45819.6666666666)</f>
        <v>45819.666666666599</v>
      </c>
      <c r="B2627" s="1">
        <f ca="1">IFERROR(__xludf.DUMMYFUNCTION("""COMPUTED_VALUE"""),144.61)</f>
        <v>144.61000000000001</v>
      </c>
      <c r="C2627" s="1">
        <f ca="1">IFERROR(__xludf.DUMMYFUNCTION("""COMPUTED_VALUE"""),144.99)</f>
        <v>144.99</v>
      </c>
      <c r="D2627" s="1">
        <f ca="1">IFERROR(__xludf.DUMMYFUNCTION("""COMPUTED_VALUE"""),141.87)</f>
        <v>141.87</v>
      </c>
      <c r="E2627" s="1">
        <f ca="1">IFERROR(__xludf.DUMMYFUNCTION("""COMPUTED_VALUE"""),142.83)</f>
        <v>142.83000000000001</v>
      </c>
      <c r="F2627" s="1">
        <f ca="1">IFERROR(__xludf.DUMMYFUNCTION("""COMPUTED_VALUE"""),167694044)</f>
        <v>167694044</v>
      </c>
    </row>
    <row r="2628" spans="1:6" x14ac:dyDescent="0.35">
      <c r="A2628" s="2">
        <f ca="1">IFERROR(__xludf.DUMMYFUNCTION("""COMPUTED_VALUE"""),45820.6666666666)</f>
        <v>45820.666666666599</v>
      </c>
      <c r="B2628" s="1">
        <f ca="1">IFERROR(__xludf.DUMMYFUNCTION("""COMPUTED_VALUE"""),141.97)</f>
        <v>141.97</v>
      </c>
      <c r="C2628" s="1">
        <f ca="1">IFERROR(__xludf.DUMMYFUNCTION("""COMPUTED_VALUE"""),145)</f>
        <v>145</v>
      </c>
      <c r="D2628" s="1">
        <f ca="1">IFERROR(__xludf.DUMMYFUNCTION("""COMPUTED_VALUE"""),141.85)</f>
        <v>141.85</v>
      </c>
      <c r="E2628" s="1">
        <f ca="1">IFERROR(__xludf.DUMMYFUNCTION("""COMPUTED_VALUE"""),145)</f>
        <v>145</v>
      </c>
      <c r="F2628" s="1">
        <f ca="1">IFERROR(__xludf.DUMMYFUNCTION("""COMPUTED_VALUE"""),162364991)</f>
        <v>162364991</v>
      </c>
    </row>
    <row r="2629" spans="1:6" x14ac:dyDescent="0.35">
      <c r="A2629" s="2">
        <f ca="1">IFERROR(__xludf.DUMMYFUNCTION("""COMPUTED_VALUE"""),45821.6666666666)</f>
        <v>45821.666666666599</v>
      </c>
      <c r="B2629" s="1">
        <f ca="1">IFERROR(__xludf.DUMMYFUNCTION("""COMPUTED_VALUE"""),142.48)</f>
        <v>142.47999999999999</v>
      </c>
      <c r="C2629" s="1">
        <f ca="1">IFERROR(__xludf.DUMMYFUNCTION("""COMPUTED_VALUE"""),143.58)</f>
        <v>143.58000000000001</v>
      </c>
      <c r="D2629" s="1">
        <f ca="1">IFERROR(__xludf.DUMMYFUNCTION("""COMPUTED_VALUE"""),140.85)</f>
        <v>140.85</v>
      </c>
      <c r="E2629" s="1">
        <f ca="1">IFERROR(__xludf.DUMMYFUNCTION("""COMPUTED_VALUE"""),141.97)</f>
        <v>141.97</v>
      </c>
      <c r="F2629" s="1">
        <f ca="1">IFERROR(__xludf.DUMMYFUNCTION("""COMPUTED_VALUE"""),180820565)</f>
        <v>180820565</v>
      </c>
    </row>
    <row r="2630" spans="1:6" x14ac:dyDescent="0.35">
      <c r="A2630" s="2">
        <f ca="1">IFERROR(__xludf.DUMMYFUNCTION("""COMPUTED_VALUE"""),45824.6666666666)</f>
        <v>45824.666666666599</v>
      </c>
      <c r="B2630" s="1">
        <f ca="1">IFERROR(__xludf.DUMMYFUNCTION("""COMPUTED_VALUE"""),143.35)</f>
        <v>143.35</v>
      </c>
      <c r="C2630" s="1">
        <f ca="1">IFERROR(__xludf.DUMMYFUNCTION("""COMPUTED_VALUE"""),146.18)</f>
        <v>146.18</v>
      </c>
      <c r="D2630" s="1">
        <f ca="1">IFERROR(__xludf.DUMMYFUNCTION("""COMPUTED_VALUE"""),143.2)</f>
        <v>143.19999999999999</v>
      </c>
      <c r="E2630" s="1">
        <f ca="1">IFERROR(__xludf.DUMMYFUNCTION("""COMPUTED_VALUE"""),144.69)</f>
        <v>144.69</v>
      </c>
      <c r="F2630" s="1">
        <f ca="1">IFERROR(__xludf.DUMMYFUNCTION("""COMPUTED_VALUE"""),183133666)</f>
        <v>183133666</v>
      </c>
    </row>
    <row r="2631" spans="1:6" x14ac:dyDescent="0.35">
      <c r="A2631" s="2">
        <f ca="1">IFERROR(__xludf.DUMMYFUNCTION("""COMPUTED_VALUE"""),45825.6666666666)</f>
        <v>45825.666666666599</v>
      </c>
      <c r="B2631" s="1">
        <f ca="1">IFERROR(__xludf.DUMMYFUNCTION("""COMPUTED_VALUE"""),144.49)</f>
        <v>144.49</v>
      </c>
      <c r="C2631" s="1">
        <f ca="1">IFERROR(__xludf.DUMMYFUNCTION("""COMPUTED_VALUE"""),145.22)</f>
        <v>145.22</v>
      </c>
      <c r="D2631" s="1">
        <f ca="1">IFERROR(__xludf.DUMMYFUNCTION("""COMPUTED_VALUE"""),143.78)</f>
        <v>143.78</v>
      </c>
      <c r="E2631" s="1">
        <f ca="1">IFERROR(__xludf.DUMMYFUNCTION("""COMPUTED_VALUE"""),144.12)</f>
        <v>144.12</v>
      </c>
      <c r="F2631" s="1">
        <f ca="1">IFERROR(__xludf.DUMMYFUNCTION("""COMPUTED_VALUE"""),139108000)</f>
        <v>139108000</v>
      </c>
    </row>
    <row r="2632" spans="1:6" x14ac:dyDescent="0.35">
      <c r="A2632" s="2">
        <f ca="1">IFERROR(__xludf.DUMMYFUNCTION("""COMPUTED_VALUE"""),45826.6666666666)</f>
        <v>45826.666666666599</v>
      </c>
      <c r="B2632" s="1">
        <f ca="1">IFERROR(__xludf.DUMMYFUNCTION("""COMPUTED_VALUE"""),144.01)</f>
        <v>144.01</v>
      </c>
      <c r="C2632" s="1">
        <f ca="1">IFERROR(__xludf.DUMMYFUNCTION("""COMPUTED_VALUE"""),145.65)</f>
        <v>145.65</v>
      </c>
      <c r="D2632" s="1">
        <f ca="1">IFERROR(__xludf.DUMMYFUNCTION("""COMPUTED_VALUE"""),143.12)</f>
        <v>143.12</v>
      </c>
      <c r="E2632" s="1">
        <f ca="1">IFERROR(__xludf.DUMMYFUNCTION("""COMPUTED_VALUE"""),145.48)</f>
        <v>145.47999999999999</v>
      </c>
      <c r="F2632" s="1">
        <f ca="1">IFERROR(__xludf.DUMMYFUNCTION("""COMPUTED_VALUE"""),161494121)</f>
        <v>161494121</v>
      </c>
    </row>
    <row r="2633" spans="1:6" x14ac:dyDescent="0.35">
      <c r="A2633" s="2">
        <f ca="1">IFERROR(__xludf.DUMMYFUNCTION("""COMPUTED_VALUE"""),45828.6666666666)</f>
        <v>45828.666666666599</v>
      </c>
      <c r="B2633" s="1">
        <f ca="1">IFERROR(__xludf.DUMMYFUNCTION("""COMPUTED_VALUE"""),145.45)</f>
        <v>145.44999999999999</v>
      </c>
      <c r="C2633" s="1">
        <f ca="1">IFERROR(__xludf.DUMMYFUNCTION("""COMPUTED_VALUE"""),146.2)</f>
        <v>146.19999999999999</v>
      </c>
      <c r="D2633" s="1">
        <f ca="1">IFERROR(__xludf.DUMMYFUNCTION("""COMPUTED_VALUE"""),142.65)</f>
        <v>142.65</v>
      </c>
      <c r="E2633" s="1">
        <f ca="1">IFERROR(__xludf.DUMMYFUNCTION("""COMPUTED_VALUE"""),143.85)</f>
        <v>143.85</v>
      </c>
      <c r="F2633" s="1">
        <f ca="1">IFERROR(__xludf.DUMMYFUNCTION("""COMPUTED_VALUE"""),242956157)</f>
        <v>242956157</v>
      </c>
    </row>
    <row r="2634" spans="1:6" x14ac:dyDescent="0.35">
      <c r="A2634" s="2">
        <f ca="1">IFERROR(__xludf.DUMMYFUNCTION("""COMPUTED_VALUE"""),45831.6666666666)</f>
        <v>45831.666666666599</v>
      </c>
      <c r="B2634" s="1">
        <f ca="1">IFERROR(__xludf.DUMMYFUNCTION("""COMPUTED_VALUE"""),142.5)</f>
        <v>142.5</v>
      </c>
      <c r="C2634" s="1">
        <f ca="1">IFERROR(__xludf.DUMMYFUNCTION("""COMPUTED_VALUE"""),144.78)</f>
        <v>144.78</v>
      </c>
      <c r="D2634" s="1">
        <f ca="1">IFERROR(__xludf.DUMMYFUNCTION("""COMPUTED_VALUE"""),142.03)</f>
        <v>142.03</v>
      </c>
      <c r="E2634" s="1">
        <f ca="1">IFERROR(__xludf.DUMMYFUNCTION("""COMPUTED_VALUE"""),144.17)</f>
        <v>144.16999999999999</v>
      </c>
      <c r="F2634" s="1">
        <f ca="1">IFERROR(__xludf.DUMMYFUNCTION("""COMPUTED_VALUE"""),154308941)</f>
        <v>154308941</v>
      </c>
    </row>
    <row r="2635" spans="1:6" x14ac:dyDescent="0.35">
      <c r="A2635" s="2">
        <f ca="1">IFERROR(__xludf.DUMMYFUNCTION("""COMPUTED_VALUE"""),45832.6666666666)</f>
        <v>45832.666666666599</v>
      </c>
      <c r="B2635" s="1">
        <f ca="1">IFERROR(__xludf.DUMMYFUNCTION("""COMPUTED_VALUE"""),145.56)</f>
        <v>145.56</v>
      </c>
      <c r="C2635" s="1">
        <f ca="1">IFERROR(__xludf.DUMMYFUNCTION("""COMPUTED_VALUE"""),147.96)</f>
        <v>147.96</v>
      </c>
      <c r="D2635" s="1">
        <f ca="1">IFERROR(__xludf.DUMMYFUNCTION("""COMPUTED_VALUE"""),145.5)</f>
        <v>145.5</v>
      </c>
      <c r="E2635" s="1">
        <f ca="1">IFERROR(__xludf.DUMMYFUNCTION("""COMPUTED_VALUE"""),147.9)</f>
        <v>147.9</v>
      </c>
      <c r="F2635" s="1">
        <f ca="1">IFERROR(__xludf.DUMMYFUNCTION("""COMPUTED_VALUE"""),187566121)</f>
        <v>187566121</v>
      </c>
    </row>
    <row r="2636" spans="1:6" x14ac:dyDescent="0.35">
      <c r="A2636" s="2">
        <f ca="1">IFERROR(__xludf.DUMMYFUNCTION("""COMPUTED_VALUE"""),45833.6666666666)</f>
        <v>45833.666666666599</v>
      </c>
      <c r="B2636" s="1">
        <f ca="1">IFERROR(__xludf.DUMMYFUNCTION("""COMPUTED_VALUE"""),149.27)</f>
        <v>149.27000000000001</v>
      </c>
      <c r="C2636" s="1">
        <f ca="1">IFERROR(__xludf.DUMMYFUNCTION("""COMPUTED_VALUE"""),154.45)</f>
        <v>154.44999999999999</v>
      </c>
      <c r="D2636" s="1">
        <f ca="1">IFERROR(__xludf.DUMMYFUNCTION("""COMPUTED_VALUE"""),149.26)</f>
        <v>149.26</v>
      </c>
      <c r="E2636" s="1">
        <f ca="1">IFERROR(__xludf.DUMMYFUNCTION("""COMPUTED_VALUE"""),154.31)</f>
        <v>154.31</v>
      </c>
      <c r="F2636" s="1">
        <f ca="1">IFERROR(__xludf.DUMMYFUNCTION("""COMPUTED_VALUE"""),269146471)</f>
        <v>269146471</v>
      </c>
    </row>
    <row r="2637" spans="1:6" x14ac:dyDescent="0.35">
      <c r="A2637" s="2">
        <f ca="1">IFERROR(__xludf.DUMMYFUNCTION("""COMPUTED_VALUE"""),45834.6666666666)</f>
        <v>45834.666666666599</v>
      </c>
      <c r="B2637" s="1">
        <f ca="1">IFERROR(__xludf.DUMMYFUNCTION("""COMPUTED_VALUE"""),155.98)</f>
        <v>155.97999999999999</v>
      </c>
      <c r="C2637" s="1">
        <f ca="1">IFERROR(__xludf.DUMMYFUNCTION("""COMPUTED_VALUE"""),156.72)</f>
        <v>156.72</v>
      </c>
      <c r="D2637" s="1">
        <f ca="1">IFERROR(__xludf.DUMMYFUNCTION("""COMPUTED_VALUE"""),154)</f>
        <v>154</v>
      </c>
      <c r="E2637" s="1">
        <f ca="1">IFERROR(__xludf.DUMMYFUNCTION("""COMPUTED_VALUE"""),155.02)</f>
        <v>155.02000000000001</v>
      </c>
      <c r="F2637" s="1">
        <f ca="1">IFERROR(__xludf.DUMMYFUNCTION("""COMPUTED_VALUE"""),198145746)</f>
        <v>198145746</v>
      </c>
    </row>
    <row r="2638" spans="1:6" x14ac:dyDescent="0.35">
      <c r="A2638" s="2">
        <f ca="1">IFERROR(__xludf.DUMMYFUNCTION("""COMPUTED_VALUE"""),45835.6666666666)</f>
        <v>45835.666666666599</v>
      </c>
      <c r="B2638" s="1">
        <f ca="1">IFERROR(__xludf.DUMMYFUNCTION("""COMPUTED_VALUE"""),156.04)</f>
        <v>156.04</v>
      </c>
      <c r="C2638" s="1">
        <f ca="1">IFERROR(__xludf.DUMMYFUNCTION("""COMPUTED_VALUE"""),158.71)</f>
        <v>158.71</v>
      </c>
      <c r="D2638" s="1">
        <f ca="1">IFERROR(__xludf.DUMMYFUNCTION("""COMPUTED_VALUE"""),155.26)</f>
        <v>155.26</v>
      </c>
      <c r="E2638" s="1">
        <f ca="1">IFERROR(__xludf.DUMMYFUNCTION("""COMPUTED_VALUE"""),157.75)</f>
        <v>157.75</v>
      </c>
      <c r="F2638" s="1">
        <f ca="1">IFERROR(__xludf.DUMMYFUNCTION("""COMPUTED_VALUE"""),263234539)</f>
        <v>263234539</v>
      </c>
    </row>
    <row r="2639" spans="1:6" x14ac:dyDescent="0.35">
      <c r="A2639" s="2">
        <f ca="1">IFERROR(__xludf.DUMMYFUNCTION("""COMPUTED_VALUE"""),45838.6666666666)</f>
        <v>45838.666666666599</v>
      </c>
      <c r="B2639" s="1">
        <f ca="1">IFERROR(__xludf.DUMMYFUNCTION("""COMPUTED_VALUE"""),158.4)</f>
        <v>158.4</v>
      </c>
      <c r="C2639" s="1">
        <f ca="1">IFERROR(__xludf.DUMMYFUNCTION("""COMPUTED_VALUE"""),158.66)</f>
        <v>158.66</v>
      </c>
      <c r="D2639" s="1">
        <f ca="1">IFERROR(__xludf.DUMMYFUNCTION("""COMPUTED_VALUE"""),155.96)</f>
        <v>155.96</v>
      </c>
      <c r="E2639" s="1">
        <f ca="1">IFERROR(__xludf.DUMMYFUNCTION("""COMPUTED_VALUE"""),157.99)</f>
        <v>157.99</v>
      </c>
      <c r="F2639" s="1">
        <f ca="1">IFERROR(__xludf.DUMMYFUNCTION("""COMPUTED_VALUE"""),194580316)</f>
        <v>194580316</v>
      </c>
    </row>
    <row r="2640" spans="1:6" x14ac:dyDescent="0.35">
      <c r="A2640" s="2">
        <f ca="1">IFERROR(__xludf.DUMMYFUNCTION("""COMPUTED_VALUE"""),45839.6666666666)</f>
        <v>45839.666666666599</v>
      </c>
      <c r="B2640" s="1">
        <f ca="1">IFERROR(__xludf.DUMMYFUNCTION("""COMPUTED_VALUE"""),156.29)</f>
        <v>156.29</v>
      </c>
      <c r="C2640" s="1">
        <f ca="1">IFERROR(__xludf.DUMMYFUNCTION("""COMPUTED_VALUE"""),157.2)</f>
        <v>157.19999999999999</v>
      </c>
      <c r="D2640" s="1">
        <f ca="1">IFERROR(__xludf.DUMMYFUNCTION("""COMPUTED_VALUE"""),151.49)</f>
        <v>151.49</v>
      </c>
      <c r="E2640" s="1">
        <f ca="1">IFERROR(__xludf.DUMMYFUNCTION("""COMPUTED_VALUE"""),153.3)</f>
        <v>153.30000000000001</v>
      </c>
      <c r="F2640" s="1">
        <f ca="1">IFERROR(__xludf.DUMMYFUNCTION("""COMPUTED_VALUE"""),213143621)</f>
        <v>213143621</v>
      </c>
    </row>
    <row r="2641" spans="1:6" x14ac:dyDescent="0.35">
      <c r="A2641" s="2">
        <f ca="1">IFERROR(__xludf.DUMMYFUNCTION("""COMPUTED_VALUE"""),45840.6666666666)</f>
        <v>45840.666666666599</v>
      </c>
      <c r="B2641" s="1">
        <f ca="1">IFERROR(__xludf.DUMMYFUNCTION("""COMPUTED_VALUE"""),152.98)</f>
        <v>152.97999999999999</v>
      </c>
      <c r="C2641" s="1">
        <f ca="1">IFERROR(__xludf.DUMMYFUNCTION("""COMPUTED_VALUE"""),157.6)</f>
        <v>157.6</v>
      </c>
      <c r="D2641" s="1">
        <f ca="1">IFERROR(__xludf.DUMMYFUNCTION("""COMPUTED_VALUE"""),152.97)</f>
        <v>152.97</v>
      </c>
      <c r="E2641" s="1">
        <f ca="1">IFERROR(__xludf.DUMMYFUNCTION("""COMPUTED_VALUE"""),157.25)</f>
        <v>157.25</v>
      </c>
      <c r="F2641" s="1">
        <f ca="1">IFERROR(__xludf.DUMMYFUNCTION("""COMPUTED_VALUE"""),171224111)</f>
        <v>171224111</v>
      </c>
    </row>
    <row r="2642" spans="1:6" x14ac:dyDescent="0.35">
      <c r="A2642" s="2">
        <f ca="1">IFERROR(__xludf.DUMMYFUNCTION("""COMPUTED_VALUE"""),45841.5451388888)</f>
        <v>45841.545138888803</v>
      </c>
      <c r="B2642" s="1">
        <f ca="1">IFERROR(__xludf.DUMMYFUNCTION("""COMPUTED_VALUE"""),158.37)</f>
        <v>158.37</v>
      </c>
      <c r="C2642" s="1">
        <f ca="1">IFERROR(__xludf.DUMMYFUNCTION("""COMPUTED_VALUE"""),160.98)</f>
        <v>160.97999999999999</v>
      </c>
      <c r="D2642" s="1">
        <f ca="1">IFERROR(__xludf.DUMMYFUNCTION("""COMPUTED_VALUE"""),157.77)</f>
        <v>157.77000000000001</v>
      </c>
      <c r="E2642" s="1">
        <f ca="1">IFERROR(__xludf.DUMMYFUNCTION("""COMPUTED_VALUE"""),159.34)</f>
        <v>159.34</v>
      </c>
      <c r="F2642" s="1">
        <f ca="1">IFERROR(__xludf.DUMMYFUNCTION("""COMPUTED_VALUE"""),143716055)</f>
        <v>143716055</v>
      </c>
    </row>
    <row r="2643" spans="1:6" x14ac:dyDescent="0.35">
      <c r="A2643" s="2">
        <f ca="1">IFERROR(__xludf.DUMMYFUNCTION("""COMPUTED_VALUE"""),45845.6666666666)</f>
        <v>45845.666666666599</v>
      </c>
      <c r="B2643" s="1">
        <f ca="1">IFERROR(__xludf.DUMMYFUNCTION("""COMPUTED_VALUE"""),158.2)</f>
        <v>158.19999999999999</v>
      </c>
      <c r="C2643" s="1">
        <f ca="1">IFERROR(__xludf.DUMMYFUNCTION("""COMPUTED_VALUE"""),159.31)</f>
        <v>159.31</v>
      </c>
      <c r="D2643" s="1">
        <f ca="1">IFERROR(__xludf.DUMMYFUNCTION("""COMPUTED_VALUE"""),157.34)</f>
        <v>157.34</v>
      </c>
      <c r="E2643" s="1">
        <f ca="1">IFERROR(__xludf.DUMMYFUNCTION("""COMPUTED_VALUE"""),158.24)</f>
        <v>158.24</v>
      </c>
      <c r="F2643" s="1">
        <f ca="1">IFERROR(__xludf.DUMMYFUNCTION("""COMPUTED_VALUE"""),140138975)</f>
        <v>140138975</v>
      </c>
    </row>
    <row r="2644" spans="1:6" x14ac:dyDescent="0.35">
      <c r="A2644" s="2">
        <f ca="1">IFERROR(__xludf.DUMMYFUNCTION("""COMPUTED_VALUE"""),45846.6666666666)</f>
        <v>45846.666666666599</v>
      </c>
      <c r="B2644" s="1">
        <f ca="1">IFERROR(__xludf.DUMMYFUNCTION("""COMPUTED_VALUE"""),159.33)</f>
        <v>159.33000000000001</v>
      </c>
      <c r="C2644" s="1">
        <f ca="1">IFERROR(__xludf.DUMMYFUNCTION("""COMPUTED_VALUE"""),160.22)</f>
        <v>160.22</v>
      </c>
      <c r="D2644" s="1">
        <f ca="1">IFERROR(__xludf.DUMMYFUNCTION("""COMPUTED_VALUE"""),158.39)</f>
        <v>158.38999999999999</v>
      </c>
      <c r="E2644" s="1">
        <f ca="1">IFERROR(__xludf.DUMMYFUNCTION("""COMPUTED_VALUE"""),160)</f>
        <v>160</v>
      </c>
      <c r="F2644" s="1">
        <f ca="1">IFERROR(__xludf.DUMMYFUNCTION("""COMPUTED_VALUE"""),138133025)</f>
        <v>138133025</v>
      </c>
    </row>
    <row r="2645" spans="1:6" x14ac:dyDescent="0.35">
      <c r="A2645" s="2">
        <f ca="1">IFERROR(__xludf.DUMMYFUNCTION("""COMPUTED_VALUE"""),45847.6666666666)</f>
        <v>45847.666666666599</v>
      </c>
      <c r="B2645" s="1">
        <f ca="1">IFERROR(__xludf.DUMMYFUNCTION("""COMPUTED_VALUE"""),161.22)</f>
        <v>161.22</v>
      </c>
      <c r="C2645" s="1">
        <f ca="1">IFERROR(__xludf.DUMMYFUNCTION("""COMPUTED_VALUE"""),164.42)</f>
        <v>164.42</v>
      </c>
      <c r="D2645" s="1">
        <f ca="1">IFERROR(__xludf.DUMMYFUNCTION("""COMPUTED_VALUE"""),161.16)</f>
        <v>161.16</v>
      </c>
      <c r="E2645" s="1">
        <f ca="1">IFERROR(__xludf.DUMMYFUNCTION("""COMPUTED_VALUE"""),162.88)</f>
        <v>162.88</v>
      </c>
      <c r="F2645" s="1">
        <f ca="1">IFERROR(__xludf.DUMMYFUNCTION("""COMPUTED_VALUE"""),183656443)</f>
        <v>183656443</v>
      </c>
    </row>
    <row r="2646" spans="1:6" x14ac:dyDescent="0.35">
      <c r="A2646" s="2">
        <f ca="1">IFERROR(__xludf.DUMMYFUNCTION("""COMPUTED_VALUE"""),45848.6666666666)</f>
        <v>45848.666666666599</v>
      </c>
      <c r="B2646" s="1">
        <f ca="1">IFERROR(__xludf.DUMMYFUNCTION("""COMPUTED_VALUE"""),164.32)</f>
        <v>164.32</v>
      </c>
      <c r="C2646" s="1">
        <f ca="1">IFERROR(__xludf.DUMMYFUNCTION("""COMPUTED_VALUE"""),164.5)</f>
        <v>164.5</v>
      </c>
      <c r="D2646" s="1">
        <f ca="1">IFERROR(__xludf.DUMMYFUNCTION("""COMPUTED_VALUE"""),161.61)</f>
        <v>161.61000000000001</v>
      </c>
      <c r="E2646" s="1">
        <f ca="1">IFERROR(__xludf.DUMMYFUNCTION("""COMPUTED_VALUE"""),164.1)</f>
        <v>164.1</v>
      </c>
      <c r="F2646" s="1">
        <f ca="1">IFERROR(__xludf.DUMMYFUNCTION("""COMPUTED_VALUE"""),167704075)</f>
        <v>167704075</v>
      </c>
    </row>
    <row r="2647" spans="1:6" x14ac:dyDescent="0.35">
      <c r="A2647" s="2">
        <f ca="1">IFERROR(__xludf.DUMMYFUNCTION("""COMPUTED_VALUE"""),45849.6666666666)</f>
        <v>45849.666666666599</v>
      </c>
      <c r="B2647" s="1">
        <f ca="1">IFERROR(__xludf.DUMMYFUNCTION("""COMPUTED_VALUE"""),163.72)</f>
        <v>163.72</v>
      </c>
      <c r="C2647" s="1">
        <f ca="1">IFERROR(__xludf.DUMMYFUNCTION("""COMPUTED_VALUE"""),167.89)</f>
        <v>167.89</v>
      </c>
      <c r="D2647" s="1">
        <f ca="1">IFERROR(__xludf.DUMMYFUNCTION("""COMPUTED_VALUE"""),163.47)</f>
        <v>163.47</v>
      </c>
      <c r="E2647" s="1">
        <f ca="1">IFERROR(__xludf.DUMMYFUNCTION("""COMPUTED_VALUE"""),164.92)</f>
        <v>164.92</v>
      </c>
      <c r="F2647" s="1">
        <f ca="1">IFERROR(__xludf.DUMMYFUNCTION("""COMPUTED_VALUE"""),193633263)</f>
        <v>193633263</v>
      </c>
    </row>
    <row r="2648" spans="1:6" x14ac:dyDescent="0.35">
      <c r="A2648" s="2">
        <f ca="1">IFERROR(__xludf.DUMMYFUNCTION("""COMPUTED_VALUE"""),45852.6666666666)</f>
        <v>45852.666666666599</v>
      </c>
      <c r="B2648" s="1">
        <f ca="1">IFERROR(__xludf.DUMMYFUNCTION("""COMPUTED_VALUE"""),165.37)</f>
        <v>165.37</v>
      </c>
      <c r="C2648" s="1">
        <f ca="1">IFERROR(__xludf.DUMMYFUNCTION("""COMPUTED_VALUE"""),165.49)</f>
        <v>165.49</v>
      </c>
      <c r="D2648" s="1">
        <f ca="1">IFERROR(__xludf.DUMMYFUNCTION("""COMPUTED_VALUE"""),162.02)</f>
        <v>162.02000000000001</v>
      </c>
      <c r="E2648" s="1">
        <f ca="1">IFERROR(__xludf.DUMMYFUNCTION("""COMPUTED_VALUE"""),164.07)</f>
        <v>164.07</v>
      </c>
      <c r="F2648" s="1">
        <f ca="1">IFERROR(__xludf.DUMMYFUNCTION("""COMPUTED_VALUE"""),136975754)</f>
        <v>136975754</v>
      </c>
    </row>
    <row r="2649" spans="1:6" x14ac:dyDescent="0.35">
      <c r="A2649" s="2">
        <f ca="1">IFERROR(__xludf.DUMMYFUNCTION("""COMPUTED_VALUE"""),45853.6666666666)</f>
        <v>45853.666666666599</v>
      </c>
      <c r="B2649" s="1">
        <f ca="1">IFERROR(__xludf.DUMMYFUNCTION("""COMPUTED_VALUE"""),171.19)</f>
        <v>171.19</v>
      </c>
      <c r="C2649" s="1">
        <f ca="1">IFERROR(__xludf.DUMMYFUNCTION("""COMPUTED_VALUE"""),172.4)</f>
        <v>172.4</v>
      </c>
      <c r="D2649" s="1">
        <f ca="1">IFERROR(__xludf.DUMMYFUNCTION("""COMPUTED_VALUE"""),169.2)</f>
        <v>169.2</v>
      </c>
      <c r="E2649" s="1">
        <f ca="1">IFERROR(__xludf.DUMMYFUNCTION("""COMPUTED_VALUE"""),170.7)</f>
        <v>170.7</v>
      </c>
      <c r="F2649" s="1">
        <f ca="1">IFERROR(__xludf.DUMMYFUNCTION("""COMPUTED_VALUE"""),230627350)</f>
        <v>230627350</v>
      </c>
    </row>
    <row r="2650" spans="1:6" x14ac:dyDescent="0.35">
      <c r="A2650" s="2">
        <f ca="1">IFERROR(__xludf.DUMMYFUNCTION("""COMPUTED_VALUE"""),45854.6666666666)</f>
        <v>45854.666666666599</v>
      </c>
      <c r="B2650" s="1">
        <f ca="1">IFERROR(__xludf.DUMMYFUNCTION("""COMPUTED_VALUE"""),171.06)</f>
        <v>171.06</v>
      </c>
      <c r="C2650" s="1">
        <f ca="1">IFERROR(__xludf.DUMMYFUNCTION("""COMPUTED_VALUE"""),171.75)</f>
        <v>171.75</v>
      </c>
      <c r="D2650" s="1">
        <f ca="1">IFERROR(__xludf.DUMMYFUNCTION("""COMPUTED_VALUE"""),168.9)</f>
        <v>168.9</v>
      </c>
      <c r="E2650" s="1">
        <f ca="1">IFERROR(__xludf.DUMMYFUNCTION("""COMPUTED_VALUE"""),171.37)</f>
        <v>171.37</v>
      </c>
      <c r="F2650" s="1">
        <f ca="1">IFERROR(__xludf.DUMMYFUNCTION("""COMPUTED_VALUE"""),158831509)</f>
        <v>158831509</v>
      </c>
    </row>
    <row r="2651" spans="1:6" x14ac:dyDescent="0.35">
      <c r="A2651" s="2">
        <f ca="1">IFERROR(__xludf.DUMMYFUNCTION("""COMPUTED_VALUE"""),45855.6666666666)</f>
        <v>45855.666666666599</v>
      </c>
      <c r="B2651" s="1">
        <f ca="1">IFERROR(__xludf.DUMMYFUNCTION("""COMPUTED_VALUE"""),172.02)</f>
        <v>172.02</v>
      </c>
      <c r="C2651" s="1">
        <f ca="1">IFERROR(__xludf.DUMMYFUNCTION("""COMPUTED_VALUE"""),174.16)</f>
        <v>174.16</v>
      </c>
      <c r="D2651" s="1">
        <f ca="1">IFERROR(__xludf.DUMMYFUNCTION("""COMPUTED_VALUE"""),170.83)</f>
        <v>170.83</v>
      </c>
      <c r="E2651" s="1">
        <f ca="1">IFERROR(__xludf.DUMMYFUNCTION("""COMPUTED_VALUE"""),173)</f>
        <v>173</v>
      </c>
      <c r="F2651" s="1">
        <f ca="1">IFERROR(__xludf.DUMMYFUNCTION("""COMPUTED_VALUE"""),160841119)</f>
        <v>160841119</v>
      </c>
    </row>
    <row r="2652" spans="1:6" x14ac:dyDescent="0.35">
      <c r="A2652" s="2">
        <f ca="1">IFERROR(__xludf.DUMMYFUNCTION("""COMPUTED_VALUE"""),45856.6666666666)</f>
        <v>45856.666666666599</v>
      </c>
      <c r="B2652" s="1">
        <f ca="1">IFERROR(__xludf.DUMMYFUNCTION("""COMPUTED_VALUE"""),173.64)</f>
        <v>173.64</v>
      </c>
      <c r="C2652" s="1">
        <f ca="1">IFERROR(__xludf.DUMMYFUNCTION("""COMPUTED_VALUE"""),174.25)</f>
        <v>174.25</v>
      </c>
      <c r="D2652" s="1">
        <f ca="1">IFERROR(__xludf.DUMMYFUNCTION("""COMPUTED_VALUE"""),171.26)</f>
        <v>171.26</v>
      </c>
      <c r="E2652" s="1">
        <f ca="1">IFERROR(__xludf.DUMMYFUNCTION("""COMPUTED_VALUE"""),172.41)</f>
        <v>172.41</v>
      </c>
      <c r="F2652" s="1">
        <f ca="1">IFERROR(__xludf.DUMMYFUNCTION("""COMPUTED_VALUE"""),146456416)</f>
        <v>146456416</v>
      </c>
    </row>
    <row r="2653" spans="1:6" x14ac:dyDescent="0.35">
      <c r="A2653" s="2">
        <f ca="1">IFERROR(__xludf.DUMMYFUNCTION("""COMPUTED_VALUE"""),45859.6666666666)</f>
        <v>45859.666666666599</v>
      </c>
      <c r="B2653" s="1">
        <f ca="1">IFERROR(__xludf.DUMMYFUNCTION("""COMPUTED_VALUE"""),172.75)</f>
        <v>172.75</v>
      </c>
      <c r="C2653" s="1">
        <f ca="1">IFERROR(__xludf.DUMMYFUNCTION("""COMPUTED_VALUE"""),173.38)</f>
        <v>173.38</v>
      </c>
      <c r="D2653" s="1">
        <f ca="1">IFERROR(__xludf.DUMMYFUNCTION("""COMPUTED_VALUE"""),171)</f>
        <v>171</v>
      </c>
      <c r="E2653" s="1">
        <f ca="1">IFERROR(__xludf.DUMMYFUNCTION("""COMPUTED_VALUE"""),171.38)</f>
        <v>171.38</v>
      </c>
      <c r="F2653" s="1">
        <f ca="1">IFERROR(__xludf.DUMMYFUNCTION("""COMPUTED_VALUE"""),123126136)</f>
        <v>123126136</v>
      </c>
    </row>
    <row r="2654" spans="1:6" x14ac:dyDescent="0.35">
      <c r="A2654" s="2">
        <f ca="1">IFERROR(__xludf.DUMMYFUNCTION("""COMPUTED_VALUE"""),45860.6666666666)</f>
        <v>45860.666666666599</v>
      </c>
      <c r="B2654" s="1">
        <f ca="1">IFERROR(__xludf.DUMMYFUNCTION("""COMPUTED_VALUE"""),171.34)</f>
        <v>171.34</v>
      </c>
      <c r="C2654" s="1">
        <f ca="1">IFERROR(__xludf.DUMMYFUNCTION("""COMPUTED_VALUE"""),171.39)</f>
        <v>171.39</v>
      </c>
      <c r="D2654" s="1">
        <f ca="1">IFERROR(__xludf.DUMMYFUNCTION("""COMPUTED_VALUE"""),164.58)</f>
        <v>164.58</v>
      </c>
      <c r="E2654" s="1">
        <f ca="1">IFERROR(__xludf.DUMMYFUNCTION("""COMPUTED_VALUE"""),167.03)</f>
        <v>167.03</v>
      </c>
      <c r="F2654" s="1">
        <f ca="1">IFERROR(__xludf.DUMMYFUNCTION("""COMPUTED_VALUE"""),193114327)</f>
        <v>193114327</v>
      </c>
    </row>
    <row r="2655" spans="1:6" x14ac:dyDescent="0.35">
      <c r="A2655" s="2">
        <f ca="1">IFERROR(__xludf.DUMMYFUNCTION("""COMPUTED_VALUE"""),45861.6666666666)</f>
        <v>45861.666666666599</v>
      </c>
      <c r="B2655" s="1">
        <f ca="1">IFERROR(__xludf.DUMMYFUNCTION("""COMPUTED_VALUE"""),169.53)</f>
        <v>169.53</v>
      </c>
      <c r="C2655" s="1">
        <f ca="1">IFERROR(__xludf.DUMMYFUNCTION("""COMPUTED_VALUE"""),171.26)</f>
        <v>171.26</v>
      </c>
      <c r="D2655" s="1">
        <f ca="1">IFERROR(__xludf.DUMMYFUNCTION("""COMPUTED_VALUE"""),167.97)</f>
        <v>167.97</v>
      </c>
      <c r="E2655" s="1">
        <f ca="1">IFERROR(__xludf.DUMMYFUNCTION("""COMPUTED_VALUE"""),170.78)</f>
        <v>170.78</v>
      </c>
      <c r="F2655" s="1">
        <f ca="1">IFERROR(__xludf.DUMMYFUNCTION("""COMPUTED_VALUE"""),154082197)</f>
        <v>154082197</v>
      </c>
    </row>
    <row r="2656" spans="1:6" x14ac:dyDescent="0.35">
      <c r="A2656" s="2">
        <f ca="1">IFERROR(__xludf.DUMMYFUNCTION("""COMPUTED_VALUE"""),45862.6666666666)</f>
        <v>45862.666666666599</v>
      </c>
      <c r="B2656" s="1">
        <f ca="1">IFERROR(__xludf.DUMMYFUNCTION("""COMPUTED_VALUE"""),172.44)</f>
        <v>172.44</v>
      </c>
      <c r="C2656" s="1">
        <f ca="1">IFERROR(__xludf.DUMMYFUNCTION("""COMPUTED_VALUE"""),173.83)</f>
        <v>173.83</v>
      </c>
      <c r="D2656" s="1">
        <f ca="1">IFERROR(__xludf.DUMMYFUNCTION("""COMPUTED_VALUE"""),171.3)</f>
        <v>171.3</v>
      </c>
      <c r="E2656" s="1">
        <f ca="1">IFERROR(__xludf.DUMMYFUNCTION("""COMPUTED_VALUE"""),173.74)</f>
        <v>173.74</v>
      </c>
      <c r="F2656" s="1">
        <f ca="1">IFERROR(__xludf.DUMMYFUNCTION("""COMPUTED_VALUE"""),128984628)</f>
        <v>128984628</v>
      </c>
    </row>
    <row r="2657" spans="1:6" x14ac:dyDescent="0.35">
      <c r="A2657" s="2">
        <f ca="1">IFERROR(__xludf.DUMMYFUNCTION("""COMPUTED_VALUE"""),45863.6666666666)</f>
        <v>45863.666666666599</v>
      </c>
      <c r="B2657" s="1">
        <f ca="1">IFERROR(__xludf.DUMMYFUNCTION("""COMPUTED_VALUE"""),173.61)</f>
        <v>173.61</v>
      </c>
      <c r="C2657" s="1">
        <f ca="1">IFERROR(__xludf.DUMMYFUNCTION("""COMPUTED_VALUE"""),174.72)</f>
        <v>174.72</v>
      </c>
      <c r="D2657" s="1">
        <f ca="1">IFERROR(__xludf.DUMMYFUNCTION("""COMPUTED_VALUE"""),172.96)</f>
        <v>172.96</v>
      </c>
      <c r="E2657" s="1">
        <f ca="1">IFERROR(__xludf.DUMMYFUNCTION("""COMPUTED_VALUE"""),173.5)</f>
        <v>173.5</v>
      </c>
      <c r="F2657" s="1">
        <f ca="1">IFERROR(__xludf.DUMMYFUNCTION("""COMPUTED_VALUE"""),122316792)</f>
        <v>122316792</v>
      </c>
    </row>
    <row r="2658" spans="1:6" x14ac:dyDescent="0.35">
      <c r="A2658" s="2">
        <f ca="1">IFERROR(__xludf.DUMMYFUNCTION("""COMPUTED_VALUE"""),45866.6666666666)</f>
        <v>45866.666666666599</v>
      </c>
      <c r="B2658" s="1">
        <f ca="1">IFERROR(__xludf.DUMMYFUNCTION("""COMPUTED_VALUE"""),174.02)</f>
        <v>174.02</v>
      </c>
      <c r="C2658" s="1">
        <f ca="1">IFERROR(__xludf.DUMMYFUNCTION("""COMPUTED_VALUE"""),177)</f>
        <v>177</v>
      </c>
      <c r="D2658" s="1">
        <f ca="1">IFERROR(__xludf.DUMMYFUNCTION("""COMPUTED_VALUE"""),173.97)</f>
        <v>173.97</v>
      </c>
      <c r="E2658" s="1">
        <f ca="1">IFERROR(__xludf.DUMMYFUNCTION("""COMPUTED_VALUE"""),176.75)</f>
        <v>176.75</v>
      </c>
      <c r="F2658" s="1">
        <f ca="1">IFERROR(__xludf.DUMMYFUNCTION("""COMPUTED_VALUE"""),140023521)</f>
        <v>140023521</v>
      </c>
    </row>
    <row r="2659" spans="1:6" x14ac:dyDescent="0.35">
      <c r="A2659" s="2">
        <f ca="1">IFERROR(__xludf.DUMMYFUNCTION("""COMPUTED_VALUE"""),45867.6666666666)</f>
        <v>45867.666666666599</v>
      </c>
      <c r="B2659" s="1">
        <f ca="1">IFERROR(__xludf.DUMMYFUNCTION("""COMPUTED_VALUE"""),177.96)</f>
        <v>177.96</v>
      </c>
      <c r="C2659" s="1">
        <f ca="1">IFERROR(__xludf.DUMMYFUNCTION("""COMPUTED_VALUE"""),179.38)</f>
        <v>179.38</v>
      </c>
      <c r="D2659" s="1">
        <f ca="1">IFERROR(__xludf.DUMMYFUNCTION("""COMPUTED_VALUE"""),175.02)</f>
        <v>175.02</v>
      </c>
      <c r="E2659" s="1">
        <f ca="1">IFERROR(__xludf.DUMMYFUNCTION("""COMPUTED_VALUE"""),175.51)</f>
        <v>175.51</v>
      </c>
      <c r="F2659" s="1">
        <f ca="1">IFERROR(__xludf.DUMMYFUNCTION("""COMPUTED_VALUE"""),154077512)</f>
        <v>154077512</v>
      </c>
    </row>
    <row r="2660" spans="1:6" x14ac:dyDescent="0.35">
      <c r="A2660" s="2">
        <f ca="1">IFERROR(__xludf.DUMMYFUNCTION("""COMPUTED_VALUE"""),45868.6666666666)</f>
        <v>45868.666666666599</v>
      </c>
      <c r="B2660" s="1">
        <f ca="1">IFERROR(__xludf.DUMMYFUNCTION("""COMPUTED_VALUE"""),176.51)</f>
        <v>176.51</v>
      </c>
      <c r="C2660" s="1">
        <f ca="1">IFERROR(__xludf.DUMMYFUNCTION("""COMPUTED_VALUE"""),179.89)</f>
        <v>179.89</v>
      </c>
      <c r="D2660" s="1">
        <f ca="1">IFERROR(__xludf.DUMMYFUNCTION("""COMPUTED_VALUE"""),176.04)</f>
        <v>176.04</v>
      </c>
      <c r="E2660" s="1">
        <f ca="1">IFERROR(__xludf.DUMMYFUNCTION("""COMPUTED_VALUE"""),179.27)</f>
        <v>179.27</v>
      </c>
      <c r="F2660" s="1">
        <f ca="1">IFERROR(__xludf.DUMMYFUNCTION("""COMPUTED_VALUE"""),174312208)</f>
        <v>174312208</v>
      </c>
    </row>
    <row r="2661" spans="1:6" x14ac:dyDescent="0.35">
      <c r="A2661" s="2">
        <f ca="1">IFERROR(__xludf.DUMMYFUNCTION("""COMPUTED_VALUE"""),45869.6666666666)</f>
        <v>45869.666666666599</v>
      </c>
      <c r="B2661" s="1">
        <f ca="1">IFERROR(__xludf.DUMMYFUNCTION("""COMPUTED_VALUE"""),182.9)</f>
        <v>182.9</v>
      </c>
      <c r="C2661" s="1">
        <f ca="1">IFERROR(__xludf.DUMMYFUNCTION("""COMPUTED_VALUE"""),183.3)</f>
        <v>183.3</v>
      </c>
      <c r="D2661" s="1">
        <f ca="1">IFERROR(__xludf.DUMMYFUNCTION("""COMPUTED_VALUE"""),175.93)</f>
        <v>175.93</v>
      </c>
      <c r="E2661" s="1">
        <f ca="1">IFERROR(__xludf.DUMMYFUNCTION("""COMPUTED_VALUE"""),177.87)</f>
        <v>177.87</v>
      </c>
      <c r="F2661" s="1">
        <f ca="1">IFERROR(__xludf.DUMMYFUNCTION("""COMPUTED_VALUE"""),221685446)</f>
        <v>221685446</v>
      </c>
    </row>
    <row r="2662" spans="1:6" x14ac:dyDescent="0.35">
      <c r="A2662" s="2">
        <f ca="1">IFERROR(__xludf.DUMMYFUNCTION("""COMPUTED_VALUE"""),45870.6666666666)</f>
        <v>45870.666666666599</v>
      </c>
      <c r="B2662" s="1">
        <f ca="1">IFERROR(__xludf.DUMMYFUNCTION("""COMPUTED_VALUE"""),174.09)</f>
        <v>174.09</v>
      </c>
      <c r="C2662" s="1">
        <f ca="1">IFERROR(__xludf.DUMMYFUNCTION("""COMPUTED_VALUE"""),176.54)</f>
        <v>176.54</v>
      </c>
      <c r="D2662" s="1">
        <f ca="1">IFERROR(__xludf.DUMMYFUNCTION("""COMPUTED_VALUE"""),170.89)</f>
        <v>170.89</v>
      </c>
      <c r="E2662" s="1">
        <f ca="1">IFERROR(__xludf.DUMMYFUNCTION("""COMPUTED_VALUE"""),173.72)</f>
        <v>173.72</v>
      </c>
      <c r="F2662" s="1">
        <f ca="1">IFERROR(__xludf.DUMMYFUNCTION("""COMPUTED_VALUE"""),204528985)</f>
        <v>204528985</v>
      </c>
    </row>
    <row r="2663" spans="1:6" x14ac:dyDescent="0.35">
      <c r="A2663" s="2">
        <f ca="1">IFERROR(__xludf.DUMMYFUNCTION("""COMPUTED_VALUE"""),45873.6666666666)</f>
        <v>45873.666666666599</v>
      </c>
      <c r="B2663" s="1">
        <f ca="1">IFERROR(__xludf.DUMMYFUNCTION("""COMPUTED_VALUE"""),175.16)</f>
        <v>175.16</v>
      </c>
      <c r="C2663" s="1">
        <f ca="1">IFERROR(__xludf.DUMMYFUNCTION("""COMPUTED_VALUE"""),180.2)</f>
        <v>180.2</v>
      </c>
      <c r="D2663" s="1">
        <f ca="1">IFERROR(__xludf.DUMMYFUNCTION("""COMPUTED_VALUE"""),174.52)</f>
        <v>174.52</v>
      </c>
      <c r="E2663" s="1">
        <f ca="1">IFERROR(__xludf.DUMMYFUNCTION("""COMPUTED_VALUE"""),180)</f>
        <v>180</v>
      </c>
      <c r="F2663" s="1">
        <f ca="1">IFERROR(__xludf.DUMMYFUNCTION("""COMPUTED_VALUE"""),148174609)</f>
        <v>148174609</v>
      </c>
    </row>
    <row r="2664" spans="1:6" x14ac:dyDescent="0.35">
      <c r="A2664" s="2">
        <f ca="1">IFERROR(__xludf.DUMMYFUNCTION("""COMPUTED_VALUE"""),45874.6666666666)</f>
        <v>45874.666666666599</v>
      </c>
      <c r="B2664" s="1">
        <f ca="1">IFERROR(__xludf.DUMMYFUNCTION("""COMPUTED_VALUE"""),179.62)</f>
        <v>179.62</v>
      </c>
      <c r="C2664" s="1">
        <f ca="1">IFERROR(__xludf.DUMMYFUNCTION("""COMPUTED_VALUE"""),180.26)</f>
        <v>180.26</v>
      </c>
      <c r="D2664" s="1">
        <f ca="1">IFERROR(__xludf.DUMMYFUNCTION("""COMPUTED_VALUE"""),175.9)</f>
        <v>175.9</v>
      </c>
      <c r="E2664" s="1">
        <f ca="1">IFERROR(__xludf.DUMMYFUNCTION("""COMPUTED_VALUE"""),178.26)</f>
        <v>178.26</v>
      </c>
      <c r="F2664" s="1">
        <f ca="1">IFERROR(__xludf.DUMMYFUNCTION("""COMPUTED_VALUE"""),156407621)</f>
        <v>156407621</v>
      </c>
    </row>
    <row r="2665" spans="1:6" x14ac:dyDescent="0.35">
      <c r="A2665" s="2">
        <f ca="1">IFERROR(__xludf.DUMMYFUNCTION("""COMPUTED_VALUE"""),45875.6666666666)</f>
        <v>45875.666666666599</v>
      </c>
      <c r="B2665" s="1">
        <f ca="1">IFERROR(__xludf.DUMMYFUNCTION("""COMPUTED_VALUE"""),176.33)</f>
        <v>176.33</v>
      </c>
      <c r="C2665" s="1">
        <f ca="1">IFERROR(__xludf.DUMMYFUNCTION("""COMPUTED_VALUE"""),179.9)</f>
        <v>179.9</v>
      </c>
      <c r="D2665" s="1">
        <f ca="1">IFERROR(__xludf.DUMMYFUNCTION("""COMPUTED_VALUE"""),176.25)</f>
        <v>176.25</v>
      </c>
      <c r="E2665" s="1">
        <f ca="1">IFERROR(__xludf.DUMMYFUNCTION("""COMPUTED_VALUE"""),179.42)</f>
        <v>179.42</v>
      </c>
      <c r="F2665" s="1">
        <f ca="1">IFERROR(__xludf.DUMMYFUNCTION("""COMPUTED_VALUE"""),137192265)</f>
        <v>137192265</v>
      </c>
    </row>
    <row r="2666" spans="1:6" x14ac:dyDescent="0.35">
      <c r="A2666" s="2">
        <f ca="1">IFERROR(__xludf.DUMMYFUNCTION("""COMPUTED_VALUE"""),45876.6666666666)</f>
        <v>45876.666666666599</v>
      </c>
      <c r="B2666" s="1">
        <f ca="1">IFERROR(__xludf.DUMMYFUNCTION("""COMPUTED_VALUE"""),181.57)</f>
        <v>181.57</v>
      </c>
      <c r="C2666" s="1">
        <f ca="1">IFERROR(__xludf.DUMMYFUNCTION("""COMPUTED_VALUE"""),183.88)</f>
        <v>183.88</v>
      </c>
      <c r="D2666" s="1">
        <f ca="1">IFERROR(__xludf.DUMMYFUNCTION("""COMPUTED_VALUE"""),178.8)</f>
        <v>178.8</v>
      </c>
      <c r="E2666" s="1">
        <f ca="1">IFERROR(__xludf.DUMMYFUNCTION("""COMPUTED_VALUE"""),180.77)</f>
        <v>180.77</v>
      </c>
      <c r="F2666" s="1">
        <f ca="1">IFERROR(__xludf.DUMMYFUNCTION("""COMPUTED_VALUE"""),151878365)</f>
        <v>151878365</v>
      </c>
    </row>
    <row r="2667" spans="1:6" x14ac:dyDescent="0.35">
      <c r="A2667" s="2">
        <f ca="1">IFERROR(__xludf.DUMMYFUNCTION("""COMPUTED_VALUE"""),45877.6666666666)</f>
        <v>45877.666666666599</v>
      </c>
      <c r="B2667" s="1">
        <f ca="1">IFERROR(__xludf.DUMMYFUNCTION("""COMPUTED_VALUE"""),181.55)</f>
        <v>181.55</v>
      </c>
      <c r="C2667" s="1">
        <f ca="1">IFERROR(__xludf.DUMMYFUNCTION("""COMPUTED_VALUE"""),183.3)</f>
        <v>183.3</v>
      </c>
      <c r="D2667" s="1">
        <f ca="1">IFERROR(__xludf.DUMMYFUNCTION("""COMPUTED_VALUE"""),180.4)</f>
        <v>180.4</v>
      </c>
      <c r="E2667" s="1">
        <f ca="1">IFERROR(__xludf.DUMMYFUNCTION("""COMPUTED_VALUE"""),182.7)</f>
        <v>182.7</v>
      </c>
      <c r="F2667" s="1">
        <f ca="1">IFERROR(__xludf.DUMMYFUNCTION("""COMPUTED_VALUE"""),123396679)</f>
        <v>123396679</v>
      </c>
    </row>
    <row r="2668" spans="1:6" x14ac:dyDescent="0.35">
      <c r="A2668" s="2">
        <f ca="1">IFERROR(__xludf.DUMMYFUNCTION("""COMPUTED_VALUE"""),45880.6666666666)</f>
        <v>45880.666666666599</v>
      </c>
      <c r="B2668" s="1">
        <f ca="1">IFERROR(__xludf.DUMMYFUNCTION("""COMPUTED_VALUE"""),182.05)</f>
        <v>182.05</v>
      </c>
      <c r="C2668" s="1">
        <f ca="1">IFERROR(__xludf.DUMMYFUNCTION("""COMPUTED_VALUE"""),183.84)</f>
        <v>183.84</v>
      </c>
      <c r="D2668" s="1">
        <f ca="1">IFERROR(__xludf.DUMMYFUNCTION("""COMPUTED_VALUE"""),180.25)</f>
        <v>180.25</v>
      </c>
      <c r="E2668" s="1">
        <f ca="1">IFERROR(__xludf.DUMMYFUNCTION("""COMPUTED_VALUE"""),182.06)</f>
        <v>182.06</v>
      </c>
      <c r="F2668" s="1">
        <f ca="1">IFERROR(__xludf.DUMMYFUNCTION("""COMPUTED_VALUE"""),138323191)</f>
        <v>138323191</v>
      </c>
    </row>
    <row r="2669" spans="1:6" x14ac:dyDescent="0.35">
      <c r="A2669" s="2">
        <f ca="1">IFERROR(__xludf.DUMMYFUNCTION("""COMPUTED_VALUE"""),45881.6666666666)</f>
        <v>45881.666666666599</v>
      </c>
      <c r="B2669" s="1">
        <f ca="1">IFERROR(__xludf.DUMMYFUNCTION("""COMPUTED_VALUE"""),182.96)</f>
        <v>182.96</v>
      </c>
      <c r="C2669" s="1">
        <f ca="1">IFERROR(__xludf.DUMMYFUNCTION("""COMPUTED_VALUE"""),184.48)</f>
        <v>184.48</v>
      </c>
      <c r="D2669" s="1">
        <f ca="1">IFERROR(__xludf.DUMMYFUNCTION("""COMPUTED_VALUE"""),179.46)</f>
        <v>179.46</v>
      </c>
      <c r="E2669" s="1">
        <f ca="1">IFERROR(__xludf.DUMMYFUNCTION("""COMPUTED_VALUE"""),183.16)</f>
        <v>183.16</v>
      </c>
      <c r="F2669" s="1">
        <f ca="1">IFERROR(__xludf.DUMMYFUNCTION("""COMPUTED_VALUE"""),145729202)</f>
        <v>145729202</v>
      </c>
    </row>
    <row r="2670" spans="1:6" x14ac:dyDescent="0.35">
      <c r="A2670" s="2">
        <f ca="1">IFERROR(__xludf.DUMMYFUNCTION("""COMPUTED_VALUE"""),45882.6666666666)</f>
        <v>45882.666666666599</v>
      </c>
      <c r="B2670" s="1">
        <f ca="1">IFERROR(__xludf.DUMMYFUNCTION("""COMPUTED_VALUE"""),182.62)</f>
        <v>182.62</v>
      </c>
      <c r="C2670" s="1">
        <f ca="1">IFERROR(__xludf.DUMMYFUNCTION("""COMPUTED_VALUE"""),183.97)</f>
        <v>183.97</v>
      </c>
      <c r="D2670" s="1">
        <f ca="1">IFERROR(__xludf.DUMMYFUNCTION("""COMPUTED_VALUE"""),179.35)</f>
        <v>179.35</v>
      </c>
      <c r="E2670" s="1">
        <f ca="1">IFERROR(__xludf.DUMMYFUNCTION("""COMPUTED_VALUE"""),181.59)</f>
        <v>181.59</v>
      </c>
      <c r="F2670" s="1">
        <f ca="1">IFERROR(__xludf.DUMMYFUNCTION("""COMPUTED_VALUE"""),179871724)</f>
        <v>179871724</v>
      </c>
    </row>
    <row r="2671" spans="1:6" x14ac:dyDescent="0.35">
      <c r="A2671" s="2">
        <f ca="1">IFERROR(__xludf.DUMMYFUNCTION("""COMPUTED_VALUE"""),45883.6666666666)</f>
        <v>45883.666666666599</v>
      </c>
      <c r="B2671" s="1">
        <f ca="1">IFERROR(__xludf.DUMMYFUNCTION("""COMPUTED_VALUE"""),179.75)</f>
        <v>179.75</v>
      </c>
      <c r="C2671" s="1">
        <f ca="1">IFERROR(__xludf.DUMMYFUNCTION("""COMPUTED_VALUE"""),183.02)</f>
        <v>183.02</v>
      </c>
      <c r="D2671" s="1">
        <f ca="1">IFERROR(__xludf.DUMMYFUNCTION("""COMPUTED_VALUE"""),179.46)</f>
        <v>179.46</v>
      </c>
      <c r="E2671" s="1">
        <f ca="1">IFERROR(__xludf.DUMMYFUNCTION("""COMPUTED_VALUE"""),182.02)</f>
        <v>182.02</v>
      </c>
      <c r="F2671" s="1">
        <f ca="1">IFERROR(__xludf.DUMMYFUNCTION("""COMPUTED_VALUE"""),129553959)</f>
        <v>129553959</v>
      </c>
    </row>
    <row r="2672" spans="1:6" x14ac:dyDescent="0.35">
      <c r="A2672" s="2">
        <f ca="1">IFERROR(__xludf.DUMMYFUNCTION("""COMPUTED_VALUE"""),45884.6666666666)</f>
        <v>45884.666666666599</v>
      </c>
      <c r="B2672" s="1">
        <f ca="1">IFERROR(__xludf.DUMMYFUNCTION("""COMPUTED_VALUE"""),181.88)</f>
        <v>181.88</v>
      </c>
      <c r="C2672" s="1">
        <f ca="1">IFERROR(__xludf.DUMMYFUNCTION("""COMPUTED_VALUE"""),181.9)</f>
        <v>181.9</v>
      </c>
      <c r="D2672" s="1">
        <f ca="1">IFERROR(__xludf.DUMMYFUNCTION("""COMPUTED_VALUE"""),178.04)</f>
        <v>178.04</v>
      </c>
      <c r="E2672" s="1">
        <f ca="1">IFERROR(__xludf.DUMMYFUNCTION("""COMPUTED_VALUE"""),180.45)</f>
        <v>180.45</v>
      </c>
      <c r="F2672" s="1">
        <f ca="1">IFERROR(__xludf.DUMMYFUNCTION("""COMPUTED_VALUE"""),156602161)</f>
        <v>156602161</v>
      </c>
    </row>
    <row r="2673" spans="1:6" x14ac:dyDescent="0.35">
      <c r="A2673" s="2">
        <f ca="1">IFERROR(__xludf.DUMMYFUNCTION("""COMPUTED_VALUE"""),45887.6666666666)</f>
        <v>45887.666666666599</v>
      </c>
      <c r="B2673" s="1">
        <f ca="1">IFERROR(__xludf.DUMMYFUNCTION("""COMPUTED_VALUE"""),180.6)</f>
        <v>180.6</v>
      </c>
      <c r="C2673" s="1">
        <f ca="1">IFERROR(__xludf.DUMMYFUNCTION("""COMPUTED_VALUE"""),182.94)</f>
        <v>182.94</v>
      </c>
      <c r="D2673" s="1">
        <f ca="1">IFERROR(__xludf.DUMMYFUNCTION("""COMPUTED_VALUE"""),180.59)</f>
        <v>180.59</v>
      </c>
      <c r="E2673" s="1">
        <f ca="1">IFERROR(__xludf.DUMMYFUNCTION("""COMPUTED_VALUE"""),182.01)</f>
        <v>182.01</v>
      </c>
      <c r="F2673" s="1">
        <f ca="1">IFERROR(__xludf.DUMMYFUNCTION("""COMPUTED_VALUE"""),132007959)</f>
        <v>132007959</v>
      </c>
    </row>
    <row r="2674" spans="1:6" x14ac:dyDescent="0.35">
      <c r="A2674" s="2">
        <f ca="1">IFERROR(__xludf.DUMMYFUNCTION("""COMPUTED_VALUE"""),45888.6666666666)</f>
        <v>45888.666666666599</v>
      </c>
      <c r="B2674" s="1">
        <f ca="1">IFERROR(__xludf.DUMMYFUNCTION("""COMPUTED_VALUE"""),182.43)</f>
        <v>182.43</v>
      </c>
      <c r="C2674" s="1">
        <f ca="1">IFERROR(__xludf.DUMMYFUNCTION("""COMPUTED_VALUE"""),182.5)</f>
        <v>182.5</v>
      </c>
      <c r="D2674" s="1">
        <f ca="1">IFERROR(__xludf.DUMMYFUNCTION("""COMPUTED_VALUE"""),175.49)</f>
        <v>175.49</v>
      </c>
      <c r="E2674" s="1">
        <f ca="1">IFERROR(__xludf.DUMMYFUNCTION("""COMPUTED_VALUE"""),175.64)</f>
        <v>175.64</v>
      </c>
      <c r="F2674" s="1">
        <f ca="1">IFERROR(__xludf.DUMMYFUNCTION("""COMPUTED_VALUE"""),185229219)</f>
        <v>185229219</v>
      </c>
    </row>
    <row r="2675" spans="1:6" x14ac:dyDescent="0.35">
      <c r="A2675" s="2">
        <f ca="1">IFERROR(__xludf.DUMMYFUNCTION("""COMPUTED_VALUE"""),45889.6666666666)</f>
        <v>45889.666666666599</v>
      </c>
      <c r="B2675" s="1">
        <f ca="1">IFERROR(__xludf.DUMMYFUNCTION("""COMPUTED_VALUE"""),175.17)</f>
        <v>175.17</v>
      </c>
      <c r="C2675" s="1">
        <f ca="1">IFERROR(__xludf.DUMMYFUNCTION("""COMPUTED_VALUE"""),176)</f>
        <v>176</v>
      </c>
      <c r="D2675" s="1">
        <f ca="1">IFERROR(__xludf.DUMMYFUNCTION("""COMPUTED_VALUE"""),168.8)</f>
        <v>168.8</v>
      </c>
      <c r="E2675" s="1">
        <f ca="1">IFERROR(__xludf.DUMMYFUNCTION("""COMPUTED_VALUE"""),175.4)</f>
        <v>175.4</v>
      </c>
      <c r="F2675" s="1">
        <f ca="1">IFERROR(__xludf.DUMMYFUNCTION("""COMPUTED_VALUE"""),215142725)</f>
        <v>215142725</v>
      </c>
    </row>
    <row r="2676" spans="1:6" x14ac:dyDescent="0.35">
      <c r="A2676" s="2">
        <f ca="1">IFERROR(__xludf.DUMMYFUNCTION("""COMPUTED_VALUE"""),45890.6666666666)</f>
        <v>45890.666666666599</v>
      </c>
      <c r="B2676" s="1">
        <f ca="1">IFERROR(__xludf.DUMMYFUNCTION("""COMPUTED_VALUE"""),174.85)</f>
        <v>174.85</v>
      </c>
      <c r="C2676" s="1">
        <f ca="1">IFERROR(__xludf.DUMMYFUNCTION("""COMPUTED_VALUE"""),176.9)</f>
        <v>176.9</v>
      </c>
      <c r="D2676" s="1">
        <f ca="1">IFERROR(__xludf.DUMMYFUNCTION("""COMPUTED_VALUE"""),173.81)</f>
        <v>173.81</v>
      </c>
      <c r="E2676" s="1">
        <f ca="1">IFERROR(__xludf.DUMMYFUNCTION("""COMPUTED_VALUE"""),174.98)</f>
        <v>174.98</v>
      </c>
      <c r="F2676" s="1">
        <f ca="1">IFERROR(__xludf.DUMMYFUNCTION("""COMPUTED_VALUE"""),140040850)</f>
        <v>140040850</v>
      </c>
    </row>
    <row r="2677" spans="1:6" x14ac:dyDescent="0.35">
      <c r="A2677" s="2">
        <f ca="1">IFERROR(__xludf.DUMMYFUNCTION("""COMPUTED_VALUE"""),45891.6666666666)</f>
        <v>45891.666666666599</v>
      </c>
      <c r="B2677" s="1">
        <f ca="1">IFERROR(__xludf.DUMMYFUNCTION("""COMPUTED_VALUE"""),172.61)</f>
        <v>172.61</v>
      </c>
      <c r="C2677" s="1">
        <f ca="1">IFERROR(__xludf.DUMMYFUNCTION("""COMPUTED_VALUE"""),178.59)</f>
        <v>178.59</v>
      </c>
      <c r="D2677" s="1">
        <f ca="1">IFERROR(__xludf.DUMMYFUNCTION("""COMPUTED_VALUE"""),171.2)</f>
        <v>171.2</v>
      </c>
      <c r="E2677" s="1">
        <f ca="1">IFERROR(__xludf.DUMMYFUNCTION("""COMPUTED_VALUE"""),177.99)</f>
        <v>177.99</v>
      </c>
      <c r="F2677" s="1">
        <f ca="1">IFERROR(__xludf.DUMMYFUNCTION("""COMPUTED_VALUE"""),172789427)</f>
        <v>172789427</v>
      </c>
    </row>
    <row r="2678" spans="1:6" x14ac:dyDescent="0.35">
      <c r="A2678" s="2">
        <f ca="1">IFERROR(__xludf.DUMMYFUNCTION("""COMPUTED_VALUE"""),45897.6666666666)</f>
        <v>45897.666666666599</v>
      </c>
      <c r="B2678" s="1">
        <f ca="1">IFERROR(__xludf.DUMMYFUNCTION("""COMPUTED_VALUE"""),180.82)</f>
        <v>180.82</v>
      </c>
      <c r="C2678" s="1">
        <f ca="1">IFERROR(__xludf.DUMMYFUNCTION("""COMPUTED_VALUE"""),184.47)</f>
        <v>184.47</v>
      </c>
      <c r="D2678" s="1">
        <f ca="1">IFERROR(__xludf.DUMMYFUNCTION("""COMPUTED_VALUE"""),176.41)</f>
        <v>176.41</v>
      </c>
      <c r="E2678" s="1">
        <f ca="1">IFERROR(__xludf.DUMMYFUNCTION("""COMPUTED_VALUE"""),180.17)</f>
        <v>180.17</v>
      </c>
      <c r="F2678" s="1">
        <f ca="1">IFERROR(__xludf.DUMMYFUNCTION("""COMPUTED_VALUE"""),281787824)</f>
        <v>281787824</v>
      </c>
    </row>
    <row r="2679" spans="1:6" x14ac:dyDescent="0.35">
      <c r="A2679" s="2">
        <f ca="1">IFERROR(__xludf.DUMMYFUNCTION("""COMPUTED_VALUE"""),45898.6666666666)</f>
        <v>45898.666666666599</v>
      </c>
      <c r="B2679" s="1">
        <f ca="1">IFERROR(__xludf.DUMMYFUNCTION("""COMPUTED_VALUE"""),178.11)</f>
        <v>178.11</v>
      </c>
      <c r="C2679" s="1">
        <f ca="1">IFERROR(__xludf.DUMMYFUNCTION("""COMPUTED_VALUE"""),178.15)</f>
        <v>178.15</v>
      </c>
      <c r="D2679" s="1">
        <f ca="1">IFERROR(__xludf.DUMMYFUNCTION("""COMPUTED_VALUE"""),173.15)</f>
        <v>173.15</v>
      </c>
      <c r="E2679" s="1">
        <f ca="1">IFERROR(__xludf.DUMMYFUNCTION("""COMPUTED_VALUE"""),174.18)</f>
        <v>174.18</v>
      </c>
      <c r="F2679" s="1">
        <f ca="1">IFERROR(__xludf.DUMMYFUNCTION("""COMPUTED_VALUE"""),243257873)</f>
        <v>243257873</v>
      </c>
    </row>
    <row r="2680" spans="1:6" x14ac:dyDescent="0.35">
      <c r="A2680" s="2">
        <f ca="1">IFERROR(__xludf.DUMMYFUNCTION("""COMPUTED_VALUE"""),45902.6666666666)</f>
        <v>45902.666666666599</v>
      </c>
      <c r="B2680" s="1">
        <f ca="1">IFERROR(__xludf.DUMMYFUNCTION("""COMPUTED_VALUE"""),170)</f>
        <v>170</v>
      </c>
      <c r="C2680" s="1">
        <f ca="1">IFERROR(__xludf.DUMMYFUNCTION("""COMPUTED_VALUE"""),172.38)</f>
        <v>172.38</v>
      </c>
      <c r="D2680" s="1">
        <f ca="1">IFERROR(__xludf.DUMMYFUNCTION("""COMPUTED_VALUE"""),167.22)</f>
        <v>167.22</v>
      </c>
      <c r="E2680" s="1">
        <f ca="1">IFERROR(__xludf.DUMMYFUNCTION("""COMPUTED_VALUE"""),170.78)</f>
        <v>170.78</v>
      </c>
      <c r="F2680" s="1">
        <f ca="1">IFERROR(__xludf.DUMMYFUNCTION("""COMPUTED_VALUE"""),231164853)</f>
        <v>231164853</v>
      </c>
    </row>
    <row r="2681" spans="1:6" x14ac:dyDescent="0.35">
      <c r="A2681" s="2">
        <f ca="1">IFERROR(__xludf.DUMMYFUNCTION("""COMPUTED_VALUE"""),45903.6666666666)</f>
        <v>45903.666666666599</v>
      </c>
      <c r="B2681" s="1">
        <f ca="1">IFERROR(__xludf.DUMMYFUNCTION("""COMPUTED_VALUE"""),171.06)</f>
        <v>171.06</v>
      </c>
      <c r="C2681" s="1">
        <f ca="1">IFERROR(__xludf.DUMMYFUNCTION("""COMPUTED_VALUE"""),172.41)</f>
        <v>172.41</v>
      </c>
      <c r="D2681" s="1">
        <f ca="1">IFERROR(__xludf.DUMMYFUNCTION("""COMPUTED_VALUE"""),168.88)</f>
        <v>168.88</v>
      </c>
      <c r="E2681" s="1">
        <f ca="1">IFERROR(__xludf.DUMMYFUNCTION("""COMPUTED_VALUE"""),170.62)</f>
        <v>170.62</v>
      </c>
      <c r="F2681" s="1">
        <f ca="1">IFERROR(__xludf.DUMMYFUNCTION("""COMPUTED_VALUE"""),164424873)</f>
        <v>164424873</v>
      </c>
    </row>
    <row r="2682" spans="1:6" x14ac:dyDescent="0.35">
      <c r="A2682" s="2">
        <f ca="1">IFERROR(__xludf.DUMMYFUNCTION("""COMPUTED_VALUE"""),45904.6666666666)</f>
        <v>45904.666666666599</v>
      </c>
      <c r="B2682" s="1">
        <f ca="1">IFERROR(__xludf.DUMMYFUNCTION("""COMPUTED_VALUE"""),170.57)</f>
        <v>170.57</v>
      </c>
      <c r="C2682" s="1">
        <f ca="1">IFERROR(__xludf.DUMMYFUNCTION("""COMPUTED_VALUE"""),171.86)</f>
        <v>171.86</v>
      </c>
      <c r="D2682" s="1">
        <f ca="1">IFERROR(__xludf.DUMMYFUNCTION("""COMPUTED_VALUE"""),169.41)</f>
        <v>169.41</v>
      </c>
      <c r="E2682" s="1">
        <f ca="1">IFERROR(__xludf.DUMMYFUNCTION("""COMPUTED_VALUE"""),171.66)</f>
        <v>171.66</v>
      </c>
      <c r="F2682" s="1">
        <f ca="1">IFERROR(__xludf.DUMMYFUNCTION("""COMPUTED_VALUE"""),141670144)</f>
        <v>141670144</v>
      </c>
    </row>
    <row r="2683" spans="1:6" x14ac:dyDescent="0.35">
      <c r="A2683" s="2">
        <f ca="1">IFERROR(__xludf.DUMMYFUNCTION("""COMPUTED_VALUE"""),45905.6666666666)</f>
        <v>45905.666666666599</v>
      </c>
      <c r="B2683" s="1">
        <f ca="1">IFERROR(__xludf.DUMMYFUNCTION("""COMPUTED_VALUE"""),168.03)</f>
        <v>168.03</v>
      </c>
      <c r="C2683" s="1">
        <f ca="1">IFERROR(__xludf.DUMMYFUNCTION("""COMPUTED_VALUE"""),169.03)</f>
        <v>169.03</v>
      </c>
      <c r="D2683" s="1">
        <f ca="1">IFERROR(__xludf.DUMMYFUNCTION("""COMPUTED_VALUE"""),164.07)</f>
        <v>164.07</v>
      </c>
      <c r="E2683" s="1">
        <f ca="1">IFERROR(__xludf.DUMMYFUNCTION("""COMPUTED_VALUE"""),167.02)</f>
        <v>167.02</v>
      </c>
      <c r="F2683" s="1">
        <f ca="1">IFERROR(__xludf.DUMMYFUNCTION("""COMPUTED_VALUE"""),224441435)</f>
        <v>224441435</v>
      </c>
    </row>
    <row r="2684" spans="1:6" x14ac:dyDescent="0.35">
      <c r="A2684" s="2">
        <f ca="1">IFERROR(__xludf.DUMMYFUNCTION("""COMPUTED_VALUE"""),45908.6666666666)</f>
        <v>45908.666666666599</v>
      </c>
      <c r="B2684" s="1">
        <f ca="1">IFERROR(__xludf.DUMMYFUNCTION("""COMPUTED_VALUE"""),167.55)</f>
        <v>167.55</v>
      </c>
      <c r="C2684" s="1">
        <f ca="1">IFERROR(__xludf.DUMMYFUNCTION("""COMPUTED_VALUE"""),170.96)</f>
        <v>170.96</v>
      </c>
      <c r="D2684" s="1">
        <f ca="1">IFERROR(__xludf.DUMMYFUNCTION("""COMPUTED_VALUE"""),167.35)</f>
        <v>167.35</v>
      </c>
      <c r="E2684" s="1">
        <f ca="1">IFERROR(__xludf.DUMMYFUNCTION("""COMPUTED_VALUE"""),168.31)</f>
        <v>168.31</v>
      </c>
      <c r="F2684" s="1">
        <f ca="1">IFERROR(__xludf.DUMMYFUNCTION("""COMPUTED_VALUE"""),163769133)</f>
        <v>163769133</v>
      </c>
    </row>
    <row r="2685" spans="1:6" x14ac:dyDescent="0.35">
      <c r="A2685" s="2">
        <f ca="1">IFERROR(__xludf.DUMMYFUNCTION("""COMPUTED_VALUE"""),45909.6666666666)</f>
        <v>45909.666666666599</v>
      </c>
      <c r="B2685" s="1">
        <f ca="1">IFERROR(__xludf.DUMMYFUNCTION("""COMPUTED_VALUE"""),169.09)</f>
        <v>169.09</v>
      </c>
      <c r="C2685" s="1">
        <f ca="1">IFERROR(__xludf.DUMMYFUNCTION("""COMPUTED_VALUE"""),170.98)</f>
        <v>170.98</v>
      </c>
      <c r="D2685" s="1">
        <f ca="1">IFERROR(__xludf.DUMMYFUNCTION("""COMPUTED_VALUE"""),166.74)</f>
        <v>166.74</v>
      </c>
      <c r="E2685" s="1">
        <f ca="1">IFERROR(__xludf.DUMMYFUNCTION("""COMPUTED_VALUE"""),170.76)</f>
        <v>170.76</v>
      </c>
      <c r="F2685" s="1">
        <f ca="1">IFERROR(__xludf.DUMMYFUNCTION("""COMPUTED_VALUE"""),157548392)</f>
        <v>157548392</v>
      </c>
    </row>
    <row r="2686" spans="1:6" x14ac:dyDescent="0.35">
      <c r="A2686" s="2">
        <f ca="1">IFERROR(__xludf.DUMMYFUNCTION("""COMPUTED_VALUE"""),45910.6666666666)</f>
        <v>45910.666666666599</v>
      </c>
      <c r="B2686" s="1">
        <f ca="1">IFERROR(__xludf.DUMMYFUNCTION("""COMPUTED_VALUE"""),176.64)</f>
        <v>176.64</v>
      </c>
      <c r="C2686" s="1">
        <f ca="1">IFERROR(__xludf.DUMMYFUNCTION("""COMPUTED_VALUE"""),179.29)</f>
        <v>179.29</v>
      </c>
      <c r="D2686" s="1">
        <f ca="1">IFERROR(__xludf.DUMMYFUNCTION("""COMPUTED_VALUE"""),175.47)</f>
        <v>175.47</v>
      </c>
      <c r="E2686" s="1">
        <f ca="1">IFERROR(__xludf.DUMMYFUNCTION("""COMPUTED_VALUE"""),177.33)</f>
        <v>177.33</v>
      </c>
      <c r="F2686" s="1">
        <f ca="1">IFERROR(__xludf.DUMMYFUNCTION("""COMPUTED_VALUE"""),226852020)</f>
        <v>226852020</v>
      </c>
    </row>
    <row r="2687" spans="1:6" x14ac:dyDescent="0.35">
      <c r="A2687" s="2">
        <f ca="1">IFERROR(__xludf.DUMMYFUNCTION("""COMPUTED_VALUE"""),45911.6666666666)</f>
        <v>45911.666666666599</v>
      </c>
      <c r="B2687" s="1">
        <f ca="1">IFERROR(__xludf.DUMMYFUNCTION("""COMPUTED_VALUE"""),179.68)</f>
        <v>179.68</v>
      </c>
      <c r="C2687" s="1">
        <f ca="1">IFERROR(__xludf.DUMMYFUNCTION("""COMPUTED_VALUE"""),180.28)</f>
        <v>180.28</v>
      </c>
      <c r="D2687" s="1">
        <f ca="1">IFERROR(__xludf.DUMMYFUNCTION("""COMPUTED_VALUE"""),176.48)</f>
        <v>176.48</v>
      </c>
      <c r="E2687" s="1">
        <f ca="1">IFERROR(__xludf.DUMMYFUNCTION("""COMPUTED_VALUE"""),177.17)</f>
        <v>177.17</v>
      </c>
      <c r="F2687" s="1">
        <f ca="1">IFERROR(__xludf.DUMMYFUNCTION("""COMPUTED_VALUE"""),151159274)</f>
        <v>151159274</v>
      </c>
    </row>
    <row r="2688" spans="1:6" x14ac:dyDescent="0.35">
      <c r="A2688" s="2">
        <f ca="1">IFERROR(__xludf.DUMMYFUNCTION("""COMPUTED_VALUE"""),45912.6666666666)</f>
        <v>45912.666666666599</v>
      </c>
      <c r="B2688" s="1">
        <f ca="1">IFERROR(__xludf.DUMMYFUNCTION("""COMPUTED_VALUE"""),177.77)</f>
        <v>177.77</v>
      </c>
      <c r="C2688" s="1">
        <f ca="1">IFERROR(__xludf.DUMMYFUNCTION("""COMPUTED_VALUE"""),178.6)</f>
        <v>178.6</v>
      </c>
      <c r="D2688" s="1">
        <f ca="1">IFERROR(__xludf.DUMMYFUNCTION("""COMPUTED_VALUE"""),176.45)</f>
        <v>176.45</v>
      </c>
      <c r="E2688" s="1">
        <f ca="1">IFERROR(__xludf.DUMMYFUNCTION("""COMPUTED_VALUE"""),177.82)</f>
        <v>177.82</v>
      </c>
      <c r="F2688" s="1">
        <f ca="1">IFERROR(__xludf.DUMMYFUNCTION("""COMPUTED_VALUE"""),124911026)</f>
        <v>124911026</v>
      </c>
    </row>
    <row r="2689" spans="1:6" x14ac:dyDescent="0.35">
      <c r="A2689" s="2">
        <f ca="1">IFERROR(__xludf.DUMMYFUNCTION("""COMPUTED_VALUE"""),45915.6666666666)</f>
        <v>45915.666666666599</v>
      </c>
      <c r="B2689" s="1">
        <f ca="1">IFERROR(__xludf.DUMMYFUNCTION("""COMPUTED_VALUE"""),175.67)</f>
        <v>175.67</v>
      </c>
      <c r="C2689" s="1">
        <f ca="1">IFERROR(__xludf.DUMMYFUNCTION("""COMPUTED_VALUE"""),178.85)</f>
        <v>178.85</v>
      </c>
      <c r="D2689" s="1">
        <f ca="1">IFERROR(__xludf.DUMMYFUNCTION("""COMPUTED_VALUE"""),174.51)</f>
        <v>174.51</v>
      </c>
      <c r="E2689" s="1">
        <f ca="1">IFERROR(__xludf.DUMMYFUNCTION("""COMPUTED_VALUE"""),177.75)</f>
        <v>177.75</v>
      </c>
      <c r="F2689" s="1">
        <f ca="1">IFERROR(__xludf.DUMMYFUNCTION("""COMPUTED_VALUE"""),147061559)</f>
        <v>147061559</v>
      </c>
    </row>
    <row r="2690" spans="1:6" x14ac:dyDescent="0.35">
      <c r="A2690" s="2">
        <f ca="1">IFERROR(__xludf.DUMMYFUNCTION("""COMPUTED_VALUE"""),45916.6666666666)</f>
        <v>45916.666666666599</v>
      </c>
      <c r="B2690" s="1">
        <f ca="1">IFERROR(__xludf.DUMMYFUNCTION("""COMPUTED_VALUE"""),177)</f>
        <v>177</v>
      </c>
      <c r="C2690" s="1">
        <f ca="1">IFERROR(__xludf.DUMMYFUNCTION("""COMPUTED_VALUE"""),177.5)</f>
        <v>177.5</v>
      </c>
      <c r="D2690" s="1">
        <f ca="1">IFERROR(__xludf.DUMMYFUNCTION("""COMPUTED_VALUE"""),174.38)</f>
        <v>174.38</v>
      </c>
      <c r="E2690" s="1">
        <f ca="1">IFERROR(__xludf.DUMMYFUNCTION("""COMPUTED_VALUE"""),174.88)</f>
        <v>174.88</v>
      </c>
      <c r="F2690" s="1">
        <f ca="1">IFERROR(__xludf.DUMMYFUNCTION("""COMPUTED_VALUE"""),140737775)</f>
        <v>140737775</v>
      </c>
    </row>
    <row r="2691" spans="1:6" x14ac:dyDescent="0.35">
      <c r="A2691" s="2">
        <f ca="1">IFERROR(__xludf.DUMMYFUNCTION("""COMPUTED_VALUE"""),45917.6666666666)</f>
        <v>45917.666666666599</v>
      </c>
      <c r="B2691" s="1">
        <f ca="1">IFERROR(__xludf.DUMMYFUNCTION("""COMPUTED_VALUE"""),172.64)</f>
        <v>172.64</v>
      </c>
      <c r="C2691" s="1">
        <f ca="1">IFERROR(__xludf.DUMMYFUNCTION("""COMPUTED_VALUE"""),173.2)</f>
        <v>173.2</v>
      </c>
      <c r="D2691" s="1">
        <f ca="1">IFERROR(__xludf.DUMMYFUNCTION("""COMPUTED_VALUE"""),168.41)</f>
        <v>168.41</v>
      </c>
      <c r="E2691" s="1">
        <f ca="1">IFERROR(__xludf.DUMMYFUNCTION("""COMPUTED_VALUE"""),170.29)</f>
        <v>170.29</v>
      </c>
      <c r="F2691" s="1">
        <f ca="1">IFERROR(__xludf.DUMMYFUNCTION("""COMPUTED_VALUE"""),211843817)</f>
        <v>211843817</v>
      </c>
    </row>
    <row r="2692" spans="1:6" x14ac:dyDescent="0.35">
      <c r="A2692" s="2">
        <f ca="1">IFERROR(__xludf.DUMMYFUNCTION("""COMPUTED_VALUE"""),45918.6666666666)</f>
        <v>45918.666666666599</v>
      </c>
      <c r="B2692" s="1">
        <f ca="1">IFERROR(__xludf.DUMMYFUNCTION("""COMPUTED_VALUE"""),173.98)</f>
        <v>173.98</v>
      </c>
      <c r="C2692" s="1">
        <f ca="1">IFERROR(__xludf.DUMMYFUNCTION("""COMPUTED_VALUE"""),177.1)</f>
        <v>177.1</v>
      </c>
      <c r="D2692" s="1">
        <f ca="1">IFERROR(__xludf.DUMMYFUNCTION("""COMPUTED_VALUE"""),172.96)</f>
        <v>172.96</v>
      </c>
      <c r="E2692" s="1">
        <f ca="1">IFERROR(__xludf.DUMMYFUNCTION("""COMPUTED_VALUE"""),176.24)</f>
        <v>176.24</v>
      </c>
      <c r="F2692" s="1">
        <f ca="1">IFERROR(__xludf.DUMMYFUNCTION("""COMPUTED_VALUE"""),191763313)</f>
        <v>191763313</v>
      </c>
    </row>
    <row r="2693" spans="1:6" x14ac:dyDescent="0.35">
      <c r="A2693" s="2">
        <f ca="1">IFERROR(__xludf.DUMMYFUNCTION("""COMPUTED_VALUE"""),45919.6666666666)</f>
        <v>45919.666666666599</v>
      </c>
      <c r="B2693" s="1">
        <f ca="1">IFERROR(__xludf.DUMMYFUNCTION("""COMPUTED_VALUE"""),175.77)</f>
        <v>175.77</v>
      </c>
      <c r="C2693" s="1">
        <f ca="1">IFERROR(__xludf.DUMMYFUNCTION("""COMPUTED_VALUE"""),178.08)</f>
        <v>178.08</v>
      </c>
      <c r="D2693" s="1">
        <f ca="1">IFERROR(__xludf.DUMMYFUNCTION("""COMPUTED_VALUE"""),175.18)</f>
        <v>175.18</v>
      </c>
      <c r="E2693" s="1">
        <f ca="1">IFERROR(__xludf.DUMMYFUNCTION("""COMPUTED_VALUE"""),176.67)</f>
        <v>176.67</v>
      </c>
      <c r="F2693" s="1">
        <f ca="1">IFERROR(__xludf.DUMMYFUNCTION("""COMPUTED_VALUE"""),237182143)</f>
        <v>237182143</v>
      </c>
    </row>
    <row r="2694" spans="1:6" x14ac:dyDescent="0.35">
      <c r="A2694" s="2">
        <f ca="1">IFERROR(__xludf.DUMMYFUNCTION("""COMPUTED_VALUE"""),45922.6666666666)</f>
        <v>45922.666666666599</v>
      </c>
      <c r="B2694" s="1">
        <f ca="1">IFERROR(__xludf.DUMMYFUNCTION("""COMPUTED_VALUE"""),175.3)</f>
        <v>175.3</v>
      </c>
      <c r="C2694" s="1">
        <f ca="1">IFERROR(__xludf.DUMMYFUNCTION("""COMPUTED_VALUE"""),184.55)</f>
        <v>184.55</v>
      </c>
      <c r="D2694" s="1">
        <f ca="1">IFERROR(__xludf.DUMMYFUNCTION("""COMPUTED_VALUE"""),174.71)</f>
        <v>174.71</v>
      </c>
      <c r="E2694" s="1">
        <f ca="1">IFERROR(__xludf.DUMMYFUNCTION("""COMPUTED_VALUE"""),183.61)</f>
        <v>183.61</v>
      </c>
      <c r="F2694" s="1">
        <f ca="1">IFERROR(__xludf.DUMMYFUNCTION("""COMPUTED_VALUE"""),269637001)</f>
        <v>269637001</v>
      </c>
    </row>
    <row r="2695" spans="1:6" x14ac:dyDescent="0.35">
      <c r="A2695" s="2">
        <f ca="1">IFERROR(__xludf.DUMMYFUNCTION("""COMPUTED_VALUE"""),45923.6666666666)</f>
        <v>45923.666666666599</v>
      </c>
      <c r="B2695" s="1">
        <f ca="1">IFERROR(__xludf.DUMMYFUNCTION("""COMPUTED_VALUE"""),181.97)</f>
        <v>181.97</v>
      </c>
      <c r="C2695" s="1">
        <f ca="1">IFERROR(__xludf.DUMMYFUNCTION("""COMPUTED_VALUE"""),182.42)</f>
        <v>182.42</v>
      </c>
      <c r="D2695" s="1">
        <f ca="1">IFERROR(__xludf.DUMMYFUNCTION("""COMPUTED_VALUE"""),176.21)</f>
        <v>176.21</v>
      </c>
      <c r="E2695" s="1">
        <f ca="1">IFERROR(__xludf.DUMMYFUNCTION("""COMPUTED_VALUE"""),178.43)</f>
        <v>178.43</v>
      </c>
      <c r="F2695" s="1">
        <f ca="1">IFERROR(__xludf.DUMMYFUNCTION("""COMPUTED_VALUE"""),192559552)</f>
        <v>192559552</v>
      </c>
    </row>
    <row r="2696" spans="1:6" x14ac:dyDescent="0.35">
      <c r="A2696" s="2">
        <f ca="1">IFERROR(__xludf.DUMMYFUNCTION("""COMPUTED_VALUE"""),45924.6666666666)</f>
        <v>45924.666666666599</v>
      </c>
      <c r="B2696" s="1">
        <f ca="1">IFERROR(__xludf.DUMMYFUNCTION("""COMPUTED_VALUE"""),179.77)</f>
        <v>179.77</v>
      </c>
      <c r="C2696" s="1">
        <f ca="1">IFERROR(__xludf.DUMMYFUNCTION("""COMPUTED_VALUE"""),179.78)</f>
        <v>179.78</v>
      </c>
      <c r="D2696" s="1">
        <f ca="1">IFERROR(__xludf.DUMMYFUNCTION("""COMPUTED_VALUE"""),175.4)</f>
        <v>175.4</v>
      </c>
      <c r="E2696" s="1">
        <f ca="1">IFERROR(__xludf.DUMMYFUNCTION("""COMPUTED_VALUE"""),176.97)</f>
        <v>176.97</v>
      </c>
      <c r="F2696" s="1">
        <f ca="1">IFERROR(__xludf.DUMMYFUNCTION("""COMPUTED_VALUE"""),143564116)</f>
        <v>143564116</v>
      </c>
    </row>
    <row r="2697" spans="1:6" x14ac:dyDescent="0.35">
      <c r="A2697" s="2">
        <f ca="1">IFERROR(__xludf.DUMMYFUNCTION("""COMPUTED_VALUE"""),45925.6666666666)</f>
        <v>45925.666666666599</v>
      </c>
      <c r="B2697" s="1">
        <f ca="1">IFERROR(__xludf.DUMMYFUNCTION("""COMPUTED_VALUE"""),174.48)</f>
        <v>174.48</v>
      </c>
      <c r="C2697" s="1">
        <f ca="1">IFERROR(__xludf.DUMMYFUNCTION("""COMPUTED_VALUE"""),180.26)</f>
        <v>180.26</v>
      </c>
      <c r="D2697" s="1">
        <f ca="1">IFERROR(__xludf.DUMMYFUNCTION("""COMPUTED_VALUE"""),173.13)</f>
        <v>173.13</v>
      </c>
      <c r="E2697" s="1">
        <f ca="1">IFERROR(__xludf.DUMMYFUNCTION("""COMPUTED_VALUE"""),177.69)</f>
        <v>177.69</v>
      </c>
      <c r="F2697" s="1">
        <f ca="1">IFERROR(__xludf.DUMMYFUNCTION("""COMPUTED_VALUE"""),191586733)</f>
        <v>191586733</v>
      </c>
    </row>
    <row r="2698" spans="1:6" x14ac:dyDescent="0.35">
      <c r="A2698" s="2">
        <f ca="1">IFERROR(__xludf.DUMMYFUNCTION("""COMPUTED_VALUE"""),45926.6666666666)</f>
        <v>45926.666666666599</v>
      </c>
      <c r="B2698" s="1">
        <f ca="1">IFERROR(__xludf.DUMMYFUNCTION("""COMPUTED_VALUE"""),178.17)</f>
        <v>178.17</v>
      </c>
      <c r="C2698" s="1">
        <f ca="1">IFERROR(__xludf.DUMMYFUNCTION("""COMPUTED_VALUE"""),179.77)</f>
        <v>179.77</v>
      </c>
      <c r="D2698" s="1">
        <f ca="1">IFERROR(__xludf.DUMMYFUNCTION("""COMPUTED_VALUE"""),174.93)</f>
        <v>174.93</v>
      </c>
      <c r="E2698" s="1">
        <f ca="1">IFERROR(__xludf.DUMMYFUNCTION("""COMPUTED_VALUE"""),178.19)</f>
        <v>178.19</v>
      </c>
      <c r="F2698" s="1">
        <f ca="1">IFERROR(__xludf.DUMMYFUNCTION("""COMPUTED_VALUE"""),148573732)</f>
        <v>148573732</v>
      </c>
    </row>
    <row r="2699" spans="1:6" x14ac:dyDescent="0.35">
      <c r="A2699" s="2">
        <f ca="1">IFERROR(__xludf.DUMMYFUNCTION("""COMPUTED_VALUE"""),45929.6666666666)</f>
        <v>45929.666666666599</v>
      </c>
      <c r="B2699" s="1">
        <f ca="1">IFERROR(__xludf.DUMMYFUNCTION("""COMPUTED_VALUE"""),180.43)</f>
        <v>180.43</v>
      </c>
      <c r="C2699" s="1">
        <f ca="1">IFERROR(__xludf.DUMMYFUNCTION("""COMPUTED_VALUE"""),184)</f>
        <v>184</v>
      </c>
      <c r="D2699" s="1">
        <f ca="1">IFERROR(__xludf.DUMMYFUNCTION("""COMPUTED_VALUE"""),180.32)</f>
        <v>180.32</v>
      </c>
      <c r="E2699" s="1">
        <f ca="1">IFERROR(__xludf.DUMMYFUNCTION("""COMPUTED_VALUE"""),181.85)</f>
        <v>181.85</v>
      </c>
      <c r="F2699" s="1">
        <f ca="1">IFERROR(__xludf.DUMMYFUNCTION("""COMPUTED_VALUE"""),193063455)</f>
        <v>193063455</v>
      </c>
    </row>
    <row r="2700" spans="1:6" x14ac:dyDescent="0.35">
      <c r="A2700" s="2">
        <f ca="1">IFERROR(__xludf.DUMMYFUNCTION("""COMPUTED_VALUE"""),45930.6666666666)</f>
        <v>45930.666666666599</v>
      </c>
      <c r="B2700" s="1">
        <f ca="1">IFERROR(__xludf.DUMMYFUNCTION("""COMPUTED_VALUE"""),182.08)</f>
        <v>182.08</v>
      </c>
      <c r="C2700" s="1">
        <f ca="1">IFERROR(__xludf.DUMMYFUNCTION("""COMPUTED_VALUE"""),187.35)</f>
        <v>187.35</v>
      </c>
      <c r="D2700" s="1">
        <f ca="1">IFERROR(__xludf.DUMMYFUNCTION("""COMPUTED_VALUE"""),181.48)</f>
        <v>181.48</v>
      </c>
      <c r="E2700" s="1">
        <f ca="1">IFERROR(__xludf.DUMMYFUNCTION("""COMPUTED_VALUE"""),186.58)</f>
        <v>186.58</v>
      </c>
      <c r="F2700" s="1">
        <f ca="1">IFERROR(__xludf.DUMMYFUNCTION("""COMPUTED_VALUE"""),236981032)</f>
        <v>236981032</v>
      </c>
    </row>
    <row r="2701" spans="1:6" x14ac:dyDescent="0.35">
      <c r="A2701" s="2">
        <f ca="1">IFERROR(__xludf.DUMMYFUNCTION("""COMPUTED_VALUE"""),45931.6666666666)</f>
        <v>45931.666666666599</v>
      </c>
      <c r="B2701" s="1">
        <f ca="1">IFERROR(__xludf.DUMMYFUNCTION("""COMPUTED_VALUE"""),185.24)</f>
        <v>185.24</v>
      </c>
      <c r="C2701" s="1">
        <f ca="1">IFERROR(__xludf.DUMMYFUNCTION("""COMPUTED_VALUE"""),188.14)</f>
        <v>188.14</v>
      </c>
      <c r="D2701" s="1">
        <f ca="1">IFERROR(__xludf.DUMMYFUNCTION("""COMPUTED_VALUE"""),183.9)</f>
        <v>183.9</v>
      </c>
      <c r="E2701" s="1">
        <f ca="1">IFERROR(__xludf.DUMMYFUNCTION("""COMPUTED_VALUE"""),187.24)</f>
        <v>187.24</v>
      </c>
      <c r="F2701" s="1">
        <f ca="1">IFERROR(__xludf.DUMMYFUNCTION("""COMPUTED_VALUE"""),173844901)</f>
        <v>173844901</v>
      </c>
    </row>
    <row r="2702" spans="1:6" x14ac:dyDescent="0.35">
      <c r="A2702" s="2">
        <f ca="1">IFERROR(__xludf.DUMMYFUNCTION("""COMPUTED_VALUE"""),45932.6666666666)</f>
        <v>45932.666666666599</v>
      </c>
      <c r="B2702" s="1">
        <f ca="1">IFERROR(__xludf.DUMMYFUNCTION("""COMPUTED_VALUE"""),189.6)</f>
        <v>189.6</v>
      </c>
      <c r="C2702" s="1">
        <f ca="1">IFERROR(__xludf.DUMMYFUNCTION("""COMPUTED_VALUE"""),191.05)</f>
        <v>191.05</v>
      </c>
      <c r="D2702" s="1">
        <f ca="1">IFERROR(__xludf.DUMMYFUNCTION("""COMPUTED_VALUE"""),188.06)</f>
        <v>188.06</v>
      </c>
      <c r="E2702" s="1">
        <f ca="1">IFERROR(__xludf.DUMMYFUNCTION("""COMPUTED_VALUE"""),188.89)</f>
        <v>188.89</v>
      </c>
      <c r="F2702" s="1">
        <f ca="1">IFERROR(__xludf.DUMMYFUNCTION("""COMPUTED_VALUE"""),136805821)</f>
        <v>136805821</v>
      </c>
    </row>
    <row r="2703" spans="1:6" x14ac:dyDescent="0.35">
      <c r="A2703" s="2">
        <f ca="1">IFERROR(__xludf.DUMMYFUNCTION("""COMPUTED_VALUE"""),45933.6666666666)</f>
        <v>45933.666666666599</v>
      </c>
      <c r="B2703" s="1">
        <f ca="1">IFERROR(__xludf.DUMMYFUNCTION("""COMPUTED_VALUE"""),189.19)</f>
        <v>189.19</v>
      </c>
      <c r="C2703" s="1">
        <f ca="1">IFERROR(__xludf.DUMMYFUNCTION("""COMPUTED_VALUE"""),190.36)</f>
        <v>190.36</v>
      </c>
      <c r="D2703" s="1">
        <f ca="1">IFERROR(__xludf.DUMMYFUNCTION("""COMPUTED_VALUE"""),185.38)</f>
        <v>185.38</v>
      </c>
      <c r="E2703" s="1">
        <f ca="1">IFERROR(__xludf.DUMMYFUNCTION("""COMPUTED_VALUE"""),187.62)</f>
        <v>187.62</v>
      </c>
      <c r="F2703" s="1">
        <f ca="1">IFERROR(__xludf.DUMMYFUNCTION("""COMPUTED_VALUE"""),137596896)</f>
        <v>137596896</v>
      </c>
    </row>
    <row r="2704" spans="1:6" x14ac:dyDescent="0.35">
      <c r="A2704" s="2">
        <f ca="1">IFERROR(__xludf.DUMMYFUNCTION("""COMPUTED_VALUE"""),45936.6666666666)</f>
        <v>45936.666666666599</v>
      </c>
      <c r="B2704" s="1">
        <f ca="1">IFERROR(__xludf.DUMMYFUNCTION("""COMPUTED_VALUE"""),185.5)</f>
        <v>185.5</v>
      </c>
      <c r="C2704" s="1">
        <f ca="1">IFERROR(__xludf.DUMMYFUNCTION("""COMPUTED_VALUE"""),187.23)</f>
        <v>187.23</v>
      </c>
      <c r="D2704" s="1">
        <f ca="1">IFERROR(__xludf.DUMMYFUNCTION("""COMPUTED_VALUE"""),183.33)</f>
        <v>183.33</v>
      </c>
      <c r="E2704" s="1">
        <f ca="1">IFERROR(__xludf.DUMMYFUNCTION("""COMPUTED_VALUE"""),185.54)</f>
        <v>185.54</v>
      </c>
      <c r="F2704" s="1">
        <f ca="1">IFERROR(__xludf.DUMMYFUNCTION("""COMPUTED_VALUE"""),157678104)</f>
        <v>157678104</v>
      </c>
    </row>
    <row r="2705" spans="1:6" x14ac:dyDescent="0.35">
      <c r="A2705" s="2">
        <f ca="1">IFERROR(__xludf.DUMMYFUNCTION("""COMPUTED_VALUE"""),45937.6666666666)</f>
        <v>45937.666666666599</v>
      </c>
      <c r="B2705" s="1">
        <f ca="1">IFERROR(__xludf.DUMMYFUNCTION("""COMPUTED_VALUE"""),186.23)</f>
        <v>186.23</v>
      </c>
      <c r="C2705" s="1">
        <f ca="1">IFERROR(__xludf.DUMMYFUNCTION("""COMPUTED_VALUE"""),189.06)</f>
        <v>189.06</v>
      </c>
      <c r="D2705" s="1">
        <f ca="1">IFERROR(__xludf.DUMMYFUNCTION("""COMPUTED_VALUE"""),184)</f>
        <v>184</v>
      </c>
      <c r="E2705" s="1">
        <f ca="1">IFERROR(__xludf.DUMMYFUNCTION("""COMPUTED_VALUE"""),185.04)</f>
        <v>185.04</v>
      </c>
      <c r="F2705" s="1">
        <f ca="1">IFERROR(__xludf.DUMMYFUNCTION("""COMPUTED_VALUE"""),140088008)</f>
        <v>140088008</v>
      </c>
    </row>
    <row r="2706" spans="1:6" x14ac:dyDescent="0.35">
      <c r="A2706" s="2">
        <f ca="1">IFERROR(__xludf.DUMMYFUNCTION("""COMPUTED_VALUE"""),45938.6666666666)</f>
        <v>45938.666666666599</v>
      </c>
      <c r="B2706" s="1">
        <f ca="1">IFERROR(__xludf.DUMMYFUNCTION("""COMPUTED_VALUE"""),186.57)</f>
        <v>186.57</v>
      </c>
      <c r="C2706" s="1">
        <f ca="1">IFERROR(__xludf.DUMMYFUNCTION("""COMPUTED_VALUE"""),189.6)</f>
        <v>189.6</v>
      </c>
      <c r="D2706" s="1">
        <f ca="1">IFERROR(__xludf.DUMMYFUNCTION("""COMPUTED_VALUE"""),186.54)</f>
        <v>186.54</v>
      </c>
      <c r="E2706" s="1">
        <f ca="1">IFERROR(__xludf.DUMMYFUNCTION("""COMPUTED_VALUE"""),189.11)</f>
        <v>189.11</v>
      </c>
      <c r="F2706" s="1">
        <f ca="1">IFERROR(__xludf.DUMMYFUNCTION("""COMPUTED_VALUE"""),130168861)</f>
        <v>130168861</v>
      </c>
    </row>
    <row r="2707" spans="1:6" x14ac:dyDescent="0.35">
      <c r="A2707" s="2">
        <f ca="1">IFERROR(__xludf.DUMMYFUNCTION("""COMPUTED_VALUE"""),45939.6666666666)</f>
        <v>45939.666666666599</v>
      </c>
      <c r="B2707" s="1">
        <f ca="1">IFERROR(__xludf.DUMMYFUNCTION("""COMPUTED_VALUE"""),192.23)</f>
        <v>192.23</v>
      </c>
      <c r="C2707" s="1">
        <f ca="1">IFERROR(__xludf.DUMMYFUNCTION("""COMPUTED_VALUE"""),195.3)</f>
        <v>195.3</v>
      </c>
      <c r="D2707" s="1">
        <f ca="1">IFERROR(__xludf.DUMMYFUNCTION("""COMPUTED_VALUE"""),191.06)</f>
        <v>191.06</v>
      </c>
      <c r="E2707" s="1">
        <f ca="1">IFERROR(__xludf.DUMMYFUNCTION("""COMPUTED_VALUE"""),192.57)</f>
        <v>192.57</v>
      </c>
      <c r="F2707" s="1">
        <f ca="1">IFERROR(__xludf.DUMMYFUNCTION("""COMPUTED_VALUE"""),182997234)</f>
        <v>182997234</v>
      </c>
    </row>
    <row r="2708" spans="1:6" x14ac:dyDescent="0.35">
      <c r="A2708" s="2">
        <f ca="1">IFERROR(__xludf.DUMMYFUNCTION("""COMPUTED_VALUE"""),45940.6666666666)</f>
        <v>45940.666666666599</v>
      </c>
      <c r="B2708" s="1">
        <f ca="1">IFERROR(__xludf.DUMMYFUNCTION("""COMPUTED_VALUE"""),193.51)</f>
        <v>193.51</v>
      </c>
      <c r="C2708" s="1">
        <f ca="1">IFERROR(__xludf.DUMMYFUNCTION("""COMPUTED_VALUE"""),195.62)</f>
        <v>195.62</v>
      </c>
      <c r="D2708" s="1">
        <f ca="1">IFERROR(__xludf.DUMMYFUNCTION("""COMPUTED_VALUE"""),182.05)</f>
        <v>182.05</v>
      </c>
      <c r="E2708" s="1">
        <f ca="1">IFERROR(__xludf.DUMMYFUNCTION("""COMPUTED_VALUE"""),183.16)</f>
        <v>183.16</v>
      </c>
      <c r="F2708" s="1">
        <f ca="1">IFERROR(__xludf.DUMMYFUNCTION("""COMPUTED_VALUE"""),268774359)</f>
        <v>268774359</v>
      </c>
    </row>
    <row r="2709" spans="1:6" x14ac:dyDescent="0.35">
      <c r="A2709" s="2">
        <f ca="1">IFERROR(__xludf.DUMMYFUNCTION("""COMPUTED_VALUE"""),45943.6666666666)</f>
        <v>45943.666666666599</v>
      </c>
      <c r="B2709" s="1">
        <f ca="1">IFERROR(__xludf.DUMMYFUNCTION("""COMPUTED_VALUE"""),187.97)</f>
        <v>187.97</v>
      </c>
      <c r="C2709" s="1">
        <f ca="1">IFERROR(__xludf.DUMMYFUNCTION("""COMPUTED_VALUE"""),190.11)</f>
        <v>190.11</v>
      </c>
      <c r="D2709" s="1">
        <f ca="1">IFERROR(__xludf.DUMMYFUNCTION("""COMPUTED_VALUE"""),185.96)</f>
        <v>185.96</v>
      </c>
      <c r="E2709" s="1">
        <f ca="1">IFERROR(__xludf.DUMMYFUNCTION("""COMPUTED_VALUE"""),188.32)</f>
        <v>188.32</v>
      </c>
      <c r="F2709" s="1">
        <f ca="1">IFERROR(__xludf.DUMMYFUNCTION("""COMPUTED_VALUE"""),153482755)</f>
        <v>153482755</v>
      </c>
    </row>
    <row r="2710" spans="1:6" x14ac:dyDescent="0.35">
      <c r="A2710" s="2">
        <f ca="1">IFERROR(__xludf.DUMMYFUNCTION("""COMPUTED_VALUE"""),45944.6666666666)</f>
        <v>45944.666666666599</v>
      </c>
      <c r="B2710" s="1">
        <f ca="1">IFERROR(__xludf.DUMMYFUNCTION("""COMPUTED_VALUE"""),184.77)</f>
        <v>184.77</v>
      </c>
      <c r="C2710" s="1">
        <f ca="1">IFERROR(__xludf.DUMMYFUNCTION("""COMPUTED_VALUE"""),184.8)</f>
        <v>184.8</v>
      </c>
      <c r="D2710" s="1">
        <f ca="1">IFERROR(__xludf.DUMMYFUNCTION("""COMPUTED_VALUE"""),179.7)</f>
        <v>179.7</v>
      </c>
      <c r="E2710" s="1">
        <f ca="1">IFERROR(__xludf.DUMMYFUNCTION("""COMPUTED_VALUE"""),180.03)</f>
        <v>180.03</v>
      </c>
      <c r="F2710" s="1">
        <f ca="1">IFERROR(__xludf.DUMMYFUNCTION("""COMPUTED_VALUE"""),205641380)</f>
        <v>205641380</v>
      </c>
    </row>
    <row r="2711" spans="1:6" x14ac:dyDescent="0.35">
      <c r="A2711" s="2">
        <f ca="1">IFERROR(__xludf.DUMMYFUNCTION("""COMPUTED_VALUE"""),45945.6666666666)</f>
        <v>45945.666666666599</v>
      </c>
      <c r="B2711" s="1">
        <f ca="1">IFERROR(__xludf.DUMMYFUNCTION("""COMPUTED_VALUE"""),184.8)</f>
        <v>184.8</v>
      </c>
      <c r="C2711" s="1">
        <f ca="1">IFERROR(__xludf.DUMMYFUNCTION("""COMPUTED_VALUE"""),184.87)</f>
        <v>184.87</v>
      </c>
      <c r="D2711" s="1">
        <f ca="1">IFERROR(__xludf.DUMMYFUNCTION("""COMPUTED_VALUE"""),177.29)</f>
        <v>177.29</v>
      </c>
      <c r="E2711" s="1">
        <f ca="1">IFERROR(__xludf.DUMMYFUNCTION("""COMPUTED_VALUE"""),179.83)</f>
        <v>179.83</v>
      </c>
      <c r="F2711" s="1">
        <f ca="1">IFERROR(__xludf.DUMMYFUNCTION("""COMPUTED_VALUE"""),214450482)</f>
        <v>214450482</v>
      </c>
    </row>
    <row r="2712" spans="1:6" x14ac:dyDescent="0.35">
      <c r="A2712" s="2">
        <f ca="1">IFERROR(__xludf.DUMMYFUNCTION("""COMPUTED_VALUE"""),45946.6666666666)</f>
        <v>45946.666666666599</v>
      </c>
      <c r="B2712" s="1">
        <f ca="1">IFERROR(__xludf.DUMMYFUNCTION("""COMPUTED_VALUE"""),182.23)</f>
        <v>182.23</v>
      </c>
      <c r="C2712" s="1">
        <f ca="1">IFERROR(__xludf.DUMMYFUNCTION("""COMPUTED_VALUE"""),183.28)</f>
        <v>183.28</v>
      </c>
      <c r="D2712" s="1">
        <f ca="1">IFERROR(__xludf.DUMMYFUNCTION("""COMPUTED_VALUE"""),179.77)</f>
        <v>179.77</v>
      </c>
      <c r="E2712" s="1">
        <f ca="1">IFERROR(__xludf.DUMMYFUNCTION("""COMPUTED_VALUE"""),181.81)</f>
        <v>181.81</v>
      </c>
      <c r="F2712" s="1">
        <f ca="1">IFERROR(__xludf.DUMMYFUNCTION("""COMPUTED_VALUE"""),179723309)</f>
        <v>179723309</v>
      </c>
    </row>
    <row r="2713" spans="1:6" x14ac:dyDescent="0.35">
      <c r="A2713" s="2">
        <f ca="1">IFERROR(__xludf.DUMMYFUNCTION("""COMPUTED_VALUE"""),45947.6666666666)</f>
        <v>45947.666666666599</v>
      </c>
      <c r="B2713" s="1">
        <f ca="1">IFERROR(__xludf.DUMMYFUNCTION("""COMPUTED_VALUE"""),180.18)</f>
        <v>180.18</v>
      </c>
      <c r="C2713" s="1">
        <f ca="1">IFERROR(__xludf.DUMMYFUNCTION("""COMPUTED_VALUE"""),184.1)</f>
        <v>184.1</v>
      </c>
      <c r="D2713" s="1">
        <f ca="1">IFERROR(__xludf.DUMMYFUNCTION("""COMPUTED_VALUE"""),179.75)</f>
        <v>179.75</v>
      </c>
      <c r="E2713" s="1">
        <f ca="1">IFERROR(__xludf.DUMMYFUNCTION("""COMPUTED_VALUE"""),183.22)</f>
        <v>183.22</v>
      </c>
      <c r="F2713" s="1">
        <f ca="1">IFERROR(__xludf.DUMMYFUNCTION("""COMPUTED_VALUE"""),173135217)</f>
        <v>173135217</v>
      </c>
    </row>
    <row r="2714" spans="1:6" x14ac:dyDescent="0.35">
      <c r="A2714" s="2">
        <f ca="1">IFERROR(__xludf.DUMMYFUNCTION("""COMPUTED_VALUE"""),45950.6666666666)</f>
        <v>45950.666666666599</v>
      </c>
      <c r="B2714" s="1">
        <f ca="1">IFERROR(__xludf.DUMMYFUNCTION("""COMPUTED_VALUE"""),183.13)</f>
        <v>183.13</v>
      </c>
      <c r="C2714" s="1">
        <f ca="1">IFERROR(__xludf.DUMMYFUNCTION("""COMPUTED_VALUE"""),185.2)</f>
        <v>185.2</v>
      </c>
      <c r="D2714" s="1">
        <f ca="1">IFERROR(__xludf.DUMMYFUNCTION("""COMPUTED_VALUE"""),181.73)</f>
        <v>181.73</v>
      </c>
      <c r="E2714" s="1">
        <f ca="1">IFERROR(__xludf.DUMMYFUNCTION("""COMPUTED_VALUE"""),182.64)</f>
        <v>182.64</v>
      </c>
      <c r="F2714" s="1">
        <f ca="1">IFERROR(__xludf.DUMMYFUNCTION("""COMPUTED_VALUE"""),128544711)</f>
        <v>128544711</v>
      </c>
    </row>
    <row r="2715" spans="1:6" x14ac:dyDescent="0.35">
      <c r="A2715" s="2">
        <f ca="1">IFERROR(__xludf.DUMMYFUNCTION("""COMPUTED_VALUE"""),45951.6666666666)</f>
        <v>45951.666666666599</v>
      </c>
      <c r="B2715" s="1">
        <f ca="1">IFERROR(__xludf.DUMMYFUNCTION("""COMPUTED_VALUE"""),182.79)</f>
        <v>182.79</v>
      </c>
      <c r="C2715" s="1">
        <f ca="1">IFERROR(__xludf.DUMMYFUNCTION("""COMPUTED_VALUE"""),182.79)</f>
        <v>182.79</v>
      </c>
      <c r="D2715" s="1">
        <f ca="1">IFERROR(__xludf.DUMMYFUNCTION("""COMPUTED_VALUE"""),179.8)</f>
        <v>179.8</v>
      </c>
      <c r="E2715" s="1">
        <f ca="1">IFERROR(__xludf.DUMMYFUNCTION("""COMPUTED_VALUE"""),181.16)</f>
        <v>181.16</v>
      </c>
      <c r="F2715" s="1">
        <f ca="1">IFERROR(__xludf.DUMMYFUNCTION("""COMPUTED_VALUE"""),124240168)</f>
        <v>124240168</v>
      </c>
    </row>
    <row r="2716" spans="1:6" x14ac:dyDescent="0.35">
      <c r="A2716" s="2">
        <f ca="1">IFERROR(__xludf.DUMMYFUNCTION("""COMPUTED_VALUE"""),45952.6666666666)</f>
        <v>45952.666666666599</v>
      </c>
      <c r="B2716" s="1">
        <f ca="1">IFERROR(__xludf.DUMMYFUNCTION("""COMPUTED_VALUE"""),181.14)</f>
        <v>181.14</v>
      </c>
      <c r="C2716" s="1">
        <f ca="1">IFERROR(__xludf.DUMMYFUNCTION("""COMPUTED_VALUE"""),183.44)</f>
        <v>183.44</v>
      </c>
      <c r="D2716" s="1">
        <f ca="1">IFERROR(__xludf.DUMMYFUNCTION("""COMPUTED_VALUE"""),176.76)</f>
        <v>176.76</v>
      </c>
      <c r="E2716" s="1">
        <f ca="1">IFERROR(__xludf.DUMMYFUNCTION("""COMPUTED_VALUE"""),180.28)</f>
        <v>180.28</v>
      </c>
      <c r="F2716" s="1">
        <f ca="1">IFERROR(__xludf.DUMMYFUNCTION("""COMPUTED_VALUE"""),162249552)</f>
        <v>162249552</v>
      </c>
    </row>
    <row r="2717" spans="1:6" x14ac:dyDescent="0.35">
      <c r="A2717" s="2">
        <f ca="1">IFERROR(__xludf.DUMMYFUNCTION("""COMPUTED_VALUE"""),45953.6666666666)</f>
        <v>45953.666666666599</v>
      </c>
      <c r="B2717" s="1">
        <f ca="1">IFERROR(__xludf.DUMMYFUNCTION("""COMPUTED_VALUE"""),180.42)</f>
        <v>180.42</v>
      </c>
      <c r="C2717" s="1">
        <f ca="1">IFERROR(__xludf.DUMMYFUNCTION("""COMPUTED_VALUE"""),183.03)</f>
        <v>183.03</v>
      </c>
      <c r="D2717" s="1">
        <f ca="1">IFERROR(__xludf.DUMMYFUNCTION("""COMPUTED_VALUE"""),179.79)</f>
        <v>179.79</v>
      </c>
      <c r="E2717" s="1">
        <f ca="1">IFERROR(__xludf.DUMMYFUNCTION("""COMPUTED_VALUE"""),182.16)</f>
        <v>182.16</v>
      </c>
      <c r="F2717" s="1">
        <f ca="1">IFERROR(__xludf.DUMMYFUNCTION("""COMPUTED_VALUE"""),111363718)</f>
        <v>111363718</v>
      </c>
    </row>
    <row r="2718" spans="1:6" x14ac:dyDescent="0.35">
      <c r="A2718" s="2">
        <f ca="1">IFERROR(__xludf.DUMMYFUNCTION("""COMPUTED_VALUE"""),45954.6666666666)</f>
        <v>45954.666666666599</v>
      </c>
      <c r="B2718" s="1">
        <f ca="1">IFERROR(__xludf.DUMMYFUNCTION("""COMPUTED_VALUE"""),183.84)</f>
        <v>183.84</v>
      </c>
      <c r="C2718" s="1">
        <f ca="1">IFERROR(__xludf.DUMMYFUNCTION("""COMPUTED_VALUE"""),187.47)</f>
        <v>187.47</v>
      </c>
      <c r="D2718" s="1">
        <f ca="1">IFERROR(__xludf.DUMMYFUNCTION("""COMPUTED_VALUE"""),183.5)</f>
        <v>183.5</v>
      </c>
      <c r="E2718" s="1">
        <f ca="1">IFERROR(__xludf.DUMMYFUNCTION("""COMPUTED_VALUE"""),186.26)</f>
        <v>186.26</v>
      </c>
      <c r="F2718" s="1">
        <f ca="1">IFERROR(__xludf.DUMMYFUNCTION("""COMPUTED_VALUE"""),131296677)</f>
        <v>131296677</v>
      </c>
    </row>
    <row r="2719" spans="1:6" x14ac:dyDescent="0.35">
      <c r="A2719" s="2">
        <f ca="1">IFERROR(__xludf.DUMMYFUNCTION("""COMPUTED_VALUE"""),45957.6666666666)</f>
        <v>45957.666666666599</v>
      </c>
      <c r="B2719" s="1">
        <f ca="1">IFERROR(__xludf.DUMMYFUNCTION("""COMPUTED_VALUE"""),189.99)</f>
        <v>189.99</v>
      </c>
      <c r="C2719" s="1">
        <f ca="1">IFERROR(__xludf.DUMMYFUNCTION("""COMPUTED_VALUE"""),192)</f>
        <v>192</v>
      </c>
      <c r="D2719" s="1">
        <f ca="1">IFERROR(__xludf.DUMMYFUNCTION("""COMPUTED_VALUE"""),188.43)</f>
        <v>188.43</v>
      </c>
      <c r="E2719" s="1">
        <f ca="1">IFERROR(__xludf.DUMMYFUNCTION("""COMPUTED_VALUE"""),191.49)</f>
        <v>191.49</v>
      </c>
      <c r="F2719" s="1">
        <f ca="1">IFERROR(__xludf.DUMMYFUNCTION("""COMPUTED_VALUE"""),153452704)</f>
        <v>153452704</v>
      </c>
    </row>
    <row r="2720" spans="1:6" x14ac:dyDescent="0.35">
      <c r="A2720" s="2">
        <f ca="1">IFERROR(__xludf.DUMMYFUNCTION("""COMPUTED_VALUE"""),45958.6666666666)</f>
        <v>45958.666666666599</v>
      </c>
      <c r="B2720" s="1">
        <f ca="1">IFERROR(__xludf.DUMMYFUNCTION("""COMPUTED_VALUE"""),193.05)</f>
        <v>193.05</v>
      </c>
      <c r="C2720" s="1">
        <f ca="1">IFERROR(__xludf.DUMMYFUNCTION("""COMPUTED_VALUE"""),203.15)</f>
        <v>203.15</v>
      </c>
      <c r="D2720" s="1">
        <f ca="1">IFERROR(__xludf.DUMMYFUNCTION("""COMPUTED_VALUE"""),191.91)</f>
        <v>191.91</v>
      </c>
      <c r="E2720" s="1">
        <f ca="1">IFERROR(__xludf.DUMMYFUNCTION("""COMPUTED_VALUE"""),201.03)</f>
        <v>201.03</v>
      </c>
      <c r="F2720" s="1">
        <f ca="1">IFERROR(__xludf.DUMMYFUNCTION("""COMPUTED_VALUE"""),297986180)</f>
        <v>297986180</v>
      </c>
    </row>
    <row r="2721" spans="1:6" x14ac:dyDescent="0.35">
      <c r="A2721" s="2">
        <f ca="1">IFERROR(__xludf.DUMMYFUNCTION("""COMPUTED_VALUE"""),45959.6666666666)</f>
        <v>45959.666666666599</v>
      </c>
      <c r="B2721" s="1">
        <f ca="1">IFERROR(__xludf.DUMMYFUNCTION("""COMPUTED_VALUE"""),207.98)</f>
        <v>207.98</v>
      </c>
      <c r="C2721" s="1">
        <f ca="1">IFERROR(__xludf.DUMMYFUNCTION("""COMPUTED_VALUE"""),212.19)</f>
        <v>212.19</v>
      </c>
      <c r="D2721" s="1">
        <f ca="1">IFERROR(__xludf.DUMMYFUNCTION("""COMPUTED_VALUE"""),204.78)</f>
        <v>204.78</v>
      </c>
      <c r="E2721" s="1">
        <f ca="1">IFERROR(__xludf.DUMMYFUNCTION("""COMPUTED_VALUE"""),207.04)</f>
        <v>207.04</v>
      </c>
      <c r="F2721" s="1">
        <f ca="1">IFERROR(__xludf.DUMMYFUNCTION("""COMPUTED_VALUE"""),308829564)</f>
        <v>308829564</v>
      </c>
    </row>
    <row r="2722" spans="1:6" x14ac:dyDescent="0.35">
      <c r="A2722" s="2">
        <f ca="1">IFERROR(__xludf.DUMMYFUNCTION("""COMPUTED_VALUE"""),45960.6666666666)</f>
        <v>45960.666666666599</v>
      </c>
      <c r="B2722" s="1">
        <f ca="1">IFERROR(__xludf.DUMMYFUNCTION("""COMPUTED_VALUE"""),205.15)</f>
        <v>205.15</v>
      </c>
      <c r="C2722" s="1">
        <f ca="1">IFERROR(__xludf.DUMMYFUNCTION("""COMPUTED_VALUE"""),206.16)</f>
        <v>206.16</v>
      </c>
      <c r="D2722" s="1">
        <f ca="1">IFERROR(__xludf.DUMMYFUNCTION("""COMPUTED_VALUE"""),201.41)</f>
        <v>201.41</v>
      </c>
      <c r="E2722" s="1">
        <f ca="1">IFERROR(__xludf.DUMMYFUNCTION("""COMPUTED_VALUE"""),202.89)</f>
        <v>202.89</v>
      </c>
      <c r="F2722" s="1">
        <f ca="1">IFERROR(__xludf.DUMMYFUNCTION("""COMPUTED_VALUE"""),178864443)</f>
        <v>178864443</v>
      </c>
    </row>
    <row r="2723" spans="1:6" x14ac:dyDescent="0.35">
      <c r="A2723" s="2">
        <f ca="1">IFERROR(__xludf.DUMMYFUNCTION("""COMPUTED_VALUE"""),45961.6666666666)</f>
        <v>45961.666666666599</v>
      </c>
      <c r="B2723" s="1">
        <f ca="1">IFERROR(__xludf.DUMMYFUNCTION("""COMPUTED_VALUE"""),206.45)</f>
        <v>206.45</v>
      </c>
      <c r="C2723" s="1">
        <f ca="1">IFERROR(__xludf.DUMMYFUNCTION("""COMPUTED_VALUE"""),207.97)</f>
        <v>207.97</v>
      </c>
      <c r="D2723" s="1">
        <f ca="1">IFERROR(__xludf.DUMMYFUNCTION("""COMPUTED_VALUE"""),202.07)</f>
        <v>202.07</v>
      </c>
      <c r="E2723" s="1">
        <f ca="1">IFERROR(__xludf.DUMMYFUNCTION("""COMPUTED_VALUE"""),202.49)</f>
        <v>202.49</v>
      </c>
      <c r="F2723" s="1">
        <f ca="1">IFERROR(__xludf.DUMMYFUNCTION("""COMPUTED_VALUE"""),179802178)</f>
        <v>179802178</v>
      </c>
    </row>
    <row r="2724" spans="1:6" x14ac:dyDescent="0.35">
      <c r="A2724" s="2">
        <f ca="1">IFERROR(__xludf.DUMMYFUNCTION("""COMPUTED_VALUE"""),45964.6666666666)</f>
        <v>45964.666666666599</v>
      </c>
      <c r="B2724" s="1">
        <f ca="1">IFERROR(__xludf.DUMMYFUNCTION("""COMPUTED_VALUE"""),208.08)</f>
        <v>208.08</v>
      </c>
      <c r="C2724" s="1">
        <f ca="1">IFERROR(__xludf.DUMMYFUNCTION("""COMPUTED_VALUE"""),211.34)</f>
        <v>211.34</v>
      </c>
      <c r="D2724" s="1">
        <f ca="1">IFERROR(__xludf.DUMMYFUNCTION("""COMPUTED_VALUE"""),205.56)</f>
        <v>205.56</v>
      </c>
      <c r="E2724" s="1">
        <f ca="1">IFERROR(__xludf.DUMMYFUNCTION("""COMPUTED_VALUE"""),206.88)</f>
        <v>206.88</v>
      </c>
      <c r="F2724" s="1">
        <f ca="1">IFERROR(__xludf.DUMMYFUNCTION("""COMPUTED_VALUE"""),180267285)</f>
        <v>180267285</v>
      </c>
    </row>
    <row r="2725" spans="1:6" x14ac:dyDescent="0.35">
      <c r="A2725" s="2">
        <f ca="1">IFERROR(__xludf.DUMMYFUNCTION("""COMPUTED_VALUE"""),45965.6666666666)</f>
        <v>45965.666666666599</v>
      </c>
      <c r="B2725" s="1">
        <f ca="1">IFERROR(__xludf.DUMMYFUNCTION("""COMPUTED_VALUE"""),203)</f>
        <v>203</v>
      </c>
      <c r="C2725" s="1">
        <f ca="1">IFERROR(__xludf.DUMMYFUNCTION("""COMPUTED_VALUE"""),203.97)</f>
        <v>203.97</v>
      </c>
      <c r="D2725" s="1">
        <f ca="1">IFERROR(__xludf.DUMMYFUNCTION("""COMPUTED_VALUE"""),197.93)</f>
        <v>197.93</v>
      </c>
      <c r="E2725" s="1">
        <f ca="1">IFERROR(__xludf.DUMMYFUNCTION("""COMPUTED_VALUE"""),198.69)</f>
        <v>198.69</v>
      </c>
      <c r="F2725" s="1">
        <f ca="1">IFERROR(__xludf.DUMMYFUNCTION("""COMPUTED_VALUE"""),188919320)</f>
        <v>188919320</v>
      </c>
    </row>
    <row r="2726" spans="1:6" x14ac:dyDescent="0.35">
      <c r="A2726" s="2">
        <f ca="1">IFERROR(__xludf.DUMMYFUNCTION("""COMPUTED_VALUE"""),45966.6666666666)</f>
        <v>45966.666666666599</v>
      </c>
      <c r="B2726" s="1">
        <f ca="1">IFERROR(__xludf.DUMMYFUNCTION("""COMPUTED_VALUE"""),198.77)</f>
        <v>198.77</v>
      </c>
      <c r="C2726" s="1">
        <f ca="1">IFERROR(__xludf.DUMMYFUNCTION("""COMPUTED_VALUE"""),202.92)</f>
        <v>202.92</v>
      </c>
      <c r="D2726" s="1">
        <f ca="1">IFERROR(__xludf.DUMMYFUNCTION("""COMPUTED_VALUE"""),194.65)</f>
        <v>194.65</v>
      </c>
      <c r="E2726" s="1">
        <f ca="1">IFERROR(__xludf.DUMMYFUNCTION("""COMPUTED_VALUE"""),195.21)</f>
        <v>195.21</v>
      </c>
      <c r="F2726" s="1">
        <f ca="1">IFERROR(__xludf.DUMMYFUNCTION("""COMPUTED_VALUE"""),171350332)</f>
        <v>171350332</v>
      </c>
    </row>
    <row r="2727" spans="1:6" x14ac:dyDescent="0.35">
      <c r="A2727" s="2">
        <f ca="1">IFERROR(__xludf.DUMMYFUNCTION("""COMPUTED_VALUE"""),45967.6666666666)</f>
        <v>45967.666666666599</v>
      </c>
      <c r="B2727" s="1">
        <f ca="1">IFERROR(__xludf.DUMMYFUNCTION("""COMPUTED_VALUE"""),196.42)</f>
        <v>196.42</v>
      </c>
      <c r="C2727" s="1">
        <f ca="1">IFERROR(__xludf.DUMMYFUNCTION("""COMPUTED_VALUE"""),197.62)</f>
        <v>197.62</v>
      </c>
      <c r="D2727" s="1">
        <f ca="1">IFERROR(__xludf.DUMMYFUNCTION("""COMPUTED_VALUE"""),186.38)</f>
        <v>186.38</v>
      </c>
      <c r="E2727" s="1">
        <f ca="1">IFERROR(__xludf.DUMMYFUNCTION("""COMPUTED_VALUE"""),188.08)</f>
        <v>188.08</v>
      </c>
      <c r="F2727" s="1">
        <f ca="1">IFERROR(__xludf.DUMMYFUNCTION("""COMPUTED_VALUE"""),223029778)</f>
        <v>223029778</v>
      </c>
    </row>
    <row r="2728" spans="1:6" x14ac:dyDescent="0.35">
      <c r="A2728" s="2">
        <f ca="1">IFERROR(__xludf.DUMMYFUNCTION("""COMPUTED_VALUE"""),45968.6666666666)</f>
        <v>45968.666666666599</v>
      </c>
      <c r="B2728" s="1">
        <f ca="1">IFERROR(__xludf.DUMMYFUNCTION("""COMPUTED_VALUE"""),184.9)</f>
        <v>184.9</v>
      </c>
      <c r="C2728" s="1">
        <f ca="1">IFERROR(__xludf.DUMMYFUNCTION("""COMPUTED_VALUE"""),188.32)</f>
        <v>188.32</v>
      </c>
      <c r="D2728" s="1">
        <f ca="1">IFERROR(__xludf.DUMMYFUNCTION("""COMPUTED_VALUE"""),178.91)</f>
        <v>178.91</v>
      </c>
      <c r="E2728" s="1">
        <f ca="1">IFERROR(__xludf.DUMMYFUNCTION("""COMPUTED_VALUE"""),188.15)</f>
        <v>188.15</v>
      </c>
      <c r="F2728" s="1">
        <f ca="1">IFERROR(__xludf.DUMMYFUNCTION("""COMPUTED_VALUE"""),264942255)</f>
        <v>264942255</v>
      </c>
    </row>
    <row r="2729" spans="1:6" x14ac:dyDescent="0.35">
      <c r="A2729" s="2">
        <f ca="1">IFERROR(__xludf.DUMMYFUNCTION("""COMPUTED_VALUE"""),45971.6666666666)</f>
        <v>45971.666666666599</v>
      </c>
      <c r="B2729" s="1">
        <f ca="1">IFERROR(__xludf.DUMMYFUNCTION("""COMPUTED_VALUE"""),195.11)</f>
        <v>195.11</v>
      </c>
      <c r="C2729" s="1">
        <f ca="1">IFERROR(__xludf.DUMMYFUNCTION("""COMPUTED_VALUE"""),199.94)</f>
        <v>199.94</v>
      </c>
      <c r="D2729" s="1">
        <f ca="1">IFERROR(__xludf.DUMMYFUNCTION("""COMPUTED_VALUE"""),193.79)</f>
        <v>193.79</v>
      </c>
      <c r="E2729" s="1">
        <f ca="1">IFERROR(__xludf.DUMMYFUNCTION("""COMPUTED_VALUE"""),199.05)</f>
        <v>199.05</v>
      </c>
      <c r="F2729" s="1">
        <f ca="1">IFERROR(__xludf.DUMMYFUNCTION("""COMPUTED_VALUE"""),198897134)</f>
        <v>198897134</v>
      </c>
    </row>
    <row r="2730" spans="1:6" x14ac:dyDescent="0.35">
      <c r="A2730" s="2">
        <f ca="1">IFERROR(__xludf.DUMMYFUNCTION("""COMPUTED_VALUE"""),45972.6666666666)</f>
        <v>45972.666666666599</v>
      </c>
      <c r="B2730" s="1">
        <f ca="1">IFERROR(__xludf.DUMMYFUNCTION("""COMPUTED_VALUE"""),195.16)</f>
        <v>195.16</v>
      </c>
      <c r="C2730" s="1">
        <f ca="1">IFERROR(__xludf.DUMMYFUNCTION("""COMPUTED_VALUE"""),195.42)</f>
        <v>195.42</v>
      </c>
      <c r="D2730" s="1">
        <f ca="1">IFERROR(__xludf.DUMMYFUNCTION("""COMPUTED_VALUE"""),191.3)</f>
        <v>191.3</v>
      </c>
      <c r="E2730" s="1">
        <f ca="1">IFERROR(__xludf.DUMMYFUNCTION("""COMPUTED_VALUE"""),193.16)</f>
        <v>193.16</v>
      </c>
      <c r="F2730" s="1">
        <f ca="1">IFERROR(__xludf.DUMMYFUNCTION("""COMPUTED_VALUE"""),176483327)</f>
        <v>176483327</v>
      </c>
    </row>
    <row r="2731" spans="1:6" x14ac:dyDescent="0.35">
      <c r="A2731" s="2">
        <f ca="1">IFERROR(__xludf.DUMMYFUNCTION("""COMPUTED_VALUE"""),45973.6666666666)</f>
        <v>45973.666666666599</v>
      </c>
      <c r="B2731" s="1">
        <f ca="1">IFERROR(__xludf.DUMMYFUNCTION("""COMPUTED_VALUE"""),195.72)</f>
        <v>195.72</v>
      </c>
      <c r="C2731" s="1">
        <f ca="1">IFERROR(__xludf.DUMMYFUNCTION("""COMPUTED_VALUE"""),195.89)</f>
        <v>195.89</v>
      </c>
      <c r="D2731" s="1">
        <f ca="1">IFERROR(__xludf.DUMMYFUNCTION("""COMPUTED_VALUE"""),191.13)</f>
        <v>191.13</v>
      </c>
      <c r="E2731" s="1">
        <f ca="1">IFERROR(__xludf.DUMMYFUNCTION("""COMPUTED_VALUE"""),193.8)</f>
        <v>193.8</v>
      </c>
      <c r="F2731" s="1">
        <f ca="1">IFERROR(__xludf.DUMMYFUNCTION("""COMPUTED_VALUE"""),154935263)</f>
        <v>154935263</v>
      </c>
    </row>
    <row r="2732" spans="1:6" x14ac:dyDescent="0.35">
      <c r="A2732" s="2">
        <f ca="1">IFERROR(__xludf.DUMMYFUNCTION("""COMPUTED_VALUE"""),45974.6666666666)</f>
        <v>45974.666666666599</v>
      </c>
      <c r="B2732" s="1">
        <f ca="1">IFERROR(__xludf.DUMMYFUNCTION("""COMPUTED_VALUE"""),191.05)</f>
        <v>191.05</v>
      </c>
      <c r="C2732" s="1">
        <f ca="1">IFERROR(__xludf.DUMMYFUNCTION("""COMPUTED_VALUE"""),191.44)</f>
        <v>191.44</v>
      </c>
      <c r="D2732" s="1">
        <f ca="1">IFERROR(__xludf.DUMMYFUNCTION("""COMPUTED_VALUE"""),183.85)</f>
        <v>183.85</v>
      </c>
      <c r="E2732" s="1">
        <f ca="1">IFERROR(__xludf.DUMMYFUNCTION("""COMPUTED_VALUE"""),186.86)</f>
        <v>186.86</v>
      </c>
      <c r="F2732" s="1">
        <f ca="1">IFERROR(__xludf.DUMMYFUNCTION("""COMPUTED_VALUE"""),207423074)</f>
        <v>207423074</v>
      </c>
    </row>
    <row r="2733" spans="1:6" x14ac:dyDescent="0.35">
      <c r="A2733" s="2">
        <f ca="1">IFERROR(__xludf.DUMMYFUNCTION("""COMPUTED_VALUE"""),45975.6666666666)</f>
        <v>45975.666666666599</v>
      </c>
      <c r="B2733" s="1">
        <f ca="1">IFERROR(__xludf.DUMMYFUNCTION("""COMPUTED_VALUE"""),182.86)</f>
        <v>182.86</v>
      </c>
      <c r="C2733" s="1">
        <f ca="1">IFERROR(__xludf.DUMMYFUNCTION("""COMPUTED_VALUE"""),191.01)</f>
        <v>191.01</v>
      </c>
      <c r="D2733" s="1">
        <f ca="1">IFERROR(__xludf.DUMMYFUNCTION("""COMPUTED_VALUE"""),180.58)</f>
        <v>180.58</v>
      </c>
      <c r="E2733" s="1">
        <f ca="1">IFERROR(__xludf.DUMMYFUNCTION("""COMPUTED_VALUE"""),190.17)</f>
        <v>190.17</v>
      </c>
      <c r="F2733" s="1">
        <f ca="1">IFERROR(__xludf.DUMMYFUNCTION("""COMPUTED_VALUE"""),186591856)</f>
        <v>186591856</v>
      </c>
    </row>
    <row r="2734" spans="1:6" x14ac:dyDescent="0.35">
      <c r="A2734" s="2">
        <f ca="1">IFERROR(__xludf.DUMMYFUNCTION("""COMPUTED_VALUE"""),45978.6666666666)</f>
        <v>45978.666666666599</v>
      </c>
      <c r="B2734" s="1">
        <f ca="1">IFERROR(__xludf.DUMMYFUNCTION("""COMPUTED_VALUE"""),185.97)</f>
        <v>185.97</v>
      </c>
      <c r="C2734" s="1">
        <f ca="1">IFERROR(__xludf.DUMMYFUNCTION("""COMPUTED_VALUE"""),189)</f>
        <v>189</v>
      </c>
      <c r="D2734" s="1">
        <f ca="1">IFERROR(__xludf.DUMMYFUNCTION("""COMPUTED_VALUE"""),184.32)</f>
        <v>184.32</v>
      </c>
      <c r="E2734" s="1">
        <f ca="1">IFERROR(__xludf.DUMMYFUNCTION("""COMPUTED_VALUE"""),186.6)</f>
        <v>186.6</v>
      </c>
      <c r="F2734" s="1">
        <f ca="1">IFERROR(__xludf.DUMMYFUNCTION("""COMPUTED_VALUE"""),173628858)</f>
        <v>173628858</v>
      </c>
    </row>
    <row r="2735" spans="1:6" x14ac:dyDescent="0.35">
      <c r="A2735" s="2">
        <f ca="1">IFERROR(__xludf.DUMMYFUNCTION("""COMPUTED_VALUE"""),45979.6666666666)</f>
        <v>45979.666666666599</v>
      </c>
      <c r="B2735" s="1">
        <f ca="1">IFERROR(__xludf.DUMMYFUNCTION("""COMPUTED_VALUE"""),183.38)</f>
        <v>183.38</v>
      </c>
      <c r="C2735" s="1">
        <f ca="1">IFERROR(__xludf.DUMMYFUNCTION("""COMPUTED_VALUE"""),184.8)</f>
        <v>184.8</v>
      </c>
      <c r="D2735" s="1">
        <f ca="1">IFERROR(__xludf.DUMMYFUNCTION("""COMPUTED_VALUE"""),179.65)</f>
        <v>179.65</v>
      </c>
      <c r="E2735" s="1">
        <f ca="1">IFERROR(__xludf.DUMMYFUNCTION("""COMPUTED_VALUE"""),181.36)</f>
        <v>181.36</v>
      </c>
      <c r="F2735" s="1">
        <f ca="1">IFERROR(__xludf.DUMMYFUNCTION("""COMPUTED_VALUE"""),213598877)</f>
        <v>213598877</v>
      </c>
    </row>
    <row r="2736" spans="1:6" x14ac:dyDescent="0.35">
      <c r="A2736" s="2">
        <f ca="1">IFERROR(__xludf.DUMMYFUNCTION("""COMPUTED_VALUE"""),45980.6666666666)</f>
        <v>45980.666666666599</v>
      </c>
      <c r="B2736" s="1">
        <f ca="1">IFERROR(__xludf.DUMMYFUNCTION("""COMPUTED_VALUE"""),184.79)</f>
        <v>184.79</v>
      </c>
      <c r="C2736" s="1">
        <f ca="1">IFERROR(__xludf.DUMMYFUNCTION("""COMPUTED_VALUE"""),187.86)</f>
        <v>187.86</v>
      </c>
      <c r="D2736" s="1">
        <f ca="1">IFERROR(__xludf.DUMMYFUNCTION("""COMPUTED_VALUE"""),182.83)</f>
        <v>182.83</v>
      </c>
      <c r="E2736" s="1">
        <f ca="1">IFERROR(__xludf.DUMMYFUNCTION("""COMPUTED_VALUE"""),186.52)</f>
        <v>186.52</v>
      </c>
      <c r="F2736" s="1">
        <f ca="1">IFERROR(__xludf.DUMMYFUNCTION("""COMPUTED_VALUE"""),247246436)</f>
        <v>247246436</v>
      </c>
    </row>
    <row r="2737" spans="1:6" x14ac:dyDescent="0.35">
      <c r="A2737" s="2">
        <f ca="1">IFERROR(__xludf.DUMMYFUNCTION("""COMPUTED_VALUE"""),45981.6666666666)</f>
        <v>45981.666666666599</v>
      </c>
      <c r="B2737" s="1">
        <f ca="1">IFERROR(__xludf.DUMMYFUNCTION("""COMPUTED_VALUE"""),195.95)</f>
        <v>195.95</v>
      </c>
      <c r="C2737" s="1">
        <f ca="1">IFERROR(__xludf.DUMMYFUNCTION("""COMPUTED_VALUE"""),196)</f>
        <v>196</v>
      </c>
      <c r="D2737" s="1">
        <f ca="1">IFERROR(__xludf.DUMMYFUNCTION("""COMPUTED_VALUE"""),179.85)</f>
        <v>179.85</v>
      </c>
      <c r="E2737" s="1">
        <f ca="1">IFERROR(__xludf.DUMMYFUNCTION("""COMPUTED_VALUE"""),180.64)</f>
        <v>180.64</v>
      </c>
      <c r="F2737" s="1">
        <f ca="1">IFERROR(__xludf.DUMMYFUNCTION("""COMPUTED_VALUE"""),343504849)</f>
        <v>343504849</v>
      </c>
    </row>
    <row r="2738" spans="1:6" x14ac:dyDescent="0.35">
      <c r="A2738" s="2">
        <f ca="1">IFERROR(__xludf.DUMMYFUNCTION("""COMPUTED_VALUE"""),45982.6666666666)</f>
        <v>45982.666666666599</v>
      </c>
      <c r="B2738" s="1">
        <f ca="1">IFERROR(__xludf.DUMMYFUNCTION("""COMPUTED_VALUE"""),181.24)</f>
        <v>181.24</v>
      </c>
      <c r="C2738" s="1">
        <f ca="1">IFERROR(__xludf.DUMMYFUNCTION("""COMPUTED_VALUE"""),184.56)</f>
        <v>184.56</v>
      </c>
      <c r="D2738" s="1">
        <f ca="1">IFERROR(__xludf.DUMMYFUNCTION("""COMPUTED_VALUE"""),172.93)</f>
        <v>172.93</v>
      </c>
      <c r="E2738" s="1">
        <f ca="1">IFERROR(__xludf.DUMMYFUNCTION("""COMPUTED_VALUE"""),178.88)</f>
        <v>178.88</v>
      </c>
      <c r="F2738" s="1">
        <f ca="1">IFERROR(__xludf.DUMMYFUNCTION("""COMPUTED_VALUE"""),346926153)</f>
        <v>346926153</v>
      </c>
    </row>
    <row r="2739" spans="1:6" x14ac:dyDescent="0.35">
      <c r="A2739" s="2">
        <f ca="1">IFERROR(__xludf.DUMMYFUNCTION("""COMPUTED_VALUE"""),45985.6666666666)</f>
        <v>45985.666666666599</v>
      </c>
      <c r="B2739" s="1">
        <f ca="1">IFERROR(__xludf.DUMMYFUNCTION("""COMPUTED_VALUE"""),179.49)</f>
        <v>179.49</v>
      </c>
      <c r="C2739" s="1">
        <f ca="1">IFERROR(__xludf.DUMMYFUNCTION("""COMPUTED_VALUE"""),183.5)</f>
        <v>183.5</v>
      </c>
      <c r="D2739" s="1">
        <f ca="1">IFERROR(__xludf.DUMMYFUNCTION("""COMPUTED_VALUE"""),176.48)</f>
        <v>176.48</v>
      </c>
      <c r="E2739" s="1">
        <f ca="1">IFERROR(__xludf.DUMMYFUNCTION("""COMPUTED_VALUE"""),182.55)</f>
        <v>182.55</v>
      </c>
      <c r="F2739" s="1">
        <f ca="1">IFERROR(__xludf.DUMMYFUNCTION("""COMPUTED_VALUE"""),234197806)</f>
        <v>234197806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2742"/>
  <sheetViews>
    <sheetView workbookViewId="0"/>
  </sheetViews>
  <sheetFormatPr defaultColWidth="12.59765625" defaultRowHeight="15.75" customHeight="1" x14ac:dyDescent="0.35"/>
  <cols>
    <col min="1" max="1" width="18.33203125" bestFit="1" customWidth="1"/>
  </cols>
  <sheetData>
    <row r="1" spans="1:6" x14ac:dyDescent="0.35">
      <c r="A1" s="1" t="str">
        <f ca="1">IFERROR(__xludf.DUMMYFUNCTION("GOOGLEFINANCE(""TSLA"",""all"",DATE(2015,1,1),TODAY())"),"Date")</f>
        <v>Date</v>
      </c>
      <c r="B1" s="1" t="str">
        <f ca="1">IFERROR(__xludf.DUMMYFUNCTION("""COMPUTED_VALUE"""),"Open")</f>
        <v>Open</v>
      </c>
      <c r="C1" s="1" t="str">
        <f ca="1">IFERROR(__xludf.DUMMYFUNCTION("""COMPUTED_VALUE"""),"High")</f>
        <v>High</v>
      </c>
      <c r="D1" s="1" t="str">
        <f ca="1">IFERROR(__xludf.DUMMYFUNCTION("""COMPUTED_VALUE"""),"Low")</f>
        <v>Low</v>
      </c>
      <c r="E1" s="1" t="str">
        <f ca="1">IFERROR(__xludf.DUMMYFUNCTION("""COMPUTED_VALUE"""),"Close")</f>
        <v>Close</v>
      </c>
      <c r="F1" s="1" t="str">
        <f ca="1">IFERROR(__xludf.DUMMYFUNCTION("""COMPUTED_VALUE"""),"Volume")</f>
        <v>Volume</v>
      </c>
    </row>
    <row r="2" spans="1:6" x14ac:dyDescent="0.35">
      <c r="A2" s="2">
        <f ca="1">IFERROR(__xludf.DUMMYFUNCTION("""COMPUTED_VALUE"""),42006.6666666666)</f>
        <v>42006.666666666599</v>
      </c>
      <c r="B2" s="1">
        <f ca="1">IFERROR(__xludf.DUMMYFUNCTION("""COMPUTED_VALUE"""),14.84)</f>
        <v>14.84</v>
      </c>
      <c r="C2" s="1">
        <f ca="1">IFERROR(__xludf.DUMMYFUNCTION("""COMPUTED_VALUE"""),14.88)</f>
        <v>14.88</v>
      </c>
      <c r="D2" s="1">
        <f ca="1">IFERROR(__xludf.DUMMYFUNCTION("""COMPUTED_VALUE"""),14.22)</f>
        <v>14.22</v>
      </c>
      <c r="E2" s="1">
        <f ca="1">IFERROR(__xludf.DUMMYFUNCTION("""COMPUTED_VALUE"""),14.62)</f>
        <v>14.62</v>
      </c>
      <c r="F2" s="1">
        <f ca="1">IFERROR(__xludf.DUMMYFUNCTION("""COMPUTED_VALUE"""),4764443)</f>
        <v>4764443</v>
      </c>
    </row>
    <row r="3" spans="1:6" x14ac:dyDescent="0.35">
      <c r="A3" s="2">
        <f ca="1">IFERROR(__xludf.DUMMYFUNCTION("""COMPUTED_VALUE"""),42009.6666666666)</f>
        <v>42009.666666666599</v>
      </c>
      <c r="B3" s="1">
        <f ca="1">IFERROR(__xludf.DUMMYFUNCTION("""COMPUTED_VALUE"""),14.3)</f>
        <v>14.3</v>
      </c>
      <c r="C3" s="1">
        <f ca="1">IFERROR(__xludf.DUMMYFUNCTION("""COMPUTED_VALUE"""),14.43)</f>
        <v>14.43</v>
      </c>
      <c r="D3" s="1">
        <f ca="1">IFERROR(__xludf.DUMMYFUNCTION("""COMPUTED_VALUE"""),13.81)</f>
        <v>13.81</v>
      </c>
      <c r="E3" s="1">
        <f ca="1">IFERROR(__xludf.DUMMYFUNCTION("""COMPUTED_VALUE"""),14.01)</f>
        <v>14.01</v>
      </c>
      <c r="F3" s="1">
        <f ca="1">IFERROR(__xludf.DUMMYFUNCTION("""COMPUTED_VALUE"""),5368477)</f>
        <v>5368477</v>
      </c>
    </row>
    <row r="4" spans="1:6" x14ac:dyDescent="0.35">
      <c r="A4" s="2">
        <f ca="1">IFERROR(__xludf.DUMMYFUNCTION("""COMPUTED_VALUE"""),42010.6666666666)</f>
        <v>42010.666666666599</v>
      </c>
      <c r="B4" s="1">
        <f ca="1">IFERROR(__xludf.DUMMYFUNCTION("""COMPUTED_VALUE"""),14)</f>
        <v>14</v>
      </c>
      <c r="C4" s="1">
        <f ca="1">IFERROR(__xludf.DUMMYFUNCTION("""COMPUTED_VALUE"""),14.28)</f>
        <v>14.28</v>
      </c>
      <c r="D4" s="1">
        <f ca="1">IFERROR(__xludf.DUMMYFUNCTION("""COMPUTED_VALUE"""),13.61)</f>
        <v>13.61</v>
      </c>
      <c r="E4" s="1">
        <f ca="1">IFERROR(__xludf.DUMMYFUNCTION("""COMPUTED_VALUE"""),14.09)</f>
        <v>14.09</v>
      </c>
      <c r="F4" s="1">
        <f ca="1">IFERROR(__xludf.DUMMYFUNCTION("""COMPUTED_VALUE"""),6261936)</f>
        <v>6261936</v>
      </c>
    </row>
    <row r="5" spans="1:6" x14ac:dyDescent="0.35">
      <c r="A5" s="2">
        <f ca="1">IFERROR(__xludf.DUMMYFUNCTION("""COMPUTED_VALUE"""),42011.6666666666)</f>
        <v>42011.666666666599</v>
      </c>
      <c r="B5" s="1">
        <f ca="1">IFERROR(__xludf.DUMMYFUNCTION("""COMPUTED_VALUE"""),14.23)</f>
        <v>14.23</v>
      </c>
      <c r="C5" s="1">
        <f ca="1">IFERROR(__xludf.DUMMYFUNCTION("""COMPUTED_VALUE"""),14.32)</f>
        <v>14.32</v>
      </c>
      <c r="D5" s="1">
        <f ca="1">IFERROR(__xludf.DUMMYFUNCTION("""COMPUTED_VALUE"""),13.99)</f>
        <v>13.99</v>
      </c>
      <c r="E5" s="1">
        <f ca="1">IFERROR(__xludf.DUMMYFUNCTION("""COMPUTED_VALUE"""),14.06)</f>
        <v>14.06</v>
      </c>
      <c r="F5" s="1">
        <f ca="1">IFERROR(__xludf.DUMMYFUNCTION("""COMPUTED_VALUE"""),2968390)</f>
        <v>2968390</v>
      </c>
    </row>
    <row r="6" spans="1:6" x14ac:dyDescent="0.35">
      <c r="A6" s="2">
        <f ca="1">IFERROR(__xludf.DUMMYFUNCTION("""COMPUTED_VALUE"""),42012.6666666666)</f>
        <v>42012.666666666599</v>
      </c>
      <c r="B6" s="1">
        <f ca="1">IFERROR(__xludf.DUMMYFUNCTION("""COMPUTED_VALUE"""),14.19)</f>
        <v>14.19</v>
      </c>
      <c r="C6" s="1">
        <f ca="1">IFERROR(__xludf.DUMMYFUNCTION("""COMPUTED_VALUE"""),14.25)</f>
        <v>14.25</v>
      </c>
      <c r="D6" s="1">
        <f ca="1">IFERROR(__xludf.DUMMYFUNCTION("""COMPUTED_VALUE"""),14)</f>
        <v>14</v>
      </c>
      <c r="E6" s="1">
        <f ca="1">IFERROR(__xludf.DUMMYFUNCTION("""COMPUTED_VALUE"""),14.04)</f>
        <v>14.04</v>
      </c>
      <c r="F6" s="1">
        <f ca="1">IFERROR(__xludf.DUMMYFUNCTION("""COMPUTED_VALUE"""),3442509)</f>
        <v>3442509</v>
      </c>
    </row>
    <row r="7" spans="1:6" x14ac:dyDescent="0.35">
      <c r="A7" s="2">
        <f ca="1">IFERROR(__xludf.DUMMYFUNCTION("""COMPUTED_VALUE"""),42013.6666666666)</f>
        <v>42013.666666666599</v>
      </c>
      <c r="B7" s="1">
        <f ca="1">IFERROR(__xludf.DUMMYFUNCTION("""COMPUTED_VALUE"""),13.92)</f>
        <v>13.92</v>
      </c>
      <c r="C7" s="1">
        <f ca="1">IFERROR(__xludf.DUMMYFUNCTION("""COMPUTED_VALUE"""),14)</f>
        <v>14</v>
      </c>
      <c r="D7" s="1">
        <f ca="1">IFERROR(__xludf.DUMMYFUNCTION("""COMPUTED_VALUE"""),13.66)</f>
        <v>13.66</v>
      </c>
      <c r="E7" s="1">
        <f ca="1">IFERROR(__xludf.DUMMYFUNCTION("""COMPUTED_VALUE"""),13.78)</f>
        <v>13.78</v>
      </c>
      <c r="F7" s="1">
        <f ca="1">IFERROR(__xludf.DUMMYFUNCTION("""COMPUTED_VALUE"""),4668295)</f>
        <v>4668295</v>
      </c>
    </row>
    <row r="8" spans="1:6" x14ac:dyDescent="0.35">
      <c r="A8" s="2">
        <f ca="1">IFERROR(__xludf.DUMMYFUNCTION("""COMPUTED_VALUE"""),42016.6666666666)</f>
        <v>42016.666666666599</v>
      </c>
      <c r="B8" s="1">
        <f ca="1">IFERROR(__xludf.DUMMYFUNCTION("""COMPUTED_VALUE"""),13.54)</f>
        <v>13.54</v>
      </c>
      <c r="C8" s="1">
        <f ca="1">IFERROR(__xludf.DUMMYFUNCTION("""COMPUTED_VALUE"""),13.63)</f>
        <v>13.63</v>
      </c>
      <c r="D8" s="1">
        <f ca="1">IFERROR(__xludf.DUMMYFUNCTION("""COMPUTED_VALUE"""),13.28)</f>
        <v>13.28</v>
      </c>
      <c r="E8" s="1">
        <f ca="1">IFERROR(__xludf.DUMMYFUNCTION("""COMPUTED_VALUE"""),13.48)</f>
        <v>13.48</v>
      </c>
      <c r="F8" s="1">
        <f ca="1">IFERROR(__xludf.DUMMYFUNCTION("""COMPUTED_VALUE"""),5950280)</f>
        <v>5950280</v>
      </c>
    </row>
    <row r="9" spans="1:6" x14ac:dyDescent="0.35">
      <c r="A9" s="2">
        <f ca="1">IFERROR(__xludf.DUMMYFUNCTION("""COMPUTED_VALUE"""),42017.6666666666)</f>
        <v>42017.666666666599</v>
      </c>
      <c r="B9" s="1">
        <f ca="1">IFERROR(__xludf.DUMMYFUNCTION("""COMPUTED_VALUE"""),13.55)</f>
        <v>13.55</v>
      </c>
      <c r="C9" s="1">
        <f ca="1">IFERROR(__xludf.DUMMYFUNCTION("""COMPUTED_VALUE"""),13.84)</f>
        <v>13.84</v>
      </c>
      <c r="D9" s="1">
        <f ca="1">IFERROR(__xludf.DUMMYFUNCTION("""COMPUTED_VALUE"""),13.39)</f>
        <v>13.39</v>
      </c>
      <c r="E9" s="1">
        <f ca="1">IFERROR(__xludf.DUMMYFUNCTION("""COMPUTED_VALUE"""),13.62)</f>
        <v>13.62</v>
      </c>
      <c r="F9" s="1">
        <f ca="1">IFERROR(__xludf.DUMMYFUNCTION("""COMPUTED_VALUE"""),4477320)</f>
        <v>4477320</v>
      </c>
    </row>
    <row r="10" spans="1:6" x14ac:dyDescent="0.35">
      <c r="A10" s="2">
        <f ca="1">IFERROR(__xludf.DUMMYFUNCTION("""COMPUTED_VALUE"""),42018.6666666666)</f>
        <v>42018.666666666599</v>
      </c>
      <c r="B10" s="1">
        <f ca="1">IFERROR(__xludf.DUMMYFUNCTION("""COMPUTED_VALUE"""),12.39)</f>
        <v>12.39</v>
      </c>
      <c r="C10" s="1">
        <f ca="1">IFERROR(__xludf.DUMMYFUNCTION("""COMPUTED_VALUE"""),13.01)</f>
        <v>13.01</v>
      </c>
      <c r="D10" s="1">
        <f ca="1">IFERROR(__xludf.DUMMYFUNCTION("""COMPUTED_VALUE"""),12.33)</f>
        <v>12.33</v>
      </c>
      <c r="E10" s="1">
        <f ca="1">IFERROR(__xludf.DUMMYFUNCTION("""COMPUTED_VALUE"""),12.85)</f>
        <v>12.85</v>
      </c>
      <c r="F10" s="1">
        <f ca="1">IFERROR(__xludf.DUMMYFUNCTION("""COMPUTED_VALUE"""),11551855)</f>
        <v>11551855</v>
      </c>
    </row>
    <row r="11" spans="1:6" x14ac:dyDescent="0.35">
      <c r="A11" s="2">
        <f ca="1">IFERROR(__xludf.DUMMYFUNCTION("""COMPUTED_VALUE"""),42019.6666666666)</f>
        <v>42019.666666666599</v>
      </c>
      <c r="B11" s="1">
        <f ca="1">IFERROR(__xludf.DUMMYFUNCTION("""COMPUTED_VALUE"""),12.97)</f>
        <v>12.97</v>
      </c>
      <c r="C11" s="1">
        <f ca="1">IFERROR(__xludf.DUMMYFUNCTION("""COMPUTED_VALUE"""),13.05)</f>
        <v>13.05</v>
      </c>
      <c r="D11" s="1">
        <f ca="1">IFERROR(__xludf.DUMMYFUNCTION("""COMPUTED_VALUE"""),12.67)</f>
        <v>12.67</v>
      </c>
      <c r="E11" s="1">
        <f ca="1">IFERROR(__xludf.DUMMYFUNCTION("""COMPUTED_VALUE"""),12.79)</f>
        <v>12.79</v>
      </c>
      <c r="F11" s="1">
        <f ca="1">IFERROR(__xludf.DUMMYFUNCTION("""COMPUTED_VALUE"""),5216524)</f>
        <v>5216524</v>
      </c>
    </row>
    <row r="12" spans="1:6" x14ac:dyDescent="0.35">
      <c r="A12" s="2">
        <f ca="1">IFERROR(__xludf.DUMMYFUNCTION("""COMPUTED_VALUE"""),42020.6666666666)</f>
        <v>42020.666666666599</v>
      </c>
      <c r="B12" s="1">
        <f ca="1">IFERROR(__xludf.DUMMYFUNCTION("""COMPUTED_VALUE"""),12.71)</f>
        <v>12.71</v>
      </c>
      <c r="C12" s="1">
        <f ca="1">IFERROR(__xludf.DUMMYFUNCTION("""COMPUTED_VALUE"""),12.97)</f>
        <v>12.97</v>
      </c>
      <c r="D12" s="1">
        <f ca="1">IFERROR(__xludf.DUMMYFUNCTION("""COMPUTED_VALUE"""),12.64)</f>
        <v>12.64</v>
      </c>
      <c r="E12" s="1">
        <f ca="1">IFERROR(__xludf.DUMMYFUNCTION("""COMPUTED_VALUE"""),12.87)</f>
        <v>12.87</v>
      </c>
      <c r="F12" s="1">
        <f ca="1">IFERROR(__xludf.DUMMYFUNCTION("""COMPUTED_VALUE"""),3603158)</f>
        <v>3603158</v>
      </c>
    </row>
    <row r="13" spans="1:6" x14ac:dyDescent="0.35">
      <c r="A13" s="2">
        <f ca="1">IFERROR(__xludf.DUMMYFUNCTION("""COMPUTED_VALUE"""),42024.6666666666)</f>
        <v>42024.666666666599</v>
      </c>
      <c r="B13" s="1">
        <f ca="1">IFERROR(__xludf.DUMMYFUNCTION("""COMPUTED_VALUE"""),12.92)</f>
        <v>12.92</v>
      </c>
      <c r="C13" s="1">
        <f ca="1">IFERROR(__xludf.DUMMYFUNCTION("""COMPUTED_VALUE"""),12.94)</f>
        <v>12.94</v>
      </c>
      <c r="D13" s="1">
        <f ca="1">IFERROR(__xludf.DUMMYFUNCTION("""COMPUTED_VALUE"""),12.47)</f>
        <v>12.47</v>
      </c>
      <c r="E13" s="1">
        <f ca="1">IFERROR(__xludf.DUMMYFUNCTION("""COMPUTED_VALUE"""),12.8)</f>
        <v>12.8</v>
      </c>
      <c r="F13" s="1">
        <f ca="1">IFERROR(__xludf.DUMMYFUNCTION("""COMPUTED_VALUE"""),4503182)</f>
        <v>4503182</v>
      </c>
    </row>
    <row r="14" spans="1:6" x14ac:dyDescent="0.35">
      <c r="A14" s="2">
        <f ca="1">IFERROR(__xludf.DUMMYFUNCTION("""COMPUTED_VALUE"""),42025.6666666666)</f>
        <v>42025.666666666599</v>
      </c>
      <c r="B14" s="1">
        <f ca="1">IFERROR(__xludf.DUMMYFUNCTION("""COMPUTED_VALUE"""),12.64)</f>
        <v>12.64</v>
      </c>
      <c r="C14" s="1">
        <f ca="1">IFERROR(__xludf.DUMMYFUNCTION("""COMPUTED_VALUE"""),13.25)</f>
        <v>13.25</v>
      </c>
      <c r="D14" s="1">
        <f ca="1">IFERROR(__xludf.DUMMYFUNCTION("""COMPUTED_VALUE"""),12.63)</f>
        <v>12.63</v>
      </c>
      <c r="E14" s="1">
        <f ca="1">IFERROR(__xludf.DUMMYFUNCTION("""COMPUTED_VALUE"""),13.1)</f>
        <v>13.1</v>
      </c>
      <c r="F14" s="1">
        <f ca="1">IFERROR(__xludf.DUMMYFUNCTION("""COMPUTED_VALUE"""),4153043)</f>
        <v>4153043</v>
      </c>
    </row>
    <row r="15" spans="1:6" x14ac:dyDescent="0.35">
      <c r="A15" s="2">
        <f ca="1">IFERROR(__xludf.DUMMYFUNCTION("""COMPUTED_VALUE"""),42026.6666666666)</f>
        <v>42026.666666666599</v>
      </c>
      <c r="B15" s="1">
        <f ca="1">IFERROR(__xludf.DUMMYFUNCTION("""COMPUTED_VALUE"""),13.13)</f>
        <v>13.13</v>
      </c>
      <c r="C15" s="1">
        <f ca="1">IFERROR(__xludf.DUMMYFUNCTION("""COMPUTED_VALUE"""),13.55)</f>
        <v>13.55</v>
      </c>
      <c r="D15" s="1">
        <f ca="1">IFERROR(__xludf.DUMMYFUNCTION("""COMPUTED_VALUE"""),13.01)</f>
        <v>13.01</v>
      </c>
      <c r="E15" s="1">
        <f ca="1">IFERROR(__xludf.DUMMYFUNCTION("""COMPUTED_VALUE"""),13.44)</f>
        <v>13.44</v>
      </c>
      <c r="F15" s="1">
        <f ca="1">IFERROR(__xludf.DUMMYFUNCTION("""COMPUTED_VALUE"""),4116905)</f>
        <v>4116905</v>
      </c>
    </row>
    <row r="16" spans="1:6" x14ac:dyDescent="0.35">
      <c r="A16" s="2">
        <f ca="1">IFERROR(__xludf.DUMMYFUNCTION("""COMPUTED_VALUE"""),42027.6666666666)</f>
        <v>42027.666666666599</v>
      </c>
      <c r="B16" s="1">
        <f ca="1">IFERROR(__xludf.DUMMYFUNCTION("""COMPUTED_VALUE"""),13.35)</f>
        <v>13.35</v>
      </c>
      <c r="C16" s="1">
        <f ca="1">IFERROR(__xludf.DUMMYFUNCTION("""COMPUTED_VALUE"""),13.57)</f>
        <v>13.57</v>
      </c>
      <c r="D16" s="1">
        <f ca="1">IFERROR(__xludf.DUMMYFUNCTION("""COMPUTED_VALUE"""),13.22)</f>
        <v>13.22</v>
      </c>
      <c r="E16" s="1">
        <f ca="1">IFERROR(__xludf.DUMMYFUNCTION("""COMPUTED_VALUE"""),13.42)</f>
        <v>13.42</v>
      </c>
      <c r="F16" s="1">
        <f ca="1">IFERROR(__xludf.DUMMYFUNCTION("""COMPUTED_VALUE"""),3442371)</f>
        <v>3442371</v>
      </c>
    </row>
    <row r="17" spans="1:6" x14ac:dyDescent="0.35">
      <c r="A17" s="2">
        <f ca="1">IFERROR(__xludf.DUMMYFUNCTION("""COMPUTED_VALUE"""),42030.6666666666)</f>
        <v>42030.666666666599</v>
      </c>
      <c r="B17" s="1">
        <f ca="1">IFERROR(__xludf.DUMMYFUNCTION("""COMPUTED_VALUE"""),13.43)</f>
        <v>13.43</v>
      </c>
      <c r="C17" s="1">
        <f ca="1">IFERROR(__xludf.DUMMYFUNCTION("""COMPUTED_VALUE"""),13.91)</f>
        <v>13.91</v>
      </c>
      <c r="D17" s="1">
        <f ca="1">IFERROR(__xludf.DUMMYFUNCTION("""COMPUTED_VALUE"""),13.4)</f>
        <v>13.4</v>
      </c>
      <c r="E17" s="1">
        <f ca="1">IFERROR(__xludf.DUMMYFUNCTION("""COMPUTED_VALUE"""),13.77)</f>
        <v>13.77</v>
      </c>
      <c r="F17" s="1">
        <f ca="1">IFERROR(__xludf.DUMMYFUNCTION("""COMPUTED_VALUE"""),3234522)</f>
        <v>3234522</v>
      </c>
    </row>
    <row r="18" spans="1:6" x14ac:dyDescent="0.35">
      <c r="A18" s="2">
        <f ca="1">IFERROR(__xludf.DUMMYFUNCTION("""COMPUTED_VALUE"""),42031.6666666666)</f>
        <v>42031.666666666599</v>
      </c>
      <c r="B18" s="1">
        <f ca="1">IFERROR(__xludf.DUMMYFUNCTION("""COMPUTED_VALUE"""),13.63)</f>
        <v>13.63</v>
      </c>
      <c r="C18" s="1">
        <f ca="1">IFERROR(__xludf.DUMMYFUNCTION("""COMPUTED_VALUE"""),13.87)</f>
        <v>13.87</v>
      </c>
      <c r="D18" s="1">
        <f ca="1">IFERROR(__xludf.DUMMYFUNCTION("""COMPUTED_VALUE"""),13.55)</f>
        <v>13.55</v>
      </c>
      <c r="E18" s="1">
        <f ca="1">IFERROR(__xludf.DUMMYFUNCTION("""COMPUTED_VALUE"""),13.73)</f>
        <v>13.73</v>
      </c>
      <c r="F18" s="1">
        <f ca="1">IFERROR(__xludf.DUMMYFUNCTION("""COMPUTED_VALUE"""),2781024)</f>
        <v>2781024</v>
      </c>
    </row>
    <row r="19" spans="1:6" x14ac:dyDescent="0.35">
      <c r="A19" s="2">
        <f ca="1">IFERROR(__xludf.DUMMYFUNCTION("""COMPUTED_VALUE"""),42032.6666666666)</f>
        <v>42032.666666666599</v>
      </c>
      <c r="B19" s="1">
        <f ca="1">IFERROR(__xludf.DUMMYFUNCTION("""COMPUTED_VALUE"""),13.75)</f>
        <v>13.75</v>
      </c>
      <c r="C19" s="1">
        <f ca="1">IFERROR(__xludf.DUMMYFUNCTION("""COMPUTED_VALUE"""),13.76)</f>
        <v>13.76</v>
      </c>
      <c r="D19" s="1">
        <f ca="1">IFERROR(__xludf.DUMMYFUNCTION("""COMPUTED_VALUE"""),13.23)</f>
        <v>13.23</v>
      </c>
      <c r="E19" s="1">
        <f ca="1">IFERROR(__xludf.DUMMYFUNCTION("""COMPUTED_VALUE"""),13.29)</f>
        <v>13.29</v>
      </c>
      <c r="F19" s="1">
        <f ca="1">IFERROR(__xludf.DUMMYFUNCTION("""COMPUTED_VALUE"""),3149606)</f>
        <v>3149606</v>
      </c>
    </row>
    <row r="20" spans="1:6" x14ac:dyDescent="0.35">
      <c r="A20" s="2">
        <f ca="1">IFERROR(__xludf.DUMMYFUNCTION("""COMPUTED_VALUE"""),42033.6666666666)</f>
        <v>42033.666666666599</v>
      </c>
      <c r="B20" s="1">
        <f ca="1">IFERROR(__xludf.DUMMYFUNCTION("""COMPUTED_VALUE"""),13.41)</f>
        <v>13.41</v>
      </c>
      <c r="C20" s="1">
        <f ca="1">IFERROR(__xludf.DUMMYFUNCTION("""COMPUTED_VALUE"""),13.73)</f>
        <v>13.73</v>
      </c>
      <c r="D20" s="1">
        <f ca="1">IFERROR(__xludf.DUMMYFUNCTION("""COMPUTED_VALUE"""),13.1)</f>
        <v>13.1</v>
      </c>
      <c r="E20" s="1">
        <f ca="1">IFERROR(__xludf.DUMMYFUNCTION("""COMPUTED_VALUE"""),13.68)</f>
        <v>13.68</v>
      </c>
      <c r="F20" s="1">
        <f ca="1">IFERROR(__xludf.DUMMYFUNCTION("""COMPUTED_VALUE"""),3548106)</f>
        <v>3548106</v>
      </c>
    </row>
    <row r="21" spans="1:6" x14ac:dyDescent="0.35">
      <c r="A21" s="2">
        <f ca="1">IFERROR(__xludf.DUMMYFUNCTION("""COMPUTED_VALUE"""),42034.6666666666)</f>
        <v>42034.666666666599</v>
      </c>
      <c r="B21" s="1">
        <f ca="1">IFERROR(__xludf.DUMMYFUNCTION("""COMPUTED_VALUE"""),13.59)</f>
        <v>13.59</v>
      </c>
      <c r="C21" s="1">
        <f ca="1">IFERROR(__xludf.DUMMYFUNCTION("""COMPUTED_VALUE"""),13.83)</f>
        <v>13.83</v>
      </c>
      <c r="D21" s="1">
        <f ca="1">IFERROR(__xludf.DUMMYFUNCTION("""COMPUTED_VALUE"""),13.53)</f>
        <v>13.53</v>
      </c>
      <c r="E21" s="1">
        <f ca="1">IFERROR(__xludf.DUMMYFUNCTION("""COMPUTED_VALUE"""),13.57)</f>
        <v>13.57</v>
      </c>
      <c r="F21" s="1">
        <f ca="1">IFERROR(__xludf.DUMMYFUNCTION("""COMPUTED_VALUE"""),3006959)</f>
        <v>3006959</v>
      </c>
    </row>
    <row r="22" spans="1:6" x14ac:dyDescent="0.35">
      <c r="A22" s="2">
        <f ca="1">IFERROR(__xludf.DUMMYFUNCTION("""COMPUTED_VALUE"""),42037.6666666666)</f>
        <v>42037.666666666599</v>
      </c>
      <c r="B22" s="1">
        <f ca="1">IFERROR(__xludf.DUMMYFUNCTION("""COMPUTED_VALUE"""),13.6)</f>
        <v>13.6</v>
      </c>
      <c r="C22" s="1">
        <f ca="1">IFERROR(__xludf.DUMMYFUNCTION("""COMPUTED_VALUE"""),14.13)</f>
        <v>14.13</v>
      </c>
      <c r="D22" s="1">
        <f ca="1">IFERROR(__xludf.DUMMYFUNCTION("""COMPUTED_VALUE"""),13.55)</f>
        <v>13.55</v>
      </c>
      <c r="E22" s="1">
        <f ca="1">IFERROR(__xludf.DUMMYFUNCTION("""COMPUTED_VALUE"""),14.06)</f>
        <v>14.06</v>
      </c>
      <c r="F22" s="1">
        <f ca="1">IFERROR(__xludf.DUMMYFUNCTION("""COMPUTED_VALUE"""),4149186)</f>
        <v>4149186</v>
      </c>
    </row>
    <row r="23" spans="1:6" x14ac:dyDescent="0.35">
      <c r="A23" s="2">
        <f ca="1">IFERROR(__xludf.DUMMYFUNCTION("""COMPUTED_VALUE"""),42038.6666666666)</f>
        <v>42038.666666666599</v>
      </c>
      <c r="B23" s="1">
        <f ca="1">IFERROR(__xludf.DUMMYFUNCTION("""COMPUTED_VALUE"""),14.21)</f>
        <v>14.21</v>
      </c>
      <c r="C23" s="1">
        <f ca="1">IFERROR(__xludf.DUMMYFUNCTION("""COMPUTED_VALUE"""),14.69)</f>
        <v>14.69</v>
      </c>
      <c r="D23" s="1">
        <f ca="1">IFERROR(__xludf.DUMMYFUNCTION("""COMPUTED_VALUE"""),14.08)</f>
        <v>14.08</v>
      </c>
      <c r="E23" s="1">
        <f ca="1">IFERROR(__xludf.DUMMYFUNCTION("""COMPUTED_VALUE"""),14.56)</f>
        <v>14.56</v>
      </c>
      <c r="F23" s="1">
        <f ca="1">IFERROR(__xludf.DUMMYFUNCTION("""COMPUTED_VALUE"""),4826244)</f>
        <v>4826244</v>
      </c>
    </row>
    <row r="24" spans="1:6" x14ac:dyDescent="0.35">
      <c r="A24" s="2">
        <f ca="1">IFERROR(__xludf.DUMMYFUNCTION("""COMPUTED_VALUE"""),42039.6666666666)</f>
        <v>42039.666666666599</v>
      </c>
      <c r="B24" s="1">
        <f ca="1">IFERROR(__xludf.DUMMYFUNCTION("""COMPUTED_VALUE"""),14.55)</f>
        <v>14.55</v>
      </c>
      <c r="C24" s="1">
        <f ca="1">IFERROR(__xludf.DUMMYFUNCTION("""COMPUTED_VALUE"""),14.77)</f>
        <v>14.77</v>
      </c>
      <c r="D24" s="1">
        <f ca="1">IFERROR(__xludf.DUMMYFUNCTION("""COMPUTED_VALUE"""),14.45)</f>
        <v>14.45</v>
      </c>
      <c r="E24" s="1">
        <f ca="1">IFERROR(__xludf.DUMMYFUNCTION("""COMPUTED_VALUE"""),14.57)</f>
        <v>14.57</v>
      </c>
      <c r="F24" s="1">
        <f ca="1">IFERROR(__xludf.DUMMYFUNCTION("""COMPUTED_VALUE"""),3305377)</f>
        <v>3305377</v>
      </c>
    </row>
    <row r="25" spans="1:6" x14ac:dyDescent="0.35">
      <c r="A25" s="2">
        <f ca="1">IFERROR(__xludf.DUMMYFUNCTION("""COMPUTED_VALUE"""),42040.6666666666)</f>
        <v>42040.666666666599</v>
      </c>
      <c r="B25" s="1">
        <f ca="1">IFERROR(__xludf.DUMMYFUNCTION("""COMPUTED_VALUE"""),14.66)</f>
        <v>14.66</v>
      </c>
      <c r="C25" s="1">
        <f ca="1">IFERROR(__xludf.DUMMYFUNCTION("""COMPUTED_VALUE"""),15.03)</f>
        <v>15.03</v>
      </c>
      <c r="D25" s="1">
        <f ca="1">IFERROR(__xludf.DUMMYFUNCTION("""COMPUTED_VALUE"""),14.64)</f>
        <v>14.64</v>
      </c>
      <c r="E25" s="1">
        <f ca="1">IFERROR(__xludf.DUMMYFUNCTION("""COMPUTED_VALUE"""),14.73)</f>
        <v>14.73</v>
      </c>
      <c r="F25" s="1">
        <f ca="1">IFERROR(__xludf.DUMMYFUNCTION("""COMPUTED_VALUE"""),3522947)</f>
        <v>3522947</v>
      </c>
    </row>
    <row r="26" spans="1:6" x14ac:dyDescent="0.35">
      <c r="A26" s="2">
        <f ca="1">IFERROR(__xludf.DUMMYFUNCTION("""COMPUTED_VALUE"""),42041.6666666666)</f>
        <v>42041.666666666599</v>
      </c>
      <c r="B26" s="1">
        <f ca="1">IFERROR(__xludf.DUMMYFUNCTION("""COMPUTED_VALUE"""),14.8)</f>
        <v>14.8</v>
      </c>
      <c r="C26" s="1">
        <f ca="1">IFERROR(__xludf.DUMMYFUNCTION("""COMPUTED_VALUE"""),14.89)</f>
        <v>14.89</v>
      </c>
      <c r="D26" s="1">
        <f ca="1">IFERROR(__xludf.DUMMYFUNCTION("""COMPUTED_VALUE"""),14.43)</f>
        <v>14.43</v>
      </c>
      <c r="E26" s="1">
        <f ca="1">IFERROR(__xludf.DUMMYFUNCTION("""COMPUTED_VALUE"""),14.49)</f>
        <v>14.49</v>
      </c>
      <c r="F26" s="1">
        <f ca="1">IFERROR(__xludf.DUMMYFUNCTION("""COMPUTED_VALUE"""),3243931)</f>
        <v>3243931</v>
      </c>
    </row>
    <row r="27" spans="1:6" x14ac:dyDescent="0.35">
      <c r="A27" s="2">
        <f ca="1">IFERROR(__xludf.DUMMYFUNCTION("""COMPUTED_VALUE"""),42044.6666666666)</f>
        <v>42044.666666666599</v>
      </c>
      <c r="B27" s="1">
        <f ca="1">IFERROR(__xludf.DUMMYFUNCTION("""COMPUTED_VALUE"""),14.36)</f>
        <v>14.36</v>
      </c>
      <c r="C27" s="1">
        <f ca="1">IFERROR(__xludf.DUMMYFUNCTION("""COMPUTED_VALUE"""),14.53)</f>
        <v>14.53</v>
      </c>
      <c r="D27" s="1">
        <f ca="1">IFERROR(__xludf.DUMMYFUNCTION("""COMPUTED_VALUE"""),14.13)</f>
        <v>14.13</v>
      </c>
      <c r="E27" s="1">
        <f ca="1">IFERROR(__xludf.DUMMYFUNCTION("""COMPUTED_VALUE"""),14.5)</f>
        <v>14.5</v>
      </c>
      <c r="F27" s="1">
        <f ca="1">IFERROR(__xludf.DUMMYFUNCTION("""COMPUTED_VALUE"""),3472423)</f>
        <v>3472423</v>
      </c>
    </row>
    <row r="28" spans="1:6" x14ac:dyDescent="0.35">
      <c r="A28" s="2">
        <f ca="1">IFERROR(__xludf.DUMMYFUNCTION("""COMPUTED_VALUE"""),42045.6666666666)</f>
        <v>42045.666666666599</v>
      </c>
      <c r="B28" s="1">
        <f ca="1">IFERROR(__xludf.DUMMYFUNCTION("""COMPUTED_VALUE"""),14.5)</f>
        <v>14.5</v>
      </c>
      <c r="C28" s="1">
        <f ca="1">IFERROR(__xludf.DUMMYFUNCTION("""COMPUTED_VALUE"""),14.7)</f>
        <v>14.7</v>
      </c>
      <c r="D28" s="1">
        <f ca="1">IFERROR(__xludf.DUMMYFUNCTION("""COMPUTED_VALUE"""),14.33)</f>
        <v>14.33</v>
      </c>
      <c r="E28" s="1">
        <f ca="1">IFERROR(__xludf.DUMMYFUNCTION("""COMPUTED_VALUE"""),14.42)</f>
        <v>14.42</v>
      </c>
      <c r="F28" s="1">
        <f ca="1">IFERROR(__xludf.DUMMYFUNCTION("""COMPUTED_VALUE"""),5390542)</f>
        <v>5390542</v>
      </c>
    </row>
    <row r="29" spans="1:6" x14ac:dyDescent="0.35">
      <c r="A29" s="2">
        <f ca="1">IFERROR(__xludf.DUMMYFUNCTION("""COMPUTED_VALUE"""),42046.6666666666)</f>
        <v>42046.666666666599</v>
      </c>
      <c r="B29" s="1">
        <f ca="1">IFERROR(__xludf.DUMMYFUNCTION("""COMPUTED_VALUE"""),14.15)</f>
        <v>14.15</v>
      </c>
      <c r="C29" s="1">
        <f ca="1">IFERROR(__xludf.DUMMYFUNCTION("""COMPUTED_VALUE"""),14.32)</f>
        <v>14.32</v>
      </c>
      <c r="D29" s="1">
        <f ca="1">IFERROR(__xludf.DUMMYFUNCTION("""COMPUTED_VALUE"""),13.82)</f>
        <v>13.82</v>
      </c>
      <c r="E29" s="1">
        <f ca="1">IFERROR(__xludf.DUMMYFUNCTION("""COMPUTED_VALUE"""),14.19)</f>
        <v>14.19</v>
      </c>
      <c r="F29" s="1">
        <f ca="1">IFERROR(__xludf.DUMMYFUNCTION("""COMPUTED_VALUE"""),9769102)</f>
        <v>9769102</v>
      </c>
    </row>
    <row r="30" spans="1:6" x14ac:dyDescent="0.35">
      <c r="A30" s="2">
        <f ca="1">IFERROR(__xludf.DUMMYFUNCTION("""COMPUTED_VALUE"""),42047.6666666666)</f>
        <v>42047.666666666599</v>
      </c>
      <c r="B30" s="1">
        <f ca="1">IFERROR(__xludf.DUMMYFUNCTION("""COMPUTED_VALUE"""),12.9)</f>
        <v>12.9</v>
      </c>
      <c r="C30" s="1">
        <f ca="1">IFERROR(__xludf.DUMMYFUNCTION("""COMPUTED_VALUE"""),13.54)</f>
        <v>13.54</v>
      </c>
      <c r="D30" s="1">
        <f ca="1">IFERROR(__xludf.DUMMYFUNCTION("""COMPUTED_VALUE"""),12.89)</f>
        <v>12.89</v>
      </c>
      <c r="E30" s="1">
        <f ca="1">IFERROR(__xludf.DUMMYFUNCTION("""COMPUTED_VALUE"""),13.53)</f>
        <v>13.53</v>
      </c>
      <c r="F30" s="1">
        <f ca="1">IFERROR(__xludf.DUMMYFUNCTION("""COMPUTED_VALUE"""),15649607)</f>
        <v>15649607</v>
      </c>
    </row>
    <row r="31" spans="1:6" x14ac:dyDescent="0.35">
      <c r="A31" s="2">
        <f ca="1">IFERROR(__xludf.DUMMYFUNCTION("""COMPUTED_VALUE"""),42048.6666666666)</f>
        <v>42048.666666666599</v>
      </c>
      <c r="B31" s="1">
        <f ca="1">IFERROR(__xludf.DUMMYFUNCTION("""COMPUTED_VALUE"""),13.53)</f>
        <v>13.53</v>
      </c>
      <c r="C31" s="1">
        <f ca="1">IFERROR(__xludf.DUMMYFUNCTION("""COMPUTED_VALUE"""),13.73)</f>
        <v>13.73</v>
      </c>
      <c r="D31" s="1">
        <f ca="1">IFERROR(__xludf.DUMMYFUNCTION("""COMPUTED_VALUE"""),13.39)</f>
        <v>13.39</v>
      </c>
      <c r="E31" s="1">
        <f ca="1">IFERROR(__xludf.DUMMYFUNCTION("""COMPUTED_VALUE"""),13.58)</f>
        <v>13.58</v>
      </c>
      <c r="F31" s="1">
        <f ca="1">IFERROR(__xludf.DUMMYFUNCTION("""COMPUTED_VALUE"""),6191003)</f>
        <v>6191003</v>
      </c>
    </row>
    <row r="32" spans="1:6" x14ac:dyDescent="0.35">
      <c r="A32" s="2">
        <f ca="1">IFERROR(__xludf.DUMMYFUNCTION("""COMPUTED_VALUE"""),42052.6666666666)</f>
        <v>42052.666666666599</v>
      </c>
      <c r="B32" s="1">
        <f ca="1">IFERROR(__xludf.DUMMYFUNCTION("""COMPUTED_VALUE"""),13.51)</f>
        <v>13.51</v>
      </c>
      <c r="C32" s="1">
        <f ca="1">IFERROR(__xludf.DUMMYFUNCTION("""COMPUTED_VALUE"""),13.71)</f>
        <v>13.71</v>
      </c>
      <c r="D32" s="1">
        <f ca="1">IFERROR(__xludf.DUMMYFUNCTION("""COMPUTED_VALUE"""),13.43)</f>
        <v>13.43</v>
      </c>
      <c r="E32" s="1">
        <f ca="1">IFERROR(__xludf.DUMMYFUNCTION("""COMPUTED_VALUE"""),13.62)</f>
        <v>13.62</v>
      </c>
      <c r="F32" s="1">
        <f ca="1">IFERROR(__xludf.DUMMYFUNCTION("""COMPUTED_VALUE"""),3979647)</f>
        <v>3979647</v>
      </c>
    </row>
    <row r="33" spans="1:6" x14ac:dyDescent="0.35">
      <c r="A33" s="2">
        <f ca="1">IFERROR(__xludf.DUMMYFUNCTION("""COMPUTED_VALUE"""),42053.6666666666)</f>
        <v>42053.666666666599</v>
      </c>
      <c r="B33" s="1">
        <f ca="1">IFERROR(__xludf.DUMMYFUNCTION("""COMPUTED_VALUE"""),13.6)</f>
        <v>13.6</v>
      </c>
      <c r="C33" s="1">
        <f ca="1">IFERROR(__xludf.DUMMYFUNCTION("""COMPUTED_VALUE"""),13.74)</f>
        <v>13.74</v>
      </c>
      <c r="D33" s="1">
        <f ca="1">IFERROR(__xludf.DUMMYFUNCTION("""COMPUTED_VALUE"""),13.51)</f>
        <v>13.51</v>
      </c>
      <c r="E33" s="1">
        <f ca="1">IFERROR(__xludf.DUMMYFUNCTION("""COMPUTED_VALUE"""),13.63)</f>
        <v>13.63</v>
      </c>
      <c r="F33" s="1">
        <f ca="1">IFERROR(__xludf.DUMMYFUNCTION("""COMPUTED_VALUE"""),2713598)</f>
        <v>2713598</v>
      </c>
    </row>
    <row r="34" spans="1:6" x14ac:dyDescent="0.35">
      <c r="A34" s="2">
        <f ca="1">IFERROR(__xludf.DUMMYFUNCTION("""COMPUTED_VALUE"""),42054.6666666666)</f>
        <v>42054.666666666599</v>
      </c>
      <c r="B34" s="1">
        <f ca="1">IFERROR(__xludf.DUMMYFUNCTION("""COMPUTED_VALUE"""),13.67)</f>
        <v>13.67</v>
      </c>
      <c r="C34" s="1">
        <f ca="1">IFERROR(__xludf.DUMMYFUNCTION("""COMPUTED_VALUE"""),14.16)</f>
        <v>14.16</v>
      </c>
      <c r="D34" s="1">
        <f ca="1">IFERROR(__xludf.DUMMYFUNCTION("""COMPUTED_VALUE"""),13.58)</f>
        <v>13.58</v>
      </c>
      <c r="E34" s="1">
        <f ca="1">IFERROR(__xludf.DUMMYFUNCTION("""COMPUTED_VALUE"""),14.11)</f>
        <v>14.11</v>
      </c>
      <c r="F34" s="1">
        <f ca="1">IFERROR(__xludf.DUMMYFUNCTION("""COMPUTED_VALUE"""),5154148)</f>
        <v>5154148</v>
      </c>
    </row>
    <row r="35" spans="1:6" x14ac:dyDescent="0.35">
      <c r="A35" s="2">
        <f ca="1">IFERROR(__xludf.DUMMYFUNCTION("""COMPUTED_VALUE"""),42055.6666666666)</f>
        <v>42055.666666666599</v>
      </c>
      <c r="B35" s="1">
        <f ca="1">IFERROR(__xludf.DUMMYFUNCTION("""COMPUTED_VALUE"""),14.05)</f>
        <v>14.05</v>
      </c>
      <c r="C35" s="1">
        <f ca="1">IFERROR(__xludf.DUMMYFUNCTION("""COMPUTED_VALUE"""),14.51)</f>
        <v>14.51</v>
      </c>
      <c r="D35" s="1">
        <f ca="1">IFERROR(__xludf.DUMMYFUNCTION("""COMPUTED_VALUE"""),13.99)</f>
        <v>13.99</v>
      </c>
      <c r="E35" s="1">
        <f ca="1">IFERROR(__xludf.DUMMYFUNCTION("""COMPUTED_VALUE"""),14.47)</f>
        <v>14.47</v>
      </c>
      <c r="F35" s="1">
        <f ca="1">IFERROR(__xludf.DUMMYFUNCTION("""COMPUTED_VALUE"""),5982089)</f>
        <v>5982089</v>
      </c>
    </row>
    <row r="36" spans="1:6" x14ac:dyDescent="0.35">
      <c r="A36" s="2">
        <f ca="1">IFERROR(__xludf.DUMMYFUNCTION("""COMPUTED_VALUE"""),42058.6666666666)</f>
        <v>42058.666666666599</v>
      </c>
      <c r="B36" s="1">
        <f ca="1">IFERROR(__xludf.DUMMYFUNCTION("""COMPUTED_VALUE"""),14.33)</f>
        <v>14.33</v>
      </c>
      <c r="C36" s="1">
        <f ca="1">IFERROR(__xludf.DUMMYFUNCTION("""COMPUTED_VALUE"""),14.55)</f>
        <v>14.55</v>
      </c>
      <c r="D36" s="1">
        <f ca="1">IFERROR(__xludf.DUMMYFUNCTION("""COMPUTED_VALUE"""),13.76)</f>
        <v>13.76</v>
      </c>
      <c r="E36" s="1">
        <f ca="1">IFERROR(__xludf.DUMMYFUNCTION("""COMPUTED_VALUE"""),13.82)</f>
        <v>13.82</v>
      </c>
      <c r="F36" s="1">
        <f ca="1">IFERROR(__xludf.DUMMYFUNCTION("""COMPUTED_VALUE"""),8499775)</f>
        <v>8499775</v>
      </c>
    </row>
    <row r="37" spans="1:6" x14ac:dyDescent="0.35">
      <c r="A37" s="2">
        <f ca="1">IFERROR(__xludf.DUMMYFUNCTION("""COMPUTED_VALUE"""),42059.6666666666)</f>
        <v>42059.666666666599</v>
      </c>
      <c r="B37" s="1">
        <f ca="1">IFERROR(__xludf.DUMMYFUNCTION("""COMPUTED_VALUE"""),13.82)</f>
        <v>13.82</v>
      </c>
      <c r="C37" s="1">
        <f ca="1">IFERROR(__xludf.DUMMYFUNCTION("""COMPUTED_VALUE"""),13.82)</f>
        <v>13.82</v>
      </c>
      <c r="D37" s="1">
        <f ca="1">IFERROR(__xludf.DUMMYFUNCTION("""COMPUTED_VALUE"""),13.45)</f>
        <v>13.45</v>
      </c>
      <c r="E37" s="1">
        <f ca="1">IFERROR(__xludf.DUMMYFUNCTION("""COMPUTED_VALUE"""),13.61)</f>
        <v>13.61</v>
      </c>
      <c r="F37" s="1">
        <f ca="1">IFERROR(__xludf.DUMMYFUNCTION("""COMPUTED_VALUE"""),6603560)</f>
        <v>6603560</v>
      </c>
    </row>
    <row r="38" spans="1:6" x14ac:dyDescent="0.35">
      <c r="A38" s="2">
        <f ca="1">IFERROR(__xludf.DUMMYFUNCTION("""COMPUTED_VALUE"""),42060.6666666666)</f>
        <v>42060.666666666599</v>
      </c>
      <c r="B38" s="1">
        <f ca="1">IFERROR(__xludf.DUMMYFUNCTION("""COMPUTED_VALUE"""),13.66)</f>
        <v>13.66</v>
      </c>
      <c r="C38" s="1">
        <f ca="1">IFERROR(__xludf.DUMMYFUNCTION("""COMPUTED_VALUE"""),13.81)</f>
        <v>13.81</v>
      </c>
      <c r="D38" s="1">
        <f ca="1">IFERROR(__xludf.DUMMYFUNCTION("""COMPUTED_VALUE"""),13.51)</f>
        <v>13.51</v>
      </c>
      <c r="E38" s="1">
        <f ca="1">IFERROR(__xludf.DUMMYFUNCTION("""COMPUTED_VALUE"""),13.58)</f>
        <v>13.58</v>
      </c>
      <c r="F38" s="1">
        <f ca="1">IFERROR(__xludf.DUMMYFUNCTION("""COMPUTED_VALUE"""),3909520)</f>
        <v>3909520</v>
      </c>
    </row>
    <row r="39" spans="1:6" x14ac:dyDescent="0.35">
      <c r="A39" s="2">
        <f ca="1">IFERROR(__xludf.DUMMYFUNCTION("""COMPUTED_VALUE"""),42061.6666666666)</f>
        <v>42061.666666666599</v>
      </c>
      <c r="B39" s="1">
        <f ca="1">IFERROR(__xludf.DUMMYFUNCTION("""COMPUTED_VALUE"""),13.6)</f>
        <v>13.6</v>
      </c>
      <c r="C39" s="1">
        <f ca="1">IFERROR(__xludf.DUMMYFUNCTION("""COMPUTED_VALUE"""),14.07)</f>
        <v>14.07</v>
      </c>
      <c r="D39" s="1">
        <f ca="1">IFERROR(__xludf.DUMMYFUNCTION("""COMPUTED_VALUE"""),13.48)</f>
        <v>13.48</v>
      </c>
      <c r="E39" s="1">
        <f ca="1">IFERROR(__xludf.DUMMYFUNCTION("""COMPUTED_VALUE"""),13.81)</f>
        <v>13.81</v>
      </c>
      <c r="F39" s="1">
        <f ca="1">IFERROR(__xludf.DUMMYFUNCTION("""COMPUTED_VALUE"""),6472855)</f>
        <v>6472855</v>
      </c>
    </row>
    <row r="40" spans="1:6" x14ac:dyDescent="0.35">
      <c r="A40" s="2">
        <f ca="1">IFERROR(__xludf.DUMMYFUNCTION("""COMPUTED_VALUE"""),42062.6666666666)</f>
        <v>42062.666666666599</v>
      </c>
      <c r="B40" s="1">
        <f ca="1">IFERROR(__xludf.DUMMYFUNCTION("""COMPUTED_VALUE"""),13.8)</f>
        <v>13.8</v>
      </c>
      <c r="C40" s="1">
        <f ca="1">IFERROR(__xludf.DUMMYFUNCTION("""COMPUTED_VALUE"""),13.9)</f>
        <v>13.9</v>
      </c>
      <c r="D40" s="1">
        <f ca="1">IFERROR(__xludf.DUMMYFUNCTION("""COMPUTED_VALUE"""),13.52)</f>
        <v>13.52</v>
      </c>
      <c r="E40" s="1">
        <f ca="1">IFERROR(__xludf.DUMMYFUNCTION("""COMPUTED_VALUE"""),13.56)</f>
        <v>13.56</v>
      </c>
      <c r="F40" s="1">
        <f ca="1">IFERROR(__xludf.DUMMYFUNCTION("""COMPUTED_VALUE"""),3882084)</f>
        <v>3882084</v>
      </c>
    </row>
    <row r="41" spans="1:6" x14ac:dyDescent="0.35">
      <c r="A41" s="2">
        <f ca="1">IFERROR(__xludf.DUMMYFUNCTION("""COMPUTED_VALUE"""),42065.6666666666)</f>
        <v>42065.666666666599</v>
      </c>
      <c r="B41" s="1">
        <f ca="1">IFERROR(__xludf.DUMMYFUNCTION("""COMPUTED_VALUE"""),13.51)</f>
        <v>13.51</v>
      </c>
      <c r="C41" s="1">
        <f ca="1">IFERROR(__xludf.DUMMYFUNCTION("""COMPUTED_VALUE"""),13.56)</f>
        <v>13.56</v>
      </c>
      <c r="D41" s="1">
        <f ca="1">IFERROR(__xludf.DUMMYFUNCTION("""COMPUTED_VALUE"""),13.06)</f>
        <v>13.06</v>
      </c>
      <c r="E41" s="1">
        <f ca="1">IFERROR(__xludf.DUMMYFUNCTION("""COMPUTED_VALUE"""),13.16)</f>
        <v>13.16</v>
      </c>
      <c r="F41" s="1">
        <f ca="1">IFERROR(__xludf.DUMMYFUNCTION("""COMPUTED_VALUE"""),7922065)</f>
        <v>7922065</v>
      </c>
    </row>
    <row r="42" spans="1:6" x14ac:dyDescent="0.35">
      <c r="A42" s="2">
        <f ca="1">IFERROR(__xludf.DUMMYFUNCTION("""COMPUTED_VALUE"""),42066.6666666666)</f>
        <v>42066.666666666599</v>
      </c>
      <c r="B42" s="1">
        <f ca="1">IFERROR(__xludf.DUMMYFUNCTION("""COMPUTED_VALUE"""),13.12)</f>
        <v>13.12</v>
      </c>
      <c r="C42" s="1">
        <f ca="1">IFERROR(__xludf.DUMMYFUNCTION("""COMPUTED_VALUE"""),13.35)</f>
        <v>13.35</v>
      </c>
      <c r="D42" s="1">
        <f ca="1">IFERROR(__xludf.DUMMYFUNCTION("""COMPUTED_VALUE"""),13.02)</f>
        <v>13.02</v>
      </c>
      <c r="E42" s="1">
        <f ca="1">IFERROR(__xludf.DUMMYFUNCTION("""COMPUTED_VALUE"""),13.3)</f>
        <v>13.3</v>
      </c>
      <c r="F42" s="1">
        <f ca="1">IFERROR(__xludf.DUMMYFUNCTION("""COMPUTED_VALUE"""),4432329)</f>
        <v>4432329</v>
      </c>
    </row>
    <row r="43" spans="1:6" x14ac:dyDescent="0.35">
      <c r="A43" s="2">
        <f ca="1">IFERROR(__xludf.DUMMYFUNCTION("""COMPUTED_VALUE"""),42067.6666666666)</f>
        <v>42067.666666666599</v>
      </c>
      <c r="B43" s="1">
        <f ca="1">IFERROR(__xludf.DUMMYFUNCTION("""COMPUTED_VALUE"""),13.27)</f>
        <v>13.27</v>
      </c>
      <c r="C43" s="1">
        <f ca="1">IFERROR(__xludf.DUMMYFUNCTION("""COMPUTED_VALUE"""),13.5)</f>
        <v>13.5</v>
      </c>
      <c r="D43" s="1">
        <f ca="1">IFERROR(__xludf.DUMMYFUNCTION("""COMPUTED_VALUE"""),13.15)</f>
        <v>13.15</v>
      </c>
      <c r="E43" s="1">
        <f ca="1">IFERROR(__xludf.DUMMYFUNCTION("""COMPUTED_VALUE"""),13.5)</f>
        <v>13.5</v>
      </c>
      <c r="F43" s="1">
        <f ca="1">IFERROR(__xludf.DUMMYFUNCTION("""COMPUTED_VALUE"""),4221962)</f>
        <v>4221962</v>
      </c>
    </row>
    <row r="44" spans="1:6" x14ac:dyDescent="0.35">
      <c r="A44" s="2">
        <f ca="1">IFERROR(__xludf.DUMMYFUNCTION("""COMPUTED_VALUE"""),42068.6666666666)</f>
        <v>42068.666666666599</v>
      </c>
      <c r="B44" s="1">
        <f ca="1">IFERROR(__xludf.DUMMYFUNCTION("""COMPUTED_VALUE"""),13.52)</f>
        <v>13.52</v>
      </c>
      <c r="C44" s="1">
        <f ca="1">IFERROR(__xludf.DUMMYFUNCTION("""COMPUTED_VALUE"""),13.75)</f>
        <v>13.75</v>
      </c>
      <c r="D44" s="1">
        <f ca="1">IFERROR(__xludf.DUMMYFUNCTION("""COMPUTED_VALUE"""),13.34)</f>
        <v>13.34</v>
      </c>
      <c r="E44" s="1">
        <f ca="1">IFERROR(__xludf.DUMMYFUNCTION("""COMPUTED_VALUE"""),13.38)</f>
        <v>13.38</v>
      </c>
      <c r="F44" s="1">
        <f ca="1">IFERROR(__xludf.DUMMYFUNCTION("""COMPUTED_VALUE"""),4877015)</f>
        <v>4877015</v>
      </c>
    </row>
    <row r="45" spans="1:6" x14ac:dyDescent="0.35">
      <c r="A45" s="2">
        <f ca="1">IFERROR(__xludf.DUMMYFUNCTION("""COMPUTED_VALUE"""),42069.6666666666)</f>
        <v>42069.666666666599</v>
      </c>
      <c r="B45" s="1">
        <f ca="1">IFERROR(__xludf.DUMMYFUNCTION("""COMPUTED_VALUE"""),13.28)</f>
        <v>13.28</v>
      </c>
      <c r="C45" s="1">
        <f ca="1">IFERROR(__xludf.DUMMYFUNCTION("""COMPUTED_VALUE"""),13.38)</f>
        <v>13.38</v>
      </c>
      <c r="D45" s="1">
        <f ca="1">IFERROR(__xludf.DUMMYFUNCTION("""COMPUTED_VALUE"""),12.81)</f>
        <v>12.81</v>
      </c>
      <c r="E45" s="1">
        <f ca="1">IFERROR(__xludf.DUMMYFUNCTION("""COMPUTED_VALUE"""),12.93)</f>
        <v>12.93</v>
      </c>
      <c r="F45" s="1">
        <f ca="1">IFERROR(__xludf.DUMMYFUNCTION("""COMPUTED_VALUE"""),6712438)</f>
        <v>6712438</v>
      </c>
    </row>
    <row r="46" spans="1:6" x14ac:dyDescent="0.35">
      <c r="A46" s="2">
        <f ca="1">IFERROR(__xludf.DUMMYFUNCTION("""COMPUTED_VALUE"""),42072.6666666666)</f>
        <v>42072.666666666599</v>
      </c>
      <c r="B46" s="1">
        <f ca="1">IFERROR(__xludf.DUMMYFUNCTION("""COMPUTED_VALUE"""),12.96)</f>
        <v>12.96</v>
      </c>
      <c r="C46" s="1">
        <f ca="1">IFERROR(__xludf.DUMMYFUNCTION("""COMPUTED_VALUE"""),12.97)</f>
        <v>12.97</v>
      </c>
      <c r="D46" s="1">
        <f ca="1">IFERROR(__xludf.DUMMYFUNCTION("""COMPUTED_VALUE"""),12.55)</f>
        <v>12.55</v>
      </c>
      <c r="E46" s="1">
        <f ca="1">IFERROR(__xludf.DUMMYFUNCTION("""COMPUTED_VALUE"""),12.73)</f>
        <v>12.73</v>
      </c>
      <c r="F46" s="1">
        <f ca="1">IFERROR(__xludf.DUMMYFUNCTION("""COMPUTED_VALUE"""),6736724)</f>
        <v>6736724</v>
      </c>
    </row>
    <row r="47" spans="1:6" x14ac:dyDescent="0.35">
      <c r="A47" s="2">
        <f ca="1">IFERROR(__xludf.DUMMYFUNCTION("""COMPUTED_VALUE"""),42073.6666666666)</f>
        <v>42073.666666666599</v>
      </c>
      <c r="B47" s="1">
        <f ca="1">IFERROR(__xludf.DUMMYFUNCTION("""COMPUTED_VALUE"""),12.56)</f>
        <v>12.56</v>
      </c>
      <c r="C47" s="1">
        <f ca="1">IFERROR(__xludf.DUMMYFUNCTION("""COMPUTED_VALUE"""),12.9)</f>
        <v>12.9</v>
      </c>
      <c r="D47" s="1">
        <f ca="1">IFERROR(__xludf.DUMMYFUNCTION("""COMPUTED_VALUE"""),12.51)</f>
        <v>12.51</v>
      </c>
      <c r="E47" s="1">
        <f ca="1">IFERROR(__xludf.DUMMYFUNCTION("""COMPUTED_VALUE"""),12.69)</f>
        <v>12.69</v>
      </c>
      <c r="F47" s="1">
        <f ca="1">IFERROR(__xludf.DUMMYFUNCTION("""COMPUTED_VALUE"""),5579691)</f>
        <v>5579691</v>
      </c>
    </row>
    <row r="48" spans="1:6" x14ac:dyDescent="0.35">
      <c r="A48" s="2">
        <f ca="1">IFERROR(__xludf.DUMMYFUNCTION("""COMPUTED_VALUE"""),42074.6666666666)</f>
        <v>42074.666666666599</v>
      </c>
      <c r="B48" s="1">
        <f ca="1">IFERROR(__xludf.DUMMYFUNCTION("""COMPUTED_VALUE"""),12.74)</f>
        <v>12.74</v>
      </c>
      <c r="C48" s="1">
        <f ca="1">IFERROR(__xludf.DUMMYFUNCTION("""COMPUTED_VALUE"""),13.08)</f>
        <v>13.08</v>
      </c>
      <c r="D48" s="1">
        <f ca="1">IFERROR(__xludf.DUMMYFUNCTION("""COMPUTED_VALUE"""),12.73)</f>
        <v>12.73</v>
      </c>
      <c r="E48" s="1">
        <f ca="1">IFERROR(__xludf.DUMMYFUNCTION("""COMPUTED_VALUE"""),12.92)</f>
        <v>12.92</v>
      </c>
      <c r="F48" s="1">
        <f ca="1">IFERROR(__xludf.DUMMYFUNCTION("""COMPUTED_VALUE"""),4974871)</f>
        <v>4974871</v>
      </c>
    </row>
    <row r="49" spans="1:6" x14ac:dyDescent="0.35">
      <c r="A49" s="2">
        <f ca="1">IFERROR(__xludf.DUMMYFUNCTION("""COMPUTED_VALUE"""),42075.6666666666)</f>
        <v>42075.666666666599</v>
      </c>
      <c r="B49" s="1">
        <f ca="1">IFERROR(__xludf.DUMMYFUNCTION("""COMPUTED_VALUE"""),12.92)</f>
        <v>12.92</v>
      </c>
      <c r="C49" s="1">
        <f ca="1">IFERROR(__xludf.DUMMYFUNCTION("""COMPUTED_VALUE"""),12.96)</f>
        <v>12.96</v>
      </c>
      <c r="D49" s="1">
        <f ca="1">IFERROR(__xludf.DUMMYFUNCTION("""COMPUTED_VALUE"""),12.65)</f>
        <v>12.65</v>
      </c>
      <c r="E49" s="1">
        <f ca="1">IFERROR(__xludf.DUMMYFUNCTION("""COMPUTED_VALUE"""),12.74)</f>
        <v>12.74</v>
      </c>
      <c r="F49" s="1">
        <f ca="1">IFERROR(__xludf.DUMMYFUNCTION("""COMPUTED_VALUE"""),4149294)</f>
        <v>4149294</v>
      </c>
    </row>
    <row r="50" spans="1:6" x14ac:dyDescent="0.35">
      <c r="A50" s="2">
        <f ca="1">IFERROR(__xludf.DUMMYFUNCTION("""COMPUTED_VALUE"""),42076.6666666666)</f>
        <v>42076.666666666599</v>
      </c>
      <c r="B50" s="1">
        <f ca="1">IFERROR(__xludf.DUMMYFUNCTION("""COMPUTED_VALUE"""),12.59)</f>
        <v>12.59</v>
      </c>
      <c r="C50" s="1">
        <f ca="1">IFERROR(__xludf.DUMMYFUNCTION("""COMPUTED_VALUE"""),12.78)</f>
        <v>12.78</v>
      </c>
      <c r="D50" s="1">
        <f ca="1">IFERROR(__xludf.DUMMYFUNCTION("""COMPUTED_VALUE"""),12.49)</f>
        <v>12.49</v>
      </c>
      <c r="E50" s="1">
        <f ca="1">IFERROR(__xludf.DUMMYFUNCTION("""COMPUTED_VALUE"""),12.58)</f>
        <v>12.58</v>
      </c>
      <c r="F50" s="1">
        <f ca="1">IFERROR(__xludf.DUMMYFUNCTION("""COMPUTED_VALUE"""),5434298)</f>
        <v>5434298</v>
      </c>
    </row>
    <row r="51" spans="1:6" x14ac:dyDescent="0.35">
      <c r="A51" s="2">
        <f ca="1">IFERROR(__xludf.DUMMYFUNCTION("""COMPUTED_VALUE"""),42079.6666666666)</f>
        <v>42079.666666666599</v>
      </c>
      <c r="B51" s="1">
        <f ca="1">IFERROR(__xludf.DUMMYFUNCTION("""COMPUTED_VALUE"""),12.8)</f>
        <v>12.8</v>
      </c>
      <c r="C51" s="1">
        <f ca="1">IFERROR(__xludf.DUMMYFUNCTION("""COMPUTED_VALUE"""),13.06)</f>
        <v>13.06</v>
      </c>
      <c r="D51" s="1">
        <f ca="1">IFERROR(__xludf.DUMMYFUNCTION("""COMPUTED_VALUE"""),12.65)</f>
        <v>12.65</v>
      </c>
      <c r="E51" s="1">
        <f ca="1">IFERROR(__xludf.DUMMYFUNCTION("""COMPUTED_VALUE"""),13.05)</f>
        <v>13.05</v>
      </c>
      <c r="F51" s="1">
        <f ca="1">IFERROR(__xludf.DUMMYFUNCTION("""COMPUTED_VALUE"""),5628783)</f>
        <v>5628783</v>
      </c>
    </row>
    <row r="52" spans="1:6" x14ac:dyDescent="0.35">
      <c r="A52" s="2">
        <f ca="1">IFERROR(__xludf.DUMMYFUNCTION("""COMPUTED_VALUE"""),42080.6666666666)</f>
        <v>42080.666666666599</v>
      </c>
      <c r="B52" s="1">
        <f ca="1">IFERROR(__xludf.DUMMYFUNCTION("""COMPUTED_VALUE"""),13.02)</f>
        <v>13.02</v>
      </c>
      <c r="C52" s="1">
        <f ca="1">IFERROR(__xludf.DUMMYFUNCTION("""COMPUTED_VALUE"""),13.25)</f>
        <v>13.25</v>
      </c>
      <c r="D52" s="1">
        <f ca="1">IFERROR(__xludf.DUMMYFUNCTION("""COMPUTED_VALUE"""),12.93)</f>
        <v>12.93</v>
      </c>
      <c r="E52" s="1">
        <f ca="1">IFERROR(__xludf.DUMMYFUNCTION("""COMPUTED_VALUE"""),12.98)</f>
        <v>12.98</v>
      </c>
      <c r="F52" s="1">
        <f ca="1">IFERROR(__xludf.DUMMYFUNCTION("""COMPUTED_VALUE"""),4894052)</f>
        <v>4894052</v>
      </c>
    </row>
    <row r="53" spans="1:6" x14ac:dyDescent="0.35">
      <c r="A53" s="2">
        <f ca="1">IFERROR(__xludf.DUMMYFUNCTION("""COMPUTED_VALUE"""),42081.6666666666)</f>
        <v>42081.666666666599</v>
      </c>
      <c r="B53" s="1">
        <f ca="1">IFERROR(__xludf.DUMMYFUNCTION("""COMPUTED_VALUE"""),13)</f>
        <v>13</v>
      </c>
      <c r="C53" s="1">
        <f ca="1">IFERROR(__xludf.DUMMYFUNCTION("""COMPUTED_VALUE"""),13.39)</f>
        <v>13.39</v>
      </c>
      <c r="D53" s="1">
        <f ca="1">IFERROR(__xludf.DUMMYFUNCTION("""COMPUTED_VALUE"""),12.87)</f>
        <v>12.87</v>
      </c>
      <c r="E53" s="1">
        <f ca="1">IFERROR(__xludf.DUMMYFUNCTION("""COMPUTED_VALUE"""),13.38)</f>
        <v>13.38</v>
      </c>
      <c r="F53" s="1">
        <f ca="1">IFERROR(__xludf.DUMMYFUNCTION("""COMPUTED_VALUE"""),4820936)</f>
        <v>4820936</v>
      </c>
    </row>
    <row r="54" spans="1:6" x14ac:dyDescent="0.35">
      <c r="A54" s="2">
        <f ca="1">IFERROR(__xludf.DUMMYFUNCTION("""COMPUTED_VALUE"""),42082.6666666666)</f>
        <v>42082.666666666599</v>
      </c>
      <c r="B54" s="1">
        <f ca="1">IFERROR(__xludf.DUMMYFUNCTION("""COMPUTED_VALUE"""),13.46)</f>
        <v>13.46</v>
      </c>
      <c r="C54" s="1">
        <f ca="1">IFERROR(__xludf.DUMMYFUNCTION("""COMPUTED_VALUE"""),13.64)</f>
        <v>13.64</v>
      </c>
      <c r="D54" s="1">
        <f ca="1">IFERROR(__xludf.DUMMYFUNCTION("""COMPUTED_VALUE"""),12.97)</f>
        <v>12.97</v>
      </c>
      <c r="E54" s="1">
        <f ca="1">IFERROR(__xludf.DUMMYFUNCTION("""COMPUTED_VALUE"""),13.04)</f>
        <v>13.04</v>
      </c>
      <c r="F54" s="1">
        <f ca="1">IFERROR(__xludf.DUMMYFUNCTION("""COMPUTED_VALUE"""),8475244)</f>
        <v>8475244</v>
      </c>
    </row>
    <row r="55" spans="1:6" x14ac:dyDescent="0.35">
      <c r="A55" s="2">
        <f ca="1">IFERROR(__xludf.DUMMYFUNCTION("""COMPUTED_VALUE"""),42083.6666666666)</f>
        <v>42083.666666666599</v>
      </c>
      <c r="B55" s="1">
        <f ca="1">IFERROR(__xludf.DUMMYFUNCTION("""COMPUTED_VALUE"""),13.16)</f>
        <v>13.16</v>
      </c>
      <c r="C55" s="1">
        <f ca="1">IFERROR(__xludf.DUMMYFUNCTION("""COMPUTED_VALUE"""),13.27)</f>
        <v>13.27</v>
      </c>
      <c r="D55" s="1">
        <f ca="1">IFERROR(__xludf.DUMMYFUNCTION("""COMPUTED_VALUE"""),13.04)</f>
        <v>13.04</v>
      </c>
      <c r="E55" s="1">
        <f ca="1">IFERROR(__xludf.DUMMYFUNCTION("""COMPUTED_VALUE"""),13.21)</f>
        <v>13.21</v>
      </c>
      <c r="F55" s="1">
        <f ca="1">IFERROR(__xludf.DUMMYFUNCTION("""COMPUTED_VALUE"""),4269467)</f>
        <v>4269467</v>
      </c>
    </row>
    <row r="56" spans="1:6" x14ac:dyDescent="0.35">
      <c r="A56" s="2">
        <f ca="1">IFERROR(__xludf.DUMMYFUNCTION("""COMPUTED_VALUE"""),42086.6666666666)</f>
        <v>42086.666666666599</v>
      </c>
      <c r="B56" s="1">
        <f ca="1">IFERROR(__xludf.DUMMYFUNCTION("""COMPUTED_VALUE"""),13.23)</f>
        <v>13.23</v>
      </c>
      <c r="C56" s="1">
        <f ca="1">IFERROR(__xludf.DUMMYFUNCTION("""COMPUTED_VALUE"""),13.37)</f>
        <v>13.37</v>
      </c>
      <c r="D56" s="1">
        <f ca="1">IFERROR(__xludf.DUMMYFUNCTION("""COMPUTED_VALUE"""),13.16)</f>
        <v>13.16</v>
      </c>
      <c r="E56" s="1">
        <f ca="1">IFERROR(__xludf.DUMMYFUNCTION("""COMPUTED_VALUE"""),13.31)</f>
        <v>13.31</v>
      </c>
      <c r="F56" s="1">
        <f ca="1">IFERROR(__xludf.DUMMYFUNCTION("""COMPUTED_VALUE"""),2631626)</f>
        <v>2631626</v>
      </c>
    </row>
    <row r="57" spans="1:6" x14ac:dyDescent="0.35">
      <c r="A57" s="2">
        <f ca="1">IFERROR(__xludf.DUMMYFUNCTION("""COMPUTED_VALUE"""),42087.6666666666)</f>
        <v>42087.666666666599</v>
      </c>
      <c r="B57" s="1">
        <f ca="1">IFERROR(__xludf.DUMMYFUNCTION("""COMPUTED_VALUE"""),13.44)</f>
        <v>13.44</v>
      </c>
      <c r="C57" s="1">
        <f ca="1">IFERROR(__xludf.DUMMYFUNCTION("""COMPUTED_VALUE"""),13.59)</f>
        <v>13.59</v>
      </c>
      <c r="D57" s="1">
        <f ca="1">IFERROR(__xludf.DUMMYFUNCTION("""COMPUTED_VALUE"""),13.32)</f>
        <v>13.32</v>
      </c>
      <c r="E57" s="1">
        <f ca="1">IFERROR(__xludf.DUMMYFUNCTION("""COMPUTED_VALUE"""),13.45)</f>
        <v>13.45</v>
      </c>
      <c r="F57" s="1">
        <f ca="1">IFERROR(__xludf.DUMMYFUNCTION("""COMPUTED_VALUE"""),3649860)</f>
        <v>3649860</v>
      </c>
    </row>
    <row r="58" spans="1:6" x14ac:dyDescent="0.35">
      <c r="A58" s="2">
        <f ca="1">IFERROR(__xludf.DUMMYFUNCTION("""COMPUTED_VALUE"""),42088.6666666666)</f>
        <v>42088.666666666599</v>
      </c>
      <c r="B58" s="1">
        <f ca="1">IFERROR(__xludf.DUMMYFUNCTION("""COMPUTED_VALUE"""),13.23)</f>
        <v>13.23</v>
      </c>
      <c r="C58" s="1">
        <f ca="1">IFERROR(__xludf.DUMMYFUNCTION("""COMPUTED_VALUE"""),13.24)</f>
        <v>13.24</v>
      </c>
      <c r="D58" s="1">
        <f ca="1">IFERROR(__xludf.DUMMYFUNCTION("""COMPUTED_VALUE"""),12.85)</f>
        <v>12.85</v>
      </c>
      <c r="E58" s="1">
        <f ca="1">IFERROR(__xludf.DUMMYFUNCTION("""COMPUTED_VALUE"""),12.95)</f>
        <v>12.95</v>
      </c>
      <c r="F58" s="1">
        <f ca="1">IFERROR(__xludf.DUMMYFUNCTION("""COMPUTED_VALUE"""),5730389)</f>
        <v>5730389</v>
      </c>
    </row>
    <row r="59" spans="1:6" x14ac:dyDescent="0.35">
      <c r="A59" s="2">
        <f ca="1">IFERROR(__xludf.DUMMYFUNCTION("""COMPUTED_VALUE"""),42089.6666666666)</f>
        <v>42089.666666666599</v>
      </c>
      <c r="B59" s="1">
        <f ca="1">IFERROR(__xludf.DUMMYFUNCTION("""COMPUTED_VALUE"""),12.93)</f>
        <v>12.93</v>
      </c>
      <c r="C59" s="1">
        <f ca="1">IFERROR(__xludf.DUMMYFUNCTION("""COMPUTED_VALUE"""),12.99)</f>
        <v>12.99</v>
      </c>
      <c r="D59" s="1">
        <f ca="1">IFERROR(__xludf.DUMMYFUNCTION("""COMPUTED_VALUE"""),12.65)</f>
        <v>12.65</v>
      </c>
      <c r="E59" s="1">
        <f ca="1">IFERROR(__xludf.DUMMYFUNCTION("""COMPUTED_VALUE"""),12.69)</f>
        <v>12.69</v>
      </c>
      <c r="F59" s="1">
        <f ca="1">IFERROR(__xludf.DUMMYFUNCTION("""COMPUTED_VALUE"""),4127956)</f>
        <v>4127956</v>
      </c>
    </row>
    <row r="60" spans="1:6" x14ac:dyDescent="0.35">
      <c r="A60" s="2">
        <f ca="1">IFERROR(__xludf.DUMMYFUNCTION("""COMPUTED_VALUE"""),42090.6666666666)</f>
        <v>42090.666666666599</v>
      </c>
      <c r="B60" s="1">
        <f ca="1">IFERROR(__xludf.DUMMYFUNCTION("""COMPUTED_VALUE"""),12.6)</f>
        <v>12.6</v>
      </c>
      <c r="C60" s="1">
        <f ca="1">IFERROR(__xludf.DUMMYFUNCTION("""COMPUTED_VALUE"""),12.62)</f>
        <v>12.62</v>
      </c>
      <c r="D60" s="1">
        <f ca="1">IFERROR(__xludf.DUMMYFUNCTION("""COMPUTED_VALUE"""),12.09)</f>
        <v>12.09</v>
      </c>
      <c r="E60" s="1">
        <f ca="1">IFERROR(__xludf.DUMMYFUNCTION("""COMPUTED_VALUE"""),12.33)</f>
        <v>12.33</v>
      </c>
      <c r="F60" s="1">
        <f ca="1">IFERROR(__xludf.DUMMYFUNCTION("""COMPUTED_VALUE"""),8604947)</f>
        <v>8604947</v>
      </c>
    </row>
    <row r="61" spans="1:6" x14ac:dyDescent="0.35">
      <c r="A61" s="2">
        <f ca="1">IFERROR(__xludf.DUMMYFUNCTION("""COMPUTED_VALUE"""),42093.6666666666)</f>
        <v>42093.666666666599</v>
      </c>
      <c r="B61" s="1">
        <f ca="1">IFERROR(__xludf.DUMMYFUNCTION("""COMPUTED_VALUE"""),12.39)</f>
        <v>12.39</v>
      </c>
      <c r="C61" s="1">
        <f ca="1">IFERROR(__xludf.DUMMYFUNCTION("""COMPUTED_VALUE"""),12.82)</f>
        <v>12.82</v>
      </c>
      <c r="D61" s="1">
        <f ca="1">IFERROR(__xludf.DUMMYFUNCTION("""COMPUTED_VALUE"""),12.12)</f>
        <v>12.12</v>
      </c>
      <c r="E61" s="1">
        <f ca="1">IFERROR(__xludf.DUMMYFUNCTION("""COMPUTED_VALUE"""),12.7)</f>
        <v>12.7</v>
      </c>
      <c r="F61" s="1">
        <f ca="1">IFERROR(__xludf.DUMMYFUNCTION("""COMPUTED_VALUE"""),10089516)</f>
        <v>10089516</v>
      </c>
    </row>
    <row r="62" spans="1:6" x14ac:dyDescent="0.35">
      <c r="A62" s="2">
        <f ca="1">IFERROR(__xludf.DUMMYFUNCTION("""COMPUTED_VALUE"""),42094.6666666666)</f>
        <v>42094.666666666599</v>
      </c>
      <c r="B62" s="1">
        <f ca="1">IFERROR(__xludf.DUMMYFUNCTION("""COMPUTED_VALUE"""),12.9)</f>
        <v>12.9</v>
      </c>
      <c r="C62" s="1">
        <f ca="1">IFERROR(__xludf.DUMMYFUNCTION("""COMPUTED_VALUE"""),12.92)</f>
        <v>12.92</v>
      </c>
      <c r="D62" s="1">
        <f ca="1">IFERROR(__xludf.DUMMYFUNCTION("""COMPUTED_VALUE"""),12.56)</f>
        <v>12.56</v>
      </c>
      <c r="E62" s="1">
        <f ca="1">IFERROR(__xludf.DUMMYFUNCTION("""COMPUTED_VALUE"""),12.58)</f>
        <v>12.58</v>
      </c>
      <c r="F62" s="1">
        <f ca="1">IFERROR(__xludf.DUMMYFUNCTION("""COMPUTED_VALUE"""),5026569)</f>
        <v>5026569</v>
      </c>
    </row>
    <row r="63" spans="1:6" x14ac:dyDescent="0.35">
      <c r="A63" s="2">
        <f ca="1">IFERROR(__xludf.DUMMYFUNCTION("""COMPUTED_VALUE"""),42095.6666666666)</f>
        <v>42095.666666666599</v>
      </c>
      <c r="B63" s="1">
        <f ca="1">IFERROR(__xludf.DUMMYFUNCTION("""COMPUTED_VALUE"""),12.58)</f>
        <v>12.58</v>
      </c>
      <c r="C63" s="1">
        <f ca="1">IFERROR(__xludf.DUMMYFUNCTION("""COMPUTED_VALUE"""),12.82)</f>
        <v>12.82</v>
      </c>
      <c r="D63" s="1">
        <f ca="1">IFERROR(__xludf.DUMMYFUNCTION("""COMPUTED_VALUE"""),12.4)</f>
        <v>12.4</v>
      </c>
      <c r="E63" s="1">
        <f ca="1">IFERROR(__xludf.DUMMYFUNCTION("""COMPUTED_VALUE"""),12.51)</f>
        <v>12.51</v>
      </c>
      <c r="F63" s="1">
        <f ca="1">IFERROR(__xludf.DUMMYFUNCTION("""COMPUTED_VALUE"""),3794621)</f>
        <v>3794621</v>
      </c>
    </row>
    <row r="64" spans="1:6" x14ac:dyDescent="0.35">
      <c r="A64" s="2">
        <f ca="1">IFERROR(__xludf.DUMMYFUNCTION("""COMPUTED_VALUE"""),42096.6666666666)</f>
        <v>42096.666666666599</v>
      </c>
      <c r="B64" s="1">
        <f ca="1">IFERROR(__xludf.DUMMYFUNCTION("""COMPUTED_VALUE"""),12.68)</f>
        <v>12.68</v>
      </c>
      <c r="C64" s="1">
        <f ca="1">IFERROR(__xludf.DUMMYFUNCTION("""COMPUTED_VALUE"""),12.88)</f>
        <v>12.88</v>
      </c>
      <c r="D64" s="1">
        <f ca="1">IFERROR(__xludf.DUMMYFUNCTION("""COMPUTED_VALUE"""),12.67)</f>
        <v>12.67</v>
      </c>
      <c r="E64" s="1">
        <f ca="1">IFERROR(__xludf.DUMMYFUNCTION("""COMPUTED_VALUE"""),12.73)</f>
        <v>12.73</v>
      </c>
      <c r="F64" s="1">
        <f ca="1">IFERROR(__xludf.DUMMYFUNCTION("""COMPUTED_VALUE"""),5010368)</f>
        <v>5010368</v>
      </c>
    </row>
    <row r="65" spans="1:6" x14ac:dyDescent="0.35">
      <c r="A65" s="2">
        <f ca="1">IFERROR(__xludf.DUMMYFUNCTION("""COMPUTED_VALUE"""),42100.6666666666)</f>
        <v>42100.666666666599</v>
      </c>
      <c r="B65" s="1">
        <f ca="1">IFERROR(__xludf.DUMMYFUNCTION("""COMPUTED_VALUE"""),13.2)</f>
        <v>13.2</v>
      </c>
      <c r="C65" s="1">
        <f ca="1">IFERROR(__xludf.DUMMYFUNCTION("""COMPUTED_VALUE"""),13.85)</f>
        <v>13.85</v>
      </c>
      <c r="D65" s="1">
        <f ca="1">IFERROR(__xludf.DUMMYFUNCTION("""COMPUTED_VALUE"""),13.17)</f>
        <v>13.17</v>
      </c>
      <c r="E65" s="1">
        <f ca="1">IFERROR(__xludf.DUMMYFUNCTION("""COMPUTED_VALUE"""),13.54)</f>
        <v>13.54</v>
      </c>
      <c r="F65" s="1">
        <f ca="1">IFERROR(__xludf.DUMMYFUNCTION("""COMPUTED_VALUE"""),12455811)</f>
        <v>12455811</v>
      </c>
    </row>
    <row r="66" spans="1:6" x14ac:dyDescent="0.35">
      <c r="A66" s="2">
        <f ca="1">IFERROR(__xludf.DUMMYFUNCTION("""COMPUTED_VALUE"""),42101.6666666666)</f>
        <v>42101.666666666599</v>
      </c>
      <c r="B66" s="1">
        <f ca="1">IFERROR(__xludf.DUMMYFUNCTION("""COMPUTED_VALUE"""),13.5)</f>
        <v>13.5</v>
      </c>
      <c r="C66" s="1">
        <f ca="1">IFERROR(__xludf.DUMMYFUNCTION("""COMPUTED_VALUE"""),13.67)</f>
        <v>13.67</v>
      </c>
      <c r="D66" s="1">
        <f ca="1">IFERROR(__xludf.DUMMYFUNCTION("""COMPUTED_VALUE"""),13.41)</f>
        <v>13.41</v>
      </c>
      <c r="E66" s="1">
        <f ca="1">IFERROR(__xludf.DUMMYFUNCTION("""COMPUTED_VALUE"""),13.55)</f>
        <v>13.55</v>
      </c>
      <c r="F66" s="1">
        <f ca="1">IFERROR(__xludf.DUMMYFUNCTION("""COMPUTED_VALUE"""),4347864)</f>
        <v>4347864</v>
      </c>
    </row>
    <row r="67" spans="1:6" x14ac:dyDescent="0.35">
      <c r="A67" s="2">
        <f ca="1">IFERROR(__xludf.DUMMYFUNCTION("""COMPUTED_VALUE"""),42102.6666666666)</f>
        <v>42102.666666666599</v>
      </c>
      <c r="B67" s="1">
        <f ca="1">IFERROR(__xludf.DUMMYFUNCTION("""COMPUTED_VALUE"""),13.88)</f>
        <v>13.88</v>
      </c>
      <c r="C67" s="1">
        <f ca="1">IFERROR(__xludf.DUMMYFUNCTION("""COMPUTED_VALUE"""),14.06)</f>
        <v>14.06</v>
      </c>
      <c r="D67" s="1">
        <f ca="1">IFERROR(__xludf.DUMMYFUNCTION("""COMPUTED_VALUE"""),13.72)</f>
        <v>13.72</v>
      </c>
      <c r="E67" s="1">
        <f ca="1">IFERROR(__xludf.DUMMYFUNCTION("""COMPUTED_VALUE"""),13.84)</f>
        <v>13.84</v>
      </c>
      <c r="F67" s="1">
        <f ca="1">IFERROR(__xludf.DUMMYFUNCTION("""COMPUTED_VALUE"""),6303117)</f>
        <v>6303117</v>
      </c>
    </row>
    <row r="68" spans="1:6" x14ac:dyDescent="0.35">
      <c r="A68" s="2">
        <f ca="1">IFERROR(__xludf.DUMMYFUNCTION("""COMPUTED_VALUE"""),42103.6666666666)</f>
        <v>42103.666666666599</v>
      </c>
      <c r="B68" s="1">
        <f ca="1">IFERROR(__xludf.DUMMYFUNCTION("""COMPUTED_VALUE"""),13.88)</f>
        <v>13.88</v>
      </c>
      <c r="C68" s="1">
        <f ca="1">IFERROR(__xludf.DUMMYFUNCTION("""COMPUTED_VALUE"""),14.02)</f>
        <v>14.02</v>
      </c>
      <c r="D68" s="1">
        <f ca="1">IFERROR(__xludf.DUMMYFUNCTION("""COMPUTED_VALUE"""),13.74)</f>
        <v>13.74</v>
      </c>
      <c r="E68" s="1">
        <f ca="1">IFERROR(__xludf.DUMMYFUNCTION("""COMPUTED_VALUE"""),14.01)</f>
        <v>14.01</v>
      </c>
      <c r="F68" s="1">
        <f ca="1">IFERROR(__xludf.DUMMYFUNCTION("""COMPUTED_VALUE"""),3800225)</f>
        <v>3800225</v>
      </c>
    </row>
    <row r="69" spans="1:6" x14ac:dyDescent="0.35">
      <c r="A69" s="2">
        <f ca="1">IFERROR(__xludf.DUMMYFUNCTION("""COMPUTED_VALUE"""),42104.6666666666)</f>
        <v>42104.666666666599</v>
      </c>
      <c r="B69" s="1">
        <f ca="1">IFERROR(__xludf.DUMMYFUNCTION("""COMPUTED_VALUE"""),13.99)</f>
        <v>13.99</v>
      </c>
      <c r="C69" s="1">
        <f ca="1">IFERROR(__xludf.DUMMYFUNCTION("""COMPUTED_VALUE"""),14.11)</f>
        <v>14.11</v>
      </c>
      <c r="D69" s="1">
        <f ca="1">IFERROR(__xludf.DUMMYFUNCTION("""COMPUTED_VALUE"""),13.93)</f>
        <v>13.93</v>
      </c>
      <c r="E69" s="1">
        <f ca="1">IFERROR(__xludf.DUMMYFUNCTION("""COMPUTED_VALUE"""),14.06)</f>
        <v>14.06</v>
      </c>
      <c r="F69" s="1">
        <f ca="1">IFERROR(__xludf.DUMMYFUNCTION("""COMPUTED_VALUE"""),4067676)</f>
        <v>4067676</v>
      </c>
    </row>
    <row r="70" spans="1:6" x14ac:dyDescent="0.35">
      <c r="A70" s="2">
        <f ca="1">IFERROR(__xludf.DUMMYFUNCTION("""COMPUTED_VALUE"""),42107.6666666666)</f>
        <v>42107.666666666599</v>
      </c>
      <c r="B70" s="1">
        <f ca="1">IFERROR(__xludf.DUMMYFUNCTION("""COMPUTED_VALUE"""),14.03)</f>
        <v>14.03</v>
      </c>
      <c r="C70" s="1">
        <f ca="1">IFERROR(__xludf.DUMMYFUNCTION("""COMPUTED_VALUE"""),14.2)</f>
        <v>14.2</v>
      </c>
      <c r="D70" s="1">
        <f ca="1">IFERROR(__xludf.DUMMYFUNCTION("""COMPUTED_VALUE"""),13.94)</f>
        <v>13.94</v>
      </c>
      <c r="E70" s="1">
        <f ca="1">IFERROR(__xludf.DUMMYFUNCTION("""COMPUTED_VALUE"""),13.99)</f>
        <v>13.99</v>
      </c>
      <c r="F70" s="1">
        <f ca="1">IFERROR(__xludf.DUMMYFUNCTION("""COMPUTED_VALUE"""),3758230)</f>
        <v>3758230</v>
      </c>
    </row>
    <row r="71" spans="1:6" x14ac:dyDescent="0.35">
      <c r="A71" s="2">
        <f ca="1">IFERROR(__xludf.DUMMYFUNCTION("""COMPUTED_VALUE"""),42108.6666666666)</f>
        <v>42108.666666666599</v>
      </c>
      <c r="B71" s="1">
        <f ca="1">IFERROR(__xludf.DUMMYFUNCTION("""COMPUTED_VALUE"""),13.9)</f>
        <v>13.9</v>
      </c>
      <c r="C71" s="1">
        <f ca="1">IFERROR(__xludf.DUMMYFUNCTION("""COMPUTED_VALUE"""),13.97)</f>
        <v>13.97</v>
      </c>
      <c r="D71" s="1">
        <f ca="1">IFERROR(__xludf.DUMMYFUNCTION("""COMPUTED_VALUE"""),13.7)</f>
        <v>13.7</v>
      </c>
      <c r="E71" s="1">
        <f ca="1">IFERROR(__xludf.DUMMYFUNCTION("""COMPUTED_VALUE"""),13.83)</f>
        <v>13.83</v>
      </c>
      <c r="F71" s="1">
        <f ca="1">IFERROR(__xludf.DUMMYFUNCTION("""COMPUTED_VALUE"""),3025963)</f>
        <v>3025963</v>
      </c>
    </row>
    <row r="72" spans="1:6" x14ac:dyDescent="0.35">
      <c r="A72" s="2">
        <f ca="1">IFERROR(__xludf.DUMMYFUNCTION("""COMPUTED_VALUE"""),42109.6666666666)</f>
        <v>42109.666666666599</v>
      </c>
      <c r="B72" s="1">
        <f ca="1">IFERROR(__xludf.DUMMYFUNCTION("""COMPUTED_VALUE"""),13.8)</f>
        <v>13.8</v>
      </c>
      <c r="C72" s="1">
        <f ca="1">IFERROR(__xludf.DUMMYFUNCTION("""COMPUTED_VALUE"""),13.97)</f>
        <v>13.97</v>
      </c>
      <c r="D72" s="1">
        <f ca="1">IFERROR(__xludf.DUMMYFUNCTION("""COMPUTED_VALUE"""),13.77)</f>
        <v>13.77</v>
      </c>
      <c r="E72" s="1">
        <f ca="1">IFERROR(__xludf.DUMMYFUNCTION("""COMPUTED_VALUE"""),13.86)</f>
        <v>13.86</v>
      </c>
      <c r="F72" s="1">
        <f ca="1">IFERROR(__xludf.DUMMYFUNCTION("""COMPUTED_VALUE"""),1952378)</f>
        <v>1952378</v>
      </c>
    </row>
    <row r="73" spans="1:6" x14ac:dyDescent="0.35">
      <c r="A73" s="2">
        <f ca="1">IFERROR(__xludf.DUMMYFUNCTION("""COMPUTED_VALUE"""),42110.6666666666)</f>
        <v>42110.666666666599</v>
      </c>
      <c r="B73" s="1">
        <f ca="1">IFERROR(__xludf.DUMMYFUNCTION("""COMPUTED_VALUE"""),13.84)</f>
        <v>13.84</v>
      </c>
      <c r="C73" s="1">
        <f ca="1">IFERROR(__xludf.DUMMYFUNCTION("""COMPUTED_VALUE"""),13.94)</f>
        <v>13.94</v>
      </c>
      <c r="D73" s="1">
        <f ca="1">IFERROR(__xludf.DUMMYFUNCTION("""COMPUTED_VALUE"""),13.75)</f>
        <v>13.75</v>
      </c>
      <c r="E73" s="1">
        <f ca="1">IFERROR(__xludf.DUMMYFUNCTION("""COMPUTED_VALUE"""),13.78)</f>
        <v>13.78</v>
      </c>
      <c r="F73" s="1">
        <f ca="1">IFERROR(__xludf.DUMMYFUNCTION("""COMPUTED_VALUE"""),1659059)</f>
        <v>1659059</v>
      </c>
    </row>
    <row r="74" spans="1:6" x14ac:dyDescent="0.35">
      <c r="A74" s="2">
        <f ca="1">IFERROR(__xludf.DUMMYFUNCTION("""COMPUTED_VALUE"""),42111.6666666666)</f>
        <v>42111.666666666599</v>
      </c>
      <c r="B74" s="1">
        <f ca="1">IFERROR(__xludf.DUMMYFUNCTION("""COMPUTED_VALUE"""),13.67)</f>
        <v>13.67</v>
      </c>
      <c r="C74" s="1">
        <f ca="1">IFERROR(__xludf.DUMMYFUNCTION("""COMPUTED_VALUE"""),13.79)</f>
        <v>13.79</v>
      </c>
      <c r="D74" s="1">
        <f ca="1">IFERROR(__xludf.DUMMYFUNCTION("""COMPUTED_VALUE"""),13.57)</f>
        <v>13.57</v>
      </c>
      <c r="E74" s="1">
        <f ca="1">IFERROR(__xludf.DUMMYFUNCTION("""COMPUTED_VALUE"""),13.79)</f>
        <v>13.79</v>
      </c>
      <c r="F74" s="1">
        <f ca="1">IFERROR(__xludf.DUMMYFUNCTION("""COMPUTED_VALUE"""),2469926)</f>
        <v>2469926</v>
      </c>
    </row>
    <row r="75" spans="1:6" x14ac:dyDescent="0.35">
      <c r="A75" s="2">
        <f ca="1">IFERROR(__xludf.DUMMYFUNCTION("""COMPUTED_VALUE"""),42114.6666666666)</f>
        <v>42114.666666666599</v>
      </c>
      <c r="B75" s="1">
        <f ca="1">IFERROR(__xludf.DUMMYFUNCTION("""COMPUTED_VALUE"""),13.79)</f>
        <v>13.79</v>
      </c>
      <c r="C75" s="1">
        <f ca="1">IFERROR(__xludf.DUMMYFUNCTION("""COMPUTED_VALUE"""),13.86)</f>
        <v>13.86</v>
      </c>
      <c r="D75" s="1">
        <f ca="1">IFERROR(__xludf.DUMMYFUNCTION("""COMPUTED_VALUE"""),13.59)</f>
        <v>13.59</v>
      </c>
      <c r="E75" s="1">
        <f ca="1">IFERROR(__xludf.DUMMYFUNCTION("""COMPUTED_VALUE"""),13.68)</f>
        <v>13.68</v>
      </c>
      <c r="F75" s="1">
        <f ca="1">IFERROR(__xludf.DUMMYFUNCTION("""COMPUTED_VALUE"""),2559251)</f>
        <v>2559251</v>
      </c>
    </row>
    <row r="76" spans="1:6" x14ac:dyDescent="0.35">
      <c r="A76" s="2">
        <f ca="1">IFERROR(__xludf.DUMMYFUNCTION("""COMPUTED_VALUE"""),42115.6666666666)</f>
        <v>42115.666666666599</v>
      </c>
      <c r="B76" s="1">
        <f ca="1">IFERROR(__xludf.DUMMYFUNCTION("""COMPUTED_VALUE"""),13.72)</f>
        <v>13.72</v>
      </c>
      <c r="C76" s="1">
        <f ca="1">IFERROR(__xludf.DUMMYFUNCTION("""COMPUTED_VALUE"""),14.05)</f>
        <v>14.05</v>
      </c>
      <c r="D76" s="1">
        <f ca="1">IFERROR(__xludf.DUMMYFUNCTION("""COMPUTED_VALUE"""),13.62)</f>
        <v>13.62</v>
      </c>
      <c r="E76" s="1">
        <f ca="1">IFERROR(__xludf.DUMMYFUNCTION("""COMPUTED_VALUE"""),13.96)</f>
        <v>13.96</v>
      </c>
      <c r="F76" s="1">
        <f ca="1">IFERROR(__xludf.DUMMYFUNCTION("""COMPUTED_VALUE"""),3432541)</f>
        <v>3432541</v>
      </c>
    </row>
    <row r="77" spans="1:6" x14ac:dyDescent="0.35">
      <c r="A77" s="2">
        <f ca="1">IFERROR(__xludf.DUMMYFUNCTION("""COMPUTED_VALUE"""),42116.6666666666)</f>
        <v>42116.666666666599</v>
      </c>
      <c r="B77" s="1">
        <f ca="1">IFERROR(__xludf.DUMMYFUNCTION("""COMPUTED_VALUE"""),14.17)</f>
        <v>14.17</v>
      </c>
      <c r="C77" s="1">
        <f ca="1">IFERROR(__xludf.DUMMYFUNCTION("""COMPUTED_VALUE"""),14.79)</f>
        <v>14.79</v>
      </c>
      <c r="D77" s="1">
        <f ca="1">IFERROR(__xludf.DUMMYFUNCTION("""COMPUTED_VALUE"""),14.11)</f>
        <v>14.11</v>
      </c>
      <c r="E77" s="1">
        <f ca="1">IFERROR(__xludf.DUMMYFUNCTION("""COMPUTED_VALUE"""),14.63)</f>
        <v>14.63</v>
      </c>
      <c r="F77" s="1">
        <f ca="1">IFERROR(__xludf.DUMMYFUNCTION("""COMPUTED_VALUE"""),7863037)</f>
        <v>7863037</v>
      </c>
    </row>
    <row r="78" spans="1:6" x14ac:dyDescent="0.35">
      <c r="A78" s="2">
        <f ca="1">IFERROR(__xludf.DUMMYFUNCTION("""COMPUTED_VALUE"""),42117.6666666666)</f>
        <v>42117.666666666599</v>
      </c>
      <c r="B78" s="1">
        <f ca="1">IFERROR(__xludf.DUMMYFUNCTION("""COMPUTED_VALUE"""),14.54)</f>
        <v>14.54</v>
      </c>
      <c r="C78" s="1">
        <f ca="1">IFERROR(__xludf.DUMMYFUNCTION("""COMPUTED_VALUE"""),14.77)</f>
        <v>14.77</v>
      </c>
      <c r="D78" s="1">
        <f ca="1">IFERROR(__xludf.DUMMYFUNCTION("""COMPUTED_VALUE"""),14.48)</f>
        <v>14.48</v>
      </c>
      <c r="E78" s="1">
        <f ca="1">IFERROR(__xludf.DUMMYFUNCTION("""COMPUTED_VALUE"""),14.57)</f>
        <v>14.57</v>
      </c>
      <c r="F78" s="1">
        <f ca="1">IFERROR(__xludf.DUMMYFUNCTION("""COMPUTED_VALUE"""),4411184)</f>
        <v>4411184</v>
      </c>
    </row>
    <row r="79" spans="1:6" x14ac:dyDescent="0.35">
      <c r="A79" s="2">
        <f ca="1">IFERROR(__xludf.DUMMYFUNCTION("""COMPUTED_VALUE"""),42118.6666666666)</f>
        <v>42118.666666666599</v>
      </c>
      <c r="B79" s="1">
        <f ca="1">IFERROR(__xludf.DUMMYFUNCTION("""COMPUTED_VALUE"""),14.7)</f>
        <v>14.7</v>
      </c>
      <c r="C79" s="1">
        <f ca="1">IFERROR(__xludf.DUMMYFUNCTION("""COMPUTED_VALUE"""),14.72)</f>
        <v>14.72</v>
      </c>
      <c r="D79" s="1">
        <f ca="1">IFERROR(__xludf.DUMMYFUNCTION("""COMPUTED_VALUE"""),14.53)</f>
        <v>14.53</v>
      </c>
      <c r="E79" s="1">
        <f ca="1">IFERROR(__xludf.DUMMYFUNCTION("""COMPUTED_VALUE"""),14.56)</f>
        <v>14.56</v>
      </c>
      <c r="F79" s="1">
        <f ca="1">IFERROR(__xludf.DUMMYFUNCTION("""COMPUTED_VALUE"""),2427843)</f>
        <v>2427843</v>
      </c>
    </row>
    <row r="80" spans="1:6" x14ac:dyDescent="0.35">
      <c r="A80" s="2">
        <f ca="1">IFERROR(__xludf.DUMMYFUNCTION("""COMPUTED_VALUE"""),42121.6666666666)</f>
        <v>42121.666666666599</v>
      </c>
      <c r="B80" s="1">
        <f ca="1">IFERROR(__xludf.DUMMYFUNCTION("""COMPUTED_VALUE"""),14.84)</f>
        <v>14.84</v>
      </c>
      <c r="C80" s="1">
        <f ca="1">IFERROR(__xludf.DUMMYFUNCTION("""COMPUTED_VALUE"""),15.92)</f>
        <v>15.92</v>
      </c>
      <c r="D80" s="1">
        <f ca="1">IFERROR(__xludf.DUMMYFUNCTION("""COMPUTED_VALUE"""),14.8)</f>
        <v>14.8</v>
      </c>
      <c r="E80" s="1">
        <f ca="1">IFERROR(__xludf.DUMMYFUNCTION("""COMPUTED_VALUE"""),15.44)</f>
        <v>15.44</v>
      </c>
      <c r="F80" s="1">
        <f ca="1">IFERROR(__xludf.DUMMYFUNCTION("""COMPUTED_VALUE"""),11672627)</f>
        <v>11672627</v>
      </c>
    </row>
    <row r="81" spans="1:6" x14ac:dyDescent="0.35">
      <c r="A81" s="2">
        <f ca="1">IFERROR(__xludf.DUMMYFUNCTION("""COMPUTED_VALUE"""),42122.6666666666)</f>
        <v>42122.666666666599</v>
      </c>
      <c r="B81" s="1">
        <f ca="1">IFERROR(__xludf.DUMMYFUNCTION("""COMPUTED_VALUE"""),15.65)</f>
        <v>15.65</v>
      </c>
      <c r="C81" s="1">
        <f ca="1">IFERROR(__xludf.DUMMYFUNCTION("""COMPUTED_VALUE"""),15.7)</f>
        <v>15.7</v>
      </c>
      <c r="D81" s="1">
        <f ca="1">IFERROR(__xludf.DUMMYFUNCTION("""COMPUTED_VALUE"""),15.2)</f>
        <v>15.2</v>
      </c>
      <c r="E81" s="1">
        <f ca="1">IFERROR(__xludf.DUMMYFUNCTION("""COMPUTED_VALUE"""),15.37)</f>
        <v>15.37</v>
      </c>
      <c r="F81" s="1">
        <f ca="1">IFERROR(__xludf.DUMMYFUNCTION("""COMPUTED_VALUE"""),6085379)</f>
        <v>6085379</v>
      </c>
    </row>
    <row r="82" spans="1:6" x14ac:dyDescent="0.35">
      <c r="A82" s="2">
        <f ca="1">IFERROR(__xludf.DUMMYFUNCTION("""COMPUTED_VALUE"""),42123.6666666666)</f>
        <v>42123.666666666599</v>
      </c>
      <c r="B82" s="1">
        <f ca="1">IFERROR(__xludf.DUMMYFUNCTION("""COMPUTED_VALUE"""),15.34)</f>
        <v>15.34</v>
      </c>
      <c r="C82" s="1">
        <f ca="1">IFERROR(__xludf.DUMMYFUNCTION("""COMPUTED_VALUE"""),15.66)</f>
        <v>15.66</v>
      </c>
      <c r="D82" s="1">
        <f ca="1">IFERROR(__xludf.DUMMYFUNCTION("""COMPUTED_VALUE"""),15.18)</f>
        <v>15.18</v>
      </c>
      <c r="E82" s="1">
        <f ca="1">IFERROR(__xludf.DUMMYFUNCTION("""COMPUTED_VALUE"""),15.5)</f>
        <v>15.5</v>
      </c>
      <c r="F82" s="1">
        <f ca="1">IFERROR(__xludf.DUMMYFUNCTION("""COMPUTED_VALUE"""),3936077)</f>
        <v>3936077</v>
      </c>
    </row>
    <row r="83" spans="1:6" x14ac:dyDescent="0.35">
      <c r="A83" s="2">
        <f ca="1">IFERROR(__xludf.DUMMYFUNCTION("""COMPUTED_VALUE"""),42124.6666666666)</f>
        <v>42124.666666666599</v>
      </c>
      <c r="B83" s="1">
        <f ca="1">IFERROR(__xludf.DUMMYFUNCTION("""COMPUTED_VALUE"""),15.36)</f>
        <v>15.36</v>
      </c>
      <c r="C83" s="1">
        <f ca="1">IFERROR(__xludf.DUMMYFUNCTION("""COMPUTED_VALUE"""),15.53)</f>
        <v>15.53</v>
      </c>
      <c r="D83" s="1">
        <f ca="1">IFERROR(__xludf.DUMMYFUNCTION("""COMPUTED_VALUE"""),15.01)</f>
        <v>15.01</v>
      </c>
      <c r="E83" s="1">
        <f ca="1">IFERROR(__xludf.DUMMYFUNCTION("""COMPUTED_VALUE"""),15.07)</f>
        <v>15.07</v>
      </c>
      <c r="F83" s="1">
        <f ca="1">IFERROR(__xludf.DUMMYFUNCTION("""COMPUTED_VALUE"""),3911857)</f>
        <v>3911857</v>
      </c>
    </row>
    <row r="84" spans="1:6" x14ac:dyDescent="0.35">
      <c r="A84" s="2">
        <f ca="1">IFERROR(__xludf.DUMMYFUNCTION("""COMPUTED_VALUE"""),42125.6666666666)</f>
        <v>42125.666666666599</v>
      </c>
      <c r="B84" s="1">
        <f ca="1">IFERROR(__xludf.DUMMYFUNCTION("""COMPUTED_VALUE"""),15.32)</f>
        <v>15.32</v>
      </c>
      <c r="C84" s="1">
        <f ca="1">IFERROR(__xludf.DUMMYFUNCTION("""COMPUTED_VALUE"""),15.45)</f>
        <v>15.45</v>
      </c>
      <c r="D84" s="1">
        <f ca="1">IFERROR(__xludf.DUMMYFUNCTION("""COMPUTED_VALUE"""),14.69)</f>
        <v>14.69</v>
      </c>
      <c r="E84" s="1">
        <f ca="1">IFERROR(__xludf.DUMMYFUNCTION("""COMPUTED_VALUE"""),15.07)</f>
        <v>15.07</v>
      </c>
      <c r="F84" s="1">
        <f ca="1">IFERROR(__xludf.DUMMYFUNCTION("""COMPUTED_VALUE"""),5281689)</f>
        <v>5281689</v>
      </c>
    </row>
    <row r="85" spans="1:6" x14ac:dyDescent="0.35">
      <c r="A85" s="2">
        <f ca="1">IFERROR(__xludf.DUMMYFUNCTION("""COMPUTED_VALUE"""),42128.6666666666)</f>
        <v>42128.666666666599</v>
      </c>
      <c r="B85" s="1">
        <f ca="1">IFERROR(__xludf.DUMMYFUNCTION("""COMPUTED_VALUE"""),15.21)</f>
        <v>15.21</v>
      </c>
      <c r="C85" s="1">
        <f ca="1">IFERROR(__xludf.DUMMYFUNCTION("""COMPUTED_VALUE"""),15.65)</f>
        <v>15.65</v>
      </c>
      <c r="D85" s="1">
        <f ca="1">IFERROR(__xludf.DUMMYFUNCTION("""COMPUTED_VALUE"""),15.14)</f>
        <v>15.14</v>
      </c>
      <c r="E85" s="1">
        <f ca="1">IFERROR(__xludf.DUMMYFUNCTION("""COMPUTED_VALUE"""),15.37)</f>
        <v>15.37</v>
      </c>
      <c r="F85" s="1">
        <f ca="1">IFERROR(__xludf.DUMMYFUNCTION("""COMPUTED_VALUE"""),4434596)</f>
        <v>4434596</v>
      </c>
    </row>
    <row r="86" spans="1:6" x14ac:dyDescent="0.35">
      <c r="A86" s="2">
        <f ca="1">IFERROR(__xludf.DUMMYFUNCTION("""COMPUTED_VALUE"""),42129.6666666666)</f>
        <v>42129.666666666599</v>
      </c>
      <c r="B86" s="1">
        <f ca="1">IFERROR(__xludf.DUMMYFUNCTION("""COMPUTED_VALUE"""),15.85)</f>
        <v>15.85</v>
      </c>
      <c r="C86" s="1">
        <f ca="1">IFERROR(__xludf.DUMMYFUNCTION("""COMPUTED_VALUE"""),15.97)</f>
        <v>15.97</v>
      </c>
      <c r="D86" s="1">
        <f ca="1">IFERROR(__xludf.DUMMYFUNCTION("""COMPUTED_VALUE"""),15.28)</f>
        <v>15.28</v>
      </c>
      <c r="E86" s="1">
        <f ca="1">IFERROR(__xludf.DUMMYFUNCTION("""COMPUTED_VALUE"""),15.53)</f>
        <v>15.53</v>
      </c>
      <c r="F86" s="1">
        <f ca="1">IFERROR(__xludf.DUMMYFUNCTION("""COMPUTED_VALUE"""),5796873)</f>
        <v>5796873</v>
      </c>
    </row>
    <row r="87" spans="1:6" x14ac:dyDescent="0.35">
      <c r="A87" s="2">
        <f ca="1">IFERROR(__xludf.DUMMYFUNCTION("""COMPUTED_VALUE"""),42130.6666666666)</f>
        <v>42130.666666666599</v>
      </c>
      <c r="B87" s="1">
        <f ca="1">IFERROR(__xludf.DUMMYFUNCTION("""COMPUTED_VALUE"""),15.6)</f>
        <v>15.6</v>
      </c>
      <c r="C87" s="1">
        <f ca="1">IFERROR(__xludf.DUMMYFUNCTION("""COMPUTED_VALUE"""),15.63)</f>
        <v>15.63</v>
      </c>
      <c r="D87" s="1">
        <f ca="1">IFERROR(__xludf.DUMMYFUNCTION("""COMPUTED_VALUE"""),15.21)</f>
        <v>15.21</v>
      </c>
      <c r="E87" s="1">
        <f ca="1">IFERROR(__xludf.DUMMYFUNCTION("""COMPUTED_VALUE"""),15.36)</f>
        <v>15.36</v>
      </c>
      <c r="F87" s="1">
        <f ca="1">IFERROR(__xludf.DUMMYFUNCTION("""COMPUTED_VALUE"""),5270933)</f>
        <v>5270933</v>
      </c>
    </row>
    <row r="88" spans="1:6" x14ac:dyDescent="0.35">
      <c r="A88" s="2">
        <f ca="1">IFERROR(__xludf.DUMMYFUNCTION("""COMPUTED_VALUE"""),42131.6666666666)</f>
        <v>42131.666666666599</v>
      </c>
      <c r="B88" s="1">
        <f ca="1">IFERROR(__xludf.DUMMYFUNCTION("""COMPUTED_VALUE"""),14.73)</f>
        <v>14.73</v>
      </c>
      <c r="C88" s="1">
        <f ca="1">IFERROR(__xludf.DUMMYFUNCTION("""COMPUTED_VALUE"""),15.83)</f>
        <v>15.83</v>
      </c>
      <c r="D88" s="1">
        <f ca="1">IFERROR(__xludf.DUMMYFUNCTION("""COMPUTED_VALUE"""),14.68)</f>
        <v>14.68</v>
      </c>
      <c r="E88" s="1">
        <f ca="1">IFERROR(__xludf.DUMMYFUNCTION("""COMPUTED_VALUE"""),15.79)</f>
        <v>15.79</v>
      </c>
      <c r="F88" s="1">
        <f ca="1">IFERROR(__xludf.DUMMYFUNCTION("""COMPUTED_VALUE"""),9455909)</f>
        <v>9455909</v>
      </c>
    </row>
    <row r="89" spans="1:6" x14ac:dyDescent="0.35">
      <c r="A89" s="2">
        <f ca="1">IFERROR(__xludf.DUMMYFUNCTION("""COMPUTED_VALUE"""),42132.6666666666)</f>
        <v>42132.666666666599</v>
      </c>
      <c r="B89" s="1">
        <f ca="1">IFERROR(__xludf.DUMMYFUNCTION("""COMPUTED_VALUE"""),15.73)</f>
        <v>15.73</v>
      </c>
      <c r="C89" s="1">
        <f ca="1">IFERROR(__xludf.DUMMYFUNCTION("""COMPUTED_VALUE"""),15.89)</f>
        <v>15.89</v>
      </c>
      <c r="D89" s="1">
        <f ca="1">IFERROR(__xludf.DUMMYFUNCTION("""COMPUTED_VALUE"""),15.58)</f>
        <v>15.58</v>
      </c>
      <c r="E89" s="1">
        <f ca="1">IFERROR(__xludf.DUMMYFUNCTION("""COMPUTED_VALUE"""),15.77)</f>
        <v>15.77</v>
      </c>
      <c r="F89" s="1">
        <f ca="1">IFERROR(__xludf.DUMMYFUNCTION("""COMPUTED_VALUE"""),4668236)</f>
        <v>4668236</v>
      </c>
    </row>
    <row r="90" spans="1:6" x14ac:dyDescent="0.35">
      <c r="A90" s="2">
        <f ca="1">IFERROR(__xludf.DUMMYFUNCTION("""COMPUTED_VALUE"""),42135.6666666666)</f>
        <v>42135.666666666599</v>
      </c>
      <c r="B90" s="1">
        <f ca="1">IFERROR(__xludf.DUMMYFUNCTION("""COMPUTED_VALUE"""),15.75)</f>
        <v>15.75</v>
      </c>
      <c r="C90" s="1">
        <f ca="1">IFERROR(__xludf.DUMMYFUNCTION("""COMPUTED_VALUE"""),16.19)</f>
        <v>16.190000000000001</v>
      </c>
      <c r="D90" s="1">
        <f ca="1">IFERROR(__xludf.DUMMYFUNCTION("""COMPUTED_VALUE"""),15.69)</f>
        <v>15.69</v>
      </c>
      <c r="E90" s="1">
        <f ca="1">IFERROR(__xludf.DUMMYFUNCTION("""COMPUTED_VALUE"""),15.97)</f>
        <v>15.97</v>
      </c>
      <c r="F90" s="1">
        <f ca="1">IFERROR(__xludf.DUMMYFUNCTION("""COMPUTED_VALUE"""),5672262)</f>
        <v>5672262</v>
      </c>
    </row>
    <row r="91" spans="1:6" x14ac:dyDescent="0.35">
      <c r="A91" s="2">
        <f ca="1">IFERROR(__xludf.DUMMYFUNCTION("""COMPUTED_VALUE"""),42136.6666666666)</f>
        <v>42136.666666666599</v>
      </c>
      <c r="B91" s="1">
        <f ca="1">IFERROR(__xludf.DUMMYFUNCTION("""COMPUTED_VALUE"""),16.01)</f>
        <v>16.010000000000002</v>
      </c>
      <c r="C91" s="1">
        <f ca="1">IFERROR(__xludf.DUMMYFUNCTION("""COMPUTED_VALUE"""),16.42)</f>
        <v>16.420000000000002</v>
      </c>
      <c r="D91" s="1">
        <f ca="1">IFERROR(__xludf.DUMMYFUNCTION("""COMPUTED_VALUE"""),15.88)</f>
        <v>15.88</v>
      </c>
      <c r="E91" s="1">
        <f ca="1">IFERROR(__xludf.DUMMYFUNCTION("""COMPUTED_VALUE"""),16.32)</f>
        <v>16.32</v>
      </c>
      <c r="F91" s="1">
        <f ca="1">IFERROR(__xludf.DUMMYFUNCTION("""COMPUTED_VALUE"""),6363429)</f>
        <v>6363429</v>
      </c>
    </row>
    <row r="92" spans="1:6" x14ac:dyDescent="0.35">
      <c r="A92" s="2">
        <f ca="1">IFERROR(__xludf.DUMMYFUNCTION("""COMPUTED_VALUE"""),42137.6666666666)</f>
        <v>42137.666666666599</v>
      </c>
      <c r="B92" s="1">
        <f ca="1">IFERROR(__xludf.DUMMYFUNCTION("""COMPUTED_VALUE"""),16.51)</f>
        <v>16.510000000000002</v>
      </c>
      <c r="C92" s="1">
        <f ca="1">IFERROR(__xludf.DUMMYFUNCTION("""COMPUTED_VALUE"""),16.55)</f>
        <v>16.55</v>
      </c>
      <c r="D92" s="1">
        <f ca="1">IFERROR(__xludf.DUMMYFUNCTION("""COMPUTED_VALUE"""),16.15)</f>
        <v>16.149999999999999</v>
      </c>
      <c r="E92" s="1">
        <f ca="1">IFERROR(__xludf.DUMMYFUNCTION("""COMPUTED_VALUE"""),16.21)</f>
        <v>16.21</v>
      </c>
      <c r="F92" s="1">
        <f ca="1">IFERROR(__xludf.DUMMYFUNCTION("""COMPUTED_VALUE"""),5440165)</f>
        <v>5440165</v>
      </c>
    </row>
    <row r="93" spans="1:6" x14ac:dyDescent="0.35">
      <c r="A93" s="2">
        <f ca="1">IFERROR(__xludf.DUMMYFUNCTION("""COMPUTED_VALUE"""),42138.6666666666)</f>
        <v>42138.666666666599</v>
      </c>
      <c r="B93" s="1">
        <f ca="1">IFERROR(__xludf.DUMMYFUNCTION("""COMPUTED_VALUE"""),16.32)</f>
        <v>16.32</v>
      </c>
      <c r="C93" s="1">
        <f ca="1">IFERROR(__xludf.DUMMYFUNCTION("""COMPUTED_VALUE"""),16.33)</f>
        <v>16.329999999999998</v>
      </c>
      <c r="D93" s="1">
        <f ca="1">IFERROR(__xludf.DUMMYFUNCTION("""COMPUTED_VALUE"""),16.08)</f>
        <v>16.079999999999998</v>
      </c>
      <c r="E93" s="1">
        <f ca="1">IFERROR(__xludf.DUMMYFUNCTION("""COMPUTED_VALUE"""),16.27)</f>
        <v>16.27</v>
      </c>
      <c r="F93" s="1">
        <f ca="1">IFERROR(__xludf.DUMMYFUNCTION("""COMPUTED_VALUE"""),2895936)</f>
        <v>2895936</v>
      </c>
    </row>
    <row r="94" spans="1:6" x14ac:dyDescent="0.35">
      <c r="A94" s="2">
        <f ca="1">IFERROR(__xludf.DUMMYFUNCTION("""COMPUTED_VALUE"""),42139.6666666666)</f>
        <v>42139.666666666599</v>
      </c>
      <c r="B94" s="1">
        <f ca="1">IFERROR(__xludf.DUMMYFUNCTION("""COMPUTED_VALUE"""),16.26)</f>
        <v>16.260000000000002</v>
      </c>
      <c r="C94" s="1">
        <f ca="1">IFERROR(__xludf.DUMMYFUNCTION("""COMPUTED_VALUE"""),16.63)</f>
        <v>16.63</v>
      </c>
      <c r="D94" s="1">
        <f ca="1">IFERROR(__xludf.DUMMYFUNCTION("""COMPUTED_VALUE"""),16.17)</f>
        <v>16.170000000000002</v>
      </c>
      <c r="E94" s="1">
        <f ca="1">IFERROR(__xludf.DUMMYFUNCTION("""COMPUTED_VALUE"""),16.59)</f>
        <v>16.59</v>
      </c>
      <c r="F94" s="1">
        <f ca="1">IFERROR(__xludf.DUMMYFUNCTION("""COMPUTED_VALUE"""),4527563)</f>
        <v>4527563</v>
      </c>
    </row>
    <row r="95" spans="1:6" x14ac:dyDescent="0.35">
      <c r="A95" s="2">
        <f ca="1">IFERROR(__xludf.DUMMYFUNCTION("""COMPUTED_VALUE"""),42142.6666666666)</f>
        <v>42142.666666666599</v>
      </c>
      <c r="B95" s="1">
        <f ca="1">IFERROR(__xludf.DUMMYFUNCTION("""COMPUTED_VALUE"""),16.46)</f>
        <v>16.46</v>
      </c>
      <c r="C95" s="1">
        <f ca="1">IFERROR(__xludf.DUMMYFUNCTION("""COMPUTED_VALUE"""),16.66)</f>
        <v>16.66</v>
      </c>
      <c r="D95" s="1">
        <f ca="1">IFERROR(__xludf.DUMMYFUNCTION("""COMPUTED_VALUE"""),16.4)</f>
        <v>16.399999999999999</v>
      </c>
      <c r="E95" s="1">
        <f ca="1">IFERROR(__xludf.DUMMYFUNCTION("""COMPUTED_VALUE"""),16.58)</f>
        <v>16.579999999999998</v>
      </c>
      <c r="F95" s="1">
        <f ca="1">IFERROR(__xludf.DUMMYFUNCTION("""COMPUTED_VALUE"""),3353212)</f>
        <v>3353212</v>
      </c>
    </row>
    <row r="96" spans="1:6" x14ac:dyDescent="0.35">
      <c r="A96" s="2">
        <f ca="1">IFERROR(__xludf.DUMMYFUNCTION("""COMPUTED_VALUE"""),42143.6666666666)</f>
        <v>42143.666666666599</v>
      </c>
      <c r="B96" s="1">
        <f ca="1">IFERROR(__xludf.DUMMYFUNCTION("""COMPUTED_VALUE"""),16.56)</f>
        <v>16.559999999999999</v>
      </c>
      <c r="C96" s="1">
        <f ca="1">IFERROR(__xludf.DUMMYFUNCTION("""COMPUTED_VALUE"""),16.73)</f>
        <v>16.73</v>
      </c>
      <c r="D96" s="1">
        <f ca="1">IFERROR(__xludf.DUMMYFUNCTION("""COMPUTED_VALUE"""),16.41)</f>
        <v>16.41</v>
      </c>
      <c r="E96" s="1">
        <f ca="1">IFERROR(__xludf.DUMMYFUNCTION("""COMPUTED_VALUE"""),16.48)</f>
        <v>16.48</v>
      </c>
      <c r="F96" s="1">
        <f ca="1">IFERROR(__xludf.DUMMYFUNCTION("""COMPUTED_VALUE"""),3674231)</f>
        <v>3674231</v>
      </c>
    </row>
    <row r="97" spans="1:6" x14ac:dyDescent="0.35">
      <c r="A97" s="2">
        <f ca="1">IFERROR(__xludf.DUMMYFUNCTION("""COMPUTED_VALUE"""),42144.6666666666)</f>
        <v>42144.666666666599</v>
      </c>
      <c r="B97" s="1">
        <f ca="1">IFERROR(__xludf.DUMMYFUNCTION("""COMPUTED_VALUE"""),16.47)</f>
        <v>16.47</v>
      </c>
      <c r="C97" s="1">
        <f ca="1">IFERROR(__xludf.DUMMYFUNCTION("""COMPUTED_VALUE"""),16.52)</f>
        <v>16.52</v>
      </c>
      <c r="D97" s="1">
        <f ca="1">IFERROR(__xludf.DUMMYFUNCTION("""COMPUTED_VALUE"""),16.09)</f>
        <v>16.09</v>
      </c>
      <c r="E97" s="1">
        <f ca="1">IFERROR(__xludf.DUMMYFUNCTION("""COMPUTED_VALUE"""),16.29)</f>
        <v>16.29</v>
      </c>
      <c r="F97" s="1">
        <f ca="1">IFERROR(__xludf.DUMMYFUNCTION("""COMPUTED_VALUE"""),3755569)</f>
        <v>3755569</v>
      </c>
    </row>
    <row r="98" spans="1:6" x14ac:dyDescent="0.35">
      <c r="A98" s="2">
        <f ca="1">IFERROR(__xludf.DUMMYFUNCTION("""COMPUTED_VALUE"""),42145.6666666666)</f>
        <v>42145.666666666599</v>
      </c>
      <c r="B98" s="1">
        <f ca="1">IFERROR(__xludf.DUMMYFUNCTION("""COMPUTED_VALUE"""),16.21)</f>
        <v>16.21</v>
      </c>
      <c r="C98" s="1">
        <f ca="1">IFERROR(__xludf.DUMMYFUNCTION("""COMPUTED_VALUE"""),16.44)</f>
        <v>16.440000000000001</v>
      </c>
      <c r="D98" s="1">
        <f ca="1">IFERROR(__xludf.DUMMYFUNCTION("""COMPUTED_VALUE"""),16.16)</f>
        <v>16.16</v>
      </c>
      <c r="E98" s="1">
        <f ca="1">IFERROR(__xludf.DUMMYFUNCTION("""COMPUTED_VALUE"""),16.37)</f>
        <v>16.37</v>
      </c>
      <c r="F98" s="1">
        <f ca="1">IFERROR(__xludf.DUMMYFUNCTION("""COMPUTED_VALUE"""),1970643)</f>
        <v>1970643</v>
      </c>
    </row>
    <row r="99" spans="1:6" x14ac:dyDescent="0.35">
      <c r="A99" s="2">
        <f ca="1">IFERROR(__xludf.DUMMYFUNCTION("""COMPUTED_VALUE"""),42146.6666666666)</f>
        <v>42146.666666666599</v>
      </c>
      <c r="B99" s="1">
        <f ca="1">IFERROR(__xludf.DUMMYFUNCTION("""COMPUTED_VALUE"""),16.36)</f>
        <v>16.36</v>
      </c>
      <c r="C99" s="1">
        <f ca="1">IFERROR(__xludf.DUMMYFUNCTION("""COMPUTED_VALUE"""),16.57)</f>
        <v>16.57</v>
      </c>
      <c r="D99" s="1">
        <f ca="1">IFERROR(__xludf.DUMMYFUNCTION("""COMPUTED_VALUE"""),16.33)</f>
        <v>16.329999999999998</v>
      </c>
      <c r="E99" s="1">
        <f ca="1">IFERROR(__xludf.DUMMYFUNCTION("""COMPUTED_VALUE"""),16.52)</f>
        <v>16.52</v>
      </c>
      <c r="F99" s="1">
        <f ca="1">IFERROR(__xludf.DUMMYFUNCTION("""COMPUTED_VALUE"""),2223089)</f>
        <v>2223089</v>
      </c>
    </row>
    <row r="100" spans="1:6" x14ac:dyDescent="0.35">
      <c r="A100" s="2">
        <f ca="1">IFERROR(__xludf.DUMMYFUNCTION("""COMPUTED_VALUE"""),42150.6666666666)</f>
        <v>42150.666666666599</v>
      </c>
      <c r="B100" s="1">
        <f ca="1">IFERROR(__xludf.DUMMYFUNCTION("""COMPUTED_VALUE"""),16.51)</f>
        <v>16.510000000000002</v>
      </c>
      <c r="C100" s="1">
        <f ca="1">IFERROR(__xludf.DUMMYFUNCTION("""COMPUTED_VALUE"""),16.8)</f>
        <v>16.8</v>
      </c>
      <c r="D100" s="1">
        <f ca="1">IFERROR(__xludf.DUMMYFUNCTION("""COMPUTED_VALUE"""),16.43)</f>
        <v>16.43</v>
      </c>
      <c r="E100" s="1">
        <f ca="1">IFERROR(__xludf.DUMMYFUNCTION("""COMPUTED_VALUE"""),16.5)</f>
        <v>16.5</v>
      </c>
      <c r="F100" s="1">
        <f ca="1">IFERROR(__xludf.DUMMYFUNCTION("""COMPUTED_VALUE"""),3498682)</f>
        <v>3498682</v>
      </c>
    </row>
    <row r="101" spans="1:6" x14ac:dyDescent="0.35">
      <c r="A101" s="2">
        <f ca="1">IFERROR(__xludf.DUMMYFUNCTION("""COMPUTED_VALUE"""),42151.6666666666)</f>
        <v>42151.666666666599</v>
      </c>
      <c r="B101" s="1">
        <f ca="1">IFERROR(__xludf.DUMMYFUNCTION("""COMPUTED_VALUE"""),16.57)</f>
        <v>16.57</v>
      </c>
      <c r="C101" s="1">
        <f ca="1">IFERROR(__xludf.DUMMYFUNCTION("""COMPUTED_VALUE"""),16.63)</f>
        <v>16.63</v>
      </c>
      <c r="D101" s="1">
        <f ca="1">IFERROR(__xludf.DUMMYFUNCTION("""COMPUTED_VALUE"""),16.37)</f>
        <v>16.37</v>
      </c>
      <c r="E101" s="1">
        <f ca="1">IFERROR(__xludf.DUMMYFUNCTION("""COMPUTED_VALUE"""),16.5)</f>
        <v>16.5</v>
      </c>
      <c r="F101" s="1">
        <f ca="1">IFERROR(__xludf.DUMMYFUNCTION("""COMPUTED_VALUE"""),3408200)</f>
        <v>3408200</v>
      </c>
    </row>
    <row r="102" spans="1:6" x14ac:dyDescent="0.35">
      <c r="A102" s="2">
        <f ca="1">IFERROR(__xludf.DUMMYFUNCTION("""COMPUTED_VALUE"""),42152.6666666666)</f>
        <v>42152.666666666599</v>
      </c>
      <c r="B102" s="1">
        <f ca="1">IFERROR(__xludf.DUMMYFUNCTION("""COMPUTED_VALUE"""),16.47)</f>
        <v>16.47</v>
      </c>
      <c r="C102" s="1">
        <f ca="1">IFERROR(__xludf.DUMMYFUNCTION("""COMPUTED_VALUE"""),16.79)</f>
        <v>16.79</v>
      </c>
      <c r="D102" s="1">
        <f ca="1">IFERROR(__xludf.DUMMYFUNCTION("""COMPUTED_VALUE"""),16.34)</f>
        <v>16.34</v>
      </c>
      <c r="E102" s="1">
        <f ca="1">IFERROR(__xludf.DUMMYFUNCTION("""COMPUTED_VALUE"""),16.76)</f>
        <v>16.760000000000002</v>
      </c>
      <c r="F102" s="1">
        <f ca="1">IFERROR(__xludf.DUMMYFUNCTION("""COMPUTED_VALUE"""),3647283)</f>
        <v>3647283</v>
      </c>
    </row>
    <row r="103" spans="1:6" x14ac:dyDescent="0.35">
      <c r="A103" s="2">
        <f ca="1">IFERROR(__xludf.DUMMYFUNCTION("""COMPUTED_VALUE"""),42153.6666666666)</f>
        <v>42153.666666666599</v>
      </c>
      <c r="B103" s="1">
        <f ca="1">IFERROR(__xludf.DUMMYFUNCTION("""COMPUTED_VALUE"""),16.72)</f>
        <v>16.72</v>
      </c>
      <c r="C103" s="1">
        <f ca="1">IFERROR(__xludf.DUMMYFUNCTION("""COMPUTED_VALUE"""),16.86)</f>
        <v>16.86</v>
      </c>
      <c r="D103" s="1">
        <f ca="1">IFERROR(__xludf.DUMMYFUNCTION("""COMPUTED_VALUE"""),16.63)</f>
        <v>16.63</v>
      </c>
      <c r="E103" s="1">
        <f ca="1">IFERROR(__xludf.DUMMYFUNCTION("""COMPUTED_VALUE"""),16.72)</f>
        <v>16.72</v>
      </c>
      <c r="F103" s="1">
        <f ca="1">IFERROR(__xludf.DUMMYFUNCTION("""COMPUTED_VALUE"""),3789283)</f>
        <v>3789283</v>
      </c>
    </row>
    <row r="104" spans="1:6" x14ac:dyDescent="0.35">
      <c r="A104" s="2">
        <f ca="1">IFERROR(__xludf.DUMMYFUNCTION("""COMPUTED_VALUE"""),42156.6666666666)</f>
        <v>42156.666666666599</v>
      </c>
      <c r="B104" s="1">
        <f ca="1">IFERROR(__xludf.DUMMYFUNCTION("""COMPUTED_VALUE"""),16.75)</f>
        <v>16.75</v>
      </c>
      <c r="C104" s="1">
        <f ca="1">IFERROR(__xludf.DUMMYFUNCTION("""COMPUTED_VALUE"""),16.77)</f>
        <v>16.77</v>
      </c>
      <c r="D104" s="1">
        <f ca="1">IFERROR(__xludf.DUMMYFUNCTION("""COMPUTED_VALUE"""),16.5)</f>
        <v>16.5</v>
      </c>
      <c r="E104" s="1">
        <f ca="1">IFERROR(__xludf.DUMMYFUNCTION("""COMPUTED_VALUE"""),16.63)</f>
        <v>16.63</v>
      </c>
      <c r="F104" s="1">
        <f ca="1">IFERROR(__xludf.DUMMYFUNCTION("""COMPUTED_VALUE"""),2505057)</f>
        <v>2505057</v>
      </c>
    </row>
    <row r="105" spans="1:6" x14ac:dyDescent="0.35">
      <c r="A105" s="2">
        <f ca="1">IFERROR(__xludf.DUMMYFUNCTION("""COMPUTED_VALUE"""),42157.6666666666)</f>
        <v>42157.666666666599</v>
      </c>
      <c r="B105" s="1">
        <f ca="1">IFERROR(__xludf.DUMMYFUNCTION("""COMPUTED_VALUE"""),16.59)</f>
        <v>16.59</v>
      </c>
      <c r="C105" s="1">
        <f ca="1">IFERROR(__xludf.DUMMYFUNCTION("""COMPUTED_VALUE"""),16.63)</f>
        <v>16.63</v>
      </c>
      <c r="D105" s="1">
        <f ca="1">IFERROR(__xludf.DUMMYFUNCTION("""COMPUTED_VALUE"""),16.42)</f>
        <v>16.420000000000002</v>
      </c>
      <c r="E105" s="1">
        <f ca="1">IFERROR(__xludf.DUMMYFUNCTION("""COMPUTED_VALUE"""),16.56)</f>
        <v>16.559999999999999</v>
      </c>
      <c r="F105" s="1">
        <f ca="1">IFERROR(__xludf.DUMMYFUNCTION("""COMPUTED_VALUE"""),2134809)</f>
        <v>2134809</v>
      </c>
    </row>
    <row r="106" spans="1:6" x14ac:dyDescent="0.35">
      <c r="A106" s="2">
        <f ca="1">IFERROR(__xludf.DUMMYFUNCTION("""COMPUTED_VALUE"""),42158.6666666666)</f>
        <v>42158.666666666599</v>
      </c>
      <c r="B106" s="1">
        <f ca="1">IFERROR(__xludf.DUMMYFUNCTION("""COMPUTED_VALUE"""),16.53)</f>
        <v>16.53</v>
      </c>
      <c r="C106" s="1">
        <f ca="1">IFERROR(__xludf.DUMMYFUNCTION("""COMPUTED_VALUE"""),16.71)</f>
        <v>16.71</v>
      </c>
      <c r="D106" s="1">
        <f ca="1">IFERROR(__xludf.DUMMYFUNCTION("""COMPUTED_VALUE"""),16.47)</f>
        <v>16.47</v>
      </c>
      <c r="E106" s="1">
        <f ca="1">IFERROR(__xludf.DUMMYFUNCTION("""COMPUTED_VALUE"""),16.6)</f>
        <v>16.600000000000001</v>
      </c>
      <c r="F106" s="1">
        <f ca="1">IFERROR(__xludf.DUMMYFUNCTION("""COMPUTED_VALUE"""),1781505)</f>
        <v>1781505</v>
      </c>
    </row>
    <row r="107" spans="1:6" x14ac:dyDescent="0.35">
      <c r="A107" s="2">
        <f ca="1">IFERROR(__xludf.DUMMYFUNCTION("""COMPUTED_VALUE"""),42159.6666666666)</f>
        <v>42159.666666666599</v>
      </c>
      <c r="B107" s="1">
        <f ca="1">IFERROR(__xludf.DUMMYFUNCTION("""COMPUTED_VALUE"""),16.5)</f>
        <v>16.5</v>
      </c>
      <c r="C107" s="1">
        <f ca="1">IFERROR(__xludf.DUMMYFUNCTION("""COMPUTED_VALUE"""),16.62)</f>
        <v>16.62</v>
      </c>
      <c r="D107" s="1">
        <f ca="1">IFERROR(__xludf.DUMMYFUNCTION("""COMPUTED_VALUE"""),16.38)</f>
        <v>16.38</v>
      </c>
      <c r="E107" s="1">
        <f ca="1">IFERROR(__xludf.DUMMYFUNCTION("""COMPUTED_VALUE"""),16.39)</f>
        <v>16.39</v>
      </c>
      <c r="F107" s="1">
        <f ca="1">IFERROR(__xludf.DUMMYFUNCTION("""COMPUTED_VALUE"""),2453615)</f>
        <v>2453615</v>
      </c>
    </row>
    <row r="108" spans="1:6" x14ac:dyDescent="0.35">
      <c r="A108" s="2">
        <f ca="1">IFERROR(__xludf.DUMMYFUNCTION("""COMPUTED_VALUE"""),42160.6666666666)</f>
        <v>42160.666666666599</v>
      </c>
      <c r="B108" s="1">
        <f ca="1">IFERROR(__xludf.DUMMYFUNCTION("""COMPUTED_VALUE"""),16.41)</f>
        <v>16.41</v>
      </c>
      <c r="C108" s="1">
        <f ca="1">IFERROR(__xludf.DUMMYFUNCTION("""COMPUTED_VALUE"""),16.65)</f>
        <v>16.649999999999999</v>
      </c>
      <c r="D108" s="1">
        <f ca="1">IFERROR(__xludf.DUMMYFUNCTION("""COMPUTED_VALUE"""),16.38)</f>
        <v>16.38</v>
      </c>
      <c r="E108" s="1">
        <f ca="1">IFERROR(__xludf.DUMMYFUNCTION("""COMPUTED_VALUE"""),16.61)</f>
        <v>16.61</v>
      </c>
      <c r="F108" s="1">
        <f ca="1">IFERROR(__xludf.DUMMYFUNCTION("""COMPUTED_VALUE"""),3022026)</f>
        <v>3022026</v>
      </c>
    </row>
    <row r="109" spans="1:6" x14ac:dyDescent="0.35">
      <c r="A109" s="2">
        <f ca="1">IFERROR(__xludf.DUMMYFUNCTION("""COMPUTED_VALUE"""),42163.6666666666)</f>
        <v>42163.666666666599</v>
      </c>
      <c r="B109" s="1">
        <f ca="1">IFERROR(__xludf.DUMMYFUNCTION("""COMPUTED_VALUE"""),16.72)</f>
        <v>16.72</v>
      </c>
      <c r="C109" s="1">
        <f ca="1">IFERROR(__xludf.DUMMYFUNCTION("""COMPUTED_VALUE"""),17.25)</f>
        <v>17.25</v>
      </c>
      <c r="D109" s="1">
        <f ca="1">IFERROR(__xludf.DUMMYFUNCTION("""COMPUTED_VALUE"""),16.69)</f>
        <v>16.690000000000001</v>
      </c>
      <c r="E109" s="1">
        <f ca="1">IFERROR(__xludf.DUMMYFUNCTION("""COMPUTED_VALUE"""),17.09)</f>
        <v>17.09</v>
      </c>
      <c r="F109" s="1">
        <f ca="1">IFERROR(__xludf.DUMMYFUNCTION("""COMPUTED_VALUE"""),5016997)</f>
        <v>5016997</v>
      </c>
    </row>
    <row r="110" spans="1:6" x14ac:dyDescent="0.35">
      <c r="A110" s="2">
        <f ca="1">IFERROR(__xludf.DUMMYFUNCTION("""COMPUTED_VALUE"""),42164.6666666666)</f>
        <v>42164.666666666599</v>
      </c>
      <c r="B110" s="1">
        <f ca="1">IFERROR(__xludf.DUMMYFUNCTION("""COMPUTED_VALUE"""),17.03)</f>
        <v>17.03</v>
      </c>
      <c r="C110" s="1">
        <f ca="1">IFERROR(__xludf.DUMMYFUNCTION("""COMPUTED_VALUE"""),17.18)</f>
        <v>17.18</v>
      </c>
      <c r="D110" s="1">
        <f ca="1">IFERROR(__xludf.DUMMYFUNCTION("""COMPUTED_VALUE"""),16.94)</f>
        <v>16.940000000000001</v>
      </c>
      <c r="E110" s="1">
        <f ca="1">IFERROR(__xludf.DUMMYFUNCTION("""COMPUTED_VALUE"""),17.07)</f>
        <v>17.07</v>
      </c>
      <c r="F110" s="1">
        <f ca="1">IFERROR(__xludf.DUMMYFUNCTION("""COMPUTED_VALUE"""),2611146)</f>
        <v>2611146</v>
      </c>
    </row>
    <row r="111" spans="1:6" x14ac:dyDescent="0.35">
      <c r="A111" s="2">
        <f ca="1">IFERROR(__xludf.DUMMYFUNCTION("""COMPUTED_VALUE"""),42165.6666666666)</f>
        <v>42165.666666666599</v>
      </c>
      <c r="B111" s="1">
        <f ca="1">IFERROR(__xludf.DUMMYFUNCTION("""COMPUTED_VALUE"""),16.79)</f>
        <v>16.79</v>
      </c>
      <c r="C111" s="1">
        <f ca="1">IFERROR(__xludf.DUMMYFUNCTION("""COMPUTED_VALUE"""),16.93)</f>
        <v>16.93</v>
      </c>
      <c r="D111" s="1">
        <f ca="1">IFERROR(__xludf.DUMMYFUNCTION("""COMPUTED_VALUE"""),16.57)</f>
        <v>16.57</v>
      </c>
      <c r="E111" s="1">
        <f ca="1">IFERROR(__xludf.DUMMYFUNCTION("""COMPUTED_VALUE"""),16.71)</f>
        <v>16.71</v>
      </c>
      <c r="F111" s="1">
        <f ca="1">IFERROR(__xludf.DUMMYFUNCTION("""COMPUTED_VALUE"""),3454453)</f>
        <v>3454453</v>
      </c>
    </row>
    <row r="112" spans="1:6" x14ac:dyDescent="0.35">
      <c r="A112" s="2">
        <f ca="1">IFERROR(__xludf.DUMMYFUNCTION("""COMPUTED_VALUE"""),42166.6666666666)</f>
        <v>42166.666666666599</v>
      </c>
      <c r="B112" s="1">
        <f ca="1">IFERROR(__xludf.DUMMYFUNCTION("""COMPUTED_VALUE"""),16.88)</f>
        <v>16.88</v>
      </c>
      <c r="C112" s="1">
        <f ca="1">IFERROR(__xludf.DUMMYFUNCTION("""COMPUTED_VALUE"""),16.96)</f>
        <v>16.96</v>
      </c>
      <c r="D112" s="1">
        <f ca="1">IFERROR(__xludf.DUMMYFUNCTION("""COMPUTED_VALUE"""),16.7)</f>
        <v>16.7</v>
      </c>
      <c r="E112" s="1">
        <f ca="1">IFERROR(__xludf.DUMMYFUNCTION("""COMPUTED_VALUE"""),16.76)</f>
        <v>16.760000000000002</v>
      </c>
      <c r="F112" s="1">
        <f ca="1">IFERROR(__xludf.DUMMYFUNCTION("""COMPUTED_VALUE"""),2044058)</f>
        <v>2044058</v>
      </c>
    </row>
    <row r="113" spans="1:6" x14ac:dyDescent="0.35">
      <c r="A113" s="2">
        <f ca="1">IFERROR(__xludf.DUMMYFUNCTION("""COMPUTED_VALUE"""),42167.6666666666)</f>
        <v>42167.666666666599</v>
      </c>
      <c r="B113" s="1">
        <f ca="1">IFERROR(__xludf.DUMMYFUNCTION("""COMPUTED_VALUE"""),16.68)</f>
        <v>16.68</v>
      </c>
      <c r="C113" s="1">
        <f ca="1">IFERROR(__xludf.DUMMYFUNCTION("""COMPUTED_VALUE"""),16.9)</f>
        <v>16.899999999999999</v>
      </c>
      <c r="D113" s="1">
        <f ca="1">IFERROR(__xludf.DUMMYFUNCTION("""COMPUTED_VALUE"""),16.68)</f>
        <v>16.68</v>
      </c>
      <c r="E113" s="1">
        <f ca="1">IFERROR(__xludf.DUMMYFUNCTION("""COMPUTED_VALUE"""),16.71)</f>
        <v>16.71</v>
      </c>
      <c r="F113" s="1">
        <f ca="1">IFERROR(__xludf.DUMMYFUNCTION("""COMPUTED_VALUE"""),1422335)</f>
        <v>1422335</v>
      </c>
    </row>
    <row r="114" spans="1:6" x14ac:dyDescent="0.35">
      <c r="A114" s="2">
        <f ca="1">IFERROR(__xludf.DUMMYFUNCTION("""COMPUTED_VALUE"""),42170.6666666666)</f>
        <v>42170.666666666599</v>
      </c>
      <c r="B114" s="1">
        <f ca="1">IFERROR(__xludf.DUMMYFUNCTION("""COMPUTED_VALUE"""),16.65)</f>
        <v>16.649999999999999</v>
      </c>
      <c r="C114" s="1">
        <f ca="1">IFERROR(__xludf.DUMMYFUNCTION("""COMPUTED_VALUE"""),16.75)</f>
        <v>16.75</v>
      </c>
      <c r="D114" s="1">
        <f ca="1">IFERROR(__xludf.DUMMYFUNCTION("""COMPUTED_VALUE"""),16.4)</f>
        <v>16.399999999999999</v>
      </c>
      <c r="E114" s="1">
        <f ca="1">IFERROR(__xludf.DUMMYFUNCTION("""COMPUTED_VALUE"""),16.69)</f>
        <v>16.690000000000001</v>
      </c>
      <c r="F114" s="1">
        <f ca="1">IFERROR(__xludf.DUMMYFUNCTION("""COMPUTED_VALUE"""),2186175)</f>
        <v>2186175</v>
      </c>
    </row>
    <row r="115" spans="1:6" x14ac:dyDescent="0.35">
      <c r="A115" s="2">
        <f ca="1">IFERROR(__xludf.DUMMYFUNCTION("""COMPUTED_VALUE"""),42171.6666666666)</f>
        <v>42171.666666666599</v>
      </c>
      <c r="B115" s="1">
        <f ca="1">IFERROR(__xludf.DUMMYFUNCTION("""COMPUTED_VALUE"""),16.68)</f>
        <v>16.68</v>
      </c>
      <c r="C115" s="1">
        <f ca="1">IFERROR(__xludf.DUMMYFUNCTION("""COMPUTED_VALUE"""),16.9)</f>
        <v>16.899999999999999</v>
      </c>
      <c r="D115" s="1">
        <f ca="1">IFERROR(__xludf.DUMMYFUNCTION("""COMPUTED_VALUE"""),16.61)</f>
        <v>16.61</v>
      </c>
      <c r="E115" s="1">
        <f ca="1">IFERROR(__xludf.DUMMYFUNCTION("""COMPUTED_VALUE"""),16.87)</f>
        <v>16.87</v>
      </c>
      <c r="F115" s="1">
        <f ca="1">IFERROR(__xludf.DUMMYFUNCTION("""COMPUTED_VALUE"""),1984678)</f>
        <v>1984678</v>
      </c>
    </row>
    <row r="116" spans="1:6" x14ac:dyDescent="0.35">
      <c r="A116" s="2">
        <f ca="1">IFERROR(__xludf.DUMMYFUNCTION("""COMPUTED_VALUE"""),42172.6666666666)</f>
        <v>42172.666666666599</v>
      </c>
      <c r="B116" s="1">
        <f ca="1">IFERROR(__xludf.DUMMYFUNCTION("""COMPUTED_VALUE"""),16.81)</f>
        <v>16.809999999999999</v>
      </c>
      <c r="C116" s="1">
        <f ca="1">IFERROR(__xludf.DUMMYFUNCTION("""COMPUTED_VALUE"""),17.62)</f>
        <v>17.62</v>
      </c>
      <c r="D116" s="1">
        <f ca="1">IFERROR(__xludf.DUMMYFUNCTION("""COMPUTED_VALUE"""),16.8)</f>
        <v>16.8</v>
      </c>
      <c r="E116" s="1">
        <f ca="1">IFERROR(__xludf.DUMMYFUNCTION("""COMPUTED_VALUE"""),17.36)</f>
        <v>17.36</v>
      </c>
      <c r="F116" s="1">
        <f ca="1">IFERROR(__xludf.DUMMYFUNCTION("""COMPUTED_VALUE"""),5512920)</f>
        <v>5512920</v>
      </c>
    </row>
    <row r="117" spans="1:6" x14ac:dyDescent="0.35">
      <c r="A117" s="2">
        <f ca="1">IFERROR(__xludf.DUMMYFUNCTION("""COMPUTED_VALUE"""),42173.6666666666)</f>
        <v>42173.666666666599</v>
      </c>
      <c r="B117" s="1">
        <f ca="1">IFERROR(__xludf.DUMMYFUNCTION("""COMPUTED_VALUE"""),17.46)</f>
        <v>17.46</v>
      </c>
      <c r="C117" s="1">
        <f ca="1">IFERROR(__xludf.DUMMYFUNCTION("""COMPUTED_VALUE"""),17.56)</f>
        <v>17.559999999999999</v>
      </c>
      <c r="D117" s="1">
        <f ca="1">IFERROR(__xludf.DUMMYFUNCTION("""COMPUTED_VALUE"""),17.33)</f>
        <v>17.329999999999998</v>
      </c>
      <c r="E117" s="1">
        <f ca="1">IFERROR(__xludf.DUMMYFUNCTION("""COMPUTED_VALUE"""),17.46)</f>
        <v>17.46</v>
      </c>
      <c r="F117" s="1">
        <f ca="1">IFERROR(__xludf.DUMMYFUNCTION("""COMPUTED_VALUE"""),2782703)</f>
        <v>2782703</v>
      </c>
    </row>
    <row r="118" spans="1:6" x14ac:dyDescent="0.35">
      <c r="A118" s="2">
        <f ca="1">IFERROR(__xludf.DUMMYFUNCTION("""COMPUTED_VALUE"""),42174.6666666666)</f>
        <v>42174.666666666599</v>
      </c>
      <c r="B118" s="1">
        <f ca="1">IFERROR(__xludf.DUMMYFUNCTION("""COMPUTED_VALUE"""),17.48)</f>
        <v>17.48</v>
      </c>
      <c r="C118" s="1">
        <f ca="1">IFERROR(__xludf.DUMMYFUNCTION("""COMPUTED_VALUE"""),17.59)</f>
        <v>17.59</v>
      </c>
      <c r="D118" s="1">
        <f ca="1">IFERROR(__xludf.DUMMYFUNCTION("""COMPUTED_VALUE"""),17.34)</f>
        <v>17.34</v>
      </c>
      <c r="E118" s="1">
        <f ca="1">IFERROR(__xludf.DUMMYFUNCTION("""COMPUTED_VALUE"""),17.5)</f>
        <v>17.5</v>
      </c>
      <c r="F118" s="1">
        <f ca="1">IFERROR(__xludf.DUMMYFUNCTION("""COMPUTED_VALUE"""),2463013)</f>
        <v>2463013</v>
      </c>
    </row>
    <row r="119" spans="1:6" x14ac:dyDescent="0.35">
      <c r="A119" s="2">
        <f ca="1">IFERROR(__xludf.DUMMYFUNCTION("""COMPUTED_VALUE"""),42177.6666666666)</f>
        <v>42177.666666666599</v>
      </c>
      <c r="B119" s="1">
        <f ca="1">IFERROR(__xludf.DUMMYFUNCTION("""COMPUTED_VALUE"""),17.48)</f>
        <v>17.48</v>
      </c>
      <c r="C119" s="1">
        <f ca="1">IFERROR(__xludf.DUMMYFUNCTION("""COMPUTED_VALUE"""),17.63)</f>
        <v>17.63</v>
      </c>
      <c r="D119" s="1">
        <f ca="1">IFERROR(__xludf.DUMMYFUNCTION("""COMPUTED_VALUE"""),17.05)</f>
        <v>17.05</v>
      </c>
      <c r="E119" s="1">
        <f ca="1">IFERROR(__xludf.DUMMYFUNCTION("""COMPUTED_VALUE"""),17.32)</f>
        <v>17.32</v>
      </c>
      <c r="F119" s="1">
        <f ca="1">IFERROR(__xludf.DUMMYFUNCTION("""COMPUTED_VALUE"""),4561079)</f>
        <v>4561079</v>
      </c>
    </row>
    <row r="120" spans="1:6" x14ac:dyDescent="0.35">
      <c r="A120" s="2">
        <f ca="1">IFERROR(__xludf.DUMMYFUNCTION("""COMPUTED_VALUE"""),42178.6666666666)</f>
        <v>42178.666666666599</v>
      </c>
      <c r="B120" s="1">
        <f ca="1">IFERROR(__xludf.DUMMYFUNCTION("""COMPUTED_VALUE"""),17.35)</f>
        <v>17.350000000000001</v>
      </c>
      <c r="C120" s="1">
        <f ca="1">IFERROR(__xludf.DUMMYFUNCTION("""COMPUTED_VALUE"""),17.87)</f>
        <v>17.87</v>
      </c>
      <c r="D120" s="1">
        <f ca="1">IFERROR(__xludf.DUMMYFUNCTION("""COMPUTED_VALUE"""),17.24)</f>
        <v>17.239999999999998</v>
      </c>
      <c r="E120" s="1">
        <f ca="1">IFERROR(__xludf.DUMMYFUNCTION("""COMPUTED_VALUE"""),17.84)</f>
        <v>17.84</v>
      </c>
      <c r="F120" s="1">
        <f ca="1">IFERROR(__xludf.DUMMYFUNCTION("""COMPUTED_VALUE"""),3870818)</f>
        <v>3870818</v>
      </c>
    </row>
    <row r="121" spans="1:6" x14ac:dyDescent="0.35">
      <c r="A121" s="2">
        <f ca="1">IFERROR(__xludf.DUMMYFUNCTION("""COMPUTED_VALUE"""),42179.6666666666)</f>
        <v>42179.666666666599</v>
      </c>
      <c r="B121" s="1">
        <f ca="1">IFERROR(__xludf.DUMMYFUNCTION("""COMPUTED_VALUE"""),17.8)</f>
        <v>17.8</v>
      </c>
      <c r="C121" s="1">
        <f ca="1">IFERROR(__xludf.DUMMYFUNCTION("""COMPUTED_VALUE"""),17.82)</f>
        <v>17.82</v>
      </c>
      <c r="D121" s="1">
        <f ca="1">IFERROR(__xludf.DUMMYFUNCTION("""COMPUTED_VALUE"""),17.58)</f>
        <v>17.579999999999998</v>
      </c>
      <c r="E121" s="1">
        <f ca="1">IFERROR(__xludf.DUMMYFUNCTION("""COMPUTED_VALUE"""),17.68)</f>
        <v>17.68</v>
      </c>
      <c r="F121" s="1">
        <f ca="1">IFERROR(__xludf.DUMMYFUNCTION("""COMPUTED_VALUE"""),2412293)</f>
        <v>2412293</v>
      </c>
    </row>
    <row r="122" spans="1:6" x14ac:dyDescent="0.35">
      <c r="A122" s="2">
        <f ca="1">IFERROR(__xludf.DUMMYFUNCTION("""COMPUTED_VALUE"""),42180.6666666666)</f>
        <v>42180.666666666599</v>
      </c>
      <c r="B122" s="1">
        <f ca="1">IFERROR(__xludf.DUMMYFUNCTION("""COMPUTED_VALUE"""),17.77)</f>
        <v>17.77</v>
      </c>
      <c r="C122" s="1">
        <f ca="1">IFERROR(__xludf.DUMMYFUNCTION("""COMPUTED_VALUE"""),18.09)</f>
        <v>18.09</v>
      </c>
      <c r="D122" s="1">
        <f ca="1">IFERROR(__xludf.DUMMYFUNCTION("""COMPUTED_VALUE"""),17.68)</f>
        <v>17.68</v>
      </c>
      <c r="E122" s="1">
        <f ca="1">IFERROR(__xludf.DUMMYFUNCTION("""COMPUTED_VALUE"""),17.92)</f>
        <v>17.920000000000002</v>
      </c>
      <c r="F122" s="1">
        <f ca="1">IFERROR(__xludf.DUMMYFUNCTION("""COMPUTED_VALUE"""),2849204)</f>
        <v>2849204</v>
      </c>
    </row>
    <row r="123" spans="1:6" x14ac:dyDescent="0.35">
      <c r="A123" s="2">
        <f ca="1">IFERROR(__xludf.DUMMYFUNCTION("""COMPUTED_VALUE"""),42181.6666666666)</f>
        <v>42181.666666666599</v>
      </c>
      <c r="B123" s="1">
        <f ca="1">IFERROR(__xludf.DUMMYFUNCTION("""COMPUTED_VALUE"""),17.94)</f>
        <v>17.940000000000001</v>
      </c>
      <c r="C123" s="1">
        <f ca="1">IFERROR(__xludf.DUMMYFUNCTION("""COMPUTED_VALUE"""),17.94)</f>
        <v>17.940000000000001</v>
      </c>
      <c r="D123" s="1">
        <f ca="1">IFERROR(__xludf.DUMMYFUNCTION("""COMPUTED_VALUE"""),17.73)</f>
        <v>17.73</v>
      </c>
      <c r="E123" s="1">
        <f ca="1">IFERROR(__xludf.DUMMYFUNCTION("""COMPUTED_VALUE"""),17.81)</f>
        <v>17.809999999999999</v>
      </c>
      <c r="F123" s="1">
        <f ca="1">IFERROR(__xludf.DUMMYFUNCTION("""COMPUTED_VALUE"""),3838434)</f>
        <v>3838434</v>
      </c>
    </row>
    <row r="124" spans="1:6" x14ac:dyDescent="0.35">
      <c r="A124" s="2">
        <f ca="1">IFERROR(__xludf.DUMMYFUNCTION("""COMPUTED_VALUE"""),42184.6666666666)</f>
        <v>42184.666666666599</v>
      </c>
      <c r="B124" s="1">
        <f ca="1">IFERROR(__xludf.DUMMYFUNCTION("""COMPUTED_VALUE"""),17.46)</f>
        <v>17.46</v>
      </c>
      <c r="C124" s="1">
        <f ca="1">IFERROR(__xludf.DUMMYFUNCTION("""COMPUTED_VALUE"""),17.73)</f>
        <v>17.73</v>
      </c>
      <c r="D124" s="1">
        <f ca="1">IFERROR(__xludf.DUMMYFUNCTION("""COMPUTED_VALUE"""),17.38)</f>
        <v>17.38</v>
      </c>
      <c r="E124" s="1">
        <f ca="1">IFERROR(__xludf.DUMMYFUNCTION("""COMPUTED_VALUE"""),17.47)</f>
        <v>17.47</v>
      </c>
      <c r="F124" s="1">
        <f ca="1">IFERROR(__xludf.DUMMYFUNCTION("""COMPUTED_VALUE"""),3478909)</f>
        <v>3478909</v>
      </c>
    </row>
    <row r="125" spans="1:6" x14ac:dyDescent="0.35">
      <c r="A125" s="2">
        <f ca="1">IFERROR(__xludf.DUMMYFUNCTION("""COMPUTED_VALUE"""),42185.6666666666)</f>
        <v>42185.666666666599</v>
      </c>
      <c r="B125" s="1">
        <f ca="1">IFERROR(__xludf.DUMMYFUNCTION("""COMPUTED_VALUE"""),17.65)</f>
        <v>17.649999999999999</v>
      </c>
      <c r="C125" s="1">
        <f ca="1">IFERROR(__xludf.DUMMYFUNCTION("""COMPUTED_VALUE"""),18.06)</f>
        <v>18.059999999999999</v>
      </c>
      <c r="D125" s="1">
        <f ca="1">IFERROR(__xludf.DUMMYFUNCTION("""COMPUTED_VALUE"""),17.6)</f>
        <v>17.600000000000001</v>
      </c>
      <c r="E125" s="1">
        <f ca="1">IFERROR(__xludf.DUMMYFUNCTION("""COMPUTED_VALUE"""),17.88)</f>
        <v>17.88</v>
      </c>
      <c r="F125" s="1">
        <f ca="1">IFERROR(__xludf.DUMMYFUNCTION("""COMPUTED_VALUE"""),3086935)</f>
        <v>3086935</v>
      </c>
    </row>
    <row r="126" spans="1:6" x14ac:dyDescent="0.35">
      <c r="A126" s="2">
        <f ca="1">IFERROR(__xludf.DUMMYFUNCTION("""COMPUTED_VALUE"""),42186.6666666666)</f>
        <v>42186.666666666599</v>
      </c>
      <c r="B126" s="1">
        <f ca="1">IFERROR(__xludf.DUMMYFUNCTION("""COMPUTED_VALUE"""),18.08)</f>
        <v>18.079999999999998</v>
      </c>
      <c r="C126" s="1">
        <f ca="1">IFERROR(__xludf.DUMMYFUNCTION("""COMPUTED_VALUE"""),18.17)</f>
        <v>18.170000000000002</v>
      </c>
      <c r="D126" s="1">
        <f ca="1">IFERROR(__xludf.DUMMYFUNCTION("""COMPUTED_VALUE"""),17.86)</f>
        <v>17.86</v>
      </c>
      <c r="E126" s="1">
        <f ca="1">IFERROR(__xludf.DUMMYFUNCTION("""COMPUTED_VALUE"""),17.94)</f>
        <v>17.940000000000001</v>
      </c>
      <c r="F126" s="1">
        <f ca="1">IFERROR(__xludf.DUMMYFUNCTION("""COMPUTED_VALUE"""),2101224)</f>
        <v>2101224</v>
      </c>
    </row>
    <row r="127" spans="1:6" x14ac:dyDescent="0.35">
      <c r="A127" s="2">
        <f ca="1">IFERROR(__xludf.DUMMYFUNCTION("""COMPUTED_VALUE"""),42187.6666666666)</f>
        <v>42187.666666666599</v>
      </c>
      <c r="B127" s="1">
        <f ca="1">IFERROR(__xludf.DUMMYFUNCTION("""COMPUTED_VALUE"""),18.68)</f>
        <v>18.68</v>
      </c>
      <c r="C127" s="1">
        <f ca="1">IFERROR(__xludf.DUMMYFUNCTION("""COMPUTED_VALUE"""),18.83)</f>
        <v>18.829999999999998</v>
      </c>
      <c r="D127" s="1">
        <f ca="1">IFERROR(__xludf.DUMMYFUNCTION("""COMPUTED_VALUE"""),18.22)</f>
        <v>18.22</v>
      </c>
      <c r="E127" s="1">
        <f ca="1">IFERROR(__xludf.DUMMYFUNCTION("""COMPUTED_VALUE"""),18.67)</f>
        <v>18.670000000000002</v>
      </c>
      <c r="F127" s="1">
        <f ca="1">IFERROR(__xludf.DUMMYFUNCTION("""COMPUTED_VALUE"""),7163930)</f>
        <v>7163930</v>
      </c>
    </row>
    <row r="128" spans="1:6" x14ac:dyDescent="0.35">
      <c r="A128" s="2">
        <f ca="1">IFERROR(__xludf.DUMMYFUNCTION("""COMPUTED_VALUE"""),42191.6666666666)</f>
        <v>42191.666666666599</v>
      </c>
      <c r="B128" s="1">
        <f ca="1">IFERROR(__xludf.DUMMYFUNCTION("""COMPUTED_VALUE"""),18.59)</f>
        <v>18.59</v>
      </c>
      <c r="C128" s="1">
        <f ca="1">IFERROR(__xludf.DUMMYFUNCTION("""COMPUTED_VALUE"""),18.78)</f>
        <v>18.78</v>
      </c>
      <c r="D128" s="1">
        <f ca="1">IFERROR(__xludf.DUMMYFUNCTION("""COMPUTED_VALUE"""),18.42)</f>
        <v>18.420000000000002</v>
      </c>
      <c r="E128" s="1">
        <f ca="1">IFERROR(__xludf.DUMMYFUNCTION("""COMPUTED_VALUE"""),18.65)</f>
        <v>18.649999999999999</v>
      </c>
      <c r="F128" s="1">
        <f ca="1">IFERROR(__xludf.DUMMYFUNCTION("""COMPUTED_VALUE"""),4121933)</f>
        <v>4121933</v>
      </c>
    </row>
    <row r="129" spans="1:6" x14ac:dyDescent="0.35">
      <c r="A129" s="2">
        <f ca="1">IFERROR(__xludf.DUMMYFUNCTION("""COMPUTED_VALUE"""),42192.6666666666)</f>
        <v>42192.666666666599</v>
      </c>
      <c r="B129" s="1">
        <f ca="1">IFERROR(__xludf.DUMMYFUNCTION("""COMPUTED_VALUE"""),18.33)</f>
        <v>18.329999999999998</v>
      </c>
      <c r="C129" s="1">
        <f ca="1">IFERROR(__xludf.DUMMYFUNCTION("""COMPUTED_VALUE"""),18.35)</f>
        <v>18.350000000000001</v>
      </c>
      <c r="D129" s="1">
        <f ca="1">IFERROR(__xludf.DUMMYFUNCTION("""COMPUTED_VALUE"""),17.38)</f>
        <v>17.38</v>
      </c>
      <c r="E129" s="1">
        <f ca="1">IFERROR(__xludf.DUMMYFUNCTION("""COMPUTED_VALUE"""),17.86)</f>
        <v>17.86</v>
      </c>
      <c r="F129" s="1">
        <f ca="1">IFERROR(__xludf.DUMMYFUNCTION("""COMPUTED_VALUE"""),6105126)</f>
        <v>6105126</v>
      </c>
    </row>
    <row r="130" spans="1:6" x14ac:dyDescent="0.35">
      <c r="A130" s="2">
        <f ca="1">IFERROR(__xludf.DUMMYFUNCTION("""COMPUTED_VALUE"""),42193.6666666666)</f>
        <v>42193.666666666599</v>
      </c>
      <c r="B130" s="1">
        <f ca="1">IFERROR(__xludf.DUMMYFUNCTION("""COMPUTED_VALUE"""),17.29)</f>
        <v>17.29</v>
      </c>
      <c r="C130" s="1">
        <f ca="1">IFERROR(__xludf.DUMMYFUNCTION("""COMPUTED_VALUE"""),17.39)</f>
        <v>17.39</v>
      </c>
      <c r="D130" s="1">
        <f ca="1">IFERROR(__xludf.DUMMYFUNCTION("""COMPUTED_VALUE"""),16.95)</f>
        <v>16.95</v>
      </c>
      <c r="E130" s="1">
        <f ca="1">IFERROR(__xludf.DUMMYFUNCTION("""COMPUTED_VALUE"""),17)</f>
        <v>17</v>
      </c>
      <c r="F130" s="1">
        <f ca="1">IFERROR(__xludf.DUMMYFUNCTION("""COMPUTED_VALUE"""),6221077)</f>
        <v>6221077</v>
      </c>
    </row>
    <row r="131" spans="1:6" x14ac:dyDescent="0.35">
      <c r="A131" s="2">
        <f ca="1">IFERROR(__xludf.DUMMYFUNCTION("""COMPUTED_VALUE"""),42194.6666666666)</f>
        <v>42194.666666666599</v>
      </c>
      <c r="B131" s="1">
        <f ca="1">IFERROR(__xludf.DUMMYFUNCTION("""COMPUTED_VALUE"""),17.27)</f>
        <v>17.27</v>
      </c>
      <c r="C131" s="1">
        <f ca="1">IFERROR(__xludf.DUMMYFUNCTION("""COMPUTED_VALUE"""),17.53)</f>
        <v>17.53</v>
      </c>
      <c r="D131" s="1">
        <f ca="1">IFERROR(__xludf.DUMMYFUNCTION("""COMPUTED_VALUE"""),17.12)</f>
        <v>17.12</v>
      </c>
      <c r="E131" s="1">
        <f ca="1">IFERROR(__xludf.DUMMYFUNCTION("""COMPUTED_VALUE"""),17.19)</f>
        <v>17.190000000000001</v>
      </c>
      <c r="F131" s="1">
        <f ca="1">IFERROR(__xludf.DUMMYFUNCTION("""COMPUTED_VALUE"""),3334077)</f>
        <v>3334077</v>
      </c>
    </row>
    <row r="132" spans="1:6" x14ac:dyDescent="0.35">
      <c r="A132" s="2">
        <f ca="1">IFERROR(__xludf.DUMMYFUNCTION("""COMPUTED_VALUE"""),42195.6666666666)</f>
        <v>42195.666666666599</v>
      </c>
      <c r="B132" s="1">
        <f ca="1">IFERROR(__xludf.DUMMYFUNCTION("""COMPUTED_VALUE"""),17.48)</f>
        <v>17.48</v>
      </c>
      <c r="C132" s="1">
        <f ca="1">IFERROR(__xludf.DUMMYFUNCTION("""COMPUTED_VALUE"""),17.53)</f>
        <v>17.53</v>
      </c>
      <c r="D132" s="1">
        <f ca="1">IFERROR(__xludf.DUMMYFUNCTION("""COMPUTED_VALUE"""),17.19)</f>
        <v>17.190000000000001</v>
      </c>
      <c r="E132" s="1">
        <f ca="1">IFERROR(__xludf.DUMMYFUNCTION("""COMPUTED_VALUE"""),17.28)</f>
        <v>17.28</v>
      </c>
      <c r="F132" s="1">
        <f ca="1">IFERROR(__xludf.DUMMYFUNCTION("""COMPUTED_VALUE"""),2610858)</f>
        <v>2610858</v>
      </c>
    </row>
    <row r="133" spans="1:6" x14ac:dyDescent="0.35">
      <c r="A133" s="2">
        <f ca="1">IFERROR(__xludf.DUMMYFUNCTION("""COMPUTED_VALUE"""),42198.6666666666)</f>
        <v>42198.666666666599</v>
      </c>
      <c r="B133" s="1">
        <f ca="1">IFERROR(__xludf.DUMMYFUNCTION("""COMPUTED_VALUE"""),17.48)</f>
        <v>17.48</v>
      </c>
      <c r="C133" s="1">
        <f ca="1">IFERROR(__xludf.DUMMYFUNCTION("""COMPUTED_VALUE"""),17.5)</f>
        <v>17.5</v>
      </c>
      <c r="D133" s="1">
        <f ca="1">IFERROR(__xludf.DUMMYFUNCTION("""COMPUTED_VALUE"""),17.07)</f>
        <v>17.07</v>
      </c>
      <c r="E133" s="1">
        <f ca="1">IFERROR(__xludf.DUMMYFUNCTION("""COMPUTED_VALUE"""),17.48)</f>
        <v>17.48</v>
      </c>
      <c r="F133" s="1">
        <f ca="1">IFERROR(__xludf.DUMMYFUNCTION("""COMPUTED_VALUE"""),2960319)</f>
        <v>2960319</v>
      </c>
    </row>
    <row r="134" spans="1:6" x14ac:dyDescent="0.35">
      <c r="A134" s="2">
        <f ca="1">IFERROR(__xludf.DUMMYFUNCTION("""COMPUTED_VALUE"""),42199.6666666666)</f>
        <v>42199.666666666599</v>
      </c>
      <c r="B134" s="1">
        <f ca="1">IFERROR(__xludf.DUMMYFUNCTION("""COMPUTED_VALUE"""),17.47)</f>
        <v>17.47</v>
      </c>
      <c r="C134" s="1">
        <f ca="1">IFERROR(__xludf.DUMMYFUNCTION("""COMPUTED_VALUE"""),17.73)</f>
        <v>17.73</v>
      </c>
      <c r="D134" s="1">
        <f ca="1">IFERROR(__xludf.DUMMYFUNCTION("""COMPUTED_VALUE"""),17.37)</f>
        <v>17.37</v>
      </c>
      <c r="E134" s="1">
        <f ca="1">IFERROR(__xludf.DUMMYFUNCTION("""COMPUTED_VALUE"""),17.71)</f>
        <v>17.71</v>
      </c>
      <c r="F134" s="1">
        <f ca="1">IFERROR(__xludf.DUMMYFUNCTION("""COMPUTED_VALUE"""),1907641)</f>
        <v>1907641</v>
      </c>
    </row>
    <row r="135" spans="1:6" x14ac:dyDescent="0.35">
      <c r="A135" s="2">
        <f ca="1">IFERROR(__xludf.DUMMYFUNCTION("""COMPUTED_VALUE"""),42200.6666666666)</f>
        <v>42200.666666666599</v>
      </c>
      <c r="B135" s="1">
        <f ca="1">IFERROR(__xludf.DUMMYFUNCTION("""COMPUTED_VALUE"""),17.78)</f>
        <v>17.78</v>
      </c>
      <c r="C135" s="1">
        <f ca="1">IFERROR(__xludf.DUMMYFUNCTION("""COMPUTED_VALUE"""),17.83)</f>
        <v>17.829999999999998</v>
      </c>
      <c r="D135" s="1">
        <f ca="1">IFERROR(__xludf.DUMMYFUNCTION("""COMPUTED_VALUE"""),17.47)</f>
        <v>17.47</v>
      </c>
      <c r="E135" s="1">
        <f ca="1">IFERROR(__xludf.DUMMYFUNCTION("""COMPUTED_VALUE"""),17.54)</f>
        <v>17.54</v>
      </c>
      <c r="F135" s="1">
        <f ca="1">IFERROR(__xludf.DUMMYFUNCTION("""COMPUTED_VALUE"""),2021621)</f>
        <v>2021621</v>
      </c>
    </row>
    <row r="136" spans="1:6" x14ac:dyDescent="0.35">
      <c r="A136" s="2">
        <f ca="1">IFERROR(__xludf.DUMMYFUNCTION("""COMPUTED_VALUE"""),42201.6666666666)</f>
        <v>42201.666666666599</v>
      </c>
      <c r="B136" s="1">
        <f ca="1">IFERROR(__xludf.DUMMYFUNCTION("""COMPUTED_VALUE"""),17.61)</f>
        <v>17.61</v>
      </c>
      <c r="C136" s="1">
        <f ca="1">IFERROR(__xludf.DUMMYFUNCTION("""COMPUTED_VALUE"""),17.81)</f>
        <v>17.809999999999999</v>
      </c>
      <c r="D136" s="1">
        <f ca="1">IFERROR(__xludf.DUMMYFUNCTION("""COMPUTED_VALUE"""),17.54)</f>
        <v>17.54</v>
      </c>
      <c r="E136" s="1">
        <f ca="1">IFERROR(__xludf.DUMMYFUNCTION("""COMPUTED_VALUE"""),17.78)</f>
        <v>17.78</v>
      </c>
      <c r="F136" s="1">
        <f ca="1">IFERROR(__xludf.DUMMYFUNCTION("""COMPUTED_VALUE"""),1615961)</f>
        <v>1615961</v>
      </c>
    </row>
    <row r="137" spans="1:6" x14ac:dyDescent="0.35">
      <c r="A137" s="2">
        <f ca="1">IFERROR(__xludf.DUMMYFUNCTION("""COMPUTED_VALUE"""),42202.6666666666)</f>
        <v>42202.666666666599</v>
      </c>
      <c r="B137" s="1">
        <f ca="1">IFERROR(__xludf.DUMMYFUNCTION("""COMPUTED_VALUE"""),18.17)</f>
        <v>18.170000000000002</v>
      </c>
      <c r="C137" s="1">
        <f ca="1">IFERROR(__xludf.DUMMYFUNCTION("""COMPUTED_VALUE"""),18.37)</f>
        <v>18.37</v>
      </c>
      <c r="D137" s="1">
        <f ca="1">IFERROR(__xludf.DUMMYFUNCTION("""COMPUTED_VALUE"""),17.88)</f>
        <v>17.88</v>
      </c>
      <c r="E137" s="1">
        <f ca="1">IFERROR(__xludf.DUMMYFUNCTION("""COMPUTED_VALUE"""),18.31)</f>
        <v>18.309999999999999</v>
      </c>
      <c r="F137" s="1">
        <f ca="1">IFERROR(__xludf.DUMMYFUNCTION("""COMPUTED_VALUE"""),5004099)</f>
        <v>5004099</v>
      </c>
    </row>
    <row r="138" spans="1:6" x14ac:dyDescent="0.35">
      <c r="A138" s="2">
        <f ca="1">IFERROR(__xludf.DUMMYFUNCTION("""COMPUTED_VALUE"""),42205.6666666666)</f>
        <v>42205.666666666599</v>
      </c>
      <c r="B138" s="1">
        <f ca="1">IFERROR(__xludf.DUMMYFUNCTION("""COMPUTED_VALUE"""),18.33)</f>
        <v>18.329999999999998</v>
      </c>
      <c r="C138" s="1">
        <f ca="1">IFERROR(__xludf.DUMMYFUNCTION("""COMPUTED_VALUE"""),19.11)</f>
        <v>19.11</v>
      </c>
      <c r="D138" s="1">
        <f ca="1">IFERROR(__xludf.DUMMYFUNCTION("""COMPUTED_VALUE"""),18.17)</f>
        <v>18.170000000000002</v>
      </c>
      <c r="E138" s="1">
        <f ca="1">IFERROR(__xludf.DUMMYFUNCTION("""COMPUTED_VALUE"""),18.82)</f>
        <v>18.82</v>
      </c>
      <c r="F138" s="1">
        <f ca="1">IFERROR(__xludf.DUMMYFUNCTION("""COMPUTED_VALUE"""),4978454)</f>
        <v>4978454</v>
      </c>
    </row>
    <row r="139" spans="1:6" x14ac:dyDescent="0.35">
      <c r="A139" s="2">
        <f ca="1">IFERROR(__xludf.DUMMYFUNCTION("""COMPUTED_VALUE"""),42206.6666666666)</f>
        <v>42206.666666666599</v>
      </c>
      <c r="B139" s="1">
        <f ca="1">IFERROR(__xludf.DUMMYFUNCTION("""COMPUTED_VALUE"""),18)</f>
        <v>18</v>
      </c>
      <c r="C139" s="1">
        <f ca="1">IFERROR(__xludf.DUMMYFUNCTION("""COMPUTED_VALUE"""),18.23)</f>
        <v>18.23</v>
      </c>
      <c r="D139" s="1">
        <f ca="1">IFERROR(__xludf.DUMMYFUNCTION("""COMPUTED_VALUE"""),17.77)</f>
        <v>17.77</v>
      </c>
      <c r="E139" s="1">
        <f ca="1">IFERROR(__xludf.DUMMYFUNCTION("""COMPUTED_VALUE"""),17.78)</f>
        <v>17.78</v>
      </c>
      <c r="F139" s="1">
        <f ca="1">IFERROR(__xludf.DUMMYFUNCTION("""COMPUTED_VALUE"""),6108686)</f>
        <v>6108686</v>
      </c>
    </row>
    <row r="140" spans="1:6" x14ac:dyDescent="0.35">
      <c r="A140" s="2">
        <f ca="1">IFERROR(__xludf.DUMMYFUNCTION("""COMPUTED_VALUE"""),42207.6666666666)</f>
        <v>42207.666666666599</v>
      </c>
      <c r="B140" s="1">
        <f ca="1">IFERROR(__xludf.DUMMYFUNCTION("""COMPUTED_VALUE"""),17.42)</f>
        <v>17.420000000000002</v>
      </c>
      <c r="C140" s="1">
        <f ca="1">IFERROR(__xludf.DUMMYFUNCTION("""COMPUTED_VALUE"""),17.96)</f>
        <v>17.96</v>
      </c>
      <c r="D140" s="1">
        <f ca="1">IFERROR(__xludf.DUMMYFUNCTION("""COMPUTED_VALUE"""),17.39)</f>
        <v>17.39</v>
      </c>
      <c r="E140" s="1">
        <f ca="1">IFERROR(__xludf.DUMMYFUNCTION("""COMPUTED_VALUE"""),17.86)</f>
        <v>17.86</v>
      </c>
      <c r="F140" s="1">
        <f ca="1">IFERROR(__xludf.DUMMYFUNCTION("""COMPUTED_VALUE"""),3104960)</f>
        <v>3104960</v>
      </c>
    </row>
    <row r="141" spans="1:6" x14ac:dyDescent="0.35">
      <c r="A141" s="2">
        <f ca="1">IFERROR(__xludf.DUMMYFUNCTION("""COMPUTED_VALUE"""),42208.6666666666)</f>
        <v>42208.666666666599</v>
      </c>
      <c r="B141" s="1">
        <f ca="1">IFERROR(__xludf.DUMMYFUNCTION("""COMPUTED_VALUE"""),17.98)</f>
        <v>17.98</v>
      </c>
      <c r="C141" s="1">
        <f ca="1">IFERROR(__xludf.DUMMYFUNCTION("""COMPUTED_VALUE"""),17.99)</f>
        <v>17.989999999999998</v>
      </c>
      <c r="D141" s="1">
        <f ca="1">IFERROR(__xludf.DUMMYFUNCTION("""COMPUTED_VALUE"""),17.68)</f>
        <v>17.68</v>
      </c>
      <c r="E141" s="1">
        <f ca="1">IFERROR(__xludf.DUMMYFUNCTION("""COMPUTED_VALUE"""),17.81)</f>
        <v>17.809999999999999</v>
      </c>
      <c r="F141" s="1">
        <f ca="1">IFERROR(__xludf.DUMMYFUNCTION("""COMPUTED_VALUE"""),2227239)</f>
        <v>2227239</v>
      </c>
    </row>
    <row r="142" spans="1:6" x14ac:dyDescent="0.35">
      <c r="A142" s="2">
        <f ca="1">IFERROR(__xludf.DUMMYFUNCTION("""COMPUTED_VALUE"""),42209.6666666666)</f>
        <v>42209.666666666599</v>
      </c>
      <c r="B142" s="1">
        <f ca="1">IFERROR(__xludf.DUMMYFUNCTION("""COMPUTED_VALUE"""),17.83)</f>
        <v>17.829999999999998</v>
      </c>
      <c r="C142" s="1">
        <f ca="1">IFERROR(__xludf.DUMMYFUNCTION("""COMPUTED_VALUE"""),18.07)</f>
        <v>18.07</v>
      </c>
      <c r="D142" s="1">
        <f ca="1">IFERROR(__xludf.DUMMYFUNCTION("""COMPUTED_VALUE"""),17.59)</f>
        <v>17.59</v>
      </c>
      <c r="E142" s="1">
        <f ca="1">IFERROR(__xludf.DUMMYFUNCTION("""COMPUTED_VALUE"""),17.69)</f>
        <v>17.690000000000001</v>
      </c>
      <c r="F142" s="1">
        <f ca="1">IFERROR(__xludf.DUMMYFUNCTION("""COMPUTED_VALUE"""),2836498)</f>
        <v>2836498</v>
      </c>
    </row>
    <row r="143" spans="1:6" x14ac:dyDescent="0.35">
      <c r="A143" s="2">
        <f ca="1">IFERROR(__xludf.DUMMYFUNCTION("""COMPUTED_VALUE"""),42212.6666666666)</f>
        <v>42212.666666666599</v>
      </c>
      <c r="B143" s="1">
        <f ca="1">IFERROR(__xludf.DUMMYFUNCTION("""COMPUTED_VALUE"""),17.5)</f>
        <v>17.5</v>
      </c>
      <c r="C143" s="1">
        <f ca="1">IFERROR(__xludf.DUMMYFUNCTION("""COMPUTED_VALUE"""),17.63)</f>
        <v>17.63</v>
      </c>
      <c r="D143" s="1">
        <f ca="1">IFERROR(__xludf.DUMMYFUNCTION("""COMPUTED_VALUE"""),16.72)</f>
        <v>16.72</v>
      </c>
      <c r="E143" s="1">
        <f ca="1">IFERROR(__xludf.DUMMYFUNCTION("""COMPUTED_VALUE"""),16.87)</f>
        <v>16.87</v>
      </c>
      <c r="F143" s="1">
        <f ca="1">IFERROR(__xludf.DUMMYFUNCTION("""COMPUTED_VALUE"""),4694192)</f>
        <v>4694192</v>
      </c>
    </row>
    <row r="144" spans="1:6" x14ac:dyDescent="0.35">
      <c r="A144" s="2">
        <f ca="1">IFERROR(__xludf.DUMMYFUNCTION("""COMPUTED_VALUE"""),42213.6666666666)</f>
        <v>42213.666666666599</v>
      </c>
      <c r="B144" s="1">
        <f ca="1">IFERROR(__xludf.DUMMYFUNCTION("""COMPUTED_VALUE"""),17.05)</f>
        <v>17.05</v>
      </c>
      <c r="C144" s="1">
        <f ca="1">IFERROR(__xludf.DUMMYFUNCTION("""COMPUTED_VALUE"""),17.69)</f>
        <v>17.690000000000001</v>
      </c>
      <c r="D144" s="1">
        <f ca="1">IFERROR(__xludf.DUMMYFUNCTION("""COMPUTED_VALUE"""),16.79)</f>
        <v>16.79</v>
      </c>
      <c r="E144" s="1">
        <f ca="1">IFERROR(__xludf.DUMMYFUNCTION("""COMPUTED_VALUE"""),17.65)</f>
        <v>17.649999999999999</v>
      </c>
      <c r="F144" s="1">
        <f ca="1">IFERROR(__xludf.DUMMYFUNCTION("""COMPUTED_VALUE"""),3895808)</f>
        <v>3895808</v>
      </c>
    </row>
    <row r="145" spans="1:6" x14ac:dyDescent="0.35">
      <c r="A145" s="2">
        <f ca="1">IFERROR(__xludf.DUMMYFUNCTION("""COMPUTED_VALUE"""),42214.6666666666)</f>
        <v>42214.666666666599</v>
      </c>
      <c r="B145" s="1">
        <f ca="1">IFERROR(__xludf.DUMMYFUNCTION("""COMPUTED_VALUE"""),17.62)</f>
        <v>17.62</v>
      </c>
      <c r="C145" s="1">
        <f ca="1">IFERROR(__xludf.DUMMYFUNCTION("""COMPUTED_VALUE"""),17.86)</f>
        <v>17.86</v>
      </c>
      <c r="D145" s="1">
        <f ca="1">IFERROR(__xludf.DUMMYFUNCTION("""COMPUTED_VALUE"""),17.47)</f>
        <v>17.47</v>
      </c>
      <c r="E145" s="1">
        <f ca="1">IFERROR(__xludf.DUMMYFUNCTION("""COMPUTED_VALUE"""),17.59)</f>
        <v>17.59</v>
      </c>
      <c r="F145" s="1">
        <f ca="1">IFERROR(__xludf.DUMMYFUNCTION("""COMPUTED_VALUE"""),2790095)</f>
        <v>2790095</v>
      </c>
    </row>
    <row r="146" spans="1:6" x14ac:dyDescent="0.35">
      <c r="A146" s="2">
        <f ca="1">IFERROR(__xludf.DUMMYFUNCTION("""COMPUTED_VALUE"""),42215.6666666666)</f>
        <v>42215.666666666599</v>
      </c>
      <c r="B146" s="1">
        <f ca="1">IFERROR(__xludf.DUMMYFUNCTION("""COMPUTED_VALUE"""),17.51)</f>
        <v>17.510000000000002</v>
      </c>
      <c r="C146" s="1">
        <f ca="1">IFERROR(__xludf.DUMMYFUNCTION("""COMPUTED_VALUE"""),17.8)</f>
        <v>17.8</v>
      </c>
      <c r="D146" s="1">
        <f ca="1">IFERROR(__xludf.DUMMYFUNCTION("""COMPUTED_VALUE"""),17.47)</f>
        <v>17.47</v>
      </c>
      <c r="E146" s="1">
        <f ca="1">IFERROR(__xludf.DUMMYFUNCTION("""COMPUTED_VALUE"""),17.79)</f>
        <v>17.79</v>
      </c>
      <c r="F146" s="1">
        <f ca="1">IFERROR(__xludf.DUMMYFUNCTION("""COMPUTED_VALUE"""),2034560)</f>
        <v>2034560</v>
      </c>
    </row>
    <row r="147" spans="1:6" x14ac:dyDescent="0.35">
      <c r="A147" s="2">
        <f ca="1">IFERROR(__xludf.DUMMYFUNCTION("""COMPUTED_VALUE"""),42216.6666666666)</f>
        <v>42216.666666666599</v>
      </c>
      <c r="B147" s="1">
        <f ca="1">IFERROR(__xludf.DUMMYFUNCTION("""COMPUTED_VALUE"""),17.84)</f>
        <v>17.84</v>
      </c>
      <c r="C147" s="1">
        <f ca="1">IFERROR(__xludf.DUMMYFUNCTION("""COMPUTED_VALUE"""),17.96)</f>
        <v>17.96</v>
      </c>
      <c r="D147" s="1">
        <f ca="1">IFERROR(__xludf.DUMMYFUNCTION("""COMPUTED_VALUE"""),17.67)</f>
        <v>17.670000000000002</v>
      </c>
      <c r="E147" s="1">
        <f ca="1">IFERROR(__xludf.DUMMYFUNCTION("""COMPUTED_VALUE"""),17.74)</f>
        <v>17.739999999999998</v>
      </c>
      <c r="F147" s="1">
        <f ca="1">IFERROR(__xludf.DUMMYFUNCTION("""COMPUTED_VALUE"""),2222552)</f>
        <v>2222552</v>
      </c>
    </row>
    <row r="148" spans="1:6" x14ac:dyDescent="0.35">
      <c r="A148" s="2">
        <f ca="1">IFERROR(__xludf.DUMMYFUNCTION("""COMPUTED_VALUE"""),42219.6666666666)</f>
        <v>42219.666666666599</v>
      </c>
      <c r="B148" s="1">
        <f ca="1">IFERROR(__xludf.DUMMYFUNCTION("""COMPUTED_VALUE"""),17.75)</f>
        <v>17.75</v>
      </c>
      <c r="C148" s="1">
        <f ca="1">IFERROR(__xludf.DUMMYFUNCTION("""COMPUTED_VALUE"""),17.78)</f>
        <v>17.78</v>
      </c>
      <c r="D148" s="1">
        <f ca="1">IFERROR(__xludf.DUMMYFUNCTION("""COMPUTED_VALUE"""),17.14)</f>
        <v>17.14</v>
      </c>
      <c r="E148" s="1">
        <f ca="1">IFERROR(__xludf.DUMMYFUNCTION("""COMPUTED_VALUE"""),17.33)</f>
        <v>17.329999999999998</v>
      </c>
      <c r="F148" s="1">
        <f ca="1">IFERROR(__xludf.DUMMYFUNCTION("""COMPUTED_VALUE"""),2553474)</f>
        <v>2553474</v>
      </c>
    </row>
    <row r="149" spans="1:6" x14ac:dyDescent="0.35">
      <c r="A149" s="2">
        <f ca="1">IFERROR(__xludf.DUMMYFUNCTION("""COMPUTED_VALUE"""),42220.6666666666)</f>
        <v>42220.666666666599</v>
      </c>
      <c r="B149" s="1">
        <f ca="1">IFERROR(__xludf.DUMMYFUNCTION("""COMPUTED_VALUE"""),17.33)</f>
        <v>17.329999999999998</v>
      </c>
      <c r="C149" s="1">
        <f ca="1">IFERROR(__xludf.DUMMYFUNCTION("""COMPUTED_VALUE"""),17.78)</f>
        <v>17.78</v>
      </c>
      <c r="D149" s="1">
        <f ca="1">IFERROR(__xludf.DUMMYFUNCTION("""COMPUTED_VALUE"""),17.22)</f>
        <v>17.22</v>
      </c>
      <c r="E149" s="1">
        <f ca="1">IFERROR(__xludf.DUMMYFUNCTION("""COMPUTED_VALUE"""),17.75)</f>
        <v>17.75</v>
      </c>
      <c r="F149" s="1">
        <f ca="1">IFERROR(__xludf.DUMMYFUNCTION("""COMPUTED_VALUE"""),2352530)</f>
        <v>2352530</v>
      </c>
    </row>
    <row r="150" spans="1:6" x14ac:dyDescent="0.35">
      <c r="A150" s="2">
        <f ca="1">IFERROR(__xludf.DUMMYFUNCTION("""COMPUTED_VALUE"""),42221.6666666666)</f>
        <v>42221.666666666599</v>
      </c>
      <c r="B150" s="1">
        <f ca="1">IFERROR(__xludf.DUMMYFUNCTION("""COMPUTED_VALUE"""),17.57)</f>
        <v>17.57</v>
      </c>
      <c r="C150" s="1">
        <f ca="1">IFERROR(__xludf.DUMMYFUNCTION("""COMPUTED_VALUE"""),18.07)</f>
        <v>18.07</v>
      </c>
      <c r="D150" s="1">
        <f ca="1">IFERROR(__xludf.DUMMYFUNCTION("""COMPUTED_VALUE"""),17.36)</f>
        <v>17.36</v>
      </c>
      <c r="E150" s="1">
        <f ca="1">IFERROR(__xludf.DUMMYFUNCTION("""COMPUTED_VALUE"""),18.01)</f>
        <v>18.010000000000002</v>
      </c>
      <c r="F150" s="1">
        <f ca="1">IFERROR(__xludf.DUMMYFUNCTION("""COMPUTED_VALUE"""),6214319)</f>
        <v>6214319</v>
      </c>
    </row>
    <row r="151" spans="1:6" x14ac:dyDescent="0.35">
      <c r="A151" s="2">
        <f ca="1">IFERROR(__xludf.DUMMYFUNCTION("""COMPUTED_VALUE"""),42222.6666666666)</f>
        <v>42222.666666666599</v>
      </c>
      <c r="B151" s="1">
        <f ca="1">IFERROR(__xludf.DUMMYFUNCTION("""COMPUTED_VALUE"""),16.64)</f>
        <v>16.64</v>
      </c>
      <c r="C151" s="1">
        <f ca="1">IFERROR(__xludf.DUMMYFUNCTION("""COMPUTED_VALUE"""),17)</f>
        <v>17</v>
      </c>
      <c r="D151" s="1">
        <f ca="1">IFERROR(__xludf.DUMMYFUNCTION("""COMPUTED_VALUE"""),15.74)</f>
        <v>15.74</v>
      </c>
      <c r="E151" s="1">
        <f ca="1">IFERROR(__xludf.DUMMYFUNCTION("""COMPUTED_VALUE"""),16.41)</f>
        <v>16.41</v>
      </c>
      <c r="F151" s="1">
        <f ca="1">IFERROR(__xludf.DUMMYFUNCTION("""COMPUTED_VALUE"""),14623754)</f>
        <v>14623754</v>
      </c>
    </row>
    <row r="152" spans="1:6" x14ac:dyDescent="0.35">
      <c r="A152" s="2">
        <f ca="1">IFERROR(__xludf.DUMMYFUNCTION("""COMPUTED_VALUE"""),42223.6666666666)</f>
        <v>42223.666666666599</v>
      </c>
      <c r="B152" s="1">
        <f ca="1">IFERROR(__xludf.DUMMYFUNCTION("""COMPUTED_VALUE"""),16.24)</f>
        <v>16.239999999999998</v>
      </c>
      <c r="C152" s="1">
        <f ca="1">IFERROR(__xludf.DUMMYFUNCTION("""COMPUTED_VALUE"""),16.25)</f>
        <v>16.25</v>
      </c>
      <c r="D152" s="1">
        <f ca="1">IFERROR(__xludf.DUMMYFUNCTION("""COMPUTED_VALUE"""),15.89)</f>
        <v>15.89</v>
      </c>
      <c r="E152" s="1">
        <f ca="1">IFERROR(__xludf.DUMMYFUNCTION("""COMPUTED_VALUE"""),16.17)</f>
        <v>16.170000000000002</v>
      </c>
      <c r="F152" s="1">
        <f ca="1">IFERROR(__xludf.DUMMYFUNCTION("""COMPUTED_VALUE"""),5073390)</f>
        <v>5073390</v>
      </c>
    </row>
    <row r="153" spans="1:6" x14ac:dyDescent="0.35">
      <c r="A153" s="2">
        <f ca="1">IFERROR(__xludf.DUMMYFUNCTION("""COMPUTED_VALUE"""),42226.6666666666)</f>
        <v>42226.666666666599</v>
      </c>
      <c r="B153" s="1">
        <f ca="1">IFERROR(__xludf.DUMMYFUNCTION("""COMPUTED_VALUE"""),15.88)</f>
        <v>15.88</v>
      </c>
      <c r="C153" s="1">
        <f ca="1">IFERROR(__xludf.DUMMYFUNCTION("""COMPUTED_VALUE"""),16.2)</f>
        <v>16.2</v>
      </c>
      <c r="D153" s="1">
        <f ca="1">IFERROR(__xludf.DUMMYFUNCTION("""COMPUTED_VALUE"""),15.74)</f>
        <v>15.74</v>
      </c>
      <c r="E153" s="1">
        <f ca="1">IFERROR(__xludf.DUMMYFUNCTION("""COMPUTED_VALUE"""),16.08)</f>
        <v>16.079999999999998</v>
      </c>
      <c r="F153" s="1">
        <f ca="1">IFERROR(__xludf.DUMMYFUNCTION("""COMPUTED_VALUE"""),4185860)</f>
        <v>4185860</v>
      </c>
    </row>
    <row r="154" spans="1:6" x14ac:dyDescent="0.35">
      <c r="A154" s="2">
        <f ca="1">IFERROR(__xludf.DUMMYFUNCTION("""COMPUTED_VALUE"""),42227.6666666666)</f>
        <v>42227.666666666599</v>
      </c>
      <c r="B154" s="1">
        <f ca="1">IFERROR(__xludf.DUMMYFUNCTION("""COMPUTED_VALUE"""),15.81)</f>
        <v>15.81</v>
      </c>
      <c r="C154" s="1">
        <f ca="1">IFERROR(__xludf.DUMMYFUNCTION("""COMPUTED_VALUE"""),15.95)</f>
        <v>15.95</v>
      </c>
      <c r="D154" s="1">
        <f ca="1">IFERROR(__xludf.DUMMYFUNCTION("""COMPUTED_VALUE"""),15.63)</f>
        <v>15.63</v>
      </c>
      <c r="E154" s="1">
        <f ca="1">IFERROR(__xludf.DUMMYFUNCTION("""COMPUTED_VALUE"""),15.82)</f>
        <v>15.82</v>
      </c>
      <c r="F154" s="1">
        <f ca="1">IFERROR(__xludf.DUMMYFUNCTION("""COMPUTED_VALUE"""),4264939)</f>
        <v>4264939</v>
      </c>
    </row>
    <row r="155" spans="1:6" x14ac:dyDescent="0.35">
      <c r="A155" s="2">
        <f ca="1">IFERROR(__xludf.DUMMYFUNCTION("""COMPUTED_VALUE"""),42228.6666666666)</f>
        <v>42228.666666666599</v>
      </c>
      <c r="B155" s="1">
        <f ca="1">IFERROR(__xludf.DUMMYFUNCTION("""COMPUTED_VALUE"""),15.67)</f>
        <v>15.67</v>
      </c>
      <c r="C155" s="1">
        <f ca="1">IFERROR(__xludf.DUMMYFUNCTION("""COMPUTED_VALUE"""),15.98)</f>
        <v>15.98</v>
      </c>
      <c r="D155" s="1">
        <f ca="1">IFERROR(__xludf.DUMMYFUNCTION("""COMPUTED_VALUE"""),15.52)</f>
        <v>15.52</v>
      </c>
      <c r="E155" s="1">
        <f ca="1">IFERROR(__xludf.DUMMYFUNCTION("""COMPUTED_VALUE"""),15.88)</f>
        <v>15.88</v>
      </c>
      <c r="F155" s="1">
        <f ca="1">IFERROR(__xludf.DUMMYFUNCTION("""COMPUTED_VALUE"""),3739157)</f>
        <v>3739157</v>
      </c>
    </row>
    <row r="156" spans="1:6" x14ac:dyDescent="0.35">
      <c r="A156" s="2">
        <f ca="1">IFERROR(__xludf.DUMMYFUNCTION("""COMPUTED_VALUE"""),42229.6666666666)</f>
        <v>42229.666666666599</v>
      </c>
      <c r="B156" s="1">
        <f ca="1">IFERROR(__xludf.DUMMYFUNCTION("""COMPUTED_VALUE"""),15.99)</f>
        <v>15.99</v>
      </c>
      <c r="C156" s="1">
        <f ca="1">IFERROR(__xludf.DUMMYFUNCTION("""COMPUTED_VALUE"""),16.43)</f>
        <v>16.43</v>
      </c>
      <c r="D156" s="1">
        <f ca="1">IFERROR(__xludf.DUMMYFUNCTION("""COMPUTED_VALUE"""),15.94)</f>
        <v>15.94</v>
      </c>
      <c r="E156" s="1">
        <f ca="1">IFERROR(__xludf.DUMMYFUNCTION("""COMPUTED_VALUE"""),16.17)</f>
        <v>16.170000000000002</v>
      </c>
      <c r="F156" s="1">
        <f ca="1">IFERROR(__xludf.DUMMYFUNCTION("""COMPUTED_VALUE"""),4689182)</f>
        <v>4689182</v>
      </c>
    </row>
    <row r="157" spans="1:6" x14ac:dyDescent="0.35">
      <c r="A157" s="2">
        <f ca="1">IFERROR(__xludf.DUMMYFUNCTION("""COMPUTED_VALUE"""),42230.6666666666)</f>
        <v>42230.666666666599</v>
      </c>
      <c r="B157" s="1">
        <f ca="1">IFERROR(__xludf.DUMMYFUNCTION("""COMPUTED_VALUE"""),16.48)</f>
        <v>16.48</v>
      </c>
      <c r="C157" s="1">
        <f ca="1">IFERROR(__xludf.DUMMYFUNCTION("""COMPUTED_VALUE"""),16.53)</f>
        <v>16.53</v>
      </c>
      <c r="D157" s="1">
        <f ca="1">IFERROR(__xludf.DUMMYFUNCTION("""COMPUTED_VALUE"""),16.12)</f>
        <v>16.12</v>
      </c>
      <c r="E157" s="1">
        <f ca="1">IFERROR(__xludf.DUMMYFUNCTION("""COMPUTED_VALUE"""),16.21)</f>
        <v>16.21</v>
      </c>
      <c r="F157" s="1">
        <f ca="1">IFERROR(__xludf.DUMMYFUNCTION("""COMPUTED_VALUE"""),4364810)</f>
        <v>4364810</v>
      </c>
    </row>
    <row r="158" spans="1:6" x14ac:dyDescent="0.35">
      <c r="A158" s="2">
        <f ca="1">IFERROR(__xludf.DUMMYFUNCTION("""COMPUTED_VALUE"""),42233.6666666666)</f>
        <v>42233.666666666599</v>
      </c>
      <c r="B158" s="1">
        <f ca="1">IFERROR(__xludf.DUMMYFUNCTION("""COMPUTED_VALUE"""),17.04)</f>
        <v>17.04</v>
      </c>
      <c r="C158" s="1">
        <f ca="1">IFERROR(__xludf.DUMMYFUNCTION("""COMPUTED_VALUE"""),17.11)</f>
        <v>17.11</v>
      </c>
      <c r="D158" s="1">
        <f ca="1">IFERROR(__xludf.DUMMYFUNCTION("""COMPUTED_VALUE"""),16.7)</f>
        <v>16.7</v>
      </c>
      <c r="E158" s="1">
        <f ca="1">IFERROR(__xludf.DUMMYFUNCTION("""COMPUTED_VALUE"""),17)</f>
        <v>17</v>
      </c>
      <c r="F158" s="1">
        <f ca="1">IFERROR(__xludf.DUMMYFUNCTION("""COMPUTED_VALUE"""),7176690)</f>
        <v>7176690</v>
      </c>
    </row>
    <row r="159" spans="1:6" x14ac:dyDescent="0.35">
      <c r="A159" s="2">
        <f ca="1">IFERROR(__xludf.DUMMYFUNCTION("""COMPUTED_VALUE"""),42234.6666666666)</f>
        <v>42234.666666666599</v>
      </c>
      <c r="B159" s="1">
        <f ca="1">IFERROR(__xludf.DUMMYFUNCTION("""COMPUTED_VALUE"""),17.03)</f>
        <v>17.03</v>
      </c>
      <c r="C159" s="1">
        <f ca="1">IFERROR(__xludf.DUMMYFUNCTION("""COMPUTED_VALUE"""),17.4)</f>
        <v>17.399999999999999</v>
      </c>
      <c r="D159" s="1">
        <f ca="1">IFERROR(__xludf.DUMMYFUNCTION("""COMPUTED_VALUE"""),16.9)</f>
        <v>16.899999999999999</v>
      </c>
      <c r="E159" s="1">
        <f ca="1">IFERROR(__xludf.DUMMYFUNCTION("""COMPUTED_VALUE"""),17.38)</f>
        <v>17.38</v>
      </c>
      <c r="F159" s="1">
        <f ca="1">IFERROR(__xludf.DUMMYFUNCTION("""COMPUTED_VALUE"""),4195035)</f>
        <v>4195035</v>
      </c>
    </row>
    <row r="160" spans="1:6" x14ac:dyDescent="0.35">
      <c r="A160" s="2">
        <f ca="1">IFERROR(__xludf.DUMMYFUNCTION("""COMPUTED_VALUE"""),42235.6666666666)</f>
        <v>42235.666666666599</v>
      </c>
      <c r="B160" s="1">
        <f ca="1">IFERROR(__xludf.DUMMYFUNCTION("""COMPUTED_VALUE"""),17.36)</f>
        <v>17.36</v>
      </c>
      <c r="C160" s="1">
        <f ca="1">IFERROR(__xludf.DUMMYFUNCTION("""COMPUTED_VALUE"""),17.38)</f>
        <v>17.38</v>
      </c>
      <c r="D160" s="1">
        <f ca="1">IFERROR(__xludf.DUMMYFUNCTION("""COMPUTED_VALUE"""),17)</f>
        <v>17</v>
      </c>
      <c r="E160" s="1">
        <f ca="1">IFERROR(__xludf.DUMMYFUNCTION("""COMPUTED_VALUE"""),17.02)</f>
        <v>17.02</v>
      </c>
      <c r="F160" s="1">
        <f ca="1">IFERROR(__xludf.DUMMYFUNCTION("""COMPUTED_VALUE"""),3604282)</f>
        <v>3604282</v>
      </c>
    </row>
    <row r="161" spans="1:6" x14ac:dyDescent="0.35">
      <c r="A161" s="2">
        <f ca="1">IFERROR(__xludf.DUMMYFUNCTION("""COMPUTED_VALUE"""),42236.6666666666)</f>
        <v>42236.666666666599</v>
      </c>
      <c r="B161" s="1">
        <f ca="1">IFERROR(__xludf.DUMMYFUNCTION("""COMPUTED_VALUE"""),16.8)</f>
        <v>16.8</v>
      </c>
      <c r="C161" s="1">
        <f ca="1">IFERROR(__xludf.DUMMYFUNCTION("""COMPUTED_VALUE"""),16.97)</f>
        <v>16.97</v>
      </c>
      <c r="D161" s="1">
        <f ca="1">IFERROR(__xludf.DUMMYFUNCTION("""COMPUTED_VALUE"""),16.13)</f>
        <v>16.13</v>
      </c>
      <c r="E161" s="1">
        <f ca="1">IFERROR(__xludf.DUMMYFUNCTION("""COMPUTED_VALUE"""),16.15)</f>
        <v>16.149999999999999</v>
      </c>
      <c r="F161" s="1">
        <f ca="1">IFERROR(__xludf.DUMMYFUNCTION("""COMPUTED_VALUE"""),4905757)</f>
        <v>4905757</v>
      </c>
    </row>
    <row r="162" spans="1:6" x14ac:dyDescent="0.35">
      <c r="A162" s="2">
        <f ca="1">IFERROR(__xludf.DUMMYFUNCTION("""COMPUTED_VALUE"""),42237.6666666666)</f>
        <v>42237.666666666599</v>
      </c>
      <c r="B162" s="1">
        <f ca="1">IFERROR(__xludf.DUMMYFUNCTION("""COMPUTED_VALUE"""),15.73)</f>
        <v>15.73</v>
      </c>
      <c r="C162" s="1">
        <f ca="1">IFERROR(__xludf.DUMMYFUNCTION("""COMPUTED_VALUE"""),16.25)</f>
        <v>16.25</v>
      </c>
      <c r="D162" s="1">
        <f ca="1">IFERROR(__xludf.DUMMYFUNCTION("""COMPUTED_VALUE"""),15.37)</f>
        <v>15.37</v>
      </c>
      <c r="E162" s="1">
        <f ca="1">IFERROR(__xludf.DUMMYFUNCTION("""COMPUTED_VALUE"""),15.38)</f>
        <v>15.38</v>
      </c>
      <c r="F162" s="1">
        <f ca="1">IFERROR(__xludf.DUMMYFUNCTION("""COMPUTED_VALUE"""),6590234)</f>
        <v>6590234</v>
      </c>
    </row>
    <row r="163" spans="1:6" x14ac:dyDescent="0.35">
      <c r="A163" s="2">
        <f ca="1">IFERROR(__xludf.DUMMYFUNCTION("""COMPUTED_VALUE"""),42240.6666666666)</f>
        <v>42240.666666666599</v>
      </c>
      <c r="B163" s="1">
        <f ca="1">IFERROR(__xludf.DUMMYFUNCTION("""COMPUTED_VALUE"""),13.52)</f>
        <v>13.52</v>
      </c>
      <c r="C163" s="1">
        <f ca="1">IFERROR(__xludf.DUMMYFUNCTION("""COMPUTED_VALUE"""),15.43)</f>
        <v>15.43</v>
      </c>
      <c r="D163" s="1">
        <f ca="1">IFERROR(__xludf.DUMMYFUNCTION("""COMPUTED_VALUE"""),13)</f>
        <v>13</v>
      </c>
      <c r="E163" s="1">
        <f ca="1">IFERROR(__xludf.DUMMYFUNCTION("""COMPUTED_VALUE"""),14.59)</f>
        <v>14.59</v>
      </c>
      <c r="F163" s="1">
        <f ca="1">IFERROR(__xludf.DUMMYFUNCTION("""COMPUTED_VALUE"""),9581585)</f>
        <v>9581585</v>
      </c>
    </row>
    <row r="164" spans="1:6" x14ac:dyDescent="0.35">
      <c r="A164" s="2">
        <f ca="1">IFERROR(__xludf.DUMMYFUNCTION("""COMPUTED_VALUE"""),42241.6666666666)</f>
        <v>42241.666666666599</v>
      </c>
      <c r="B164" s="1">
        <f ca="1">IFERROR(__xludf.DUMMYFUNCTION("""COMPUTED_VALUE"""),15.37)</f>
        <v>15.37</v>
      </c>
      <c r="C164" s="1">
        <f ca="1">IFERROR(__xludf.DUMMYFUNCTION("""COMPUTED_VALUE"""),15.39)</f>
        <v>15.39</v>
      </c>
      <c r="D164" s="1">
        <f ca="1">IFERROR(__xludf.DUMMYFUNCTION("""COMPUTED_VALUE"""),14.61)</f>
        <v>14.61</v>
      </c>
      <c r="E164" s="1">
        <f ca="1">IFERROR(__xludf.DUMMYFUNCTION("""COMPUTED_VALUE"""),14.67)</f>
        <v>14.67</v>
      </c>
      <c r="F164" s="1">
        <f ca="1">IFERROR(__xludf.DUMMYFUNCTION("""COMPUTED_VALUE"""),4327294)</f>
        <v>4327294</v>
      </c>
    </row>
    <row r="165" spans="1:6" x14ac:dyDescent="0.35">
      <c r="A165" s="2">
        <f ca="1">IFERROR(__xludf.DUMMYFUNCTION("""COMPUTED_VALUE"""),42242.6666666666)</f>
        <v>42242.666666666599</v>
      </c>
      <c r="B165" s="1">
        <f ca="1">IFERROR(__xludf.DUMMYFUNCTION("""COMPUTED_VALUE"""),15.2)</f>
        <v>15.2</v>
      </c>
      <c r="C165" s="1">
        <f ca="1">IFERROR(__xludf.DUMMYFUNCTION("""COMPUTED_VALUE"""),15.2)</f>
        <v>15.2</v>
      </c>
      <c r="D165" s="1">
        <f ca="1">IFERROR(__xludf.DUMMYFUNCTION("""COMPUTED_VALUE"""),14.37)</f>
        <v>14.37</v>
      </c>
      <c r="E165" s="1">
        <f ca="1">IFERROR(__xludf.DUMMYFUNCTION("""COMPUTED_VALUE"""),14.99)</f>
        <v>14.99</v>
      </c>
      <c r="F165" s="1">
        <f ca="1">IFERROR(__xludf.DUMMYFUNCTION("""COMPUTED_VALUE"""),4963042)</f>
        <v>4963042</v>
      </c>
    </row>
    <row r="166" spans="1:6" x14ac:dyDescent="0.35">
      <c r="A166" s="2">
        <f ca="1">IFERROR(__xludf.DUMMYFUNCTION("""COMPUTED_VALUE"""),42243.6666666666)</f>
        <v>42243.666666666599</v>
      </c>
      <c r="B166" s="1">
        <f ca="1">IFERROR(__xludf.DUMMYFUNCTION("""COMPUTED_VALUE"""),15.4)</f>
        <v>15.4</v>
      </c>
      <c r="C166" s="1">
        <f ca="1">IFERROR(__xludf.DUMMYFUNCTION("""COMPUTED_VALUE"""),16.32)</f>
        <v>16.32</v>
      </c>
      <c r="D166" s="1">
        <f ca="1">IFERROR(__xludf.DUMMYFUNCTION("""COMPUTED_VALUE"""),15.39)</f>
        <v>15.39</v>
      </c>
      <c r="E166" s="1">
        <f ca="1">IFERROR(__xludf.DUMMYFUNCTION("""COMPUTED_VALUE"""),16.2)</f>
        <v>16.2</v>
      </c>
      <c r="F166" s="1">
        <f ca="1">IFERROR(__xludf.DUMMYFUNCTION("""COMPUTED_VALUE"""),7655959)</f>
        <v>7655959</v>
      </c>
    </row>
    <row r="167" spans="1:6" x14ac:dyDescent="0.35">
      <c r="A167" s="2">
        <f ca="1">IFERROR(__xludf.DUMMYFUNCTION("""COMPUTED_VALUE"""),42244.6666666666)</f>
        <v>42244.666666666599</v>
      </c>
      <c r="B167" s="1">
        <f ca="1">IFERROR(__xludf.DUMMYFUNCTION("""COMPUTED_VALUE"""),16.12)</f>
        <v>16.12</v>
      </c>
      <c r="C167" s="1">
        <f ca="1">IFERROR(__xludf.DUMMYFUNCTION("""COMPUTED_VALUE"""),16.76)</f>
        <v>16.760000000000002</v>
      </c>
      <c r="D167" s="1">
        <f ca="1">IFERROR(__xludf.DUMMYFUNCTION("""COMPUTED_VALUE"""),16.1)</f>
        <v>16.100000000000001</v>
      </c>
      <c r="E167" s="1">
        <f ca="1">IFERROR(__xludf.DUMMYFUNCTION("""COMPUTED_VALUE"""),16.57)</f>
        <v>16.57</v>
      </c>
      <c r="F167" s="1">
        <f ca="1">IFERROR(__xludf.DUMMYFUNCTION("""COMPUTED_VALUE"""),5513673)</f>
        <v>5513673</v>
      </c>
    </row>
    <row r="168" spans="1:6" x14ac:dyDescent="0.35">
      <c r="A168" s="2">
        <f ca="1">IFERROR(__xludf.DUMMYFUNCTION("""COMPUTED_VALUE"""),42247.6666666666)</f>
        <v>42247.666666666599</v>
      </c>
      <c r="B168" s="1">
        <f ca="1">IFERROR(__xludf.DUMMYFUNCTION("""COMPUTED_VALUE"""),16.37)</f>
        <v>16.37</v>
      </c>
      <c r="C168" s="1">
        <f ca="1">IFERROR(__xludf.DUMMYFUNCTION("""COMPUTED_VALUE"""),17)</f>
        <v>17</v>
      </c>
      <c r="D168" s="1">
        <f ca="1">IFERROR(__xludf.DUMMYFUNCTION("""COMPUTED_VALUE"""),16.37)</f>
        <v>16.37</v>
      </c>
      <c r="E168" s="1">
        <f ca="1">IFERROR(__xludf.DUMMYFUNCTION("""COMPUTED_VALUE"""),16.6)</f>
        <v>16.600000000000001</v>
      </c>
      <c r="F168" s="1">
        <f ca="1">IFERROR(__xludf.DUMMYFUNCTION("""COMPUTED_VALUE"""),4700232)</f>
        <v>4700232</v>
      </c>
    </row>
    <row r="169" spans="1:6" x14ac:dyDescent="0.35">
      <c r="A169" s="2">
        <f ca="1">IFERROR(__xludf.DUMMYFUNCTION("""COMPUTED_VALUE"""),42248.6666666666)</f>
        <v>42248.666666666599</v>
      </c>
      <c r="B169" s="1">
        <f ca="1">IFERROR(__xludf.DUMMYFUNCTION("""COMPUTED_VALUE"""),16.02)</f>
        <v>16.02</v>
      </c>
      <c r="C169" s="1">
        <f ca="1">IFERROR(__xludf.DUMMYFUNCTION("""COMPUTED_VALUE"""),16.4)</f>
        <v>16.399999999999999</v>
      </c>
      <c r="D169" s="1">
        <f ca="1">IFERROR(__xludf.DUMMYFUNCTION("""COMPUTED_VALUE"""),15.8)</f>
        <v>15.8</v>
      </c>
      <c r="E169" s="1">
        <f ca="1">IFERROR(__xludf.DUMMYFUNCTION("""COMPUTED_VALUE"""),15.91)</f>
        <v>15.91</v>
      </c>
      <c r="F169" s="1">
        <f ca="1">IFERROR(__xludf.DUMMYFUNCTION("""COMPUTED_VALUE"""),5454765)</f>
        <v>5454765</v>
      </c>
    </row>
    <row r="170" spans="1:6" x14ac:dyDescent="0.35">
      <c r="A170" s="2">
        <f ca="1">IFERROR(__xludf.DUMMYFUNCTION("""COMPUTED_VALUE"""),42249.6666666666)</f>
        <v>42249.666666666599</v>
      </c>
      <c r="B170" s="1">
        <f ca="1">IFERROR(__xludf.DUMMYFUNCTION("""COMPUTED_VALUE"""),16.35)</f>
        <v>16.350000000000001</v>
      </c>
      <c r="C170" s="1">
        <f ca="1">IFERROR(__xludf.DUMMYFUNCTION("""COMPUTED_VALUE"""),16.53)</f>
        <v>16.53</v>
      </c>
      <c r="D170" s="1">
        <f ca="1">IFERROR(__xludf.DUMMYFUNCTION("""COMPUTED_VALUE"""),15.99)</f>
        <v>15.99</v>
      </c>
      <c r="E170" s="1">
        <f ca="1">IFERROR(__xludf.DUMMYFUNCTION("""COMPUTED_VALUE"""),16.51)</f>
        <v>16.510000000000002</v>
      </c>
      <c r="F170" s="1">
        <f ca="1">IFERROR(__xludf.DUMMYFUNCTION("""COMPUTED_VALUE"""),4629174)</f>
        <v>4629174</v>
      </c>
    </row>
    <row r="171" spans="1:6" x14ac:dyDescent="0.35">
      <c r="A171" s="2">
        <f ca="1">IFERROR(__xludf.DUMMYFUNCTION("""COMPUTED_VALUE"""),42250.6666666666)</f>
        <v>42250.666666666599</v>
      </c>
      <c r="B171" s="1">
        <f ca="1">IFERROR(__xludf.DUMMYFUNCTION("""COMPUTED_VALUE"""),16.8)</f>
        <v>16.8</v>
      </c>
      <c r="C171" s="1">
        <f ca="1">IFERROR(__xludf.DUMMYFUNCTION("""COMPUTED_VALUE"""),16.81)</f>
        <v>16.809999999999999</v>
      </c>
      <c r="D171" s="1">
        <f ca="1">IFERROR(__xludf.DUMMYFUNCTION("""COMPUTED_VALUE"""),16.33)</f>
        <v>16.329999999999998</v>
      </c>
      <c r="E171" s="1">
        <f ca="1">IFERROR(__xludf.DUMMYFUNCTION("""COMPUTED_VALUE"""),16.37)</f>
        <v>16.37</v>
      </c>
      <c r="F171" s="1">
        <f ca="1">IFERROR(__xludf.DUMMYFUNCTION("""COMPUTED_VALUE"""),4194772)</f>
        <v>4194772</v>
      </c>
    </row>
    <row r="172" spans="1:6" x14ac:dyDescent="0.35">
      <c r="A172" s="2">
        <f ca="1">IFERROR(__xludf.DUMMYFUNCTION("""COMPUTED_VALUE"""),42251.6666666666)</f>
        <v>42251.666666666599</v>
      </c>
      <c r="B172" s="1">
        <f ca="1">IFERROR(__xludf.DUMMYFUNCTION("""COMPUTED_VALUE"""),16.06)</f>
        <v>16.059999999999999</v>
      </c>
      <c r="C172" s="1">
        <f ca="1">IFERROR(__xludf.DUMMYFUNCTION("""COMPUTED_VALUE"""),16.27)</f>
        <v>16.27</v>
      </c>
      <c r="D172" s="1">
        <f ca="1">IFERROR(__xludf.DUMMYFUNCTION("""COMPUTED_VALUE"""),15.88)</f>
        <v>15.88</v>
      </c>
      <c r="E172" s="1">
        <f ca="1">IFERROR(__xludf.DUMMYFUNCTION("""COMPUTED_VALUE"""),16.13)</f>
        <v>16.13</v>
      </c>
      <c r="F172" s="1">
        <f ca="1">IFERROR(__xludf.DUMMYFUNCTION("""COMPUTED_VALUE"""),3689153)</f>
        <v>3689153</v>
      </c>
    </row>
    <row r="173" spans="1:6" x14ac:dyDescent="0.35">
      <c r="A173" s="2">
        <f ca="1">IFERROR(__xludf.DUMMYFUNCTION("""COMPUTED_VALUE"""),42255.6666666666)</f>
        <v>42255.666666666599</v>
      </c>
      <c r="B173" s="1">
        <f ca="1">IFERROR(__xludf.DUMMYFUNCTION("""COMPUTED_VALUE"""),16.34)</f>
        <v>16.34</v>
      </c>
      <c r="C173" s="1">
        <f ca="1">IFERROR(__xludf.DUMMYFUNCTION("""COMPUTED_VALUE"""),16.61)</f>
        <v>16.61</v>
      </c>
      <c r="D173" s="1">
        <f ca="1">IFERROR(__xludf.DUMMYFUNCTION("""COMPUTED_VALUE"""),16.27)</f>
        <v>16.27</v>
      </c>
      <c r="E173" s="1">
        <f ca="1">IFERROR(__xludf.DUMMYFUNCTION("""COMPUTED_VALUE"""),16.54)</f>
        <v>16.54</v>
      </c>
      <c r="F173" s="1">
        <f ca="1">IFERROR(__xludf.DUMMYFUNCTION("""COMPUTED_VALUE"""),3138231)</f>
        <v>3138231</v>
      </c>
    </row>
    <row r="174" spans="1:6" x14ac:dyDescent="0.35">
      <c r="A174" s="2">
        <f ca="1">IFERROR(__xludf.DUMMYFUNCTION("""COMPUTED_VALUE"""),42256.6666666666)</f>
        <v>42256.666666666599</v>
      </c>
      <c r="B174" s="1">
        <f ca="1">IFERROR(__xludf.DUMMYFUNCTION("""COMPUTED_VALUE"""),16.8)</f>
        <v>16.8</v>
      </c>
      <c r="C174" s="1">
        <f ca="1">IFERROR(__xludf.DUMMYFUNCTION("""COMPUTED_VALUE"""),16.95)</f>
        <v>16.95</v>
      </c>
      <c r="D174" s="1">
        <f ca="1">IFERROR(__xludf.DUMMYFUNCTION("""COMPUTED_VALUE"""),16.55)</f>
        <v>16.55</v>
      </c>
      <c r="E174" s="1">
        <f ca="1">IFERROR(__xludf.DUMMYFUNCTION("""COMPUTED_VALUE"""),16.59)</f>
        <v>16.59</v>
      </c>
      <c r="F174" s="1">
        <f ca="1">IFERROR(__xludf.DUMMYFUNCTION("""COMPUTED_VALUE"""),3390788)</f>
        <v>3390788</v>
      </c>
    </row>
    <row r="175" spans="1:6" x14ac:dyDescent="0.35">
      <c r="A175" s="2">
        <f ca="1">IFERROR(__xludf.DUMMYFUNCTION("""COMPUTED_VALUE"""),42257.6666666666)</f>
        <v>42257.666666666599</v>
      </c>
      <c r="B175" s="1">
        <f ca="1">IFERROR(__xludf.DUMMYFUNCTION("""COMPUTED_VALUE"""),16.48)</f>
        <v>16.48</v>
      </c>
      <c r="C175" s="1">
        <f ca="1">IFERROR(__xludf.DUMMYFUNCTION("""COMPUTED_VALUE"""),16.71)</f>
        <v>16.71</v>
      </c>
      <c r="D175" s="1">
        <f ca="1">IFERROR(__xludf.DUMMYFUNCTION("""COMPUTED_VALUE"""),16.36)</f>
        <v>16.36</v>
      </c>
      <c r="E175" s="1">
        <f ca="1">IFERROR(__xludf.DUMMYFUNCTION("""COMPUTED_VALUE"""),16.57)</f>
        <v>16.57</v>
      </c>
      <c r="F175" s="1">
        <f ca="1">IFERROR(__xludf.DUMMYFUNCTION("""COMPUTED_VALUE"""),2709024)</f>
        <v>2709024</v>
      </c>
    </row>
    <row r="176" spans="1:6" x14ac:dyDescent="0.35">
      <c r="A176" s="2">
        <f ca="1">IFERROR(__xludf.DUMMYFUNCTION("""COMPUTED_VALUE"""),42258.6666666666)</f>
        <v>42258.666666666599</v>
      </c>
      <c r="B176" s="1">
        <f ca="1">IFERROR(__xludf.DUMMYFUNCTION("""COMPUTED_VALUE"""),16.51)</f>
        <v>16.510000000000002</v>
      </c>
      <c r="C176" s="1">
        <f ca="1">IFERROR(__xludf.DUMMYFUNCTION("""COMPUTED_VALUE"""),16.68)</f>
        <v>16.68</v>
      </c>
      <c r="D176" s="1">
        <f ca="1">IFERROR(__xludf.DUMMYFUNCTION("""COMPUTED_VALUE"""),16.32)</f>
        <v>16.32</v>
      </c>
      <c r="E176" s="1">
        <f ca="1">IFERROR(__xludf.DUMMYFUNCTION("""COMPUTED_VALUE"""),16.68)</f>
        <v>16.68</v>
      </c>
      <c r="F176" s="1">
        <f ca="1">IFERROR(__xludf.DUMMYFUNCTION("""COMPUTED_VALUE"""),2350844)</f>
        <v>2350844</v>
      </c>
    </row>
    <row r="177" spans="1:6" x14ac:dyDescent="0.35">
      <c r="A177" s="2">
        <f ca="1">IFERROR(__xludf.DUMMYFUNCTION("""COMPUTED_VALUE"""),42261.6666666666)</f>
        <v>42261.666666666599</v>
      </c>
      <c r="B177" s="1">
        <f ca="1">IFERROR(__xludf.DUMMYFUNCTION("""COMPUTED_VALUE"""),16.74)</f>
        <v>16.739999999999998</v>
      </c>
      <c r="C177" s="1">
        <f ca="1">IFERROR(__xludf.DUMMYFUNCTION("""COMPUTED_VALUE"""),16.95)</f>
        <v>16.95</v>
      </c>
      <c r="D177" s="1">
        <f ca="1">IFERROR(__xludf.DUMMYFUNCTION("""COMPUTED_VALUE"""),16.64)</f>
        <v>16.64</v>
      </c>
      <c r="E177" s="1">
        <f ca="1">IFERROR(__xludf.DUMMYFUNCTION("""COMPUTED_VALUE"""),16.88)</f>
        <v>16.88</v>
      </c>
      <c r="F177" s="1">
        <f ca="1">IFERROR(__xludf.DUMMYFUNCTION("""COMPUTED_VALUE"""),2890851)</f>
        <v>2890851</v>
      </c>
    </row>
    <row r="178" spans="1:6" x14ac:dyDescent="0.35">
      <c r="A178" s="2">
        <f ca="1">IFERROR(__xludf.DUMMYFUNCTION("""COMPUTED_VALUE"""),42262.6666666666)</f>
        <v>42262.666666666599</v>
      </c>
      <c r="B178" s="1">
        <f ca="1">IFERROR(__xludf.DUMMYFUNCTION("""COMPUTED_VALUE"""),16.85)</f>
        <v>16.850000000000001</v>
      </c>
      <c r="C178" s="1">
        <f ca="1">IFERROR(__xludf.DUMMYFUNCTION("""COMPUTED_VALUE"""),16.97)</f>
        <v>16.97</v>
      </c>
      <c r="D178" s="1">
        <f ca="1">IFERROR(__xludf.DUMMYFUNCTION("""COMPUTED_VALUE"""),16.63)</f>
        <v>16.63</v>
      </c>
      <c r="E178" s="1">
        <f ca="1">IFERROR(__xludf.DUMMYFUNCTION("""COMPUTED_VALUE"""),16.9)</f>
        <v>16.899999999999999</v>
      </c>
      <c r="F178" s="1">
        <f ca="1">IFERROR(__xludf.DUMMYFUNCTION("""COMPUTED_VALUE"""),2933466)</f>
        <v>2933466</v>
      </c>
    </row>
    <row r="179" spans="1:6" x14ac:dyDescent="0.35">
      <c r="A179" s="2">
        <f ca="1">IFERROR(__xludf.DUMMYFUNCTION("""COMPUTED_VALUE"""),42263.6666666666)</f>
        <v>42263.666666666599</v>
      </c>
      <c r="B179" s="1">
        <f ca="1">IFERROR(__xludf.DUMMYFUNCTION("""COMPUTED_VALUE"""),16.87)</f>
        <v>16.87</v>
      </c>
      <c r="C179" s="1">
        <f ca="1">IFERROR(__xludf.DUMMYFUNCTION("""COMPUTED_VALUE"""),17.53)</f>
        <v>17.53</v>
      </c>
      <c r="D179" s="1">
        <f ca="1">IFERROR(__xludf.DUMMYFUNCTION("""COMPUTED_VALUE"""),16.86)</f>
        <v>16.86</v>
      </c>
      <c r="E179" s="1">
        <f ca="1">IFERROR(__xludf.DUMMYFUNCTION("""COMPUTED_VALUE"""),17.48)</f>
        <v>17.48</v>
      </c>
      <c r="F179" s="1">
        <f ca="1">IFERROR(__xludf.DUMMYFUNCTION("""COMPUTED_VALUE"""),4417081)</f>
        <v>4417081</v>
      </c>
    </row>
    <row r="180" spans="1:6" x14ac:dyDescent="0.35">
      <c r="A180" s="2">
        <f ca="1">IFERROR(__xludf.DUMMYFUNCTION("""COMPUTED_VALUE"""),42264.6666666666)</f>
        <v>42264.666666666599</v>
      </c>
      <c r="B180" s="1">
        <f ca="1">IFERROR(__xludf.DUMMYFUNCTION("""COMPUTED_VALUE"""),17.6)</f>
        <v>17.600000000000001</v>
      </c>
      <c r="C180" s="1">
        <f ca="1">IFERROR(__xludf.DUMMYFUNCTION("""COMPUTED_VALUE"""),17.7)</f>
        <v>17.7</v>
      </c>
      <c r="D180" s="1">
        <f ca="1">IFERROR(__xludf.DUMMYFUNCTION("""COMPUTED_VALUE"""),17.38)</f>
        <v>17.38</v>
      </c>
      <c r="E180" s="1">
        <f ca="1">IFERROR(__xludf.DUMMYFUNCTION("""COMPUTED_VALUE"""),17.47)</f>
        <v>17.47</v>
      </c>
      <c r="F180" s="1">
        <f ca="1">IFERROR(__xludf.DUMMYFUNCTION("""COMPUTED_VALUE"""),3585812)</f>
        <v>3585812</v>
      </c>
    </row>
    <row r="181" spans="1:6" x14ac:dyDescent="0.35">
      <c r="A181" s="2">
        <f ca="1">IFERROR(__xludf.DUMMYFUNCTION("""COMPUTED_VALUE"""),42265.6666666666)</f>
        <v>42265.666666666599</v>
      </c>
      <c r="B181" s="1">
        <f ca="1">IFERROR(__xludf.DUMMYFUNCTION("""COMPUTED_VALUE"""),17.2)</f>
        <v>17.2</v>
      </c>
      <c r="C181" s="1">
        <f ca="1">IFERROR(__xludf.DUMMYFUNCTION("""COMPUTED_VALUE"""),17.59)</f>
        <v>17.59</v>
      </c>
      <c r="D181" s="1">
        <f ca="1">IFERROR(__xludf.DUMMYFUNCTION("""COMPUTED_VALUE"""),17.17)</f>
        <v>17.170000000000002</v>
      </c>
      <c r="E181" s="1">
        <f ca="1">IFERROR(__xludf.DUMMYFUNCTION("""COMPUTED_VALUE"""),17.37)</f>
        <v>17.37</v>
      </c>
      <c r="F181" s="1">
        <f ca="1">IFERROR(__xludf.DUMMYFUNCTION("""COMPUTED_VALUE"""),3763064)</f>
        <v>3763064</v>
      </c>
    </row>
    <row r="182" spans="1:6" x14ac:dyDescent="0.35">
      <c r="A182" s="2">
        <f ca="1">IFERROR(__xludf.DUMMYFUNCTION("""COMPUTED_VALUE"""),42268.6666666666)</f>
        <v>42268.666666666599</v>
      </c>
      <c r="B182" s="1">
        <f ca="1">IFERROR(__xludf.DUMMYFUNCTION("""COMPUTED_VALUE"""),17.6)</f>
        <v>17.600000000000001</v>
      </c>
      <c r="C182" s="1">
        <f ca="1">IFERROR(__xludf.DUMMYFUNCTION("""COMPUTED_VALUE"""),18.1)</f>
        <v>18.100000000000001</v>
      </c>
      <c r="D182" s="1">
        <f ca="1">IFERROR(__xludf.DUMMYFUNCTION("""COMPUTED_VALUE"""),17.05)</f>
        <v>17.05</v>
      </c>
      <c r="E182" s="1">
        <f ca="1">IFERROR(__xludf.DUMMYFUNCTION("""COMPUTED_VALUE"""),17.61)</f>
        <v>17.61</v>
      </c>
      <c r="F182" s="1">
        <f ca="1">IFERROR(__xludf.DUMMYFUNCTION("""COMPUTED_VALUE"""),6120155)</f>
        <v>6120155</v>
      </c>
    </row>
    <row r="183" spans="1:6" x14ac:dyDescent="0.35">
      <c r="A183" s="2">
        <f ca="1">IFERROR(__xludf.DUMMYFUNCTION("""COMPUTED_VALUE"""),42269.6666666666)</f>
        <v>42269.666666666599</v>
      </c>
      <c r="B183" s="1">
        <f ca="1">IFERROR(__xludf.DUMMYFUNCTION("""COMPUTED_VALUE"""),17.27)</f>
        <v>17.27</v>
      </c>
      <c r="C183" s="1">
        <f ca="1">IFERROR(__xludf.DUMMYFUNCTION("""COMPUTED_VALUE"""),17.51)</f>
        <v>17.510000000000002</v>
      </c>
      <c r="D183" s="1">
        <f ca="1">IFERROR(__xludf.DUMMYFUNCTION("""COMPUTED_VALUE"""),17.06)</f>
        <v>17.059999999999999</v>
      </c>
      <c r="E183" s="1">
        <f ca="1">IFERROR(__xludf.DUMMYFUNCTION("""COMPUTED_VALUE"""),17.4)</f>
        <v>17.399999999999999</v>
      </c>
      <c r="F183" s="1">
        <f ca="1">IFERROR(__xludf.DUMMYFUNCTION("""COMPUTED_VALUE"""),3664353)</f>
        <v>3664353</v>
      </c>
    </row>
    <row r="184" spans="1:6" x14ac:dyDescent="0.35">
      <c r="A184" s="2">
        <f ca="1">IFERROR(__xludf.DUMMYFUNCTION("""COMPUTED_VALUE"""),42270.6666666666)</f>
        <v>42270.666666666599</v>
      </c>
      <c r="B184" s="1">
        <f ca="1">IFERROR(__xludf.DUMMYFUNCTION("""COMPUTED_VALUE"""),17.46)</f>
        <v>17.46</v>
      </c>
      <c r="C184" s="1">
        <f ca="1">IFERROR(__xludf.DUMMYFUNCTION("""COMPUTED_VALUE"""),17.47)</f>
        <v>17.47</v>
      </c>
      <c r="D184" s="1">
        <f ca="1">IFERROR(__xludf.DUMMYFUNCTION("""COMPUTED_VALUE"""),17.17)</f>
        <v>17.170000000000002</v>
      </c>
      <c r="E184" s="1">
        <f ca="1">IFERROR(__xludf.DUMMYFUNCTION("""COMPUTED_VALUE"""),17.4)</f>
        <v>17.399999999999999</v>
      </c>
      <c r="F184" s="1">
        <f ca="1">IFERROR(__xludf.DUMMYFUNCTION("""COMPUTED_VALUE"""),2600778)</f>
        <v>2600778</v>
      </c>
    </row>
    <row r="185" spans="1:6" x14ac:dyDescent="0.35">
      <c r="A185" s="2">
        <f ca="1">IFERROR(__xludf.DUMMYFUNCTION("""COMPUTED_VALUE"""),42271.6666666666)</f>
        <v>42271.666666666599</v>
      </c>
      <c r="B185" s="1">
        <f ca="1">IFERROR(__xludf.DUMMYFUNCTION("""COMPUTED_VALUE"""),17.3)</f>
        <v>17.3</v>
      </c>
      <c r="C185" s="1">
        <f ca="1">IFERROR(__xludf.DUMMYFUNCTION("""COMPUTED_VALUE"""),17.56)</f>
        <v>17.559999999999999</v>
      </c>
      <c r="D185" s="1">
        <f ca="1">IFERROR(__xludf.DUMMYFUNCTION("""COMPUTED_VALUE"""),17.08)</f>
        <v>17.079999999999998</v>
      </c>
      <c r="E185" s="1">
        <f ca="1">IFERROR(__xludf.DUMMYFUNCTION("""COMPUTED_VALUE"""),17.54)</f>
        <v>17.54</v>
      </c>
      <c r="F185" s="1">
        <f ca="1">IFERROR(__xludf.DUMMYFUNCTION("""COMPUTED_VALUE"""),3448191)</f>
        <v>3448191</v>
      </c>
    </row>
    <row r="186" spans="1:6" x14ac:dyDescent="0.35">
      <c r="A186" s="2">
        <f ca="1">IFERROR(__xludf.DUMMYFUNCTION("""COMPUTED_VALUE"""),42272.6666666666)</f>
        <v>42272.666666666599</v>
      </c>
      <c r="B186" s="1">
        <f ca="1">IFERROR(__xludf.DUMMYFUNCTION("""COMPUTED_VALUE"""),17.77)</f>
        <v>17.77</v>
      </c>
      <c r="C186" s="1">
        <f ca="1">IFERROR(__xludf.DUMMYFUNCTION("""COMPUTED_VALUE"""),17.79)</f>
        <v>17.79</v>
      </c>
      <c r="D186" s="1">
        <f ca="1">IFERROR(__xludf.DUMMYFUNCTION("""COMPUTED_VALUE"""),17.08)</f>
        <v>17.079999999999998</v>
      </c>
      <c r="E186" s="1">
        <f ca="1">IFERROR(__xludf.DUMMYFUNCTION("""COMPUTED_VALUE"""),17.13)</f>
        <v>17.13</v>
      </c>
      <c r="F186" s="1">
        <f ca="1">IFERROR(__xludf.DUMMYFUNCTION("""COMPUTED_VALUE"""),3773392)</f>
        <v>3773392</v>
      </c>
    </row>
    <row r="187" spans="1:6" x14ac:dyDescent="0.35">
      <c r="A187" s="2">
        <f ca="1">IFERROR(__xludf.DUMMYFUNCTION("""COMPUTED_VALUE"""),42275.6666666666)</f>
        <v>42275.666666666599</v>
      </c>
      <c r="B187" s="1">
        <f ca="1">IFERROR(__xludf.DUMMYFUNCTION("""COMPUTED_VALUE"""),17.16)</f>
        <v>17.16</v>
      </c>
      <c r="C187" s="1">
        <f ca="1">IFERROR(__xludf.DUMMYFUNCTION("""COMPUTED_VALUE"""),17.32)</f>
        <v>17.32</v>
      </c>
      <c r="D187" s="1">
        <f ca="1">IFERROR(__xludf.DUMMYFUNCTION("""COMPUTED_VALUE"""),16.44)</f>
        <v>16.440000000000001</v>
      </c>
      <c r="E187" s="1">
        <f ca="1">IFERROR(__xludf.DUMMYFUNCTION("""COMPUTED_VALUE"""),16.56)</f>
        <v>16.559999999999999</v>
      </c>
      <c r="F187" s="1">
        <f ca="1">IFERROR(__xludf.DUMMYFUNCTION("""COMPUTED_VALUE"""),4901057)</f>
        <v>4901057</v>
      </c>
    </row>
    <row r="188" spans="1:6" x14ac:dyDescent="0.35">
      <c r="A188" s="2">
        <f ca="1">IFERROR(__xludf.DUMMYFUNCTION("""COMPUTED_VALUE"""),42276.6666666666)</f>
        <v>42276.666666666599</v>
      </c>
      <c r="B188" s="1">
        <f ca="1">IFERROR(__xludf.DUMMYFUNCTION("""COMPUTED_VALUE"""),16.7)</f>
        <v>16.7</v>
      </c>
      <c r="C188" s="1">
        <f ca="1">IFERROR(__xludf.DUMMYFUNCTION("""COMPUTED_VALUE"""),16.98)</f>
        <v>16.98</v>
      </c>
      <c r="D188" s="1">
        <f ca="1">IFERROR(__xludf.DUMMYFUNCTION("""COMPUTED_VALUE"""),16.36)</f>
        <v>16.36</v>
      </c>
      <c r="E188" s="1">
        <f ca="1">IFERROR(__xludf.DUMMYFUNCTION("""COMPUTED_VALUE"""),16.44)</f>
        <v>16.440000000000001</v>
      </c>
      <c r="F188" s="1">
        <f ca="1">IFERROR(__xludf.DUMMYFUNCTION("""COMPUTED_VALUE"""),3703154)</f>
        <v>3703154</v>
      </c>
    </row>
    <row r="189" spans="1:6" x14ac:dyDescent="0.35">
      <c r="A189" s="2">
        <f ca="1">IFERROR(__xludf.DUMMYFUNCTION("""COMPUTED_VALUE"""),42277.6666666666)</f>
        <v>42277.666666666599</v>
      </c>
      <c r="B189" s="1">
        <f ca="1">IFERROR(__xludf.DUMMYFUNCTION("""COMPUTED_VALUE"""),16.8)</f>
        <v>16.8</v>
      </c>
      <c r="C189" s="1">
        <f ca="1">IFERROR(__xludf.DUMMYFUNCTION("""COMPUTED_VALUE"""),16.83)</f>
        <v>16.829999999999998</v>
      </c>
      <c r="D189" s="1">
        <f ca="1">IFERROR(__xludf.DUMMYFUNCTION("""COMPUTED_VALUE"""),16.16)</f>
        <v>16.16</v>
      </c>
      <c r="E189" s="1">
        <f ca="1">IFERROR(__xludf.DUMMYFUNCTION("""COMPUTED_VALUE"""),16.56)</f>
        <v>16.559999999999999</v>
      </c>
      <c r="F189" s="1">
        <f ca="1">IFERROR(__xludf.DUMMYFUNCTION("""COMPUTED_VALUE"""),4929582)</f>
        <v>4929582</v>
      </c>
    </row>
    <row r="190" spans="1:6" x14ac:dyDescent="0.35">
      <c r="A190" s="2">
        <f ca="1">IFERROR(__xludf.DUMMYFUNCTION("""COMPUTED_VALUE"""),42278.6666666666)</f>
        <v>42278.666666666599</v>
      </c>
      <c r="B190" s="1">
        <f ca="1">IFERROR(__xludf.DUMMYFUNCTION("""COMPUTED_VALUE"""),16.5)</f>
        <v>16.5</v>
      </c>
      <c r="C190" s="1">
        <f ca="1">IFERROR(__xludf.DUMMYFUNCTION("""COMPUTED_VALUE"""),16.57)</f>
        <v>16.57</v>
      </c>
      <c r="D190" s="1">
        <f ca="1">IFERROR(__xludf.DUMMYFUNCTION("""COMPUTED_VALUE"""),15.81)</f>
        <v>15.81</v>
      </c>
      <c r="E190" s="1">
        <f ca="1">IFERROR(__xludf.DUMMYFUNCTION("""COMPUTED_VALUE"""),15.99)</f>
        <v>15.99</v>
      </c>
      <c r="F190" s="1">
        <f ca="1">IFERROR(__xludf.DUMMYFUNCTION("""COMPUTED_VALUE"""),4572964)</f>
        <v>4572964</v>
      </c>
    </row>
    <row r="191" spans="1:6" x14ac:dyDescent="0.35">
      <c r="A191" s="2">
        <f ca="1">IFERROR(__xludf.DUMMYFUNCTION("""COMPUTED_VALUE"""),42279.6666666666)</f>
        <v>42279.666666666599</v>
      </c>
      <c r="B191" s="1">
        <f ca="1">IFERROR(__xludf.DUMMYFUNCTION("""COMPUTED_VALUE"""),15.71)</f>
        <v>15.71</v>
      </c>
      <c r="C191" s="1">
        <f ca="1">IFERROR(__xludf.DUMMYFUNCTION("""COMPUTED_VALUE"""),16.51)</f>
        <v>16.510000000000002</v>
      </c>
      <c r="D191" s="1">
        <f ca="1">IFERROR(__xludf.DUMMYFUNCTION("""COMPUTED_VALUE"""),15.66)</f>
        <v>15.66</v>
      </c>
      <c r="E191" s="1">
        <f ca="1">IFERROR(__xludf.DUMMYFUNCTION("""COMPUTED_VALUE"""),16.5)</f>
        <v>16.5</v>
      </c>
      <c r="F191" s="1">
        <f ca="1">IFERROR(__xludf.DUMMYFUNCTION("""COMPUTED_VALUE"""),4423982)</f>
        <v>4423982</v>
      </c>
    </row>
    <row r="192" spans="1:6" x14ac:dyDescent="0.35">
      <c r="A192" s="2">
        <f ca="1">IFERROR(__xludf.DUMMYFUNCTION("""COMPUTED_VALUE"""),42282.6666666666)</f>
        <v>42282.666666666599</v>
      </c>
      <c r="B192" s="1">
        <f ca="1">IFERROR(__xludf.DUMMYFUNCTION("""COMPUTED_VALUE"""),16.59)</f>
        <v>16.59</v>
      </c>
      <c r="C192" s="1">
        <f ca="1">IFERROR(__xludf.DUMMYFUNCTION("""COMPUTED_VALUE"""),16.66)</f>
        <v>16.66</v>
      </c>
      <c r="D192" s="1">
        <f ca="1">IFERROR(__xludf.DUMMYFUNCTION("""COMPUTED_VALUE"""),16.28)</f>
        <v>16.28</v>
      </c>
      <c r="E192" s="1">
        <f ca="1">IFERROR(__xludf.DUMMYFUNCTION("""COMPUTED_VALUE"""),16.41)</f>
        <v>16.41</v>
      </c>
      <c r="F192" s="1">
        <f ca="1">IFERROR(__xludf.DUMMYFUNCTION("""COMPUTED_VALUE"""),3689865)</f>
        <v>3689865</v>
      </c>
    </row>
    <row r="193" spans="1:6" x14ac:dyDescent="0.35">
      <c r="A193" s="2">
        <f ca="1">IFERROR(__xludf.DUMMYFUNCTION("""COMPUTED_VALUE"""),42283.6666666666)</f>
        <v>42283.666666666599</v>
      </c>
      <c r="B193" s="1">
        <f ca="1">IFERROR(__xludf.DUMMYFUNCTION("""COMPUTED_VALUE"""),16)</f>
        <v>16</v>
      </c>
      <c r="C193" s="1">
        <f ca="1">IFERROR(__xludf.DUMMYFUNCTION("""COMPUTED_VALUE"""),16.2)</f>
        <v>16.2</v>
      </c>
      <c r="D193" s="1">
        <f ca="1">IFERROR(__xludf.DUMMYFUNCTION("""COMPUTED_VALUE"""),15.71)</f>
        <v>15.71</v>
      </c>
      <c r="E193" s="1">
        <f ca="1">IFERROR(__xludf.DUMMYFUNCTION("""COMPUTED_VALUE"""),16.1)</f>
        <v>16.100000000000001</v>
      </c>
      <c r="F193" s="1">
        <f ca="1">IFERROR(__xludf.DUMMYFUNCTION("""COMPUTED_VALUE"""),5235897)</f>
        <v>5235897</v>
      </c>
    </row>
    <row r="194" spans="1:6" x14ac:dyDescent="0.35">
      <c r="A194" s="2">
        <f ca="1">IFERROR(__xludf.DUMMYFUNCTION("""COMPUTED_VALUE"""),42284.6666666666)</f>
        <v>42284.666666666599</v>
      </c>
      <c r="B194" s="1">
        <f ca="1">IFERROR(__xludf.DUMMYFUNCTION("""COMPUTED_VALUE"""),15.78)</f>
        <v>15.78</v>
      </c>
      <c r="C194" s="1">
        <f ca="1">IFERROR(__xludf.DUMMYFUNCTION("""COMPUTED_VALUE"""),15.85)</f>
        <v>15.85</v>
      </c>
      <c r="D194" s="1">
        <f ca="1">IFERROR(__xludf.DUMMYFUNCTION("""COMPUTED_VALUE"""),15.27)</f>
        <v>15.27</v>
      </c>
      <c r="E194" s="1">
        <f ca="1">IFERROR(__xludf.DUMMYFUNCTION("""COMPUTED_VALUE"""),15.46)</f>
        <v>15.46</v>
      </c>
      <c r="F194" s="1">
        <f ca="1">IFERROR(__xludf.DUMMYFUNCTION("""COMPUTED_VALUE"""),6813959)</f>
        <v>6813959</v>
      </c>
    </row>
    <row r="195" spans="1:6" x14ac:dyDescent="0.35">
      <c r="A195" s="2">
        <f ca="1">IFERROR(__xludf.DUMMYFUNCTION("""COMPUTED_VALUE"""),42285.6666666666)</f>
        <v>42285.666666666599</v>
      </c>
      <c r="B195" s="1">
        <f ca="1">IFERROR(__xludf.DUMMYFUNCTION("""COMPUTED_VALUE"""),15.34)</f>
        <v>15.34</v>
      </c>
      <c r="C195" s="1">
        <f ca="1">IFERROR(__xludf.DUMMYFUNCTION("""COMPUTED_VALUE"""),15.38)</f>
        <v>15.38</v>
      </c>
      <c r="D195" s="1">
        <f ca="1">IFERROR(__xludf.DUMMYFUNCTION("""COMPUTED_VALUE"""),14.75)</f>
        <v>14.75</v>
      </c>
      <c r="E195" s="1">
        <f ca="1">IFERROR(__xludf.DUMMYFUNCTION("""COMPUTED_VALUE"""),15.11)</f>
        <v>15.11</v>
      </c>
      <c r="F195" s="1">
        <f ca="1">IFERROR(__xludf.DUMMYFUNCTION("""COMPUTED_VALUE"""),6133216)</f>
        <v>6133216</v>
      </c>
    </row>
    <row r="196" spans="1:6" x14ac:dyDescent="0.35">
      <c r="A196" s="2">
        <f ca="1">IFERROR(__xludf.DUMMYFUNCTION("""COMPUTED_VALUE"""),42286.6666666666)</f>
        <v>42286.666666666599</v>
      </c>
      <c r="B196" s="1">
        <f ca="1">IFERROR(__xludf.DUMMYFUNCTION("""COMPUTED_VALUE"""),14.73)</f>
        <v>14.73</v>
      </c>
      <c r="C196" s="1">
        <f ca="1">IFERROR(__xludf.DUMMYFUNCTION("""COMPUTED_VALUE"""),14.96)</f>
        <v>14.96</v>
      </c>
      <c r="D196" s="1">
        <f ca="1">IFERROR(__xludf.DUMMYFUNCTION("""COMPUTED_VALUE"""),14.56)</f>
        <v>14.56</v>
      </c>
      <c r="E196" s="1">
        <f ca="1">IFERROR(__xludf.DUMMYFUNCTION("""COMPUTED_VALUE"""),14.71)</f>
        <v>14.71</v>
      </c>
      <c r="F196" s="1">
        <f ca="1">IFERROR(__xludf.DUMMYFUNCTION("""COMPUTED_VALUE"""),6158370)</f>
        <v>6158370</v>
      </c>
    </row>
    <row r="197" spans="1:6" x14ac:dyDescent="0.35">
      <c r="A197" s="2">
        <f ca="1">IFERROR(__xludf.DUMMYFUNCTION("""COMPUTED_VALUE"""),42289.6666666666)</f>
        <v>42289.666666666599</v>
      </c>
      <c r="B197" s="1">
        <f ca="1">IFERROR(__xludf.DUMMYFUNCTION("""COMPUTED_VALUE"""),14.87)</f>
        <v>14.87</v>
      </c>
      <c r="C197" s="1">
        <f ca="1">IFERROR(__xludf.DUMMYFUNCTION("""COMPUTED_VALUE"""),14.87)</f>
        <v>14.87</v>
      </c>
      <c r="D197" s="1">
        <f ca="1">IFERROR(__xludf.DUMMYFUNCTION("""COMPUTED_VALUE"""),14.35)</f>
        <v>14.35</v>
      </c>
      <c r="E197" s="1">
        <f ca="1">IFERROR(__xludf.DUMMYFUNCTION("""COMPUTED_VALUE"""),14.37)</f>
        <v>14.37</v>
      </c>
      <c r="F197" s="1">
        <f ca="1">IFERROR(__xludf.DUMMYFUNCTION("""COMPUTED_VALUE"""),3836303)</f>
        <v>3836303</v>
      </c>
    </row>
    <row r="198" spans="1:6" x14ac:dyDescent="0.35">
      <c r="A198" s="2">
        <f ca="1">IFERROR(__xludf.DUMMYFUNCTION("""COMPUTED_VALUE"""),42290.6666666666)</f>
        <v>42290.666666666599</v>
      </c>
      <c r="B198" s="1">
        <f ca="1">IFERROR(__xludf.DUMMYFUNCTION("""COMPUTED_VALUE"""),14.22)</f>
        <v>14.22</v>
      </c>
      <c r="C198" s="1">
        <f ca="1">IFERROR(__xludf.DUMMYFUNCTION("""COMPUTED_VALUE"""),14.83)</f>
        <v>14.83</v>
      </c>
      <c r="D198" s="1">
        <f ca="1">IFERROR(__xludf.DUMMYFUNCTION("""COMPUTED_VALUE"""),14.08)</f>
        <v>14.08</v>
      </c>
      <c r="E198" s="1">
        <f ca="1">IFERROR(__xludf.DUMMYFUNCTION("""COMPUTED_VALUE"""),14.62)</f>
        <v>14.62</v>
      </c>
      <c r="F198" s="1">
        <f ca="1">IFERROR(__xludf.DUMMYFUNCTION("""COMPUTED_VALUE"""),5171535)</f>
        <v>5171535</v>
      </c>
    </row>
    <row r="199" spans="1:6" x14ac:dyDescent="0.35">
      <c r="A199" s="2">
        <f ca="1">IFERROR(__xludf.DUMMYFUNCTION("""COMPUTED_VALUE"""),42291.6666666666)</f>
        <v>42291.666666666599</v>
      </c>
      <c r="B199" s="1">
        <f ca="1">IFERROR(__xludf.DUMMYFUNCTION("""COMPUTED_VALUE"""),14.71)</f>
        <v>14.71</v>
      </c>
      <c r="C199" s="1">
        <f ca="1">IFERROR(__xludf.DUMMYFUNCTION("""COMPUTED_VALUE"""),14.73)</f>
        <v>14.73</v>
      </c>
      <c r="D199" s="1">
        <f ca="1">IFERROR(__xludf.DUMMYFUNCTION("""COMPUTED_VALUE"""),14.36)</f>
        <v>14.36</v>
      </c>
      <c r="E199" s="1">
        <f ca="1">IFERROR(__xludf.DUMMYFUNCTION("""COMPUTED_VALUE"""),14.46)</f>
        <v>14.46</v>
      </c>
      <c r="F199" s="1">
        <f ca="1">IFERROR(__xludf.DUMMYFUNCTION("""COMPUTED_VALUE"""),3104446)</f>
        <v>3104446</v>
      </c>
    </row>
    <row r="200" spans="1:6" x14ac:dyDescent="0.35">
      <c r="A200" s="2">
        <f ca="1">IFERROR(__xludf.DUMMYFUNCTION("""COMPUTED_VALUE"""),42292.6666666666)</f>
        <v>42292.666666666599</v>
      </c>
      <c r="B200" s="1">
        <f ca="1">IFERROR(__xludf.DUMMYFUNCTION("""COMPUTED_VALUE"""),14.43)</f>
        <v>14.43</v>
      </c>
      <c r="C200" s="1">
        <f ca="1">IFERROR(__xludf.DUMMYFUNCTION("""COMPUTED_VALUE"""),14.78)</f>
        <v>14.78</v>
      </c>
      <c r="D200" s="1">
        <f ca="1">IFERROR(__xludf.DUMMYFUNCTION("""COMPUTED_VALUE"""),14.25)</f>
        <v>14.25</v>
      </c>
      <c r="E200" s="1">
        <f ca="1">IFERROR(__xludf.DUMMYFUNCTION("""COMPUTED_VALUE"""),14.75)</f>
        <v>14.75</v>
      </c>
      <c r="F200" s="1">
        <f ca="1">IFERROR(__xludf.DUMMYFUNCTION("""COMPUTED_VALUE"""),2844233)</f>
        <v>2844233</v>
      </c>
    </row>
    <row r="201" spans="1:6" x14ac:dyDescent="0.35">
      <c r="A201" s="2">
        <f ca="1">IFERROR(__xludf.DUMMYFUNCTION("""COMPUTED_VALUE"""),42293.6666666666)</f>
        <v>42293.666666666599</v>
      </c>
      <c r="B201" s="1">
        <f ca="1">IFERROR(__xludf.DUMMYFUNCTION("""COMPUTED_VALUE"""),14.87)</f>
        <v>14.87</v>
      </c>
      <c r="C201" s="1">
        <f ca="1">IFERROR(__xludf.DUMMYFUNCTION("""COMPUTED_VALUE"""),15.37)</f>
        <v>15.37</v>
      </c>
      <c r="D201" s="1">
        <f ca="1">IFERROR(__xludf.DUMMYFUNCTION("""COMPUTED_VALUE"""),14.86)</f>
        <v>14.86</v>
      </c>
      <c r="E201" s="1">
        <f ca="1">IFERROR(__xludf.DUMMYFUNCTION("""COMPUTED_VALUE"""),15.13)</f>
        <v>15.13</v>
      </c>
      <c r="F201" s="1">
        <f ca="1">IFERROR(__xludf.DUMMYFUNCTION("""COMPUTED_VALUE"""),4334493)</f>
        <v>4334493</v>
      </c>
    </row>
    <row r="202" spans="1:6" x14ac:dyDescent="0.35">
      <c r="A202" s="2">
        <f ca="1">IFERROR(__xludf.DUMMYFUNCTION("""COMPUTED_VALUE"""),42296.6666666666)</f>
        <v>42296.666666666599</v>
      </c>
      <c r="B202" s="1">
        <f ca="1">IFERROR(__xludf.DUMMYFUNCTION("""COMPUTED_VALUE"""),15.1)</f>
        <v>15.1</v>
      </c>
      <c r="C202" s="1">
        <f ca="1">IFERROR(__xludf.DUMMYFUNCTION("""COMPUTED_VALUE"""),15.41)</f>
        <v>15.41</v>
      </c>
      <c r="D202" s="1">
        <f ca="1">IFERROR(__xludf.DUMMYFUNCTION("""COMPUTED_VALUE"""),15)</f>
        <v>15</v>
      </c>
      <c r="E202" s="1">
        <f ca="1">IFERROR(__xludf.DUMMYFUNCTION("""COMPUTED_VALUE"""),15.21)</f>
        <v>15.21</v>
      </c>
      <c r="F202" s="1">
        <f ca="1">IFERROR(__xludf.DUMMYFUNCTION("""COMPUTED_VALUE"""),2507895)</f>
        <v>2507895</v>
      </c>
    </row>
    <row r="203" spans="1:6" x14ac:dyDescent="0.35">
      <c r="A203" s="2">
        <f ca="1">IFERROR(__xludf.DUMMYFUNCTION("""COMPUTED_VALUE"""),42297.6666666666)</f>
        <v>42297.666666666599</v>
      </c>
      <c r="B203" s="1">
        <f ca="1">IFERROR(__xludf.DUMMYFUNCTION("""COMPUTED_VALUE"""),15.18)</f>
        <v>15.18</v>
      </c>
      <c r="C203" s="1">
        <f ca="1">IFERROR(__xludf.DUMMYFUNCTION("""COMPUTED_VALUE"""),15.24)</f>
        <v>15.24</v>
      </c>
      <c r="D203" s="1">
        <f ca="1">IFERROR(__xludf.DUMMYFUNCTION("""COMPUTED_VALUE"""),13.47)</f>
        <v>13.47</v>
      </c>
      <c r="E203" s="1">
        <f ca="1">IFERROR(__xludf.DUMMYFUNCTION("""COMPUTED_VALUE"""),14.2)</f>
        <v>14.2</v>
      </c>
      <c r="F203" s="1">
        <f ca="1">IFERROR(__xludf.DUMMYFUNCTION("""COMPUTED_VALUE"""),14900047)</f>
        <v>14900047</v>
      </c>
    </row>
    <row r="204" spans="1:6" x14ac:dyDescent="0.35">
      <c r="A204" s="2">
        <f ca="1">IFERROR(__xludf.DUMMYFUNCTION("""COMPUTED_VALUE"""),42298.6666666666)</f>
        <v>42298.666666666599</v>
      </c>
      <c r="B204" s="1">
        <f ca="1">IFERROR(__xludf.DUMMYFUNCTION("""COMPUTED_VALUE"""),14.13)</f>
        <v>14.13</v>
      </c>
      <c r="C204" s="1">
        <f ca="1">IFERROR(__xludf.DUMMYFUNCTION("""COMPUTED_VALUE"""),14.32)</f>
        <v>14.32</v>
      </c>
      <c r="D204" s="1">
        <f ca="1">IFERROR(__xludf.DUMMYFUNCTION("""COMPUTED_VALUE"""),13.92)</f>
        <v>13.92</v>
      </c>
      <c r="E204" s="1">
        <f ca="1">IFERROR(__xludf.DUMMYFUNCTION("""COMPUTED_VALUE"""),14.01)</f>
        <v>14.01</v>
      </c>
      <c r="F204" s="1">
        <f ca="1">IFERROR(__xludf.DUMMYFUNCTION("""COMPUTED_VALUE"""),4183471)</f>
        <v>4183471</v>
      </c>
    </row>
    <row r="205" spans="1:6" x14ac:dyDescent="0.35">
      <c r="A205" s="2">
        <f ca="1">IFERROR(__xludf.DUMMYFUNCTION("""COMPUTED_VALUE"""),42299.6666666666)</f>
        <v>42299.666666666599</v>
      </c>
      <c r="B205" s="1">
        <f ca="1">IFERROR(__xludf.DUMMYFUNCTION("""COMPUTED_VALUE"""),14.1)</f>
        <v>14.1</v>
      </c>
      <c r="C205" s="1">
        <f ca="1">IFERROR(__xludf.DUMMYFUNCTION("""COMPUTED_VALUE"""),14.38)</f>
        <v>14.38</v>
      </c>
      <c r="D205" s="1">
        <f ca="1">IFERROR(__xludf.DUMMYFUNCTION("""COMPUTED_VALUE"""),13.96)</f>
        <v>13.96</v>
      </c>
      <c r="E205" s="1">
        <f ca="1">IFERROR(__xludf.DUMMYFUNCTION("""COMPUTED_VALUE"""),14.11)</f>
        <v>14.11</v>
      </c>
      <c r="F205" s="1">
        <f ca="1">IFERROR(__xludf.DUMMYFUNCTION("""COMPUTED_VALUE"""),2825159)</f>
        <v>2825159</v>
      </c>
    </row>
    <row r="206" spans="1:6" x14ac:dyDescent="0.35">
      <c r="A206" s="2">
        <f ca="1">IFERROR(__xludf.DUMMYFUNCTION("""COMPUTED_VALUE"""),42300.6666666666)</f>
        <v>42300.666666666599</v>
      </c>
      <c r="B206" s="1">
        <f ca="1">IFERROR(__xludf.DUMMYFUNCTION("""COMPUTED_VALUE"""),14.33)</f>
        <v>14.33</v>
      </c>
      <c r="C206" s="1">
        <f ca="1">IFERROR(__xludf.DUMMYFUNCTION("""COMPUTED_VALUE"""),14.36)</f>
        <v>14.36</v>
      </c>
      <c r="D206" s="1">
        <f ca="1">IFERROR(__xludf.DUMMYFUNCTION("""COMPUTED_VALUE"""),13.85)</f>
        <v>13.85</v>
      </c>
      <c r="E206" s="1">
        <f ca="1">IFERROR(__xludf.DUMMYFUNCTION("""COMPUTED_VALUE"""),13.94)</f>
        <v>13.94</v>
      </c>
      <c r="F206" s="1">
        <f ca="1">IFERROR(__xludf.DUMMYFUNCTION("""COMPUTED_VALUE"""),4235462)</f>
        <v>4235462</v>
      </c>
    </row>
    <row r="207" spans="1:6" x14ac:dyDescent="0.35">
      <c r="A207" s="2">
        <f ca="1">IFERROR(__xludf.DUMMYFUNCTION("""COMPUTED_VALUE"""),42303.6666666666)</f>
        <v>42303.666666666599</v>
      </c>
      <c r="B207" s="1">
        <f ca="1">IFERROR(__xludf.DUMMYFUNCTION("""COMPUTED_VALUE"""),14.09)</f>
        <v>14.09</v>
      </c>
      <c r="C207" s="1">
        <f ca="1">IFERROR(__xludf.DUMMYFUNCTION("""COMPUTED_VALUE"""),14.39)</f>
        <v>14.39</v>
      </c>
      <c r="D207" s="1">
        <f ca="1">IFERROR(__xludf.DUMMYFUNCTION("""COMPUTED_VALUE"""),14)</f>
        <v>14</v>
      </c>
      <c r="E207" s="1">
        <f ca="1">IFERROR(__xludf.DUMMYFUNCTION("""COMPUTED_VALUE"""),14.35)</f>
        <v>14.35</v>
      </c>
      <c r="F207" s="1">
        <f ca="1">IFERROR(__xludf.DUMMYFUNCTION("""COMPUTED_VALUE"""),3391438)</f>
        <v>3391438</v>
      </c>
    </row>
    <row r="208" spans="1:6" x14ac:dyDescent="0.35">
      <c r="A208" s="2">
        <f ca="1">IFERROR(__xludf.DUMMYFUNCTION("""COMPUTED_VALUE"""),42304.6666666666)</f>
        <v>42304.666666666599</v>
      </c>
      <c r="B208" s="1">
        <f ca="1">IFERROR(__xludf.DUMMYFUNCTION("""COMPUTED_VALUE"""),14.32)</f>
        <v>14.32</v>
      </c>
      <c r="C208" s="1">
        <f ca="1">IFERROR(__xludf.DUMMYFUNCTION("""COMPUTED_VALUE"""),14.47)</f>
        <v>14.47</v>
      </c>
      <c r="D208" s="1">
        <f ca="1">IFERROR(__xludf.DUMMYFUNCTION("""COMPUTED_VALUE"""),13.83)</f>
        <v>13.83</v>
      </c>
      <c r="E208" s="1">
        <f ca="1">IFERROR(__xludf.DUMMYFUNCTION("""COMPUTED_VALUE"""),14.02)</f>
        <v>14.02</v>
      </c>
      <c r="F208" s="1">
        <f ca="1">IFERROR(__xludf.DUMMYFUNCTION("""COMPUTED_VALUE"""),3519449)</f>
        <v>3519449</v>
      </c>
    </row>
    <row r="209" spans="1:6" x14ac:dyDescent="0.35">
      <c r="A209" s="2">
        <f ca="1">IFERROR(__xludf.DUMMYFUNCTION("""COMPUTED_VALUE"""),42305.6666666666)</f>
        <v>42305.666666666599</v>
      </c>
      <c r="B209" s="1">
        <f ca="1">IFERROR(__xludf.DUMMYFUNCTION("""COMPUTED_VALUE"""),14.09)</f>
        <v>14.09</v>
      </c>
      <c r="C209" s="1">
        <f ca="1">IFERROR(__xludf.DUMMYFUNCTION("""COMPUTED_VALUE"""),14.23)</f>
        <v>14.23</v>
      </c>
      <c r="D209" s="1">
        <f ca="1">IFERROR(__xludf.DUMMYFUNCTION("""COMPUTED_VALUE"""),13.89)</f>
        <v>13.89</v>
      </c>
      <c r="E209" s="1">
        <f ca="1">IFERROR(__xludf.DUMMYFUNCTION("""COMPUTED_VALUE"""),14.2)</f>
        <v>14.2</v>
      </c>
      <c r="F209" s="1">
        <f ca="1">IFERROR(__xludf.DUMMYFUNCTION("""COMPUTED_VALUE"""),2728593)</f>
        <v>2728593</v>
      </c>
    </row>
    <row r="210" spans="1:6" x14ac:dyDescent="0.35">
      <c r="A210" s="2">
        <f ca="1">IFERROR(__xludf.DUMMYFUNCTION("""COMPUTED_VALUE"""),42306.6666666666)</f>
        <v>42306.666666666599</v>
      </c>
      <c r="B210" s="1">
        <f ca="1">IFERROR(__xludf.DUMMYFUNCTION("""COMPUTED_VALUE"""),14.12)</f>
        <v>14.12</v>
      </c>
      <c r="C210" s="1">
        <f ca="1">IFERROR(__xludf.DUMMYFUNCTION("""COMPUTED_VALUE"""),14.25)</f>
        <v>14.25</v>
      </c>
      <c r="D210" s="1">
        <f ca="1">IFERROR(__xludf.DUMMYFUNCTION("""COMPUTED_VALUE"""),14.04)</f>
        <v>14.04</v>
      </c>
      <c r="E210" s="1">
        <f ca="1">IFERROR(__xludf.DUMMYFUNCTION("""COMPUTED_VALUE"""),14.11)</f>
        <v>14.11</v>
      </c>
      <c r="F210" s="1">
        <f ca="1">IFERROR(__xludf.DUMMYFUNCTION("""COMPUTED_VALUE"""),1805032)</f>
        <v>1805032</v>
      </c>
    </row>
    <row r="211" spans="1:6" x14ac:dyDescent="0.35">
      <c r="A211" s="2">
        <f ca="1">IFERROR(__xludf.DUMMYFUNCTION("""COMPUTED_VALUE"""),42307.6666666666)</f>
        <v>42307.666666666599</v>
      </c>
      <c r="B211" s="1">
        <f ca="1">IFERROR(__xludf.DUMMYFUNCTION("""COMPUTED_VALUE"""),14.03)</f>
        <v>14.03</v>
      </c>
      <c r="C211" s="1">
        <f ca="1">IFERROR(__xludf.DUMMYFUNCTION("""COMPUTED_VALUE"""),14.11)</f>
        <v>14.11</v>
      </c>
      <c r="D211" s="1">
        <f ca="1">IFERROR(__xludf.DUMMYFUNCTION("""COMPUTED_VALUE"""),13.59)</f>
        <v>13.59</v>
      </c>
      <c r="E211" s="1">
        <f ca="1">IFERROR(__xludf.DUMMYFUNCTION("""COMPUTED_VALUE"""),13.8)</f>
        <v>13.8</v>
      </c>
      <c r="F211" s="1">
        <f ca="1">IFERROR(__xludf.DUMMYFUNCTION("""COMPUTED_VALUE"""),4438901)</f>
        <v>4438901</v>
      </c>
    </row>
    <row r="212" spans="1:6" x14ac:dyDescent="0.35">
      <c r="A212" s="2">
        <f ca="1">IFERROR(__xludf.DUMMYFUNCTION("""COMPUTED_VALUE"""),42310.6666666666)</f>
        <v>42310.666666666599</v>
      </c>
      <c r="B212" s="1">
        <f ca="1">IFERROR(__xludf.DUMMYFUNCTION("""COMPUTED_VALUE"""),13.93)</f>
        <v>13.93</v>
      </c>
      <c r="C212" s="1">
        <f ca="1">IFERROR(__xludf.DUMMYFUNCTION("""COMPUTED_VALUE"""),14.39)</f>
        <v>14.39</v>
      </c>
      <c r="D212" s="1">
        <f ca="1">IFERROR(__xludf.DUMMYFUNCTION("""COMPUTED_VALUE"""),13.81)</f>
        <v>13.81</v>
      </c>
      <c r="E212" s="1">
        <f ca="1">IFERROR(__xludf.DUMMYFUNCTION("""COMPUTED_VALUE"""),14.25)</f>
        <v>14.25</v>
      </c>
      <c r="F212" s="1">
        <f ca="1">IFERROR(__xludf.DUMMYFUNCTION("""COMPUTED_VALUE"""),3927944)</f>
        <v>3927944</v>
      </c>
    </row>
    <row r="213" spans="1:6" x14ac:dyDescent="0.35">
      <c r="A213" s="2">
        <f ca="1">IFERROR(__xludf.DUMMYFUNCTION("""COMPUTED_VALUE"""),42311.6666666666)</f>
        <v>42311.666666666599</v>
      </c>
      <c r="B213" s="1">
        <f ca="1">IFERROR(__xludf.DUMMYFUNCTION("""COMPUTED_VALUE"""),14.26)</f>
        <v>14.26</v>
      </c>
      <c r="C213" s="1">
        <f ca="1">IFERROR(__xludf.DUMMYFUNCTION("""COMPUTED_VALUE"""),14.3)</f>
        <v>14.3</v>
      </c>
      <c r="D213" s="1">
        <f ca="1">IFERROR(__xludf.DUMMYFUNCTION("""COMPUTED_VALUE"""),13.85)</f>
        <v>13.85</v>
      </c>
      <c r="E213" s="1">
        <f ca="1">IFERROR(__xludf.DUMMYFUNCTION("""COMPUTED_VALUE"""),13.89)</f>
        <v>13.89</v>
      </c>
      <c r="F213" s="1">
        <f ca="1">IFERROR(__xludf.DUMMYFUNCTION("""COMPUTED_VALUE"""),8332486)</f>
        <v>8332486</v>
      </c>
    </row>
    <row r="214" spans="1:6" x14ac:dyDescent="0.35">
      <c r="A214" s="2">
        <f ca="1">IFERROR(__xludf.DUMMYFUNCTION("""COMPUTED_VALUE"""),42312.6666666666)</f>
        <v>42312.666666666599</v>
      </c>
      <c r="B214" s="1">
        <f ca="1">IFERROR(__xludf.DUMMYFUNCTION("""COMPUTED_VALUE"""),15.13)</f>
        <v>15.13</v>
      </c>
      <c r="C214" s="1">
        <f ca="1">IFERROR(__xludf.DUMMYFUNCTION("""COMPUTED_VALUE"""),15.52)</f>
        <v>15.52</v>
      </c>
      <c r="D214" s="1">
        <f ca="1">IFERROR(__xludf.DUMMYFUNCTION("""COMPUTED_VALUE"""),15.01)</f>
        <v>15.01</v>
      </c>
      <c r="E214" s="1">
        <f ca="1">IFERROR(__xludf.DUMMYFUNCTION("""COMPUTED_VALUE"""),15.44)</f>
        <v>15.44</v>
      </c>
      <c r="F214" s="1">
        <f ca="1">IFERROR(__xludf.DUMMYFUNCTION("""COMPUTED_VALUE"""),12726366)</f>
        <v>12726366</v>
      </c>
    </row>
    <row r="215" spans="1:6" x14ac:dyDescent="0.35">
      <c r="A215" s="2">
        <f ca="1">IFERROR(__xludf.DUMMYFUNCTION("""COMPUTED_VALUE"""),42313.6666666666)</f>
        <v>42313.666666666599</v>
      </c>
      <c r="B215" s="1">
        <f ca="1">IFERROR(__xludf.DUMMYFUNCTION("""COMPUTED_VALUE"""),15.37)</f>
        <v>15.37</v>
      </c>
      <c r="C215" s="1">
        <f ca="1">IFERROR(__xludf.DUMMYFUNCTION("""COMPUTED_VALUE"""),15.64)</f>
        <v>15.64</v>
      </c>
      <c r="D215" s="1">
        <f ca="1">IFERROR(__xludf.DUMMYFUNCTION("""COMPUTED_VALUE"""),15.28)</f>
        <v>15.28</v>
      </c>
      <c r="E215" s="1">
        <f ca="1">IFERROR(__xludf.DUMMYFUNCTION("""COMPUTED_VALUE"""),15.45)</f>
        <v>15.45</v>
      </c>
      <c r="F215" s="1">
        <f ca="1">IFERROR(__xludf.DUMMYFUNCTION("""COMPUTED_VALUE"""),4496843)</f>
        <v>4496843</v>
      </c>
    </row>
    <row r="216" spans="1:6" x14ac:dyDescent="0.35">
      <c r="A216" s="2">
        <f ca="1">IFERROR(__xludf.DUMMYFUNCTION("""COMPUTED_VALUE"""),42314.6666666666)</f>
        <v>42314.666666666599</v>
      </c>
      <c r="B216" s="1">
        <f ca="1">IFERROR(__xludf.DUMMYFUNCTION("""COMPUTED_VALUE"""),15.38)</f>
        <v>15.38</v>
      </c>
      <c r="C216" s="1">
        <f ca="1">IFERROR(__xludf.DUMMYFUNCTION("""COMPUTED_VALUE"""),15.56)</f>
        <v>15.56</v>
      </c>
      <c r="D216" s="1">
        <f ca="1">IFERROR(__xludf.DUMMYFUNCTION("""COMPUTED_VALUE"""),15.3)</f>
        <v>15.3</v>
      </c>
      <c r="E216" s="1">
        <f ca="1">IFERROR(__xludf.DUMMYFUNCTION("""COMPUTED_VALUE"""),15.49)</f>
        <v>15.49</v>
      </c>
      <c r="F216" s="1">
        <f ca="1">IFERROR(__xludf.DUMMYFUNCTION("""COMPUTED_VALUE"""),2445293)</f>
        <v>2445293</v>
      </c>
    </row>
    <row r="217" spans="1:6" x14ac:dyDescent="0.35">
      <c r="A217" s="2">
        <f ca="1">IFERROR(__xludf.DUMMYFUNCTION("""COMPUTED_VALUE"""),42317.6666666666)</f>
        <v>42317.666666666599</v>
      </c>
      <c r="B217" s="1">
        <f ca="1">IFERROR(__xludf.DUMMYFUNCTION("""COMPUTED_VALUE"""),15.53)</f>
        <v>15.53</v>
      </c>
      <c r="C217" s="1">
        <f ca="1">IFERROR(__xludf.DUMMYFUNCTION("""COMPUTED_VALUE"""),15.53)</f>
        <v>15.53</v>
      </c>
      <c r="D217" s="1">
        <f ca="1">IFERROR(__xludf.DUMMYFUNCTION("""COMPUTED_VALUE"""),14.95)</f>
        <v>14.95</v>
      </c>
      <c r="E217" s="1">
        <f ca="1">IFERROR(__xludf.DUMMYFUNCTION("""COMPUTED_VALUE"""),15.02)</f>
        <v>15.02</v>
      </c>
      <c r="F217" s="1">
        <f ca="1">IFERROR(__xludf.DUMMYFUNCTION("""COMPUTED_VALUE"""),3850860)</f>
        <v>3850860</v>
      </c>
    </row>
    <row r="218" spans="1:6" x14ac:dyDescent="0.35">
      <c r="A218" s="2">
        <f ca="1">IFERROR(__xludf.DUMMYFUNCTION("""COMPUTED_VALUE"""),42318.6666666666)</f>
        <v>42318.666666666599</v>
      </c>
      <c r="B218" s="1">
        <f ca="1">IFERROR(__xludf.DUMMYFUNCTION("""COMPUTED_VALUE"""),14.9)</f>
        <v>14.9</v>
      </c>
      <c r="C218" s="1">
        <f ca="1">IFERROR(__xludf.DUMMYFUNCTION("""COMPUTED_VALUE"""),14.91)</f>
        <v>14.91</v>
      </c>
      <c r="D218" s="1">
        <f ca="1">IFERROR(__xludf.DUMMYFUNCTION("""COMPUTED_VALUE"""),14.41)</f>
        <v>14.41</v>
      </c>
      <c r="E218" s="1">
        <f ca="1">IFERROR(__xludf.DUMMYFUNCTION("""COMPUTED_VALUE"""),14.43)</f>
        <v>14.43</v>
      </c>
      <c r="F218" s="1">
        <f ca="1">IFERROR(__xludf.DUMMYFUNCTION("""COMPUTED_VALUE"""),4617007)</f>
        <v>4617007</v>
      </c>
    </row>
    <row r="219" spans="1:6" x14ac:dyDescent="0.35">
      <c r="A219" s="2">
        <f ca="1">IFERROR(__xludf.DUMMYFUNCTION("""COMPUTED_VALUE"""),42319.6666666666)</f>
        <v>42319.666666666599</v>
      </c>
      <c r="B219" s="1">
        <f ca="1">IFERROR(__xludf.DUMMYFUNCTION("""COMPUTED_VALUE"""),14.52)</f>
        <v>14.52</v>
      </c>
      <c r="C219" s="1">
        <f ca="1">IFERROR(__xludf.DUMMYFUNCTION("""COMPUTED_VALUE"""),14.63)</f>
        <v>14.63</v>
      </c>
      <c r="D219" s="1">
        <f ca="1">IFERROR(__xludf.DUMMYFUNCTION("""COMPUTED_VALUE"""),14.24)</f>
        <v>14.24</v>
      </c>
      <c r="E219" s="1">
        <f ca="1">IFERROR(__xludf.DUMMYFUNCTION("""COMPUTED_VALUE"""),14.61)</f>
        <v>14.61</v>
      </c>
      <c r="F219" s="1">
        <f ca="1">IFERROR(__xludf.DUMMYFUNCTION("""COMPUTED_VALUE"""),3347806)</f>
        <v>3347806</v>
      </c>
    </row>
    <row r="220" spans="1:6" x14ac:dyDescent="0.35">
      <c r="A220" s="2">
        <f ca="1">IFERROR(__xludf.DUMMYFUNCTION("""COMPUTED_VALUE"""),42320.6666666666)</f>
        <v>42320.666666666599</v>
      </c>
      <c r="B220" s="1">
        <f ca="1">IFERROR(__xludf.DUMMYFUNCTION("""COMPUTED_VALUE"""),14.52)</f>
        <v>14.52</v>
      </c>
      <c r="C220" s="1">
        <f ca="1">IFERROR(__xludf.DUMMYFUNCTION("""COMPUTED_VALUE"""),14.6)</f>
        <v>14.6</v>
      </c>
      <c r="D220" s="1">
        <f ca="1">IFERROR(__xludf.DUMMYFUNCTION("""COMPUTED_VALUE"""),14.18)</f>
        <v>14.18</v>
      </c>
      <c r="E220" s="1">
        <f ca="1">IFERROR(__xludf.DUMMYFUNCTION("""COMPUTED_VALUE"""),14.2)</f>
        <v>14.2</v>
      </c>
      <c r="F220" s="1">
        <f ca="1">IFERROR(__xludf.DUMMYFUNCTION("""COMPUTED_VALUE"""),2915900)</f>
        <v>2915900</v>
      </c>
    </row>
    <row r="221" spans="1:6" x14ac:dyDescent="0.35">
      <c r="A221" s="2">
        <f ca="1">IFERROR(__xludf.DUMMYFUNCTION("""COMPUTED_VALUE"""),42321.6666666666)</f>
        <v>42321.666666666599</v>
      </c>
      <c r="B221" s="1">
        <f ca="1">IFERROR(__xludf.DUMMYFUNCTION("""COMPUTED_VALUE"""),14.2)</f>
        <v>14.2</v>
      </c>
      <c r="C221" s="1">
        <f ca="1">IFERROR(__xludf.DUMMYFUNCTION("""COMPUTED_VALUE"""),14.2)</f>
        <v>14.2</v>
      </c>
      <c r="D221" s="1">
        <f ca="1">IFERROR(__xludf.DUMMYFUNCTION("""COMPUTED_VALUE"""),13.77)</f>
        <v>13.77</v>
      </c>
      <c r="E221" s="1">
        <f ca="1">IFERROR(__xludf.DUMMYFUNCTION("""COMPUTED_VALUE"""),13.81)</f>
        <v>13.81</v>
      </c>
      <c r="F221" s="1">
        <f ca="1">IFERROR(__xludf.DUMMYFUNCTION("""COMPUTED_VALUE"""),3430327)</f>
        <v>3430327</v>
      </c>
    </row>
    <row r="222" spans="1:6" x14ac:dyDescent="0.35">
      <c r="A222" s="2">
        <f ca="1">IFERROR(__xludf.DUMMYFUNCTION("""COMPUTED_VALUE"""),42324.6666666666)</f>
        <v>42324.666666666599</v>
      </c>
      <c r="B222" s="1">
        <f ca="1">IFERROR(__xludf.DUMMYFUNCTION("""COMPUTED_VALUE"""),13.74)</f>
        <v>13.74</v>
      </c>
      <c r="C222" s="1">
        <f ca="1">IFERROR(__xludf.DUMMYFUNCTION("""COMPUTED_VALUE"""),14.33)</f>
        <v>14.33</v>
      </c>
      <c r="D222" s="1">
        <f ca="1">IFERROR(__xludf.DUMMYFUNCTION("""COMPUTED_VALUE"""),13.72)</f>
        <v>13.72</v>
      </c>
      <c r="E222" s="1">
        <f ca="1">IFERROR(__xludf.DUMMYFUNCTION("""COMPUTED_VALUE"""),14.29)</f>
        <v>14.29</v>
      </c>
      <c r="F222" s="1">
        <f ca="1">IFERROR(__xludf.DUMMYFUNCTION("""COMPUTED_VALUE"""),2925395)</f>
        <v>2925395</v>
      </c>
    </row>
    <row r="223" spans="1:6" x14ac:dyDescent="0.35">
      <c r="A223" s="2">
        <f ca="1">IFERROR(__xludf.DUMMYFUNCTION("""COMPUTED_VALUE"""),42325.6666666666)</f>
        <v>42325.666666666599</v>
      </c>
      <c r="B223" s="1">
        <f ca="1">IFERROR(__xludf.DUMMYFUNCTION("""COMPUTED_VALUE"""),14.35)</f>
        <v>14.35</v>
      </c>
      <c r="C223" s="1">
        <f ca="1">IFERROR(__xludf.DUMMYFUNCTION("""COMPUTED_VALUE"""),14.4)</f>
        <v>14.4</v>
      </c>
      <c r="D223" s="1">
        <f ca="1">IFERROR(__xludf.DUMMYFUNCTION("""COMPUTED_VALUE"""),14.09)</f>
        <v>14.09</v>
      </c>
      <c r="E223" s="1">
        <f ca="1">IFERROR(__xludf.DUMMYFUNCTION("""COMPUTED_VALUE"""),14.27)</f>
        <v>14.27</v>
      </c>
      <c r="F223" s="1">
        <f ca="1">IFERROR(__xludf.DUMMYFUNCTION("""COMPUTED_VALUE"""),2148679)</f>
        <v>2148679</v>
      </c>
    </row>
    <row r="224" spans="1:6" x14ac:dyDescent="0.35">
      <c r="A224" s="2">
        <f ca="1">IFERROR(__xludf.DUMMYFUNCTION("""COMPUTED_VALUE"""),42326.6666666666)</f>
        <v>42326.666666666599</v>
      </c>
      <c r="B224" s="1">
        <f ca="1">IFERROR(__xludf.DUMMYFUNCTION("""COMPUTED_VALUE"""),14.3)</f>
        <v>14.3</v>
      </c>
      <c r="C224" s="1">
        <f ca="1">IFERROR(__xludf.DUMMYFUNCTION("""COMPUTED_VALUE"""),14.76)</f>
        <v>14.76</v>
      </c>
      <c r="D224" s="1">
        <f ca="1">IFERROR(__xludf.DUMMYFUNCTION("""COMPUTED_VALUE"""),14.17)</f>
        <v>14.17</v>
      </c>
      <c r="E224" s="1">
        <f ca="1">IFERROR(__xludf.DUMMYFUNCTION("""COMPUTED_VALUE"""),14.74)</f>
        <v>14.74</v>
      </c>
      <c r="F224" s="1">
        <f ca="1">IFERROR(__xludf.DUMMYFUNCTION("""COMPUTED_VALUE"""),2811900)</f>
        <v>2811900</v>
      </c>
    </row>
    <row r="225" spans="1:6" x14ac:dyDescent="0.35">
      <c r="A225" s="2">
        <f ca="1">IFERROR(__xludf.DUMMYFUNCTION("""COMPUTED_VALUE"""),42327.6666666666)</f>
        <v>42327.666666666599</v>
      </c>
      <c r="B225" s="1">
        <f ca="1">IFERROR(__xludf.DUMMYFUNCTION("""COMPUTED_VALUE"""),14.7)</f>
        <v>14.7</v>
      </c>
      <c r="C225" s="1">
        <f ca="1">IFERROR(__xludf.DUMMYFUNCTION("""COMPUTED_VALUE"""),15.08)</f>
        <v>15.08</v>
      </c>
      <c r="D225" s="1">
        <f ca="1">IFERROR(__xludf.DUMMYFUNCTION("""COMPUTED_VALUE"""),14.69)</f>
        <v>14.69</v>
      </c>
      <c r="E225" s="1">
        <f ca="1">IFERROR(__xludf.DUMMYFUNCTION("""COMPUTED_VALUE"""),14.79)</f>
        <v>14.79</v>
      </c>
      <c r="F225" s="1">
        <f ca="1">IFERROR(__xludf.DUMMYFUNCTION("""COMPUTED_VALUE"""),2504375)</f>
        <v>2504375</v>
      </c>
    </row>
    <row r="226" spans="1:6" x14ac:dyDescent="0.35">
      <c r="A226" s="2">
        <f ca="1">IFERROR(__xludf.DUMMYFUNCTION("""COMPUTED_VALUE"""),42328.6666666666)</f>
        <v>42328.666666666599</v>
      </c>
      <c r="B226" s="1">
        <f ca="1">IFERROR(__xludf.DUMMYFUNCTION("""COMPUTED_VALUE"""),14.9)</f>
        <v>14.9</v>
      </c>
      <c r="C226" s="1">
        <f ca="1">IFERROR(__xludf.DUMMYFUNCTION("""COMPUTED_VALUE"""),15)</f>
        <v>15</v>
      </c>
      <c r="D226" s="1">
        <f ca="1">IFERROR(__xludf.DUMMYFUNCTION("""COMPUTED_VALUE"""),14.24)</f>
        <v>14.24</v>
      </c>
      <c r="E226" s="1">
        <f ca="1">IFERROR(__xludf.DUMMYFUNCTION("""COMPUTED_VALUE"""),14.67)</f>
        <v>14.67</v>
      </c>
      <c r="F226" s="1">
        <f ca="1">IFERROR(__xludf.DUMMYFUNCTION("""COMPUTED_VALUE"""),4400722)</f>
        <v>4400722</v>
      </c>
    </row>
    <row r="227" spans="1:6" x14ac:dyDescent="0.35">
      <c r="A227" s="2">
        <f ca="1">IFERROR(__xludf.DUMMYFUNCTION("""COMPUTED_VALUE"""),42331.6666666666)</f>
        <v>42331.666666666599</v>
      </c>
      <c r="B227" s="1">
        <f ca="1">IFERROR(__xludf.DUMMYFUNCTION("""COMPUTED_VALUE"""),14.49)</f>
        <v>14.49</v>
      </c>
      <c r="C227" s="1">
        <f ca="1">IFERROR(__xludf.DUMMYFUNCTION("""COMPUTED_VALUE"""),14.61)</f>
        <v>14.61</v>
      </c>
      <c r="D227" s="1">
        <f ca="1">IFERROR(__xludf.DUMMYFUNCTION("""COMPUTED_VALUE"""),14.31)</f>
        <v>14.31</v>
      </c>
      <c r="E227" s="1">
        <f ca="1">IFERROR(__xludf.DUMMYFUNCTION("""COMPUTED_VALUE"""),14.52)</f>
        <v>14.52</v>
      </c>
      <c r="F227" s="1">
        <f ca="1">IFERROR(__xludf.DUMMYFUNCTION("""COMPUTED_VALUE"""),2526199)</f>
        <v>2526199</v>
      </c>
    </row>
    <row r="228" spans="1:6" x14ac:dyDescent="0.35">
      <c r="A228" s="2">
        <f ca="1">IFERROR(__xludf.DUMMYFUNCTION("""COMPUTED_VALUE"""),42332.6666666666)</f>
        <v>42332.666666666599</v>
      </c>
      <c r="B228" s="1">
        <f ca="1">IFERROR(__xludf.DUMMYFUNCTION("""COMPUTED_VALUE"""),14.36)</f>
        <v>14.36</v>
      </c>
      <c r="C228" s="1">
        <f ca="1">IFERROR(__xludf.DUMMYFUNCTION("""COMPUTED_VALUE"""),14.73)</f>
        <v>14.73</v>
      </c>
      <c r="D228" s="1">
        <f ca="1">IFERROR(__xludf.DUMMYFUNCTION("""COMPUTED_VALUE"""),14.33)</f>
        <v>14.33</v>
      </c>
      <c r="E228" s="1">
        <f ca="1">IFERROR(__xludf.DUMMYFUNCTION("""COMPUTED_VALUE"""),14.55)</f>
        <v>14.55</v>
      </c>
      <c r="F228" s="1">
        <f ca="1">IFERROR(__xludf.DUMMYFUNCTION("""COMPUTED_VALUE"""),2480293)</f>
        <v>2480293</v>
      </c>
    </row>
    <row r="229" spans="1:6" x14ac:dyDescent="0.35">
      <c r="A229" s="2">
        <f ca="1">IFERROR(__xludf.DUMMYFUNCTION("""COMPUTED_VALUE"""),42333.6666666666)</f>
        <v>42333.666666666599</v>
      </c>
      <c r="B229" s="1">
        <f ca="1">IFERROR(__xludf.DUMMYFUNCTION("""COMPUTED_VALUE"""),14.76)</f>
        <v>14.76</v>
      </c>
      <c r="C229" s="1">
        <f ca="1">IFERROR(__xludf.DUMMYFUNCTION("""COMPUTED_VALUE"""),15.39)</f>
        <v>15.39</v>
      </c>
      <c r="D229" s="1">
        <f ca="1">IFERROR(__xludf.DUMMYFUNCTION("""COMPUTED_VALUE"""),14.69)</f>
        <v>14.69</v>
      </c>
      <c r="E229" s="1">
        <f ca="1">IFERROR(__xludf.DUMMYFUNCTION("""COMPUTED_VALUE"""),15.31)</f>
        <v>15.31</v>
      </c>
      <c r="F229" s="1">
        <f ca="1">IFERROR(__xludf.DUMMYFUNCTION("""COMPUTED_VALUE"""),3990779)</f>
        <v>3990779</v>
      </c>
    </row>
    <row r="230" spans="1:6" x14ac:dyDescent="0.35">
      <c r="A230" s="2">
        <f ca="1">IFERROR(__xludf.DUMMYFUNCTION("""COMPUTED_VALUE"""),42335.6666666666)</f>
        <v>42335.666666666599</v>
      </c>
      <c r="B230" s="1">
        <f ca="1">IFERROR(__xludf.DUMMYFUNCTION("""COMPUTED_VALUE"""),15.4)</f>
        <v>15.4</v>
      </c>
      <c r="C230" s="1">
        <f ca="1">IFERROR(__xludf.DUMMYFUNCTION("""COMPUTED_VALUE"""),15.48)</f>
        <v>15.48</v>
      </c>
      <c r="D230" s="1">
        <f ca="1">IFERROR(__xludf.DUMMYFUNCTION("""COMPUTED_VALUE"""),15.13)</f>
        <v>15.13</v>
      </c>
      <c r="E230" s="1">
        <f ca="1">IFERROR(__xludf.DUMMYFUNCTION("""COMPUTED_VALUE"""),15.44)</f>
        <v>15.44</v>
      </c>
      <c r="F230" s="1">
        <f ca="1">IFERROR(__xludf.DUMMYFUNCTION("""COMPUTED_VALUE"""),1949353)</f>
        <v>1949353</v>
      </c>
    </row>
    <row r="231" spans="1:6" x14ac:dyDescent="0.35">
      <c r="A231" s="2">
        <f ca="1">IFERROR(__xludf.DUMMYFUNCTION("""COMPUTED_VALUE"""),42338.6666666666)</f>
        <v>42338.666666666599</v>
      </c>
      <c r="B231" s="1">
        <f ca="1">IFERROR(__xludf.DUMMYFUNCTION("""COMPUTED_VALUE"""),15.45)</f>
        <v>15.45</v>
      </c>
      <c r="C231" s="1">
        <f ca="1">IFERROR(__xludf.DUMMYFUNCTION("""COMPUTED_VALUE"""),15.62)</f>
        <v>15.62</v>
      </c>
      <c r="D231" s="1">
        <f ca="1">IFERROR(__xludf.DUMMYFUNCTION("""COMPUTED_VALUE"""),15.27)</f>
        <v>15.27</v>
      </c>
      <c r="E231" s="1">
        <f ca="1">IFERROR(__xludf.DUMMYFUNCTION("""COMPUTED_VALUE"""),15.35)</f>
        <v>15.35</v>
      </c>
      <c r="F231" s="1">
        <f ca="1">IFERROR(__xludf.DUMMYFUNCTION("""COMPUTED_VALUE"""),2659813)</f>
        <v>2659813</v>
      </c>
    </row>
    <row r="232" spans="1:6" x14ac:dyDescent="0.35">
      <c r="A232" s="2">
        <f ca="1">IFERROR(__xludf.DUMMYFUNCTION("""COMPUTED_VALUE"""),42339.6666666666)</f>
        <v>42339.666666666599</v>
      </c>
      <c r="B232" s="1">
        <f ca="1">IFERROR(__xludf.DUMMYFUNCTION("""COMPUTED_VALUE"""),15.4)</f>
        <v>15.4</v>
      </c>
      <c r="C232" s="1">
        <f ca="1">IFERROR(__xludf.DUMMYFUNCTION("""COMPUTED_VALUE"""),15.87)</f>
        <v>15.87</v>
      </c>
      <c r="D232" s="1">
        <f ca="1">IFERROR(__xludf.DUMMYFUNCTION("""COMPUTED_VALUE"""),15.4)</f>
        <v>15.4</v>
      </c>
      <c r="E232" s="1">
        <f ca="1">IFERROR(__xludf.DUMMYFUNCTION("""COMPUTED_VALUE"""),15.81)</f>
        <v>15.81</v>
      </c>
      <c r="F232" s="1">
        <f ca="1">IFERROR(__xludf.DUMMYFUNCTION("""COMPUTED_VALUE"""),3733955)</f>
        <v>3733955</v>
      </c>
    </row>
    <row r="233" spans="1:6" x14ac:dyDescent="0.35">
      <c r="A233" s="2">
        <f ca="1">IFERROR(__xludf.DUMMYFUNCTION("""COMPUTED_VALUE"""),42340.6666666666)</f>
        <v>42340.666666666599</v>
      </c>
      <c r="B233" s="1">
        <f ca="1">IFERROR(__xludf.DUMMYFUNCTION("""COMPUTED_VALUE"""),15.8)</f>
        <v>15.8</v>
      </c>
      <c r="C233" s="1">
        <f ca="1">IFERROR(__xludf.DUMMYFUNCTION("""COMPUTED_VALUE"""),15.91)</f>
        <v>15.91</v>
      </c>
      <c r="D233" s="1">
        <f ca="1">IFERROR(__xludf.DUMMYFUNCTION("""COMPUTED_VALUE"""),15.42)</f>
        <v>15.42</v>
      </c>
      <c r="E233" s="1">
        <f ca="1">IFERROR(__xludf.DUMMYFUNCTION("""COMPUTED_VALUE"""),15.47)</f>
        <v>15.47</v>
      </c>
      <c r="F233" s="1">
        <f ca="1">IFERROR(__xludf.DUMMYFUNCTION("""COMPUTED_VALUE"""),2981468)</f>
        <v>2981468</v>
      </c>
    </row>
    <row r="234" spans="1:6" x14ac:dyDescent="0.35">
      <c r="A234" s="2">
        <f ca="1">IFERROR(__xludf.DUMMYFUNCTION("""COMPUTED_VALUE"""),42341.6666666666)</f>
        <v>42341.666666666599</v>
      </c>
      <c r="B234" s="1">
        <f ca="1">IFERROR(__xludf.DUMMYFUNCTION("""COMPUTED_VALUE"""),15.7)</f>
        <v>15.7</v>
      </c>
      <c r="C234" s="1">
        <f ca="1">IFERROR(__xludf.DUMMYFUNCTION("""COMPUTED_VALUE"""),15.83)</f>
        <v>15.83</v>
      </c>
      <c r="D234" s="1">
        <f ca="1">IFERROR(__xludf.DUMMYFUNCTION("""COMPUTED_VALUE"""),15.33)</f>
        <v>15.33</v>
      </c>
      <c r="E234" s="1">
        <f ca="1">IFERROR(__xludf.DUMMYFUNCTION("""COMPUTED_VALUE"""),15.51)</f>
        <v>15.51</v>
      </c>
      <c r="F234" s="1">
        <f ca="1">IFERROR(__xludf.DUMMYFUNCTION("""COMPUTED_VALUE"""),2939564)</f>
        <v>2939564</v>
      </c>
    </row>
    <row r="235" spans="1:6" x14ac:dyDescent="0.35">
      <c r="A235" s="2">
        <f ca="1">IFERROR(__xludf.DUMMYFUNCTION("""COMPUTED_VALUE"""),42342.6666666666)</f>
        <v>42342.666666666599</v>
      </c>
      <c r="B235" s="1">
        <f ca="1">IFERROR(__xludf.DUMMYFUNCTION("""COMPUTED_VALUE"""),15.5)</f>
        <v>15.5</v>
      </c>
      <c r="C235" s="1">
        <f ca="1">IFERROR(__xludf.DUMMYFUNCTION("""COMPUTED_VALUE"""),15.55)</f>
        <v>15.55</v>
      </c>
      <c r="D235" s="1">
        <f ca="1">IFERROR(__xludf.DUMMYFUNCTION("""COMPUTED_VALUE"""),15.18)</f>
        <v>15.18</v>
      </c>
      <c r="E235" s="1">
        <f ca="1">IFERROR(__xludf.DUMMYFUNCTION("""COMPUTED_VALUE"""),15.36)</f>
        <v>15.36</v>
      </c>
      <c r="F235" s="1">
        <f ca="1">IFERROR(__xludf.DUMMYFUNCTION("""COMPUTED_VALUE"""),2573603)</f>
        <v>2573603</v>
      </c>
    </row>
    <row r="236" spans="1:6" x14ac:dyDescent="0.35">
      <c r="A236" s="2">
        <f ca="1">IFERROR(__xludf.DUMMYFUNCTION("""COMPUTED_VALUE"""),42345.6666666666)</f>
        <v>42345.666666666599</v>
      </c>
      <c r="B236" s="1">
        <f ca="1">IFERROR(__xludf.DUMMYFUNCTION("""COMPUTED_VALUE"""),15.18)</f>
        <v>15.18</v>
      </c>
      <c r="C236" s="1">
        <f ca="1">IFERROR(__xludf.DUMMYFUNCTION("""COMPUTED_VALUE"""),15.71)</f>
        <v>15.71</v>
      </c>
      <c r="D236" s="1">
        <f ca="1">IFERROR(__xludf.DUMMYFUNCTION("""COMPUTED_VALUE"""),15.08)</f>
        <v>15.08</v>
      </c>
      <c r="E236" s="1">
        <f ca="1">IFERROR(__xludf.DUMMYFUNCTION("""COMPUTED_VALUE"""),15.41)</f>
        <v>15.41</v>
      </c>
      <c r="F236" s="1">
        <f ca="1">IFERROR(__xludf.DUMMYFUNCTION("""COMPUTED_VALUE"""),3144223)</f>
        <v>3144223</v>
      </c>
    </row>
    <row r="237" spans="1:6" x14ac:dyDescent="0.35">
      <c r="A237" s="2">
        <f ca="1">IFERROR(__xludf.DUMMYFUNCTION("""COMPUTED_VALUE"""),42346.6666666666)</f>
        <v>42346.666666666599</v>
      </c>
      <c r="B237" s="1">
        <f ca="1">IFERROR(__xludf.DUMMYFUNCTION("""COMPUTED_VALUE"""),15.17)</f>
        <v>15.17</v>
      </c>
      <c r="C237" s="1">
        <f ca="1">IFERROR(__xludf.DUMMYFUNCTION("""COMPUTED_VALUE"""),15.25)</f>
        <v>15.25</v>
      </c>
      <c r="D237" s="1">
        <f ca="1">IFERROR(__xludf.DUMMYFUNCTION("""COMPUTED_VALUE"""),14.95)</f>
        <v>14.95</v>
      </c>
      <c r="E237" s="1">
        <f ca="1">IFERROR(__xludf.DUMMYFUNCTION("""COMPUTED_VALUE"""),15.11)</f>
        <v>15.11</v>
      </c>
      <c r="F237" s="1">
        <f ca="1">IFERROR(__xludf.DUMMYFUNCTION("""COMPUTED_VALUE"""),2687636)</f>
        <v>2687636</v>
      </c>
    </row>
    <row r="238" spans="1:6" x14ac:dyDescent="0.35">
      <c r="A238" s="2">
        <f ca="1">IFERROR(__xludf.DUMMYFUNCTION("""COMPUTED_VALUE"""),42347.6666666666)</f>
        <v>42347.666666666599</v>
      </c>
      <c r="B238" s="1">
        <f ca="1">IFERROR(__xludf.DUMMYFUNCTION("""COMPUTED_VALUE"""),15.11)</f>
        <v>15.11</v>
      </c>
      <c r="C238" s="1">
        <f ca="1">IFERROR(__xludf.DUMMYFUNCTION("""COMPUTED_VALUE"""),15.17)</f>
        <v>15.17</v>
      </c>
      <c r="D238" s="1">
        <f ca="1">IFERROR(__xludf.DUMMYFUNCTION("""COMPUTED_VALUE"""),14.71)</f>
        <v>14.71</v>
      </c>
      <c r="E238" s="1">
        <f ca="1">IFERROR(__xludf.DUMMYFUNCTION("""COMPUTED_VALUE"""),14.97)</f>
        <v>14.97</v>
      </c>
      <c r="F238" s="1">
        <f ca="1">IFERROR(__xludf.DUMMYFUNCTION("""COMPUTED_VALUE"""),3057753)</f>
        <v>3057753</v>
      </c>
    </row>
    <row r="239" spans="1:6" x14ac:dyDescent="0.35">
      <c r="A239" s="2">
        <f ca="1">IFERROR(__xludf.DUMMYFUNCTION("""COMPUTED_VALUE"""),42348.6666666666)</f>
        <v>42348.666666666599</v>
      </c>
      <c r="B239" s="1">
        <f ca="1">IFERROR(__xludf.DUMMYFUNCTION("""COMPUTED_VALUE"""),14.98)</f>
        <v>14.98</v>
      </c>
      <c r="C239" s="1">
        <f ca="1">IFERROR(__xludf.DUMMYFUNCTION("""COMPUTED_VALUE"""),15.23)</f>
        <v>15.23</v>
      </c>
      <c r="D239" s="1">
        <f ca="1">IFERROR(__xludf.DUMMYFUNCTION("""COMPUTED_VALUE"""),14.91)</f>
        <v>14.91</v>
      </c>
      <c r="E239" s="1">
        <f ca="1">IFERROR(__xludf.DUMMYFUNCTION("""COMPUTED_VALUE"""),15.14)</f>
        <v>15.14</v>
      </c>
      <c r="F239" s="1">
        <f ca="1">IFERROR(__xludf.DUMMYFUNCTION("""COMPUTED_VALUE"""),2071692)</f>
        <v>2071692</v>
      </c>
    </row>
    <row r="240" spans="1:6" x14ac:dyDescent="0.35">
      <c r="A240" s="2">
        <f ca="1">IFERROR(__xludf.DUMMYFUNCTION("""COMPUTED_VALUE"""),42349.6666666666)</f>
        <v>42349.666666666599</v>
      </c>
      <c r="B240" s="1">
        <f ca="1">IFERROR(__xludf.DUMMYFUNCTION("""COMPUTED_VALUE"""),15.02)</f>
        <v>15.02</v>
      </c>
      <c r="C240" s="1">
        <f ca="1">IFERROR(__xludf.DUMMYFUNCTION("""COMPUTED_VALUE"""),15.05)</f>
        <v>15.05</v>
      </c>
      <c r="D240" s="1">
        <f ca="1">IFERROR(__xludf.DUMMYFUNCTION("""COMPUTED_VALUE"""),14.44)</f>
        <v>14.44</v>
      </c>
      <c r="E240" s="1">
        <f ca="1">IFERROR(__xludf.DUMMYFUNCTION("""COMPUTED_VALUE"""),14.47)</f>
        <v>14.47</v>
      </c>
      <c r="F240" s="1">
        <f ca="1">IFERROR(__xludf.DUMMYFUNCTION("""COMPUTED_VALUE"""),3268726)</f>
        <v>3268726</v>
      </c>
    </row>
    <row r="241" spans="1:6" x14ac:dyDescent="0.35">
      <c r="A241" s="2">
        <f ca="1">IFERROR(__xludf.DUMMYFUNCTION("""COMPUTED_VALUE"""),42352.6666666666)</f>
        <v>42352.666666666599</v>
      </c>
      <c r="B241" s="1">
        <f ca="1">IFERROR(__xludf.DUMMYFUNCTION("""COMPUTED_VALUE"""),14.5)</f>
        <v>14.5</v>
      </c>
      <c r="C241" s="1">
        <f ca="1">IFERROR(__xludf.DUMMYFUNCTION("""COMPUTED_VALUE"""),14.73)</f>
        <v>14.73</v>
      </c>
      <c r="D241" s="1">
        <f ca="1">IFERROR(__xludf.DUMMYFUNCTION("""COMPUTED_VALUE"""),14.32)</f>
        <v>14.32</v>
      </c>
      <c r="E241" s="1">
        <f ca="1">IFERROR(__xludf.DUMMYFUNCTION("""COMPUTED_VALUE"""),14.57)</f>
        <v>14.57</v>
      </c>
      <c r="F241" s="1">
        <f ca="1">IFERROR(__xludf.DUMMYFUNCTION("""COMPUTED_VALUE"""),2831518)</f>
        <v>2831518</v>
      </c>
    </row>
    <row r="242" spans="1:6" x14ac:dyDescent="0.35">
      <c r="A242" s="2">
        <f ca="1">IFERROR(__xludf.DUMMYFUNCTION("""COMPUTED_VALUE"""),42353.6666666666)</f>
        <v>42353.666666666599</v>
      </c>
      <c r="B242" s="1">
        <f ca="1">IFERROR(__xludf.DUMMYFUNCTION("""COMPUTED_VALUE"""),14.79)</f>
        <v>14.79</v>
      </c>
      <c r="C242" s="1">
        <f ca="1">IFERROR(__xludf.DUMMYFUNCTION("""COMPUTED_VALUE"""),14.81)</f>
        <v>14.81</v>
      </c>
      <c r="D242" s="1">
        <f ca="1">IFERROR(__xludf.DUMMYFUNCTION("""COMPUTED_VALUE"""),14.53)</f>
        <v>14.53</v>
      </c>
      <c r="E242" s="1">
        <f ca="1">IFERROR(__xludf.DUMMYFUNCTION("""COMPUTED_VALUE"""),14.74)</f>
        <v>14.74</v>
      </c>
      <c r="F242" s="1">
        <f ca="1">IFERROR(__xludf.DUMMYFUNCTION("""COMPUTED_VALUE"""),2244424)</f>
        <v>2244424</v>
      </c>
    </row>
    <row r="243" spans="1:6" x14ac:dyDescent="0.35">
      <c r="A243" s="2">
        <f ca="1">IFERROR(__xludf.DUMMYFUNCTION("""COMPUTED_VALUE"""),42354.6666666666)</f>
        <v>42354.666666666599</v>
      </c>
      <c r="B243" s="1">
        <f ca="1">IFERROR(__xludf.DUMMYFUNCTION("""COMPUTED_VALUE"""),14.81)</f>
        <v>14.81</v>
      </c>
      <c r="C243" s="1">
        <f ca="1">IFERROR(__xludf.DUMMYFUNCTION("""COMPUTED_VALUE"""),15.66)</f>
        <v>15.66</v>
      </c>
      <c r="D243" s="1">
        <f ca="1">IFERROR(__xludf.DUMMYFUNCTION("""COMPUTED_VALUE"""),14.72)</f>
        <v>14.72</v>
      </c>
      <c r="E243" s="1">
        <f ca="1">IFERROR(__xludf.DUMMYFUNCTION("""COMPUTED_VALUE"""),15.63)</f>
        <v>15.63</v>
      </c>
      <c r="F243" s="1">
        <f ca="1">IFERROR(__xludf.DUMMYFUNCTION("""COMPUTED_VALUE"""),5104341)</f>
        <v>5104341</v>
      </c>
    </row>
    <row r="244" spans="1:6" x14ac:dyDescent="0.35">
      <c r="A244" s="2">
        <f ca="1">IFERROR(__xludf.DUMMYFUNCTION("""COMPUTED_VALUE"""),42355.6666666666)</f>
        <v>42355.666666666599</v>
      </c>
      <c r="B244" s="1">
        <f ca="1">IFERROR(__xludf.DUMMYFUNCTION("""COMPUTED_VALUE"""),15.6)</f>
        <v>15.6</v>
      </c>
      <c r="C244" s="1">
        <f ca="1">IFERROR(__xludf.DUMMYFUNCTION("""COMPUTED_VALUE"""),15.85)</f>
        <v>15.85</v>
      </c>
      <c r="D244" s="1">
        <f ca="1">IFERROR(__xludf.DUMMYFUNCTION("""COMPUTED_VALUE"""),15.32)</f>
        <v>15.32</v>
      </c>
      <c r="E244" s="1">
        <f ca="1">IFERROR(__xludf.DUMMYFUNCTION("""COMPUTED_VALUE"""),15.56)</f>
        <v>15.56</v>
      </c>
      <c r="F244" s="1">
        <f ca="1">IFERROR(__xludf.DUMMYFUNCTION("""COMPUTED_VALUE"""),3298638)</f>
        <v>3298638</v>
      </c>
    </row>
    <row r="245" spans="1:6" x14ac:dyDescent="0.35">
      <c r="A245" s="2">
        <f ca="1">IFERROR(__xludf.DUMMYFUNCTION("""COMPUTED_VALUE"""),42356.6666666666)</f>
        <v>42356.666666666599</v>
      </c>
      <c r="B245" s="1">
        <f ca="1">IFERROR(__xludf.DUMMYFUNCTION("""COMPUTED_VALUE"""),15.53)</f>
        <v>15.53</v>
      </c>
      <c r="C245" s="1">
        <f ca="1">IFERROR(__xludf.DUMMYFUNCTION("""COMPUTED_VALUE"""),15.73)</f>
        <v>15.73</v>
      </c>
      <c r="D245" s="1">
        <f ca="1">IFERROR(__xludf.DUMMYFUNCTION("""COMPUTED_VALUE"""),15.29)</f>
        <v>15.29</v>
      </c>
      <c r="E245" s="1">
        <f ca="1">IFERROR(__xludf.DUMMYFUNCTION("""COMPUTED_VALUE"""),15.36)</f>
        <v>15.36</v>
      </c>
      <c r="F245" s="1">
        <f ca="1">IFERROR(__xludf.DUMMYFUNCTION("""COMPUTED_VALUE"""),3014170)</f>
        <v>3014170</v>
      </c>
    </row>
    <row r="246" spans="1:6" x14ac:dyDescent="0.35">
      <c r="A246" s="2">
        <f ca="1">IFERROR(__xludf.DUMMYFUNCTION("""COMPUTED_VALUE"""),42359.6666666666)</f>
        <v>42359.666666666599</v>
      </c>
      <c r="B246" s="1">
        <f ca="1">IFERROR(__xludf.DUMMYFUNCTION("""COMPUTED_VALUE"""),15.45)</f>
        <v>15.45</v>
      </c>
      <c r="C246" s="1">
        <f ca="1">IFERROR(__xludf.DUMMYFUNCTION("""COMPUTED_VALUE"""),15.72)</f>
        <v>15.72</v>
      </c>
      <c r="D246" s="1">
        <f ca="1">IFERROR(__xludf.DUMMYFUNCTION("""COMPUTED_VALUE"""),15.41)</f>
        <v>15.41</v>
      </c>
      <c r="E246" s="1">
        <f ca="1">IFERROR(__xludf.DUMMYFUNCTION("""COMPUTED_VALUE"""),15.5)</f>
        <v>15.5</v>
      </c>
      <c r="F246" s="1">
        <f ca="1">IFERROR(__xludf.DUMMYFUNCTION("""COMPUTED_VALUE"""),1953174)</f>
        <v>1953174</v>
      </c>
    </row>
    <row r="247" spans="1:6" x14ac:dyDescent="0.35">
      <c r="A247" s="2">
        <f ca="1">IFERROR(__xludf.DUMMYFUNCTION("""COMPUTED_VALUE"""),42360.6666666666)</f>
        <v>42360.666666666599</v>
      </c>
      <c r="B247" s="1">
        <f ca="1">IFERROR(__xludf.DUMMYFUNCTION("""COMPUTED_VALUE"""),15.67)</f>
        <v>15.67</v>
      </c>
      <c r="C247" s="1">
        <f ca="1">IFERROR(__xludf.DUMMYFUNCTION("""COMPUTED_VALUE"""),15.77)</f>
        <v>15.77</v>
      </c>
      <c r="D247" s="1">
        <f ca="1">IFERROR(__xludf.DUMMYFUNCTION("""COMPUTED_VALUE"""),15.31)</f>
        <v>15.31</v>
      </c>
      <c r="E247" s="1">
        <f ca="1">IFERROR(__xludf.DUMMYFUNCTION("""COMPUTED_VALUE"""),15.33)</f>
        <v>15.33</v>
      </c>
      <c r="F247" s="1">
        <f ca="1">IFERROR(__xludf.DUMMYFUNCTION("""COMPUTED_VALUE"""),1961495)</f>
        <v>1961495</v>
      </c>
    </row>
    <row r="248" spans="1:6" x14ac:dyDescent="0.35">
      <c r="A248" s="2">
        <f ca="1">IFERROR(__xludf.DUMMYFUNCTION("""COMPUTED_VALUE"""),42361.6666666666)</f>
        <v>42361.666666666599</v>
      </c>
      <c r="B248" s="1">
        <f ca="1">IFERROR(__xludf.DUMMYFUNCTION("""COMPUTED_VALUE"""),15.48)</f>
        <v>15.48</v>
      </c>
      <c r="C248" s="1">
        <f ca="1">IFERROR(__xludf.DUMMYFUNCTION("""COMPUTED_VALUE"""),15.56)</f>
        <v>15.56</v>
      </c>
      <c r="D248" s="1">
        <f ca="1">IFERROR(__xludf.DUMMYFUNCTION("""COMPUTED_VALUE"""),15.21)</f>
        <v>15.21</v>
      </c>
      <c r="E248" s="1">
        <f ca="1">IFERROR(__xludf.DUMMYFUNCTION("""COMPUTED_VALUE"""),15.31)</f>
        <v>15.31</v>
      </c>
      <c r="F248" s="1">
        <f ca="1">IFERROR(__xludf.DUMMYFUNCTION("""COMPUTED_VALUE"""),1554979)</f>
        <v>1554979</v>
      </c>
    </row>
    <row r="249" spans="1:6" x14ac:dyDescent="0.35">
      <c r="A249" s="2">
        <f ca="1">IFERROR(__xludf.DUMMYFUNCTION("""COMPUTED_VALUE"""),42362.6666666666)</f>
        <v>42362.666666666599</v>
      </c>
      <c r="B249" s="1">
        <f ca="1">IFERROR(__xludf.DUMMYFUNCTION("""COMPUTED_VALUE"""),15.37)</f>
        <v>15.37</v>
      </c>
      <c r="C249" s="1">
        <f ca="1">IFERROR(__xludf.DUMMYFUNCTION("""COMPUTED_VALUE"""),15.46)</f>
        <v>15.46</v>
      </c>
      <c r="D249" s="1">
        <f ca="1">IFERROR(__xludf.DUMMYFUNCTION("""COMPUTED_VALUE"""),15.22)</f>
        <v>15.22</v>
      </c>
      <c r="E249" s="1">
        <f ca="1">IFERROR(__xludf.DUMMYFUNCTION("""COMPUTED_VALUE"""),15.37)</f>
        <v>15.37</v>
      </c>
      <c r="F249" s="1">
        <f ca="1">IFERROR(__xludf.DUMMYFUNCTION("""COMPUTED_VALUE"""),710277)</f>
        <v>710277</v>
      </c>
    </row>
    <row r="250" spans="1:6" x14ac:dyDescent="0.35">
      <c r="A250" s="2">
        <f ca="1">IFERROR(__xludf.DUMMYFUNCTION("""COMPUTED_VALUE"""),42366.6666666666)</f>
        <v>42366.666666666599</v>
      </c>
      <c r="B250" s="1">
        <f ca="1">IFERROR(__xludf.DUMMYFUNCTION("""COMPUTED_VALUE"""),15.43)</f>
        <v>15.43</v>
      </c>
      <c r="C250" s="1">
        <f ca="1">IFERROR(__xludf.DUMMYFUNCTION("""COMPUTED_VALUE"""),15.47)</f>
        <v>15.47</v>
      </c>
      <c r="D250" s="1">
        <f ca="1">IFERROR(__xludf.DUMMYFUNCTION("""COMPUTED_VALUE"""),15.04)</f>
        <v>15.04</v>
      </c>
      <c r="E250" s="1">
        <f ca="1">IFERROR(__xludf.DUMMYFUNCTION("""COMPUTED_VALUE"""),15.26)</f>
        <v>15.26</v>
      </c>
      <c r="F250" s="1">
        <f ca="1">IFERROR(__xludf.DUMMYFUNCTION("""COMPUTED_VALUE"""),1901304)</f>
        <v>1901304</v>
      </c>
    </row>
    <row r="251" spans="1:6" x14ac:dyDescent="0.35">
      <c r="A251" s="2">
        <f ca="1">IFERROR(__xludf.DUMMYFUNCTION("""COMPUTED_VALUE"""),42367.6666666666)</f>
        <v>42367.666666666599</v>
      </c>
      <c r="B251" s="1">
        <f ca="1">IFERROR(__xludf.DUMMYFUNCTION("""COMPUTED_VALUE"""),15.34)</f>
        <v>15.34</v>
      </c>
      <c r="C251" s="1">
        <f ca="1">IFERROR(__xludf.DUMMYFUNCTION("""COMPUTED_VALUE"""),15.85)</f>
        <v>15.85</v>
      </c>
      <c r="D251" s="1">
        <f ca="1">IFERROR(__xludf.DUMMYFUNCTION("""COMPUTED_VALUE"""),15.3)</f>
        <v>15.3</v>
      </c>
      <c r="E251" s="1">
        <f ca="1">IFERROR(__xludf.DUMMYFUNCTION("""COMPUTED_VALUE"""),15.81)</f>
        <v>15.81</v>
      </c>
      <c r="F251" s="1">
        <f ca="1">IFERROR(__xludf.DUMMYFUNCTION("""COMPUTED_VALUE"""),2406290)</f>
        <v>2406290</v>
      </c>
    </row>
    <row r="252" spans="1:6" x14ac:dyDescent="0.35">
      <c r="A252" s="2">
        <f ca="1">IFERROR(__xludf.DUMMYFUNCTION("""COMPUTED_VALUE"""),42368.6666666666)</f>
        <v>42368.666666666599</v>
      </c>
      <c r="B252" s="1">
        <f ca="1">IFERROR(__xludf.DUMMYFUNCTION("""COMPUTED_VALUE"""),15.77)</f>
        <v>15.77</v>
      </c>
      <c r="C252" s="1">
        <f ca="1">IFERROR(__xludf.DUMMYFUNCTION("""COMPUTED_VALUE"""),16.24)</f>
        <v>16.239999999999998</v>
      </c>
      <c r="D252" s="1">
        <f ca="1">IFERROR(__xludf.DUMMYFUNCTION("""COMPUTED_VALUE"""),15.71)</f>
        <v>15.71</v>
      </c>
      <c r="E252" s="1">
        <f ca="1">IFERROR(__xludf.DUMMYFUNCTION("""COMPUTED_VALUE"""),15.87)</f>
        <v>15.87</v>
      </c>
      <c r="F252" s="1">
        <f ca="1">IFERROR(__xludf.DUMMYFUNCTION("""COMPUTED_VALUE"""),3697921)</f>
        <v>3697921</v>
      </c>
    </row>
    <row r="253" spans="1:6" x14ac:dyDescent="0.35">
      <c r="A253" s="2">
        <f ca="1">IFERROR(__xludf.DUMMYFUNCTION("""COMPUTED_VALUE"""),42369.6666666666)</f>
        <v>42369.666666666599</v>
      </c>
      <c r="B253" s="1">
        <f ca="1">IFERROR(__xludf.DUMMYFUNCTION("""COMPUTED_VALUE"""),15.9)</f>
        <v>15.9</v>
      </c>
      <c r="C253" s="1">
        <f ca="1">IFERROR(__xludf.DUMMYFUNCTION("""COMPUTED_VALUE"""),16.23)</f>
        <v>16.23</v>
      </c>
      <c r="D253" s="1">
        <f ca="1">IFERROR(__xludf.DUMMYFUNCTION("""COMPUTED_VALUE"""),15.89)</f>
        <v>15.89</v>
      </c>
      <c r="E253" s="1">
        <f ca="1">IFERROR(__xludf.DUMMYFUNCTION("""COMPUTED_VALUE"""),16)</f>
        <v>16</v>
      </c>
      <c r="F253" s="1">
        <f ca="1">IFERROR(__xludf.DUMMYFUNCTION("""COMPUTED_VALUE"""),2715038)</f>
        <v>2715038</v>
      </c>
    </row>
    <row r="254" spans="1:6" x14ac:dyDescent="0.35">
      <c r="A254" s="2">
        <f ca="1">IFERROR(__xludf.DUMMYFUNCTION("""COMPUTED_VALUE"""),42373.6666666666)</f>
        <v>42373.666666666599</v>
      </c>
      <c r="B254" s="1">
        <f ca="1">IFERROR(__xludf.DUMMYFUNCTION("""COMPUTED_VALUE"""),15.38)</f>
        <v>15.38</v>
      </c>
      <c r="C254" s="1">
        <f ca="1">IFERROR(__xludf.DUMMYFUNCTION("""COMPUTED_VALUE"""),15.43)</f>
        <v>15.43</v>
      </c>
      <c r="D254" s="1">
        <f ca="1">IFERROR(__xludf.DUMMYFUNCTION("""COMPUTED_VALUE"""),14.6)</f>
        <v>14.6</v>
      </c>
      <c r="E254" s="1">
        <f ca="1">IFERROR(__xludf.DUMMYFUNCTION("""COMPUTED_VALUE"""),14.89)</f>
        <v>14.89</v>
      </c>
      <c r="F254" s="1">
        <f ca="1">IFERROR(__xludf.DUMMYFUNCTION("""COMPUTED_VALUE"""),6827146)</f>
        <v>6827146</v>
      </c>
    </row>
    <row r="255" spans="1:6" x14ac:dyDescent="0.35">
      <c r="A255" s="2">
        <f ca="1">IFERROR(__xludf.DUMMYFUNCTION("""COMPUTED_VALUE"""),42374.6666666666)</f>
        <v>42374.666666666599</v>
      </c>
      <c r="B255" s="1">
        <f ca="1">IFERROR(__xludf.DUMMYFUNCTION("""COMPUTED_VALUE"""),15.09)</f>
        <v>15.09</v>
      </c>
      <c r="C255" s="1">
        <f ca="1">IFERROR(__xludf.DUMMYFUNCTION("""COMPUTED_VALUE"""),15.13)</f>
        <v>15.13</v>
      </c>
      <c r="D255" s="1">
        <f ca="1">IFERROR(__xludf.DUMMYFUNCTION("""COMPUTED_VALUE"""),14.67)</f>
        <v>14.67</v>
      </c>
      <c r="E255" s="1">
        <f ca="1">IFERROR(__xludf.DUMMYFUNCTION("""COMPUTED_VALUE"""),14.9)</f>
        <v>14.9</v>
      </c>
      <c r="F255" s="1">
        <f ca="1">IFERROR(__xludf.DUMMYFUNCTION("""COMPUTED_VALUE"""),3186752)</f>
        <v>3186752</v>
      </c>
    </row>
    <row r="256" spans="1:6" x14ac:dyDescent="0.35">
      <c r="A256" s="2">
        <f ca="1">IFERROR(__xludf.DUMMYFUNCTION("""COMPUTED_VALUE"""),42375.6666666666)</f>
        <v>42375.666666666599</v>
      </c>
      <c r="B256" s="1">
        <f ca="1">IFERROR(__xludf.DUMMYFUNCTION("""COMPUTED_VALUE"""),14.67)</f>
        <v>14.67</v>
      </c>
      <c r="C256" s="1">
        <f ca="1">IFERROR(__xludf.DUMMYFUNCTION("""COMPUTED_VALUE"""),14.67)</f>
        <v>14.67</v>
      </c>
      <c r="D256" s="1">
        <f ca="1">IFERROR(__xludf.DUMMYFUNCTION("""COMPUTED_VALUE"""),14.4)</f>
        <v>14.4</v>
      </c>
      <c r="E256" s="1">
        <f ca="1">IFERROR(__xludf.DUMMYFUNCTION("""COMPUTED_VALUE"""),14.6)</f>
        <v>14.6</v>
      </c>
      <c r="F256" s="1">
        <f ca="1">IFERROR(__xludf.DUMMYFUNCTION("""COMPUTED_VALUE"""),3779128)</f>
        <v>3779128</v>
      </c>
    </row>
    <row r="257" spans="1:6" x14ac:dyDescent="0.35">
      <c r="A257" s="2">
        <f ca="1">IFERROR(__xludf.DUMMYFUNCTION("""COMPUTED_VALUE"""),42376.6666666666)</f>
        <v>42376.666666666599</v>
      </c>
      <c r="B257" s="1">
        <f ca="1">IFERROR(__xludf.DUMMYFUNCTION("""COMPUTED_VALUE"""),14.28)</f>
        <v>14.28</v>
      </c>
      <c r="C257" s="1">
        <f ca="1">IFERROR(__xludf.DUMMYFUNCTION("""COMPUTED_VALUE"""),14.56)</f>
        <v>14.56</v>
      </c>
      <c r="D257" s="1">
        <f ca="1">IFERROR(__xludf.DUMMYFUNCTION("""COMPUTED_VALUE"""),14.24)</f>
        <v>14.24</v>
      </c>
      <c r="E257" s="1">
        <f ca="1">IFERROR(__xludf.DUMMYFUNCTION("""COMPUTED_VALUE"""),14.38)</f>
        <v>14.38</v>
      </c>
      <c r="F257" s="1">
        <f ca="1">IFERROR(__xludf.DUMMYFUNCTION("""COMPUTED_VALUE"""),3554251)</f>
        <v>3554251</v>
      </c>
    </row>
    <row r="258" spans="1:6" x14ac:dyDescent="0.35">
      <c r="A258" s="2">
        <f ca="1">IFERROR(__xludf.DUMMYFUNCTION("""COMPUTED_VALUE"""),42377.6666666666)</f>
        <v>42377.666666666599</v>
      </c>
      <c r="B258" s="1">
        <f ca="1">IFERROR(__xludf.DUMMYFUNCTION("""COMPUTED_VALUE"""),14.52)</f>
        <v>14.52</v>
      </c>
      <c r="C258" s="1">
        <f ca="1">IFERROR(__xludf.DUMMYFUNCTION("""COMPUTED_VALUE"""),14.7)</f>
        <v>14.7</v>
      </c>
      <c r="D258" s="1">
        <f ca="1">IFERROR(__xludf.DUMMYFUNCTION("""COMPUTED_VALUE"""),14.05)</f>
        <v>14.05</v>
      </c>
      <c r="E258" s="1">
        <f ca="1">IFERROR(__xludf.DUMMYFUNCTION("""COMPUTED_VALUE"""),14.07)</f>
        <v>14.07</v>
      </c>
      <c r="F258" s="1">
        <f ca="1">IFERROR(__xludf.DUMMYFUNCTION("""COMPUTED_VALUE"""),3628058)</f>
        <v>3628058</v>
      </c>
    </row>
    <row r="259" spans="1:6" x14ac:dyDescent="0.35">
      <c r="A259" s="2">
        <f ca="1">IFERROR(__xludf.DUMMYFUNCTION("""COMPUTED_VALUE"""),42380.6666666666)</f>
        <v>42380.666666666599</v>
      </c>
      <c r="B259" s="1">
        <f ca="1">IFERROR(__xludf.DUMMYFUNCTION("""COMPUTED_VALUE"""),14.27)</f>
        <v>14.27</v>
      </c>
      <c r="C259" s="1">
        <f ca="1">IFERROR(__xludf.DUMMYFUNCTION("""COMPUTED_VALUE"""),14.3)</f>
        <v>14.3</v>
      </c>
      <c r="D259" s="1">
        <f ca="1">IFERROR(__xludf.DUMMYFUNCTION("""COMPUTED_VALUE"""),13.53)</f>
        <v>13.53</v>
      </c>
      <c r="E259" s="1">
        <f ca="1">IFERROR(__xludf.DUMMYFUNCTION("""COMPUTED_VALUE"""),13.86)</f>
        <v>13.86</v>
      </c>
      <c r="F259" s="1">
        <f ca="1">IFERROR(__xludf.DUMMYFUNCTION("""COMPUTED_VALUE"""),4091422)</f>
        <v>4091422</v>
      </c>
    </row>
    <row r="260" spans="1:6" x14ac:dyDescent="0.35">
      <c r="A260" s="2">
        <f ca="1">IFERROR(__xludf.DUMMYFUNCTION("""COMPUTED_VALUE"""),42381.6666666666)</f>
        <v>42381.666666666599</v>
      </c>
      <c r="B260" s="1">
        <f ca="1">IFERROR(__xludf.DUMMYFUNCTION("""COMPUTED_VALUE"""),14.11)</f>
        <v>14.11</v>
      </c>
      <c r="C260" s="1">
        <f ca="1">IFERROR(__xludf.DUMMYFUNCTION("""COMPUTED_VALUE"""),14.25)</f>
        <v>14.25</v>
      </c>
      <c r="D260" s="1">
        <f ca="1">IFERROR(__xludf.DUMMYFUNCTION("""COMPUTED_VALUE"""),13.69)</f>
        <v>13.69</v>
      </c>
      <c r="E260" s="1">
        <f ca="1">IFERROR(__xludf.DUMMYFUNCTION("""COMPUTED_VALUE"""),14)</f>
        <v>14</v>
      </c>
      <c r="F260" s="1">
        <f ca="1">IFERROR(__xludf.DUMMYFUNCTION("""COMPUTED_VALUE"""),3091917)</f>
        <v>3091917</v>
      </c>
    </row>
    <row r="261" spans="1:6" x14ac:dyDescent="0.35">
      <c r="A261" s="2">
        <f ca="1">IFERROR(__xludf.DUMMYFUNCTION("""COMPUTED_VALUE"""),42382.6666666666)</f>
        <v>42382.666666666599</v>
      </c>
      <c r="B261" s="1">
        <f ca="1">IFERROR(__xludf.DUMMYFUNCTION("""COMPUTED_VALUE"""),14.13)</f>
        <v>14.13</v>
      </c>
      <c r="C261" s="1">
        <f ca="1">IFERROR(__xludf.DUMMYFUNCTION("""COMPUTED_VALUE"""),14.18)</f>
        <v>14.18</v>
      </c>
      <c r="D261" s="1">
        <f ca="1">IFERROR(__xludf.DUMMYFUNCTION("""COMPUTED_VALUE"""),13.33)</f>
        <v>13.33</v>
      </c>
      <c r="E261" s="1">
        <f ca="1">IFERROR(__xludf.DUMMYFUNCTION("""COMPUTED_VALUE"""),13.35)</f>
        <v>13.35</v>
      </c>
      <c r="F261" s="1">
        <f ca="1">IFERROR(__xludf.DUMMYFUNCTION("""COMPUTED_VALUE"""),4126416)</f>
        <v>4126416</v>
      </c>
    </row>
    <row r="262" spans="1:6" x14ac:dyDescent="0.35">
      <c r="A262" s="2">
        <f ca="1">IFERROR(__xludf.DUMMYFUNCTION("""COMPUTED_VALUE"""),42383.6666666666)</f>
        <v>42383.666666666599</v>
      </c>
      <c r="B262" s="1">
        <f ca="1">IFERROR(__xludf.DUMMYFUNCTION("""COMPUTED_VALUE"""),13.48)</f>
        <v>13.48</v>
      </c>
      <c r="C262" s="1">
        <f ca="1">IFERROR(__xludf.DUMMYFUNCTION("""COMPUTED_VALUE"""),14)</f>
        <v>14</v>
      </c>
      <c r="D262" s="1">
        <f ca="1">IFERROR(__xludf.DUMMYFUNCTION("""COMPUTED_VALUE"""),12.89)</f>
        <v>12.89</v>
      </c>
      <c r="E262" s="1">
        <f ca="1">IFERROR(__xludf.DUMMYFUNCTION("""COMPUTED_VALUE"""),13.75)</f>
        <v>13.75</v>
      </c>
      <c r="F262" s="1">
        <f ca="1">IFERROR(__xludf.DUMMYFUNCTION("""COMPUTED_VALUE"""),6490741)</f>
        <v>6490741</v>
      </c>
    </row>
    <row r="263" spans="1:6" x14ac:dyDescent="0.35">
      <c r="A263" s="2">
        <f ca="1">IFERROR(__xludf.DUMMYFUNCTION("""COMPUTED_VALUE"""),42384.6666666666)</f>
        <v>42384.666666666599</v>
      </c>
      <c r="B263" s="1">
        <f ca="1">IFERROR(__xludf.DUMMYFUNCTION("""COMPUTED_VALUE"""),13.26)</f>
        <v>13.26</v>
      </c>
      <c r="C263" s="1">
        <f ca="1">IFERROR(__xludf.DUMMYFUNCTION("""COMPUTED_VALUE"""),13.67)</f>
        <v>13.67</v>
      </c>
      <c r="D263" s="1">
        <f ca="1">IFERROR(__xludf.DUMMYFUNCTION("""COMPUTED_VALUE"""),13.15)</f>
        <v>13.15</v>
      </c>
      <c r="E263" s="1">
        <f ca="1">IFERROR(__xludf.DUMMYFUNCTION("""COMPUTED_VALUE"""),13.67)</f>
        <v>13.67</v>
      </c>
      <c r="F263" s="1">
        <f ca="1">IFERROR(__xludf.DUMMYFUNCTION("""COMPUTED_VALUE"""),5578640)</f>
        <v>5578640</v>
      </c>
    </row>
    <row r="264" spans="1:6" x14ac:dyDescent="0.35">
      <c r="A264" s="2">
        <f ca="1">IFERROR(__xludf.DUMMYFUNCTION("""COMPUTED_VALUE"""),42388.6666666666)</f>
        <v>42388.666666666599</v>
      </c>
      <c r="B264" s="1">
        <f ca="1">IFERROR(__xludf.DUMMYFUNCTION("""COMPUTED_VALUE"""),13.91)</f>
        <v>13.91</v>
      </c>
      <c r="C264" s="1">
        <f ca="1">IFERROR(__xludf.DUMMYFUNCTION("""COMPUTED_VALUE"""),14.03)</f>
        <v>14.03</v>
      </c>
      <c r="D264" s="1">
        <f ca="1">IFERROR(__xludf.DUMMYFUNCTION("""COMPUTED_VALUE"""),13.39)</f>
        <v>13.39</v>
      </c>
      <c r="E264" s="1">
        <f ca="1">IFERROR(__xludf.DUMMYFUNCTION("""COMPUTED_VALUE"""),13.65)</f>
        <v>13.65</v>
      </c>
      <c r="F264" s="1">
        <f ca="1">IFERROR(__xludf.DUMMYFUNCTION("""COMPUTED_VALUE"""),4038676)</f>
        <v>4038676</v>
      </c>
    </row>
    <row r="265" spans="1:6" x14ac:dyDescent="0.35">
      <c r="A265" s="2">
        <f ca="1">IFERROR(__xludf.DUMMYFUNCTION("""COMPUTED_VALUE"""),42389.6666666666)</f>
        <v>42389.666666666599</v>
      </c>
      <c r="B265" s="1">
        <f ca="1">IFERROR(__xludf.DUMMYFUNCTION("""COMPUTED_VALUE"""),13.29)</f>
        <v>13.29</v>
      </c>
      <c r="C265" s="1">
        <f ca="1">IFERROR(__xludf.DUMMYFUNCTION("""COMPUTED_VALUE"""),13.42)</f>
        <v>13.42</v>
      </c>
      <c r="D265" s="1">
        <f ca="1">IFERROR(__xludf.DUMMYFUNCTION("""COMPUTED_VALUE"""),12.75)</f>
        <v>12.75</v>
      </c>
      <c r="E265" s="1">
        <f ca="1">IFERROR(__xludf.DUMMYFUNCTION("""COMPUTED_VALUE"""),13.25)</f>
        <v>13.25</v>
      </c>
      <c r="F265" s="1">
        <f ca="1">IFERROR(__xludf.DUMMYFUNCTION("""COMPUTED_VALUE"""),5838608)</f>
        <v>5838608</v>
      </c>
    </row>
    <row r="266" spans="1:6" x14ac:dyDescent="0.35">
      <c r="A266" s="2">
        <f ca="1">IFERROR(__xludf.DUMMYFUNCTION("""COMPUTED_VALUE"""),42390.6666666666)</f>
        <v>42390.666666666599</v>
      </c>
      <c r="B266" s="1">
        <f ca="1">IFERROR(__xludf.DUMMYFUNCTION("""COMPUTED_VALUE"""),13.44)</f>
        <v>13.44</v>
      </c>
      <c r="C266" s="1">
        <f ca="1">IFERROR(__xludf.DUMMYFUNCTION("""COMPUTED_VALUE"""),13.55)</f>
        <v>13.55</v>
      </c>
      <c r="D266" s="1">
        <f ca="1">IFERROR(__xludf.DUMMYFUNCTION("""COMPUTED_VALUE"""),13)</f>
        <v>13</v>
      </c>
      <c r="E266" s="1">
        <f ca="1">IFERROR(__xludf.DUMMYFUNCTION("""COMPUTED_VALUE"""),13.33)</f>
        <v>13.33</v>
      </c>
      <c r="F266" s="1">
        <f ca="1">IFERROR(__xludf.DUMMYFUNCTION("""COMPUTED_VALUE"""),3166159)</f>
        <v>3166159</v>
      </c>
    </row>
    <row r="267" spans="1:6" x14ac:dyDescent="0.35">
      <c r="A267" s="2">
        <f ca="1">IFERROR(__xludf.DUMMYFUNCTION("""COMPUTED_VALUE"""),42391.6666666666)</f>
        <v>42391.666666666599</v>
      </c>
      <c r="B267" s="1">
        <f ca="1">IFERROR(__xludf.DUMMYFUNCTION("""COMPUTED_VALUE"""),13.65)</f>
        <v>13.65</v>
      </c>
      <c r="C267" s="1">
        <f ca="1">IFERROR(__xludf.DUMMYFUNCTION("""COMPUTED_VALUE"""),13.7)</f>
        <v>13.7</v>
      </c>
      <c r="D267" s="1">
        <f ca="1">IFERROR(__xludf.DUMMYFUNCTION("""COMPUTED_VALUE"""),13.27)</f>
        <v>13.27</v>
      </c>
      <c r="E267" s="1">
        <f ca="1">IFERROR(__xludf.DUMMYFUNCTION("""COMPUTED_VALUE"""),13.5)</f>
        <v>13.5</v>
      </c>
      <c r="F267" s="1">
        <f ca="1">IFERROR(__xludf.DUMMYFUNCTION("""COMPUTED_VALUE"""),3124055)</f>
        <v>3124055</v>
      </c>
    </row>
    <row r="268" spans="1:6" x14ac:dyDescent="0.35">
      <c r="A268" s="2">
        <f ca="1">IFERROR(__xludf.DUMMYFUNCTION("""COMPUTED_VALUE"""),42394.6666666666)</f>
        <v>42394.666666666599</v>
      </c>
      <c r="B268" s="1">
        <f ca="1">IFERROR(__xludf.DUMMYFUNCTION("""COMPUTED_VALUE"""),13.34)</f>
        <v>13.34</v>
      </c>
      <c r="C268" s="1">
        <f ca="1">IFERROR(__xludf.DUMMYFUNCTION("""COMPUTED_VALUE"""),13.57)</f>
        <v>13.57</v>
      </c>
      <c r="D268" s="1">
        <f ca="1">IFERROR(__xludf.DUMMYFUNCTION("""COMPUTED_VALUE"""),13.06)</f>
        <v>13.06</v>
      </c>
      <c r="E268" s="1">
        <f ca="1">IFERROR(__xludf.DUMMYFUNCTION("""COMPUTED_VALUE"""),13.09)</f>
        <v>13.09</v>
      </c>
      <c r="F268" s="1">
        <f ca="1">IFERROR(__xludf.DUMMYFUNCTION("""COMPUTED_VALUE"""),2698739)</f>
        <v>2698739</v>
      </c>
    </row>
    <row r="269" spans="1:6" x14ac:dyDescent="0.35">
      <c r="A269" s="2">
        <f ca="1">IFERROR(__xludf.DUMMYFUNCTION("""COMPUTED_VALUE"""),42395.6666666666)</f>
        <v>42395.666666666599</v>
      </c>
      <c r="B269" s="1">
        <f ca="1">IFERROR(__xludf.DUMMYFUNCTION("""COMPUTED_VALUE"""),13.11)</f>
        <v>13.11</v>
      </c>
      <c r="C269" s="1">
        <f ca="1">IFERROR(__xludf.DUMMYFUNCTION("""COMPUTED_VALUE"""),13.19)</f>
        <v>13.19</v>
      </c>
      <c r="D269" s="1">
        <f ca="1">IFERROR(__xludf.DUMMYFUNCTION("""COMPUTED_VALUE"""),12.59)</f>
        <v>12.59</v>
      </c>
      <c r="E269" s="1">
        <f ca="1">IFERROR(__xludf.DUMMYFUNCTION("""COMPUTED_VALUE"""),12.9)</f>
        <v>12.9</v>
      </c>
      <c r="F269" s="1">
        <f ca="1">IFERROR(__xludf.DUMMYFUNCTION("""COMPUTED_VALUE"""),4964180)</f>
        <v>4964180</v>
      </c>
    </row>
    <row r="270" spans="1:6" x14ac:dyDescent="0.35">
      <c r="A270" s="2">
        <f ca="1">IFERROR(__xludf.DUMMYFUNCTION("""COMPUTED_VALUE"""),42396.6666666666)</f>
        <v>42396.666666666599</v>
      </c>
      <c r="B270" s="1">
        <f ca="1">IFERROR(__xludf.DUMMYFUNCTION("""COMPUTED_VALUE"""),12.83)</f>
        <v>12.83</v>
      </c>
      <c r="C270" s="1">
        <f ca="1">IFERROR(__xludf.DUMMYFUNCTION("""COMPUTED_VALUE"""),12.88)</f>
        <v>12.88</v>
      </c>
      <c r="D270" s="1">
        <f ca="1">IFERROR(__xludf.DUMMYFUNCTION("""COMPUTED_VALUE"""),12.38)</f>
        <v>12.38</v>
      </c>
      <c r="E270" s="1">
        <f ca="1">IFERROR(__xludf.DUMMYFUNCTION("""COMPUTED_VALUE"""),12.54)</f>
        <v>12.54</v>
      </c>
      <c r="F270" s="1">
        <f ca="1">IFERROR(__xludf.DUMMYFUNCTION("""COMPUTED_VALUE"""),3617221)</f>
        <v>3617221</v>
      </c>
    </row>
    <row r="271" spans="1:6" x14ac:dyDescent="0.35">
      <c r="A271" s="2">
        <f ca="1">IFERROR(__xludf.DUMMYFUNCTION("""COMPUTED_VALUE"""),42397.6666666666)</f>
        <v>42397.666666666599</v>
      </c>
      <c r="B271" s="1">
        <f ca="1">IFERROR(__xludf.DUMMYFUNCTION("""COMPUTED_VALUE"""),12.72)</f>
        <v>12.72</v>
      </c>
      <c r="C271" s="1">
        <f ca="1">IFERROR(__xludf.DUMMYFUNCTION("""COMPUTED_VALUE"""),12.75)</f>
        <v>12.75</v>
      </c>
      <c r="D271" s="1">
        <f ca="1">IFERROR(__xludf.DUMMYFUNCTION("""COMPUTED_VALUE"""),12.16)</f>
        <v>12.16</v>
      </c>
      <c r="E271" s="1">
        <f ca="1">IFERROR(__xludf.DUMMYFUNCTION("""COMPUTED_VALUE"""),12.65)</f>
        <v>12.65</v>
      </c>
      <c r="F271" s="1">
        <f ca="1">IFERROR(__xludf.DUMMYFUNCTION("""COMPUTED_VALUE"""),4592754)</f>
        <v>4592754</v>
      </c>
    </row>
    <row r="272" spans="1:6" x14ac:dyDescent="0.35">
      <c r="A272" s="2">
        <f ca="1">IFERROR(__xludf.DUMMYFUNCTION("""COMPUTED_VALUE"""),42398.6666666666)</f>
        <v>42398.666666666599</v>
      </c>
      <c r="B272" s="1">
        <f ca="1">IFERROR(__xludf.DUMMYFUNCTION("""COMPUTED_VALUE"""),12.66)</f>
        <v>12.66</v>
      </c>
      <c r="C272" s="1">
        <f ca="1">IFERROR(__xludf.DUMMYFUNCTION("""COMPUTED_VALUE"""),12.92)</f>
        <v>12.92</v>
      </c>
      <c r="D272" s="1">
        <f ca="1">IFERROR(__xludf.DUMMYFUNCTION("""COMPUTED_VALUE"""),12.54)</f>
        <v>12.54</v>
      </c>
      <c r="E272" s="1">
        <f ca="1">IFERROR(__xludf.DUMMYFUNCTION("""COMPUTED_VALUE"""),12.75)</f>
        <v>12.75</v>
      </c>
      <c r="F272" s="1">
        <f ca="1">IFERROR(__xludf.DUMMYFUNCTION("""COMPUTED_VALUE"""),2852289)</f>
        <v>2852289</v>
      </c>
    </row>
    <row r="273" spans="1:6" x14ac:dyDescent="0.35">
      <c r="A273" s="2">
        <f ca="1">IFERROR(__xludf.DUMMYFUNCTION("""COMPUTED_VALUE"""),42401.6666666666)</f>
        <v>42401.666666666599</v>
      </c>
      <c r="B273" s="1">
        <f ca="1">IFERROR(__xludf.DUMMYFUNCTION("""COMPUTED_VALUE"""),12.58)</f>
        <v>12.58</v>
      </c>
      <c r="C273" s="1">
        <f ca="1">IFERROR(__xludf.DUMMYFUNCTION("""COMPUTED_VALUE"""),13.3)</f>
        <v>13.3</v>
      </c>
      <c r="D273" s="1">
        <f ca="1">IFERROR(__xludf.DUMMYFUNCTION("""COMPUTED_VALUE"""),12.18)</f>
        <v>12.18</v>
      </c>
      <c r="E273" s="1">
        <f ca="1">IFERROR(__xludf.DUMMYFUNCTION("""COMPUTED_VALUE"""),13.13)</f>
        <v>13.13</v>
      </c>
      <c r="F273" s="1">
        <f ca="1">IFERROR(__xludf.DUMMYFUNCTION("""COMPUTED_VALUE"""),5297639)</f>
        <v>5297639</v>
      </c>
    </row>
    <row r="274" spans="1:6" x14ac:dyDescent="0.35">
      <c r="A274" s="2">
        <f ca="1">IFERROR(__xludf.DUMMYFUNCTION("""COMPUTED_VALUE"""),42402.6666666666)</f>
        <v>42402.666666666599</v>
      </c>
      <c r="B274" s="1">
        <f ca="1">IFERROR(__xludf.DUMMYFUNCTION("""COMPUTED_VALUE"""),12.83)</f>
        <v>12.83</v>
      </c>
      <c r="C274" s="1">
        <f ca="1">IFERROR(__xludf.DUMMYFUNCTION("""COMPUTED_VALUE"""),12.87)</f>
        <v>12.87</v>
      </c>
      <c r="D274" s="1">
        <f ca="1">IFERROR(__xludf.DUMMYFUNCTION("""COMPUTED_VALUE"""),12.02)</f>
        <v>12.02</v>
      </c>
      <c r="E274" s="1">
        <f ca="1">IFERROR(__xludf.DUMMYFUNCTION("""COMPUTED_VALUE"""),12.19)</f>
        <v>12.19</v>
      </c>
      <c r="F274" s="1">
        <f ca="1">IFERROR(__xludf.DUMMYFUNCTION("""COMPUTED_VALUE"""),5773637)</f>
        <v>5773637</v>
      </c>
    </row>
    <row r="275" spans="1:6" x14ac:dyDescent="0.35">
      <c r="A275" s="2">
        <f ca="1">IFERROR(__xludf.DUMMYFUNCTION("""COMPUTED_VALUE"""),42403.6666666666)</f>
        <v>42403.666666666599</v>
      </c>
      <c r="B275" s="1">
        <f ca="1">IFERROR(__xludf.DUMMYFUNCTION("""COMPUTED_VALUE"""),12.24)</f>
        <v>12.24</v>
      </c>
      <c r="C275" s="1">
        <f ca="1">IFERROR(__xludf.DUMMYFUNCTION("""COMPUTED_VALUE"""),12.26)</f>
        <v>12.26</v>
      </c>
      <c r="D275" s="1">
        <f ca="1">IFERROR(__xludf.DUMMYFUNCTION("""COMPUTED_VALUE"""),11.35)</f>
        <v>11.35</v>
      </c>
      <c r="E275" s="1">
        <f ca="1">IFERROR(__xludf.DUMMYFUNCTION("""COMPUTED_VALUE"""),11.57)</f>
        <v>11.57</v>
      </c>
      <c r="F275" s="1">
        <f ca="1">IFERROR(__xludf.DUMMYFUNCTION("""COMPUTED_VALUE"""),7931362)</f>
        <v>7931362</v>
      </c>
    </row>
    <row r="276" spans="1:6" x14ac:dyDescent="0.35">
      <c r="A276" s="2">
        <f ca="1">IFERROR(__xludf.DUMMYFUNCTION("""COMPUTED_VALUE"""),42404.6666666666)</f>
        <v>42404.666666666599</v>
      </c>
      <c r="B276" s="1">
        <f ca="1">IFERROR(__xludf.DUMMYFUNCTION("""COMPUTED_VALUE"""),11.38)</f>
        <v>11.38</v>
      </c>
      <c r="C276" s="1">
        <f ca="1">IFERROR(__xludf.DUMMYFUNCTION("""COMPUTED_VALUE"""),11.73)</f>
        <v>11.73</v>
      </c>
      <c r="D276" s="1">
        <f ca="1">IFERROR(__xludf.DUMMYFUNCTION("""COMPUTED_VALUE"""),11.13)</f>
        <v>11.13</v>
      </c>
      <c r="E276" s="1">
        <f ca="1">IFERROR(__xludf.DUMMYFUNCTION("""COMPUTED_VALUE"""),11.69)</f>
        <v>11.69</v>
      </c>
      <c r="F276" s="1">
        <f ca="1">IFERROR(__xludf.DUMMYFUNCTION("""COMPUTED_VALUE"""),4385366)</f>
        <v>4385366</v>
      </c>
    </row>
    <row r="277" spans="1:6" x14ac:dyDescent="0.35">
      <c r="A277" s="2">
        <f ca="1">IFERROR(__xludf.DUMMYFUNCTION("""COMPUTED_VALUE"""),42405.6666666666)</f>
        <v>42405.666666666599</v>
      </c>
      <c r="B277" s="1">
        <f ca="1">IFERROR(__xludf.DUMMYFUNCTION("""COMPUTED_VALUE"""),11.42)</f>
        <v>11.42</v>
      </c>
      <c r="C277" s="1">
        <f ca="1">IFERROR(__xludf.DUMMYFUNCTION("""COMPUTED_VALUE"""),11.53)</f>
        <v>11.53</v>
      </c>
      <c r="D277" s="1">
        <f ca="1">IFERROR(__xludf.DUMMYFUNCTION("""COMPUTED_VALUE"""),10.52)</f>
        <v>10.52</v>
      </c>
      <c r="E277" s="1">
        <f ca="1">IFERROR(__xludf.DUMMYFUNCTION("""COMPUTED_VALUE"""),10.84)</f>
        <v>10.84</v>
      </c>
      <c r="F277" s="1">
        <f ca="1">IFERROR(__xludf.DUMMYFUNCTION("""COMPUTED_VALUE"""),9437591)</f>
        <v>9437591</v>
      </c>
    </row>
    <row r="278" spans="1:6" x14ac:dyDescent="0.35">
      <c r="A278" s="2">
        <f ca="1">IFERROR(__xludf.DUMMYFUNCTION("""COMPUTED_VALUE"""),42408.6666666666)</f>
        <v>42408.666666666599</v>
      </c>
      <c r="B278" s="1">
        <f ca="1">IFERROR(__xludf.DUMMYFUNCTION("""COMPUTED_VALUE"""),10.47)</f>
        <v>10.47</v>
      </c>
      <c r="C278" s="1">
        <f ca="1">IFERROR(__xludf.DUMMYFUNCTION("""COMPUTED_VALUE"""),10.48)</f>
        <v>10.48</v>
      </c>
      <c r="D278" s="1">
        <f ca="1">IFERROR(__xludf.DUMMYFUNCTION("""COMPUTED_VALUE"""),9.73)</f>
        <v>9.73</v>
      </c>
      <c r="E278" s="1">
        <f ca="1">IFERROR(__xludf.DUMMYFUNCTION("""COMPUTED_VALUE"""),9.87)</f>
        <v>9.8699999999999992</v>
      </c>
      <c r="F278" s="1">
        <f ca="1">IFERROR(__xludf.DUMMYFUNCTION("""COMPUTED_VALUE"""),9312988)</f>
        <v>9312988</v>
      </c>
    </row>
    <row r="279" spans="1:6" x14ac:dyDescent="0.35">
      <c r="A279" s="2">
        <f ca="1">IFERROR(__xludf.DUMMYFUNCTION("""COMPUTED_VALUE"""),42409.6666666666)</f>
        <v>42409.666666666599</v>
      </c>
      <c r="B279" s="1">
        <f ca="1">IFERROR(__xludf.DUMMYFUNCTION("""COMPUTED_VALUE"""),9.49)</f>
        <v>9.49</v>
      </c>
      <c r="C279" s="1">
        <f ca="1">IFERROR(__xludf.DUMMYFUNCTION("""COMPUTED_VALUE"""),10.65)</f>
        <v>10.65</v>
      </c>
      <c r="D279" s="1">
        <f ca="1">IFERROR(__xludf.DUMMYFUNCTION("""COMPUTED_VALUE"""),9.4)</f>
        <v>9.4</v>
      </c>
      <c r="E279" s="1">
        <f ca="1">IFERROR(__xludf.DUMMYFUNCTION("""COMPUTED_VALUE"""),9.88)</f>
        <v>9.8800000000000008</v>
      </c>
      <c r="F279" s="1">
        <f ca="1">IFERROR(__xludf.DUMMYFUNCTION("""COMPUTED_VALUE"""),8651648)</f>
        <v>8651648</v>
      </c>
    </row>
    <row r="280" spans="1:6" x14ac:dyDescent="0.35">
      <c r="A280" s="2">
        <f ca="1">IFERROR(__xludf.DUMMYFUNCTION("""COMPUTED_VALUE"""),42410.6666666666)</f>
        <v>42410.666666666599</v>
      </c>
      <c r="B280" s="1">
        <f ca="1">IFERROR(__xludf.DUMMYFUNCTION("""COMPUTED_VALUE"""),10.03)</f>
        <v>10.029999999999999</v>
      </c>
      <c r="C280" s="1">
        <f ca="1">IFERROR(__xludf.DUMMYFUNCTION("""COMPUTED_VALUE"""),10.33)</f>
        <v>10.33</v>
      </c>
      <c r="D280" s="1">
        <f ca="1">IFERROR(__xludf.DUMMYFUNCTION("""COMPUTED_VALUE"""),9.45)</f>
        <v>9.4499999999999993</v>
      </c>
      <c r="E280" s="1">
        <f ca="1">IFERROR(__xludf.DUMMYFUNCTION("""COMPUTED_VALUE"""),9.58)</f>
        <v>9.58</v>
      </c>
      <c r="F280" s="1">
        <f ca="1">IFERROR(__xludf.DUMMYFUNCTION("""COMPUTED_VALUE"""),10406513)</f>
        <v>10406513</v>
      </c>
    </row>
    <row r="281" spans="1:6" x14ac:dyDescent="0.35">
      <c r="A281" s="2">
        <f ca="1">IFERROR(__xludf.DUMMYFUNCTION("""COMPUTED_VALUE"""),42411.6666666666)</f>
        <v>42411.666666666599</v>
      </c>
      <c r="B281" s="1">
        <f ca="1">IFERROR(__xludf.DUMMYFUNCTION("""COMPUTED_VALUE"""),10.13)</f>
        <v>10.130000000000001</v>
      </c>
      <c r="C281" s="1">
        <f ca="1">IFERROR(__xludf.DUMMYFUNCTION("""COMPUTED_VALUE"""),10.88)</f>
        <v>10.88</v>
      </c>
      <c r="D281" s="1">
        <f ca="1">IFERROR(__xludf.DUMMYFUNCTION("""COMPUTED_VALUE"""),9.8)</f>
        <v>9.8000000000000007</v>
      </c>
      <c r="E281" s="1">
        <f ca="1">IFERROR(__xludf.DUMMYFUNCTION("""COMPUTED_VALUE"""),10.03)</f>
        <v>10.029999999999999</v>
      </c>
      <c r="F281" s="1">
        <f ca="1">IFERROR(__xludf.DUMMYFUNCTION("""COMPUTED_VALUE"""),14252364)</f>
        <v>14252364</v>
      </c>
    </row>
    <row r="282" spans="1:6" x14ac:dyDescent="0.35">
      <c r="A282" s="2">
        <f ca="1">IFERROR(__xludf.DUMMYFUNCTION("""COMPUTED_VALUE"""),42412.6666666666)</f>
        <v>42412.666666666599</v>
      </c>
      <c r="B282" s="1">
        <f ca="1">IFERROR(__xludf.DUMMYFUNCTION("""COMPUTED_VALUE"""),10.33)</f>
        <v>10.33</v>
      </c>
      <c r="C282" s="1">
        <f ca="1">IFERROR(__xludf.DUMMYFUNCTION("""COMPUTED_VALUE"""),10.47)</f>
        <v>10.47</v>
      </c>
      <c r="D282" s="1">
        <f ca="1">IFERROR(__xludf.DUMMYFUNCTION("""COMPUTED_VALUE"""),9.58)</f>
        <v>9.58</v>
      </c>
      <c r="E282" s="1">
        <f ca="1">IFERROR(__xludf.DUMMYFUNCTION("""COMPUTED_VALUE"""),10.07)</f>
        <v>10.07</v>
      </c>
      <c r="F282" s="1">
        <f ca="1">IFERROR(__xludf.DUMMYFUNCTION("""COMPUTED_VALUE"""),7235783)</f>
        <v>7235783</v>
      </c>
    </row>
    <row r="283" spans="1:6" x14ac:dyDescent="0.35">
      <c r="A283" s="2">
        <f ca="1">IFERROR(__xludf.DUMMYFUNCTION("""COMPUTED_VALUE"""),42416.6666666666)</f>
        <v>42416.666666666599</v>
      </c>
      <c r="B283" s="1">
        <f ca="1">IFERROR(__xludf.DUMMYFUNCTION("""COMPUTED_VALUE"""),10.58)</f>
        <v>10.58</v>
      </c>
      <c r="C283" s="1">
        <f ca="1">IFERROR(__xludf.DUMMYFUNCTION("""COMPUTED_VALUE"""),10.86)</f>
        <v>10.86</v>
      </c>
      <c r="D283" s="1">
        <f ca="1">IFERROR(__xludf.DUMMYFUNCTION("""COMPUTED_VALUE"""),10.27)</f>
        <v>10.27</v>
      </c>
      <c r="E283" s="1">
        <f ca="1">IFERROR(__xludf.DUMMYFUNCTION("""COMPUTED_VALUE"""),10.34)</f>
        <v>10.34</v>
      </c>
      <c r="F283" s="1">
        <f ca="1">IFERROR(__xludf.DUMMYFUNCTION("""COMPUTED_VALUE"""),5593794)</f>
        <v>5593794</v>
      </c>
    </row>
    <row r="284" spans="1:6" x14ac:dyDescent="0.35">
      <c r="A284" s="2">
        <f ca="1">IFERROR(__xludf.DUMMYFUNCTION("""COMPUTED_VALUE"""),42417.6666666666)</f>
        <v>42417.666666666599</v>
      </c>
      <c r="B284" s="1">
        <f ca="1">IFERROR(__xludf.DUMMYFUNCTION("""COMPUTED_VALUE"""),10.6)</f>
        <v>10.6</v>
      </c>
      <c r="C284" s="1">
        <f ca="1">IFERROR(__xludf.DUMMYFUNCTION("""COMPUTED_VALUE"""),11.29)</f>
        <v>11.29</v>
      </c>
      <c r="D284" s="1">
        <f ca="1">IFERROR(__xludf.DUMMYFUNCTION("""COMPUTED_VALUE"""),10.45)</f>
        <v>10.45</v>
      </c>
      <c r="E284" s="1">
        <f ca="1">IFERROR(__xludf.DUMMYFUNCTION("""COMPUTED_VALUE"""),11.25)</f>
        <v>11.25</v>
      </c>
      <c r="F284" s="1">
        <f ca="1">IFERROR(__xludf.DUMMYFUNCTION("""COMPUTED_VALUE"""),5825159)</f>
        <v>5825159</v>
      </c>
    </row>
    <row r="285" spans="1:6" x14ac:dyDescent="0.35">
      <c r="A285" s="2">
        <f ca="1">IFERROR(__xludf.DUMMYFUNCTION("""COMPUTED_VALUE"""),42418.6666666666)</f>
        <v>42418.666666666599</v>
      </c>
      <c r="B285" s="1">
        <f ca="1">IFERROR(__xludf.DUMMYFUNCTION("""COMPUTED_VALUE"""),11.49)</f>
        <v>11.49</v>
      </c>
      <c r="C285" s="1">
        <f ca="1">IFERROR(__xludf.DUMMYFUNCTION("""COMPUTED_VALUE"""),11.53)</f>
        <v>11.53</v>
      </c>
      <c r="D285" s="1">
        <f ca="1">IFERROR(__xludf.DUMMYFUNCTION("""COMPUTED_VALUE"""),10.98)</f>
        <v>10.98</v>
      </c>
      <c r="E285" s="1">
        <f ca="1">IFERROR(__xludf.DUMMYFUNCTION("""COMPUTED_VALUE"""),11.12)</f>
        <v>11.12</v>
      </c>
      <c r="F285" s="1">
        <f ca="1">IFERROR(__xludf.DUMMYFUNCTION("""COMPUTED_VALUE"""),3887574)</f>
        <v>3887574</v>
      </c>
    </row>
    <row r="286" spans="1:6" x14ac:dyDescent="0.35">
      <c r="A286" s="2">
        <f ca="1">IFERROR(__xludf.DUMMYFUNCTION("""COMPUTED_VALUE"""),42419.6666666666)</f>
        <v>42419.666666666599</v>
      </c>
      <c r="B286" s="1">
        <f ca="1">IFERROR(__xludf.DUMMYFUNCTION("""COMPUTED_VALUE"""),10.91)</f>
        <v>10.91</v>
      </c>
      <c r="C286" s="1">
        <f ca="1">IFERROR(__xludf.DUMMYFUNCTION("""COMPUTED_VALUE"""),11.17)</f>
        <v>11.17</v>
      </c>
      <c r="D286" s="1">
        <f ca="1">IFERROR(__xludf.DUMMYFUNCTION("""COMPUTED_VALUE"""),10.83)</f>
        <v>10.83</v>
      </c>
      <c r="E286" s="1">
        <f ca="1">IFERROR(__xludf.DUMMYFUNCTION("""COMPUTED_VALUE"""),11.11)</f>
        <v>11.11</v>
      </c>
      <c r="F286" s="1">
        <f ca="1">IFERROR(__xludf.DUMMYFUNCTION("""COMPUTED_VALUE"""),2959390)</f>
        <v>2959390</v>
      </c>
    </row>
    <row r="287" spans="1:6" x14ac:dyDescent="0.35">
      <c r="A287" s="2">
        <f ca="1">IFERROR(__xludf.DUMMYFUNCTION("""COMPUTED_VALUE"""),42422.6666666666)</f>
        <v>42422.666666666599</v>
      </c>
      <c r="B287" s="1">
        <f ca="1">IFERROR(__xludf.DUMMYFUNCTION("""COMPUTED_VALUE"""),11.34)</f>
        <v>11.34</v>
      </c>
      <c r="C287" s="1">
        <f ca="1">IFERROR(__xludf.DUMMYFUNCTION("""COMPUTED_VALUE"""),11.93)</f>
        <v>11.93</v>
      </c>
      <c r="D287" s="1">
        <f ca="1">IFERROR(__xludf.DUMMYFUNCTION("""COMPUTED_VALUE"""),11.32)</f>
        <v>11.32</v>
      </c>
      <c r="E287" s="1">
        <f ca="1">IFERROR(__xludf.DUMMYFUNCTION("""COMPUTED_VALUE"""),11.85)</f>
        <v>11.85</v>
      </c>
      <c r="F287" s="1">
        <f ca="1">IFERROR(__xludf.DUMMYFUNCTION("""COMPUTED_VALUE"""),5060051)</f>
        <v>5060051</v>
      </c>
    </row>
    <row r="288" spans="1:6" x14ac:dyDescent="0.35">
      <c r="A288" s="2">
        <f ca="1">IFERROR(__xludf.DUMMYFUNCTION("""COMPUTED_VALUE"""),42423.6666666666)</f>
        <v>42423.666666666599</v>
      </c>
      <c r="B288" s="1">
        <f ca="1">IFERROR(__xludf.DUMMYFUNCTION("""COMPUTED_VALUE"""),11.74)</f>
        <v>11.74</v>
      </c>
      <c r="C288" s="1">
        <f ca="1">IFERROR(__xludf.DUMMYFUNCTION("""COMPUTED_VALUE"""),12.12)</f>
        <v>12.12</v>
      </c>
      <c r="D288" s="1">
        <f ca="1">IFERROR(__xludf.DUMMYFUNCTION("""COMPUTED_VALUE"""),11.58)</f>
        <v>11.58</v>
      </c>
      <c r="E288" s="1">
        <f ca="1">IFERROR(__xludf.DUMMYFUNCTION("""COMPUTED_VALUE"""),11.81)</f>
        <v>11.81</v>
      </c>
      <c r="F288" s="1">
        <f ca="1">IFERROR(__xludf.DUMMYFUNCTION("""COMPUTED_VALUE"""),5984374)</f>
        <v>5984374</v>
      </c>
    </row>
    <row r="289" spans="1:6" x14ac:dyDescent="0.35">
      <c r="A289" s="2">
        <f ca="1">IFERROR(__xludf.DUMMYFUNCTION("""COMPUTED_VALUE"""),42424.6666666666)</f>
        <v>42424.666666666599</v>
      </c>
      <c r="B289" s="1">
        <f ca="1">IFERROR(__xludf.DUMMYFUNCTION("""COMPUTED_VALUE"""),11.52)</f>
        <v>11.52</v>
      </c>
      <c r="C289" s="1">
        <f ca="1">IFERROR(__xludf.DUMMYFUNCTION("""COMPUTED_VALUE"""),11.97)</f>
        <v>11.97</v>
      </c>
      <c r="D289" s="1">
        <f ca="1">IFERROR(__xludf.DUMMYFUNCTION("""COMPUTED_VALUE"""),11.19)</f>
        <v>11.19</v>
      </c>
      <c r="E289" s="1">
        <f ca="1">IFERROR(__xludf.DUMMYFUNCTION("""COMPUTED_VALUE"""),11.93)</f>
        <v>11.93</v>
      </c>
      <c r="F289" s="1">
        <f ca="1">IFERROR(__xludf.DUMMYFUNCTION("""COMPUTED_VALUE"""),5395609)</f>
        <v>5395609</v>
      </c>
    </row>
    <row r="290" spans="1:6" x14ac:dyDescent="0.35">
      <c r="A290" s="2">
        <f ca="1">IFERROR(__xludf.DUMMYFUNCTION("""COMPUTED_VALUE"""),42425.6666666666)</f>
        <v>42425.666666666599</v>
      </c>
      <c r="B290" s="1">
        <f ca="1">IFERROR(__xludf.DUMMYFUNCTION("""COMPUTED_VALUE"""),11.91)</f>
        <v>11.91</v>
      </c>
      <c r="C290" s="1">
        <f ca="1">IFERROR(__xludf.DUMMYFUNCTION("""COMPUTED_VALUE"""),12.57)</f>
        <v>12.57</v>
      </c>
      <c r="D290" s="1">
        <f ca="1">IFERROR(__xludf.DUMMYFUNCTION("""COMPUTED_VALUE"""),11.68)</f>
        <v>11.68</v>
      </c>
      <c r="E290" s="1">
        <f ca="1">IFERROR(__xludf.DUMMYFUNCTION("""COMPUTED_VALUE"""),12.5)</f>
        <v>12.5</v>
      </c>
      <c r="F290" s="1">
        <f ca="1">IFERROR(__xludf.DUMMYFUNCTION("""COMPUTED_VALUE"""),5750741)</f>
        <v>5750741</v>
      </c>
    </row>
    <row r="291" spans="1:6" x14ac:dyDescent="0.35">
      <c r="A291" s="2">
        <f ca="1">IFERROR(__xludf.DUMMYFUNCTION("""COMPUTED_VALUE"""),42426.6666666666)</f>
        <v>42426.666666666599</v>
      </c>
      <c r="B291" s="1">
        <f ca="1">IFERROR(__xludf.DUMMYFUNCTION("""COMPUTED_VALUE"""),12.58)</f>
        <v>12.58</v>
      </c>
      <c r="C291" s="1">
        <f ca="1">IFERROR(__xludf.DUMMYFUNCTION("""COMPUTED_VALUE"""),12.8)</f>
        <v>12.8</v>
      </c>
      <c r="D291" s="1">
        <f ca="1">IFERROR(__xludf.DUMMYFUNCTION("""COMPUTED_VALUE"""),12.33)</f>
        <v>12.33</v>
      </c>
      <c r="E291" s="1">
        <f ca="1">IFERROR(__xludf.DUMMYFUNCTION("""COMPUTED_VALUE"""),12.69)</f>
        <v>12.69</v>
      </c>
      <c r="F291" s="1">
        <f ca="1">IFERROR(__xludf.DUMMYFUNCTION("""COMPUTED_VALUE"""),6065117)</f>
        <v>6065117</v>
      </c>
    </row>
    <row r="292" spans="1:6" x14ac:dyDescent="0.35">
      <c r="A292" s="2">
        <f ca="1">IFERROR(__xludf.DUMMYFUNCTION("""COMPUTED_VALUE"""),42429.6666666666)</f>
        <v>42429.666666666599</v>
      </c>
      <c r="B292" s="1">
        <f ca="1">IFERROR(__xludf.DUMMYFUNCTION("""COMPUTED_VALUE"""),12.83)</f>
        <v>12.83</v>
      </c>
      <c r="C292" s="1">
        <f ca="1">IFERROR(__xludf.DUMMYFUNCTION("""COMPUTED_VALUE"""),13.09)</f>
        <v>13.09</v>
      </c>
      <c r="D292" s="1">
        <f ca="1">IFERROR(__xludf.DUMMYFUNCTION("""COMPUTED_VALUE"""),12.61)</f>
        <v>12.61</v>
      </c>
      <c r="E292" s="1">
        <f ca="1">IFERROR(__xludf.DUMMYFUNCTION("""COMPUTED_VALUE"""),12.8)</f>
        <v>12.8</v>
      </c>
      <c r="F292" s="1">
        <f ca="1">IFERROR(__xludf.DUMMYFUNCTION("""COMPUTED_VALUE"""),4498997)</f>
        <v>4498997</v>
      </c>
    </row>
    <row r="293" spans="1:6" x14ac:dyDescent="0.35">
      <c r="A293" s="2">
        <f ca="1">IFERROR(__xludf.DUMMYFUNCTION("""COMPUTED_VALUE"""),42430.6666666666)</f>
        <v>42430.666666666599</v>
      </c>
      <c r="B293" s="1">
        <f ca="1">IFERROR(__xludf.DUMMYFUNCTION("""COMPUTED_VALUE"""),12.95)</f>
        <v>12.95</v>
      </c>
      <c r="C293" s="1">
        <f ca="1">IFERROR(__xludf.DUMMYFUNCTION("""COMPUTED_VALUE"""),13.06)</f>
        <v>13.06</v>
      </c>
      <c r="D293" s="1">
        <f ca="1">IFERROR(__xludf.DUMMYFUNCTION("""COMPUTED_VALUE"""),12.18)</f>
        <v>12.18</v>
      </c>
      <c r="E293" s="1">
        <f ca="1">IFERROR(__xludf.DUMMYFUNCTION("""COMPUTED_VALUE"""),12.42)</f>
        <v>12.42</v>
      </c>
      <c r="F293" s="1">
        <f ca="1">IFERROR(__xludf.DUMMYFUNCTION("""COMPUTED_VALUE"""),6712159)</f>
        <v>6712159</v>
      </c>
    </row>
    <row r="294" spans="1:6" x14ac:dyDescent="0.35">
      <c r="A294" s="2">
        <f ca="1">IFERROR(__xludf.DUMMYFUNCTION("""COMPUTED_VALUE"""),42431.6666666666)</f>
        <v>42431.666666666599</v>
      </c>
      <c r="B294" s="1">
        <f ca="1">IFERROR(__xludf.DUMMYFUNCTION("""COMPUTED_VALUE"""),12.25)</f>
        <v>12.25</v>
      </c>
      <c r="C294" s="1">
        <f ca="1">IFERROR(__xludf.DUMMYFUNCTION("""COMPUTED_VALUE"""),12.57)</f>
        <v>12.57</v>
      </c>
      <c r="D294" s="1">
        <f ca="1">IFERROR(__xludf.DUMMYFUNCTION("""COMPUTED_VALUE"""),12.1)</f>
        <v>12.1</v>
      </c>
      <c r="E294" s="1">
        <f ca="1">IFERROR(__xludf.DUMMYFUNCTION("""COMPUTED_VALUE"""),12.56)</f>
        <v>12.56</v>
      </c>
      <c r="F294" s="1">
        <f ca="1">IFERROR(__xludf.DUMMYFUNCTION("""COMPUTED_VALUE"""),4862396)</f>
        <v>4862396</v>
      </c>
    </row>
    <row r="295" spans="1:6" x14ac:dyDescent="0.35">
      <c r="A295" s="2">
        <f ca="1">IFERROR(__xludf.DUMMYFUNCTION("""COMPUTED_VALUE"""),42432.6666666666)</f>
        <v>42432.666666666599</v>
      </c>
      <c r="B295" s="1">
        <f ca="1">IFERROR(__xludf.DUMMYFUNCTION("""COMPUTED_VALUE"""),12.55)</f>
        <v>12.55</v>
      </c>
      <c r="C295" s="1">
        <f ca="1">IFERROR(__xludf.DUMMYFUNCTION("""COMPUTED_VALUE"""),13.16)</f>
        <v>13.16</v>
      </c>
      <c r="D295" s="1">
        <f ca="1">IFERROR(__xludf.DUMMYFUNCTION("""COMPUTED_VALUE"""),12.28)</f>
        <v>12.28</v>
      </c>
      <c r="E295" s="1">
        <f ca="1">IFERROR(__xludf.DUMMYFUNCTION("""COMPUTED_VALUE"""),13.05)</f>
        <v>13.05</v>
      </c>
      <c r="F295" s="1">
        <f ca="1">IFERROR(__xludf.DUMMYFUNCTION("""COMPUTED_VALUE"""),4829018)</f>
        <v>4829018</v>
      </c>
    </row>
    <row r="296" spans="1:6" x14ac:dyDescent="0.35">
      <c r="A296" s="2">
        <f ca="1">IFERROR(__xludf.DUMMYFUNCTION("""COMPUTED_VALUE"""),42433.6666666666)</f>
        <v>42433.666666666599</v>
      </c>
      <c r="B296" s="1">
        <f ca="1">IFERROR(__xludf.DUMMYFUNCTION("""COMPUTED_VALUE"""),13.2)</f>
        <v>13.2</v>
      </c>
      <c r="C296" s="1">
        <f ca="1">IFERROR(__xludf.DUMMYFUNCTION("""COMPUTED_VALUE"""),13.6)</f>
        <v>13.6</v>
      </c>
      <c r="D296" s="1">
        <f ca="1">IFERROR(__xludf.DUMMYFUNCTION("""COMPUTED_VALUE"""),13.17)</f>
        <v>13.17</v>
      </c>
      <c r="E296" s="1">
        <f ca="1">IFERROR(__xludf.DUMMYFUNCTION("""COMPUTED_VALUE"""),13.4)</f>
        <v>13.4</v>
      </c>
      <c r="F296" s="1">
        <f ca="1">IFERROR(__xludf.DUMMYFUNCTION("""COMPUTED_VALUE"""),6489058)</f>
        <v>6489058</v>
      </c>
    </row>
    <row r="297" spans="1:6" x14ac:dyDescent="0.35">
      <c r="A297" s="2">
        <f ca="1">IFERROR(__xludf.DUMMYFUNCTION("""COMPUTED_VALUE"""),42436.6666666666)</f>
        <v>42436.666666666599</v>
      </c>
      <c r="B297" s="1">
        <f ca="1">IFERROR(__xludf.DUMMYFUNCTION("""COMPUTED_VALUE"""),13.18)</f>
        <v>13.18</v>
      </c>
      <c r="C297" s="1">
        <f ca="1">IFERROR(__xludf.DUMMYFUNCTION("""COMPUTED_VALUE"""),13.98)</f>
        <v>13.98</v>
      </c>
      <c r="D297" s="1">
        <f ca="1">IFERROR(__xludf.DUMMYFUNCTION("""COMPUTED_VALUE"""),13.16)</f>
        <v>13.16</v>
      </c>
      <c r="E297" s="1">
        <f ca="1">IFERROR(__xludf.DUMMYFUNCTION("""COMPUTED_VALUE"""),13.69)</f>
        <v>13.69</v>
      </c>
      <c r="F297" s="1">
        <f ca="1">IFERROR(__xludf.DUMMYFUNCTION("""COMPUTED_VALUE"""),5337072)</f>
        <v>5337072</v>
      </c>
    </row>
    <row r="298" spans="1:6" x14ac:dyDescent="0.35">
      <c r="A298" s="2">
        <f ca="1">IFERROR(__xludf.DUMMYFUNCTION("""COMPUTED_VALUE"""),42437.6666666666)</f>
        <v>42437.666666666599</v>
      </c>
      <c r="B298" s="1">
        <f ca="1">IFERROR(__xludf.DUMMYFUNCTION("""COMPUTED_VALUE"""),13.57)</f>
        <v>13.57</v>
      </c>
      <c r="C298" s="1">
        <f ca="1">IFERROR(__xludf.DUMMYFUNCTION("""COMPUTED_VALUE"""),13.83)</f>
        <v>13.83</v>
      </c>
      <c r="D298" s="1">
        <f ca="1">IFERROR(__xludf.DUMMYFUNCTION("""COMPUTED_VALUE"""),13.48)</f>
        <v>13.48</v>
      </c>
      <c r="E298" s="1">
        <f ca="1">IFERROR(__xludf.DUMMYFUNCTION("""COMPUTED_VALUE"""),13.51)</f>
        <v>13.51</v>
      </c>
      <c r="F298" s="1">
        <f ca="1">IFERROR(__xludf.DUMMYFUNCTION("""COMPUTED_VALUE"""),4178693)</f>
        <v>4178693</v>
      </c>
    </row>
    <row r="299" spans="1:6" x14ac:dyDescent="0.35">
      <c r="A299" s="2">
        <f ca="1">IFERROR(__xludf.DUMMYFUNCTION("""COMPUTED_VALUE"""),42438.6666666666)</f>
        <v>42438.666666666599</v>
      </c>
      <c r="B299" s="1">
        <f ca="1">IFERROR(__xludf.DUMMYFUNCTION("""COMPUTED_VALUE"""),13.63)</f>
        <v>13.63</v>
      </c>
      <c r="C299" s="1">
        <f ca="1">IFERROR(__xludf.DUMMYFUNCTION("""COMPUTED_VALUE"""),13.96)</f>
        <v>13.96</v>
      </c>
      <c r="D299" s="1">
        <f ca="1">IFERROR(__xludf.DUMMYFUNCTION("""COMPUTED_VALUE"""),13.52)</f>
        <v>13.52</v>
      </c>
      <c r="E299" s="1">
        <f ca="1">IFERROR(__xludf.DUMMYFUNCTION("""COMPUTED_VALUE"""),13.91)</f>
        <v>13.91</v>
      </c>
      <c r="F299" s="1">
        <f ca="1">IFERROR(__xludf.DUMMYFUNCTION("""COMPUTED_VALUE"""),3208554)</f>
        <v>3208554</v>
      </c>
    </row>
    <row r="300" spans="1:6" x14ac:dyDescent="0.35">
      <c r="A300" s="2">
        <f ca="1">IFERROR(__xludf.DUMMYFUNCTION("""COMPUTED_VALUE"""),42439.6666666666)</f>
        <v>42439.666666666599</v>
      </c>
      <c r="B300" s="1">
        <f ca="1">IFERROR(__xludf.DUMMYFUNCTION("""COMPUTED_VALUE"""),14)</f>
        <v>14</v>
      </c>
      <c r="C300" s="1">
        <f ca="1">IFERROR(__xludf.DUMMYFUNCTION("""COMPUTED_VALUE"""),14.22)</f>
        <v>14.22</v>
      </c>
      <c r="D300" s="1">
        <f ca="1">IFERROR(__xludf.DUMMYFUNCTION("""COMPUTED_VALUE"""),13.38)</f>
        <v>13.38</v>
      </c>
      <c r="E300" s="1">
        <f ca="1">IFERROR(__xludf.DUMMYFUNCTION("""COMPUTED_VALUE"""),13.68)</f>
        <v>13.68</v>
      </c>
      <c r="F300" s="1">
        <f ca="1">IFERROR(__xludf.DUMMYFUNCTION("""COMPUTED_VALUE"""),5192523)</f>
        <v>5192523</v>
      </c>
    </row>
    <row r="301" spans="1:6" x14ac:dyDescent="0.35">
      <c r="A301" s="2">
        <f ca="1">IFERROR(__xludf.DUMMYFUNCTION("""COMPUTED_VALUE"""),42440.6666666666)</f>
        <v>42440.666666666599</v>
      </c>
      <c r="B301" s="1">
        <f ca="1">IFERROR(__xludf.DUMMYFUNCTION("""COMPUTED_VALUE"""),13.86)</f>
        <v>13.86</v>
      </c>
      <c r="C301" s="1">
        <f ca="1">IFERROR(__xludf.DUMMYFUNCTION("""COMPUTED_VALUE"""),13.96)</f>
        <v>13.96</v>
      </c>
      <c r="D301" s="1">
        <f ca="1">IFERROR(__xludf.DUMMYFUNCTION("""COMPUTED_VALUE"""),13.69)</f>
        <v>13.69</v>
      </c>
      <c r="E301" s="1">
        <f ca="1">IFERROR(__xludf.DUMMYFUNCTION("""COMPUTED_VALUE"""),13.83)</f>
        <v>13.83</v>
      </c>
      <c r="F301" s="1">
        <f ca="1">IFERROR(__xludf.DUMMYFUNCTION("""COMPUTED_VALUE"""),3343077)</f>
        <v>3343077</v>
      </c>
    </row>
    <row r="302" spans="1:6" x14ac:dyDescent="0.35">
      <c r="A302" s="2">
        <f ca="1">IFERROR(__xludf.DUMMYFUNCTION("""COMPUTED_VALUE"""),42443.6666666666)</f>
        <v>42443.666666666599</v>
      </c>
      <c r="B302" s="1">
        <f ca="1">IFERROR(__xludf.DUMMYFUNCTION("""COMPUTED_VALUE"""),14.18)</f>
        <v>14.18</v>
      </c>
      <c r="C302" s="1">
        <f ca="1">IFERROR(__xludf.DUMMYFUNCTION("""COMPUTED_VALUE"""),14.45)</f>
        <v>14.45</v>
      </c>
      <c r="D302" s="1">
        <f ca="1">IFERROR(__xludf.DUMMYFUNCTION("""COMPUTED_VALUE"""),14.04)</f>
        <v>14.04</v>
      </c>
      <c r="E302" s="1">
        <f ca="1">IFERROR(__xludf.DUMMYFUNCTION("""COMPUTED_VALUE"""),14.34)</f>
        <v>14.34</v>
      </c>
      <c r="F302" s="1">
        <f ca="1">IFERROR(__xludf.DUMMYFUNCTION("""COMPUTED_VALUE"""),4065706)</f>
        <v>4065706</v>
      </c>
    </row>
    <row r="303" spans="1:6" x14ac:dyDescent="0.35">
      <c r="A303" s="2">
        <f ca="1">IFERROR(__xludf.DUMMYFUNCTION("""COMPUTED_VALUE"""),42444.6666666666)</f>
        <v>42444.666666666599</v>
      </c>
      <c r="B303" s="1">
        <f ca="1">IFERROR(__xludf.DUMMYFUNCTION("""COMPUTED_VALUE"""),14.28)</f>
        <v>14.28</v>
      </c>
      <c r="C303" s="1">
        <f ca="1">IFERROR(__xludf.DUMMYFUNCTION("""COMPUTED_VALUE"""),14.6)</f>
        <v>14.6</v>
      </c>
      <c r="D303" s="1">
        <f ca="1">IFERROR(__xludf.DUMMYFUNCTION("""COMPUTED_VALUE"""),14.1)</f>
        <v>14.1</v>
      </c>
      <c r="E303" s="1">
        <f ca="1">IFERROR(__xludf.DUMMYFUNCTION("""COMPUTED_VALUE"""),14.56)</f>
        <v>14.56</v>
      </c>
      <c r="F303" s="1">
        <f ca="1">IFERROR(__xludf.DUMMYFUNCTION("""COMPUTED_VALUE"""),3180452)</f>
        <v>3180452</v>
      </c>
    </row>
    <row r="304" spans="1:6" x14ac:dyDescent="0.35">
      <c r="A304" s="2">
        <f ca="1">IFERROR(__xludf.DUMMYFUNCTION("""COMPUTED_VALUE"""),42445.6666666666)</f>
        <v>42445.666666666599</v>
      </c>
      <c r="B304" s="1">
        <f ca="1">IFERROR(__xludf.DUMMYFUNCTION("""COMPUTED_VALUE"""),14.53)</f>
        <v>14.53</v>
      </c>
      <c r="C304" s="1">
        <f ca="1">IFERROR(__xludf.DUMMYFUNCTION("""COMPUTED_VALUE"""),14.84)</f>
        <v>14.84</v>
      </c>
      <c r="D304" s="1">
        <f ca="1">IFERROR(__xludf.DUMMYFUNCTION("""COMPUTED_VALUE"""),14.47)</f>
        <v>14.47</v>
      </c>
      <c r="E304" s="1">
        <f ca="1">IFERROR(__xludf.DUMMYFUNCTION("""COMPUTED_VALUE"""),14.8)</f>
        <v>14.8</v>
      </c>
      <c r="F304" s="1">
        <f ca="1">IFERROR(__xludf.DUMMYFUNCTION("""COMPUTED_VALUE"""),3516703)</f>
        <v>3516703</v>
      </c>
    </row>
    <row r="305" spans="1:6" x14ac:dyDescent="0.35">
      <c r="A305" s="2">
        <f ca="1">IFERROR(__xludf.DUMMYFUNCTION("""COMPUTED_VALUE"""),42446.6666666666)</f>
        <v>42446.666666666599</v>
      </c>
      <c r="B305" s="1">
        <f ca="1">IFERROR(__xludf.DUMMYFUNCTION("""COMPUTED_VALUE"""),14.76)</f>
        <v>14.76</v>
      </c>
      <c r="C305" s="1">
        <f ca="1">IFERROR(__xludf.DUMMYFUNCTION("""COMPUTED_VALUE"""),15.23)</f>
        <v>15.23</v>
      </c>
      <c r="D305" s="1">
        <f ca="1">IFERROR(__xludf.DUMMYFUNCTION("""COMPUTED_VALUE"""),14.67)</f>
        <v>14.67</v>
      </c>
      <c r="E305" s="1">
        <f ca="1">IFERROR(__xludf.DUMMYFUNCTION("""COMPUTED_VALUE"""),15.09)</f>
        <v>15.09</v>
      </c>
      <c r="F305" s="1">
        <f ca="1">IFERROR(__xludf.DUMMYFUNCTION("""COMPUTED_VALUE"""),1094018)</f>
        <v>1094018</v>
      </c>
    </row>
    <row r="306" spans="1:6" x14ac:dyDescent="0.35">
      <c r="A306" s="2">
        <f ca="1">IFERROR(__xludf.DUMMYFUNCTION("""COMPUTED_VALUE"""),42447.6666666666)</f>
        <v>42447.666666666599</v>
      </c>
      <c r="B306" s="1">
        <f ca="1">IFERROR(__xludf.DUMMYFUNCTION("""COMPUTED_VALUE"""),15.27)</f>
        <v>15.27</v>
      </c>
      <c r="C306" s="1">
        <f ca="1">IFERROR(__xludf.DUMMYFUNCTION("""COMPUTED_VALUE"""),15.63)</f>
        <v>15.63</v>
      </c>
      <c r="D306" s="1">
        <f ca="1">IFERROR(__xludf.DUMMYFUNCTION("""COMPUTED_VALUE"""),15.2)</f>
        <v>15.2</v>
      </c>
      <c r="E306" s="1">
        <f ca="1">IFERROR(__xludf.DUMMYFUNCTION("""COMPUTED_VALUE"""),15.52)</f>
        <v>15.52</v>
      </c>
      <c r="F306" s="1">
        <f ca="1">IFERROR(__xludf.DUMMYFUNCTION("""COMPUTED_VALUE"""),4711793)</f>
        <v>4711793</v>
      </c>
    </row>
    <row r="307" spans="1:6" x14ac:dyDescent="0.35">
      <c r="A307" s="2">
        <f ca="1">IFERROR(__xludf.DUMMYFUNCTION("""COMPUTED_VALUE"""),42450.6666666666)</f>
        <v>42450.666666666599</v>
      </c>
      <c r="B307" s="1">
        <f ca="1">IFERROR(__xludf.DUMMYFUNCTION("""COMPUTED_VALUE"""),15.69)</f>
        <v>15.69</v>
      </c>
      <c r="C307" s="1">
        <f ca="1">IFERROR(__xludf.DUMMYFUNCTION("""COMPUTED_VALUE"""),15.99)</f>
        <v>15.99</v>
      </c>
      <c r="D307" s="1">
        <f ca="1">IFERROR(__xludf.DUMMYFUNCTION("""COMPUTED_VALUE"""),15.67)</f>
        <v>15.67</v>
      </c>
      <c r="E307" s="1">
        <f ca="1">IFERROR(__xludf.DUMMYFUNCTION("""COMPUTED_VALUE"""),15.89)</f>
        <v>15.89</v>
      </c>
      <c r="F307" s="1">
        <f ca="1">IFERROR(__xludf.DUMMYFUNCTION("""COMPUTED_VALUE"""),5307822)</f>
        <v>5307822</v>
      </c>
    </row>
    <row r="308" spans="1:6" x14ac:dyDescent="0.35">
      <c r="A308" s="2">
        <f ca="1">IFERROR(__xludf.DUMMYFUNCTION("""COMPUTED_VALUE"""),42451.6666666666)</f>
        <v>42451.666666666599</v>
      </c>
      <c r="B308" s="1">
        <f ca="1">IFERROR(__xludf.DUMMYFUNCTION("""COMPUTED_VALUE"""),15.81)</f>
        <v>15.81</v>
      </c>
      <c r="C308" s="1">
        <f ca="1">IFERROR(__xludf.DUMMYFUNCTION("""COMPUTED_VALUE"""),15.93)</f>
        <v>15.93</v>
      </c>
      <c r="D308" s="1">
        <f ca="1">IFERROR(__xludf.DUMMYFUNCTION("""COMPUTED_VALUE"""),15.5)</f>
        <v>15.5</v>
      </c>
      <c r="E308" s="1">
        <f ca="1">IFERROR(__xludf.DUMMYFUNCTION("""COMPUTED_VALUE"""),15.62)</f>
        <v>15.62</v>
      </c>
      <c r="F308" s="1">
        <f ca="1">IFERROR(__xludf.DUMMYFUNCTION("""COMPUTED_VALUE"""),4315988)</f>
        <v>4315988</v>
      </c>
    </row>
    <row r="309" spans="1:6" x14ac:dyDescent="0.35">
      <c r="A309" s="2">
        <f ca="1">IFERROR(__xludf.DUMMYFUNCTION("""COMPUTED_VALUE"""),42452.6666666666)</f>
        <v>42452.666666666599</v>
      </c>
      <c r="B309" s="1">
        <f ca="1">IFERROR(__xludf.DUMMYFUNCTION("""COMPUTED_VALUE"""),15.49)</f>
        <v>15.49</v>
      </c>
      <c r="C309" s="1">
        <f ca="1">IFERROR(__xludf.DUMMYFUNCTION("""COMPUTED_VALUE"""),15.65)</f>
        <v>15.65</v>
      </c>
      <c r="D309" s="1">
        <f ca="1">IFERROR(__xludf.DUMMYFUNCTION("""COMPUTED_VALUE"""),14.8)</f>
        <v>14.8</v>
      </c>
      <c r="E309" s="1">
        <f ca="1">IFERROR(__xludf.DUMMYFUNCTION("""COMPUTED_VALUE"""),14.84)</f>
        <v>14.84</v>
      </c>
      <c r="F309" s="1">
        <f ca="1">IFERROR(__xludf.DUMMYFUNCTION("""COMPUTED_VALUE"""),4948841)</f>
        <v>4948841</v>
      </c>
    </row>
    <row r="310" spans="1:6" x14ac:dyDescent="0.35">
      <c r="A310" s="2">
        <f ca="1">IFERROR(__xludf.DUMMYFUNCTION("""COMPUTED_VALUE"""),42453.6666666666)</f>
        <v>42453.666666666599</v>
      </c>
      <c r="B310" s="1">
        <f ca="1">IFERROR(__xludf.DUMMYFUNCTION("""COMPUTED_VALUE"""),14.39)</f>
        <v>14.39</v>
      </c>
      <c r="C310" s="1">
        <f ca="1">IFERROR(__xludf.DUMMYFUNCTION("""COMPUTED_VALUE"""),15.26)</f>
        <v>15.26</v>
      </c>
      <c r="D310" s="1">
        <f ca="1">IFERROR(__xludf.DUMMYFUNCTION("""COMPUTED_VALUE"""),14.33)</f>
        <v>14.33</v>
      </c>
      <c r="E310" s="1">
        <f ca="1">IFERROR(__xludf.DUMMYFUNCTION("""COMPUTED_VALUE"""),15.18)</f>
        <v>15.18</v>
      </c>
      <c r="F310" s="1">
        <f ca="1">IFERROR(__xludf.DUMMYFUNCTION("""COMPUTED_VALUE"""),4960900)</f>
        <v>4960900</v>
      </c>
    </row>
    <row r="311" spans="1:6" x14ac:dyDescent="0.35">
      <c r="A311" s="2">
        <f ca="1">IFERROR(__xludf.DUMMYFUNCTION("""COMPUTED_VALUE"""),42457.6666666666)</f>
        <v>42457.666666666599</v>
      </c>
      <c r="B311" s="1">
        <f ca="1">IFERROR(__xludf.DUMMYFUNCTION("""COMPUTED_VALUE"""),15.44)</f>
        <v>15.44</v>
      </c>
      <c r="C311" s="1">
        <f ca="1">IFERROR(__xludf.DUMMYFUNCTION("""COMPUTED_VALUE"""),15.65)</f>
        <v>15.65</v>
      </c>
      <c r="D311" s="1">
        <f ca="1">IFERROR(__xludf.DUMMYFUNCTION("""COMPUTED_VALUE"""),15)</f>
        <v>15</v>
      </c>
      <c r="E311" s="1">
        <f ca="1">IFERROR(__xludf.DUMMYFUNCTION("""COMPUTED_VALUE"""),15.35)</f>
        <v>15.35</v>
      </c>
      <c r="F311" s="1">
        <f ca="1">IFERROR(__xludf.DUMMYFUNCTION("""COMPUTED_VALUE"""),3925685)</f>
        <v>3925685</v>
      </c>
    </row>
    <row r="312" spans="1:6" x14ac:dyDescent="0.35">
      <c r="A312" s="2">
        <f ca="1">IFERROR(__xludf.DUMMYFUNCTION("""COMPUTED_VALUE"""),42458.6666666666)</f>
        <v>42458.666666666599</v>
      </c>
      <c r="B312" s="1">
        <f ca="1">IFERROR(__xludf.DUMMYFUNCTION("""COMPUTED_VALUE"""),15.33)</f>
        <v>15.33</v>
      </c>
      <c r="C312" s="1">
        <f ca="1">IFERROR(__xludf.DUMMYFUNCTION("""COMPUTED_VALUE"""),15.49)</f>
        <v>15.49</v>
      </c>
      <c r="D312" s="1">
        <f ca="1">IFERROR(__xludf.DUMMYFUNCTION("""COMPUTED_VALUE"""),15.02)</f>
        <v>15.02</v>
      </c>
      <c r="E312" s="1">
        <f ca="1">IFERROR(__xludf.DUMMYFUNCTION("""COMPUTED_VALUE"""),15.34)</f>
        <v>15.34</v>
      </c>
      <c r="F312" s="1">
        <f ca="1">IFERROR(__xludf.DUMMYFUNCTION("""COMPUTED_VALUE"""),4014330)</f>
        <v>4014330</v>
      </c>
    </row>
    <row r="313" spans="1:6" x14ac:dyDescent="0.35">
      <c r="A313" s="2">
        <f ca="1">IFERROR(__xludf.DUMMYFUNCTION("""COMPUTED_VALUE"""),42459.6666666666)</f>
        <v>42459.666666666599</v>
      </c>
      <c r="B313" s="1">
        <f ca="1">IFERROR(__xludf.DUMMYFUNCTION("""COMPUTED_VALUE"""),15.67)</f>
        <v>15.67</v>
      </c>
      <c r="C313" s="1">
        <f ca="1">IFERROR(__xludf.DUMMYFUNCTION("""COMPUTED_VALUE"""),15.7)</f>
        <v>15.7</v>
      </c>
      <c r="D313" s="1">
        <f ca="1">IFERROR(__xludf.DUMMYFUNCTION("""COMPUTED_VALUE"""),15.1)</f>
        <v>15.1</v>
      </c>
      <c r="E313" s="1">
        <f ca="1">IFERROR(__xludf.DUMMYFUNCTION("""COMPUTED_VALUE"""),15.13)</f>
        <v>15.13</v>
      </c>
      <c r="F313" s="1">
        <f ca="1">IFERROR(__xludf.DUMMYFUNCTION("""COMPUTED_VALUE"""),4032982)</f>
        <v>4032982</v>
      </c>
    </row>
    <row r="314" spans="1:6" x14ac:dyDescent="0.35">
      <c r="A314" s="2">
        <f ca="1">IFERROR(__xludf.DUMMYFUNCTION("""COMPUTED_VALUE"""),42460.6666666666)</f>
        <v>42460.666666666599</v>
      </c>
      <c r="B314" s="1">
        <f ca="1">IFERROR(__xludf.DUMMYFUNCTION("""COMPUTED_VALUE"""),15.29)</f>
        <v>15.29</v>
      </c>
      <c r="C314" s="1">
        <f ca="1">IFERROR(__xludf.DUMMYFUNCTION("""COMPUTED_VALUE"""),15.83)</f>
        <v>15.83</v>
      </c>
      <c r="D314" s="1">
        <f ca="1">IFERROR(__xludf.DUMMYFUNCTION("""COMPUTED_VALUE"""),15)</f>
        <v>15</v>
      </c>
      <c r="E314" s="1">
        <f ca="1">IFERROR(__xludf.DUMMYFUNCTION("""COMPUTED_VALUE"""),15.32)</f>
        <v>15.32</v>
      </c>
      <c r="F314" s="1">
        <f ca="1">IFERROR(__xludf.DUMMYFUNCTION("""COMPUTED_VALUE"""),8012872)</f>
        <v>8012872</v>
      </c>
    </row>
    <row r="315" spans="1:6" x14ac:dyDescent="0.35">
      <c r="A315" s="2">
        <f ca="1">IFERROR(__xludf.DUMMYFUNCTION("""COMPUTED_VALUE"""),42461.6666666666)</f>
        <v>42461.666666666599</v>
      </c>
      <c r="B315" s="1">
        <f ca="1">IFERROR(__xludf.DUMMYFUNCTION("""COMPUTED_VALUE"""),16.32)</f>
        <v>16.32</v>
      </c>
      <c r="C315" s="1">
        <f ca="1">IFERROR(__xludf.DUMMYFUNCTION("""COMPUTED_VALUE"""),16.53)</f>
        <v>16.53</v>
      </c>
      <c r="D315" s="1">
        <f ca="1">IFERROR(__xludf.DUMMYFUNCTION("""COMPUTED_VALUE"""),15.55)</f>
        <v>15.55</v>
      </c>
      <c r="E315" s="1">
        <f ca="1">IFERROR(__xludf.DUMMYFUNCTION("""COMPUTED_VALUE"""),15.84)</f>
        <v>15.84</v>
      </c>
      <c r="F315" s="1">
        <f ca="1">IFERROR(__xludf.DUMMYFUNCTION("""COMPUTED_VALUE"""),15997509)</f>
        <v>15997509</v>
      </c>
    </row>
    <row r="316" spans="1:6" x14ac:dyDescent="0.35">
      <c r="A316" s="2">
        <f ca="1">IFERROR(__xludf.DUMMYFUNCTION("""COMPUTED_VALUE"""),42464.6666666666)</f>
        <v>42464.666666666599</v>
      </c>
      <c r="B316" s="1">
        <f ca="1">IFERROR(__xludf.DUMMYFUNCTION("""COMPUTED_VALUE"""),16.61)</f>
        <v>16.61</v>
      </c>
      <c r="C316" s="1">
        <f ca="1">IFERROR(__xludf.DUMMYFUNCTION("""COMPUTED_VALUE"""),16.81)</f>
        <v>16.809999999999999</v>
      </c>
      <c r="D316" s="1">
        <f ca="1">IFERROR(__xludf.DUMMYFUNCTION("""COMPUTED_VALUE"""),16.24)</f>
        <v>16.239999999999998</v>
      </c>
      <c r="E316" s="1">
        <f ca="1">IFERROR(__xludf.DUMMYFUNCTION("""COMPUTED_VALUE"""),16.47)</f>
        <v>16.47</v>
      </c>
      <c r="F316" s="1">
        <f ca="1">IFERROR(__xludf.DUMMYFUNCTION("""COMPUTED_VALUE"""),13475327)</f>
        <v>13475327</v>
      </c>
    </row>
    <row r="317" spans="1:6" x14ac:dyDescent="0.35">
      <c r="A317" s="2">
        <f ca="1">IFERROR(__xludf.DUMMYFUNCTION("""COMPUTED_VALUE"""),42465.6666666666)</f>
        <v>42465.666666666599</v>
      </c>
      <c r="B317" s="1">
        <f ca="1">IFERROR(__xludf.DUMMYFUNCTION("""COMPUTED_VALUE"""),16.03)</f>
        <v>16.03</v>
      </c>
      <c r="C317" s="1">
        <f ca="1">IFERROR(__xludf.DUMMYFUNCTION("""COMPUTED_VALUE"""),17.1)</f>
        <v>17.100000000000001</v>
      </c>
      <c r="D317" s="1">
        <f ca="1">IFERROR(__xludf.DUMMYFUNCTION("""COMPUTED_VALUE"""),16)</f>
        <v>16</v>
      </c>
      <c r="E317" s="1">
        <f ca="1">IFERROR(__xludf.DUMMYFUNCTION("""COMPUTED_VALUE"""),17.03)</f>
        <v>17.03</v>
      </c>
      <c r="F317" s="1">
        <f ca="1">IFERROR(__xludf.DUMMYFUNCTION("""COMPUTED_VALUE"""),9948699)</f>
        <v>9948699</v>
      </c>
    </row>
    <row r="318" spans="1:6" x14ac:dyDescent="0.35">
      <c r="A318" s="2">
        <f ca="1">IFERROR(__xludf.DUMMYFUNCTION("""COMPUTED_VALUE"""),42466.6666666666)</f>
        <v>42466.666666666599</v>
      </c>
      <c r="B318" s="1">
        <f ca="1">IFERROR(__xludf.DUMMYFUNCTION("""COMPUTED_VALUE"""),16.93)</f>
        <v>16.93</v>
      </c>
      <c r="C318" s="1">
        <f ca="1">IFERROR(__xludf.DUMMYFUNCTION("""COMPUTED_VALUE"""),17.85)</f>
        <v>17.850000000000001</v>
      </c>
      <c r="D318" s="1">
        <f ca="1">IFERROR(__xludf.DUMMYFUNCTION("""COMPUTED_VALUE"""),16.9)</f>
        <v>16.899999999999999</v>
      </c>
      <c r="E318" s="1">
        <f ca="1">IFERROR(__xludf.DUMMYFUNCTION("""COMPUTED_VALUE"""),17.69)</f>
        <v>17.690000000000001</v>
      </c>
      <c r="F318" s="1">
        <f ca="1">IFERROR(__xludf.DUMMYFUNCTION("""COMPUTED_VALUE"""),11705479)</f>
        <v>11705479</v>
      </c>
    </row>
    <row r="319" spans="1:6" x14ac:dyDescent="0.35">
      <c r="A319" s="2">
        <f ca="1">IFERROR(__xludf.DUMMYFUNCTION("""COMPUTED_VALUE"""),42467.6666666666)</f>
        <v>42467.666666666599</v>
      </c>
      <c r="B319" s="1">
        <f ca="1">IFERROR(__xludf.DUMMYFUNCTION("""COMPUTED_VALUE"""),17.76)</f>
        <v>17.760000000000002</v>
      </c>
      <c r="C319" s="1">
        <f ca="1">IFERROR(__xludf.DUMMYFUNCTION("""COMPUTED_VALUE"""),17.96)</f>
        <v>17.96</v>
      </c>
      <c r="D319" s="1">
        <f ca="1">IFERROR(__xludf.DUMMYFUNCTION("""COMPUTED_VALUE"""),16.97)</f>
        <v>16.97</v>
      </c>
      <c r="E319" s="1">
        <f ca="1">IFERROR(__xludf.DUMMYFUNCTION("""COMPUTED_VALUE"""),17.15)</f>
        <v>17.149999999999999</v>
      </c>
      <c r="F319" s="1">
        <f ca="1">IFERROR(__xludf.DUMMYFUNCTION("""COMPUTED_VALUE"""),8856171)</f>
        <v>8856171</v>
      </c>
    </row>
    <row r="320" spans="1:6" x14ac:dyDescent="0.35">
      <c r="A320" s="2">
        <f ca="1">IFERROR(__xludf.DUMMYFUNCTION("""COMPUTED_VALUE"""),42468.6666666666)</f>
        <v>42468.666666666599</v>
      </c>
      <c r="B320" s="1">
        <f ca="1">IFERROR(__xludf.DUMMYFUNCTION("""COMPUTED_VALUE"""),17.37)</f>
        <v>17.37</v>
      </c>
      <c r="C320" s="1">
        <f ca="1">IFERROR(__xludf.DUMMYFUNCTION("""COMPUTED_VALUE"""),17.39)</f>
        <v>17.39</v>
      </c>
      <c r="D320" s="1">
        <f ca="1">IFERROR(__xludf.DUMMYFUNCTION("""COMPUTED_VALUE"""),16.53)</f>
        <v>16.53</v>
      </c>
      <c r="E320" s="1">
        <f ca="1">IFERROR(__xludf.DUMMYFUNCTION("""COMPUTED_VALUE"""),16.67)</f>
        <v>16.670000000000002</v>
      </c>
      <c r="F320" s="1">
        <f ca="1">IFERROR(__xludf.DUMMYFUNCTION("""COMPUTED_VALUE"""),7363935)</f>
        <v>7363935</v>
      </c>
    </row>
    <row r="321" spans="1:6" x14ac:dyDescent="0.35">
      <c r="A321" s="2">
        <f ca="1">IFERROR(__xludf.DUMMYFUNCTION("""COMPUTED_VALUE"""),42471.6666666666)</f>
        <v>42471.666666666599</v>
      </c>
      <c r="B321" s="1">
        <f ca="1">IFERROR(__xludf.DUMMYFUNCTION("""COMPUTED_VALUE"""),16.73)</f>
        <v>16.73</v>
      </c>
      <c r="C321" s="1">
        <f ca="1">IFERROR(__xludf.DUMMYFUNCTION("""COMPUTED_VALUE"""),17.27)</f>
        <v>17.27</v>
      </c>
      <c r="D321" s="1">
        <f ca="1">IFERROR(__xludf.DUMMYFUNCTION("""COMPUTED_VALUE"""),16.35)</f>
        <v>16.350000000000001</v>
      </c>
      <c r="E321" s="1">
        <f ca="1">IFERROR(__xludf.DUMMYFUNCTION("""COMPUTED_VALUE"""),16.66)</f>
        <v>16.66</v>
      </c>
      <c r="F321" s="1">
        <f ca="1">IFERROR(__xludf.DUMMYFUNCTION("""COMPUTED_VALUE"""),9161693)</f>
        <v>9161693</v>
      </c>
    </row>
    <row r="322" spans="1:6" x14ac:dyDescent="0.35">
      <c r="A322" s="2">
        <f ca="1">IFERROR(__xludf.DUMMYFUNCTION("""COMPUTED_VALUE"""),42472.6666666666)</f>
        <v>42472.666666666599</v>
      </c>
      <c r="B322" s="1">
        <f ca="1">IFERROR(__xludf.DUMMYFUNCTION("""COMPUTED_VALUE"""),16.63)</f>
        <v>16.63</v>
      </c>
      <c r="C322" s="1">
        <f ca="1">IFERROR(__xludf.DUMMYFUNCTION("""COMPUTED_VALUE"""),16.79)</f>
        <v>16.79</v>
      </c>
      <c r="D322" s="1">
        <f ca="1">IFERROR(__xludf.DUMMYFUNCTION("""COMPUTED_VALUE"""),16.24)</f>
        <v>16.239999999999998</v>
      </c>
      <c r="E322" s="1">
        <f ca="1">IFERROR(__xludf.DUMMYFUNCTION("""COMPUTED_VALUE"""),16.52)</f>
        <v>16.52</v>
      </c>
      <c r="F322" s="1">
        <f ca="1">IFERROR(__xludf.DUMMYFUNCTION("""COMPUTED_VALUE"""),5763208)</f>
        <v>5763208</v>
      </c>
    </row>
    <row r="323" spans="1:6" x14ac:dyDescent="0.35">
      <c r="A323" s="2">
        <f ca="1">IFERROR(__xludf.DUMMYFUNCTION("""COMPUTED_VALUE"""),42473.6666666666)</f>
        <v>42473.666666666599</v>
      </c>
      <c r="B323" s="1">
        <f ca="1">IFERROR(__xludf.DUMMYFUNCTION("""COMPUTED_VALUE"""),16.57)</f>
        <v>16.57</v>
      </c>
      <c r="C323" s="1">
        <f ca="1">IFERROR(__xludf.DUMMYFUNCTION("""COMPUTED_VALUE"""),17.03)</f>
        <v>17.03</v>
      </c>
      <c r="D323" s="1">
        <f ca="1">IFERROR(__xludf.DUMMYFUNCTION("""COMPUTED_VALUE"""),16.49)</f>
        <v>16.489999999999998</v>
      </c>
      <c r="E323" s="1">
        <f ca="1">IFERROR(__xludf.DUMMYFUNCTION("""COMPUTED_VALUE"""),16.97)</f>
        <v>16.97</v>
      </c>
      <c r="F323" s="1">
        <f ca="1">IFERROR(__xludf.DUMMYFUNCTION("""COMPUTED_VALUE"""),4925595)</f>
        <v>4925595</v>
      </c>
    </row>
    <row r="324" spans="1:6" x14ac:dyDescent="0.35">
      <c r="A324" s="2">
        <f ca="1">IFERROR(__xludf.DUMMYFUNCTION("""COMPUTED_VALUE"""),42474.6666666666)</f>
        <v>42474.666666666599</v>
      </c>
      <c r="B324" s="1">
        <f ca="1">IFERROR(__xludf.DUMMYFUNCTION("""COMPUTED_VALUE"""),16.87)</f>
        <v>16.87</v>
      </c>
      <c r="C324" s="1">
        <f ca="1">IFERROR(__xludf.DUMMYFUNCTION("""COMPUTED_VALUE"""),17.12)</f>
        <v>17.12</v>
      </c>
      <c r="D324" s="1">
        <f ca="1">IFERROR(__xludf.DUMMYFUNCTION("""COMPUTED_VALUE"""),16.74)</f>
        <v>16.739999999999998</v>
      </c>
      <c r="E324" s="1">
        <f ca="1">IFERROR(__xludf.DUMMYFUNCTION("""COMPUTED_VALUE"""),16.79)</f>
        <v>16.79</v>
      </c>
      <c r="F324" s="1">
        <f ca="1">IFERROR(__xludf.DUMMYFUNCTION("""COMPUTED_VALUE"""),4132185)</f>
        <v>4132185</v>
      </c>
    </row>
    <row r="325" spans="1:6" x14ac:dyDescent="0.35">
      <c r="A325" s="2">
        <f ca="1">IFERROR(__xludf.DUMMYFUNCTION("""COMPUTED_VALUE"""),42475.6666666666)</f>
        <v>42475.666666666599</v>
      </c>
      <c r="B325" s="1">
        <f ca="1">IFERROR(__xludf.DUMMYFUNCTION("""COMPUTED_VALUE"""),16.75)</f>
        <v>16.75</v>
      </c>
      <c r="C325" s="1">
        <f ca="1">IFERROR(__xludf.DUMMYFUNCTION("""COMPUTED_VALUE"""),16.97)</f>
        <v>16.97</v>
      </c>
      <c r="D325" s="1">
        <f ca="1">IFERROR(__xludf.DUMMYFUNCTION("""COMPUTED_VALUE"""),16.61)</f>
        <v>16.61</v>
      </c>
      <c r="E325" s="1">
        <f ca="1">IFERROR(__xludf.DUMMYFUNCTION("""COMPUTED_VALUE"""),16.97)</f>
        <v>16.97</v>
      </c>
      <c r="F325" s="1">
        <f ca="1">IFERROR(__xludf.DUMMYFUNCTION("""COMPUTED_VALUE"""),3752366)</f>
        <v>3752366</v>
      </c>
    </row>
    <row r="326" spans="1:6" x14ac:dyDescent="0.35">
      <c r="A326" s="2">
        <f ca="1">IFERROR(__xludf.DUMMYFUNCTION("""COMPUTED_VALUE"""),42478.6666666666)</f>
        <v>42478.666666666599</v>
      </c>
      <c r="B326" s="1">
        <f ca="1">IFERROR(__xludf.DUMMYFUNCTION("""COMPUTED_VALUE"""),16.82)</f>
        <v>16.82</v>
      </c>
      <c r="C326" s="1">
        <f ca="1">IFERROR(__xludf.DUMMYFUNCTION("""COMPUTED_VALUE"""),17.22)</f>
        <v>17.22</v>
      </c>
      <c r="D326" s="1">
        <f ca="1">IFERROR(__xludf.DUMMYFUNCTION("""COMPUTED_VALUE"""),16.78)</f>
        <v>16.78</v>
      </c>
      <c r="E326" s="1">
        <f ca="1">IFERROR(__xludf.DUMMYFUNCTION("""COMPUTED_VALUE"""),16.93)</f>
        <v>16.93</v>
      </c>
      <c r="F326" s="1">
        <f ca="1">IFERROR(__xludf.DUMMYFUNCTION("""COMPUTED_VALUE"""),4271362)</f>
        <v>4271362</v>
      </c>
    </row>
    <row r="327" spans="1:6" x14ac:dyDescent="0.35">
      <c r="A327" s="2">
        <f ca="1">IFERROR(__xludf.DUMMYFUNCTION("""COMPUTED_VALUE"""),42479.6666666666)</f>
        <v>42479.666666666599</v>
      </c>
      <c r="B327" s="1">
        <f ca="1">IFERROR(__xludf.DUMMYFUNCTION("""COMPUTED_VALUE"""),16.87)</f>
        <v>16.87</v>
      </c>
      <c r="C327" s="1">
        <f ca="1">IFERROR(__xludf.DUMMYFUNCTION("""COMPUTED_VALUE"""),16.96)</f>
        <v>16.96</v>
      </c>
      <c r="D327" s="1">
        <f ca="1">IFERROR(__xludf.DUMMYFUNCTION("""COMPUTED_VALUE"""),16.08)</f>
        <v>16.079999999999998</v>
      </c>
      <c r="E327" s="1">
        <f ca="1">IFERROR(__xludf.DUMMYFUNCTION("""COMPUTED_VALUE"""),16.49)</f>
        <v>16.489999999999998</v>
      </c>
      <c r="F327" s="1">
        <f ca="1">IFERROR(__xludf.DUMMYFUNCTION("""COMPUTED_VALUE"""),6357526)</f>
        <v>6357526</v>
      </c>
    </row>
    <row r="328" spans="1:6" x14ac:dyDescent="0.35">
      <c r="A328" s="2">
        <f ca="1">IFERROR(__xludf.DUMMYFUNCTION("""COMPUTED_VALUE"""),42480.6666666666)</f>
        <v>42480.666666666599</v>
      </c>
      <c r="B328" s="1">
        <f ca="1">IFERROR(__xludf.DUMMYFUNCTION("""COMPUTED_VALUE"""),16.42)</f>
        <v>16.420000000000002</v>
      </c>
      <c r="C328" s="1">
        <f ca="1">IFERROR(__xludf.DUMMYFUNCTION("""COMPUTED_VALUE"""),16.91)</f>
        <v>16.91</v>
      </c>
      <c r="D328" s="1">
        <f ca="1">IFERROR(__xludf.DUMMYFUNCTION("""COMPUTED_VALUE"""),16.1)</f>
        <v>16.100000000000001</v>
      </c>
      <c r="E328" s="1">
        <f ca="1">IFERROR(__xludf.DUMMYFUNCTION("""COMPUTED_VALUE"""),16.66)</f>
        <v>16.66</v>
      </c>
      <c r="F328" s="1">
        <f ca="1">IFERROR(__xludf.DUMMYFUNCTION("""COMPUTED_VALUE"""),5194051)</f>
        <v>5194051</v>
      </c>
    </row>
    <row r="329" spans="1:6" x14ac:dyDescent="0.35">
      <c r="A329" s="2">
        <f ca="1">IFERROR(__xludf.DUMMYFUNCTION("""COMPUTED_VALUE"""),42481.6666666666)</f>
        <v>42481.666666666599</v>
      </c>
      <c r="B329" s="1">
        <f ca="1">IFERROR(__xludf.DUMMYFUNCTION("""COMPUTED_VALUE"""),16.6)</f>
        <v>16.600000000000001</v>
      </c>
      <c r="C329" s="1">
        <f ca="1">IFERROR(__xludf.DUMMYFUNCTION("""COMPUTED_VALUE"""),16.73)</f>
        <v>16.73</v>
      </c>
      <c r="D329" s="1">
        <f ca="1">IFERROR(__xludf.DUMMYFUNCTION("""COMPUTED_VALUE"""),16.46)</f>
        <v>16.46</v>
      </c>
      <c r="E329" s="1">
        <f ca="1">IFERROR(__xludf.DUMMYFUNCTION("""COMPUTED_VALUE"""),16.55)</f>
        <v>16.55</v>
      </c>
      <c r="F329" s="1">
        <f ca="1">IFERROR(__xludf.DUMMYFUNCTION("""COMPUTED_VALUE"""),2783059)</f>
        <v>2783059</v>
      </c>
    </row>
    <row r="330" spans="1:6" x14ac:dyDescent="0.35">
      <c r="A330" s="2">
        <f ca="1">IFERROR(__xludf.DUMMYFUNCTION("""COMPUTED_VALUE"""),42482.6666666666)</f>
        <v>42482.666666666599</v>
      </c>
      <c r="B330" s="1">
        <f ca="1">IFERROR(__xludf.DUMMYFUNCTION("""COMPUTED_VALUE"""),16.59)</f>
        <v>16.59</v>
      </c>
      <c r="C330" s="1">
        <f ca="1">IFERROR(__xludf.DUMMYFUNCTION("""COMPUTED_VALUE"""),16.93)</f>
        <v>16.93</v>
      </c>
      <c r="D330" s="1">
        <f ca="1">IFERROR(__xludf.DUMMYFUNCTION("""COMPUTED_VALUE"""),16.38)</f>
        <v>16.38</v>
      </c>
      <c r="E330" s="1">
        <f ca="1">IFERROR(__xludf.DUMMYFUNCTION("""COMPUTED_VALUE"""),16.92)</f>
        <v>16.920000000000002</v>
      </c>
      <c r="F330" s="1">
        <f ca="1">IFERROR(__xludf.DUMMYFUNCTION("""COMPUTED_VALUE"""),3786327)</f>
        <v>3786327</v>
      </c>
    </row>
    <row r="331" spans="1:6" x14ac:dyDescent="0.35">
      <c r="A331" s="2">
        <f ca="1">IFERROR(__xludf.DUMMYFUNCTION("""COMPUTED_VALUE"""),42485.6666666666)</f>
        <v>42485.666666666599</v>
      </c>
      <c r="B331" s="1">
        <f ca="1">IFERROR(__xludf.DUMMYFUNCTION("""COMPUTED_VALUE"""),16.87)</f>
        <v>16.87</v>
      </c>
      <c r="C331" s="1">
        <f ca="1">IFERROR(__xludf.DUMMYFUNCTION("""COMPUTED_VALUE"""),17.16)</f>
        <v>17.16</v>
      </c>
      <c r="D331" s="1">
        <f ca="1">IFERROR(__xludf.DUMMYFUNCTION("""COMPUTED_VALUE"""),16.72)</f>
        <v>16.72</v>
      </c>
      <c r="E331" s="1">
        <f ca="1">IFERROR(__xludf.DUMMYFUNCTION("""COMPUTED_VALUE"""),16.79)</f>
        <v>16.79</v>
      </c>
      <c r="F331" s="1">
        <f ca="1">IFERROR(__xludf.DUMMYFUNCTION("""COMPUTED_VALUE"""),3670348)</f>
        <v>3670348</v>
      </c>
    </row>
    <row r="332" spans="1:6" x14ac:dyDescent="0.35">
      <c r="A332" s="2">
        <f ca="1">IFERROR(__xludf.DUMMYFUNCTION("""COMPUTED_VALUE"""),42486.6666666666)</f>
        <v>42486.666666666599</v>
      </c>
      <c r="B332" s="1">
        <f ca="1">IFERROR(__xludf.DUMMYFUNCTION("""COMPUTED_VALUE"""),16.8)</f>
        <v>16.8</v>
      </c>
      <c r="C332" s="1">
        <f ca="1">IFERROR(__xludf.DUMMYFUNCTION("""COMPUTED_VALUE"""),17.05)</f>
        <v>17.05</v>
      </c>
      <c r="D332" s="1">
        <f ca="1">IFERROR(__xludf.DUMMYFUNCTION("""COMPUTED_VALUE"""),16.63)</f>
        <v>16.63</v>
      </c>
      <c r="E332" s="1">
        <f ca="1">IFERROR(__xludf.DUMMYFUNCTION("""COMPUTED_VALUE"""),16.92)</f>
        <v>16.920000000000002</v>
      </c>
      <c r="F332" s="1">
        <f ca="1">IFERROR(__xludf.DUMMYFUNCTION("""COMPUTED_VALUE"""),3223839)</f>
        <v>3223839</v>
      </c>
    </row>
    <row r="333" spans="1:6" x14ac:dyDescent="0.35">
      <c r="A333" s="2">
        <f ca="1">IFERROR(__xludf.DUMMYFUNCTION("""COMPUTED_VALUE"""),42487.6666666666)</f>
        <v>42487.666666666599</v>
      </c>
      <c r="B333" s="1">
        <f ca="1">IFERROR(__xludf.DUMMYFUNCTION("""COMPUTED_VALUE"""),16.85)</f>
        <v>16.850000000000001</v>
      </c>
      <c r="C333" s="1">
        <f ca="1">IFERROR(__xludf.DUMMYFUNCTION("""COMPUTED_VALUE"""),17)</f>
        <v>17</v>
      </c>
      <c r="D333" s="1">
        <f ca="1">IFERROR(__xludf.DUMMYFUNCTION("""COMPUTED_VALUE"""),16.63)</f>
        <v>16.63</v>
      </c>
      <c r="E333" s="1">
        <f ca="1">IFERROR(__xludf.DUMMYFUNCTION("""COMPUTED_VALUE"""),16.76)</f>
        <v>16.760000000000002</v>
      </c>
      <c r="F333" s="1">
        <f ca="1">IFERROR(__xludf.DUMMYFUNCTION("""COMPUTED_VALUE"""),3205808)</f>
        <v>3205808</v>
      </c>
    </row>
    <row r="334" spans="1:6" x14ac:dyDescent="0.35">
      <c r="A334" s="2">
        <f ca="1">IFERROR(__xludf.DUMMYFUNCTION("""COMPUTED_VALUE"""),42488.6666666666)</f>
        <v>42488.666666666599</v>
      </c>
      <c r="B334" s="1">
        <f ca="1">IFERROR(__xludf.DUMMYFUNCTION("""COMPUTED_VALUE"""),16.66)</f>
        <v>16.66</v>
      </c>
      <c r="C334" s="1">
        <f ca="1">IFERROR(__xludf.DUMMYFUNCTION("""COMPUTED_VALUE"""),16.9)</f>
        <v>16.899999999999999</v>
      </c>
      <c r="D334" s="1">
        <f ca="1">IFERROR(__xludf.DUMMYFUNCTION("""COMPUTED_VALUE"""),16.5)</f>
        <v>16.5</v>
      </c>
      <c r="E334" s="1">
        <f ca="1">IFERROR(__xludf.DUMMYFUNCTION("""COMPUTED_VALUE"""),16.51)</f>
        <v>16.510000000000002</v>
      </c>
      <c r="F334" s="1">
        <f ca="1">IFERROR(__xludf.DUMMYFUNCTION("""COMPUTED_VALUE"""),2518990)</f>
        <v>2518990</v>
      </c>
    </row>
    <row r="335" spans="1:6" x14ac:dyDescent="0.35">
      <c r="A335" s="2">
        <f ca="1">IFERROR(__xludf.DUMMYFUNCTION("""COMPUTED_VALUE"""),42489.6666666666)</f>
        <v>42489.666666666599</v>
      </c>
      <c r="B335" s="1">
        <f ca="1">IFERROR(__xludf.DUMMYFUNCTION("""COMPUTED_VALUE"""),16.54)</f>
        <v>16.54</v>
      </c>
      <c r="C335" s="1">
        <f ca="1">IFERROR(__xludf.DUMMYFUNCTION("""COMPUTED_VALUE"""),16.56)</f>
        <v>16.559999999999999</v>
      </c>
      <c r="D335" s="1">
        <f ca="1">IFERROR(__xludf.DUMMYFUNCTION("""COMPUTED_VALUE"""),15.85)</f>
        <v>15.85</v>
      </c>
      <c r="E335" s="1">
        <f ca="1">IFERROR(__xludf.DUMMYFUNCTION("""COMPUTED_VALUE"""),16.05)</f>
        <v>16.05</v>
      </c>
      <c r="F335" s="1">
        <f ca="1">IFERROR(__xludf.DUMMYFUNCTION("""COMPUTED_VALUE"""),5413787)</f>
        <v>5413787</v>
      </c>
    </row>
    <row r="336" spans="1:6" x14ac:dyDescent="0.35">
      <c r="A336" s="2">
        <f ca="1">IFERROR(__xludf.DUMMYFUNCTION("""COMPUTED_VALUE"""),42492.6666666666)</f>
        <v>42492.666666666599</v>
      </c>
      <c r="B336" s="1">
        <f ca="1">IFERROR(__xludf.DUMMYFUNCTION("""COMPUTED_VALUE"""),16.1)</f>
        <v>16.100000000000001</v>
      </c>
      <c r="C336" s="1">
        <f ca="1">IFERROR(__xludf.DUMMYFUNCTION("""COMPUTED_VALUE"""),16.21)</f>
        <v>16.21</v>
      </c>
      <c r="D336" s="1">
        <f ca="1">IFERROR(__xludf.DUMMYFUNCTION("""COMPUTED_VALUE"""),15.65)</f>
        <v>15.65</v>
      </c>
      <c r="E336" s="1">
        <f ca="1">IFERROR(__xludf.DUMMYFUNCTION("""COMPUTED_VALUE"""),16.12)</f>
        <v>16.12</v>
      </c>
      <c r="F336" s="1">
        <f ca="1">IFERROR(__xludf.DUMMYFUNCTION("""COMPUTED_VALUE"""),3843935)</f>
        <v>3843935</v>
      </c>
    </row>
    <row r="337" spans="1:6" x14ac:dyDescent="0.35">
      <c r="A337" s="2">
        <f ca="1">IFERROR(__xludf.DUMMYFUNCTION("""COMPUTED_VALUE"""),42493.6666666666)</f>
        <v>42493.666666666599</v>
      </c>
      <c r="B337" s="1">
        <f ca="1">IFERROR(__xludf.DUMMYFUNCTION("""COMPUTED_VALUE"""),15.82)</f>
        <v>15.82</v>
      </c>
      <c r="C337" s="1">
        <f ca="1">IFERROR(__xludf.DUMMYFUNCTION("""COMPUTED_VALUE"""),15.93)</f>
        <v>15.93</v>
      </c>
      <c r="D337" s="1">
        <f ca="1">IFERROR(__xludf.DUMMYFUNCTION("""COMPUTED_VALUE"""),15.44)</f>
        <v>15.44</v>
      </c>
      <c r="E337" s="1">
        <f ca="1">IFERROR(__xludf.DUMMYFUNCTION("""COMPUTED_VALUE"""),15.49)</f>
        <v>15.49</v>
      </c>
      <c r="F337" s="1">
        <f ca="1">IFERROR(__xludf.DUMMYFUNCTION("""COMPUTED_VALUE"""),4302222)</f>
        <v>4302222</v>
      </c>
    </row>
    <row r="338" spans="1:6" x14ac:dyDescent="0.35">
      <c r="A338" s="2">
        <f ca="1">IFERROR(__xludf.DUMMYFUNCTION("""COMPUTED_VALUE"""),42494.6666666666)</f>
        <v>42494.666666666599</v>
      </c>
      <c r="B338" s="1">
        <f ca="1">IFERROR(__xludf.DUMMYFUNCTION("""COMPUTED_VALUE"""),15.35)</f>
        <v>15.35</v>
      </c>
      <c r="C338" s="1">
        <f ca="1">IFERROR(__xludf.DUMMYFUNCTION("""COMPUTED_VALUE"""),15.63)</f>
        <v>15.63</v>
      </c>
      <c r="D338" s="1">
        <f ca="1">IFERROR(__xludf.DUMMYFUNCTION("""COMPUTED_VALUE"""),14.69)</f>
        <v>14.69</v>
      </c>
      <c r="E338" s="1">
        <f ca="1">IFERROR(__xludf.DUMMYFUNCTION("""COMPUTED_VALUE"""),14.84)</f>
        <v>14.84</v>
      </c>
      <c r="F338" s="1">
        <f ca="1">IFERROR(__xludf.DUMMYFUNCTION("""COMPUTED_VALUE"""),8700459)</f>
        <v>8700459</v>
      </c>
    </row>
    <row r="339" spans="1:6" x14ac:dyDescent="0.35">
      <c r="A339" s="2">
        <f ca="1">IFERROR(__xludf.DUMMYFUNCTION("""COMPUTED_VALUE"""),42495.6666666666)</f>
        <v>42495.666666666599</v>
      </c>
      <c r="B339" s="1">
        <f ca="1">IFERROR(__xludf.DUMMYFUNCTION("""COMPUTED_VALUE"""),15.23)</f>
        <v>15.23</v>
      </c>
      <c r="C339" s="1">
        <f ca="1">IFERROR(__xludf.DUMMYFUNCTION("""COMPUTED_VALUE"""),15.24)</f>
        <v>15.24</v>
      </c>
      <c r="D339" s="1">
        <f ca="1">IFERROR(__xludf.DUMMYFUNCTION("""COMPUTED_VALUE"""),13.99)</f>
        <v>13.99</v>
      </c>
      <c r="E339" s="1">
        <f ca="1">IFERROR(__xludf.DUMMYFUNCTION("""COMPUTED_VALUE"""),14.1)</f>
        <v>14.1</v>
      </c>
      <c r="F339" s="1">
        <f ca="1">IFERROR(__xludf.DUMMYFUNCTION("""COMPUTED_VALUE"""),11254827)</f>
        <v>11254827</v>
      </c>
    </row>
    <row r="340" spans="1:6" x14ac:dyDescent="0.35">
      <c r="A340" s="2">
        <f ca="1">IFERROR(__xludf.DUMMYFUNCTION("""COMPUTED_VALUE"""),42496.6666666666)</f>
        <v>42496.666666666599</v>
      </c>
      <c r="B340" s="1">
        <f ca="1">IFERROR(__xludf.DUMMYFUNCTION("""COMPUTED_VALUE"""),14.06)</f>
        <v>14.06</v>
      </c>
      <c r="C340" s="1">
        <f ca="1">IFERROR(__xludf.DUMMYFUNCTION("""COMPUTED_VALUE"""),14.42)</f>
        <v>14.42</v>
      </c>
      <c r="D340" s="1">
        <f ca="1">IFERROR(__xludf.DUMMYFUNCTION("""COMPUTED_VALUE"""),13.87)</f>
        <v>13.87</v>
      </c>
      <c r="E340" s="1">
        <f ca="1">IFERROR(__xludf.DUMMYFUNCTION("""COMPUTED_VALUE"""),14.33)</f>
        <v>14.33</v>
      </c>
      <c r="F340" s="1">
        <f ca="1">IFERROR(__xludf.DUMMYFUNCTION("""COMPUTED_VALUE"""),5685237)</f>
        <v>5685237</v>
      </c>
    </row>
    <row r="341" spans="1:6" x14ac:dyDescent="0.35">
      <c r="A341" s="2">
        <f ca="1">IFERROR(__xludf.DUMMYFUNCTION("""COMPUTED_VALUE"""),42499.6666666666)</f>
        <v>42499.666666666599</v>
      </c>
      <c r="B341" s="1">
        <f ca="1">IFERROR(__xludf.DUMMYFUNCTION("""COMPUTED_VALUE"""),14.38)</f>
        <v>14.38</v>
      </c>
      <c r="C341" s="1">
        <f ca="1">IFERROR(__xludf.DUMMYFUNCTION("""COMPUTED_VALUE"""),14.41)</f>
        <v>14.41</v>
      </c>
      <c r="D341" s="1">
        <f ca="1">IFERROR(__xludf.DUMMYFUNCTION("""COMPUTED_VALUE"""),13.79)</f>
        <v>13.79</v>
      </c>
      <c r="E341" s="1">
        <f ca="1">IFERROR(__xludf.DUMMYFUNCTION("""COMPUTED_VALUE"""),13.93)</f>
        <v>13.93</v>
      </c>
      <c r="F341" s="1">
        <f ca="1">IFERROR(__xludf.DUMMYFUNCTION("""COMPUTED_VALUE"""),4776383)</f>
        <v>4776383</v>
      </c>
    </row>
    <row r="342" spans="1:6" x14ac:dyDescent="0.35">
      <c r="A342" s="2">
        <f ca="1">IFERROR(__xludf.DUMMYFUNCTION("""COMPUTED_VALUE"""),42500.6666666666)</f>
        <v>42500.666666666599</v>
      </c>
      <c r="B342" s="1">
        <f ca="1">IFERROR(__xludf.DUMMYFUNCTION("""COMPUTED_VALUE"""),13.84)</f>
        <v>13.84</v>
      </c>
      <c r="C342" s="1">
        <f ca="1">IFERROR(__xludf.DUMMYFUNCTION("""COMPUTED_VALUE"""),13.96)</f>
        <v>13.96</v>
      </c>
      <c r="D342" s="1">
        <f ca="1">IFERROR(__xludf.DUMMYFUNCTION("""COMPUTED_VALUE"""),13.67)</f>
        <v>13.67</v>
      </c>
      <c r="E342" s="1">
        <f ca="1">IFERROR(__xludf.DUMMYFUNCTION("""COMPUTED_VALUE"""),13.91)</f>
        <v>13.91</v>
      </c>
      <c r="F342" s="1">
        <f ca="1">IFERROR(__xludf.DUMMYFUNCTION("""COMPUTED_VALUE"""),4070617)</f>
        <v>4070617</v>
      </c>
    </row>
    <row r="343" spans="1:6" x14ac:dyDescent="0.35">
      <c r="A343" s="2">
        <f ca="1">IFERROR(__xludf.DUMMYFUNCTION("""COMPUTED_VALUE"""),42501.6666666666)</f>
        <v>42501.666666666599</v>
      </c>
      <c r="B343" s="1">
        <f ca="1">IFERROR(__xludf.DUMMYFUNCTION("""COMPUTED_VALUE"""),13.84)</f>
        <v>13.84</v>
      </c>
      <c r="C343" s="1">
        <f ca="1">IFERROR(__xludf.DUMMYFUNCTION("""COMPUTED_VALUE"""),14.37)</f>
        <v>14.37</v>
      </c>
      <c r="D343" s="1">
        <f ca="1">IFERROR(__xludf.DUMMYFUNCTION("""COMPUTED_VALUE"""),13.74)</f>
        <v>13.74</v>
      </c>
      <c r="E343" s="1">
        <f ca="1">IFERROR(__xludf.DUMMYFUNCTION("""COMPUTED_VALUE"""),13.93)</f>
        <v>13.93</v>
      </c>
      <c r="F343" s="1">
        <f ca="1">IFERROR(__xludf.DUMMYFUNCTION("""COMPUTED_VALUE"""),5161864)</f>
        <v>5161864</v>
      </c>
    </row>
    <row r="344" spans="1:6" x14ac:dyDescent="0.35">
      <c r="A344" s="2">
        <f ca="1">IFERROR(__xludf.DUMMYFUNCTION("""COMPUTED_VALUE"""),42502.6666666666)</f>
        <v>42502.666666666599</v>
      </c>
      <c r="B344" s="1">
        <f ca="1">IFERROR(__xludf.DUMMYFUNCTION("""COMPUTED_VALUE"""),14.1)</f>
        <v>14.1</v>
      </c>
      <c r="C344" s="1">
        <f ca="1">IFERROR(__xludf.DUMMYFUNCTION("""COMPUTED_VALUE"""),14.11)</f>
        <v>14.11</v>
      </c>
      <c r="D344" s="1">
        <f ca="1">IFERROR(__xludf.DUMMYFUNCTION("""COMPUTED_VALUE"""),13.58)</f>
        <v>13.58</v>
      </c>
      <c r="E344" s="1">
        <f ca="1">IFERROR(__xludf.DUMMYFUNCTION("""COMPUTED_VALUE"""),13.82)</f>
        <v>13.82</v>
      </c>
      <c r="F344" s="1">
        <f ca="1">IFERROR(__xludf.DUMMYFUNCTION("""COMPUTED_VALUE"""),3650475)</f>
        <v>3650475</v>
      </c>
    </row>
    <row r="345" spans="1:6" x14ac:dyDescent="0.35">
      <c r="A345" s="2">
        <f ca="1">IFERROR(__xludf.DUMMYFUNCTION("""COMPUTED_VALUE"""),42503.6666666666)</f>
        <v>42503.666666666599</v>
      </c>
      <c r="B345" s="1">
        <f ca="1">IFERROR(__xludf.DUMMYFUNCTION("""COMPUTED_VALUE"""),13.85)</f>
        <v>13.85</v>
      </c>
      <c r="C345" s="1">
        <f ca="1">IFERROR(__xludf.DUMMYFUNCTION("""COMPUTED_VALUE"""),14.08)</f>
        <v>14.08</v>
      </c>
      <c r="D345" s="1">
        <f ca="1">IFERROR(__xludf.DUMMYFUNCTION("""COMPUTED_VALUE"""),13.78)</f>
        <v>13.78</v>
      </c>
      <c r="E345" s="1">
        <f ca="1">IFERROR(__xludf.DUMMYFUNCTION("""COMPUTED_VALUE"""),13.84)</f>
        <v>13.84</v>
      </c>
      <c r="F345" s="1">
        <f ca="1">IFERROR(__xludf.DUMMYFUNCTION("""COMPUTED_VALUE"""),2822781)</f>
        <v>2822781</v>
      </c>
    </row>
    <row r="346" spans="1:6" x14ac:dyDescent="0.35">
      <c r="A346" s="2">
        <f ca="1">IFERROR(__xludf.DUMMYFUNCTION("""COMPUTED_VALUE"""),42506.6666666666)</f>
        <v>42506.666666666599</v>
      </c>
      <c r="B346" s="1">
        <f ca="1">IFERROR(__xludf.DUMMYFUNCTION("""COMPUTED_VALUE"""),13.88)</f>
        <v>13.88</v>
      </c>
      <c r="C346" s="1">
        <f ca="1">IFERROR(__xludf.DUMMYFUNCTION("""COMPUTED_VALUE"""),14.21)</f>
        <v>14.21</v>
      </c>
      <c r="D346" s="1">
        <f ca="1">IFERROR(__xludf.DUMMYFUNCTION("""COMPUTED_VALUE"""),13.86)</f>
        <v>13.86</v>
      </c>
      <c r="E346" s="1">
        <f ca="1">IFERROR(__xludf.DUMMYFUNCTION("""COMPUTED_VALUE"""),13.89)</f>
        <v>13.89</v>
      </c>
      <c r="F346" s="1">
        <f ca="1">IFERROR(__xludf.DUMMYFUNCTION("""COMPUTED_VALUE"""),2949396)</f>
        <v>2949396</v>
      </c>
    </row>
    <row r="347" spans="1:6" x14ac:dyDescent="0.35">
      <c r="A347" s="2">
        <f ca="1">IFERROR(__xludf.DUMMYFUNCTION("""COMPUTED_VALUE"""),42507.6666666666)</f>
        <v>42507.666666666599</v>
      </c>
      <c r="B347" s="1">
        <f ca="1">IFERROR(__xludf.DUMMYFUNCTION("""COMPUTED_VALUE"""),13.94)</f>
        <v>13.94</v>
      </c>
      <c r="C347" s="1">
        <f ca="1">IFERROR(__xludf.DUMMYFUNCTION("""COMPUTED_VALUE"""),13.99)</f>
        <v>13.99</v>
      </c>
      <c r="D347" s="1">
        <f ca="1">IFERROR(__xludf.DUMMYFUNCTION("""COMPUTED_VALUE"""),13.6)</f>
        <v>13.6</v>
      </c>
      <c r="E347" s="1">
        <f ca="1">IFERROR(__xludf.DUMMYFUNCTION("""COMPUTED_VALUE"""),13.64)</f>
        <v>13.64</v>
      </c>
      <c r="F347" s="1">
        <f ca="1">IFERROR(__xludf.DUMMYFUNCTION("""COMPUTED_VALUE"""),2843597)</f>
        <v>2843597</v>
      </c>
    </row>
    <row r="348" spans="1:6" x14ac:dyDescent="0.35">
      <c r="A348" s="2">
        <f ca="1">IFERROR(__xludf.DUMMYFUNCTION("""COMPUTED_VALUE"""),42508.6666666666)</f>
        <v>42508.666666666599</v>
      </c>
      <c r="B348" s="1">
        <f ca="1">IFERROR(__xludf.DUMMYFUNCTION("""COMPUTED_VALUE"""),13.94)</f>
        <v>13.94</v>
      </c>
      <c r="C348" s="1">
        <f ca="1">IFERROR(__xludf.DUMMYFUNCTION("""COMPUTED_VALUE"""),14.35)</f>
        <v>14.35</v>
      </c>
      <c r="D348" s="1">
        <f ca="1">IFERROR(__xludf.DUMMYFUNCTION("""COMPUTED_VALUE"""),13.85)</f>
        <v>13.85</v>
      </c>
      <c r="E348" s="1">
        <f ca="1">IFERROR(__xludf.DUMMYFUNCTION("""COMPUTED_VALUE"""),14.08)</f>
        <v>14.08</v>
      </c>
      <c r="F348" s="1">
        <f ca="1">IFERROR(__xludf.DUMMYFUNCTION("""COMPUTED_VALUE"""),5617519)</f>
        <v>5617519</v>
      </c>
    </row>
    <row r="349" spans="1:6" x14ac:dyDescent="0.35">
      <c r="A349" s="2">
        <f ca="1">IFERROR(__xludf.DUMMYFUNCTION("""COMPUTED_VALUE"""),42509.6666666666)</f>
        <v>42509.666666666599</v>
      </c>
      <c r="B349" s="1">
        <f ca="1">IFERROR(__xludf.DUMMYFUNCTION("""COMPUTED_VALUE"""),14.24)</f>
        <v>14.24</v>
      </c>
      <c r="C349" s="1">
        <f ca="1">IFERROR(__xludf.DUMMYFUNCTION("""COMPUTED_VALUE"""),14.45)</f>
        <v>14.45</v>
      </c>
      <c r="D349" s="1">
        <f ca="1">IFERROR(__xludf.DUMMYFUNCTION("""COMPUTED_VALUE"""),13.82)</f>
        <v>13.82</v>
      </c>
      <c r="E349" s="1">
        <f ca="1">IFERROR(__xludf.DUMMYFUNCTION("""COMPUTED_VALUE"""),14.35)</f>
        <v>14.35</v>
      </c>
      <c r="F349" s="1">
        <f ca="1">IFERROR(__xludf.DUMMYFUNCTION("""COMPUTED_VALUE"""),6866321)</f>
        <v>6866321</v>
      </c>
    </row>
    <row r="350" spans="1:6" x14ac:dyDescent="0.35">
      <c r="A350" s="2">
        <f ca="1">IFERROR(__xludf.DUMMYFUNCTION("""COMPUTED_VALUE"""),42510.6666666666)</f>
        <v>42510.666666666599</v>
      </c>
      <c r="B350" s="1">
        <f ca="1">IFERROR(__xludf.DUMMYFUNCTION("""COMPUTED_VALUE"""),14.47)</f>
        <v>14.47</v>
      </c>
      <c r="C350" s="1">
        <f ca="1">IFERROR(__xludf.DUMMYFUNCTION("""COMPUTED_VALUE"""),14.7)</f>
        <v>14.7</v>
      </c>
      <c r="D350" s="1">
        <f ca="1">IFERROR(__xludf.DUMMYFUNCTION("""COMPUTED_VALUE"""),14.42)</f>
        <v>14.42</v>
      </c>
      <c r="E350" s="1">
        <f ca="1">IFERROR(__xludf.DUMMYFUNCTION("""COMPUTED_VALUE"""),14.69)</f>
        <v>14.69</v>
      </c>
      <c r="F350" s="1">
        <f ca="1">IFERROR(__xludf.DUMMYFUNCTION("""COMPUTED_VALUE"""),9007076)</f>
        <v>9007076</v>
      </c>
    </row>
    <row r="351" spans="1:6" x14ac:dyDescent="0.35">
      <c r="A351" s="2">
        <f ca="1">IFERROR(__xludf.DUMMYFUNCTION("""COMPUTED_VALUE"""),42513.6666666666)</f>
        <v>42513.666666666599</v>
      </c>
      <c r="B351" s="1">
        <f ca="1">IFERROR(__xludf.DUMMYFUNCTION("""COMPUTED_VALUE"""),14.66)</f>
        <v>14.66</v>
      </c>
      <c r="C351" s="1">
        <f ca="1">IFERROR(__xludf.DUMMYFUNCTION("""COMPUTED_VALUE"""),14.84)</f>
        <v>14.84</v>
      </c>
      <c r="D351" s="1">
        <f ca="1">IFERROR(__xludf.DUMMYFUNCTION("""COMPUTED_VALUE"""),14.39)</f>
        <v>14.39</v>
      </c>
      <c r="E351" s="1">
        <f ca="1">IFERROR(__xludf.DUMMYFUNCTION("""COMPUTED_VALUE"""),14.41)</f>
        <v>14.41</v>
      </c>
      <c r="F351" s="1">
        <f ca="1">IFERROR(__xludf.DUMMYFUNCTION("""COMPUTED_VALUE"""),5102479)</f>
        <v>5102479</v>
      </c>
    </row>
    <row r="352" spans="1:6" x14ac:dyDescent="0.35">
      <c r="A352" s="2">
        <f ca="1">IFERROR(__xludf.DUMMYFUNCTION("""COMPUTED_VALUE"""),42514.6666666666)</f>
        <v>42514.666666666599</v>
      </c>
      <c r="B352" s="1">
        <f ca="1">IFERROR(__xludf.DUMMYFUNCTION("""COMPUTED_VALUE"""),14.44)</f>
        <v>14.44</v>
      </c>
      <c r="C352" s="1">
        <f ca="1">IFERROR(__xludf.DUMMYFUNCTION("""COMPUTED_VALUE"""),14.58)</f>
        <v>14.58</v>
      </c>
      <c r="D352" s="1">
        <f ca="1">IFERROR(__xludf.DUMMYFUNCTION("""COMPUTED_VALUE"""),14.35)</f>
        <v>14.35</v>
      </c>
      <c r="E352" s="1">
        <f ca="1">IFERROR(__xludf.DUMMYFUNCTION("""COMPUTED_VALUE"""),14.53)</f>
        <v>14.53</v>
      </c>
      <c r="F352" s="1">
        <f ca="1">IFERROR(__xludf.DUMMYFUNCTION("""COMPUTED_VALUE"""),3013843)</f>
        <v>3013843</v>
      </c>
    </row>
    <row r="353" spans="1:6" x14ac:dyDescent="0.35">
      <c r="A353" s="2">
        <f ca="1">IFERROR(__xludf.DUMMYFUNCTION("""COMPUTED_VALUE"""),42515.6666666666)</f>
        <v>42515.666666666599</v>
      </c>
      <c r="B353" s="1">
        <f ca="1">IFERROR(__xludf.DUMMYFUNCTION("""COMPUTED_VALUE"""),14.53)</f>
        <v>14.53</v>
      </c>
      <c r="C353" s="1">
        <f ca="1">IFERROR(__xludf.DUMMYFUNCTION("""COMPUTED_VALUE"""),14.76)</f>
        <v>14.76</v>
      </c>
      <c r="D353" s="1">
        <f ca="1">IFERROR(__xludf.DUMMYFUNCTION("""COMPUTED_VALUE"""),14.43)</f>
        <v>14.43</v>
      </c>
      <c r="E353" s="1">
        <f ca="1">IFERROR(__xludf.DUMMYFUNCTION("""COMPUTED_VALUE"""),14.64)</f>
        <v>14.64</v>
      </c>
      <c r="F353" s="1">
        <f ca="1">IFERROR(__xludf.DUMMYFUNCTION("""COMPUTED_VALUE"""),3132615)</f>
        <v>3132615</v>
      </c>
    </row>
    <row r="354" spans="1:6" x14ac:dyDescent="0.35">
      <c r="A354" s="2">
        <f ca="1">IFERROR(__xludf.DUMMYFUNCTION("""COMPUTED_VALUE"""),42516.6666666666)</f>
        <v>42516.666666666599</v>
      </c>
      <c r="B354" s="1">
        <f ca="1">IFERROR(__xludf.DUMMYFUNCTION("""COMPUTED_VALUE"""),14.7)</f>
        <v>14.7</v>
      </c>
      <c r="C354" s="1">
        <f ca="1">IFERROR(__xludf.DUMMYFUNCTION("""COMPUTED_VALUE"""),15.02)</f>
        <v>15.02</v>
      </c>
      <c r="D354" s="1">
        <f ca="1">IFERROR(__xludf.DUMMYFUNCTION("""COMPUTED_VALUE"""),14.6)</f>
        <v>14.6</v>
      </c>
      <c r="E354" s="1">
        <f ca="1">IFERROR(__xludf.DUMMYFUNCTION("""COMPUTED_VALUE"""),15.01)</f>
        <v>15.01</v>
      </c>
      <c r="F354" s="1">
        <f ca="1">IFERROR(__xludf.DUMMYFUNCTION("""COMPUTED_VALUE"""),4072424)</f>
        <v>4072424</v>
      </c>
    </row>
    <row r="355" spans="1:6" x14ac:dyDescent="0.35">
      <c r="A355" s="2">
        <f ca="1">IFERROR(__xludf.DUMMYFUNCTION("""COMPUTED_VALUE"""),42517.6666666666)</f>
        <v>42517.666666666599</v>
      </c>
      <c r="B355" s="1">
        <f ca="1">IFERROR(__xludf.DUMMYFUNCTION("""COMPUTED_VALUE"""),15)</f>
        <v>15</v>
      </c>
      <c r="C355" s="1">
        <f ca="1">IFERROR(__xludf.DUMMYFUNCTION("""COMPUTED_VALUE"""),15.06)</f>
        <v>15.06</v>
      </c>
      <c r="D355" s="1">
        <f ca="1">IFERROR(__xludf.DUMMYFUNCTION("""COMPUTED_VALUE"""),14.72)</f>
        <v>14.72</v>
      </c>
      <c r="E355" s="1">
        <f ca="1">IFERROR(__xludf.DUMMYFUNCTION("""COMPUTED_VALUE"""),14.87)</f>
        <v>14.87</v>
      </c>
      <c r="F355" s="1">
        <f ca="1">IFERROR(__xludf.DUMMYFUNCTION("""COMPUTED_VALUE"""),3650272)</f>
        <v>3650272</v>
      </c>
    </row>
    <row r="356" spans="1:6" x14ac:dyDescent="0.35">
      <c r="A356" s="2">
        <f ca="1">IFERROR(__xludf.DUMMYFUNCTION("""COMPUTED_VALUE"""),42521.6666666666)</f>
        <v>42521.666666666599</v>
      </c>
      <c r="B356" s="1">
        <f ca="1">IFERROR(__xludf.DUMMYFUNCTION("""COMPUTED_VALUE"""),14.87)</f>
        <v>14.87</v>
      </c>
      <c r="C356" s="1">
        <f ca="1">IFERROR(__xludf.DUMMYFUNCTION("""COMPUTED_VALUE"""),14.98)</f>
        <v>14.98</v>
      </c>
      <c r="D356" s="1">
        <f ca="1">IFERROR(__xludf.DUMMYFUNCTION("""COMPUTED_VALUE"""),14.77)</f>
        <v>14.77</v>
      </c>
      <c r="E356" s="1">
        <f ca="1">IFERROR(__xludf.DUMMYFUNCTION("""COMPUTED_VALUE"""),14.88)</f>
        <v>14.88</v>
      </c>
      <c r="F356" s="1">
        <f ca="1">IFERROR(__xludf.DUMMYFUNCTION("""COMPUTED_VALUE"""),2789002)</f>
        <v>2789002</v>
      </c>
    </row>
    <row r="357" spans="1:6" x14ac:dyDescent="0.35">
      <c r="A357" s="2">
        <f ca="1">IFERROR(__xludf.DUMMYFUNCTION("""COMPUTED_VALUE"""),42522.6666666666)</f>
        <v>42522.666666666599</v>
      </c>
      <c r="B357" s="1">
        <f ca="1">IFERROR(__xludf.DUMMYFUNCTION("""COMPUTED_VALUE"""),14.77)</f>
        <v>14.77</v>
      </c>
      <c r="C357" s="1">
        <f ca="1">IFERROR(__xludf.DUMMYFUNCTION("""COMPUTED_VALUE"""),14.83)</f>
        <v>14.83</v>
      </c>
      <c r="D357" s="1">
        <f ca="1">IFERROR(__xludf.DUMMYFUNCTION("""COMPUTED_VALUE"""),14.46)</f>
        <v>14.46</v>
      </c>
      <c r="E357" s="1">
        <f ca="1">IFERROR(__xludf.DUMMYFUNCTION("""COMPUTED_VALUE"""),14.64)</f>
        <v>14.64</v>
      </c>
      <c r="F357" s="1">
        <f ca="1">IFERROR(__xludf.DUMMYFUNCTION("""COMPUTED_VALUE"""),2982695)</f>
        <v>2982695</v>
      </c>
    </row>
    <row r="358" spans="1:6" x14ac:dyDescent="0.35">
      <c r="A358" s="2">
        <f ca="1">IFERROR(__xludf.DUMMYFUNCTION("""COMPUTED_VALUE"""),42523.6666666666)</f>
        <v>42523.666666666599</v>
      </c>
      <c r="B358" s="1">
        <f ca="1">IFERROR(__xludf.DUMMYFUNCTION("""COMPUTED_VALUE"""),14.64)</f>
        <v>14.64</v>
      </c>
      <c r="C358" s="1">
        <f ca="1">IFERROR(__xludf.DUMMYFUNCTION("""COMPUTED_VALUE"""),14.66)</f>
        <v>14.66</v>
      </c>
      <c r="D358" s="1">
        <f ca="1">IFERROR(__xludf.DUMMYFUNCTION("""COMPUTED_VALUE"""),14.47)</f>
        <v>14.47</v>
      </c>
      <c r="E358" s="1">
        <f ca="1">IFERROR(__xludf.DUMMYFUNCTION("""COMPUTED_VALUE"""),14.6)</f>
        <v>14.6</v>
      </c>
      <c r="F358" s="1">
        <f ca="1">IFERROR(__xludf.DUMMYFUNCTION("""COMPUTED_VALUE"""),2032832)</f>
        <v>2032832</v>
      </c>
    </row>
    <row r="359" spans="1:6" x14ac:dyDescent="0.35">
      <c r="A359" s="2">
        <f ca="1">IFERROR(__xludf.DUMMYFUNCTION("""COMPUTED_VALUE"""),42524.6666666666)</f>
        <v>42524.666666666599</v>
      </c>
      <c r="B359" s="1">
        <f ca="1">IFERROR(__xludf.DUMMYFUNCTION("""COMPUTED_VALUE"""),14.67)</f>
        <v>14.67</v>
      </c>
      <c r="C359" s="1">
        <f ca="1">IFERROR(__xludf.DUMMYFUNCTION("""COMPUTED_VALUE"""),14.8)</f>
        <v>14.8</v>
      </c>
      <c r="D359" s="1">
        <f ca="1">IFERROR(__xludf.DUMMYFUNCTION("""COMPUTED_VALUE"""),14.53)</f>
        <v>14.53</v>
      </c>
      <c r="E359" s="1">
        <f ca="1">IFERROR(__xludf.DUMMYFUNCTION("""COMPUTED_VALUE"""),14.6)</f>
        <v>14.6</v>
      </c>
      <c r="F359" s="1">
        <f ca="1">IFERROR(__xludf.DUMMYFUNCTION("""COMPUTED_VALUE"""),2228970)</f>
        <v>2228970</v>
      </c>
    </row>
    <row r="360" spans="1:6" x14ac:dyDescent="0.35">
      <c r="A360" s="2">
        <f ca="1">IFERROR(__xludf.DUMMYFUNCTION("""COMPUTED_VALUE"""),42527.6666666666)</f>
        <v>42527.666666666599</v>
      </c>
      <c r="B360" s="1">
        <f ca="1">IFERROR(__xludf.DUMMYFUNCTION("""COMPUTED_VALUE"""),14.53)</f>
        <v>14.53</v>
      </c>
      <c r="C360" s="1">
        <f ca="1">IFERROR(__xludf.DUMMYFUNCTION("""COMPUTED_VALUE"""),14.73)</f>
        <v>14.73</v>
      </c>
      <c r="D360" s="1">
        <f ca="1">IFERROR(__xludf.DUMMYFUNCTION("""COMPUTED_VALUE"""),14.36)</f>
        <v>14.36</v>
      </c>
      <c r="E360" s="1">
        <f ca="1">IFERROR(__xludf.DUMMYFUNCTION("""COMPUTED_VALUE"""),14.71)</f>
        <v>14.71</v>
      </c>
      <c r="F360" s="1">
        <f ca="1">IFERROR(__xludf.DUMMYFUNCTION("""COMPUTED_VALUE"""),2249508)</f>
        <v>2249508</v>
      </c>
    </row>
    <row r="361" spans="1:6" x14ac:dyDescent="0.35">
      <c r="A361" s="2">
        <f ca="1">IFERROR(__xludf.DUMMYFUNCTION("""COMPUTED_VALUE"""),42528.6666666666)</f>
        <v>42528.666666666599</v>
      </c>
      <c r="B361" s="1">
        <f ca="1">IFERROR(__xludf.DUMMYFUNCTION("""COMPUTED_VALUE"""),14.82)</f>
        <v>14.82</v>
      </c>
      <c r="C361" s="1">
        <f ca="1">IFERROR(__xludf.DUMMYFUNCTION("""COMPUTED_VALUE"""),15.63)</f>
        <v>15.63</v>
      </c>
      <c r="D361" s="1">
        <f ca="1">IFERROR(__xludf.DUMMYFUNCTION("""COMPUTED_VALUE"""),14.77)</f>
        <v>14.77</v>
      </c>
      <c r="E361" s="1">
        <f ca="1">IFERROR(__xludf.DUMMYFUNCTION("""COMPUTED_VALUE"""),15.49)</f>
        <v>15.49</v>
      </c>
      <c r="F361" s="1">
        <f ca="1">IFERROR(__xludf.DUMMYFUNCTION("""COMPUTED_VALUE"""),6213573)</f>
        <v>6213573</v>
      </c>
    </row>
    <row r="362" spans="1:6" x14ac:dyDescent="0.35">
      <c r="A362" s="2">
        <f ca="1">IFERROR(__xludf.DUMMYFUNCTION("""COMPUTED_VALUE"""),42529.6666666666)</f>
        <v>42529.666666666599</v>
      </c>
      <c r="B362" s="1">
        <f ca="1">IFERROR(__xludf.DUMMYFUNCTION("""COMPUTED_VALUE"""),15.59)</f>
        <v>15.59</v>
      </c>
      <c r="C362" s="1">
        <f ca="1">IFERROR(__xludf.DUMMYFUNCTION("""COMPUTED_VALUE"""),16.06)</f>
        <v>16.059999999999999</v>
      </c>
      <c r="D362" s="1">
        <f ca="1">IFERROR(__xludf.DUMMYFUNCTION("""COMPUTED_VALUE"""),15.51)</f>
        <v>15.51</v>
      </c>
      <c r="E362" s="1">
        <f ca="1">IFERROR(__xludf.DUMMYFUNCTION("""COMPUTED_VALUE"""),15.7)</f>
        <v>15.7</v>
      </c>
      <c r="F362" s="1">
        <f ca="1">IFERROR(__xludf.DUMMYFUNCTION("""COMPUTED_VALUE"""),5971995)</f>
        <v>5971995</v>
      </c>
    </row>
    <row r="363" spans="1:6" x14ac:dyDescent="0.35">
      <c r="A363" s="2">
        <f ca="1">IFERROR(__xludf.DUMMYFUNCTION("""COMPUTED_VALUE"""),42530.6666666666)</f>
        <v>42530.666666666599</v>
      </c>
      <c r="B363" s="1">
        <f ca="1">IFERROR(__xludf.DUMMYFUNCTION("""COMPUTED_VALUE"""),15.67)</f>
        <v>15.67</v>
      </c>
      <c r="C363" s="1">
        <f ca="1">IFERROR(__xludf.DUMMYFUNCTION("""COMPUTED_VALUE"""),15.69)</f>
        <v>15.69</v>
      </c>
      <c r="D363" s="1">
        <f ca="1">IFERROR(__xludf.DUMMYFUNCTION("""COMPUTED_VALUE"""),15.14)</f>
        <v>15.14</v>
      </c>
      <c r="E363" s="1">
        <f ca="1">IFERROR(__xludf.DUMMYFUNCTION("""COMPUTED_VALUE"""),15.29)</f>
        <v>15.29</v>
      </c>
      <c r="F363" s="1">
        <f ca="1">IFERROR(__xludf.DUMMYFUNCTION("""COMPUTED_VALUE"""),4492075)</f>
        <v>4492075</v>
      </c>
    </row>
    <row r="364" spans="1:6" x14ac:dyDescent="0.35">
      <c r="A364" s="2">
        <f ca="1">IFERROR(__xludf.DUMMYFUNCTION("""COMPUTED_VALUE"""),42531.6666666666)</f>
        <v>42531.666666666599</v>
      </c>
      <c r="B364" s="1">
        <f ca="1">IFERROR(__xludf.DUMMYFUNCTION("""COMPUTED_VALUE"""),15.16)</f>
        <v>15.16</v>
      </c>
      <c r="C364" s="1">
        <f ca="1">IFERROR(__xludf.DUMMYFUNCTION("""COMPUTED_VALUE"""),15.2)</f>
        <v>15.2</v>
      </c>
      <c r="D364" s="1">
        <f ca="1">IFERROR(__xludf.DUMMYFUNCTION("""COMPUTED_VALUE"""),14.56)</f>
        <v>14.56</v>
      </c>
      <c r="E364" s="1">
        <f ca="1">IFERROR(__xludf.DUMMYFUNCTION("""COMPUTED_VALUE"""),14.59)</f>
        <v>14.59</v>
      </c>
      <c r="F364" s="1">
        <f ca="1">IFERROR(__xludf.DUMMYFUNCTION("""COMPUTED_VALUE"""),6026603)</f>
        <v>6026603</v>
      </c>
    </row>
    <row r="365" spans="1:6" x14ac:dyDescent="0.35">
      <c r="A365" s="2">
        <f ca="1">IFERROR(__xludf.DUMMYFUNCTION("""COMPUTED_VALUE"""),42534.6666666666)</f>
        <v>42534.666666666599</v>
      </c>
      <c r="B365" s="1">
        <f ca="1">IFERROR(__xludf.DUMMYFUNCTION("""COMPUTED_VALUE"""),14.63)</f>
        <v>14.63</v>
      </c>
      <c r="C365" s="1">
        <f ca="1">IFERROR(__xludf.DUMMYFUNCTION("""COMPUTED_VALUE"""),15.05)</f>
        <v>15.05</v>
      </c>
      <c r="D365" s="1">
        <f ca="1">IFERROR(__xludf.DUMMYFUNCTION("""COMPUTED_VALUE"""),14.51)</f>
        <v>14.51</v>
      </c>
      <c r="E365" s="1">
        <f ca="1">IFERROR(__xludf.DUMMYFUNCTION("""COMPUTED_VALUE"""),14.52)</f>
        <v>14.52</v>
      </c>
      <c r="F365" s="1">
        <f ca="1">IFERROR(__xludf.DUMMYFUNCTION("""COMPUTED_VALUE"""),4193022)</f>
        <v>4193022</v>
      </c>
    </row>
    <row r="366" spans="1:6" x14ac:dyDescent="0.35">
      <c r="A366" s="2">
        <f ca="1">IFERROR(__xludf.DUMMYFUNCTION("""COMPUTED_VALUE"""),42535.6666666666)</f>
        <v>42535.666666666599</v>
      </c>
      <c r="B366" s="1">
        <f ca="1">IFERROR(__xludf.DUMMYFUNCTION("""COMPUTED_VALUE"""),14.59)</f>
        <v>14.59</v>
      </c>
      <c r="C366" s="1">
        <f ca="1">IFERROR(__xludf.DUMMYFUNCTION("""COMPUTED_VALUE"""),14.81)</f>
        <v>14.81</v>
      </c>
      <c r="D366" s="1">
        <f ca="1">IFERROR(__xludf.DUMMYFUNCTION("""COMPUTED_VALUE"""),14.17)</f>
        <v>14.17</v>
      </c>
      <c r="E366" s="1">
        <f ca="1">IFERROR(__xludf.DUMMYFUNCTION("""COMPUTED_VALUE"""),14.33)</f>
        <v>14.33</v>
      </c>
      <c r="F366" s="1">
        <f ca="1">IFERROR(__xludf.DUMMYFUNCTION("""COMPUTED_VALUE"""),3580167)</f>
        <v>3580167</v>
      </c>
    </row>
    <row r="367" spans="1:6" x14ac:dyDescent="0.35">
      <c r="A367" s="2">
        <f ca="1">IFERROR(__xludf.DUMMYFUNCTION("""COMPUTED_VALUE"""),42536.6666666666)</f>
        <v>42536.666666666599</v>
      </c>
      <c r="B367" s="1">
        <f ca="1">IFERROR(__xludf.DUMMYFUNCTION("""COMPUTED_VALUE"""),14.46)</f>
        <v>14.46</v>
      </c>
      <c r="C367" s="1">
        <f ca="1">IFERROR(__xludf.DUMMYFUNCTION("""COMPUTED_VALUE"""),14.79)</f>
        <v>14.79</v>
      </c>
      <c r="D367" s="1">
        <f ca="1">IFERROR(__xludf.DUMMYFUNCTION("""COMPUTED_VALUE"""),14.34)</f>
        <v>14.34</v>
      </c>
      <c r="E367" s="1">
        <f ca="1">IFERROR(__xludf.DUMMYFUNCTION("""COMPUTED_VALUE"""),14.51)</f>
        <v>14.51</v>
      </c>
      <c r="F367" s="1">
        <f ca="1">IFERROR(__xludf.DUMMYFUNCTION("""COMPUTED_VALUE"""),2908522)</f>
        <v>2908522</v>
      </c>
    </row>
    <row r="368" spans="1:6" x14ac:dyDescent="0.35">
      <c r="A368" s="2">
        <f ca="1">IFERROR(__xludf.DUMMYFUNCTION("""COMPUTED_VALUE"""),42537.6666666666)</f>
        <v>42537.666666666599</v>
      </c>
      <c r="B368" s="1">
        <f ca="1">IFERROR(__xludf.DUMMYFUNCTION("""COMPUTED_VALUE"""),14.49)</f>
        <v>14.49</v>
      </c>
      <c r="C368" s="1">
        <f ca="1">IFERROR(__xludf.DUMMYFUNCTION("""COMPUTED_VALUE"""),14.54)</f>
        <v>14.54</v>
      </c>
      <c r="D368" s="1">
        <f ca="1">IFERROR(__xludf.DUMMYFUNCTION("""COMPUTED_VALUE"""),14.23)</f>
        <v>14.23</v>
      </c>
      <c r="E368" s="1">
        <f ca="1">IFERROR(__xludf.DUMMYFUNCTION("""COMPUTED_VALUE"""),14.53)</f>
        <v>14.53</v>
      </c>
      <c r="F368" s="1">
        <f ca="1">IFERROR(__xludf.DUMMYFUNCTION("""COMPUTED_VALUE"""),2440259)</f>
        <v>2440259</v>
      </c>
    </row>
    <row r="369" spans="1:6" x14ac:dyDescent="0.35">
      <c r="A369" s="2">
        <f ca="1">IFERROR(__xludf.DUMMYFUNCTION("""COMPUTED_VALUE"""),42538.6666666666)</f>
        <v>42538.666666666599</v>
      </c>
      <c r="B369" s="1">
        <f ca="1">IFERROR(__xludf.DUMMYFUNCTION("""COMPUTED_VALUE"""),14.52)</f>
        <v>14.52</v>
      </c>
      <c r="C369" s="1">
        <f ca="1">IFERROR(__xludf.DUMMYFUNCTION("""COMPUTED_VALUE"""),14.67)</f>
        <v>14.67</v>
      </c>
      <c r="D369" s="1">
        <f ca="1">IFERROR(__xludf.DUMMYFUNCTION("""COMPUTED_VALUE"""),14.3)</f>
        <v>14.3</v>
      </c>
      <c r="E369" s="1">
        <f ca="1">IFERROR(__xludf.DUMMYFUNCTION("""COMPUTED_VALUE"""),14.36)</f>
        <v>14.36</v>
      </c>
      <c r="F369" s="1">
        <f ca="1">IFERROR(__xludf.DUMMYFUNCTION("""COMPUTED_VALUE"""),3112620)</f>
        <v>3112620</v>
      </c>
    </row>
    <row r="370" spans="1:6" x14ac:dyDescent="0.35">
      <c r="A370" s="2">
        <f ca="1">IFERROR(__xludf.DUMMYFUNCTION("""COMPUTED_VALUE"""),42541.6666666666)</f>
        <v>42541.666666666599</v>
      </c>
      <c r="B370" s="1">
        <f ca="1">IFERROR(__xludf.DUMMYFUNCTION("""COMPUTED_VALUE"""),14.63)</f>
        <v>14.63</v>
      </c>
      <c r="C370" s="1">
        <f ca="1">IFERROR(__xludf.DUMMYFUNCTION("""COMPUTED_VALUE"""),14.92)</f>
        <v>14.92</v>
      </c>
      <c r="D370" s="1">
        <f ca="1">IFERROR(__xludf.DUMMYFUNCTION("""COMPUTED_VALUE"""),14.55)</f>
        <v>14.55</v>
      </c>
      <c r="E370" s="1">
        <f ca="1">IFERROR(__xludf.DUMMYFUNCTION("""COMPUTED_VALUE"""),14.65)</f>
        <v>14.65</v>
      </c>
      <c r="F370" s="1">
        <f ca="1">IFERROR(__xludf.DUMMYFUNCTION("""COMPUTED_VALUE"""),3555471)</f>
        <v>3555471</v>
      </c>
    </row>
    <row r="371" spans="1:6" x14ac:dyDescent="0.35">
      <c r="A371" s="2">
        <f ca="1">IFERROR(__xludf.DUMMYFUNCTION("""COMPUTED_VALUE"""),42542.6666666666)</f>
        <v>42542.666666666599</v>
      </c>
      <c r="B371" s="1">
        <f ca="1">IFERROR(__xludf.DUMMYFUNCTION("""COMPUTED_VALUE"""),14.71)</f>
        <v>14.71</v>
      </c>
      <c r="C371" s="1">
        <f ca="1">IFERROR(__xludf.DUMMYFUNCTION("""COMPUTED_VALUE"""),14.84)</f>
        <v>14.84</v>
      </c>
      <c r="D371" s="1">
        <f ca="1">IFERROR(__xludf.DUMMYFUNCTION("""COMPUTED_VALUE"""),14.59)</f>
        <v>14.59</v>
      </c>
      <c r="E371" s="1">
        <f ca="1">IFERROR(__xludf.DUMMYFUNCTION("""COMPUTED_VALUE"""),14.64)</f>
        <v>14.64</v>
      </c>
      <c r="F371" s="1">
        <f ca="1">IFERROR(__xludf.DUMMYFUNCTION("""COMPUTED_VALUE"""),4529005)</f>
        <v>4529005</v>
      </c>
    </row>
    <row r="372" spans="1:6" x14ac:dyDescent="0.35">
      <c r="A372" s="2">
        <f ca="1">IFERROR(__xludf.DUMMYFUNCTION("""COMPUTED_VALUE"""),42543.6666666666)</f>
        <v>42543.666666666599</v>
      </c>
      <c r="B372" s="1">
        <f ca="1">IFERROR(__xludf.DUMMYFUNCTION("""COMPUTED_VALUE"""),13.3)</f>
        <v>13.3</v>
      </c>
      <c r="C372" s="1">
        <f ca="1">IFERROR(__xludf.DUMMYFUNCTION("""COMPUTED_VALUE"""),13.73)</f>
        <v>13.73</v>
      </c>
      <c r="D372" s="1">
        <f ca="1">IFERROR(__xludf.DUMMYFUNCTION("""COMPUTED_VALUE"""),13.05)</f>
        <v>13.05</v>
      </c>
      <c r="E372" s="1">
        <f ca="1">IFERROR(__xludf.DUMMYFUNCTION("""COMPUTED_VALUE"""),13.11)</f>
        <v>13.11</v>
      </c>
      <c r="F372" s="1">
        <f ca="1">IFERROR(__xludf.DUMMYFUNCTION("""COMPUTED_VALUE"""),23742414)</f>
        <v>23742414</v>
      </c>
    </row>
    <row r="373" spans="1:6" x14ac:dyDescent="0.35">
      <c r="A373" s="2">
        <f ca="1">IFERROR(__xludf.DUMMYFUNCTION("""COMPUTED_VALUE"""),42544.6666666666)</f>
        <v>42544.666666666599</v>
      </c>
      <c r="B373" s="1">
        <f ca="1">IFERROR(__xludf.DUMMYFUNCTION("""COMPUTED_VALUE"""),13.05)</f>
        <v>13.05</v>
      </c>
      <c r="C373" s="1">
        <f ca="1">IFERROR(__xludf.DUMMYFUNCTION("""COMPUTED_VALUE"""),13.17)</f>
        <v>13.17</v>
      </c>
      <c r="D373" s="1">
        <f ca="1">IFERROR(__xludf.DUMMYFUNCTION("""COMPUTED_VALUE"""),12.81)</f>
        <v>12.81</v>
      </c>
      <c r="E373" s="1">
        <f ca="1">IFERROR(__xludf.DUMMYFUNCTION("""COMPUTED_VALUE"""),13.09)</f>
        <v>13.09</v>
      </c>
      <c r="F373" s="1">
        <f ca="1">IFERROR(__xludf.DUMMYFUNCTION("""COMPUTED_VALUE"""),10130748)</f>
        <v>10130748</v>
      </c>
    </row>
    <row r="374" spans="1:6" x14ac:dyDescent="0.35">
      <c r="A374" s="2">
        <f ca="1">IFERROR(__xludf.DUMMYFUNCTION("""COMPUTED_VALUE"""),42545.6666666666)</f>
        <v>42545.666666666599</v>
      </c>
      <c r="B374" s="1">
        <f ca="1">IFERROR(__xludf.DUMMYFUNCTION("""COMPUTED_VALUE"""),12.67)</f>
        <v>12.67</v>
      </c>
      <c r="C374" s="1">
        <f ca="1">IFERROR(__xludf.DUMMYFUNCTION("""COMPUTED_VALUE"""),13.01)</f>
        <v>13.01</v>
      </c>
      <c r="D374" s="1">
        <f ca="1">IFERROR(__xludf.DUMMYFUNCTION("""COMPUTED_VALUE"""),12.65)</f>
        <v>12.65</v>
      </c>
      <c r="E374" s="1">
        <f ca="1">IFERROR(__xludf.DUMMYFUNCTION("""COMPUTED_VALUE"""),12.88)</f>
        <v>12.88</v>
      </c>
      <c r="F374" s="1">
        <f ca="1">IFERROR(__xludf.DUMMYFUNCTION("""COMPUTED_VALUE"""),7026516)</f>
        <v>7026516</v>
      </c>
    </row>
    <row r="375" spans="1:6" x14ac:dyDescent="0.35">
      <c r="A375" s="2">
        <f ca="1">IFERROR(__xludf.DUMMYFUNCTION("""COMPUTED_VALUE"""),42548.6666666666)</f>
        <v>42548.666666666599</v>
      </c>
      <c r="B375" s="1">
        <f ca="1">IFERROR(__xludf.DUMMYFUNCTION("""COMPUTED_VALUE"""),12.72)</f>
        <v>12.72</v>
      </c>
      <c r="C375" s="1">
        <f ca="1">IFERROR(__xludf.DUMMYFUNCTION("""COMPUTED_VALUE"""),13.25)</f>
        <v>13.25</v>
      </c>
      <c r="D375" s="1">
        <f ca="1">IFERROR(__xludf.DUMMYFUNCTION("""COMPUTED_VALUE"""),12.52)</f>
        <v>12.52</v>
      </c>
      <c r="E375" s="1">
        <f ca="1">IFERROR(__xludf.DUMMYFUNCTION("""COMPUTED_VALUE"""),13.24)</f>
        <v>13.24</v>
      </c>
      <c r="F375" s="1">
        <f ca="1">IFERROR(__xludf.DUMMYFUNCTION("""COMPUTED_VALUE"""),7220323)</f>
        <v>7220323</v>
      </c>
    </row>
    <row r="376" spans="1:6" x14ac:dyDescent="0.35">
      <c r="A376" s="2">
        <f ca="1">IFERROR(__xludf.DUMMYFUNCTION("""COMPUTED_VALUE"""),42549.6666666666)</f>
        <v>42549.666666666599</v>
      </c>
      <c r="B376" s="1">
        <f ca="1">IFERROR(__xludf.DUMMYFUNCTION("""COMPUTED_VALUE"""),13.46)</f>
        <v>13.46</v>
      </c>
      <c r="C376" s="1">
        <f ca="1">IFERROR(__xludf.DUMMYFUNCTION("""COMPUTED_VALUE"""),13.6)</f>
        <v>13.6</v>
      </c>
      <c r="D376" s="1">
        <f ca="1">IFERROR(__xludf.DUMMYFUNCTION("""COMPUTED_VALUE"""),13.29)</f>
        <v>13.29</v>
      </c>
      <c r="E376" s="1">
        <f ca="1">IFERROR(__xludf.DUMMYFUNCTION("""COMPUTED_VALUE"""),13.45)</f>
        <v>13.45</v>
      </c>
      <c r="F376" s="1">
        <f ca="1">IFERROR(__xludf.DUMMYFUNCTION("""COMPUTED_VALUE"""),6212422)</f>
        <v>6212422</v>
      </c>
    </row>
    <row r="377" spans="1:6" x14ac:dyDescent="0.35">
      <c r="A377" s="2">
        <f ca="1">IFERROR(__xludf.DUMMYFUNCTION("""COMPUTED_VALUE"""),42550.6666666666)</f>
        <v>42550.666666666599</v>
      </c>
      <c r="B377" s="1">
        <f ca="1">IFERROR(__xludf.DUMMYFUNCTION("""COMPUTED_VALUE"""),13.68)</f>
        <v>13.68</v>
      </c>
      <c r="C377" s="1">
        <f ca="1">IFERROR(__xludf.DUMMYFUNCTION("""COMPUTED_VALUE"""),14.12)</f>
        <v>14.12</v>
      </c>
      <c r="D377" s="1">
        <f ca="1">IFERROR(__xludf.DUMMYFUNCTION("""COMPUTED_VALUE"""),13.53)</f>
        <v>13.53</v>
      </c>
      <c r="E377" s="1">
        <f ca="1">IFERROR(__xludf.DUMMYFUNCTION("""COMPUTED_VALUE"""),14.01)</f>
        <v>14.01</v>
      </c>
      <c r="F377" s="1">
        <f ca="1">IFERROR(__xludf.DUMMYFUNCTION("""COMPUTED_VALUE"""),5994908)</f>
        <v>5994908</v>
      </c>
    </row>
    <row r="378" spans="1:6" x14ac:dyDescent="0.35">
      <c r="A378" s="2">
        <f ca="1">IFERROR(__xludf.DUMMYFUNCTION("""COMPUTED_VALUE"""),42551.6666666666)</f>
        <v>42551.666666666599</v>
      </c>
      <c r="B378" s="1">
        <f ca="1">IFERROR(__xludf.DUMMYFUNCTION("""COMPUTED_VALUE"""),14.2)</f>
        <v>14.2</v>
      </c>
      <c r="C378" s="1">
        <f ca="1">IFERROR(__xludf.DUMMYFUNCTION("""COMPUTED_VALUE"""),14.23)</f>
        <v>14.23</v>
      </c>
      <c r="D378" s="1">
        <f ca="1">IFERROR(__xludf.DUMMYFUNCTION("""COMPUTED_VALUE"""),13.93)</f>
        <v>13.93</v>
      </c>
      <c r="E378" s="1">
        <f ca="1">IFERROR(__xludf.DUMMYFUNCTION("""COMPUTED_VALUE"""),14.15)</f>
        <v>14.15</v>
      </c>
      <c r="F378" s="1">
        <f ca="1">IFERROR(__xludf.DUMMYFUNCTION("""COMPUTED_VALUE"""),4843111)</f>
        <v>4843111</v>
      </c>
    </row>
    <row r="379" spans="1:6" x14ac:dyDescent="0.35">
      <c r="A379" s="2">
        <f ca="1">IFERROR(__xludf.DUMMYFUNCTION("""COMPUTED_VALUE"""),42552.6666666666)</f>
        <v>42552.666666666599</v>
      </c>
      <c r="B379" s="1">
        <f ca="1">IFERROR(__xludf.DUMMYFUNCTION("""COMPUTED_VALUE"""),13.74)</f>
        <v>13.74</v>
      </c>
      <c r="C379" s="1">
        <f ca="1">IFERROR(__xludf.DUMMYFUNCTION("""COMPUTED_VALUE"""),14.55)</f>
        <v>14.55</v>
      </c>
      <c r="D379" s="1">
        <f ca="1">IFERROR(__xludf.DUMMYFUNCTION("""COMPUTED_VALUE"""),13.73)</f>
        <v>13.73</v>
      </c>
      <c r="E379" s="1">
        <f ca="1">IFERROR(__xludf.DUMMYFUNCTION("""COMPUTED_VALUE"""),14.43)</f>
        <v>14.43</v>
      </c>
      <c r="F379" s="1">
        <f ca="1">IFERROR(__xludf.DUMMYFUNCTION("""COMPUTED_VALUE"""),5399951)</f>
        <v>5399951</v>
      </c>
    </row>
    <row r="380" spans="1:6" x14ac:dyDescent="0.35">
      <c r="A380" s="2">
        <f ca="1">IFERROR(__xludf.DUMMYFUNCTION("""COMPUTED_VALUE"""),42556.6666666666)</f>
        <v>42556.666666666599</v>
      </c>
      <c r="B380" s="1">
        <f ca="1">IFERROR(__xludf.DUMMYFUNCTION("""COMPUTED_VALUE"""),13.98)</f>
        <v>13.98</v>
      </c>
      <c r="C380" s="1">
        <f ca="1">IFERROR(__xludf.DUMMYFUNCTION("""COMPUTED_VALUE"""),14.3)</f>
        <v>14.3</v>
      </c>
      <c r="D380" s="1">
        <f ca="1">IFERROR(__xludf.DUMMYFUNCTION("""COMPUTED_VALUE"""),13.87)</f>
        <v>13.87</v>
      </c>
      <c r="E380" s="1">
        <f ca="1">IFERROR(__xludf.DUMMYFUNCTION("""COMPUTED_VALUE"""),14.27)</f>
        <v>14.27</v>
      </c>
      <c r="F380" s="1">
        <f ca="1">IFERROR(__xludf.DUMMYFUNCTION("""COMPUTED_VALUE"""),5175345)</f>
        <v>5175345</v>
      </c>
    </row>
    <row r="381" spans="1:6" x14ac:dyDescent="0.35">
      <c r="A381" s="2">
        <f ca="1">IFERROR(__xludf.DUMMYFUNCTION("""COMPUTED_VALUE"""),42557.6666666666)</f>
        <v>42557.666666666599</v>
      </c>
      <c r="B381" s="1">
        <f ca="1">IFERROR(__xludf.DUMMYFUNCTION("""COMPUTED_VALUE"""),14)</f>
        <v>14</v>
      </c>
      <c r="C381" s="1">
        <f ca="1">IFERROR(__xludf.DUMMYFUNCTION("""COMPUTED_VALUE"""),14.35)</f>
        <v>14.35</v>
      </c>
      <c r="D381" s="1">
        <f ca="1">IFERROR(__xludf.DUMMYFUNCTION("""COMPUTED_VALUE"""),13.93)</f>
        <v>13.93</v>
      </c>
      <c r="E381" s="1">
        <f ca="1">IFERROR(__xludf.DUMMYFUNCTION("""COMPUTED_VALUE"""),14.3)</f>
        <v>14.3</v>
      </c>
      <c r="F381" s="1">
        <f ca="1">IFERROR(__xludf.DUMMYFUNCTION("""COMPUTED_VALUE"""),4919855)</f>
        <v>4919855</v>
      </c>
    </row>
    <row r="382" spans="1:6" x14ac:dyDescent="0.35">
      <c r="A382" s="2">
        <f ca="1">IFERROR(__xludf.DUMMYFUNCTION("""COMPUTED_VALUE"""),42558.6666666666)</f>
        <v>42558.666666666599</v>
      </c>
      <c r="B382" s="1">
        <f ca="1">IFERROR(__xludf.DUMMYFUNCTION("""COMPUTED_VALUE"""),14.21)</f>
        <v>14.21</v>
      </c>
      <c r="C382" s="1">
        <f ca="1">IFERROR(__xludf.DUMMYFUNCTION("""COMPUTED_VALUE"""),14.54)</f>
        <v>14.54</v>
      </c>
      <c r="D382" s="1">
        <f ca="1">IFERROR(__xludf.DUMMYFUNCTION("""COMPUTED_VALUE"""),14.2)</f>
        <v>14.2</v>
      </c>
      <c r="E382" s="1">
        <f ca="1">IFERROR(__xludf.DUMMYFUNCTION("""COMPUTED_VALUE"""),14.4)</f>
        <v>14.4</v>
      </c>
      <c r="F382" s="1">
        <f ca="1">IFERROR(__xludf.DUMMYFUNCTION("""COMPUTED_VALUE"""),3612022)</f>
        <v>3612022</v>
      </c>
    </row>
    <row r="383" spans="1:6" x14ac:dyDescent="0.35">
      <c r="A383" s="2">
        <f ca="1">IFERROR(__xludf.DUMMYFUNCTION("""COMPUTED_VALUE"""),42559.6666666666)</f>
        <v>42559.666666666599</v>
      </c>
      <c r="B383" s="1">
        <f ca="1">IFERROR(__xludf.DUMMYFUNCTION("""COMPUTED_VALUE"""),14.52)</f>
        <v>14.52</v>
      </c>
      <c r="C383" s="1">
        <f ca="1">IFERROR(__xludf.DUMMYFUNCTION("""COMPUTED_VALUE"""),14.65)</f>
        <v>14.65</v>
      </c>
      <c r="D383" s="1">
        <f ca="1">IFERROR(__xludf.DUMMYFUNCTION("""COMPUTED_VALUE"""),14.3)</f>
        <v>14.3</v>
      </c>
      <c r="E383" s="1">
        <f ca="1">IFERROR(__xludf.DUMMYFUNCTION("""COMPUTED_VALUE"""),14.45)</f>
        <v>14.45</v>
      </c>
      <c r="F383" s="1">
        <f ca="1">IFERROR(__xludf.DUMMYFUNCTION("""COMPUTED_VALUE"""),4074785)</f>
        <v>4074785</v>
      </c>
    </row>
    <row r="384" spans="1:6" x14ac:dyDescent="0.35">
      <c r="A384" s="2">
        <f ca="1">IFERROR(__xludf.DUMMYFUNCTION("""COMPUTED_VALUE"""),42562.6666666666)</f>
        <v>42562.666666666599</v>
      </c>
      <c r="B384" s="1">
        <f ca="1">IFERROR(__xludf.DUMMYFUNCTION("""COMPUTED_VALUE"""),14.66)</f>
        <v>14.66</v>
      </c>
      <c r="C384" s="1">
        <f ca="1">IFERROR(__xludf.DUMMYFUNCTION("""COMPUTED_VALUE"""),15.12)</f>
        <v>15.12</v>
      </c>
      <c r="D384" s="1">
        <f ca="1">IFERROR(__xludf.DUMMYFUNCTION("""COMPUTED_VALUE"""),14.63)</f>
        <v>14.63</v>
      </c>
      <c r="E384" s="1">
        <f ca="1">IFERROR(__xludf.DUMMYFUNCTION("""COMPUTED_VALUE"""),14.99)</f>
        <v>14.99</v>
      </c>
      <c r="F384" s="1">
        <f ca="1">IFERROR(__xludf.DUMMYFUNCTION("""COMPUTED_VALUE"""),5429823)</f>
        <v>5429823</v>
      </c>
    </row>
    <row r="385" spans="1:6" x14ac:dyDescent="0.35">
      <c r="A385" s="2">
        <f ca="1">IFERROR(__xludf.DUMMYFUNCTION("""COMPUTED_VALUE"""),42563.6666666666)</f>
        <v>42563.666666666599</v>
      </c>
      <c r="B385" s="1">
        <f ca="1">IFERROR(__xludf.DUMMYFUNCTION("""COMPUTED_VALUE"""),14.94)</f>
        <v>14.94</v>
      </c>
      <c r="C385" s="1">
        <f ca="1">IFERROR(__xludf.DUMMYFUNCTION("""COMPUTED_VALUE"""),15.17)</f>
        <v>15.17</v>
      </c>
      <c r="D385" s="1">
        <f ca="1">IFERROR(__xludf.DUMMYFUNCTION("""COMPUTED_VALUE"""),14.88)</f>
        <v>14.88</v>
      </c>
      <c r="E385" s="1">
        <f ca="1">IFERROR(__xludf.DUMMYFUNCTION("""COMPUTED_VALUE"""),14.98)</f>
        <v>14.98</v>
      </c>
      <c r="F385" s="1">
        <f ca="1">IFERROR(__xludf.DUMMYFUNCTION("""COMPUTED_VALUE"""),4576165)</f>
        <v>4576165</v>
      </c>
    </row>
    <row r="386" spans="1:6" x14ac:dyDescent="0.35">
      <c r="A386" s="2">
        <f ca="1">IFERROR(__xludf.DUMMYFUNCTION("""COMPUTED_VALUE"""),42564.6666666666)</f>
        <v>42564.666666666599</v>
      </c>
      <c r="B386" s="1">
        <f ca="1">IFERROR(__xludf.DUMMYFUNCTION("""COMPUTED_VALUE"""),15.03)</f>
        <v>15.03</v>
      </c>
      <c r="C386" s="1">
        <f ca="1">IFERROR(__xludf.DUMMYFUNCTION("""COMPUTED_VALUE"""),15.04)</f>
        <v>15.04</v>
      </c>
      <c r="D386" s="1">
        <f ca="1">IFERROR(__xludf.DUMMYFUNCTION("""COMPUTED_VALUE"""),14.69)</f>
        <v>14.69</v>
      </c>
      <c r="E386" s="1">
        <f ca="1">IFERROR(__xludf.DUMMYFUNCTION("""COMPUTED_VALUE"""),14.84)</f>
        <v>14.84</v>
      </c>
      <c r="F386" s="1">
        <f ca="1">IFERROR(__xludf.DUMMYFUNCTION("""COMPUTED_VALUE"""),3567062)</f>
        <v>3567062</v>
      </c>
    </row>
    <row r="387" spans="1:6" x14ac:dyDescent="0.35">
      <c r="A387" s="2">
        <f ca="1">IFERROR(__xludf.DUMMYFUNCTION("""COMPUTED_VALUE"""),42565.6666666666)</f>
        <v>42565.666666666599</v>
      </c>
      <c r="B387" s="1">
        <f ca="1">IFERROR(__xludf.DUMMYFUNCTION("""COMPUTED_VALUE"""),14.87)</f>
        <v>14.87</v>
      </c>
      <c r="C387" s="1">
        <f ca="1">IFERROR(__xludf.DUMMYFUNCTION("""COMPUTED_VALUE"""),15)</f>
        <v>15</v>
      </c>
      <c r="D387" s="1">
        <f ca="1">IFERROR(__xludf.DUMMYFUNCTION("""COMPUTED_VALUE"""),14.74)</f>
        <v>14.74</v>
      </c>
      <c r="E387" s="1">
        <f ca="1">IFERROR(__xludf.DUMMYFUNCTION("""COMPUTED_VALUE"""),14.77)</f>
        <v>14.77</v>
      </c>
      <c r="F387" s="1">
        <f ca="1">IFERROR(__xludf.DUMMYFUNCTION("""COMPUTED_VALUE"""),2675834)</f>
        <v>2675834</v>
      </c>
    </row>
    <row r="388" spans="1:6" x14ac:dyDescent="0.35">
      <c r="A388" s="2">
        <f ca="1">IFERROR(__xludf.DUMMYFUNCTION("""COMPUTED_VALUE"""),42566.6666666666)</f>
        <v>42566.666666666599</v>
      </c>
      <c r="B388" s="1">
        <f ca="1">IFERROR(__xludf.DUMMYFUNCTION("""COMPUTED_VALUE"""),14.83)</f>
        <v>14.83</v>
      </c>
      <c r="C388" s="1">
        <f ca="1">IFERROR(__xludf.DUMMYFUNCTION("""COMPUTED_VALUE"""),14.85)</f>
        <v>14.85</v>
      </c>
      <c r="D388" s="1">
        <f ca="1">IFERROR(__xludf.DUMMYFUNCTION("""COMPUTED_VALUE"""),14.64)</f>
        <v>14.64</v>
      </c>
      <c r="E388" s="1">
        <f ca="1">IFERROR(__xludf.DUMMYFUNCTION("""COMPUTED_VALUE"""),14.69)</f>
        <v>14.69</v>
      </c>
      <c r="F388" s="1">
        <f ca="1">IFERROR(__xludf.DUMMYFUNCTION("""COMPUTED_VALUE"""),2234247)</f>
        <v>2234247</v>
      </c>
    </row>
    <row r="389" spans="1:6" x14ac:dyDescent="0.35">
      <c r="A389" s="2">
        <f ca="1">IFERROR(__xludf.DUMMYFUNCTION("""COMPUTED_VALUE"""),42569.6666666666)</f>
        <v>42569.666666666599</v>
      </c>
      <c r="B389" s="1">
        <f ca="1">IFERROR(__xludf.DUMMYFUNCTION("""COMPUTED_VALUE"""),14.64)</f>
        <v>14.64</v>
      </c>
      <c r="C389" s="1">
        <f ca="1">IFERROR(__xludf.DUMMYFUNCTION("""COMPUTED_VALUE"""),15.14)</f>
        <v>15.14</v>
      </c>
      <c r="D389" s="1">
        <f ca="1">IFERROR(__xludf.DUMMYFUNCTION("""COMPUTED_VALUE"""),14.55)</f>
        <v>14.55</v>
      </c>
      <c r="E389" s="1">
        <f ca="1">IFERROR(__xludf.DUMMYFUNCTION("""COMPUTED_VALUE"""),15.08)</f>
        <v>15.08</v>
      </c>
      <c r="F389" s="1">
        <f ca="1">IFERROR(__xludf.DUMMYFUNCTION("""COMPUTED_VALUE"""),3412055)</f>
        <v>3412055</v>
      </c>
    </row>
    <row r="390" spans="1:6" x14ac:dyDescent="0.35">
      <c r="A390" s="2">
        <f ca="1">IFERROR(__xludf.DUMMYFUNCTION("""COMPUTED_VALUE"""),42570.6666666666)</f>
        <v>42570.666666666599</v>
      </c>
      <c r="B390" s="1">
        <f ca="1">IFERROR(__xludf.DUMMYFUNCTION("""COMPUTED_VALUE"""),15)</f>
        <v>15</v>
      </c>
      <c r="C390" s="1">
        <f ca="1">IFERROR(__xludf.DUMMYFUNCTION("""COMPUTED_VALUE"""),15.27)</f>
        <v>15.27</v>
      </c>
      <c r="D390" s="1">
        <f ca="1">IFERROR(__xludf.DUMMYFUNCTION("""COMPUTED_VALUE"""),14.98)</f>
        <v>14.98</v>
      </c>
      <c r="E390" s="1">
        <f ca="1">IFERROR(__xludf.DUMMYFUNCTION("""COMPUTED_VALUE"""),15.02)</f>
        <v>15.02</v>
      </c>
      <c r="F390" s="1">
        <f ca="1">IFERROR(__xludf.DUMMYFUNCTION("""COMPUTED_VALUE"""),3115065)</f>
        <v>3115065</v>
      </c>
    </row>
    <row r="391" spans="1:6" x14ac:dyDescent="0.35">
      <c r="A391" s="2">
        <f ca="1">IFERROR(__xludf.DUMMYFUNCTION("""COMPUTED_VALUE"""),42571.6666666666)</f>
        <v>42571.666666666599</v>
      </c>
      <c r="B391" s="1">
        <f ca="1">IFERROR(__xludf.DUMMYFUNCTION("""COMPUTED_VALUE"""),15.1)</f>
        <v>15.1</v>
      </c>
      <c r="C391" s="1">
        <f ca="1">IFERROR(__xludf.DUMMYFUNCTION("""COMPUTED_VALUE"""),15.32)</f>
        <v>15.32</v>
      </c>
      <c r="D391" s="1">
        <f ca="1">IFERROR(__xludf.DUMMYFUNCTION("""COMPUTED_VALUE"""),15)</f>
        <v>15</v>
      </c>
      <c r="E391" s="1">
        <f ca="1">IFERROR(__xludf.DUMMYFUNCTION("""COMPUTED_VALUE"""),15.22)</f>
        <v>15.22</v>
      </c>
      <c r="F391" s="1">
        <f ca="1">IFERROR(__xludf.DUMMYFUNCTION("""COMPUTED_VALUE"""),2568498)</f>
        <v>2568498</v>
      </c>
    </row>
    <row r="392" spans="1:6" x14ac:dyDescent="0.35">
      <c r="A392" s="2">
        <f ca="1">IFERROR(__xludf.DUMMYFUNCTION("""COMPUTED_VALUE"""),42572.6666666666)</f>
        <v>42572.666666666599</v>
      </c>
      <c r="B392" s="1">
        <f ca="1">IFERROR(__xludf.DUMMYFUNCTION("""COMPUTED_VALUE"""),15.07)</f>
        <v>15.07</v>
      </c>
      <c r="C392" s="1">
        <f ca="1">IFERROR(__xludf.DUMMYFUNCTION("""COMPUTED_VALUE"""),15.19)</f>
        <v>15.19</v>
      </c>
      <c r="D392" s="1">
        <f ca="1">IFERROR(__xludf.DUMMYFUNCTION("""COMPUTED_VALUE"""),14.61)</f>
        <v>14.61</v>
      </c>
      <c r="E392" s="1">
        <f ca="1">IFERROR(__xludf.DUMMYFUNCTION("""COMPUTED_VALUE"""),14.7)</f>
        <v>14.7</v>
      </c>
      <c r="F392" s="1">
        <f ca="1">IFERROR(__xludf.DUMMYFUNCTION("""COMPUTED_VALUE"""),4428651)</f>
        <v>4428651</v>
      </c>
    </row>
    <row r="393" spans="1:6" x14ac:dyDescent="0.35">
      <c r="A393" s="2">
        <f ca="1">IFERROR(__xludf.DUMMYFUNCTION("""COMPUTED_VALUE"""),42573.6666666666)</f>
        <v>42573.666666666599</v>
      </c>
      <c r="B393" s="1">
        <f ca="1">IFERROR(__xludf.DUMMYFUNCTION("""COMPUTED_VALUE"""),14.8)</f>
        <v>14.8</v>
      </c>
      <c r="C393" s="1">
        <f ca="1">IFERROR(__xludf.DUMMYFUNCTION("""COMPUTED_VALUE"""),14.97)</f>
        <v>14.97</v>
      </c>
      <c r="D393" s="1">
        <f ca="1">IFERROR(__xludf.DUMMYFUNCTION("""COMPUTED_VALUE"""),14.59)</f>
        <v>14.59</v>
      </c>
      <c r="E393" s="1">
        <f ca="1">IFERROR(__xludf.DUMMYFUNCTION("""COMPUTED_VALUE"""),14.82)</f>
        <v>14.82</v>
      </c>
      <c r="F393" s="1">
        <f ca="1">IFERROR(__xludf.DUMMYFUNCTION("""COMPUTED_VALUE"""),2579692)</f>
        <v>2579692</v>
      </c>
    </row>
    <row r="394" spans="1:6" x14ac:dyDescent="0.35">
      <c r="A394" s="2">
        <f ca="1">IFERROR(__xludf.DUMMYFUNCTION("""COMPUTED_VALUE"""),42576.6666666666)</f>
        <v>42576.666666666599</v>
      </c>
      <c r="B394" s="1">
        <f ca="1">IFERROR(__xludf.DUMMYFUNCTION("""COMPUTED_VALUE"""),14.82)</f>
        <v>14.82</v>
      </c>
      <c r="C394" s="1">
        <f ca="1">IFERROR(__xludf.DUMMYFUNCTION("""COMPUTED_VALUE"""),15.43)</f>
        <v>15.43</v>
      </c>
      <c r="D394" s="1">
        <f ca="1">IFERROR(__xludf.DUMMYFUNCTION("""COMPUTED_VALUE"""),14.76)</f>
        <v>14.76</v>
      </c>
      <c r="E394" s="1">
        <f ca="1">IFERROR(__xludf.DUMMYFUNCTION("""COMPUTED_VALUE"""),15.33)</f>
        <v>15.33</v>
      </c>
      <c r="F394" s="1">
        <f ca="1">IFERROR(__xludf.DUMMYFUNCTION("""COMPUTED_VALUE"""),4490683)</f>
        <v>4490683</v>
      </c>
    </row>
    <row r="395" spans="1:6" x14ac:dyDescent="0.35">
      <c r="A395" s="2">
        <f ca="1">IFERROR(__xludf.DUMMYFUNCTION("""COMPUTED_VALUE"""),42577.6666666666)</f>
        <v>42577.666666666599</v>
      </c>
      <c r="B395" s="1">
        <f ca="1">IFERROR(__xludf.DUMMYFUNCTION("""COMPUTED_VALUE"""),15.18)</f>
        <v>15.18</v>
      </c>
      <c r="C395" s="1">
        <f ca="1">IFERROR(__xludf.DUMMYFUNCTION("""COMPUTED_VALUE"""),15.33)</f>
        <v>15.33</v>
      </c>
      <c r="D395" s="1">
        <f ca="1">IFERROR(__xludf.DUMMYFUNCTION("""COMPUTED_VALUE"""),15.02)</f>
        <v>15.02</v>
      </c>
      <c r="E395" s="1">
        <f ca="1">IFERROR(__xludf.DUMMYFUNCTION("""COMPUTED_VALUE"""),15.3)</f>
        <v>15.3</v>
      </c>
      <c r="F395" s="1">
        <f ca="1">IFERROR(__xludf.DUMMYFUNCTION("""COMPUTED_VALUE"""),3430042)</f>
        <v>3430042</v>
      </c>
    </row>
    <row r="396" spans="1:6" x14ac:dyDescent="0.35">
      <c r="A396" s="2">
        <f ca="1">IFERROR(__xludf.DUMMYFUNCTION("""COMPUTED_VALUE"""),42578.6666666666)</f>
        <v>42578.666666666599</v>
      </c>
      <c r="B396" s="1">
        <f ca="1">IFERROR(__xludf.DUMMYFUNCTION("""COMPUTED_VALUE"""),15.29)</f>
        <v>15.29</v>
      </c>
      <c r="C396" s="1">
        <f ca="1">IFERROR(__xludf.DUMMYFUNCTION("""COMPUTED_VALUE"""),15.56)</f>
        <v>15.56</v>
      </c>
      <c r="D396" s="1">
        <f ca="1">IFERROR(__xludf.DUMMYFUNCTION("""COMPUTED_VALUE"""),15.13)</f>
        <v>15.13</v>
      </c>
      <c r="E396" s="1">
        <f ca="1">IFERROR(__xludf.DUMMYFUNCTION("""COMPUTED_VALUE"""),15.23)</f>
        <v>15.23</v>
      </c>
      <c r="F396" s="1">
        <f ca="1">IFERROR(__xludf.DUMMYFUNCTION("""COMPUTED_VALUE"""),2889007)</f>
        <v>2889007</v>
      </c>
    </row>
    <row r="397" spans="1:6" x14ac:dyDescent="0.35">
      <c r="A397" s="2">
        <f ca="1">IFERROR(__xludf.DUMMYFUNCTION("""COMPUTED_VALUE"""),42579.6666666666)</f>
        <v>42579.666666666599</v>
      </c>
      <c r="B397" s="1">
        <f ca="1">IFERROR(__xludf.DUMMYFUNCTION("""COMPUTED_VALUE"""),15.2)</f>
        <v>15.2</v>
      </c>
      <c r="C397" s="1">
        <f ca="1">IFERROR(__xludf.DUMMYFUNCTION("""COMPUTED_VALUE"""),15.38)</f>
        <v>15.38</v>
      </c>
      <c r="D397" s="1">
        <f ca="1">IFERROR(__xludf.DUMMYFUNCTION("""COMPUTED_VALUE"""),15.11)</f>
        <v>15.11</v>
      </c>
      <c r="E397" s="1">
        <f ca="1">IFERROR(__xludf.DUMMYFUNCTION("""COMPUTED_VALUE"""),15.37)</f>
        <v>15.37</v>
      </c>
      <c r="F397" s="1">
        <f ca="1">IFERROR(__xludf.DUMMYFUNCTION("""COMPUTED_VALUE"""),2419059)</f>
        <v>2419059</v>
      </c>
    </row>
    <row r="398" spans="1:6" x14ac:dyDescent="0.35">
      <c r="A398" s="2">
        <f ca="1">IFERROR(__xludf.DUMMYFUNCTION("""COMPUTED_VALUE"""),42580.6666666666)</f>
        <v>42580.666666666599</v>
      </c>
      <c r="B398" s="1">
        <f ca="1">IFERROR(__xludf.DUMMYFUNCTION("""COMPUTED_VALUE"""),15.38)</f>
        <v>15.38</v>
      </c>
      <c r="C398" s="1">
        <f ca="1">IFERROR(__xludf.DUMMYFUNCTION("""COMPUTED_VALUE"""),15.69)</f>
        <v>15.69</v>
      </c>
      <c r="D398" s="1">
        <f ca="1">IFERROR(__xludf.DUMMYFUNCTION("""COMPUTED_VALUE"""),15.35)</f>
        <v>15.35</v>
      </c>
      <c r="E398" s="1">
        <f ca="1">IFERROR(__xludf.DUMMYFUNCTION("""COMPUTED_VALUE"""),15.65)</f>
        <v>15.65</v>
      </c>
      <c r="F398" s="1">
        <f ca="1">IFERROR(__xludf.DUMMYFUNCTION("""COMPUTED_VALUE"""),3070813)</f>
        <v>3070813</v>
      </c>
    </row>
    <row r="399" spans="1:6" x14ac:dyDescent="0.35">
      <c r="A399" s="2">
        <f ca="1">IFERROR(__xludf.DUMMYFUNCTION("""COMPUTED_VALUE"""),42583.6666666666)</f>
        <v>42583.666666666599</v>
      </c>
      <c r="B399" s="1">
        <f ca="1">IFERROR(__xludf.DUMMYFUNCTION("""COMPUTED_VALUE"""),15.7)</f>
        <v>15.7</v>
      </c>
      <c r="C399" s="1">
        <f ca="1">IFERROR(__xludf.DUMMYFUNCTION("""COMPUTED_VALUE"""),15.78)</f>
        <v>15.78</v>
      </c>
      <c r="D399" s="1">
        <f ca="1">IFERROR(__xludf.DUMMYFUNCTION("""COMPUTED_VALUE"""),15.29)</f>
        <v>15.29</v>
      </c>
      <c r="E399" s="1">
        <f ca="1">IFERROR(__xludf.DUMMYFUNCTION("""COMPUTED_VALUE"""),15.33)</f>
        <v>15.33</v>
      </c>
      <c r="F399" s="1">
        <f ca="1">IFERROR(__xludf.DUMMYFUNCTION("""COMPUTED_VALUE"""),4016284)</f>
        <v>4016284</v>
      </c>
    </row>
    <row r="400" spans="1:6" x14ac:dyDescent="0.35">
      <c r="A400" s="2">
        <f ca="1">IFERROR(__xludf.DUMMYFUNCTION("""COMPUTED_VALUE"""),42584.6666666666)</f>
        <v>42584.666666666599</v>
      </c>
      <c r="B400" s="1">
        <f ca="1">IFERROR(__xludf.DUMMYFUNCTION("""COMPUTED_VALUE"""),15.29)</f>
        <v>15.29</v>
      </c>
      <c r="C400" s="1">
        <f ca="1">IFERROR(__xludf.DUMMYFUNCTION("""COMPUTED_VALUE"""),15.32)</f>
        <v>15.32</v>
      </c>
      <c r="D400" s="1">
        <f ca="1">IFERROR(__xludf.DUMMYFUNCTION("""COMPUTED_VALUE"""),14.76)</f>
        <v>14.76</v>
      </c>
      <c r="E400" s="1">
        <f ca="1">IFERROR(__xludf.DUMMYFUNCTION("""COMPUTED_VALUE"""),15.15)</f>
        <v>15.15</v>
      </c>
      <c r="F400" s="1">
        <f ca="1">IFERROR(__xludf.DUMMYFUNCTION("""COMPUTED_VALUE"""),3934432)</f>
        <v>3934432</v>
      </c>
    </row>
    <row r="401" spans="1:6" x14ac:dyDescent="0.35">
      <c r="A401" s="2">
        <f ca="1">IFERROR(__xludf.DUMMYFUNCTION("""COMPUTED_VALUE"""),42585.6666666666)</f>
        <v>42585.666666666599</v>
      </c>
      <c r="B401" s="1">
        <f ca="1">IFERROR(__xludf.DUMMYFUNCTION("""COMPUTED_VALUE"""),15.16)</f>
        <v>15.16</v>
      </c>
      <c r="C401" s="1">
        <f ca="1">IFERROR(__xludf.DUMMYFUNCTION("""COMPUTED_VALUE"""),15.31)</f>
        <v>15.31</v>
      </c>
      <c r="D401" s="1">
        <f ca="1">IFERROR(__xludf.DUMMYFUNCTION("""COMPUTED_VALUE"""),14.95)</f>
        <v>14.95</v>
      </c>
      <c r="E401" s="1">
        <f ca="1">IFERROR(__xludf.DUMMYFUNCTION("""COMPUTED_VALUE"""),15.05)</f>
        <v>15.05</v>
      </c>
      <c r="F401" s="1">
        <f ca="1">IFERROR(__xludf.DUMMYFUNCTION("""COMPUTED_VALUE"""),3887759)</f>
        <v>3887759</v>
      </c>
    </row>
    <row r="402" spans="1:6" x14ac:dyDescent="0.35">
      <c r="A402" s="2">
        <f ca="1">IFERROR(__xludf.DUMMYFUNCTION("""COMPUTED_VALUE"""),42586.6666666666)</f>
        <v>42586.666666666599</v>
      </c>
      <c r="B402" s="1">
        <f ca="1">IFERROR(__xludf.DUMMYFUNCTION("""COMPUTED_VALUE"""),15.05)</f>
        <v>15.05</v>
      </c>
      <c r="C402" s="1">
        <f ca="1">IFERROR(__xludf.DUMMYFUNCTION("""COMPUTED_VALUE"""),15.39)</f>
        <v>15.39</v>
      </c>
      <c r="D402" s="1">
        <f ca="1">IFERROR(__xludf.DUMMYFUNCTION("""COMPUTED_VALUE"""),14.8)</f>
        <v>14.8</v>
      </c>
      <c r="E402" s="1">
        <f ca="1">IFERROR(__xludf.DUMMYFUNCTION("""COMPUTED_VALUE"""),15.37)</f>
        <v>15.37</v>
      </c>
      <c r="F402" s="1">
        <f ca="1">IFERROR(__xludf.DUMMYFUNCTION("""COMPUTED_VALUE"""),4146997)</f>
        <v>4146997</v>
      </c>
    </row>
    <row r="403" spans="1:6" x14ac:dyDescent="0.35">
      <c r="A403" s="2">
        <f ca="1">IFERROR(__xludf.DUMMYFUNCTION("""COMPUTED_VALUE"""),42587.6666666666)</f>
        <v>42587.666666666599</v>
      </c>
      <c r="B403" s="1">
        <f ca="1">IFERROR(__xludf.DUMMYFUNCTION("""COMPUTED_VALUE"""),15.33)</f>
        <v>15.33</v>
      </c>
      <c r="C403" s="1">
        <f ca="1">IFERROR(__xludf.DUMMYFUNCTION("""COMPUTED_VALUE"""),15.47)</f>
        <v>15.47</v>
      </c>
      <c r="D403" s="1">
        <f ca="1">IFERROR(__xludf.DUMMYFUNCTION("""COMPUTED_VALUE"""),15.16)</f>
        <v>15.16</v>
      </c>
      <c r="E403" s="1">
        <f ca="1">IFERROR(__xludf.DUMMYFUNCTION("""COMPUTED_VALUE"""),15.34)</f>
        <v>15.34</v>
      </c>
      <c r="F403" s="1">
        <f ca="1">IFERROR(__xludf.DUMMYFUNCTION("""COMPUTED_VALUE"""),3205215)</f>
        <v>3205215</v>
      </c>
    </row>
    <row r="404" spans="1:6" x14ac:dyDescent="0.35">
      <c r="A404" s="2">
        <f ca="1">IFERROR(__xludf.DUMMYFUNCTION("""COMPUTED_VALUE"""),42590.6666666666)</f>
        <v>42590.666666666599</v>
      </c>
      <c r="B404" s="1">
        <f ca="1">IFERROR(__xludf.DUMMYFUNCTION("""COMPUTED_VALUE"""),15.2)</f>
        <v>15.2</v>
      </c>
      <c r="C404" s="1">
        <f ca="1">IFERROR(__xludf.DUMMYFUNCTION("""COMPUTED_VALUE"""),15.31)</f>
        <v>15.31</v>
      </c>
      <c r="D404" s="1">
        <f ca="1">IFERROR(__xludf.DUMMYFUNCTION("""COMPUTED_VALUE"""),15.07)</f>
        <v>15.07</v>
      </c>
      <c r="E404" s="1">
        <f ca="1">IFERROR(__xludf.DUMMYFUNCTION("""COMPUTED_VALUE"""),15.08)</f>
        <v>15.08</v>
      </c>
      <c r="F404" s="1">
        <f ca="1">IFERROR(__xludf.DUMMYFUNCTION("""COMPUTED_VALUE"""),2263584)</f>
        <v>2263584</v>
      </c>
    </row>
    <row r="405" spans="1:6" x14ac:dyDescent="0.35">
      <c r="A405" s="2">
        <f ca="1">IFERROR(__xludf.DUMMYFUNCTION("""COMPUTED_VALUE"""),42591.6666666666)</f>
        <v>42591.666666666599</v>
      </c>
      <c r="B405" s="1">
        <f ca="1">IFERROR(__xludf.DUMMYFUNCTION("""COMPUTED_VALUE"""),15.12)</f>
        <v>15.12</v>
      </c>
      <c r="C405" s="1">
        <f ca="1">IFERROR(__xludf.DUMMYFUNCTION("""COMPUTED_VALUE"""),15.44)</f>
        <v>15.44</v>
      </c>
      <c r="D405" s="1">
        <f ca="1">IFERROR(__xludf.DUMMYFUNCTION("""COMPUTED_VALUE"""),15.11)</f>
        <v>15.11</v>
      </c>
      <c r="E405" s="1">
        <f ca="1">IFERROR(__xludf.DUMMYFUNCTION("""COMPUTED_VALUE"""),15.27)</f>
        <v>15.27</v>
      </c>
      <c r="F405" s="1">
        <f ca="1">IFERROR(__xludf.DUMMYFUNCTION("""COMPUTED_VALUE"""),2207833)</f>
        <v>2207833</v>
      </c>
    </row>
    <row r="406" spans="1:6" x14ac:dyDescent="0.35">
      <c r="A406" s="2">
        <f ca="1">IFERROR(__xludf.DUMMYFUNCTION("""COMPUTED_VALUE"""),42592.6666666666)</f>
        <v>42592.666666666599</v>
      </c>
      <c r="B406" s="1">
        <f ca="1">IFERROR(__xludf.DUMMYFUNCTION("""COMPUTED_VALUE"""),15.22)</f>
        <v>15.22</v>
      </c>
      <c r="C406" s="1">
        <f ca="1">IFERROR(__xludf.DUMMYFUNCTION("""COMPUTED_VALUE"""),15.32)</f>
        <v>15.32</v>
      </c>
      <c r="D406" s="1">
        <f ca="1">IFERROR(__xludf.DUMMYFUNCTION("""COMPUTED_VALUE"""),14.97)</f>
        <v>14.97</v>
      </c>
      <c r="E406" s="1">
        <f ca="1">IFERROR(__xludf.DUMMYFUNCTION("""COMPUTED_VALUE"""),15.04)</f>
        <v>15.04</v>
      </c>
      <c r="F406" s="1">
        <f ca="1">IFERROR(__xludf.DUMMYFUNCTION("""COMPUTED_VALUE"""),2338301)</f>
        <v>2338301</v>
      </c>
    </row>
    <row r="407" spans="1:6" x14ac:dyDescent="0.35">
      <c r="A407" s="2">
        <f ca="1">IFERROR(__xludf.DUMMYFUNCTION("""COMPUTED_VALUE"""),42593.6666666666)</f>
        <v>42593.666666666599</v>
      </c>
      <c r="B407" s="1">
        <f ca="1">IFERROR(__xludf.DUMMYFUNCTION("""COMPUTED_VALUE"""),15.08)</f>
        <v>15.08</v>
      </c>
      <c r="C407" s="1">
        <f ca="1">IFERROR(__xludf.DUMMYFUNCTION("""COMPUTED_VALUE"""),15.17)</f>
        <v>15.17</v>
      </c>
      <c r="D407" s="1">
        <f ca="1">IFERROR(__xludf.DUMMYFUNCTION("""COMPUTED_VALUE"""),14.89)</f>
        <v>14.89</v>
      </c>
      <c r="E407" s="1">
        <f ca="1">IFERROR(__xludf.DUMMYFUNCTION("""COMPUTED_VALUE"""),14.99)</f>
        <v>14.99</v>
      </c>
      <c r="F407" s="1">
        <f ca="1">IFERROR(__xludf.DUMMYFUNCTION("""COMPUTED_VALUE"""),1880936)</f>
        <v>1880936</v>
      </c>
    </row>
    <row r="408" spans="1:6" x14ac:dyDescent="0.35">
      <c r="A408" s="2">
        <f ca="1">IFERROR(__xludf.DUMMYFUNCTION("""COMPUTED_VALUE"""),42594.6666666666)</f>
        <v>42594.666666666599</v>
      </c>
      <c r="B408" s="1">
        <f ca="1">IFERROR(__xludf.DUMMYFUNCTION("""COMPUTED_VALUE"""),15.03)</f>
        <v>15.03</v>
      </c>
      <c r="C408" s="1">
        <f ca="1">IFERROR(__xludf.DUMMYFUNCTION("""COMPUTED_VALUE"""),15.11)</f>
        <v>15.11</v>
      </c>
      <c r="D408" s="1">
        <f ca="1">IFERROR(__xludf.DUMMYFUNCTION("""COMPUTED_VALUE"""),14.94)</f>
        <v>14.94</v>
      </c>
      <c r="E408" s="1">
        <f ca="1">IFERROR(__xludf.DUMMYFUNCTION("""COMPUTED_VALUE"""),15.04)</f>
        <v>15.04</v>
      </c>
      <c r="F408" s="1">
        <f ca="1">IFERROR(__xludf.DUMMYFUNCTION("""COMPUTED_VALUE"""),1813540)</f>
        <v>1813540</v>
      </c>
    </row>
    <row r="409" spans="1:6" x14ac:dyDescent="0.35">
      <c r="A409" s="2">
        <f ca="1">IFERROR(__xludf.DUMMYFUNCTION("""COMPUTED_VALUE"""),42597.6666666666)</f>
        <v>42597.666666666599</v>
      </c>
      <c r="B409" s="1">
        <f ca="1">IFERROR(__xludf.DUMMYFUNCTION("""COMPUTED_VALUE"""),15.07)</f>
        <v>15.07</v>
      </c>
      <c r="C409" s="1">
        <f ca="1">IFERROR(__xludf.DUMMYFUNCTION("""COMPUTED_VALUE"""),15.3)</f>
        <v>15.3</v>
      </c>
      <c r="D409" s="1">
        <f ca="1">IFERROR(__xludf.DUMMYFUNCTION("""COMPUTED_VALUE"""),15)</f>
        <v>15</v>
      </c>
      <c r="E409" s="1">
        <f ca="1">IFERROR(__xludf.DUMMYFUNCTION("""COMPUTED_VALUE"""),15.04)</f>
        <v>15.04</v>
      </c>
      <c r="F409" s="1">
        <f ca="1">IFERROR(__xludf.DUMMYFUNCTION("""COMPUTED_VALUE"""),2034328)</f>
        <v>2034328</v>
      </c>
    </row>
    <row r="410" spans="1:6" x14ac:dyDescent="0.35">
      <c r="A410" s="2">
        <f ca="1">IFERROR(__xludf.DUMMYFUNCTION("""COMPUTED_VALUE"""),42598.6666666666)</f>
        <v>42598.666666666599</v>
      </c>
      <c r="B410" s="1">
        <f ca="1">IFERROR(__xludf.DUMMYFUNCTION("""COMPUTED_VALUE"""),15.03)</f>
        <v>15.03</v>
      </c>
      <c r="C410" s="1">
        <f ca="1">IFERROR(__xludf.DUMMYFUNCTION("""COMPUTED_VALUE"""),15.15)</f>
        <v>15.15</v>
      </c>
      <c r="D410" s="1">
        <f ca="1">IFERROR(__xludf.DUMMYFUNCTION("""COMPUTED_VALUE"""),14.89)</f>
        <v>14.89</v>
      </c>
      <c r="E410" s="1">
        <f ca="1">IFERROR(__xludf.DUMMYFUNCTION("""COMPUTED_VALUE"""),14.91)</f>
        <v>14.91</v>
      </c>
      <c r="F410" s="1">
        <f ca="1">IFERROR(__xludf.DUMMYFUNCTION("""COMPUTED_VALUE"""),2267147)</f>
        <v>2267147</v>
      </c>
    </row>
    <row r="411" spans="1:6" x14ac:dyDescent="0.35">
      <c r="A411" s="2">
        <f ca="1">IFERROR(__xludf.DUMMYFUNCTION("""COMPUTED_VALUE"""),42599.6666666666)</f>
        <v>42599.666666666599</v>
      </c>
      <c r="B411" s="1">
        <f ca="1">IFERROR(__xludf.DUMMYFUNCTION("""COMPUTED_VALUE"""),14.96)</f>
        <v>14.96</v>
      </c>
      <c r="C411" s="1">
        <f ca="1">IFERROR(__xludf.DUMMYFUNCTION("""COMPUTED_VALUE"""),14.99)</f>
        <v>14.99</v>
      </c>
      <c r="D411" s="1">
        <f ca="1">IFERROR(__xludf.DUMMYFUNCTION("""COMPUTED_VALUE"""),14.85)</f>
        <v>14.85</v>
      </c>
      <c r="E411" s="1">
        <f ca="1">IFERROR(__xludf.DUMMYFUNCTION("""COMPUTED_VALUE"""),14.88)</f>
        <v>14.88</v>
      </c>
      <c r="F411" s="1">
        <f ca="1">IFERROR(__xludf.DUMMYFUNCTION("""COMPUTED_VALUE"""),1787127)</f>
        <v>1787127</v>
      </c>
    </row>
    <row r="412" spans="1:6" x14ac:dyDescent="0.35">
      <c r="A412" s="2">
        <f ca="1">IFERROR(__xludf.DUMMYFUNCTION("""COMPUTED_VALUE"""),42600.6666666666)</f>
        <v>42600.666666666599</v>
      </c>
      <c r="B412" s="1">
        <f ca="1">IFERROR(__xludf.DUMMYFUNCTION("""COMPUTED_VALUE"""),14.92)</f>
        <v>14.92</v>
      </c>
      <c r="C412" s="1">
        <f ca="1">IFERROR(__xludf.DUMMYFUNCTION("""COMPUTED_VALUE"""),15.04)</f>
        <v>15.04</v>
      </c>
      <c r="D412" s="1">
        <f ca="1">IFERROR(__xludf.DUMMYFUNCTION("""COMPUTED_VALUE"""),14.82)</f>
        <v>14.82</v>
      </c>
      <c r="E412" s="1">
        <f ca="1">IFERROR(__xludf.DUMMYFUNCTION("""COMPUTED_VALUE"""),14.9)</f>
        <v>14.9</v>
      </c>
      <c r="F412" s="1">
        <f ca="1">IFERROR(__xludf.DUMMYFUNCTION("""COMPUTED_VALUE"""),1714467)</f>
        <v>1714467</v>
      </c>
    </row>
    <row r="413" spans="1:6" x14ac:dyDescent="0.35">
      <c r="A413" s="2">
        <f ca="1">IFERROR(__xludf.DUMMYFUNCTION("""COMPUTED_VALUE"""),42601.6666666666)</f>
        <v>42601.666666666599</v>
      </c>
      <c r="B413" s="1">
        <f ca="1">IFERROR(__xludf.DUMMYFUNCTION("""COMPUTED_VALUE"""),14.9)</f>
        <v>14.9</v>
      </c>
      <c r="C413" s="1">
        <f ca="1">IFERROR(__xludf.DUMMYFUNCTION("""COMPUTED_VALUE"""),15.01)</f>
        <v>15.01</v>
      </c>
      <c r="D413" s="1">
        <f ca="1">IFERROR(__xludf.DUMMYFUNCTION("""COMPUTED_VALUE"""),14.84)</f>
        <v>14.84</v>
      </c>
      <c r="E413" s="1">
        <f ca="1">IFERROR(__xludf.DUMMYFUNCTION("""COMPUTED_VALUE"""),15)</f>
        <v>15</v>
      </c>
      <c r="F413" s="1">
        <f ca="1">IFERROR(__xludf.DUMMYFUNCTION("""COMPUTED_VALUE"""),1659530)</f>
        <v>1659530</v>
      </c>
    </row>
    <row r="414" spans="1:6" x14ac:dyDescent="0.35">
      <c r="A414" s="2">
        <f ca="1">IFERROR(__xludf.DUMMYFUNCTION("""COMPUTED_VALUE"""),42604.6666666666)</f>
        <v>42604.666666666599</v>
      </c>
      <c r="B414" s="1">
        <f ca="1">IFERROR(__xludf.DUMMYFUNCTION("""COMPUTED_VALUE"""),14.94)</f>
        <v>14.94</v>
      </c>
      <c r="C414" s="1">
        <f ca="1">IFERROR(__xludf.DUMMYFUNCTION("""COMPUTED_VALUE"""),15.01)</f>
        <v>15.01</v>
      </c>
      <c r="D414" s="1">
        <f ca="1">IFERROR(__xludf.DUMMYFUNCTION("""COMPUTED_VALUE"""),14.85)</f>
        <v>14.85</v>
      </c>
      <c r="E414" s="1">
        <f ca="1">IFERROR(__xludf.DUMMYFUNCTION("""COMPUTED_VALUE"""),14.86)</f>
        <v>14.86</v>
      </c>
      <c r="F414" s="1">
        <f ca="1">IFERROR(__xludf.DUMMYFUNCTION("""COMPUTED_VALUE"""),2065493)</f>
        <v>2065493</v>
      </c>
    </row>
    <row r="415" spans="1:6" x14ac:dyDescent="0.35">
      <c r="A415" s="2">
        <f ca="1">IFERROR(__xludf.DUMMYFUNCTION("""COMPUTED_VALUE"""),42605.6666666666)</f>
        <v>42605.666666666599</v>
      </c>
      <c r="B415" s="1">
        <f ca="1">IFERROR(__xludf.DUMMYFUNCTION("""COMPUTED_VALUE"""),14.95)</f>
        <v>14.95</v>
      </c>
      <c r="C415" s="1">
        <f ca="1">IFERROR(__xludf.DUMMYFUNCTION("""COMPUTED_VALUE"""),15.23)</f>
        <v>15.23</v>
      </c>
      <c r="D415" s="1">
        <f ca="1">IFERROR(__xludf.DUMMYFUNCTION("""COMPUTED_VALUE"""),14.85)</f>
        <v>14.85</v>
      </c>
      <c r="E415" s="1">
        <f ca="1">IFERROR(__xludf.DUMMYFUNCTION("""COMPUTED_VALUE"""),14.99)</f>
        <v>14.99</v>
      </c>
      <c r="F415" s="1">
        <f ca="1">IFERROR(__xludf.DUMMYFUNCTION("""COMPUTED_VALUE"""),4784418)</f>
        <v>4784418</v>
      </c>
    </row>
    <row r="416" spans="1:6" x14ac:dyDescent="0.35">
      <c r="A416" s="2">
        <f ca="1">IFERROR(__xludf.DUMMYFUNCTION("""COMPUTED_VALUE"""),42606.6666666666)</f>
        <v>42606.666666666599</v>
      </c>
      <c r="B416" s="1">
        <f ca="1">IFERROR(__xludf.DUMMYFUNCTION("""COMPUTED_VALUE"""),15.14)</f>
        <v>15.14</v>
      </c>
      <c r="C416" s="1">
        <f ca="1">IFERROR(__xludf.DUMMYFUNCTION("""COMPUTED_VALUE"""),15.14)</f>
        <v>15.14</v>
      </c>
      <c r="D416" s="1">
        <f ca="1">IFERROR(__xludf.DUMMYFUNCTION("""COMPUTED_VALUE"""),14.81)</f>
        <v>14.81</v>
      </c>
      <c r="E416" s="1">
        <f ca="1">IFERROR(__xludf.DUMMYFUNCTION("""COMPUTED_VALUE"""),14.84)</f>
        <v>14.84</v>
      </c>
      <c r="F416" s="1">
        <f ca="1">IFERROR(__xludf.DUMMYFUNCTION("""COMPUTED_VALUE"""),2570693)</f>
        <v>2570693</v>
      </c>
    </row>
    <row r="417" spans="1:6" x14ac:dyDescent="0.35">
      <c r="A417" s="2">
        <f ca="1">IFERROR(__xludf.DUMMYFUNCTION("""COMPUTED_VALUE"""),42607.6666666666)</f>
        <v>42607.666666666599</v>
      </c>
      <c r="B417" s="1">
        <f ca="1">IFERROR(__xludf.DUMMYFUNCTION("""COMPUTED_VALUE"""),14.87)</f>
        <v>14.87</v>
      </c>
      <c r="C417" s="1">
        <f ca="1">IFERROR(__xludf.DUMMYFUNCTION("""COMPUTED_VALUE"""),14.92)</f>
        <v>14.92</v>
      </c>
      <c r="D417" s="1">
        <f ca="1">IFERROR(__xludf.DUMMYFUNCTION("""COMPUTED_VALUE"""),14.72)</f>
        <v>14.72</v>
      </c>
      <c r="E417" s="1">
        <f ca="1">IFERROR(__xludf.DUMMYFUNCTION("""COMPUTED_VALUE"""),14.73)</f>
        <v>14.73</v>
      </c>
      <c r="F417" s="1">
        <f ca="1">IFERROR(__xludf.DUMMYFUNCTION("""COMPUTED_VALUE"""),1762519)</f>
        <v>1762519</v>
      </c>
    </row>
    <row r="418" spans="1:6" x14ac:dyDescent="0.35">
      <c r="A418" s="2">
        <f ca="1">IFERROR(__xludf.DUMMYFUNCTION("""COMPUTED_VALUE"""),42608.6666666666)</f>
        <v>42608.666666666599</v>
      </c>
      <c r="B418" s="1">
        <f ca="1">IFERROR(__xludf.DUMMYFUNCTION("""COMPUTED_VALUE"""),14.81)</f>
        <v>14.81</v>
      </c>
      <c r="C418" s="1">
        <f ca="1">IFERROR(__xludf.DUMMYFUNCTION("""COMPUTED_VALUE"""),14.86)</f>
        <v>14.86</v>
      </c>
      <c r="D418" s="1">
        <f ca="1">IFERROR(__xludf.DUMMYFUNCTION("""COMPUTED_VALUE"""),14.59)</f>
        <v>14.59</v>
      </c>
      <c r="E418" s="1">
        <f ca="1">IFERROR(__xludf.DUMMYFUNCTION("""COMPUTED_VALUE"""),14.67)</f>
        <v>14.67</v>
      </c>
      <c r="F418" s="1">
        <f ca="1">IFERROR(__xludf.DUMMYFUNCTION("""COMPUTED_VALUE"""),2238992)</f>
        <v>2238992</v>
      </c>
    </row>
    <row r="419" spans="1:6" x14ac:dyDescent="0.35">
      <c r="A419" s="2">
        <f ca="1">IFERROR(__xludf.DUMMYFUNCTION("""COMPUTED_VALUE"""),42611.6666666666)</f>
        <v>42611.666666666599</v>
      </c>
      <c r="B419" s="1">
        <f ca="1">IFERROR(__xludf.DUMMYFUNCTION("""COMPUTED_VALUE"""),14.68)</f>
        <v>14.68</v>
      </c>
      <c r="C419" s="1">
        <f ca="1">IFERROR(__xludf.DUMMYFUNCTION("""COMPUTED_VALUE"""),14.69)</f>
        <v>14.69</v>
      </c>
      <c r="D419" s="1">
        <f ca="1">IFERROR(__xludf.DUMMYFUNCTION("""COMPUTED_VALUE"""),14.33)</f>
        <v>14.33</v>
      </c>
      <c r="E419" s="1">
        <f ca="1">IFERROR(__xludf.DUMMYFUNCTION("""COMPUTED_VALUE"""),14.35)</f>
        <v>14.35</v>
      </c>
      <c r="F419" s="1">
        <f ca="1">IFERROR(__xludf.DUMMYFUNCTION("""COMPUTED_VALUE"""),3266334)</f>
        <v>3266334</v>
      </c>
    </row>
    <row r="420" spans="1:6" x14ac:dyDescent="0.35">
      <c r="A420" s="2">
        <f ca="1">IFERROR(__xludf.DUMMYFUNCTION("""COMPUTED_VALUE"""),42612.6666666666)</f>
        <v>42612.666666666599</v>
      </c>
      <c r="B420" s="1">
        <f ca="1">IFERROR(__xludf.DUMMYFUNCTION("""COMPUTED_VALUE"""),14.41)</f>
        <v>14.41</v>
      </c>
      <c r="C420" s="1">
        <f ca="1">IFERROR(__xludf.DUMMYFUNCTION("""COMPUTED_VALUE"""),14.41)</f>
        <v>14.41</v>
      </c>
      <c r="D420" s="1">
        <f ca="1">IFERROR(__xludf.DUMMYFUNCTION("""COMPUTED_VALUE"""),14.03)</f>
        <v>14.03</v>
      </c>
      <c r="E420" s="1">
        <f ca="1">IFERROR(__xludf.DUMMYFUNCTION("""COMPUTED_VALUE"""),14.09)</f>
        <v>14.09</v>
      </c>
      <c r="F420" s="1">
        <f ca="1">IFERROR(__xludf.DUMMYFUNCTION("""COMPUTED_VALUE"""),3168862)</f>
        <v>3168862</v>
      </c>
    </row>
    <row r="421" spans="1:6" x14ac:dyDescent="0.35">
      <c r="A421" s="2">
        <f ca="1">IFERROR(__xludf.DUMMYFUNCTION("""COMPUTED_VALUE"""),42613.6666666666)</f>
        <v>42613.666666666599</v>
      </c>
      <c r="B421" s="1">
        <f ca="1">IFERROR(__xludf.DUMMYFUNCTION("""COMPUTED_VALUE"""),14.03)</f>
        <v>14.03</v>
      </c>
      <c r="C421" s="1">
        <f ca="1">IFERROR(__xludf.DUMMYFUNCTION("""COMPUTED_VALUE"""),14.17)</f>
        <v>14.17</v>
      </c>
      <c r="D421" s="1">
        <f ca="1">IFERROR(__xludf.DUMMYFUNCTION("""COMPUTED_VALUE"""),13.91)</f>
        <v>13.91</v>
      </c>
      <c r="E421" s="1">
        <f ca="1">IFERROR(__xludf.DUMMYFUNCTION("""COMPUTED_VALUE"""),14.13)</f>
        <v>14.13</v>
      </c>
      <c r="F421" s="1">
        <f ca="1">IFERROR(__xludf.DUMMYFUNCTION("""COMPUTED_VALUE"""),3276548)</f>
        <v>3276548</v>
      </c>
    </row>
    <row r="422" spans="1:6" x14ac:dyDescent="0.35">
      <c r="A422" s="2">
        <f ca="1">IFERROR(__xludf.DUMMYFUNCTION("""COMPUTED_VALUE"""),42614.6666666666)</f>
        <v>42614.666666666599</v>
      </c>
      <c r="B422" s="1">
        <f ca="1">IFERROR(__xludf.DUMMYFUNCTION("""COMPUTED_VALUE"""),13.93)</f>
        <v>13.93</v>
      </c>
      <c r="C422" s="1">
        <f ca="1">IFERROR(__xludf.DUMMYFUNCTION("""COMPUTED_VALUE"""),14.07)</f>
        <v>14.07</v>
      </c>
      <c r="D422" s="1">
        <f ca="1">IFERROR(__xludf.DUMMYFUNCTION("""COMPUTED_VALUE"""),13.37)</f>
        <v>13.37</v>
      </c>
      <c r="E422" s="1">
        <f ca="1">IFERROR(__xludf.DUMMYFUNCTION("""COMPUTED_VALUE"""),13.38)</f>
        <v>13.38</v>
      </c>
      <c r="F422" s="1">
        <f ca="1">IFERROR(__xludf.DUMMYFUNCTION("""COMPUTED_VALUE"""),7943138)</f>
        <v>7943138</v>
      </c>
    </row>
    <row r="423" spans="1:6" x14ac:dyDescent="0.35">
      <c r="A423" s="2">
        <f ca="1">IFERROR(__xludf.DUMMYFUNCTION("""COMPUTED_VALUE"""),42615.6666666666)</f>
        <v>42615.666666666599</v>
      </c>
      <c r="B423" s="1">
        <f ca="1">IFERROR(__xludf.DUMMYFUNCTION("""COMPUTED_VALUE"""),13.49)</f>
        <v>13.49</v>
      </c>
      <c r="C423" s="1">
        <f ca="1">IFERROR(__xludf.DUMMYFUNCTION("""COMPUTED_VALUE"""),13.55)</f>
        <v>13.55</v>
      </c>
      <c r="D423" s="1">
        <f ca="1">IFERROR(__xludf.DUMMYFUNCTION("""COMPUTED_VALUE"""),13.08)</f>
        <v>13.08</v>
      </c>
      <c r="E423" s="1">
        <f ca="1">IFERROR(__xludf.DUMMYFUNCTION("""COMPUTED_VALUE"""),13.19)</f>
        <v>13.19</v>
      </c>
      <c r="F423" s="1">
        <f ca="1">IFERROR(__xludf.DUMMYFUNCTION("""COMPUTED_VALUE"""),5977413)</f>
        <v>5977413</v>
      </c>
    </row>
    <row r="424" spans="1:6" x14ac:dyDescent="0.35">
      <c r="A424" s="2">
        <f ca="1">IFERROR(__xludf.DUMMYFUNCTION("""COMPUTED_VALUE"""),42619.6666666666)</f>
        <v>42619.666666666599</v>
      </c>
      <c r="B424" s="1">
        <f ca="1">IFERROR(__xludf.DUMMYFUNCTION("""COMPUTED_VALUE"""),13.27)</f>
        <v>13.27</v>
      </c>
      <c r="C424" s="1">
        <f ca="1">IFERROR(__xludf.DUMMYFUNCTION("""COMPUTED_VALUE"""),13.55)</f>
        <v>13.55</v>
      </c>
      <c r="D424" s="1">
        <f ca="1">IFERROR(__xludf.DUMMYFUNCTION("""COMPUTED_VALUE"""),13.27)</f>
        <v>13.27</v>
      </c>
      <c r="E424" s="1">
        <f ca="1">IFERROR(__xludf.DUMMYFUNCTION("""COMPUTED_VALUE"""),13.52)</f>
        <v>13.52</v>
      </c>
      <c r="F424" s="1">
        <f ca="1">IFERROR(__xludf.DUMMYFUNCTION("""COMPUTED_VALUE"""),4390572)</f>
        <v>4390572</v>
      </c>
    </row>
    <row r="425" spans="1:6" x14ac:dyDescent="0.35">
      <c r="A425" s="2">
        <f ca="1">IFERROR(__xludf.DUMMYFUNCTION("""COMPUTED_VALUE"""),42620.6666666666)</f>
        <v>42620.666666666599</v>
      </c>
      <c r="B425" s="1">
        <f ca="1">IFERROR(__xludf.DUMMYFUNCTION("""COMPUTED_VALUE"""),13.7)</f>
        <v>13.7</v>
      </c>
      <c r="C425" s="1">
        <f ca="1">IFERROR(__xludf.DUMMYFUNCTION("""COMPUTED_VALUE"""),13.77)</f>
        <v>13.77</v>
      </c>
      <c r="D425" s="1">
        <f ca="1">IFERROR(__xludf.DUMMYFUNCTION("""COMPUTED_VALUE"""),13.38)</f>
        <v>13.38</v>
      </c>
      <c r="E425" s="1">
        <f ca="1">IFERROR(__xludf.DUMMYFUNCTION("""COMPUTED_VALUE"""),13.45)</f>
        <v>13.45</v>
      </c>
      <c r="F425" s="1">
        <f ca="1">IFERROR(__xludf.DUMMYFUNCTION("""COMPUTED_VALUE"""),3640923)</f>
        <v>3640923</v>
      </c>
    </row>
    <row r="426" spans="1:6" x14ac:dyDescent="0.35">
      <c r="A426" s="2">
        <f ca="1">IFERROR(__xludf.DUMMYFUNCTION("""COMPUTED_VALUE"""),42621.6666666666)</f>
        <v>42621.666666666599</v>
      </c>
      <c r="B426" s="1">
        <f ca="1">IFERROR(__xludf.DUMMYFUNCTION("""COMPUTED_VALUE"""),13.3)</f>
        <v>13.3</v>
      </c>
      <c r="C426" s="1">
        <f ca="1">IFERROR(__xludf.DUMMYFUNCTION("""COMPUTED_VALUE"""),13.33)</f>
        <v>13.33</v>
      </c>
      <c r="D426" s="1">
        <f ca="1">IFERROR(__xludf.DUMMYFUNCTION("""COMPUTED_VALUE"""),13.09)</f>
        <v>13.09</v>
      </c>
      <c r="E426" s="1">
        <f ca="1">IFERROR(__xludf.DUMMYFUNCTION("""COMPUTED_VALUE"""),13.16)</f>
        <v>13.16</v>
      </c>
      <c r="F426" s="1">
        <f ca="1">IFERROR(__xludf.DUMMYFUNCTION("""COMPUTED_VALUE"""),3377946)</f>
        <v>3377946</v>
      </c>
    </row>
    <row r="427" spans="1:6" x14ac:dyDescent="0.35">
      <c r="A427" s="2">
        <f ca="1">IFERROR(__xludf.DUMMYFUNCTION("""COMPUTED_VALUE"""),42622.6666666666)</f>
        <v>42622.666666666599</v>
      </c>
      <c r="B427" s="1">
        <f ca="1">IFERROR(__xludf.DUMMYFUNCTION("""COMPUTED_VALUE"""),13.27)</f>
        <v>13.27</v>
      </c>
      <c r="C427" s="1">
        <f ca="1">IFERROR(__xludf.DUMMYFUNCTION("""COMPUTED_VALUE"""),13.33)</f>
        <v>13.33</v>
      </c>
      <c r="D427" s="1">
        <f ca="1">IFERROR(__xludf.DUMMYFUNCTION("""COMPUTED_VALUE"""),12.91)</f>
        <v>12.91</v>
      </c>
      <c r="E427" s="1">
        <f ca="1">IFERROR(__xludf.DUMMYFUNCTION("""COMPUTED_VALUE"""),12.96)</f>
        <v>12.96</v>
      </c>
      <c r="F427" s="1">
        <f ca="1">IFERROR(__xludf.DUMMYFUNCTION("""COMPUTED_VALUE"""),3756992)</f>
        <v>3756992</v>
      </c>
    </row>
    <row r="428" spans="1:6" x14ac:dyDescent="0.35">
      <c r="A428" s="2">
        <f ca="1">IFERROR(__xludf.DUMMYFUNCTION("""COMPUTED_VALUE"""),42625.6666666666)</f>
        <v>42625.666666666599</v>
      </c>
      <c r="B428" s="1">
        <f ca="1">IFERROR(__xludf.DUMMYFUNCTION("""COMPUTED_VALUE"""),13)</f>
        <v>13</v>
      </c>
      <c r="C428" s="1">
        <f ca="1">IFERROR(__xludf.DUMMYFUNCTION("""COMPUTED_VALUE"""),13.42)</f>
        <v>13.42</v>
      </c>
      <c r="D428" s="1">
        <f ca="1">IFERROR(__xludf.DUMMYFUNCTION("""COMPUTED_VALUE"""),12.94)</f>
        <v>12.94</v>
      </c>
      <c r="E428" s="1">
        <f ca="1">IFERROR(__xludf.DUMMYFUNCTION("""COMPUTED_VALUE"""),13.22)</f>
        <v>13.22</v>
      </c>
      <c r="F428" s="1">
        <f ca="1">IFERROR(__xludf.DUMMYFUNCTION("""COMPUTED_VALUE"""),3715161)</f>
        <v>3715161</v>
      </c>
    </row>
    <row r="429" spans="1:6" x14ac:dyDescent="0.35">
      <c r="A429" s="2">
        <f ca="1">IFERROR(__xludf.DUMMYFUNCTION("""COMPUTED_VALUE"""),42626.6666666666)</f>
        <v>42626.666666666599</v>
      </c>
      <c r="B429" s="1">
        <f ca="1">IFERROR(__xludf.DUMMYFUNCTION("""COMPUTED_VALUE"""),13.14)</f>
        <v>13.14</v>
      </c>
      <c r="C429" s="1">
        <f ca="1">IFERROR(__xludf.DUMMYFUNCTION("""COMPUTED_VALUE"""),13.23)</f>
        <v>13.23</v>
      </c>
      <c r="D429" s="1">
        <f ca="1">IFERROR(__xludf.DUMMYFUNCTION("""COMPUTED_VALUE"""),12.9)</f>
        <v>12.9</v>
      </c>
      <c r="E429" s="1">
        <f ca="1">IFERROR(__xludf.DUMMYFUNCTION("""COMPUTED_VALUE"""),13.07)</f>
        <v>13.07</v>
      </c>
      <c r="F429" s="1">
        <f ca="1">IFERROR(__xludf.DUMMYFUNCTION("""COMPUTED_VALUE"""),3589379)</f>
        <v>3589379</v>
      </c>
    </row>
    <row r="430" spans="1:6" x14ac:dyDescent="0.35">
      <c r="A430" s="2">
        <f ca="1">IFERROR(__xludf.DUMMYFUNCTION("""COMPUTED_VALUE"""),42627.6666666666)</f>
        <v>42627.666666666599</v>
      </c>
      <c r="B430" s="1">
        <f ca="1">IFERROR(__xludf.DUMMYFUNCTION("""COMPUTED_VALUE"""),13.05)</f>
        <v>13.05</v>
      </c>
      <c r="C430" s="1">
        <f ca="1">IFERROR(__xludf.DUMMYFUNCTION("""COMPUTED_VALUE"""),13.19)</f>
        <v>13.19</v>
      </c>
      <c r="D430" s="1">
        <f ca="1">IFERROR(__xludf.DUMMYFUNCTION("""COMPUTED_VALUE"""),12.99)</f>
        <v>12.99</v>
      </c>
      <c r="E430" s="1">
        <f ca="1">IFERROR(__xludf.DUMMYFUNCTION("""COMPUTED_VALUE"""),13.09)</f>
        <v>13.09</v>
      </c>
      <c r="F430" s="1">
        <f ca="1">IFERROR(__xludf.DUMMYFUNCTION("""COMPUTED_VALUE"""),2259231)</f>
        <v>2259231</v>
      </c>
    </row>
    <row r="431" spans="1:6" x14ac:dyDescent="0.35">
      <c r="A431" s="2">
        <f ca="1">IFERROR(__xludf.DUMMYFUNCTION("""COMPUTED_VALUE"""),42628.6666666666)</f>
        <v>42628.666666666599</v>
      </c>
      <c r="B431" s="1">
        <f ca="1">IFERROR(__xludf.DUMMYFUNCTION("""COMPUTED_VALUE"""),13.1)</f>
        <v>13.1</v>
      </c>
      <c r="C431" s="1">
        <f ca="1">IFERROR(__xludf.DUMMYFUNCTION("""COMPUTED_VALUE"""),13.5)</f>
        <v>13.5</v>
      </c>
      <c r="D431" s="1">
        <f ca="1">IFERROR(__xludf.DUMMYFUNCTION("""COMPUTED_VALUE"""),13.09)</f>
        <v>13.09</v>
      </c>
      <c r="E431" s="1">
        <f ca="1">IFERROR(__xludf.DUMMYFUNCTION("""COMPUTED_VALUE"""),13.36)</f>
        <v>13.36</v>
      </c>
      <c r="F431" s="1">
        <f ca="1">IFERROR(__xludf.DUMMYFUNCTION("""COMPUTED_VALUE"""),3085115)</f>
        <v>3085115</v>
      </c>
    </row>
    <row r="432" spans="1:6" x14ac:dyDescent="0.35">
      <c r="A432" s="2">
        <f ca="1">IFERROR(__xludf.DUMMYFUNCTION("""COMPUTED_VALUE"""),42629.6666666666)</f>
        <v>42629.666666666599</v>
      </c>
      <c r="B432" s="1">
        <f ca="1">IFERROR(__xludf.DUMMYFUNCTION("""COMPUTED_VALUE"""),13.36)</f>
        <v>13.36</v>
      </c>
      <c r="C432" s="1">
        <f ca="1">IFERROR(__xludf.DUMMYFUNCTION("""COMPUTED_VALUE"""),13.71)</f>
        <v>13.71</v>
      </c>
      <c r="D432" s="1">
        <f ca="1">IFERROR(__xludf.DUMMYFUNCTION("""COMPUTED_VALUE"""),13.27)</f>
        <v>13.27</v>
      </c>
      <c r="E432" s="1">
        <f ca="1">IFERROR(__xludf.DUMMYFUNCTION("""COMPUTED_VALUE"""),13.69)</f>
        <v>13.69</v>
      </c>
      <c r="F432" s="1">
        <f ca="1">IFERROR(__xludf.DUMMYFUNCTION("""COMPUTED_VALUE"""),3107808)</f>
        <v>3107808</v>
      </c>
    </row>
    <row r="433" spans="1:6" x14ac:dyDescent="0.35">
      <c r="A433" s="2">
        <f ca="1">IFERROR(__xludf.DUMMYFUNCTION("""COMPUTED_VALUE"""),42632.6666666666)</f>
        <v>42632.666666666599</v>
      </c>
      <c r="B433" s="1">
        <f ca="1">IFERROR(__xludf.DUMMYFUNCTION("""COMPUTED_VALUE"""),13.8)</f>
        <v>13.8</v>
      </c>
      <c r="C433" s="1">
        <f ca="1">IFERROR(__xludf.DUMMYFUNCTION("""COMPUTED_VALUE"""),13.96)</f>
        <v>13.96</v>
      </c>
      <c r="D433" s="1">
        <f ca="1">IFERROR(__xludf.DUMMYFUNCTION("""COMPUTED_VALUE"""),13.67)</f>
        <v>13.67</v>
      </c>
      <c r="E433" s="1">
        <f ca="1">IFERROR(__xludf.DUMMYFUNCTION("""COMPUTED_VALUE"""),13.76)</f>
        <v>13.76</v>
      </c>
      <c r="F433" s="1">
        <f ca="1">IFERROR(__xludf.DUMMYFUNCTION("""COMPUTED_VALUE"""),2299498)</f>
        <v>2299498</v>
      </c>
    </row>
    <row r="434" spans="1:6" x14ac:dyDescent="0.35">
      <c r="A434" s="2">
        <f ca="1">IFERROR(__xludf.DUMMYFUNCTION("""COMPUTED_VALUE"""),42633.6666666666)</f>
        <v>42633.666666666599</v>
      </c>
      <c r="B434" s="1">
        <f ca="1">IFERROR(__xludf.DUMMYFUNCTION("""COMPUTED_VALUE"""),13.79)</f>
        <v>13.79</v>
      </c>
      <c r="C434" s="1">
        <f ca="1">IFERROR(__xludf.DUMMYFUNCTION("""COMPUTED_VALUE"""),13.85)</f>
        <v>13.85</v>
      </c>
      <c r="D434" s="1">
        <f ca="1">IFERROR(__xludf.DUMMYFUNCTION("""COMPUTED_VALUE"""),13.59)</f>
        <v>13.59</v>
      </c>
      <c r="E434" s="1">
        <f ca="1">IFERROR(__xludf.DUMMYFUNCTION("""COMPUTED_VALUE"""),13.64)</f>
        <v>13.64</v>
      </c>
      <c r="F434" s="1">
        <f ca="1">IFERROR(__xludf.DUMMYFUNCTION("""COMPUTED_VALUE"""),2410488)</f>
        <v>2410488</v>
      </c>
    </row>
    <row r="435" spans="1:6" x14ac:dyDescent="0.35">
      <c r="A435" s="2">
        <f ca="1">IFERROR(__xludf.DUMMYFUNCTION("""COMPUTED_VALUE"""),42634.6666666666)</f>
        <v>42634.666666666599</v>
      </c>
      <c r="B435" s="1">
        <f ca="1">IFERROR(__xludf.DUMMYFUNCTION("""COMPUTED_VALUE"""),13.76)</f>
        <v>13.76</v>
      </c>
      <c r="C435" s="1">
        <f ca="1">IFERROR(__xludf.DUMMYFUNCTION("""COMPUTED_VALUE"""),13.8)</f>
        <v>13.8</v>
      </c>
      <c r="D435" s="1">
        <f ca="1">IFERROR(__xludf.DUMMYFUNCTION("""COMPUTED_VALUE"""),13.44)</f>
        <v>13.44</v>
      </c>
      <c r="E435" s="1">
        <f ca="1">IFERROR(__xludf.DUMMYFUNCTION("""COMPUTED_VALUE"""),13.68)</f>
        <v>13.68</v>
      </c>
      <c r="F435" s="1">
        <f ca="1">IFERROR(__xludf.DUMMYFUNCTION("""COMPUTED_VALUE"""),2633503)</f>
        <v>2633503</v>
      </c>
    </row>
    <row r="436" spans="1:6" x14ac:dyDescent="0.35">
      <c r="A436" s="2">
        <f ca="1">IFERROR(__xludf.DUMMYFUNCTION("""COMPUTED_VALUE"""),42635.6666666666)</f>
        <v>42635.666666666599</v>
      </c>
      <c r="B436" s="1">
        <f ca="1">IFERROR(__xludf.DUMMYFUNCTION("""COMPUTED_VALUE"""),13.76)</f>
        <v>13.76</v>
      </c>
      <c r="C436" s="1">
        <f ca="1">IFERROR(__xludf.DUMMYFUNCTION("""COMPUTED_VALUE"""),13.82)</f>
        <v>13.82</v>
      </c>
      <c r="D436" s="1">
        <f ca="1">IFERROR(__xludf.DUMMYFUNCTION("""COMPUTED_VALUE"""),13.53)</f>
        <v>13.53</v>
      </c>
      <c r="E436" s="1">
        <f ca="1">IFERROR(__xludf.DUMMYFUNCTION("""COMPUTED_VALUE"""),13.76)</f>
        <v>13.76</v>
      </c>
      <c r="F436" s="1">
        <f ca="1">IFERROR(__xludf.DUMMYFUNCTION("""COMPUTED_VALUE"""),2382902)</f>
        <v>2382902</v>
      </c>
    </row>
    <row r="437" spans="1:6" x14ac:dyDescent="0.35">
      <c r="A437" s="2">
        <f ca="1">IFERROR(__xludf.DUMMYFUNCTION("""COMPUTED_VALUE"""),42636.6666666666)</f>
        <v>42636.666666666599</v>
      </c>
      <c r="B437" s="1">
        <f ca="1">IFERROR(__xludf.DUMMYFUNCTION("""COMPUTED_VALUE"""),13.73)</f>
        <v>13.73</v>
      </c>
      <c r="C437" s="1">
        <f ca="1">IFERROR(__xludf.DUMMYFUNCTION("""COMPUTED_VALUE"""),14.01)</f>
        <v>14.01</v>
      </c>
      <c r="D437" s="1">
        <f ca="1">IFERROR(__xludf.DUMMYFUNCTION("""COMPUTED_VALUE"""),13.71)</f>
        <v>13.71</v>
      </c>
      <c r="E437" s="1">
        <f ca="1">IFERROR(__xludf.DUMMYFUNCTION("""COMPUTED_VALUE"""),13.83)</f>
        <v>13.83</v>
      </c>
      <c r="F437" s="1">
        <f ca="1">IFERROR(__xludf.DUMMYFUNCTION("""COMPUTED_VALUE"""),2905229)</f>
        <v>2905229</v>
      </c>
    </row>
    <row r="438" spans="1:6" x14ac:dyDescent="0.35">
      <c r="A438" s="2">
        <f ca="1">IFERROR(__xludf.DUMMYFUNCTION("""COMPUTED_VALUE"""),42639.6666666666)</f>
        <v>42639.666666666599</v>
      </c>
      <c r="B438" s="1">
        <f ca="1">IFERROR(__xludf.DUMMYFUNCTION("""COMPUTED_VALUE"""),13.77)</f>
        <v>13.77</v>
      </c>
      <c r="C438" s="1">
        <f ca="1">IFERROR(__xludf.DUMMYFUNCTION("""COMPUTED_VALUE"""),14.07)</f>
        <v>14.07</v>
      </c>
      <c r="D438" s="1">
        <f ca="1">IFERROR(__xludf.DUMMYFUNCTION("""COMPUTED_VALUE"""),13.77)</f>
        <v>13.77</v>
      </c>
      <c r="E438" s="1">
        <f ca="1">IFERROR(__xludf.DUMMYFUNCTION("""COMPUTED_VALUE"""),13.93)</f>
        <v>13.93</v>
      </c>
      <c r="F438" s="1">
        <f ca="1">IFERROR(__xludf.DUMMYFUNCTION("""COMPUTED_VALUE"""),2394358)</f>
        <v>2394358</v>
      </c>
    </row>
    <row r="439" spans="1:6" x14ac:dyDescent="0.35">
      <c r="A439" s="2">
        <f ca="1">IFERROR(__xludf.DUMMYFUNCTION("""COMPUTED_VALUE"""),42640.6666666666)</f>
        <v>42640.666666666599</v>
      </c>
      <c r="B439" s="1">
        <f ca="1">IFERROR(__xludf.DUMMYFUNCTION("""COMPUTED_VALUE"""),13.98)</f>
        <v>13.98</v>
      </c>
      <c r="C439" s="1">
        <f ca="1">IFERROR(__xludf.DUMMYFUNCTION("""COMPUTED_VALUE"""),14)</f>
        <v>14</v>
      </c>
      <c r="D439" s="1">
        <f ca="1">IFERROR(__xludf.DUMMYFUNCTION("""COMPUTED_VALUE"""),13.64)</f>
        <v>13.64</v>
      </c>
      <c r="E439" s="1">
        <f ca="1">IFERROR(__xludf.DUMMYFUNCTION("""COMPUTED_VALUE"""),13.72)</f>
        <v>13.72</v>
      </c>
      <c r="F439" s="1">
        <f ca="1">IFERROR(__xludf.DUMMYFUNCTION("""COMPUTED_VALUE"""),3373180)</f>
        <v>3373180</v>
      </c>
    </row>
    <row r="440" spans="1:6" x14ac:dyDescent="0.35">
      <c r="A440" s="2">
        <f ca="1">IFERROR(__xludf.DUMMYFUNCTION("""COMPUTED_VALUE"""),42641.6666666666)</f>
        <v>42641.666666666599</v>
      </c>
      <c r="B440" s="1">
        <f ca="1">IFERROR(__xludf.DUMMYFUNCTION("""COMPUTED_VALUE"""),13.83)</f>
        <v>13.83</v>
      </c>
      <c r="C440" s="1">
        <f ca="1">IFERROR(__xludf.DUMMYFUNCTION("""COMPUTED_VALUE"""),13.88)</f>
        <v>13.88</v>
      </c>
      <c r="D440" s="1">
        <f ca="1">IFERROR(__xludf.DUMMYFUNCTION("""COMPUTED_VALUE"""),13.68)</f>
        <v>13.68</v>
      </c>
      <c r="E440" s="1">
        <f ca="1">IFERROR(__xludf.DUMMYFUNCTION("""COMPUTED_VALUE"""),13.75)</f>
        <v>13.75</v>
      </c>
      <c r="F440" s="1">
        <f ca="1">IFERROR(__xludf.DUMMYFUNCTION("""COMPUTED_VALUE"""),2088374)</f>
        <v>2088374</v>
      </c>
    </row>
    <row r="441" spans="1:6" x14ac:dyDescent="0.35">
      <c r="A441" s="2">
        <f ca="1">IFERROR(__xludf.DUMMYFUNCTION("""COMPUTED_VALUE"""),42642.6666666666)</f>
        <v>42642.666666666599</v>
      </c>
      <c r="B441" s="1">
        <f ca="1">IFERROR(__xludf.DUMMYFUNCTION("""COMPUTED_VALUE"""),13.71)</f>
        <v>13.71</v>
      </c>
      <c r="C441" s="1">
        <f ca="1">IFERROR(__xludf.DUMMYFUNCTION("""COMPUTED_VALUE"""),13.82)</f>
        <v>13.82</v>
      </c>
      <c r="D441" s="1">
        <f ca="1">IFERROR(__xludf.DUMMYFUNCTION("""COMPUTED_VALUE"""),13.37)</f>
        <v>13.37</v>
      </c>
      <c r="E441" s="1">
        <f ca="1">IFERROR(__xludf.DUMMYFUNCTION("""COMPUTED_VALUE"""),13.38)</f>
        <v>13.38</v>
      </c>
      <c r="F441" s="1">
        <f ca="1">IFERROR(__xludf.DUMMYFUNCTION("""COMPUTED_VALUE"""),2727029)</f>
        <v>2727029</v>
      </c>
    </row>
    <row r="442" spans="1:6" x14ac:dyDescent="0.35">
      <c r="A442" s="2">
        <f ca="1">IFERROR(__xludf.DUMMYFUNCTION("""COMPUTED_VALUE"""),42643.6666666666)</f>
        <v>42643.666666666599</v>
      </c>
      <c r="B442" s="1">
        <f ca="1">IFERROR(__xludf.DUMMYFUNCTION("""COMPUTED_VALUE"""),13.48)</f>
        <v>13.48</v>
      </c>
      <c r="C442" s="1">
        <f ca="1">IFERROR(__xludf.DUMMYFUNCTION("""COMPUTED_VALUE"""),13.67)</f>
        <v>13.67</v>
      </c>
      <c r="D442" s="1">
        <f ca="1">IFERROR(__xludf.DUMMYFUNCTION("""COMPUTED_VALUE"""),13.3)</f>
        <v>13.3</v>
      </c>
      <c r="E442" s="1">
        <f ca="1">IFERROR(__xludf.DUMMYFUNCTION("""COMPUTED_VALUE"""),13.6)</f>
        <v>13.6</v>
      </c>
      <c r="F442" s="1">
        <f ca="1">IFERROR(__xludf.DUMMYFUNCTION("""COMPUTED_VALUE"""),2586273)</f>
        <v>2586273</v>
      </c>
    </row>
    <row r="443" spans="1:6" x14ac:dyDescent="0.35">
      <c r="A443" s="2">
        <f ca="1">IFERROR(__xludf.DUMMYFUNCTION("""COMPUTED_VALUE"""),42646.6666666666)</f>
        <v>42646.666666666599</v>
      </c>
      <c r="B443" s="1">
        <f ca="1">IFERROR(__xludf.DUMMYFUNCTION("""COMPUTED_VALUE"""),14.15)</f>
        <v>14.15</v>
      </c>
      <c r="C443" s="1">
        <f ca="1">IFERROR(__xludf.DUMMYFUNCTION("""COMPUTED_VALUE"""),14.38)</f>
        <v>14.38</v>
      </c>
      <c r="D443" s="1">
        <f ca="1">IFERROR(__xludf.DUMMYFUNCTION("""COMPUTED_VALUE"""),13.88)</f>
        <v>13.88</v>
      </c>
      <c r="E443" s="1">
        <f ca="1">IFERROR(__xludf.DUMMYFUNCTION("""COMPUTED_VALUE"""),14.25)</f>
        <v>14.25</v>
      </c>
      <c r="F443" s="1">
        <f ca="1">IFERROR(__xludf.DUMMYFUNCTION("""COMPUTED_VALUE"""),5999892)</f>
        <v>5999892</v>
      </c>
    </row>
    <row r="444" spans="1:6" x14ac:dyDescent="0.35">
      <c r="A444" s="2">
        <f ca="1">IFERROR(__xludf.DUMMYFUNCTION("""COMPUTED_VALUE"""),42647.6666666666)</f>
        <v>42647.666666666599</v>
      </c>
      <c r="B444" s="1">
        <f ca="1">IFERROR(__xludf.DUMMYFUNCTION("""COMPUTED_VALUE"""),14.21)</f>
        <v>14.21</v>
      </c>
      <c r="C444" s="1">
        <f ca="1">IFERROR(__xludf.DUMMYFUNCTION("""COMPUTED_VALUE"""),14.22)</f>
        <v>14.22</v>
      </c>
      <c r="D444" s="1">
        <f ca="1">IFERROR(__xludf.DUMMYFUNCTION("""COMPUTED_VALUE"""),13.92)</f>
        <v>13.92</v>
      </c>
      <c r="E444" s="1">
        <f ca="1">IFERROR(__xludf.DUMMYFUNCTION("""COMPUTED_VALUE"""),14.09)</f>
        <v>14.09</v>
      </c>
      <c r="F444" s="1">
        <f ca="1">IFERROR(__xludf.DUMMYFUNCTION("""COMPUTED_VALUE"""),3541481)</f>
        <v>3541481</v>
      </c>
    </row>
    <row r="445" spans="1:6" x14ac:dyDescent="0.35">
      <c r="A445" s="2">
        <f ca="1">IFERROR(__xludf.DUMMYFUNCTION("""COMPUTED_VALUE"""),42648.6666666666)</f>
        <v>42648.666666666599</v>
      </c>
      <c r="B445" s="1">
        <f ca="1">IFERROR(__xludf.DUMMYFUNCTION("""COMPUTED_VALUE"""),14.15)</f>
        <v>14.15</v>
      </c>
      <c r="C445" s="1">
        <f ca="1">IFERROR(__xludf.DUMMYFUNCTION("""COMPUTED_VALUE"""),14.21)</f>
        <v>14.21</v>
      </c>
      <c r="D445" s="1">
        <f ca="1">IFERROR(__xludf.DUMMYFUNCTION("""COMPUTED_VALUE"""),13.87)</f>
        <v>13.87</v>
      </c>
      <c r="E445" s="1">
        <f ca="1">IFERROR(__xludf.DUMMYFUNCTION("""COMPUTED_VALUE"""),13.9)</f>
        <v>13.9</v>
      </c>
      <c r="F445" s="1">
        <f ca="1">IFERROR(__xludf.DUMMYFUNCTION("""COMPUTED_VALUE"""),1877534)</f>
        <v>1877534</v>
      </c>
    </row>
    <row r="446" spans="1:6" x14ac:dyDescent="0.35">
      <c r="A446" s="2">
        <f ca="1">IFERROR(__xludf.DUMMYFUNCTION("""COMPUTED_VALUE"""),42649.6666666666)</f>
        <v>42649.666666666599</v>
      </c>
      <c r="B446" s="1">
        <f ca="1">IFERROR(__xludf.DUMMYFUNCTION("""COMPUTED_VALUE"""),13.5)</f>
        <v>13.5</v>
      </c>
      <c r="C446" s="1">
        <f ca="1">IFERROR(__xludf.DUMMYFUNCTION("""COMPUTED_VALUE"""),13.61)</f>
        <v>13.61</v>
      </c>
      <c r="D446" s="1">
        <f ca="1">IFERROR(__xludf.DUMMYFUNCTION("""COMPUTED_VALUE"""),13.35)</f>
        <v>13.35</v>
      </c>
      <c r="E446" s="1">
        <f ca="1">IFERROR(__xludf.DUMMYFUNCTION("""COMPUTED_VALUE"""),13.4)</f>
        <v>13.4</v>
      </c>
      <c r="F446" s="1">
        <f ca="1">IFERROR(__xludf.DUMMYFUNCTION("""COMPUTED_VALUE"""),4703402)</f>
        <v>4703402</v>
      </c>
    </row>
    <row r="447" spans="1:6" x14ac:dyDescent="0.35">
      <c r="A447" s="2">
        <f ca="1">IFERROR(__xludf.DUMMYFUNCTION("""COMPUTED_VALUE"""),42650.6666666666)</f>
        <v>42650.666666666599</v>
      </c>
      <c r="B447" s="1">
        <f ca="1">IFERROR(__xludf.DUMMYFUNCTION("""COMPUTED_VALUE"""),13.4)</f>
        <v>13.4</v>
      </c>
      <c r="C447" s="1">
        <f ca="1">IFERROR(__xludf.DUMMYFUNCTION("""COMPUTED_VALUE"""),13.42)</f>
        <v>13.42</v>
      </c>
      <c r="D447" s="1">
        <f ca="1">IFERROR(__xludf.DUMMYFUNCTION("""COMPUTED_VALUE"""),13.05)</f>
        <v>13.05</v>
      </c>
      <c r="E447" s="1">
        <f ca="1">IFERROR(__xludf.DUMMYFUNCTION("""COMPUTED_VALUE"""),13.11)</f>
        <v>13.11</v>
      </c>
      <c r="F447" s="1">
        <f ca="1">IFERROR(__xludf.DUMMYFUNCTION("""COMPUTED_VALUE"""),3493018)</f>
        <v>3493018</v>
      </c>
    </row>
    <row r="448" spans="1:6" x14ac:dyDescent="0.35">
      <c r="A448" s="2">
        <f ca="1">IFERROR(__xludf.DUMMYFUNCTION("""COMPUTED_VALUE"""),42653.6666666666)</f>
        <v>42653.666666666599</v>
      </c>
      <c r="B448" s="1">
        <f ca="1">IFERROR(__xludf.DUMMYFUNCTION("""COMPUTED_VALUE"""),13.42)</f>
        <v>13.42</v>
      </c>
      <c r="C448" s="1">
        <f ca="1">IFERROR(__xludf.DUMMYFUNCTION("""COMPUTED_VALUE"""),13.61)</f>
        <v>13.61</v>
      </c>
      <c r="D448" s="1">
        <f ca="1">IFERROR(__xludf.DUMMYFUNCTION("""COMPUTED_VALUE"""),13.31)</f>
        <v>13.31</v>
      </c>
      <c r="E448" s="1">
        <f ca="1">IFERROR(__xludf.DUMMYFUNCTION("""COMPUTED_VALUE"""),13.4)</f>
        <v>13.4</v>
      </c>
      <c r="F448" s="1">
        <f ca="1">IFERROR(__xludf.DUMMYFUNCTION("""COMPUTED_VALUE"""),3316297)</f>
        <v>3316297</v>
      </c>
    </row>
    <row r="449" spans="1:6" x14ac:dyDescent="0.35">
      <c r="A449" s="2">
        <f ca="1">IFERROR(__xludf.DUMMYFUNCTION("""COMPUTED_VALUE"""),42654.6666666666)</f>
        <v>42654.666666666599</v>
      </c>
      <c r="B449" s="1">
        <f ca="1">IFERROR(__xludf.DUMMYFUNCTION("""COMPUTED_VALUE"""),13.46)</f>
        <v>13.46</v>
      </c>
      <c r="C449" s="1">
        <f ca="1">IFERROR(__xludf.DUMMYFUNCTION("""COMPUTED_VALUE"""),13.48)</f>
        <v>13.48</v>
      </c>
      <c r="D449" s="1">
        <f ca="1">IFERROR(__xludf.DUMMYFUNCTION("""COMPUTED_VALUE"""),13.22)</f>
        <v>13.22</v>
      </c>
      <c r="E449" s="1">
        <f ca="1">IFERROR(__xludf.DUMMYFUNCTION("""COMPUTED_VALUE"""),13.34)</f>
        <v>13.34</v>
      </c>
      <c r="F449" s="1">
        <f ca="1">IFERROR(__xludf.DUMMYFUNCTION("""COMPUTED_VALUE"""),2328422)</f>
        <v>2328422</v>
      </c>
    </row>
    <row r="450" spans="1:6" x14ac:dyDescent="0.35">
      <c r="A450" s="2">
        <f ca="1">IFERROR(__xludf.DUMMYFUNCTION("""COMPUTED_VALUE"""),42655.6666666666)</f>
        <v>42655.666666666599</v>
      </c>
      <c r="B450" s="1">
        <f ca="1">IFERROR(__xludf.DUMMYFUNCTION("""COMPUTED_VALUE"""),13.4)</f>
        <v>13.4</v>
      </c>
      <c r="C450" s="1">
        <f ca="1">IFERROR(__xludf.DUMMYFUNCTION("""COMPUTED_VALUE"""),13.59)</f>
        <v>13.59</v>
      </c>
      <c r="D450" s="1">
        <f ca="1">IFERROR(__xludf.DUMMYFUNCTION("""COMPUTED_VALUE"""),13.36)</f>
        <v>13.36</v>
      </c>
      <c r="E450" s="1">
        <f ca="1">IFERROR(__xludf.DUMMYFUNCTION("""COMPUTED_VALUE"""),13.43)</f>
        <v>13.43</v>
      </c>
      <c r="F450" s="1">
        <f ca="1">IFERROR(__xludf.DUMMYFUNCTION("""COMPUTED_VALUE"""),1970689)</f>
        <v>1970689</v>
      </c>
    </row>
    <row r="451" spans="1:6" x14ac:dyDescent="0.35">
      <c r="A451" s="2">
        <f ca="1">IFERROR(__xludf.DUMMYFUNCTION("""COMPUTED_VALUE"""),42656.6666666666)</f>
        <v>42656.666666666599</v>
      </c>
      <c r="B451" s="1">
        <f ca="1">IFERROR(__xludf.DUMMYFUNCTION("""COMPUTED_VALUE"""),13.37)</f>
        <v>13.37</v>
      </c>
      <c r="C451" s="1">
        <f ca="1">IFERROR(__xludf.DUMMYFUNCTION("""COMPUTED_VALUE"""),13.39)</f>
        <v>13.39</v>
      </c>
      <c r="D451" s="1">
        <f ca="1">IFERROR(__xludf.DUMMYFUNCTION("""COMPUTED_VALUE"""),13.14)</f>
        <v>13.14</v>
      </c>
      <c r="E451" s="1">
        <f ca="1">IFERROR(__xludf.DUMMYFUNCTION("""COMPUTED_VALUE"""),13.35)</f>
        <v>13.35</v>
      </c>
      <c r="F451" s="1">
        <f ca="1">IFERROR(__xludf.DUMMYFUNCTION("""COMPUTED_VALUE"""),2495413)</f>
        <v>2495413</v>
      </c>
    </row>
    <row r="452" spans="1:6" x14ac:dyDescent="0.35">
      <c r="A452" s="2">
        <f ca="1">IFERROR(__xludf.DUMMYFUNCTION("""COMPUTED_VALUE"""),42657.6666666666)</f>
        <v>42657.666666666599</v>
      </c>
      <c r="B452" s="1">
        <f ca="1">IFERROR(__xludf.DUMMYFUNCTION("""COMPUTED_VALUE"""),13.38)</f>
        <v>13.38</v>
      </c>
      <c r="C452" s="1">
        <f ca="1">IFERROR(__xludf.DUMMYFUNCTION("""COMPUTED_VALUE"""),13.43)</f>
        <v>13.43</v>
      </c>
      <c r="D452" s="1">
        <f ca="1">IFERROR(__xludf.DUMMYFUNCTION("""COMPUTED_VALUE"""),13.09)</f>
        <v>13.09</v>
      </c>
      <c r="E452" s="1">
        <f ca="1">IFERROR(__xludf.DUMMYFUNCTION("""COMPUTED_VALUE"""),13.1)</f>
        <v>13.1</v>
      </c>
      <c r="F452" s="1">
        <f ca="1">IFERROR(__xludf.DUMMYFUNCTION("""COMPUTED_VALUE"""),4269850)</f>
        <v>4269850</v>
      </c>
    </row>
    <row r="453" spans="1:6" x14ac:dyDescent="0.35">
      <c r="A453" s="2">
        <f ca="1">IFERROR(__xludf.DUMMYFUNCTION("""COMPUTED_VALUE"""),42660.6666666666)</f>
        <v>42660.666666666599</v>
      </c>
      <c r="B453" s="1">
        <f ca="1">IFERROR(__xludf.DUMMYFUNCTION("""COMPUTED_VALUE"""),13.14)</f>
        <v>13.14</v>
      </c>
      <c r="C453" s="1">
        <f ca="1">IFERROR(__xludf.DUMMYFUNCTION("""COMPUTED_VALUE"""),13.23)</f>
        <v>13.23</v>
      </c>
      <c r="D453" s="1">
        <f ca="1">IFERROR(__xludf.DUMMYFUNCTION("""COMPUTED_VALUE"""),12.8)</f>
        <v>12.8</v>
      </c>
      <c r="E453" s="1">
        <f ca="1">IFERROR(__xludf.DUMMYFUNCTION("""COMPUTED_VALUE"""),12.93)</f>
        <v>12.93</v>
      </c>
      <c r="F453" s="1">
        <f ca="1">IFERROR(__xludf.DUMMYFUNCTION("""COMPUTED_VALUE"""),4554080)</f>
        <v>4554080</v>
      </c>
    </row>
    <row r="454" spans="1:6" x14ac:dyDescent="0.35">
      <c r="A454" s="2">
        <f ca="1">IFERROR(__xludf.DUMMYFUNCTION("""COMPUTED_VALUE"""),42661.6666666666)</f>
        <v>42661.666666666599</v>
      </c>
      <c r="B454" s="1">
        <f ca="1">IFERROR(__xludf.DUMMYFUNCTION("""COMPUTED_VALUE"""),13.07)</f>
        <v>13.07</v>
      </c>
      <c r="C454" s="1">
        <f ca="1">IFERROR(__xludf.DUMMYFUNCTION("""COMPUTED_VALUE"""),13.3)</f>
        <v>13.3</v>
      </c>
      <c r="D454" s="1">
        <f ca="1">IFERROR(__xludf.DUMMYFUNCTION("""COMPUTED_VALUE"""),12.88)</f>
        <v>12.88</v>
      </c>
      <c r="E454" s="1">
        <f ca="1">IFERROR(__xludf.DUMMYFUNCTION("""COMPUTED_VALUE"""),13.27)</f>
        <v>13.27</v>
      </c>
      <c r="F454" s="1">
        <f ca="1">IFERROR(__xludf.DUMMYFUNCTION("""COMPUTED_VALUE"""),5680475)</f>
        <v>5680475</v>
      </c>
    </row>
    <row r="455" spans="1:6" x14ac:dyDescent="0.35">
      <c r="A455" s="2">
        <f ca="1">IFERROR(__xludf.DUMMYFUNCTION("""COMPUTED_VALUE"""),42662.6666666666)</f>
        <v>42662.666666666599</v>
      </c>
      <c r="B455" s="1">
        <f ca="1">IFERROR(__xludf.DUMMYFUNCTION("""COMPUTED_VALUE"""),13.32)</f>
        <v>13.32</v>
      </c>
      <c r="C455" s="1">
        <f ca="1">IFERROR(__xludf.DUMMYFUNCTION("""COMPUTED_VALUE"""),13.78)</f>
        <v>13.78</v>
      </c>
      <c r="D455" s="1">
        <f ca="1">IFERROR(__xludf.DUMMYFUNCTION("""COMPUTED_VALUE"""),13.2)</f>
        <v>13.2</v>
      </c>
      <c r="E455" s="1">
        <f ca="1">IFERROR(__xludf.DUMMYFUNCTION("""COMPUTED_VALUE"""),13.57)</f>
        <v>13.57</v>
      </c>
      <c r="F455" s="1">
        <f ca="1">IFERROR(__xludf.DUMMYFUNCTION("""COMPUTED_VALUE"""),6991183)</f>
        <v>6991183</v>
      </c>
    </row>
    <row r="456" spans="1:6" x14ac:dyDescent="0.35">
      <c r="A456" s="2">
        <f ca="1">IFERROR(__xludf.DUMMYFUNCTION("""COMPUTED_VALUE"""),42663.6666666666)</f>
        <v>42663.666666666599</v>
      </c>
      <c r="B456" s="1">
        <f ca="1">IFERROR(__xludf.DUMMYFUNCTION("""COMPUTED_VALUE"""),13.47)</f>
        <v>13.47</v>
      </c>
      <c r="C456" s="1">
        <f ca="1">IFERROR(__xludf.DUMMYFUNCTION("""COMPUTED_VALUE"""),13.53)</f>
        <v>13.53</v>
      </c>
      <c r="D456" s="1">
        <f ca="1">IFERROR(__xludf.DUMMYFUNCTION("""COMPUTED_VALUE"""),13.14)</f>
        <v>13.14</v>
      </c>
      <c r="E456" s="1">
        <f ca="1">IFERROR(__xludf.DUMMYFUNCTION("""COMPUTED_VALUE"""),13.27)</f>
        <v>13.27</v>
      </c>
      <c r="F456" s="1">
        <f ca="1">IFERROR(__xludf.DUMMYFUNCTION("""COMPUTED_VALUE"""),5072877)</f>
        <v>5072877</v>
      </c>
    </row>
    <row r="457" spans="1:6" x14ac:dyDescent="0.35">
      <c r="A457" s="2">
        <f ca="1">IFERROR(__xludf.DUMMYFUNCTION("""COMPUTED_VALUE"""),42664.6666666666)</f>
        <v>42664.666666666599</v>
      </c>
      <c r="B457" s="1">
        <f ca="1">IFERROR(__xludf.DUMMYFUNCTION("""COMPUTED_VALUE"""),13.24)</f>
        <v>13.24</v>
      </c>
      <c r="C457" s="1">
        <f ca="1">IFERROR(__xludf.DUMMYFUNCTION("""COMPUTED_VALUE"""),13.44)</f>
        <v>13.44</v>
      </c>
      <c r="D457" s="1">
        <f ca="1">IFERROR(__xludf.DUMMYFUNCTION("""COMPUTED_VALUE"""),13.16)</f>
        <v>13.16</v>
      </c>
      <c r="E457" s="1">
        <f ca="1">IFERROR(__xludf.DUMMYFUNCTION("""COMPUTED_VALUE"""),13.34)</f>
        <v>13.34</v>
      </c>
      <c r="F457" s="1">
        <f ca="1">IFERROR(__xludf.DUMMYFUNCTION("""COMPUTED_VALUE"""),2943402)</f>
        <v>2943402</v>
      </c>
    </row>
    <row r="458" spans="1:6" x14ac:dyDescent="0.35">
      <c r="A458" s="2">
        <f ca="1">IFERROR(__xludf.DUMMYFUNCTION("""COMPUTED_VALUE"""),42667.6666666666)</f>
        <v>42667.666666666599</v>
      </c>
      <c r="B458" s="1">
        <f ca="1">IFERROR(__xludf.DUMMYFUNCTION("""COMPUTED_VALUE"""),13.4)</f>
        <v>13.4</v>
      </c>
      <c r="C458" s="1">
        <f ca="1">IFERROR(__xludf.DUMMYFUNCTION("""COMPUTED_VALUE"""),13.6)</f>
        <v>13.6</v>
      </c>
      <c r="D458" s="1">
        <f ca="1">IFERROR(__xludf.DUMMYFUNCTION("""COMPUTED_VALUE"""),13.35)</f>
        <v>13.35</v>
      </c>
      <c r="E458" s="1">
        <f ca="1">IFERROR(__xludf.DUMMYFUNCTION("""COMPUTED_VALUE"""),13.52)</f>
        <v>13.52</v>
      </c>
      <c r="F458" s="1">
        <f ca="1">IFERROR(__xludf.DUMMYFUNCTION("""COMPUTED_VALUE"""),2751562)</f>
        <v>2751562</v>
      </c>
    </row>
    <row r="459" spans="1:6" x14ac:dyDescent="0.35">
      <c r="A459" s="2">
        <f ca="1">IFERROR(__xludf.DUMMYFUNCTION("""COMPUTED_VALUE"""),42668.6666666666)</f>
        <v>42668.666666666599</v>
      </c>
      <c r="B459" s="1">
        <f ca="1">IFERROR(__xludf.DUMMYFUNCTION("""COMPUTED_VALUE"""),13.53)</f>
        <v>13.53</v>
      </c>
      <c r="C459" s="1">
        <f ca="1">IFERROR(__xludf.DUMMYFUNCTION("""COMPUTED_VALUE"""),13.65)</f>
        <v>13.65</v>
      </c>
      <c r="D459" s="1">
        <f ca="1">IFERROR(__xludf.DUMMYFUNCTION("""COMPUTED_VALUE"""),13.41)</f>
        <v>13.41</v>
      </c>
      <c r="E459" s="1">
        <f ca="1">IFERROR(__xludf.DUMMYFUNCTION("""COMPUTED_VALUE"""),13.49)</f>
        <v>13.49</v>
      </c>
      <c r="F459" s="1">
        <f ca="1">IFERROR(__xludf.DUMMYFUNCTION("""COMPUTED_VALUE"""),2445014)</f>
        <v>2445014</v>
      </c>
    </row>
    <row r="460" spans="1:6" x14ac:dyDescent="0.35">
      <c r="A460" s="2">
        <f ca="1">IFERROR(__xludf.DUMMYFUNCTION("""COMPUTED_VALUE"""),42669.6666666666)</f>
        <v>42669.666666666599</v>
      </c>
      <c r="B460" s="1">
        <f ca="1">IFERROR(__xludf.DUMMYFUNCTION("""COMPUTED_VALUE"""),13.4)</f>
        <v>13.4</v>
      </c>
      <c r="C460" s="1">
        <f ca="1">IFERROR(__xludf.DUMMYFUNCTION("""COMPUTED_VALUE"""),13.55)</f>
        <v>13.55</v>
      </c>
      <c r="D460" s="1">
        <f ca="1">IFERROR(__xludf.DUMMYFUNCTION("""COMPUTED_VALUE"""),13.34)</f>
        <v>13.34</v>
      </c>
      <c r="E460" s="1">
        <f ca="1">IFERROR(__xludf.DUMMYFUNCTION("""COMPUTED_VALUE"""),13.48)</f>
        <v>13.48</v>
      </c>
      <c r="F460" s="1">
        <f ca="1">IFERROR(__xludf.DUMMYFUNCTION("""COMPUTED_VALUE"""),5632841)</f>
        <v>5632841</v>
      </c>
    </row>
    <row r="461" spans="1:6" x14ac:dyDescent="0.35">
      <c r="A461" s="2">
        <f ca="1">IFERROR(__xludf.DUMMYFUNCTION("""COMPUTED_VALUE"""),42670.6666666666)</f>
        <v>42670.666666666599</v>
      </c>
      <c r="B461" s="1">
        <f ca="1">IFERROR(__xludf.DUMMYFUNCTION("""COMPUTED_VALUE"""),14.09)</f>
        <v>14.09</v>
      </c>
      <c r="C461" s="1">
        <f ca="1">IFERROR(__xludf.DUMMYFUNCTION("""COMPUTED_VALUE"""),14.25)</f>
        <v>14.25</v>
      </c>
      <c r="D461" s="1">
        <f ca="1">IFERROR(__xludf.DUMMYFUNCTION("""COMPUTED_VALUE"""),13.44)</f>
        <v>13.44</v>
      </c>
      <c r="E461" s="1">
        <f ca="1">IFERROR(__xludf.DUMMYFUNCTION("""COMPUTED_VALUE"""),13.6)</f>
        <v>13.6</v>
      </c>
      <c r="F461" s="1">
        <f ca="1">IFERROR(__xludf.DUMMYFUNCTION("""COMPUTED_VALUE"""),13093744)</f>
        <v>13093744</v>
      </c>
    </row>
    <row r="462" spans="1:6" x14ac:dyDescent="0.35">
      <c r="A462" s="2">
        <f ca="1">IFERROR(__xludf.DUMMYFUNCTION("""COMPUTED_VALUE"""),42671.6666666666)</f>
        <v>42671.666666666599</v>
      </c>
      <c r="B462" s="1">
        <f ca="1">IFERROR(__xludf.DUMMYFUNCTION("""COMPUTED_VALUE"""),13.6)</f>
        <v>13.6</v>
      </c>
      <c r="C462" s="1">
        <f ca="1">IFERROR(__xludf.DUMMYFUNCTION("""COMPUTED_VALUE"""),13.69)</f>
        <v>13.69</v>
      </c>
      <c r="D462" s="1">
        <f ca="1">IFERROR(__xludf.DUMMYFUNCTION("""COMPUTED_VALUE"""),13.32)</f>
        <v>13.32</v>
      </c>
      <c r="E462" s="1">
        <f ca="1">IFERROR(__xludf.DUMMYFUNCTION("""COMPUTED_VALUE"""),13.33)</f>
        <v>13.33</v>
      </c>
      <c r="F462" s="1">
        <f ca="1">IFERROR(__xludf.DUMMYFUNCTION("""COMPUTED_VALUE"""),4280141)</f>
        <v>4280141</v>
      </c>
    </row>
    <row r="463" spans="1:6" x14ac:dyDescent="0.35">
      <c r="A463" s="2">
        <f ca="1">IFERROR(__xludf.DUMMYFUNCTION("""COMPUTED_VALUE"""),42674.6666666666)</f>
        <v>42674.666666666599</v>
      </c>
      <c r="B463" s="1">
        <f ca="1">IFERROR(__xludf.DUMMYFUNCTION("""COMPUTED_VALUE"""),13.5)</f>
        <v>13.5</v>
      </c>
      <c r="C463" s="1">
        <f ca="1">IFERROR(__xludf.DUMMYFUNCTION("""COMPUTED_VALUE"""),13.5)</f>
        <v>13.5</v>
      </c>
      <c r="D463" s="1">
        <f ca="1">IFERROR(__xludf.DUMMYFUNCTION("""COMPUTED_VALUE"""),13.05)</f>
        <v>13.05</v>
      </c>
      <c r="E463" s="1">
        <f ca="1">IFERROR(__xludf.DUMMYFUNCTION("""COMPUTED_VALUE"""),13.18)</f>
        <v>13.18</v>
      </c>
      <c r="F463" s="1">
        <f ca="1">IFERROR(__xludf.DUMMYFUNCTION("""COMPUTED_VALUE"""),4692273)</f>
        <v>4692273</v>
      </c>
    </row>
    <row r="464" spans="1:6" x14ac:dyDescent="0.35">
      <c r="A464" s="2">
        <f ca="1">IFERROR(__xludf.DUMMYFUNCTION("""COMPUTED_VALUE"""),42675.6666666666)</f>
        <v>42675.666666666599</v>
      </c>
      <c r="B464" s="1">
        <f ca="1">IFERROR(__xludf.DUMMYFUNCTION("""COMPUTED_VALUE"""),13.2)</f>
        <v>13.2</v>
      </c>
      <c r="C464" s="1">
        <f ca="1">IFERROR(__xludf.DUMMYFUNCTION("""COMPUTED_VALUE"""),13.23)</f>
        <v>13.23</v>
      </c>
      <c r="D464" s="1">
        <f ca="1">IFERROR(__xludf.DUMMYFUNCTION("""COMPUTED_VALUE"""),12.54)</f>
        <v>12.54</v>
      </c>
      <c r="E464" s="1">
        <f ca="1">IFERROR(__xludf.DUMMYFUNCTION("""COMPUTED_VALUE"""),12.72)</f>
        <v>12.72</v>
      </c>
      <c r="F464" s="1">
        <f ca="1">IFERROR(__xludf.DUMMYFUNCTION("""COMPUTED_VALUE"""),7060036)</f>
        <v>7060036</v>
      </c>
    </row>
    <row r="465" spans="1:6" x14ac:dyDescent="0.35">
      <c r="A465" s="2">
        <f ca="1">IFERROR(__xludf.DUMMYFUNCTION("""COMPUTED_VALUE"""),42676.6666666666)</f>
        <v>42676.666666666599</v>
      </c>
      <c r="B465" s="1">
        <f ca="1">IFERROR(__xludf.DUMMYFUNCTION("""COMPUTED_VALUE"""),12.67)</f>
        <v>12.67</v>
      </c>
      <c r="C465" s="1">
        <f ca="1">IFERROR(__xludf.DUMMYFUNCTION("""COMPUTED_VALUE"""),12.85)</f>
        <v>12.85</v>
      </c>
      <c r="D465" s="1">
        <f ca="1">IFERROR(__xludf.DUMMYFUNCTION("""COMPUTED_VALUE"""),12.5)</f>
        <v>12.5</v>
      </c>
      <c r="E465" s="1">
        <f ca="1">IFERROR(__xludf.DUMMYFUNCTION("""COMPUTED_VALUE"""),12.53)</f>
        <v>12.53</v>
      </c>
      <c r="F465" s="1">
        <f ca="1">IFERROR(__xludf.DUMMYFUNCTION("""COMPUTED_VALUE"""),4253382)</f>
        <v>4253382</v>
      </c>
    </row>
    <row r="466" spans="1:6" x14ac:dyDescent="0.35">
      <c r="A466" s="2">
        <f ca="1">IFERROR(__xludf.DUMMYFUNCTION("""COMPUTED_VALUE"""),42677.6666666666)</f>
        <v>42677.666666666599</v>
      </c>
      <c r="B466" s="1">
        <f ca="1">IFERROR(__xludf.DUMMYFUNCTION("""COMPUTED_VALUE"""),12.6)</f>
        <v>12.6</v>
      </c>
      <c r="C466" s="1">
        <f ca="1">IFERROR(__xludf.DUMMYFUNCTION("""COMPUTED_VALUE"""),12.76)</f>
        <v>12.76</v>
      </c>
      <c r="D466" s="1">
        <f ca="1">IFERROR(__xludf.DUMMYFUNCTION("""COMPUTED_VALUE"""),12.47)</f>
        <v>12.47</v>
      </c>
      <c r="E466" s="1">
        <f ca="1">IFERROR(__xludf.DUMMYFUNCTION("""COMPUTED_VALUE"""),12.49)</f>
        <v>12.49</v>
      </c>
      <c r="F466" s="1">
        <f ca="1">IFERROR(__xludf.DUMMYFUNCTION("""COMPUTED_VALUE"""),2653023)</f>
        <v>2653023</v>
      </c>
    </row>
    <row r="467" spans="1:6" x14ac:dyDescent="0.35">
      <c r="A467" s="2">
        <f ca="1">IFERROR(__xludf.DUMMYFUNCTION("""COMPUTED_VALUE"""),42678.6666666666)</f>
        <v>42678.666666666599</v>
      </c>
      <c r="B467" s="1">
        <f ca="1">IFERROR(__xludf.DUMMYFUNCTION("""COMPUTED_VALUE"""),12.6)</f>
        <v>12.6</v>
      </c>
      <c r="C467" s="1">
        <f ca="1">IFERROR(__xludf.DUMMYFUNCTION("""COMPUTED_VALUE"""),12.9)</f>
        <v>12.9</v>
      </c>
      <c r="D467" s="1">
        <f ca="1">IFERROR(__xludf.DUMMYFUNCTION("""COMPUTED_VALUE"""),12.4)</f>
        <v>12.4</v>
      </c>
      <c r="E467" s="1">
        <f ca="1">IFERROR(__xludf.DUMMYFUNCTION("""COMPUTED_VALUE"""),12.7)</f>
        <v>12.7</v>
      </c>
      <c r="F467" s="1">
        <f ca="1">IFERROR(__xludf.DUMMYFUNCTION("""COMPUTED_VALUE"""),5146043)</f>
        <v>5146043</v>
      </c>
    </row>
    <row r="468" spans="1:6" x14ac:dyDescent="0.35">
      <c r="A468" s="2">
        <f ca="1">IFERROR(__xludf.DUMMYFUNCTION("""COMPUTED_VALUE"""),42681.6666666666)</f>
        <v>42681.666666666599</v>
      </c>
      <c r="B468" s="1">
        <f ca="1">IFERROR(__xludf.DUMMYFUNCTION("""COMPUTED_VALUE"""),12.91)</f>
        <v>12.91</v>
      </c>
      <c r="C468" s="1">
        <f ca="1">IFERROR(__xludf.DUMMYFUNCTION("""COMPUTED_VALUE"""),12.95)</f>
        <v>12.95</v>
      </c>
      <c r="D468" s="1">
        <f ca="1">IFERROR(__xludf.DUMMYFUNCTION("""COMPUTED_VALUE"""),12.67)</f>
        <v>12.67</v>
      </c>
      <c r="E468" s="1">
        <f ca="1">IFERROR(__xludf.DUMMYFUNCTION("""COMPUTED_VALUE"""),12.88)</f>
        <v>12.88</v>
      </c>
      <c r="F468" s="1">
        <f ca="1">IFERROR(__xludf.DUMMYFUNCTION("""COMPUTED_VALUE"""),3870112)</f>
        <v>3870112</v>
      </c>
    </row>
    <row r="469" spans="1:6" x14ac:dyDescent="0.35">
      <c r="A469" s="2">
        <f ca="1">IFERROR(__xludf.DUMMYFUNCTION("""COMPUTED_VALUE"""),42682.6666666666)</f>
        <v>42682.666666666599</v>
      </c>
      <c r="B469" s="1">
        <f ca="1">IFERROR(__xludf.DUMMYFUNCTION("""COMPUTED_VALUE"""),12.92)</f>
        <v>12.92</v>
      </c>
      <c r="C469" s="1">
        <f ca="1">IFERROR(__xludf.DUMMYFUNCTION("""COMPUTED_VALUE"""),13.17)</f>
        <v>13.17</v>
      </c>
      <c r="D469" s="1">
        <f ca="1">IFERROR(__xludf.DUMMYFUNCTION("""COMPUTED_VALUE"""),12.75)</f>
        <v>12.75</v>
      </c>
      <c r="E469" s="1">
        <f ca="1">IFERROR(__xludf.DUMMYFUNCTION("""COMPUTED_VALUE"""),13)</f>
        <v>13</v>
      </c>
      <c r="F469" s="1">
        <f ca="1">IFERROR(__xludf.DUMMYFUNCTION("""COMPUTED_VALUE"""),3267580)</f>
        <v>3267580</v>
      </c>
    </row>
    <row r="470" spans="1:6" x14ac:dyDescent="0.35">
      <c r="A470" s="2">
        <f ca="1">IFERROR(__xludf.DUMMYFUNCTION("""COMPUTED_VALUE"""),42683.6666666666)</f>
        <v>42683.666666666599</v>
      </c>
      <c r="B470" s="1">
        <f ca="1">IFERROR(__xludf.DUMMYFUNCTION("""COMPUTED_VALUE"""),12.46)</f>
        <v>12.46</v>
      </c>
      <c r="C470" s="1">
        <f ca="1">IFERROR(__xludf.DUMMYFUNCTION("""COMPUTED_VALUE"""),12.8)</f>
        <v>12.8</v>
      </c>
      <c r="D470" s="1">
        <f ca="1">IFERROR(__xludf.DUMMYFUNCTION("""COMPUTED_VALUE"""),12.26)</f>
        <v>12.26</v>
      </c>
      <c r="E470" s="1">
        <f ca="1">IFERROR(__xludf.DUMMYFUNCTION("""COMPUTED_VALUE"""),12.67)</f>
        <v>12.67</v>
      </c>
      <c r="F470" s="1">
        <f ca="1">IFERROR(__xludf.DUMMYFUNCTION("""COMPUTED_VALUE"""),8173065)</f>
        <v>8173065</v>
      </c>
    </row>
    <row r="471" spans="1:6" x14ac:dyDescent="0.35">
      <c r="A471" s="2">
        <f ca="1">IFERROR(__xludf.DUMMYFUNCTION("""COMPUTED_VALUE"""),42684.6666666666)</f>
        <v>42684.666666666599</v>
      </c>
      <c r="B471" s="1">
        <f ca="1">IFERROR(__xludf.DUMMYFUNCTION("""COMPUTED_VALUE"""),12.74)</f>
        <v>12.74</v>
      </c>
      <c r="C471" s="1">
        <f ca="1">IFERROR(__xludf.DUMMYFUNCTION("""COMPUTED_VALUE"""),12.77)</f>
        <v>12.77</v>
      </c>
      <c r="D471" s="1">
        <f ca="1">IFERROR(__xludf.DUMMYFUNCTION("""COMPUTED_VALUE"""),12.03)</f>
        <v>12.03</v>
      </c>
      <c r="E471" s="1">
        <f ca="1">IFERROR(__xludf.DUMMYFUNCTION("""COMPUTED_VALUE"""),12.36)</f>
        <v>12.36</v>
      </c>
      <c r="F471" s="1">
        <f ca="1">IFERROR(__xludf.DUMMYFUNCTION("""COMPUTED_VALUE"""),6750341)</f>
        <v>6750341</v>
      </c>
    </row>
    <row r="472" spans="1:6" x14ac:dyDescent="0.35">
      <c r="A472" s="2">
        <f ca="1">IFERROR(__xludf.DUMMYFUNCTION("""COMPUTED_VALUE"""),42685.6666666666)</f>
        <v>42685.666666666599</v>
      </c>
      <c r="B472" s="1">
        <f ca="1">IFERROR(__xludf.DUMMYFUNCTION("""COMPUTED_VALUE"""),12.28)</f>
        <v>12.28</v>
      </c>
      <c r="C472" s="1">
        <f ca="1">IFERROR(__xludf.DUMMYFUNCTION("""COMPUTED_VALUE"""),12.59)</f>
        <v>12.59</v>
      </c>
      <c r="D472" s="1">
        <f ca="1">IFERROR(__xludf.DUMMYFUNCTION("""COMPUTED_VALUE"""),12.2)</f>
        <v>12.2</v>
      </c>
      <c r="E472" s="1">
        <f ca="1">IFERROR(__xludf.DUMMYFUNCTION("""COMPUTED_VALUE"""),12.57)</f>
        <v>12.57</v>
      </c>
      <c r="F472" s="1">
        <f ca="1">IFERROR(__xludf.DUMMYFUNCTION("""COMPUTED_VALUE"""),3988504)</f>
        <v>3988504</v>
      </c>
    </row>
    <row r="473" spans="1:6" x14ac:dyDescent="0.35">
      <c r="A473" s="2">
        <f ca="1">IFERROR(__xludf.DUMMYFUNCTION("""COMPUTED_VALUE"""),42688.6666666666)</f>
        <v>42688.666666666599</v>
      </c>
      <c r="B473" s="1">
        <f ca="1">IFERROR(__xludf.DUMMYFUNCTION("""COMPUTED_VALUE"""),12.53)</f>
        <v>12.53</v>
      </c>
      <c r="C473" s="1">
        <f ca="1">IFERROR(__xludf.DUMMYFUNCTION("""COMPUTED_VALUE"""),12.55)</f>
        <v>12.55</v>
      </c>
      <c r="D473" s="1">
        <f ca="1">IFERROR(__xludf.DUMMYFUNCTION("""COMPUTED_VALUE"""),11.88)</f>
        <v>11.88</v>
      </c>
      <c r="E473" s="1">
        <f ca="1">IFERROR(__xludf.DUMMYFUNCTION("""COMPUTED_VALUE"""),12.1)</f>
        <v>12.1</v>
      </c>
      <c r="F473" s="1">
        <f ca="1">IFERROR(__xludf.DUMMYFUNCTION("""COMPUTED_VALUE"""),6552205)</f>
        <v>6552205</v>
      </c>
    </row>
    <row r="474" spans="1:6" x14ac:dyDescent="0.35">
      <c r="A474" s="2">
        <f ca="1">IFERROR(__xludf.DUMMYFUNCTION("""COMPUTED_VALUE"""),42689.6666666666)</f>
        <v>42689.666666666599</v>
      </c>
      <c r="B474" s="1">
        <f ca="1">IFERROR(__xludf.DUMMYFUNCTION("""COMPUTED_VALUE"""),12.19)</f>
        <v>12.19</v>
      </c>
      <c r="C474" s="1">
        <f ca="1">IFERROR(__xludf.DUMMYFUNCTION("""COMPUTED_VALUE"""),12.43)</f>
        <v>12.43</v>
      </c>
      <c r="D474" s="1">
        <f ca="1">IFERROR(__xludf.DUMMYFUNCTION("""COMPUTED_VALUE"""),12.14)</f>
        <v>12.14</v>
      </c>
      <c r="E474" s="1">
        <f ca="1">IFERROR(__xludf.DUMMYFUNCTION("""COMPUTED_VALUE"""),12.25)</f>
        <v>12.25</v>
      </c>
      <c r="F474" s="1">
        <f ca="1">IFERROR(__xludf.DUMMYFUNCTION("""COMPUTED_VALUE"""),3902018)</f>
        <v>3902018</v>
      </c>
    </row>
    <row r="475" spans="1:6" x14ac:dyDescent="0.35">
      <c r="A475" s="2">
        <f ca="1">IFERROR(__xludf.DUMMYFUNCTION("""COMPUTED_VALUE"""),42690.6666666666)</f>
        <v>42690.666666666599</v>
      </c>
      <c r="B475" s="1">
        <f ca="1">IFERROR(__xludf.DUMMYFUNCTION("""COMPUTED_VALUE"""),12.18)</f>
        <v>12.18</v>
      </c>
      <c r="C475" s="1">
        <f ca="1">IFERROR(__xludf.DUMMYFUNCTION("""COMPUTED_VALUE"""),12.32)</f>
        <v>12.32</v>
      </c>
      <c r="D475" s="1">
        <f ca="1">IFERROR(__xludf.DUMMYFUNCTION("""COMPUTED_VALUE"""),12.08)</f>
        <v>12.08</v>
      </c>
      <c r="E475" s="1">
        <f ca="1">IFERROR(__xludf.DUMMYFUNCTION("""COMPUTED_VALUE"""),12.26)</f>
        <v>12.26</v>
      </c>
      <c r="F475" s="1">
        <f ca="1">IFERROR(__xludf.DUMMYFUNCTION("""COMPUTED_VALUE"""),3434437)</f>
        <v>3434437</v>
      </c>
    </row>
    <row r="476" spans="1:6" x14ac:dyDescent="0.35">
      <c r="A476" s="2">
        <f ca="1">IFERROR(__xludf.DUMMYFUNCTION("""COMPUTED_VALUE"""),42691.6666666666)</f>
        <v>42691.666666666599</v>
      </c>
      <c r="B476" s="1">
        <f ca="1">IFERROR(__xludf.DUMMYFUNCTION("""COMPUTED_VALUE"""),12.23)</f>
        <v>12.23</v>
      </c>
      <c r="C476" s="1">
        <f ca="1">IFERROR(__xludf.DUMMYFUNCTION("""COMPUTED_VALUE"""),12.63)</f>
        <v>12.63</v>
      </c>
      <c r="D476" s="1">
        <f ca="1">IFERROR(__xludf.DUMMYFUNCTION("""COMPUTED_VALUE"""),12.14)</f>
        <v>12.14</v>
      </c>
      <c r="E476" s="1">
        <f ca="1">IFERROR(__xludf.DUMMYFUNCTION("""COMPUTED_VALUE"""),12.58)</f>
        <v>12.58</v>
      </c>
      <c r="F476" s="1">
        <f ca="1">IFERROR(__xludf.DUMMYFUNCTION("""COMPUTED_VALUE"""),4887067)</f>
        <v>4887067</v>
      </c>
    </row>
    <row r="477" spans="1:6" x14ac:dyDescent="0.35">
      <c r="A477" s="2">
        <f ca="1">IFERROR(__xludf.DUMMYFUNCTION("""COMPUTED_VALUE"""),42692.6666666666)</f>
        <v>42692.666666666599</v>
      </c>
      <c r="B477" s="1">
        <f ca="1">IFERROR(__xludf.DUMMYFUNCTION("""COMPUTED_VALUE"""),12.71)</f>
        <v>12.71</v>
      </c>
      <c r="C477" s="1">
        <f ca="1">IFERROR(__xludf.DUMMYFUNCTION("""COMPUTED_VALUE"""),12.87)</f>
        <v>12.87</v>
      </c>
      <c r="D477" s="1">
        <f ca="1">IFERROR(__xludf.DUMMYFUNCTION("""COMPUTED_VALUE"""),12.33)</f>
        <v>12.33</v>
      </c>
      <c r="E477" s="1">
        <f ca="1">IFERROR(__xludf.DUMMYFUNCTION("""COMPUTED_VALUE"""),12.33)</f>
        <v>12.33</v>
      </c>
      <c r="F477" s="1">
        <f ca="1">IFERROR(__xludf.DUMMYFUNCTION("""COMPUTED_VALUE"""),5210347)</f>
        <v>5210347</v>
      </c>
    </row>
    <row r="478" spans="1:6" x14ac:dyDescent="0.35">
      <c r="A478" s="2">
        <f ca="1">IFERROR(__xludf.DUMMYFUNCTION("""COMPUTED_VALUE"""),42695.6666666666)</f>
        <v>42695.666666666599</v>
      </c>
      <c r="B478" s="1">
        <f ca="1">IFERROR(__xludf.DUMMYFUNCTION("""COMPUTED_VALUE"""),12.34)</f>
        <v>12.34</v>
      </c>
      <c r="C478" s="1">
        <f ca="1">IFERROR(__xludf.DUMMYFUNCTION("""COMPUTED_VALUE"""),12.59)</f>
        <v>12.59</v>
      </c>
      <c r="D478" s="1">
        <f ca="1">IFERROR(__xludf.DUMMYFUNCTION("""COMPUTED_VALUE"""),12.29)</f>
        <v>12.29</v>
      </c>
      <c r="E478" s="1">
        <f ca="1">IFERROR(__xludf.DUMMYFUNCTION("""COMPUTED_VALUE"""),12.3)</f>
        <v>12.3</v>
      </c>
      <c r="F478" s="1">
        <f ca="1">IFERROR(__xludf.DUMMYFUNCTION("""COMPUTED_VALUE"""),4361043)</f>
        <v>4361043</v>
      </c>
    </row>
    <row r="479" spans="1:6" x14ac:dyDescent="0.35">
      <c r="A479" s="2">
        <f ca="1">IFERROR(__xludf.DUMMYFUNCTION("""COMPUTED_VALUE"""),42696.6666666666)</f>
        <v>42696.666666666599</v>
      </c>
      <c r="B479" s="1">
        <f ca="1">IFERROR(__xludf.DUMMYFUNCTION("""COMPUTED_VALUE"""),12.39)</f>
        <v>12.39</v>
      </c>
      <c r="C479" s="1">
        <f ca="1">IFERROR(__xludf.DUMMYFUNCTION("""COMPUTED_VALUE"""),12.76)</f>
        <v>12.76</v>
      </c>
      <c r="D479" s="1">
        <f ca="1">IFERROR(__xludf.DUMMYFUNCTION("""COMPUTED_VALUE"""),12.25)</f>
        <v>12.25</v>
      </c>
      <c r="E479" s="1">
        <f ca="1">IFERROR(__xludf.DUMMYFUNCTION("""COMPUTED_VALUE"""),12.74)</f>
        <v>12.74</v>
      </c>
      <c r="F479" s="1">
        <f ca="1">IFERROR(__xludf.DUMMYFUNCTION("""COMPUTED_VALUE"""),5603361)</f>
        <v>5603361</v>
      </c>
    </row>
    <row r="480" spans="1:6" x14ac:dyDescent="0.35">
      <c r="A480" s="2">
        <f ca="1">IFERROR(__xludf.DUMMYFUNCTION("""COMPUTED_VALUE"""),42697.6666666666)</f>
        <v>42697.666666666599</v>
      </c>
      <c r="B480" s="1">
        <f ca="1">IFERROR(__xludf.DUMMYFUNCTION("""COMPUTED_VALUE"""),12.71)</f>
        <v>12.71</v>
      </c>
      <c r="C480" s="1">
        <f ca="1">IFERROR(__xludf.DUMMYFUNCTION("""COMPUTED_VALUE"""),13.04)</f>
        <v>13.04</v>
      </c>
      <c r="D480" s="1">
        <f ca="1">IFERROR(__xludf.DUMMYFUNCTION("""COMPUTED_VALUE"""),12.6)</f>
        <v>12.6</v>
      </c>
      <c r="E480" s="1">
        <f ca="1">IFERROR(__xludf.DUMMYFUNCTION("""COMPUTED_VALUE"""),12.88)</f>
        <v>12.88</v>
      </c>
      <c r="F480" s="1">
        <f ca="1">IFERROR(__xludf.DUMMYFUNCTION("""COMPUTED_VALUE"""),4891893)</f>
        <v>4891893</v>
      </c>
    </row>
    <row r="481" spans="1:6" x14ac:dyDescent="0.35">
      <c r="A481" s="2">
        <f ca="1">IFERROR(__xludf.DUMMYFUNCTION("""COMPUTED_VALUE"""),42699.6666666666)</f>
        <v>42699.666666666599</v>
      </c>
      <c r="B481" s="1">
        <f ca="1">IFERROR(__xludf.DUMMYFUNCTION("""COMPUTED_VALUE"""),12.91)</f>
        <v>12.91</v>
      </c>
      <c r="C481" s="1">
        <f ca="1">IFERROR(__xludf.DUMMYFUNCTION("""COMPUTED_VALUE"""),13.15)</f>
        <v>13.15</v>
      </c>
      <c r="D481" s="1">
        <f ca="1">IFERROR(__xludf.DUMMYFUNCTION("""COMPUTED_VALUE"""),12.91)</f>
        <v>12.91</v>
      </c>
      <c r="E481" s="1">
        <f ca="1">IFERROR(__xludf.DUMMYFUNCTION("""COMPUTED_VALUE"""),13.11)</f>
        <v>13.11</v>
      </c>
      <c r="F481" s="1">
        <f ca="1">IFERROR(__xludf.DUMMYFUNCTION("""COMPUTED_VALUE"""),2366098)</f>
        <v>2366098</v>
      </c>
    </row>
    <row r="482" spans="1:6" x14ac:dyDescent="0.35">
      <c r="A482" s="2">
        <f ca="1">IFERROR(__xludf.DUMMYFUNCTION("""COMPUTED_VALUE"""),42702.6666666666)</f>
        <v>42702.666666666599</v>
      </c>
      <c r="B482" s="1">
        <f ca="1">IFERROR(__xludf.DUMMYFUNCTION("""COMPUTED_VALUE"""),13.03)</f>
        <v>13.03</v>
      </c>
      <c r="C482" s="1">
        <f ca="1">IFERROR(__xludf.DUMMYFUNCTION("""COMPUTED_VALUE"""),13.29)</f>
        <v>13.29</v>
      </c>
      <c r="D482" s="1">
        <f ca="1">IFERROR(__xludf.DUMMYFUNCTION("""COMPUTED_VALUE"""),12.97)</f>
        <v>12.97</v>
      </c>
      <c r="E482" s="1">
        <f ca="1">IFERROR(__xludf.DUMMYFUNCTION("""COMPUTED_VALUE"""),13.07)</f>
        <v>13.07</v>
      </c>
      <c r="F482" s="1">
        <f ca="1">IFERROR(__xludf.DUMMYFUNCTION("""COMPUTED_VALUE"""),4529182)</f>
        <v>4529182</v>
      </c>
    </row>
    <row r="483" spans="1:6" x14ac:dyDescent="0.35">
      <c r="A483" s="2">
        <f ca="1">IFERROR(__xludf.DUMMYFUNCTION("""COMPUTED_VALUE"""),42703.6666666666)</f>
        <v>42703.666666666599</v>
      </c>
      <c r="B483" s="1">
        <f ca="1">IFERROR(__xludf.DUMMYFUNCTION("""COMPUTED_VALUE"""),13.04)</f>
        <v>13.04</v>
      </c>
      <c r="C483" s="1">
        <f ca="1">IFERROR(__xludf.DUMMYFUNCTION("""COMPUTED_VALUE"""),13.12)</f>
        <v>13.12</v>
      </c>
      <c r="D483" s="1">
        <f ca="1">IFERROR(__xludf.DUMMYFUNCTION("""COMPUTED_VALUE"""),12.63)</f>
        <v>12.63</v>
      </c>
      <c r="E483" s="1">
        <f ca="1">IFERROR(__xludf.DUMMYFUNCTION("""COMPUTED_VALUE"""),12.64)</f>
        <v>12.64</v>
      </c>
      <c r="F483" s="1">
        <f ca="1">IFERROR(__xludf.DUMMYFUNCTION("""COMPUTED_VALUE"""),4439256)</f>
        <v>4439256</v>
      </c>
    </row>
    <row r="484" spans="1:6" x14ac:dyDescent="0.35">
      <c r="A484" s="2">
        <f ca="1">IFERROR(__xludf.DUMMYFUNCTION("""COMPUTED_VALUE"""),42704.6666666666)</f>
        <v>42704.666666666599</v>
      </c>
      <c r="B484" s="1">
        <f ca="1">IFERROR(__xludf.DUMMYFUNCTION("""COMPUTED_VALUE"""),12.73)</f>
        <v>12.73</v>
      </c>
      <c r="C484" s="1">
        <f ca="1">IFERROR(__xludf.DUMMYFUNCTION("""COMPUTED_VALUE"""),12.79)</f>
        <v>12.79</v>
      </c>
      <c r="D484" s="1">
        <f ca="1">IFERROR(__xludf.DUMMYFUNCTION("""COMPUTED_VALUE"""),12.5)</f>
        <v>12.5</v>
      </c>
      <c r="E484" s="1">
        <f ca="1">IFERROR(__xludf.DUMMYFUNCTION("""COMPUTED_VALUE"""),12.63)</f>
        <v>12.63</v>
      </c>
      <c r="F484" s="1">
        <f ca="1">IFERROR(__xludf.DUMMYFUNCTION("""COMPUTED_VALUE"""),3547104)</f>
        <v>3547104</v>
      </c>
    </row>
    <row r="485" spans="1:6" x14ac:dyDescent="0.35">
      <c r="A485" s="2">
        <f ca="1">IFERROR(__xludf.DUMMYFUNCTION("""COMPUTED_VALUE"""),42705.6666666666)</f>
        <v>42705.666666666599</v>
      </c>
      <c r="B485" s="1">
        <f ca="1">IFERROR(__xludf.DUMMYFUNCTION("""COMPUTED_VALUE"""),12.55)</f>
        <v>12.55</v>
      </c>
      <c r="C485" s="1">
        <f ca="1">IFERROR(__xludf.DUMMYFUNCTION("""COMPUTED_VALUE"""),12.57)</f>
        <v>12.57</v>
      </c>
      <c r="D485" s="1">
        <f ca="1">IFERROR(__xludf.DUMMYFUNCTION("""COMPUTED_VALUE"""),12.07)</f>
        <v>12.07</v>
      </c>
      <c r="E485" s="1">
        <f ca="1">IFERROR(__xludf.DUMMYFUNCTION("""COMPUTED_VALUE"""),12.13)</f>
        <v>12.13</v>
      </c>
      <c r="F485" s="1">
        <f ca="1">IFERROR(__xludf.DUMMYFUNCTION("""COMPUTED_VALUE"""),5126401)</f>
        <v>5126401</v>
      </c>
    </row>
    <row r="486" spans="1:6" x14ac:dyDescent="0.35">
      <c r="A486" s="2">
        <f ca="1">IFERROR(__xludf.DUMMYFUNCTION("""COMPUTED_VALUE"""),42706.6666666666)</f>
        <v>42706.666666666599</v>
      </c>
      <c r="B486" s="1">
        <f ca="1">IFERROR(__xludf.DUMMYFUNCTION("""COMPUTED_VALUE"""),12.19)</f>
        <v>12.19</v>
      </c>
      <c r="C486" s="1">
        <f ca="1">IFERROR(__xludf.DUMMYFUNCTION("""COMPUTED_VALUE"""),12.33)</f>
        <v>12.33</v>
      </c>
      <c r="D486" s="1">
        <f ca="1">IFERROR(__xludf.DUMMYFUNCTION("""COMPUTED_VALUE"""),12)</f>
        <v>12</v>
      </c>
      <c r="E486" s="1">
        <f ca="1">IFERROR(__xludf.DUMMYFUNCTION("""COMPUTED_VALUE"""),12.1)</f>
        <v>12.1</v>
      </c>
      <c r="F486" s="1">
        <f ca="1">IFERROR(__xludf.DUMMYFUNCTION("""COMPUTED_VALUE"""),4042324)</f>
        <v>4042324</v>
      </c>
    </row>
    <row r="487" spans="1:6" x14ac:dyDescent="0.35">
      <c r="A487" s="2">
        <f ca="1">IFERROR(__xludf.DUMMYFUNCTION("""COMPUTED_VALUE"""),42709.6666666666)</f>
        <v>42709.666666666599</v>
      </c>
      <c r="B487" s="1">
        <f ca="1">IFERROR(__xludf.DUMMYFUNCTION("""COMPUTED_VALUE"""),12.17)</f>
        <v>12.17</v>
      </c>
      <c r="C487" s="1">
        <f ca="1">IFERROR(__xludf.DUMMYFUNCTION("""COMPUTED_VALUE"""),12.59)</f>
        <v>12.59</v>
      </c>
      <c r="D487" s="1">
        <f ca="1">IFERROR(__xludf.DUMMYFUNCTION("""COMPUTED_VALUE"""),12.17)</f>
        <v>12.17</v>
      </c>
      <c r="E487" s="1">
        <f ca="1">IFERROR(__xludf.DUMMYFUNCTION("""COMPUTED_VALUE"""),12.45)</f>
        <v>12.45</v>
      </c>
      <c r="F487" s="1">
        <f ca="1">IFERROR(__xludf.DUMMYFUNCTION("""COMPUTED_VALUE"""),4072239)</f>
        <v>4072239</v>
      </c>
    </row>
    <row r="488" spans="1:6" x14ac:dyDescent="0.35">
      <c r="A488" s="2">
        <f ca="1">IFERROR(__xludf.DUMMYFUNCTION("""COMPUTED_VALUE"""),42710.6666666666)</f>
        <v>42710.666666666599</v>
      </c>
      <c r="B488" s="1">
        <f ca="1">IFERROR(__xludf.DUMMYFUNCTION("""COMPUTED_VALUE"""),12.37)</f>
        <v>12.37</v>
      </c>
      <c r="C488" s="1">
        <f ca="1">IFERROR(__xludf.DUMMYFUNCTION("""COMPUTED_VALUE"""),12.44)</f>
        <v>12.44</v>
      </c>
      <c r="D488" s="1">
        <f ca="1">IFERROR(__xludf.DUMMYFUNCTION("""COMPUTED_VALUE"""),12.18)</f>
        <v>12.18</v>
      </c>
      <c r="E488" s="1">
        <f ca="1">IFERROR(__xludf.DUMMYFUNCTION("""COMPUTED_VALUE"""),12.39)</f>
        <v>12.39</v>
      </c>
      <c r="F488" s="1">
        <f ca="1">IFERROR(__xludf.DUMMYFUNCTION("""COMPUTED_VALUE"""),3391622)</f>
        <v>3391622</v>
      </c>
    </row>
    <row r="489" spans="1:6" x14ac:dyDescent="0.35">
      <c r="A489" s="2">
        <f ca="1">IFERROR(__xludf.DUMMYFUNCTION("""COMPUTED_VALUE"""),42711.6666666666)</f>
        <v>42711.666666666599</v>
      </c>
      <c r="B489" s="1">
        <f ca="1">IFERROR(__xludf.DUMMYFUNCTION("""COMPUTED_VALUE"""),12.41)</f>
        <v>12.41</v>
      </c>
      <c r="C489" s="1">
        <f ca="1">IFERROR(__xludf.DUMMYFUNCTION("""COMPUTED_VALUE"""),12.89)</f>
        <v>12.89</v>
      </c>
      <c r="D489" s="1">
        <f ca="1">IFERROR(__xludf.DUMMYFUNCTION("""COMPUTED_VALUE"""),12.33)</f>
        <v>12.33</v>
      </c>
      <c r="E489" s="1">
        <f ca="1">IFERROR(__xludf.DUMMYFUNCTION("""COMPUTED_VALUE"""),12.88)</f>
        <v>12.88</v>
      </c>
      <c r="F489" s="1">
        <f ca="1">IFERROR(__xludf.DUMMYFUNCTION("""COMPUTED_VALUE"""),5461851)</f>
        <v>5461851</v>
      </c>
    </row>
    <row r="490" spans="1:6" x14ac:dyDescent="0.35">
      <c r="A490" s="2">
        <f ca="1">IFERROR(__xludf.DUMMYFUNCTION("""COMPUTED_VALUE"""),42712.6666666666)</f>
        <v>42712.666666666599</v>
      </c>
      <c r="B490" s="1">
        <f ca="1">IFERROR(__xludf.DUMMYFUNCTION("""COMPUTED_VALUE"""),12.8)</f>
        <v>12.8</v>
      </c>
      <c r="C490" s="1">
        <f ca="1">IFERROR(__xludf.DUMMYFUNCTION("""COMPUTED_VALUE"""),12.83)</f>
        <v>12.83</v>
      </c>
      <c r="D490" s="1">
        <f ca="1">IFERROR(__xludf.DUMMYFUNCTION("""COMPUTED_VALUE"""),12.64)</f>
        <v>12.64</v>
      </c>
      <c r="E490" s="1">
        <f ca="1">IFERROR(__xludf.DUMMYFUNCTION("""COMPUTED_VALUE"""),12.82)</f>
        <v>12.82</v>
      </c>
      <c r="F490" s="1">
        <f ca="1">IFERROR(__xludf.DUMMYFUNCTION("""COMPUTED_VALUE"""),3194148)</f>
        <v>3194148</v>
      </c>
    </row>
    <row r="491" spans="1:6" x14ac:dyDescent="0.35">
      <c r="A491" s="2">
        <f ca="1">IFERROR(__xludf.DUMMYFUNCTION("""COMPUTED_VALUE"""),42713.6666666666)</f>
        <v>42713.666666666599</v>
      </c>
      <c r="B491" s="1">
        <f ca="1">IFERROR(__xludf.DUMMYFUNCTION("""COMPUTED_VALUE"""),12.72)</f>
        <v>12.72</v>
      </c>
      <c r="C491" s="1">
        <f ca="1">IFERROR(__xludf.DUMMYFUNCTION("""COMPUTED_VALUE"""),12.92)</f>
        <v>12.92</v>
      </c>
      <c r="D491" s="1">
        <f ca="1">IFERROR(__xludf.DUMMYFUNCTION("""COMPUTED_VALUE"""),12.72)</f>
        <v>12.72</v>
      </c>
      <c r="E491" s="1">
        <f ca="1">IFERROR(__xludf.DUMMYFUNCTION("""COMPUTED_VALUE"""),12.81)</f>
        <v>12.81</v>
      </c>
      <c r="F491" s="1">
        <f ca="1">IFERROR(__xludf.DUMMYFUNCTION("""COMPUTED_VALUE"""),2722505)</f>
        <v>2722505</v>
      </c>
    </row>
    <row r="492" spans="1:6" x14ac:dyDescent="0.35">
      <c r="A492" s="2">
        <f ca="1">IFERROR(__xludf.DUMMYFUNCTION("""COMPUTED_VALUE"""),42716.6666666666)</f>
        <v>42716.666666666599</v>
      </c>
      <c r="B492" s="1">
        <f ca="1">IFERROR(__xludf.DUMMYFUNCTION("""COMPUTED_VALUE"""),12.85)</f>
        <v>12.85</v>
      </c>
      <c r="C492" s="1">
        <f ca="1">IFERROR(__xludf.DUMMYFUNCTION("""COMPUTED_VALUE"""),12.96)</f>
        <v>12.96</v>
      </c>
      <c r="D492" s="1">
        <f ca="1">IFERROR(__xludf.DUMMYFUNCTION("""COMPUTED_VALUE"""),12.74)</f>
        <v>12.74</v>
      </c>
      <c r="E492" s="1">
        <f ca="1">IFERROR(__xludf.DUMMYFUNCTION("""COMPUTED_VALUE"""),12.83)</f>
        <v>12.83</v>
      </c>
      <c r="F492" s="1">
        <f ca="1">IFERROR(__xludf.DUMMYFUNCTION("""COMPUTED_VALUE"""),2438876)</f>
        <v>2438876</v>
      </c>
    </row>
    <row r="493" spans="1:6" x14ac:dyDescent="0.35">
      <c r="A493" s="2">
        <f ca="1">IFERROR(__xludf.DUMMYFUNCTION("""COMPUTED_VALUE"""),42717.6666666666)</f>
        <v>42717.666666666599</v>
      </c>
      <c r="B493" s="1">
        <f ca="1">IFERROR(__xludf.DUMMYFUNCTION("""COMPUTED_VALUE"""),12.88)</f>
        <v>12.88</v>
      </c>
      <c r="C493" s="1">
        <f ca="1">IFERROR(__xludf.DUMMYFUNCTION("""COMPUTED_VALUE"""),13.42)</f>
        <v>13.42</v>
      </c>
      <c r="D493" s="1">
        <f ca="1">IFERROR(__xludf.DUMMYFUNCTION("""COMPUTED_VALUE"""),12.87)</f>
        <v>12.87</v>
      </c>
      <c r="E493" s="1">
        <f ca="1">IFERROR(__xludf.DUMMYFUNCTION("""COMPUTED_VALUE"""),13.21)</f>
        <v>13.21</v>
      </c>
      <c r="F493" s="1">
        <f ca="1">IFERROR(__xludf.DUMMYFUNCTION("""COMPUTED_VALUE"""),6823884)</f>
        <v>6823884</v>
      </c>
    </row>
    <row r="494" spans="1:6" x14ac:dyDescent="0.35">
      <c r="A494" s="2">
        <f ca="1">IFERROR(__xludf.DUMMYFUNCTION("""COMPUTED_VALUE"""),42718.6666666666)</f>
        <v>42718.666666666599</v>
      </c>
      <c r="B494" s="1">
        <f ca="1">IFERROR(__xludf.DUMMYFUNCTION("""COMPUTED_VALUE"""),13.25)</f>
        <v>13.25</v>
      </c>
      <c r="C494" s="1">
        <f ca="1">IFERROR(__xludf.DUMMYFUNCTION("""COMPUTED_VALUE"""),13.53)</f>
        <v>13.53</v>
      </c>
      <c r="D494" s="1">
        <f ca="1">IFERROR(__xludf.DUMMYFUNCTION("""COMPUTED_VALUE"""),13.12)</f>
        <v>13.12</v>
      </c>
      <c r="E494" s="1">
        <f ca="1">IFERROR(__xludf.DUMMYFUNCTION("""COMPUTED_VALUE"""),13.25)</f>
        <v>13.25</v>
      </c>
      <c r="F494" s="1">
        <f ca="1">IFERROR(__xludf.DUMMYFUNCTION("""COMPUTED_VALUE"""),4150927)</f>
        <v>4150927</v>
      </c>
    </row>
    <row r="495" spans="1:6" x14ac:dyDescent="0.35">
      <c r="A495" s="2">
        <f ca="1">IFERROR(__xludf.DUMMYFUNCTION("""COMPUTED_VALUE"""),42719.6666666666)</f>
        <v>42719.666666666599</v>
      </c>
      <c r="B495" s="1">
        <f ca="1">IFERROR(__xludf.DUMMYFUNCTION("""COMPUTED_VALUE"""),13.23)</f>
        <v>13.23</v>
      </c>
      <c r="C495" s="1">
        <f ca="1">IFERROR(__xludf.DUMMYFUNCTION("""COMPUTED_VALUE"""),13.38)</f>
        <v>13.38</v>
      </c>
      <c r="D495" s="1">
        <f ca="1">IFERROR(__xludf.DUMMYFUNCTION("""COMPUTED_VALUE"""),13.16)</f>
        <v>13.16</v>
      </c>
      <c r="E495" s="1">
        <f ca="1">IFERROR(__xludf.DUMMYFUNCTION("""COMPUTED_VALUE"""),13.17)</f>
        <v>13.17</v>
      </c>
      <c r="F495" s="1">
        <f ca="1">IFERROR(__xludf.DUMMYFUNCTION("""COMPUTED_VALUE"""),3219567)</f>
        <v>3219567</v>
      </c>
    </row>
    <row r="496" spans="1:6" x14ac:dyDescent="0.35">
      <c r="A496" s="2">
        <f ca="1">IFERROR(__xludf.DUMMYFUNCTION("""COMPUTED_VALUE"""),42720.6666666666)</f>
        <v>42720.666666666599</v>
      </c>
      <c r="B496" s="1">
        <f ca="1">IFERROR(__xludf.DUMMYFUNCTION("""COMPUTED_VALUE"""),13.21)</f>
        <v>13.21</v>
      </c>
      <c r="C496" s="1">
        <f ca="1">IFERROR(__xludf.DUMMYFUNCTION("""COMPUTED_VALUE"""),13.51)</f>
        <v>13.51</v>
      </c>
      <c r="D496" s="1">
        <f ca="1">IFERROR(__xludf.DUMMYFUNCTION("""COMPUTED_VALUE"""),13.17)</f>
        <v>13.17</v>
      </c>
      <c r="E496" s="1">
        <f ca="1">IFERROR(__xludf.DUMMYFUNCTION("""COMPUTED_VALUE"""),13.5)</f>
        <v>13.5</v>
      </c>
      <c r="F496" s="1">
        <f ca="1">IFERROR(__xludf.DUMMYFUNCTION("""COMPUTED_VALUE"""),3796889)</f>
        <v>3796889</v>
      </c>
    </row>
    <row r="497" spans="1:6" x14ac:dyDescent="0.35">
      <c r="A497" s="2">
        <f ca="1">IFERROR(__xludf.DUMMYFUNCTION("""COMPUTED_VALUE"""),42723.6666666666)</f>
        <v>42723.666666666599</v>
      </c>
      <c r="B497" s="1">
        <f ca="1">IFERROR(__xludf.DUMMYFUNCTION("""COMPUTED_VALUE"""),13.5)</f>
        <v>13.5</v>
      </c>
      <c r="C497" s="1">
        <f ca="1">IFERROR(__xludf.DUMMYFUNCTION("""COMPUTED_VALUE"""),13.63)</f>
        <v>13.63</v>
      </c>
      <c r="D497" s="1">
        <f ca="1">IFERROR(__xludf.DUMMYFUNCTION("""COMPUTED_VALUE"""),13.32)</f>
        <v>13.32</v>
      </c>
      <c r="E497" s="1">
        <f ca="1">IFERROR(__xludf.DUMMYFUNCTION("""COMPUTED_VALUE"""),13.52)</f>
        <v>13.52</v>
      </c>
      <c r="F497" s="1">
        <f ca="1">IFERROR(__xludf.DUMMYFUNCTION("""COMPUTED_VALUE"""),3488071)</f>
        <v>3488071</v>
      </c>
    </row>
    <row r="498" spans="1:6" x14ac:dyDescent="0.35">
      <c r="A498" s="2">
        <f ca="1">IFERROR(__xludf.DUMMYFUNCTION("""COMPUTED_VALUE"""),42724.6666666666)</f>
        <v>42724.666666666599</v>
      </c>
      <c r="B498" s="1">
        <f ca="1">IFERROR(__xludf.DUMMYFUNCTION("""COMPUTED_VALUE"""),13.54)</f>
        <v>13.54</v>
      </c>
      <c r="C498" s="1">
        <f ca="1">IFERROR(__xludf.DUMMYFUNCTION("""COMPUTED_VALUE"""),13.93)</f>
        <v>13.93</v>
      </c>
      <c r="D498" s="1">
        <f ca="1">IFERROR(__xludf.DUMMYFUNCTION("""COMPUTED_VALUE"""),13.5)</f>
        <v>13.5</v>
      </c>
      <c r="E498" s="1">
        <f ca="1">IFERROR(__xludf.DUMMYFUNCTION("""COMPUTED_VALUE"""),13.92)</f>
        <v>13.92</v>
      </c>
      <c r="F498" s="1">
        <f ca="1">IFERROR(__xludf.DUMMYFUNCTION("""COMPUTED_VALUE"""),4689071)</f>
        <v>4689071</v>
      </c>
    </row>
    <row r="499" spans="1:6" x14ac:dyDescent="0.35">
      <c r="A499" s="2">
        <f ca="1">IFERROR(__xludf.DUMMYFUNCTION("""COMPUTED_VALUE"""),42725.6666666666)</f>
        <v>42725.666666666599</v>
      </c>
      <c r="B499" s="1">
        <f ca="1">IFERROR(__xludf.DUMMYFUNCTION("""COMPUTED_VALUE"""),13.9)</f>
        <v>13.9</v>
      </c>
      <c r="C499" s="1">
        <f ca="1">IFERROR(__xludf.DUMMYFUNCTION("""COMPUTED_VALUE"""),14.15)</f>
        <v>14.15</v>
      </c>
      <c r="D499" s="1">
        <f ca="1">IFERROR(__xludf.DUMMYFUNCTION("""COMPUTED_VALUE"""),13.83)</f>
        <v>13.83</v>
      </c>
      <c r="E499" s="1">
        <f ca="1">IFERROR(__xludf.DUMMYFUNCTION("""COMPUTED_VALUE"""),13.85)</f>
        <v>13.85</v>
      </c>
      <c r="F499" s="1">
        <f ca="1">IFERROR(__xludf.DUMMYFUNCTION("""COMPUTED_VALUE"""),5207622)</f>
        <v>5207622</v>
      </c>
    </row>
    <row r="500" spans="1:6" x14ac:dyDescent="0.35">
      <c r="A500" s="2">
        <f ca="1">IFERROR(__xludf.DUMMYFUNCTION("""COMPUTED_VALUE"""),42726.6666666666)</f>
        <v>42726.666666666599</v>
      </c>
      <c r="B500" s="1">
        <f ca="1">IFERROR(__xludf.DUMMYFUNCTION("""COMPUTED_VALUE"""),13.88)</f>
        <v>13.88</v>
      </c>
      <c r="C500" s="1">
        <f ca="1">IFERROR(__xludf.DUMMYFUNCTION("""COMPUTED_VALUE"""),14)</f>
        <v>14</v>
      </c>
      <c r="D500" s="1">
        <f ca="1">IFERROR(__xludf.DUMMYFUNCTION("""COMPUTED_VALUE"""),13.77)</f>
        <v>13.77</v>
      </c>
      <c r="E500" s="1">
        <f ca="1">IFERROR(__xludf.DUMMYFUNCTION("""COMPUTED_VALUE"""),13.9)</f>
        <v>13.9</v>
      </c>
      <c r="F500" s="1">
        <f ca="1">IFERROR(__xludf.DUMMYFUNCTION("""COMPUTED_VALUE"""),3111108)</f>
        <v>3111108</v>
      </c>
    </row>
    <row r="501" spans="1:6" x14ac:dyDescent="0.35">
      <c r="A501" s="2">
        <f ca="1">IFERROR(__xludf.DUMMYFUNCTION("""COMPUTED_VALUE"""),42727.6666666666)</f>
        <v>42727.666666666599</v>
      </c>
      <c r="B501" s="1">
        <f ca="1">IFERROR(__xludf.DUMMYFUNCTION("""COMPUTED_VALUE"""),13.87)</f>
        <v>13.87</v>
      </c>
      <c r="C501" s="1">
        <f ca="1">IFERROR(__xludf.DUMMYFUNCTION("""COMPUTED_VALUE"""),14.23)</f>
        <v>14.23</v>
      </c>
      <c r="D501" s="1">
        <f ca="1">IFERROR(__xludf.DUMMYFUNCTION("""COMPUTED_VALUE"""),13.85)</f>
        <v>13.85</v>
      </c>
      <c r="E501" s="1">
        <f ca="1">IFERROR(__xludf.DUMMYFUNCTION("""COMPUTED_VALUE"""),14.22)</f>
        <v>14.22</v>
      </c>
      <c r="F501" s="1">
        <f ca="1">IFERROR(__xludf.DUMMYFUNCTION("""COMPUTED_VALUE"""),4670464)</f>
        <v>4670464</v>
      </c>
    </row>
    <row r="502" spans="1:6" x14ac:dyDescent="0.35">
      <c r="A502" s="2">
        <f ca="1">IFERROR(__xludf.DUMMYFUNCTION("""COMPUTED_VALUE"""),42731.6666666666)</f>
        <v>42731.666666666599</v>
      </c>
      <c r="B502" s="1">
        <f ca="1">IFERROR(__xludf.DUMMYFUNCTION("""COMPUTED_VALUE"""),14.33)</f>
        <v>14.33</v>
      </c>
      <c r="C502" s="1">
        <f ca="1">IFERROR(__xludf.DUMMYFUNCTION("""COMPUTED_VALUE"""),14.82)</f>
        <v>14.82</v>
      </c>
      <c r="D502" s="1">
        <f ca="1">IFERROR(__xludf.DUMMYFUNCTION("""COMPUTED_VALUE"""),14.29)</f>
        <v>14.29</v>
      </c>
      <c r="E502" s="1">
        <f ca="1">IFERROR(__xludf.DUMMYFUNCTION("""COMPUTED_VALUE"""),14.64)</f>
        <v>14.64</v>
      </c>
      <c r="F502" s="1">
        <f ca="1">IFERROR(__xludf.DUMMYFUNCTION("""COMPUTED_VALUE"""),5915732)</f>
        <v>5915732</v>
      </c>
    </row>
    <row r="503" spans="1:6" x14ac:dyDescent="0.35">
      <c r="A503" s="2">
        <f ca="1">IFERROR(__xludf.DUMMYFUNCTION("""COMPUTED_VALUE"""),42732.6666666666)</f>
        <v>42732.666666666599</v>
      </c>
      <c r="B503" s="1">
        <f ca="1">IFERROR(__xludf.DUMMYFUNCTION("""COMPUTED_VALUE"""),14.77)</f>
        <v>14.77</v>
      </c>
      <c r="C503" s="1">
        <f ca="1">IFERROR(__xludf.DUMMYFUNCTION("""COMPUTED_VALUE"""),14.92)</f>
        <v>14.92</v>
      </c>
      <c r="D503" s="1">
        <f ca="1">IFERROR(__xludf.DUMMYFUNCTION("""COMPUTED_VALUE"""),14.48)</f>
        <v>14.48</v>
      </c>
      <c r="E503" s="1">
        <f ca="1">IFERROR(__xludf.DUMMYFUNCTION("""COMPUTED_VALUE"""),14.65)</f>
        <v>14.65</v>
      </c>
      <c r="F503" s="1">
        <f ca="1">IFERROR(__xludf.DUMMYFUNCTION("""COMPUTED_VALUE"""),3782456)</f>
        <v>3782456</v>
      </c>
    </row>
    <row r="504" spans="1:6" x14ac:dyDescent="0.35">
      <c r="A504" s="2">
        <f ca="1">IFERROR(__xludf.DUMMYFUNCTION("""COMPUTED_VALUE"""),42733.6666666666)</f>
        <v>42733.666666666599</v>
      </c>
      <c r="B504" s="1">
        <f ca="1">IFERROR(__xludf.DUMMYFUNCTION("""COMPUTED_VALUE"""),14.57)</f>
        <v>14.57</v>
      </c>
      <c r="C504" s="1">
        <f ca="1">IFERROR(__xludf.DUMMYFUNCTION("""COMPUTED_VALUE"""),14.61)</f>
        <v>14.61</v>
      </c>
      <c r="D504" s="1">
        <f ca="1">IFERROR(__xludf.DUMMYFUNCTION("""COMPUTED_VALUE"""),14.27)</f>
        <v>14.27</v>
      </c>
      <c r="E504" s="1">
        <f ca="1">IFERROR(__xludf.DUMMYFUNCTION("""COMPUTED_VALUE"""),14.31)</f>
        <v>14.31</v>
      </c>
      <c r="F504" s="1">
        <f ca="1">IFERROR(__xludf.DUMMYFUNCTION("""COMPUTED_VALUE"""),4044968)</f>
        <v>4044968</v>
      </c>
    </row>
    <row r="505" spans="1:6" x14ac:dyDescent="0.35">
      <c r="A505" s="2">
        <f ca="1">IFERROR(__xludf.DUMMYFUNCTION("""COMPUTED_VALUE"""),42734.6666666666)</f>
        <v>42734.666666666599</v>
      </c>
      <c r="B505" s="1">
        <f ca="1">IFERROR(__xludf.DUMMYFUNCTION("""COMPUTED_VALUE"""),14.42)</f>
        <v>14.42</v>
      </c>
      <c r="C505" s="1">
        <f ca="1">IFERROR(__xludf.DUMMYFUNCTION("""COMPUTED_VALUE"""),14.5)</f>
        <v>14.5</v>
      </c>
      <c r="D505" s="1">
        <f ca="1">IFERROR(__xludf.DUMMYFUNCTION("""COMPUTED_VALUE"""),14.11)</f>
        <v>14.11</v>
      </c>
      <c r="E505" s="1">
        <f ca="1">IFERROR(__xludf.DUMMYFUNCTION("""COMPUTED_VALUE"""),14.25)</f>
        <v>14.25</v>
      </c>
      <c r="F505" s="1">
        <f ca="1">IFERROR(__xludf.DUMMYFUNCTION("""COMPUTED_VALUE"""),4642620)</f>
        <v>4642620</v>
      </c>
    </row>
    <row r="506" spans="1:6" x14ac:dyDescent="0.35">
      <c r="A506" s="2">
        <f ca="1">IFERROR(__xludf.DUMMYFUNCTION("""COMPUTED_VALUE"""),42738.6666666666)</f>
        <v>42738.666666666599</v>
      </c>
      <c r="B506" s="1">
        <f ca="1">IFERROR(__xludf.DUMMYFUNCTION("""COMPUTED_VALUE"""),14.32)</f>
        <v>14.32</v>
      </c>
      <c r="C506" s="1">
        <f ca="1">IFERROR(__xludf.DUMMYFUNCTION("""COMPUTED_VALUE"""),14.69)</f>
        <v>14.69</v>
      </c>
      <c r="D506" s="1">
        <f ca="1">IFERROR(__xludf.DUMMYFUNCTION("""COMPUTED_VALUE"""),14.06)</f>
        <v>14.06</v>
      </c>
      <c r="E506" s="1">
        <f ca="1">IFERROR(__xludf.DUMMYFUNCTION("""COMPUTED_VALUE"""),14.47)</f>
        <v>14.47</v>
      </c>
      <c r="F506" s="1">
        <f ca="1">IFERROR(__xludf.DUMMYFUNCTION("""COMPUTED_VALUE"""),5923254)</f>
        <v>5923254</v>
      </c>
    </row>
    <row r="507" spans="1:6" x14ac:dyDescent="0.35">
      <c r="A507" s="2">
        <f ca="1">IFERROR(__xludf.DUMMYFUNCTION("""COMPUTED_VALUE"""),42739.6666666666)</f>
        <v>42739.666666666599</v>
      </c>
      <c r="B507" s="1">
        <f ca="1">IFERROR(__xludf.DUMMYFUNCTION("""COMPUTED_VALUE"""),14.32)</f>
        <v>14.32</v>
      </c>
      <c r="C507" s="1">
        <f ca="1">IFERROR(__xludf.DUMMYFUNCTION("""COMPUTED_VALUE"""),15.2)</f>
        <v>15.2</v>
      </c>
      <c r="D507" s="1">
        <f ca="1">IFERROR(__xludf.DUMMYFUNCTION("""COMPUTED_VALUE"""),14.29)</f>
        <v>14.29</v>
      </c>
      <c r="E507" s="1">
        <f ca="1">IFERROR(__xludf.DUMMYFUNCTION("""COMPUTED_VALUE"""),15.13)</f>
        <v>15.13</v>
      </c>
      <c r="F507" s="1">
        <f ca="1">IFERROR(__xludf.DUMMYFUNCTION("""COMPUTED_VALUE"""),11213471)</f>
        <v>11213471</v>
      </c>
    </row>
    <row r="508" spans="1:6" x14ac:dyDescent="0.35">
      <c r="A508" s="2">
        <f ca="1">IFERROR(__xludf.DUMMYFUNCTION("""COMPUTED_VALUE"""),42740.6666666666)</f>
        <v>42740.666666666599</v>
      </c>
      <c r="B508" s="1">
        <f ca="1">IFERROR(__xludf.DUMMYFUNCTION("""COMPUTED_VALUE"""),15.09)</f>
        <v>15.09</v>
      </c>
      <c r="C508" s="1">
        <f ca="1">IFERROR(__xludf.DUMMYFUNCTION("""COMPUTED_VALUE"""),15.17)</f>
        <v>15.17</v>
      </c>
      <c r="D508" s="1">
        <f ca="1">IFERROR(__xludf.DUMMYFUNCTION("""COMPUTED_VALUE"""),14.8)</f>
        <v>14.8</v>
      </c>
      <c r="E508" s="1">
        <f ca="1">IFERROR(__xludf.DUMMYFUNCTION("""COMPUTED_VALUE"""),15.12)</f>
        <v>15.12</v>
      </c>
      <c r="F508" s="1">
        <f ca="1">IFERROR(__xludf.DUMMYFUNCTION("""COMPUTED_VALUE"""),5911695)</f>
        <v>5911695</v>
      </c>
    </row>
    <row r="509" spans="1:6" x14ac:dyDescent="0.35">
      <c r="A509" s="2">
        <f ca="1">IFERROR(__xludf.DUMMYFUNCTION("""COMPUTED_VALUE"""),42741.6666666666)</f>
        <v>42741.666666666599</v>
      </c>
      <c r="B509" s="1">
        <f ca="1">IFERROR(__xludf.DUMMYFUNCTION("""COMPUTED_VALUE"""),15.13)</f>
        <v>15.13</v>
      </c>
      <c r="C509" s="1">
        <f ca="1">IFERROR(__xludf.DUMMYFUNCTION("""COMPUTED_VALUE"""),15.35)</f>
        <v>15.35</v>
      </c>
      <c r="D509" s="1">
        <f ca="1">IFERROR(__xludf.DUMMYFUNCTION("""COMPUTED_VALUE"""),15.03)</f>
        <v>15.03</v>
      </c>
      <c r="E509" s="1">
        <f ca="1">IFERROR(__xludf.DUMMYFUNCTION("""COMPUTED_VALUE"""),15.27)</f>
        <v>15.27</v>
      </c>
      <c r="F509" s="1">
        <f ca="1">IFERROR(__xludf.DUMMYFUNCTION("""COMPUTED_VALUE"""),5527893)</f>
        <v>5527893</v>
      </c>
    </row>
    <row r="510" spans="1:6" x14ac:dyDescent="0.35">
      <c r="A510" s="2">
        <f ca="1">IFERROR(__xludf.DUMMYFUNCTION("""COMPUTED_VALUE"""),42744.6666666666)</f>
        <v>42744.666666666599</v>
      </c>
      <c r="B510" s="1">
        <f ca="1">IFERROR(__xludf.DUMMYFUNCTION("""COMPUTED_VALUE"""),15.26)</f>
        <v>15.26</v>
      </c>
      <c r="C510" s="1">
        <f ca="1">IFERROR(__xludf.DUMMYFUNCTION("""COMPUTED_VALUE"""),15.46)</f>
        <v>15.46</v>
      </c>
      <c r="D510" s="1">
        <f ca="1">IFERROR(__xludf.DUMMYFUNCTION("""COMPUTED_VALUE"""),15.2)</f>
        <v>15.2</v>
      </c>
      <c r="E510" s="1">
        <f ca="1">IFERROR(__xludf.DUMMYFUNCTION("""COMPUTED_VALUE"""),15.42)</f>
        <v>15.42</v>
      </c>
      <c r="F510" s="1">
        <f ca="1">IFERROR(__xludf.DUMMYFUNCTION("""COMPUTED_VALUE"""),3979484)</f>
        <v>3979484</v>
      </c>
    </row>
    <row r="511" spans="1:6" x14ac:dyDescent="0.35">
      <c r="A511" s="2">
        <f ca="1">IFERROR(__xludf.DUMMYFUNCTION("""COMPUTED_VALUE"""),42745.6666666666)</f>
        <v>42745.666666666599</v>
      </c>
      <c r="B511" s="1">
        <f ca="1">IFERROR(__xludf.DUMMYFUNCTION("""COMPUTED_VALUE"""),15.47)</f>
        <v>15.47</v>
      </c>
      <c r="C511" s="1">
        <f ca="1">IFERROR(__xludf.DUMMYFUNCTION("""COMPUTED_VALUE"""),15.47)</f>
        <v>15.47</v>
      </c>
      <c r="D511" s="1">
        <f ca="1">IFERROR(__xludf.DUMMYFUNCTION("""COMPUTED_VALUE"""),15.13)</f>
        <v>15.13</v>
      </c>
      <c r="E511" s="1">
        <f ca="1">IFERROR(__xludf.DUMMYFUNCTION("""COMPUTED_VALUE"""),15.32)</f>
        <v>15.32</v>
      </c>
      <c r="F511" s="1">
        <f ca="1">IFERROR(__xludf.DUMMYFUNCTION("""COMPUTED_VALUE"""),3659955)</f>
        <v>3659955</v>
      </c>
    </row>
    <row r="512" spans="1:6" x14ac:dyDescent="0.35">
      <c r="A512" s="2">
        <f ca="1">IFERROR(__xludf.DUMMYFUNCTION("""COMPUTED_VALUE"""),42746.6666666666)</f>
        <v>42746.666666666599</v>
      </c>
      <c r="B512" s="1">
        <f ca="1">IFERROR(__xludf.DUMMYFUNCTION("""COMPUTED_VALUE"""),15.27)</f>
        <v>15.27</v>
      </c>
      <c r="C512" s="1">
        <f ca="1">IFERROR(__xludf.DUMMYFUNCTION("""COMPUTED_VALUE"""),15.33)</f>
        <v>15.33</v>
      </c>
      <c r="D512" s="1">
        <f ca="1">IFERROR(__xludf.DUMMYFUNCTION("""COMPUTED_VALUE"""),15.11)</f>
        <v>15.11</v>
      </c>
      <c r="E512" s="1">
        <f ca="1">IFERROR(__xludf.DUMMYFUNCTION("""COMPUTED_VALUE"""),15.32)</f>
        <v>15.32</v>
      </c>
      <c r="F512" s="1">
        <f ca="1">IFERROR(__xludf.DUMMYFUNCTION("""COMPUTED_VALUE"""),3650825)</f>
        <v>3650825</v>
      </c>
    </row>
    <row r="513" spans="1:6" x14ac:dyDescent="0.35">
      <c r="A513" s="2">
        <f ca="1">IFERROR(__xludf.DUMMYFUNCTION("""COMPUTED_VALUE"""),42747.6666666666)</f>
        <v>42747.666666666599</v>
      </c>
      <c r="B513" s="1">
        <f ca="1">IFERROR(__xludf.DUMMYFUNCTION("""COMPUTED_VALUE"""),15.27)</f>
        <v>15.27</v>
      </c>
      <c r="C513" s="1">
        <f ca="1">IFERROR(__xludf.DUMMYFUNCTION("""COMPUTED_VALUE"""),15.38)</f>
        <v>15.38</v>
      </c>
      <c r="D513" s="1">
        <f ca="1">IFERROR(__xludf.DUMMYFUNCTION("""COMPUTED_VALUE"""),15.04)</f>
        <v>15.04</v>
      </c>
      <c r="E513" s="1">
        <f ca="1">IFERROR(__xludf.DUMMYFUNCTION("""COMPUTED_VALUE"""),15.31)</f>
        <v>15.31</v>
      </c>
      <c r="F513" s="1">
        <f ca="1">IFERROR(__xludf.DUMMYFUNCTION("""COMPUTED_VALUE"""),3790229)</f>
        <v>3790229</v>
      </c>
    </row>
    <row r="514" spans="1:6" x14ac:dyDescent="0.35">
      <c r="A514" s="2">
        <f ca="1">IFERROR(__xludf.DUMMYFUNCTION("""COMPUTED_VALUE"""),42748.6666666666)</f>
        <v>42748.666666666599</v>
      </c>
      <c r="B514" s="1">
        <f ca="1">IFERROR(__xludf.DUMMYFUNCTION("""COMPUTED_VALUE"""),15.33)</f>
        <v>15.33</v>
      </c>
      <c r="C514" s="1">
        <f ca="1">IFERROR(__xludf.DUMMYFUNCTION("""COMPUTED_VALUE"""),15.86)</f>
        <v>15.86</v>
      </c>
      <c r="D514" s="1">
        <f ca="1">IFERROR(__xludf.DUMMYFUNCTION("""COMPUTED_VALUE"""),15.31)</f>
        <v>15.31</v>
      </c>
      <c r="E514" s="1">
        <f ca="1">IFERROR(__xludf.DUMMYFUNCTION("""COMPUTED_VALUE"""),15.85)</f>
        <v>15.85</v>
      </c>
      <c r="F514" s="1">
        <f ca="1">IFERROR(__xludf.DUMMYFUNCTION("""COMPUTED_VALUE"""),6092960)</f>
        <v>6092960</v>
      </c>
    </row>
    <row r="515" spans="1:6" x14ac:dyDescent="0.35">
      <c r="A515" s="2">
        <f ca="1">IFERROR(__xludf.DUMMYFUNCTION("""COMPUTED_VALUE"""),42752.6666666666)</f>
        <v>42752.666666666599</v>
      </c>
      <c r="B515" s="1">
        <f ca="1">IFERROR(__xludf.DUMMYFUNCTION("""COMPUTED_VALUE"""),15.78)</f>
        <v>15.78</v>
      </c>
      <c r="C515" s="1">
        <f ca="1">IFERROR(__xludf.DUMMYFUNCTION("""COMPUTED_VALUE"""),16)</f>
        <v>16</v>
      </c>
      <c r="D515" s="1">
        <f ca="1">IFERROR(__xludf.DUMMYFUNCTION("""COMPUTED_VALUE"""),15.62)</f>
        <v>15.62</v>
      </c>
      <c r="E515" s="1">
        <f ca="1">IFERROR(__xludf.DUMMYFUNCTION("""COMPUTED_VALUE"""),15.71)</f>
        <v>15.71</v>
      </c>
      <c r="F515" s="1">
        <f ca="1">IFERROR(__xludf.DUMMYFUNCTION("""COMPUTED_VALUE"""),4617522)</f>
        <v>4617522</v>
      </c>
    </row>
    <row r="516" spans="1:6" x14ac:dyDescent="0.35">
      <c r="A516" s="2">
        <f ca="1">IFERROR(__xludf.DUMMYFUNCTION("""COMPUTED_VALUE"""),42753.6666666666)</f>
        <v>42753.666666666599</v>
      </c>
      <c r="B516" s="1">
        <f ca="1">IFERROR(__xludf.DUMMYFUNCTION("""COMPUTED_VALUE"""),15.78)</f>
        <v>15.78</v>
      </c>
      <c r="C516" s="1">
        <f ca="1">IFERROR(__xludf.DUMMYFUNCTION("""COMPUTED_VALUE"""),15.98)</f>
        <v>15.98</v>
      </c>
      <c r="D516" s="1">
        <f ca="1">IFERROR(__xludf.DUMMYFUNCTION("""COMPUTED_VALUE"""),15.71)</f>
        <v>15.71</v>
      </c>
      <c r="E516" s="1">
        <f ca="1">IFERROR(__xludf.DUMMYFUNCTION("""COMPUTED_VALUE"""),15.89)</f>
        <v>15.89</v>
      </c>
      <c r="F516" s="1">
        <f ca="1">IFERROR(__xludf.DUMMYFUNCTION("""COMPUTED_VALUE"""),3768967)</f>
        <v>3768967</v>
      </c>
    </row>
    <row r="517" spans="1:6" x14ac:dyDescent="0.35">
      <c r="A517" s="2">
        <f ca="1">IFERROR(__xludf.DUMMYFUNCTION("""COMPUTED_VALUE"""),42754.6666666666)</f>
        <v>42754.666666666599</v>
      </c>
      <c r="B517" s="1">
        <f ca="1">IFERROR(__xludf.DUMMYFUNCTION("""COMPUTED_VALUE"""),16.48)</f>
        <v>16.48</v>
      </c>
      <c r="C517" s="1">
        <f ca="1">IFERROR(__xludf.DUMMYFUNCTION("""COMPUTED_VALUE"""),16.58)</f>
        <v>16.579999999999998</v>
      </c>
      <c r="D517" s="1">
        <f ca="1">IFERROR(__xludf.DUMMYFUNCTION("""COMPUTED_VALUE"""),16.05)</f>
        <v>16.05</v>
      </c>
      <c r="E517" s="1">
        <f ca="1">IFERROR(__xludf.DUMMYFUNCTION("""COMPUTED_VALUE"""),16.25)</f>
        <v>16.25</v>
      </c>
      <c r="F517" s="1">
        <f ca="1">IFERROR(__xludf.DUMMYFUNCTION("""COMPUTED_VALUE"""),7732303)</f>
        <v>7732303</v>
      </c>
    </row>
    <row r="518" spans="1:6" x14ac:dyDescent="0.35">
      <c r="A518" s="2">
        <f ca="1">IFERROR(__xludf.DUMMYFUNCTION("""COMPUTED_VALUE"""),42755.6666666666)</f>
        <v>42755.666666666599</v>
      </c>
      <c r="B518" s="1">
        <f ca="1">IFERROR(__xludf.DUMMYFUNCTION("""COMPUTED_VALUE"""),16.36)</f>
        <v>16.36</v>
      </c>
      <c r="C518" s="1">
        <f ca="1">IFERROR(__xludf.DUMMYFUNCTION("""COMPUTED_VALUE"""),16.4)</f>
        <v>16.399999999999999</v>
      </c>
      <c r="D518" s="1">
        <f ca="1">IFERROR(__xludf.DUMMYFUNCTION("""COMPUTED_VALUE"""),16.2)</f>
        <v>16.2</v>
      </c>
      <c r="E518" s="1">
        <f ca="1">IFERROR(__xludf.DUMMYFUNCTION("""COMPUTED_VALUE"""),16.32)</f>
        <v>16.32</v>
      </c>
      <c r="F518" s="1">
        <f ca="1">IFERROR(__xludf.DUMMYFUNCTION("""COMPUTED_VALUE"""),4204275)</f>
        <v>4204275</v>
      </c>
    </row>
    <row r="519" spans="1:6" x14ac:dyDescent="0.35">
      <c r="A519" s="2">
        <f ca="1">IFERROR(__xludf.DUMMYFUNCTION("""COMPUTED_VALUE"""),42758.6666666666)</f>
        <v>42758.666666666599</v>
      </c>
      <c r="B519" s="1">
        <f ca="1">IFERROR(__xludf.DUMMYFUNCTION("""COMPUTED_VALUE"""),16.39)</f>
        <v>16.39</v>
      </c>
      <c r="C519" s="1">
        <f ca="1">IFERROR(__xludf.DUMMYFUNCTION("""COMPUTED_VALUE"""),16.73)</f>
        <v>16.73</v>
      </c>
      <c r="D519" s="1">
        <f ca="1">IFERROR(__xludf.DUMMYFUNCTION("""COMPUTED_VALUE"""),16.37)</f>
        <v>16.37</v>
      </c>
      <c r="E519" s="1">
        <f ca="1">IFERROR(__xludf.DUMMYFUNCTION("""COMPUTED_VALUE"""),16.59)</f>
        <v>16.59</v>
      </c>
      <c r="F519" s="1">
        <f ca="1">IFERROR(__xludf.DUMMYFUNCTION("""COMPUTED_VALUE"""),6262938)</f>
        <v>6262938</v>
      </c>
    </row>
    <row r="520" spans="1:6" x14ac:dyDescent="0.35">
      <c r="A520" s="2">
        <f ca="1">IFERROR(__xludf.DUMMYFUNCTION("""COMPUTED_VALUE"""),42759.6666666666)</f>
        <v>42759.666666666599</v>
      </c>
      <c r="B520" s="1">
        <f ca="1">IFERROR(__xludf.DUMMYFUNCTION("""COMPUTED_VALUE"""),16.67)</f>
        <v>16.670000000000002</v>
      </c>
      <c r="C520" s="1">
        <f ca="1">IFERROR(__xludf.DUMMYFUNCTION("""COMPUTED_VALUE"""),16.99)</f>
        <v>16.989999999999998</v>
      </c>
      <c r="D520" s="1">
        <f ca="1">IFERROR(__xludf.DUMMYFUNCTION("""COMPUTED_VALUE"""),16.64)</f>
        <v>16.64</v>
      </c>
      <c r="E520" s="1">
        <f ca="1">IFERROR(__xludf.DUMMYFUNCTION("""COMPUTED_VALUE"""),16.97)</f>
        <v>16.97</v>
      </c>
      <c r="F520" s="1">
        <f ca="1">IFERROR(__xludf.DUMMYFUNCTION("""COMPUTED_VALUE"""),4965451)</f>
        <v>4965451</v>
      </c>
    </row>
    <row r="521" spans="1:6" x14ac:dyDescent="0.35">
      <c r="A521" s="2">
        <f ca="1">IFERROR(__xludf.DUMMYFUNCTION("""COMPUTED_VALUE"""),42760.6666666666)</f>
        <v>42760.666666666599</v>
      </c>
      <c r="B521" s="1">
        <f ca="1">IFERROR(__xludf.DUMMYFUNCTION("""COMPUTED_VALUE"""),17.15)</f>
        <v>17.149999999999999</v>
      </c>
      <c r="C521" s="1">
        <f ca="1">IFERROR(__xludf.DUMMYFUNCTION("""COMPUTED_VALUE"""),17.23)</f>
        <v>17.23</v>
      </c>
      <c r="D521" s="1">
        <f ca="1">IFERROR(__xludf.DUMMYFUNCTION("""COMPUTED_VALUE"""),16.79)</f>
        <v>16.79</v>
      </c>
      <c r="E521" s="1">
        <f ca="1">IFERROR(__xludf.DUMMYFUNCTION("""COMPUTED_VALUE"""),16.96)</f>
        <v>16.96</v>
      </c>
      <c r="F521" s="1">
        <f ca="1">IFERROR(__xludf.DUMMYFUNCTION("""COMPUTED_VALUE"""),5146361)</f>
        <v>5146361</v>
      </c>
    </row>
    <row r="522" spans="1:6" x14ac:dyDescent="0.35">
      <c r="A522" s="2">
        <f ca="1">IFERROR(__xludf.DUMMYFUNCTION("""COMPUTED_VALUE"""),42761.6666666666)</f>
        <v>42761.666666666599</v>
      </c>
      <c r="B522" s="1">
        <f ca="1">IFERROR(__xludf.DUMMYFUNCTION("""COMPUTED_VALUE"""),16.95)</f>
        <v>16.95</v>
      </c>
      <c r="C522" s="1">
        <f ca="1">IFERROR(__xludf.DUMMYFUNCTION("""COMPUTED_VALUE"""),17.05)</f>
        <v>17.05</v>
      </c>
      <c r="D522" s="1">
        <f ca="1">IFERROR(__xludf.DUMMYFUNCTION("""COMPUTED_VALUE"""),16.72)</f>
        <v>16.72</v>
      </c>
      <c r="E522" s="1">
        <f ca="1">IFERROR(__xludf.DUMMYFUNCTION("""COMPUTED_VALUE"""),16.83)</f>
        <v>16.829999999999998</v>
      </c>
      <c r="F522" s="1">
        <f ca="1">IFERROR(__xludf.DUMMYFUNCTION("""COMPUTED_VALUE"""),3152123)</f>
        <v>3152123</v>
      </c>
    </row>
    <row r="523" spans="1:6" x14ac:dyDescent="0.35">
      <c r="A523" s="2">
        <f ca="1">IFERROR(__xludf.DUMMYFUNCTION("""COMPUTED_VALUE"""),42762.6666666666)</f>
        <v>42762.666666666599</v>
      </c>
      <c r="B523" s="1">
        <f ca="1">IFERROR(__xludf.DUMMYFUNCTION("""COMPUTED_VALUE"""),16.76)</f>
        <v>16.760000000000002</v>
      </c>
      <c r="C523" s="1">
        <f ca="1">IFERROR(__xludf.DUMMYFUNCTION("""COMPUTED_VALUE"""),16.87)</f>
        <v>16.87</v>
      </c>
      <c r="D523" s="1">
        <f ca="1">IFERROR(__xludf.DUMMYFUNCTION("""COMPUTED_VALUE"""),16.57)</f>
        <v>16.57</v>
      </c>
      <c r="E523" s="1">
        <f ca="1">IFERROR(__xludf.DUMMYFUNCTION("""COMPUTED_VALUE"""),16.86)</f>
        <v>16.86</v>
      </c>
      <c r="F523" s="1">
        <f ca="1">IFERROR(__xludf.DUMMYFUNCTION("""COMPUTED_VALUE"""),3166336)</f>
        <v>3166336</v>
      </c>
    </row>
    <row r="524" spans="1:6" x14ac:dyDescent="0.35">
      <c r="A524" s="2">
        <f ca="1">IFERROR(__xludf.DUMMYFUNCTION("""COMPUTED_VALUE"""),42765.6666666666)</f>
        <v>42765.666666666599</v>
      </c>
      <c r="B524" s="1">
        <f ca="1">IFERROR(__xludf.DUMMYFUNCTION("""COMPUTED_VALUE"""),16.84)</f>
        <v>16.84</v>
      </c>
      <c r="C524" s="1">
        <f ca="1">IFERROR(__xludf.DUMMYFUNCTION("""COMPUTED_VALUE"""),17.02)</f>
        <v>17.02</v>
      </c>
      <c r="D524" s="1">
        <f ca="1">IFERROR(__xludf.DUMMYFUNCTION("""COMPUTED_VALUE"""),16.47)</f>
        <v>16.47</v>
      </c>
      <c r="E524" s="1">
        <f ca="1">IFERROR(__xludf.DUMMYFUNCTION("""COMPUTED_VALUE"""),16.71)</f>
        <v>16.71</v>
      </c>
      <c r="F524" s="1">
        <f ca="1">IFERROR(__xludf.DUMMYFUNCTION("""COMPUTED_VALUE"""),3801074)</f>
        <v>3801074</v>
      </c>
    </row>
    <row r="525" spans="1:6" x14ac:dyDescent="0.35">
      <c r="A525" s="2">
        <f ca="1">IFERROR(__xludf.DUMMYFUNCTION("""COMPUTED_VALUE"""),42766.6666666666)</f>
        <v>42766.666666666599</v>
      </c>
      <c r="B525" s="1">
        <f ca="1">IFERROR(__xludf.DUMMYFUNCTION("""COMPUTED_VALUE"""),16.62)</f>
        <v>16.62</v>
      </c>
      <c r="C525" s="1">
        <f ca="1">IFERROR(__xludf.DUMMYFUNCTION("""COMPUTED_VALUE"""),17.06)</f>
        <v>17.059999999999999</v>
      </c>
      <c r="D525" s="1">
        <f ca="1">IFERROR(__xludf.DUMMYFUNCTION("""COMPUTED_VALUE"""),16.51)</f>
        <v>16.510000000000002</v>
      </c>
      <c r="E525" s="1">
        <f ca="1">IFERROR(__xludf.DUMMYFUNCTION("""COMPUTED_VALUE"""),16.8)</f>
        <v>16.8</v>
      </c>
      <c r="F525" s="1">
        <f ca="1">IFERROR(__xludf.DUMMYFUNCTION("""COMPUTED_VALUE"""),4116104)</f>
        <v>4116104</v>
      </c>
    </row>
    <row r="526" spans="1:6" x14ac:dyDescent="0.35">
      <c r="A526" s="2">
        <f ca="1">IFERROR(__xludf.DUMMYFUNCTION("""COMPUTED_VALUE"""),42767.6666666666)</f>
        <v>42767.666666666599</v>
      </c>
      <c r="B526" s="1">
        <f ca="1">IFERROR(__xludf.DUMMYFUNCTION("""COMPUTED_VALUE"""),16.87)</f>
        <v>16.87</v>
      </c>
      <c r="C526" s="1">
        <f ca="1">IFERROR(__xludf.DUMMYFUNCTION("""COMPUTED_VALUE"""),16.88)</f>
        <v>16.88</v>
      </c>
      <c r="D526" s="1">
        <f ca="1">IFERROR(__xludf.DUMMYFUNCTION("""COMPUTED_VALUE"""),16.6)</f>
        <v>16.600000000000001</v>
      </c>
      <c r="E526" s="1">
        <f ca="1">IFERROR(__xludf.DUMMYFUNCTION("""COMPUTED_VALUE"""),16.62)</f>
        <v>16.62</v>
      </c>
      <c r="F526" s="1">
        <f ca="1">IFERROR(__xludf.DUMMYFUNCTION("""COMPUTED_VALUE"""),3958829)</f>
        <v>3958829</v>
      </c>
    </row>
    <row r="527" spans="1:6" x14ac:dyDescent="0.35">
      <c r="A527" s="2">
        <f ca="1">IFERROR(__xludf.DUMMYFUNCTION("""COMPUTED_VALUE"""),42768.6666666666)</f>
        <v>42768.666666666599</v>
      </c>
      <c r="B527" s="1">
        <f ca="1">IFERROR(__xludf.DUMMYFUNCTION("""COMPUTED_VALUE"""),16.56)</f>
        <v>16.559999999999999</v>
      </c>
      <c r="C527" s="1">
        <f ca="1">IFERROR(__xludf.DUMMYFUNCTION("""COMPUTED_VALUE"""),16.83)</f>
        <v>16.829999999999998</v>
      </c>
      <c r="D527" s="1">
        <f ca="1">IFERROR(__xludf.DUMMYFUNCTION("""COMPUTED_VALUE"""),16.51)</f>
        <v>16.510000000000002</v>
      </c>
      <c r="E527" s="1">
        <f ca="1">IFERROR(__xludf.DUMMYFUNCTION("""COMPUTED_VALUE"""),16.77)</f>
        <v>16.77</v>
      </c>
      <c r="F527" s="1">
        <f ca="1">IFERROR(__xludf.DUMMYFUNCTION("""COMPUTED_VALUE"""),2499775)</f>
        <v>2499775</v>
      </c>
    </row>
    <row r="528" spans="1:6" x14ac:dyDescent="0.35">
      <c r="A528" s="2">
        <f ca="1">IFERROR(__xludf.DUMMYFUNCTION("""COMPUTED_VALUE"""),42769.6666666666)</f>
        <v>42769.666666666599</v>
      </c>
      <c r="B528" s="1">
        <f ca="1">IFERROR(__xludf.DUMMYFUNCTION("""COMPUTED_VALUE"""),16.79)</f>
        <v>16.79</v>
      </c>
      <c r="C528" s="1">
        <f ca="1">IFERROR(__xludf.DUMMYFUNCTION("""COMPUTED_VALUE"""),16.81)</f>
        <v>16.809999999999999</v>
      </c>
      <c r="D528" s="1">
        <f ca="1">IFERROR(__xludf.DUMMYFUNCTION("""COMPUTED_VALUE"""),16.65)</f>
        <v>16.649999999999999</v>
      </c>
      <c r="E528" s="1">
        <f ca="1">IFERROR(__xludf.DUMMYFUNCTION("""COMPUTED_VALUE"""),16.76)</f>
        <v>16.760000000000002</v>
      </c>
      <c r="F528" s="1">
        <f ca="1">IFERROR(__xludf.DUMMYFUNCTION("""COMPUTED_VALUE"""),2186723)</f>
        <v>2186723</v>
      </c>
    </row>
    <row r="529" spans="1:6" x14ac:dyDescent="0.35">
      <c r="A529" s="2">
        <f ca="1">IFERROR(__xludf.DUMMYFUNCTION("""COMPUTED_VALUE"""),42772.6666666666)</f>
        <v>42772.666666666599</v>
      </c>
      <c r="B529" s="1">
        <f ca="1">IFERROR(__xludf.DUMMYFUNCTION("""COMPUTED_VALUE"""),16.73)</f>
        <v>16.73</v>
      </c>
      <c r="C529" s="1">
        <f ca="1">IFERROR(__xludf.DUMMYFUNCTION("""COMPUTED_VALUE"""),17.19)</f>
        <v>17.190000000000001</v>
      </c>
      <c r="D529" s="1">
        <f ca="1">IFERROR(__xludf.DUMMYFUNCTION("""COMPUTED_VALUE"""),16.71)</f>
        <v>16.71</v>
      </c>
      <c r="E529" s="1">
        <f ca="1">IFERROR(__xludf.DUMMYFUNCTION("""COMPUTED_VALUE"""),17.18)</f>
        <v>17.18</v>
      </c>
      <c r="F529" s="1">
        <f ca="1">IFERROR(__xludf.DUMMYFUNCTION("""COMPUTED_VALUE"""),3562517)</f>
        <v>3562517</v>
      </c>
    </row>
    <row r="530" spans="1:6" x14ac:dyDescent="0.35">
      <c r="A530" s="2">
        <f ca="1">IFERROR(__xludf.DUMMYFUNCTION("""COMPUTED_VALUE"""),42773.6666666666)</f>
        <v>42773.666666666599</v>
      </c>
      <c r="B530" s="1">
        <f ca="1">IFERROR(__xludf.DUMMYFUNCTION("""COMPUTED_VALUE"""),17.21)</f>
        <v>17.21</v>
      </c>
      <c r="C530" s="1">
        <f ca="1">IFERROR(__xludf.DUMMYFUNCTION("""COMPUTED_VALUE"""),17.33)</f>
        <v>17.329999999999998</v>
      </c>
      <c r="D530" s="1">
        <f ca="1">IFERROR(__xludf.DUMMYFUNCTION("""COMPUTED_VALUE"""),17.09)</f>
        <v>17.09</v>
      </c>
      <c r="E530" s="1">
        <f ca="1">IFERROR(__xludf.DUMMYFUNCTION("""COMPUTED_VALUE"""),17.17)</f>
        <v>17.170000000000002</v>
      </c>
      <c r="F530" s="1">
        <f ca="1">IFERROR(__xludf.DUMMYFUNCTION("""COMPUTED_VALUE"""),4244775)</f>
        <v>4244775</v>
      </c>
    </row>
    <row r="531" spans="1:6" x14ac:dyDescent="0.35">
      <c r="A531" s="2">
        <f ca="1">IFERROR(__xludf.DUMMYFUNCTION("""COMPUTED_VALUE"""),42774.6666666666)</f>
        <v>42774.666666666599</v>
      </c>
      <c r="B531" s="1">
        <f ca="1">IFERROR(__xludf.DUMMYFUNCTION("""COMPUTED_VALUE"""),17.16)</f>
        <v>17.16</v>
      </c>
      <c r="C531" s="1">
        <f ca="1">IFERROR(__xludf.DUMMYFUNCTION("""COMPUTED_VALUE"""),17.56)</f>
        <v>17.559999999999999</v>
      </c>
      <c r="D531" s="1">
        <f ca="1">IFERROR(__xludf.DUMMYFUNCTION("""COMPUTED_VALUE"""),17.08)</f>
        <v>17.079999999999998</v>
      </c>
      <c r="E531" s="1">
        <f ca="1">IFERROR(__xludf.DUMMYFUNCTION("""COMPUTED_VALUE"""),17.47)</f>
        <v>17.47</v>
      </c>
      <c r="F531" s="1">
        <f ca="1">IFERROR(__xludf.DUMMYFUNCTION("""COMPUTED_VALUE"""),3933014)</f>
        <v>3933014</v>
      </c>
    </row>
    <row r="532" spans="1:6" x14ac:dyDescent="0.35">
      <c r="A532" s="2">
        <f ca="1">IFERROR(__xludf.DUMMYFUNCTION("""COMPUTED_VALUE"""),42775.6666666666)</f>
        <v>42775.666666666599</v>
      </c>
      <c r="B532" s="1">
        <f ca="1">IFERROR(__xludf.DUMMYFUNCTION("""COMPUTED_VALUE"""),17.75)</f>
        <v>17.75</v>
      </c>
      <c r="C532" s="1">
        <f ca="1">IFERROR(__xludf.DUMMYFUNCTION("""COMPUTED_VALUE"""),18.08)</f>
        <v>18.079999999999998</v>
      </c>
      <c r="D532" s="1">
        <f ca="1">IFERROR(__xludf.DUMMYFUNCTION("""COMPUTED_VALUE"""),17.74)</f>
        <v>17.739999999999998</v>
      </c>
      <c r="E532" s="1">
        <f ca="1">IFERROR(__xludf.DUMMYFUNCTION("""COMPUTED_VALUE"""),17.95)</f>
        <v>17.95</v>
      </c>
      <c r="F532" s="1">
        <f ca="1">IFERROR(__xludf.DUMMYFUNCTION("""COMPUTED_VALUE"""),7820222)</f>
        <v>7820222</v>
      </c>
    </row>
    <row r="533" spans="1:6" x14ac:dyDescent="0.35">
      <c r="A533" s="2">
        <f ca="1">IFERROR(__xludf.DUMMYFUNCTION("""COMPUTED_VALUE"""),42776.6666666666)</f>
        <v>42776.666666666599</v>
      </c>
      <c r="B533" s="1">
        <f ca="1">IFERROR(__xludf.DUMMYFUNCTION("""COMPUTED_VALUE"""),17.99)</f>
        <v>17.989999999999998</v>
      </c>
      <c r="C533" s="1">
        <f ca="1">IFERROR(__xludf.DUMMYFUNCTION("""COMPUTED_VALUE"""),18.06)</f>
        <v>18.059999999999999</v>
      </c>
      <c r="D533" s="1">
        <f ca="1">IFERROR(__xludf.DUMMYFUNCTION("""COMPUTED_VALUE"""),17.74)</f>
        <v>17.739999999999998</v>
      </c>
      <c r="E533" s="1">
        <f ca="1">IFERROR(__xludf.DUMMYFUNCTION("""COMPUTED_VALUE"""),17.95)</f>
        <v>17.95</v>
      </c>
      <c r="F533" s="1">
        <f ca="1">IFERROR(__xludf.DUMMYFUNCTION("""COMPUTED_VALUE"""),3619739)</f>
        <v>3619739</v>
      </c>
    </row>
    <row r="534" spans="1:6" x14ac:dyDescent="0.35">
      <c r="A534" s="2">
        <f ca="1">IFERROR(__xludf.DUMMYFUNCTION("""COMPUTED_VALUE"""),42779.6666666666)</f>
        <v>42779.666666666599</v>
      </c>
      <c r="B534" s="1">
        <f ca="1">IFERROR(__xludf.DUMMYFUNCTION("""COMPUTED_VALUE"""),18.05)</f>
        <v>18.05</v>
      </c>
      <c r="C534" s="1">
        <f ca="1">IFERROR(__xludf.DUMMYFUNCTION("""COMPUTED_VALUE"""),18.72)</f>
        <v>18.72</v>
      </c>
      <c r="D534" s="1">
        <f ca="1">IFERROR(__xludf.DUMMYFUNCTION("""COMPUTED_VALUE"""),18.03)</f>
        <v>18.03</v>
      </c>
      <c r="E534" s="1">
        <f ca="1">IFERROR(__xludf.DUMMYFUNCTION("""COMPUTED_VALUE"""),18.71)</f>
        <v>18.71</v>
      </c>
      <c r="F534" s="1">
        <f ca="1">IFERROR(__xludf.DUMMYFUNCTION("""COMPUTED_VALUE"""),7029605)</f>
        <v>7029605</v>
      </c>
    </row>
    <row r="535" spans="1:6" x14ac:dyDescent="0.35">
      <c r="A535" s="2">
        <f ca="1">IFERROR(__xludf.DUMMYFUNCTION("""COMPUTED_VALUE"""),42780.6666666666)</f>
        <v>42780.666666666599</v>
      </c>
      <c r="B535" s="1">
        <f ca="1">IFERROR(__xludf.DUMMYFUNCTION("""COMPUTED_VALUE"""),18.6)</f>
        <v>18.600000000000001</v>
      </c>
      <c r="C535" s="1">
        <f ca="1">IFERROR(__xludf.DUMMYFUNCTION("""COMPUTED_VALUE"""),19.16)</f>
        <v>19.16</v>
      </c>
      <c r="D535" s="1">
        <f ca="1">IFERROR(__xludf.DUMMYFUNCTION("""COMPUTED_VALUE"""),18.57)</f>
        <v>18.57</v>
      </c>
      <c r="E535" s="1">
        <f ca="1">IFERROR(__xludf.DUMMYFUNCTION("""COMPUTED_VALUE"""),18.73)</f>
        <v>18.73</v>
      </c>
      <c r="F535" s="1">
        <f ca="1">IFERROR(__xludf.DUMMYFUNCTION("""COMPUTED_VALUE"""),7345224)</f>
        <v>7345224</v>
      </c>
    </row>
    <row r="536" spans="1:6" x14ac:dyDescent="0.35">
      <c r="A536" s="2">
        <f ca="1">IFERROR(__xludf.DUMMYFUNCTION("""COMPUTED_VALUE"""),42781.6666666666)</f>
        <v>42781.666666666599</v>
      </c>
      <c r="B536" s="1">
        <f ca="1">IFERROR(__xludf.DUMMYFUNCTION("""COMPUTED_VALUE"""),18.67)</f>
        <v>18.670000000000002</v>
      </c>
      <c r="C536" s="1">
        <f ca="1">IFERROR(__xludf.DUMMYFUNCTION("""COMPUTED_VALUE"""),18.82)</f>
        <v>18.82</v>
      </c>
      <c r="D536" s="1">
        <f ca="1">IFERROR(__xludf.DUMMYFUNCTION("""COMPUTED_VALUE"""),18.43)</f>
        <v>18.43</v>
      </c>
      <c r="E536" s="1">
        <f ca="1">IFERROR(__xludf.DUMMYFUNCTION("""COMPUTED_VALUE"""),18.65)</f>
        <v>18.649999999999999</v>
      </c>
      <c r="F536" s="1">
        <f ca="1">IFERROR(__xludf.DUMMYFUNCTION("""COMPUTED_VALUE"""),4947856)</f>
        <v>4947856</v>
      </c>
    </row>
    <row r="537" spans="1:6" x14ac:dyDescent="0.35">
      <c r="A537" s="2">
        <f ca="1">IFERROR(__xludf.DUMMYFUNCTION("""COMPUTED_VALUE"""),42782.6666666666)</f>
        <v>42782.666666666599</v>
      </c>
      <c r="B537" s="1">
        <f ca="1">IFERROR(__xludf.DUMMYFUNCTION("""COMPUTED_VALUE"""),18.51)</f>
        <v>18.510000000000002</v>
      </c>
      <c r="C537" s="1">
        <f ca="1">IFERROR(__xludf.DUMMYFUNCTION("""COMPUTED_VALUE"""),18.67)</f>
        <v>18.670000000000002</v>
      </c>
      <c r="D537" s="1">
        <f ca="1">IFERROR(__xludf.DUMMYFUNCTION("""COMPUTED_VALUE"""),17.9)</f>
        <v>17.899999999999999</v>
      </c>
      <c r="E537" s="1">
        <f ca="1">IFERROR(__xludf.DUMMYFUNCTION("""COMPUTED_VALUE"""),17.93)</f>
        <v>17.93</v>
      </c>
      <c r="F537" s="1">
        <f ca="1">IFERROR(__xludf.DUMMYFUNCTION("""COMPUTED_VALUE"""),7077322)</f>
        <v>7077322</v>
      </c>
    </row>
    <row r="538" spans="1:6" x14ac:dyDescent="0.35">
      <c r="A538" s="2">
        <f ca="1">IFERROR(__xludf.DUMMYFUNCTION("""COMPUTED_VALUE"""),42783.6666666666)</f>
        <v>42783.666666666599</v>
      </c>
      <c r="B538" s="1">
        <f ca="1">IFERROR(__xludf.DUMMYFUNCTION("""COMPUTED_VALUE"""),17.72)</f>
        <v>17.72</v>
      </c>
      <c r="C538" s="1">
        <f ca="1">IFERROR(__xludf.DUMMYFUNCTION("""COMPUTED_VALUE"""),18.19)</f>
        <v>18.190000000000001</v>
      </c>
      <c r="D538" s="1">
        <f ca="1">IFERROR(__xludf.DUMMYFUNCTION("""COMPUTED_VALUE"""),17.61)</f>
        <v>17.61</v>
      </c>
      <c r="E538" s="1">
        <f ca="1">IFERROR(__xludf.DUMMYFUNCTION("""COMPUTED_VALUE"""),18.15)</f>
        <v>18.149999999999999</v>
      </c>
      <c r="F538" s="1">
        <f ca="1">IFERROR(__xludf.DUMMYFUNCTION("""COMPUTED_VALUE"""),6257149)</f>
        <v>6257149</v>
      </c>
    </row>
    <row r="539" spans="1:6" x14ac:dyDescent="0.35">
      <c r="A539" s="2">
        <f ca="1">IFERROR(__xludf.DUMMYFUNCTION("""COMPUTED_VALUE"""),42787.6666666666)</f>
        <v>42787.666666666599</v>
      </c>
      <c r="B539" s="1">
        <f ca="1">IFERROR(__xludf.DUMMYFUNCTION("""COMPUTED_VALUE"""),18.36)</f>
        <v>18.36</v>
      </c>
      <c r="C539" s="1">
        <f ca="1">IFERROR(__xludf.DUMMYFUNCTION("""COMPUTED_VALUE"""),18.76)</f>
        <v>18.760000000000002</v>
      </c>
      <c r="D539" s="1">
        <f ca="1">IFERROR(__xludf.DUMMYFUNCTION("""COMPUTED_VALUE"""),18.27)</f>
        <v>18.27</v>
      </c>
      <c r="E539" s="1">
        <f ca="1">IFERROR(__xludf.DUMMYFUNCTION("""COMPUTED_VALUE"""),18.49)</f>
        <v>18.489999999999998</v>
      </c>
      <c r="F539" s="1">
        <f ca="1">IFERROR(__xludf.DUMMYFUNCTION("""COMPUTED_VALUE"""),5676747)</f>
        <v>5676747</v>
      </c>
    </row>
    <row r="540" spans="1:6" x14ac:dyDescent="0.35">
      <c r="A540" s="2">
        <f ca="1">IFERROR(__xludf.DUMMYFUNCTION("""COMPUTED_VALUE"""),42788.6666666666)</f>
        <v>42788.666666666599</v>
      </c>
      <c r="B540" s="1">
        <f ca="1">IFERROR(__xludf.DUMMYFUNCTION("""COMPUTED_VALUE"""),18.69)</f>
        <v>18.690000000000001</v>
      </c>
      <c r="C540" s="1">
        <f ca="1">IFERROR(__xludf.DUMMYFUNCTION("""COMPUTED_VALUE"""),18.9)</f>
        <v>18.899999999999999</v>
      </c>
      <c r="D540" s="1">
        <f ca="1">IFERROR(__xludf.DUMMYFUNCTION("""COMPUTED_VALUE"""),18.17)</f>
        <v>18.170000000000002</v>
      </c>
      <c r="E540" s="1">
        <f ca="1">IFERROR(__xludf.DUMMYFUNCTION("""COMPUTED_VALUE"""),18.23)</f>
        <v>18.23</v>
      </c>
      <c r="F540" s="1">
        <f ca="1">IFERROR(__xludf.DUMMYFUNCTION("""COMPUTED_VALUE"""),8754975)</f>
        <v>8754975</v>
      </c>
    </row>
    <row r="541" spans="1:6" x14ac:dyDescent="0.35">
      <c r="A541" s="2">
        <f ca="1">IFERROR(__xludf.DUMMYFUNCTION("""COMPUTED_VALUE"""),42789.6666666666)</f>
        <v>42789.666666666599</v>
      </c>
      <c r="B541" s="1">
        <f ca="1">IFERROR(__xludf.DUMMYFUNCTION("""COMPUTED_VALUE"""),17.6)</f>
        <v>17.600000000000001</v>
      </c>
      <c r="C541" s="1">
        <f ca="1">IFERROR(__xludf.DUMMYFUNCTION("""COMPUTED_VALUE"""),17.64)</f>
        <v>17.64</v>
      </c>
      <c r="D541" s="1">
        <f ca="1">IFERROR(__xludf.DUMMYFUNCTION("""COMPUTED_VALUE"""),17.04)</f>
        <v>17.04</v>
      </c>
      <c r="E541" s="1">
        <f ca="1">IFERROR(__xludf.DUMMYFUNCTION("""COMPUTED_VALUE"""),17.07)</f>
        <v>17.07</v>
      </c>
      <c r="F541" s="1">
        <f ca="1">IFERROR(__xludf.DUMMYFUNCTION("""COMPUTED_VALUE"""),14915249)</f>
        <v>14915249</v>
      </c>
    </row>
    <row r="542" spans="1:6" x14ac:dyDescent="0.35">
      <c r="A542" s="2">
        <f ca="1">IFERROR(__xludf.DUMMYFUNCTION("""COMPUTED_VALUE"""),42790.6666666666)</f>
        <v>42790.666666666599</v>
      </c>
      <c r="B542" s="1">
        <f ca="1">IFERROR(__xludf.DUMMYFUNCTION("""COMPUTED_VALUE"""),16.84)</f>
        <v>16.84</v>
      </c>
      <c r="C542" s="1">
        <f ca="1">IFERROR(__xludf.DUMMYFUNCTION("""COMPUTED_VALUE"""),17.22)</f>
        <v>17.22</v>
      </c>
      <c r="D542" s="1">
        <f ca="1">IFERROR(__xludf.DUMMYFUNCTION("""COMPUTED_VALUE"""),16.68)</f>
        <v>16.68</v>
      </c>
      <c r="E542" s="1">
        <f ca="1">IFERROR(__xludf.DUMMYFUNCTION("""COMPUTED_VALUE"""),17.13)</f>
        <v>17.13</v>
      </c>
      <c r="F542" s="1">
        <f ca="1">IFERROR(__xludf.DUMMYFUNCTION("""COMPUTED_VALUE"""),8171626)</f>
        <v>8171626</v>
      </c>
    </row>
    <row r="543" spans="1:6" x14ac:dyDescent="0.35">
      <c r="A543" s="2">
        <f ca="1">IFERROR(__xludf.DUMMYFUNCTION("""COMPUTED_VALUE"""),42793.6666666666)</f>
        <v>42793.666666666599</v>
      </c>
      <c r="B543" s="1">
        <f ca="1">IFERROR(__xludf.DUMMYFUNCTION("""COMPUTED_VALUE"""),16.54)</f>
        <v>16.54</v>
      </c>
      <c r="C543" s="1">
        <f ca="1">IFERROR(__xludf.DUMMYFUNCTION("""COMPUTED_VALUE"""),16.56)</f>
        <v>16.559999999999999</v>
      </c>
      <c r="D543" s="1">
        <f ca="1">IFERROR(__xludf.DUMMYFUNCTION("""COMPUTED_VALUE"""),16.13)</f>
        <v>16.13</v>
      </c>
      <c r="E543" s="1">
        <f ca="1">IFERROR(__xludf.DUMMYFUNCTION("""COMPUTED_VALUE"""),16.42)</f>
        <v>16.420000000000002</v>
      </c>
      <c r="F543" s="1">
        <f ca="1">IFERROR(__xludf.DUMMYFUNCTION("""COMPUTED_VALUE"""),11460810)</f>
        <v>11460810</v>
      </c>
    </row>
    <row r="544" spans="1:6" x14ac:dyDescent="0.35">
      <c r="A544" s="2">
        <f ca="1">IFERROR(__xludf.DUMMYFUNCTION("""COMPUTED_VALUE"""),42794.6666666666)</f>
        <v>42794.666666666599</v>
      </c>
      <c r="B544" s="1">
        <f ca="1">IFERROR(__xludf.DUMMYFUNCTION("""COMPUTED_VALUE"""),16.28)</f>
        <v>16.28</v>
      </c>
      <c r="C544" s="1">
        <f ca="1">IFERROR(__xludf.DUMMYFUNCTION("""COMPUTED_VALUE"""),16.73)</f>
        <v>16.73</v>
      </c>
      <c r="D544" s="1">
        <f ca="1">IFERROR(__xludf.DUMMYFUNCTION("""COMPUTED_VALUE"""),16.26)</f>
        <v>16.260000000000002</v>
      </c>
      <c r="E544" s="1">
        <f ca="1">IFERROR(__xludf.DUMMYFUNCTION("""COMPUTED_VALUE"""),16.67)</f>
        <v>16.670000000000002</v>
      </c>
      <c r="F544" s="1">
        <f ca="1">IFERROR(__xludf.DUMMYFUNCTION("""COMPUTED_VALUE"""),6078145)</f>
        <v>6078145</v>
      </c>
    </row>
    <row r="545" spans="1:6" x14ac:dyDescent="0.35">
      <c r="A545" s="2">
        <f ca="1">IFERROR(__xludf.DUMMYFUNCTION("""COMPUTED_VALUE"""),42795.6666666666)</f>
        <v>42795.666666666599</v>
      </c>
      <c r="B545" s="1">
        <f ca="1">IFERROR(__xludf.DUMMYFUNCTION("""COMPUTED_VALUE"""),16.95)</f>
        <v>16.95</v>
      </c>
      <c r="C545" s="1">
        <f ca="1">IFERROR(__xludf.DUMMYFUNCTION("""COMPUTED_VALUE"""),16.99)</f>
        <v>16.989999999999998</v>
      </c>
      <c r="D545" s="1">
        <f ca="1">IFERROR(__xludf.DUMMYFUNCTION("""COMPUTED_VALUE"""),16.61)</f>
        <v>16.61</v>
      </c>
      <c r="E545" s="1">
        <f ca="1">IFERROR(__xludf.DUMMYFUNCTION("""COMPUTED_VALUE"""),16.67)</f>
        <v>16.670000000000002</v>
      </c>
      <c r="F545" s="1">
        <f ca="1">IFERROR(__xludf.DUMMYFUNCTION("""COMPUTED_VALUE"""),4809488)</f>
        <v>4809488</v>
      </c>
    </row>
    <row r="546" spans="1:6" x14ac:dyDescent="0.35">
      <c r="A546" s="2">
        <f ca="1">IFERROR(__xludf.DUMMYFUNCTION("""COMPUTED_VALUE"""),42796.6666666666)</f>
        <v>42796.666666666599</v>
      </c>
      <c r="B546" s="1">
        <f ca="1">IFERROR(__xludf.DUMMYFUNCTION("""COMPUTED_VALUE"""),16.65)</f>
        <v>16.649999999999999</v>
      </c>
      <c r="C546" s="1">
        <f ca="1">IFERROR(__xludf.DUMMYFUNCTION("""COMPUTED_VALUE"""),16.89)</f>
        <v>16.89</v>
      </c>
      <c r="D546" s="1">
        <f ca="1">IFERROR(__xludf.DUMMYFUNCTION("""COMPUTED_VALUE"""),16.55)</f>
        <v>16.55</v>
      </c>
      <c r="E546" s="1">
        <f ca="1">IFERROR(__xludf.DUMMYFUNCTION("""COMPUTED_VALUE"""),16.7)</f>
        <v>16.7</v>
      </c>
      <c r="F546" s="1">
        <f ca="1">IFERROR(__xludf.DUMMYFUNCTION("""COMPUTED_VALUE"""),3351833)</f>
        <v>3351833</v>
      </c>
    </row>
    <row r="547" spans="1:6" x14ac:dyDescent="0.35">
      <c r="A547" s="2">
        <f ca="1">IFERROR(__xludf.DUMMYFUNCTION("""COMPUTED_VALUE"""),42797.6666666666)</f>
        <v>42797.666666666599</v>
      </c>
      <c r="B547" s="1">
        <f ca="1">IFERROR(__xludf.DUMMYFUNCTION("""COMPUTED_VALUE"""),16.72)</f>
        <v>16.72</v>
      </c>
      <c r="C547" s="1">
        <f ca="1">IFERROR(__xludf.DUMMYFUNCTION("""COMPUTED_VALUE"""),16.79)</f>
        <v>16.79</v>
      </c>
      <c r="D547" s="1">
        <f ca="1">IFERROR(__xludf.DUMMYFUNCTION("""COMPUTED_VALUE"""),16.6)</f>
        <v>16.600000000000001</v>
      </c>
      <c r="E547" s="1">
        <f ca="1">IFERROR(__xludf.DUMMYFUNCTION("""COMPUTED_VALUE"""),16.77)</f>
        <v>16.77</v>
      </c>
      <c r="F547" s="1">
        <f ca="1">IFERROR(__xludf.DUMMYFUNCTION("""COMPUTED_VALUE"""),2929234)</f>
        <v>2929234</v>
      </c>
    </row>
    <row r="548" spans="1:6" x14ac:dyDescent="0.35">
      <c r="A548" s="2">
        <f ca="1">IFERROR(__xludf.DUMMYFUNCTION("""COMPUTED_VALUE"""),42800.6666666666)</f>
        <v>42800.666666666599</v>
      </c>
      <c r="B548" s="1">
        <f ca="1">IFERROR(__xludf.DUMMYFUNCTION("""COMPUTED_VALUE"""),16.53)</f>
        <v>16.53</v>
      </c>
      <c r="C548" s="1">
        <f ca="1">IFERROR(__xludf.DUMMYFUNCTION("""COMPUTED_VALUE"""),16.78)</f>
        <v>16.78</v>
      </c>
      <c r="D548" s="1">
        <f ca="1">IFERROR(__xludf.DUMMYFUNCTION("""COMPUTED_VALUE"""),16.5)</f>
        <v>16.5</v>
      </c>
      <c r="E548" s="1">
        <f ca="1">IFERROR(__xludf.DUMMYFUNCTION("""COMPUTED_VALUE"""),16.75)</f>
        <v>16.75</v>
      </c>
      <c r="F548" s="1">
        <f ca="1">IFERROR(__xludf.DUMMYFUNCTION("""COMPUTED_VALUE"""),3355500)</f>
        <v>3355500</v>
      </c>
    </row>
    <row r="549" spans="1:6" x14ac:dyDescent="0.35">
      <c r="A549" s="2">
        <f ca="1">IFERROR(__xludf.DUMMYFUNCTION("""COMPUTED_VALUE"""),42801.6666666666)</f>
        <v>42801.666666666599</v>
      </c>
      <c r="B549" s="1">
        <f ca="1">IFERROR(__xludf.DUMMYFUNCTION("""COMPUTED_VALUE"""),16.79)</f>
        <v>16.79</v>
      </c>
      <c r="C549" s="1">
        <f ca="1">IFERROR(__xludf.DUMMYFUNCTION("""COMPUTED_VALUE"""),16.93)</f>
        <v>16.93</v>
      </c>
      <c r="D549" s="1">
        <f ca="1">IFERROR(__xludf.DUMMYFUNCTION("""COMPUTED_VALUE"""),16.55)</f>
        <v>16.55</v>
      </c>
      <c r="E549" s="1">
        <f ca="1">IFERROR(__xludf.DUMMYFUNCTION("""COMPUTED_VALUE"""),16.57)</f>
        <v>16.57</v>
      </c>
      <c r="F549" s="1">
        <f ca="1">IFERROR(__xludf.DUMMYFUNCTION("""COMPUTED_VALUE"""),3459470)</f>
        <v>3459470</v>
      </c>
    </row>
    <row r="550" spans="1:6" x14ac:dyDescent="0.35">
      <c r="A550" s="2">
        <f ca="1">IFERROR(__xludf.DUMMYFUNCTION("""COMPUTED_VALUE"""),42802.6666666666)</f>
        <v>42802.666666666599</v>
      </c>
      <c r="B550" s="1">
        <f ca="1">IFERROR(__xludf.DUMMYFUNCTION("""COMPUTED_VALUE"""),16.47)</f>
        <v>16.47</v>
      </c>
      <c r="C550" s="1">
        <f ca="1">IFERROR(__xludf.DUMMYFUNCTION("""COMPUTED_VALUE"""),16.67)</f>
        <v>16.670000000000002</v>
      </c>
      <c r="D550" s="1">
        <f ca="1">IFERROR(__xludf.DUMMYFUNCTION("""COMPUTED_VALUE"""),16.35)</f>
        <v>16.350000000000001</v>
      </c>
      <c r="E550" s="1">
        <f ca="1">IFERROR(__xludf.DUMMYFUNCTION("""COMPUTED_VALUE"""),16.46)</f>
        <v>16.46</v>
      </c>
      <c r="F550" s="1">
        <f ca="1">IFERROR(__xludf.DUMMYFUNCTION("""COMPUTED_VALUE"""),3728649)</f>
        <v>3728649</v>
      </c>
    </row>
    <row r="551" spans="1:6" x14ac:dyDescent="0.35">
      <c r="A551" s="2">
        <f ca="1">IFERROR(__xludf.DUMMYFUNCTION("""COMPUTED_VALUE"""),42803.6666666666)</f>
        <v>42803.666666666599</v>
      </c>
      <c r="B551" s="1">
        <f ca="1">IFERROR(__xludf.DUMMYFUNCTION("""COMPUTED_VALUE"""),16.51)</f>
        <v>16.510000000000002</v>
      </c>
      <c r="C551" s="1">
        <f ca="1">IFERROR(__xludf.DUMMYFUNCTION("""COMPUTED_VALUE"""),16.58)</f>
        <v>16.579999999999998</v>
      </c>
      <c r="D551" s="1">
        <f ca="1">IFERROR(__xludf.DUMMYFUNCTION("""COMPUTED_VALUE"""),16.2)</f>
        <v>16.2</v>
      </c>
      <c r="E551" s="1">
        <f ca="1">IFERROR(__xludf.DUMMYFUNCTION("""COMPUTED_VALUE"""),16.33)</f>
        <v>16.329999999999998</v>
      </c>
      <c r="F551" s="1">
        <f ca="1">IFERROR(__xludf.DUMMYFUNCTION("""COMPUTED_VALUE"""),3879293)</f>
        <v>3879293</v>
      </c>
    </row>
    <row r="552" spans="1:6" x14ac:dyDescent="0.35">
      <c r="A552" s="2">
        <f ca="1">IFERROR(__xludf.DUMMYFUNCTION("""COMPUTED_VALUE"""),42804.6666666666)</f>
        <v>42804.666666666599</v>
      </c>
      <c r="B552" s="1">
        <f ca="1">IFERROR(__xludf.DUMMYFUNCTION("""COMPUTED_VALUE"""),16.41)</f>
        <v>16.41</v>
      </c>
      <c r="C552" s="1">
        <f ca="1">IFERROR(__xludf.DUMMYFUNCTION("""COMPUTED_VALUE"""),16.43)</f>
        <v>16.43</v>
      </c>
      <c r="D552" s="1">
        <f ca="1">IFERROR(__xludf.DUMMYFUNCTION("""COMPUTED_VALUE"""),16.2)</f>
        <v>16.2</v>
      </c>
      <c r="E552" s="1">
        <f ca="1">IFERROR(__xludf.DUMMYFUNCTION("""COMPUTED_VALUE"""),16.25)</f>
        <v>16.25</v>
      </c>
      <c r="F552" s="1">
        <f ca="1">IFERROR(__xludf.DUMMYFUNCTION("""COMPUTED_VALUE"""),3066272)</f>
        <v>3066272</v>
      </c>
    </row>
    <row r="553" spans="1:6" x14ac:dyDescent="0.35">
      <c r="A553" s="2">
        <f ca="1">IFERROR(__xludf.DUMMYFUNCTION("""COMPUTED_VALUE"""),42807.6666666666)</f>
        <v>42807.666666666599</v>
      </c>
      <c r="B553" s="1">
        <f ca="1">IFERROR(__xludf.DUMMYFUNCTION("""COMPUTED_VALUE"""),16.29)</f>
        <v>16.29</v>
      </c>
      <c r="C553" s="1">
        <f ca="1">IFERROR(__xludf.DUMMYFUNCTION("""COMPUTED_VALUE"""),16.46)</f>
        <v>16.46</v>
      </c>
      <c r="D553" s="1">
        <f ca="1">IFERROR(__xludf.DUMMYFUNCTION("""COMPUTED_VALUE"""),16.19)</f>
        <v>16.190000000000001</v>
      </c>
      <c r="E553" s="1">
        <f ca="1">IFERROR(__xludf.DUMMYFUNCTION("""COMPUTED_VALUE"""),16.41)</f>
        <v>16.41</v>
      </c>
      <c r="F553" s="1">
        <f ca="1">IFERROR(__xludf.DUMMYFUNCTION("""COMPUTED_VALUE"""),3022625)</f>
        <v>3022625</v>
      </c>
    </row>
    <row r="554" spans="1:6" x14ac:dyDescent="0.35">
      <c r="A554" s="2">
        <f ca="1">IFERROR(__xludf.DUMMYFUNCTION("""COMPUTED_VALUE"""),42808.6666666666)</f>
        <v>42808.666666666599</v>
      </c>
      <c r="B554" s="1">
        <f ca="1">IFERROR(__xludf.DUMMYFUNCTION("""COMPUTED_VALUE"""),16.41)</f>
        <v>16.41</v>
      </c>
      <c r="C554" s="1">
        <f ca="1">IFERROR(__xludf.DUMMYFUNCTION("""COMPUTED_VALUE"""),17.21)</f>
        <v>17.21</v>
      </c>
      <c r="D554" s="1">
        <f ca="1">IFERROR(__xludf.DUMMYFUNCTION("""COMPUTED_VALUE"""),16.4)</f>
        <v>16.399999999999999</v>
      </c>
      <c r="E554" s="1">
        <f ca="1">IFERROR(__xludf.DUMMYFUNCTION("""COMPUTED_VALUE"""),17.2)</f>
        <v>17.2</v>
      </c>
      <c r="F554" s="1">
        <f ca="1">IFERROR(__xludf.DUMMYFUNCTION("""COMPUTED_VALUE"""),7598446)</f>
        <v>7598446</v>
      </c>
    </row>
    <row r="555" spans="1:6" x14ac:dyDescent="0.35">
      <c r="A555" s="2">
        <f ca="1">IFERROR(__xludf.DUMMYFUNCTION("""COMPUTED_VALUE"""),42809.6666666666)</f>
        <v>42809.666666666599</v>
      </c>
      <c r="B555" s="1">
        <f ca="1">IFERROR(__xludf.DUMMYFUNCTION("""COMPUTED_VALUE"""),17.13)</f>
        <v>17.13</v>
      </c>
      <c r="C555" s="1">
        <f ca="1">IFERROR(__xludf.DUMMYFUNCTION("""COMPUTED_VALUE"""),17.4)</f>
        <v>17.399999999999999</v>
      </c>
      <c r="D555" s="1">
        <f ca="1">IFERROR(__xludf.DUMMYFUNCTION("""COMPUTED_VALUE"""),16.95)</f>
        <v>16.95</v>
      </c>
      <c r="E555" s="1">
        <f ca="1">IFERROR(__xludf.DUMMYFUNCTION("""COMPUTED_VALUE"""),17.05)</f>
        <v>17.05</v>
      </c>
      <c r="F555" s="1">
        <f ca="1">IFERROR(__xludf.DUMMYFUNCTION("""COMPUTED_VALUE"""),5330806)</f>
        <v>5330806</v>
      </c>
    </row>
    <row r="556" spans="1:6" x14ac:dyDescent="0.35">
      <c r="A556" s="2">
        <f ca="1">IFERROR(__xludf.DUMMYFUNCTION("""COMPUTED_VALUE"""),42810.6666666666)</f>
        <v>42810.666666666599</v>
      </c>
      <c r="B556" s="1">
        <f ca="1">IFERROR(__xludf.DUMMYFUNCTION("""COMPUTED_VALUE"""),17.49)</f>
        <v>17.489999999999998</v>
      </c>
      <c r="C556" s="1">
        <f ca="1">IFERROR(__xludf.DUMMYFUNCTION("""COMPUTED_VALUE"""),17.72)</f>
        <v>17.72</v>
      </c>
      <c r="D556" s="1">
        <f ca="1">IFERROR(__xludf.DUMMYFUNCTION("""COMPUTED_VALUE"""),17.27)</f>
        <v>17.27</v>
      </c>
      <c r="E556" s="1">
        <f ca="1">IFERROR(__xludf.DUMMYFUNCTION("""COMPUTED_VALUE"""),17.47)</f>
        <v>17.47</v>
      </c>
      <c r="F556" s="1">
        <f ca="1">IFERROR(__xludf.DUMMYFUNCTION("""COMPUTED_VALUE"""),7132153)</f>
        <v>7132153</v>
      </c>
    </row>
    <row r="557" spans="1:6" x14ac:dyDescent="0.35">
      <c r="A557" s="2">
        <f ca="1">IFERROR(__xludf.DUMMYFUNCTION("""COMPUTED_VALUE"""),42811.6666666666)</f>
        <v>42811.666666666599</v>
      </c>
      <c r="B557" s="1">
        <f ca="1">IFERROR(__xludf.DUMMYFUNCTION("""COMPUTED_VALUE"""),17.6)</f>
        <v>17.600000000000001</v>
      </c>
      <c r="C557" s="1">
        <f ca="1">IFERROR(__xludf.DUMMYFUNCTION("""COMPUTED_VALUE"""),17.69)</f>
        <v>17.690000000000001</v>
      </c>
      <c r="D557" s="1">
        <f ca="1">IFERROR(__xludf.DUMMYFUNCTION("""COMPUTED_VALUE"""),17.41)</f>
        <v>17.41</v>
      </c>
      <c r="E557" s="1">
        <f ca="1">IFERROR(__xludf.DUMMYFUNCTION("""COMPUTED_VALUE"""),17.43)</f>
        <v>17.43</v>
      </c>
      <c r="F557" s="1">
        <f ca="1">IFERROR(__xludf.DUMMYFUNCTION("""COMPUTED_VALUE"""),6497496)</f>
        <v>6497496</v>
      </c>
    </row>
    <row r="558" spans="1:6" x14ac:dyDescent="0.35">
      <c r="A558" s="2">
        <f ca="1">IFERROR(__xludf.DUMMYFUNCTION("""COMPUTED_VALUE"""),42814.6666666666)</f>
        <v>42814.666666666599</v>
      </c>
      <c r="B558" s="1">
        <f ca="1">IFERROR(__xludf.DUMMYFUNCTION("""COMPUTED_VALUE"""),17.37)</f>
        <v>17.37</v>
      </c>
      <c r="C558" s="1">
        <f ca="1">IFERROR(__xludf.DUMMYFUNCTION("""COMPUTED_VALUE"""),17.64)</f>
        <v>17.64</v>
      </c>
      <c r="D558" s="1">
        <f ca="1">IFERROR(__xludf.DUMMYFUNCTION("""COMPUTED_VALUE"""),17.25)</f>
        <v>17.25</v>
      </c>
      <c r="E558" s="1">
        <f ca="1">IFERROR(__xludf.DUMMYFUNCTION("""COMPUTED_VALUE"""),17.46)</f>
        <v>17.46</v>
      </c>
      <c r="F558" s="1">
        <f ca="1">IFERROR(__xludf.DUMMYFUNCTION("""COMPUTED_VALUE"""),3614294)</f>
        <v>3614294</v>
      </c>
    </row>
    <row r="559" spans="1:6" x14ac:dyDescent="0.35">
      <c r="A559" s="2">
        <f ca="1">IFERROR(__xludf.DUMMYFUNCTION("""COMPUTED_VALUE"""),42815.6666666666)</f>
        <v>42815.666666666599</v>
      </c>
      <c r="B559" s="1">
        <f ca="1">IFERROR(__xludf.DUMMYFUNCTION("""COMPUTED_VALUE"""),17.52)</f>
        <v>17.52</v>
      </c>
      <c r="C559" s="1">
        <f ca="1">IFERROR(__xludf.DUMMYFUNCTION("""COMPUTED_VALUE"""),17.65)</f>
        <v>17.649999999999999</v>
      </c>
      <c r="D559" s="1">
        <f ca="1">IFERROR(__xludf.DUMMYFUNCTION("""COMPUTED_VALUE"""),16.68)</f>
        <v>16.68</v>
      </c>
      <c r="E559" s="1">
        <f ca="1">IFERROR(__xludf.DUMMYFUNCTION("""COMPUTED_VALUE"""),16.71)</f>
        <v>16.71</v>
      </c>
      <c r="F559" s="1">
        <f ca="1">IFERROR(__xludf.DUMMYFUNCTION("""COMPUTED_VALUE"""),6908554)</f>
        <v>6908554</v>
      </c>
    </row>
    <row r="560" spans="1:6" x14ac:dyDescent="0.35">
      <c r="A560" s="2">
        <f ca="1">IFERROR(__xludf.DUMMYFUNCTION("""COMPUTED_VALUE"""),42816.6666666666)</f>
        <v>42816.666666666599</v>
      </c>
      <c r="B560" s="1">
        <f ca="1">IFERROR(__xludf.DUMMYFUNCTION("""COMPUTED_VALUE"""),16.77)</f>
        <v>16.77</v>
      </c>
      <c r="C560" s="1">
        <f ca="1">IFERROR(__xludf.DUMMYFUNCTION("""COMPUTED_VALUE"""),17)</f>
        <v>17</v>
      </c>
      <c r="D560" s="1">
        <f ca="1">IFERROR(__xludf.DUMMYFUNCTION("""COMPUTED_VALUE"""),16.7)</f>
        <v>16.7</v>
      </c>
      <c r="E560" s="1">
        <f ca="1">IFERROR(__xludf.DUMMYFUNCTION("""COMPUTED_VALUE"""),17)</f>
        <v>17</v>
      </c>
      <c r="F560" s="1">
        <f ca="1">IFERROR(__xludf.DUMMYFUNCTION("""COMPUTED_VALUE"""),4059297)</f>
        <v>4059297</v>
      </c>
    </row>
    <row r="561" spans="1:6" x14ac:dyDescent="0.35">
      <c r="A561" s="2">
        <f ca="1">IFERROR(__xludf.DUMMYFUNCTION("""COMPUTED_VALUE"""),42817.6666666666)</f>
        <v>42817.666666666599</v>
      </c>
      <c r="B561" s="1">
        <f ca="1">IFERROR(__xludf.DUMMYFUNCTION("""COMPUTED_VALUE"""),17.03)</f>
        <v>17.03</v>
      </c>
      <c r="C561" s="1">
        <f ca="1">IFERROR(__xludf.DUMMYFUNCTION("""COMPUTED_VALUE"""),17.18)</f>
        <v>17.18</v>
      </c>
      <c r="D561" s="1">
        <f ca="1">IFERROR(__xludf.DUMMYFUNCTION("""COMPUTED_VALUE"""),16.89)</f>
        <v>16.89</v>
      </c>
      <c r="E561" s="1">
        <f ca="1">IFERROR(__xludf.DUMMYFUNCTION("""COMPUTED_VALUE"""),16.99)</f>
        <v>16.989999999999998</v>
      </c>
      <c r="F561" s="1">
        <f ca="1">IFERROR(__xludf.DUMMYFUNCTION("""COMPUTED_VALUE"""),3320245)</f>
        <v>3320245</v>
      </c>
    </row>
    <row r="562" spans="1:6" x14ac:dyDescent="0.35">
      <c r="A562" s="2">
        <f ca="1">IFERROR(__xludf.DUMMYFUNCTION("""COMPUTED_VALUE"""),42818.6666666666)</f>
        <v>42818.666666666599</v>
      </c>
      <c r="B562" s="1">
        <f ca="1">IFERROR(__xludf.DUMMYFUNCTION("""COMPUTED_VALUE"""),17.05)</f>
        <v>17.05</v>
      </c>
      <c r="C562" s="1">
        <f ca="1">IFERROR(__xludf.DUMMYFUNCTION("""COMPUTED_VALUE"""),17.59)</f>
        <v>17.59</v>
      </c>
      <c r="D562" s="1">
        <f ca="1">IFERROR(__xludf.DUMMYFUNCTION("""COMPUTED_VALUE"""),17)</f>
        <v>17</v>
      </c>
      <c r="E562" s="1">
        <f ca="1">IFERROR(__xludf.DUMMYFUNCTION("""COMPUTED_VALUE"""),17.54)</f>
        <v>17.54</v>
      </c>
      <c r="F562" s="1">
        <f ca="1">IFERROR(__xludf.DUMMYFUNCTION("""COMPUTED_VALUE"""),5647253)</f>
        <v>5647253</v>
      </c>
    </row>
    <row r="563" spans="1:6" x14ac:dyDescent="0.35">
      <c r="A563" s="2">
        <f ca="1">IFERROR(__xludf.DUMMYFUNCTION("""COMPUTED_VALUE"""),42821.6666666666)</f>
        <v>42821.666666666599</v>
      </c>
      <c r="B563" s="1">
        <f ca="1">IFERROR(__xludf.DUMMYFUNCTION("""COMPUTED_VALUE"""),17.37)</f>
        <v>17.37</v>
      </c>
      <c r="C563" s="1">
        <f ca="1">IFERROR(__xludf.DUMMYFUNCTION("""COMPUTED_VALUE"""),18.04)</f>
        <v>18.04</v>
      </c>
      <c r="D563" s="1">
        <f ca="1">IFERROR(__xludf.DUMMYFUNCTION("""COMPUTED_VALUE"""),17.32)</f>
        <v>17.32</v>
      </c>
      <c r="E563" s="1">
        <f ca="1">IFERROR(__xludf.DUMMYFUNCTION("""COMPUTED_VALUE"""),18.01)</f>
        <v>18.010000000000002</v>
      </c>
      <c r="F563" s="1">
        <f ca="1">IFERROR(__xludf.DUMMYFUNCTION("""COMPUTED_VALUE"""),6230795)</f>
        <v>6230795</v>
      </c>
    </row>
    <row r="564" spans="1:6" x14ac:dyDescent="0.35">
      <c r="A564" s="2">
        <f ca="1">IFERROR(__xludf.DUMMYFUNCTION("""COMPUTED_VALUE"""),42822.6666666666)</f>
        <v>42822.666666666599</v>
      </c>
      <c r="B564" s="1">
        <f ca="1">IFERROR(__xludf.DUMMYFUNCTION("""COMPUTED_VALUE"""),18.47)</f>
        <v>18.47</v>
      </c>
      <c r="C564" s="1">
        <f ca="1">IFERROR(__xludf.DUMMYFUNCTION("""COMPUTED_VALUE"""),18.71)</f>
        <v>18.71</v>
      </c>
      <c r="D564" s="1">
        <f ca="1">IFERROR(__xludf.DUMMYFUNCTION("""COMPUTED_VALUE"""),18.33)</f>
        <v>18.329999999999998</v>
      </c>
      <c r="E564" s="1">
        <f ca="1">IFERROR(__xludf.DUMMYFUNCTION("""COMPUTED_VALUE"""),18.5)</f>
        <v>18.5</v>
      </c>
      <c r="F564" s="1">
        <f ca="1">IFERROR(__xludf.DUMMYFUNCTION("""COMPUTED_VALUE"""),7987604)</f>
        <v>7987604</v>
      </c>
    </row>
    <row r="565" spans="1:6" x14ac:dyDescent="0.35">
      <c r="A565" s="2">
        <f ca="1">IFERROR(__xludf.DUMMYFUNCTION("""COMPUTED_VALUE"""),42823.6666666666)</f>
        <v>42823.666666666599</v>
      </c>
      <c r="B565" s="1">
        <f ca="1">IFERROR(__xludf.DUMMYFUNCTION("""COMPUTED_VALUE"""),18.56)</f>
        <v>18.559999999999999</v>
      </c>
      <c r="C565" s="1">
        <f ca="1">IFERROR(__xludf.DUMMYFUNCTION("""COMPUTED_VALUE"""),18.64)</f>
        <v>18.64</v>
      </c>
      <c r="D565" s="1">
        <f ca="1">IFERROR(__xludf.DUMMYFUNCTION("""COMPUTED_VALUE"""),18.37)</f>
        <v>18.37</v>
      </c>
      <c r="E565" s="1">
        <f ca="1">IFERROR(__xludf.DUMMYFUNCTION("""COMPUTED_VALUE"""),18.49)</f>
        <v>18.489999999999998</v>
      </c>
      <c r="F565" s="1">
        <f ca="1">IFERROR(__xludf.DUMMYFUNCTION("""COMPUTED_VALUE"""),3676157)</f>
        <v>3676157</v>
      </c>
    </row>
    <row r="566" spans="1:6" x14ac:dyDescent="0.35">
      <c r="A566" s="2">
        <f ca="1">IFERROR(__xludf.DUMMYFUNCTION("""COMPUTED_VALUE"""),42824.6666666666)</f>
        <v>42824.666666666599</v>
      </c>
      <c r="B566" s="1">
        <f ca="1">IFERROR(__xludf.DUMMYFUNCTION("""COMPUTED_VALUE"""),18.54)</f>
        <v>18.54</v>
      </c>
      <c r="C566" s="1">
        <f ca="1">IFERROR(__xludf.DUMMYFUNCTION("""COMPUTED_VALUE"""),18.8)</f>
        <v>18.8</v>
      </c>
      <c r="D566" s="1">
        <f ca="1">IFERROR(__xludf.DUMMYFUNCTION("""COMPUTED_VALUE"""),18.48)</f>
        <v>18.48</v>
      </c>
      <c r="E566" s="1">
        <f ca="1">IFERROR(__xludf.DUMMYFUNCTION("""COMPUTED_VALUE"""),18.53)</f>
        <v>18.53</v>
      </c>
      <c r="F566" s="1">
        <f ca="1">IFERROR(__xludf.DUMMYFUNCTION("""COMPUTED_VALUE"""),4148426)</f>
        <v>4148426</v>
      </c>
    </row>
    <row r="567" spans="1:6" x14ac:dyDescent="0.35">
      <c r="A567" s="2">
        <f ca="1">IFERROR(__xludf.DUMMYFUNCTION("""COMPUTED_VALUE"""),42825.6666666666)</f>
        <v>42825.666666666599</v>
      </c>
      <c r="B567" s="1">
        <f ca="1">IFERROR(__xludf.DUMMYFUNCTION("""COMPUTED_VALUE"""),18.58)</f>
        <v>18.579999999999998</v>
      </c>
      <c r="C567" s="1">
        <f ca="1">IFERROR(__xludf.DUMMYFUNCTION("""COMPUTED_VALUE"""),18.65)</f>
        <v>18.649999999999999</v>
      </c>
      <c r="D567" s="1">
        <f ca="1">IFERROR(__xludf.DUMMYFUNCTION("""COMPUTED_VALUE"""),18.42)</f>
        <v>18.420000000000002</v>
      </c>
      <c r="E567" s="1">
        <f ca="1">IFERROR(__xludf.DUMMYFUNCTION("""COMPUTED_VALUE"""),18.55)</f>
        <v>18.55</v>
      </c>
      <c r="F567" s="1">
        <f ca="1">IFERROR(__xludf.DUMMYFUNCTION("""COMPUTED_VALUE"""),3294640)</f>
        <v>3294640</v>
      </c>
    </row>
    <row r="568" spans="1:6" x14ac:dyDescent="0.35">
      <c r="A568" s="2">
        <f ca="1">IFERROR(__xludf.DUMMYFUNCTION("""COMPUTED_VALUE"""),42828.6666666666)</f>
        <v>42828.666666666599</v>
      </c>
      <c r="B568" s="1">
        <f ca="1">IFERROR(__xludf.DUMMYFUNCTION("""COMPUTED_VALUE"""),19.13)</f>
        <v>19.13</v>
      </c>
      <c r="C568" s="1">
        <f ca="1">IFERROR(__xludf.DUMMYFUNCTION("""COMPUTED_VALUE"""),19.93)</f>
        <v>19.93</v>
      </c>
      <c r="D568" s="1">
        <f ca="1">IFERROR(__xludf.DUMMYFUNCTION("""COMPUTED_VALUE"""),18.97)</f>
        <v>18.97</v>
      </c>
      <c r="E568" s="1">
        <f ca="1">IFERROR(__xludf.DUMMYFUNCTION("""COMPUTED_VALUE"""),19.9)</f>
        <v>19.899999999999999</v>
      </c>
      <c r="F568" s="1">
        <f ca="1">IFERROR(__xludf.DUMMYFUNCTION("""COMPUTED_VALUE"""),13888618)</f>
        <v>13888618</v>
      </c>
    </row>
    <row r="569" spans="1:6" x14ac:dyDescent="0.35">
      <c r="A569" s="2">
        <f ca="1">IFERROR(__xludf.DUMMYFUNCTION("""COMPUTED_VALUE"""),42829.6666666666)</f>
        <v>42829.666666666599</v>
      </c>
      <c r="B569" s="1">
        <f ca="1">IFERROR(__xludf.DUMMYFUNCTION("""COMPUTED_VALUE"""),19.79)</f>
        <v>19.79</v>
      </c>
      <c r="C569" s="1">
        <f ca="1">IFERROR(__xludf.DUMMYFUNCTION("""COMPUTED_VALUE"""),20.32)</f>
        <v>20.32</v>
      </c>
      <c r="D569" s="1">
        <f ca="1">IFERROR(__xludf.DUMMYFUNCTION("""COMPUTED_VALUE"""),19.64)</f>
        <v>19.64</v>
      </c>
      <c r="E569" s="1">
        <f ca="1">IFERROR(__xludf.DUMMYFUNCTION("""COMPUTED_VALUE"""),20.25)</f>
        <v>20.25</v>
      </c>
      <c r="F569" s="1">
        <f ca="1">IFERROR(__xludf.DUMMYFUNCTION("""COMPUTED_VALUE"""),10134556)</f>
        <v>10134556</v>
      </c>
    </row>
    <row r="570" spans="1:6" x14ac:dyDescent="0.35">
      <c r="A570" s="2">
        <f ca="1">IFERROR(__xludf.DUMMYFUNCTION("""COMPUTED_VALUE"""),42830.6666666666)</f>
        <v>42830.666666666599</v>
      </c>
      <c r="B570" s="1">
        <f ca="1">IFERROR(__xludf.DUMMYFUNCTION("""COMPUTED_VALUE"""),20.14)</f>
        <v>20.14</v>
      </c>
      <c r="C570" s="1">
        <f ca="1">IFERROR(__xludf.DUMMYFUNCTION("""COMPUTED_VALUE"""),20.33)</f>
        <v>20.329999999999998</v>
      </c>
      <c r="D570" s="1">
        <f ca="1">IFERROR(__xludf.DUMMYFUNCTION("""COMPUTED_VALUE"""),19.61)</f>
        <v>19.61</v>
      </c>
      <c r="E570" s="1">
        <f ca="1">IFERROR(__xludf.DUMMYFUNCTION("""COMPUTED_VALUE"""),19.67)</f>
        <v>19.670000000000002</v>
      </c>
      <c r="F570" s="1">
        <f ca="1">IFERROR(__xludf.DUMMYFUNCTION("""COMPUTED_VALUE"""),7880938)</f>
        <v>7880938</v>
      </c>
    </row>
    <row r="571" spans="1:6" x14ac:dyDescent="0.35">
      <c r="A571" s="2">
        <f ca="1">IFERROR(__xludf.DUMMYFUNCTION("""COMPUTED_VALUE"""),42831.6666666666)</f>
        <v>42831.666666666599</v>
      </c>
      <c r="B571" s="1">
        <f ca="1">IFERROR(__xludf.DUMMYFUNCTION("""COMPUTED_VALUE"""),19.79)</f>
        <v>19.79</v>
      </c>
      <c r="C571" s="1">
        <f ca="1">IFERROR(__xludf.DUMMYFUNCTION("""COMPUTED_VALUE"""),20.13)</f>
        <v>20.13</v>
      </c>
      <c r="D571" s="1">
        <f ca="1">IFERROR(__xludf.DUMMYFUNCTION("""COMPUTED_VALUE"""),19.61)</f>
        <v>19.61</v>
      </c>
      <c r="E571" s="1">
        <f ca="1">IFERROR(__xludf.DUMMYFUNCTION("""COMPUTED_VALUE"""),19.91)</f>
        <v>19.91</v>
      </c>
      <c r="F571" s="1">
        <f ca="1">IFERROR(__xludf.DUMMYFUNCTION("""COMPUTED_VALUE"""),5520588)</f>
        <v>5520588</v>
      </c>
    </row>
    <row r="572" spans="1:6" x14ac:dyDescent="0.35">
      <c r="A572" s="2">
        <f ca="1">IFERROR(__xludf.DUMMYFUNCTION("""COMPUTED_VALUE"""),42832.6666666666)</f>
        <v>42832.666666666599</v>
      </c>
      <c r="B572" s="1">
        <f ca="1">IFERROR(__xludf.DUMMYFUNCTION("""COMPUTED_VALUE"""),19.83)</f>
        <v>19.829999999999998</v>
      </c>
      <c r="C572" s="1">
        <f ca="1">IFERROR(__xludf.DUMMYFUNCTION("""COMPUTED_VALUE"""),20.18)</f>
        <v>20.18</v>
      </c>
      <c r="D572" s="1">
        <f ca="1">IFERROR(__xludf.DUMMYFUNCTION("""COMPUTED_VALUE"""),19.81)</f>
        <v>19.809999999999999</v>
      </c>
      <c r="E572" s="1">
        <f ca="1">IFERROR(__xludf.DUMMYFUNCTION("""COMPUTED_VALUE"""),20.17)</f>
        <v>20.170000000000002</v>
      </c>
      <c r="F572" s="1">
        <f ca="1">IFERROR(__xludf.DUMMYFUNCTION("""COMPUTED_VALUE"""),4579613)</f>
        <v>4579613</v>
      </c>
    </row>
    <row r="573" spans="1:6" x14ac:dyDescent="0.35">
      <c r="A573" s="2">
        <f ca="1">IFERROR(__xludf.DUMMYFUNCTION("""COMPUTED_VALUE"""),42835.6666666666)</f>
        <v>42835.666666666599</v>
      </c>
      <c r="B573" s="1">
        <f ca="1">IFERROR(__xludf.DUMMYFUNCTION("""COMPUTED_VALUE"""),20.61)</f>
        <v>20.61</v>
      </c>
      <c r="C573" s="1">
        <f ca="1">IFERROR(__xludf.DUMMYFUNCTION("""COMPUTED_VALUE"""),20.92)</f>
        <v>20.92</v>
      </c>
      <c r="D573" s="1">
        <f ca="1">IFERROR(__xludf.DUMMYFUNCTION("""COMPUTED_VALUE"""),20.58)</f>
        <v>20.58</v>
      </c>
      <c r="E573" s="1">
        <f ca="1">IFERROR(__xludf.DUMMYFUNCTION("""COMPUTED_VALUE"""),20.83)</f>
        <v>20.83</v>
      </c>
      <c r="F573" s="1">
        <f ca="1">IFERROR(__xludf.DUMMYFUNCTION("""COMPUTED_VALUE"""),7664458)</f>
        <v>7664458</v>
      </c>
    </row>
    <row r="574" spans="1:6" x14ac:dyDescent="0.35">
      <c r="A574" s="2">
        <f ca="1">IFERROR(__xludf.DUMMYFUNCTION("""COMPUTED_VALUE"""),42836.6666666666)</f>
        <v>42836.666666666599</v>
      </c>
      <c r="B574" s="1">
        <f ca="1">IFERROR(__xludf.DUMMYFUNCTION("""COMPUTED_VALUE"""),20.89)</f>
        <v>20.89</v>
      </c>
      <c r="C574" s="1">
        <f ca="1">IFERROR(__xludf.DUMMYFUNCTION("""COMPUTED_VALUE"""),20.9)</f>
        <v>20.9</v>
      </c>
      <c r="D574" s="1">
        <f ca="1">IFERROR(__xludf.DUMMYFUNCTION("""COMPUTED_VALUE"""),20.37)</f>
        <v>20.37</v>
      </c>
      <c r="E574" s="1">
        <f ca="1">IFERROR(__xludf.DUMMYFUNCTION("""COMPUTED_VALUE"""),20.58)</f>
        <v>20.58</v>
      </c>
      <c r="F574" s="1">
        <f ca="1">IFERROR(__xludf.DUMMYFUNCTION("""COMPUTED_VALUE"""),5724577)</f>
        <v>5724577</v>
      </c>
    </row>
    <row r="575" spans="1:6" x14ac:dyDescent="0.35">
      <c r="A575" s="2">
        <f ca="1">IFERROR(__xludf.DUMMYFUNCTION("""COMPUTED_VALUE"""),42837.6666666666)</f>
        <v>42837.666666666599</v>
      </c>
      <c r="B575" s="1">
        <f ca="1">IFERROR(__xludf.DUMMYFUNCTION("""COMPUTED_VALUE"""),20.42)</f>
        <v>20.420000000000002</v>
      </c>
      <c r="C575" s="1">
        <f ca="1">IFERROR(__xludf.DUMMYFUNCTION("""COMPUTED_VALUE"""),20.56)</f>
        <v>20.56</v>
      </c>
      <c r="D575" s="1">
        <f ca="1">IFERROR(__xludf.DUMMYFUNCTION("""COMPUTED_VALUE"""),19.75)</f>
        <v>19.75</v>
      </c>
      <c r="E575" s="1">
        <f ca="1">IFERROR(__xludf.DUMMYFUNCTION("""COMPUTED_VALUE"""),19.79)</f>
        <v>19.79</v>
      </c>
      <c r="F575" s="1">
        <f ca="1">IFERROR(__xludf.DUMMYFUNCTION("""COMPUTED_VALUE"""),6050682)</f>
        <v>6050682</v>
      </c>
    </row>
    <row r="576" spans="1:6" x14ac:dyDescent="0.35">
      <c r="A576" s="2">
        <f ca="1">IFERROR(__xludf.DUMMYFUNCTION("""COMPUTED_VALUE"""),42838.6666666666)</f>
        <v>42838.666666666599</v>
      </c>
      <c r="B576" s="1">
        <f ca="1">IFERROR(__xludf.DUMMYFUNCTION("""COMPUTED_VALUE"""),19.78)</f>
        <v>19.78</v>
      </c>
      <c r="C576" s="1">
        <f ca="1">IFERROR(__xludf.DUMMYFUNCTION("""COMPUTED_VALUE"""),20.49)</f>
        <v>20.49</v>
      </c>
      <c r="D576" s="1">
        <f ca="1">IFERROR(__xludf.DUMMYFUNCTION("""COMPUTED_VALUE"""),19.69)</f>
        <v>19.690000000000001</v>
      </c>
      <c r="E576" s="1">
        <f ca="1">IFERROR(__xludf.DUMMYFUNCTION("""COMPUTED_VALUE"""),20.27)</f>
        <v>20.27</v>
      </c>
      <c r="F576" s="1">
        <f ca="1">IFERROR(__xludf.DUMMYFUNCTION("""COMPUTED_VALUE"""),9284634)</f>
        <v>9284634</v>
      </c>
    </row>
    <row r="577" spans="1:6" x14ac:dyDescent="0.35">
      <c r="A577" s="2">
        <f ca="1">IFERROR(__xludf.DUMMYFUNCTION("""COMPUTED_VALUE"""),42842.6666666666)</f>
        <v>42842.666666666599</v>
      </c>
      <c r="B577" s="1">
        <f ca="1">IFERROR(__xludf.DUMMYFUNCTION("""COMPUTED_VALUE"""),20.18)</f>
        <v>20.18</v>
      </c>
      <c r="C577" s="1">
        <f ca="1">IFERROR(__xludf.DUMMYFUNCTION("""COMPUTED_VALUE"""),20.27)</f>
        <v>20.27</v>
      </c>
      <c r="D577" s="1">
        <f ca="1">IFERROR(__xludf.DUMMYFUNCTION("""COMPUTED_VALUE"""),19.91)</f>
        <v>19.91</v>
      </c>
      <c r="E577" s="1">
        <f ca="1">IFERROR(__xludf.DUMMYFUNCTION("""COMPUTED_VALUE"""),20.1)</f>
        <v>20.100000000000001</v>
      </c>
      <c r="F577" s="1">
        <f ca="1">IFERROR(__xludf.DUMMYFUNCTION("""COMPUTED_VALUE"""),4138736)</f>
        <v>4138736</v>
      </c>
    </row>
    <row r="578" spans="1:6" x14ac:dyDescent="0.35">
      <c r="A578" s="2">
        <f ca="1">IFERROR(__xludf.DUMMYFUNCTION("""COMPUTED_VALUE"""),42843.6666666666)</f>
        <v>42843.666666666599</v>
      </c>
      <c r="B578" s="1">
        <f ca="1">IFERROR(__xludf.DUMMYFUNCTION("""COMPUTED_VALUE"""),19.98)</f>
        <v>19.98</v>
      </c>
      <c r="C578" s="1">
        <f ca="1">IFERROR(__xludf.DUMMYFUNCTION("""COMPUTED_VALUE"""),20.06)</f>
        <v>20.059999999999999</v>
      </c>
      <c r="D578" s="1">
        <f ca="1">IFERROR(__xludf.DUMMYFUNCTION("""COMPUTED_VALUE"""),19.86)</f>
        <v>19.86</v>
      </c>
      <c r="E578" s="1">
        <f ca="1">IFERROR(__xludf.DUMMYFUNCTION("""COMPUTED_VALUE"""),20.02)</f>
        <v>20.02</v>
      </c>
      <c r="F578" s="1">
        <f ca="1">IFERROR(__xludf.DUMMYFUNCTION("""COMPUTED_VALUE"""),3035698)</f>
        <v>3035698</v>
      </c>
    </row>
    <row r="579" spans="1:6" x14ac:dyDescent="0.35">
      <c r="A579" s="2">
        <f ca="1">IFERROR(__xludf.DUMMYFUNCTION("""COMPUTED_VALUE"""),42844.6666666666)</f>
        <v>42844.666666666599</v>
      </c>
      <c r="B579" s="1">
        <f ca="1">IFERROR(__xludf.DUMMYFUNCTION("""COMPUTED_VALUE"""),20.16)</f>
        <v>20.16</v>
      </c>
      <c r="C579" s="1">
        <f ca="1">IFERROR(__xludf.DUMMYFUNCTION("""COMPUTED_VALUE"""),20.44)</f>
        <v>20.440000000000001</v>
      </c>
      <c r="D579" s="1">
        <f ca="1">IFERROR(__xludf.DUMMYFUNCTION("""COMPUTED_VALUE"""),20.14)</f>
        <v>20.14</v>
      </c>
      <c r="E579" s="1">
        <f ca="1">IFERROR(__xludf.DUMMYFUNCTION("""COMPUTED_VALUE"""),20.37)</f>
        <v>20.37</v>
      </c>
      <c r="F579" s="1">
        <f ca="1">IFERROR(__xludf.DUMMYFUNCTION("""COMPUTED_VALUE"""),3898024)</f>
        <v>3898024</v>
      </c>
    </row>
    <row r="580" spans="1:6" x14ac:dyDescent="0.35">
      <c r="A580" s="2">
        <f ca="1">IFERROR(__xludf.DUMMYFUNCTION("""COMPUTED_VALUE"""),42845.6666666666)</f>
        <v>42845.666666666599</v>
      </c>
      <c r="B580" s="1">
        <f ca="1">IFERROR(__xludf.DUMMYFUNCTION("""COMPUTED_VALUE"""),20.43)</f>
        <v>20.43</v>
      </c>
      <c r="C580" s="1">
        <f ca="1">IFERROR(__xludf.DUMMYFUNCTION("""COMPUTED_VALUE"""),20.61)</f>
        <v>20.61</v>
      </c>
      <c r="D580" s="1">
        <f ca="1">IFERROR(__xludf.DUMMYFUNCTION("""COMPUTED_VALUE"""),20.02)</f>
        <v>20.02</v>
      </c>
      <c r="E580" s="1">
        <f ca="1">IFERROR(__xludf.DUMMYFUNCTION("""COMPUTED_VALUE"""),20.17)</f>
        <v>20.170000000000002</v>
      </c>
      <c r="F580" s="1">
        <f ca="1">IFERROR(__xludf.DUMMYFUNCTION("""COMPUTED_VALUE"""),6149352)</f>
        <v>6149352</v>
      </c>
    </row>
    <row r="581" spans="1:6" x14ac:dyDescent="0.35">
      <c r="A581" s="2">
        <f ca="1">IFERROR(__xludf.DUMMYFUNCTION("""COMPUTED_VALUE"""),42846.6666666666)</f>
        <v>42846.666666666599</v>
      </c>
      <c r="B581" s="1">
        <f ca="1">IFERROR(__xludf.DUMMYFUNCTION("""COMPUTED_VALUE"""),20.13)</f>
        <v>20.13</v>
      </c>
      <c r="C581" s="1">
        <f ca="1">IFERROR(__xludf.DUMMYFUNCTION("""COMPUTED_VALUE"""),20.43)</f>
        <v>20.43</v>
      </c>
      <c r="D581" s="1">
        <f ca="1">IFERROR(__xludf.DUMMYFUNCTION("""COMPUTED_VALUE"""),20.03)</f>
        <v>20.03</v>
      </c>
      <c r="E581" s="1">
        <f ca="1">IFERROR(__xludf.DUMMYFUNCTION("""COMPUTED_VALUE"""),20.37)</f>
        <v>20.37</v>
      </c>
      <c r="F581" s="1">
        <f ca="1">IFERROR(__xludf.DUMMYFUNCTION("""COMPUTED_VALUE"""),4509756)</f>
        <v>4509756</v>
      </c>
    </row>
    <row r="582" spans="1:6" x14ac:dyDescent="0.35">
      <c r="A582" s="2">
        <f ca="1">IFERROR(__xludf.DUMMYFUNCTION("""COMPUTED_VALUE"""),42849.6666666666)</f>
        <v>42849.666666666599</v>
      </c>
      <c r="B582" s="1">
        <f ca="1">IFERROR(__xludf.DUMMYFUNCTION("""COMPUTED_VALUE"""),20.61)</f>
        <v>20.61</v>
      </c>
      <c r="C582" s="1">
        <f ca="1">IFERROR(__xludf.DUMMYFUNCTION("""COMPUTED_VALUE"""),20.7)</f>
        <v>20.7</v>
      </c>
      <c r="D582" s="1">
        <f ca="1">IFERROR(__xludf.DUMMYFUNCTION("""COMPUTED_VALUE"""),20.4)</f>
        <v>20.399999999999999</v>
      </c>
      <c r="E582" s="1">
        <f ca="1">IFERROR(__xludf.DUMMYFUNCTION("""COMPUTED_VALUE"""),20.54)</f>
        <v>20.54</v>
      </c>
      <c r="F582" s="1">
        <f ca="1">IFERROR(__xludf.DUMMYFUNCTION("""COMPUTED_VALUE"""),5083505)</f>
        <v>5083505</v>
      </c>
    </row>
    <row r="583" spans="1:6" x14ac:dyDescent="0.35">
      <c r="A583" s="2">
        <f ca="1">IFERROR(__xludf.DUMMYFUNCTION("""COMPUTED_VALUE"""),42850.6666666666)</f>
        <v>42850.666666666599</v>
      </c>
      <c r="B583" s="1">
        <f ca="1">IFERROR(__xludf.DUMMYFUNCTION("""COMPUTED_VALUE"""),20.53)</f>
        <v>20.53</v>
      </c>
      <c r="C583" s="1">
        <f ca="1">IFERROR(__xludf.DUMMYFUNCTION("""COMPUTED_VALUE"""),20.93)</f>
        <v>20.93</v>
      </c>
      <c r="D583" s="1">
        <f ca="1">IFERROR(__xludf.DUMMYFUNCTION("""COMPUTED_VALUE"""),20.39)</f>
        <v>20.39</v>
      </c>
      <c r="E583" s="1">
        <f ca="1">IFERROR(__xludf.DUMMYFUNCTION("""COMPUTED_VALUE"""),20.92)</f>
        <v>20.92</v>
      </c>
      <c r="F583" s="1">
        <f ca="1">IFERROR(__xludf.DUMMYFUNCTION("""COMPUTED_VALUE"""),6737708)</f>
        <v>6737708</v>
      </c>
    </row>
    <row r="584" spans="1:6" x14ac:dyDescent="0.35">
      <c r="A584" s="2">
        <f ca="1">IFERROR(__xludf.DUMMYFUNCTION("""COMPUTED_VALUE"""),42851.6666666666)</f>
        <v>42851.666666666599</v>
      </c>
      <c r="B584" s="1">
        <f ca="1">IFERROR(__xludf.DUMMYFUNCTION("""COMPUTED_VALUE"""),20.82)</f>
        <v>20.82</v>
      </c>
      <c r="C584" s="1">
        <f ca="1">IFERROR(__xludf.DUMMYFUNCTION("""COMPUTED_VALUE"""),20.97)</f>
        <v>20.97</v>
      </c>
      <c r="D584" s="1">
        <f ca="1">IFERROR(__xludf.DUMMYFUNCTION("""COMPUTED_VALUE"""),20.6)</f>
        <v>20.6</v>
      </c>
      <c r="E584" s="1">
        <f ca="1">IFERROR(__xludf.DUMMYFUNCTION("""COMPUTED_VALUE"""),20.68)</f>
        <v>20.68</v>
      </c>
      <c r="F584" s="1">
        <f ca="1">IFERROR(__xludf.DUMMYFUNCTION("""COMPUTED_VALUE"""),4695044)</f>
        <v>4695044</v>
      </c>
    </row>
    <row r="585" spans="1:6" x14ac:dyDescent="0.35">
      <c r="A585" s="2">
        <f ca="1">IFERROR(__xludf.DUMMYFUNCTION("""COMPUTED_VALUE"""),42852.6666666666)</f>
        <v>42852.666666666599</v>
      </c>
      <c r="B585" s="1">
        <f ca="1">IFERROR(__xludf.DUMMYFUNCTION("""COMPUTED_VALUE"""),20.78)</f>
        <v>20.78</v>
      </c>
      <c r="C585" s="1">
        <f ca="1">IFERROR(__xludf.DUMMYFUNCTION("""COMPUTED_VALUE"""),20.87)</f>
        <v>20.87</v>
      </c>
      <c r="D585" s="1">
        <f ca="1">IFERROR(__xludf.DUMMYFUNCTION("""COMPUTED_VALUE"""),20.5)</f>
        <v>20.5</v>
      </c>
      <c r="E585" s="1">
        <f ca="1">IFERROR(__xludf.DUMMYFUNCTION("""COMPUTED_VALUE"""),20.58)</f>
        <v>20.58</v>
      </c>
      <c r="F585" s="1">
        <f ca="1">IFERROR(__xludf.DUMMYFUNCTION("""COMPUTED_VALUE"""),3468569)</f>
        <v>3468569</v>
      </c>
    </row>
    <row r="586" spans="1:6" x14ac:dyDescent="0.35">
      <c r="A586" s="2">
        <f ca="1">IFERROR(__xludf.DUMMYFUNCTION("""COMPUTED_VALUE"""),42853.6666666666)</f>
        <v>42853.666666666599</v>
      </c>
      <c r="B586" s="1">
        <f ca="1">IFERROR(__xludf.DUMMYFUNCTION("""COMPUTED_VALUE"""),20.66)</f>
        <v>20.66</v>
      </c>
      <c r="C586" s="1">
        <f ca="1">IFERROR(__xludf.DUMMYFUNCTION("""COMPUTED_VALUE"""),20.99)</f>
        <v>20.99</v>
      </c>
      <c r="D586" s="1">
        <f ca="1">IFERROR(__xludf.DUMMYFUNCTION("""COMPUTED_VALUE"""),20.53)</f>
        <v>20.53</v>
      </c>
      <c r="E586" s="1">
        <f ca="1">IFERROR(__xludf.DUMMYFUNCTION("""COMPUTED_VALUE"""),20.94)</f>
        <v>20.94</v>
      </c>
      <c r="F586" s="1">
        <f ca="1">IFERROR(__xludf.DUMMYFUNCTION("""COMPUTED_VALUE"""),4505478)</f>
        <v>4505478</v>
      </c>
    </row>
    <row r="587" spans="1:6" x14ac:dyDescent="0.35">
      <c r="A587" s="2">
        <f ca="1">IFERROR(__xludf.DUMMYFUNCTION("""COMPUTED_VALUE"""),42856.6666666666)</f>
        <v>42856.666666666599</v>
      </c>
      <c r="B587" s="1">
        <f ca="1">IFERROR(__xludf.DUMMYFUNCTION("""COMPUTED_VALUE"""),20.99)</f>
        <v>20.99</v>
      </c>
      <c r="C587" s="1">
        <f ca="1">IFERROR(__xludf.DUMMYFUNCTION("""COMPUTED_VALUE"""),21.82)</f>
        <v>21.82</v>
      </c>
      <c r="D587" s="1">
        <f ca="1">IFERROR(__xludf.DUMMYFUNCTION("""COMPUTED_VALUE"""),20.99)</f>
        <v>20.99</v>
      </c>
      <c r="E587" s="1">
        <f ca="1">IFERROR(__xludf.DUMMYFUNCTION("""COMPUTED_VALUE"""),21.52)</f>
        <v>21.52</v>
      </c>
      <c r="F587" s="1">
        <f ca="1">IFERROR(__xludf.DUMMYFUNCTION("""COMPUTED_VALUE"""),8829565)</f>
        <v>8829565</v>
      </c>
    </row>
    <row r="588" spans="1:6" x14ac:dyDescent="0.35">
      <c r="A588" s="2">
        <f ca="1">IFERROR(__xludf.DUMMYFUNCTION("""COMPUTED_VALUE"""),42857.6666666666)</f>
        <v>42857.666666666599</v>
      </c>
      <c r="B588" s="1">
        <f ca="1">IFERROR(__xludf.DUMMYFUNCTION("""COMPUTED_VALUE"""),21.6)</f>
        <v>21.6</v>
      </c>
      <c r="C588" s="1">
        <f ca="1">IFERROR(__xludf.DUMMYFUNCTION("""COMPUTED_VALUE"""),21.84)</f>
        <v>21.84</v>
      </c>
      <c r="D588" s="1">
        <f ca="1">IFERROR(__xludf.DUMMYFUNCTION("""COMPUTED_VALUE"""),21.1)</f>
        <v>21.1</v>
      </c>
      <c r="E588" s="1">
        <f ca="1">IFERROR(__xludf.DUMMYFUNCTION("""COMPUTED_VALUE"""),21.26)</f>
        <v>21.26</v>
      </c>
      <c r="F588" s="1">
        <f ca="1">IFERROR(__xludf.DUMMYFUNCTION("""COMPUTED_VALUE"""),5382777)</f>
        <v>5382777</v>
      </c>
    </row>
    <row r="589" spans="1:6" x14ac:dyDescent="0.35">
      <c r="A589" s="2">
        <f ca="1">IFERROR(__xludf.DUMMYFUNCTION("""COMPUTED_VALUE"""),42858.6666666666)</f>
        <v>42858.666666666599</v>
      </c>
      <c r="B589" s="1">
        <f ca="1">IFERROR(__xludf.DUMMYFUNCTION("""COMPUTED_VALUE"""),21.18)</f>
        <v>21.18</v>
      </c>
      <c r="C589" s="1">
        <f ca="1">IFERROR(__xludf.DUMMYFUNCTION("""COMPUTED_VALUE"""),21.44)</f>
        <v>21.44</v>
      </c>
      <c r="D589" s="1">
        <f ca="1">IFERROR(__xludf.DUMMYFUNCTION("""COMPUTED_VALUE"""),20.7)</f>
        <v>20.7</v>
      </c>
      <c r="E589" s="1">
        <f ca="1">IFERROR(__xludf.DUMMYFUNCTION("""COMPUTED_VALUE"""),20.73)</f>
        <v>20.73</v>
      </c>
      <c r="F589" s="1">
        <f ca="1">IFERROR(__xludf.DUMMYFUNCTION("""COMPUTED_VALUE"""),7133365)</f>
        <v>7133365</v>
      </c>
    </row>
    <row r="590" spans="1:6" x14ac:dyDescent="0.35">
      <c r="A590" s="2">
        <f ca="1">IFERROR(__xludf.DUMMYFUNCTION("""COMPUTED_VALUE"""),42859.6666666666)</f>
        <v>42859.666666666599</v>
      </c>
      <c r="B590" s="1">
        <f ca="1">IFERROR(__xludf.DUMMYFUNCTION("""COMPUTED_VALUE"""),20.5)</f>
        <v>20.5</v>
      </c>
      <c r="C590" s="1">
        <f ca="1">IFERROR(__xludf.DUMMYFUNCTION("""COMPUTED_VALUE"""),20.52)</f>
        <v>20.52</v>
      </c>
      <c r="D590" s="1">
        <f ca="1">IFERROR(__xludf.DUMMYFUNCTION("""COMPUTED_VALUE"""),19.38)</f>
        <v>19.38</v>
      </c>
      <c r="E590" s="1">
        <f ca="1">IFERROR(__xludf.DUMMYFUNCTION("""COMPUTED_VALUE"""),19.7)</f>
        <v>19.7</v>
      </c>
      <c r="F590" s="1">
        <f ca="1">IFERROR(__xludf.DUMMYFUNCTION("""COMPUTED_VALUE"""),14152008)</f>
        <v>14152008</v>
      </c>
    </row>
    <row r="591" spans="1:6" x14ac:dyDescent="0.35">
      <c r="A591" s="2">
        <f ca="1">IFERROR(__xludf.DUMMYFUNCTION("""COMPUTED_VALUE"""),42860.6666666666)</f>
        <v>42860.666666666599</v>
      </c>
      <c r="B591" s="1">
        <f ca="1">IFERROR(__xludf.DUMMYFUNCTION("""COMPUTED_VALUE"""),19.87)</f>
        <v>19.87</v>
      </c>
      <c r="C591" s="1">
        <f ca="1">IFERROR(__xludf.DUMMYFUNCTION("""COMPUTED_VALUE"""),20.57)</f>
        <v>20.57</v>
      </c>
      <c r="D591" s="1">
        <f ca="1">IFERROR(__xludf.DUMMYFUNCTION("""COMPUTED_VALUE"""),19.79)</f>
        <v>19.79</v>
      </c>
      <c r="E591" s="1">
        <f ca="1">IFERROR(__xludf.DUMMYFUNCTION("""COMPUTED_VALUE"""),20.56)</f>
        <v>20.56</v>
      </c>
      <c r="F591" s="1">
        <f ca="1">IFERROR(__xludf.DUMMYFUNCTION("""COMPUTED_VALUE"""),8177347)</f>
        <v>8177347</v>
      </c>
    </row>
    <row r="592" spans="1:6" x14ac:dyDescent="0.35">
      <c r="A592" s="2">
        <f ca="1">IFERROR(__xludf.DUMMYFUNCTION("""COMPUTED_VALUE"""),42863.6666666666)</f>
        <v>42863.666666666599</v>
      </c>
      <c r="B592" s="1">
        <f ca="1">IFERROR(__xludf.DUMMYFUNCTION("""COMPUTED_VALUE"""),20.73)</f>
        <v>20.73</v>
      </c>
      <c r="C592" s="1">
        <f ca="1">IFERROR(__xludf.DUMMYFUNCTION("""COMPUTED_VALUE"""),20.92)</f>
        <v>20.92</v>
      </c>
      <c r="D592" s="1">
        <f ca="1">IFERROR(__xludf.DUMMYFUNCTION("""COMPUTED_VALUE"""),20.39)</f>
        <v>20.39</v>
      </c>
      <c r="E592" s="1">
        <f ca="1">IFERROR(__xludf.DUMMYFUNCTION("""COMPUTED_VALUE"""),20.48)</f>
        <v>20.48</v>
      </c>
      <c r="F592" s="1">
        <f ca="1">IFERROR(__xludf.DUMMYFUNCTION("""COMPUTED_VALUE"""),7006471)</f>
        <v>7006471</v>
      </c>
    </row>
    <row r="593" spans="1:6" x14ac:dyDescent="0.35">
      <c r="A593" s="2">
        <f ca="1">IFERROR(__xludf.DUMMYFUNCTION("""COMPUTED_VALUE"""),42864.6666666666)</f>
        <v>42864.666666666599</v>
      </c>
      <c r="B593" s="1">
        <f ca="1">IFERROR(__xludf.DUMMYFUNCTION("""COMPUTED_VALUE"""),20.63)</f>
        <v>20.63</v>
      </c>
      <c r="C593" s="1">
        <f ca="1">IFERROR(__xludf.DUMMYFUNCTION("""COMPUTED_VALUE"""),21.47)</f>
        <v>21.47</v>
      </c>
      <c r="D593" s="1">
        <f ca="1">IFERROR(__xludf.DUMMYFUNCTION("""COMPUTED_VALUE"""),20.61)</f>
        <v>20.61</v>
      </c>
      <c r="E593" s="1">
        <f ca="1">IFERROR(__xludf.DUMMYFUNCTION("""COMPUTED_VALUE"""),21.42)</f>
        <v>21.42</v>
      </c>
      <c r="F593" s="1">
        <f ca="1">IFERROR(__xludf.DUMMYFUNCTION("""COMPUTED_VALUE"""),9676537)</f>
        <v>9676537</v>
      </c>
    </row>
    <row r="594" spans="1:6" x14ac:dyDescent="0.35">
      <c r="A594" s="2">
        <f ca="1">IFERROR(__xludf.DUMMYFUNCTION("""COMPUTED_VALUE"""),42865.6666666666)</f>
        <v>42865.666666666599</v>
      </c>
      <c r="B594" s="1">
        <f ca="1">IFERROR(__xludf.DUMMYFUNCTION("""COMPUTED_VALUE"""),21.44)</f>
        <v>21.44</v>
      </c>
      <c r="C594" s="1">
        <f ca="1">IFERROR(__xludf.DUMMYFUNCTION("""COMPUTED_VALUE"""),21.7)</f>
        <v>21.7</v>
      </c>
      <c r="D594" s="1">
        <f ca="1">IFERROR(__xludf.DUMMYFUNCTION("""COMPUTED_VALUE"""),21.21)</f>
        <v>21.21</v>
      </c>
      <c r="E594" s="1">
        <f ca="1">IFERROR(__xludf.DUMMYFUNCTION("""COMPUTED_VALUE"""),21.68)</f>
        <v>21.68</v>
      </c>
      <c r="F594" s="1">
        <f ca="1">IFERROR(__xludf.DUMMYFUNCTION("""COMPUTED_VALUE"""),5741607)</f>
        <v>5741607</v>
      </c>
    </row>
    <row r="595" spans="1:6" x14ac:dyDescent="0.35">
      <c r="A595" s="2">
        <f ca="1">IFERROR(__xludf.DUMMYFUNCTION("""COMPUTED_VALUE"""),42866.6666666666)</f>
        <v>42866.666666666599</v>
      </c>
      <c r="B595" s="1">
        <f ca="1">IFERROR(__xludf.DUMMYFUNCTION("""COMPUTED_VALUE"""),21.56)</f>
        <v>21.56</v>
      </c>
      <c r="C595" s="1">
        <f ca="1">IFERROR(__xludf.DUMMYFUNCTION("""COMPUTED_VALUE"""),21.73)</f>
        <v>21.73</v>
      </c>
      <c r="D595" s="1">
        <f ca="1">IFERROR(__xludf.DUMMYFUNCTION("""COMPUTED_VALUE"""),21.31)</f>
        <v>21.31</v>
      </c>
      <c r="E595" s="1">
        <f ca="1">IFERROR(__xludf.DUMMYFUNCTION("""COMPUTED_VALUE"""),21.54)</f>
        <v>21.54</v>
      </c>
      <c r="F595" s="1">
        <f ca="1">IFERROR(__xludf.DUMMYFUNCTION("""COMPUTED_VALUE"""),4753819)</f>
        <v>4753819</v>
      </c>
    </row>
    <row r="596" spans="1:6" x14ac:dyDescent="0.35">
      <c r="A596" s="2">
        <f ca="1">IFERROR(__xludf.DUMMYFUNCTION("""COMPUTED_VALUE"""),42867.6666666666)</f>
        <v>42867.666666666599</v>
      </c>
      <c r="B596" s="1">
        <f ca="1">IFERROR(__xludf.DUMMYFUNCTION("""COMPUTED_VALUE"""),21.7)</f>
        <v>21.7</v>
      </c>
      <c r="C596" s="1">
        <f ca="1">IFERROR(__xludf.DUMMYFUNCTION("""COMPUTED_VALUE"""),21.8)</f>
        <v>21.8</v>
      </c>
      <c r="D596" s="1">
        <f ca="1">IFERROR(__xludf.DUMMYFUNCTION("""COMPUTED_VALUE"""),21.44)</f>
        <v>21.44</v>
      </c>
      <c r="E596" s="1">
        <f ca="1">IFERROR(__xludf.DUMMYFUNCTION("""COMPUTED_VALUE"""),21.65)</f>
        <v>21.65</v>
      </c>
      <c r="F596" s="1">
        <f ca="1">IFERROR(__xludf.DUMMYFUNCTION("""COMPUTED_VALUE"""),4121612)</f>
        <v>4121612</v>
      </c>
    </row>
    <row r="597" spans="1:6" x14ac:dyDescent="0.35">
      <c r="A597" s="2">
        <f ca="1">IFERROR(__xludf.DUMMYFUNCTION("""COMPUTED_VALUE"""),42870.6666666666)</f>
        <v>42870.666666666599</v>
      </c>
      <c r="B597" s="1">
        <f ca="1">IFERROR(__xludf.DUMMYFUNCTION("""COMPUTED_VALUE"""),21.23)</f>
        <v>21.23</v>
      </c>
      <c r="C597" s="1">
        <f ca="1">IFERROR(__xludf.DUMMYFUNCTION("""COMPUTED_VALUE"""),21.35)</f>
        <v>21.35</v>
      </c>
      <c r="D597" s="1">
        <f ca="1">IFERROR(__xludf.DUMMYFUNCTION("""COMPUTED_VALUE"""),20.84)</f>
        <v>20.84</v>
      </c>
      <c r="E597" s="1">
        <f ca="1">IFERROR(__xludf.DUMMYFUNCTION("""COMPUTED_VALUE"""),21.06)</f>
        <v>21.06</v>
      </c>
      <c r="F597" s="1">
        <f ca="1">IFERROR(__xludf.DUMMYFUNCTION("""COMPUTED_VALUE"""),7622004)</f>
        <v>7622004</v>
      </c>
    </row>
    <row r="598" spans="1:6" x14ac:dyDescent="0.35">
      <c r="A598" s="2">
        <f ca="1">IFERROR(__xludf.DUMMYFUNCTION("""COMPUTED_VALUE"""),42871.6666666666)</f>
        <v>42871.666666666599</v>
      </c>
      <c r="B598" s="1">
        <f ca="1">IFERROR(__xludf.DUMMYFUNCTION("""COMPUTED_VALUE"""),21.17)</f>
        <v>21.17</v>
      </c>
      <c r="C598" s="1">
        <f ca="1">IFERROR(__xludf.DUMMYFUNCTION("""COMPUTED_VALUE"""),21.34)</f>
        <v>21.34</v>
      </c>
      <c r="D598" s="1">
        <f ca="1">IFERROR(__xludf.DUMMYFUNCTION("""COMPUTED_VALUE"""),21.01)</f>
        <v>21.01</v>
      </c>
      <c r="E598" s="1">
        <f ca="1">IFERROR(__xludf.DUMMYFUNCTION("""COMPUTED_VALUE"""),21.13)</f>
        <v>21.13</v>
      </c>
      <c r="F598" s="1">
        <f ca="1">IFERROR(__xludf.DUMMYFUNCTION("""COMPUTED_VALUE"""),4152484)</f>
        <v>4152484</v>
      </c>
    </row>
    <row r="599" spans="1:6" x14ac:dyDescent="0.35">
      <c r="A599" s="2">
        <f ca="1">IFERROR(__xludf.DUMMYFUNCTION("""COMPUTED_VALUE"""),42872.6666666666)</f>
        <v>42872.666666666599</v>
      </c>
      <c r="B599" s="1">
        <f ca="1">IFERROR(__xludf.DUMMYFUNCTION("""COMPUTED_VALUE"""),20.96)</f>
        <v>20.96</v>
      </c>
      <c r="C599" s="1">
        <f ca="1">IFERROR(__xludf.DUMMYFUNCTION("""COMPUTED_VALUE"""),20.98)</f>
        <v>20.98</v>
      </c>
      <c r="D599" s="1">
        <f ca="1">IFERROR(__xludf.DUMMYFUNCTION("""COMPUTED_VALUE"""),20.37)</f>
        <v>20.37</v>
      </c>
      <c r="E599" s="1">
        <f ca="1">IFERROR(__xludf.DUMMYFUNCTION("""COMPUTED_VALUE"""),20.41)</f>
        <v>20.41</v>
      </c>
      <c r="F599" s="1">
        <f ca="1">IFERROR(__xludf.DUMMYFUNCTION("""COMPUTED_VALUE"""),6711940)</f>
        <v>6711940</v>
      </c>
    </row>
    <row r="600" spans="1:6" x14ac:dyDescent="0.35">
      <c r="A600" s="2">
        <f ca="1">IFERROR(__xludf.DUMMYFUNCTION("""COMPUTED_VALUE"""),42873.6666666666)</f>
        <v>42873.666666666599</v>
      </c>
      <c r="B600" s="1">
        <f ca="1">IFERROR(__xludf.DUMMYFUNCTION("""COMPUTED_VALUE"""),20.47)</f>
        <v>20.47</v>
      </c>
      <c r="C600" s="1">
        <f ca="1">IFERROR(__xludf.DUMMYFUNCTION("""COMPUTED_VALUE"""),20.93)</f>
        <v>20.93</v>
      </c>
      <c r="D600" s="1">
        <f ca="1">IFERROR(__xludf.DUMMYFUNCTION("""COMPUTED_VALUE"""),20.35)</f>
        <v>20.350000000000001</v>
      </c>
      <c r="E600" s="1">
        <f ca="1">IFERROR(__xludf.DUMMYFUNCTION("""COMPUTED_VALUE"""),20.87)</f>
        <v>20.87</v>
      </c>
      <c r="F600" s="1">
        <f ca="1">IFERROR(__xludf.DUMMYFUNCTION("""COMPUTED_VALUE"""),5653801)</f>
        <v>5653801</v>
      </c>
    </row>
    <row r="601" spans="1:6" x14ac:dyDescent="0.35">
      <c r="A601" s="2">
        <f ca="1">IFERROR(__xludf.DUMMYFUNCTION("""COMPUTED_VALUE"""),42874.6666666666)</f>
        <v>42874.666666666599</v>
      </c>
      <c r="B601" s="1">
        <f ca="1">IFERROR(__xludf.DUMMYFUNCTION("""COMPUTED_VALUE"""),21.03)</f>
        <v>21.03</v>
      </c>
      <c r="C601" s="1">
        <f ca="1">IFERROR(__xludf.DUMMYFUNCTION("""COMPUTED_VALUE"""),21.1)</f>
        <v>21.1</v>
      </c>
      <c r="D601" s="1">
        <f ca="1">IFERROR(__xludf.DUMMYFUNCTION("""COMPUTED_VALUE"""),20.68)</f>
        <v>20.68</v>
      </c>
      <c r="E601" s="1">
        <f ca="1">IFERROR(__xludf.DUMMYFUNCTION("""COMPUTED_VALUE"""),20.72)</f>
        <v>20.72</v>
      </c>
      <c r="F601" s="1">
        <f ca="1">IFERROR(__xludf.DUMMYFUNCTION("""COMPUTED_VALUE"""),4687572)</f>
        <v>4687572</v>
      </c>
    </row>
    <row r="602" spans="1:6" x14ac:dyDescent="0.35">
      <c r="A602" s="2">
        <f ca="1">IFERROR(__xludf.DUMMYFUNCTION("""COMPUTED_VALUE"""),42877.6666666666)</f>
        <v>42877.666666666599</v>
      </c>
      <c r="B602" s="1">
        <f ca="1">IFERROR(__xludf.DUMMYFUNCTION("""COMPUTED_VALUE"""),20.85)</f>
        <v>20.85</v>
      </c>
      <c r="C602" s="1">
        <f ca="1">IFERROR(__xludf.DUMMYFUNCTION("""COMPUTED_VALUE"""),20.96)</f>
        <v>20.96</v>
      </c>
      <c r="D602" s="1">
        <f ca="1">IFERROR(__xludf.DUMMYFUNCTION("""COMPUTED_VALUE"""),20.45)</f>
        <v>20.45</v>
      </c>
      <c r="E602" s="1">
        <f ca="1">IFERROR(__xludf.DUMMYFUNCTION("""COMPUTED_VALUE"""),20.69)</f>
        <v>20.69</v>
      </c>
      <c r="F602" s="1">
        <f ca="1">IFERROR(__xludf.DUMMYFUNCTION("""COMPUTED_VALUE"""),4329178)</f>
        <v>4329178</v>
      </c>
    </row>
    <row r="603" spans="1:6" x14ac:dyDescent="0.35">
      <c r="A603" s="2">
        <f ca="1">IFERROR(__xludf.DUMMYFUNCTION("""COMPUTED_VALUE"""),42878.6666666666)</f>
        <v>42878.666666666599</v>
      </c>
      <c r="B603" s="1">
        <f ca="1">IFERROR(__xludf.DUMMYFUNCTION("""COMPUTED_VALUE"""),20.7)</f>
        <v>20.7</v>
      </c>
      <c r="C603" s="1">
        <f ca="1">IFERROR(__xludf.DUMMYFUNCTION("""COMPUTED_VALUE"""),20.72)</f>
        <v>20.72</v>
      </c>
      <c r="D603" s="1">
        <f ca="1">IFERROR(__xludf.DUMMYFUNCTION("""COMPUTED_VALUE"""),20.23)</f>
        <v>20.23</v>
      </c>
      <c r="E603" s="1">
        <f ca="1">IFERROR(__xludf.DUMMYFUNCTION("""COMPUTED_VALUE"""),20.26)</f>
        <v>20.260000000000002</v>
      </c>
      <c r="F603" s="1">
        <f ca="1">IFERROR(__xludf.DUMMYFUNCTION("""COMPUTED_VALUE"""),4318354)</f>
        <v>4318354</v>
      </c>
    </row>
    <row r="604" spans="1:6" x14ac:dyDescent="0.35">
      <c r="A604" s="2">
        <f ca="1">IFERROR(__xludf.DUMMYFUNCTION("""COMPUTED_VALUE"""),42879.6666666666)</f>
        <v>42879.666666666599</v>
      </c>
      <c r="B604" s="1">
        <f ca="1">IFERROR(__xludf.DUMMYFUNCTION("""COMPUTED_VALUE"""),20.43)</f>
        <v>20.43</v>
      </c>
      <c r="C604" s="1">
        <f ca="1">IFERROR(__xludf.DUMMYFUNCTION("""COMPUTED_VALUE"""),20.73)</f>
        <v>20.73</v>
      </c>
      <c r="D604" s="1">
        <f ca="1">IFERROR(__xludf.DUMMYFUNCTION("""COMPUTED_VALUE"""),20.36)</f>
        <v>20.36</v>
      </c>
      <c r="E604" s="1">
        <f ca="1">IFERROR(__xludf.DUMMYFUNCTION("""COMPUTED_VALUE"""),20.68)</f>
        <v>20.68</v>
      </c>
      <c r="F604" s="1">
        <f ca="1">IFERROR(__xludf.DUMMYFUNCTION("""COMPUTED_VALUE"""),5041692)</f>
        <v>5041692</v>
      </c>
    </row>
    <row r="605" spans="1:6" x14ac:dyDescent="0.35">
      <c r="A605" s="2">
        <f ca="1">IFERROR(__xludf.DUMMYFUNCTION("""COMPUTED_VALUE"""),42880.6666666666)</f>
        <v>42880.666666666599</v>
      </c>
      <c r="B605" s="1">
        <f ca="1">IFERROR(__xludf.DUMMYFUNCTION("""COMPUTED_VALUE"""),20.73)</f>
        <v>20.73</v>
      </c>
      <c r="C605" s="1">
        <f ca="1">IFERROR(__xludf.DUMMYFUNCTION("""COMPUTED_VALUE"""),21.13)</f>
        <v>21.13</v>
      </c>
      <c r="D605" s="1">
        <f ca="1">IFERROR(__xludf.DUMMYFUNCTION("""COMPUTED_VALUE"""),20.52)</f>
        <v>20.52</v>
      </c>
      <c r="E605" s="1">
        <f ca="1">IFERROR(__xludf.DUMMYFUNCTION("""COMPUTED_VALUE"""),21.12)</f>
        <v>21.12</v>
      </c>
      <c r="F605" s="1">
        <f ca="1">IFERROR(__xludf.DUMMYFUNCTION("""COMPUTED_VALUE"""),5013963)</f>
        <v>5013963</v>
      </c>
    </row>
    <row r="606" spans="1:6" x14ac:dyDescent="0.35">
      <c r="A606" s="2">
        <f ca="1">IFERROR(__xludf.DUMMYFUNCTION("""COMPUTED_VALUE"""),42881.6666666666)</f>
        <v>42881.666666666599</v>
      </c>
      <c r="B606" s="1">
        <f ca="1">IFERROR(__xludf.DUMMYFUNCTION("""COMPUTED_VALUE"""),21.15)</f>
        <v>21.15</v>
      </c>
      <c r="C606" s="1">
        <f ca="1">IFERROR(__xludf.DUMMYFUNCTION("""COMPUTED_VALUE"""),21.7)</f>
        <v>21.7</v>
      </c>
      <c r="D606" s="1">
        <f ca="1">IFERROR(__xludf.DUMMYFUNCTION("""COMPUTED_VALUE"""),21.09)</f>
        <v>21.09</v>
      </c>
      <c r="E606" s="1">
        <f ca="1">IFERROR(__xludf.DUMMYFUNCTION("""COMPUTED_VALUE"""),21.68)</f>
        <v>21.68</v>
      </c>
      <c r="F606" s="1">
        <f ca="1">IFERROR(__xludf.DUMMYFUNCTION("""COMPUTED_VALUE"""),7802199)</f>
        <v>7802199</v>
      </c>
    </row>
    <row r="607" spans="1:6" x14ac:dyDescent="0.35">
      <c r="A607" s="2">
        <f ca="1">IFERROR(__xludf.DUMMYFUNCTION("""COMPUTED_VALUE"""),42885.6666666666)</f>
        <v>42885.666666666599</v>
      </c>
      <c r="B607" s="1">
        <f ca="1">IFERROR(__xludf.DUMMYFUNCTION("""COMPUTED_VALUE"""),21.73)</f>
        <v>21.73</v>
      </c>
      <c r="C607" s="1">
        <f ca="1">IFERROR(__xludf.DUMMYFUNCTION("""COMPUTED_VALUE"""),22.42)</f>
        <v>22.42</v>
      </c>
      <c r="D607" s="1">
        <f ca="1">IFERROR(__xludf.DUMMYFUNCTION("""COMPUTED_VALUE"""),21.72)</f>
        <v>21.72</v>
      </c>
      <c r="E607" s="1">
        <f ca="1">IFERROR(__xludf.DUMMYFUNCTION("""COMPUTED_VALUE"""),22.34)</f>
        <v>22.34</v>
      </c>
      <c r="F607" s="1">
        <f ca="1">IFERROR(__xludf.DUMMYFUNCTION("""COMPUTED_VALUE"""),7782916)</f>
        <v>7782916</v>
      </c>
    </row>
    <row r="608" spans="1:6" x14ac:dyDescent="0.35">
      <c r="A608" s="2">
        <f ca="1">IFERROR(__xludf.DUMMYFUNCTION("""COMPUTED_VALUE"""),42886.6666666666)</f>
        <v>42886.666666666599</v>
      </c>
      <c r="B608" s="1">
        <f ca="1">IFERROR(__xludf.DUMMYFUNCTION("""COMPUTED_VALUE"""),22.51)</f>
        <v>22.51</v>
      </c>
      <c r="C608" s="1">
        <f ca="1">IFERROR(__xludf.DUMMYFUNCTION("""COMPUTED_VALUE"""),22.86)</f>
        <v>22.86</v>
      </c>
      <c r="D608" s="1">
        <f ca="1">IFERROR(__xludf.DUMMYFUNCTION("""COMPUTED_VALUE"""),22.34)</f>
        <v>22.34</v>
      </c>
      <c r="E608" s="1">
        <f ca="1">IFERROR(__xludf.DUMMYFUNCTION("""COMPUTED_VALUE"""),22.73)</f>
        <v>22.73</v>
      </c>
      <c r="F608" s="1">
        <f ca="1">IFERROR(__xludf.DUMMYFUNCTION("""COMPUTED_VALUE"""),9963444)</f>
        <v>9963444</v>
      </c>
    </row>
    <row r="609" spans="1:6" x14ac:dyDescent="0.35">
      <c r="A609" s="2">
        <f ca="1">IFERROR(__xludf.DUMMYFUNCTION("""COMPUTED_VALUE"""),42887.6666666666)</f>
        <v>42887.666666666599</v>
      </c>
      <c r="B609" s="1">
        <f ca="1">IFERROR(__xludf.DUMMYFUNCTION("""COMPUTED_VALUE"""),22.93)</f>
        <v>22.93</v>
      </c>
      <c r="C609" s="1">
        <f ca="1">IFERROR(__xludf.DUMMYFUNCTION("""COMPUTED_VALUE"""),22.99)</f>
        <v>22.99</v>
      </c>
      <c r="D609" s="1">
        <f ca="1">IFERROR(__xludf.DUMMYFUNCTION("""COMPUTED_VALUE"""),22.49)</f>
        <v>22.49</v>
      </c>
      <c r="E609" s="1">
        <f ca="1">IFERROR(__xludf.DUMMYFUNCTION("""COMPUTED_VALUE"""),22.69)</f>
        <v>22.69</v>
      </c>
      <c r="F609" s="1">
        <f ca="1">IFERROR(__xludf.DUMMYFUNCTION("""COMPUTED_VALUE"""),7607996)</f>
        <v>7607996</v>
      </c>
    </row>
    <row r="610" spans="1:6" x14ac:dyDescent="0.35">
      <c r="A610" s="2">
        <f ca="1">IFERROR(__xludf.DUMMYFUNCTION("""COMPUTED_VALUE"""),42888.6666666666)</f>
        <v>42888.666666666599</v>
      </c>
      <c r="B610" s="1">
        <f ca="1">IFERROR(__xludf.DUMMYFUNCTION("""COMPUTED_VALUE"""),22.65)</f>
        <v>22.65</v>
      </c>
      <c r="C610" s="1">
        <f ca="1">IFERROR(__xludf.DUMMYFUNCTION("""COMPUTED_VALUE"""),22.86)</f>
        <v>22.86</v>
      </c>
      <c r="D610" s="1">
        <f ca="1">IFERROR(__xludf.DUMMYFUNCTION("""COMPUTED_VALUE"""),22.4)</f>
        <v>22.4</v>
      </c>
      <c r="E610" s="1">
        <f ca="1">IFERROR(__xludf.DUMMYFUNCTION("""COMPUTED_VALUE"""),22.66)</f>
        <v>22.66</v>
      </c>
      <c r="F610" s="1">
        <f ca="1">IFERROR(__xludf.DUMMYFUNCTION("""COMPUTED_VALUE"""),5590239)</f>
        <v>5590239</v>
      </c>
    </row>
    <row r="611" spans="1:6" x14ac:dyDescent="0.35">
      <c r="A611" s="2">
        <f ca="1">IFERROR(__xludf.DUMMYFUNCTION("""COMPUTED_VALUE"""),42891.6666666666)</f>
        <v>42891.666666666599</v>
      </c>
      <c r="B611" s="1">
        <f ca="1">IFERROR(__xludf.DUMMYFUNCTION("""COMPUTED_VALUE"""),22.57)</f>
        <v>22.57</v>
      </c>
      <c r="C611" s="1">
        <f ca="1">IFERROR(__xludf.DUMMYFUNCTION("""COMPUTED_VALUE"""),23.23)</f>
        <v>23.23</v>
      </c>
      <c r="D611" s="1">
        <f ca="1">IFERROR(__xludf.DUMMYFUNCTION("""COMPUTED_VALUE"""),22.28)</f>
        <v>22.28</v>
      </c>
      <c r="E611" s="1">
        <f ca="1">IFERROR(__xludf.DUMMYFUNCTION("""COMPUTED_VALUE"""),23.15)</f>
        <v>23.15</v>
      </c>
      <c r="F611" s="1">
        <f ca="1">IFERROR(__xludf.DUMMYFUNCTION("""COMPUTED_VALUE"""),6784368)</f>
        <v>6784368</v>
      </c>
    </row>
    <row r="612" spans="1:6" x14ac:dyDescent="0.35">
      <c r="A612" s="2">
        <f ca="1">IFERROR(__xludf.DUMMYFUNCTION("""COMPUTED_VALUE"""),42892.6666666666)</f>
        <v>42892.666666666599</v>
      </c>
      <c r="B612" s="1">
        <f ca="1">IFERROR(__xludf.DUMMYFUNCTION("""COMPUTED_VALUE"""),22.98)</f>
        <v>22.98</v>
      </c>
      <c r="C612" s="1">
        <f ca="1">IFERROR(__xludf.DUMMYFUNCTION("""COMPUTED_VALUE"""),23.97)</f>
        <v>23.97</v>
      </c>
      <c r="D612" s="1">
        <f ca="1">IFERROR(__xludf.DUMMYFUNCTION("""COMPUTED_VALUE"""),22.66)</f>
        <v>22.66</v>
      </c>
      <c r="E612" s="1">
        <f ca="1">IFERROR(__xludf.DUMMYFUNCTION("""COMPUTED_VALUE"""),23.52)</f>
        <v>23.52</v>
      </c>
      <c r="F612" s="1">
        <f ca="1">IFERROR(__xludf.DUMMYFUNCTION("""COMPUTED_VALUE"""),11086798)</f>
        <v>11086798</v>
      </c>
    </row>
    <row r="613" spans="1:6" x14ac:dyDescent="0.35">
      <c r="A613" s="2">
        <f ca="1">IFERROR(__xludf.DUMMYFUNCTION("""COMPUTED_VALUE"""),42893.6666666666)</f>
        <v>42893.666666666599</v>
      </c>
      <c r="B613" s="1">
        <f ca="1">IFERROR(__xludf.DUMMYFUNCTION("""COMPUTED_VALUE"""),23.76)</f>
        <v>23.76</v>
      </c>
      <c r="C613" s="1">
        <f ca="1">IFERROR(__xludf.DUMMYFUNCTION("""COMPUTED_VALUE"""),24.03)</f>
        <v>24.03</v>
      </c>
      <c r="D613" s="1">
        <f ca="1">IFERROR(__xludf.DUMMYFUNCTION("""COMPUTED_VALUE"""),23.68)</f>
        <v>23.68</v>
      </c>
      <c r="E613" s="1">
        <f ca="1">IFERROR(__xludf.DUMMYFUNCTION("""COMPUTED_VALUE"""),23.98)</f>
        <v>23.98</v>
      </c>
      <c r="F613" s="1">
        <f ca="1">IFERROR(__xludf.DUMMYFUNCTION("""COMPUTED_VALUE"""),9397959)</f>
        <v>9397959</v>
      </c>
    </row>
    <row r="614" spans="1:6" x14ac:dyDescent="0.35">
      <c r="A614" s="2">
        <f ca="1">IFERROR(__xludf.DUMMYFUNCTION("""COMPUTED_VALUE"""),42894.6666666666)</f>
        <v>42894.666666666599</v>
      </c>
      <c r="B614" s="1">
        <f ca="1">IFERROR(__xludf.DUMMYFUNCTION("""COMPUTED_VALUE"""),24.25)</f>
        <v>24.25</v>
      </c>
      <c r="C614" s="1">
        <f ca="1">IFERROR(__xludf.DUMMYFUNCTION("""COMPUTED_VALUE"""),24.79)</f>
        <v>24.79</v>
      </c>
      <c r="D614" s="1">
        <f ca="1">IFERROR(__xludf.DUMMYFUNCTION("""COMPUTED_VALUE"""),24.01)</f>
        <v>24.01</v>
      </c>
      <c r="E614" s="1">
        <f ca="1">IFERROR(__xludf.DUMMYFUNCTION("""COMPUTED_VALUE"""),24.67)</f>
        <v>24.67</v>
      </c>
      <c r="F614" s="1">
        <f ca="1">IFERROR(__xludf.DUMMYFUNCTION("""COMPUTED_VALUE"""),9061496)</f>
        <v>9061496</v>
      </c>
    </row>
    <row r="615" spans="1:6" x14ac:dyDescent="0.35">
      <c r="A615" s="2">
        <f ca="1">IFERROR(__xludf.DUMMYFUNCTION("""COMPUTED_VALUE"""),42895.6666666666)</f>
        <v>42895.666666666599</v>
      </c>
      <c r="B615" s="1">
        <f ca="1">IFERROR(__xludf.DUMMYFUNCTION("""COMPUTED_VALUE"""),24.96)</f>
        <v>24.96</v>
      </c>
      <c r="C615" s="1">
        <f ca="1">IFERROR(__xludf.DUMMYFUNCTION("""COMPUTED_VALUE"""),25.12)</f>
        <v>25.12</v>
      </c>
      <c r="D615" s="1">
        <f ca="1">IFERROR(__xludf.DUMMYFUNCTION("""COMPUTED_VALUE"""),23.65)</f>
        <v>23.65</v>
      </c>
      <c r="E615" s="1">
        <f ca="1">IFERROR(__xludf.DUMMYFUNCTION("""COMPUTED_VALUE"""),23.82)</f>
        <v>23.82</v>
      </c>
      <c r="F615" s="1">
        <f ca="1">IFERROR(__xludf.DUMMYFUNCTION("""COMPUTED_VALUE"""),17261435)</f>
        <v>17261435</v>
      </c>
    </row>
    <row r="616" spans="1:6" x14ac:dyDescent="0.35">
      <c r="A616" s="2">
        <f ca="1">IFERROR(__xludf.DUMMYFUNCTION("""COMPUTED_VALUE"""),42898.6666666666)</f>
        <v>42898.666666666599</v>
      </c>
      <c r="B616" s="1">
        <f ca="1">IFERROR(__xludf.DUMMYFUNCTION("""COMPUTED_VALUE"""),23.87)</f>
        <v>23.87</v>
      </c>
      <c r="C616" s="1">
        <f ca="1">IFERROR(__xludf.DUMMYFUNCTION("""COMPUTED_VALUE"""),24.3)</f>
        <v>24.3</v>
      </c>
      <c r="D616" s="1">
        <f ca="1">IFERROR(__xludf.DUMMYFUNCTION("""COMPUTED_VALUE"""),23.37)</f>
        <v>23.37</v>
      </c>
      <c r="E616" s="1">
        <f ca="1">IFERROR(__xludf.DUMMYFUNCTION("""COMPUTED_VALUE"""),23.93)</f>
        <v>23.93</v>
      </c>
      <c r="F616" s="1">
        <f ca="1">IFERROR(__xludf.DUMMYFUNCTION("""COMPUTED_VALUE"""),10517660)</f>
        <v>10517660</v>
      </c>
    </row>
    <row r="617" spans="1:6" x14ac:dyDescent="0.35">
      <c r="A617" s="2">
        <f ca="1">IFERROR(__xludf.DUMMYFUNCTION("""COMPUTED_VALUE"""),42899.6666666666)</f>
        <v>42899.666666666599</v>
      </c>
      <c r="B617" s="1">
        <f ca="1">IFERROR(__xludf.DUMMYFUNCTION("""COMPUTED_VALUE"""),24.51)</f>
        <v>24.51</v>
      </c>
      <c r="C617" s="1">
        <f ca="1">IFERROR(__xludf.DUMMYFUNCTION("""COMPUTED_VALUE"""),25.07)</f>
        <v>25.07</v>
      </c>
      <c r="D617" s="1">
        <f ca="1">IFERROR(__xludf.DUMMYFUNCTION("""COMPUTED_VALUE"""),24.44)</f>
        <v>24.44</v>
      </c>
      <c r="E617" s="1">
        <f ca="1">IFERROR(__xludf.DUMMYFUNCTION("""COMPUTED_VALUE"""),25.06)</f>
        <v>25.06</v>
      </c>
      <c r="F617" s="1">
        <f ca="1">IFERROR(__xludf.DUMMYFUNCTION("""COMPUTED_VALUE"""),11807920)</f>
        <v>11807920</v>
      </c>
    </row>
    <row r="618" spans="1:6" x14ac:dyDescent="0.35">
      <c r="A618" s="2">
        <f ca="1">IFERROR(__xludf.DUMMYFUNCTION("""COMPUTED_VALUE"""),42900.6666666666)</f>
        <v>42900.666666666599</v>
      </c>
      <c r="B618" s="1">
        <f ca="1">IFERROR(__xludf.DUMMYFUNCTION("""COMPUTED_VALUE"""),25.41)</f>
        <v>25.41</v>
      </c>
      <c r="C618" s="1">
        <f ca="1">IFERROR(__xludf.DUMMYFUNCTION("""COMPUTED_VALUE"""),25.62)</f>
        <v>25.62</v>
      </c>
      <c r="D618" s="1">
        <f ca="1">IFERROR(__xludf.DUMMYFUNCTION("""COMPUTED_VALUE"""),25.09)</f>
        <v>25.09</v>
      </c>
      <c r="E618" s="1">
        <f ca="1">IFERROR(__xludf.DUMMYFUNCTION("""COMPUTED_VALUE"""),25.38)</f>
        <v>25.38</v>
      </c>
      <c r="F618" s="1">
        <f ca="1">IFERROR(__xludf.DUMMYFUNCTION("""COMPUTED_VALUE"""),12818429)</f>
        <v>12818429</v>
      </c>
    </row>
    <row r="619" spans="1:6" x14ac:dyDescent="0.35">
      <c r="A619" s="2">
        <f ca="1">IFERROR(__xludf.DUMMYFUNCTION("""COMPUTED_VALUE"""),42901.6666666666)</f>
        <v>42901.666666666599</v>
      </c>
      <c r="B619" s="1">
        <f ca="1">IFERROR(__xludf.DUMMYFUNCTION("""COMPUTED_VALUE"""),24.83)</f>
        <v>24.83</v>
      </c>
      <c r="C619" s="1">
        <f ca="1">IFERROR(__xludf.DUMMYFUNCTION("""COMPUTED_VALUE"""),25.03)</f>
        <v>25.03</v>
      </c>
      <c r="D619" s="1">
        <f ca="1">IFERROR(__xludf.DUMMYFUNCTION("""COMPUTED_VALUE"""),24.43)</f>
        <v>24.43</v>
      </c>
      <c r="E619" s="1">
        <f ca="1">IFERROR(__xludf.DUMMYFUNCTION("""COMPUTED_VALUE"""),25.02)</f>
        <v>25.02</v>
      </c>
      <c r="F619" s="1">
        <f ca="1">IFERROR(__xludf.DUMMYFUNCTION("""COMPUTED_VALUE"""),10426469)</f>
        <v>10426469</v>
      </c>
    </row>
    <row r="620" spans="1:6" x14ac:dyDescent="0.35">
      <c r="A620" s="2">
        <f ca="1">IFERROR(__xludf.DUMMYFUNCTION("""COMPUTED_VALUE"""),42902.6666666666)</f>
        <v>42902.666666666599</v>
      </c>
      <c r="B620" s="1">
        <f ca="1">IFERROR(__xludf.DUMMYFUNCTION("""COMPUTED_VALUE"""),25.2)</f>
        <v>25.2</v>
      </c>
      <c r="C620" s="1">
        <f ca="1">IFERROR(__xludf.DUMMYFUNCTION("""COMPUTED_VALUE"""),25.2)</f>
        <v>25.2</v>
      </c>
      <c r="D620" s="1">
        <f ca="1">IFERROR(__xludf.DUMMYFUNCTION("""COMPUTED_VALUE"""),24.67)</f>
        <v>24.67</v>
      </c>
      <c r="E620" s="1">
        <f ca="1">IFERROR(__xludf.DUMMYFUNCTION("""COMPUTED_VALUE"""),24.76)</f>
        <v>24.76</v>
      </c>
      <c r="F620" s="1">
        <f ca="1">IFERROR(__xludf.DUMMYFUNCTION("""COMPUTED_VALUE"""),6730973)</f>
        <v>6730973</v>
      </c>
    </row>
    <row r="621" spans="1:6" x14ac:dyDescent="0.35">
      <c r="A621" s="2">
        <f ca="1">IFERROR(__xludf.DUMMYFUNCTION("""COMPUTED_VALUE"""),42905.6666666666)</f>
        <v>42905.666666666599</v>
      </c>
      <c r="B621" s="1">
        <f ca="1">IFERROR(__xludf.DUMMYFUNCTION("""COMPUTED_VALUE"""),25)</f>
        <v>25</v>
      </c>
      <c r="C621" s="1">
        <f ca="1">IFERROR(__xludf.DUMMYFUNCTION("""COMPUTED_VALUE"""),25.11)</f>
        <v>25.11</v>
      </c>
      <c r="D621" s="1">
        <f ca="1">IFERROR(__xludf.DUMMYFUNCTION("""COMPUTED_VALUE"""),24.52)</f>
        <v>24.52</v>
      </c>
      <c r="E621" s="1">
        <f ca="1">IFERROR(__xludf.DUMMYFUNCTION("""COMPUTED_VALUE"""),24.65)</f>
        <v>24.65</v>
      </c>
      <c r="F621" s="1">
        <f ca="1">IFERROR(__xludf.DUMMYFUNCTION("""COMPUTED_VALUE"""),6549332)</f>
        <v>6549332</v>
      </c>
    </row>
    <row r="622" spans="1:6" x14ac:dyDescent="0.35">
      <c r="A622" s="2">
        <f ca="1">IFERROR(__xludf.DUMMYFUNCTION("""COMPUTED_VALUE"""),42906.6666666666)</f>
        <v>42906.666666666599</v>
      </c>
      <c r="B622" s="1">
        <f ca="1">IFERROR(__xludf.DUMMYFUNCTION("""COMPUTED_VALUE"""),25.11)</f>
        <v>25.11</v>
      </c>
      <c r="C622" s="1">
        <f ca="1">IFERROR(__xludf.DUMMYFUNCTION("""COMPUTED_VALUE"""),25.26)</f>
        <v>25.26</v>
      </c>
      <c r="D622" s="1">
        <f ca="1">IFERROR(__xludf.DUMMYFUNCTION("""COMPUTED_VALUE"""),24.65)</f>
        <v>24.65</v>
      </c>
      <c r="E622" s="1">
        <f ca="1">IFERROR(__xludf.DUMMYFUNCTION("""COMPUTED_VALUE"""),24.82)</f>
        <v>24.82</v>
      </c>
      <c r="F622" s="1">
        <f ca="1">IFERROR(__xludf.DUMMYFUNCTION("""COMPUTED_VALUE"""),7438701)</f>
        <v>7438701</v>
      </c>
    </row>
    <row r="623" spans="1:6" x14ac:dyDescent="0.35">
      <c r="A623" s="2">
        <f ca="1">IFERROR(__xludf.DUMMYFUNCTION("""COMPUTED_VALUE"""),42907.6666666666)</f>
        <v>42907.666666666599</v>
      </c>
      <c r="B623" s="1">
        <f ca="1">IFERROR(__xludf.DUMMYFUNCTION("""COMPUTED_VALUE"""),24.96)</f>
        <v>24.96</v>
      </c>
      <c r="C623" s="1">
        <f ca="1">IFERROR(__xludf.DUMMYFUNCTION("""COMPUTED_VALUE"""),25.13)</f>
        <v>25.13</v>
      </c>
      <c r="D623" s="1">
        <f ca="1">IFERROR(__xludf.DUMMYFUNCTION("""COMPUTED_VALUE"""),24.53)</f>
        <v>24.53</v>
      </c>
      <c r="E623" s="1">
        <f ca="1">IFERROR(__xludf.DUMMYFUNCTION("""COMPUTED_VALUE"""),25.09)</f>
        <v>25.09</v>
      </c>
      <c r="F623" s="1">
        <f ca="1">IFERROR(__xludf.DUMMYFUNCTION("""COMPUTED_VALUE"""),4923210)</f>
        <v>4923210</v>
      </c>
    </row>
    <row r="624" spans="1:6" x14ac:dyDescent="0.35">
      <c r="A624" s="2">
        <f ca="1">IFERROR(__xludf.DUMMYFUNCTION("""COMPUTED_VALUE"""),42908.6666666666)</f>
        <v>42908.666666666599</v>
      </c>
      <c r="B624" s="1">
        <f ca="1">IFERROR(__xludf.DUMMYFUNCTION("""COMPUTED_VALUE"""),25.2)</f>
        <v>25.2</v>
      </c>
      <c r="C624" s="1">
        <f ca="1">IFERROR(__xludf.DUMMYFUNCTION("""COMPUTED_VALUE"""),25.67)</f>
        <v>25.67</v>
      </c>
      <c r="D624" s="1">
        <f ca="1">IFERROR(__xludf.DUMMYFUNCTION("""COMPUTED_VALUE"""),24.9)</f>
        <v>24.9</v>
      </c>
      <c r="E624" s="1">
        <f ca="1">IFERROR(__xludf.DUMMYFUNCTION("""COMPUTED_VALUE"""),25.51)</f>
        <v>25.51</v>
      </c>
      <c r="F624" s="1">
        <f ca="1">IFERROR(__xludf.DUMMYFUNCTION("""COMPUTED_VALUE"""),7529778)</f>
        <v>7529778</v>
      </c>
    </row>
    <row r="625" spans="1:6" x14ac:dyDescent="0.35">
      <c r="A625" s="2">
        <f ca="1">IFERROR(__xludf.DUMMYFUNCTION("""COMPUTED_VALUE"""),42909.6666666666)</f>
        <v>42909.666666666599</v>
      </c>
      <c r="B625" s="1">
        <f ca="1">IFERROR(__xludf.DUMMYFUNCTION("""COMPUTED_VALUE"""),25.5)</f>
        <v>25.5</v>
      </c>
      <c r="C625" s="1">
        <f ca="1">IFERROR(__xludf.DUMMYFUNCTION("""COMPUTED_VALUE"""),25.8)</f>
        <v>25.8</v>
      </c>
      <c r="D625" s="1">
        <f ca="1">IFERROR(__xludf.DUMMYFUNCTION("""COMPUTED_VALUE"""),25.29)</f>
        <v>25.29</v>
      </c>
      <c r="E625" s="1">
        <f ca="1">IFERROR(__xludf.DUMMYFUNCTION("""COMPUTED_VALUE"""),25.56)</f>
        <v>25.56</v>
      </c>
      <c r="F625" s="1">
        <f ca="1">IFERROR(__xludf.DUMMYFUNCTION("""COMPUTED_VALUE"""),6445758)</f>
        <v>6445758</v>
      </c>
    </row>
    <row r="626" spans="1:6" x14ac:dyDescent="0.35">
      <c r="A626" s="2">
        <f ca="1">IFERROR(__xludf.DUMMYFUNCTION("""COMPUTED_VALUE"""),42912.6666666666)</f>
        <v>42912.666666666599</v>
      </c>
      <c r="B626" s="1">
        <f ca="1">IFERROR(__xludf.DUMMYFUNCTION("""COMPUTED_VALUE"""),25.78)</f>
        <v>25.78</v>
      </c>
      <c r="C626" s="1">
        <f ca="1">IFERROR(__xludf.DUMMYFUNCTION("""COMPUTED_VALUE"""),25.8)</f>
        <v>25.8</v>
      </c>
      <c r="D626" s="1">
        <f ca="1">IFERROR(__xludf.DUMMYFUNCTION("""COMPUTED_VALUE"""),24.87)</f>
        <v>24.87</v>
      </c>
      <c r="E626" s="1">
        <f ca="1">IFERROR(__xludf.DUMMYFUNCTION("""COMPUTED_VALUE"""),25.17)</f>
        <v>25.17</v>
      </c>
      <c r="F626" s="1">
        <f ca="1">IFERROR(__xludf.DUMMYFUNCTION("""COMPUTED_VALUE"""),6604099)</f>
        <v>6604099</v>
      </c>
    </row>
    <row r="627" spans="1:6" x14ac:dyDescent="0.35">
      <c r="A627" s="2">
        <f ca="1">IFERROR(__xludf.DUMMYFUNCTION("""COMPUTED_VALUE"""),42913.6666666666)</f>
        <v>42913.666666666599</v>
      </c>
      <c r="B627" s="1">
        <f ca="1">IFERROR(__xludf.DUMMYFUNCTION("""COMPUTED_VALUE"""),25.09)</f>
        <v>25.09</v>
      </c>
      <c r="C627" s="1">
        <f ca="1">IFERROR(__xludf.DUMMYFUNCTION("""COMPUTED_VALUE"""),25.09)</f>
        <v>25.09</v>
      </c>
      <c r="D627" s="1">
        <f ca="1">IFERROR(__xludf.DUMMYFUNCTION("""COMPUTED_VALUE"""),24.13)</f>
        <v>24.13</v>
      </c>
      <c r="E627" s="1">
        <f ca="1">IFERROR(__xludf.DUMMYFUNCTION("""COMPUTED_VALUE"""),24.16)</f>
        <v>24.16</v>
      </c>
      <c r="F627" s="1">
        <f ca="1">IFERROR(__xludf.DUMMYFUNCTION("""COMPUTED_VALUE"""),6996399)</f>
        <v>6996399</v>
      </c>
    </row>
    <row r="628" spans="1:6" x14ac:dyDescent="0.35">
      <c r="A628" s="2">
        <f ca="1">IFERROR(__xludf.DUMMYFUNCTION("""COMPUTED_VALUE"""),42914.6666666666)</f>
        <v>42914.666666666599</v>
      </c>
      <c r="B628" s="1">
        <f ca="1">IFERROR(__xludf.DUMMYFUNCTION("""COMPUTED_VALUE"""),24.45)</f>
        <v>24.45</v>
      </c>
      <c r="C628" s="1">
        <f ca="1">IFERROR(__xludf.DUMMYFUNCTION("""COMPUTED_VALUE"""),24.78)</f>
        <v>24.78</v>
      </c>
      <c r="D628" s="1">
        <f ca="1">IFERROR(__xludf.DUMMYFUNCTION("""COMPUTED_VALUE"""),24.17)</f>
        <v>24.17</v>
      </c>
      <c r="E628" s="1">
        <f ca="1">IFERROR(__xludf.DUMMYFUNCTION("""COMPUTED_VALUE"""),24.75)</f>
        <v>24.75</v>
      </c>
      <c r="F628" s="1">
        <f ca="1">IFERROR(__xludf.DUMMYFUNCTION("""COMPUTED_VALUE"""),6302463)</f>
        <v>6302463</v>
      </c>
    </row>
    <row r="629" spans="1:6" x14ac:dyDescent="0.35">
      <c r="A629" s="2">
        <f ca="1">IFERROR(__xludf.DUMMYFUNCTION("""COMPUTED_VALUE"""),42915.6666666666)</f>
        <v>42915.666666666599</v>
      </c>
      <c r="B629" s="1">
        <f ca="1">IFERROR(__xludf.DUMMYFUNCTION("""COMPUTED_VALUE"""),24.71)</f>
        <v>24.71</v>
      </c>
      <c r="C629" s="1">
        <f ca="1">IFERROR(__xludf.DUMMYFUNCTION("""COMPUTED_VALUE"""),24.73)</f>
        <v>24.73</v>
      </c>
      <c r="D629" s="1">
        <f ca="1">IFERROR(__xludf.DUMMYFUNCTION("""COMPUTED_VALUE"""),23.61)</f>
        <v>23.61</v>
      </c>
      <c r="E629" s="1">
        <f ca="1">IFERROR(__xludf.DUMMYFUNCTION("""COMPUTED_VALUE"""),24.05)</f>
        <v>24.05</v>
      </c>
      <c r="F629" s="1">
        <f ca="1">IFERROR(__xludf.DUMMYFUNCTION("""COMPUTED_VALUE"""),8221038)</f>
        <v>8221038</v>
      </c>
    </row>
    <row r="630" spans="1:6" x14ac:dyDescent="0.35">
      <c r="A630" s="2">
        <f ca="1">IFERROR(__xludf.DUMMYFUNCTION("""COMPUTED_VALUE"""),42916.6666666666)</f>
        <v>42916.666666666599</v>
      </c>
      <c r="B630" s="1">
        <f ca="1">IFERROR(__xludf.DUMMYFUNCTION("""COMPUTED_VALUE"""),24.25)</f>
        <v>24.25</v>
      </c>
      <c r="C630" s="1">
        <f ca="1">IFERROR(__xludf.DUMMYFUNCTION("""COMPUTED_VALUE"""),24.45)</f>
        <v>24.45</v>
      </c>
      <c r="D630" s="1">
        <f ca="1">IFERROR(__xludf.DUMMYFUNCTION("""COMPUTED_VALUE"""),23.97)</f>
        <v>23.97</v>
      </c>
      <c r="E630" s="1">
        <f ca="1">IFERROR(__xludf.DUMMYFUNCTION("""COMPUTED_VALUE"""),24.11)</f>
        <v>24.11</v>
      </c>
      <c r="F630" s="1">
        <f ca="1">IFERROR(__xludf.DUMMYFUNCTION("""COMPUTED_VALUE"""),5848521)</f>
        <v>5848521</v>
      </c>
    </row>
    <row r="631" spans="1:6" x14ac:dyDescent="0.35">
      <c r="A631" s="2">
        <f ca="1">IFERROR(__xludf.DUMMYFUNCTION("""COMPUTED_VALUE"""),42919.6666666666)</f>
        <v>42919.666666666599</v>
      </c>
      <c r="B631" s="1">
        <f ca="1">IFERROR(__xludf.DUMMYFUNCTION("""COMPUTED_VALUE"""),24.68)</f>
        <v>24.68</v>
      </c>
      <c r="C631" s="1">
        <f ca="1">IFERROR(__xludf.DUMMYFUNCTION("""COMPUTED_VALUE"""),24.76)</f>
        <v>24.76</v>
      </c>
      <c r="D631" s="1">
        <f ca="1">IFERROR(__xludf.DUMMYFUNCTION("""COMPUTED_VALUE"""),23.43)</f>
        <v>23.43</v>
      </c>
      <c r="E631" s="1">
        <f ca="1">IFERROR(__xludf.DUMMYFUNCTION("""COMPUTED_VALUE"""),23.51)</f>
        <v>23.51</v>
      </c>
      <c r="F631" s="1">
        <f ca="1">IFERROR(__xludf.DUMMYFUNCTION("""COMPUTED_VALUE"""),6305401)</f>
        <v>6305401</v>
      </c>
    </row>
    <row r="632" spans="1:6" x14ac:dyDescent="0.35">
      <c r="A632" s="2">
        <f ca="1">IFERROR(__xludf.DUMMYFUNCTION("""COMPUTED_VALUE"""),42921.6666666666)</f>
        <v>42921.666666666599</v>
      </c>
      <c r="B632" s="1">
        <f ca="1">IFERROR(__xludf.DUMMYFUNCTION("""COMPUTED_VALUE"""),23.15)</f>
        <v>23.15</v>
      </c>
      <c r="C632" s="1">
        <f ca="1">IFERROR(__xludf.DUMMYFUNCTION("""COMPUTED_VALUE"""),23.15)</f>
        <v>23.15</v>
      </c>
      <c r="D632" s="1">
        <f ca="1">IFERROR(__xludf.DUMMYFUNCTION("""COMPUTED_VALUE"""),21.76)</f>
        <v>21.76</v>
      </c>
      <c r="E632" s="1">
        <f ca="1">IFERROR(__xludf.DUMMYFUNCTION("""COMPUTED_VALUE"""),21.81)</f>
        <v>21.81</v>
      </c>
      <c r="F632" s="1">
        <f ca="1">IFERROR(__xludf.DUMMYFUNCTION("""COMPUTED_VALUE"""),17046701)</f>
        <v>17046701</v>
      </c>
    </row>
    <row r="633" spans="1:6" x14ac:dyDescent="0.35">
      <c r="A633" s="2">
        <f ca="1">IFERROR(__xludf.DUMMYFUNCTION("""COMPUTED_VALUE"""),42922.6666666666)</f>
        <v>42922.666666666599</v>
      </c>
      <c r="B633" s="1">
        <f ca="1">IFERROR(__xludf.DUMMYFUNCTION("""COMPUTED_VALUE"""),21.15)</f>
        <v>21.15</v>
      </c>
      <c r="C633" s="1">
        <f ca="1">IFERROR(__xludf.DUMMYFUNCTION("""COMPUTED_VALUE"""),21.39)</f>
        <v>21.39</v>
      </c>
      <c r="D633" s="1">
        <f ca="1">IFERROR(__xludf.DUMMYFUNCTION("""COMPUTED_VALUE"""),20.42)</f>
        <v>20.420000000000002</v>
      </c>
      <c r="E633" s="1">
        <f ca="1">IFERROR(__xludf.DUMMYFUNCTION("""COMPUTED_VALUE"""),20.59)</f>
        <v>20.59</v>
      </c>
      <c r="F633" s="1">
        <f ca="1">IFERROR(__xludf.DUMMYFUNCTION("""COMPUTED_VALUE"""),19324495)</f>
        <v>19324495</v>
      </c>
    </row>
    <row r="634" spans="1:6" x14ac:dyDescent="0.35">
      <c r="A634" s="2">
        <f ca="1">IFERROR(__xludf.DUMMYFUNCTION("""COMPUTED_VALUE"""),42923.6666666666)</f>
        <v>42923.666666666599</v>
      </c>
      <c r="B634" s="1">
        <f ca="1">IFERROR(__xludf.DUMMYFUNCTION("""COMPUTED_VALUE"""),20.9)</f>
        <v>20.9</v>
      </c>
      <c r="C634" s="1">
        <f ca="1">IFERROR(__xludf.DUMMYFUNCTION("""COMPUTED_VALUE"""),21.13)</f>
        <v>21.13</v>
      </c>
      <c r="D634" s="1">
        <f ca="1">IFERROR(__xludf.DUMMYFUNCTION("""COMPUTED_VALUE"""),20.49)</f>
        <v>20.49</v>
      </c>
      <c r="E634" s="1">
        <f ca="1">IFERROR(__xludf.DUMMYFUNCTION("""COMPUTED_VALUE"""),20.88)</f>
        <v>20.88</v>
      </c>
      <c r="F634" s="1">
        <f ca="1">IFERROR(__xludf.DUMMYFUNCTION("""COMPUTED_VALUE"""),14176915)</f>
        <v>14176915</v>
      </c>
    </row>
    <row r="635" spans="1:6" x14ac:dyDescent="0.35">
      <c r="A635" s="2">
        <f ca="1">IFERROR(__xludf.DUMMYFUNCTION("""COMPUTED_VALUE"""),42926.6666666666)</f>
        <v>42926.666666666599</v>
      </c>
      <c r="B635" s="1">
        <f ca="1">IFERROR(__xludf.DUMMYFUNCTION("""COMPUTED_VALUE"""),20.86)</f>
        <v>20.86</v>
      </c>
      <c r="C635" s="1">
        <f ca="1">IFERROR(__xludf.DUMMYFUNCTION("""COMPUTED_VALUE"""),21.2)</f>
        <v>21.2</v>
      </c>
      <c r="D635" s="1">
        <f ca="1">IFERROR(__xludf.DUMMYFUNCTION("""COMPUTED_VALUE"""),20.21)</f>
        <v>20.21</v>
      </c>
      <c r="E635" s="1">
        <f ca="1">IFERROR(__xludf.DUMMYFUNCTION("""COMPUTED_VALUE"""),21.07)</f>
        <v>21.07</v>
      </c>
      <c r="F635" s="1">
        <f ca="1">IFERROR(__xludf.DUMMYFUNCTION("""COMPUTED_VALUE"""),13820889)</f>
        <v>13820889</v>
      </c>
    </row>
    <row r="636" spans="1:6" x14ac:dyDescent="0.35">
      <c r="A636" s="2">
        <f ca="1">IFERROR(__xludf.DUMMYFUNCTION("""COMPUTED_VALUE"""),42927.6666666666)</f>
        <v>42927.666666666599</v>
      </c>
      <c r="B636" s="1">
        <f ca="1">IFERROR(__xludf.DUMMYFUNCTION("""COMPUTED_VALUE"""),21.07)</f>
        <v>21.07</v>
      </c>
      <c r="C636" s="1">
        <f ca="1">IFERROR(__xludf.DUMMYFUNCTION("""COMPUTED_VALUE"""),21.82)</f>
        <v>21.82</v>
      </c>
      <c r="D636" s="1">
        <f ca="1">IFERROR(__xludf.DUMMYFUNCTION("""COMPUTED_VALUE"""),20.95)</f>
        <v>20.95</v>
      </c>
      <c r="E636" s="1">
        <f ca="1">IFERROR(__xludf.DUMMYFUNCTION("""COMPUTED_VALUE"""),21.81)</f>
        <v>21.81</v>
      </c>
      <c r="F636" s="1">
        <f ca="1">IFERROR(__xludf.DUMMYFUNCTION("""COMPUTED_VALUE"""),11559402)</f>
        <v>11559402</v>
      </c>
    </row>
    <row r="637" spans="1:6" x14ac:dyDescent="0.35">
      <c r="A637" s="2">
        <f ca="1">IFERROR(__xludf.DUMMYFUNCTION("""COMPUTED_VALUE"""),42928.6666666666)</f>
        <v>42928.666666666599</v>
      </c>
      <c r="B637" s="1">
        <f ca="1">IFERROR(__xludf.DUMMYFUNCTION("""COMPUTED_VALUE"""),22.03)</f>
        <v>22.03</v>
      </c>
      <c r="C637" s="1">
        <f ca="1">IFERROR(__xludf.DUMMYFUNCTION("""COMPUTED_VALUE"""),22.21)</f>
        <v>22.21</v>
      </c>
      <c r="D637" s="1">
        <f ca="1">IFERROR(__xludf.DUMMYFUNCTION("""COMPUTED_VALUE"""),21.63)</f>
        <v>21.63</v>
      </c>
      <c r="E637" s="1">
        <f ca="1">IFERROR(__xludf.DUMMYFUNCTION("""COMPUTED_VALUE"""),21.97)</f>
        <v>21.97</v>
      </c>
      <c r="F637" s="1">
        <f ca="1">IFERROR(__xludf.DUMMYFUNCTION("""COMPUTED_VALUE"""),10346127)</f>
        <v>10346127</v>
      </c>
    </row>
    <row r="638" spans="1:6" x14ac:dyDescent="0.35">
      <c r="A638" s="2">
        <f ca="1">IFERROR(__xludf.DUMMYFUNCTION("""COMPUTED_VALUE"""),42929.6666666666)</f>
        <v>42929.666666666599</v>
      </c>
      <c r="B638" s="1">
        <f ca="1">IFERROR(__xludf.DUMMYFUNCTION("""COMPUTED_VALUE"""),22.01)</f>
        <v>22.01</v>
      </c>
      <c r="C638" s="1">
        <f ca="1">IFERROR(__xludf.DUMMYFUNCTION("""COMPUTED_VALUE"""),22.11)</f>
        <v>22.11</v>
      </c>
      <c r="D638" s="1">
        <f ca="1">IFERROR(__xludf.DUMMYFUNCTION("""COMPUTED_VALUE"""),21.33)</f>
        <v>21.33</v>
      </c>
      <c r="E638" s="1">
        <f ca="1">IFERROR(__xludf.DUMMYFUNCTION("""COMPUTED_VALUE"""),21.56)</f>
        <v>21.56</v>
      </c>
      <c r="F638" s="1">
        <f ca="1">IFERROR(__xludf.DUMMYFUNCTION("""COMPUTED_VALUE"""),8594466)</f>
        <v>8594466</v>
      </c>
    </row>
    <row r="639" spans="1:6" x14ac:dyDescent="0.35">
      <c r="A639" s="2">
        <f ca="1">IFERROR(__xludf.DUMMYFUNCTION("""COMPUTED_VALUE"""),42930.6666666666)</f>
        <v>42930.666666666599</v>
      </c>
      <c r="B639" s="1">
        <f ca="1">IFERROR(__xludf.DUMMYFUNCTION("""COMPUTED_VALUE"""),21.55)</f>
        <v>21.55</v>
      </c>
      <c r="C639" s="1">
        <f ca="1">IFERROR(__xludf.DUMMYFUNCTION("""COMPUTED_VALUE"""),21.89)</f>
        <v>21.89</v>
      </c>
      <c r="D639" s="1">
        <f ca="1">IFERROR(__xludf.DUMMYFUNCTION("""COMPUTED_VALUE"""),21.41)</f>
        <v>21.41</v>
      </c>
      <c r="E639" s="1">
        <f ca="1">IFERROR(__xludf.DUMMYFUNCTION("""COMPUTED_VALUE"""),21.85)</f>
        <v>21.85</v>
      </c>
      <c r="F639" s="1">
        <f ca="1">IFERROR(__xludf.DUMMYFUNCTION("""COMPUTED_VALUE"""),5625211)</f>
        <v>5625211</v>
      </c>
    </row>
    <row r="640" spans="1:6" x14ac:dyDescent="0.35">
      <c r="A640" s="2">
        <f ca="1">IFERROR(__xludf.DUMMYFUNCTION("""COMPUTED_VALUE"""),42933.6666666666)</f>
        <v>42933.666666666599</v>
      </c>
      <c r="B640" s="1">
        <f ca="1">IFERROR(__xludf.DUMMYFUNCTION("""COMPUTED_VALUE"""),21.7)</f>
        <v>21.7</v>
      </c>
      <c r="C640" s="1">
        <f ca="1">IFERROR(__xludf.DUMMYFUNCTION("""COMPUTED_VALUE"""),21.81)</f>
        <v>21.81</v>
      </c>
      <c r="D640" s="1">
        <f ca="1">IFERROR(__xludf.DUMMYFUNCTION("""COMPUTED_VALUE"""),20.9)</f>
        <v>20.9</v>
      </c>
      <c r="E640" s="1">
        <f ca="1">IFERROR(__xludf.DUMMYFUNCTION("""COMPUTED_VALUE"""),21.3)</f>
        <v>21.3</v>
      </c>
      <c r="F640" s="1">
        <f ca="1">IFERROR(__xludf.DUMMYFUNCTION("""COMPUTED_VALUE"""),9876912)</f>
        <v>9876912</v>
      </c>
    </row>
    <row r="641" spans="1:6" x14ac:dyDescent="0.35">
      <c r="A641" s="2">
        <f ca="1">IFERROR(__xludf.DUMMYFUNCTION("""COMPUTED_VALUE"""),42934.6666666666)</f>
        <v>42934.666666666599</v>
      </c>
      <c r="B641" s="1">
        <f ca="1">IFERROR(__xludf.DUMMYFUNCTION("""COMPUTED_VALUE"""),21.17)</f>
        <v>21.17</v>
      </c>
      <c r="C641" s="1">
        <f ca="1">IFERROR(__xludf.DUMMYFUNCTION("""COMPUTED_VALUE"""),21.94)</f>
        <v>21.94</v>
      </c>
      <c r="D641" s="1">
        <f ca="1">IFERROR(__xludf.DUMMYFUNCTION("""COMPUTED_VALUE"""),21.04)</f>
        <v>21.04</v>
      </c>
      <c r="E641" s="1">
        <f ca="1">IFERROR(__xludf.DUMMYFUNCTION("""COMPUTED_VALUE"""),21.88)</f>
        <v>21.88</v>
      </c>
      <c r="F641" s="1">
        <f ca="1">IFERROR(__xludf.DUMMYFUNCTION("""COMPUTED_VALUE"""),6373720)</f>
        <v>6373720</v>
      </c>
    </row>
    <row r="642" spans="1:6" x14ac:dyDescent="0.35">
      <c r="A642" s="2">
        <f ca="1">IFERROR(__xludf.DUMMYFUNCTION("""COMPUTED_VALUE"""),42935.6666666666)</f>
        <v>42935.666666666599</v>
      </c>
      <c r="B642" s="1">
        <f ca="1">IFERROR(__xludf.DUMMYFUNCTION("""COMPUTED_VALUE"""),21.88)</f>
        <v>21.88</v>
      </c>
      <c r="C642" s="1">
        <f ca="1">IFERROR(__xludf.DUMMYFUNCTION("""COMPUTED_VALUE"""),22.11)</f>
        <v>22.11</v>
      </c>
      <c r="D642" s="1">
        <f ca="1">IFERROR(__xludf.DUMMYFUNCTION("""COMPUTED_VALUE"""),21.55)</f>
        <v>21.55</v>
      </c>
      <c r="E642" s="1">
        <f ca="1">IFERROR(__xludf.DUMMYFUNCTION("""COMPUTED_VALUE"""),21.68)</f>
        <v>21.68</v>
      </c>
      <c r="F642" s="1">
        <f ca="1">IFERROR(__xludf.DUMMYFUNCTION("""COMPUTED_VALUE"""),6357014)</f>
        <v>6357014</v>
      </c>
    </row>
    <row r="643" spans="1:6" x14ac:dyDescent="0.35">
      <c r="A643" s="2">
        <f ca="1">IFERROR(__xludf.DUMMYFUNCTION("""COMPUTED_VALUE"""),42936.6666666666)</f>
        <v>42936.666666666599</v>
      </c>
      <c r="B643" s="1">
        <f ca="1">IFERROR(__xludf.DUMMYFUNCTION("""COMPUTED_VALUE"""),21.79)</f>
        <v>21.79</v>
      </c>
      <c r="C643" s="1">
        <f ca="1">IFERROR(__xludf.DUMMYFUNCTION("""COMPUTED_VALUE"""),22.01)</f>
        <v>22.01</v>
      </c>
      <c r="D643" s="1">
        <f ca="1">IFERROR(__xludf.DUMMYFUNCTION("""COMPUTED_VALUE"""),21.61)</f>
        <v>21.61</v>
      </c>
      <c r="E643" s="1">
        <f ca="1">IFERROR(__xludf.DUMMYFUNCTION("""COMPUTED_VALUE"""),21.99)</f>
        <v>21.99</v>
      </c>
      <c r="F643" s="1">
        <f ca="1">IFERROR(__xludf.DUMMYFUNCTION("""COMPUTED_VALUE"""),5166188)</f>
        <v>5166188</v>
      </c>
    </row>
    <row r="644" spans="1:6" x14ac:dyDescent="0.35">
      <c r="A644" s="2">
        <f ca="1">IFERROR(__xludf.DUMMYFUNCTION("""COMPUTED_VALUE"""),42937.6666666666)</f>
        <v>42937.666666666599</v>
      </c>
      <c r="B644" s="1">
        <f ca="1">IFERROR(__xludf.DUMMYFUNCTION("""COMPUTED_VALUE"""),21.96)</f>
        <v>21.96</v>
      </c>
      <c r="C644" s="1">
        <f ca="1">IFERROR(__xludf.DUMMYFUNCTION("""COMPUTED_VALUE"""),22.08)</f>
        <v>22.08</v>
      </c>
      <c r="D644" s="1">
        <f ca="1">IFERROR(__xludf.DUMMYFUNCTION("""COMPUTED_VALUE"""),21.72)</f>
        <v>21.72</v>
      </c>
      <c r="E644" s="1">
        <f ca="1">IFERROR(__xludf.DUMMYFUNCTION("""COMPUTED_VALUE"""),21.89)</f>
        <v>21.89</v>
      </c>
      <c r="F644" s="1">
        <f ca="1">IFERROR(__xludf.DUMMYFUNCTION("""COMPUTED_VALUE"""),4901606)</f>
        <v>4901606</v>
      </c>
    </row>
    <row r="645" spans="1:6" x14ac:dyDescent="0.35">
      <c r="A645" s="2">
        <f ca="1">IFERROR(__xludf.DUMMYFUNCTION("""COMPUTED_VALUE"""),42940.6666666666)</f>
        <v>42940.666666666599</v>
      </c>
      <c r="B645" s="1">
        <f ca="1">IFERROR(__xludf.DUMMYFUNCTION("""COMPUTED_VALUE"""),22.02)</f>
        <v>22.02</v>
      </c>
      <c r="C645" s="1">
        <f ca="1">IFERROR(__xludf.DUMMYFUNCTION("""COMPUTED_VALUE"""),22.89)</f>
        <v>22.89</v>
      </c>
      <c r="D645" s="1">
        <f ca="1">IFERROR(__xludf.DUMMYFUNCTION("""COMPUTED_VALUE"""),22)</f>
        <v>22</v>
      </c>
      <c r="E645" s="1">
        <f ca="1">IFERROR(__xludf.DUMMYFUNCTION("""COMPUTED_VALUE"""),22.83)</f>
        <v>22.83</v>
      </c>
      <c r="F645" s="1">
        <f ca="1">IFERROR(__xludf.DUMMYFUNCTION("""COMPUTED_VALUE"""),8637082)</f>
        <v>8637082</v>
      </c>
    </row>
    <row r="646" spans="1:6" x14ac:dyDescent="0.35">
      <c r="A646" s="2">
        <f ca="1">IFERROR(__xludf.DUMMYFUNCTION("""COMPUTED_VALUE"""),42941.6666666666)</f>
        <v>42941.666666666599</v>
      </c>
      <c r="B646" s="1">
        <f ca="1">IFERROR(__xludf.DUMMYFUNCTION("""COMPUTED_VALUE"""),23)</f>
        <v>23</v>
      </c>
      <c r="C646" s="1">
        <f ca="1">IFERROR(__xludf.DUMMYFUNCTION("""COMPUTED_VALUE"""),23.04)</f>
        <v>23.04</v>
      </c>
      <c r="D646" s="1">
        <f ca="1">IFERROR(__xludf.DUMMYFUNCTION("""COMPUTED_VALUE"""),22.28)</f>
        <v>22.28</v>
      </c>
      <c r="E646" s="1">
        <f ca="1">IFERROR(__xludf.DUMMYFUNCTION("""COMPUTED_VALUE"""),22.64)</f>
        <v>22.64</v>
      </c>
      <c r="F646" s="1">
        <f ca="1">IFERROR(__xludf.DUMMYFUNCTION("""COMPUTED_VALUE"""),6989197)</f>
        <v>6989197</v>
      </c>
    </row>
    <row r="647" spans="1:6" x14ac:dyDescent="0.35">
      <c r="A647" s="2">
        <f ca="1">IFERROR(__xludf.DUMMYFUNCTION("""COMPUTED_VALUE"""),42942.6666666666)</f>
        <v>42942.666666666599</v>
      </c>
      <c r="B647" s="1">
        <f ca="1">IFERROR(__xludf.DUMMYFUNCTION("""COMPUTED_VALUE"""),22.69)</f>
        <v>22.69</v>
      </c>
      <c r="C647" s="1">
        <f ca="1">IFERROR(__xludf.DUMMYFUNCTION("""COMPUTED_VALUE"""),23.03)</f>
        <v>23.03</v>
      </c>
      <c r="D647" s="1">
        <f ca="1">IFERROR(__xludf.DUMMYFUNCTION("""COMPUTED_VALUE"""),22.54)</f>
        <v>22.54</v>
      </c>
      <c r="E647" s="1">
        <f ca="1">IFERROR(__xludf.DUMMYFUNCTION("""COMPUTED_VALUE"""),22.92)</f>
        <v>22.92</v>
      </c>
      <c r="F647" s="1">
        <f ca="1">IFERROR(__xludf.DUMMYFUNCTION("""COMPUTED_VALUE"""),4820790)</f>
        <v>4820790</v>
      </c>
    </row>
    <row r="648" spans="1:6" x14ac:dyDescent="0.35">
      <c r="A648" s="2">
        <f ca="1">IFERROR(__xludf.DUMMYFUNCTION("""COMPUTED_VALUE"""),42943.6666666666)</f>
        <v>42943.666666666599</v>
      </c>
      <c r="B648" s="1">
        <f ca="1">IFERROR(__xludf.DUMMYFUNCTION("""COMPUTED_VALUE"""),23.07)</f>
        <v>23.07</v>
      </c>
      <c r="C648" s="1">
        <f ca="1">IFERROR(__xludf.DUMMYFUNCTION("""COMPUTED_VALUE"""),23.17)</f>
        <v>23.17</v>
      </c>
      <c r="D648" s="1">
        <f ca="1">IFERROR(__xludf.DUMMYFUNCTION("""COMPUTED_VALUE"""),21.75)</f>
        <v>21.75</v>
      </c>
      <c r="E648" s="1">
        <f ca="1">IFERROR(__xludf.DUMMYFUNCTION("""COMPUTED_VALUE"""),22.3)</f>
        <v>22.3</v>
      </c>
      <c r="F648" s="1">
        <f ca="1">IFERROR(__xludf.DUMMYFUNCTION("""COMPUTED_VALUE"""),8302405)</f>
        <v>8302405</v>
      </c>
    </row>
    <row r="649" spans="1:6" x14ac:dyDescent="0.35">
      <c r="A649" s="2">
        <f ca="1">IFERROR(__xludf.DUMMYFUNCTION("""COMPUTED_VALUE"""),42944.6666666666)</f>
        <v>42944.666666666599</v>
      </c>
      <c r="B649" s="1">
        <f ca="1">IFERROR(__xludf.DUMMYFUNCTION("""COMPUTED_VALUE"""),22.46)</f>
        <v>22.46</v>
      </c>
      <c r="C649" s="1">
        <f ca="1">IFERROR(__xludf.DUMMYFUNCTION("""COMPUTED_VALUE"""),22.64)</f>
        <v>22.64</v>
      </c>
      <c r="D649" s="1">
        <f ca="1">IFERROR(__xludf.DUMMYFUNCTION("""COMPUTED_VALUE"""),22.17)</f>
        <v>22.17</v>
      </c>
      <c r="E649" s="1">
        <f ca="1">IFERROR(__xludf.DUMMYFUNCTION("""COMPUTED_VALUE"""),22.34)</f>
        <v>22.34</v>
      </c>
      <c r="F649" s="1">
        <f ca="1">IFERROR(__xludf.DUMMYFUNCTION("""COMPUTED_VALUE"""),4880414)</f>
        <v>4880414</v>
      </c>
    </row>
    <row r="650" spans="1:6" x14ac:dyDescent="0.35">
      <c r="A650" s="2">
        <f ca="1">IFERROR(__xludf.DUMMYFUNCTION("""COMPUTED_VALUE"""),42947.6666666666)</f>
        <v>42947.666666666599</v>
      </c>
      <c r="B650" s="1">
        <f ca="1">IFERROR(__xludf.DUMMYFUNCTION("""COMPUTED_VALUE"""),22.37)</f>
        <v>22.37</v>
      </c>
      <c r="C650" s="1">
        <f ca="1">IFERROR(__xludf.DUMMYFUNCTION("""COMPUTED_VALUE"""),22.77)</f>
        <v>22.77</v>
      </c>
      <c r="D650" s="1">
        <f ca="1">IFERROR(__xludf.DUMMYFUNCTION("""COMPUTED_VALUE"""),21.4)</f>
        <v>21.4</v>
      </c>
      <c r="E650" s="1">
        <f ca="1">IFERROR(__xludf.DUMMYFUNCTION("""COMPUTED_VALUE"""),21.56)</f>
        <v>21.56</v>
      </c>
      <c r="F650" s="1">
        <f ca="1">IFERROR(__xludf.DUMMYFUNCTION("""COMPUTED_VALUE"""),8535136)</f>
        <v>8535136</v>
      </c>
    </row>
    <row r="651" spans="1:6" x14ac:dyDescent="0.35">
      <c r="A651" s="2">
        <f ca="1">IFERROR(__xludf.DUMMYFUNCTION("""COMPUTED_VALUE"""),42948.6666666666)</f>
        <v>42948.666666666599</v>
      </c>
      <c r="B651" s="1">
        <f ca="1">IFERROR(__xludf.DUMMYFUNCTION("""COMPUTED_VALUE"""),21.53)</f>
        <v>21.53</v>
      </c>
      <c r="C651" s="1">
        <f ca="1">IFERROR(__xludf.DUMMYFUNCTION("""COMPUTED_VALUE"""),21.63)</f>
        <v>21.63</v>
      </c>
      <c r="D651" s="1">
        <f ca="1">IFERROR(__xludf.DUMMYFUNCTION("""COMPUTED_VALUE"""),21.08)</f>
        <v>21.08</v>
      </c>
      <c r="E651" s="1">
        <f ca="1">IFERROR(__xludf.DUMMYFUNCTION("""COMPUTED_VALUE"""),21.3)</f>
        <v>21.3</v>
      </c>
      <c r="F651" s="1">
        <f ca="1">IFERROR(__xludf.DUMMYFUNCTION("""COMPUTED_VALUE"""),8303102)</f>
        <v>8303102</v>
      </c>
    </row>
    <row r="652" spans="1:6" x14ac:dyDescent="0.35">
      <c r="A652" s="2">
        <f ca="1">IFERROR(__xludf.DUMMYFUNCTION("""COMPUTED_VALUE"""),42949.6666666666)</f>
        <v>42949.666666666599</v>
      </c>
      <c r="B652" s="1">
        <f ca="1">IFERROR(__xludf.DUMMYFUNCTION("""COMPUTED_VALUE"""),21.26)</f>
        <v>21.26</v>
      </c>
      <c r="C652" s="1">
        <f ca="1">IFERROR(__xludf.DUMMYFUNCTION("""COMPUTED_VALUE"""),21.81)</f>
        <v>21.81</v>
      </c>
      <c r="D652" s="1">
        <f ca="1">IFERROR(__xludf.DUMMYFUNCTION("""COMPUTED_VALUE"""),20.75)</f>
        <v>20.75</v>
      </c>
      <c r="E652" s="1">
        <f ca="1">IFERROR(__xludf.DUMMYFUNCTION("""COMPUTED_VALUE"""),21.73)</f>
        <v>21.73</v>
      </c>
      <c r="F652" s="1">
        <f ca="1">IFERROR(__xludf.DUMMYFUNCTION("""COMPUTED_VALUE"""),13091462)</f>
        <v>13091462</v>
      </c>
    </row>
    <row r="653" spans="1:6" x14ac:dyDescent="0.35">
      <c r="A653" s="2">
        <f ca="1">IFERROR(__xludf.DUMMYFUNCTION("""COMPUTED_VALUE"""),42950.6666666666)</f>
        <v>42950.666666666599</v>
      </c>
      <c r="B653" s="1">
        <f ca="1">IFERROR(__xludf.DUMMYFUNCTION("""COMPUTED_VALUE"""),23.02)</f>
        <v>23.02</v>
      </c>
      <c r="C653" s="1">
        <f ca="1">IFERROR(__xludf.DUMMYFUNCTION("""COMPUTED_VALUE"""),23.33)</f>
        <v>23.33</v>
      </c>
      <c r="D653" s="1">
        <f ca="1">IFERROR(__xludf.DUMMYFUNCTION("""COMPUTED_VALUE"""),22.88)</f>
        <v>22.88</v>
      </c>
      <c r="E653" s="1">
        <f ca="1">IFERROR(__xludf.DUMMYFUNCTION("""COMPUTED_VALUE"""),23.14)</f>
        <v>23.14</v>
      </c>
      <c r="F653" s="1">
        <f ca="1">IFERROR(__xludf.DUMMYFUNCTION("""COMPUTED_VALUE"""),13535033)</f>
        <v>13535033</v>
      </c>
    </row>
    <row r="654" spans="1:6" x14ac:dyDescent="0.35">
      <c r="A654" s="2">
        <f ca="1">IFERROR(__xludf.DUMMYFUNCTION("""COMPUTED_VALUE"""),42951.6666666666)</f>
        <v>42951.666666666599</v>
      </c>
      <c r="B654" s="1">
        <f ca="1">IFERROR(__xludf.DUMMYFUNCTION("""COMPUTED_VALUE"""),23.13)</f>
        <v>23.13</v>
      </c>
      <c r="C654" s="1">
        <f ca="1">IFERROR(__xludf.DUMMYFUNCTION("""COMPUTED_VALUE"""),23.82)</f>
        <v>23.82</v>
      </c>
      <c r="D654" s="1">
        <f ca="1">IFERROR(__xludf.DUMMYFUNCTION("""COMPUTED_VALUE"""),22.89)</f>
        <v>22.89</v>
      </c>
      <c r="E654" s="1">
        <f ca="1">IFERROR(__xludf.DUMMYFUNCTION("""COMPUTED_VALUE"""),23.79)</f>
        <v>23.79</v>
      </c>
      <c r="F654" s="1">
        <f ca="1">IFERROR(__xludf.DUMMYFUNCTION("""COMPUTED_VALUE"""),9268909)</f>
        <v>9268909</v>
      </c>
    </row>
    <row r="655" spans="1:6" x14ac:dyDescent="0.35">
      <c r="A655" s="2">
        <f ca="1">IFERROR(__xludf.DUMMYFUNCTION("""COMPUTED_VALUE"""),42954.6666666666)</f>
        <v>42954.666666666599</v>
      </c>
      <c r="B655" s="1">
        <f ca="1">IFERROR(__xludf.DUMMYFUNCTION("""COMPUTED_VALUE"""),23.82)</f>
        <v>23.82</v>
      </c>
      <c r="C655" s="1">
        <f ca="1">IFERROR(__xludf.DUMMYFUNCTION("""COMPUTED_VALUE"""),23.97)</f>
        <v>23.97</v>
      </c>
      <c r="D655" s="1">
        <f ca="1">IFERROR(__xludf.DUMMYFUNCTION("""COMPUTED_VALUE"""),23.52)</f>
        <v>23.52</v>
      </c>
      <c r="E655" s="1">
        <f ca="1">IFERROR(__xludf.DUMMYFUNCTION("""COMPUTED_VALUE"""),23.68)</f>
        <v>23.68</v>
      </c>
      <c r="F655" s="1">
        <f ca="1">IFERROR(__xludf.DUMMYFUNCTION("""COMPUTED_VALUE"""),6324480)</f>
        <v>6324480</v>
      </c>
    </row>
    <row r="656" spans="1:6" x14ac:dyDescent="0.35">
      <c r="A656" s="2">
        <f ca="1">IFERROR(__xludf.DUMMYFUNCTION("""COMPUTED_VALUE"""),42955.6666666666)</f>
        <v>42955.666666666599</v>
      </c>
      <c r="B656" s="1">
        <f ca="1">IFERROR(__xludf.DUMMYFUNCTION("""COMPUTED_VALUE"""),23.84)</f>
        <v>23.84</v>
      </c>
      <c r="C656" s="1">
        <f ca="1">IFERROR(__xludf.DUMMYFUNCTION("""COMPUTED_VALUE"""),24.57)</f>
        <v>24.57</v>
      </c>
      <c r="D656" s="1">
        <f ca="1">IFERROR(__xludf.DUMMYFUNCTION("""COMPUTED_VALUE"""),23.83)</f>
        <v>23.83</v>
      </c>
      <c r="E656" s="1">
        <f ca="1">IFERROR(__xludf.DUMMYFUNCTION("""COMPUTED_VALUE"""),24.35)</f>
        <v>24.35</v>
      </c>
      <c r="F656" s="1">
        <f ca="1">IFERROR(__xludf.DUMMYFUNCTION("""COMPUTED_VALUE"""),7449837)</f>
        <v>7449837</v>
      </c>
    </row>
    <row r="657" spans="1:6" x14ac:dyDescent="0.35">
      <c r="A657" s="2">
        <f ca="1">IFERROR(__xludf.DUMMYFUNCTION("""COMPUTED_VALUE"""),42956.6666666666)</f>
        <v>42956.666666666599</v>
      </c>
      <c r="B657" s="1">
        <f ca="1">IFERROR(__xludf.DUMMYFUNCTION("""COMPUTED_VALUE"""),24.07)</f>
        <v>24.07</v>
      </c>
      <c r="C657" s="1">
        <f ca="1">IFERROR(__xludf.DUMMYFUNCTION("""COMPUTED_VALUE"""),24.67)</f>
        <v>24.67</v>
      </c>
      <c r="D657" s="1">
        <f ca="1">IFERROR(__xludf.DUMMYFUNCTION("""COMPUTED_VALUE"""),23.93)</f>
        <v>23.93</v>
      </c>
      <c r="E657" s="1">
        <f ca="1">IFERROR(__xludf.DUMMYFUNCTION("""COMPUTED_VALUE"""),24.24)</f>
        <v>24.24</v>
      </c>
      <c r="F657" s="1">
        <f ca="1">IFERROR(__xludf.DUMMYFUNCTION("""COMPUTED_VALUE"""),6892096)</f>
        <v>6892096</v>
      </c>
    </row>
    <row r="658" spans="1:6" x14ac:dyDescent="0.35">
      <c r="A658" s="2">
        <f ca="1">IFERROR(__xludf.DUMMYFUNCTION("""COMPUTED_VALUE"""),42957.6666666666)</f>
        <v>42957.666666666599</v>
      </c>
      <c r="B658" s="1">
        <f ca="1">IFERROR(__xludf.DUMMYFUNCTION("""COMPUTED_VALUE"""),24.11)</f>
        <v>24.11</v>
      </c>
      <c r="C658" s="1">
        <f ca="1">IFERROR(__xludf.DUMMYFUNCTION("""COMPUTED_VALUE"""),24.44)</f>
        <v>24.44</v>
      </c>
      <c r="D658" s="1">
        <f ca="1">IFERROR(__xludf.DUMMYFUNCTION("""COMPUTED_VALUE"""),23.64)</f>
        <v>23.64</v>
      </c>
      <c r="E658" s="1">
        <f ca="1">IFERROR(__xludf.DUMMYFUNCTION("""COMPUTED_VALUE"""),23.69)</f>
        <v>23.69</v>
      </c>
      <c r="F658" s="1">
        <f ca="1">IFERROR(__xludf.DUMMYFUNCTION("""COMPUTED_VALUE"""),7092858)</f>
        <v>7092858</v>
      </c>
    </row>
    <row r="659" spans="1:6" x14ac:dyDescent="0.35">
      <c r="A659" s="2">
        <f ca="1">IFERROR(__xludf.DUMMYFUNCTION("""COMPUTED_VALUE"""),42958.6666666666)</f>
        <v>42958.666666666599</v>
      </c>
      <c r="B659" s="1">
        <f ca="1">IFERROR(__xludf.DUMMYFUNCTION("""COMPUTED_VALUE"""),23.8)</f>
        <v>23.8</v>
      </c>
      <c r="C659" s="1">
        <f ca="1">IFERROR(__xludf.DUMMYFUNCTION("""COMPUTED_VALUE"""),24.08)</f>
        <v>24.08</v>
      </c>
      <c r="D659" s="1">
        <f ca="1">IFERROR(__xludf.DUMMYFUNCTION("""COMPUTED_VALUE"""),23.57)</f>
        <v>23.57</v>
      </c>
      <c r="E659" s="1">
        <f ca="1">IFERROR(__xludf.DUMMYFUNCTION("""COMPUTED_VALUE"""),23.86)</f>
        <v>23.86</v>
      </c>
      <c r="F659" s="1">
        <f ca="1">IFERROR(__xludf.DUMMYFUNCTION("""COMPUTED_VALUE"""),4365783)</f>
        <v>4365783</v>
      </c>
    </row>
    <row r="660" spans="1:6" x14ac:dyDescent="0.35">
      <c r="A660" s="2">
        <f ca="1">IFERROR(__xludf.DUMMYFUNCTION("""COMPUTED_VALUE"""),42961.6666666666)</f>
        <v>42961.666666666599</v>
      </c>
      <c r="B660" s="1">
        <f ca="1">IFERROR(__xludf.DUMMYFUNCTION("""COMPUTED_VALUE"""),24.31)</f>
        <v>24.31</v>
      </c>
      <c r="C660" s="1">
        <f ca="1">IFERROR(__xludf.DUMMYFUNCTION("""COMPUTED_VALUE"""),24.51)</f>
        <v>24.51</v>
      </c>
      <c r="D660" s="1">
        <f ca="1">IFERROR(__xludf.DUMMYFUNCTION("""COMPUTED_VALUE"""),24.17)</f>
        <v>24.17</v>
      </c>
      <c r="E660" s="1">
        <f ca="1">IFERROR(__xludf.DUMMYFUNCTION("""COMPUTED_VALUE"""),24.25)</f>
        <v>24.25</v>
      </c>
      <c r="F660" s="1">
        <f ca="1">IFERROR(__xludf.DUMMYFUNCTION("""COMPUTED_VALUE"""),4519186)</f>
        <v>4519186</v>
      </c>
    </row>
    <row r="661" spans="1:6" x14ac:dyDescent="0.35">
      <c r="A661" s="2">
        <f ca="1">IFERROR(__xludf.DUMMYFUNCTION("""COMPUTED_VALUE"""),42962.6666666666)</f>
        <v>42962.666666666599</v>
      </c>
      <c r="B661" s="1">
        <f ca="1">IFERROR(__xludf.DUMMYFUNCTION("""COMPUTED_VALUE"""),24.35)</f>
        <v>24.35</v>
      </c>
      <c r="C661" s="1">
        <f ca="1">IFERROR(__xludf.DUMMYFUNCTION("""COMPUTED_VALUE"""),24.37)</f>
        <v>24.37</v>
      </c>
      <c r="D661" s="1">
        <f ca="1">IFERROR(__xludf.DUMMYFUNCTION("""COMPUTED_VALUE"""),23.96)</f>
        <v>23.96</v>
      </c>
      <c r="E661" s="1">
        <f ca="1">IFERROR(__xludf.DUMMYFUNCTION("""COMPUTED_VALUE"""),24.16)</f>
        <v>24.16</v>
      </c>
      <c r="F661" s="1">
        <f ca="1">IFERROR(__xludf.DUMMYFUNCTION("""COMPUTED_VALUE"""),3085088)</f>
        <v>3085088</v>
      </c>
    </row>
    <row r="662" spans="1:6" x14ac:dyDescent="0.35">
      <c r="A662" s="2">
        <f ca="1">IFERROR(__xludf.DUMMYFUNCTION("""COMPUTED_VALUE"""),42963.6666666666)</f>
        <v>42963.666666666599</v>
      </c>
      <c r="B662" s="1">
        <f ca="1">IFERROR(__xludf.DUMMYFUNCTION("""COMPUTED_VALUE"""),24.2)</f>
        <v>24.2</v>
      </c>
      <c r="C662" s="1">
        <f ca="1">IFERROR(__xludf.DUMMYFUNCTION("""COMPUTED_VALUE"""),24.43)</f>
        <v>24.43</v>
      </c>
      <c r="D662" s="1">
        <f ca="1">IFERROR(__xludf.DUMMYFUNCTION("""COMPUTED_VALUE"""),24.17)</f>
        <v>24.17</v>
      </c>
      <c r="E662" s="1">
        <f ca="1">IFERROR(__xludf.DUMMYFUNCTION("""COMPUTED_VALUE"""),24.19)</f>
        <v>24.19</v>
      </c>
      <c r="F662" s="1">
        <f ca="1">IFERROR(__xludf.DUMMYFUNCTION("""COMPUTED_VALUE"""),3413773)</f>
        <v>3413773</v>
      </c>
    </row>
    <row r="663" spans="1:6" x14ac:dyDescent="0.35">
      <c r="A663" s="2">
        <f ca="1">IFERROR(__xludf.DUMMYFUNCTION("""COMPUTED_VALUE"""),42964.6666666666)</f>
        <v>42964.666666666599</v>
      </c>
      <c r="B663" s="1">
        <f ca="1">IFERROR(__xludf.DUMMYFUNCTION("""COMPUTED_VALUE"""),24.08)</f>
        <v>24.08</v>
      </c>
      <c r="C663" s="1">
        <f ca="1">IFERROR(__xludf.DUMMYFUNCTION("""COMPUTED_VALUE"""),24.22)</f>
        <v>24.22</v>
      </c>
      <c r="D663" s="1">
        <f ca="1">IFERROR(__xludf.DUMMYFUNCTION("""COMPUTED_VALUE"""),23.44)</f>
        <v>23.44</v>
      </c>
      <c r="E663" s="1">
        <f ca="1">IFERROR(__xludf.DUMMYFUNCTION("""COMPUTED_VALUE"""),23.46)</f>
        <v>23.46</v>
      </c>
      <c r="F663" s="1">
        <f ca="1">IFERROR(__xludf.DUMMYFUNCTION("""COMPUTED_VALUE"""),5027660)</f>
        <v>5027660</v>
      </c>
    </row>
    <row r="664" spans="1:6" x14ac:dyDescent="0.35">
      <c r="A664" s="2">
        <f ca="1">IFERROR(__xludf.DUMMYFUNCTION("""COMPUTED_VALUE"""),42965.6666666666)</f>
        <v>42965.666666666599</v>
      </c>
      <c r="B664" s="1">
        <f ca="1">IFERROR(__xludf.DUMMYFUNCTION("""COMPUTED_VALUE"""),23.53)</f>
        <v>23.53</v>
      </c>
      <c r="C664" s="1">
        <f ca="1">IFERROR(__xludf.DUMMYFUNCTION("""COMPUTED_VALUE"""),23.6)</f>
        <v>23.6</v>
      </c>
      <c r="D664" s="1">
        <f ca="1">IFERROR(__xludf.DUMMYFUNCTION("""COMPUTED_VALUE"""),23.05)</f>
        <v>23.05</v>
      </c>
      <c r="E664" s="1">
        <f ca="1">IFERROR(__xludf.DUMMYFUNCTION("""COMPUTED_VALUE"""),23.16)</f>
        <v>23.16</v>
      </c>
      <c r="F664" s="1">
        <f ca="1">IFERROR(__xludf.DUMMYFUNCTION("""COMPUTED_VALUE"""),5408183)</f>
        <v>5408183</v>
      </c>
    </row>
    <row r="665" spans="1:6" x14ac:dyDescent="0.35">
      <c r="A665" s="2">
        <f ca="1">IFERROR(__xludf.DUMMYFUNCTION("""COMPUTED_VALUE"""),42968.6666666666)</f>
        <v>42968.666666666599</v>
      </c>
      <c r="B665" s="1">
        <f ca="1">IFERROR(__xludf.DUMMYFUNCTION("""COMPUTED_VALUE"""),23.05)</f>
        <v>23.05</v>
      </c>
      <c r="C665" s="1">
        <f ca="1">IFERROR(__xludf.DUMMYFUNCTION("""COMPUTED_VALUE"""),23.05)</f>
        <v>23.05</v>
      </c>
      <c r="D665" s="1">
        <f ca="1">IFERROR(__xludf.DUMMYFUNCTION("""COMPUTED_VALUE"""),22.12)</f>
        <v>22.12</v>
      </c>
      <c r="E665" s="1">
        <f ca="1">IFERROR(__xludf.DUMMYFUNCTION("""COMPUTED_VALUE"""),22.52)</f>
        <v>22.52</v>
      </c>
      <c r="F665" s="1">
        <f ca="1">IFERROR(__xludf.DUMMYFUNCTION("""COMPUTED_VALUE"""),6495424)</f>
        <v>6495424</v>
      </c>
    </row>
    <row r="666" spans="1:6" x14ac:dyDescent="0.35">
      <c r="A666" s="2">
        <f ca="1">IFERROR(__xludf.DUMMYFUNCTION("""COMPUTED_VALUE"""),42969.6666666666)</f>
        <v>42969.666666666599</v>
      </c>
      <c r="B666" s="1">
        <f ca="1">IFERROR(__xludf.DUMMYFUNCTION("""COMPUTED_VALUE"""),22.74)</f>
        <v>22.74</v>
      </c>
      <c r="C666" s="1">
        <f ca="1">IFERROR(__xludf.DUMMYFUNCTION("""COMPUTED_VALUE"""),22.82)</f>
        <v>22.82</v>
      </c>
      <c r="D666" s="1">
        <f ca="1">IFERROR(__xludf.DUMMYFUNCTION("""COMPUTED_VALUE"""),22.49)</f>
        <v>22.49</v>
      </c>
      <c r="E666" s="1">
        <f ca="1">IFERROR(__xludf.DUMMYFUNCTION("""COMPUTED_VALUE"""),22.76)</f>
        <v>22.76</v>
      </c>
      <c r="F666" s="1">
        <f ca="1">IFERROR(__xludf.DUMMYFUNCTION("""COMPUTED_VALUE"""),4321966)</f>
        <v>4321966</v>
      </c>
    </row>
    <row r="667" spans="1:6" x14ac:dyDescent="0.35">
      <c r="A667" s="2">
        <f ca="1">IFERROR(__xludf.DUMMYFUNCTION("""COMPUTED_VALUE"""),42970.6666666666)</f>
        <v>42970.666666666599</v>
      </c>
      <c r="B667" s="1">
        <f ca="1">IFERROR(__xludf.DUMMYFUNCTION("""COMPUTED_VALUE"""),22.6)</f>
        <v>22.6</v>
      </c>
      <c r="C667" s="1">
        <f ca="1">IFERROR(__xludf.DUMMYFUNCTION("""COMPUTED_VALUE"""),23.57)</f>
        <v>23.57</v>
      </c>
      <c r="D667" s="1">
        <f ca="1">IFERROR(__xludf.DUMMYFUNCTION("""COMPUTED_VALUE"""),22.55)</f>
        <v>22.55</v>
      </c>
      <c r="E667" s="1">
        <f ca="1">IFERROR(__xludf.DUMMYFUNCTION("""COMPUTED_VALUE"""),23.52)</f>
        <v>23.52</v>
      </c>
      <c r="F667" s="1">
        <f ca="1">IFERROR(__xludf.DUMMYFUNCTION("""COMPUTED_VALUE"""),4954504)</f>
        <v>4954504</v>
      </c>
    </row>
    <row r="668" spans="1:6" x14ac:dyDescent="0.35">
      <c r="A668" s="2">
        <f ca="1">IFERROR(__xludf.DUMMYFUNCTION("""COMPUTED_VALUE"""),42971.6666666666)</f>
        <v>42971.666666666599</v>
      </c>
      <c r="B668" s="1">
        <f ca="1">IFERROR(__xludf.DUMMYFUNCTION("""COMPUTED_VALUE"""),23.5)</f>
        <v>23.5</v>
      </c>
      <c r="C668" s="1">
        <f ca="1">IFERROR(__xludf.DUMMYFUNCTION("""COMPUTED_VALUE"""),23.78)</f>
        <v>23.78</v>
      </c>
      <c r="D668" s="1">
        <f ca="1">IFERROR(__xludf.DUMMYFUNCTION("""COMPUTED_VALUE"""),23.32)</f>
        <v>23.32</v>
      </c>
      <c r="E668" s="1">
        <f ca="1">IFERROR(__xludf.DUMMYFUNCTION("""COMPUTED_VALUE"""),23.53)</f>
        <v>23.53</v>
      </c>
      <c r="F668" s="1">
        <f ca="1">IFERROR(__xludf.DUMMYFUNCTION("""COMPUTED_VALUE"""),4584687)</f>
        <v>4584687</v>
      </c>
    </row>
    <row r="669" spans="1:6" x14ac:dyDescent="0.35">
      <c r="A669" s="2">
        <f ca="1">IFERROR(__xludf.DUMMYFUNCTION("""COMPUTED_VALUE"""),42972.6666666666)</f>
        <v>42972.666666666599</v>
      </c>
      <c r="B669" s="1">
        <f ca="1">IFERROR(__xludf.DUMMYFUNCTION("""COMPUTED_VALUE"""),23.62)</f>
        <v>23.62</v>
      </c>
      <c r="C669" s="1">
        <f ca="1">IFERROR(__xludf.DUMMYFUNCTION("""COMPUTED_VALUE"""),23.71)</f>
        <v>23.71</v>
      </c>
      <c r="D669" s="1">
        <f ca="1">IFERROR(__xludf.DUMMYFUNCTION("""COMPUTED_VALUE"""),23.15)</f>
        <v>23.15</v>
      </c>
      <c r="E669" s="1">
        <f ca="1">IFERROR(__xludf.DUMMYFUNCTION("""COMPUTED_VALUE"""),23.2)</f>
        <v>23.2</v>
      </c>
      <c r="F669" s="1">
        <f ca="1">IFERROR(__xludf.DUMMYFUNCTION("""COMPUTED_VALUE"""),3483956)</f>
        <v>3483956</v>
      </c>
    </row>
    <row r="670" spans="1:6" x14ac:dyDescent="0.35">
      <c r="A670" s="2">
        <f ca="1">IFERROR(__xludf.DUMMYFUNCTION("""COMPUTED_VALUE"""),42975.6666666666)</f>
        <v>42975.666666666599</v>
      </c>
      <c r="B670" s="1">
        <f ca="1">IFERROR(__xludf.DUMMYFUNCTION("""COMPUTED_VALUE"""),23.15)</f>
        <v>23.15</v>
      </c>
      <c r="C670" s="1">
        <f ca="1">IFERROR(__xludf.DUMMYFUNCTION("""COMPUTED_VALUE"""),23.16)</f>
        <v>23.16</v>
      </c>
      <c r="D670" s="1">
        <f ca="1">IFERROR(__xludf.DUMMYFUNCTION("""COMPUTED_VALUE"""),22.65)</f>
        <v>22.65</v>
      </c>
      <c r="E670" s="1">
        <f ca="1">IFERROR(__xludf.DUMMYFUNCTION("""COMPUTED_VALUE"""),23.04)</f>
        <v>23.04</v>
      </c>
      <c r="F670" s="1">
        <f ca="1">IFERROR(__xludf.DUMMYFUNCTION("""COMPUTED_VALUE"""),3763956)</f>
        <v>3763956</v>
      </c>
    </row>
    <row r="671" spans="1:6" x14ac:dyDescent="0.35">
      <c r="A671" s="2">
        <f ca="1">IFERROR(__xludf.DUMMYFUNCTION("""COMPUTED_VALUE"""),42976.6666666666)</f>
        <v>42976.666666666599</v>
      </c>
      <c r="B671" s="1">
        <f ca="1">IFERROR(__xludf.DUMMYFUNCTION("""COMPUTED_VALUE"""),22.63)</f>
        <v>22.63</v>
      </c>
      <c r="C671" s="1">
        <f ca="1">IFERROR(__xludf.DUMMYFUNCTION("""COMPUTED_VALUE"""),23.27)</f>
        <v>23.27</v>
      </c>
      <c r="D671" s="1">
        <f ca="1">IFERROR(__xludf.DUMMYFUNCTION("""COMPUTED_VALUE"""),22.58)</f>
        <v>22.58</v>
      </c>
      <c r="E671" s="1">
        <f ca="1">IFERROR(__xludf.DUMMYFUNCTION("""COMPUTED_VALUE"""),23.16)</f>
        <v>23.16</v>
      </c>
      <c r="F671" s="1">
        <f ca="1">IFERROR(__xludf.DUMMYFUNCTION("""COMPUTED_VALUE"""),4073675)</f>
        <v>4073675</v>
      </c>
    </row>
    <row r="672" spans="1:6" x14ac:dyDescent="0.35">
      <c r="A672" s="2">
        <f ca="1">IFERROR(__xludf.DUMMYFUNCTION("""COMPUTED_VALUE"""),42977.6666666666)</f>
        <v>42977.666666666599</v>
      </c>
      <c r="B672" s="1">
        <f ca="1">IFERROR(__xludf.DUMMYFUNCTION("""COMPUTED_VALUE"""),23.31)</f>
        <v>23.31</v>
      </c>
      <c r="C672" s="1">
        <f ca="1">IFERROR(__xludf.DUMMYFUNCTION("""COMPUTED_VALUE"""),23.56)</f>
        <v>23.56</v>
      </c>
      <c r="D672" s="1">
        <f ca="1">IFERROR(__xludf.DUMMYFUNCTION("""COMPUTED_VALUE"""),23.13)</f>
        <v>23.13</v>
      </c>
      <c r="E672" s="1">
        <f ca="1">IFERROR(__xludf.DUMMYFUNCTION("""COMPUTED_VALUE"""),23.55)</f>
        <v>23.55</v>
      </c>
      <c r="F672" s="1">
        <f ca="1">IFERROR(__xludf.DUMMYFUNCTION("""COMPUTED_VALUE"""),3412943)</f>
        <v>3412943</v>
      </c>
    </row>
    <row r="673" spans="1:6" x14ac:dyDescent="0.35">
      <c r="A673" s="2">
        <f ca="1">IFERROR(__xludf.DUMMYFUNCTION("""COMPUTED_VALUE"""),42978.6666666666)</f>
        <v>42978.666666666599</v>
      </c>
      <c r="B673" s="1">
        <f ca="1">IFERROR(__xludf.DUMMYFUNCTION("""COMPUTED_VALUE"""),23.57)</f>
        <v>23.57</v>
      </c>
      <c r="C673" s="1">
        <f ca="1">IFERROR(__xludf.DUMMYFUNCTION("""COMPUTED_VALUE"""),23.9)</f>
        <v>23.9</v>
      </c>
      <c r="D673" s="1">
        <f ca="1">IFERROR(__xludf.DUMMYFUNCTION("""COMPUTED_VALUE"""),23.52)</f>
        <v>23.52</v>
      </c>
      <c r="E673" s="1">
        <f ca="1">IFERROR(__xludf.DUMMYFUNCTION("""COMPUTED_VALUE"""),23.73)</f>
        <v>23.73</v>
      </c>
      <c r="F673" s="1">
        <f ca="1">IFERROR(__xludf.DUMMYFUNCTION("""COMPUTED_VALUE"""),4072795)</f>
        <v>4072795</v>
      </c>
    </row>
    <row r="674" spans="1:6" x14ac:dyDescent="0.35">
      <c r="A674" s="2">
        <f ca="1">IFERROR(__xludf.DUMMYFUNCTION("""COMPUTED_VALUE"""),42979.6666666666)</f>
        <v>42979.666666666599</v>
      </c>
      <c r="B674" s="1">
        <f ca="1">IFERROR(__xludf.DUMMYFUNCTION("""COMPUTED_VALUE"""),23.74)</f>
        <v>23.74</v>
      </c>
      <c r="C674" s="1">
        <f ca="1">IFERROR(__xludf.DUMMYFUNCTION("""COMPUTED_VALUE"""),23.84)</f>
        <v>23.84</v>
      </c>
      <c r="D674" s="1">
        <f ca="1">IFERROR(__xludf.DUMMYFUNCTION("""COMPUTED_VALUE"""),23.58)</f>
        <v>23.58</v>
      </c>
      <c r="E674" s="1">
        <f ca="1">IFERROR(__xludf.DUMMYFUNCTION("""COMPUTED_VALUE"""),23.69)</f>
        <v>23.69</v>
      </c>
      <c r="F674" s="1">
        <f ca="1">IFERROR(__xludf.DUMMYFUNCTION("""COMPUTED_VALUE"""),3049546)</f>
        <v>3049546</v>
      </c>
    </row>
    <row r="675" spans="1:6" x14ac:dyDescent="0.35">
      <c r="A675" s="2">
        <f ca="1">IFERROR(__xludf.DUMMYFUNCTION("""COMPUTED_VALUE"""),42983.6666666666)</f>
        <v>42983.666666666599</v>
      </c>
      <c r="B675" s="1">
        <f ca="1">IFERROR(__xludf.DUMMYFUNCTION("""COMPUTED_VALUE"""),23.59)</f>
        <v>23.59</v>
      </c>
      <c r="C675" s="1">
        <f ca="1">IFERROR(__xludf.DUMMYFUNCTION("""COMPUTED_VALUE"""),23.7)</f>
        <v>23.7</v>
      </c>
      <c r="D675" s="1">
        <f ca="1">IFERROR(__xludf.DUMMYFUNCTION("""COMPUTED_VALUE"""),23.06)</f>
        <v>23.06</v>
      </c>
      <c r="E675" s="1">
        <f ca="1">IFERROR(__xludf.DUMMYFUNCTION("""COMPUTED_VALUE"""),23.31)</f>
        <v>23.31</v>
      </c>
      <c r="F675" s="1">
        <f ca="1">IFERROR(__xludf.DUMMYFUNCTION("""COMPUTED_VALUE"""),3848382)</f>
        <v>3848382</v>
      </c>
    </row>
    <row r="676" spans="1:6" x14ac:dyDescent="0.35">
      <c r="A676" s="2">
        <f ca="1">IFERROR(__xludf.DUMMYFUNCTION("""COMPUTED_VALUE"""),42984.6666666666)</f>
        <v>42984.666666666599</v>
      </c>
      <c r="B676" s="1">
        <f ca="1">IFERROR(__xludf.DUMMYFUNCTION("""COMPUTED_VALUE"""),23.3)</f>
        <v>23.3</v>
      </c>
      <c r="C676" s="1">
        <f ca="1">IFERROR(__xludf.DUMMYFUNCTION("""COMPUTED_VALUE"""),23.4)</f>
        <v>23.4</v>
      </c>
      <c r="D676" s="1">
        <f ca="1">IFERROR(__xludf.DUMMYFUNCTION("""COMPUTED_VALUE"""),22.77)</f>
        <v>22.77</v>
      </c>
      <c r="E676" s="1">
        <f ca="1">IFERROR(__xludf.DUMMYFUNCTION("""COMPUTED_VALUE"""),22.97)</f>
        <v>22.97</v>
      </c>
      <c r="F676" s="1">
        <f ca="1">IFERROR(__xludf.DUMMYFUNCTION("""COMPUTED_VALUE"""),4091351)</f>
        <v>4091351</v>
      </c>
    </row>
    <row r="677" spans="1:6" x14ac:dyDescent="0.35">
      <c r="A677" s="2">
        <f ca="1">IFERROR(__xludf.DUMMYFUNCTION("""COMPUTED_VALUE"""),42985.6666666666)</f>
        <v>42985.666666666599</v>
      </c>
      <c r="B677" s="1">
        <f ca="1">IFERROR(__xludf.DUMMYFUNCTION("""COMPUTED_VALUE"""),23.07)</f>
        <v>23.07</v>
      </c>
      <c r="C677" s="1">
        <f ca="1">IFERROR(__xludf.DUMMYFUNCTION("""COMPUTED_VALUE"""),23.5)</f>
        <v>23.5</v>
      </c>
      <c r="D677" s="1">
        <f ca="1">IFERROR(__xludf.DUMMYFUNCTION("""COMPUTED_VALUE"""),22.9)</f>
        <v>22.9</v>
      </c>
      <c r="E677" s="1">
        <f ca="1">IFERROR(__xludf.DUMMYFUNCTION("""COMPUTED_VALUE"""),23.37)</f>
        <v>23.37</v>
      </c>
      <c r="F677" s="1">
        <f ca="1">IFERROR(__xludf.DUMMYFUNCTION("""COMPUTED_VALUE"""),4239213)</f>
        <v>4239213</v>
      </c>
    </row>
    <row r="678" spans="1:6" x14ac:dyDescent="0.35">
      <c r="A678" s="2">
        <f ca="1">IFERROR(__xludf.DUMMYFUNCTION("""COMPUTED_VALUE"""),42986.6666666666)</f>
        <v>42986.666666666599</v>
      </c>
      <c r="B678" s="1">
        <f ca="1">IFERROR(__xludf.DUMMYFUNCTION("""COMPUTED_VALUE"""),23.27)</f>
        <v>23.27</v>
      </c>
      <c r="C678" s="1">
        <f ca="1">IFERROR(__xludf.DUMMYFUNCTION("""COMPUTED_VALUE"""),23.32)</f>
        <v>23.32</v>
      </c>
      <c r="D678" s="1">
        <f ca="1">IFERROR(__xludf.DUMMYFUNCTION("""COMPUTED_VALUE"""),22.82)</f>
        <v>22.82</v>
      </c>
      <c r="E678" s="1">
        <f ca="1">IFERROR(__xludf.DUMMYFUNCTION("""COMPUTED_VALUE"""),22.89)</f>
        <v>22.89</v>
      </c>
      <c r="F678" s="1">
        <f ca="1">IFERROR(__xludf.DUMMYFUNCTION("""COMPUTED_VALUE"""),3263508)</f>
        <v>3263508</v>
      </c>
    </row>
    <row r="679" spans="1:6" x14ac:dyDescent="0.35">
      <c r="A679" s="2">
        <f ca="1">IFERROR(__xludf.DUMMYFUNCTION("""COMPUTED_VALUE"""),42989.6666666666)</f>
        <v>42989.666666666599</v>
      </c>
      <c r="B679" s="1">
        <f ca="1">IFERROR(__xludf.DUMMYFUNCTION("""COMPUTED_VALUE"""),23.42)</f>
        <v>23.42</v>
      </c>
      <c r="C679" s="1">
        <f ca="1">IFERROR(__xludf.DUMMYFUNCTION("""COMPUTED_VALUE"""),24.25)</f>
        <v>24.25</v>
      </c>
      <c r="D679" s="1">
        <f ca="1">IFERROR(__xludf.DUMMYFUNCTION("""COMPUTED_VALUE"""),23.33)</f>
        <v>23.33</v>
      </c>
      <c r="E679" s="1">
        <f ca="1">IFERROR(__xludf.DUMMYFUNCTION("""COMPUTED_VALUE"""),24.25)</f>
        <v>24.25</v>
      </c>
      <c r="F679" s="1">
        <f ca="1">IFERROR(__xludf.DUMMYFUNCTION("""COMPUTED_VALUE"""),7667055)</f>
        <v>7667055</v>
      </c>
    </row>
    <row r="680" spans="1:6" x14ac:dyDescent="0.35">
      <c r="A680" s="2">
        <f ca="1">IFERROR(__xludf.DUMMYFUNCTION("""COMPUTED_VALUE"""),42990.6666666666)</f>
        <v>42990.666666666599</v>
      </c>
      <c r="B680" s="1">
        <f ca="1">IFERROR(__xludf.DUMMYFUNCTION("""COMPUTED_VALUE"""),24.3)</f>
        <v>24.3</v>
      </c>
      <c r="C680" s="1">
        <f ca="1">IFERROR(__xludf.DUMMYFUNCTION("""COMPUTED_VALUE"""),24.58)</f>
        <v>24.58</v>
      </c>
      <c r="D680" s="1">
        <f ca="1">IFERROR(__xludf.DUMMYFUNCTION("""COMPUTED_VALUE"""),24.03)</f>
        <v>24.03</v>
      </c>
      <c r="E680" s="1">
        <f ca="1">IFERROR(__xludf.DUMMYFUNCTION("""COMPUTED_VALUE"""),24.18)</f>
        <v>24.18</v>
      </c>
      <c r="F680" s="1">
        <f ca="1">IFERROR(__xludf.DUMMYFUNCTION("""COMPUTED_VALUE"""),5972907)</f>
        <v>5972907</v>
      </c>
    </row>
    <row r="681" spans="1:6" x14ac:dyDescent="0.35">
      <c r="A681" s="2">
        <f ca="1">IFERROR(__xludf.DUMMYFUNCTION("""COMPUTED_VALUE"""),42991.6666666666)</f>
        <v>42991.666666666599</v>
      </c>
      <c r="B681" s="1">
        <f ca="1">IFERROR(__xludf.DUMMYFUNCTION("""COMPUTED_VALUE"""),24.25)</f>
        <v>24.25</v>
      </c>
      <c r="C681" s="1">
        <f ca="1">IFERROR(__xludf.DUMMYFUNCTION("""COMPUTED_VALUE"""),24.54)</f>
        <v>24.54</v>
      </c>
      <c r="D681" s="1">
        <f ca="1">IFERROR(__xludf.DUMMYFUNCTION("""COMPUTED_VALUE"""),23.97)</f>
        <v>23.97</v>
      </c>
      <c r="E681" s="1">
        <f ca="1">IFERROR(__xludf.DUMMYFUNCTION("""COMPUTED_VALUE"""),24.42)</f>
        <v>24.42</v>
      </c>
      <c r="F681" s="1">
        <f ca="1">IFERROR(__xludf.DUMMYFUNCTION("""COMPUTED_VALUE"""),4185231)</f>
        <v>4185231</v>
      </c>
    </row>
    <row r="682" spans="1:6" x14ac:dyDescent="0.35">
      <c r="A682" s="2">
        <f ca="1">IFERROR(__xludf.DUMMYFUNCTION("""COMPUTED_VALUE"""),42992.6666666666)</f>
        <v>42992.666666666599</v>
      </c>
      <c r="B682" s="1">
        <f ca="1">IFERROR(__xludf.DUMMYFUNCTION("""COMPUTED_VALUE"""),24.29)</f>
        <v>24.29</v>
      </c>
      <c r="C682" s="1">
        <f ca="1">IFERROR(__xludf.DUMMYFUNCTION("""COMPUTED_VALUE"""),25.2)</f>
        <v>25.2</v>
      </c>
      <c r="D682" s="1">
        <f ca="1">IFERROR(__xludf.DUMMYFUNCTION("""COMPUTED_VALUE"""),24.18)</f>
        <v>24.18</v>
      </c>
      <c r="E682" s="1">
        <f ca="1">IFERROR(__xludf.DUMMYFUNCTION("""COMPUTED_VALUE"""),25.18)</f>
        <v>25.18</v>
      </c>
      <c r="F682" s="1">
        <f ca="1">IFERROR(__xludf.DUMMYFUNCTION("""COMPUTED_VALUE"""),7202524)</f>
        <v>7202524</v>
      </c>
    </row>
    <row r="683" spans="1:6" x14ac:dyDescent="0.35">
      <c r="A683" s="2">
        <f ca="1">IFERROR(__xludf.DUMMYFUNCTION("""COMPUTED_VALUE"""),42993.6666666666)</f>
        <v>42993.666666666599</v>
      </c>
      <c r="B683" s="1">
        <f ca="1">IFERROR(__xludf.DUMMYFUNCTION("""COMPUTED_VALUE"""),24.97)</f>
        <v>24.97</v>
      </c>
      <c r="C683" s="1">
        <f ca="1">IFERROR(__xludf.DUMMYFUNCTION("""COMPUTED_VALUE"""),25.33)</f>
        <v>25.33</v>
      </c>
      <c r="D683" s="1">
        <f ca="1">IFERROR(__xludf.DUMMYFUNCTION("""COMPUTED_VALUE"""),24.85)</f>
        <v>24.85</v>
      </c>
      <c r="E683" s="1">
        <f ca="1">IFERROR(__xludf.DUMMYFUNCTION("""COMPUTED_VALUE"""),25.32)</f>
        <v>25.32</v>
      </c>
      <c r="F683" s="1">
        <f ca="1">IFERROR(__xludf.DUMMYFUNCTION("""COMPUTED_VALUE"""),5420496)</f>
        <v>5420496</v>
      </c>
    </row>
    <row r="684" spans="1:6" x14ac:dyDescent="0.35">
      <c r="A684" s="2">
        <f ca="1">IFERROR(__xludf.DUMMYFUNCTION("""COMPUTED_VALUE"""),42996.6666666666)</f>
        <v>42996.666666666599</v>
      </c>
      <c r="B684" s="1">
        <f ca="1">IFERROR(__xludf.DUMMYFUNCTION("""COMPUTED_VALUE"""),25.35)</f>
        <v>25.35</v>
      </c>
      <c r="C684" s="1">
        <f ca="1">IFERROR(__xludf.DUMMYFUNCTION("""COMPUTED_VALUE"""),25.97)</f>
        <v>25.97</v>
      </c>
      <c r="D684" s="1">
        <f ca="1">IFERROR(__xludf.DUMMYFUNCTION("""COMPUTED_VALUE"""),25.18)</f>
        <v>25.18</v>
      </c>
      <c r="E684" s="1">
        <f ca="1">IFERROR(__xludf.DUMMYFUNCTION("""COMPUTED_VALUE"""),25.67)</f>
        <v>25.67</v>
      </c>
      <c r="F684" s="1">
        <f ca="1">IFERROR(__xludf.DUMMYFUNCTION("""COMPUTED_VALUE"""),7187980)</f>
        <v>7187980</v>
      </c>
    </row>
    <row r="685" spans="1:6" x14ac:dyDescent="0.35">
      <c r="A685" s="2">
        <f ca="1">IFERROR(__xludf.DUMMYFUNCTION("""COMPUTED_VALUE"""),42997.6666666666)</f>
        <v>42997.666666666599</v>
      </c>
      <c r="B685" s="1">
        <f ca="1">IFERROR(__xludf.DUMMYFUNCTION("""COMPUTED_VALUE"""),25.33)</f>
        <v>25.33</v>
      </c>
      <c r="C685" s="1">
        <f ca="1">IFERROR(__xludf.DUMMYFUNCTION("""COMPUTED_VALUE"""),25.49)</f>
        <v>25.49</v>
      </c>
      <c r="D685" s="1">
        <f ca="1">IFERROR(__xludf.DUMMYFUNCTION("""COMPUTED_VALUE"""),24.9)</f>
        <v>24.9</v>
      </c>
      <c r="E685" s="1">
        <f ca="1">IFERROR(__xludf.DUMMYFUNCTION("""COMPUTED_VALUE"""),25.01)</f>
        <v>25.01</v>
      </c>
      <c r="F685" s="1">
        <f ca="1">IFERROR(__xludf.DUMMYFUNCTION("""COMPUTED_VALUE"""),6451886)</f>
        <v>6451886</v>
      </c>
    </row>
    <row r="686" spans="1:6" x14ac:dyDescent="0.35">
      <c r="A686" s="2">
        <f ca="1">IFERROR(__xludf.DUMMYFUNCTION("""COMPUTED_VALUE"""),42998.6666666666)</f>
        <v>42998.666666666599</v>
      </c>
      <c r="B686" s="1">
        <f ca="1">IFERROR(__xludf.DUMMYFUNCTION("""COMPUTED_VALUE"""),24.87)</f>
        <v>24.87</v>
      </c>
      <c r="C686" s="1">
        <f ca="1">IFERROR(__xludf.DUMMYFUNCTION("""COMPUTED_VALUE"""),25.22)</f>
        <v>25.22</v>
      </c>
      <c r="D686" s="1">
        <f ca="1">IFERROR(__xludf.DUMMYFUNCTION("""COMPUTED_VALUE"""),24.74)</f>
        <v>24.74</v>
      </c>
      <c r="E686" s="1">
        <f ca="1">IFERROR(__xludf.DUMMYFUNCTION("""COMPUTED_VALUE"""),24.93)</f>
        <v>24.93</v>
      </c>
      <c r="F686" s="1">
        <f ca="1">IFERROR(__xludf.DUMMYFUNCTION("""COMPUTED_VALUE"""),4919052)</f>
        <v>4919052</v>
      </c>
    </row>
    <row r="687" spans="1:6" x14ac:dyDescent="0.35">
      <c r="A687" s="2">
        <f ca="1">IFERROR(__xludf.DUMMYFUNCTION("""COMPUTED_VALUE"""),42999.6666666666)</f>
        <v>42999.666666666599</v>
      </c>
      <c r="B687" s="1">
        <f ca="1">IFERROR(__xludf.DUMMYFUNCTION("""COMPUTED_VALUE"""),24.99)</f>
        <v>24.99</v>
      </c>
      <c r="C687" s="1">
        <f ca="1">IFERROR(__xludf.DUMMYFUNCTION("""COMPUTED_VALUE"""),25.12)</f>
        <v>25.12</v>
      </c>
      <c r="D687" s="1">
        <f ca="1">IFERROR(__xludf.DUMMYFUNCTION("""COMPUTED_VALUE"""),24.3)</f>
        <v>24.3</v>
      </c>
      <c r="E687" s="1">
        <f ca="1">IFERROR(__xludf.DUMMYFUNCTION("""COMPUTED_VALUE"""),24.43)</f>
        <v>24.43</v>
      </c>
      <c r="F687" s="1">
        <f ca="1">IFERROR(__xludf.DUMMYFUNCTION("""COMPUTED_VALUE"""),4618190)</f>
        <v>4618190</v>
      </c>
    </row>
    <row r="688" spans="1:6" x14ac:dyDescent="0.35">
      <c r="A688" s="2">
        <f ca="1">IFERROR(__xludf.DUMMYFUNCTION("""COMPUTED_VALUE"""),43000.6666666666)</f>
        <v>43000.666666666599</v>
      </c>
      <c r="B688" s="1">
        <f ca="1">IFERROR(__xludf.DUMMYFUNCTION("""COMPUTED_VALUE"""),24.43)</f>
        <v>24.43</v>
      </c>
      <c r="C688" s="1">
        <f ca="1">IFERROR(__xludf.DUMMYFUNCTION("""COMPUTED_VALUE"""),24.66)</f>
        <v>24.66</v>
      </c>
      <c r="D688" s="1">
        <f ca="1">IFERROR(__xludf.DUMMYFUNCTION("""COMPUTED_VALUE"""),23.39)</f>
        <v>23.39</v>
      </c>
      <c r="E688" s="1">
        <f ca="1">IFERROR(__xludf.DUMMYFUNCTION("""COMPUTED_VALUE"""),23.41)</f>
        <v>23.41</v>
      </c>
      <c r="F688" s="1">
        <f ca="1">IFERROR(__xludf.DUMMYFUNCTION("""COMPUTED_VALUE"""),8159418)</f>
        <v>8159418</v>
      </c>
    </row>
    <row r="689" spans="1:6" x14ac:dyDescent="0.35">
      <c r="A689" s="2">
        <f ca="1">IFERROR(__xludf.DUMMYFUNCTION("""COMPUTED_VALUE"""),43003.6666666666)</f>
        <v>43003.666666666599</v>
      </c>
      <c r="B689" s="1">
        <f ca="1">IFERROR(__xludf.DUMMYFUNCTION("""COMPUTED_VALUE"""),23.54)</f>
        <v>23.54</v>
      </c>
      <c r="C689" s="1">
        <f ca="1">IFERROR(__xludf.DUMMYFUNCTION("""COMPUTED_VALUE"""),23.83)</f>
        <v>23.83</v>
      </c>
      <c r="D689" s="1">
        <f ca="1">IFERROR(__xludf.DUMMYFUNCTION("""COMPUTED_VALUE"""),22.86)</f>
        <v>22.86</v>
      </c>
      <c r="E689" s="1">
        <f ca="1">IFERROR(__xludf.DUMMYFUNCTION("""COMPUTED_VALUE"""),23)</f>
        <v>23</v>
      </c>
      <c r="F689" s="1">
        <f ca="1">IFERROR(__xludf.DUMMYFUNCTION("""COMPUTED_VALUE"""),7605946)</f>
        <v>7605946</v>
      </c>
    </row>
    <row r="690" spans="1:6" x14ac:dyDescent="0.35">
      <c r="A690" s="2">
        <f ca="1">IFERROR(__xludf.DUMMYFUNCTION("""COMPUTED_VALUE"""),43004.6666666666)</f>
        <v>43004.666666666599</v>
      </c>
      <c r="B690" s="1">
        <f ca="1">IFERROR(__xludf.DUMMYFUNCTION("""COMPUTED_VALUE"""),23.4)</f>
        <v>23.4</v>
      </c>
      <c r="C690" s="1">
        <f ca="1">IFERROR(__xludf.DUMMYFUNCTION("""COMPUTED_VALUE"""),23.42)</f>
        <v>23.42</v>
      </c>
      <c r="D690" s="1">
        <f ca="1">IFERROR(__xludf.DUMMYFUNCTION("""COMPUTED_VALUE"""),22.73)</f>
        <v>22.73</v>
      </c>
      <c r="E690" s="1">
        <f ca="1">IFERROR(__xludf.DUMMYFUNCTION("""COMPUTED_VALUE"""),23.02)</f>
        <v>23.02</v>
      </c>
      <c r="F690" s="1">
        <f ca="1">IFERROR(__xludf.DUMMYFUNCTION("""COMPUTED_VALUE"""),7156274)</f>
        <v>7156274</v>
      </c>
    </row>
    <row r="691" spans="1:6" x14ac:dyDescent="0.35">
      <c r="A691" s="2">
        <f ca="1">IFERROR(__xludf.DUMMYFUNCTION("""COMPUTED_VALUE"""),43005.6666666666)</f>
        <v>43005.666666666599</v>
      </c>
      <c r="B691" s="1">
        <f ca="1">IFERROR(__xludf.DUMMYFUNCTION("""COMPUTED_VALUE"""),23.33)</f>
        <v>23.33</v>
      </c>
      <c r="C691" s="1">
        <f ca="1">IFERROR(__xludf.DUMMYFUNCTION("""COMPUTED_VALUE"""),23.43)</f>
        <v>23.43</v>
      </c>
      <c r="D691" s="1">
        <f ca="1">IFERROR(__xludf.DUMMYFUNCTION("""COMPUTED_VALUE"""),22.7)</f>
        <v>22.7</v>
      </c>
      <c r="E691" s="1">
        <f ca="1">IFERROR(__xludf.DUMMYFUNCTION("""COMPUTED_VALUE"""),22.73)</f>
        <v>22.73</v>
      </c>
      <c r="F691" s="1">
        <f ca="1">IFERROR(__xludf.DUMMYFUNCTION("""COMPUTED_VALUE"""),6060330)</f>
        <v>6060330</v>
      </c>
    </row>
    <row r="692" spans="1:6" x14ac:dyDescent="0.35">
      <c r="A692" s="2">
        <f ca="1">IFERROR(__xludf.DUMMYFUNCTION("""COMPUTED_VALUE"""),43006.6666666666)</f>
        <v>43006.666666666599</v>
      </c>
      <c r="B692" s="1">
        <f ca="1">IFERROR(__xludf.DUMMYFUNCTION("""COMPUTED_VALUE"""),22.66)</f>
        <v>22.66</v>
      </c>
      <c r="C692" s="1">
        <f ca="1">IFERROR(__xludf.DUMMYFUNCTION("""COMPUTED_VALUE"""),22.85)</f>
        <v>22.85</v>
      </c>
      <c r="D692" s="1">
        <f ca="1">IFERROR(__xludf.DUMMYFUNCTION("""COMPUTED_VALUE"""),22.36)</f>
        <v>22.36</v>
      </c>
      <c r="E692" s="1">
        <f ca="1">IFERROR(__xludf.DUMMYFUNCTION("""COMPUTED_VALUE"""),22.64)</f>
        <v>22.64</v>
      </c>
      <c r="F692" s="1">
        <f ca="1">IFERROR(__xludf.DUMMYFUNCTION("""COMPUTED_VALUE"""),5319617)</f>
        <v>5319617</v>
      </c>
    </row>
    <row r="693" spans="1:6" x14ac:dyDescent="0.35">
      <c r="A693" s="2">
        <f ca="1">IFERROR(__xludf.DUMMYFUNCTION("""COMPUTED_VALUE"""),43007.6666666666)</f>
        <v>43007.666666666599</v>
      </c>
      <c r="B693" s="1">
        <f ca="1">IFERROR(__xludf.DUMMYFUNCTION("""COMPUTED_VALUE"""),22.79)</f>
        <v>22.79</v>
      </c>
      <c r="C693" s="1">
        <f ca="1">IFERROR(__xludf.DUMMYFUNCTION("""COMPUTED_VALUE"""),22.98)</f>
        <v>22.98</v>
      </c>
      <c r="D693" s="1">
        <f ca="1">IFERROR(__xludf.DUMMYFUNCTION("""COMPUTED_VALUE"""),22.57)</f>
        <v>22.57</v>
      </c>
      <c r="E693" s="1">
        <f ca="1">IFERROR(__xludf.DUMMYFUNCTION("""COMPUTED_VALUE"""),22.74)</f>
        <v>22.74</v>
      </c>
      <c r="F693" s="1">
        <f ca="1">IFERROR(__xludf.DUMMYFUNCTION("""COMPUTED_VALUE"""),5107082)</f>
        <v>5107082</v>
      </c>
    </row>
    <row r="694" spans="1:6" x14ac:dyDescent="0.35">
      <c r="A694" s="2">
        <f ca="1">IFERROR(__xludf.DUMMYFUNCTION("""COMPUTED_VALUE"""),43010.6666666666)</f>
        <v>43010.666666666599</v>
      </c>
      <c r="B694" s="1">
        <f ca="1">IFERROR(__xludf.DUMMYFUNCTION("""COMPUTED_VALUE"""),22.83)</f>
        <v>22.83</v>
      </c>
      <c r="C694" s="1">
        <f ca="1">IFERROR(__xludf.DUMMYFUNCTION("""COMPUTED_VALUE"""),22.91)</f>
        <v>22.91</v>
      </c>
      <c r="D694" s="1">
        <f ca="1">IFERROR(__xludf.DUMMYFUNCTION("""COMPUTED_VALUE"""),22.37)</f>
        <v>22.37</v>
      </c>
      <c r="E694" s="1">
        <f ca="1">IFERROR(__xludf.DUMMYFUNCTION("""COMPUTED_VALUE"""),22.77)</f>
        <v>22.77</v>
      </c>
      <c r="F694" s="1">
        <f ca="1">IFERROR(__xludf.DUMMYFUNCTION("""COMPUTED_VALUE"""),5286774)</f>
        <v>5286774</v>
      </c>
    </row>
    <row r="695" spans="1:6" x14ac:dyDescent="0.35">
      <c r="A695" s="2">
        <f ca="1">IFERROR(__xludf.DUMMYFUNCTION("""COMPUTED_VALUE"""),43011.6666666666)</f>
        <v>43011.666666666599</v>
      </c>
      <c r="B695" s="1">
        <f ca="1">IFERROR(__xludf.DUMMYFUNCTION("""COMPUTED_VALUE"""),22.39)</f>
        <v>22.39</v>
      </c>
      <c r="C695" s="1">
        <f ca="1">IFERROR(__xludf.DUMMYFUNCTION("""COMPUTED_VALUE"""),23.24)</f>
        <v>23.24</v>
      </c>
      <c r="D695" s="1">
        <f ca="1">IFERROR(__xludf.DUMMYFUNCTION("""COMPUTED_VALUE"""),22.09)</f>
        <v>22.09</v>
      </c>
      <c r="E695" s="1">
        <f ca="1">IFERROR(__xludf.DUMMYFUNCTION("""COMPUTED_VALUE"""),23.21)</f>
        <v>23.21</v>
      </c>
      <c r="F695" s="1">
        <f ca="1">IFERROR(__xludf.DUMMYFUNCTION("""COMPUTED_VALUE"""),10153596)</f>
        <v>10153596</v>
      </c>
    </row>
    <row r="696" spans="1:6" x14ac:dyDescent="0.35">
      <c r="A696" s="2">
        <f ca="1">IFERROR(__xludf.DUMMYFUNCTION("""COMPUTED_VALUE"""),43012.6666666666)</f>
        <v>43012.666666666599</v>
      </c>
      <c r="B696" s="1">
        <f ca="1">IFERROR(__xludf.DUMMYFUNCTION("""COMPUTED_VALUE"""),23.42)</f>
        <v>23.42</v>
      </c>
      <c r="C696" s="1">
        <f ca="1">IFERROR(__xludf.DUMMYFUNCTION("""COMPUTED_VALUE"""),23.91)</f>
        <v>23.91</v>
      </c>
      <c r="D696" s="1">
        <f ca="1">IFERROR(__xludf.DUMMYFUNCTION("""COMPUTED_VALUE"""),23.31)</f>
        <v>23.31</v>
      </c>
      <c r="E696" s="1">
        <f ca="1">IFERROR(__xludf.DUMMYFUNCTION("""COMPUTED_VALUE"""),23.67)</f>
        <v>23.67</v>
      </c>
      <c r="F696" s="1">
        <f ca="1">IFERROR(__xludf.DUMMYFUNCTION("""COMPUTED_VALUE"""),8163543)</f>
        <v>8163543</v>
      </c>
    </row>
    <row r="697" spans="1:6" x14ac:dyDescent="0.35">
      <c r="A697" s="2">
        <f ca="1">IFERROR(__xludf.DUMMYFUNCTION("""COMPUTED_VALUE"""),43013.6666666666)</f>
        <v>43013.666666666599</v>
      </c>
      <c r="B697" s="1">
        <f ca="1">IFERROR(__xludf.DUMMYFUNCTION("""COMPUTED_VALUE"""),23.73)</f>
        <v>23.73</v>
      </c>
      <c r="C697" s="1">
        <f ca="1">IFERROR(__xludf.DUMMYFUNCTION("""COMPUTED_VALUE"""),23.83)</f>
        <v>23.83</v>
      </c>
      <c r="D697" s="1">
        <f ca="1">IFERROR(__xludf.DUMMYFUNCTION("""COMPUTED_VALUE"""),23.42)</f>
        <v>23.42</v>
      </c>
      <c r="E697" s="1">
        <f ca="1">IFERROR(__xludf.DUMMYFUNCTION("""COMPUTED_VALUE"""),23.69)</f>
        <v>23.69</v>
      </c>
      <c r="F697" s="1">
        <f ca="1">IFERROR(__xludf.DUMMYFUNCTION("""COMPUTED_VALUE"""),4171675)</f>
        <v>4171675</v>
      </c>
    </row>
    <row r="698" spans="1:6" x14ac:dyDescent="0.35">
      <c r="A698" s="2">
        <f ca="1">IFERROR(__xludf.DUMMYFUNCTION("""COMPUTED_VALUE"""),43014.6666666666)</f>
        <v>43014.666666666599</v>
      </c>
      <c r="B698" s="1">
        <f ca="1">IFERROR(__xludf.DUMMYFUNCTION("""COMPUTED_VALUE"""),23.54)</f>
        <v>23.54</v>
      </c>
      <c r="C698" s="1">
        <f ca="1">IFERROR(__xludf.DUMMYFUNCTION("""COMPUTED_VALUE"""),24.01)</f>
        <v>24.01</v>
      </c>
      <c r="D698" s="1">
        <f ca="1">IFERROR(__xludf.DUMMYFUNCTION("""COMPUTED_VALUE"""),23.48)</f>
        <v>23.48</v>
      </c>
      <c r="E698" s="1">
        <f ca="1">IFERROR(__xludf.DUMMYFUNCTION("""COMPUTED_VALUE"""),23.79)</f>
        <v>23.79</v>
      </c>
      <c r="F698" s="1">
        <f ca="1">IFERROR(__xludf.DUMMYFUNCTION("""COMPUTED_VALUE"""),4297474)</f>
        <v>4297474</v>
      </c>
    </row>
    <row r="699" spans="1:6" x14ac:dyDescent="0.35">
      <c r="A699" s="2">
        <f ca="1">IFERROR(__xludf.DUMMYFUNCTION("""COMPUTED_VALUE"""),43017.6666666666)</f>
        <v>43017.666666666599</v>
      </c>
      <c r="B699" s="1">
        <f ca="1">IFERROR(__xludf.DUMMYFUNCTION("""COMPUTED_VALUE"""),23.31)</f>
        <v>23.31</v>
      </c>
      <c r="C699" s="1">
        <f ca="1">IFERROR(__xludf.DUMMYFUNCTION("""COMPUTED_VALUE"""),23.45)</f>
        <v>23.45</v>
      </c>
      <c r="D699" s="1">
        <f ca="1">IFERROR(__xludf.DUMMYFUNCTION("""COMPUTED_VALUE"""),22.84)</f>
        <v>22.84</v>
      </c>
      <c r="E699" s="1">
        <f ca="1">IFERROR(__xludf.DUMMYFUNCTION("""COMPUTED_VALUE"""),22.86)</f>
        <v>22.86</v>
      </c>
      <c r="F699" s="1">
        <f ca="1">IFERROR(__xludf.DUMMYFUNCTION("""COMPUTED_VALUE"""),7493654)</f>
        <v>7493654</v>
      </c>
    </row>
    <row r="700" spans="1:6" x14ac:dyDescent="0.35">
      <c r="A700" s="2">
        <f ca="1">IFERROR(__xludf.DUMMYFUNCTION("""COMPUTED_VALUE"""),43018.6666666666)</f>
        <v>43018.666666666599</v>
      </c>
      <c r="B700" s="1">
        <f ca="1">IFERROR(__xludf.DUMMYFUNCTION("""COMPUTED_VALUE"""),23.12)</f>
        <v>23.12</v>
      </c>
      <c r="C700" s="1">
        <f ca="1">IFERROR(__xludf.DUMMYFUNCTION("""COMPUTED_VALUE"""),23.71)</f>
        <v>23.71</v>
      </c>
      <c r="D700" s="1">
        <f ca="1">IFERROR(__xludf.DUMMYFUNCTION("""COMPUTED_VALUE"""),23.04)</f>
        <v>23.04</v>
      </c>
      <c r="E700" s="1">
        <f ca="1">IFERROR(__xludf.DUMMYFUNCTION("""COMPUTED_VALUE"""),23.71)</f>
        <v>23.71</v>
      </c>
      <c r="F700" s="1">
        <f ca="1">IFERROR(__xludf.DUMMYFUNCTION("""COMPUTED_VALUE"""),6978495)</f>
        <v>6978495</v>
      </c>
    </row>
    <row r="701" spans="1:6" x14ac:dyDescent="0.35">
      <c r="A701" s="2">
        <f ca="1">IFERROR(__xludf.DUMMYFUNCTION("""COMPUTED_VALUE"""),43019.6666666666)</f>
        <v>43019.666666666599</v>
      </c>
      <c r="B701" s="1">
        <f ca="1">IFERROR(__xludf.DUMMYFUNCTION("""COMPUTED_VALUE"""),23.59)</f>
        <v>23.59</v>
      </c>
      <c r="C701" s="1">
        <f ca="1">IFERROR(__xludf.DUMMYFUNCTION("""COMPUTED_VALUE"""),23.84)</f>
        <v>23.84</v>
      </c>
      <c r="D701" s="1">
        <f ca="1">IFERROR(__xludf.DUMMYFUNCTION("""COMPUTED_VALUE"""),23.41)</f>
        <v>23.41</v>
      </c>
      <c r="E701" s="1">
        <f ca="1">IFERROR(__xludf.DUMMYFUNCTION("""COMPUTED_VALUE"""),23.64)</f>
        <v>23.64</v>
      </c>
      <c r="F701" s="1">
        <f ca="1">IFERROR(__xludf.DUMMYFUNCTION("""COMPUTED_VALUE"""),4500831)</f>
        <v>4500831</v>
      </c>
    </row>
    <row r="702" spans="1:6" x14ac:dyDescent="0.35">
      <c r="A702" s="2">
        <f ca="1">IFERROR(__xludf.DUMMYFUNCTION("""COMPUTED_VALUE"""),43020.6666666666)</f>
        <v>43020.666666666599</v>
      </c>
      <c r="B702" s="1">
        <f ca="1">IFERROR(__xludf.DUMMYFUNCTION("""COMPUTED_VALUE"""),23.53)</f>
        <v>23.53</v>
      </c>
      <c r="C702" s="1">
        <f ca="1">IFERROR(__xludf.DUMMYFUNCTION("""COMPUTED_VALUE"""),23.99)</f>
        <v>23.99</v>
      </c>
      <c r="D702" s="1">
        <f ca="1">IFERROR(__xludf.DUMMYFUNCTION("""COMPUTED_VALUE"""),23.51)</f>
        <v>23.51</v>
      </c>
      <c r="E702" s="1">
        <f ca="1">IFERROR(__xludf.DUMMYFUNCTION("""COMPUTED_VALUE"""),23.71)</f>
        <v>23.71</v>
      </c>
      <c r="F702" s="1">
        <f ca="1">IFERROR(__xludf.DUMMYFUNCTION("""COMPUTED_VALUE"""),4087048)</f>
        <v>4087048</v>
      </c>
    </row>
    <row r="703" spans="1:6" x14ac:dyDescent="0.35">
      <c r="A703" s="2">
        <f ca="1">IFERROR(__xludf.DUMMYFUNCTION("""COMPUTED_VALUE"""),43021.6666666666)</f>
        <v>43021.666666666599</v>
      </c>
      <c r="B703" s="1">
        <f ca="1">IFERROR(__xludf.DUMMYFUNCTION("""COMPUTED_VALUE"""),23.8)</f>
        <v>23.8</v>
      </c>
      <c r="C703" s="1">
        <f ca="1">IFERROR(__xludf.DUMMYFUNCTION("""COMPUTED_VALUE"""),23.9)</f>
        <v>23.9</v>
      </c>
      <c r="D703" s="1">
        <f ca="1">IFERROR(__xludf.DUMMYFUNCTION("""COMPUTED_VALUE"""),23.58)</f>
        <v>23.58</v>
      </c>
      <c r="E703" s="1">
        <f ca="1">IFERROR(__xludf.DUMMYFUNCTION("""COMPUTED_VALUE"""),23.7)</f>
        <v>23.7</v>
      </c>
      <c r="F703" s="1">
        <f ca="1">IFERROR(__xludf.DUMMYFUNCTION("""COMPUTED_VALUE"""),3540533)</f>
        <v>3540533</v>
      </c>
    </row>
    <row r="704" spans="1:6" x14ac:dyDescent="0.35">
      <c r="A704" s="2">
        <f ca="1">IFERROR(__xludf.DUMMYFUNCTION("""COMPUTED_VALUE"""),43024.6666666666)</f>
        <v>43024.666666666599</v>
      </c>
      <c r="B704" s="1">
        <f ca="1">IFERROR(__xludf.DUMMYFUNCTION("""COMPUTED_VALUE"""),23.58)</f>
        <v>23.58</v>
      </c>
      <c r="C704" s="1">
        <f ca="1">IFERROR(__xludf.DUMMYFUNCTION("""COMPUTED_VALUE"""),23.63)</f>
        <v>23.63</v>
      </c>
      <c r="D704" s="1">
        <f ca="1">IFERROR(__xludf.DUMMYFUNCTION("""COMPUTED_VALUE"""),23.14)</f>
        <v>23.14</v>
      </c>
      <c r="E704" s="1">
        <f ca="1">IFERROR(__xludf.DUMMYFUNCTION("""COMPUTED_VALUE"""),23.37)</f>
        <v>23.37</v>
      </c>
      <c r="F704" s="1">
        <f ca="1">IFERROR(__xludf.DUMMYFUNCTION("""COMPUTED_VALUE"""),5375486)</f>
        <v>5375486</v>
      </c>
    </row>
    <row r="705" spans="1:6" x14ac:dyDescent="0.35">
      <c r="A705" s="2">
        <f ca="1">IFERROR(__xludf.DUMMYFUNCTION("""COMPUTED_VALUE"""),43025.6666666666)</f>
        <v>43025.666666666599</v>
      </c>
      <c r="B705" s="1">
        <f ca="1">IFERROR(__xludf.DUMMYFUNCTION("""COMPUTED_VALUE"""),23.39)</f>
        <v>23.39</v>
      </c>
      <c r="C705" s="1">
        <f ca="1">IFERROR(__xludf.DUMMYFUNCTION("""COMPUTED_VALUE"""),23.75)</f>
        <v>23.75</v>
      </c>
      <c r="D705" s="1">
        <f ca="1">IFERROR(__xludf.DUMMYFUNCTION("""COMPUTED_VALUE"""),23.34)</f>
        <v>23.34</v>
      </c>
      <c r="E705" s="1">
        <f ca="1">IFERROR(__xludf.DUMMYFUNCTION("""COMPUTED_VALUE"""),23.72)</f>
        <v>23.72</v>
      </c>
      <c r="F705" s="1">
        <f ca="1">IFERROR(__xludf.DUMMYFUNCTION("""COMPUTED_VALUE"""),3293345)</f>
        <v>3293345</v>
      </c>
    </row>
    <row r="706" spans="1:6" x14ac:dyDescent="0.35">
      <c r="A706" s="2">
        <f ca="1">IFERROR(__xludf.DUMMYFUNCTION("""COMPUTED_VALUE"""),43026.6666666666)</f>
        <v>43026.666666666599</v>
      </c>
      <c r="B706" s="1">
        <f ca="1">IFERROR(__xludf.DUMMYFUNCTION("""COMPUTED_VALUE"""),23.73)</f>
        <v>23.73</v>
      </c>
      <c r="C706" s="1">
        <f ca="1">IFERROR(__xludf.DUMMYFUNCTION("""COMPUTED_VALUE"""),24.2)</f>
        <v>24.2</v>
      </c>
      <c r="D706" s="1">
        <f ca="1">IFERROR(__xludf.DUMMYFUNCTION("""COMPUTED_VALUE"""),23.61)</f>
        <v>23.61</v>
      </c>
      <c r="E706" s="1">
        <f ca="1">IFERROR(__xludf.DUMMYFUNCTION("""COMPUTED_VALUE"""),23.98)</f>
        <v>23.98</v>
      </c>
      <c r="F706" s="1">
        <f ca="1">IFERROR(__xludf.DUMMYFUNCTION("""COMPUTED_VALUE"""),4939074)</f>
        <v>4939074</v>
      </c>
    </row>
    <row r="707" spans="1:6" x14ac:dyDescent="0.35">
      <c r="A707" s="2">
        <f ca="1">IFERROR(__xludf.DUMMYFUNCTION("""COMPUTED_VALUE"""),43027.6666666666)</f>
        <v>43027.666666666599</v>
      </c>
      <c r="B707" s="1">
        <f ca="1">IFERROR(__xludf.DUMMYFUNCTION("""COMPUTED_VALUE"""),23.7)</f>
        <v>23.7</v>
      </c>
      <c r="C707" s="1">
        <f ca="1">IFERROR(__xludf.DUMMYFUNCTION("""COMPUTED_VALUE"""),23.81)</f>
        <v>23.81</v>
      </c>
      <c r="D707" s="1">
        <f ca="1">IFERROR(__xludf.DUMMYFUNCTION("""COMPUTED_VALUE"""),23.21)</f>
        <v>23.21</v>
      </c>
      <c r="E707" s="1">
        <f ca="1">IFERROR(__xludf.DUMMYFUNCTION("""COMPUTED_VALUE"""),23.45)</f>
        <v>23.45</v>
      </c>
      <c r="F707" s="1">
        <f ca="1">IFERROR(__xludf.DUMMYFUNCTION("""COMPUTED_VALUE"""),5061843)</f>
        <v>5061843</v>
      </c>
    </row>
    <row r="708" spans="1:6" x14ac:dyDescent="0.35">
      <c r="A708" s="2">
        <f ca="1">IFERROR(__xludf.DUMMYFUNCTION("""COMPUTED_VALUE"""),43028.6666666666)</f>
        <v>43028.666666666599</v>
      </c>
      <c r="B708" s="1">
        <f ca="1">IFERROR(__xludf.DUMMYFUNCTION("""COMPUTED_VALUE"""),23.51)</f>
        <v>23.51</v>
      </c>
      <c r="C708" s="1">
        <f ca="1">IFERROR(__xludf.DUMMYFUNCTION("""COMPUTED_VALUE"""),23.64)</f>
        <v>23.64</v>
      </c>
      <c r="D708" s="1">
        <f ca="1">IFERROR(__xludf.DUMMYFUNCTION("""COMPUTED_VALUE"""),22.96)</f>
        <v>22.96</v>
      </c>
      <c r="E708" s="1">
        <f ca="1">IFERROR(__xludf.DUMMYFUNCTION("""COMPUTED_VALUE"""),23.01)</f>
        <v>23.01</v>
      </c>
      <c r="F708" s="1">
        <f ca="1">IFERROR(__xludf.DUMMYFUNCTION("""COMPUTED_VALUE"""),4930395)</f>
        <v>4930395</v>
      </c>
    </row>
    <row r="709" spans="1:6" x14ac:dyDescent="0.35">
      <c r="A709" s="2">
        <f ca="1">IFERROR(__xludf.DUMMYFUNCTION("""COMPUTED_VALUE"""),43031.6666666666)</f>
        <v>43031.666666666599</v>
      </c>
      <c r="B709" s="1">
        <f ca="1">IFERROR(__xludf.DUMMYFUNCTION("""COMPUTED_VALUE"""),23.33)</f>
        <v>23.33</v>
      </c>
      <c r="C709" s="1">
        <f ca="1">IFERROR(__xludf.DUMMYFUNCTION("""COMPUTED_VALUE"""),23.33)</f>
        <v>23.33</v>
      </c>
      <c r="D709" s="1">
        <f ca="1">IFERROR(__xludf.DUMMYFUNCTION("""COMPUTED_VALUE"""),22.42)</f>
        <v>22.42</v>
      </c>
      <c r="E709" s="1">
        <f ca="1">IFERROR(__xludf.DUMMYFUNCTION("""COMPUTED_VALUE"""),22.47)</f>
        <v>22.47</v>
      </c>
      <c r="F709" s="1">
        <f ca="1">IFERROR(__xludf.DUMMYFUNCTION("""COMPUTED_VALUE"""),5747346)</f>
        <v>5747346</v>
      </c>
    </row>
    <row r="710" spans="1:6" x14ac:dyDescent="0.35">
      <c r="A710" s="2">
        <f ca="1">IFERROR(__xludf.DUMMYFUNCTION("""COMPUTED_VALUE"""),43032.6666666666)</f>
        <v>43032.666666666599</v>
      </c>
      <c r="B710" s="1">
        <f ca="1">IFERROR(__xludf.DUMMYFUNCTION("""COMPUTED_VALUE"""),22.59)</f>
        <v>22.59</v>
      </c>
      <c r="C710" s="1">
        <f ca="1">IFERROR(__xludf.DUMMYFUNCTION("""COMPUTED_VALUE"""),22.85)</f>
        <v>22.85</v>
      </c>
      <c r="D710" s="1">
        <f ca="1">IFERROR(__xludf.DUMMYFUNCTION("""COMPUTED_VALUE"""),22.41)</f>
        <v>22.41</v>
      </c>
      <c r="E710" s="1">
        <f ca="1">IFERROR(__xludf.DUMMYFUNCTION("""COMPUTED_VALUE"""),22.49)</f>
        <v>22.49</v>
      </c>
      <c r="F710" s="1">
        <f ca="1">IFERROR(__xludf.DUMMYFUNCTION("""COMPUTED_VALUE"""),4491672)</f>
        <v>4491672</v>
      </c>
    </row>
    <row r="711" spans="1:6" x14ac:dyDescent="0.35">
      <c r="A711" s="2">
        <f ca="1">IFERROR(__xludf.DUMMYFUNCTION("""COMPUTED_VALUE"""),43033.6666666666)</f>
        <v>43033.666666666599</v>
      </c>
      <c r="B711" s="1">
        <f ca="1">IFERROR(__xludf.DUMMYFUNCTION("""COMPUTED_VALUE"""),22.45)</f>
        <v>22.45</v>
      </c>
      <c r="C711" s="1">
        <f ca="1">IFERROR(__xludf.DUMMYFUNCTION("""COMPUTED_VALUE"""),22.5)</f>
        <v>22.5</v>
      </c>
      <c r="D711" s="1">
        <f ca="1">IFERROR(__xludf.DUMMYFUNCTION("""COMPUTED_VALUE"""),21.57)</f>
        <v>21.57</v>
      </c>
      <c r="E711" s="1">
        <f ca="1">IFERROR(__xludf.DUMMYFUNCTION("""COMPUTED_VALUE"""),21.72)</f>
        <v>21.72</v>
      </c>
      <c r="F711" s="1">
        <f ca="1">IFERROR(__xludf.DUMMYFUNCTION("""COMPUTED_VALUE"""),8594073)</f>
        <v>8594073</v>
      </c>
    </row>
    <row r="712" spans="1:6" x14ac:dyDescent="0.35">
      <c r="A712" s="2">
        <f ca="1">IFERROR(__xludf.DUMMYFUNCTION("""COMPUTED_VALUE"""),43034.6666666666)</f>
        <v>43034.666666666599</v>
      </c>
      <c r="B712" s="1">
        <f ca="1">IFERROR(__xludf.DUMMYFUNCTION("""COMPUTED_VALUE"""),21.85)</f>
        <v>21.85</v>
      </c>
      <c r="C712" s="1">
        <f ca="1">IFERROR(__xludf.DUMMYFUNCTION("""COMPUTED_VALUE"""),22.02)</f>
        <v>22.02</v>
      </c>
      <c r="D712" s="1">
        <f ca="1">IFERROR(__xludf.DUMMYFUNCTION("""COMPUTED_VALUE"""),21.55)</f>
        <v>21.55</v>
      </c>
      <c r="E712" s="1">
        <f ca="1">IFERROR(__xludf.DUMMYFUNCTION("""COMPUTED_VALUE"""),21.74)</f>
        <v>21.74</v>
      </c>
      <c r="F712" s="1">
        <f ca="1">IFERROR(__xludf.DUMMYFUNCTION("""COMPUTED_VALUE"""),5023500)</f>
        <v>5023500</v>
      </c>
    </row>
    <row r="713" spans="1:6" x14ac:dyDescent="0.35">
      <c r="A713" s="2">
        <f ca="1">IFERROR(__xludf.DUMMYFUNCTION("""COMPUTED_VALUE"""),43035.6666666666)</f>
        <v>43035.666666666599</v>
      </c>
      <c r="B713" s="1">
        <f ca="1">IFERROR(__xludf.DUMMYFUNCTION("""COMPUTED_VALUE"""),21.32)</f>
        <v>21.32</v>
      </c>
      <c r="C713" s="1">
        <f ca="1">IFERROR(__xludf.DUMMYFUNCTION("""COMPUTED_VALUE"""),21.64)</f>
        <v>21.64</v>
      </c>
      <c r="D713" s="1">
        <f ca="1">IFERROR(__xludf.DUMMYFUNCTION("""COMPUTED_VALUE"""),21.11)</f>
        <v>21.11</v>
      </c>
      <c r="E713" s="1">
        <f ca="1">IFERROR(__xludf.DUMMYFUNCTION("""COMPUTED_VALUE"""),21.39)</f>
        <v>21.39</v>
      </c>
      <c r="F713" s="1">
        <f ca="1">IFERROR(__xludf.DUMMYFUNCTION("""COMPUTED_VALUE"""),6979704)</f>
        <v>6979704</v>
      </c>
    </row>
    <row r="714" spans="1:6" x14ac:dyDescent="0.35">
      <c r="A714" s="2">
        <f ca="1">IFERROR(__xludf.DUMMYFUNCTION("""COMPUTED_VALUE"""),43038.6666666666)</f>
        <v>43038.666666666599</v>
      </c>
      <c r="B714" s="1">
        <f ca="1">IFERROR(__xludf.DUMMYFUNCTION("""COMPUTED_VALUE"""),21.28)</f>
        <v>21.28</v>
      </c>
      <c r="C714" s="1">
        <f ca="1">IFERROR(__xludf.DUMMYFUNCTION("""COMPUTED_VALUE"""),21.59)</f>
        <v>21.59</v>
      </c>
      <c r="D714" s="1">
        <f ca="1">IFERROR(__xludf.DUMMYFUNCTION("""COMPUTED_VALUE"""),21.15)</f>
        <v>21.15</v>
      </c>
      <c r="E714" s="1">
        <f ca="1">IFERROR(__xludf.DUMMYFUNCTION("""COMPUTED_VALUE"""),21.34)</f>
        <v>21.34</v>
      </c>
      <c r="F714" s="1">
        <f ca="1">IFERROR(__xludf.DUMMYFUNCTION("""COMPUTED_VALUE"""),4254378)</f>
        <v>4254378</v>
      </c>
    </row>
    <row r="715" spans="1:6" x14ac:dyDescent="0.35">
      <c r="A715" s="2">
        <f ca="1">IFERROR(__xludf.DUMMYFUNCTION("""COMPUTED_VALUE"""),43039.6666666666)</f>
        <v>43039.666666666599</v>
      </c>
      <c r="B715" s="1">
        <f ca="1">IFERROR(__xludf.DUMMYFUNCTION("""COMPUTED_VALUE"""),21.35)</f>
        <v>21.35</v>
      </c>
      <c r="C715" s="1">
        <f ca="1">IFERROR(__xludf.DUMMYFUNCTION("""COMPUTED_VALUE"""),22.13)</f>
        <v>22.13</v>
      </c>
      <c r="D715" s="1">
        <f ca="1">IFERROR(__xludf.DUMMYFUNCTION("""COMPUTED_VALUE"""),21.35)</f>
        <v>21.35</v>
      </c>
      <c r="E715" s="1">
        <f ca="1">IFERROR(__xludf.DUMMYFUNCTION("""COMPUTED_VALUE"""),22.1)</f>
        <v>22.1</v>
      </c>
      <c r="F715" s="1">
        <f ca="1">IFERROR(__xludf.DUMMYFUNCTION("""COMPUTED_VALUE"""),5672347)</f>
        <v>5672347</v>
      </c>
    </row>
    <row r="716" spans="1:6" x14ac:dyDescent="0.35">
      <c r="A716" s="2">
        <f ca="1">IFERROR(__xludf.DUMMYFUNCTION("""COMPUTED_VALUE"""),43040.6666666666)</f>
        <v>43040.666666666599</v>
      </c>
      <c r="B716" s="1">
        <f ca="1">IFERROR(__xludf.DUMMYFUNCTION("""COMPUTED_VALUE"""),22.15)</f>
        <v>22.15</v>
      </c>
      <c r="C716" s="1">
        <f ca="1">IFERROR(__xludf.DUMMYFUNCTION("""COMPUTED_VALUE"""),22.17)</f>
        <v>22.17</v>
      </c>
      <c r="D716" s="1">
        <f ca="1">IFERROR(__xludf.DUMMYFUNCTION("""COMPUTED_VALUE"""),21.35)</f>
        <v>21.35</v>
      </c>
      <c r="E716" s="1">
        <f ca="1">IFERROR(__xludf.DUMMYFUNCTION("""COMPUTED_VALUE"""),21.41)</f>
        <v>21.41</v>
      </c>
      <c r="F716" s="1">
        <f ca="1">IFERROR(__xludf.DUMMYFUNCTION("""COMPUTED_VALUE"""),8457336)</f>
        <v>8457336</v>
      </c>
    </row>
    <row r="717" spans="1:6" x14ac:dyDescent="0.35">
      <c r="A717" s="2">
        <f ca="1">IFERROR(__xludf.DUMMYFUNCTION("""COMPUTED_VALUE"""),43041.6666666666)</f>
        <v>43041.666666666599</v>
      </c>
      <c r="B717" s="1">
        <f ca="1">IFERROR(__xludf.DUMMYFUNCTION("""COMPUTED_VALUE"""),20.01)</f>
        <v>20.010000000000002</v>
      </c>
      <c r="C717" s="1">
        <f ca="1">IFERROR(__xludf.DUMMYFUNCTION("""COMPUTED_VALUE"""),20.58)</f>
        <v>20.58</v>
      </c>
      <c r="D717" s="1">
        <f ca="1">IFERROR(__xludf.DUMMYFUNCTION("""COMPUTED_VALUE"""),19.51)</f>
        <v>19.510000000000002</v>
      </c>
      <c r="E717" s="1">
        <f ca="1">IFERROR(__xludf.DUMMYFUNCTION("""COMPUTED_VALUE"""),19.95)</f>
        <v>19.95</v>
      </c>
      <c r="F717" s="1">
        <f ca="1">IFERROR(__xludf.DUMMYFUNCTION("""COMPUTED_VALUE"""),19791416)</f>
        <v>19791416</v>
      </c>
    </row>
    <row r="718" spans="1:6" x14ac:dyDescent="0.35">
      <c r="A718" s="2">
        <f ca="1">IFERROR(__xludf.DUMMYFUNCTION("""COMPUTED_VALUE"""),43042.6666666666)</f>
        <v>43042.666666666599</v>
      </c>
      <c r="B718" s="1">
        <f ca="1">IFERROR(__xludf.DUMMYFUNCTION("""COMPUTED_VALUE"""),19.97)</f>
        <v>19.97</v>
      </c>
      <c r="C718" s="1">
        <f ca="1">IFERROR(__xludf.DUMMYFUNCTION("""COMPUTED_VALUE"""),20.42)</f>
        <v>20.420000000000002</v>
      </c>
      <c r="D718" s="1">
        <f ca="1">IFERROR(__xludf.DUMMYFUNCTION("""COMPUTED_VALUE"""),19.68)</f>
        <v>19.68</v>
      </c>
      <c r="E718" s="1">
        <f ca="1">IFERROR(__xludf.DUMMYFUNCTION("""COMPUTED_VALUE"""),20.41)</f>
        <v>20.41</v>
      </c>
      <c r="F718" s="1">
        <f ca="1">IFERROR(__xludf.DUMMYFUNCTION("""COMPUTED_VALUE"""),8893974)</f>
        <v>8893974</v>
      </c>
    </row>
    <row r="719" spans="1:6" x14ac:dyDescent="0.35">
      <c r="A719" s="2">
        <f ca="1">IFERROR(__xludf.DUMMYFUNCTION("""COMPUTED_VALUE"""),43045.6666666666)</f>
        <v>43045.666666666599</v>
      </c>
      <c r="B719" s="1">
        <f ca="1">IFERROR(__xludf.DUMMYFUNCTION("""COMPUTED_VALUE"""),20.47)</f>
        <v>20.47</v>
      </c>
      <c r="C719" s="1">
        <f ca="1">IFERROR(__xludf.DUMMYFUNCTION("""COMPUTED_VALUE"""),20.5)</f>
        <v>20.5</v>
      </c>
      <c r="D719" s="1">
        <f ca="1">IFERROR(__xludf.DUMMYFUNCTION("""COMPUTED_VALUE"""),19.93)</f>
        <v>19.93</v>
      </c>
      <c r="E719" s="1">
        <f ca="1">IFERROR(__xludf.DUMMYFUNCTION("""COMPUTED_VALUE"""),20.19)</f>
        <v>20.190000000000001</v>
      </c>
      <c r="F719" s="1">
        <f ca="1">IFERROR(__xludf.DUMMYFUNCTION("""COMPUTED_VALUE"""),6486009)</f>
        <v>6486009</v>
      </c>
    </row>
    <row r="720" spans="1:6" x14ac:dyDescent="0.35">
      <c r="A720" s="2">
        <f ca="1">IFERROR(__xludf.DUMMYFUNCTION("""COMPUTED_VALUE"""),43046.6666666666)</f>
        <v>43046.666666666599</v>
      </c>
      <c r="B720" s="1">
        <f ca="1">IFERROR(__xludf.DUMMYFUNCTION("""COMPUTED_VALUE"""),20.07)</f>
        <v>20.07</v>
      </c>
      <c r="C720" s="1">
        <f ca="1">IFERROR(__xludf.DUMMYFUNCTION("""COMPUTED_VALUE"""),20.43)</f>
        <v>20.43</v>
      </c>
      <c r="D720" s="1">
        <f ca="1">IFERROR(__xludf.DUMMYFUNCTION("""COMPUTED_VALUE"""),20)</f>
        <v>20</v>
      </c>
      <c r="E720" s="1">
        <f ca="1">IFERROR(__xludf.DUMMYFUNCTION("""COMPUTED_VALUE"""),20.4)</f>
        <v>20.399999999999999</v>
      </c>
      <c r="F720" s="1">
        <f ca="1">IFERROR(__xludf.DUMMYFUNCTION("""COMPUTED_VALUE"""),5294274)</f>
        <v>5294274</v>
      </c>
    </row>
    <row r="721" spans="1:6" x14ac:dyDescent="0.35">
      <c r="A721" s="2">
        <f ca="1">IFERROR(__xludf.DUMMYFUNCTION("""COMPUTED_VALUE"""),43047.6666666666)</f>
        <v>43047.666666666599</v>
      </c>
      <c r="B721" s="1">
        <f ca="1">IFERROR(__xludf.DUMMYFUNCTION("""COMPUTED_VALUE"""),20.37)</f>
        <v>20.37</v>
      </c>
      <c r="C721" s="1">
        <f ca="1">IFERROR(__xludf.DUMMYFUNCTION("""COMPUTED_VALUE"""),20.46)</f>
        <v>20.46</v>
      </c>
      <c r="D721" s="1">
        <f ca="1">IFERROR(__xludf.DUMMYFUNCTION("""COMPUTED_VALUE"""),20.09)</f>
        <v>20.09</v>
      </c>
      <c r="E721" s="1">
        <f ca="1">IFERROR(__xludf.DUMMYFUNCTION("""COMPUTED_VALUE"""),20.29)</f>
        <v>20.29</v>
      </c>
      <c r="F721" s="1">
        <f ca="1">IFERROR(__xludf.DUMMYFUNCTION("""COMPUTED_VALUE"""),4725271)</f>
        <v>4725271</v>
      </c>
    </row>
    <row r="722" spans="1:6" x14ac:dyDescent="0.35">
      <c r="A722" s="2">
        <f ca="1">IFERROR(__xludf.DUMMYFUNCTION("""COMPUTED_VALUE"""),43048.6666666666)</f>
        <v>43048.666666666599</v>
      </c>
      <c r="B722" s="1">
        <f ca="1">IFERROR(__xludf.DUMMYFUNCTION("""COMPUTED_VALUE"""),20.17)</f>
        <v>20.170000000000002</v>
      </c>
      <c r="C722" s="1">
        <f ca="1">IFERROR(__xludf.DUMMYFUNCTION("""COMPUTED_VALUE"""),20.3)</f>
        <v>20.3</v>
      </c>
      <c r="D722" s="1">
        <f ca="1">IFERROR(__xludf.DUMMYFUNCTION("""COMPUTED_VALUE"""),19.75)</f>
        <v>19.75</v>
      </c>
      <c r="E722" s="1">
        <f ca="1">IFERROR(__xludf.DUMMYFUNCTION("""COMPUTED_VALUE"""),20.2)</f>
        <v>20.2</v>
      </c>
      <c r="F722" s="1">
        <f ca="1">IFERROR(__xludf.DUMMYFUNCTION("""COMPUTED_VALUE"""),5447147)</f>
        <v>5447147</v>
      </c>
    </row>
    <row r="723" spans="1:6" x14ac:dyDescent="0.35">
      <c r="A723" s="2">
        <f ca="1">IFERROR(__xludf.DUMMYFUNCTION("""COMPUTED_VALUE"""),43049.6666666666)</f>
        <v>43049.666666666599</v>
      </c>
      <c r="B723" s="1">
        <f ca="1">IFERROR(__xludf.DUMMYFUNCTION("""COMPUTED_VALUE"""),20.17)</f>
        <v>20.170000000000002</v>
      </c>
      <c r="C723" s="1">
        <f ca="1">IFERROR(__xludf.DUMMYFUNCTION("""COMPUTED_VALUE"""),20.56)</f>
        <v>20.56</v>
      </c>
      <c r="D723" s="1">
        <f ca="1">IFERROR(__xludf.DUMMYFUNCTION("""COMPUTED_VALUE"""),20.12)</f>
        <v>20.12</v>
      </c>
      <c r="E723" s="1">
        <f ca="1">IFERROR(__xludf.DUMMYFUNCTION("""COMPUTED_VALUE"""),20.2)</f>
        <v>20.2</v>
      </c>
      <c r="F723" s="1">
        <f ca="1">IFERROR(__xludf.DUMMYFUNCTION("""COMPUTED_VALUE"""),4625429)</f>
        <v>4625429</v>
      </c>
    </row>
    <row r="724" spans="1:6" x14ac:dyDescent="0.35">
      <c r="A724" s="2">
        <f ca="1">IFERROR(__xludf.DUMMYFUNCTION("""COMPUTED_VALUE"""),43052.6666666666)</f>
        <v>43052.666666666599</v>
      </c>
      <c r="B724" s="1">
        <f ca="1">IFERROR(__xludf.DUMMYFUNCTION("""COMPUTED_VALUE"""),20.01)</f>
        <v>20.010000000000002</v>
      </c>
      <c r="C724" s="1">
        <f ca="1">IFERROR(__xludf.DUMMYFUNCTION("""COMPUTED_VALUE"""),21.12)</f>
        <v>21.12</v>
      </c>
      <c r="D724" s="1">
        <f ca="1">IFERROR(__xludf.DUMMYFUNCTION("""COMPUTED_VALUE"""),19.94)</f>
        <v>19.940000000000001</v>
      </c>
      <c r="E724" s="1">
        <f ca="1">IFERROR(__xludf.DUMMYFUNCTION("""COMPUTED_VALUE"""),21.03)</f>
        <v>21.03</v>
      </c>
      <c r="F724" s="1">
        <f ca="1">IFERROR(__xludf.DUMMYFUNCTION("""COMPUTED_VALUE"""),7584944)</f>
        <v>7584944</v>
      </c>
    </row>
    <row r="725" spans="1:6" x14ac:dyDescent="0.35">
      <c r="A725" s="2">
        <f ca="1">IFERROR(__xludf.DUMMYFUNCTION("""COMPUTED_VALUE"""),43053.6666666666)</f>
        <v>43053.666666666599</v>
      </c>
      <c r="B725" s="1">
        <f ca="1">IFERROR(__xludf.DUMMYFUNCTION("""COMPUTED_VALUE"""),21)</f>
        <v>21</v>
      </c>
      <c r="C725" s="1">
        <f ca="1">IFERROR(__xludf.DUMMYFUNCTION("""COMPUTED_VALUE"""),21.09)</f>
        <v>21.09</v>
      </c>
      <c r="D725" s="1">
        <f ca="1">IFERROR(__xludf.DUMMYFUNCTION("""COMPUTED_VALUE"""),20.46)</f>
        <v>20.46</v>
      </c>
      <c r="E725" s="1">
        <f ca="1">IFERROR(__xludf.DUMMYFUNCTION("""COMPUTED_VALUE"""),20.58)</f>
        <v>20.58</v>
      </c>
      <c r="F725" s="1">
        <f ca="1">IFERROR(__xludf.DUMMYFUNCTION("""COMPUTED_VALUE"""),5676076)</f>
        <v>5676076</v>
      </c>
    </row>
    <row r="726" spans="1:6" x14ac:dyDescent="0.35">
      <c r="A726" s="2">
        <f ca="1">IFERROR(__xludf.DUMMYFUNCTION("""COMPUTED_VALUE"""),43054.6666666666)</f>
        <v>43054.666666666599</v>
      </c>
      <c r="B726" s="1">
        <f ca="1">IFERROR(__xludf.DUMMYFUNCTION("""COMPUTED_VALUE"""),20.4)</f>
        <v>20.399999999999999</v>
      </c>
      <c r="C726" s="1">
        <f ca="1">IFERROR(__xludf.DUMMYFUNCTION("""COMPUTED_VALUE"""),20.83)</f>
        <v>20.83</v>
      </c>
      <c r="D726" s="1">
        <f ca="1">IFERROR(__xludf.DUMMYFUNCTION("""COMPUTED_VALUE"""),20.1)</f>
        <v>20.100000000000001</v>
      </c>
      <c r="E726" s="1">
        <f ca="1">IFERROR(__xludf.DUMMYFUNCTION("""COMPUTED_VALUE"""),20.75)</f>
        <v>20.75</v>
      </c>
      <c r="F726" s="1">
        <f ca="1">IFERROR(__xludf.DUMMYFUNCTION("""COMPUTED_VALUE"""),5978665)</f>
        <v>5978665</v>
      </c>
    </row>
    <row r="727" spans="1:6" x14ac:dyDescent="0.35">
      <c r="A727" s="2">
        <f ca="1">IFERROR(__xludf.DUMMYFUNCTION("""COMPUTED_VALUE"""),43055.6666666666)</f>
        <v>43055.666666666599</v>
      </c>
      <c r="B727" s="1">
        <f ca="1">IFERROR(__xludf.DUMMYFUNCTION("""COMPUTED_VALUE"""),20.93)</f>
        <v>20.93</v>
      </c>
      <c r="C727" s="1">
        <f ca="1">IFERROR(__xludf.DUMMYFUNCTION("""COMPUTED_VALUE"""),21.21)</f>
        <v>21.21</v>
      </c>
      <c r="D727" s="1">
        <f ca="1">IFERROR(__xludf.DUMMYFUNCTION("""COMPUTED_VALUE"""),20.75)</f>
        <v>20.75</v>
      </c>
      <c r="E727" s="1">
        <f ca="1">IFERROR(__xludf.DUMMYFUNCTION("""COMPUTED_VALUE"""),20.83)</f>
        <v>20.83</v>
      </c>
      <c r="F727" s="1">
        <f ca="1">IFERROR(__xludf.DUMMYFUNCTION("""COMPUTED_VALUE"""),5822073)</f>
        <v>5822073</v>
      </c>
    </row>
    <row r="728" spans="1:6" x14ac:dyDescent="0.35">
      <c r="A728" s="2">
        <f ca="1">IFERROR(__xludf.DUMMYFUNCTION("""COMPUTED_VALUE"""),43056.6666666666)</f>
        <v>43056.666666666599</v>
      </c>
      <c r="B728" s="1">
        <f ca="1">IFERROR(__xludf.DUMMYFUNCTION("""COMPUTED_VALUE"""),21.71)</f>
        <v>21.71</v>
      </c>
      <c r="C728" s="1">
        <f ca="1">IFERROR(__xludf.DUMMYFUNCTION("""COMPUTED_VALUE"""),21.78)</f>
        <v>21.78</v>
      </c>
      <c r="D728" s="1">
        <f ca="1">IFERROR(__xludf.DUMMYFUNCTION("""COMPUTED_VALUE"""),20.88)</f>
        <v>20.88</v>
      </c>
      <c r="E728" s="1">
        <f ca="1">IFERROR(__xludf.DUMMYFUNCTION("""COMPUTED_VALUE"""),21)</f>
        <v>21</v>
      </c>
      <c r="F728" s="1">
        <f ca="1">IFERROR(__xludf.DUMMYFUNCTION("""COMPUTED_VALUE"""),13735139)</f>
        <v>13735139</v>
      </c>
    </row>
    <row r="729" spans="1:6" x14ac:dyDescent="0.35">
      <c r="A729" s="2">
        <f ca="1">IFERROR(__xludf.DUMMYFUNCTION("""COMPUTED_VALUE"""),43059.6666666666)</f>
        <v>43059.666666666599</v>
      </c>
      <c r="B729" s="1">
        <f ca="1">IFERROR(__xludf.DUMMYFUNCTION("""COMPUTED_VALUE"""),20.92)</f>
        <v>20.92</v>
      </c>
      <c r="C729" s="1">
        <f ca="1">IFERROR(__xludf.DUMMYFUNCTION("""COMPUTED_VALUE"""),21.03)</f>
        <v>21.03</v>
      </c>
      <c r="D729" s="1">
        <f ca="1">IFERROR(__xludf.DUMMYFUNCTION("""COMPUTED_VALUE"""),20.32)</f>
        <v>20.32</v>
      </c>
      <c r="E729" s="1">
        <f ca="1">IFERROR(__xludf.DUMMYFUNCTION("""COMPUTED_VALUE"""),20.58)</f>
        <v>20.58</v>
      </c>
      <c r="F729" s="1">
        <f ca="1">IFERROR(__xludf.DUMMYFUNCTION("""COMPUTED_VALUE"""),8247650)</f>
        <v>8247650</v>
      </c>
    </row>
    <row r="730" spans="1:6" x14ac:dyDescent="0.35">
      <c r="A730" s="2">
        <f ca="1">IFERROR(__xludf.DUMMYFUNCTION("""COMPUTED_VALUE"""),43060.6666666666)</f>
        <v>43060.666666666599</v>
      </c>
      <c r="B730" s="1">
        <f ca="1">IFERROR(__xludf.DUMMYFUNCTION("""COMPUTED_VALUE"""),20.72)</f>
        <v>20.72</v>
      </c>
      <c r="C730" s="1">
        <f ca="1">IFERROR(__xludf.DUMMYFUNCTION("""COMPUTED_VALUE"""),21.22)</f>
        <v>21.22</v>
      </c>
      <c r="D730" s="1">
        <f ca="1">IFERROR(__xludf.DUMMYFUNCTION("""COMPUTED_VALUE"""),20.58)</f>
        <v>20.58</v>
      </c>
      <c r="E730" s="1">
        <f ca="1">IFERROR(__xludf.DUMMYFUNCTION("""COMPUTED_VALUE"""),21.19)</f>
        <v>21.19</v>
      </c>
      <c r="F730" s="1">
        <f ca="1">IFERROR(__xludf.DUMMYFUNCTION("""COMPUTED_VALUE"""),7261273)</f>
        <v>7261273</v>
      </c>
    </row>
    <row r="731" spans="1:6" x14ac:dyDescent="0.35">
      <c r="A731" s="2">
        <f ca="1">IFERROR(__xludf.DUMMYFUNCTION("""COMPUTED_VALUE"""),43061.6666666666)</f>
        <v>43061.666666666599</v>
      </c>
      <c r="B731" s="1">
        <f ca="1">IFERROR(__xludf.DUMMYFUNCTION("""COMPUTED_VALUE"""),21.12)</f>
        <v>21.12</v>
      </c>
      <c r="C731" s="1">
        <f ca="1">IFERROR(__xludf.DUMMYFUNCTION("""COMPUTED_VALUE"""),21.16)</f>
        <v>21.16</v>
      </c>
      <c r="D731" s="1">
        <f ca="1">IFERROR(__xludf.DUMMYFUNCTION("""COMPUTED_VALUE"""),20.79)</f>
        <v>20.79</v>
      </c>
      <c r="E731" s="1">
        <f ca="1">IFERROR(__xludf.DUMMYFUNCTION("""COMPUTED_VALUE"""),20.84)</f>
        <v>20.84</v>
      </c>
      <c r="F731" s="1">
        <f ca="1">IFERROR(__xludf.DUMMYFUNCTION("""COMPUTED_VALUE"""),4917636)</f>
        <v>4917636</v>
      </c>
    </row>
    <row r="732" spans="1:6" x14ac:dyDescent="0.35">
      <c r="A732" s="2">
        <f ca="1">IFERROR(__xludf.DUMMYFUNCTION("""COMPUTED_VALUE"""),43063.5416666666)</f>
        <v>43063.541666666599</v>
      </c>
      <c r="B732" s="1">
        <f ca="1">IFERROR(__xludf.DUMMYFUNCTION("""COMPUTED_VALUE"""),20.92)</f>
        <v>20.92</v>
      </c>
      <c r="C732" s="1">
        <f ca="1">IFERROR(__xludf.DUMMYFUNCTION("""COMPUTED_VALUE"""),21.09)</f>
        <v>21.09</v>
      </c>
      <c r="D732" s="1">
        <f ca="1">IFERROR(__xludf.DUMMYFUNCTION("""COMPUTED_VALUE"""),20.73)</f>
        <v>20.73</v>
      </c>
      <c r="E732" s="1">
        <f ca="1">IFERROR(__xludf.DUMMYFUNCTION("""COMPUTED_VALUE"""),21.04)</f>
        <v>21.04</v>
      </c>
      <c r="F732" s="1">
        <f ca="1">IFERROR(__xludf.DUMMYFUNCTION("""COMPUTED_VALUE"""),3244065)</f>
        <v>3244065</v>
      </c>
    </row>
    <row r="733" spans="1:6" x14ac:dyDescent="0.35">
      <c r="A733" s="2">
        <f ca="1">IFERROR(__xludf.DUMMYFUNCTION("""COMPUTED_VALUE"""),43066.6666666666)</f>
        <v>43066.666666666599</v>
      </c>
      <c r="B733" s="1">
        <f ca="1">IFERROR(__xludf.DUMMYFUNCTION("""COMPUTED_VALUE"""),20.88)</f>
        <v>20.88</v>
      </c>
      <c r="C733" s="1">
        <f ca="1">IFERROR(__xludf.DUMMYFUNCTION("""COMPUTED_VALUE"""),21.16)</f>
        <v>21.16</v>
      </c>
      <c r="D733" s="1">
        <f ca="1">IFERROR(__xludf.DUMMYFUNCTION("""COMPUTED_VALUE"""),20.63)</f>
        <v>20.63</v>
      </c>
      <c r="E733" s="1">
        <f ca="1">IFERROR(__xludf.DUMMYFUNCTION("""COMPUTED_VALUE"""),21.12)</f>
        <v>21.12</v>
      </c>
      <c r="F733" s="1">
        <f ca="1">IFERROR(__xludf.DUMMYFUNCTION("""COMPUTED_VALUE"""),4555894)</f>
        <v>4555894</v>
      </c>
    </row>
    <row r="734" spans="1:6" x14ac:dyDescent="0.35">
      <c r="A734" s="2">
        <f ca="1">IFERROR(__xludf.DUMMYFUNCTION("""COMPUTED_VALUE"""),43067.6666666666)</f>
        <v>43067.666666666599</v>
      </c>
      <c r="B734" s="1">
        <f ca="1">IFERROR(__xludf.DUMMYFUNCTION("""COMPUTED_VALUE"""),21.09)</f>
        <v>21.09</v>
      </c>
      <c r="C734" s="1">
        <f ca="1">IFERROR(__xludf.DUMMYFUNCTION("""COMPUTED_VALUE"""),21.33)</f>
        <v>21.33</v>
      </c>
      <c r="D734" s="1">
        <f ca="1">IFERROR(__xludf.DUMMYFUNCTION("""COMPUTED_VALUE"""),20.93)</f>
        <v>20.93</v>
      </c>
      <c r="E734" s="1">
        <f ca="1">IFERROR(__xludf.DUMMYFUNCTION("""COMPUTED_VALUE"""),21.17)</f>
        <v>21.17</v>
      </c>
      <c r="F734" s="1">
        <f ca="1">IFERROR(__xludf.DUMMYFUNCTION("""COMPUTED_VALUE"""),4949491)</f>
        <v>4949491</v>
      </c>
    </row>
    <row r="735" spans="1:6" x14ac:dyDescent="0.35">
      <c r="A735" s="2">
        <f ca="1">IFERROR(__xludf.DUMMYFUNCTION("""COMPUTED_VALUE"""),43068.6666666666)</f>
        <v>43068.666666666599</v>
      </c>
      <c r="B735" s="1">
        <f ca="1">IFERROR(__xludf.DUMMYFUNCTION("""COMPUTED_VALUE"""),21.15)</f>
        <v>21.15</v>
      </c>
      <c r="C735" s="1">
        <f ca="1">IFERROR(__xludf.DUMMYFUNCTION("""COMPUTED_VALUE"""),21.2)</f>
        <v>21.2</v>
      </c>
      <c r="D735" s="1">
        <f ca="1">IFERROR(__xludf.DUMMYFUNCTION("""COMPUTED_VALUE"""),20.08)</f>
        <v>20.079999999999998</v>
      </c>
      <c r="E735" s="1">
        <f ca="1">IFERROR(__xludf.DUMMYFUNCTION("""COMPUTED_VALUE"""),20.5)</f>
        <v>20.5</v>
      </c>
      <c r="F735" s="1">
        <f ca="1">IFERROR(__xludf.DUMMYFUNCTION("""COMPUTED_VALUE"""),8767398)</f>
        <v>8767398</v>
      </c>
    </row>
    <row r="736" spans="1:6" x14ac:dyDescent="0.35">
      <c r="A736" s="2">
        <f ca="1">IFERROR(__xludf.DUMMYFUNCTION("""COMPUTED_VALUE"""),43069.6666666666)</f>
        <v>43069.666666666599</v>
      </c>
      <c r="B736" s="1">
        <f ca="1">IFERROR(__xludf.DUMMYFUNCTION("""COMPUTED_VALUE"""),20.57)</f>
        <v>20.57</v>
      </c>
      <c r="C736" s="1">
        <f ca="1">IFERROR(__xludf.DUMMYFUNCTION("""COMPUTED_VALUE"""),20.71)</f>
        <v>20.71</v>
      </c>
      <c r="D736" s="1">
        <f ca="1">IFERROR(__xludf.DUMMYFUNCTION("""COMPUTED_VALUE"""),20.3)</f>
        <v>20.3</v>
      </c>
      <c r="E736" s="1">
        <f ca="1">IFERROR(__xludf.DUMMYFUNCTION("""COMPUTED_VALUE"""),20.59)</f>
        <v>20.59</v>
      </c>
      <c r="F736" s="1">
        <f ca="1">IFERROR(__xludf.DUMMYFUNCTION("""COMPUTED_VALUE"""),4351587)</f>
        <v>4351587</v>
      </c>
    </row>
    <row r="737" spans="1:6" x14ac:dyDescent="0.35">
      <c r="A737" s="2">
        <f ca="1">IFERROR(__xludf.DUMMYFUNCTION("""COMPUTED_VALUE"""),43070.6666666666)</f>
        <v>43070.666666666599</v>
      </c>
      <c r="B737" s="1">
        <f ca="1">IFERROR(__xludf.DUMMYFUNCTION("""COMPUTED_VALUE"""),20.36)</f>
        <v>20.36</v>
      </c>
      <c r="C737" s="1">
        <f ca="1">IFERROR(__xludf.DUMMYFUNCTION("""COMPUTED_VALUE"""),20.69)</f>
        <v>20.69</v>
      </c>
      <c r="D737" s="1">
        <f ca="1">IFERROR(__xludf.DUMMYFUNCTION("""COMPUTED_VALUE"""),20.34)</f>
        <v>20.34</v>
      </c>
      <c r="E737" s="1">
        <f ca="1">IFERROR(__xludf.DUMMYFUNCTION("""COMPUTED_VALUE"""),20.44)</f>
        <v>20.440000000000001</v>
      </c>
      <c r="F737" s="1">
        <f ca="1">IFERROR(__xludf.DUMMYFUNCTION("""COMPUTED_VALUE"""),4292868)</f>
        <v>4292868</v>
      </c>
    </row>
    <row r="738" spans="1:6" x14ac:dyDescent="0.35">
      <c r="A738" s="2">
        <f ca="1">IFERROR(__xludf.DUMMYFUNCTION("""COMPUTED_VALUE"""),43073.6666666666)</f>
        <v>43073.666666666599</v>
      </c>
      <c r="B738" s="1">
        <f ca="1">IFERROR(__xludf.DUMMYFUNCTION("""COMPUTED_VALUE"""),20.43)</f>
        <v>20.43</v>
      </c>
      <c r="C738" s="1">
        <f ca="1">IFERROR(__xludf.DUMMYFUNCTION("""COMPUTED_VALUE"""),20.55)</f>
        <v>20.55</v>
      </c>
      <c r="D738" s="1">
        <f ca="1">IFERROR(__xludf.DUMMYFUNCTION("""COMPUTED_VALUE"""),20.04)</f>
        <v>20.04</v>
      </c>
      <c r="E738" s="1">
        <f ca="1">IFERROR(__xludf.DUMMYFUNCTION("""COMPUTED_VALUE"""),20.35)</f>
        <v>20.350000000000001</v>
      </c>
      <c r="F738" s="1">
        <f ca="1">IFERROR(__xludf.DUMMYFUNCTION("""COMPUTED_VALUE"""),5835140)</f>
        <v>5835140</v>
      </c>
    </row>
    <row r="739" spans="1:6" x14ac:dyDescent="0.35">
      <c r="A739" s="2">
        <f ca="1">IFERROR(__xludf.DUMMYFUNCTION("""COMPUTED_VALUE"""),43074.6666666666)</f>
        <v>43074.666666666599</v>
      </c>
      <c r="B739" s="1">
        <f ca="1">IFERROR(__xludf.DUMMYFUNCTION("""COMPUTED_VALUE"""),20.13)</f>
        <v>20.13</v>
      </c>
      <c r="C739" s="1">
        <f ca="1">IFERROR(__xludf.DUMMYFUNCTION("""COMPUTED_VALUE"""),20.53)</f>
        <v>20.53</v>
      </c>
      <c r="D739" s="1">
        <f ca="1">IFERROR(__xludf.DUMMYFUNCTION("""COMPUTED_VALUE"""),20.07)</f>
        <v>20.07</v>
      </c>
      <c r="E739" s="1">
        <f ca="1">IFERROR(__xludf.DUMMYFUNCTION("""COMPUTED_VALUE"""),20.25)</f>
        <v>20.25</v>
      </c>
      <c r="F739" s="1">
        <f ca="1">IFERROR(__xludf.DUMMYFUNCTION("""COMPUTED_VALUE"""),4646520)</f>
        <v>4646520</v>
      </c>
    </row>
    <row r="740" spans="1:6" x14ac:dyDescent="0.35">
      <c r="A740" s="2">
        <f ca="1">IFERROR(__xludf.DUMMYFUNCTION("""COMPUTED_VALUE"""),43075.6666666666)</f>
        <v>43075.666666666599</v>
      </c>
      <c r="B740" s="1">
        <f ca="1">IFERROR(__xludf.DUMMYFUNCTION("""COMPUTED_VALUE"""),20.01)</f>
        <v>20.010000000000002</v>
      </c>
      <c r="C740" s="1">
        <f ca="1">IFERROR(__xludf.DUMMYFUNCTION("""COMPUTED_VALUE"""),20.89)</f>
        <v>20.89</v>
      </c>
      <c r="D740" s="1">
        <f ca="1">IFERROR(__xludf.DUMMYFUNCTION("""COMPUTED_VALUE"""),20)</f>
        <v>20</v>
      </c>
      <c r="E740" s="1">
        <f ca="1">IFERROR(__xludf.DUMMYFUNCTION("""COMPUTED_VALUE"""),20.88)</f>
        <v>20.88</v>
      </c>
      <c r="F740" s="1">
        <f ca="1">IFERROR(__xludf.DUMMYFUNCTION("""COMPUTED_VALUE"""),7195341)</f>
        <v>7195341</v>
      </c>
    </row>
    <row r="741" spans="1:6" x14ac:dyDescent="0.35">
      <c r="A741" s="2">
        <f ca="1">IFERROR(__xludf.DUMMYFUNCTION("""COMPUTED_VALUE"""),43076.6666666666)</f>
        <v>43076.666666666599</v>
      </c>
      <c r="B741" s="1">
        <f ca="1">IFERROR(__xludf.DUMMYFUNCTION("""COMPUTED_VALUE"""),20.8)</f>
        <v>20.8</v>
      </c>
      <c r="C741" s="1">
        <f ca="1">IFERROR(__xludf.DUMMYFUNCTION("""COMPUTED_VALUE"""),21.24)</f>
        <v>21.24</v>
      </c>
      <c r="D741" s="1">
        <f ca="1">IFERROR(__xludf.DUMMYFUNCTION("""COMPUTED_VALUE"""),20.74)</f>
        <v>20.74</v>
      </c>
      <c r="E741" s="1">
        <f ca="1">IFERROR(__xludf.DUMMYFUNCTION("""COMPUTED_VALUE"""),20.75)</f>
        <v>20.75</v>
      </c>
      <c r="F741" s="1">
        <f ca="1">IFERROR(__xludf.DUMMYFUNCTION("""COMPUTED_VALUE"""),4780597)</f>
        <v>4780597</v>
      </c>
    </row>
    <row r="742" spans="1:6" x14ac:dyDescent="0.35">
      <c r="A742" s="2">
        <f ca="1">IFERROR(__xludf.DUMMYFUNCTION("""COMPUTED_VALUE"""),43077.6666666666)</f>
        <v>43077.666666666599</v>
      </c>
      <c r="B742" s="1">
        <f ca="1">IFERROR(__xludf.DUMMYFUNCTION("""COMPUTED_VALUE"""),20.97)</f>
        <v>20.97</v>
      </c>
      <c r="C742" s="1">
        <f ca="1">IFERROR(__xludf.DUMMYFUNCTION("""COMPUTED_VALUE"""),21.13)</f>
        <v>21.13</v>
      </c>
      <c r="D742" s="1">
        <f ca="1">IFERROR(__xludf.DUMMYFUNCTION("""COMPUTED_VALUE"""),20.75)</f>
        <v>20.75</v>
      </c>
      <c r="E742" s="1">
        <f ca="1">IFERROR(__xludf.DUMMYFUNCTION("""COMPUTED_VALUE"""),21.01)</f>
        <v>21.01</v>
      </c>
      <c r="F742" s="1">
        <f ca="1">IFERROR(__xludf.DUMMYFUNCTION("""COMPUTED_VALUE"""),3468458)</f>
        <v>3468458</v>
      </c>
    </row>
    <row r="743" spans="1:6" x14ac:dyDescent="0.35">
      <c r="A743" s="2">
        <f ca="1">IFERROR(__xludf.DUMMYFUNCTION("""COMPUTED_VALUE"""),43080.6666666666)</f>
        <v>43080.666666666599</v>
      </c>
      <c r="B743" s="1">
        <f ca="1">IFERROR(__xludf.DUMMYFUNCTION("""COMPUTED_VALUE"""),20.98)</f>
        <v>20.98</v>
      </c>
      <c r="C743" s="1">
        <f ca="1">IFERROR(__xludf.DUMMYFUNCTION("""COMPUTED_VALUE"""),21.93)</f>
        <v>21.93</v>
      </c>
      <c r="D743" s="1">
        <f ca="1">IFERROR(__xludf.DUMMYFUNCTION("""COMPUTED_VALUE"""),20.92)</f>
        <v>20.92</v>
      </c>
      <c r="E743" s="1">
        <f ca="1">IFERROR(__xludf.DUMMYFUNCTION("""COMPUTED_VALUE"""),21.93)</f>
        <v>21.93</v>
      </c>
      <c r="F743" s="1">
        <f ca="1">IFERROR(__xludf.DUMMYFUNCTION("""COMPUTED_VALUE"""),7937981)</f>
        <v>7937981</v>
      </c>
    </row>
    <row r="744" spans="1:6" x14ac:dyDescent="0.35">
      <c r="A744" s="2">
        <f ca="1">IFERROR(__xludf.DUMMYFUNCTION("""COMPUTED_VALUE"""),43081.6666666666)</f>
        <v>43081.666666666599</v>
      </c>
      <c r="B744" s="1">
        <f ca="1">IFERROR(__xludf.DUMMYFUNCTION("""COMPUTED_VALUE"""),22.03)</f>
        <v>22.03</v>
      </c>
      <c r="C744" s="1">
        <f ca="1">IFERROR(__xludf.DUMMYFUNCTION("""COMPUTED_VALUE"""),22.76)</f>
        <v>22.76</v>
      </c>
      <c r="D744" s="1">
        <f ca="1">IFERROR(__xludf.DUMMYFUNCTION("""COMPUTED_VALUE"""),22)</f>
        <v>22</v>
      </c>
      <c r="E744" s="1">
        <f ca="1">IFERROR(__xludf.DUMMYFUNCTION("""COMPUTED_VALUE"""),22.74)</f>
        <v>22.74</v>
      </c>
      <c r="F744" s="1">
        <f ca="1">IFERROR(__xludf.DUMMYFUNCTION("""COMPUTED_VALUE"""),8733199)</f>
        <v>8733199</v>
      </c>
    </row>
    <row r="745" spans="1:6" x14ac:dyDescent="0.35">
      <c r="A745" s="2">
        <f ca="1">IFERROR(__xludf.DUMMYFUNCTION("""COMPUTED_VALUE"""),43082.6666666666)</f>
        <v>43082.666666666599</v>
      </c>
      <c r="B745" s="1">
        <f ca="1">IFERROR(__xludf.DUMMYFUNCTION("""COMPUTED_VALUE"""),22.73)</f>
        <v>22.73</v>
      </c>
      <c r="C745" s="1">
        <f ca="1">IFERROR(__xludf.DUMMYFUNCTION("""COMPUTED_VALUE"""),22.95)</f>
        <v>22.95</v>
      </c>
      <c r="D745" s="1">
        <f ca="1">IFERROR(__xludf.DUMMYFUNCTION("""COMPUTED_VALUE"""),22.43)</f>
        <v>22.43</v>
      </c>
      <c r="E745" s="1">
        <f ca="1">IFERROR(__xludf.DUMMYFUNCTION("""COMPUTED_VALUE"""),22.6)</f>
        <v>22.6</v>
      </c>
      <c r="F745" s="1">
        <f ca="1">IFERROR(__xludf.DUMMYFUNCTION("""COMPUTED_VALUE"""),6221461)</f>
        <v>6221461</v>
      </c>
    </row>
    <row r="746" spans="1:6" x14ac:dyDescent="0.35">
      <c r="A746" s="2">
        <f ca="1">IFERROR(__xludf.DUMMYFUNCTION("""COMPUTED_VALUE"""),43083.6666666666)</f>
        <v>43083.666666666599</v>
      </c>
      <c r="B746" s="1">
        <f ca="1">IFERROR(__xludf.DUMMYFUNCTION("""COMPUTED_VALUE"""),22.73)</f>
        <v>22.73</v>
      </c>
      <c r="C746" s="1">
        <f ca="1">IFERROR(__xludf.DUMMYFUNCTION("""COMPUTED_VALUE"""),23.16)</f>
        <v>23.16</v>
      </c>
      <c r="D746" s="1">
        <f ca="1">IFERROR(__xludf.DUMMYFUNCTION("""COMPUTED_VALUE"""),22.46)</f>
        <v>22.46</v>
      </c>
      <c r="E746" s="1">
        <f ca="1">IFERROR(__xludf.DUMMYFUNCTION("""COMPUTED_VALUE"""),22.53)</f>
        <v>22.53</v>
      </c>
      <c r="F746" s="1">
        <f ca="1">IFERROR(__xludf.DUMMYFUNCTION("""COMPUTED_VALUE"""),5799916)</f>
        <v>5799916</v>
      </c>
    </row>
    <row r="747" spans="1:6" x14ac:dyDescent="0.35">
      <c r="A747" s="2">
        <f ca="1">IFERROR(__xludf.DUMMYFUNCTION("""COMPUTED_VALUE"""),43084.6666666666)</f>
        <v>43084.666666666599</v>
      </c>
      <c r="B747" s="1">
        <f ca="1">IFERROR(__xludf.DUMMYFUNCTION("""COMPUTED_VALUE"""),22.8)</f>
        <v>22.8</v>
      </c>
      <c r="C747" s="1">
        <f ca="1">IFERROR(__xludf.DUMMYFUNCTION("""COMPUTED_VALUE"""),22.93)</f>
        <v>22.93</v>
      </c>
      <c r="D747" s="1">
        <f ca="1">IFERROR(__xludf.DUMMYFUNCTION("""COMPUTED_VALUE"""),22.38)</f>
        <v>22.38</v>
      </c>
      <c r="E747" s="1">
        <f ca="1">IFERROR(__xludf.DUMMYFUNCTION("""COMPUTED_VALUE"""),22.9)</f>
        <v>22.9</v>
      </c>
      <c r="F747" s="1">
        <f ca="1">IFERROR(__xludf.DUMMYFUNCTION("""COMPUTED_VALUE"""),6933199)</f>
        <v>6933199</v>
      </c>
    </row>
    <row r="748" spans="1:6" x14ac:dyDescent="0.35">
      <c r="A748" s="2">
        <f ca="1">IFERROR(__xludf.DUMMYFUNCTION("""COMPUTED_VALUE"""),43087.6666666666)</f>
        <v>43087.666666666599</v>
      </c>
      <c r="B748" s="1">
        <f ca="1">IFERROR(__xludf.DUMMYFUNCTION("""COMPUTED_VALUE"""),22.99)</f>
        <v>22.99</v>
      </c>
      <c r="C748" s="1">
        <f ca="1">IFERROR(__xludf.DUMMYFUNCTION("""COMPUTED_VALUE"""),23.12)</f>
        <v>23.12</v>
      </c>
      <c r="D748" s="1">
        <f ca="1">IFERROR(__xludf.DUMMYFUNCTION("""COMPUTED_VALUE"""),22.51)</f>
        <v>22.51</v>
      </c>
      <c r="E748" s="1">
        <f ca="1">IFERROR(__xludf.DUMMYFUNCTION("""COMPUTED_VALUE"""),22.59)</f>
        <v>22.59</v>
      </c>
      <c r="F748" s="1">
        <f ca="1">IFERROR(__xludf.DUMMYFUNCTION("""COMPUTED_VALUE"""),5476166)</f>
        <v>5476166</v>
      </c>
    </row>
    <row r="749" spans="1:6" x14ac:dyDescent="0.35">
      <c r="A749" s="2">
        <f ca="1">IFERROR(__xludf.DUMMYFUNCTION("""COMPUTED_VALUE"""),43088.6666666666)</f>
        <v>43088.666666666599</v>
      </c>
      <c r="B749" s="1">
        <f ca="1">IFERROR(__xludf.DUMMYFUNCTION("""COMPUTED_VALUE"""),22.68)</f>
        <v>22.68</v>
      </c>
      <c r="C749" s="1">
        <f ca="1">IFERROR(__xludf.DUMMYFUNCTION("""COMPUTED_VALUE"""),22.77)</f>
        <v>22.77</v>
      </c>
      <c r="D749" s="1">
        <f ca="1">IFERROR(__xludf.DUMMYFUNCTION("""COMPUTED_VALUE"""),22.02)</f>
        <v>22.02</v>
      </c>
      <c r="E749" s="1">
        <f ca="1">IFERROR(__xludf.DUMMYFUNCTION("""COMPUTED_VALUE"""),22.07)</f>
        <v>22.07</v>
      </c>
      <c r="F749" s="1">
        <f ca="1">IFERROR(__xludf.DUMMYFUNCTION("""COMPUTED_VALUE"""),6824971)</f>
        <v>6824971</v>
      </c>
    </row>
    <row r="750" spans="1:6" x14ac:dyDescent="0.35">
      <c r="A750" s="2">
        <f ca="1">IFERROR(__xludf.DUMMYFUNCTION("""COMPUTED_VALUE"""),43089.6666666666)</f>
        <v>43089.666666666599</v>
      </c>
      <c r="B750" s="1">
        <f ca="1">IFERROR(__xludf.DUMMYFUNCTION("""COMPUTED_VALUE"""),22.18)</f>
        <v>22.18</v>
      </c>
      <c r="C750" s="1">
        <f ca="1">IFERROR(__xludf.DUMMYFUNCTION("""COMPUTED_VALUE"""),22.21)</f>
        <v>22.21</v>
      </c>
      <c r="D750" s="1">
        <f ca="1">IFERROR(__xludf.DUMMYFUNCTION("""COMPUTED_VALUE"""),21.67)</f>
        <v>21.67</v>
      </c>
      <c r="E750" s="1">
        <f ca="1">IFERROR(__xludf.DUMMYFUNCTION("""COMPUTED_VALUE"""),21.93)</f>
        <v>21.93</v>
      </c>
      <c r="F750" s="1">
        <f ca="1">IFERROR(__xludf.DUMMYFUNCTION("""COMPUTED_VALUE"""),5953800)</f>
        <v>5953800</v>
      </c>
    </row>
    <row r="751" spans="1:6" x14ac:dyDescent="0.35">
      <c r="A751" s="2">
        <f ca="1">IFERROR(__xludf.DUMMYFUNCTION("""COMPUTED_VALUE"""),43090.6666666666)</f>
        <v>43090.666666666599</v>
      </c>
      <c r="B751" s="1">
        <f ca="1">IFERROR(__xludf.DUMMYFUNCTION("""COMPUTED_VALUE"""),21.97)</f>
        <v>21.97</v>
      </c>
      <c r="C751" s="1">
        <f ca="1">IFERROR(__xludf.DUMMYFUNCTION("""COMPUTED_VALUE"""),22.25)</f>
        <v>22.25</v>
      </c>
      <c r="D751" s="1">
        <f ca="1">IFERROR(__xludf.DUMMYFUNCTION("""COMPUTED_VALUE"""),21.81)</f>
        <v>21.81</v>
      </c>
      <c r="E751" s="1">
        <f ca="1">IFERROR(__xludf.DUMMYFUNCTION("""COMPUTED_VALUE"""),22.11)</f>
        <v>22.11</v>
      </c>
      <c r="F751" s="1">
        <f ca="1">IFERROR(__xludf.DUMMYFUNCTION("""COMPUTED_VALUE"""),4385222)</f>
        <v>4385222</v>
      </c>
    </row>
    <row r="752" spans="1:6" x14ac:dyDescent="0.35">
      <c r="A752" s="2">
        <f ca="1">IFERROR(__xludf.DUMMYFUNCTION("""COMPUTED_VALUE"""),43091.6666666666)</f>
        <v>43091.666666666599</v>
      </c>
      <c r="B752" s="1">
        <f ca="1">IFERROR(__xludf.DUMMYFUNCTION("""COMPUTED_VALUE"""),21.97)</f>
        <v>21.97</v>
      </c>
      <c r="C752" s="1">
        <f ca="1">IFERROR(__xludf.DUMMYFUNCTION("""COMPUTED_VALUE"""),22.06)</f>
        <v>22.06</v>
      </c>
      <c r="D752" s="1">
        <f ca="1">IFERROR(__xludf.DUMMYFUNCTION("""COMPUTED_VALUE"""),21.65)</f>
        <v>21.65</v>
      </c>
      <c r="E752" s="1">
        <f ca="1">IFERROR(__xludf.DUMMYFUNCTION("""COMPUTED_VALUE"""),21.68)</f>
        <v>21.68</v>
      </c>
      <c r="F752" s="1">
        <f ca="1">IFERROR(__xludf.DUMMYFUNCTION("""COMPUTED_VALUE"""),4215807)</f>
        <v>4215807</v>
      </c>
    </row>
    <row r="753" spans="1:6" x14ac:dyDescent="0.35">
      <c r="A753" s="2">
        <f ca="1">IFERROR(__xludf.DUMMYFUNCTION("""COMPUTED_VALUE"""),43095.6666666666)</f>
        <v>43095.666666666599</v>
      </c>
      <c r="B753" s="1">
        <f ca="1">IFERROR(__xludf.DUMMYFUNCTION("""COMPUTED_VALUE"""),21.59)</f>
        <v>21.59</v>
      </c>
      <c r="C753" s="1">
        <f ca="1">IFERROR(__xludf.DUMMYFUNCTION("""COMPUTED_VALUE"""),21.6)</f>
        <v>21.6</v>
      </c>
      <c r="D753" s="1">
        <f ca="1">IFERROR(__xludf.DUMMYFUNCTION("""COMPUTED_VALUE"""),21.11)</f>
        <v>21.11</v>
      </c>
      <c r="E753" s="1">
        <f ca="1">IFERROR(__xludf.DUMMYFUNCTION("""COMPUTED_VALUE"""),21.15)</f>
        <v>21.15</v>
      </c>
      <c r="F753" s="1">
        <f ca="1">IFERROR(__xludf.DUMMYFUNCTION("""COMPUTED_VALUE"""),4378413)</f>
        <v>4378413</v>
      </c>
    </row>
    <row r="754" spans="1:6" x14ac:dyDescent="0.35">
      <c r="A754" s="2">
        <f ca="1">IFERROR(__xludf.DUMMYFUNCTION("""COMPUTED_VALUE"""),43096.6666666666)</f>
        <v>43096.666666666599</v>
      </c>
      <c r="B754" s="1">
        <f ca="1">IFERROR(__xludf.DUMMYFUNCTION("""COMPUTED_VALUE"""),21.07)</f>
        <v>21.07</v>
      </c>
      <c r="C754" s="1">
        <f ca="1">IFERROR(__xludf.DUMMYFUNCTION("""COMPUTED_VALUE"""),21.18)</f>
        <v>21.18</v>
      </c>
      <c r="D754" s="1">
        <f ca="1">IFERROR(__xludf.DUMMYFUNCTION("""COMPUTED_VALUE"""),20.72)</f>
        <v>20.72</v>
      </c>
      <c r="E754" s="1">
        <f ca="1">IFERROR(__xludf.DUMMYFUNCTION("""COMPUTED_VALUE"""),20.78)</f>
        <v>20.78</v>
      </c>
      <c r="F754" s="1">
        <f ca="1">IFERROR(__xludf.DUMMYFUNCTION("""COMPUTED_VALUE"""),4712111)</f>
        <v>4712111</v>
      </c>
    </row>
    <row r="755" spans="1:6" x14ac:dyDescent="0.35">
      <c r="A755" s="2">
        <f ca="1">IFERROR(__xludf.DUMMYFUNCTION("""COMPUTED_VALUE"""),43097.6666666666)</f>
        <v>43097.666666666599</v>
      </c>
      <c r="B755" s="1">
        <f ca="1">IFERROR(__xludf.DUMMYFUNCTION("""COMPUTED_VALUE"""),20.78)</f>
        <v>20.78</v>
      </c>
      <c r="C755" s="1">
        <f ca="1">IFERROR(__xludf.DUMMYFUNCTION("""COMPUTED_VALUE"""),21.05)</f>
        <v>21.05</v>
      </c>
      <c r="D755" s="1">
        <f ca="1">IFERROR(__xludf.DUMMYFUNCTION("""COMPUTED_VALUE"""),20.64)</f>
        <v>20.64</v>
      </c>
      <c r="E755" s="1">
        <f ca="1">IFERROR(__xludf.DUMMYFUNCTION("""COMPUTED_VALUE"""),21.02)</f>
        <v>21.02</v>
      </c>
      <c r="F755" s="1">
        <f ca="1">IFERROR(__xludf.DUMMYFUNCTION("""COMPUTED_VALUE"""),4316347)</f>
        <v>4316347</v>
      </c>
    </row>
    <row r="756" spans="1:6" x14ac:dyDescent="0.35">
      <c r="A756" s="2">
        <f ca="1">IFERROR(__xludf.DUMMYFUNCTION("""COMPUTED_VALUE"""),43098.6666666666)</f>
        <v>43098.666666666599</v>
      </c>
      <c r="B756" s="1">
        <f ca="1">IFERROR(__xludf.DUMMYFUNCTION("""COMPUTED_VALUE"""),21.08)</f>
        <v>21.08</v>
      </c>
      <c r="C756" s="1">
        <f ca="1">IFERROR(__xludf.DUMMYFUNCTION("""COMPUTED_VALUE"""),21.09)</f>
        <v>21.09</v>
      </c>
      <c r="D756" s="1">
        <f ca="1">IFERROR(__xludf.DUMMYFUNCTION("""COMPUTED_VALUE"""),20.67)</f>
        <v>20.67</v>
      </c>
      <c r="E756" s="1">
        <f ca="1">IFERROR(__xludf.DUMMYFUNCTION("""COMPUTED_VALUE"""),20.76)</f>
        <v>20.76</v>
      </c>
      <c r="F756" s="1">
        <f ca="1">IFERROR(__xludf.DUMMYFUNCTION("""COMPUTED_VALUE"""),3777155)</f>
        <v>3777155</v>
      </c>
    </row>
    <row r="757" spans="1:6" x14ac:dyDescent="0.35">
      <c r="A757" s="2">
        <f ca="1">IFERROR(__xludf.DUMMYFUNCTION("""COMPUTED_VALUE"""),43102.6666666666)</f>
        <v>43102.666666666599</v>
      </c>
      <c r="B757" s="1">
        <f ca="1">IFERROR(__xludf.DUMMYFUNCTION("""COMPUTED_VALUE"""),20.8)</f>
        <v>20.8</v>
      </c>
      <c r="C757" s="1">
        <f ca="1">IFERROR(__xludf.DUMMYFUNCTION("""COMPUTED_VALUE"""),21.47)</f>
        <v>21.47</v>
      </c>
      <c r="D757" s="1">
        <f ca="1">IFERROR(__xludf.DUMMYFUNCTION("""COMPUTED_VALUE"""),20.73)</f>
        <v>20.73</v>
      </c>
      <c r="E757" s="1">
        <f ca="1">IFERROR(__xludf.DUMMYFUNCTION("""COMPUTED_VALUE"""),21.37)</f>
        <v>21.37</v>
      </c>
      <c r="F757" s="1">
        <f ca="1">IFERROR(__xludf.DUMMYFUNCTION("""COMPUTED_VALUE"""),4352241)</f>
        <v>4352241</v>
      </c>
    </row>
    <row r="758" spans="1:6" x14ac:dyDescent="0.35">
      <c r="A758" s="2">
        <f ca="1">IFERROR(__xludf.DUMMYFUNCTION("""COMPUTED_VALUE"""),43103.6666666666)</f>
        <v>43103.666666666599</v>
      </c>
      <c r="B758" s="1">
        <f ca="1">IFERROR(__xludf.DUMMYFUNCTION("""COMPUTED_VALUE"""),21.4)</f>
        <v>21.4</v>
      </c>
      <c r="C758" s="1">
        <f ca="1">IFERROR(__xludf.DUMMYFUNCTION("""COMPUTED_VALUE"""),21.68)</f>
        <v>21.68</v>
      </c>
      <c r="D758" s="1">
        <f ca="1">IFERROR(__xludf.DUMMYFUNCTION("""COMPUTED_VALUE"""),21.04)</f>
        <v>21.04</v>
      </c>
      <c r="E758" s="1">
        <f ca="1">IFERROR(__xludf.DUMMYFUNCTION("""COMPUTED_VALUE"""),21.15)</f>
        <v>21.15</v>
      </c>
      <c r="F758" s="1">
        <f ca="1">IFERROR(__xludf.DUMMYFUNCTION("""COMPUTED_VALUE"""),4521527)</f>
        <v>4521527</v>
      </c>
    </row>
    <row r="759" spans="1:6" x14ac:dyDescent="0.35">
      <c r="A759" s="2">
        <f ca="1">IFERROR(__xludf.DUMMYFUNCTION("""COMPUTED_VALUE"""),43104.6666666666)</f>
        <v>43104.666666666599</v>
      </c>
      <c r="B759" s="1">
        <f ca="1">IFERROR(__xludf.DUMMYFUNCTION("""COMPUTED_VALUE"""),20.86)</f>
        <v>20.86</v>
      </c>
      <c r="C759" s="1">
        <f ca="1">IFERROR(__xludf.DUMMYFUNCTION("""COMPUTED_VALUE"""),21.24)</f>
        <v>21.24</v>
      </c>
      <c r="D759" s="1">
        <f ca="1">IFERROR(__xludf.DUMMYFUNCTION("""COMPUTED_VALUE"""),20.38)</f>
        <v>20.38</v>
      </c>
      <c r="E759" s="1">
        <f ca="1">IFERROR(__xludf.DUMMYFUNCTION("""COMPUTED_VALUE"""),20.97)</f>
        <v>20.97</v>
      </c>
      <c r="F759" s="1">
        <f ca="1">IFERROR(__xludf.DUMMYFUNCTION("""COMPUTED_VALUE"""),9946304)</f>
        <v>9946304</v>
      </c>
    </row>
    <row r="760" spans="1:6" x14ac:dyDescent="0.35">
      <c r="A760" s="2">
        <f ca="1">IFERROR(__xludf.DUMMYFUNCTION("""COMPUTED_VALUE"""),43105.6666666666)</f>
        <v>43105.666666666599</v>
      </c>
      <c r="B760" s="1">
        <f ca="1">IFERROR(__xludf.DUMMYFUNCTION("""COMPUTED_VALUE"""),21.11)</f>
        <v>21.11</v>
      </c>
      <c r="C760" s="1">
        <f ca="1">IFERROR(__xludf.DUMMYFUNCTION("""COMPUTED_VALUE"""),21.15)</f>
        <v>21.15</v>
      </c>
      <c r="D760" s="1">
        <f ca="1">IFERROR(__xludf.DUMMYFUNCTION("""COMPUTED_VALUE"""),20.8)</f>
        <v>20.8</v>
      </c>
      <c r="E760" s="1">
        <f ca="1">IFERROR(__xludf.DUMMYFUNCTION("""COMPUTED_VALUE"""),21.11)</f>
        <v>21.11</v>
      </c>
      <c r="F760" s="1">
        <f ca="1">IFERROR(__xludf.DUMMYFUNCTION("""COMPUTED_VALUE"""),4591180)</f>
        <v>4591180</v>
      </c>
    </row>
    <row r="761" spans="1:6" x14ac:dyDescent="0.35">
      <c r="A761" s="2">
        <f ca="1">IFERROR(__xludf.DUMMYFUNCTION("""COMPUTED_VALUE"""),43108.6666666666)</f>
        <v>43108.666666666599</v>
      </c>
      <c r="B761" s="1">
        <f ca="1">IFERROR(__xludf.DUMMYFUNCTION("""COMPUTED_VALUE"""),21.07)</f>
        <v>21.07</v>
      </c>
      <c r="C761" s="1">
        <f ca="1">IFERROR(__xludf.DUMMYFUNCTION("""COMPUTED_VALUE"""),22.47)</f>
        <v>22.47</v>
      </c>
      <c r="D761" s="1">
        <f ca="1">IFERROR(__xludf.DUMMYFUNCTION("""COMPUTED_VALUE"""),21.03)</f>
        <v>21.03</v>
      </c>
      <c r="E761" s="1">
        <f ca="1">IFERROR(__xludf.DUMMYFUNCTION("""COMPUTED_VALUE"""),22.43)</f>
        <v>22.43</v>
      </c>
      <c r="F761" s="1">
        <f ca="1">IFERROR(__xludf.DUMMYFUNCTION("""COMPUTED_VALUE"""),9859435)</f>
        <v>9859435</v>
      </c>
    </row>
    <row r="762" spans="1:6" x14ac:dyDescent="0.35">
      <c r="A762" s="2">
        <f ca="1">IFERROR(__xludf.DUMMYFUNCTION("""COMPUTED_VALUE"""),43109.6666666666)</f>
        <v>43109.666666666599</v>
      </c>
      <c r="B762" s="1">
        <f ca="1">IFERROR(__xludf.DUMMYFUNCTION("""COMPUTED_VALUE"""),22.34)</f>
        <v>22.34</v>
      </c>
      <c r="C762" s="1">
        <f ca="1">IFERROR(__xludf.DUMMYFUNCTION("""COMPUTED_VALUE"""),22.59)</f>
        <v>22.59</v>
      </c>
      <c r="D762" s="1">
        <f ca="1">IFERROR(__xludf.DUMMYFUNCTION("""COMPUTED_VALUE"""),21.83)</f>
        <v>21.83</v>
      </c>
      <c r="E762" s="1">
        <f ca="1">IFERROR(__xludf.DUMMYFUNCTION("""COMPUTED_VALUE"""),22.25)</f>
        <v>22.25</v>
      </c>
      <c r="F762" s="1">
        <f ca="1">IFERROR(__xludf.DUMMYFUNCTION("""COMPUTED_VALUE"""),7146631)</f>
        <v>7146631</v>
      </c>
    </row>
    <row r="763" spans="1:6" x14ac:dyDescent="0.35">
      <c r="A763" s="2">
        <f ca="1">IFERROR(__xludf.DUMMYFUNCTION("""COMPUTED_VALUE"""),43110.6666666666)</f>
        <v>43110.666666666599</v>
      </c>
      <c r="B763" s="1">
        <f ca="1">IFERROR(__xludf.DUMMYFUNCTION("""COMPUTED_VALUE"""),22.15)</f>
        <v>22.15</v>
      </c>
      <c r="C763" s="1">
        <f ca="1">IFERROR(__xludf.DUMMYFUNCTION("""COMPUTED_VALUE"""),22.47)</f>
        <v>22.47</v>
      </c>
      <c r="D763" s="1">
        <f ca="1">IFERROR(__xludf.DUMMYFUNCTION("""COMPUTED_VALUE"""),22)</f>
        <v>22</v>
      </c>
      <c r="E763" s="1">
        <f ca="1">IFERROR(__xludf.DUMMYFUNCTION("""COMPUTED_VALUE"""),22.32)</f>
        <v>22.32</v>
      </c>
      <c r="F763" s="1">
        <f ca="1">IFERROR(__xludf.DUMMYFUNCTION("""COMPUTED_VALUE"""),4309926)</f>
        <v>4309926</v>
      </c>
    </row>
    <row r="764" spans="1:6" x14ac:dyDescent="0.35">
      <c r="A764" s="2">
        <f ca="1">IFERROR(__xludf.DUMMYFUNCTION("""COMPUTED_VALUE"""),43111.6666666666)</f>
        <v>43111.666666666599</v>
      </c>
      <c r="B764" s="1">
        <f ca="1">IFERROR(__xludf.DUMMYFUNCTION("""COMPUTED_VALUE"""),22.35)</f>
        <v>22.35</v>
      </c>
      <c r="C764" s="1">
        <f ca="1">IFERROR(__xludf.DUMMYFUNCTION("""COMPUTED_VALUE"""),22.99)</f>
        <v>22.99</v>
      </c>
      <c r="D764" s="1">
        <f ca="1">IFERROR(__xludf.DUMMYFUNCTION("""COMPUTED_VALUE"""),22.22)</f>
        <v>22.22</v>
      </c>
      <c r="E764" s="1">
        <f ca="1">IFERROR(__xludf.DUMMYFUNCTION("""COMPUTED_VALUE"""),22.53)</f>
        <v>22.53</v>
      </c>
      <c r="F764" s="1">
        <f ca="1">IFERROR(__xludf.DUMMYFUNCTION("""COMPUTED_VALUE"""),6645484)</f>
        <v>6645484</v>
      </c>
    </row>
    <row r="765" spans="1:6" x14ac:dyDescent="0.35">
      <c r="A765" s="2">
        <f ca="1">IFERROR(__xludf.DUMMYFUNCTION("""COMPUTED_VALUE"""),43112.6666666666)</f>
        <v>43112.666666666599</v>
      </c>
      <c r="B765" s="1">
        <f ca="1">IFERROR(__xludf.DUMMYFUNCTION("""COMPUTED_VALUE"""),22.58)</f>
        <v>22.58</v>
      </c>
      <c r="C765" s="1">
        <f ca="1">IFERROR(__xludf.DUMMYFUNCTION("""COMPUTED_VALUE"""),22.69)</f>
        <v>22.69</v>
      </c>
      <c r="D765" s="1">
        <f ca="1">IFERROR(__xludf.DUMMYFUNCTION("""COMPUTED_VALUE"""),22.24)</f>
        <v>22.24</v>
      </c>
      <c r="E765" s="1">
        <f ca="1">IFERROR(__xludf.DUMMYFUNCTION("""COMPUTED_VALUE"""),22.41)</f>
        <v>22.41</v>
      </c>
      <c r="F765" s="1">
        <f ca="1">IFERROR(__xludf.DUMMYFUNCTION("""COMPUTED_VALUE"""),4825059)</f>
        <v>4825059</v>
      </c>
    </row>
    <row r="766" spans="1:6" x14ac:dyDescent="0.35">
      <c r="A766" s="2">
        <f ca="1">IFERROR(__xludf.DUMMYFUNCTION("""COMPUTED_VALUE"""),43116.6666666666)</f>
        <v>43116.666666666599</v>
      </c>
      <c r="B766" s="1">
        <f ca="1">IFERROR(__xludf.DUMMYFUNCTION("""COMPUTED_VALUE"""),22.5)</f>
        <v>22.5</v>
      </c>
      <c r="C766" s="1">
        <f ca="1">IFERROR(__xludf.DUMMYFUNCTION("""COMPUTED_VALUE"""),23)</f>
        <v>23</v>
      </c>
      <c r="D766" s="1">
        <f ca="1">IFERROR(__xludf.DUMMYFUNCTION("""COMPUTED_VALUE"""),22.32)</f>
        <v>22.32</v>
      </c>
      <c r="E766" s="1">
        <f ca="1">IFERROR(__xludf.DUMMYFUNCTION("""COMPUTED_VALUE"""),22.67)</f>
        <v>22.67</v>
      </c>
      <c r="F766" s="1">
        <f ca="1">IFERROR(__xludf.DUMMYFUNCTION("""COMPUTED_VALUE"""),6474251)</f>
        <v>6474251</v>
      </c>
    </row>
    <row r="767" spans="1:6" x14ac:dyDescent="0.35">
      <c r="A767" s="2">
        <f ca="1">IFERROR(__xludf.DUMMYFUNCTION("""COMPUTED_VALUE"""),43117.6666666666)</f>
        <v>43117.666666666599</v>
      </c>
      <c r="B767" s="1">
        <f ca="1">IFERROR(__xludf.DUMMYFUNCTION("""COMPUTED_VALUE"""),22.7)</f>
        <v>22.7</v>
      </c>
      <c r="C767" s="1">
        <f ca="1">IFERROR(__xludf.DUMMYFUNCTION("""COMPUTED_VALUE"""),23.27)</f>
        <v>23.27</v>
      </c>
      <c r="D767" s="1">
        <f ca="1">IFERROR(__xludf.DUMMYFUNCTION("""COMPUTED_VALUE"""),22.65)</f>
        <v>22.65</v>
      </c>
      <c r="E767" s="1">
        <f ca="1">IFERROR(__xludf.DUMMYFUNCTION("""COMPUTED_VALUE"""),23.14)</f>
        <v>23.14</v>
      </c>
      <c r="F767" s="1">
        <f ca="1">IFERROR(__xludf.DUMMYFUNCTION("""COMPUTED_VALUE"""),7103505)</f>
        <v>7103505</v>
      </c>
    </row>
    <row r="768" spans="1:6" x14ac:dyDescent="0.35">
      <c r="A768" s="2">
        <f ca="1">IFERROR(__xludf.DUMMYFUNCTION("""COMPUTED_VALUE"""),43118.6666666666)</f>
        <v>43118.666666666599</v>
      </c>
      <c r="B768" s="1">
        <f ca="1">IFERROR(__xludf.DUMMYFUNCTION("""COMPUTED_VALUE"""),23.04)</f>
        <v>23.04</v>
      </c>
      <c r="C768" s="1">
        <f ca="1">IFERROR(__xludf.DUMMYFUNCTION("""COMPUTED_VALUE"""),23.49)</f>
        <v>23.49</v>
      </c>
      <c r="D768" s="1">
        <f ca="1">IFERROR(__xludf.DUMMYFUNCTION("""COMPUTED_VALUE"""),22.92)</f>
        <v>22.92</v>
      </c>
      <c r="E768" s="1">
        <f ca="1">IFERROR(__xludf.DUMMYFUNCTION("""COMPUTED_VALUE"""),22.97)</f>
        <v>22.97</v>
      </c>
      <c r="F768" s="1">
        <f ca="1">IFERROR(__xludf.DUMMYFUNCTION("""COMPUTED_VALUE"""),5685845)</f>
        <v>5685845</v>
      </c>
    </row>
    <row r="769" spans="1:6" x14ac:dyDescent="0.35">
      <c r="A769" s="2">
        <f ca="1">IFERROR(__xludf.DUMMYFUNCTION("""COMPUTED_VALUE"""),43119.6666666666)</f>
        <v>43119.666666666599</v>
      </c>
      <c r="B769" s="1">
        <f ca="1">IFERROR(__xludf.DUMMYFUNCTION("""COMPUTED_VALUE"""),23)</f>
        <v>23</v>
      </c>
      <c r="C769" s="1">
        <f ca="1">IFERROR(__xludf.DUMMYFUNCTION("""COMPUTED_VALUE"""),23.37)</f>
        <v>23.37</v>
      </c>
      <c r="D769" s="1">
        <f ca="1">IFERROR(__xludf.DUMMYFUNCTION("""COMPUTED_VALUE"""),22.84)</f>
        <v>22.84</v>
      </c>
      <c r="E769" s="1">
        <f ca="1">IFERROR(__xludf.DUMMYFUNCTION("""COMPUTED_VALUE"""),23.33)</f>
        <v>23.33</v>
      </c>
      <c r="F769" s="1">
        <f ca="1">IFERROR(__xludf.DUMMYFUNCTION("""COMPUTED_VALUE"""),4888303)</f>
        <v>4888303</v>
      </c>
    </row>
    <row r="770" spans="1:6" x14ac:dyDescent="0.35">
      <c r="A770" s="2">
        <f ca="1">IFERROR(__xludf.DUMMYFUNCTION("""COMPUTED_VALUE"""),43122.6666666666)</f>
        <v>43122.666666666599</v>
      </c>
      <c r="B770" s="1">
        <f ca="1">IFERROR(__xludf.DUMMYFUNCTION("""COMPUTED_VALUE"""),23.29)</f>
        <v>23.29</v>
      </c>
      <c r="C770" s="1">
        <f ca="1">IFERROR(__xludf.DUMMYFUNCTION("""COMPUTED_VALUE"""),23.86)</f>
        <v>23.86</v>
      </c>
      <c r="D770" s="1">
        <f ca="1">IFERROR(__xludf.DUMMYFUNCTION("""COMPUTED_VALUE"""),23.28)</f>
        <v>23.28</v>
      </c>
      <c r="E770" s="1">
        <f ca="1">IFERROR(__xludf.DUMMYFUNCTION("""COMPUTED_VALUE"""),23.44)</f>
        <v>23.44</v>
      </c>
      <c r="F770" s="1">
        <f ca="1">IFERROR(__xludf.DUMMYFUNCTION("""COMPUTED_VALUE"""),6210360)</f>
        <v>6210360</v>
      </c>
    </row>
    <row r="771" spans="1:6" x14ac:dyDescent="0.35">
      <c r="A771" s="2">
        <f ca="1">IFERROR(__xludf.DUMMYFUNCTION("""COMPUTED_VALUE"""),43123.6666666666)</f>
        <v>43123.666666666599</v>
      </c>
      <c r="B771" s="1">
        <f ca="1">IFERROR(__xludf.DUMMYFUNCTION("""COMPUTED_VALUE"""),24)</f>
        <v>24</v>
      </c>
      <c r="C771" s="1">
        <f ca="1">IFERROR(__xludf.DUMMYFUNCTION("""COMPUTED_VALUE"""),24.03)</f>
        <v>24.03</v>
      </c>
      <c r="D771" s="1">
        <f ca="1">IFERROR(__xludf.DUMMYFUNCTION("""COMPUTED_VALUE"""),23.4)</f>
        <v>23.4</v>
      </c>
      <c r="E771" s="1">
        <f ca="1">IFERROR(__xludf.DUMMYFUNCTION("""COMPUTED_VALUE"""),23.52)</f>
        <v>23.52</v>
      </c>
      <c r="F771" s="1">
        <f ca="1">IFERROR(__xludf.DUMMYFUNCTION("""COMPUTED_VALUE"""),5465414)</f>
        <v>5465414</v>
      </c>
    </row>
    <row r="772" spans="1:6" x14ac:dyDescent="0.35">
      <c r="A772" s="2">
        <f ca="1">IFERROR(__xludf.DUMMYFUNCTION("""COMPUTED_VALUE"""),43124.6666666666)</f>
        <v>43124.666666666599</v>
      </c>
      <c r="B772" s="1">
        <f ca="1">IFERROR(__xludf.DUMMYFUNCTION("""COMPUTED_VALUE"""),23.64)</f>
        <v>23.64</v>
      </c>
      <c r="C772" s="1">
        <f ca="1">IFERROR(__xludf.DUMMYFUNCTION("""COMPUTED_VALUE"""),23.65)</f>
        <v>23.65</v>
      </c>
      <c r="D772" s="1">
        <f ca="1">IFERROR(__xludf.DUMMYFUNCTION("""COMPUTED_VALUE"""),22.9)</f>
        <v>22.9</v>
      </c>
      <c r="E772" s="1">
        <f ca="1">IFERROR(__xludf.DUMMYFUNCTION("""COMPUTED_VALUE"""),23.06)</f>
        <v>23.06</v>
      </c>
      <c r="F772" s="1">
        <f ca="1">IFERROR(__xludf.DUMMYFUNCTION("""COMPUTED_VALUE"""),5287478)</f>
        <v>5287478</v>
      </c>
    </row>
    <row r="773" spans="1:6" x14ac:dyDescent="0.35">
      <c r="A773" s="2">
        <f ca="1">IFERROR(__xludf.DUMMYFUNCTION("""COMPUTED_VALUE"""),43125.6666666666)</f>
        <v>43125.666666666599</v>
      </c>
      <c r="B773" s="1">
        <f ca="1">IFERROR(__xludf.DUMMYFUNCTION("""COMPUTED_VALUE"""),23.22)</f>
        <v>23.22</v>
      </c>
      <c r="C773" s="1">
        <f ca="1">IFERROR(__xludf.DUMMYFUNCTION("""COMPUTED_VALUE"""),23.28)</f>
        <v>23.28</v>
      </c>
      <c r="D773" s="1">
        <f ca="1">IFERROR(__xludf.DUMMYFUNCTION("""COMPUTED_VALUE"""),22.43)</f>
        <v>22.43</v>
      </c>
      <c r="E773" s="1">
        <f ca="1">IFERROR(__xludf.DUMMYFUNCTION("""COMPUTED_VALUE"""),22.51)</f>
        <v>22.51</v>
      </c>
      <c r="F773" s="1">
        <f ca="1">IFERROR(__xludf.DUMMYFUNCTION("""COMPUTED_VALUE"""),6740303)</f>
        <v>6740303</v>
      </c>
    </row>
    <row r="774" spans="1:6" x14ac:dyDescent="0.35">
      <c r="A774" s="2">
        <f ca="1">IFERROR(__xludf.DUMMYFUNCTION("""COMPUTED_VALUE"""),43126.6666666666)</f>
        <v>43126.666666666599</v>
      </c>
      <c r="B774" s="1">
        <f ca="1">IFERROR(__xludf.DUMMYFUNCTION("""COMPUTED_VALUE"""),22.77)</f>
        <v>22.77</v>
      </c>
      <c r="C774" s="1">
        <f ca="1">IFERROR(__xludf.DUMMYFUNCTION("""COMPUTED_VALUE"""),22.93)</f>
        <v>22.93</v>
      </c>
      <c r="D774" s="1">
        <f ca="1">IFERROR(__xludf.DUMMYFUNCTION("""COMPUTED_VALUE"""),22.38)</f>
        <v>22.38</v>
      </c>
      <c r="E774" s="1">
        <f ca="1">IFERROR(__xludf.DUMMYFUNCTION("""COMPUTED_VALUE"""),22.86)</f>
        <v>22.86</v>
      </c>
      <c r="F774" s="1">
        <f ca="1">IFERROR(__xludf.DUMMYFUNCTION("""COMPUTED_VALUE"""),4539356)</f>
        <v>4539356</v>
      </c>
    </row>
    <row r="775" spans="1:6" x14ac:dyDescent="0.35">
      <c r="A775" s="2">
        <f ca="1">IFERROR(__xludf.DUMMYFUNCTION("""COMPUTED_VALUE"""),43129.6666666666)</f>
        <v>43129.666666666599</v>
      </c>
      <c r="B775" s="1">
        <f ca="1">IFERROR(__xludf.DUMMYFUNCTION("""COMPUTED_VALUE"""),22.66)</f>
        <v>22.66</v>
      </c>
      <c r="C775" s="1">
        <f ca="1">IFERROR(__xludf.DUMMYFUNCTION("""COMPUTED_VALUE"""),23.39)</f>
        <v>23.39</v>
      </c>
      <c r="D775" s="1">
        <f ca="1">IFERROR(__xludf.DUMMYFUNCTION("""COMPUTED_VALUE"""),22.55)</f>
        <v>22.55</v>
      </c>
      <c r="E775" s="1">
        <f ca="1">IFERROR(__xludf.DUMMYFUNCTION("""COMPUTED_VALUE"""),23.3)</f>
        <v>23.3</v>
      </c>
      <c r="F775" s="1">
        <f ca="1">IFERROR(__xludf.DUMMYFUNCTION("""COMPUTED_VALUE"""),4747149)</f>
        <v>4747149</v>
      </c>
    </row>
    <row r="776" spans="1:6" x14ac:dyDescent="0.35">
      <c r="A776" s="2">
        <f ca="1">IFERROR(__xludf.DUMMYFUNCTION("""COMPUTED_VALUE"""),43130.6666666666)</f>
        <v>43130.666666666599</v>
      </c>
      <c r="B776" s="1">
        <f ca="1">IFERROR(__xludf.DUMMYFUNCTION("""COMPUTED_VALUE"""),23.01)</f>
        <v>23.01</v>
      </c>
      <c r="C776" s="1">
        <f ca="1">IFERROR(__xludf.DUMMYFUNCTION("""COMPUTED_VALUE"""),23.22)</f>
        <v>23.22</v>
      </c>
      <c r="D776" s="1">
        <f ca="1">IFERROR(__xludf.DUMMYFUNCTION("""COMPUTED_VALUE"""),22.81)</f>
        <v>22.81</v>
      </c>
      <c r="E776" s="1">
        <f ca="1">IFERROR(__xludf.DUMMYFUNCTION("""COMPUTED_VALUE"""),23.05)</f>
        <v>23.05</v>
      </c>
      <c r="F776" s="1">
        <f ca="1">IFERROR(__xludf.DUMMYFUNCTION("""COMPUTED_VALUE"""),4717700)</f>
        <v>4717700</v>
      </c>
    </row>
    <row r="777" spans="1:6" x14ac:dyDescent="0.35">
      <c r="A777" s="2">
        <f ca="1">IFERROR(__xludf.DUMMYFUNCTION("""COMPUTED_VALUE"""),43131.6666666666)</f>
        <v>43131.666666666599</v>
      </c>
      <c r="B777" s="1">
        <f ca="1">IFERROR(__xludf.DUMMYFUNCTION("""COMPUTED_VALUE"""),23.17)</f>
        <v>23.17</v>
      </c>
      <c r="C777" s="1">
        <f ca="1">IFERROR(__xludf.DUMMYFUNCTION("""COMPUTED_VALUE"""),23.75)</f>
        <v>23.75</v>
      </c>
      <c r="D777" s="1">
        <f ca="1">IFERROR(__xludf.DUMMYFUNCTION("""COMPUTED_VALUE"""),23.01)</f>
        <v>23.01</v>
      </c>
      <c r="E777" s="1">
        <f ca="1">IFERROR(__xludf.DUMMYFUNCTION("""COMPUTED_VALUE"""),23.62)</f>
        <v>23.62</v>
      </c>
      <c r="F777" s="1">
        <f ca="1">IFERROR(__xludf.DUMMYFUNCTION("""COMPUTED_VALUE"""),6214069)</f>
        <v>6214069</v>
      </c>
    </row>
    <row r="778" spans="1:6" x14ac:dyDescent="0.35">
      <c r="A778" s="2">
        <f ca="1">IFERROR(__xludf.DUMMYFUNCTION("""COMPUTED_VALUE"""),43132.6666666666)</f>
        <v>43132.666666666599</v>
      </c>
      <c r="B778" s="1">
        <f ca="1">IFERROR(__xludf.DUMMYFUNCTION("""COMPUTED_VALUE"""),23.4)</f>
        <v>23.4</v>
      </c>
      <c r="C778" s="1">
        <f ca="1">IFERROR(__xludf.DUMMYFUNCTION("""COMPUTED_VALUE"""),23.98)</f>
        <v>23.98</v>
      </c>
      <c r="D778" s="1">
        <f ca="1">IFERROR(__xludf.DUMMYFUNCTION("""COMPUTED_VALUE"""),23.24)</f>
        <v>23.24</v>
      </c>
      <c r="E778" s="1">
        <f ca="1">IFERROR(__xludf.DUMMYFUNCTION("""COMPUTED_VALUE"""),23.28)</f>
        <v>23.28</v>
      </c>
      <c r="F778" s="1">
        <f ca="1">IFERROR(__xludf.DUMMYFUNCTION("""COMPUTED_VALUE"""),4197687)</f>
        <v>4197687</v>
      </c>
    </row>
    <row r="779" spans="1:6" x14ac:dyDescent="0.35">
      <c r="A779" s="2">
        <f ca="1">IFERROR(__xludf.DUMMYFUNCTION("""COMPUTED_VALUE"""),43133.6666666666)</f>
        <v>43133.666666666599</v>
      </c>
      <c r="B779" s="1">
        <f ca="1">IFERROR(__xludf.DUMMYFUNCTION("""COMPUTED_VALUE"""),23.23)</f>
        <v>23.23</v>
      </c>
      <c r="C779" s="1">
        <f ca="1">IFERROR(__xludf.DUMMYFUNCTION("""COMPUTED_VALUE"""),23.46)</f>
        <v>23.46</v>
      </c>
      <c r="D779" s="1">
        <f ca="1">IFERROR(__xludf.DUMMYFUNCTION("""COMPUTED_VALUE"""),22.7)</f>
        <v>22.7</v>
      </c>
      <c r="E779" s="1">
        <f ca="1">IFERROR(__xludf.DUMMYFUNCTION("""COMPUTED_VALUE"""),22.92)</f>
        <v>22.92</v>
      </c>
      <c r="F779" s="1">
        <f ca="1">IFERROR(__xludf.DUMMYFUNCTION("""COMPUTED_VALUE"""),3704836)</f>
        <v>3704836</v>
      </c>
    </row>
    <row r="780" spans="1:6" x14ac:dyDescent="0.35">
      <c r="A780" s="2">
        <f ca="1">IFERROR(__xludf.DUMMYFUNCTION("""COMPUTED_VALUE"""),43136.6666666666)</f>
        <v>43136.666666666599</v>
      </c>
      <c r="B780" s="1">
        <f ca="1">IFERROR(__xludf.DUMMYFUNCTION("""COMPUTED_VALUE"""),22.53)</f>
        <v>22.53</v>
      </c>
      <c r="C780" s="1">
        <f ca="1">IFERROR(__xludf.DUMMYFUNCTION("""COMPUTED_VALUE"""),22.96)</f>
        <v>22.96</v>
      </c>
      <c r="D780" s="1">
        <f ca="1">IFERROR(__xludf.DUMMYFUNCTION("""COMPUTED_VALUE"""),22.2)</f>
        <v>22.2</v>
      </c>
      <c r="E780" s="1">
        <f ca="1">IFERROR(__xludf.DUMMYFUNCTION("""COMPUTED_VALUE"""),22.21)</f>
        <v>22.21</v>
      </c>
      <c r="F780" s="1">
        <f ca="1">IFERROR(__xludf.DUMMYFUNCTION("""COMPUTED_VALUE"""),4464147)</f>
        <v>4464147</v>
      </c>
    </row>
    <row r="781" spans="1:6" x14ac:dyDescent="0.35">
      <c r="A781" s="2">
        <f ca="1">IFERROR(__xludf.DUMMYFUNCTION("""COMPUTED_VALUE"""),43137.6666666666)</f>
        <v>43137.666666666599</v>
      </c>
      <c r="B781" s="1">
        <f ca="1">IFERROR(__xludf.DUMMYFUNCTION("""COMPUTED_VALUE"""),21.68)</f>
        <v>21.68</v>
      </c>
      <c r="C781" s="1">
        <f ca="1">IFERROR(__xludf.DUMMYFUNCTION("""COMPUTED_VALUE"""),22.41)</f>
        <v>22.41</v>
      </c>
      <c r="D781" s="1">
        <f ca="1">IFERROR(__xludf.DUMMYFUNCTION("""COMPUTED_VALUE"""),21.57)</f>
        <v>21.57</v>
      </c>
      <c r="E781" s="1">
        <f ca="1">IFERROR(__xludf.DUMMYFUNCTION("""COMPUTED_VALUE"""),22.26)</f>
        <v>22.26</v>
      </c>
      <c r="F781" s="1">
        <f ca="1">IFERROR(__xludf.DUMMYFUNCTION("""COMPUTED_VALUE"""),5088438)</f>
        <v>5088438</v>
      </c>
    </row>
    <row r="782" spans="1:6" x14ac:dyDescent="0.35">
      <c r="A782" s="2">
        <f ca="1">IFERROR(__xludf.DUMMYFUNCTION("""COMPUTED_VALUE"""),43138.6666666666)</f>
        <v>43138.666666666599</v>
      </c>
      <c r="B782" s="1">
        <f ca="1">IFERROR(__xludf.DUMMYFUNCTION("""COMPUTED_VALUE"""),22.6)</f>
        <v>22.6</v>
      </c>
      <c r="C782" s="1">
        <f ca="1">IFERROR(__xludf.DUMMYFUNCTION("""COMPUTED_VALUE"""),23.07)</f>
        <v>23.07</v>
      </c>
      <c r="D782" s="1">
        <f ca="1">IFERROR(__xludf.DUMMYFUNCTION("""COMPUTED_VALUE"""),22.38)</f>
        <v>22.38</v>
      </c>
      <c r="E782" s="1">
        <f ca="1">IFERROR(__xludf.DUMMYFUNCTION("""COMPUTED_VALUE"""),23)</f>
        <v>23</v>
      </c>
      <c r="F782" s="1">
        <f ca="1">IFERROR(__xludf.DUMMYFUNCTION("""COMPUTED_VALUE"""),6969239)</f>
        <v>6969239</v>
      </c>
    </row>
    <row r="783" spans="1:6" x14ac:dyDescent="0.35">
      <c r="A783" s="2">
        <f ca="1">IFERROR(__xludf.DUMMYFUNCTION("""COMPUTED_VALUE"""),43139.6666666666)</f>
        <v>43139.666666666599</v>
      </c>
      <c r="B783" s="1">
        <f ca="1">IFERROR(__xludf.DUMMYFUNCTION("""COMPUTED_VALUE"""),22.89)</f>
        <v>22.89</v>
      </c>
      <c r="C783" s="1">
        <f ca="1">IFERROR(__xludf.DUMMYFUNCTION("""COMPUTED_VALUE"""),23.24)</f>
        <v>23.24</v>
      </c>
      <c r="D783" s="1">
        <f ca="1">IFERROR(__xludf.DUMMYFUNCTION("""COMPUTED_VALUE"""),20.97)</f>
        <v>20.97</v>
      </c>
      <c r="E783" s="1">
        <f ca="1">IFERROR(__xludf.DUMMYFUNCTION("""COMPUTED_VALUE"""),21.02)</f>
        <v>21.02</v>
      </c>
      <c r="F783" s="1">
        <f ca="1">IFERROR(__xludf.DUMMYFUNCTION("""COMPUTED_VALUE"""),10314573)</f>
        <v>10314573</v>
      </c>
    </row>
    <row r="784" spans="1:6" x14ac:dyDescent="0.35">
      <c r="A784" s="2">
        <f ca="1">IFERROR(__xludf.DUMMYFUNCTION("""COMPUTED_VALUE"""),43140.6666666666)</f>
        <v>43140.666666666599</v>
      </c>
      <c r="B784" s="1">
        <f ca="1">IFERROR(__xludf.DUMMYFUNCTION("""COMPUTED_VALUE"""),21.33)</f>
        <v>21.33</v>
      </c>
      <c r="C784" s="1">
        <f ca="1">IFERROR(__xludf.DUMMYFUNCTION("""COMPUTED_VALUE"""),21.4)</f>
        <v>21.4</v>
      </c>
      <c r="D784" s="1">
        <f ca="1">IFERROR(__xludf.DUMMYFUNCTION("""COMPUTED_VALUE"""),19.65)</f>
        <v>19.649999999999999</v>
      </c>
      <c r="E784" s="1">
        <f ca="1">IFERROR(__xludf.DUMMYFUNCTION("""COMPUTED_VALUE"""),20.69)</f>
        <v>20.69</v>
      </c>
      <c r="F784" s="1">
        <f ca="1">IFERROR(__xludf.DUMMYFUNCTION("""COMPUTED_VALUE"""),12933721)</f>
        <v>12933721</v>
      </c>
    </row>
    <row r="785" spans="1:6" x14ac:dyDescent="0.35">
      <c r="A785" s="2">
        <f ca="1">IFERROR(__xludf.DUMMYFUNCTION("""COMPUTED_VALUE"""),43143.6666666666)</f>
        <v>43143.666666666599</v>
      </c>
      <c r="B785" s="1">
        <f ca="1">IFERROR(__xludf.DUMMYFUNCTION("""COMPUTED_VALUE"""),21.08)</f>
        <v>21.08</v>
      </c>
      <c r="C785" s="1">
        <f ca="1">IFERROR(__xludf.DUMMYFUNCTION("""COMPUTED_VALUE"""),21.21)</f>
        <v>21.21</v>
      </c>
      <c r="D785" s="1">
        <f ca="1">IFERROR(__xludf.DUMMYFUNCTION("""COMPUTED_VALUE"""),20.42)</f>
        <v>20.420000000000002</v>
      </c>
      <c r="E785" s="1">
        <f ca="1">IFERROR(__xludf.DUMMYFUNCTION("""COMPUTED_VALUE"""),21.05)</f>
        <v>21.05</v>
      </c>
      <c r="F785" s="1">
        <f ca="1">IFERROR(__xludf.DUMMYFUNCTION("""COMPUTED_VALUE"""),6227822)</f>
        <v>6227822</v>
      </c>
    </row>
    <row r="786" spans="1:6" x14ac:dyDescent="0.35">
      <c r="A786" s="2">
        <f ca="1">IFERROR(__xludf.DUMMYFUNCTION("""COMPUTED_VALUE"""),43144.6666666666)</f>
        <v>43144.666666666599</v>
      </c>
      <c r="B786" s="1">
        <f ca="1">IFERROR(__xludf.DUMMYFUNCTION("""COMPUTED_VALUE"""),21)</f>
        <v>21</v>
      </c>
      <c r="C786" s="1">
        <f ca="1">IFERROR(__xludf.DUMMYFUNCTION("""COMPUTED_VALUE"""),21.61)</f>
        <v>21.61</v>
      </c>
      <c r="D786" s="1">
        <f ca="1">IFERROR(__xludf.DUMMYFUNCTION("""COMPUTED_VALUE"""),20.83)</f>
        <v>20.83</v>
      </c>
      <c r="E786" s="1">
        <f ca="1">IFERROR(__xludf.DUMMYFUNCTION("""COMPUTED_VALUE"""),21.58)</f>
        <v>21.58</v>
      </c>
      <c r="F786" s="1">
        <f ca="1">IFERROR(__xludf.DUMMYFUNCTION("""COMPUTED_VALUE"""),4560231)</f>
        <v>4560231</v>
      </c>
    </row>
    <row r="787" spans="1:6" x14ac:dyDescent="0.35">
      <c r="A787" s="2">
        <f ca="1">IFERROR(__xludf.DUMMYFUNCTION("""COMPUTED_VALUE"""),43145.6666666666)</f>
        <v>43145.666666666599</v>
      </c>
      <c r="B787" s="1">
        <f ca="1">IFERROR(__xludf.DUMMYFUNCTION("""COMPUTED_VALUE"""),21.39)</f>
        <v>21.39</v>
      </c>
      <c r="C787" s="1">
        <f ca="1">IFERROR(__xludf.DUMMYFUNCTION("""COMPUTED_VALUE"""),21.74)</f>
        <v>21.74</v>
      </c>
      <c r="D787" s="1">
        <f ca="1">IFERROR(__xludf.DUMMYFUNCTION("""COMPUTED_VALUE"""),21.23)</f>
        <v>21.23</v>
      </c>
      <c r="E787" s="1">
        <f ca="1">IFERROR(__xludf.DUMMYFUNCTION("""COMPUTED_VALUE"""),21.49)</f>
        <v>21.49</v>
      </c>
      <c r="F787" s="1">
        <f ca="1">IFERROR(__xludf.DUMMYFUNCTION("""COMPUTED_VALUE"""),3950743)</f>
        <v>3950743</v>
      </c>
    </row>
    <row r="788" spans="1:6" x14ac:dyDescent="0.35">
      <c r="A788" s="2">
        <f ca="1">IFERROR(__xludf.DUMMYFUNCTION("""COMPUTED_VALUE"""),43146.6666666666)</f>
        <v>43146.666666666599</v>
      </c>
      <c r="B788" s="1">
        <f ca="1">IFERROR(__xludf.DUMMYFUNCTION("""COMPUTED_VALUE"""),21.63)</f>
        <v>21.63</v>
      </c>
      <c r="C788" s="1">
        <f ca="1">IFERROR(__xludf.DUMMYFUNCTION("""COMPUTED_VALUE"""),22.27)</f>
        <v>22.27</v>
      </c>
      <c r="D788" s="1">
        <f ca="1">IFERROR(__xludf.DUMMYFUNCTION("""COMPUTED_VALUE"""),21.49)</f>
        <v>21.49</v>
      </c>
      <c r="E788" s="1">
        <f ca="1">IFERROR(__xludf.DUMMYFUNCTION("""COMPUTED_VALUE"""),22.27)</f>
        <v>22.27</v>
      </c>
      <c r="F788" s="1">
        <f ca="1">IFERROR(__xludf.DUMMYFUNCTION("""COMPUTED_VALUE"""),5912917)</f>
        <v>5912917</v>
      </c>
    </row>
    <row r="789" spans="1:6" x14ac:dyDescent="0.35">
      <c r="A789" s="2">
        <f ca="1">IFERROR(__xludf.DUMMYFUNCTION("""COMPUTED_VALUE"""),43147.6666666666)</f>
        <v>43147.666666666599</v>
      </c>
      <c r="B789" s="1">
        <f ca="1">IFERROR(__xludf.DUMMYFUNCTION("""COMPUTED_VALUE"""),22.17)</f>
        <v>22.17</v>
      </c>
      <c r="C789" s="1">
        <f ca="1">IFERROR(__xludf.DUMMYFUNCTION("""COMPUTED_VALUE"""),22.87)</f>
        <v>22.87</v>
      </c>
      <c r="D789" s="1">
        <f ca="1">IFERROR(__xludf.DUMMYFUNCTION("""COMPUTED_VALUE"""),22.11)</f>
        <v>22.11</v>
      </c>
      <c r="E789" s="1">
        <f ca="1">IFERROR(__xludf.DUMMYFUNCTION("""COMPUTED_VALUE"""),22.37)</f>
        <v>22.37</v>
      </c>
      <c r="F789" s="1">
        <f ca="1">IFERROR(__xludf.DUMMYFUNCTION("""COMPUTED_VALUE"""),5642637)</f>
        <v>5642637</v>
      </c>
    </row>
    <row r="790" spans="1:6" x14ac:dyDescent="0.35">
      <c r="A790" s="2">
        <f ca="1">IFERROR(__xludf.DUMMYFUNCTION("""COMPUTED_VALUE"""),43151.6666666666)</f>
        <v>43151.666666666599</v>
      </c>
      <c r="B790" s="1">
        <f ca="1">IFERROR(__xludf.DUMMYFUNCTION("""COMPUTED_VALUE"""),22.3)</f>
        <v>22.3</v>
      </c>
      <c r="C790" s="1">
        <f ca="1">IFERROR(__xludf.DUMMYFUNCTION("""COMPUTED_VALUE"""),22.72)</f>
        <v>22.72</v>
      </c>
      <c r="D790" s="1">
        <f ca="1">IFERROR(__xludf.DUMMYFUNCTION("""COMPUTED_VALUE"""),22.1)</f>
        <v>22.1</v>
      </c>
      <c r="E790" s="1">
        <f ca="1">IFERROR(__xludf.DUMMYFUNCTION("""COMPUTED_VALUE"""),22.32)</f>
        <v>22.32</v>
      </c>
      <c r="F790" s="1">
        <f ca="1">IFERROR(__xludf.DUMMYFUNCTION("""COMPUTED_VALUE"""),4009435)</f>
        <v>4009435</v>
      </c>
    </row>
    <row r="791" spans="1:6" x14ac:dyDescent="0.35">
      <c r="A791" s="2">
        <f ca="1">IFERROR(__xludf.DUMMYFUNCTION("""COMPUTED_VALUE"""),43152.6666666666)</f>
        <v>43152.666666666599</v>
      </c>
      <c r="B791" s="1">
        <f ca="1">IFERROR(__xludf.DUMMYFUNCTION("""COMPUTED_VALUE"""),22.4)</f>
        <v>22.4</v>
      </c>
      <c r="C791" s="1">
        <f ca="1">IFERROR(__xludf.DUMMYFUNCTION("""COMPUTED_VALUE"""),22.65)</f>
        <v>22.65</v>
      </c>
      <c r="D791" s="1">
        <f ca="1">IFERROR(__xludf.DUMMYFUNCTION("""COMPUTED_VALUE"""),22.21)</f>
        <v>22.21</v>
      </c>
      <c r="E791" s="1">
        <f ca="1">IFERROR(__xludf.DUMMYFUNCTION("""COMPUTED_VALUE"""),22.22)</f>
        <v>22.22</v>
      </c>
      <c r="F791" s="1">
        <f ca="1">IFERROR(__xludf.DUMMYFUNCTION("""COMPUTED_VALUE"""),3219649)</f>
        <v>3219649</v>
      </c>
    </row>
    <row r="792" spans="1:6" x14ac:dyDescent="0.35">
      <c r="A792" s="2">
        <f ca="1">IFERROR(__xludf.DUMMYFUNCTION("""COMPUTED_VALUE"""),43153.6666666666)</f>
        <v>43153.666666666599</v>
      </c>
      <c r="B792" s="1">
        <f ca="1">IFERROR(__xludf.DUMMYFUNCTION("""COMPUTED_VALUE"""),22.37)</f>
        <v>22.37</v>
      </c>
      <c r="C792" s="1">
        <f ca="1">IFERROR(__xludf.DUMMYFUNCTION("""COMPUTED_VALUE"""),23.16)</f>
        <v>23.16</v>
      </c>
      <c r="D792" s="1">
        <f ca="1">IFERROR(__xludf.DUMMYFUNCTION("""COMPUTED_VALUE"""),22.32)</f>
        <v>22.32</v>
      </c>
      <c r="E792" s="1">
        <f ca="1">IFERROR(__xludf.DUMMYFUNCTION("""COMPUTED_VALUE"""),23.08)</f>
        <v>23.08</v>
      </c>
      <c r="F792" s="1">
        <f ca="1">IFERROR(__xludf.DUMMYFUNCTION("""COMPUTED_VALUE"""),6969808)</f>
        <v>6969808</v>
      </c>
    </row>
    <row r="793" spans="1:6" x14ac:dyDescent="0.35">
      <c r="A793" s="2">
        <f ca="1">IFERROR(__xludf.DUMMYFUNCTION("""COMPUTED_VALUE"""),43154.6666666666)</f>
        <v>43154.666666666599</v>
      </c>
      <c r="B793" s="1">
        <f ca="1">IFERROR(__xludf.DUMMYFUNCTION("""COMPUTED_VALUE"""),23.19)</f>
        <v>23.19</v>
      </c>
      <c r="C793" s="1">
        <f ca="1">IFERROR(__xludf.DUMMYFUNCTION("""COMPUTED_VALUE"""),23.67)</f>
        <v>23.67</v>
      </c>
      <c r="D793" s="1">
        <f ca="1">IFERROR(__xludf.DUMMYFUNCTION("""COMPUTED_VALUE"""),23.14)</f>
        <v>23.14</v>
      </c>
      <c r="E793" s="1">
        <f ca="1">IFERROR(__xludf.DUMMYFUNCTION("""COMPUTED_VALUE"""),23.47)</f>
        <v>23.47</v>
      </c>
      <c r="F793" s="1">
        <f ca="1">IFERROR(__xludf.DUMMYFUNCTION("""COMPUTED_VALUE"""),5817387)</f>
        <v>5817387</v>
      </c>
    </row>
    <row r="794" spans="1:6" x14ac:dyDescent="0.35">
      <c r="A794" s="2">
        <f ca="1">IFERROR(__xludf.DUMMYFUNCTION("""COMPUTED_VALUE"""),43157.6666666666)</f>
        <v>43157.666666666599</v>
      </c>
      <c r="B794" s="1">
        <f ca="1">IFERROR(__xludf.DUMMYFUNCTION("""COMPUTED_VALUE"""),23.57)</f>
        <v>23.57</v>
      </c>
      <c r="C794" s="1">
        <f ca="1">IFERROR(__xludf.DUMMYFUNCTION("""COMPUTED_VALUE"""),23.93)</f>
        <v>23.93</v>
      </c>
      <c r="D794" s="1">
        <f ca="1">IFERROR(__xludf.DUMMYFUNCTION("""COMPUTED_VALUE"""),23.49)</f>
        <v>23.49</v>
      </c>
      <c r="E794" s="1">
        <f ca="1">IFERROR(__xludf.DUMMYFUNCTION("""COMPUTED_VALUE"""),23.83)</f>
        <v>23.83</v>
      </c>
      <c r="F794" s="1">
        <f ca="1">IFERROR(__xludf.DUMMYFUNCTION("""COMPUTED_VALUE"""),4339985)</f>
        <v>4339985</v>
      </c>
    </row>
    <row r="795" spans="1:6" x14ac:dyDescent="0.35">
      <c r="A795" s="2">
        <f ca="1">IFERROR(__xludf.DUMMYFUNCTION("""COMPUTED_VALUE"""),43158.6666666666)</f>
        <v>43158.666666666599</v>
      </c>
      <c r="B795" s="1">
        <f ca="1">IFERROR(__xludf.DUMMYFUNCTION("""COMPUTED_VALUE"""),23.75)</f>
        <v>23.75</v>
      </c>
      <c r="C795" s="1">
        <f ca="1">IFERROR(__xludf.DUMMYFUNCTION("""COMPUTED_VALUE"""),24)</f>
        <v>24</v>
      </c>
      <c r="D795" s="1">
        <f ca="1">IFERROR(__xludf.DUMMYFUNCTION("""COMPUTED_VALUE"""),23.33)</f>
        <v>23.33</v>
      </c>
      <c r="E795" s="1">
        <f ca="1">IFERROR(__xludf.DUMMYFUNCTION("""COMPUTED_VALUE"""),23.4)</f>
        <v>23.4</v>
      </c>
      <c r="F795" s="1">
        <f ca="1">IFERROR(__xludf.DUMMYFUNCTION("""COMPUTED_VALUE"""),4797419)</f>
        <v>4797419</v>
      </c>
    </row>
    <row r="796" spans="1:6" x14ac:dyDescent="0.35">
      <c r="A796" s="2">
        <f ca="1">IFERROR(__xludf.DUMMYFUNCTION("""COMPUTED_VALUE"""),43159.6666666666)</f>
        <v>43159.666666666599</v>
      </c>
      <c r="B796" s="1">
        <f ca="1">IFERROR(__xludf.DUMMYFUNCTION("""COMPUTED_VALUE"""),23.5)</f>
        <v>23.5</v>
      </c>
      <c r="C796" s="1">
        <f ca="1">IFERROR(__xludf.DUMMYFUNCTION("""COMPUTED_VALUE"""),23.68)</f>
        <v>23.68</v>
      </c>
      <c r="D796" s="1">
        <f ca="1">IFERROR(__xludf.DUMMYFUNCTION("""COMPUTED_VALUE"""),22.81)</f>
        <v>22.81</v>
      </c>
      <c r="E796" s="1">
        <f ca="1">IFERROR(__xludf.DUMMYFUNCTION("""COMPUTED_VALUE"""),22.87)</f>
        <v>22.87</v>
      </c>
      <c r="F796" s="1">
        <f ca="1">IFERROR(__xludf.DUMMYFUNCTION("""COMPUTED_VALUE"""),6069658)</f>
        <v>6069658</v>
      </c>
    </row>
    <row r="797" spans="1:6" x14ac:dyDescent="0.35">
      <c r="A797" s="2">
        <f ca="1">IFERROR(__xludf.DUMMYFUNCTION("""COMPUTED_VALUE"""),43160.6666666666)</f>
        <v>43160.666666666599</v>
      </c>
      <c r="B797" s="1">
        <f ca="1">IFERROR(__xludf.DUMMYFUNCTION("""COMPUTED_VALUE"""),23)</f>
        <v>23</v>
      </c>
      <c r="C797" s="1">
        <f ca="1">IFERROR(__xludf.DUMMYFUNCTION("""COMPUTED_VALUE"""),23.24)</f>
        <v>23.24</v>
      </c>
      <c r="D797" s="1">
        <f ca="1">IFERROR(__xludf.DUMMYFUNCTION("""COMPUTED_VALUE"""),22)</f>
        <v>22</v>
      </c>
      <c r="E797" s="1">
        <f ca="1">IFERROR(__xludf.DUMMYFUNCTION("""COMPUTED_VALUE"""),22.06)</f>
        <v>22.06</v>
      </c>
      <c r="F797" s="1">
        <f ca="1">IFERROR(__xludf.DUMMYFUNCTION("""COMPUTED_VALUE"""),6885601)</f>
        <v>6885601</v>
      </c>
    </row>
    <row r="798" spans="1:6" x14ac:dyDescent="0.35">
      <c r="A798" s="2">
        <f ca="1">IFERROR(__xludf.DUMMYFUNCTION("""COMPUTED_VALUE"""),43161.6666666666)</f>
        <v>43161.666666666599</v>
      </c>
      <c r="B798" s="1">
        <f ca="1">IFERROR(__xludf.DUMMYFUNCTION("""COMPUTED_VALUE"""),21.8)</f>
        <v>21.8</v>
      </c>
      <c r="C798" s="1">
        <f ca="1">IFERROR(__xludf.DUMMYFUNCTION("""COMPUTED_VALUE"""),22.35)</f>
        <v>22.35</v>
      </c>
      <c r="D798" s="1">
        <f ca="1">IFERROR(__xludf.DUMMYFUNCTION("""COMPUTED_VALUE"""),21.53)</f>
        <v>21.53</v>
      </c>
      <c r="E798" s="1">
        <f ca="1">IFERROR(__xludf.DUMMYFUNCTION("""COMPUTED_VALUE"""),22.34)</f>
        <v>22.34</v>
      </c>
      <c r="F798" s="1">
        <f ca="1">IFERROR(__xludf.DUMMYFUNCTION("""COMPUTED_VALUE"""),5092829)</f>
        <v>5092829</v>
      </c>
    </row>
    <row r="799" spans="1:6" x14ac:dyDescent="0.35">
      <c r="A799" s="2">
        <f ca="1">IFERROR(__xludf.DUMMYFUNCTION("""COMPUTED_VALUE"""),43164.6666666666)</f>
        <v>43164.666666666599</v>
      </c>
      <c r="B799" s="1">
        <f ca="1">IFERROR(__xludf.DUMMYFUNCTION("""COMPUTED_VALUE"""),22.16)</f>
        <v>22.16</v>
      </c>
      <c r="C799" s="1">
        <f ca="1">IFERROR(__xludf.DUMMYFUNCTION("""COMPUTED_VALUE"""),22.52)</f>
        <v>22.52</v>
      </c>
      <c r="D799" s="1">
        <f ca="1">IFERROR(__xludf.DUMMYFUNCTION("""COMPUTED_VALUE"""),21.95)</f>
        <v>21.95</v>
      </c>
      <c r="E799" s="1">
        <f ca="1">IFERROR(__xludf.DUMMYFUNCTION("""COMPUTED_VALUE"""),22.22)</f>
        <v>22.22</v>
      </c>
      <c r="F799" s="1">
        <f ca="1">IFERROR(__xludf.DUMMYFUNCTION("""COMPUTED_VALUE"""),3823769)</f>
        <v>3823769</v>
      </c>
    </row>
    <row r="800" spans="1:6" x14ac:dyDescent="0.35">
      <c r="A800" s="2">
        <f ca="1">IFERROR(__xludf.DUMMYFUNCTION("""COMPUTED_VALUE"""),43165.6666666666)</f>
        <v>43165.666666666599</v>
      </c>
      <c r="B800" s="1">
        <f ca="1">IFERROR(__xludf.DUMMYFUNCTION("""COMPUTED_VALUE"""),22.25)</f>
        <v>22.25</v>
      </c>
      <c r="C800" s="1">
        <f ca="1">IFERROR(__xludf.DUMMYFUNCTION("""COMPUTED_VALUE"""),22.42)</f>
        <v>22.42</v>
      </c>
      <c r="D800" s="1">
        <f ca="1">IFERROR(__xludf.DUMMYFUNCTION("""COMPUTED_VALUE"""),21.8)</f>
        <v>21.8</v>
      </c>
      <c r="E800" s="1">
        <f ca="1">IFERROR(__xludf.DUMMYFUNCTION("""COMPUTED_VALUE"""),21.88)</f>
        <v>21.88</v>
      </c>
      <c r="F800" s="1">
        <f ca="1">IFERROR(__xludf.DUMMYFUNCTION("""COMPUTED_VALUE"""),4285744)</f>
        <v>4285744</v>
      </c>
    </row>
    <row r="801" spans="1:6" x14ac:dyDescent="0.35">
      <c r="A801" s="2">
        <f ca="1">IFERROR(__xludf.DUMMYFUNCTION("""COMPUTED_VALUE"""),43166.6666666666)</f>
        <v>43166.666666666599</v>
      </c>
      <c r="B801" s="1">
        <f ca="1">IFERROR(__xludf.DUMMYFUNCTION("""COMPUTED_VALUE"""),21.7)</f>
        <v>21.7</v>
      </c>
      <c r="C801" s="1">
        <f ca="1">IFERROR(__xludf.DUMMYFUNCTION("""COMPUTED_VALUE"""),22.17)</f>
        <v>22.17</v>
      </c>
      <c r="D801" s="1">
        <f ca="1">IFERROR(__xludf.DUMMYFUNCTION("""COMPUTED_VALUE"""),21.45)</f>
        <v>21.45</v>
      </c>
      <c r="E801" s="1">
        <f ca="1">IFERROR(__xludf.DUMMYFUNCTION("""COMPUTED_VALUE"""),22.15)</f>
        <v>22.15</v>
      </c>
      <c r="F801" s="1">
        <f ca="1">IFERROR(__xludf.DUMMYFUNCTION("""COMPUTED_VALUE"""),5007297)</f>
        <v>5007297</v>
      </c>
    </row>
    <row r="802" spans="1:6" x14ac:dyDescent="0.35">
      <c r="A802" s="2">
        <f ca="1">IFERROR(__xludf.DUMMYFUNCTION("""COMPUTED_VALUE"""),43167.6666666666)</f>
        <v>43167.666666666599</v>
      </c>
      <c r="B802" s="1">
        <f ca="1">IFERROR(__xludf.DUMMYFUNCTION("""COMPUTED_VALUE"""),22.19)</f>
        <v>22.19</v>
      </c>
      <c r="C802" s="1">
        <f ca="1">IFERROR(__xludf.DUMMYFUNCTION("""COMPUTED_VALUE"""),22.22)</f>
        <v>22.22</v>
      </c>
      <c r="D802" s="1">
        <f ca="1">IFERROR(__xludf.DUMMYFUNCTION("""COMPUTED_VALUE"""),21.75)</f>
        <v>21.75</v>
      </c>
      <c r="E802" s="1">
        <f ca="1">IFERROR(__xludf.DUMMYFUNCTION("""COMPUTED_VALUE"""),21.94)</f>
        <v>21.94</v>
      </c>
      <c r="F802" s="1">
        <f ca="1">IFERROR(__xludf.DUMMYFUNCTION("""COMPUTED_VALUE"""),3566244)</f>
        <v>3566244</v>
      </c>
    </row>
    <row r="803" spans="1:6" x14ac:dyDescent="0.35">
      <c r="A803" s="2">
        <f ca="1">IFERROR(__xludf.DUMMYFUNCTION("""COMPUTED_VALUE"""),43168.6666666666)</f>
        <v>43168.666666666599</v>
      </c>
      <c r="B803" s="1">
        <f ca="1">IFERROR(__xludf.DUMMYFUNCTION("""COMPUTED_VALUE"""),21.61)</f>
        <v>21.61</v>
      </c>
      <c r="C803" s="1">
        <f ca="1">IFERROR(__xludf.DUMMYFUNCTION("""COMPUTED_VALUE"""),21.9)</f>
        <v>21.9</v>
      </c>
      <c r="D803" s="1">
        <f ca="1">IFERROR(__xludf.DUMMYFUNCTION("""COMPUTED_VALUE"""),21.49)</f>
        <v>21.49</v>
      </c>
      <c r="E803" s="1">
        <f ca="1">IFERROR(__xludf.DUMMYFUNCTION("""COMPUTED_VALUE"""),21.81)</f>
        <v>21.81</v>
      </c>
      <c r="F803" s="1">
        <f ca="1">IFERROR(__xludf.DUMMYFUNCTION("""COMPUTED_VALUE"""),5506764)</f>
        <v>5506764</v>
      </c>
    </row>
    <row r="804" spans="1:6" x14ac:dyDescent="0.35">
      <c r="A804" s="2">
        <f ca="1">IFERROR(__xludf.DUMMYFUNCTION("""COMPUTED_VALUE"""),43171.6666666666)</f>
        <v>43171.666666666599</v>
      </c>
      <c r="B804" s="1">
        <f ca="1">IFERROR(__xludf.DUMMYFUNCTION("""COMPUTED_VALUE"""),21.91)</f>
        <v>21.91</v>
      </c>
      <c r="C804" s="1">
        <f ca="1">IFERROR(__xludf.DUMMYFUNCTION("""COMPUTED_VALUE"""),23.15)</f>
        <v>23.15</v>
      </c>
      <c r="D804" s="1">
        <f ca="1">IFERROR(__xludf.DUMMYFUNCTION("""COMPUTED_VALUE"""),21.77)</f>
        <v>21.77</v>
      </c>
      <c r="E804" s="1">
        <f ca="1">IFERROR(__xludf.DUMMYFUNCTION("""COMPUTED_VALUE"""),23.03)</f>
        <v>23.03</v>
      </c>
      <c r="F804" s="1">
        <f ca="1">IFERROR(__xludf.DUMMYFUNCTION("""COMPUTED_VALUE"""),8264035)</f>
        <v>8264035</v>
      </c>
    </row>
    <row r="805" spans="1:6" x14ac:dyDescent="0.35">
      <c r="A805" s="2">
        <f ca="1">IFERROR(__xludf.DUMMYFUNCTION("""COMPUTED_VALUE"""),43172.6666666666)</f>
        <v>43172.666666666599</v>
      </c>
      <c r="B805" s="1">
        <f ca="1">IFERROR(__xludf.DUMMYFUNCTION("""COMPUTED_VALUE"""),22.99)</f>
        <v>22.99</v>
      </c>
      <c r="C805" s="1">
        <f ca="1">IFERROR(__xludf.DUMMYFUNCTION("""COMPUTED_VALUE"""),23.01)</f>
        <v>23.01</v>
      </c>
      <c r="D805" s="1">
        <f ca="1">IFERROR(__xludf.DUMMYFUNCTION("""COMPUTED_VALUE"""),22.42)</f>
        <v>22.42</v>
      </c>
      <c r="E805" s="1">
        <f ca="1">IFERROR(__xludf.DUMMYFUNCTION("""COMPUTED_VALUE"""),22.79)</f>
        <v>22.79</v>
      </c>
      <c r="F805" s="1">
        <f ca="1">IFERROR(__xludf.DUMMYFUNCTION("""COMPUTED_VALUE"""),5965805)</f>
        <v>5965805</v>
      </c>
    </row>
    <row r="806" spans="1:6" x14ac:dyDescent="0.35">
      <c r="A806" s="2">
        <f ca="1">IFERROR(__xludf.DUMMYFUNCTION("""COMPUTED_VALUE"""),43173.6666666666)</f>
        <v>43173.666666666599</v>
      </c>
      <c r="B806" s="1">
        <f ca="1">IFERROR(__xludf.DUMMYFUNCTION("""COMPUTED_VALUE"""),22.45)</f>
        <v>22.45</v>
      </c>
      <c r="C806" s="1">
        <f ca="1">IFERROR(__xludf.DUMMYFUNCTION("""COMPUTED_VALUE"""),22.65)</f>
        <v>22.65</v>
      </c>
      <c r="D806" s="1">
        <f ca="1">IFERROR(__xludf.DUMMYFUNCTION("""COMPUTED_VALUE"""),21.6)</f>
        <v>21.6</v>
      </c>
      <c r="E806" s="1">
        <f ca="1">IFERROR(__xludf.DUMMYFUNCTION("""COMPUTED_VALUE"""),21.78)</f>
        <v>21.78</v>
      </c>
      <c r="F806" s="1">
        <f ca="1">IFERROR(__xludf.DUMMYFUNCTION("""COMPUTED_VALUE"""),7967370)</f>
        <v>7967370</v>
      </c>
    </row>
    <row r="807" spans="1:6" x14ac:dyDescent="0.35">
      <c r="A807" s="2">
        <f ca="1">IFERROR(__xludf.DUMMYFUNCTION("""COMPUTED_VALUE"""),43174.6666666666)</f>
        <v>43174.666666666599</v>
      </c>
      <c r="B807" s="1">
        <f ca="1">IFERROR(__xludf.DUMMYFUNCTION("""COMPUTED_VALUE"""),21.96)</f>
        <v>21.96</v>
      </c>
      <c r="C807" s="1">
        <f ca="1">IFERROR(__xludf.DUMMYFUNCTION("""COMPUTED_VALUE"""),22.19)</f>
        <v>22.19</v>
      </c>
      <c r="D807" s="1">
        <f ca="1">IFERROR(__xludf.DUMMYFUNCTION("""COMPUTED_VALUE"""),21.41)</f>
        <v>21.41</v>
      </c>
      <c r="E807" s="1">
        <f ca="1">IFERROR(__xludf.DUMMYFUNCTION("""COMPUTED_VALUE"""),21.71)</f>
        <v>21.71</v>
      </c>
      <c r="F807" s="1">
        <f ca="1">IFERROR(__xludf.DUMMYFUNCTION("""COMPUTED_VALUE"""),6564801)</f>
        <v>6564801</v>
      </c>
    </row>
    <row r="808" spans="1:6" x14ac:dyDescent="0.35">
      <c r="A808" s="2">
        <f ca="1">IFERROR(__xludf.DUMMYFUNCTION("""COMPUTED_VALUE"""),43175.6666666666)</f>
        <v>43175.666666666599</v>
      </c>
      <c r="B808" s="1">
        <f ca="1">IFERROR(__xludf.DUMMYFUNCTION("""COMPUTED_VALUE"""),21.73)</f>
        <v>21.73</v>
      </c>
      <c r="C808" s="1">
        <f ca="1">IFERROR(__xludf.DUMMYFUNCTION("""COMPUTED_VALUE"""),21.83)</f>
        <v>21.83</v>
      </c>
      <c r="D808" s="1">
        <f ca="1">IFERROR(__xludf.DUMMYFUNCTION("""COMPUTED_VALUE"""),21.27)</f>
        <v>21.27</v>
      </c>
      <c r="E808" s="1">
        <f ca="1">IFERROR(__xludf.DUMMYFUNCTION("""COMPUTED_VALUE"""),21.42)</f>
        <v>21.42</v>
      </c>
      <c r="F808" s="1">
        <f ca="1">IFERROR(__xludf.DUMMYFUNCTION("""COMPUTED_VALUE"""),6117279)</f>
        <v>6117279</v>
      </c>
    </row>
    <row r="809" spans="1:6" x14ac:dyDescent="0.35">
      <c r="A809" s="2">
        <f ca="1">IFERROR(__xludf.DUMMYFUNCTION("""COMPUTED_VALUE"""),43178.6666666666)</f>
        <v>43178.666666666599</v>
      </c>
      <c r="B809" s="1">
        <f ca="1">IFERROR(__xludf.DUMMYFUNCTION("""COMPUTED_VALUE"""),21.1)</f>
        <v>21.1</v>
      </c>
      <c r="C809" s="1">
        <f ca="1">IFERROR(__xludf.DUMMYFUNCTION("""COMPUTED_VALUE"""),21.38)</f>
        <v>21.38</v>
      </c>
      <c r="D809" s="1">
        <f ca="1">IFERROR(__xludf.DUMMYFUNCTION("""COMPUTED_VALUE"""),20.64)</f>
        <v>20.64</v>
      </c>
      <c r="E809" s="1">
        <f ca="1">IFERROR(__xludf.DUMMYFUNCTION("""COMPUTED_VALUE"""),20.9)</f>
        <v>20.9</v>
      </c>
      <c r="F809" s="1">
        <f ca="1">IFERROR(__xludf.DUMMYFUNCTION("""COMPUTED_VALUE"""),7484294)</f>
        <v>7484294</v>
      </c>
    </row>
    <row r="810" spans="1:6" x14ac:dyDescent="0.35">
      <c r="A810" s="2">
        <f ca="1">IFERROR(__xludf.DUMMYFUNCTION("""COMPUTED_VALUE"""),43179.6666666666)</f>
        <v>43179.666666666599</v>
      </c>
      <c r="B810" s="1">
        <f ca="1">IFERROR(__xludf.DUMMYFUNCTION("""COMPUTED_VALUE"""),20.99)</f>
        <v>20.99</v>
      </c>
      <c r="C810" s="1">
        <f ca="1">IFERROR(__xludf.DUMMYFUNCTION("""COMPUTED_VALUE"""),21.08)</f>
        <v>21.08</v>
      </c>
      <c r="D810" s="1">
        <f ca="1">IFERROR(__xludf.DUMMYFUNCTION("""COMPUTED_VALUE"""),20.58)</f>
        <v>20.58</v>
      </c>
      <c r="E810" s="1">
        <f ca="1">IFERROR(__xludf.DUMMYFUNCTION("""COMPUTED_VALUE"""),20.7)</f>
        <v>20.7</v>
      </c>
      <c r="F810" s="1">
        <f ca="1">IFERROR(__xludf.DUMMYFUNCTION("""COMPUTED_VALUE"""),4764293)</f>
        <v>4764293</v>
      </c>
    </row>
    <row r="811" spans="1:6" x14ac:dyDescent="0.35">
      <c r="A811" s="2">
        <f ca="1">IFERROR(__xludf.DUMMYFUNCTION("""COMPUTED_VALUE"""),43180.6666666666)</f>
        <v>43180.666666666599</v>
      </c>
      <c r="B811" s="1">
        <f ca="1">IFERROR(__xludf.DUMMYFUNCTION("""COMPUTED_VALUE"""),20.68)</f>
        <v>20.68</v>
      </c>
      <c r="C811" s="1">
        <f ca="1">IFERROR(__xludf.DUMMYFUNCTION("""COMPUTED_VALUE"""),21.5)</f>
        <v>21.5</v>
      </c>
      <c r="D811" s="1">
        <f ca="1">IFERROR(__xludf.DUMMYFUNCTION("""COMPUTED_VALUE"""),20.68)</f>
        <v>20.68</v>
      </c>
      <c r="E811" s="1">
        <f ca="1">IFERROR(__xludf.DUMMYFUNCTION("""COMPUTED_VALUE"""),21.1)</f>
        <v>21.1</v>
      </c>
      <c r="F811" s="1">
        <f ca="1">IFERROR(__xludf.DUMMYFUNCTION("""COMPUTED_VALUE"""),5958411)</f>
        <v>5958411</v>
      </c>
    </row>
    <row r="812" spans="1:6" x14ac:dyDescent="0.35">
      <c r="A812" s="2">
        <f ca="1">IFERROR(__xludf.DUMMYFUNCTION("""COMPUTED_VALUE"""),43181.6666666666)</f>
        <v>43181.666666666599</v>
      </c>
      <c r="B812" s="1">
        <f ca="1">IFERROR(__xludf.DUMMYFUNCTION("""COMPUTED_VALUE"""),20.93)</f>
        <v>20.93</v>
      </c>
      <c r="C812" s="1">
        <f ca="1">IFERROR(__xludf.DUMMYFUNCTION("""COMPUTED_VALUE"""),21.25)</f>
        <v>21.25</v>
      </c>
      <c r="D812" s="1">
        <f ca="1">IFERROR(__xludf.DUMMYFUNCTION("""COMPUTED_VALUE"""),20.55)</f>
        <v>20.55</v>
      </c>
      <c r="E812" s="1">
        <f ca="1">IFERROR(__xludf.DUMMYFUNCTION("""COMPUTED_VALUE"""),20.61)</f>
        <v>20.61</v>
      </c>
      <c r="F812" s="1">
        <f ca="1">IFERROR(__xludf.DUMMYFUNCTION("""COMPUTED_VALUE"""),4939771)</f>
        <v>4939771</v>
      </c>
    </row>
    <row r="813" spans="1:6" x14ac:dyDescent="0.35">
      <c r="A813" s="2">
        <f ca="1">IFERROR(__xludf.DUMMYFUNCTION("""COMPUTED_VALUE"""),43182.6666666666)</f>
        <v>43182.666666666599</v>
      </c>
      <c r="B813" s="1">
        <f ca="1">IFERROR(__xludf.DUMMYFUNCTION("""COMPUTED_VALUE"""),20.75)</f>
        <v>20.75</v>
      </c>
      <c r="C813" s="1">
        <f ca="1">IFERROR(__xludf.DUMMYFUNCTION("""COMPUTED_VALUE"""),20.77)</f>
        <v>20.77</v>
      </c>
      <c r="D813" s="1">
        <f ca="1">IFERROR(__xludf.DUMMYFUNCTION("""COMPUTED_VALUE"""),20.03)</f>
        <v>20.03</v>
      </c>
      <c r="E813" s="1">
        <f ca="1">IFERROR(__xludf.DUMMYFUNCTION("""COMPUTED_VALUE"""),20.1)</f>
        <v>20.100000000000001</v>
      </c>
      <c r="F813" s="1">
        <f ca="1">IFERROR(__xludf.DUMMYFUNCTION("""COMPUTED_VALUE"""),6654899)</f>
        <v>6654899</v>
      </c>
    </row>
    <row r="814" spans="1:6" x14ac:dyDescent="0.35">
      <c r="A814" s="2">
        <f ca="1">IFERROR(__xludf.DUMMYFUNCTION("""COMPUTED_VALUE"""),43185.6666666666)</f>
        <v>43185.666666666599</v>
      </c>
      <c r="B814" s="1">
        <f ca="1">IFERROR(__xludf.DUMMYFUNCTION("""COMPUTED_VALUE"""),20.49)</f>
        <v>20.49</v>
      </c>
      <c r="C814" s="1">
        <f ca="1">IFERROR(__xludf.DUMMYFUNCTION("""COMPUTED_VALUE"""),20.51)</f>
        <v>20.51</v>
      </c>
      <c r="D814" s="1">
        <f ca="1">IFERROR(__xludf.DUMMYFUNCTION("""COMPUTED_VALUE"""),19.42)</f>
        <v>19.420000000000002</v>
      </c>
      <c r="E814" s="1">
        <f ca="1">IFERROR(__xludf.DUMMYFUNCTION("""COMPUTED_VALUE"""),20.28)</f>
        <v>20.28</v>
      </c>
      <c r="F814" s="1">
        <f ca="1">IFERROR(__xludf.DUMMYFUNCTION("""COMPUTED_VALUE"""),8375175)</f>
        <v>8375175</v>
      </c>
    </row>
    <row r="815" spans="1:6" x14ac:dyDescent="0.35">
      <c r="A815" s="2">
        <f ca="1">IFERROR(__xludf.DUMMYFUNCTION("""COMPUTED_VALUE"""),43186.6666666666)</f>
        <v>43186.666666666599</v>
      </c>
      <c r="B815" s="1">
        <f ca="1">IFERROR(__xludf.DUMMYFUNCTION("""COMPUTED_VALUE"""),20.27)</f>
        <v>20.27</v>
      </c>
      <c r="C815" s="1">
        <f ca="1">IFERROR(__xludf.DUMMYFUNCTION("""COMPUTED_VALUE"""),20.28)</f>
        <v>20.28</v>
      </c>
      <c r="D815" s="1">
        <f ca="1">IFERROR(__xludf.DUMMYFUNCTION("""COMPUTED_VALUE"""),18.48)</f>
        <v>18.48</v>
      </c>
      <c r="E815" s="1">
        <f ca="1">IFERROR(__xludf.DUMMYFUNCTION("""COMPUTED_VALUE"""),18.61)</f>
        <v>18.61</v>
      </c>
      <c r="F815" s="1">
        <f ca="1">IFERROR(__xludf.DUMMYFUNCTION("""COMPUTED_VALUE"""),13872029)</f>
        <v>13872029</v>
      </c>
    </row>
    <row r="816" spans="1:6" x14ac:dyDescent="0.35">
      <c r="A816" s="2">
        <f ca="1">IFERROR(__xludf.DUMMYFUNCTION("""COMPUTED_VALUE"""),43187.6666666666)</f>
        <v>43187.666666666599</v>
      </c>
      <c r="B816" s="1">
        <f ca="1">IFERROR(__xludf.DUMMYFUNCTION("""COMPUTED_VALUE"""),17.64)</f>
        <v>17.64</v>
      </c>
      <c r="C816" s="1">
        <f ca="1">IFERROR(__xludf.DUMMYFUNCTION("""COMPUTED_VALUE"""),17.91)</f>
        <v>17.91</v>
      </c>
      <c r="D816" s="1">
        <f ca="1">IFERROR(__xludf.DUMMYFUNCTION("""COMPUTED_VALUE"""),16.81)</f>
        <v>16.809999999999999</v>
      </c>
      <c r="E816" s="1">
        <f ca="1">IFERROR(__xludf.DUMMYFUNCTION("""COMPUTED_VALUE"""),17.19)</f>
        <v>17.190000000000001</v>
      </c>
      <c r="F816" s="1">
        <f ca="1">IFERROR(__xludf.DUMMYFUNCTION("""COMPUTED_VALUE"""),21001437)</f>
        <v>21001437</v>
      </c>
    </row>
    <row r="817" spans="1:6" x14ac:dyDescent="0.35">
      <c r="A817" s="2">
        <f ca="1">IFERROR(__xludf.DUMMYFUNCTION("""COMPUTED_VALUE"""),43188.6666666666)</f>
        <v>43188.666666666599</v>
      </c>
      <c r="B817" s="1">
        <f ca="1">IFERROR(__xludf.DUMMYFUNCTION("""COMPUTED_VALUE"""),17.1)</f>
        <v>17.100000000000001</v>
      </c>
      <c r="C817" s="1">
        <f ca="1">IFERROR(__xludf.DUMMYFUNCTION("""COMPUTED_VALUE"""),18.06)</f>
        <v>18.059999999999999</v>
      </c>
      <c r="D817" s="1">
        <f ca="1">IFERROR(__xludf.DUMMYFUNCTION("""COMPUTED_VALUE"""),16.55)</f>
        <v>16.55</v>
      </c>
      <c r="E817" s="1">
        <f ca="1">IFERROR(__xludf.DUMMYFUNCTION("""COMPUTED_VALUE"""),17.74)</f>
        <v>17.739999999999998</v>
      </c>
      <c r="F817" s="1">
        <f ca="1">IFERROR(__xludf.DUMMYFUNCTION("""COMPUTED_VALUE"""),15170749)</f>
        <v>15170749</v>
      </c>
    </row>
    <row r="818" spans="1:6" x14ac:dyDescent="0.35">
      <c r="A818" s="2">
        <f ca="1">IFERROR(__xludf.DUMMYFUNCTION("""COMPUTED_VALUE"""),43192.6666666666)</f>
        <v>43192.666666666599</v>
      </c>
      <c r="B818" s="1">
        <f ca="1">IFERROR(__xludf.DUMMYFUNCTION("""COMPUTED_VALUE"""),17.08)</f>
        <v>17.079999999999998</v>
      </c>
      <c r="C818" s="1">
        <f ca="1">IFERROR(__xludf.DUMMYFUNCTION("""COMPUTED_VALUE"""),17.36)</f>
        <v>17.36</v>
      </c>
      <c r="D818" s="1">
        <f ca="1">IFERROR(__xludf.DUMMYFUNCTION("""COMPUTED_VALUE"""),16.31)</f>
        <v>16.309999999999999</v>
      </c>
      <c r="E818" s="1">
        <f ca="1">IFERROR(__xludf.DUMMYFUNCTION("""COMPUTED_VALUE"""),16.83)</f>
        <v>16.829999999999998</v>
      </c>
      <c r="F818" s="1">
        <f ca="1">IFERROR(__xludf.DUMMYFUNCTION("""COMPUTED_VALUE"""),16113968)</f>
        <v>16113968</v>
      </c>
    </row>
    <row r="819" spans="1:6" x14ac:dyDescent="0.35">
      <c r="A819" s="2">
        <f ca="1">IFERROR(__xludf.DUMMYFUNCTION("""COMPUTED_VALUE"""),43193.6666666666)</f>
        <v>43193.666666666599</v>
      </c>
      <c r="B819" s="1">
        <f ca="1">IFERROR(__xludf.DUMMYFUNCTION("""COMPUTED_VALUE"""),17.99)</f>
        <v>17.989999999999998</v>
      </c>
      <c r="C819" s="1">
        <f ca="1">IFERROR(__xludf.DUMMYFUNCTION("""COMPUTED_VALUE"""),18.22)</f>
        <v>18.22</v>
      </c>
      <c r="D819" s="1">
        <f ca="1">IFERROR(__xludf.DUMMYFUNCTION("""COMPUTED_VALUE"""),16.97)</f>
        <v>16.97</v>
      </c>
      <c r="E819" s="1">
        <f ca="1">IFERROR(__xludf.DUMMYFUNCTION("""COMPUTED_VALUE"""),17.84)</f>
        <v>17.84</v>
      </c>
      <c r="F819" s="1">
        <f ca="1">IFERROR(__xludf.DUMMYFUNCTION("""COMPUTED_VALUE"""),18844384)</f>
        <v>18844384</v>
      </c>
    </row>
    <row r="820" spans="1:6" x14ac:dyDescent="0.35">
      <c r="A820" s="2">
        <f ca="1">IFERROR(__xludf.DUMMYFUNCTION("""COMPUTED_VALUE"""),43194.6666666666)</f>
        <v>43194.666666666599</v>
      </c>
      <c r="B820" s="1">
        <f ca="1">IFERROR(__xludf.DUMMYFUNCTION("""COMPUTED_VALUE"""),16.85)</f>
        <v>16.850000000000001</v>
      </c>
      <c r="C820" s="1">
        <f ca="1">IFERROR(__xludf.DUMMYFUNCTION("""COMPUTED_VALUE"""),19.22)</f>
        <v>19.22</v>
      </c>
      <c r="D820" s="1">
        <f ca="1">IFERROR(__xludf.DUMMYFUNCTION("""COMPUTED_VALUE"""),16.8)</f>
        <v>16.8</v>
      </c>
      <c r="E820" s="1">
        <f ca="1">IFERROR(__xludf.DUMMYFUNCTION("""COMPUTED_VALUE"""),19.13)</f>
        <v>19.13</v>
      </c>
      <c r="F820" s="1">
        <f ca="1">IFERROR(__xludf.DUMMYFUNCTION("""COMPUTED_VALUE"""),19896746)</f>
        <v>19896746</v>
      </c>
    </row>
    <row r="821" spans="1:6" x14ac:dyDescent="0.35">
      <c r="A821" s="2">
        <f ca="1">IFERROR(__xludf.DUMMYFUNCTION("""COMPUTED_VALUE"""),43195.6666666666)</f>
        <v>43195.666666666599</v>
      </c>
      <c r="B821" s="1">
        <f ca="1">IFERROR(__xludf.DUMMYFUNCTION("""COMPUTED_VALUE"""),19.29)</f>
        <v>19.29</v>
      </c>
      <c r="C821" s="1">
        <f ca="1">IFERROR(__xludf.DUMMYFUNCTION("""COMPUTED_VALUE"""),20.42)</f>
        <v>20.420000000000002</v>
      </c>
      <c r="D821" s="1">
        <f ca="1">IFERROR(__xludf.DUMMYFUNCTION("""COMPUTED_VALUE"""),19.21)</f>
        <v>19.21</v>
      </c>
      <c r="E821" s="1">
        <f ca="1">IFERROR(__xludf.DUMMYFUNCTION("""COMPUTED_VALUE"""),20.38)</f>
        <v>20.38</v>
      </c>
      <c r="F821" s="1">
        <f ca="1">IFERROR(__xludf.DUMMYFUNCTION("""COMPUTED_VALUE"""),19121101)</f>
        <v>19121101</v>
      </c>
    </row>
    <row r="822" spans="1:6" x14ac:dyDescent="0.35">
      <c r="A822" s="2">
        <f ca="1">IFERROR(__xludf.DUMMYFUNCTION("""COMPUTED_VALUE"""),43196.6666666666)</f>
        <v>43196.666666666599</v>
      </c>
      <c r="B822" s="1">
        <f ca="1">IFERROR(__xludf.DUMMYFUNCTION("""COMPUTED_VALUE"""),20.07)</f>
        <v>20.07</v>
      </c>
      <c r="C822" s="1">
        <f ca="1">IFERROR(__xludf.DUMMYFUNCTION("""COMPUTED_VALUE"""),20.62)</f>
        <v>20.62</v>
      </c>
      <c r="D822" s="1">
        <f ca="1">IFERROR(__xludf.DUMMYFUNCTION("""COMPUTED_VALUE"""),19.7)</f>
        <v>19.7</v>
      </c>
      <c r="E822" s="1">
        <f ca="1">IFERROR(__xludf.DUMMYFUNCTION("""COMPUTED_VALUE"""),19.95)</f>
        <v>19.95</v>
      </c>
      <c r="F822" s="1">
        <f ca="1">IFERROR(__xludf.DUMMYFUNCTION("""COMPUTED_VALUE"""),13520286)</f>
        <v>13520286</v>
      </c>
    </row>
    <row r="823" spans="1:6" x14ac:dyDescent="0.35">
      <c r="A823" s="2">
        <f ca="1">IFERROR(__xludf.DUMMYFUNCTION("""COMPUTED_VALUE"""),43199.6666666666)</f>
        <v>43199.666666666599</v>
      </c>
      <c r="B823" s="1">
        <f ca="1">IFERROR(__xludf.DUMMYFUNCTION("""COMPUTED_VALUE"""),20.02)</f>
        <v>20.02</v>
      </c>
      <c r="C823" s="1">
        <f ca="1">IFERROR(__xludf.DUMMYFUNCTION("""COMPUTED_VALUE"""),20.63)</f>
        <v>20.63</v>
      </c>
      <c r="D823" s="1">
        <f ca="1">IFERROR(__xludf.DUMMYFUNCTION("""COMPUTED_VALUE"""),19.28)</f>
        <v>19.28</v>
      </c>
      <c r="E823" s="1">
        <f ca="1">IFERROR(__xludf.DUMMYFUNCTION("""COMPUTED_VALUE"""),19.31)</f>
        <v>19.309999999999999</v>
      </c>
      <c r="F823" s="1">
        <f ca="1">IFERROR(__xludf.DUMMYFUNCTION("""COMPUTED_VALUE"""),10249805)</f>
        <v>10249805</v>
      </c>
    </row>
    <row r="824" spans="1:6" x14ac:dyDescent="0.35">
      <c r="A824" s="2">
        <f ca="1">IFERROR(__xludf.DUMMYFUNCTION("""COMPUTED_VALUE"""),43200.6666666666)</f>
        <v>43200.666666666599</v>
      </c>
      <c r="B824" s="1">
        <f ca="1">IFERROR(__xludf.DUMMYFUNCTION("""COMPUTED_VALUE"""),19.93)</f>
        <v>19.93</v>
      </c>
      <c r="C824" s="1">
        <f ca="1">IFERROR(__xludf.DUMMYFUNCTION("""COMPUTED_VALUE"""),20.47)</f>
        <v>20.47</v>
      </c>
      <c r="D824" s="1">
        <f ca="1">IFERROR(__xludf.DUMMYFUNCTION("""COMPUTED_VALUE"""),19.58)</f>
        <v>19.579999999999998</v>
      </c>
      <c r="E824" s="1">
        <f ca="1">IFERROR(__xludf.DUMMYFUNCTION("""COMPUTED_VALUE"""),20.31)</f>
        <v>20.309999999999999</v>
      </c>
      <c r="F824" s="1">
        <f ca="1">IFERROR(__xludf.DUMMYFUNCTION("""COMPUTED_VALUE"""),11024259)</f>
        <v>11024259</v>
      </c>
    </row>
    <row r="825" spans="1:6" x14ac:dyDescent="0.35">
      <c r="A825" s="2">
        <f ca="1">IFERROR(__xludf.DUMMYFUNCTION("""COMPUTED_VALUE"""),43201.6666666666)</f>
        <v>43201.666666666599</v>
      </c>
      <c r="B825" s="1">
        <f ca="1">IFERROR(__xludf.DUMMYFUNCTION("""COMPUTED_VALUE"""),20.05)</f>
        <v>20.05</v>
      </c>
      <c r="C825" s="1">
        <f ca="1">IFERROR(__xludf.DUMMYFUNCTION("""COMPUTED_VALUE"""),20.6)</f>
        <v>20.6</v>
      </c>
      <c r="D825" s="1">
        <f ca="1">IFERROR(__xludf.DUMMYFUNCTION("""COMPUTED_VALUE"""),19.98)</f>
        <v>19.98</v>
      </c>
      <c r="E825" s="1">
        <f ca="1">IFERROR(__xludf.DUMMYFUNCTION("""COMPUTED_VALUE"""),20.06)</f>
        <v>20.059999999999999</v>
      </c>
      <c r="F825" s="1">
        <f ca="1">IFERROR(__xludf.DUMMYFUNCTION("""COMPUTED_VALUE"""),7482945)</f>
        <v>7482945</v>
      </c>
    </row>
    <row r="826" spans="1:6" x14ac:dyDescent="0.35">
      <c r="A826" s="2">
        <f ca="1">IFERROR(__xludf.DUMMYFUNCTION("""COMPUTED_VALUE"""),43202.6666666666)</f>
        <v>43202.666666666599</v>
      </c>
      <c r="B826" s="1">
        <f ca="1">IFERROR(__xludf.DUMMYFUNCTION("""COMPUTED_VALUE"""),20.15)</f>
        <v>20.149999999999999</v>
      </c>
      <c r="C826" s="1">
        <f ca="1">IFERROR(__xludf.DUMMYFUNCTION("""COMPUTED_VALUE"""),20.26)</f>
        <v>20.260000000000002</v>
      </c>
      <c r="D826" s="1">
        <f ca="1">IFERROR(__xludf.DUMMYFUNCTION("""COMPUTED_VALUE"""),19.58)</f>
        <v>19.579999999999998</v>
      </c>
      <c r="E826" s="1">
        <f ca="1">IFERROR(__xludf.DUMMYFUNCTION("""COMPUTED_VALUE"""),19.61)</f>
        <v>19.61</v>
      </c>
      <c r="F826" s="1">
        <f ca="1">IFERROR(__xludf.DUMMYFUNCTION("""COMPUTED_VALUE"""),7608769)</f>
        <v>7608769</v>
      </c>
    </row>
    <row r="827" spans="1:6" x14ac:dyDescent="0.35">
      <c r="A827" s="2">
        <f ca="1">IFERROR(__xludf.DUMMYFUNCTION("""COMPUTED_VALUE"""),43203.6666666666)</f>
        <v>43203.666666666599</v>
      </c>
      <c r="B827" s="1">
        <f ca="1">IFERROR(__xludf.DUMMYFUNCTION("""COMPUTED_VALUE"""),20.24)</f>
        <v>20.239999999999998</v>
      </c>
      <c r="C827" s="1">
        <f ca="1">IFERROR(__xludf.DUMMYFUNCTION("""COMPUTED_VALUE"""),20.26)</f>
        <v>20.260000000000002</v>
      </c>
      <c r="D827" s="1">
        <f ca="1">IFERROR(__xludf.DUMMYFUNCTION("""COMPUTED_VALUE"""),19.73)</f>
        <v>19.73</v>
      </c>
      <c r="E827" s="1">
        <f ca="1">IFERROR(__xludf.DUMMYFUNCTION("""COMPUTED_VALUE"""),20.02)</f>
        <v>20.02</v>
      </c>
      <c r="F827" s="1">
        <f ca="1">IFERROR(__xludf.DUMMYFUNCTION("""COMPUTED_VALUE"""),7327223)</f>
        <v>7327223</v>
      </c>
    </row>
    <row r="828" spans="1:6" x14ac:dyDescent="0.35">
      <c r="A828" s="2">
        <f ca="1">IFERROR(__xludf.DUMMYFUNCTION("""COMPUTED_VALUE"""),43206.6666666666)</f>
        <v>43206.666666666599</v>
      </c>
      <c r="B828" s="1">
        <f ca="1">IFERROR(__xludf.DUMMYFUNCTION("""COMPUTED_VALUE"""),19.93)</f>
        <v>19.93</v>
      </c>
      <c r="C828" s="1">
        <f ca="1">IFERROR(__xludf.DUMMYFUNCTION("""COMPUTED_VALUE"""),19.98)</f>
        <v>19.98</v>
      </c>
      <c r="D828" s="1">
        <f ca="1">IFERROR(__xludf.DUMMYFUNCTION("""COMPUTED_VALUE"""),19.27)</f>
        <v>19.27</v>
      </c>
      <c r="E828" s="1">
        <f ca="1">IFERROR(__xludf.DUMMYFUNCTION("""COMPUTED_VALUE"""),19.41)</f>
        <v>19.41</v>
      </c>
      <c r="F828" s="1">
        <f ca="1">IFERROR(__xludf.DUMMYFUNCTION("""COMPUTED_VALUE"""),6338488)</f>
        <v>6338488</v>
      </c>
    </row>
    <row r="829" spans="1:6" x14ac:dyDescent="0.35">
      <c r="A829" s="2">
        <f ca="1">IFERROR(__xludf.DUMMYFUNCTION("""COMPUTED_VALUE"""),43207.6666666666)</f>
        <v>43207.666666666599</v>
      </c>
      <c r="B829" s="1">
        <f ca="1">IFERROR(__xludf.DUMMYFUNCTION("""COMPUTED_VALUE"""),19.26)</f>
        <v>19.260000000000002</v>
      </c>
      <c r="C829" s="1">
        <f ca="1">IFERROR(__xludf.DUMMYFUNCTION("""COMPUTED_VALUE"""),19.48)</f>
        <v>19.48</v>
      </c>
      <c r="D829" s="1">
        <f ca="1">IFERROR(__xludf.DUMMYFUNCTION("""COMPUTED_VALUE"""),18.83)</f>
        <v>18.829999999999998</v>
      </c>
      <c r="E829" s="1">
        <f ca="1">IFERROR(__xludf.DUMMYFUNCTION("""COMPUTED_VALUE"""),19.18)</f>
        <v>19.18</v>
      </c>
      <c r="F829" s="1">
        <f ca="1">IFERROR(__xludf.DUMMYFUNCTION("""COMPUTED_VALUE"""),7000023)</f>
        <v>7000023</v>
      </c>
    </row>
    <row r="830" spans="1:6" x14ac:dyDescent="0.35">
      <c r="A830" s="2">
        <f ca="1">IFERROR(__xludf.DUMMYFUNCTION("""COMPUTED_VALUE"""),43208.6666666666)</f>
        <v>43208.666666666599</v>
      </c>
      <c r="B830" s="1">
        <f ca="1">IFERROR(__xludf.DUMMYFUNCTION("""COMPUTED_VALUE"""),19.41)</f>
        <v>19.41</v>
      </c>
      <c r="C830" s="1">
        <f ca="1">IFERROR(__xludf.DUMMYFUNCTION("""COMPUTED_VALUE"""),20.02)</f>
        <v>20.02</v>
      </c>
      <c r="D830" s="1">
        <f ca="1">IFERROR(__xludf.DUMMYFUNCTION("""COMPUTED_VALUE"""),19.21)</f>
        <v>19.21</v>
      </c>
      <c r="E830" s="1">
        <f ca="1">IFERROR(__xludf.DUMMYFUNCTION("""COMPUTED_VALUE"""),19.56)</f>
        <v>19.559999999999999</v>
      </c>
      <c r="F830" s="1">
        <f ca="1">IFERROR(__xludf.DUMMYFUNCTION("""COMPUTED_VALUE"""),6557700)</f>
        <v>6557700</v>
      </c>
    </row>
    <row r="831" spans="1:6" x14ac:dyDescent="0.35">
      <c r="A831" s="2">
        <f ca="1">IFERROR(__xludf.DUMMYFUNCTION("""COMPUTED_VALUE"""),43209.6666666666)</f>
        <v>43209.666666666599</v>
      </c>
      <c r="B831" s="1">
        <f ca="1">IFERROR(__xludf.DUMMYFUNCTION("""COMPUTED_VALUE"""),19.41)</f>
        <v>19.41</v>
      </c>
      <c r="C831" s="1">
        <f ca="1">IFERROR(__xludf.DUMMYFUNCTION("""COMPUTED_VALUE"""),20.07)</f>
        <v>20.07</v>
      </c>
      <c r="D831" s="1">
        <f ca="1">IFERROR(__xludf.DUMMYFUNCTION("""COMPUTED_VALUE"""),19.24)</f>
        <v>19.239999999999998</v>
      </c>
      <c r="E831" s="1">
        <f ca="1">IFERROR(__xludf.DUMMYFUNCTION("""COMPUTED_VALUE"""),20.01)</f>
        <v>20.010000000000002</v>
      </c>
      <c r="F831" s="1">
        <f ca="1">IFERROR(__xludf.DUMMYFUNCTION("""COMPUTED_VALUE"""),6090599)</f>
        <v>6090599</v>
      </c>
    </row>
    <row r="832" spans="1:6" x14ac:dyDescent="0.35">
      <c r="A832" s="2">
        <f ca="1">IFERROR(__xludf.DUMMYFUNCTION("""COMPUTED_VALUE"""),43210.6666666666)</f>
        <v>43210.666666666599</v>
      </c>
      <c r="B832" s="1">
        <f ca="1">IFERROR(__xludf.DUMMYFUNCTION("""COMPUTED_VALUE"""),19.68)</f>
        <v>19.68</v>
      </c>
      <c r="C832" s="1">
        <f ca="1">IFERROR(__xludf.DUMMYFUNCTION("""COMPUTED_VALUE"""),20)</f>
        <v>20</v>
      </c>
      <c r="D832" s="1">
        <f ca="1">IFERROR(__xludf.DUMMYFUNCTION("""COMPUTED_VALUE"""),19.32)</f>
        <v>19.32</v>
      </c>
      <c r="E832" s="1">
        <f ca="1">IFERROR(__xludf.DUMMYFUNCTION("""COMPUTED_VALUE"""),19.35)</f>
        <v>19.350000000000001</v>
      </c>
      <c r="F832" s="1">
        <f ca="1">IFERROR(__xludf.DUMMYFUNCTION("""COMPUTED_VALUE"""),5627928)</f>
        <v>5627928</v>
      </c>
    </row>
    <row r="833" spans="1:6" x14ac:dyDescent="0.35">
      <c r="A833" s="2">
        <f ca="1">IFERROR(__xludf.DUMMYFUNCTION("""COMPUTED_VALUE"""),43213.6666666666)</f>
        <v>43213.666666666599</v>
      </c>
      <c r="B833" s="1">
        <f ca="1">IFERROR(__xludf.DUMMYFUNCTION("""COMPUTED_VALUE"""),19.42)</f>
        <v>19.420000000000002</v>
      </c>
      <c r="C833" s="1">
        <f ca="1">IFERROR(__xludf.DUMMYFUNCTION("""COMPUTED_VALUE"""),19.44)</f>
        <v>19.440000000000001</v>
      </c>
      <c r="D833" s="1">
        <f ca="1">IFERROR(__xludf.DUMMYFUNCTION("""COMPUTED_VALUE"""),18.82)</f>
        <v>18.82</v>
      </c>
      <c r="E833" s="1">
        <f ca="1">IFERROR(__xludf.DUMMYFUNCTION("""COMPUTED_VALUE"""),18.89)</f>
        <v>18.89</v>
      </c>
      <c r="F833" s="1">
        <f ca="1">IFERROR(__xludf.DUMMYFUNCTION("""COMPUTED_VALUE"""),4893378)</f>
        <v>4893378</v>
      </c>
    </row>
    <row r="834" spans="1:6" x14ac:dyDescent="0.35">
      <c r="A834" s="2">
        <f ca="1">IFERROR(__xludf.DUMMYFUNCTION("""COMPUTED_VALUE"""),43214.6666666666)</f>
        <v>43214.666666666599</v>
      </c>
      <c r="B834" s="1">
        <f ca="1">IFERROR(__xludf.DUMMYFUNCTION("""COMPUTED_VALUE"""),19)</f>
        <v>19</v>
      </c>
      <c r="C834" s="1">
        <f ca="1">IFERROR(__xludf.DUMMYFUNCTION("""COMPUTED_VALUE"""),19.14)</f>
        <v>19.14</v>
      </c>
      <c r="D834" s="1">
        <f ca="1">IFERROR(__xludf.DUMMYFUNCTION("""COMPUTED_VALUE"""),18.56)</f>
        <v>18.559999999999999</v>
      </c>
      <c r="E834" s="1">
        <f ca="1">IFERROR(__xludf.DUMMYFUNCTION("""COMPUTED_VALUE"""),18.9)</f>
        <v>18.899999999999999</v>
      </c>
      <c r="F834" s="1">
        <f ca="1">IFERROR(__xludf.DUMMYFUNCTION("""COMPUTED_VALUE"""),5685308)</f>
        <v>5685308</v>
      </c>
    </row>
    <row r="835" spans="1:6" x14ac:dyDescent="0.35">
      <c r="A835" s="2">
        <f ca="1">IFERROR(__xludf.DUMMYFUNCTION("""COMPUTED_VALUE"""),43215.6666666666)</f>
        <v>43215.666666666599</v>
      </c>
      <c r="B835" s="1">
        <f ca="1">IFERROR(__xludf.DUMMYFUNCTION("""COMPUTED_VALUE"""),18.9)</f>
        <v>18.899999999999999</v>
      </c>
      <c r="C835" s="1">
        <f ca="1">IFERROR(__xludf.DUMMYFUNCTION("""COMPUTED_VALUE"""),19.01)</f>
        <v>19.010000000000002</v>
      </c>
      <c r="D835" s="1">
        <f ca="1">IFERROR(__xludf.DUMMYFUNCTION("""COMPUTED_VALUE"""),18.48)</f>
        <v>18.48</v>
      </c>
      <c r="E835" s="1">
        <f ca="1">IFERROR(__xludf.DUMMYFUNCTION("""COMPUTED_VALUE"""),18.71)</f>
        <v>18.71</v>
      </c>
      <c r="F835" s="1">
        <f ca="1">IFERROR(__xludf.DUMMYFUNCTION("""COMPUTED_VALUE"""),4013574)</f>
        <v>4013574</v>
      </c>
    </row>
    <row r="836" spans="1:6" x14ac:dyDescent="0.35">
      <c r="A836" s="2">
        <f ca="1">IFERROR(__xludf.DUMMYFUNCTION("""COMPUTED_VALUE"""),43216.6666666666)</f>
        <v>43216.666666666599</v>
      </c>
      <c r="B836" s="1">
        <f ca="1">IFERROR(__xludf.DUMMYFUNCTION("""COMPUTED_VALUE"""),18.58)</f>
        <v>18.579999999999998</v>
      </c>
      <c r="C836" s="1">
        <f ca="1">IFERROR(__xludf.DUMMYFUNCTION("""COMPUTED_VALUE"""),19.05)</f>
        <v>19.05</v>
      </c>
      <c r="D836" s="1">
        <f ca="1">IFERROR(__xludf.DUMMYFUNCTION("""COMPUTED_VALUE"""),18.43)</f>
        <v>18.43</v>
      </c>
      <c r="E836" s="1">
        <f ca="1">IFERROR(__xludf.DUMMYFUNCTION("""COMPUTED_VALUE"""),19.03)</f>
        <v>19.03</v>
      </c>
      <c r="F836" s="1">
        <f ca="1">IFERROR(__xludf.DUMMYFUNCTION("""COMPUTED_VALUE"""),4356013)</f>
        <v>4356013</v>
      </c>
    </row>
    <row r="837" spans="1:6" x14ac:dyDescent="0.35">
      <c r="A837" s="2">
        <f ca="1">IFERROR(__xludf.DUMMYFUNCTION("""COMPUTED_VALUE"""),43217.6666666666)</f>
        <v>43217.666666666599</v>
      </c>
      <c r="B837" s="1">
        <f ca="1">IFERROR(__xludf.DUMMYFUNCTION("""COMPUTED_VALUE"""),19.02)</f>
        <v>19.02</v>
      </c>
      <c r="C837" s="1">
        <f ca="1">IFERROR(__xludf.DUMMYFUNCTION("""COMPUTED_VALUE"""),19.63)</f>
        <v>19.63</v>
      </c>
      <c r="D837" s="1">
        <f ca="1">IFERROR(__xludf.DUMMYFUNCTION("""COMPUTED_VALUE"""),18.92)</f>
        <v>18.920000000000002</v>
      </c>
      <c r="E837" s="1">
        <f ca="1">IFERROR(__xludf.DUMMYFUNCTION("""COMPUTED_VALUE"""),19.61)</f>
        <v>19.61</v>
      </c>
      <c r="F837" s="1">
        <f ca="1">IFERROR(__xludf.DUMMYFUNCTION("""COMPUTED_VALUE"""),4364626)</f>
        <v>4364626</v>
      </c>
    </row>
    <row r="838" spans="1:6" x14ac:dyDescent="0.35">
      <c r="A838" s="2">
        <f ca="1">IFERROR(__xludf.DUMMYFUNCTION("""COMPUTED_VALUE"""),43220.6666666666)</f>
        <v>43220.666666666599</v>
      </c>
      <c r="B838" s="1">
        <f ca="1">IFERROR(__xludf.DUMMYFUNCTION("""COMPUTED_VALUE"""),19.57)</f>
        <v>19.57</v>
      </c>
      <c r="C838" s="1">
        <f ca="1">IFERROR(__xludf.DUMMYFUNCTION("""COMPUTED_VALUE"""),19.92)</f>
        <v>19.920000000000002</v>
      </c>
      <c r="D838" s="1">
        <f ca="1">IFERROR(__xludf.DUMMYFUNCTION("""COMPUTED_VALUE"""),19.5)</f>
        <v>19.5</v>
      </c>
      <c r="E838" s="1">
        <f ca="1">IFERROR(__xludf.DUMMYFUNCTION("""COMPUTED_VALUE"""),19.59)</f>
        <v>19.59</v>
      </c>
      <c r="F838" s="1">
        <f ca="1">IFERROR(__xludf.DUMMYFUNCTION("""COMPUTED_VALUE"""),4228172)</f>
        <v>4228172</v>
      </c>
    </row>
    <row r="839" spans="1:6" x14ac:dyDescent="0.35">
      <c r="A839" s="2">
        <f ca="1">IFERROR(__xludf.DUMMYFUNCTION("""COMPUTED_VALUE"""),43221.6666666666)</f>
        <v>43221.666666666599</v>
      </c>
      <c r="B839" s="1">
        <f ca="1">IFERROR(__xludf.DUMMYFUNCTION("""COMPUTED_VALUE"""),19.57)</f>
        <v>19.57</v>
      </c>
      <c r="C839" s="1">
        <f ca="1">IFERROR(__xludf.DUMMYFUNCTION("""COMPUTED_VALUE"""),20.05)</f>
        <v>20.05</v>
      </c>
      <c r="D839" s="1">
        <f ca="1">IFERROR(__xludf.DUMMYFUNCTION("""COMPUTED_VALUE"""),19.55)</f>
        <v>19.55</v>
      </c>
      <c r="E839" s="1">
        <f ca="1">IFERROR(__xludf.DUMMYFUNCTION("""COMPUTED_VALUE"""),19.99)</f>
        <v>19.989999999999998</v>
      </c>
      <c r="F839" s="1">
        <f ca="1">IFERROR(__xludf.DUMMYFUNCTION("""COMPUTED_VALUE"""),4625603)</f>
        <v>4625603</v>
      </c>
    </row>
    <row r="840" spans="1:6" x14ac:dyDescent="0.35">
      <c r="A840" s="2">
        <f ca="1">IFERROR(__xludf.DUMMYFUNCTION("""COMPUTED_VALUE"""),43222.6666666666)</f>
        <v>43222.666666666599</v>
      </c>
      <c r="B840" s="1">
        <f ca="1">IFERROR(__xludf.DUMMYFUNCTION("""COMPUTED_VALUE"""),19.9)</f>
        <v>19.899999999999999</v>
      </c>
      <c r="C840" s="1">
        <f ca="1">IFERROR(__xludf.DUMMYFUNCTION("""COMPUTED_VALUE"""),20.46)</f>
        <v>20.46</v>
      </c>
      <c r="D840" s="1">
        <f ca="1">IFERROR(__xludf.DUMMYFUNCTION("""COMPUTED_VALUE"""),19.85)</f>
        <v>19.850000000000001</v>
      </c>
      <c r="E840" s="1">
        <f ca="1">IFERROR(__xludf.DUMMYFUNCTION("""COMPUTED_VALUE"""),20.08)</f>
        <v>20.079999999999998</v>
      </c>
      <c r="F840" s="1">
        <f ca="1">IFERROR(__xludf.DUMMYFUNCTION("""COMPUTED_VALUE"""),8970370)</f>
        <v>8970370</v>
      </c>
    </row>
    <row r="841" spans="1:6" x14ac:dyDescent="0.35">
      <c r="A841" s="2">
        <f ca="1">IFERROR(__xludf.DUMMYFUNCTION("""COMPUTED_VALUE"""),43223.6666666666)</f>
        <v>43223.666666666599</v>
      </c>
      <c r="B841" s="1">
        <f ca="1">IFERROR(__xludf.DUMMYFUNCTION("""COMPUTED_VALUE"""),18.59)</f>
        <v>18.59</v>
      </c>
      <c r="C841" s="1">
        <f ca="1">IFERROR(__xludf.DUMMYFUNCTION("""COMPUTED_VALUE"""),19.2)</f>
        <v>19.2</v>
      </c>
      <c r="D841" s="1">
        <f ca="1">IFERROR(__xludf.DUMMYFUNCTION("""COMPUTED_VALUE"""),18.35)</f>
        <v>18.350000000000001</v>
      </c>
      <c r="E841" s="1">
        <f ca="1">IFERROR(__xludf.DUMMYFUNCTION("""COMPUTED_VALUE"""),18.96)</f>
        <v>18.96</v>
      </c>
      <c r="F841" s="1">
        <f ca="1">IFERROR(__xludf.DUMMYFUNCTION("""COMPUTED_VALUE"""),17352130)</f>
        <v>17352130</v>
      </c>
    </row>
    <row r="842" spans="1:6" x14ac:dyDescent="0.35">
      <c r="A842" s="2">
        <f ca="1">IFERROR(__xludf.DUMMYFUNCTION("""COMPUTED_VALUE"""),43224.6666666666)</f>
        <v>43224.666666666599</v>
      </c>
      <c r="B842" s="1">
        <f ca="1">IFERROR(__xludf.DUMMYFUNCTION("""COMPUTED_VALUE"""),18.87)</f>
        <v>18.87</v>
      </c>
      <c r="C842" s="1">
        <f ca="1">IFERROR(__xludf.DUMMYFUNCTION("""COMPUTED_VALUE"""),19.79)</f>
        <v>19.79</v>
      </c>
      <c r="D842" s="1">
        <f ca="1">IFERROR(__xludf.DUMMYFUNCTION("""COMPUTED_VALUE"""),18.63)</f>
        <v>18.63</v>
      </c>
      <c r="E842" s="1">
        <f ca="1">IFERROR(__xludf.DUMMYFUNCTION("""COMPUTED_VALUE"""),19.61)</f>
        <v>19.61</v>
      </c>
      <c r="F842" s="1">
        <f ca="1">IFERROR(__xludf.DUMMYFUNCTION("""COMPUTED_VALUE"""),8569354)</f>
        <v>8569354</v>
      </c>
    </row>
    <row r="843" spans="1:6" x14ac:dyDescent="0.35">
      <c r="A843" s="2">
        <f ca="1">IFERROR(__xludf.DUMMYFUNCTION("""COMPUTED_VALUE"""),43227.6666666666)</f>
        <v>43227.666666666599</v>
      </c>
      <c r="B843" s="1">
        <f ca="1">IFERROR(__xludf.DUMMYFUNCTION("""COMPUTED_VALUE"""),19.83)</f>
        <v>19.829999999999998</v>
      </c>
      <c r="C843" s="1">
        <f ca="1">IFERROR(__xludf.DUMMYFUNCTION("""COMPUTED_VALUE"""),20.4)</f>
        <v>20.399999999999999</v>
      </c>
      <c r="D843" s="1">
        <f ca="1">IFERROR(__xludf.DUMMYFUNCTION("""COMPUTED_VALUE"""),19.68)</f>
        <v>19.68</v>
      </c>
      <c r="E843" s="1">
        <f ca="1">IFERROR(__xludf.DUMMYFUNCTION("""COMPUTED_VALUE"""),20.18)</f>
        <v>20.18</v>
      </c>
      <c r="F843" s="1">
        <f ca="1">IFERROR(__xludf.DUMMYFUNCTION("""COMPUTED_VALUE"""),8678224)</f>
        <v>8678224</v>
      </c>
    </row>
    <row r="844" spans="1:6" x14ac:dyDescent="0.35">
      <c r="A844" s="2">
        <f ca="1">IFERROR(__xludf.DUMMYFUNCTION("""COMPUTED_VALUE"""),43228.6666666666)</f>
        <v>43228.666666666599</v>
      </c>
      <c r="B844" s="1">
        <f ca="1">IFERROR(__xludf.DUMMYFUNCTION("""COMPUTED_VALUE"""),20.05)</f>
        <v>20.05</v>
      </c>
      <c r="C844" s="1">
        <f ca="1">IFERROR(__xludf.DUMMYFUNCTION("""COMPUTED_VALUE"""),20.52)</f>
        <v>20.52</v>
      </c>
      <c r="D844" s="1">
        <f ca="1">IFERROR(__xludf.DUMMYFUNCTION("""COMPUTED_VALUE"""),19.93)</f>
        <v>19.93</v>
      </c>
      <c r="E844" s="1">
        <f ca="1">IFERROR(__xludf.DUMMYFUNCTION("""COMPUTED_VALUE"""),20.13)</f>
        <v>20.13</v>
      </c>
      <c r="F844" s="1">
        <f ca="1">IFERROR(__xludf.DUMMYFUNCTION("""COMPUTED_VALUE"""),5930000)</f>
        <v>5930000</v>
      </c>
    </row>
    <row r="845" spans="1:6" x14ac:dyDescent="0.35">
      <c r="A845" s="2">
        <f ca="1">IFERROR(__xludf.DUMMYFUNCTION("""COMPUTED_VALUE"""),43229.6666666666)</f>
        <v>43229.666666666599</v>
      </c>
      <c r="B845" s="1">
        <f ca="1">IFERROR(__xludf.DUMMYFUNCTION("""COMPUTED_VALUE"""),20.03)</f>
        <v>20.03</v>
      </c>
      <c r="C845" s="1">
        <f ca="1">IFERROR(__xludf.DUMMYFUNCTION("""COMPUTED_VALUE"""),20.47)</f>
        <v>20.47</v>
      </c>
      <c r="D845" s="1">
        <f ca="1">IFERROR(__xludf.DUMMYFUNCTION("""COMPUTED_VALUE"""),20)</f>
        <v>20</v>
      </c>
      <c r="E845" s="1">
        <f ca="1">IFERROR(__xludf.DUMMYFUNCTION("""COMPUTED_VALUE"""),20.46)</f>
        <v>20.46</v>
      </c>
      <c r="F845" s="1">
        <f ca="1">IFERROR(__xludf.DUMMYFUNCTION("""COMPUTED_VALUE"""),5727365)</f>
        <v>5727365</v>
      </c>
    </row>
    <row r="846" spans="1:6" x14ac:dyDescent="0.35">
      <c r="A846" s="2">
        <f ca="1">IFERROR(__xludf.DUMMYFUNCTION("""COMPUTED_VALUE"""),43230.6666666666)</f>
        <v>43230.666666666599</v>
      </c>
      <c r="B846" s="1">
        <f ca="1">IFERROR(__xludf.DUMMYFUNCTION("""COMPUTED_VALUE"""),20.5)</f>
        <v>20.5</v>
      </c>
      <c r="C846" s="1">
        <f ca="1">IFERROR(__xludf.DUMMYFUNCTION("""COMPUTED_VALUE"""),20.87)</f>
        <v>20.87</v>
      </c>
      <c r="D846" s="1">
        <f ca="1">IFERROR(__xludf.DUMMYFUNCTION("""COMPUTED_VALUE"""),20.27)</f>
        <v>20.27</v>
      </c>
      <c r="E846" s="1">
        <f ca="1">IFERROR(__xludf.DUMMYFUNCTION("""COMPUTED_VALUE"""),20.33)</f>
        <v>20.329999999999998</v>
      </c>
      <c r="F846" s="1">
        <f ca="1">IFERROR(__xludf.DUMMYFUNCTION("""COMPUTED_VALUE"""),5651561)</f>
        <v>5651561</v>
      </c>
    </row>
    <row r="847" spans="1:6" x14ac:dyDescent="0.35">
      <c r="A847" s="2">
        <f ca="1">IFERROR(__xludf.DUMMYFUNCTION("""COMPUTED_VALUE"""),43231.6666666666)</f>
        <v>43231.666666666599</v>
      </c>
      <c r="B847" s="1">
        <f ca="1">IFERROR(__xludf.DUMMYFUNCTION("""COMPUTED_VALUE"""),20.51)</f>
        <v>20.51</v>
      </c>
      <c r="C847" s="1">
        <f ca="1">IFERROR(__xludf.DUMMYFUNCTION("""COMPUTED_VALUE"""),20.59)</f>
        <v>20.59</v>
      </c>
      <c r="D847" s="1">
        <f ca="1">IFERROR(__xludf.DUMMYFUNCTION("""COMPUTED_VALUE"""),19.94)</f>
        <v>19.940000000000001</v>
      </c>
      <c r="E847" s="1">
        <f ca="1">IFERROR(__xludf.DUMMYFUNCTION("""COMPUTED_VALUE"""),20.07)</f>
        <v>20.07</v>
      </c>
      <c r="F847" s="1">
        <f ca="1">IFERROR(__xludf.DUMMYFUNCTION("""COMPUTED_VALUE"""),4679649)</f>
        <v>4679649</v>
      </c>
    </row>
    <row r="848" spans="1:6" x14ac:dyDescent="0.35">
      <c r="A848" s="2">
        <f ca="1">IFERROR(__xludf.DUMMYFUNCTION("""COMPUTED_VALUE"""),43234.6666666666)</f>
        <v>43234.666666666599</v>
      </c>
      <c r="B848" s="1">
        <f ca="1">IFERROR(__xludf.DUMMYFUNCTION("""COMPUTED_VALUE"""),20.22)</f>
        <v>20.22</v>
      </c>
      <c r="C848" s="1">
        <f ca="1">IFERROR(__xludf.DUMMYFUNCTION("""COMPUTED_VALUE"""),20.33)</f>
        <v>20.329999999999998</v>
      </c>
      <c r="D848" s="1">
        <f ca="1">IFERROR(__xludf.DUMMYFUNCTION("""COMPUTED_VALUE"""),19.44)</f>
        <v>19.440000000000001</v>
      </c>
      <c r="E848" s="1">
        <f ca="1">IFERROR(__xludf.DUMMYFUNCTION("""COMPUTED_VALUE"""),19.46)</f>
        <v>19.46</v>
      </c>
      <c r="F848" s="1">
        <f ca="1">IFERROR(__xludf.DUMMYFUNCTION("""COMPUTED_VALUE"""),7286804)</f>
        <v>7286804</v>
      </c>
    </row>
    <row r="849" spans="1:6" x14ac:dyDescent="0.35">
      <c r="A849" s="2">
        <f ca="1">IFERROR(__xludf.DUMMYFUNCTION("""COMPUTED_VALUE"""),43235.6666666666)</f>
        <v>43235.666666666599</v>
      </c>
      <c r="B849" s="1">
        <f ca="1">IFERROR(__xludf.DUMMYFUNCTION("""COMPUTED_VALUE"""),19)</f>
        <v>19</v>
      </c>
      <c r="C849" s="1">
        <f ca="1">IFERROR(__xludf.DUMMYFUNCTION("""COMPUTED_VALUE"""),19.13)</f>
        <v>19.13</v>
      </c>
      <c r="D849" s="1">
        <f ca="1">IFERROR(__xludf.DUMMYFUNCTION("""COMPUTED_VALUE"""),18.7)</f>
        <v>18.7</v>
      </c>
      <c r="E849" s="1">
        <f ca="1">IFERROR(__xludf.DUMMYFUNCTION("""COMPUTED_VALUE"""),18.95)</f>
        <v>18.95</v>
      </c>
      <c r="F849" s="1">
        <f ca="1">IFERROR(__xludf.DUMMYFUNCTION("""COMPUTED_VALUE"""),9519173)</f>
        <v>9519173</v>
      </c>
    </row>
    <row r="850" spans="1:6" x14ac:dyDescent="0.35">
      <c r="A850" s="2">
        <f ca="1">IFERROR(__xludf.DUMMYFUNCTION("""COMPUTED_VALUE"""),43236.6666666666)</f>
        <v>43236.666666666599</v>
      </c>
      <c r="B850" s="1">
        <f ca="1">IFERROR(__xludf.DUMMYFUNCTION("""COMPUTED_VALUE"""),18.92)</f>
        <v>18.920000000000002</v>
      </c>
      <c r="C850" s="1">
        <f ca="1">IFERROR(__xludf.DUMMYFUNCTION("""COMPUTED_VALUE"""),19.25)</f>
        <v>19.25</v>
      </c>
      <c r="D850" s="1">
        <f ca="1">IFERROR(__xludf.DUMMYFUNCTION("""COMPUTED_VALUE"""),18.77)</f>
        <v>18.77</v>
      </c>
      <c r="E850" s="1">
        <f ca="1">IFERROR(__xludf.DUMMYFUNCTION("""COMPUTED_VALUE"""),19.1)</f>
        <v>19.100000000000001</v>
      </c>
      <c r="F850" s="1">
        <f ca="1">IFERROR(__xludf.DUMMYFUNCTION("""COMPUTED_VALUE"""),5674019)</f>
        <v>5674019</v>
      </c>
    </row>
    <row r="851" spans="1:6" x14ac:dyDescent="0.35">
      <c r="A851" s="2">
        <f ca="1">IFERROR(__xludf.DUMMYFUNCTION("""COMPUTED_VALUE"""),43237.6666666666)</f>
        <v>43237.666666666599</v>
      </c>
      <c r="B851" s="1">
        <f ca="1">IFERROR(__xludf.DUMMYFUNCTION("""COMPUTED_VALUE"""),19.06)</f>
        <v>19.059999999999999</v>
      </c>
      <c r="C851" s="1">
        <f ca="1">IFERROR(__xludf.DUMMYFUNCTION("""COMPUTED_VALUE"""),19.28)</f>
        <v>19.28</v>
      </c>
      <c r="D851" s="1">
        <f ca="1">IFERROR(__xludf.DUMMYFUNCTION("""COMPUTED_VALUE"""),18.93)</f>
        <v>18.93</v>
      </c>
      <c r="E851" s="1">
        <f ca="1">IFERROR(__xludf.DUMMYFUNCTION("""COMPUTED_VALUE"""),18.97)</f>
        <v>18.97</v>
      </c>
      <c r="F851" s="1">
        <f ca="1">IFERROR(__xludf.DUMMYFUNCTION("""COMPUTED_VALUE"""),4420612)</f>
        <v>4420612</v>
      </c>
    </row>
    <row r="852" spans="1:6" x14ac:dyDescent="0.35">
      <c r="A852" s="2">
        <f ca="1">IFERROR(__xludf.DUMMYFUNCTION("""COMPUTED_VALUE"""),43238.6666666666)</f>
        <v>43238.666666666599</v>
      </c>
      <c r="B852" s="1">
        <f ca="1">IFERROR(__xludf.DUMMYFUNCTION("""COMPUTED_VALUE"""),19.06)</f>
        <v>19.059999999999999</v>
      </c>
      <c r="C852" s="1">
        <f ca="1">IFERROR(__xludf.DUMMYFUNCTION("""COMPUTED_VALUE"""),19.28)</f>
        <v>19.28</v>
      </c>
      <c r="D852" s="1">
        <f ca="1">IFERROR(__xludf.DUMMYFUNCTION("""COMPUTED_VALUE"""),18.93)</f>
        <v>18.93</v>
      </c>
      <c r="E852" s="1">
        <f ca="1">IFERROR(__xludf.DUMMYFUNCTION("""COMPUTED_VALUE"""),18.97)</f>
        <v>18.97</v>
      </c>
      <c r="F852" s="1">
        <f ca="1">IFERROR(__xludf.DUMMYFUNCTION("""COMPUTED_VALUE"""),27062)</f>
        <v>27062</v>
      </c>
    </row>
    <row r="853" spans="1:6" x14ac:dyDescent="0.35">
      <c r="A853" s="2">
        <f ca="1">IFERROR(__xludf.DUMMYFUNCTION("""COMPUTED_VALUE"""),43241.6666666666)</f>
        <v>43241.666666666599</v>
      </c>
      <c r="B853" s="1">
        <f ca="1">IFERROR(__xludf.DUMMYFUNCTION("""COMPUTED_VALUE"""),18.76)</f>
        <v>18.760000000000002</v>
      </c>
      <c r="C853" s="1">
        <f ca="1">IFERROR(__xludf.DUMMYFUNCTION("""COMPUTED_VALUE"""),19.43)</f>
        <v>19.43</v>
      </c>
      <c r="D853" s="1">
        <f ca="1">IFERROR(__xludf.DUMMYFUNCTION("""COMPUTED_VALUE"""),18.75)</f>
        <v>18.75</v>
      </c>
      <c r="E853" s="1">
        <f ca="1">IFERROR(__xludf.DUMMYFUNCTION("""COMPUTED_VALUE"""),18.97)</f>
        <v>18.97</v>
      </c>
      <c r="F853" s="1">
        <f ca="1">IFERROR(__xludf.DUMMYFUNCTION("""COMPUTED_VALUE"""),9182571)</f>
        <v>9182571</v>
      </c>
    </row>
    <row r="854" spans="1:6" x14ac:dyDescent="0.35">
      <c r="A854" s="2">
        <f ca="1">IFERROR(__xludf.DUMMYFUNCTION("""COMPUTED_VALUE"""),43242.6666666666)</f>
        <v>43242.666666666599</v>
      </c>
      <c r="B854" s="1">
        <f ca="1">IFERROR(__xludf.DUMMYFUNCTION("""COMPUTED_VALUE"""),19.18)</f>
        <v>19.18</v>
      </c>
      <c r="C854" s="1">
        <f ca="1">IFERROR(__xludf.DUMMYFUNCTION("""COMPUTED_VALUE"""),19.2)</f>
        <v>19.2</v>
      </c>
      <c r="D854" s="1">
        <f ca="1">IFERROR(__xludf.DUMMYFUNCTION("""COMPUTED_VALUE"""),18.23)</f>
        <v>18.23</v>
      </c>
      <c r="E854" s="1">
        <f ca="1">IFERROR(__xludf.DUMMYFUNCTION("""COMPUTED_VALUE"""),18.33)</f>
        <v>18.329999999999998</v>
      </c>
      <c r="F854" s="1">
        <f ca="1">IFERROR(__xludf.DUMMYFUNCTION("""COMPUTED_VALUE"""),8945756)</f>
        <v>8945756</v>
      </c>
    </row>
    <row r="855" spans="1:6" x14ac:dyDescent="0.35">
      <c r="A855" s="2">
        <f ca="1">IFERROR(__xludf.DUMMYFUNCTION("""COMPUTED_VALUE"""),43243.6666666666)</f>
        <v>43243.666666666599</v>
      </c>
      <c r="B855" s="1">
        <f ca="1">IFERROR(__xludf.DUMMYFUNCTION("""COMPUTED_VALUE"""),18.52)</f>
        <v>18.52</v>
      </c>
      <c r="C855" s="1">
        <f ca="1">IFERROR(__xludf.DUMMYFUNCTION("""COMPUTED_VALUE"""),18.66)</f>
        <v>18.66</v>
      </c>
      <c r="D855" s="1">
        <f ca="1">IFERROR(__xludf.DUMMYFUNCTION("""COMPUTED_VALUE"""),18.27)</f>
        <v>18.27</v>
      </c>
      <c r="E855" s="1">
        <f ca="1">IFERROR(__xludf.DUMMYFUNCTION("""COMPUTED_VALUE"""),18.6)</f>
        <v>18.600000000000001</v>
      </c>
      <c r="F855" s="1">
        <f ca="1">IFERROR(__xludf.DUMMYFUNCTION("""COMPUTED_VALUE"""),5985053)</f>
        <v>5985053</v>
      </c>
    </row>
    <row r="856" spans="1:6" x14ac:dyDescent="0.35">
      <c r="A856" s="2">
        <f ca="1">IFERROR(__xludf.DUMMYFUNCTION("""COMPUTED_VALUE"""),43244.6666666666)</f>
        <v>43244.666666666599</v>
      </c>
      <c r="B856" s="1">
        <f ca="1">IFERROR(__xludf.DUMMYFUNCTION("""COMPUTED_VALUE"""),18.56)</f>
        <v>18.559999999999999</v>
      </c>
      <c r="C856" s="1">
        <f ca="1">IFERROR(__xludf.DUMMYFUNCTION("""COMPUTED_VALUE"""),18.74)</f>
        <v>18.739999999999998</v>
      </c>
      <c r="D856" s="1">
        <f ca="1">IFERROR(__xludf.DUMMYFUNCTION("""COMPUTED_VALUE"""),18.33)</f>
        <v>18.329999999999998</v>
      </c>
      <c r="E856" s="1">
        <f ca="1">IFERROR(__xludf.DUMMYFUNCTION("""COMPUTED_VALUE"""),18.52)</f>
        <v>18.52</v>
      </c>
      <c r="F856" s="1">
        <f ca="1">IFERROR(__xludf.DUMMYFUNCTION("""COMPUTED_VALUE"""),4176708)</f>
        <v>4176708</v>
      </c>
    </row>
    <row r="857" spans="1:6" x14ac:dyDescent="0.35">
      <c r="A857" s="2">
        <f ca="1">IFERROR(__xludf.DUMMYFUNCTION("""COMPUTED_VALUE"""),43245.6666666666)</f>
        <v>43245.666666666599</v>
      </c>
      <c r="B857" s="1">
        <f ca="1">IFERROR(__xludf.DUMMYFUNCTION("""COMPUTED_VALUE"""),18.51)</f>
        <v>18.510000000000002</v>
      </c>
      <c r="C857" s="1">
        <f ca="1">IFERROR(__xludf.DUMMYFUNCTION("""COMPUTED_VALUE"""),18.64)</f>
        <v>18.64</v>
      </c>
      <c r="D857" s="1">
        <f ca="1">IFERROR(__xludf.DUMMYFUNCTION("""COMPUTED_VALUE"""),18.37)</f>
        <v>18.37</v>
      </c>
      <c r="E857" s="1">
        <f ca="1">IFERROR(__xludf.DUMMYFUNCTION("""COMPUTED_VALUE"""),18.59)</f>
        <v>18.59</v>
      </c>
      <c r="F857" s="1">
        <f ca="1">IFERROR(__xludf.DUMMYFUNCTION("""COMPUTED_VALUE"""),3875082)</f>
        <v>3875082</v>
      </c>
    </row>
    <row r="858" spans="1:6" x14ac:dyDescent="0.35">
      <c r="A858" s="2">
        <f ca="1">IFERROR(__xludf.DUMMYFUNCTION("""COMPUTED_VALUE"""),43249.6666666666)</f>
        <v>43249.666666666599</v>
      </c>
      <c r="B858" s="1">
        <f ca="1">IFERROR(__xludf.DUMMYFUNCTION("""COMPUTED_VALUE"""),18.57)</f>
        <v>18.57</v>
      </c>
      <c r="C858" s="1">
        <f ca="1">IFERROR(__xludf.DUMMYFUNCTION("""COMPUTED_VALUE"""),19.1)</f>
        <v>19.100000000000001</v>
      </c>
      <c r="D858" s="1">
        <f ca="1">IFERROR(__xludf.DUMMYFUNCTION("""COMPUTED_VALUE"""),18.41)</f>
        <v>18.41</v>
      </c>
      <c r="E858" s="1">
        <f ca="1">IFERROR(__xludf.DUMMYFUNCTION("""COMPUTED_VALUE"""),18.92)</f>
        <v>18.920000000000002</v>
      </c>
      <c r="F858" s="1">
        <f ca="1">IFERROR(__xludf.DUMMYFUNCTION("""COMPUTED_VALUE"""),5666640)</f>
        <v>5666640</v>
      </c>
    </row>
    <row r="859" spans="1:6" x14ac:dyDescent="0.35">
      <c r="A859" s="2">
        <f ca="1">IFERROR(__xludf.DUMMYFUNCTION("""COMPUTED_VALUE"""),43250.6666666666)</f>
        <v>43250.666666666599</v>
      </c>
      <c r="B859" s="1">
        <f ca="1">IFERROR(__xludf.DUMMYFUNCTION("""COMPUTED_VALUE"""),18.89)</f>
        <v>18.89</v>
      </c>
      <c r="C859" s="1">
        <f ca="1">IFERROR(__xludf.DUMMYFUNCTION("""COMPUTED_VALUE"""),19.67)</f>
        <v>19.670000000000002</v>
      </c>
      <c r="D859" s="1">
        <f ca="1">IFERROR(__xludf.DUMMYFUNCTION("""COMPUTED_VALUE"""),18.77)</f>
        <v>18.77</v>
      </c>
      <c r="E859" s="1">
        <f ca="1">IFERROR(__xludf.DUMMYFUNCTION("""COMPUTED_VALUE"""),19.45)</f>
        <v>19.45</v>
      </c>
      <c r="F859" s="1">
        <f ca="1">IFERROR(__xludf.DUMMYFUNCTION("""COMPUTED_VALUE"""),7489686)</f>
        <v>7489686</v>
      </c>
    </row>
    <row r="860" spans="1:6" x14ac:dyDescent="0.35">
      <c r="A860" s="2">
        <f ca="1">IFERROR(__xludf.DUMMYFUNCTION("""COMPUTED_VALUE"""),43251.6666666666)</f>
        <v>43251.666666666599</v>
      </c>
      <c r="B860" s="1">
        <f ca="1">IFERROR(__xludf.DUMMYFUNCTION("""COMPUTED_VALUE"""),19.15)</f>
        <v>19.149999999999999</v>
      </c>
      <c r="C860" s="1">
        <f ca="1">IFERROR(__xludf.DUMMYFUNCTION("""COMPUTED_VALUE"""),19.36)</f>
        <v>19.36</v>
      </c>
      <c r="D860" s="1">
        <f ca="1">IFERROR(__xludf.DUMMYFUNCTION("""COMPUTED_VALUE"""),18.86)</f>
        <v>18.86</v>
      </c>
      <c r="E860" s="1">
        <f ca="1">IFERROR(__xludf.DUMMYFUNCTION("""COMPUTED_VALUE"""),18.98)</f>
        <v>18.98</v>
      </c>
      <c r="F860" s="1">
        <f ca="1">IFERROR(__xludf.DUMMYFUNCTION("""COMPUTED_VALUE"""),5919721)</f>
        <v>5919721</v>
      </c>
    </row>
    <row r="861" spans="1:6" x14ac:dyDescent="0.35">
      <c r="A861" s="2">
        <f ca="1">IFERROR(__xludf.DUMMYFUNCTION("""COMPUTED_VALUE"""),43252.6666666666)</f>
        <v>43252.666666666599</v>
      </c>
      <c r="B861" s="1">
        <f ca="1">IFERROR(__xludf.DUMMYFUNCTION("""COMPUTED_VALUE"""),19.06)</f>
        <v>19.059999999999999</v>
      </c>
      <c r="C861" s="1">
        <f ca="1">IFERROR(__xludf.DUMMYFUNCTION("""COMPUTED_VALUE"""),19.46)</f>
        <v>19.46</v>
      </c>
      <c r="D861" s="1">
        <f ca="1">IFERROR(__xludf.DUMMYFUNCTION("""COMPUTED_VALUE"""),18.92)</f>
        <v>18.920000000000002</v>
      </c>
      <c r="E861" s="1">
        <f ca="1">IFERROR(__xludf.DUMMYFUNCTION("""COMPUTED_VALUE"""),19.45)</f>
        <v>19.45</v>
      </c>
      <c r="F861" s="1">
        <f ca="1">IFERROR(__xludf.DUMMYFUNCTION("""COMPUTED_VALUE"""),5424386)</f>
        <v>5424386</v>
      </c>
    </row>
    <row r="862" spans="1:6" x14ac:dyDescent="0.35">
      <c r="A862" s="2">
        <f ca="1">IFERROR(__xludf.DUMMYFUNCTION("""COMPUTED_VALUE"""),43255.6666666666)</f>
        <v>43255.666666666599</v>
      </c>
      <c r="B862" s="1">
        <f ca="1">IFERROR(__xludf.DUMMYFUNCTION("""COMPUTED_VALUE"""),19.62)</f>
        <v>19.62</v>
      </c>
      <c r="C862" s="1">
        <f ca="1">IFERROR(__xludf.DUMMYFUNCTION("""COMPUTED_VALUE"""),19.93)</f>
        <v>19.93</v>
      </c>
      <c r="D862" s="1">
        <f ca="1">IFERROR(__xludf.DUMMYFUNCTION("""COMPUTED_VALUE"""),19.57)</f>
        <v>19.57</v>
      </c>
      <c r="E862" s="1">
        <f ca="1">IFERROR(__xludf.DUMMYFUNCTION("""COMPUTED_VALUE"""),19.78)</f>
        <v>19.78</v>
      </c>
      <c r="F862" s="1">
        <f ca="1">IFERROR(__xludf.DUMMYFUNCTION("""COMPUTED_VALUE"""),4797810)</f>
        <v>4797810</v>
      </c>
    </row>
    <row r="863" spans="1:6" x14ac:dyDescent="0.35">
      <c r="A863" s="2">
        <f ca="1">IFERROR(__xludf.DUMMYFUNCTION("""COMPUTED_VALUE"""),43256.6666666666)</f>
        <v>43256.666666666599</v>
      </c>
      <c r="B863" s="1">
        <f ca="1">IFERROR(__xludf.DUMMYFUNCTION("""COMPUTED_VALUE"""),19.85)</f>
        <v>19.850000000000001</v>
      </c>
      <c r="C863" s="1">
        <f ca="1">IFERROR(__xludf.DUMMYFUNCTION("""COMPUTED_VALUE"""),19.85)</f>
        <v>19.850000000000001</v>
      </c>
      <c r="D863" s="1">
        <f ca="1">IFERROR(__xludf.DUMMYFUNCTION("""COMPUTED_VALUE"""),19.12)</f>
        <v>19.12</v>
      </c>
      <c r="E863" s="1">
        <f ca="1">IFERROR(__xludf.DUMMYFUNCTION("""COMPUTED_VALUE"""),19.41)</f>
        <v>19.41</v>
      </c>
      <c r="F863" s="1">
        <f ca="1">IFERROR(__xludf.DUMMYFUNCTION("""COMPUTED_VALUE"""),5995157)</f>
        <v>5995157</v>
      </c>
    </row>
    <row r="864" spans="1:6" x14ac:dyDescent="0.35">
      <c r="A864" s="2">
        <f ca="1">IFERROR(__xludf.DUMMYFUNCTION("""COMPUTED_VALUE"""),43257.6666666666)</f>
        <v>43257.666666666599</v>
      </c>
      <c r="B864" s="1">
        <f ca="1">IFERROR(__xludf.DUMMYFUNCTION("""COMPUTED_VALUE"""),20.03)</f>
        <v>20.03</v>
      </c>
      <c r="C864" s="1">
        <f ca="1">IFERROR(__xludf.DUMMYFUNCTION("""COMPUTED_VALUE"""),21.48)</f>
        <v>21.48</v>
      </c>
      <c r="D864" s="1">
        <f ca="1">IFERROR(__xludf.DUMMYFUNCTION("""COMPUTED_VALUE"""),19.83)</f>
        <v>19.829999999999998</v>
      </c>
      <c r="E864" s="1">
        <f ca="1">IFERROR(__xludf.DUMMYFUNCTION("""COMPUTED_VALUE"""),21.3)</f>
        <v>21.3</v>
      </c>
      <c r="F864" s="1">
        <f ca="1">IFERROR(__xludf.DUMMYFUNCTION("""COMPUTED_VALUE"""),18767269)</f>
        <v>18767269</v>
      </c>
    </row>
    <row r="865" spans="1:6" x14ac:dyDescent="0.35">
      <c r="A865" s="2">
        <f ca="1">IFERROR(__xludf.DUMMYFUNCTION("""COMPUTED_VALUE"""),43258.6666666666)</f>
        <v>43258.666666666599</v>
      </c>
      <c r="B865" s="1">
        <f ca="1">IFERROR(__xludf.DUMMYFUNCTION("""COMPUTED_VALUE"""),21.08)</f>
        <v>21.08</v>
      </c>
      <c r="C865" s="1">
        <f ca="1">IFERROR(__xludf.DUMMYFUNCTION("""COMPUTED_VALUE"""),22)</f>
        <v>22</v>
      </c>
      <c r="D865" s="1">
        <f ca="1">IFERROR(__xludf.DUMMYFUNCTION("""COMPUTED_VALUE"""),20.91)</f>
        <v>20.91</v>
      </c>
      <c r="E865" s="1">
        <f ca="1">IFERROR(__xludf.DUMMYFUNCTION("""COMPUTED_VALUE"""),21.07)</f>
        <v>21.07</v>
      </c>
      <c r="F865" s="1">
        <f ca="1">IFERROR(__xludf.DUMMYFUNCTION("""COMPUTED_VALUE"""),14345271)</f>
        <v>14345271</v>
      </c>
    </row>
    <row r="866" spans="1:6" x14ac:dyDescent="0.35">
      <c r="A866" s="2">
        <f ca="1">IFERROR(__xludf.DUMMYFUNCTION("""COMPUTED_VALUE"""),43259.6666666666)</f>
        <v>43259.666666666599</v>
      </c>
      <c r="B866" s="1">
        <f ca="1">IFERROR(__xludf.DUMMYFUNCTION("""COMPUTED_VALUE"""),21.27)</f>
        <v>21.27</v>
      </c>
      <c r="C866" s="1">
        <f ca="1">IFERROR(__xludf.DUMMYFUNCTION("""COMPUTED_VALUE"""),21.63)</f>
        <v>21.63</v>
      </c>
      <c r="D866" s="1">
        <f ca="1">IFERROR(__xludf.DUMMYFUNCTION("""COMPUTED_VALUE"""),21.14)</f>
        <v>21.14</v>
      </c>
      <c r="E866" s="1">
        <f ca="1">IFERROR(__xludf.DUMMYFUNCTION("""COMPUTED_VALUE"""),21.18)</f>
        <v>21.18</v>
      </c>
      <c r="F866" s="1">
        <f ca="1">IFERROR(__xludf.DUMMYFUNCTION("""COMPUTED_VALUE"""),8205202)</f>
        <v>8205202</v>
      </c>
    </row>
    <row r="867" spans="1:6" x14ac:dyDescent="0.35">
      <c r="A867" s="2">
        <f ca="1">IFERROR(__xludf.DUMMYFUNCTION("""COMPUTED_VALUE"""),43262.6666666666)</f>
        <v>43262.666666666599</v>
      </c>
      <c r="B867" s="1">
        <f ca="1">IFERROR(__xludf.DUMMYFUNCTION("""COMPUTED_VALUE"""),21.5)</f>
        <v>21.5</v>
      </c>
      <c r="C867" s="1">
        <f ca="1">IFERROR(__xludf.DUMMYFUNCTION("""COMPUTED_VALUE"""),22.31)</f>
        <v>22.31</v>
      </c>
      <c r="D867" s="1">
        <f ca="1">IFERROR(__xludf.DUMMYFUNCTION("""COMPUTED_VALUE"""),21.5)</f>
        <v>21.5</v>
      </c>
      <c r="E867" s="1">
        <f ca="1">IFERROR(__xludf.DUMMYFUNCTION("""COMPUTED_VALUE"""),22.14)</f>
        <v>22.14</v>
      </c>
      <c r="F867" s="1">
        <f ca="1">IFERROR(__xludf.DUMMYFUNCTION("""COMPUTED_VALUE"""),13183473)</f>
        <v>13183473</v>
      </c>
    </row>
    <row r="868" spans="1:6" x14ac:dyDescent="0.35">
      <c r="A868" s="2">
        <f ca="1">IFERROR(__xludf.DUMMYFUNCTION("""COMPUTED_VALUE"""),43263.6666666666)</f>
        <v>43263.666666666599</v>
      </c>
      <c r="B868" s="1">
        <f ca="1">IFERROR(__xludf.DUMMYFUNCTION("""COMPUTED_VALUE"""),22.98)</f>
        <v>22.98</v>
      </c>
      <c r="C868" s="1">
        <f ca="1">IFERROR(__xludf.DUMMYFUNCTION("""COMPUTED_VALUE"""),23.66)</f>
        <v>23.66</v>
      </c>
      <c r="D868" s="1">
        <f ca="1">IFERROR(__xludf.DUMMYFUNCTION("""COMPUTED_VALUE"""),22.53)</f>
        <v>22.53</v>
      </c>
      <c r="E868" s="1">
        <f ca="1">IFERROR(__xludf.DUMMYFUNCTION("""COMPUTED_VALUE"""),22.85)</f>
        <v>22.85</v>
      </c>
      <c r="F868" s="1">
        <f ca="1">IFERROR(__xludf.DUMMYFUNCTION("""COMPUTED_VALUE"""),22347403)</f>
        <v>22347403</v>
      </c>
    </row>
    <row r="869" spans="1:6" x14ac:dyDescent="0.35">
      <c r="A869" s="2">
        <f ca="1">IFERROR(__xludf.DUMMYFUNCTION("""COMPUTED_VALUE"""),43264.6666666666)</f>
        <v>43264.666666666599</v>
      </c>
      <c r="B869" s="1">
        <f ca="1">IFERROR(__xludf.DUMMYFUNCTION("""COMPUTED_VALUE"""),23.11)</f>
        <v>23.11</v>
      </c>
      <c r="C869" s="1">
        <f ca="1">IFERROR(__xludf.DUMMYFUNCTION("""COMPUTED_VALUE"""),23.15)</f>
        <v>23.15</v>
      </c>
      <c r="D869" s="1">
        <f ca="1">IFERROR(__xludf.DUMMYFUNCTION("""COMPUTED_VALUE"""),22.65)</f>
        <v>22.65</v>
      </c>
      <c r="E869" s="1">
        <f ca="1">IFERROR(__xludf.DUMMYFUNCTION("""COMPUTED_VALUE"""),22.99)</f>
        <v>22.99</v>
      </c>
      <c r="F869" s="1">
        <f ca="1">IFERROR(__xludf.DUMMYFUNCTION("""COMPUTED_VALUE"""),9469804)</f>
        <v>9469804</v>
      </c>
    </row>
    <row r="870" spans="1:6" x14ac:dyDescent="0.35">
      <c r="A870" s="2">
        <f ca="1">IFERROR(__xludf.DUMMYFUNCTION("""COMPUTED_VALUE"""),43265.6666666666)</f>
        <v>43265.666666666599</v>
      </c>
      <c r="B870" s="1">
        <f ca="1">IFERROR(__xludf.DUMMYFUNCTION("""COMPUTED_VALUE"""),23.18)</f>
        <v>23.18</v>
      </c>
      <c r="C870" s="1">
        <f ca="1">IFERROR(__xludf.DUMMYFUNCTION("""COMPUTED_VALUE"""),23.92)</f>
        <v>23.92</v>
      </c>
      <c r="D870" s="1">
        <f ca="1">IFERROR(__xludf.DUMMYFUNCTION("""COMPUTED_VALUE"""),23.11)</f>
        <v>23.11</v>
      </c>
      <c r="E870" s="1">
        <f ca="1">IFERROR(__xludf.DUMMYFUNCTION("""COMPUTED_VALUE"""),23.85)</f>
        <v>23.85</v>
      </c>
      <c r="F870" s="1">
        <f ca="1">IFERROR(__xludf.DUMMYFUNCTION("""COMPUTED_VALUE"""),10981023)</f>
        <v>10981023</v>
      </c>
    </row>
    <row r="871" spans="1:6" x14ac:dyDescent="0.35">
      <c r="A871" s="2">
        <f ca="1">IFERROR(__xludf.DUMMYFUNCTION("""COMPUTED_VALUE"""),43266.6666666666)</f>
        <v>43266.666666666599</v>
      </c>
      <c r="B871" s="1">
        <f ca="1">IFERROR(__xludf.DUMMYFUNCTION("""COMPUTED_VALUE"""),23.59)</f>
        <v>23.59</v>
      </c>
      <c r="C871" s="1">
        <f ca="1">IFERROR(__xludf.DUMMYFUNCTION("""COMPUTED_VALUE"""),24.31)</f>
        <v>24.31</v>
      </c>
      <c r="D871" s="1">
        <f ca="1">IFERROR(__xludf.DUMMYFUNCTION("""COMPUTED_VALUE"""),23.42)</f>
        <v>23.42</v>
      </c>
      <c r="E871" s="1">
        <f ca="1">IFERROR(__xludf.DUMMYFUNCTION("""COMPUTED_VALUE"""),23.88)</f>
        <v>23.88</v>
      </c>
      <c r="F871" s="1">
        <f ca="1">IFERROR(__xludf.DUMMYFUNCTION("""COMPUTED_VALUE"""),10848254)</f>
        <v>10848254</v>
      </c>
    </row>
    <row r="872" spans="1:6" x14ac:dyDescent="0.35">
      <c r="A872" s="2">
        <f ca="1">IFERROR(__xludf.DUMMYFUNCTION("""COMPUTED_VALUE"""),43269.6666666666)</f>
        <v>43269.666666666599</v>
      </c>
      <c r="B872" s="1">
        <f ca="1">IFERROR(__xludf.DUMMYFUNCTION("""COMPUTED_VALUE"""),23.69)</f>
        <v>23.69</v>
      </c>
      <c r="C872" s="1">
        <f ca="1">IFERROR(__xludf.DUMMYFUNCTION("""COMPUTED_VALUE"""),24.92)</f>
        <v>24.92</v>
      </c>
      <c r="D872" s="1">
        <f ca="1">IFERROR(__xludf.DUMMYFUNCTION("""COMPUTED_VALUE"""),23.63)</f>
        <v>23.63</v>
      </c>
      <c r="E872" s="1">
        <f ca="1">IFERROR(__xludf.DUMMYFUNCTION("""COMPUTED_VALUE"""),24.72)</f>
        <v>24.72</v>
      </c>
      <c r="F872" s="1">
        <f ca="1">IFERROR(__xludf.DUMMYFUNCTION("""COMPUTED_VALUE"""),12073226)</f>
        <v>12073226</v>
      </c>
    </row>
    <row r="873" spans="1:6" x14ac:dyDescent="0.35">
      <c r="A873" s="2">
        <f ca="1">IFERROR(__xludf.DUMMYFUNCTION("""COMPUTED_VALUE"""),43270.6666666666)</f>
        <v>43270.666666666599</v>
      </c>
      <c r="B873" s="1">
        <f ca="1">IFERROR(__xludf.DUMMYFUNCTION("""COMPUTED_VALUE"""),24.34)</f>
        <v>24.34</v>
      </c>
      <c r="C873" s="1">
        <f ca="1">IFERROR(__xludf.DUMMYFUNCTION("""COMPUTED_VALUE"""),24.67)</f>
        <v>24.67</v>
      </c>
      <c r="D873" s="1">
        <f ca="1">IFERROR(__xludf.DUMMYFUNCTION("""COMPUTED_VALUE"""),23.08)</f>
        <v>23.08</v>
      </c>
      <c r="E873" s="1">
        <f ca="1">IFERROR(__xludf.DUMMYFUNCTION("""COMPUTED_VALUE"""),23.5)</f>
        <v>23.5</v>
      </c>
      <c r="F873" s="1">
        <f ca="1">IFERROR(__xludf.DUMMYFUNCTION("""COMPUTED_VALUE"""),12761903)</f>
        <v>12761903</v>
      </c>
    </row>
    <row r="874" spans="1:6" x14ac:dyDescent="0.35">
      <c r="A874" s="2">
        <f ca="1">IFERROR(__xludf.DUMMYFUNCTION("""COMPUTED_VALUE"""),43271.6666666666)</f>
        <v>43271.666666666599</v>
      </c>
      <c r="B874" s="1">
        <f ca="1">IFERROR(__xludf.DUMMYFUNCTION("""COMPUTED_VALUE"""),23.87)</f>
        <v>23.87</v>
      </c>
      <c r="C874" s="1">
        <f ca="1">IFERROR(__xludf.DUMMYFUNCTION("""COMPUTED_VALUE"""),24.29)</f>
        <v>24.29</v>
      </c>
      <c r="D874" s="1">
        <f ca="1">IFERROR(__xludf.DUMMYFUNCTION("""COMPUTED_VALUE"""),23.47)</f>
        <v>23.47</v>
      </c>
      <c r="E874" s="1">
        <f ca="1">IFERROR(__xludf.DUMMYFUNCTION("""COMPUTED_VALUE"""),24.15)</f>
        <v>24.15</v>
      </c>
      <c r="F874" s="1">
        <f ca="1">IFERROR(__xludf.DUMMYFUNCTION("""COMPUTED_VALUE"""),8383656)</f>
        <v>8383656</v>
      </c>
    </row>
    <row r="875" spans="1:6" x14ac:dyDescent="0.35">
      <c r="A875" s="2">
        <f ca="1">IFERROR(__xludf.DUMMYFUNCTION("""COMPUTED_VALUE"""),43272.6666666666)</f>
        <v>43272.666666666599</v>
      </c>
      <c r="B875" s="1">
        <f ca="1">IFERROR(__xludf.DUMMYFUNCTION("""COMPUTED_VALUE"""),24.13)</f>
        <v>24.13</v>
      </c>
      <c r="C875" s="1">
        <f ca="1">IFERROR(__xludf.DUMMYFUNCTION("""COMPUTED_VALUE"""),24.41)</f>
        <v>24.41</v>
      </c>
      <c r="D875" s="1">
        <f ca="1">IFERROR(__xludf.DUMMYFUNCTION("""COMPUTED_VALUE"""),23.08)</f>
        <v>23.08</v>
      </c>
      <c r="E875" s="1">
        <f ca="1">IFERROR(__xludf.DUMMYFUNCTION("""COMPUTED_VALUE"""),23.17)</f>
        <v>23.17</v>
      </c>
      <c r="F875" s="1">
        <f ca="1">IFERROR(__xludf.DUMMYFUNCTION("""COMPUTED_VALUE"""),7967145)</f>
        <v>7967145</v>
      </c>
    </row>
    <row r="876" spans="1:6" x14ac:dyDescent="0.35">
      <c r="A876" s="2">
        <f ca="1">IFERROR(__xludf.DUMMYFUNCTION("""COMPUTED_VALUE"""),43273.6666666666)</f>
        <v>43273.666666666599</v>
      </c>
      <c r="B876" s="1">
        <f ca="1">IFERROR(__xludf.DUMMYFUNCTION("""COMPUTED_VALUE"""),23.44)</f>
        <v>23.44</v>
      </c>
      <c r="C876" s="1">
        <f ca="1">IFERROR(__xludf.DUMMYFUNCTION("""COMPUTED_VALUE"""),23.48)</f>
        <v>23.48</v>
      </c>
      <c r="D876" s="1">
        <f ca="1">IFERROR(__xludf.DUMMYFUNCTION("""COMPUTED_VALUE"""),22.13)</f>
        <v>22.13</v>
      </c>
      <c r="E876" s="1">
        <f ca="1">IFERROR(__xludf.DUMMYFUNCTION("""COMPUTED_VALUE"""),22.24)</f>
        <v>22.24</v>
      </c>
      <c r="F876" s="1">
        <f ca="1">IFERROR(__xludf.DUMMYFUNCTION("""COMPUTED_VALUE"""),10266059)</f>
        <v>10266059</v>
      </c>
    </row>
    <row r="877" spans="1:6" x14ac:dyDescent="0.35">
      <c r="A877" s="2">
        <f ca="1">IFERROR(__xludf.DUMMYFUNCTION("""COMPUTED_VALUE"""),43276.6666666666)</f>
        <v>43276.666666666599</v>
      </c>
      <c r="B877" s="1">
        <f ca="1">IFERROR(__xludf.DUMMYFUNCTION("""COMPUTED_VALUE"""),22.01)</f>
        <v>22.01</v>
      </c>
      <c r="C877" s="1">
        <f ca="1">IFERROR(__xludf.DUMMYFUNCTION("""COMPUTED_VALUE"""),22.56)</f>
        <v>22.56</v>
      </c>
      <c r="D877" s="1">
        <f ca="1">IFERROR(__xludf.DUMMYFUNCTION("""COMPUTED_VALUE"""),21.83)</f>
        <v>21.83</v>
      </c>
      <c r="E877" s="1">
        <f ca="1">IFERROR(__xludf.DUMMYFUNCTION("""COMPUTED_VALUE"""),22.2)</f>
        <v>22.2</v>
      </c>
      <c r="F877" s="1">
        <f ca="1">IFERROR(__xludf.DUMMYFUNCTION("""COMPUTED_VALUE"""),6931304)</f>
        <v>6931304</v>
      </c>
    </row>
    <row r="878" spans="1:6" x14ac:dyDescent="0.35">
      <c r="A878" s="2">
        <f ca="1">IFERROR(__xludf.DUMMYFUNCTION("""COMPUTED_VALUE"""),43277.6666666666)</f>
        <v>43277.666666666599</v>
      </c>
      <c r="B878" s="1">
        <f ca="1">IFERROR(__xludf.DUMMYFUNCTION("""COMPUTED_VALUE"""),22.4)</f>
        <v>22.4</v>
      </c>
      <c r="C878" s="1">
        <f ca="1">IFERROR(__xludf.DUMMYFUNCTION("""COMPUTED_VALUE"""),22.9)</f>
        <v>22.9</v>
      </c>
      <c r="D878" s="1">
        <f ca="1">IFERROR(__xludf.DUMMYFUNCTION("""COMPUTED_VALUE"""),21.72)</f>
        <v>21.72</v>
      </c>
      <c r="E878" s="1">
        <f ca="1">IFERROR(__xludf.DUMMYFUNCTION("""COMPUTED_VALUE"""),22.8)</f>
        <v>22.8</v>
      </c>
      <c r="F878" s="1">
        <f ca="1">IFERROR(__xludf.DUMMYFUNCTION("""COMPUTED_VALUE"""),7452487)</f>
        <v>7452487</v>
      </c>
    </row>
    <row r="879" spans="1:6" x14ac:dyDescent="0.35">
      <c r="A879" s="2">
        <f ca="1">IFERROR(__xludf.DUMMYFUNCTION("""COMPUTED_VALUE"""),43278.6666666666)</f>
        <v>43278.666666666599</v>
      </c>
      <c r="B879" s="1">
        <f ca="1">IFERROR(__xludf.DUMMYFUNCTION("""COMPUTED_VALUE"""),23)</f>
        <v>23</v>
      </c>
      <c r="C879" s="1">
        <f ca="1">IFERROR(__xludf.DUMMYFUNCTION("""COMPUTED_VALUE"""),23.39)</f>
        <v>23.39</v>
      </c>
      <c r="D879" s="1">
        <f ca="1">IFERROR(__xludf.DUMMYFUNCTION("""COMPUTED_VALUE"""),22.63)</f>
        <v>22.63</v>
      </c>
      <c r="E879" s="1">
        <f ca="1">IFERROR(__xludf.DUMMYFUNCTION("""COMPUTED_VALUE"""),22.97)</f>
        <v>22.97</v>
      </c>
      <c r="F879" s="1">
        <f ca="1">IFERROR(__xludf.DUMMYFUNCTION("""COMPUTED_VALUE"""),8333727)</f>
        <v>8333727</v>
      </c>
    </row>
    <row r="880" spans="1:6" x14ac:dyDescent="0.35">
      <c r="A880" s="2">
        <f ca="1">IFERROR(__xludf.DUMMYFUNCTION("""COMPUTED_VALUE"""),43279.6666666666)</f>
        <v>43279.666666666599</v>
      </c>
      <c r="B880" s="1">
        <f ca="1">IFERROR(__xludf.DUMMYFUNCTION("""COMPUTED_VALUE"""),23.24)</f>
        <v>23.24</v>
      </c>
      <c r="C880" s="1">
        <f ca="1">IFERROR(__xludf.DUMMYFUNCTION("""COMPUTED_VALUE"""),23.8)</f>
        <v>23.8</v>
      </c>
      <c r="D880" s="1">
        <f ca="1">IFERROR(__xludf.DUMMYFUNCTION("""COMPUTED_VALUE"""),23.07)</f>
        <v>23.07</v>
      </c>
      <c r="E880" s="1">
        <f ca="1">IFERROR(__xludf.DUMMYFUNCTION("""COMPUTED_VALUE"""),23.33)</f>
        <v>23.33</v>
      </c>
      <c r="F880" s="1">
        <f ca="1">IFERROR(__xludf.DUMMYFUNCTION("""COMPUTED_VALUE"""),8398005)</f>
        <v>8398005</v>
      </c>
    </row>
    <row r="881" spans="1:6" x14ac:dyDescent="0.35">
      <c r="A881" s="2">
        <f ca="1">IFERROR(__xludf.DUMMYFUNCTION("""COMPUTED_VALUE"""),43280.6666666666)</f>
        <v>43280.666666666599</v>
      </c>
      <c r="B881" s="1">
        <f ca="1">IFERROR(__xludf.DUMMYFUNCTION("""COMPUTED_VALUE"""),23.56)</f>
        <v>23.56</v>
      </c>
      <c r="C881" s="1">
        <f ca="1">IFERROR(__xludf.DUMMYFUNCTION("""COMPUTED_VALUE"""),23.59)</f>
        <v>23.59</v>
      </c>
      <c r="D881" s="1">
        <f ca="1">IFERROR(__xludf.DUMMYFUNCTION("""COMPUTED_VALUE"""),22.83)</f>
        <v>22.83</v>
      </c>
      <c r="E881" s="1">
        <f ca="1">IFERROR(__xludf.DUMMYFUNCTION("""COMPUTED_VALUE"""),22.86)</f>
        <v>22.86</v>
      </c>
      <c r="F881" s="1">
        <f ca="1">IFERROR(__xludf.DUMMYFUNCTION("""COMPUTED_VALUE"""),6492396)</f>
        <v>6492396</v>
      </c>
    </row>
    <row r="882" spans="1:6" x14ac:dyDescent="0.35">
      <c r="A882" s="2">
        <f ca="1">IFERROR(__xludf.DUMMYFUNCTION("""COMPUTED_VALUE"""),43283.6666666666)</f>
        <v>43283.666666666599</v>
      </c>
      <c r="B882" s="1">
        <f ca="1">IFERROR(__xludf.DUMMYFUNCTION("""COMPUTED_VALUE"""),24)</f>
        <v>24</v>
      </c>
      <c r="C882" s="1">
        <f ca="1">IFERROR(__xludf.DUMMYFUNCTION("""COMPUTED_VALUE"""),24.32)</f>
        <v>24.32</v>
      </c>
      <c r="D882" s="1">
        <f ca="1">IFERROR(__xludf.DUMMYFUNCTION("""COMPUTED_VALUE"""),21.99)</f>
        <v>21.99</v>
      </c>
      <c r="E882" s="1">
        <f ca="1">IFERROR(__xludf.DUMMYFUNCTION("""COMPUTED_VALUE"""),22.34)</f>
        <v>22.34</v>
      </c>
      <c r="F882" s="1">
        <f ca="1">IFERROR(__xludf.DUMMYFUNCTION("""COMPUTED_VALUE"""),18759765)</f>
        <v>18759765</v>
      </c>
    </row>
    <row r="883" spans="1:6" x14ac:dyDescent="0.35">
      <c r="A883" s="2">
        <f ca="1">IFERROR(__xludf.DUMMYFUNCTION("""COMPUTED_VALUE"""),43284.5416666666)</f>
        <v>43284.541666666599</v>
      </c>
      <c r="B883" s="1">
        <f ca="1">IFERROR(__xludf.DUMMYFUNCTION("""COMPUTED_VALUE"""),22.12)</f>
        <v>22.12</v>
      </c>
      <c r="C883" s="1">
        <f ca="1">IFERROR(__xludf.DUMMYFUNCTION("""COMPUTED_VALUE"""),22.17)</f>
        <v>22.17</v>
      </c>
      <c r="D883" s="1">
        <f ca="1">IFERROR(__xludf.DUMMYFUNCTION("""COMPUTED_VALUE"""),20.65)</f>
        <v>20.65</v>
      </c>
      <c r="E883" s="1">
        <f ca="1">IFERROR(__xludf.DUMMYFUNCTION("""COMPUTED_VALUE"""),20.72)</f>
        <v>20.72</v>
      </c>
      <c r="F883" s="1">
        <f ca="1">IFERROR(__xludf.DUMMYFUNCTION("""COMPUTED_VALUE"""),12282638)</f>
        <v>12282638</v>
      </c>
    </row>
    <row r="884" spans="1:6" x14ac:dyDescent="0.35">
      <c r="A884" s="2">
        <f ca="1">IFERROR(__xludf.DUMMYFUNCTION("""COMPUTED_VALUE"""),43286.6666666666)</f>
        <v>43286.666666666599</v>
      </c>
      <c r="B884" s="1">
        <f ca="1">IFERROR(__xludf.DUMMYFUNCTION("""COMPUTED_VALUE"""),20.92)</f>
        <v>20.92</v>
      </c>
      <c r="C884" s="1">
        <f ca="1">IFERROR(__xludf.DUMMYFUNCTION("""COMPUTED_VALUE"""),20.96)</f>
        <v>20.96</v>
      </c>
      <c r="D884" s="1">
        <f ca="1">IFERROR(__xludf.DUMMYFUNCTION("""COMPUTED_VALUE"""),19.75)</f>
        <v>19.75</v>
      </c>
      <c r="E884" s="1">
        <f ca="1">IFERROR(__xludf.DUMMYFUNCTION("""COMPUTED_VALUE"""),20.61)</f>
        <v>20.61</v>
      </c>
      <c r="F884" s="1">
        <f ca="1">IFERROR(__xludf.DUMMYFUNCTION("""COMPUTED_VALUE"""),17476374)</f>
        <v>17476374</v>
      </c>
    </row>
    <row r="885" spans="1:6" x14ac:dyDescent="0.35">
      <c r="A885" s="2">
        <f ca="1">IFERROR(__xludf.DUMMYFUNCTION("""COMPUTED_VALUE"""),43287.6666666666)</f>
        <v>43287.666666666599</v>
      </c>
      <c r="B885" s="1">
        <f ca="1">IFERROR(__xludf.DUMMYFUNCTION("""COMPUTED_VALUE"""),20.33)</f>
        <v>20.329999999999998</v>
      </c>
      <c r="C885" s="1">
        <f ca="1">IFERROR(__xludf.DUMMYFUNCTION("""COMPUTED_VALUE"""),20.8)</f>
        <v>20.8</v>
      </c>
      <c r="D885" s="1">
        <f ca="1">IFERROR(__xludf.DUMMYFUNCTION("""COMPUTED_VALUE"""),20.13)</f>
        <v>20.13</v>
      </c>
      <c r="E885" s="1">
        <f ca="1">IFERROR(__xludf.DUMMYFUNCTION("""COMPUTED_VALUE"""),20.59)</f>
        <v>20.59</v>
      </c>
      <c r="F885" s="1">
        <f ca="1">IFERROR(__xludf.DUMMYFUNCTION("""COMPUTED_VALUE"""),8865451)</f>
        <v>8865451</v>
      </c>
    </row>
    <row r="886" spans="1:6" x14ac:dyDescent="0.35">
      <c r="A886" s="2">
        <f ca="1">IFERROR(__xludf.DUMMYFUNCTION("""COMPUTED_VALUE"""),43290.6666666666)</f>
        <v>43290.666666666599</v>
      </c>
      <c r="B886" s="1">
        <f ca="1">IFERROR(__xludf.DUMMYFUNCTION("""COMPUTED_VALUE"""),20.8)</f>
        <v>20.8</v>
      </c>
      <c r="C886" s="1">
        <f ca="1">IFERROR(__xludf.DUMMYFUNCTION("""COMPUTED_VALUE"""),21.23)</f>
        <v>21.23</v>
      </c>
      <c r="D886" s="1">
        <f ca="1">IFERROR(__xludf.DUMMYFUNCTION("""COMPUTED_VALUE"""),20.53)</f>
        <v>20.53</v>
      </c>
      <c r="E886" s="1">
        <f ca="1">IFERROR(__xludf.DUMMYFUNCTION("""COMPUTED_VALUE"""),21.23)</f>
        <v>21.23</v>
      </c>
      <c r="F886" s="1">
        <f ca="1">IFERROR(__xludf.DUMMYFUNCTION("""COMPUTED_VALUE"""),7596753)</f>
        <v>7596753</v>
      </c>
    </row>
    <row r="887" spans="1:6" x14ac:dyDescent="0.35">
      <c r="A887" s="2">
        <f ca="1">IFERROR(__xludf.DUMMYFUNCTION("""COMPUTED_VALUE"""),43291.6666666666)</f>
        <v>43291.666666666599</v>
      </c>
      <c r="B887" s="1">
        <f ca="1">IFERROR(__xludf.DUMMYFUNCTION("""COMPUTED_VALUE"""),21.64)</f>
        <v>21.64</v>
      </c>
      <c r="C887" s="1">
        <f ca="1">IFERROR(__xludf.DUMMYFUNCTION("""COMPUTED_VALUE"""),21.85)</f>
        <v>21.85</v>
      </c>
      <c r="D887" s="1">
        <f ca="1">IFERROR(__xludf.DUMMYFUNCTION("""COMPUTED_VALUE"""),21.28)</f>
        <v>21.28</v>
      </c>
      <c r="E887" s="1">
        <f ca="1">IFERROR(__xludf.DUMMYFUNCTION("""COMPUTED_VALUE"""),21.5)</f>
        <v>21.5</v>
      </c>
      <c r="F887" s="1">
        <f ca="1">IFERROR(__xludf.DUMMYFUNCTION("""COMPUTED_VALUE"""),9471498)</f>
        <v>9471498</v>
      </c>
    </row>
    <row r="888" spans="1:6" x14ac:dyDescent="0.35">
      <c r="A888" s="2">
        <f ca="1">IFERROR(__xludf.DUMMYFUNCTION("""COMPUTED_VALUE"""),43292.6666666666)</f>
        <v>43292.666666666599</v>
      </c>
      <c r="B888" s="1">
        <f ca="1">IFERROR(__xludf.DUMMYFUNCTION("""COMPUTED_VALUE"""),21.05)</f>
        <v>21.05</v>
      </c>
      <c r="C888" s="1">
        <f ca="1">IFERROR(__xludf.DUMMYFUNCTION("""COMPUTED_VALUE"""),21.46)</f>
        <v>21.46</v>
      </c>
      <c r="D888" s="1">
        <f ca="1">IFERROR(__xludf.DUMMYFUNCTION("""COMPUTED_VALUE"""),21)</f>
        <v>21</v>
      </c>
      <c r="E888" s="1">
        <f ca="1">IFERROR(__xludf.DUMMYFUNCTION("""COMPUTED_VALUE"""),21.26)</f>
        <v>21.26</v>
      </c>
      <c r="F888" s="1">
        <f ca="1">IFERROR(__xludf.DUMMYFUNCTION("""COMPUTED_VALUE"""),4884076)</f>
        <v>4884076</v>
      </c>
    </row>
    <row r="889" spans="1:6" x14ac:dyDescent="0.35">
      <c r="A889" s="2">
        <f ca="1">IFERROR(__xludf.DUMMYFUNCTION("""COMPUTED_VALUE"""),43293.6666666666)</f>
        <v>43293.666666666599</v>
      </c>
      <c r="B889" s="1">
        <f ca="1">IFERROR(__xludf.DUMMYFUNCTION("""COMPUTED_VALUE"""),21.43)</f>
        <v>21.43</v>
      </c>
      <c r="C889" s="1">
        <f ca="1">IFERROR(__xludf.DUMMYFUNCTION("""COMPUTED_VALUE"""),21.55)</f>
        <v>21.55</v>
      </c>
      <c r="D889" s="1">
        <f ca="1">IFERROR(__xludf.DUMMYFUNCTION("""COMPUTED_VALUE"""),20.85)</f>
        <v>20.85</v>
      </c>
      <c r="E889" s="1">
        <f ca="1">IFERROR(__xludf.DUMMYFUNCTION("""COMPUTED_VALUE"""),21.11)</f>
        <v>21.11</v>
      </c>
      <c r="F889" s="1">
        <f ca="1">IFERROR(__xludf.DUMMYFUNCTION("""COMPUTED_VALUE"""),5721166)</f>
        <v>5721166</v>
      </c>
    </row>
    <row r="890" spans="1:6" x14ac:dyDescent="0.35">
      <c r="A890" s="2">
        <f ca="1">IFERROR(__xludf.DUMMYFUNCTION("""COMPUTED_VALUE"""),43294.6666666666)</f>
        <v>43294.666666666599</v>
      </c>
      <c r="B890" s="1">
        <f ca="1">IFERROR(__xludf.DUMMYFUNCTION("""COMPUTED_VALUE"""),21.04)</f>
        <v>21.04</v>
      </c>
      <c r="C890" s="1">
        <f ca="1">IFERROR(__xludf.DUMMYFUNCTION("""COMPUTED_VALUE"""),21.31)</f>
        <v>21.31</v>
      </c>
      <c r="D890" s="1">
        <f ca="1">IFERROR(__xludf.DUMMYFUNCTION("""COMPUTED_VALUE"""),20.62)</f>
        <v>20.62</v>
      </c>
      <c r="E890" s="1">
        <f ca="1">IFERROR(__xludf.DUMMYFUNCTION("""COMPUTED_VALUE"""),21.26)</f>
        <v>21.26</v>
      </c>
      <c r="F890" s="1">
        <f ca="1">IFERROR(__xludf.DUMMYFUNCTION("""COMPUTED_VALUE"""),5875770)</f>
        <v>5875770</v>
      </c>
    </row>
    <row r="891" spans="1:6" x14ac:dyDescent="0.35">
      <c r="A891" s="2">
        <f ca="1">IFERROR(__xludf.DUMMYFUNCTION("""COMPUTED_VALUE"""),43297.6666666666)</f>
        <v>43297.666666666599</v>
      </c>
      <c r="B891" s="1">
        <f ca="1">IFERROR(__xludf.DUMMYFUNCTION("""COMPUTED_VALUE"""),20.78)</f>
        <v>20.78</v>
      </c>
      <c r="C891" s="1">
        <f ca="1">IFERROR(__xludf.DUMMYFUNCTION("""COMPUTED_VALUE"""),21.01)</f>
        <v>21.01</v>
      </c>
      <c r="D891" s="1">
        <f ca="1">IFERROR(__xludf.DUMMYFUNCTION("""COMPUTED_VALUE"""),20.42)</f>
        <v>20.420000000000002</v>
      </c>
      <c r="E891" s="1">
        <f ca="1">IFERROR(__xludf.DUMMYFUNCTION("""COMPUTED_VALUE"""),20.67)</f>
        <v>20.67</v>
      </c>
      <c r="F891" s="1">
        <f ca="1">IFERROR(__xludf.DUMMYFUNCTION("""COMPUTED_VALUE"""),7818655)</f>
        <v>7818655</v>
      </c>
    </row>
    <row r="892" spans="1:6" x14ac:dyDescent="0.35">
      <c r="A892" s="2">
        <f ca="1">IFERROR(__xludf.DUMMYFUNCTION("""COMPUTED_VALUE"""),43298.6666666666)</f>
        <v>43298.666666666599</v>
      </c>
      <c r="B892" s="1">
        <f ca="1">IFERROR(__xludf.DUMMYFUNCTION("""COMPUTED_VALUE"""),20.59)</f>
        <v>20.59</v>
      </c>
      <c r="C892" s="1">
        <f ca="1">IFERROR(__xludf.DUMMYFUNCTION("""COMPUTED_VALUE"""),21.65)</f>
        <v>21.65</v>
      </c>
      <c r="D892" s="1">
        <f ca="1">IFERROR(__xludf.DUMMYFUNCTION("""COMPUTED_VALUE"""),20.57)</f>
        <v>20.57</v>
      </c>
      <c r="E892" s="1">
        <f ca="1">IFERROR(__xludf.DUMMYFUNCTION("""COMPUTED_VALUE"""),21.51)</f>
        <v>21.51</v>
      </c>
      <c r="F892" s="1">
        <f ca="1">IFERROR(__xludf.DUMMYFUNCTION("""COMPUTED_VALUE"""),6996232)</f>
        <v>6996232</v>
      </c>
    </row>
    <row r="893" spans="1:6" x14ac:dyDescent="0.35">
      <c r="A893" s="2">
        <f ca="1">IFERROR(__xludf.DUMMYFUNCTION("""COMPUTED_VALUE"""),43299.6666666666)</f>
        <v>43299.666666666599</v>
      </c>
      <c r="B893" s="1">
        <f ca="1">IFERROR(__xludf.DUMMYFUNCTION("""COMPUTED_VALUE"""),21.67)</f>
        <v>21.67</v>
      </c>
      <c r="C893" s="1">
        <f ca="1">IFERROR(__xludf.DUMMYFUNCTION("""COMPUTED_VALUE"""),21.7)</f>
        <v>21.7</v>
      </c>
      <c r="D893" s="1">
        <f ca="1">IFERROR(__xludf.DUMMYFUNCTION("""COMPUTED_VALUE"""),21.08)</f>
        <v>21.08</v>
      </c>
      <c r="E893" s="1">
        <f ca="1">IFERROR(__xludf.DUMMYFUNCTION("""COMPUTED_VALUE"""),21.59)</f>
        <v>21.59</v>
      </c>
      <c r="F893" s="1">
        <f ca="1">IFERROR(__xludf.DUMMYFUNCTION("""COMPUTED_VALUE"""),5624211)</f>
        <v>5624211</v>
      </c>
    </row>
    <row r="894" spans="1:6" x14ac:dyDescent="0.35">
      <c r="A894" s="2">
        <f ca="1">IFERROR(__xludf.DUMMYFUNCTION("""COMPUTED_VALUE"""),43300.6666666666)</f>
        <v>43300.666666666599</v>
      </c>
      <c r="B894" s="1">
        <f ca="1">IFERROR(__xludf.DUMMYFUNCTION("""COMPUTED_VALUE"""),21.09)</f>
        <v>21.09</v>
      </c>
      <c r="C894" s="1">
        <f ca="1">IFERROR(__xludf.DUMMYFUNCTION("""COMPUTED_VALUE"""),21.57)</f>
        <v>21.57</v>
      </c>
      <c r="D894" s="1">
        <f ca="1">IFERROR(__xludf.DUMMYFUNCTION("""COMPUTED_VALUE"""),20.93)</f>
        <v>20.93</v>
      </c>
      <c r="E894" s="1">
        <f ca="1">IFERROR(__xludf.DUMMYFUNCTION("""COMPUTED_VALUE"""),21.35)</f>
        <v>21.35</v>
      </c>
      <c r="F894" s="1">
        <f ca="1">IFERROR(__xludf.DUMMYFUNCTION("""COMPUTED_VALUE"""),5915345)</f>
        <v>5915345</v>
      </c>
    </row>
    <row r="895" spans="1:6" x14ac:dyDescent="0.35">
      <c r="A895" s="2">
        <f ca="1">IFERROR(__xludf.DUMMYFUNCTION("""COMPUTED_VALUE"""),43301.6666666666)</f>
        <v>43301.666666666599</v>
      </c>
      <c r="B895" s="1">
        <f ca="1">IFERROR(__xludf.DUMMYFUNCTION("""COMPUTED_VALUE"""),21.42)</f>
        <v>21.42</v>
      </c>
      <c r="C895" s="1">
        <f ca="1">IFERROR(__xludf.DUMMYFUNCTION("""COMPUTED_VALUE"""),21.55)</f>
        <v>21.55</v>
      </c>
      <c r="D895" s="1">
        <f ca="1">IFERROR(__xludf.DUMMYFUNCTION("""COMPUTED_VALUE"""),20.78)</f>
        <v>20.78</v>
      </c>
      <c r="E895" s="1">
        <f ca="1">IFERROR(__xludf.DUMMYFUNCTION("""COMPUTED_VALUE"""),20.91)</f>
        <v>20.91</v>
      </c>
      <c r="F895" s="1">
        <f ca="1">IFERROR(__xludf.DUMMYFUNCTION("""COMPUTED_VALUE"""),5166547)</f>
        <v>5166547</v>
      </c>
    </row>
    <row r="896" spans="1:6" x14ac:dyDescent="0.35">
      <c r="A896" s="2">
        <f ca="1">IFERROR(__xludf.DUMMYFUNCTION("""COMPUTED_VALUE"""),43304.6666666666)</f>
        <v>43304.666666666599</v>
      </c>
      <c r="B896" s="1">
        <f ca="1">IFERROR(__xludf.DUMMYFUNCTION("""COMPUTED_VALUE"""),20.12)</f>
        <v>20.12</v>
      </c>
      <c r="C896" s="1">
        <f ca="1">IFERROR(__xludf.DUMMYFUNCTION("""COMPUTED_VALUE"""),20.37)</f>
        <v>20.37</v>
      </c>
      <c r="D896" s="1">
        <f ca="1">IFERROR(__xludf.DUMMYFUNCTION("""COMPUTED_VALUE"""),19.52)</f>
        <v>19.52</v>
      </c>
      <c r="E896" s="1">
        <f ca="1">IFERROR(__xludf.DUMMYFUNCTION("""COMPUTED_VALUE"""),20.21)</f>
        <v>20.21</v>
      </c>
      <c r="F896" s="1">
        <f ca="1">IFERROR(__xludf.DUMMYFUNCTION("""COMPUTED_VALUE"""),10992947)</f>
        <v>10992947</v>
      </c>
    </row>
    <row r="897" spans="1:6" x14ac:dyDescent="0.35">
      <c r="A897" s="2">
        <f ca="1">IFERROR(__xludf.DUMMYFUNCTION("""COMPUTED_VALUE"""),43305.6666666666)</f>
        <v>43305.666666666599</v>
      </c>
      <c r="B897" s="1">
        <f ca="1">IFERROR(__xludf.DUMMYFUNCTION("""COMPUTED_VALUE"""),20.29)</f>
        <v>20.29</v>
      </c>
      <c r="C897" s="1">
        <f ca="1">IFERROR(__xludf.DUMMYFUNCTION("""COMPUTED_VALUE"""),20.51)</f>
        <v>20.51</v>
      </c>
      <c r="D897" s="1">
        <f ca="1">IFERROR(__xludf.DUMMYFUNCTION("""COMPUTED_VALUE"""),19.5)</f>
        <v>19.5</v>
      </c>
      <c r="E897" s="1">
        <f ca="1">IFERROR(__xludf.DUMMYFUNCTION("""COMPUTED_VALUE"""),19.83)</f>
        <v>19.829999999999998</v>
      </c>
      <c r="F897" s="1">
        <f ca="1">IFERROR(__xludf.DUMMYFUNCTION("""COMPUTED_VALUE"""),9590784)</f>
        <v>9590784</v>
      </c>
    </row>
    <row r="898" spans="1:6" x14ac:dyDescent="0.35">
      <c r="A898" s="2">
        <f ca="1">IFERROR(__xludf.DUMMYFUNCTION("""COMPUTED_VALUE"""),43306.6666666666)</f>
        <v>43306.666666666599</v>
      </c>
      <c r="B898" s="1">
        <f ca="1">IFERROR(__xludf.DUMMYFUNCTION("""COMPUTED_VALUE"""),19.78)</f>
        <v>19.78</v>
      </c>
      <c r="C898" s="1">
        <f ca="1">IFERROR(__xludf.DUMMYFUNCTION("""COMPUTED_VALUE"""),20.64)</f>
        <v>20.64</v>
      </c>
      <c r="D898" s="1">
        <f ca="1">IFERROR(__xludf.DUMMYFUNCTION("""COMPUTED_VALUE"""),19.63)</f>
        <v>19.63</v>
      </c>
      <c r="E898" s="1">
        <f ca="1">IFERROR(__xludf.DUMMYFUNCTION("""COMPUTED_VALUE"""),20.58)</f>
        <v>20.58</v>
      </c>
      <c r="F898" s="1">
        <f ca="1">IFERROR(__xludf.DUMMYFUNCTION("""COMPUTED_VALUE"""),7094180)</f>
        <v>7094180</v>
      </c>
    </row>
    <row r="899" spans="1:6" x14ac:dyDescent="0.35">
      <c r="A899" s="2">
        <f ca="1">IFERROR(__xludf.DUMMYFUNCTION("""COMPUTED_VALUE"""),43307.6666666666)</f>
        <v>43307.666666666599</v>
      </c>
      <c r="B899" s="1">
        <f ca="1">IFERROR(__xludf.DUMMYFUNCTION("""COMPUTED_VALUE"""),20.32)</f>
        <v>20.32</v>
      </c>
      <c r="C899" s="1">
        <f ca="1">IFERROR(__xludf.DUMMYFUNCTION("""COMPUTED_VALUE"""),20.71)</f>
        <v>20.71</v>
      </c>
      <c r="D899" s="1">
        <f ca="1">IFERROR(__xludf.DUMMYFUNCTION("""COMPUTED_VALUE"""),20.24)</f>
        <v>20.239999999999998</v>
      </c>
      <c r="E899" s="1">
        <f ca="1">IFERROR(__xludf.DUMMYFUNCTION("""COMPUTED_VALUE"""),20.44)</f>
        <v>20.440000000000001</v>
      </c>
      <c r="F899" s="1">
        <f ca="1">IFERROR(__xludf.DUMMYFUNCTION("""COMPUTED_VALUE"""),4630522)</f>
        <v>4630522</v>
      </c>
    </row>
    <row r="900" spans="1:6" x14ac:dyDescent="0.35">
      <c r="A900" s="2">
        <f ca="1">IFERROR(__xludf.DUMMYFUNCTION("""COMPUTED_VALUE"""),43308.6666666666)</f>
        <v>43308.666666666599</v>
      </c>
      <c r="B900" s="1">
        <f ca="1">IFERROR(__xludf.DUMMYFUNCTION("""COMPUTED_VALUE"""),20.48)</f>
        <v>20.48</v>
      </c>
      <c r="C900" s="1">
        <f ca="1">IFERROR(__xludf.DUMMYFUNCTION("""COMPUTED_VALUE"""),20.51)</f>
        <v>20.51</v>
      </c>
      <c r="D900" s="1">
        <f ca="1">IFERROR(__xludf.DUMMYFUNCTION("""COMPUTED_VALUE"""),19.69)</f>
        <v>19.690000000000001</v>
      </c>
      <c r="E900" s="1">
        <f ca="1">IFERROR(__xludf.DUMMYFUNCTION("""COMPUTED_VALUE"""),19.81)</f>
        <v>19.809999999999999</v>
      </c>
      <c r="F900" s="1">
        <f ca="1">IFERROR(__xludf.DUMMYFUNCTION("""COMPUTED_VALUE"""),5703326)</f>
        <v>5703326</v>
      </c>
    </row>
    <row r="901" spans="1:6" x14ac:dyDescent="0.35">
      <c r="A901" s="2">
        <f ca="1">IFERROR(__xludf.DUMMYFUNCTION("""COMPUTED_VALUE"""),43311.6666666666)</f>
        <v>43311.666666666599</v>
      </c>
      <c r="B901" s="1">
        <f ca="1">IFERROR(__xludf.DUMMYFUNCTION("""COMPUTED_VALUE"""),19.73)</f>
        <v>19.73</v>
      </c>
      <c r="C901" s="1">
        <f ca="1">IFERROR(__xludf.DUMMYFUNCTION("""COMPUTED_VALUE"""),19.74)</f>
        <v>19.739999999999998</v>
      </c>
      <c r="D901" s="1">
        <f ca="1">IFERROR(__xludf.DUMMYFUNCTION("""COMPUTED_VALUE"""),19.08)</f>
        <v>19.079999999999998</v>
      </c>
      <c r="E901" s="1">
        <f ca="1">IFERROR(__xludf.DUMMYFUNCTION("""COMPUTED_VALUE"""),19.34)</f>
        <v>19.34</v>
      </c>
      <c r="F901" s="1">
        <f ca="1">IFERROR(__xludf.DUMMYFUNCTION("""COMPUTED_VALUE"""),6814072)</f>
        <v>6814072</v>
      </c>
    </row>
    <row r="902" spans="1:6" x14ac:dyDescent="0.35">
      <c r="A902" s="2">
        <f ca="1">IFERROR(__xludf.DUMMYFUNCTION("""COMPUTED_VALUE"""),43312.6666666666)</f>
        <v>43312.666666666599</v>
      </c>
      <c r="B902" s="1">
        <f ca="1">IFERROR(__xludf.DUMMYFUNCTION("""COMPUTED_VALUE"""),19.48)</f>
        <v>19.48</v>
      </c>
      <c r="C902" s="1">
        <f ca="1">IFERROR(__xludf.DUMMYFUNCTION("""COMPUTED_VALUE"""),19.89)</f>
        <v>19.89</v>
      </c>
      <c r="D902" s="1">
        <f ca="1">IFERROR(__xludf.DUMMYFUNCTION("""COMPUTED_VALUE"""),19.27)</f>
        <v>19.27</v>
      </c>
      <c r="E902" s="1">
        <f ca="1">IFERROR(__xludf.DUMMYFUNCTION("""COMPUTED_VALUE"""),19.88)</f>
        <v>19.88</v>
      </c>
      <c r="F902" s="1">
        <f ca="1">IFERROR(__xludf.DUMMYFUNCTION("""COMPUTED_VALUE"""),5076916)</f>
        <v>5076916</v>
      </c>
    </row>
    <row r="903" spans="1:6" x14ac:dyDescent="0.35">
      <c r="A903" s="2">
        <f ca="1">IFERROR(__xludf.DUMMYFUNCTION("""COMPUTED_VALUE"""),43313.6666666666)</f>
        <v>43313.666666666599</v>
      </c>
      <c r="B903" s="1">
        <f ca="1">IFERROR(__xludf.DUMMYFUNCTION("""COMPUTED_VALUE"""),19.87)</f>
        <v>19.87</v>
      </c>
      <c r="C903" s="1">
        <f ca="1">IFERROR(__xludf.DUMMYFUNCTION("""COMPUTED_VALUE"""),20.2)</f>
        <v>20.2</v>
      </c>
      <c r="D903" s="1">
        <f ca="1">IFERROR(__xludf.DUMMYFUNCTION("""COMPUTED_VALUE"""),19.53)</f>
        <v>19.53</v>
      </c>
      <c r="E903" s="1">
        <f ca="1">IFERROR(__xludf.DUMMYFUNCTION("""COMPUTED_VALUE"""),20.06)</f>
        <v>20.059999999999999</v>
      </c>
      <c r="F903" s="1">
        <f ca="1">IFERROR(__xludf.DUMMYFUNCTION("""COMPUTED_VALUE"""),10129430)</f>
        <v>10129430</v>
      </c>
    </row>
    <row r="904" spans="1:6" x14ac:dyDescent="0.35">
      <c r="A904" s="2">
        <f ca="1">IFERROR(__xludf.DUMMYFUNCTION("""COMPUTED_VALUE"""),43314.6666666666)</f>
        <v>43314.666666666599</v>
      </c>
      <c r="B904" s="1">
        <f ca="1">IFERROR(__xludf.DUMMYFUNCTION("""COMPUTED_VALUE"""),21.9)</f>
        <v>21.9</v>
      </c>
      <c r="C904" s="1">
        <f ca="1">IFERROR(__xludf.DUMMYFUNCTION("""COMPUTED_VALUE"""),23.33)</f>
        <v>23.33</v>
      </c>
      <c r="D904" s="1">
        <f ca="1">IFERROR(__xludf.DUMMYFUNCTION("""COMPUTED_VALUE"""),21.54)</f>
        <v>21.54</v>
      </c>
      <c r="E904" s="1">
        <f ca="1">IFERROR(__xludf.DUMMYFUNCTION("""COMPUTED_VALUE"""),23.3)</f>
        <v>23.3</v>
      </c>
      <c r="F904" s="1">
        <f ca="1">IFERROR(__xludf.DUMMYFUNCTION("""COMPUTED_VALUE"""),23214962)</f>
        <v>23214962</v>
      </c>
    </row>
    <row r="905" spans="1:6" x14ac:dyDescent="0.35">
      <c r="A905" s="2">
        <f ca="1">IFERROR(__xludf.DUMMYFUNCTION("""COMPUTED_VALUE"""),43315.6666666666)</f>
        <v>43315.666666666599</v>
      </c>
      <c r="B905" s="1">
        <f ca="1">IFERROR(__xludf.DUMMYFUNCTION("""COMPUTED_VALUE"""),23.19)</f>
        <v>23.19</v>
      </c>
      <c r="C905" s="1">
        <f ca="1">IFERROR(__xludf.DUMMYFUNCTION("""COMPUTED_VALUE"""),23.67)</f>
        <v>23.67</v>
      </c>
      <c r="D905" s="1">
        <f ca="1">IFERROR(__xludf.DUMMYFUNCTION("""COMPUTED_VALUE"""),22.84)</f>
        <v>22.84</v>
      </c>
      <c r="E905" s="1">
        <f ca="1">IFERROR(__xludf.DUMMYFUNCTION("""COMPUTED_VALUE"""),23.21)</f>
        <v>23.21</v>
      </c>
      <c r="F905" s="1">
        <f ca="1">IFERROR(__xludf.DUMMYFUNCTION("""COMPUTED_VALUE"""),13656486)</f>
        <v>13656486</v>
      </c>
    </row>
    <row r="906" spans="1:6" x14ac:dyDescent="0.35">
      <c r="A906" s="2">
        <f ca="1">IFERROR(__xludf.DUMMYFUNCTION("""COMPUTED_VALUE"""),43318.6666666666)</f>
        <v>43318.666666666599</v>
      </c>
      <c r="B906" s="1">
        <f ca="1">IFERROR(__xludf.DUMMYFUNCTION("""COMPUTED_VALUE"""),23.03)</f>
        <v>23.03</v>
      </c>
      <c r="C906" s="1">
        <f ca="1">IFERROR(__xludf.DUMMYFUNCTION("""COMPUTED_VALUE"""),23.67)</f>
        <v>23.67</v>
      </c>
      <c r="D906" s="1">
        <f ca="1">IFERROR(__xludf.DUMMYFUNCTION("""COMPUTED_VALUE"""),22.79)</f>
        <v>22.79</v>
      </c>
      <c r="E906" s="1">
        <f ca="1">IFERROR(__xludf.DUMMYFUNCTION("""COMPUTED_VALUE"""),22.8)</f>
        <v>22.8</v>
      </c>
      <c r="F906" s="1">
        <f ca="1">IFERROR(__xludf.DUMMYFUNCTION("""COMPUTED_VALUE"""),8564331)</f>
        <v>8564331</v>
      </c>
    </row>
    <row r="907" spans="1:6" x14ac:dyDescent="0.35">
      <c r="A907" s="2">
        <f ca="1">IFERROR(__xludf.DUMMYFUNCTION("""COMPUTED_VALUE"""),43319.6666666666)</f>
        <v>43319.666666666599</v>
      </c>
      <c r="B907" s="1">
        <f ca="1">IFERROR(__xludf.DUMMYFUNCTION("""COMPUTED_VALUE"""),22.92)</f>
        <v>22.92</v>
      </c>
      <c r="C907" s="1">
        <f ca="1">IFERROR(__xludf.DUMMYFUNCTION("""COMPUTED_VALUE"""),25.83)</f>
        <v>25.83</v>
      </c>
      <c r="D907" s="1">
        <f ca="1">IFERROR(__xludf.DUMMYFUNCTION("""COMPUTED_VALUE"""),22.61)</f>
        <v>22.61</v>
      </c>
      <c r="E907" s="1">
        <f ca="1">IFERROR(__xludf.DUMMYFUNCTION("""COMPUTED_VALUE"""),25.3)</f>
        <v>25.3</v>
      </c>
      <c r="F907" s="1">
        <f ca="1">IFERROR(__xludf.DUMMYFUNCTION("""COMPUTED_VALUE"""),30875768)</f>
        <v>30875768</v>
      </c>
    </row>
    <row r="908" spans="1:6" x14ac:dyDescent="0.35">
      <c r="A908" s="2">
        <f ca="1">IFERROR(__xludf.DUMMYFUNCTION("""COMPUTED_VALUE"""),43320.6666666666)</f>
        <v>43320.666666666599</v>
      </c>
      <c r="B908" s="1">
        <f ca="1">IFERROR(__xludf.DUMMYFUNCTION("""COMPUTED_VALUE"""),24.61)</f>
        <v>24.61</v>
      </c>
      <c r="C908" s="1">
        <f ca="1">IFERROR(__xludf.DUMMYFUNCTION("""COMPUTED_VALUE"""),25.51)</f>
        <v>25.51</v>
      </c>
      <c r="D908" s="1">
        <f ca="1">IFERROR(__xludf.DUMMYFUNCTION("""COMPUTED_VALUE"""),24.47)</f>
        <v>24.47</v>
      </c>
      <c r="E908" s="1">
        <f ca="1">IFERROR(__xludf.DUMMYFUNCTION("""COMPUTED_VALUE"""),24.69)</f>
        <v>24.69</v>
      </c>
      <c r="F908" s="1">
        <f ca="1">IFERROR(__xludf.DUMMYFUNCTION("""COMPUTED_VALUE"""),24571163)</f>
        <v>24571163</v>
      </c>
    </row>
    <row r="909" spans="1:6" x14ac:dyDescent="0.35">
      <c r="A909" s="2">
        <f ca="1">IFERROR(__xludf.DUMMYFUNCTION("""COMPUTED_VALUE"""),43321.6666666666)</f>
        <v>43321.666666666599</v>
      </c>
      <c r="B909" s="1">
        <f ca="1">IFERROR(__xludf.DUMMYFUNCTION("""COMPUTED_VALUE"""),24.37)</f>
        <v>24.37</v>
      </c>
      <c r="C909" s="1">
        <f ca="1">IFERROR(__xludf.DUMMYFUNCTION("""COMPUTED_VALUE"""),24.47)</f>
        <v>24.47</v>
      </c>
      <c r="D909" s="1">
        <f ca="1">IFERROR(__xludf.DUMMYFUNCTION("""COMPUTED_VALUE"""),23.05)</f>
        <v>23.05</v>
      </c>
      <c r="E909" s="1">
        <f ca="1">IFERROR(__xludf.DUMMYFUNCTION("""COMPUTED_VALUE"""),23.5)</f>
        <v>23.5</v>
      </c>
      <c r="F909" s="1">
        <f ca="1">IFERROR(__xludf.DUMMYFUNCTION("""COMPUTED_VALUE"""),17183811)</f>
        <v>17183811</v>
      </c>
    </row>
    <row r="910" spans="1:6" x14ac:dyDescent="0.35">
      <c r="A910" s="2">
        <f ca="1">IFERROR(__xludf.DUMMYFUNCTION("""COMPUTED_VALUE"""),43322.6666666666)</f>
        <v>43322.666666666599</v>
      </c>
      <c r="B910" s="1">
        <f ca="1">IFERROR(__xludf.DUMMYFUNCTION("""COMPUTED_VALUE"""),23.6)</f>
        <v>23.6</v>
      </c>
      <c r="C910" s="1">
        <f ca="1">IFERROR(__xludf.DUMMYFUNCTION("""COMPUTED_VALUE"""),24)</f>
        <v>24</v>
      </c>
      <c r="D910" s="1">
        <f ca="1">IFERROR(__xludf.DUMMYFUNCTION("""COMPUTED_VALUE"""),23.07)</f>
        <v>23.07</v>
      </c>
      <c r="E910" s="1">
        <f ca="1">IFERROR(__xludf.DUMMYFUNCTION("""COMPUTED_VALUE"""),23.7)</f>
        <v>23.7</v>
      </c>
      <c r="F910" s="1">
        <f ca="1">IFERROR(__xludf.DUMMYFUNCTION("""COMPUTED_VALUE"""),11552044)</f>
        <v>11552044</v>
      </c>
    </row>
    <row r="911" spans="1:6" x14ac:dyDescent="0.35">
      <c r="A911" s="2">
        <f ca="1">IFERROR(__xludf.DUMMYFUNCTION("""COMPUTED_VALUE"""),43325.6666666666)</f>
        <v>43325.666666666599</v>
      </c>
      <c r="B911" s="1">
        <f ca="1">IFERROR(__xludf.DUMMYFUNCTION("""COMPUTED_VALUE"""),24.08)</f>
        <v>24.08</v>
      </c>
      <c r="C911" s="1">
        <f ca="1">IFERROR(__xludf.DUMMYFUNCTION("""COMPUTED_VALUE"""),24.21)</f>
        <v>24.21</v>
      </c>
      <c r="D911" s="1">
        <f ca="1">IFERROR(__xludf.DUMMYFUNCTION("""COMPUTED_VALUE"""),23.27)</f>
        <v>23.27</v>
      </c>
      <c r="E911" s="1">
        <f ca="1">IFERROR(__xludf.DUMMYFUNCTION("""COMPUTED_VALUE"""),23.76)</f>
        <v>23.76</v>
      </c>
      <c r="F911" s="1">
        <f ca="1">IFERROR(__xludf.DUMMYFUNCTION("""COMPUTED_VALUE"""),10463881)</f>
        <v>10463881</v>
      </c>
    </row>
    <row r="912" spans="1:6" x14ac:dyDescent="0.35">
      <c r="A912" s="2">
        <f ca="1">IFERROR(__xludf.DUMMYFUNCTION("""COMPUTED_VALUE"""),43326.6666666666)</f>
        <v>43326.666666666599</v>
      </c>
      <c r="B912" s="1">
        <f ca="1">IFERROR(__xludf.DUMMYFUNCTION("""COMPUTED_VALUE"""),23.9)</f>
        <v>23.9</v>
      </c>
      <c r="C912" s="1">
        <f ca="1">IFERROR(__xludf.DUMMYFUNCTION("""COMPUTED_VALUE"""),23.95)</f>
        <v>23.95</v>
      </c>
      <c r="D912" s="1">
        <f ca="1">IFERROR(__xludf.DUMMYFUNCTION("""COMPUTED_VALUE"""),23.14)</f>
        <v>23.14</v>
      </c>
      <c r="E912" s="1">
        <f ca="1">IFERROR(__xludf.DUMMYFUNCTION("""COMPUTED_VALUE"""),23.18)</f>
        <v>23.18</v>
      </c>
      <c r="F912" s="1">
        <f ca="1">IFERROR(__xludf.DUMMYFUNCTION("""COMPUTED_VALUE"""),6986427)</f>
        <v>6986427</v>
      </c>
    </row>
    <row r="913" spans="1:6" x14ac:dyDescent="0.35">
      <c r="A913" s="2">
        <f ca="1">IFERROR(__xludf.DUMMYFUNCTION("""COMPUTED_VALUE"""),43327.6666666666)</f>
        <v>43327.666666666599</v>
      </c>
      <c r="B913" s="1">
        <f ca="1">IFERROR(__xludf.DUMMYFUNCTION("""COMPUTED_VALUE"""),22.79)</f>
        <v>22.79</v>
      </c>
      <c r="C913" s="1">
        <f ca="1">IFERROR(__xludf.DUMMYFUNCTION("""COMPUTED_VALUE"""),22.97)</f>
        <v>22.97</v>
      </c>
      <c r="D913" s="1">
        <f ca="1">IFERROR(__xludf.DUMMYFUNCTION("""COMPUTED_VALUE"""),22.14)</f>
        <v>22.14</v>
      </c>
      <c r="E913" s="1">
        <f ca="1">IFERROR(__xludf.DUMMYFUNCTION("""COMPUTED_VALUE"""),22.58)</f>
        <v>22.58</v>
      </c>
      <c r="F913" s="1">
        <f ca="1">IFERROR(__xludf.DUMMYFUNCTION("""COMPUTED_VALUE"""),9101258)</f>
        <v>9101258</v>
      </c>
    </row>
    <row r="914" spans="1:6" x14ac:dyDescent="0.35">
      <c r="A914" s="2">
        <f ca="1">IFERROR(__xludf.DUMMYFUNCTION("""COMPUTED_VALUE"""),43328.6666666666)</f>
        <v>43328.666666666599</v>
      </c>
      <c r="B914" s="1">
        <f ca="1">IFERROR(__xludf.DUMMYFUNCTION("""COMPUTED_VALUE"""),22.66)</f>
        <v>22.66</v>
      </c>
      <c r="C914" s="1">
        <f ca="1">IFERROR(__xludf.DUMMYFUNCTION("""COMPUTED_VALUE"""),22.82)</f>
        <v>22.82</v>
      </c>
      <c r="D914" s="1">
        <f ca="1">IFERROR(__xludf.DUMMYFUNCTION("""COMPUTED_VALUE"""),22.25)</f>
        <v>22.25</v>
      </c>
      <c r="E914" s="1">
        <f ca="1">IFERROR(__xludf.DUMMYFUNCTION("""COMPUTED_VALUE"""),22.36)</f>
        <v>22.36</v>
      </c>
      <c r="F914" s="1">
        <f ca="1">IFERROR(__xludf.DUMMYFUNCTION("""COMPUTED_VALUE"""),6064033)</f>
        <v>6064033</v>
      </c>
    </row>
    <row r="915" spans="1:6" x14ac:dyDescent="0.35">
      <c r="A915" s="2">
        <f ca="1">IFERROR(__xludf.DUMMYFUNCTION("""COMPUTED_VALUE"""),43329.6666666666)</f>
        <v>43329.666666666599</v>
      </c>
      <c r="B915" s="1">
        <f ca="1">IFERROR(__xludf.DUMMYFUNCTION("""COMPUTED_VALUE"""),21.57)</f>
        <v>21.57</v>
      </c>
      <c r="C915" s="1">
        <f ca="1">IFERROR(__xludf.DUMMYFUNCTION("""COMPUTED_VALUE"""),21.78)</f>
        <v>21.78</v>
      </c>
      <c r="D915" s="1">
        <f ca="1">IFERROR(__xludf.DUMMYFUNCTION("""COMPUTED_VALUE"""),20.24)</f>
        <v>20.239999999999998</v>
      </c>
      <c r="E915" s="1">
        <f ca="1">IFERROR(__xludf.DUMMYFUNCTION("""COMPUTED_VALUE"""),20.37)</f>
        <v>20.37</v>
      </c>
      <c r="F915" s="1">
        <f ca="1">IFERROR(__xludf.DUMMYFUNCTION("""COMPUTED_VALUE"""),18958612)</f>
        <v>18958612</v>
      </c>
    </row>
    <row r="916" spans="1:6" x14ac:dyDescent="0.35">
      <c r="A916" s="2">
        <f ca="1">IFERROR(__xludf.DUMMYFUNCTION("""COMPUTED_VALUE"""),43332.6666666666)</f>
        <v>43332.666666666599</v>
      </c>
      <c r="B916" s="1">
        <f ca="1">IFERROR(__xludf.DUMMYFUNCTION("""COMPUTED_VALUE"""),19.45)</f>
        <v>19.45</v>
      </c>
      <c r="C916" s="1">
        <f ca="1">IFERROR(__xludf.DUMMYFUNCTION("""COMPUTED_VALUE"""),20.57)</f>
        <v>20.57</v>
      </c>
      <c r="D916" s="1">
        <f ca="1">IFERROR(__xludf.DUMMYFUNCTION("""COMPUTED_VALUE"""),19.21)</f>
        <v>19.21</v>
      </c>
      <c r="E916" s="1">
        <f ca="1">IFERROR(__xludf.DUMMYFUNCTION("""COMPUTED_VALUE"""),20.56)</f>
        <v>20.56</v>
      </c>
      <c r="F916" s="1">
        <f ca="1">IFERROR(__xludf.DUMMYFUNCTION("""COMPUTED_VALUE"""),17402335)</f>
        <v>17402335</v>
      </c>
    </row>
    <row r="917" spans="1:6" x14ac:dyDescent="0.35">
      <c r="A917" s="2">
        <f ca="1">IFERROR(__xludf.DUMMYFUNCTION("""COMPUTED_VALUE"""),43333.6666666666)</f>
        <v>43333.666666666599</v>
      </c>
      <c r="B917" s="1">
        <f ca="1">IFERROR(__xludf.DUMMYFUNCTION("""COMPUTED_VALUE"""),20.71)</f>
        <v>20.71</v>
      </c>
      <c r="C917" s="1">
        <f ca="1">IFERROR(__xludf.DUMMYFUNCTION("""COMPUTED_VALUE"""),21.65)</f>
        <v>21.65</v>
      </c>
      <c r="D917" s="1">
        <f ca="1">IFERROR(__xludf.DUMMYFUNCTION("""COMPUTED_VALUE"""),20.6)</f>
        <v>20.6</v>
      </c>
      <c r="E917" s="1">
        <f ca="1">IFERROR(__xludf.DUMMYFUNCTION("""COMPUTED_VALUE"""),21.46)</f>
        <v>21.46</v>
      </c>
      <c r="F917" s="1">
        <f ca="1">IFERROR(__xludf.DUMMYFUNCTION("""COMPUTED_VALUE"""),13172230)</f>
        <v>13172230</v>
      </c>
    </row>
    <row r="918" spans="1:6" x14ac:dyDescent="0.35">
      <c r="A918" s="2">
        <f ca="1">IFERROR(__xludf.DUMMYFUNCTION("""COMPUTED_VALUE"""),43334.6666666666)</f>
        <v>43334.666666666599</v>
      </c>
      <c r="B918" s="1">
        <f ca="1">IFERROR(__xludf.DUMMYFUNCTION("""COMPUTED_VALUE"""),21.39)</f>
        <v>21.39</v>
      </c>
      <c r="C918" s="1">
        <f ca="1">IFERROR(__xludf.DUMMYFUNCTION("""COMPUTED_VALUE"""),21.59)</f>
        <v>21.59</v>
      </c>
      <c r="D918" s="1">
        <f ca="1">IFERROR(__xludf.DUMMYFUNCTION("""COMPUTED_VALUE"""),20.98)</f>
        <v>20.98</v>
      </c>
      <c r="E918" s="1">
        <f ca="1">IFERROR(__xludf.DUMMYFUNCTION("""COMPUTED_VALUE"""),21.44)</f>
        <v>21.44</v>
      </c>
      <c r="F918" s="1">
        <f ca="1">IFERROR(__xludf.DUMMYFUNCTION("""COMPUTED_VALUE"""),5945955)</f>
        <v>5945955</v>
      </c>
    </row>
    <row r="919" spans="1:6" x14ac:dyDescent="0.35">
      <c r="A919" s="2">
        <f ca="1">IFERROR(__xludf.DUMMYFUNCTION("""COMPUTED_VALUE"""),43335.6666666666)</f>
        <v>43335.666666666599</v>
      </c>
      <c r="B919" s="1">
        <f ca="1">IFERROR(__xludf.DUMMYFUNCTION("""COMPUTED_VALUE"""),21.28)</f>
        <v>21.28</v>
      </c>
      <c r="C919" s="1">
        <f ca="1">IFERROR(__xludf.DUMMYFUNCTION("""COMPUTED_VALUE"""),21.82)</f>
        <v>21.82</v>
      </c>
      <c r="D919" s="1">
        <f ca="1">IFERROR(__xludf.DUMMYFUNCTION("""COMPUTED_VALUE"""),21.21)</f>
        <v>21.21</v>
      </c>
      <c r="E919" s="1">
        <f ca="1">IFERROR(__xludf.DUMMYFUNCTION("""COMPUTED_VALUE"""),21.34)</f>
        <v>21.34</v>
      </c>
      <c r="F919" s="1">
        <f ca="1">IFERROR(__xludf.DUMMYFUNCTION("""COMPUTED_VALUE"""),5147286)</f>
        <v>5147286</v>
      </c>
    </row>
    <row r="920" spans="1:6" x14ac:dyDescent="0.35">
      <c r="A920" s="2">
        <f ca="1">IFERROR(__xludf.DUMMYFUNCTION("""COMPUTED_VALUE"""),43336.6666666666)</f>
        <v>43336.666666666599</v>
      </c>
      <c r="B920" s="1">
        <f ca="1">IFERROR(__xludf.DUMMYFUNCTION("""COMPUTED_VALUE"""),21.38)</f>
        <v>21.38</v>
      </c>
      <c r="C920" s="1">
        <f ca="1">IFERROR(__xludf.DUMMYFUNCTION("""COMPUTED_VALUE"""),21.59)</f>
        <v>21.59</v>
      </c>
      <c r="D920" s="1">
        <f ca="1">IFERROR(__xludf.DUMMYFUNCTION("""COMPUTED_VALUE"""),21.29)</f>
        <v>21.29</v>
      </c>
      <c r="E920" s="1">
        <f ca="1">IFERROR(__xludf.DUMMYFUNCTION("""COMPUTED_VALUE"""),21.52)</f>
        <v>21.52</v>
      </c>
      <c r="F920" s="1">
        <f ca="1">IFERROR(__xludf.DUMMYFUNCTION("""COMPUTED_VALUE"""),3602564)</f>
        <v>3602564</v>
      </c>
    </row>
    <row r="921" spans="1:6" x14ac:dyDescent="0.35">
      <c r="A921" s="2">
        <f ca="1">IFERROR(__xludf.DUMMYFUNCTION("""COMPUTED_VALUE"""),43339.6666666666)</f>
        <v>43339.666666666599</v>
      </c>
      <c r="B921" s="1">
        <f ca="1">IFERROR(__xludf.DUMMYFUNCTION("""COMPUTED_VALUE"""),21.2)</f>
        <v>21.2</v>
      </c>
      <c r="C921" s="1">
        <f ca="1">IFERROR(__xludf.DUMMYFUNCTION("""COMPUTED_VALUE"""),21.5)</f>
        <v>21.5</v>
      </c>
      <c r="D921" s="1">
        <f ca="1">IFERROR(__xludf.DUMMYFUNCTION("""COMPUTED_VALUE"""),20.59)</f>
        <v>20.59</v>
      </c>
      <c r="E921" s="1">
        <f ca="1">IFERROR(__xludf.DUMMYFUNCTION("""COMPUTED_VALUE"""),21.28)</f>
        <v>21.28</v>
      </c>
      <c r="F921" s="1">
        <f ca="1">IFERROR(__xludf.DUMMYFUNCTION("""COMPUTED_VALUE"""),13079288)</f>
        <v>13079288</v>
      </c>
    </row>
    <row r="922" spans="1:6" x14ac:dyDescent="0.35">
      <c r="A922" s="2">
        <f ca="1">IFERROR(__xludf.DUMMYFUNCTION("""COMPUTED_VALUE"""),43340.6666666666)</f>
        <v>43340.666666666599</v>
      </c>
      <c r="B922" s="1">
        <f ca="1">IFERROR(__xludf.DUMMYFUNCTION("""COMPUTED_VALUE"""),21.23)</f>
        <v>21.23</v>
      </c>
      <c r="C922" s="1">
        <f ca="1">IFERROR(__xludf.DUMMYFUNCTION("""COMPUTED_VALUE"""),21.26)</f>
        <v>21.26</v>
      </c>
      <c r="D922" s="1">
        <f ca="1">IFERROR(__xludf.DUMMYFUNCTION("""COMPUTED_VALUE"""),20.75)</f>
        <v>20.75</v>
      </c>
      <c r="E922" s="1">
        <f ca="1">IFERROR(__xludf.DUMMYFUNCTION("""COMPUTED_VALUE"""),20.79)</f>
        <v>20.79</v>
      </c>
      <c r="F922" s="1">
        <f ca="1">IFERROR(__xludf.DUMMYFUNCTION("""COMPUTED_VALUE"""),7649091)</f>
        <v>7649091</v>
      </c>
    </row>
    <row r="923" spans="1:6" x14ac:dyDescent="0.35">
      <c r="A923" s="2">
        <f ca="1">IFERROR(__xludf.DUMMYFUNCTION("""COMPUTED_VALUE"""),43341.6666666666)</f>
        <v>43341.666666666599</v>
      </c>
      <c r="B923" s="1">
        <f ca="1">IFERROR(__xludf.DUMMYFUNCTION("""COMPUTED_VALUE"""),20.68)</f>
        <v>20.68</v>
      </c>
      <c r="C923" s="1">
        <f ca="1">IFERROR(__xludf.DUMMYFUNCTION("""COMPUTED_VALUE"""),20.79)</f>
        <v>20.79</v>
      </c>
      <c r="D923" s="1">
        <f ca="1">IFERROR(__xludf.DUMMYFUNCTION("""COMPUTED_VALUE"""),20.25)</f>
        <v>20.25</v>
      </c>
      <c r="E923" s="1">
        <f ca="1">IFERROR(__xludf.DUMMYFUNCTION("""COMPUTED_VALUE"""),20.33)</f>
        <v>20.329999999999998</v>
      </c>
      <c r="F923" s="1">
        <f ca="1">IFERROR(__xludf.DUMMYFUNCTION("""COMPUTED_VALUE"""),7447392)</f>
        <v>7447392</v>
      </c>
    </row>
    <row r="924" spans="1:6" x14ac:dyDescent="0.35">
      <c r="A924" s="2">
        <f ca="1">IFERROR(__xludf.DUMMYFUNCTION("""COMPUTED_VALUE"""),43342.6666666666)</f>
        <v>43342.666666666599</v>
      </c>
      <c r="B924" s="1">
        <f ca="1">IFERROR(__xludf.DUMMYFUNCTION("""COMPUTED_VALUE"""),20.15)</f>
        <v>20.149999999999999</v>
      </c>
      <c r="C924" s="1">
        <f ca="1">IFERROR(__xludf.DUMMYFUNCTION("""COMPUTED_VALUE"""),20.31)</f>
        <v>20.309999999999999</v>
      </c>
      <c r="D924" s="1">
        <f ca="1">IFERROR(__xludf.DUMMYFUNCTION("""COMPUTED_VALUE"""),19.85)</f>
        <v>19.850000000000001</v>
      </c>
      <c r="E924" s="1">
        <f ca="1">IFERROR(__xludf.DUMMYFUNCTION("""COMPUTED_VALUE"""),20.21)</f>
        <v>20.21</v>
      </c>
      <c r="F924" s="1">
        <f ca="1">IFERROR(__xludf.DUMMYFUNCTION("""COMPUTED_VALUE"""),7216706)</f>
        <v>7216706</v>
      </c>
    </row>
    <row r="925" spans="1:6" x14ac:dyDescent="0.35">
      <c r="A925" s="2">
        <f ca="1">IFERROR(__xludf.DUMMYFUNCTION("""COMPUTED_VALUE"""),43343.6666666666)</f>
        <v>43343.666666666599</v>
      </c>
      <c r="B925" s="1">
        <f ca="1">IFERROR(__xludf.DUMMYFUNCTION("""COMPUTED_VALUE"""),20.13)</f>
        <v>20.13</v>
      </c>
      <c r="C925" s="1">
        <f ca="1">IFERROR(__xludf.DUMMYFUNCTION("""COMPUTED_VALUE"""),20.35)</f>
        <v>20.350000000000001</v>
      </c>
      <c r="D925" s="1">
        <f ca="1">IFERROR(__xludf.DUMMYFUNCTION("""COMPUTED_VALUE"""),19.91)</f>
        <v>19.91</v>
      </c>
      <c r="E925" s="1">
        <f ca="1">IFERROR(__xludf.DUMMYFUNCTION("""COMPUTED_VALUE"""),20.11)</f>
        <v>20.11</v>
      </c>
      <c r="F925" s="1">
        <f ca="1">IFERROR(__xludf.DUMMYFUNCTION("""COMPUTED_VALUE"""),5375104)</f>
        <v>5375104</v>
      </c>
    </row>
    <row r="926" spans="1:6" x14ac:dyDescent="0.35">
      <c r="A926" s="2">
        <f ca="1">IFERROR(__xludf.DUMMYFUNCTION("""COMPUTED_VALUE"""),43347.6666666666)</f>
        <v>43347.666666666599</v>
      </c>
      <c r="B926" s="1">
        <f ca="1">IFERROR(__xludf.DUMMYFUNCTION("""COMPUTED_VALUE"""),19.8)</f>
        <v>19.8</v>
      </c>
      <c r="C926" s="1">
        <f ca="1">IFERROR(__xludf.DUMMYFUNCTION("""COMPUTED_VALUE"""),19.88)</f>
        <v>19.88</v>
      </c>
      <c r="D926" s="1">
        <f ca="1">IFERROR(__xludf.DUMMYFUNCTION("""COMPUTED_VALUE"""),19.2)</f>
        <v>19.2</v>
      </c>
      <c r="E926" s="1">
        <f ca="1">IFERROR(__xludf.DUMMYFUNCTION("""COMPUTED_VALUE"""),19.26)</f>
        <v>19.260000000000002</v>
      </c>
      <c r="F926" s="1">
        <f ca="1">IFERROR(__xludf.DUMMYFUNCTION("""COMPUTED_VALUE"""),8350469)</f>
        <v>8350469</v>
      </c>
    </row>
    <row r="927" spans="1:6" x14ac:dyDescent="0.35">
      <c r="A927" s="2">
        <f ca="1">IFERROR(__xludf.DUMMYFUNCTION("""COMPUTED_VALUE"""),43348.6666666666)</f>
        <v>43348.666666666599</v>
      </c>
      <c r="B927" s="1">
        <f ca="1">IFERROR(__xludf.DUMMYFUNCTION("""COMPUTED_VALUE"""),19)</f>
        <v>19</v>
      </c>
      <c r="C927" s="1">
        <f ca="1">IFERROR(__xludf.DUMMYFUNCTION("""COMPUTED_VALUE"""),19.12)</f>
        <v>19.12</v>
      </c>
      <c r="D927" s="1">
        <f ca="1">IFERROR(__xludf.DUMMYFUNCTION("""COMPUTED_VALUE"""),18.48)</f>
        <v>18.48</v>
      </c>
      <c r="E927" s="1">
        <f ca="1">IFERROR(__xludf.DUMMYFUNCTION("""COMPUTED_VALUE"""),18.72)</f>
        <v>18.72</v>
      </c>
      <c r="F927" s="1">
        <f ca="1">IFERROR(__xludf.DUMMYFUNCTION("""COMPUTED_VALUE"""),7720821)</f>
        <v>7720821</v>
      </c>
    </row>
    <row r="928" spans="1:6" x14ac:dyDescent="0.35">
      <c r="A928" s="2">
        <f ca="1">IFERROR(__xludf.DUMMYFUNCTION("""COMPUTED_VALUE"""),43349.6666666666)</f>
        <v>43349.666666666599</v>
      </c>
      <c r="B928" s="1">
        <f ca="1">IFERROR(__xludf.DUMMYFUNCTION("""COMPUTED_VALUE"""),18.99)</f>
        <v>18.989999999999998</v>
      </c>
      <c r="C928" s="1">
        <f ca="1">IFERROR(__xludf.DUMMYFUNCTION("""COMPUTED_VALUE"""),19.41)</f>
        <v>19.41</v>
      </c>
      <c r="D928" s="1">
        <f ca="1">IFERROR(__xludf.DUMMYFUNCTION("""COMPUTED_VALUE"""),18.59)</f>
        <v>18.59</v>
      </c>
      <c r="E928" s="1">
        <f ca="1">IFERROR(__xludf.DUMMYFUNCTION("""COMPUTED_VALUE"""),18.73)</f>
        <v>18.73</v>
      </c>
      <c r="F928" s="1">
        <f ca="1">IFERROR(__xludf.DUMMYFUNCTION("""COMPUTED_VALUE"""),7480760)</f>
        <v>7480760</v>
      </c>
    </row>
    <row r="929" spans="1:6" x14ac:dyDescent="0.35">
      <c r="A929" s="2">
        <f ca="1">IFERROR(__xludf.DUMMYFUNCTION("""COMPUTED_VALUE"""),43350.6666666666)</f>
        <v>43350.666666666599</v>
      </c>
      <c r="B929" s="1">
        <f ca="1">IFERROR(__xludf.DUMMYFUNCTION("""COMPUTED_VALUE"""),17.34)</f>
        <v>17.34</v>
      </c>
      <c r="C929" s="1">
        <f ca="1">IFERROR(__xludf.DUMMYFUNCTION("""COMPUTED_VALUE"""),17.89)</f>
        <v>17.89</v>
      </c>
      <c r="D929" s="1">
        <f ca="1">IFERROR(__xludf.DUMMYFUNCTION("""COMPUTED_VALUE"""),16.82)</f>
        <v>16.82</v>
      </c>
      <c r="E929" s="1">
        <f ca="1">IFERROR(__xludf.DUMMYFUNCTION("""COMPUTED_VALUE"""),17.55)</f>
        <v>17.55</v>
      </c>
      <c r="F929" s="1">
        <f ca="1">IFERROR(__xludf.DUMMYFUNCTION("""COMPUTED_VALUE"""),22491931)</f>
        <v>22491931</v>
      </c>
    </row>
    <row r="930" spans="1:6" x14ac:dyDescent="0.35">
      <c r="A930" s="2">
        <f ca="1">IFERROR(__xludf.DUMMYFUNCTION("""COMPUTED_VALUE"""),43353.6666666666)</f>
        <v>43353.666666666599</v>
      </c>
      <c r="B930" s="1">
        <f ca="1">IFERROR(__xludf.DUMMYFUNCTION("""COMPUTED_VALUE"""),18.22)</f>
        <v>18.22</v>
      </c>
      <c r="C930" s="1">
        <f ca="1">IFERROR(__xludf.DUMMYFUNCTION("""COMPUTED_VALUE"""),19.07)</f>
        <v>19.07</v>
      </c>
      <c r="D930" s="1">
        <f ca="1">IFERROR(__xludf.DUMMYFUNCTION("""COMPUTED_VALUE"""),18.07)</f>
        <v>18.07</v>
      </c>
      <c r="E930" s="1">
        <f ca="1">IFERROR(__xludf.DUMMYFUNCTION("""COMPUTED_VALUE"""),19.03)</f>
        <v>19.03</v>
      </c>
      <c r="F930" s="1">
        <f ca="1">IFERROR(__xludf.DUMMYFUNCTION("""COMPUTED_VALUE"""),14283528)</f>
        <v>14283528</v>
      </c>
    </row>
    <row r="931" spans="1:6" x14ac:dyDescent="0.35">
      <c r="A931" s="2">
        <f ca="1">IFERROR(__xludf.DUMMYFUNCTION("""COMPUTED_VALUE"""),43354.6666666666)</f>
        <v>43354.666666666599</v>
      </c>
      <c r="B931" s="1">
        <f ca="1">IFERROR(__xludf.DUMMYFUNCTION("""COMPUTED_VALUE"""),18.63)</f>
        <v>18.63</v>
      </c>
      <c r="C931" s="1">
        <f ca="1">IFERROR(__xludf.DUMMYFUNCTION("""COMPUTED_VALUE"""),18.8)</f>
        <v>18.8</v>
      </c>
      <c r="D931" s="1">
        <f ca="1">IFERROR(__xludf.DUMMYFUNCTION("""COMPUTED_VALUE"""),18.24)</f>
        <v>18.239999999999998</v>
      </c>
      <c r="E931" s="1">
        <f ca="1">IFERROR(__xludf.DUMMYFUNCTION("""COMPUTED_VALUE"""),18.63)</f>
        <v>18.63</v>
      </c>
      <c r="F931" s="1">
        <f ca="1">IFERROR(__xludf.DUMMYFUNCTION("""COMPUTED_VALUE"""),9169989)</f>
        <v>9169989</v>
      </c>
    </row>
    <row r="932" spans="1:6" x14ac:dyDescent="0.35">
      <c r="A932" s="2">
        <f ca="1">IFERROR(__xludf.DUMMYFUNCTION("""COMPUTED_VALUE"""),43355.6666666666)</f>
        <v>43355.666666666599</v>
      </c>
      <c r="B932" s="1">
        <f ca="1">IFERROR(__xludf.DUMMYFUNCTION("""COMPUTED_VALUE"""),18.76)</f>
        <v>18.760000000000002</v>
      </c>
      <c r="C932" s="1">
        <f ca="1">IFERROR(__xludf.DUMMYFUNCTION("""COMPUTED_VALUE"""),19.5)</f>
        <v>19.5</v>
      </c>
      <c r="D932" s="1">
        <f ca="1">IFERROR(__xludf.DUMMYFUNCTION("""COMPUTED_VALUE"""),18.58)</f>
        <v>18.579999999999998</v>
      </c>
      <c r="E932" s="1">
        <f ca="1">IFERROR(__xludf.DUMMYFUNCTION("""COMPUTED_VALUE"""),19.37)</f>
        <v>19.37</v>
      </c>
      <c r="F932" s="1">
        <f ca="1">IFERROR(__xludf.DUMMYFUNCTION("""COMPUTED_VALUE"""),10015427)</f>
        <v>10015427</v>
      </c>
    </row>
    <row r="933" spans="1:6" x14ac:dyDescent="0.35">
      <c r="A933" s="2">
        <f ca="1">IFERROR(__xludf.DUMMYFUNCTION("""COMPUTED_VALUE"""),43356.6666666666)</f>
        <v>43356.666666666599</v>
      </c>
      <c r="B933" s="1">
        <f ca="1">IFERROR(__xludf.DUMMYFUNCTION("""COMPUTED_VALUE"""),19.2)</f>
        <v>19.2</v>
      </c>
      <c r="C933" s="1">
        <f ca="1">IFERROR(__xludf.DUMMYFUNCTION("""COMPUTED_VALUE"""),19.67)</f>
        <v>19.670000000000002</v>
      </c>
      <c r="D933" s="1">
        <f ca="1">IFERROR(__xludf.DUMMYFUNCTION("""COMPUTED_VALUE"""),19.01)</f>
        <v>19.010000000000002</v>
      </c>
      <c r="E933" s="1">
        <f ca="1">IFERROR(__xludf.DUMMYFUNCTION("""COMPUTED_VALUE"""),19.3)</f>
        <v>19.3</v>
      </c>
      <c r="F933" s="1">
        <f ca="1">IFERROR(__xludf.DUMMYFUNCTION("""COMPUTED_VALUE"""),6340336)</f>
        <v>6340336</v>
      </c>
    </row>
    <row r="934" spans="1:6" x14ac:dyDescent="0.35">
      <c r="A934" s="2">
        <f ca="1">IFERROR(__xludf.DUMMYFUNCTION("""COMPUTED_VALUE"""),43357.6666666666)</f>
        <v>43357.666666666599</v>
      </c>
      <c r="B934" s="1">
        <f ca="1">IFERROR(__xludf.DUMMYFUNCTION("""COMPUTED_VALUE"""),19.25)</f>
        <v>19.25</v>
      </c>
      <c r="C934" s="1">
        <f ca="1">IFERROR(__xludf.DUMMYFUNCTION("""COMPUTED_VALUE"""),19.82)</f>
        <v>19.82</v>
      </c>
      <c r="D934" s="1">
        <f ca="1">IFERROR(__xludf.DUMMYFUNCTION("""COMPUTED_VALUE"""),19.1)</f>
        <v>19.100000000000001</v>
      </c>
      <c r="E934" s="1">
        <f ca="1">IFERROR(__xludf.DUMMYFUNCTION("""COMPUTED_VALUE"""),19.68)</f>
        <v>19.68</v>
      </c>
      <c r="F934" s="1">
        <f ca="1">IFERROR(__xludf.DUMMYFUNCTION("""COMPUTED_VALUE"""),6765612)</f>
        <v>6765612</v>
      </c>
    </row>
    <row r="935" spans="1:6" x14ac:dyDescent="0.35">
      <c r="A935" s="2">
        <f ca="1">IFERROR(__xludf.DUMMYFUNCTION("""COMPUTED_VALUE"""),43360.6666666666)</f>
        <v>43360.666666666599</v>
      </c>
      <c r="B935" s="1">
        <f ca="1">IFERROR(__xludf.DUMMYFUNCTION("""COMPUTED_VALUE"""),19.34)</f>
        <v>19.34</v>
      </c>
      <c r="C935" s="1">
        <f ca="1">IFERROR(__xludf.DUMMYFUNCTION("""COMPUTED_VALUE"""),20.06)</f>
        <v>20.059999999999999</v>
      </c>
      <c r="D935" s="1">
        <f ca="1">IFERROR(__xludf.DUMMYFUNCTION("""COMPUTED_VALUE"""),19.21)</f>
        <v>19.21</v>
      </c>
      <c r="E935" s="1">
        <f ca="1">IFERROR(__xludf.DUMMYFUNCTION("""COMPUTED_VALUE"""),19.66)</f>
        <v>19.66</v>
      </c>
      <c r="F935" s="1">
        <f ca="1">IFERROR(__xludf.DUMMYFUNCTION("""COMPUTED_VALUE"""),6887577)</f>
        <v>6887577</v>
      </c>
    </row>
    <row r="936" spans="1:6" x14ac:dyDescent="0.35">
      <c r="A936" s="2">
        <f ca="1">IFERROR(__xludf.DUMMYFUNCTION("""COMPUTED_VALUE"""),43361.6666666666)</f>
        <v>43361.666666666599</v>
      </c>
      <c r="B936" s="1">
        <f ca="1">IFERROR(__xludf.DUMMYFUNCTION("""COMPUTED_VALUE"""),19.78)</f>
        <v>19.78</v>
      </c>
      <c r="C936" s="1">
        <f ca="1">IFERROR(__xludf.DUMMYFUNCTION("""COMPUTED_VALUE"""),20.18)</f>
        <v>20.18</v>
      </c>
      <c r="D936" s="1">
        <f ca="1">IFERROR(__xludf.DUMMYFUNCTION("""COMPUTED_VALUE"""),18.37)</f>
        <v>18.37</v>
      </c>
      <c r="E936" s="1">
        <f ca="1">IFERROR(__xludf.DUMMYFUNCTION("""COMPUTED_VALUE"""),19)</f>
        <v>19</v>
      </c>
      <c r="F936" s="1">
        <f ca="1">IFERROR(__xludf.DUMMYFUNCTION("""COMPUTED_VALUE"""),16547522)</f>
        <v>16547522</v>
      </c>
    </row>
    <row r="937" spans="1:6" x14ac:dyDescent="0.35">
      <c r="A937" s="2">
        <f ca="1">IFERROR(__xludf.DUMMYFUNCTION("""COMPUTED_VALUE"""),43362.6666666666)</f>
        <v>43362.666666666599</v>
      </c>
      <c r="B937" s="1">
        <f ca="1">IFERROR(__xludf.DUMMYFUNCTION("""COMPUTED_VALUE"""),18.7)</f>
        <v>18.7</v>
      </c>
      <c r="C937" s="1">
        <f ca="1">IFERROR(__xludf.DUMMYFUNCTION("""COMPUTED_VALUE"""),20)</f>
        <v>20</v>
      </c>
      <c r="D937" s="1">
        <f ca="1">IFERROR(__xludf.DUMMYFUNCTION("""COMPUTED_VALUE"""),18.7)</f>
        <v>18.7</v>
      </c>
      <c r="E937" s="1">
        <f ca="1">IFERROR(__xludf.DUMMYFUNCTION("""COMPUTED_VALUE"""),19.93)</f>
        <v>19.93</v>
      </c>
      <c r="F937" s="1">
        <f ca="1">IFERROR(__xludf.DUMMYFUNCTION("""COMPUTED_VALUE"""),8294917)</f>
        <v>8294917</v>
      </c>
    </row>
    <row r="938" spans="1:6" x14ac:dyDescent="0.35">
      <c r="A938" s="2">
        <f ca="1">IFERROR(__xludf.DUMMYFUNCTION("""COMPUTED_VALUE"""),43363.6666666666)</f>
        <v>43363.666666666599</v>
      </c>
      <c r="B938" s="1">
        <f ca="1">IFERROR(__xludf.DUMMYFUNCTION("""COMPUTED_VALUE"""),20.24)</f>
        <v>20.239999999999998</v>
      </c>
      <c r="C938" s="1">
        <f ca="1">IFERROR(__xludf.DUMMYFUNCTION("""COMPUTED_VALUE"""),20.4)</f>
        <v>20.399999999999999</v>
      </c>
      <c r="D938" s="1">
        <f ca="1">IFERROR(__xludf.DUMMYFUNCTION("""COMPUTED_VALUE"""),19.56)</f>
        <v>19.559999999999999</v>
      </c>
      <c r="E938" s="1">
        <f ca="1">IFERROR(__xludf.DUMMYFUNCTION("""COMPUTED_VALUE"""),19.89)</f>
        <v>19.89</v>
      </c>
      <c r="F938" s="1">
        <f ca="1">IFERROR(__xludf.DUMMYFUNCTION("""COMPUTED_VALUE"""),7349422)</f>
        <v>7349422</v>
      </c>
    </row>
    <row r="939" spans="1:6" x14ac:dyDescent="0.35">
      <c r="A939" s="2">
        <f ca="1">IFERROR(__xludf.DUMMYFUNCTION("""COMPUTED_VALUE"""),43364.6666666666)</f>
        <v>43364.666666666599</v>
      </c>
      <c r="B939" s="1">
        <f ca="1">IFERROR(__xludf.DUMMYFUNCTION("""COMPUTED_VALUE"""),19.85)</f>
        <v>19.850000000000001</v>
      </c>
      <c r="C939" s="1">
        <f ca="1">IFERROR(__xludf.DUMMYFUNCTION("""COMPUTED_VALUE"""),20.04)</f>
        <v>20.04</v>
      </c>
      <c r="D939" s="1">
        <f ca="1">IFERROR(__xludf.DUMMYFUNCTION("""COMPUTED_VALUE"""),19.69)</f>
        <v>19.690000000000001</v>
      </c>
      <c r="E939" s="1">
        <f ca="1">IFERROR(__xludf.DUMMYFUNCTION("""COMPUTED_VALUE"""),19.94)</f>
        <v>19.940000000000001</v>
      </c>
      <c r="F939" s="1">
        <f ca="1">IFERROR(__xludf.DUMMYFUNCTION("""COMPUTED_VALUE"""),5050478)</f>
        <v>5050478</v>
      </c>
    </row>
    <row r="940" spans="1:6" x14ac:dyDescent="0.35">
      <c r="A940" s="2">
        <f ca="1">IFERROR(__xludf.DUMMYFUNCTION("""COMPUTED_VALUE"""),43367.6666666666)</f>
        <v>43367.666666666599</v>
      </c>
      <c r="B940" s="1">
        <f ca="1">IFERROR(__xludf.DUMMYFUNCTION("""COMPUTED_VALUE"""),19.9)</f>
        <v>19.899999999999999</v>
      </c>
      <c r="C940" s="1">
        <f ca="1">IFERROR(__xludf.DUMMYFUNCTION("""COMPUTED_VALUE"""),20.2)</f>
        <v>20.2</v>
      </c>
      <c r="D940" s="1">
        <f ca="1">IFERROR(__xludf.DUMMYFUNCTION("""COMPUTED_VALUE"""),19.57)</f>
        <v>19.57</v>
      </c>
      <c r="E940" s="1">
        <f ca="1">IFERROR(__xludf.DUMMYFUNCTION("""COMPUTED_VALUE"""),19.98)</f>
        <v>19.98</v>
      </c>
      <c r="F940" s="1">
        <f ca="1">IFERROR(__xludf.DUMMYFUNCTION("""COMPUTED_VALUE"""),4842961)</f>
        <v>4842961</v>
      </c>
    </row>
    <row r="941" spans="1:6" x14ac:dyDescent="0.35">
      <c r="A941" s="2">
        <f ca="1">IFERROR(__xludf.DUMMYFUNCTION("""COMPUTED_VALUE"""),43368.6666666666)</f>
        <v>43368.666666666599</v>
      </c>
      <c r="B941" s="1">
        <f ca="1">IFERROR(__xludf.DUMMYFUNCTION("""COMPUTED_VALUE"""),20)</f>
        <v>20</v>
      </c>
      <c r="C941" s="1">
        <f ca="1">IFERROR(__xludf.DUMMYFUNCTION("""COMPUTED_VALUE"""),20.31)</f>
        <v>20.309999999999999</v>
      </c>
      <c r="D941" s="1">
        <f ca="1">IFERROR(__xludf.DUMMYFUNCTION("""COMPUTED_VALUE"""),19.77)</f>
        <v>19.77</v>
      </c>
      <c r="E941" s="1">
        <f ca="1">IFERROR(__xludf.DUMMYFUNCTION("""COMPUTED_VALUE"""),20.07)</f>
        <v>20.07</v>
      </c>
      <c r="F941" s="1">
        <f ca="1">IFERROR(__xludf.DUMMYFUNCTION("""COMPUTED_VALUE"""),4481729)</f>
        <v>4481729</v>
      </c>
    </row>
    <row r="942" spans="1:6" x14ac:dyDescent="0.35">
      <c r="A942" s="2">
        <f ca="1">IFERROR(__xludf.DUMMYFUNCTION("""COMPUTED_VALUE"""),43369.6666666666)</f>
        <v>43369.666666666599</v>
      </c>
      <c r="B942" s="1">
        <f ca="1">IFERROR(__xludf.DUMMYFUNCTION("""COMPUTED_VALUE"""),20.13)</f>
        <v>20.13</v>
      </c>
      <c r="C942" s="1">
        <f ca="1">IFERROR(__xludf.DUMMYFUNCTION("""COMPUTED_VALUE"""),20.93)</f>
        <v>20.93</v>
      </c>
      <c r="D942" s="1">
        <f ca="1">IFERROR(__xludf.DUMMYFUNCTION("""COMPUTED_VALUE"""),20.07)</f>
        <v>20.07</v>
      </c>
      <c r="E942" s="1">
        <f ca="1">IFERROR(__xludf.DUMMYFUNCTION("""COMPUTED_VALUE"""),20.64)</f>
        <v>20.64</v>
      </c>
      <c r="F942" s="1">
        <f ca="1">IFERROR(__xludf.DUMMYFUNCTION("""COMPUTED_VALUE"""),7843216)</f>
        <v>7843216</v>
      </c>
    </row>
    <row r="943" spans="1:6" x14ac:dyDescent="0.35">
      <c r="A943" s="2">
        <f ca="1">IFERROR(__xludf.DUMMYFUNCTION("""COMPUTED_VALUE"""),43370.6666666666)</f>
        <v>43370.666666666599</v>
      </c>
      <c r="B943" s="1">
        <f ca="1">IFERROR(__xludf.DUMMYFUNCTION("""COMPUTED_VALUE"""),20.86)</f>
        <v>20.86</v>
      </c>
      <c r="C943" s="1">
        <f ca="1">IFERROR(__xludf.DUMMYFUNCTION("""COMPUTED_VALUE"""),21)</f>
        <v>21</v>
      </c>
      <c r="D943" s="1">
        <f ca="1">IFERROR(__xludf.DUMMYFUNCTION("""COMPUTED_VALUE"""),20.46)</f>
        <v>20.46</v>
      </c>
      <c r="E943" s="1">
        <f ca="1">IFERROR(__xludf.DUMMYFUNCTION("""COMPUTED_VALUE"""),20.5)</f>
        <v>20.5</v>
      </c>
      <c r="F943" s="1">
        <f ca="1">IFERROR(__xludf.DUMMYFUNCTION("""COMPUTED_VALUE"""),8509084)</f>
        <v>8509084</v>
      </c>
    </row>
    <row r="944" spans="1:6" x14ac:dyDescent="0.35">
      <c r="A944" s="2">
        <f ca="1">IFERROR(__xludf.DUMMYFUNCTION("""COMPUTED_VALUE"""),43371.6666666666)</f>
        <v>43371.666666666599</v>
      </c>
      <c r="B944" s="1">
        <f ca="1">IFERROR(__xludf.DUMMYFUNCTION("""COMPUTED_VALUE"""),18.02)</f>
        <v>18.02</v>
      </c>
      <c r="C944" s="1">
        <f ca="1">IFERROR(__xludf.DUMMYFUNCTION("""COMPUTED_VALUE"""),18.53)</f>
        <v>18.53</v>
      </c>
      <c r="D944" s="1">
        <f ca="1">IFERROR(__xludf.DUMMYFUNCTION("""COMPUTED_VALUE"""),17.37)</f>
        <v>17.37</v>
      </c>
      <c r="E944" s="1">
        <f ca="1">IFERROR(__xludf.DUMMYFUNCTION("""COMPUTED_VALUE"""),17.65)</f>
        <v>17.649999999999999</v>
      </c>
      <c r="F944" s="1">
        <f ca="1">IFERROR(__xludf.DUMMYFUNCTION("""COMPUTED_VALUE"""),33649694)</f>
        <v>33649694</v>
      </c>
    </row>
    <row r="945" spans="1:6" x14ac:dyDescent="0.35">
      <c r="A945" s="2">
        <f ca="1">IFERROR(__xludf.DUMMYFUNCTION("""COMPUTED_VALUE"""),43374.6666666666)</f>
        <v>43374.666666666599</v>
      </c>
      <c r="B945" s="1">
        <f ca="1">IFERROR(__xludf.DUMMYFUNCTION("""COMPUTED_VALUE"""),20.38)</f>
        <v>20.38</v>
      </c>
      <c r="C945" s="1">
        <f ca="1">IFERROR(__xludf.DUMMYFUNCTION("""COMPUTED_VALUE"""),20.76)</f>
        <v>20.76</v>
      </c>
      <c r="D945" s="1">
        <f ca="1">IFERROR(__xludf.DUMMYFUNCTION("""COMPUTED_VALUE"""),20.07)</f>
        <v>20.07</v>
      </c>
      <c r="E945" s="1">
        <f ca="1">IFERROR(__xludf.DUMMYFUNCTION("""COMPUTED_VALUE"""),20.71)</f>
        <v>20.71</v>
      </c>
      <c r="F945" s="1">
        <f ca="1">IFERROR(__xludf.DUMMYFUNCTION("""COMPUTED_VALUE"""),21777597)</f>
        <v>21777597</v>
      </c>
    </row>
    <row r="946" spans="1:6" x14ac:dyDescent="0.35">
      <c r="A946" s="2">
        <f ca="1">IFERROR(__xludf.DUMMYFUNCTION("""COMPUTED_VALUE"""),43375.6666666666)</f>
        <v>43375.666666666599</v>
      </c>
      <c r="B946" s="1">
        <f ca="1">IFERROR(__xludf.DUMMYFUNCTION("""COMPUTED_VALUE"""),20.93)</f>
        <v>20.93</v>
      </c>
      <c r="C946" s="1">
        <f ca="1">IFERROR(__xludf.DUMMYFUNCTION("""COMPUTED_VALUE"""),21.12)</f>
        <v>21.12</v>
      </c>
      <c r="D946" s="1">
        <f ca="1">IFERROR(__xludf.DUMMYFUNCTION("""COMPUTED_VALUE"""),19.94)</f>
        <v>19.940000000000001</v>
      </c>
      <c r="E946" s="1">
        <f ca="1">IFERROR(__xludf.DUMMYFUNCTION("""COMPUTED_VALUE"""),20.07)</f>
        <v>20.07</v>
      </c>
      <c r="F946" s="1">
        <f ca="1">IFERROR(__xludf.DUMMYFUNCTION("""COMPUTED_VALUE"""),11743511)</f>
        <v>11743511</v>
      </c>
    </row>
    <row r="947" spans="1:6" x14ac:dyDescent="0.35">
      <c r="A947" s="2">
        <f ca="1">IFERROR(__xludf.DUMMYFUNCTION("""COMPUTED_VALUE"""),43376.6666666666)</f>
        <v>43376.666666666599</v>
      </c>
      <c r="B947" s="1">
        <f ca="1">IFERROR(__xludf.DUMMYFUNCTION("""COMPUTED_VALUE"""),20.22)</f>
        <v>20.22</v>
      </c>
      <c r="C947" s="1">
        <f ca="1">IFERROR(__xludf.DUMMYFUNCTION("""COMPUTED_VALUE"""),20.31)</f>
        <v>20.309999999999999</v>
      </c>
      <c r="D947" s="1">
        <f ca="1">IFERROR(__xludf.DUMMYFUNCTION("""COMPUTED_VALUE"""),19.44)</f>
        <v>19.440000000000001</v>
      </c>
      <c r="E947" s="1">
        <f ca="1">IFERROR(__xludf.DUMMYFUNCTION("""COMPUTED_VALUE"""),19.65)</f>
        <v>19.649999999999999</v>
      </c>
      <c r="F947" s="1">
        <f ca="1">IFERROR(__xludf.DUMMYFUNCTION("""COMPUTED_VALUE"""),7994988)</f>
        <v>7994988</v>
      </c>
    </row>
    <row r="948" spans="1:6" x14ac:dyDescent="0.35">
      <c r="A948" s="2">
        <f ca="1">IFERROR(__xludf.DUMMYFUNCTION("""COMPUTED_VALUE"""),43377.6666666666)</f>
        <v>43377.666666666599</v>
      </c>
      <c r="B948" s="1">
        <f ca="1">IFERROR(__xludf.DUMMYFUNCTION("""COMPUTED_VALUE"""),19.6)</f>
        <v>19.600000000000001</v>
      </c>
      <c r="C948" s="1">
        <f ca="1">IFERROR(__xludf.DUMMYFUNCTION("""COMPUTED_VALUE"""),19.6)</f>
        <v>19.600000000000001</v>
      </c>
      <c r="D948" s="1">
        <f ca="1">IFERROR(__xludf.DUMMYFUNCTION("""COMPUTED_VALUE"""),18.51)</f>
        <v>18.510000000000002</v>
      </c>
      <c r="E948" s="1">
        <f ca="1">IFERROR(__xludf.DUMMYFUNCTION("""COMPUTED_VALUE"""),18.79)</f>
        <v>18.79</v>
      </c>
      <c r="F948" s="1">
        <f ca="1">IFERROR(__xludf.DUMMYFUNCTION("""COMPUTED_VALUE"""),9814212)</f>
        <v>9814212</v>
      </c>
    </row>
    <row r="949" spans="1:6" x14ac:dyDescent="0.35">
      <c r="A949" s="2">
        <f ca="1">IFERROR(__xludf.DUMMYFUNCTION("""COMPUTED_VALUE"""),43378.6666666666)</f>
        <v>43378.666666666599</v>
      </c>
      <c r="B949" s="1">
        <f ca="1">IFERROR(__xludf.DUMMYFUNCTION("""COMPUTED_VALUE"""),18.31)</f>
        <v>18.309999999999999</v>
      </c>
      <c r="C949" s="1">
        <f ca="1">IFERROR(__xludf.DUMMYFUNCTION("""COMPUTED_VALUE"""),18.33)</f>
        <v>18.329999999999998</v>
      </c>
      <c r="D949" s="1">
        <f ca="1">IFERROR(__xludf.DUMMYFUNCTION("""COMPUTED_VALUE"""),17.33)</f>
        <v>17.329999999999998</v>
      </c>
      <c r="E949" s="1">
        <f ca="1">IFERROR(__xludf.DUMMYFUNCTION("""COMPUTED_VALUE"""),17.46)</f>
        <v>17.46</v>
      </c>
      <c r="F949" s="1">
        <f ca="1">IFERROR(__xludf.DUMMYFUNCTION("""COMPUTED_VALUE"""),17944537)</f>
        <v>17944537</v>
      </c>
    </row>
    <row r="950" spans="1:6" x14ac:dyDescent="0.35">
      <c r="A950" s="2">
        <f ca="1">IFERROR(__xludf.DUMMYFUNCTION("""COMPUTED_VALUE"""),43381.6666666666)</f>
        <v>43381.666666666599</v>
      </c>
      <c r="B950" s="1">
        <f ca="1">IFERROR(__xludf.DUMMYFUNCTION("""COMPUTED_VALUE"""),17.63)</f>
        <v>17.63</v>
      </c>
      <c r="C950" s="1">
        <f ca="1">IFERROR(__xludf.DUMMYFUNCTION("""COMPUTED_VALUE"""),17.85)</f>
        <v>17.850000000000001</v>
      </c>
      <c r="D950" s="1">
        <f ca="1">IFERROR(__xludf.DUMMYFUNCTION("""COMPUTED_VALUE"""),16.6)</f>
        <v>16.600000000000001</v>
      </c>
      <c r="E950" s="1">
        <f ca="1">IFERROR(__xludf.DUMMYFUNCTION("""COMPUTED_VALUE"""),16.7)</f>
        <v>16.7</v>
      </c>
      <c r="F950" s="1">
        <f ca="1">IFERROR(__xludf.DUMMYFUNCTION("""COMPUTED_VALUE"""),13472653)</f>
        <v>13472653</v>
      </c>
    </row>
    <row r="951" spans="1:6" x14ac:dyDescent="0.35">
      <c r="A951" s="2">
        <f ca="1">IFERROR(__xludf.DUMMYFUNCTION("""COMPUTED_VALUE"""),43382.6666666666)</f>
        <v>43382.666666666599</v>
      </c>
      <c r="B951" s="1">
        <f ca="1">IFERROR(__xludf.DUMMYFUNCTION("""COMPUTED_VALUE"""),17.02)</f>
        <v>17.02</v>
      </c>
      <c r="C951" s="1">
        <f ca="1">IFERROR(__xludf.DUMMYFUNCTION("""COMPUTED_VALUE"""),17.78)</f>
        <v>17.78</v>
      </c>
      <c r="D951" s="1">
        <f ca="1">IFERROR(__xludf.DUMMYFUNCTION("""COMPUTED_VALUE"""),16.89)</f>
        <v>16.89</v>
      </c>
      <c r="E951" s="1">
        <f ca="1">IFERROR(__xludf.DUMMYFUNCTION("""COMPUTED_VALUE"""),17.52)</f>
        <v>17.52</v>
      </c>
      <c r="F951" s="1">
        <f ca="1">IFERROR(__xludf.DUMMYFUNCTION("""COMPUTED_VALUE"""),12060574)</f>
        <v>12060574</v>
      </c>
    </row>
    <row r="952" spans="1:6" x14ac:dyDescent="0.35">
      <c r="A952" s="2">
        <f ca="1">IFERROR(__xludf.DUMMYFUNCTION("""COMPUTED_VALUE"""),43383.6666666666)</f>
        <v>43383.666666666599</v>
      </c>
      <c r="B952" s="1">
        <f ca="1">IFERROR(__xludf.DUMMYFUNCTION("""COMPUTED_VALUE"""),17.64)</f>
        <v>17.64</v>
      </c>
      <c r="C952" s="1">
        <f ca="1">IFERROR(__xludf.DUMMYFUNCTION("""COMPUTED_VALUE"""),17.7)</f>
        <v>17.7</v>
      </c>
      <c r="D952" s="1">
        <f ca="1">IFERROR(__xludf.DUMMYFUNCTION("""COMPUTED_VALUE"""),16.52)</f>
        <v>16.52</v>
      </c>
      <c r="E952" s="1">
        <f ca="1">IFERROR(__xludf.DUMMYFUNCTION("""COMPUTED_VALUE"""),17.13)</f>
        <v>17.13</v>
      </c>
      <c r="F952" s="1">
        <f ca="1">IFERROR(__xludf.DUMMYFUNCTION("""COMPUTED_VALUE"""),12815278)</f>
        <v>12815278</v>
      </c>
    </row>
    <row r="953" spans="1:6" x14ac:dyDescent="0.35">
      <c r="A953" s="2">
        <f ca="1">IFERROR(__xludf.DUMMYFUNCTION("""COMPUTED_VALUE"""),43384.6666666666)</f>
        <v>43384.666666666599</v>
      </c>
      <c r="B953" s="1">
        <f ca="1">IFERROR(__xludf.DUMMYFUNCTION("""COMPUTED_VALUE"""),17.17)</f>
        <v>17.170000000000002</v>
      </c>
      <c r="C953" s="1">
        <f ca="1">IFERROR(__xludf.DUMMYFUNCTION("""COMPUTED_VALUE"""),17.48)</f>
        <v>17.48</v>
      </c>
      <c r="D953" s="1">
        <f ca="1">IFERROR(__xludf.DUMMYFUNCTION("""COMPUTED_VALUE"""),16.6)</f>
        <v>16.600000000000001</v>
      </c>
      <c r="E953" s="1">
        <f ca="1">IFERROR(__xludf.DUMMYFUNCTION("""COMPUTED_VALUE"""),16.82)</f>
        <v>16.82</v>
      </c>
      <c r="F953" s="1">
        <f ca="1">IFERROR(__xludf.DUMMYFUNCTION("""COMPUTED_VALUE"""),8167738)</f>
        <v>8167738</v>
      </c>
    </row>
    <row r="954" spans="1:6" x14ac:dyDescent="0.35">
      <c r="A954" s="2">
        <f ca="1">IFERROR(__xludf.DUMMYFUNCTION("""COMPUTED_VALUE"""),43385.6666666666)</f>
        <v>43385.666666666599</v>
      </c>
      <c r="B954" s="1">
        <f ca="1">IFERROR(__xludf.DUMMYFUNCTION("""COMPUTED_VALUE"""),17.4)</f>
        <v>17.399999999999999</v>
      </c>
      <c r="C954" s="1">
        <f ca="1">IFERROR(__xludf.DUMMYFUNCTION("""COMPUTED_VALUE"""),17.47)</f>
        <v>17.47</v>
      </c>
      <c r="D954" s="1">
        <f ca="1">IFERROR(__xludf.DUMMYFUNCTION("""COMPUTED_VALUE"""),16.8)</f>
        <v>16.8</v>
      </c>
      <c r="E954" s="1">
        <f ca="1">IFERROR(__xludf.DUMMYFUNCTION("""COMPUTED_VALUE"""),17.25)</f>
        <v>17.25</v>
      </c>
      <c r="F954" s="1">
        <f ca="1">IFERROR(__xludf.DUMMYFUNCTION("""COMPUTED_VALUE"""),7201404)</f>
        <v>7201404</v>
      </c>
    </row>
    <row r="955" spans="1:6" x14ac:dyDescent="0.35">
      <c r="A955" s="2">
        <f ca="1">IFERROR(__xludf.DUMMYFUNCTION("""COMPUTED_VALUE"""),43388.6666666666)</f>
        <v>43388.666666666599</v>
      </c>
      <c r="B955" s="1">
        <f ca="1">IFERROR(__xludf.DUMMYFUNCTION("""COMPUTED_VALUE"""),17.27)</f>
        <v>17.27</v>
      </c>
      <c r="C955" s="1">
        <f ca="1">IFERROR(__xludf.DUMMYFUNCTION("""COMPUTED_VALUE"""),17.55)</f>
        <v>17.55</v>
      </c>
      <c r="D955" s="1">
        <f ca="1">IFERROR(__xludf.DUMMYFUNCTION("""COMPUTED_VALUE"""),16.97)</f>
        <v>16.97</v>
      </c>
      <c r="E955" s="1">
        <f ca="1">IFERROR(__xludf.DUMMYFUNCTION("""COMPUTED_VALUE"""),17.31)</f>
        <v>17.309999999999999</v>
      </c>
      <c r="F955" s="1">
        <f ca="1">IFERROR(__xludf.DUMMYFUNCTION("""COMPUTED_VALUE"""),6199965)</f>
        <v>6199965</v>
      </c>
    </row>
    <row r="956" spans="1:6" x14ac:dyDescent="0.35">
      <c r="A956" s="2">
        <f ca="1">IFERROR(__xludf.DUMMYFUNCTION("""COMPUTED_VALUE"""),43389.6666666666)</f>
        <v>43389.666666666599</v>
      </c>
      <c r="B956" s="1">
        <f ca="1">IFERROR(__xludf.DUMMYFUNCTION("""COMPUTED_VALUE"""),17.71)</f>
        <v>17.71</v>
      </c>
      <c r="C956" s="1">
        <f ca="1">IFERROR(__xludf.DUMMYFUNCTION("""COMPUTED_VALUE"""),18.49)</f>
        <v>18.489999999999998</v>
      </c>
      <c r="D956" s="1">
        <f ca="1">IFERROR(__xludf.DUMMYFUNCTION("""COMPUTED_VALUE"""),17.48)</f>
        <v>17.48</v>
      </c>
      <c r="E956" s="1">
        <f ca="1">IFERROR(__xludf.DUMMYFUNCTION("""COMPUTED_VALUE"""),18.44)</f>
        <v>18.440000000000001</v>
      </c>
      <c r="F956" s="1">
        <f ca="1">IFERROR(__xludf.DUMMYFUNCTION("""COMPUTED_VALUE"""),9526401)</f>
        <v>9526401</v>
      </c>
    </row>
    <row r="957" spans="1:6" x14ac:dyDescent="0.35">
      <c r="A957" s="2">
        <f ca="1">IFERROR(__xludf.DUMMYFUNCTION("""COMPUTED_VALUE"""),43390.6666666666)</f>
        <v>43390.666666666599</v>
      </c>
      <c r="B957" s="1">
        <f ca="1">IFERROR(__xludf.DUMMYFUNCTION("""COMPUTED_VALUE"""),18.83)</f>
        <v>18.829999999999998</v>
      </c>
      <c r="C957" s="1">
        <f ca="1">IFERROR(__xludf.DUMMYFUNCTION("""COMPUTED_VALUE"""),18.85)</f>
        <v>18.850000000000001</v>
      </c>
      <c r="D957" s="1">
        <f ca="1">IFERROR(__xludf.DUMMYFUNCTION("""COMPUTED_VALUE"""),17.72)</f>
        <v>17.72</v>
      </c>
      <c r="E957" s="1">
        <f ca="1">IFERROR(__xludf.DUMMYFUNCTION("""COMPUTED_VALUE"""),18.12)</f>
        <v>18.12</v>
      </c>
      <c r="F957" s="1">
        <f ca="1">IFERROR(__xludf.DUMMYFUNCTION("""COMPUTED_VALUE"""),8655542)</f>
        <v>8655542</v>
      </c>
    </row>
    <row r="958" spans="1:6" x14ac:dyDescent="0.35">
      <c r="A958" s="2">
        <f ca="1">IFERROR(__xludf.DUMMYFUNCTION("""COMPUTED_VALUE"""),43391.6666666666)</f>
        <v>43391.666666666599</v>
      </c>
      <c r="B958" s="1">
        <f ca="1">IFERROR(__xludf.DUMMYFUNCTION("""COMPUTED_VALUE"""),17.95)</f>
        <v>17.95</v>
      </c>
      <c r="C958" s="1">
        <f ca="1">IFERROR(__xludf.DUMMYFUNCTION("""COMPUTED_VALUE"""),18.07)</f>
        <v>18.07</v>
      </c>
      <c r="D958" s="1">
        <f ca="1">IFERROR(__xludf.DUMMYFUNCTION("""COMPUTED_VALUE"""),17.53)</f>
        <v>17.53</v>
      </c>
      <c r="E958" s="1">
        <f ca="1">IFERROR(__xludf.DUMMYFUNCTION("""COMPUTED_VALUE"""),17.59)</f>
        <v>17.59</v>
      </c>
      <c r="F958" s="1">
        <f ca="1">IFERROR(__xludf.DUMMYFUNCTION("""COMPUTED_VALUE"""),5421184)</f>
        <v>5421184</v>
      </c>
    </row>
    <row r="959" spans="1:6" x14ac:dyDescent="0.35">
      <c r="A959" s="2">
        <f ca="1">IFERROR(__xludf.DUMMYFUNCTION("""COMPUTED_VALUE"""),43392.6666666666)</f>
        <v>43392.666666666599</v>
      </c>
      <c r="B959" s="1">
        <f ca="1">IFERROR(__xludf.DUMMYFUNCTION("""COMPUTED_VALUE"""),17.83)</f>
        <v>17.829999999999998</v>
      </c>
      <c r="C959" s="1">
        <f ca="1">IFERROR(__xludf.DUMMYFUNCTION("""COMPUTED_VALUE"""),17.98)</f>
        <v>17.98</v>
      </c>
      <c r="D959" s="1">
        <f ca="1">IFERROR(__xludf.DUMMYFUNCTION("""COMPUTED_VALUE"""),16.9)</f>
        <v>16.899999999999999</v>
      </c>
      <c r="E959" s="1">
        <f ca="1">IFERROR(__xludf.DUMMYFUNCTION("""COMPUTED_VALUE"""),17.33)</f>
        <v>17.329999999999998</v>
      </c>
      <c r="F959" s="1">
        <f ca="1">IFERROR(__xludf.DUMMYFUNCTION("""COMPUTED_VALUE"""),9375549)</f>
        <v>9375549</v>
      </c>
    </row>
    <row r="960" spans="1:6" x14ac:dyDescent="0.35">
      <c r="A960" s="2">
        <f ca="1">IFERROR(__xludf.DUMMYFUNCTION("""COMPUTED_VALUE"""),43395.6666666666)</f>
        <v>43395.666666666599</v>
      </c>
      <c r="B960" s="1">
        <f ca="1">IFERROR(__xludf.DUMMYFUNCTION("""COMPUTED_VALUE"""),17.38)</f>
        <v>17.38</v>
      </c>
      <c r="C960" s="1">
        <f ca="1">IFERROR(__xludf.DUMMYFUNCTION("""COMPUTED_VALUE"""),17.46)</f>
        <v>17.46</v>
      </c>
      <c r="D960" s="1">
        <f ca="1">IFERROR(__xludf.DUMMYFUNCTION("""COMPUTED_VALUE"""),16.84)</f>
        <v>16.84</v>
      </c>
      <c r="E960" s="1">
        <f ca="1">IFERROR(__xludf.DUMMYFUNCTION("""COMPUTED_VALUE"""),17.4)</f>
        <v>17.399999999999999</v>
      </c>
      <c r="F960" s="1">
        <f ca="1">IFERROR(__xludf.DUMMYFUNCTION("""COMPUTED_VALUE"""),5600260)</f>
        <v>5600260</v>
      </c>
    </row>
    <row r="961" spans="1:6" x14ac:dyDescent="0.35">
      <c r="A961" s="2">
        <f ca="1">IFERROR(__xludf.DUMMYFUNCTION("""COMPUTED_VALUE"""),43396.6666666666)</f>
        <v>43396.666666666599</v>
      </c>
      <c r="B961" s="1">
        <f ca="1">IFERROR(__xludf.DUMMYFUNCTION("""COMPUTED_VALUE"""),17.59)</f>
        <v>17.59</v>
      </c>
      <c r="C961" s="1">
        <f ca="1">IFERROR(__xludf.DUMMYFUNCTION("""COMPUTED_VALUE"""),19.86)</f>
        <v>19.86</v>
      </c>
      <c r="D961" s="1">
        <f ca="1">IFERROR(__xludf.DUMMYFUNCTION("""COMPUTED_VALUE"""),17.47)</f>
        <v>17.47</v>
      </c>
      <c r="E961" s="1">
        <f ca="1">IFERROR(__xludf.DUMMYFUNCTION("""COMPUTED_VALUE"""),19.61)</f>
        <v>19.61</v>
      </c>
      <c r="F961" s="1">
        <f ca="1">IFERROR(__xludf.DUMMYFUNCTION("""COMPUTED_VALUE"""),19027753)</f>
        <v>19027753</v>
      </c>
    </row>
    <row r="962" spans="1:6" x14ac:dyDescent="0.35">
      <c r="A962" s="2">
        <f ca="1">IFERROR(__xludf.DUMMYFUNCTION("""COMPUTED_VALUE"""),43397.6666666666)</f>
        <v>43397.666666666599</v>
      </c>
      <c r="B962" s="1">
        <f ca="1">IFERROR(__xludf.DUMMYFUNCTION("""COMPUTED_VALUE"""),20.07)</f>
        <v>20.07</v>
      </c>
      <c r="C962" s="1">
        <f ca="1">IFERROR(__xludf.DUMMYFUNCTION("""COMPUTED_VALUE"""),20.3)</f>
        <v>20.3</v>
      </c>
      <c r="D962" s="1">
        <f ca="1">IFERROR(__xludf.DUMMYFUNCTION("""COMPUTED_VALUE"""),19.05)</f>
        <v>19.05</v>
      </c>
      <c r="E962" s="1">
        <f ca="1">IFERROR(__xludf.DUMMYFUNCTION("""COMPUTED_VALUE"""),19.23)</f>
        <v>19.23</v>
      </c>
      <c r="F962" s="1">
        <f ca="1">IFERROR(__xludf.DUMMYFUNCTION("""COMPUTED_VALUE"""),20058258)</f>
        <v>20058258</v>
      </c>
    </row>
    <row r="963" spans="1:6" x14ac:dyDescent="0.35">
      <c r="A963" s="2">
        <f ca="1">IFERROR(__xludf.DUMMYFUNCTION("""COMPUTED_VALUE"""),43398.6666666666)</f>
        <v>43398.666666666599</v>
      </c>
      <c r="B963" s="1">
        <f ca="1">IFERROR(__xludf.DUMMYFUNCTION("""COMPUTED_VALUE"""),21.15)</f>
        <v>21.15</v>
      </c>
      <c r="C963" s="1">
        <f ca="1">IFERROR(__xludf.DUMMYFUNCTION("""COMPUTED_VALUE"""),21.4)</f>
        <v>21.4</v>
      </c>
      <c r="D963" s="1">
        <f ca="1">IFERROR(__xludf.DUMMYFUNCTION("""COMPUTED_VALUE"""),20.07)</f>
        <v>20.07</v>
      </c>
      <c r="E963" s="1">
        <f ca="1">IFERROR(__xludf.DUMMYFUNCTION("""COMPUTED_VALUE"""),20.99)</f>
        <v>20.99</v>
      </c>
      <c r="F963" s="1">
        <f ca="1">IFERROR(__xludf.DUMMYFUNCTION("""COMPUTED_VALUE"""),20840724)</f>
        <v>20840724</v>
      </c>
    </row>
    <row r="964" spans="1:6" x14ac:dyDescent="0.35">
      <c r="A964" s="2">
        <f ca="1">IFERROR(__xludf.DUMMYFUNCTION("""COMPUTED_VALUE"""),43399.6666666666)</f>
        <v>43399.666666666599</v>
      </c>
      <c r="B964" s="1">
        <f ca="1">IFERROR(__xludf.DUMMYFUNCTION("""COMPUTED_VALUE"""),20.55)</f>
        <v>20.55</v>
      </c>
      <c r="C964" s="1">
        <f ca="1">IFERROR(__xludf.DUMMYFUNCTION("""COMPUTED_VALUE"""),22.66)</f>
        <v>22.66</v>
      </c>
      <c r="D964" s="1">
        <f ca="1">IFERROR(__xludf.DUMMYFUNCTION("""COMPUTED_VALUE"""),20.44)</f>
        <v>20.440000000000001</v>
      </c>
      <c r="E964" s="1">
        <f ca="1">IFERROR(__xludf.DUMMYFUNCTION("""COMPUTED_VALUE"""),22.06)</f>
        <v>22.06</v>
      </c>
      <c r="F964" s="1">
        <f ca="1">IFERROR(__xludf.DUMMYFUNCTION("""COMPUTED_VALUE"""),27425520)</f>
        <v>27425520</v>
      </c>
    </row>
    <row r="965" spans="1:6" x14ac:dyDescent="0.35">
      <c r="A965" s="2">
        <f ca="1">IFERROR(__xludf.DUMMYFUNCTION("""COMPUTED_VALUE"""),43402.6666666666)</f>
        <v>43402.666666666599</v>
      </c>
      <c r="B965" s="1">
        <f ca="1">IFERROR(__xludf.DUMMYFUNCTION("""COMPUTED_VALUE"""),22.5)</f>
        <v>22.5</v>
      </c>
      <c r="C965" s="1">
        <f ca="1">IFERROR(__xludf.DUMMYFUNCTION("""COMPUTED_VALUE"""),23.14)</f>
        <v>23.14</v>
      </c>
      <c r="D965" s="1">
        <f ca="1">IFERROR(__xludf.DUMMYFUNCTION("""COMPUTED_VALUE"""),21.77)</f>
        <v>21.77</v>
      </c>
      <c r="E965" s="1">
        <f ca="1">IFERROR(__xludf.DUMMYFUNCTION("""COMPUTED_VALUE"""),22.32)</f>
        <v>22.32</v>
      </c>
      <c r="F965" s="1">
        <f ca="1">IFERROR(__xludf.DUMMYFUNCTION("""COMPUTED_VALUE"""),14486027)</f>
        <v>14486027</v>
      </c>
    </row>
    <row r="966" spans="1:6" x14ac:dyDescent="0.35">
      <c r="A966" s="2">
        <f ca="1">IFERROR(__xludf.DUMMYFUNCTION("""COMPUTED_VALUE"""),43403.6666666666)</f>
        <v>43403.666666666599</v>
      </c>
      <c r="B966" s="1">
        <f ca="1">IFERROR(__xludf.DUMMYFUNCTION("""COMPUTED_VALUE"""),21.89)</f>
        <v>21.89</v>
      </c>
      <c r="C966" s="1">
        <f ca="1">IFERROR(__xludf.DUMMYFUNCTION("""COMPUTED_VALUE"""),22.53)</f>
        <v>22.53</v>
      </c>
      <c r="D966" s="1">
        <f ca="1">IFERROR(__xludf.DUMMYFUNCTION("""COMPUTED_VALUE"""),21.48)</f>
        <v>21.48</v>
      </c>
      <c r="E966" s="1">
        <f ca="1">IFERROR(__xludf.DUMMYFUNCTION("""COMPUTED_VALUE"""),21.99)</f>
        <v>21.99</v>
      </c>
      <c r="F966" s="1">
        <f ca="1">IFERROR(__xludf.DUMMYFUNCTION("""COMPUTED_VALUE"""),9126704)</f>
        <v>9126704</v>
      </c>
    </row>
    <row r="967" spans="1:6" x14ac:dyDescent="0.35">
      <c r="A967" s="2">
        <f ca="1">IFERROR(__xludf.DUMMYFUNCTION("""COMPUTED_VALUE"""),43404.6666666666)</f>
        <v>43404.666666666599</v>
      </c>
      <c r="B967" s="1">
        <f ca="1">IFERROR(__xludf.DUMMYFUNCTION("""COMPUTED_VALUE"""),22.17)</f>
        <v>22.17</v>
      </c>
      <c r="C967" s="1">
        <f ca="1">IFERROR(__xludf.DUMMYFUNCTION("""COMPUTED_VALUE"""),22.8)</f>
        <v>22.8</v>
      </c>
      <c r="D967" s="1">
        <f ca="1">IFERROR(__xludf.DUMMYFUNCTION("""COMPUTED_VALUE"""),21.94)</f>
        <v>21.94</v>
      </c>
      <c r="E967" s="1">
        <f ca="1">IFERROR(__xludf.DUMMYFUNCTION("""COMPUTED_VALUE"""),22.49)</f>
        <v>22.49</v>
      </c>
      <c r="F967" s="1">
        <f ca="1">IFERROR(__xludf.DUMMYFUNCTION("""COMPUTED_VALUE"""),7624348)</f>
        <v>7624348</v>
      </c>
    </row>
    <row r="968" spans="1:6" x14ac:dyDescent="0.35">
      <c r="A968" s="2">
        <f ca="1">IFERROR(__xludf.DUMMYFUNCTION("""COMPUTED_VALUE"""),43405.6666666666)</f>
        <v>43405.666666666599</v>
      </c>
      <c r="B968" s="1">
        <f ca="1">IFERROR(__xludf.DUMMYFUNCTION("""COMPUTED_VALUE"""),22.55)</f>
        <v>22.55</v>
      </c>
      <c r="C968" s="1">
        <f ca="1">IFERROR(__xludf.DUMMYFUNCTION("""COMPUTED_VALUE"""),23.19)</f>
        <v>23.19</v>
      </c>
      <c r="D968" s="1">
        <f ca="1">IFERROR(__xludf.DUMMYFUNCTION("""COMPUTED_VALUE"""),22.32)</f>
        <v>22.32</v>
      </c>
      <c r="E968" s="1">
        <f ca="1">IFERROR(__xludf.DUMMYFUNCTION("""COMPUTED_VALUE"""),22.95)</f>
        <v>22.95</v>
      </c>
      <c r="F968" s="1">
        <f ca="1">IFERROR(__xludf.DUMMYFUNCTION("""COMPUTED_VALUE"""),8000132)</f>
        <v>8000132</v>
      </c>
    </row>
    <row r="969" spans="1:6" x14ac:dyDescent="0.35">
      <c r="A969" s="2">
        <f ca="1">IFERROR(__xludf.DUMMYFUNCTION("""COMPUTED_VALUE"""),43406.6666666666)</f>
        <v>43406.666666666599</v>
      </c>
      <c r="B969" s="1">
        <f ca="1">IFERROR(__xludf.DUMMYFUNCTION("""COMPUTED_VALUE"""),22.92)</f>
        <v>22.92</v>
      </c>
      <c r="C969" s="1">
        <f ca="1">IFERROR(__xludf.DUMMYFUNCTION("""COMPUTED_VALUE"""),23.28)</f>
        <v>23.28</v>
      </c>
      <c r="D969" s="1">
        <f ca="1">IFERROR(__xludf.DUMMYFUNCTION("""COMPUTED_VALUE"""),22.73)</f>
        <v>22.73</v>
      </c>
      <c r="E969" s="1">
        <f ca="1">IFERROR(__xludf.DUMMYFUNCTION("""COMPUTED_VALUE"""),23.09)</f>
        <v>23.09</v>
      </c>
      <c r="F969" s="1">
        <f ca="1">IFERROR(__xludf.DUMMYFUNCTION("""COMPUTED_VALUE"""),7807971)</f>
        <v>7807971</v>
      </c>
    </row>
    <row r="970" spans="1:6" x14ac:dyDescent="0.35">
      <c r="A970" s="2">
        <f ca="1">IFERROR(__xludf.DUMMYFUNCTION("""COMPUTED_VALUE"""),43409.6666666666)</f>
        <v>43409.666666666599</v>
      </c>
      <c r="B970" s="1">
        <f ca="1">IFERROR(__xludf.DUMMYFUNCTION("""COMPUTED_VALUE"""),22.7)</f>
        <v>22.7</v>
      </c>
      <c r="C970" s="1">
        <f ca="1">IFERROR(__xludf.DUMMYFUNCTION("""COMPUTED_VALUE"""),22.93)</f>
        <v>22.93</v>
      </c>
      <c r="D970" s="1">
        <f ca="1">IFERROR(__xludf.DUMMYFUNCTION("""COMPUTED_VALUE"""),22.01)</f>
        <v>22.01</v>
      </c>
      <c r="E970" s="1">
        <f ca="1">IFERROR(__xludf.DUMMYFUNCTION("""COMPUTED_VALUE"""),22.76)</f>
        <v>22.76</v>
      </c>
      <c r="F970" s="1">
        <f ca="1">IFERROR(__xludf.DUMMYFUNCTION("""COMPUTED_VALUE"""),7831048)</f>
        <v>7831048</v>
      </c>
    </row>
    <row r="971" spans="1:6" x14ac:dyDescent="0.35">
      <c r="A971" s="2">
        <f ca="1">IFERROR(__xludf.DUMMYFUNCTION("""COMPUTED_VALUE"""),43410.6666666666)</f>
        <v>43410.666666666599</v>
      </c>
      <c r="B971" s="1">
        <f ca="1">IFERROR(__xludf.DUMMYFUNCTION("""COMPUTED_VALUE"""),22.6)</f>
        <v>22.6</v>
      </c>
      <c r="C971" s="1">
        <f ca="1">IFERROR(__xludf.DUMMYFUNCTION("""COMPUTED_VALUE"""),23.25)</f>
        <v>23.25</v>
      </c>
      <c r="D971" s="1">
        <f ca="1">IFERROR(__xludf.DUMMYFUNCTION("""COMPUTED_VALUE"""),22.41)</f>
        <v>22.41</v>
      </c>
      <c r="E971" s="1">
        <f ca="1">IFERROR(__xludf.DUMMYFUNCTION("""COMPUTED_VALUE"""),22.74)</f>
        <v>22.74</v>
      </c>
      <c r="F971" s="1">
        <f ca="1">IFERROR(__xludf.DUMMYFUNCTION("""COMPUTED_VALUE"""),6762889)</f>
        <v>6762889</v>
      </c>
    </row>
    <row r="972" spans="1:6" x14ac:dyDescent="0.35">
      <c r="A972" s="2">
        <f ca="1">IFERROR(__xludf.DUMMYFUNCTION("""COMPUTED_VALUE"""),43411.6666666666)</f>
        <v>43411.666666666599</v>
      </c>
      <c r="B972" s="1">
        <f ca="1">IFERROR(__xludf.DUMMYFUNCTION("""COMPUTED_VALUE"""),22.89)</f>
        <v>22.89</v>
      </c>
      <c r="C972" s="1">
        <f ca="1">IFERROR(__xludf.DUMMYFUNCTION("""COMPUTED_VALUE"""),23.41)</f>
        <v>23.41</v>
      </c>
      <c r="D972" s="1">
        <f ca="1">IFERROR(__xludf.DUMMYFUNCTION("""COMPUTED_VALUE"""),22.72)</f>
        <v>22.72</v>
      </c>
      <c r="E972" s="1">
        <f ca="1">IFERROR(__xludf.DUMMYFUNCTION("""COMPUTED_VALUE"""),23.21)</f>
        <v>23.21</v>
      </c>
      <c r="F972" s="1">
        <f ca="1">IFERROR(__xludf.DUMMYFUNCTION("""COMPUTED_VALUE"""),7374522)</f>
        <v>7374522</v>
      </c>
    </row>
    <row r="973" spans="1:6" x14ac:dyDescent="0.35">
      <c r="A973" s="2">
        <f ca="1">IFERROR(__xludf.DUMMYFUNCTION("""COMPUTED_VALUE"""),43412.6666666666)</f>
        <v>43412.666666666599</v>
      </c>
      <c r="B973" s="1">
        <f ca="1">IFERROR(__xludf.DUMMYFUNCTION("""COMPUTED_VALUE"""),23.23)</f>
        <v>23.23</v>
      </c>
      <c r="C973" s="1">
        <f ca="1">IFERROR(__xludf.DUMMYFUNCTION("""COMPUTED_VALUE"""),23.84)</f>
        <v>23.84</v>
      </c>
      <c r="D973" s="1">
        <f ca="1">IFERROR(__xludf.DUMMYFUNCTION("""COMPUTED_VALUE"""),23.23)</f>
        <v>23.23</v>
      </c>
      <c r="E973" s="1">
        <f ca="1">IFERROR(__xludf.DUMMYFUNCTION("""COMPUTED_VALUE"""),23.43)</f>
        <v>23.43</v>
      </c>
      <c r="F973" s="1">
        <f ca="1">IFERROR(__xludf.DUMMYFUNCTION("""COMPUTED_VALUE"""),7090674)</f>
        <v>7090674</v>
      </c>
    </row>
    <row r="974" spans="1:6" x14ac:dyDescent="0.35">
      <c r="A974" s="2">
        <f ca="1">IFERROR(__xludf.DUMMYFUNCTION("""COMPUTED_VALUE"""),43413.6666666666)</f>
        <v>43413.666666666599</v>
      </c>
      <c r="B974" s="1">
        <f ca="1">IFERROR(__xludf.DUMMYFUNCTION("""COMPUTED_VALUE"""),23.27)</f>
        <v>23.27</v>
      </c>
      <c r="C974" s="1">
        <f ca="1">IFERROR(__xludf.DUMMYFUNCTION("""COMPUTED_VALUE"""),23.6)</f>
        <v>23.6</v>
      </c>
      <c r="D974" s="1">
        <f ca="1">IFERROR(__xludf.DUMMYFUNCTION("""COMPUTED_VALUE"""),23.02)</f>
        <v>23.02</v>
      </c>
      <c r="E974" s="1">
        <f ca="1">IFERROR(__xludf.DUMMYFUNCTION("""COMPUTED_VALUE"""),23.37)</f>
        <v>23.37</v>
      </c>
      <c r="F974" s="1">
        <f ca="1">IFERROR(__xludf.DUMMYFUNCTION("""COMPUTED_VALUE"""),5098846)</f>
        <v>5098846</v>
      </c>
    </row>
    <row r="975" spans="1:6" x14ac:dyDescent="0.35">
      <c r="A975" s="2">
        <f ca="1">IFERROR(__xludf.DUMMYFUNCTION("""COMPUTED_VALUE"""),43416.6666666666)</f>
        <v>43416.666666666599</v>
      </c>
      <c r="B975" s="1">
        <f ca="1">IFERROR(__xludf.DUMMYFUNCTION("""COMPUTED_VALUE"""),23.22)</f>
        <v>23.22</v>
      </c>
      <c r="C975" s="1">
        <f ca="1">IFERROR(__xludf.DUMMYFUNCTION("""COMPUTED_VALUE"""),23.32)</f>
        <v>23.32</v>
      </c>
      <c r="D975" s="1">
        <f ca="1">IFERROR(__xludf.DUMMYFUNCTION("""COMPUTED_VALUE"""),22.02)</f>
        <v>22.02</v>
      </c>
      <c r="E975" s="1">
        <f ca="1">IFERROR(__xludf.DUMMYFUNCTION("""COMPUTED_VALUE"""),22.09)</f>
        <v>22.09</v>
      </c>
      <c r="F975" s="1">
        <f ca="1">IFERROR(__xludf.DUMMYFUNCTION("""COMPUTED_VALUE"""),6941523)</f>
        <v>6941523</v>
      </c>
    </row>
    <row r="976" spans="1:6" x14ac:dyDescent="0.35">
      <c r="A976" s="2">
        <f ca="1">IFERROR(__xludf.DUMMYFUNCTION("""COMPUTED_VALUE"""),43417.6666666666)</f>
        <v>43417.666666666599</v>
      </c>
      <c r="B976" s="1">
        <f ca="1">IFERROR(__xludf.DUMMYFUNCTION("""COMPUTED_VALUE"""),22.21)</f>
        <v>22.21</v>
      </c>
      <c r="C976" s="1">
        <f ca="1">IFERROR(__xludf.DUMMYFUNCTION("""COMPUTED_VALUE"""),22.98)</f>
        <v>22.98</v>
      </c>
      <c r="D976" s="1">
        <f ca="1">IFERROR(__xludf.DUMMYFUNCTION("""COMPUTED_VALUE"""),22.15)</f>
        <v>22.15</v>
      </c>
      <c r="E976" s="1">
        <f ca="1">IFERROR(__xludf.DUMMYFUNCTION("""COMPUTED_VALUE"""),22.58)</f>
        <v>22.58</v>
      </c>
      <c r="F976" s="1">
        <f ca="1">IFERROR(__xludf.DUMMYFUNCTION("""COMPUTED_VALUE"""),5448597)</f>
        <v>5448597</v>
      </c>
    </row>
    <row r="977" spans="1:6" x14ac:dyDescent="0.35">
      <c r="A977" s="2">
        <f ca="1">IFERROR(__xludf.DUMMYFUNCTION("""COMPUTED_VALUE"""),43418.6666666666)</f>
        <v>43418.666666666599</v>
      </c>
      <c r="B977" s="1">
        <f ca="1">IFERROR(__xludf.DUMMYFUNCTION("""COMPUTED_VALUE"""),22.85)</f>
        <v>22.85</v>
      </c>
      <c r="C977" s="1">
        <f ca="1">IFERROR(__xludf.DUMMYFUNCTION("""COMPUTED_VALUE"""),23.14)</f>
        <v>23.14</v>
      </c>
      <c r="D977" s="1">
        <f ca="1">IFERROR(__xludf.DUMMYFUNCTION("""COMPUTED_VALUE"""),22.48)</f>
        <v>22.48</v>
      </c>
      <c r="E977" s="1">
        <f ca="1">IFERROR(__xludf.DUMMYFUNCTION("""COMPUTED_VALUE"""),22.93)</f>
        <v>22.93</v>
      </c>
      <c r="F977" s="1">
        <f ca="1">IFERROR(__xludf.DUMMYFUNCTION("""COMPUTED_VALUE"""),5040287)</f>
        <v>5040287</v>
      </c>
    </row>
    <row r="978" spans="1:6" x14ac:dyDescent="0.35">
      <c r="A978" s="2">
        <f ca="1">IFERROR(__xludf.DUMMYFUNCTION("""COMPUTED_VALUE"""),43419.6666666666)</f>
        <v>43419.666666666599</v>
      </c>
      <c r="B978" s="1">
        <f ca="1">IFERROR(__xludf.DUMMYFUNCTION("""COMPUTED_VALUE"""),22.82)</f>
        <v>22.82</v>
      </c>
      <c r="C978" s="1">
        <f ca="1">IFERROR(__xludf.DUMMYFUNCTION("""COMPUTED_VALUE"""),23.24)</f>
        <v>23.24</v>
      </c>
      <c r="D978" s="1">
        <f ca="1">IFERROR(__xludf.DUMMYFUNCTION("""COMPUTED_VALUE"""),22.6)</f>
        <v>22.6</v>
      </c>
      <c r="E978" s="1">
        <f ca="1">IFERROR(__xludf.DUMMYFUNCTION("""COMPUTED_VALUE"""),23.23)</f>
        <v>23.23</v>
      </c>
      <c r="F978" s="1">
        <f ca="1">IFERROR(__xludf.DUMMYFUNCTION("""COMPUTED_VALUE"""),4625719)</f>
        <v>4625719</v>
      </c>
    </row>
    <row r="979" spans="1:6" x14ac:dyDescent="0.35">
      <c r="A979" s="2">
        <f ca="1">IFERROR(__xludf.DUMMYFUNCTION("""COMPUTED_VALUE"""),43420.6666666666)</f>
        <v>43420.666666666599</v>
      </c>
      <c r="B979" s="1">
        <f ca="1">IFERROR(__xludf.DUMMYFUNCTION("""COMPUTED_VALUE"""),23.01)</f>
        <v>23.01</v>
      </c>
      <c r="C979" s="1">
        <f ca="1">IFERROR(__xludf.DUMMYFUNCTION("""COMPUTED_VALUE"""),23.71)</f>
        <v>23.71</v>
      </c>
      <c r="D979" s="1">
        <f ca="1">IFERROR(__xludf.DUMMYFUNCTION("""COMPUTED_VALUE"""),23.01)</f>
        <v>23.01</v>
      </c>
      <c r="E979" s="1">
        <f ca="1">IFERROR(__xludf.DUMMYFUNCTION("""COMPUTED_VALUE"""),23.62)</f>
        <v>23.62</v>
      </c>
      <c r="F979" s="1">
        <f ca="1">IFERROR(__xludf.DUMMYFUNCTION("""COMPUTED_VALUE"""),7206191)</f>
        <v>7206191</v>
      </c>
    </row>
    <row r="980" spans="1:6" x14ac:dyDescent="0.35">
      <c r="A980" s="2">
        <f ca="1">IFERROR(__xludf.DUMMYFUNCTION("""COMPUTED_VALUE"""),43423.6666666666)</f>
        <v>43423.666666666599</v>
      </c>
      <c r="B980" s="1">
        <f ca="1">IFERROR(__xludf.DUMMYFUNCTION("""COMPUTED_VALUE"""),23.76)</f>
        <v>23.76</v>
      </c>
      <c r="C980" s="1">
        <f ca="1">IFERROR(__xludf.DUMMYFUNCTION("""COMPUTED_VALUE"""),24.45)</f>
        <v>24.45</v>
      </c>
      <c r="D980" s="1">
        <f ca="1">IFERROR(__xludf.DUMMYFUNCTION("""COMPUTED_VALUE"""),23.53)</f>
        <v>23.53</v>
      </c>
      <c r="E980" s="1">
        <f ca="1">IFERROR(__xludf.DUMMYFUNCTION("""COMPUTED_VALUE"""),23.56)</f>
        <v>23.56</v>
      </c>
      <c r="F980" s="1">
        <f ca="1">IFERROR(__xludf.DUMMYFUNCTION("""COMPUTED_VALUE"""),9708871)</f>
        <v>9708871</v>
      </c>
    </row>
    <row r="981" spans="1:6" x14ac:dyDescent="0.35">
      <c r="A981" s="2">
        <f ca="1">IFERROR(__xludf.DUMMYFUNCTION("""COMPUTED_VALUE"""),43424.6666666666)</f>
        <v>43424.666666666599</v>
      </c>
      <c r="B981" s="1">
        <f ca="1">IFERROR(__xludf.DUMMYFUNCTION("""COMPUTED_VALUE"""),22.78)</f>
        <v>22.78</v>
      </c>
      <c r="C981" s="1">
        <f ca="1">IFERROR(__xludf.DUMMYFUNCTION("""COMPUTED_VALUE"""),23.32)</f>
        <v>23.32</v>
      </c>
      <c r="D981" s="1">
        <f ca="1">IFERROR(__xludf.DUMMYFUNCTION("""COMPUTED_VALUE"""),22.24)</f>
        <v>22.24</v>
      </c>
      <c r="E981" s="1">
        <f ca="1">IFERROR(__xludf.DUMMYFUNCTION("""COMPUTED_VALUE"""),23.17)</f>
        <v>23.17</v>
      </c>
      <c r="F981" s="1">
        <f ca="1">IFERROR(__xludf.DUMMYFUNCTION("""COMPUTED_VALUE"""),8004709)</f>
        <v>8004709</v>
      </c>
    </row>
    <row r="982" spans="1:6" x14ac:dyDescent="0.35">
      <c r="A982" s="2">
        <f ca="1">IFERROR(__xludf.DUMMYFUNCTION("""COMPUTED_VALUE"""),43425.6666666666)</f>
        <v>43425.666666666599</v>
      </c>
      <c r="B982" s="1">
        <f ca="1">IFERROR(__xludf.DUMMYFUNCTION("""COMPUTED_VALUE"""),23.47)</f>
        <v>23.47</v>
      </c>
      <c r="C982" s="1">
        <f ca="1">IFERROR(__xludf.DUMMYFUNCTION("""COMPUTED_VALUE"""),23.54)</f>
        <v>23.54</v>
      </c>
      <c r="D982" s="1">
        <f ca="1">IFERROR(__xludf.DUMMYFUNCTION("""COMPUTED_VALUE"""),22.49)</f>
        <v>22.49</v>
      </c>
      <c r="E982" s="1">
        <f ca="1">IFERROR(__xludf.DUMMYFUNCTION("""COMPUTED_VALUE"""),22.55)</f>
        <v>22.55</v>
      </c>
      <c r="F982" s="1">
        <f ca="1">IFERROR(__xludf.DUMMYFUNCTION("""COMPUTED_VALUE"""),4686808)</f>
        <v>4686808</v>
      </c>
    </row>
    <row r="983" spans="1:6" x14ac:dyDescent="0.35">
      <c r="A983" s="2">
        <f ca="1">IFERROR(__xludf.DUMMYFUNCTION("""COMPUTED_VALUE"""),43427.5416666666)</f>
        <v>43427.541666666599</v>
      </c>
      <c r="B983" s="1">
        <f ca="1">IFERROR(__xludf.DUMMYFUNCTION("""COMPUTED_VALUE"""),22.29)</f>
        <v>22.29</v>
      </c>
      <c r="C983" s="1">
        <f ca="1">IFERROR(__xludf.DUMMYFUNCTION("""COMPUTED_VALUE"""),22.5)</f>
        <v>22.5</v>
      </c>
      <c r="D983" s="1">
        <f ca="1">IFERROR(__xludf.DUMMYFUNCTION("""COMPUTED_VALUE"""),21.7)</f>
        <v>21.7</v>
      </c>
      <c r="E983" s="1">
        <f ca="1">IFERROR(__xludf.DUMMYFUNCTION("""COMPUTED_VALUE"""),21.72)</f>
        <v>21.72</v>
      </c>
      <c r="F983" s="1">
        <f ca="1">IFERROR(__xludf.DUMMYFUNCTION("""COMPUTED_VALUE"""),4202642)</f>
        <v>4202642</v>
      </c>
    </row>
    <row r="984" spans="1:6" x14ac:dyDescent="0.35">
      <c r="A984" s="2">
        <f ca="1">IFERROR(__xludf.DUMMYFUNCTION("""COMPUTED_VALUE"""),43430.6666666666)</f>
        <v>43430.666666666599</v>
      </c>
      <c r="B984" s="1">
        <f ca="1">IFERROR(__xludf.DUMMYFUNCTION("""COMPUTED_VALUE"""),21.67)</f>
        <v>21.67</v>
      </c>
      <c r="C984" s="1">
        <f ca="1">IFERROR(__xludf.DUMMYFUNCTION("""COMPUTED_VALUE"""),23.08)</f>
        <v>23.08</v>
      </c>
      <c r="D984" s="1">
        <f ca="1">IFERROR(__xludf.DUMMYFUNCTION("""COMPUTED_VALUE"""),21.67)</f>
        <v>21.67</v>
      </c>
      <c r="E984" s="1">
        <f ca="1">IFERROR(__xludf.DUMMYFUNCTION("""COMPUTED_VALUE"""),23.07)</f>
        <v>23.07</v>
      </c>
      <c r="F984" s="1">
        <f ca="1">IFERROR(__xludf.DUMMYFUNCTION("""COMPUTED_VALUE"""),7992141)</f>
        <v>7992141</v>
      </c>
    </row>
    <row r="985" spans="1:6" x14ac:dyDescent="0.35">
      <c r="A985" s="2">
        <f ca="1">IFERROR(__xludf.DUMMYFUNCTION("""COMPUTED_VALUE"""),43431.6666666666)</f>
        <v>43431.666666666599</v>
      </c>
      <c r="B985" s="1">
        <f ca="1">IFERROR(__xludf.DUMMYFUNCTION("""COMPUTED_VALUE"""),22.67)</f>
        <v>22.67</v>
      </c>
      <c r="C985" s="1">
        <f ca="1">IFERROR(__xludf.DUMMYFUNCTION("""COMPUTED_VALUE"""),23.13)</f>
        <v>23.13</v>
      </c>
      <c r="D985" s="1">
        <f ca="1">IFERROR(__xludf.DUMMYFUNCTION("""COMPUTED_VALUE"""),22.37)</f>
        <v>22.37</v>
      </c>
      <c r="E985" s="1">
        <f ca="1">IFERROR(__xludf.DUMMYFUNCTION("""COMPUTED_VALUE"""),22.93)</f>
        <v>22.93</v>
      </c>
      <c r="F985" s="1">
        <f ca="1">IFERROR(__xludf.DUMMYFUNCTION("""COMPUTED_VALUE"""),6358300)</f>
        <v>6358300</v>
      </c>
    </row>
    <row r="986" spans="1:6" x14ac:dyDescent="0.35">
      <c r="A986" s="2">
        <f ca="1">IFERROR(__xludf.DUMMYFUNCTION("""COMPUTED_VALUE"""),43432.6666666666)</f>
        <v>43432.666666666599</v>
      </c>
      <c r="B986" s="1">
        <f ca="1">IFERROR(__xludf.DUMMYFUNCTION("""COMPUTED_VALUE"""),23.07)</f>
        <v>23.07</v>
      </c>
      <c r="C986" s="1">
        <f ca="1">IFERROR(__xludf.DUMMYFUNCTION("""COMPUTED_VALUE"""),23.22)</f>
        <v>23.22</v>
      </c>
      <c r="D986" s="1">
        <f ca="1">IFERROR(__xludf.DUMMYFUNCTION("""COMPUTED_VALUE"""),22.81)</f>
        <v>22.81</v>
      </c>
      <c r="E986" s="1">
        <f ca="1">IFERROR(__xludf.DUMMYFUNCTION("""COMPUTED_VALUE"""),23.19)</f>
        <v>23.19</v>
      </c>
      <c r="F986" s="1">
        <f ca="1">IFERROR(__xludf.DUMMYFUNCTION("""COMPUTED_VALUE"""),4127578)</f>
        <v>4127578</v>
      </c>
    </row>
    <row r="987" spans="1:6" x14ac:dyDescent="0.35">
      <c r="A987" s="2">
        <f ca="1">IFERROR(__xludf.DUMMYFUNCTION("""COMPUTED_VALUE"""),43433.6666666666)</f>
        <v>43433.666666666599</v>
      </c>
      <c r="B987" s="1">
        <f ca="1">IFERROR(__xludf.DUMMYFUNCTION("""COMPUTED_VALUE"""),23.13)</f>
        <v>23.13</v>
      </c>
      <c r="C987" s="1">
        <f ca="1">IFERROR(__xludf.DUMMYFUNCTION("""COMPUTED_VALUE"""),23.17)</f>
        <v>23.17</v>
      </c>
      <c r="D987" s="1">
        <f ca="1">IFERROR(__xludf.DUMMYFUNCTION("""COMPUTED_VALUE"""),22.64)</f>
        <v>22.64</v>
      </c>
      <c r="E987" s="1">
        <f ca="1">IFERROR(__xludf.DUMMYFUNCTION("""COMPUTED_VALUE"""),22.74)</f>
        <v>22.74</v>
      </c>
      <c r="F987" s="1">
        <f ca="1">IFERROR(__xludf.DUMMYFUNCTION("""COMPUTED_VALUE"""),3080724)</f>
        <v>3080724</v>
      </c>
    </row>
    <row r="988" spans="1:6" x14ac:dyDescent="0.35">
      <c r="A988" s="2">
        <f ca="1">IFERROR(__xludf.DUMMYFUNCTION("""COMPUTED_VALUE"""),43434.6666666666)</f>
        <v>43434.666666666599</v>
      </c>
      <c r="B988" s="1">
        <f ca="1">IFERROR(__xludf.DUMMYFUNCTION("""COMPUTED_VALUE"""),22.79)</f>
        <v>22.79</v>
      </c>
      <c r="C988" s="1">
        <f ca="1">IFERROR(__xludf.DUMMYFUNCTION("""COMPUTED_VALUE"""),23.44)</f>
        <v>23.44</v>
      </c>
      <c r="D988" s="1">
        <f ca="1">IFERROR(__xludf.DUMMYFUNCTION("""COMPUTED_VALUE"""),22.55)</f>
        <v>22.55</v>
      </c>
      <c r="E988" s="1">
        <f ca="1">IFERROR(__xludf.DUMMYFUNCTION("""COMPUTED_VALUE"""),23.37)</f>
        <v>23.37</v>
      </c>
      <c r="F988" s="1">
        <f ca="1">IFERROR(__xludf.DUMMYFUNCTION("""COMPUTED_VALUE"""),5628895)</f>
        <v>5628895</v>
      </c>
    </row>
    <row r="989" spans="1:6" x14ac:dyDescent="0.35">
      <c r="A989" s="2">
        <f ca="1">IFERROR(__xludf.DUMMYFUNCTION("""COMPUTED_VALUE"""),43437.6666666666)</f>
        <v>43437.666666666599</v>
      </c>
      <c r="B989" s="1">
        <f ca="1">IFERROR(__xludf.DUMMYFUNCTION("""COMPUTED_VALUE"""),24)</f>
        <v>24</v>
      </c>
      <c r="C989" s="1">
        <f ca="1">IFERROR(__xludf.DUMMYFUNCTION("""COMPUTED_VALUE"""),24.4)</f>
        <v>24.4</v>
      </c>
      <c r="D989" s="1">
        <f ca="1">IFERROR(__xludf.DUMMYFUNCTION("""COMPUTED_VALUE"""),23.47)</f>
        <v>23.47</v>
      </c>
      <c r="E989" s="1">
        <f ca="1">IFERROR(__xludf.DUMMYFUNCTION("""COMPUTED_VALUE"""),23.9)</f>
        <v>23.9</v>
      </c>
      <c r="F989" s="1">
        <f ca="1">IFERROR(__xludf.DUMMYFUNCTION("""COMPUTED_VALUE"""),8306511)</f>
        <v>8306511</v>
      </c>
    </row>
    <row r="990" spans="1:6" x14ac:dyDescent="0.35">
      <c r="A990" s="2">
        <f ca="1">IFERROR(__xludf.DUMMYFUNCTION("""COMPUTED_VALUE"""),43438.6666666666)</f>
        <v>43438.666666666599</v>
      </c>
      <c r="B990" s="1">
        <f ca="1">IFERROR(__xludf.DUMMYFUNCTION("""COMPUTED_VALUE"""),23.74)</f>
        <v>23.74</v>
      </c>
      <c r="C990" s="1">
        <f ca="1">IFERROR(__xludf.DUMMYFUNCTION("""COMPUTED_VALUE"""),24.58)</f>
        <v>24.58</v>
      </c>
      <c r="D990" s="1">
        <f ca="1">IFERROR(__xludf.DUMMYFUNCTION("""COMPUTED_VALUE"""),23.47)</f>
        <v>23.47</v>
      </c>
      <c r="E990" s="1">
        <f ca="1">IFERROR(__xludf.DUMMYFUNCTION("""COMPUTED_VALUE"""),23.98)</f>
        <v>23.98</v>
      </c>
      <c r="F990" s="1">
        <f ca="1">IFERROR(__xludf.DUMMYFUNCTION("""COMPUTED_VALUE"""),8461945)</f>
        <v>8461945</v>
      </c>
    </row>
    <row r="991" spans="1:6" x14ac:dyDescent="0.35">
      <c r="A991" s="2">
        <f ca="1">IFERROR(__xludf.DUMMYFUNCTION("""COMPUTED_VALUE"""),43440.6666666666)</f>
        <v>43440.666666666599</v>
      </c>
      <c r="B991" s="1">
        <f ca="1">IFERROR(__xludf.DUMMYFUNCTION("""COMPUTED_VALUE"""),23.73)</f>
        <v>23.73</v>
      </c>
      <c r="C991" s="1">
        <f ca="1">IFERROR(__xludf.DUMMYFUNCTION("""COMPUTED_VALUE"""),24.49)</f>
        <v>24.49</v>
      </c>
      <c r="D991" s="1">
        <f ca="1">IFERROR(__xludf.DUMMYFUNCTION("""COMPUTED_VALUE"""),23.38)</f>
        <v>23.38</v>
      </c>
      <c r="E991" s="1">
        <f ca="1">IFERROR(__xludf.DUMMYFUNCTION("""COMPUTED_VALUE"""),24.2)</f>
        <v>24.2</v>
      </c>
      <c r="F991" s="1">
        <f ca="1">IFERROR(__xludf.DUMMYFUNCTION("""COMPUTED_VALUE"""),7842508)</f>
        <v>7842508</v>
      </c>
    </row>
    <row r="992" spans="1:6" x14ac:dyDescent="0.35">
      <c r="A992" s="2">
        <f ca="1">IFERROR(__xludf.DUMMYFUNCTION("""COMPUTED_VALUE"""),43441.6666666666)</f>
        <v>43441.666666666599</v>
      </c>
      <c r="B992" s="1">
        <f ca="1">IFERROR(__xludf.DUMMYFUNCTION("""COMPUTED_VALUE"""),24.6)</f>
        <v>24.6</v>
      </c>
      <c r="C992" s="1">
        <f ca="1">IFERROR(__xludf.DUMMYFUNCTION("""COMPUTED_VALUE"""),25.3)</f>
        <v>25.3</v>
      </c>
      <c r="D992" s="1">
        <f ca="1">IFERROR(__xludf.DUMMYFUNCTION("""COMPUTED_VALUE"""),23.84)</f>
        <v>23.84</v>
      </c>
      <c r="E992" s="1">
        <f ca="1">IFERROR(__xludf.DUMMYFUNCTION("""COMPUTED_VALUE"""),23.86)</f>
        <v>23.86</v>
      </c>
      <c r="F992" s="1">
        <f ca="1">IFERROR(__xludf.DUMMYFUNCTION("""COMPUTED_VALUE"""),11511177)</f>
        <v>11511177</v>
      </c>
    </row>
    <row r="993" spans="1:6" x14ac:dyDescent="0.35">
      <c r="A993" s="2">
        <f ca="1">IFERROR(__xludf.DUMMYFUNCTION("""COMPUTED_VALUE"""),43444.6666666666)</f>
        <v>43444.666666666599</v>
      </c>
      <c r="B993" s="1">
        <f ca="1">IFERROR(__xludf.DUMMYFUNCTION("""COMPUTED_VALUE"""),24)</f>
        <v>24</v>
      </c>
      <c r="C993" s="1">
        <f ca="1">IFERROR(__xludf.DUMMYFUNCTION("""COMPUTED_VALUE"""),24.4)</f>
        <v>24.4</v>
      </c>
      <c r="D993" s="1">
        <f ca="1">IFERROR(__xludf.DUMMYFUNCTION("""COMPUTED_VALUE"""),23.54)</f>
        <v>23.54</v>
      </c>
      <c r="E993" s="1">
        <f ca="1">IFERROR(__xludf.DUMMYFUNCTION("""COMPUTED_VALUE"""),24.34)</f>
        <v>24.34</v>
      </c>
      <c r="F993" s="1">
        <f ca="1">IFERROR(__xludf.DUMMYFUNCTION("""COMPUTED_VALUE"""),6613455)</f>
        <v>6613455</v>
      </c>
    </row>
    <row r="994" spans="1:6" x14ac:dyDescent="0.35">
      <c r="A994" s="2">
        <f ca="1">IFERROR(__xludf.DUMMYFUNCTION("""COMPUTED_VALUE"""),43445.6666666666)</f>
        <v>43445.666666666599</v>
      </c>
      <c r="B994" s="1">
        <f ca="1">IFERROR(__xludf.DUMMYFUNCTION("""COMPUTED_VALUE"""),24.66)</f>
        <v>24.66</v>
      </c>
      <c r="C994" s="1">
        <f ca="1">IFERROR(__xludf.DUMMYFUNCTION("""COMPUTED_VALUE"""),24.81)</f>
        <v>24.81</v>
      </c>
      <c r="D994" s="1">
        <f ca="1">IFERROR(__xludf.DUMMYFUNCTION("""COMPUTED_VALUE"""),24.02)</f>
        <v>24.02</v>
      </c>
      <c r="E994" s="1">
        <f ca="1">IFERROR(__xludf.DUMMYFUNCTION("""COMPUTED_VALUE"""),24.45)</f>
        <v>24.45</v>
      </c>
      <c r="F994" s="1">
        <f ca="1">IFERROR(__xludf.DUMMYFUNCTION("""COMPUTED_VALUE"""),6308769)</f>
        <v>6308769</v>
      </c>
    </row>
    <row r="995" spans="1:6" x14ac:dyDescent="0.35">
      <c r="A995" s="2">
        <f ca="1">IFERROR(__xludf.DUMMYFUNCTION("""COMPUTED_VALUE"""),43446.6666666666)</f>
        <v>43446.666666666599</v>
      </c>
      <c r="B995" s="1">
        <f ca="1">IFERROR(__xludf.DUMMYFUNCTION("""COMPUTED_VALUE"""),24.63)</f>
        <v>24.63</v>
      </c>
      <c r="C995" s="1">
        <f ca="1">IFERROR(__xludf.DUMMYFUNCTION("""COMPUTED_VALUE"""),24.79)</f>
        <v>24.79</v>
      </c>
      <c r="D995" s="1">
        <f ca="1">IFERROR(__xludf.DUMMYFUNCTION("""COMPUTED_VALUE"""),24.34)</f>
        <v>24.34</v>
      </c>
      <c r="E995" s="1">
        <f ca="1">IFERROR(__xludf.DUMMYFUNCTION("""COMPUTED_VALUE"""),24.44)</f>
        <v>24.44</v>
      </c>
      <c r="F995" s="1">
        <f ca="1">IFERROR(__xludf.DUMMYFUNCTION("""COMPUTED_VALUE"""),5027048)</f>
        <v>5027048</v>
      </c>
    </row>
    <row r="996" spans="1:6" x14ac:dyDescent="0.35">
      <c r="A996" s="2">
        <f ca="1">IFERROR(__xludf.DUMMYFUNCTION("""COMPUTED_VALUE"""),43447.6666666666)</f>
        <v>43447.666666666599</v>
      </c>
      <c r="B996" s="1">
        <f ca="1">IFERROR(__xludf.DUMMYFUNCTION("""COMPUTED_VALUE"""),24.68)</f>
        <v>24.68</v>
      </c>
      <c r="C996" s="1">
        <f ca="1">IFERROR(__xludf.DUMMYFUNCTION("""COMPUTED_VALUE"""),25.16)</f>
        <v>25.16</v>
      </c>
      <c r="D996" s="1">
        <f ca="1">IFERROR(__xludf.DUMMYFUNCTION("""COMPUTED_VALUE"""),24.45)</f>
        <v>24.45</v>
      </c>
      <c r="E996" s="1">
        <f ca="1">IFERROR(__xludf.DUMMYFUNCTION("""COMPUTED_VALUE"""),25.12)</f>
        <v>25.12</v>
      </c>
      <c r="F996" s="1">
        <f ca="1">IFERROR(__xludf.DUMMYFUNCTION("""COMPUTED_VALUE"""),7365854)</f>
        <v>7365854</v>
      </c>
    </row>
    <row r="997" spans="1:6" x14ac:dyDescent="0.35">
      <c r="A997" s="2">
        <f ca="1">IFERROR(__xludf.DUMMYFUNCTION("""COMPUTED_VALUE"""),43448.6666666666)</f>
        <v>43448.666666666599</v>
      </c>
      <c r="B997" s="1">
        <f ca="1">IFERROR(__xludf.DUMMYFUNCTION("""COMPUTED_VALUE"""),25)</f>
        <v>25</v>
      </c>
      <c r="C997" s="1">
        <f ca="1">IFERROR(__xludf.DUMMYFUNCTION("""COMPUTED_VALUE"""),25.19)</f>
        <v>25.19</v>
      </c>
      <c r="D997" s="1">
        <f ca="1">IFERROR(__xludf.DUMMYFUNCTION("""COMPUTED_VALUE"""),24.29)</f>
        <v>24.29</v>
      </c>
      <c r="E997" s="1">
        <f ca="1">IFERROR(__xludf.DUMMYFUNCTION("""COMPUTED_VALUE"""),24.38)</f>
        <v>24.38</v>
      </c>
      <c r="F997" s="1">
        <f ca="1">IFERROR(__xludf.DUMMYFUNCTION("""COMPUTED_VALUE"""),6337555)</f>
        <v>6337555</v>
      </c>
    </row>
    <row r="998" spans="1:6" x14ac:dyDescent="0.35">
      <c r="A998" s="2">
        <f ca="1">IFERROR(__xludf.DUMMYFUNCTION("""COMPUTED_VALUE"""),43451.6666666666)</f>
        <v>43451.666666666599</v>
      </c>
      <c r="B998" s="1">
        <f ca="1">IFERROR(__xludf.DUMMYFUNCTION("""COMPUTED_VALUE"""),24.13)</f>
        <v>24.13</v>
      </c>
      <c r="C998" s="1">
        <f ca="1">IFERROR(__xludf.DUMMYFUNCTION("""COMPUTED_VALUE"""),24.38)</f>
        <v>24.38</v>
      </c>
      <c r="D998" s="1">
        <f ca="1">IFERROR(__xludf.DUMMYFUNCTION("""COMPUTED_VALUE"""),22.93)</f>
        <v>22.93</v>
      </c>
      <c r="E998" s="1">
        <f ca="1">IFERROR(__xludf.DUMMYFUNCTION("""COMPUTED_VALUE"""),23.23)</f>
        <v>23.23</v>
      </c>
      <c r="F998" s="1">
        <f ca="1">IFERROR(__xludf.DUMMYFUNCTION("""COMPUTED_VALUE"""),7674008)</f>
        <v>7674008</v>
      </c>
    </row>
    <row r="999" spans="1:6" x14ac:dyDescent="0.35">
      <c r="A999" s="2">
        <f ca="1">IFERROR(__xludf.DUMMYFUNCTION("""COMPUTED_VALUE"""),43452.6666666666)</f>
        <v>43452.666666666599</v>
      </c>
      <c r="B999" s="1">
        <f ca="1">IFERROR(__xludf.DUMMYFUNCTION("""COMPUTED_VALUE"""),23.37)</f>
        <v>23.37</v>
      </c>
      <c r="C999" s="1">
        <f ca="1">IFERROR(__xludf.DUMMYFUNCTION("""COMPUTED_VALUE"""),23.44)</f>
        <v>23.44</v>
      </c>
      <c r="D999" s="1">
        <f ca="1">IFERROR(__xludf.DUMMYFUNCTION("""COMPUTED_VALUE"""),22.25)</f>
        <v>22.25</v>
      </c>
      <c r="E999" s="1">
        <f ca="1">IFERROR(__xludf.DUMMYFUNCTION("""COMPUTED_VALUE"""),22.47)</f>
        <v>22.47</v>
      </c>
      <c r="F999" s="1">
        <f ca="1">IFERROR(__xludf.DUMMYFUNCTION("""COMPUTED_VALUE"""),7099999)</f>
        <v>7099999</v>
      </c>
    </row>
    <row r="1000" spans="1:6" x14ac:dyDescent="0.35">
      <c r="A1000" s="2">
        <f ca="1">IFERROR(__xludf.DUMMYFUNCTION("""COMPUTED_VALUE"""),43453.6666666666)</f>
        <v>43453.666666666599</v>
      </c>
      <c r="B1000" s="1">
        <f ca="1">IFERROR(__xludf.DUMMYFUNCTION("""COMPUTED_VALUE"""),22.51)</f>
        <v>22.51</v>
      </c>
      <c r="C1000" s="1">
        <f ca="1">IFERROR(__xludf.DUMMYFUNCTION("""COMPUTED_VALUE"""),23.13)</f>
        <v>23.13</v>
      </c>
      <c r="D1000" s="1">
        <f ca="1">IFERROR(__xludf.DUMMYFUNCTION("""COMPUTED_VALUE"""),21.98)</f>
        <v>21.98</v>
      </c>
      <c r="E1000" s="1">
        <f ca="1">IFERROR(__xludf.DUMMYFUNCTION("""COMPUTED_VALUE"""),22.2)</f>
        <v>22.2</v>
      </c>
      <c r="F1000" s="1">
        <f ca="1">IFERROR(__xludf.DUMMYFUNCTION("""COMPUTED_VALUE"""),8274181)</f>
        <v>8274181</v>
      </c>
    </row>
    <row r="1001" spans="1:6" x14ac:dyDescent="0.35">
      <c r="A1001" s="2">
        <f ca="1">IFERROR(__xludf.DUMMYFUNCTION("""COMPUTED_VALUE"""),43454.6666666666)</f>
        <v>43454.666666666599</v>
      </c>
      <c r="B1001" s="1">
        <f ca="1">IFERROR(__xludf.DUMMYFUNCTION("""COMPUTED_VALUE"""),21.8)</f>
        <v>21.8</v>
      </c>
      <c r="C1001" s="1">
        <f ca="1">IFERROR(__xludf.DUMMYFUNCTION("""COMPUTED_VALUE"""),22.02)</f>
        <v>22.02</v>
      </c>
      <c r="D1001" s="1">
        <f ca="1">IFERROR(__xludf.DUMMYFUNCTION("""COMPUTED_VALUE"""),20.79)</f>
        <v>20.79</v>
      </c>
      <c r="E1001" s="1">
        <f ca="1">IFERROR(__xludf.DUMMYFUNCTION("""COMPUTED_VALUE"""),21.03)</f>
        <v>21.03</v>
      </c>
      <c r="F1001" s="1">
        <f ca="1">IFERROR(__xludf.DUMMYFUNCTION("""COMPUTED_VALUE"""),9071858)</f>
        <v>9071858</v>
      </c>
    </row>
    <row r="1002" spans="1:6" x14ac:dyDescent="0.35">
      <c r="A1002" s="2">
        <f ca="1">IFERROR(__xludf.DUMMYFUNCTION("""COMPUTED_VALUE"""),43455.6666666666)</f>
        <v>43455.666666666599</v>
      </c>
      <c r="B1002" s="1">
        <f ca="1">IFERROR(__xludf.DUMMYFUNCTION("""COMPUTED_VALUE"""),21.16)</f>
        <v>21.16</v>
      </c>
      <c r="C1002" s="1">
        <f ca="1">IFERROR(__xludf.DUMMYFUNCTION("""COMPUTED_VALUE"""),21.56)</f>
        <v>21.56</v>
      </c>
      <c r="D1002" s="1">
        <f ca="1">IFERROR(__xludf.DUMMYFUNCTION("""COMPUTED_VALUE"""),20.83)</f>
        <v>20.83</v>
      </c>
      <c r="E1002" s="1">
        <f ca="1">IFERROR(__xludf.DUMMYFUNCTION("""COMPUTED_VALUE"""),21.32)</f>
        <v>21.32</v>
      </c>
      <c r="F1002" s="1">
        <f ca="1">IFERROR(__xludf.DUMMYFUNCTION("""COMPUTED_VALUE"""),8016801)</f>
        <v>8016801</v>
      </c>
    </row>
    <row r="1003" spans="1:6" x14ac:dyDescent="0.35">
      <c r="A1003" s="2">
        <f ca="1">IFERROR(__xludf.DUMMYFUNCTION("""COMPUTED_VALUE"""),43458.5416666666)</f>
        <v>43458.541666666599</v>
      </c>
      <c r="B1003" s="1">
        <f ca="1">IFERROR(__xludf.DUMMYFUNCTION("""COMPUTED_VALUE"""),20.9)</f>
        <v>20.9</v>
      </c>
      <c r="C1003" s="1">
        <f ca="1">IFERROR(__xludf.DUMMYFUNCTION("""COMPUTED_VALUE"""),20.97)</f>
        <v>20.97</v>
      </c>
      <c r="D1003" s="1">
        <f ca="1">IFERROR(__xludf.DUMMYFUNCTION("""COMPUTED_VALUE"""),19.68)</f>
        <v>19.68</v>
      </c>
      <c r="E1003" s="1">
        <f ca="1">IFERROR(__xludf.DUMMYFUNCTION("""COMPUTED_VALUE"""),19.69)</f>
        <v>19.690000000000001</v>
      </c>
      <c r="F1003" s="1">
        <f ca="1">IFERROR(__xludf.DUMMYFUNCTION("""COMPUTED_VALUE"""),5559913)</f>
        <v>5559913</v>
      </c>
    </row>
    <row r="1004" spans="1:6" x14ac:dyDescent="0.35">
      <c r="A1004" s="2">
        <f ca="1">IFERROR(__xludf.DUMMYFUNCTION("""COMPUTED_VALUE"""),43460.6666666666)</f>
        <v>43460.666666666599</v>
      </c>
      <c r="B1004" s="1">
        <f ca="1">IFERROR(__xludf.DUMMYFUNCTION("""COMPUTED_VALUE"""),20)</f>
        <v>20</v>
      </c>
      <c r="C1004" s="1">
        <f ca="1">IFERROR(__xludf.DUMMYFUNCTION("""COMPUTED_VALUE"""),21.8)</f>
        <v>21.8</v>
      </c>
      <c r="D1004" s="1">
        <f ca="1">IFERROR(__xludf.DUMMYFUNCTION("""COMPUTED_VALUE"""),19.61)</f>
        <v>19.61</v>
      </c>
      <c r="E1004" s="1">
        <f ca="1">IFERROR(__xludf.DUMMYFUNCTION("""COMPUTED_VALUE"""),21.74)</f>
        <v>21.74</v>
      </c>
      <c r="F1004" s="1">
        <f ca="1">IFERROR(__xludf.DUMMYFUNCTION("""COMPUTED_VALUE"""),8163138)</f>
        <v>8163138</v>
      </c>
    </row>
    <row r="1005" spans="1:6" x14ac:dyDescent="0.35">
      <c r="A1005" s="2">
        <f ca="1">IFERROR(__xludf.DUMMYFUNCTION("""COMPUTED_VALUE"""),43461.6666666666)</f>
        <v>43461.666666666599</v>
      </c>
      <c r="B1005" s="1">
        <f ca="1">IFERROR(__xludf.DUMMYFUNCTION("""COMPUTED_VALUE"""),21.32)</f>
        <v>21.32</v>
      </c>
      <c r="C1005" s="1">
        <f ca="1">IFERROR(__xludf.DUMMYFUNCTION("""COMPUTED_VALUE"""),21.48)</f>
        <v>21.48</v>
      </c>
      <c r="D1005" s="1">
        <f ca="1">IFERROR(__xludf.DUMMYFUNCTION("""COMPUTED_VALUE"""),20.1)</f>
        <v>20.100000000000001</v>
      </c>
      <c r="E1005" s="1">
        <f ca="1">IFERROR(__xludf.DUMMYFUNCTION("""COMPUTED_VALUE"""),21.08)</f>
        <v>21.08</v>
      </c>
      <c r="F1005" s="1">
        <f ca="1">IFERROR(__xludf.DUMMYFUNCTION("""COMPUTED_VALUE"""),8575133)</f>
        <v>8575133</v>
      </c>
    </row>
    <row r="1006" spans="1:6" x14ac:dyDescent="0.35">
      <c r="A1006" s="2">
        <f ca="1">IFERROR(__xludf.DUMMYFUNCTION("""COMPUTED_VALUE"""),43462.6666666666)</f>
        <v>43462.666666666599</v>
      </c>
      <c r="B1006" s="1">
        <f ca="1">IFERROR(__xludf.DUMMYFUNCTION("""COMPUTED_VALUE"""),21.54)</f>
        <v>21.54</v>
      </c>
      <c r="C1006" s="1">
        <f ca="1">IFERROR(__xludf.DUMMYFUNCTION("""COMPUTED_VALUE"""),22.42)</f>
        <v>22.42</v>
      </c>
      <c r="D1006" s="1">
        <f ca="1">IFERROR(__xludf.DUMMYFUNCTION("""COMPUTED_VALUE"""),21.23)</f>
        <v>21.23</v>
      </c>
      <c r="E1006" s="1">
        <f ca="1">IFERROR(__xludf.DUMMYFUNCTION("""COMPUTED_VALUE"""),22.26)</f>
        <v>22.26</v>
      </c>
      <c r="F1006" s="1">
        <f ca="1">IFERROR(__xludf.DUMMYFUNCTION("""COMPUTED_VALUE"""),9938992)</f>
        <v>9938992</v>
      </c>
    </row>
    <row r="1007" spans="1:6" x14ac:dyDescent="0.35">
      <c r="A1007" s="2">
        <f ca="1">IFERROR(__xludf.DUMMYFUNCTION("""COMPUTED_VALUE"""),43465.6666666666)</f>
        <v>43465.666666666599</v>
      </c>
      <c r="B1007" s="1">
        <f ca="1">IFERROR(__xludf.DUMMYFUNCTION("""COMPUTED_VALUE"""),22.52)</f>
        <v>22.52</v>
      </c>
      <c r="C1007" s="1">
        <f ca="1">IFERROR(__xludf.DUMMYFUNCTION("""COMPUTED_VALUE"""),22.61)</f>
        <v>22.61</v>
      </c>
      <c r="D1007" s="1">
        <f ca="1">IFERROR(__xludf.DUMMYFUNCTION("""COMPUTED_VALUE"""),21.68)</f>
        <v>21.68</v>
      </c>
      <c r="E1007" s="1">
        <f ca="1">IFERROR(__xludf.DUMMYFUNCTION("""COMPUTED_VALUE"""),22.19)</f>
        <v>22.19</v>
      </c>
      <c r="F1007" s="1">
        <f ca="1">IFERROR(__xludf.DUMMYFUNCTION("""COMPUTED_VALUE"""),6302338)</f>
        <v>6302338</v>
      </c>
    </row>
    <row r="1008" spans="1:6" x14ac:dyDescent="0.35">
      <c r="A1008" s="2">
        <f ca="1">IFERROR(__xludf.DUMMYFUNCTION("""COMPUTED_VALUE"""),43467.6666666666)</f>
        <v>43467.666666666599</v>
      </c>
      <c r="B1008" s="1">
        <f ca="1">IFERROR(__xludf.DUMMYFUNCTION("""COMPUTED_VALUE"""),20.41)</f>
        <v>20.41</v>
      </c>
      <c r="C1008" s="1">
        <f ca="1">IFERROR(__xludf.DUMMYFUNCTION("""COMPUTED_VALUE"""),21.01)</f>
        <v>21.01</v>
      </c>
      <c r="D1008" s="1">
        <f ca="1">IFERROR(__xludf.DUMMYFUNCTION("""COMPUTED_VALUE"""),19.92)</f>
        <v>19.920000000000002</v>
      </c>
      <c r="E1008" s="1">
        <f ca="1">IFERROR(__xludf.DUMMYFUNCTION("""COMPUTED_VALUE"""),20.67)</f>
        <v>20.67</v>
      </c>
      <c r="F1008" s="1">
        <f ca="1">IFERROR(__xludf.DUMMYFUNCTION("""COMPUTED_VALUE"""),11658648)</f>
        <v>11658648</v>
      </c>
    </row>
    <row r="1009" spans="1:6" x14ac:dyDescent="0.35">
      <c r="A1009" s="2">
        <f ca="1">IFERROR(__xludf.DUMMYFUNCTION("""COMPUTED_VALUE"""),43468.6666666666)</f>
        <v>43468.666666666599</v>
      </c>
      <c r="B1009" s="1">
        <f ca="1">IFERROR(__xludf.DUMMYFUNCTION("""COMPUTED_VALUE"""),20.47)</f>
        <v>20.47</v>
      </c>
      <c r="C1009" s="1">
        <f ca="1">IFERROR(__xludf.DUMMYFUNCTION("""COMPUTED_VALUE"""),20.63)</f>
        <v>20.63</v>
      </c>
      <c r="D1009" s="1">
        <f ca="1">IFERROR(__xludf.DUMMYFUNCTION("""COMPUTED_VALUE"""),19.83)</f>
        <v>19.829999999999998</v>
      </c>
      <c r="E1009" s="1">
        <f ca="1">IFERROR(__xludf.DUMMYFUNCTION("""COMPUTED_VALUE"""),20.02)</f>
        <v>20.02</v>
      </c>
      <c r="F1009" s="1">
        <f ca="1">IFERROR(__xludf.DUMMYFUNCTION("""COMPUTED_VALUE"""),6965184)</f>
        <v>6965184</v>
      </c>
    </row>
    <row r="1010" spans="1:6" x14ac:dyDescent="0.35">
      <c r="A1010" s="2">
        <f ca="1">IFERROR(__xludf.DUMMYFUNCTION("""COMPUTED_VALUE"""),43469.6666666666)</f>
        <v>43469.666666666599</v>
      </c>
      <c r="B1010" s="1">
        <f ca="1">IFERROR(__xludf.DUMMYFUNCTION("""COMPUTED_VALUE"""),20.4)</f>
        <v>20.399999999999999</v>
      </c>
      <c r="C1010" s="1">
        <f ca="1">IFERROR(__xludf.DUMMYFUNCTION("""COMPUTED_VALUE"""),21.2)</f>
        <v>21.2</v>
      </c>
      <c r="D1010" s="1">
        <f ca="1">IFERROR(__xludf.DUMMYFUNCTION("""COMPUTED_VALUE"""),20.18)</f>
        <v>20.18</v>
      </c>
      <c r="E1010" s="1">
        <f ca="1">IFERROR(__xludf.DUMMYFUNCTION("""COMPUTED_VALUE"""),21.18)</f>
        <v>21.18</v>
      </c>
      <c r="F1010" s="1">
        <f ca="1">IFERROR(__xludf.DUMMYFUNCTION("""COMPUTED_VALUE"""),7394116)</f>
        <v>7394116</v>
      </c>
    </row>
    <row r="1011" spans="1:6" x14ac:dyDescent="0.35">
      <c r="A1011" s="2">
        <f ca="1">IFERROR(__xludf.DUMMYFUNCTION("""COMPUTED_VALUE"""),43472.6666666666)</f>
        <v>43472.666666666599</v>
      </c>
      <c r="B1011" s="1">
        <f ca="1">IFERROR(__xludf.DUMMYFUNCTION("""COMPUTED_VALUE"""),21.45)</f>
        <v>21.45</v>
      </c>
      <c r="C1011" s="1">
        <f ca="1">IFERROR(__xludf.DUMMYFUNCTION("""COMPUTED_VALUE"""),22.45)</f>
        <v>22.45</v>
      </c>
      <c r="D1011" s="1">
        <f ca="1">IFERROR(__xludf.DUMMYFUNCTION("""COMPUTED_VALUE"""),21.18)</f>
        <v>21.18</v>
      </c>
      <c r="E1011" s="1">
        <f ca="1">IFERROR(__xludf.DUMMYFUNCTION("""COMPUTED_VALUE"""),22.33)</f>
        <v>22.33</v>
      </c>
      <c r="F1011" s="1">
        <f ca="1">IFERROR(__xludf.DUMMYFUNCTION("""COMPUTED_VALUE"""),7551225)</f>
        <v>7551225</v>
      </c>
    </row>
    <row r="1012" spans="1:6" x14ac:dyDescent="0.35">
      <c r="A1012" s="2">
        <f ca="1">IFERROR(__xludf.DUMMYFUNCTION("""COMPUTED_VALUE"""),43473.6666666666)</f>
        <v>43473.666666666599</v>
      </c>
      <c r="B1012" s="1">
        <f ca="1">IFERROR(__xludf.DUMMYFUNCTION("""COMPUTED_VALUE"""),22.8)</f>
        <v>22.8</v>
      </c>
      <c r="C1012" s="1">
        <f ca="1">IFERROR(__xludf.DUMMYFUNCTION("""COMPUTED_VALUE"""),22.93)</f>
        <v>22.93</v>
      </c>
      <c r="D1012" s="1">
        <f ca="1">IFERROR(__xludf.DUMMYFUNCTION("""COMPUTED_VALUE"""),21.8)</f>
        <v>21.8</v>
      </c>
      <c r="E1012" s="1">
        <f ca="1">IFERROR(__xludf.DUMMYFUNCTION("""COMPUTED_VALUE"""),22.36)</f>
        <v>22.36</v>
      </c>
      <c r="F1012" s="1">
        <f ca="1">IFERROR(__xludf.DUMMYFUNCTION("""COMPUTED_VALUE"""),7008516)</f>
        <v>7008516</v>
      </c>
    </row>
    <row r="1013" spans="1:6" x14ac:dyDescent="0.35">
      <c r="A1013" s="2">
        <f ca="1">IFERROR(__xludf.DUMMYFUNCTION("""COMPUTED_VALUE"""),43474.6666666666)</f>
        <v>43474.666666666599</v>
      </c>
      <c r="B1013" s="1">
        <f ca="1">IFERROR(__xludf.DUMMYFUNCTION("""COMPUTED_VALUE"""),22.37)</f>
        <v>22.37</v>
      </c>
      <c r="C1013" s="1">
        <f ca="1">IFERROR(__xludf.DUMMYFUNCTION("""COMPUTED_VALUE"""),22.9)</f>
        <v>22.9</v>
      </c>
      <c r="D1013" s="1">
        <f ca="1">IFERROR(__xludf.DUMMYFUNCTION("""COMPUTED_VALUE"""),22.1)</f>
        <v>22.1</v>
      </c>
      <c r="E1013" s="1">
        <f ca="1">IFERROR(__xludf.DUMMYFUNCTION("""COMPUTED_VALUE"""),22.57)</f>
        <v>22.57</v>
      </c>
      <c r="F1013" s="1">
        <f ca="1">IFERROR(__xludf.DUMMYFUNCTION("""COMPUTED_VALUE"""),5432945)</f>
        <v>5432945</v>
      </c>
    </row>
    <row r="1014" spans="1:6" x14ac:dyDescent="0.35">
      <c r="A1014" s="2">
        <f ca="1">IFERROR(__xludf.DUMMYFUNCTION("""COMPUTED_VALUE"""),43475.6666666666)</f>
        <v>43475.666666666599</v>
      </c>
      <c r="B1014" s="1">
        <f ca="1">IFERROR(__xludf.DUMMYFUNCTION("""COMPUTED_VALUE"""),22.29)</f>
        <v>22.29</v>
      </c>
      <c r="C1014" s="1">
        <f ca="1">IFERROR(__xludf.DUMMYFUNCTION("""COMPUTED_VALUE"""),23.03)</f>
        <v>23.03</v>
      </c>
      <c r="D1014" s="1">
        <f ca="1">IFERROR(__xludf.DUMMYFUNCTION("""COMPUTED_VALUE"""),22.12)</f>
        <v>22.12</v>
      </c>
      <c r="E1014" s="1">
        <f ca="1">IFERROR(__xludf.DUMMYFUNCTION("""COMPUTED_VALUE"""),23)</f>
        <v>23</v>
      </c>
      <c r="F1014" s="1">
        <f ca="1">IFERROR(__xludf.DUMMYFUNCTION("""COMPUTED_VALUE"""),6056354)</f>
        <v>6056354</v>
      </c>
    </row>
    <row r="1015" spans="1:6" x14ac:dyDescent="0.35">
      <c r="A1015" s="2">
        <f ca="1">IFERROR(__xludf.DUMMYFUNCTION("""COMPUTED_VALUE"""),43476.6666666666)</f>
        <v>43476.666666666599</v>
      </c>
      <c r="B1015" s="1">
        <f ca="1">IFERROR(__xludf.DUMMYFUNCTION("""COMPUTED_VALUE"""),22.81)</f>
        <v>22.81</v>
      </c>
      <c r="C1015" s="1">
        <f ca="1">IFERROR(__xludf.DUMMYFUNCTION("""COMPUTED_VALUE"""),23.23)</f>
        <v>23.23</v>
      </c>
      <c r="D1015" s="1">
        <f ca="1">IFERROR(__xludf.DUMMYFUNCTION("""COMPUTED_VALUE"""),22.58)</f>
        <v>22.58</v>
      </c>
      <c r="E1015" s="1">
        <f ca="1">IFERROR(__xludf.DUMMYFUNCTION("""COMPUTED_VALUE"""),23.15)</f>
        <v>23.15</v>
      </c>
      <c r="F1015" s="1">
        <f ca="1">IFERROR(__xludf.DUMMYFUNCTION("""COMPUTED_VALUE"""),5039052)</f>
        <v>5039052</v>
      </c>
    </row>
    <row r="1016" spans="1:6" x14ac:dyDescent="0.35">
      <c r="A1016" s="2">
        <f ca="1">IFERROR(__xludf.DUMMYFUNCTION("""COMPUTED_VALUE"""),43479.6666666666)</f>
        <v>43479.666666666599</v>
      </c>
      <c r="B1016" s="1">
        <f ca="1">IFERROR(__xludf.DUMMYFUNCTION("""COMPUTED_VALUE"""),22.83)</f>
        <v>22.83</v>
      </c>
      <c r="C1016" s="1">
        <f ca="1">IFERROR(__xludf.DUMMYFUNCTION("""COMPUTED_VALUE"""),22.83)</f>
        <v>22.83</v>
      </c>
      <c r="D1016" s="1">
        <f ca="1">IFERROR(__xludf.DUMMYFUNCTION("""COMPUTED_VALUE"""),22.27)</f>
        <v>22.27</v>
      </c>
      <c r="E1016" s="1">
        <f ca="1">IFERROR(__xludf.DUMMYFUNCTION("""COMPUTED_VALUE"""),22.29)</f>
        <v>22.29</v>
      </c>
      <c r="F1016" s="1">
        <f ca="1">IFERROR(__xludf.DUMMYFUNCTION("""COMPUTED_VALUE"""),5247284)</f>
        <v>5247284</v>
      </c>
    </row>
    <row r="1017" spans="1:6" x14ac:dyDescent="0.35">
      <c r="A1017" s="2">
        <f ca="1">IFERROR(__xludf.DUMMYFUNCTION("""COMPUTED_VALUE"""),43480.6666666666)</f>
        <v>43480.666666666599</v>
      </c>
      <c r="B1017" s="1">
        <f ca="1">IFERROR(__xludf.DUMMYFUNCTION("""COMPUTED_VALUE"""),22.33)</f>
        <v>22.33</v>
      </c>
      <c r="C1017" s="1">
        <f ca="1">IFERROR(__xludf.DUMMYFUNCTION("""COMPUTED_VALUE"""),23.25)</f>
        <v>23.25</v>
      </c>
      <c r="D1017" s="1">
        <f ca="1">IFERROR(__xludf.DUMMYFUNCTION("""COMPUTED_VALUE"""),22.3)</f>
        <v>22.3</v>
      </c>
      <c r="E1017" s="1">
        <f ca="1">IFERROR(__xludf.DUMMYFUNCTION("""COMPUTED_VALUE"""),22.96)</f>
        <v>22.96</v>
      </c>
      <c r="F1017" s="1">
        <f ca="1">IFERROR(__xludf.DUMMYFUNCTION("""COMPUTED_VALUE"""),6056590)</f>
        <v>6056590</v>
      </c>
    </row>
    <row r="1018" spans="1:6" x14ac:dyDescent="0.35">
      <c r="A1018" s="2">
        <f ca="1">IFERROR(__xludf.DUMMYFUNCTION("""COMPUTED_VALUE"""),43481.6666666666)</f>
        <v>43481.666666666599</v>
      </c>
      <c r="B1018" s="1">
        <f ca="1">IFERROR(__xludf.DUMMYFUNCTION("""COMPUTED_VALUE"""),22.99)</f>
        <v>22.99</v>
      </c>
      <c r="C1018" s="1">
        <f ca="1">IFERROR(__xludf.DUMMYFUNCTION("""COMPUTED_VALUE"""),23.47)</f>
        <v>23.47</v>
      </c>
      <c r="D1018" s="1">
        <f ca="1">IFERROR(__xludf.DUMMYFUNCTION("""COMPUTED_VALUE"""),22.9)</f>
        <v>22.9</v>
      </c>
      <c r="E1018" s="1">
        <f ca="1">IFERROR(__xludf.DUMMYFUNCTION("""COMPUTED_VALUE"""),23.07)</f>
        <v>23.07</v>
      </c>
      <c r="F1018" s="1">
        <f ca="1">IFERROR(__xludf.DUMMYFUNCTION("""COMPUTED_VALUE"""),4691739)</f>
        <v>4691739</v>
      </c>
    </row>
    <row r="1019" spans="1:6" x14ac:dyDescent="0.35">
      <c r="A1019" s="2">
        <f ca="1">IFERROR(__xludf.DUMMYFUNCTION("""COMPUTED_VALUE"""),43482.6666666666)</f>
        <v>43482.666666666599</v>
      </c>
      <c r="B1019" s="1">
        <f ca="1">IFERROR(__xludf.DUMMYFUNCTION("""COMPUTED_VALUE"""),23.08)</f>
        <v>23.08</v>
      </c>
      <c r="C1019" s="1">
        <f ca="1">IFERROR(__xludf.DUMMYFUNCTION("""COMPUTED_VALUE"""),23.43)</f>
        <v>23.43</v>
      </c>
      <c r="D1019" s="1">
        <f ca="1">IFERROR(__xludf.DUMMYFUNCTION("""COMPUTED_VALUE"""),22.94)</f>
        <v>22.94</v>
      </c>
      <c r="E1019" s="1">
        <f ca="1">IFERROR(__xludf.DUMMYFUNCTION("""COMPUTED_VALUE"""),23.15)</f>
        <v>23.15</v>
      </c>
      <c r="F1019" s="1">
        <f ca="1">IFERROR(__xludf.DUMMYFUNCTION("""COMPUTED_VALUE"""),3676733)</f>
        <v>3676733</v>
      </c>
    </row>
    <row r="1020" spans="1:6" x14ac:dyDescent="0.35">
      <c r="A1020" s="2">
        <f ca="1">IFERROR(__xludf.DUMMYFUNCTION("""COMPUTED_VALUE"""),43483.6666666666)</f>
        <v>43483.666666666599</v>
      </c>
      <c r="B1020" s="1">
        <f ca="1">IFERROR(__xludf.DUMMYFUNCTION("""COMPUTED_VALUE"""),21.53)</f>
        <v>21.53</v>
      </c>
      <c r="C1020" s="1">
        <f ca="1">IFERROR(__xludf.DUMMYFUNCTION("""COMPUTED_VALUE"""),21.81)</f>
        <v>21.81</v>
      </c>
      <c r="D1020" s="1">
        <f ca="1">IFERROR(__xludf.DUMMYFUNCTION("""COMPUTED_VALUE"""),19.98)</f>
        <v>19.98</v>
      </c>
      <c r="E1020" s="1">
        <f ca="1">IFERROR(__xludf.DUMMYFUNCTION("""COMPUTED_VALUE"""),20.15)</f>
        <v>20.149999999999999</v>
      </c>
      <c r="F1020" s="1">
        <f ca="1">IFERROR(__xludf.DUMMYFUNCTION("""COMPUTED_VALUE"""),24150763)</f>
        <v>24150763</v>
      </c>
    </row>
    <row r="1021" spans="1:6" x14ac:dyDescent="0.35">
      <c r="A1021" s="2">
        <f ca="1">IFERROR(__xludf.DUMMYFUNCTION("""COMPUTED_VALUE"""),43487.6666666666)</f>
        <v>43487.666666666599</v>
      </c>
      <c r="B1021" s="1">
        <f ca="1">IFERROR(__xludf.DUMMYFUNCTION("""COMPUTED_VALUE"""),20.32)</f>
        <v>20.32</v>
      </c>
      <c r="C1021" s="1">
        <f ca="1">IFERROR(__xludf.DUMMYFUNCTION("""COMPUTED_VALUE"""),20.53)</f>
        <v>20.53</v>
      </c>
      <c r="D1021" s="1">
        <f ca="1">IFERROR(__xludf.DUMMYFUNCTION("""COMPUTED_VALUE"""),19.7)</f>
        <v>19.7</v>
      </c>
      <c r="E1021" s="1">
        <f ca="1">IFERROR(__xludf.DUMMYFUNCTION("""COMPUTED_VALUE"""),19.93)</f>
        <v>19.93</v>
      </c>
      <c r="F1021" s="1">
        <f ca="1">IFERROR(__xludf.DUMMYFUNCTION("""COMPUTED_VALUE"""),12066741)</f>
        <v>12066741</v>
      </c>
    </row>
    <row r="1022" spans="1:6" x14ac:dyDescent="0.35">
      <c r="A1022" s="2">
        <f ca="1">IFERROR(__xludf.DUMMYFUNCTION("""COMPUTED_VALUE"""),43488.6666666666)</f>
        <v>43488.666666666599</v>
      </c>
      <c r="B1022" s="1">
        <f ca="1">IFERROR(__xludf.DUMMYFUNCTION("""COMPUTED_VALUE"""),19.5)</f>
        <v>19.5</v>
      </c>
      <c r="C1022" s="1">
        <f ca="1">IFERROR(__xludf.DUMMYFUNCTION("""COMPUTED_VALUE"""),19.63)</f>
        <v>19.63</v>
      </c>
      <c r="D1022" s="1">
        <f ca="1">IFERROR(__xludf.DUMMYFUNCTION("""COMPUTED_VALUE"""),18.78)</f>
        <v>18.78</v>
      </c>
      <c r="E1022" s="1">
        <f ca="1">IFERROR(__xludf.DUMMYFUNCTION("""COMPUTED_VALUE"""),19.17)</f>
        <v>19.170000000000002</v>
      </c>
      <c r="F1022" s="1">
        <f ca="1">IFERROR(__xludf.DUMMYFUNCTION("""COMPUTED_VALUE"""),12529993)</f>
        <v>12529993</v>
      </c>
    </row>
    <row r="1023" spans="1:6" x14ac:dyDescent="0.35">
      <c r="A1023" s="2">
        <f ca="1">IFERROR(__xludf.DUMMYFUNCTION("""COMPUTED_VALUE"""),43489.6666666666)</f>
        <v>43489.666666666599</v>
      </c>
      <c r="B1023" s="1">
        <f ca="1">IFERROR(__xludf.DUMMYFUNCTION("""COMPUTED_VALUE"""),18.87)</f>
        <v>18.87</v>
      </c>
      <c r="C1023" s="1">
        <f ca="1">IFERROR(__xludf.DUMMYFUNCTION("""COMPUTED_VALUE"""),19.58)</f>
        <v>19.579999999999998</v>
      </c>
      <c r="D1023" s="1">
        <f ca="1">IFERROR(__xludf.DUMMYFUNCTION("""COMPUTED_VALUE"""),18.62)</f>
        <v>18.62</v>
      </c>
      <c r="E1023" s="1">
        <f ca="1">IFERROR(__xludf.DUMMYFUNCTION("""COMPUTED_VALUE"""),19.43)</f>
        <v>19.43</v>
      </c>
      <c r="F1023" s="1">
        <f ca="1">IFERROR(__xludf.DUMMYFUNCTION("""COMPUTED_VALUE"""),8012155)</f>
        <v>8012155</v>
      </c>
    </row>
    <row r="1024" spans="1:6" x14ac:dyDescent="0.35">
      <c r="A1024" s="2">
        <f ca="1">IFERROR(__xludf.DUMMYFUNCTION("""COMPUTED_VALUE"""),43490.6666666666)</f>
        <v>43490.666666666599</v>
      </c>
      <c r="B1024" s="1">
        <f ca="1">IFERROR(__xludf.DUMMYFUNCTION("""COMPUTED_VALUE"""),19.63)</f>
        <v>19.63</v>
      </c>
      <c r="C1024" s="1">
        <f ca="1">IFERROR(__xludf.DUMMYFUNCTION("""COMPUTED_VALUE"""),19.9)</f>
        <v>19.899999999999999</v>
      </c>
      <c r="D1024" s="1">
        <f ca="1">IFERROR(__xludf.DUMMYFUNCTION("""COMPUTED_VALUE"""),19.3)</f>
        <v>19.3</v>
      </c>
      <c r="E1024" s="1">
        <f ca="1">IFERROR(__xludf.DUMMYFUNCTION("""COMPUTED_VALUE"""),19.8)</f>
        <v>19.8</v>
      </c>
      <c r="F1024" s="1">
        <f ca="1">IFERROR(__xludf.DUMMYFUNCTION("""COMPUTED_VALUE"""),7258078)</f>
        <v>7258078</v>
      </c>
    </row>
    <row r="1025" spans="1:6" x14ac:dyDescent="0.35">
      <c r="A1025" s="2">
        <f ca="1">IFERROR(__xludf.DUMMYFUNCTION("""COMPUTED_VALUE"""),43493.6666666666)</f>
        <v>43493.666666666599</v>
      </c>
      <c r="B1025" s="1">
        <f ca="1">IFERROR(__xludf.DUMMYFUNCTION("""COMPUTED_VALUE"""),19.53)</f>
        <v>19.53</v>
      </c>
      <c r="C1025" s="1">
        <f ca="1">IFERROR(__xludf.DUMMYFUNCTION("""COMPUTED_VALUE"""),19.83)</f>
        <v>19.829999999999998</v>
      </c>
      <c r="D1025" s="1">
        <f ca="1">IFERROR(__xludf.DUMMYFUNCTION("""COMPUTED_VALUE"""),19.18)</f>
        <v>19.18</v>
      </c>
      <c r="E1025" s="1">
        <f ca="1">IFERROR(__xludf.DUMMYFUNCTION("""COMPUTED_VALUE"""),19.76)</f>
        <v>19.760000000000002</v>
      </c>
      <c r="F1025" s="1">
        <f ca="1">IFERROR(__xludf.DUMMYFUNCTION("""COMPUTED_VALUE"""),6423279)</f>
        <v>6423279</v>
      </c>
    </row>
    <row r="1026" spans="1:6" x14ac:dyDescent="0.35">
      <c r="A1026" s="2">
        <f ca="1">IFERROR(__xludf.DUMMYFUNCTION("""COMPUTED_VALUE"""),43494.6666666666)</f>
        <v>43494.666666666599</v>
      </c>
      <c r="B1026" s="1">
        <f ca="1">IFERROR(__xludf.DUMMYFUNCTION("""COMPUTED_VALUE"""),19.68)</f>
        <v>19.68</v>
      </c>
      <c r="C1026" s="1">
        <f ca="1">IFERROR(__xludf.DUMMYFUNCTION("""COMPUTED_VALUE"""),19.9)</f>
        <v>19.899999999999999</v>
      </c>
      <c r="D1026" s="1">
        <f ca="1">IFERROR(__xludf.DUMMYFUNCTION("""COMPUTED_VALUE"""),19.45)</f>
        <v>19.45</v>
      </c>
      <c r="E1026" s="1">
        <f ca="1">IFERROR(__xludf.DUMMYFUNCTION("""COMPUTED_VALUE"""),19.83)</f>
        <v>19.829999999999998</v>
      </c>
      <c r="F1026" s="1">
        <f ca="1">IFERROR(__xludf.DUMMYFUNCTION("""COMPUTED_VALUE"""),4621692)</f>
        <v>4621692</v>
      </c>
    </row>
    <row r="1027" spans="1:6" x14ac:dyDescent="0.35">
      <c r="A1027" s="2">
        <f ca="1">IFERROR(__xludf.DUMMYFUNCTION("""COMPUTED_VALUE"""),43495.6666666666)</f>
        <v>43495.666666666599</v>
      </c>
      <c r="B1027" s="1">
        <f ca="1">IFERROR(__xludf.DUMMYFUNCTION("""COMPUTED_VALUE"""),20.03)</f>
        <v>20.03</v>
      </c>
      <c r="C1027" s="1">
        <f ca="1">IFERROR(__xludf.DUMMYFUNCTION("""COMPUTED_VALUE"""),20.6)</f>
        <v>20.6</v>
      </c>
      <c r="D1027" s="1">
        <f ca="1">IFERROR(__xludf.DUMMYFUNCTION("""COMPUTED_VALUE"""),19.9)</f>
        <v>19.899999999999999</v>
      </c>
      <c r="E1027" s="1">
        <f ca="1">IFERROR(__xludf.DUMMYFUNCTION("""COMPUTED_VALUE"""),20.58)</f>
        <v>20.58</v>
      </c>
      <c r="F1027" s="1">
        <f ca="1">IFERROR(__xludf.DUMMYFUNCTION("""COMPUTED_VALUE"""),11250318)</f>
        <v>11250318</v>
      </c>
    </row>
    <row r="1028" spans="1:6" x14ac:dyDescent="0.35">
      <c r="A1028" s="2">
        <f ca="1">IFERROR(__xludf.DUMMYFUNCTION("""COMPUTED_VALUE"""),43496.6666666666)</f>
        <v>43496.666666666599</v>
      </c>
      <c r="B1028" s="1">
        <f ca="1">IFERROR(__xludf.DUMMYFUNCTION("""COMPUTED_VALUE"""),20.07)</f>
        <v>20.07</v>
      </c>
      <c r="C1028" s="1">
        <f ca="1">IFERROR(__xludf.DUMMYFUNCTION("""COMPUTED_VALUE"""),20.77)</f>
        <v>20.77</v>
      </c>
      <c r="D1028" s="1">
        <f ca="1">IFERROR(__xludf.DUMMYFUNCTION("""COMPUTED_VALUE"""),19.6)</f>
        <v>19.600000000000001</v>
      </c>
      <c r="E1028" s="1">
        <f ca="1">IFERROR(__xludf.DUMMYFUNCTION("""COMPUTED_VALUE"""),20.47)</f>
        <v>20.47</v>
      </c>
      <c r="F1028" s="1">
        <f ca="1">IFERROR(__xludf.DUMMYFUNCTION("""COMPUTED_VALUE"""),12569245)</f>
        <v>12569245</v>
      </c>
    </row>
    <row r="1029" spans="1:6" x14ac:dyDescent="0.35">
      <c r="A1029" s="2">
        <f ca="1">IFERROR(__xludf.DUMMYFUNCTION("""COMPUTED_VALUE"""),43497.6666666666)</f>
        <v>43497.666666666599</v>
      </c>
      <c r="B1029" s="1">
        <f ca="1">IFERROR(__xludf.DUMMYFUNCTION("""COMPUTED_VALUE"""),20.36)</f>
        <v>20.36</v>
      </c>
      <c r="C1029" s="1">
        <f ca="1">IFERROR(__xludf.DUMMYFUNCTION("""COMPUTED_VALUE"""),21.07)</f>
        <v>21.07</v>
      </c>
      <c r="D1029" s="1">
        <f ca="1">IFERROR(__xludf.DUMMYFUNCTION("""COMPUTED_VALUE"""),20.23)</f>
        <v>20.23</v>
      </c>
      <c r="E1029" s="1">
        <f ca="1">IFERROR(__xludf.DUMMYFUNCTION("""COMPUTED_VALUE"""),20.81)</f>
        <v>20.81</v>
      </c>
      <c r="F1029" s="1">
        <f ca="1">IFERROR(__xludf.DUMMYFUNCTION("""COMPUTED_VALUE"""),7283441)</f>
        <v>7283441</v>
      </c>
    </row>
    <row r="1030" spans="1:6" x14ac:dyDescent="0.35">
      <c r="A1030" s="2">
        <f ca="1">IFERROR(__xludf.DUMMYFUNCTION("""COMPUTED_VALUE"""),43500.6666666666)</f>
        <v>43500.666666666599</v>
      </c>
      <c r="B1030" s="1">
        <f ca="1">IFERROR(__xludf.DUMMYFUNCTION("""COMPUTED_VALUE"""),20.87)</f>
        <v>20.87</v>
      </c>
      <c r="C1030" s="1">
        <f ca="1">IFERROR(__xludf.DUMMYFUNCTION("""COMPUTED_VALUE"""),21.02)</f>
        <v>21.02</v>
      </c>
      <c r="D1030" s="1">
        <f ca="1">IFERROR(__xludf.DUMMYFUNCTION("""COMPUTED_VALUE"""),20.13)</f>
        <v>20.13</v>
      </c>
      <c r="E1030" s="1">
        <f ca="1">IFERROR(__xludf.DUMMYFUNCTION("""COMPUTED_VALUE"""),20.86)</f>
        <v>20.86</v>
      </c>
      <c r="F1030" s="1">
        <f ca="1">IFERROR(__xludf.DUMMYFUNCTION("""COMPUTED_VALUE"""),7352082)</f>
        <v>7352082</v>
      </c>
    </row>
    <row r="1031" spans="1:6" x14ac:dyDescent="0.35">
      <c r="A1031" s="2">
        <f ca="1">IFERROR(__xludf.DUMMYFUNCTION("""COMPUTED_VALUE"""),43501.6666666666)</f>
        <v>43501.666666666599</v>
      </c>
      <c r="B1031" s="1">
        <f ca="1">IFERROR(__xludf.DUMMYFUNCTION("""COMPUTED_VALUE"""),20.83)</f>
        <v>20.83</v>
      </c>
      <c r="C1031" s="1">
        <f ca="1">IFERROR(__xludf.DUMMYFUNCTION("""COMPUTED_VALUE"""),21.5)</f>
        <v>21.5</v>
      </c>
      <c r="D1031" s="1">
        <f ca="1">IFERROR(__xludf.DUMMYFUNCTION("""COMPUTED_VALUE"""),20.82)</f>
        <v>20.82</v>
      </c>
      <c r="E1031" s="1">
        <f ca="1">IFERROR(__xludf.DUMMYFUNCTION("""COMPUTED_VALUE"""),21.42)</f>
        <v>21.42</v>
      </c>
      <c r="F1031" s="1">
        <f ca="1">IFERROR(__xludf.DUMMYFUNCTION("""COMPUTED_VALUE"""),6742765)</f>
        <v>6742765</v>
      </c>
    </row>
    <row r="1032" spans="1:6" x14ac:dyDescent="0.35">
      <c r="A1032" s="2">
        <f ca="1">IFERROR(__xludf.DUMMYFUNCTION("""COMPUTED_VALUE"""),43502.6666666666)</f>
        <v>43502.666666666599</v>
      </c>
      <c r="B1032" s="1">
        <f ca="1">IFERROR(__xludf.DUMMYFUNCTION("""COMPUTED_VALUE"""),21.31)</f>
        <v>21.31</v>
      </c>
      <c r="C1032" s="1">
        <f ca="1">IFERROR(__xludf.DUMMYFUNCTION("""COMPUTED_VALUE"""),21.62)</f>
        <v>21.62</v>
      </c>
      <c r="D1032" s="1">
        <f ca="1">IFERROR(__xludf.DUMMYFUNCTION("""COMPUTED_VALUE"""),21.04)</f>
        <v>21.04</v>
      </c>
      <c r="E1032" s="1">
        <f ca="1">IFERROR(__xludf.DUMMYFUNCTION("""COMPUTED_VALUE"""),21.15)</f>
        <v>21.15</v>
      </c>
      <c r="F1032" s="1">
        <f ca="1">IFERROR(__xludf.DUMMYFUNCTION("""COMPUTED_VALUE"""),5038546)</f>
        <v>5038546</v>
      </c>
    </row>
    <row r="1033" spans="1:6" x14ac:dyDescent="0.35">
      <c r="A1033" s="2">
        <f ca="1">IFERROR(__xludf.DUMMYFUNCTION("""COMPUTED_VALUE"""),43503.6666666666)</f>
        <v>43503.666666666599</v>
      </c>
      <c r="B1033" s="1">
        <f ca="1">IFERROR(__xludf.DUMMYFUNCTION("""COMPUTED_VALUE"""),20.89)</f>
        <v>20.89</v>
      </c>
      <c r="C1033" s="1">
        <f ca="1">IFERROR(__xludf.DUMMYFUNCTION("""COMPUTED_VALUE"""),20.98)</f>
        <v>20.98</v>
      </c>
      <c r="D1033" s="1">
        <f ca="1">IFERROR(__xludf.DUMMYFUNCTION("""COMPUTED_VALUE"""),20.2)</f>
        <v>20.2</v>
      </c>
      <c r="E1033" s="1">
        <f ca="1">IFERROR(__xludf.DUMMYFUNCTION("""COMPUTED_VALUE"""),20.5)</f>
        <v>20.5</v>
      </c>
      <c r="F1033" s="1">
        <f ca="1">IFERROR(__xludf.DUMMYFUNCTION("""COMPUTED_VALUE"""),6520611)</f>
        <v>6520611</v>
      </c>
    </row>
    <row r="1034" spans="1:6" x14ac:dyDescent="0.35">
      <c r="A1034" s="2">
        <f ca="1">IFERROR(__xludf.DUMMYFUNCTION("""COMPUTED_VALUE"""),43504.6666666666)</f>
        <v>43504.666666666599</v>
      </c>
      <c r="B1034" s="1">
        <f ca="1">IFERROR(__xludf.DUMMYFUNCTION("""COMPUTED_VALUE"""),20.46)</f>
        <v>20.46</v>
      </c>
      <c r="C1034" s="1">
        <f ca="1">IFERROR(__xludf.DUMMYFUNCTION("""COMPUTED_VALUE"""),20.5)</f>
        <v>20.5</v>
      </c>
      <c r="D1034" s="1">
        <f ca="1">IFERROR(__xludf.DUMMYFUNCTION("""COMPUTED_VALUE"""),19.9)</f>
        <v>19.899999999999999</v>
      </c>
      <c r="E1034" s="1">
        <f ca="1">IFERROR(__xludf.DUMMYFUNCTION("""COMPUTED_VALUE"""),20.39)</f>
        <v>20.39</v>
      </c>
      <c r="F1034" s="1">
        <f ca="1">IFERROR(__xludf.DUMMYFUNCTION("""COMPUTED_VALUE"""),5844212)</f>
        <v>5844212</v>
      </c>
    </row>
    <row r="1035" spans="1:6" x14ac:dyDescent="0.35">
      <c r="A1035" s="2">
        <f ca="1">IFERROR(__xludf.DUMMYFUNCTION("""COMPUTED_VALUE"""),43507.6666666666)</f>
        <v>43507.666666666599</v>
      </c>
      <c r="B1035" s="1">
        <f ca="1">IFERROR(__xludf.DUMMYFUNCTION("""COMPUTED_VALUE"""),20.77)</f>
        <v>20.77</v>
      </c>
      <c r="C1035" s="1">
        <f ca="1">IFERROR(__xludf.DUMMYFUNCTION("""COMPUTED_VALUE"""),21.24)</f>
        <v>21.24</v>
      </c>
      <c r="D1035" s="1">
        <f ca="1">IFERROR(__xludf.DUMMYFUNCTION("""COMPUTED_VALUE"""),20.7)</f>
        <v>20.7</v>
      </c>
      <c r="E1035" s="1">
        <f ca="1">IFERROR(__xludf.DUMMYFUNCTION("""COMPUTED_VALUE"""),20.86)</f>
        <v>20.86</v>
      </c>
      <c r="F1035" s="1">
        <f ca="1">IFERROR(__xludf.DUMMYFUNCTION("""COMPUTED_VALUE"""),7129713)</f>
        <v>7129713</v>
      </c>
    </row>
    <row r="1036" spans="1:6" x14ac:dyDescent="0.35">
      <c r="A1036" s="2">
        <f ca="1">IFERROR(__xludf.DUMMYFUNCTION("""COMPUTED_VALUE"""),43508.6666666666)</f>
        <v>43508.666666666599</v>
      </c>
      <c r="B1036" s="1">
        <f ca="1">IFERROR(__xludf.DUMMYFUNCTION("""COMPUTED_VALUE"""),21.08)</f>
        <v>21.08</v>
      </c>
      <c r="C1036" s="1">
        <f ca="1">IFERROR(__xludf.DUMMYFUNCTION("""COMPUTED_VALUE"""),21.21)</f>
        <v>21.21</v>
      </c>
      <c r="D1036" s="1">
        <f ca="1">IFERROR(__xludf.DUMMYFUNCTION("""COMPUTED_VALUE"""),20.64)</f>
        <v>20.64</v>
      </c>
      <c r="E1036" s="1">
        <f ca="1">IFERROR(__xludf.DUMMYFUNCTION("""COMPUTED_VALUE"""),20.79)</f>
        <v>20.79</v>
      </c>
      <c r="F1036" s="1">
        <f ca="1">IFERROR(__xludf.DUMMYFUNCTION("""COMPUTED_VALUE"""),5517570)</f>
        <v>5517570</v>
      </c>
    </row>
    <row r="1037" spans="1:6" x14ac:dyDescent="0.35">
      <c r="A1037" s="2">
        <f ca="1">IFERROR(__xludf.DUMMYFUNCTION("""COMPUTED_VALUE"""),43509.6666666666)</f>
        <v>43509.666666666599</v>
      </c>
      <c r="B1037" s="1">
        <f ca="1">IFERROR(__xludf.DUMMYFUNCTION("""COMPUTED_VALUE"""),20.82)</f>
        <v>20.82</v>
      </c>
      <c r="C1037" s="1">
        <f ca="1">IFERROR(__xludf.DUMMYFUNCTION("""COMPUTED_VALUE"""),20.85)</f>
        <v>20.85</v>
      </c>
      <c r="D1037" s="1">
        <f ca="1">IFERROR(__xludf.DUMMYFUNCTION("""COMPUTED_VALUE"""),20.37)</f>
        <v>20.37</v>
      </c>
      <c r="E1037" s="1">
        <f ca="1">IFERROR(__xludf.DUMMYFUNCTION("""COMPUTED_VALUE"""),20.54)</f>
        <v>20.54</v>
      </c>
      <c r="F1037" s="1">
        <f ca="1">IFERROR(__xludf.DUMMYFUNCTION("""COMPUTED_VALUE"""),5141617)</f>
        <v>5141617</v>
      </c>
    </row>
    <row r="1038" spans="1:6" x14ac:dyDescent="0.35">
      <c r="A1038" s="2">
        <f ca="1">IFERROR(__xludf.DUMMYFUNCTION("""COMPUTED_VALUE"""),43510.6666666666)</f>
        <v>43510.666666666599</v>
      </c>
      <c r="B1038" s="1">
        <f ca="1">IFERROR(__xludf.DUMMYFUNCTION("""COMPUTED_VALUE"""),20.23)</f>
        <v>20.23</v>
      </c>
      <c r="C1038" s="1">
        <f ca="1">IFERROR(__xludf.DUMMYFUNCTION("""COMPUTED_VALUE"""),20.45)</f>
        <v>20.45</v>
      </c>
      <c r="D1038" s="1">
        <f ca="1">IFERROR(__xludf.DUMMYFUNCTION("""COMPUTED_VALUE"""),20.07)</f>
        <v>20.07</v>
      </c>
      <c r="E1038" s="1">
        <f ca="1">IFERROR(__xludf.DUMMYFUNCTION("""COMPUTED_VALUE"""),20.25)</f>
        <v>20.25</v>
      </c>
      <c r="F1038" s="1">
        <f ca="1">IFERROR(__xludf.DUMMYFUNCTION("""COMPUTED_VALUE"""),5200832)</f>
        <v>5200832</v>
      </c>
    </row>
    <row r="1039" spans="1:6" x14ac:dyDescent="0.35">
      <c r="A1039" s="2">
        <f ca="1">IFERROR(__xludf.DUMMYFUNCTION("""COMPUTED_VALUE"""),43511.6666666666)</f>
        <v>43511.666666666599</v>
      </c>
      <c r="B1039" s="1">
        <f ca="1">IFERROR(__xludf.DUMMYFUNCTION("""COMPUTED_VALUE"""),20.3)</f>
        <v>20.3</v>
      </c>
      <c r="C1039" s="1">
        <f ca="1">IFERROR(__xludf.DUMMYFUNCTION("""COMPUTED_VALUE"""),20.53)</f>
        <v>20.53</v>
      </c>
      <c r="D1039" s="1">
        <f ca="1">IFERROR(__xludf.DUMMYFUNCTION("""COMPUTED_VALUE"""),20.26)</f>
        <v>20.260000000000002</v>
      </c>
      <c r="E1039" s="1">
        <f ca="1">IFERROR(__xludf.DUMMYFUNCTION("""COMPUTED_VALUE"""),20.53)</f>
        <v>20.53</v>
      </c>
      <c r="F1039" s="1">
        <f ca="1">IFERROR(__xludf.DUMMYFUNCTION("""COMPUTED_VALUE"""),3904947)</f>
        <v>3904947</v>
      </c>
    </row>
    <row r="1040" spans="1:6" x14ac:dyDescent="0.35">
      <c r="A1040" s="2">
        <f ca="1">IFERROR(__xludf.DUMMYFUNCTION("""COMPUTED_VALUE"""),43515.6666666666)</f>
        <v>43515.666666666599</v>
      </c>
      <c r="B1040" s="1">
        <f ca="1">IFERROR(__xludf.DUMMYFUNCTION("""COMPUTED_VALUE"""),20.44)</f>
        <v>20.440000000000001</v>
      </c>
      <c r="C1040" s="1">
        <f ca="1">IFERROR(__xludf.DUMMYFUNCTION("""COMPUTED_VALUE"""),20.77)</f>
        <v>20.77</v>
      </c>
      <c r="D1040" s="1">
        <f ca="1">IFERROR(__xludf.DUMMYFUNCTION("""COMPUTED_VALUE"""),20.36)</f>
        <v>20.36</v>
      </c>
      <c r="E1040" s="1">
        <f ca="1">IFERROR(__xludf.DUMMYFUNCTION("""COMPUTED_VALUE"""),20.38)</f>
        <v>20.38</v>
      </c>
      <c r="F1040" s="1">
        <f ca="1">IFERROR(__xludf.DUMMYFUNCTION("""COMPUTED_VALUE"""),4168443)</f>
        <v>4168443</v>
      </c>
    </row>
    <row r="1041" spans="1:6" x14ac:dyDescent="0.35">
      <c r="A1041" s="2">
        <f ca="1">IFERROR(__xludf.DUMMYFUNCTION("""COMPUTED_VALUE"""),43516.6666666666)</f>
        <v>43516.666666666599</v>
      </c>
      <c r="B1041" s="1">
        <f ca="1">IFERROR(__xludf.DUMMYFUNCTION("""COMPUTED_VALUE"""),20.29)</f>
        <v>20.29</v>
      </c>
      <c r="C1041" s="1">
        <f ca="1">IFERROR(__xludf.DUMMYFUNCTION("""COMPUTED_VALUE"""),20.42)</f>
        <v>20.420000000000002</v>
      </c>
      <c r="D1041" s="1">
        <f ca="1">IFERROR(__xludf.DUMMYFUNCTION("""COMPUTED_VALUE"""),19.93)</f>
        <v>19.93</v>
      </c>
      <c r="E1041" s="1">
        <f ca="1">IFERROR(__xludf.DUMMYFUNCTION("""COMPUTED_VALUE"""),20.17)</f>
        <v>20.170000000000002</v>
      </c>
      <c r="F1041" s="1">
        <f ca="1">IFERROR(__xludf.DUMMYFUNCTION("""COMPUTED_VALUE"""),7142117)</f>
        <v>7142117</v>
      </c>
    </row>
    <row r="1042" spans="1:6" x14ac:dyDescent="0.35">
      <c r="A1042" s="2">
        <f ca="1">IFERROR(__xludf.DUMMYFUNCTION("""COMPUTED_VALUE"""),43517.6666666666)</f>
        <v>43517.666666666599</v>
      </c>
      <c r="B1042" s="1">
        <f ca="1">IFERROR(__xludf.DUMMYFUNCTION("""COMPUTED_VALUE"""),20.12)</f>
        <v>20.12</v>
      </c>
      <c r="C1042" s="1">
        <f ca="1">IFERROR(__xludf.DUMMYFUNCTION("""COMPUTED_VALUE"""),20.22)</f>
        <v>20.22</v>
      </c>
      <c r="D1042" s="1">
        <f ca="1">IFERROR(__xludf.DUMMYFUNCTION("""COMPUTED_VALUE"""),19.37)</f>
        <v>19.37</v>
      </c>
      <c r="E1042" s="1">
        <f ca="1">IFERROR(__xludf.DUMMYFUNCTION("""COMPUTED_VALUE"""),19.42)</f>
        <v>19.420000000000002</v>
      </c>
      <c r="F1042" s="1">
        <f ca="1">IFERROR(__xludf.DUMMYFUNCTION("""COMPUTED_VALUE"""),8909182)</f>
        <v>8909182</v>
      </c>
    </row>
    <row r="1043" spans="1:6" x14ac:dyDescent="0.35">
      <c r="A1043" s="2">
        <f ca="1">IFERROR(__xludf.DUMMYFUNCTION("""COMPUTED_VALUE"""),43518.6666666666)</f>
        <v>43518.666666666599</v>
      </c>
      <c r="B1043" s="1">
        <f ca="1">IFERROR(__xludf.DUMMYFUNCTION("""COMPUTED_VALUE"""),19.63)</f>
        <v>19.63</v>
      </c>
      <c r="C1043" s="1">
        <f ca="1">IFERROR(__xludf.DUMMYFUNCTION("""COMPUTED_VALUE"""),19.77)</f>
        <v>19.77</v>
      </c>
      <c r="D1043" s="1">
        <f ca="1">IFERROR(__xludf.DUMMYFUNCTION("""COMPUTED_VALUE"""),19.47)</f>
        <v>19.47</v>
      </c>
      <c r="E1043" s="1">
        <f ca="1">IFERROR(__xludf.DUMMYFUNCTION("""COMPUTED_VALUE"""),19.65)</f>
        <v>19.649999999999999</v>
      </c>
      <c r="F1043" s="1">
        <f ca="1">IFERROR(__xludf.DUMMYFUNCTION("""COMPUTED_VALUE"""),5740558)</f>
        <v>5740558</v>
      </c>
    </row>
    <row r="1044" spans="1:6" x14ac:dyDescent="0.35">
      <c r="A1044" s="2">
        <f ca="1">IFERROR(__xludf.DUMMYFUNCTION("""COMPUTED_VALUE"""),43521.6666666666)</f>
        <v>43521.666666666599</v>
      </c>
      <c r="B1044" s="1">
        <f ca="1">IFERROR(__xludf.DUMMYFUNCTION("""COMPUTED_VALUE"""),19.86)</f>
        <v>19.86</v>
      </c>
      <c r="C1044" s="1">
        <f ca="1">IFERROR(__xludf.DUMMYFUNCTION("""COMPUTED_VALUE"""),20.19)</f>
        <v>20.190000000000001</v>
      </c>
      <c r="D1044" s="1">
        <f ca="1">IFERROR(__xludf.DUMMYFUNCTION("""COMPUTED_VALUE"""),19.8)</f>
        <v>19.8</v>
      </c>
      <c r="E1044" s="1">
        <f ca="1">IFERROR(__xludf.DUMMYFUNCTION("""COMPUTED_VALUE"""),19.92)</f>
        <v>19.920000000000002</v>
      </c>
      <c r="F1044" s="1">
        <f ca="1">IFERROR(__xludf.DUMMYFUNCTION("""COMPUTED_VALUE"""),6626522)</f>
        <v>6626522</v>
      </c>
    </row>
    <row r="1045" spans="1:6" x14ac:dyDescent="0.35">
      <c r="A1045" s="2">
        <f ca="1">IFERROR(__xludf.DUMMYFUNCTION("""COMPUTED_VALUE"""),43522.6666666666)</f>
        <v>43522.666666666599</v>
      </c>
      <c r="B1045" s="1">
        <f ca="1">IFERROR(__xludf.DUMMYFUNCTION("""COMPUTED_VALUE"""),19.48)</f>
        <v>19.48</v>
      </c>
      <c r="C1045" s="1">
        <f ca="1">IFERROR(__xludf.DUMMYFUNCTION("""COMPUTED_VALUE"""),20.13)</f>
        <v>20.13</v>
      </c>
      <c r="D1045" s="1">
        <f ca="1">IFERROR(__xludf.DUMMYFUNCTION("""COMPUTED_VALUE"""),19.25)</f>
        <v>19.25</v>
      </c>
      <c r="E1045" s="1">
        <f ca="1">IFERROR(__xludf.DUMMYFUNCTION("""COMPUTED_VALUE"""),19.86)</f>
        <v>19.86</v>
      </c>
      <c r="F1045" s="1">
        <f ca="1">IFERROR(__xludf.DUMMYFUNCTION("""COMPUTED_VALUE"""),8582535)</f>
        <v>8582535</v>
      </c>
    </row>
    <row r="1046" spans="1:6" x14ac:dyDescent="0.35">
      <c r="A1046" s="2">
        <f ca="1">IFERROR(__xludf.DUMMYFUNCTION("""COMPUTED_VALUE"""),43523.6666666666)</f>
        <v>43523.666666666599</v>
      </c>
      <c r="B1046" s="1">
        <f ca="1">IFERROR(__xludf.DUMMYFUNCTION("""COMPUTED_VALUE"""),20.12)</f>
        <v>20.12</v>
      </c>
      <c r="C1046" s="1">
        <f ca="1">IFERROR(__xludf.DUMMYFUNCTION("""COMPUTED_VALUE"""),21.09)</f>
        <v>21.09</v>
      </c>
      <c r="D1046" s="1">
        <f ca="1">IFERROR(__xludf.DUMMYFUNCTION("""COMPUTED_VALUE"""),20.04)</f>
        <v>20.04</v>
      </c>
      <c r="E1046" s="1">
        <f ca="1">IFERROR(__xludf.DUMMYFUNCTION("""COMPUTED_VALUE"""),20.98)</f>
        <v>20.98</v>
      </c>
      <c r="F1046" s="1">
        <f ca="1">IFERROR(__xludf.DUMMYFUNCTION("""COMPUTED_VALUE"""),11183908)</f>
        <v>11183908</v>
      </c>
    </row>
    <row r="1047" spans="1:6" x14ac:dyDescent="0.35">
      <c r="A1047" s="2">
        <f ca="1">IFERROR(__xludf.DUMMYFUNCTION("""COMPUTED_VALUE"""),43524.6666666666)</f>
        <v>43524.666666666599</v>
      </c>
      <c r="B1047" s="1">
        <f ca="1">IFERROR(__xludf.DUMMYFUNCTION("""COMPUTED_VALUE"""),21.26)</f>
        <v>21.26</v>
      </c>
      <c r="C1047" s="1">
        <f ca="1">IFERROR(__xludf.DUMMYFUNCTION("""COMPUTED_VALUE"""),21.33)</f>
        <v>21.33</v>
      </c>
      <c r="D1047" s="1">
        <f ca="1">IFERROR(__xludf.DUMMYFUNCTION("""COMPUTED_VALUE"""),20.72)</f>
        <v>20.72</v>
      </c>
      <c r="E1047" s="1">
        <f ca="1">IFERROR(__xludf.DUMMYFUNCTION("""COMPUTED_VALUE"""),21.33)</f>
        <v>21.33</v>
      </c>
      <c r="F1047" s="1">
        <f ca="1">IFERROR(__xludf.DUMMYFUNCTION("""COMPUTED_VALUE"""),10520653)</f>
        <v>10520653</v>
      </c>
    </row>
    <row r="1048" spans="1:6" x14ac:dyDescent="0.35">
      <c r="A1048" s="2">
        <f ca="1">IFERROR(__xludf.DUMMYFUNCTION("""COMPUTED_VALUE"""),43525.6666666666)</f>
        <v>43525.666666666599</v>
      </c>
      <c r="B1048" s="1">
        <f ca="1">IFERROR(__xludf.DUMMYFUNCTION("""COMPUTED_VALUE"""),20.46)</f>
        <v>20.46</v>
      </c>
      <c r="C1048" s="1">
        <f ca="1">IFERROR(__xludf.DUMMYFUNCTION("""COMPUTED_VALUE"""),20.48)</f>
        <v>20.48</v>
      </c>
      <c r="D1048" s="1">
        <f ca="1">IFERROR(__xludf.DUMMYFUNCTION("""COMPUTED_VALUE"""),19.46)</f>
        <v>19.46</v>
      </c>
      <c r="E1048" s="1">
        <f ca="1">IFERROR(__xludf.DUMMYFUNCTION("""COMPUTED_VALUE"""),19.65)</f>
        <v>19.649999999999999</v>
      </c>
      <c r="F1048" s="1">
        <f ca="1">IFERROR(__xludf.DUMMYFUNCTION("""COMPUTED_VALUE"""),22911375)</f>
        <v>22911375</v>
      </c>
    </row>
    <row r="1049" spans="1:6" x14ac:dyDescent="0.35">
      <c r="A1049" s="2">
        <f ca="1">IFERROR(__xludf.DUMMYFUNCTION("""COMPUTED_VALUE"""),43528.6666666666)</f>
        <v>43528.666666666599</v>
      </c>
      <c r="B1049" s="1">
        <f ca="1">IFERROR(__xludf.DUMMYFUNCTION("""COMPUTED_VALUE"""),19.87)</f>
        <v>19.87</v>
      </c>
      <c r="C1049" s="1">
        <f ca="1">IFERROR(__xludf.DUMMYFUNCTION("""COMPUTED_VALUE"""),19.93)</f>
        <v>19.93</v>
      </c>
      <c r="D1049" s="1">
        <f ca="1">IFERROR(__xludf.DUMMYFUNCTION("""COMPUTED_VALUE"""),18.85)</f>
        <v>18.850000000000001</v>
      </c>
      <c r="E1049" s="1">
        <f ca="1">IFERROR(__xludf.DUMMYFUNCTION("""COMPUTED_VALUE"""),19.02)</f>
        <v>19.02</v>
      </c>
      <c r="F1049" s="1">
        <f ca="1">IFERROR(__xludf.DUMMYFUNCTION("""COMPUTED_VALUE"""),17096818)</f>
        <v>17096818</v>
      </c>
    </row>
    <row r="1050" spans="1:6" x14ac:dyDescent="0.35">
      <c r="A1050" s="2">
        <f ca="1">IFERROR(__xludf.DUMMYFUNCTION("""COMPUTED_VALUE"""),43529.6666666666)</f>
        <v>43529.666666666599</v>
      </c>
      <c r="B1050" s="1">
        <f ca="1">IFERROR(__xludf.DUMMYFUNCTION("""COMPUTED_VALUE"""),18.8)</f>
        <v>18.8</v>
      </c>
      <c r="C1050" s="1">
        <f ca="1">IFERROR(__xludf.DUMMYFUNCTION("""COMPUTED_VALUE"""),18.93)</f>
        <v>18.93</v>
      </c>
      <c r="D1050" s="1">
        <f ca="1">IFERROR(__xludf.DUMMYFUNCTION("""COMPUTED_VALUE"""),18.01)</f>
        <v>18.010000000000002</v>
      </c>
      <c r="E1050" s="1">
        <f ca="1">IFERROR(__xludf.DUMMYFUNCTION("""COMPUTED_VALUE"""),18.44)</f>
        <v>18.440000000000001</v>
      </c>
      <c r="F1050" s="1">
        <f ca="1">IFERROR(__xludf.DUMMYFUNCTION("""COMPUTED_VALUE"""),18764740)</f>
        <v>18764740</v>
      </c>
    </row>
    <row r="1051" spans="1:6" x14ac:dyDescent="0.35">
      <c r="A1051" s="2">
        <f ca="1">IFERROR(__xludf.DUMMYFUNCTION("""COMPUTED_VALUE"""),43530.6666666666)</f>
        <v>43530.666666666599</v>
      </c>
      <c r="B1051" s="1">
        <f ca="1">IFERROR(__xludf.DUMMYFUNCTION("""COMPUTED_VALUE"""),18.43)</f>
        <v>18.43</v>
      </c>
      <c r="C1051" s="1">
        <f ca="1">IFERROR(__xludf.DUMMYFUNCTION("""COMPUTED_VALUE"""),18.77)</f>
        <v>18.77</v>
      </c>
      <c r="D1051" s="1">
        <f ca="1">IFERROR(__xludf.DUMMYFUNCTION("""COMPUTED_VALUE"""),18.29)</f>
        <v>18.29</v>
      </c>
      <c r="E1051" s="1">
        <f ca="1">IFERROR(__xludf.DUMMYFUNCTION("""COMPUTED_VALUE"""),18.42)</f>
        <v>18.420000000000002</v>
      </c>
      <c r="F1051" s="1">
        <f ca="1">IFERROR(__xludf.DUMMYFUNCTION("""COMPUTED_VALUE"""),10335485)</f>
        <v>10335485</v>
      </c>
    </row>
    <row r="1052" spans="1:6" x14ac:dyDescent="0.35">
      <c r="A1052" s="2">
        <f ca="1">IFERROR(__xludf.DUMMYFUNCTION("""COMPUTED_VALUE"""),43531.6666666666)</f>
        <v>43531.666666666599</v>
      </c>
      <c r="B1052" s="1">
        <f ca="1">IFERROR(__xludf.DUMMYFUNCTION("""COMPUTED_VALUE"""),18.59)</f>
        <v>18.59</v>
      </c>
      <c r="C1052" s="1">
        <f ca="1">IFERROR(__xludf.DUMMYFUNCTION("""COMPUTED_VALUE"""),18.98)</f>
        <v>18.98</v>
      </c>
      <c r="D1052" s="1">
        <f ca="1">IFERROR(__xludf.DUMMYFUNCTION("""COMPUTED_VALUE"""),18.28)</f>
        <v>18.28</v>
      </c>
      <c r="E1052" s="1">
        <f ca="1">IFERROR(__xludf.DUMMYFUNCTION("""COMPUTED_VALUE"""),18.44)</f>
        <v>18.440000000000001</v>
      </c>
      <c r="F1052" s="1">
        <f ca="1">IFERROR(__xludf.DUMMYFUNCTION("""COMPUTED_VALUE"""),9442483)</f>
        <v>9442483</v>
      </c>
    </row>
    <row r="1053" spans="1:6" x14ac:dyDescent="0.35">
      <c r="A1053" s="2">
        <f ca="1">IFERROR(__xludf.DUMMYFUNCTION("""COMPUTED_VALUE"""),43532.6666666666)</f>
        <v>43532.666666666599</v>
      </c>
      <c r="B1053" s="1">
        <f ca="1">IFERROR(__xludf.DUMMYFUNCTION("""COMPUTED_VALUE"""),18.46)</f>
        <v>18.46</v>
      </c>
      <c r="C1053" s="1">
        <f ca="1">IFERROR(__xludf.DUMMYFUNCTION("""COMPUTED_VALUE"""),19.04)</f>
        <v>19.04</v>
      </c>
      <c r="D1053" s="1">
        <f ca="1">IFERROR(__xludf.DUMMYFUNCTION("""COMPUTED_VALUE"""),18.39)</f>
        <v>18.39</v>
      </c>
      <c r="E1053" s="1">
        <f ca="1">IFERROR(__xludf.DUMMYFUNCTION("""COMPUTED_VALUE"""),18.94)</f>
        <v>18.940000000000001</v>
      </c>
      <c r="F1053" s="1">
        <f ca="1">IFERROR(__xludf.DUMMYFUNCTION("""COMPUTED_VALUE"""),8819625)</f>
        <v>8819625</v>
      </c>
    </row>
    <row r="1054" spans="1:6" x14ac:dyDescent="0.35">
      <c r="A1054" s="2">
        <f ca="1">IFERROR(__xludf.DUMMYFUNCTION("""COMPUTED_VALUE"""),43535.6666666666)</f>
        <v>43535.666666666599</v>
      </c>
      <c r="B1054" s="1">
        <f ca="1">IFERROR(__xludf.DUMMYFUNCTION("""COMPUTED_VALUE"""),18.9)</f>
        <v>18.899999999999999</v>
      </c>
      <c r="C1054" s="1">
        <f ca="1">IFERROR(__xludf.DUMMYFUNCTION("""COMPUTED_VALUE"""),19.42)</f>
        <v>19.420000000000002</v>
      </c>
      <c r="D1054" s="1">
        <f ca="1">IFERROR(__xludf.DUMMYFUNCTION("""COMPUTED_VALUE"""),18.7)</f>
        <v>18.7</v>
      </c>
      <c r="E1054" s="1">
        <f ca="1">IFERROR(__xludf.DUMMYFUNCTION("""COMPUTED_VALUE"""),19.39)</f>
        <v>19.39</v>
      </c>
      <c r="F1054" s="1">
        <f ca="1">IFERROR(__xludf.DUMMYFUNCTION("""COMPUTED_VALUE"""),7392278)</f>
        <v>7392278</v>
      </c>
    </row>
    <row r="1055" spans="1:6" x14ac:dyDescent="0.35">
      <c r="A1055" s="2">
        <f ca="1">IFERROR(__xludf.DUMMYFUNCTION("""COMPUTED_VALUE"""),43536.6666666666)</f>
        <v>43536.666666666599</v>
      </c>
      <c r="B1055" s="1">
        <f ca="1">IFERROR(__xludf.DUMMYFUNCTION("""COMPUTED_VALUE"""),19.1)</f>
        <v>19.100000000000001</v>
      </c>
      <c r="C1055" s="1">
        <f ca="1">IFERROR(__xludf.DUMMYFUNCTION("""COMPUTED_VALUE"""),19.2)</f>
        <v>19.2</v>
      </c>
      <c r="D1055" s="1">
        <f ca="1">IFERROR(__xludf.DUMMYFUNCTION("""COMPUTED_VALUE"""),18.74)</f>
        <v>18.739999999999998</v>
      </c>
      <c r="E1055" s="1">
        <f ca="1">IFERROR(__xludf.DUMMYFUNCTION("""COMPUTED_VALUE"""),18.89)</f>
        <v>18.89</v>
      </c>
      <c r="F1055" s="1">
        <f ca="1">IFERROR(__xludf.DUMMYFUNCTION("""COMPUTED_VALUE"""),7504137)</f>
        <v>7504137</v>
      </c>
    </row>
    <row r="1056" spans="1:6" x14ac:dyDescent="0.35">
      <c r="A1056" s="2">
        <f ca="1">IFERROR(__xludf.DUMMYFUNCTION("""COMPUTED_VALUE"""),43537.6666666666)</f>
        <v>43537.666666666599</v>
      </c>
      <c r="B1056" s="1">
        <f ca="1">IFERROR(__xludf.DUMMYFUNCTION("""COMPUTED_VALUE"""),18.93)</f>
        <v>18.93</v>
      </c>
      <c r="C1056" s="1">
        <f ca="1">IFERROR(__xludf.DUMMYFUNCTION("""COMPUTED_VALUE"""),19.47)</f>
        <v>19.47</v>
      </c>
      <c r="D1056" s="1">
        <f ca="1">IFERROR(__xludf.DUMMYFUNCTION("""COMPUTED_VALUE"""),18.85)</f>
        <v>18.850000000000001</v>
      </c>
      <c r="E1056" s="1">
        <f ca="1">IFERROR(__xludf.DUMMYFUNCTION("""COMPUTED_VALUE"""),19.26)</f>
        <v>19.260000000000002</v>
      </c>
      <c r="F1056" s="1">
        <f ca="1">IFERROR(__xludf.DUMMYFUNCTION("""COMPUTED_VALUE"""),6844719)</f>
        <v>6844719</v>
      </c>
    </row>
    <row r="1057" spans="1:6" x14ac:dyDescent="0.35">
      <c r="A1057" s="2">
        <f ca="1">IFERROR(__xludf.DUMMYFUNCTION("""COMPUTED_VALUE"""),43538.6666666666)</f>
        <v>43538.666666666599</v>
      </c>
      <c r="B1057" s="1">
        <f ca="1">IFERROR(__xludf.DUMMYFUNCTION("""COMPUTED_VALUE"""),19.5)</f>
        <v>19.5</v>
      </c>
      <c r="C1057" s="1">
        <f ca="1">IFERROR(__xludf.DUMMYFUNCTION("""COMPUTED_VALUE"""),19.69)</f>
        <v>19.690000000000001</v>
      </c>
      <c r="D1057" s="1">
        <f ca="1">IFERROR(__xludf.DUMMYFUNCTION("""COMPUTED_VALUE"""),19.22)</f>
        <v>19.22</v>
      </c>
      <c r="E1057" s="1">
        <f ca="1">IFERROR(__xludf.DUMMYFUNCTION("""COMPUTED_VALUE"""),19.33)</f>
        <v>19.329999999999998</v>
      </c>
      <c r="F1057" s="1">
        <f ca="1">IFERROR(__xludf.DUMMYFUNCTION("""COMPUTED_VALUE"""),7103447)</f>
        <v>7103447</v>
      </c>
    </row>
    <row r="1058" spans="1:6" x14ac:dyDescent="0.35">
      <c r="A1058" s="2">
        <f ca="1">IFERROR(__xludf.DUMMYFUNCTION("""COMPUTED_VALUE"""),43539.6666666666)</f>
        <v>43539.666666666599</v>
      </c>
      <c r="B1058" s="1">
        <f ca="1">IFERROR(__xludf.DUMMYFUNCTION("""COMPUTED_VALUE"""),18.9)</f>
        <v>18.899999999999999</v>
      </c>
      <c r="C1058" s="1">
        <f ca="1">IFERROR(__xludf.DUMMYFUNCTION("""COMPUTED_VALUE"""),18.91)</f>
        <v>18.91</v>
      </c>
      <c r="D1058" s="1">
        <f ca="1">IFERROR(__xludf.DUMMYFUNCTION("""COMPUTED_VALUE"""),18.29)</f>
        <v>18.29</v>
      </c>
      <c r="E1058" s="1">
        <f ca="1">IFERROR(__xludf.DUMMYFUNCTION("""COMPUTED_VALUE"""),18.36)</f>
        <v>18.36</v>
      </c>
      <c r="F1058" s="1">
        <f ca="1">IFERROR(__xludf.DUMMYFUNCTION("""COMPUTED_VALUE"""),14785531)</f>
        <v>14785531</v>
      </c>
    </row>
    <row r="1059" spans="1:6" x14ac:dyDescent="0.35">
      <c r="A1059" s="2">
        <f ca="1">IFERROR(__xludf.DUMMYFUNCTION("""COMPUTED_VALUE"""),43542.6666666666)</f>
        <v>43542.666666666599</v>
      </c>
      <c r="B1059" s="1">
        <f ca="1">IFERROR(__xludf.DUMMYFUNCTION("""COMPUTED_VALUE"""),18.4)</f>
        <v>18.399999999999999</v>
      </c>
      <c r="C1059" s="1">
        <f ca="1">IFERROR(__xludf.DUMMYFUNCTION("""COMPUTED_VALUE"""),18.54)</f>
        <v>18.54</v>
      </c>
      <c r="D1059" s="1">
        <f ca="1">IFERROR(__xludf.DUMMYFUNCTION("""COMPUTED_VALUE"""),17.82)</f>
        <v>17.82</v>
      </c>
      <c r="E1059" s="1">
        <f ca="1">IFERROR(__xludf.DUMMYFUNCTION("""COMPUTED_VALUE"""),17.97)</f>
        <v>17.97</v>
      </c>
      <c r="F1059" s="1">
        <f ca="1">IFERROR(__xludf.DUMMYFUNCTION("""COMPUTED_VALUE"""),10280980)</f>
        <v>10280980</v>
      </c>
    </row>
    <row r="1060" spans="1:6" x14ac:dyDescent="0.35">
      <c r="A1060" s="2">
        <f ca="1">IFERROR(__xludf.DUMMYFUNCTION("""COMPUTED_VALUE"""),43543.6666666666)</f>
        <v>43543.666666666599</v>
      </c>
      <c r="B1060" s="1">
        <f ca="1">IFERROR(__xludf.DUMMYFUNCTION("""COMPUTED_VALUE"""),17.83)</f>
        <v>17.829999999999998</v>
      </c>
      <c r="C1060" s="1">
        <f ca="1">IFERROR(__xludf.DUMMYFUNCTION("""COMPUTED_VALUE"""),18.22)</f>
        <v>18.22</v>
      </c>
      <c r="D1060" s="1">
        <f ca="1">IFERROR(__xludf.DUMMYFUNCTION("""COMPUTED_VALUE"""),17.56)</f>
        <v>17.559999999999999</v>
      </c>
      <c r="E1060" s="1">
        <f ca="1">IFERROR(__xludf.DUMMYFUNCTION("""COMPUTED_VALUE"""),17.83)</f>
        <v>17.829999999999998</v>
      </c>
      <c r="F1060" s="1">
        <f ca="1">IFERROR(__xludf.DUMMYFUNCTION("""COMPUTED_VALUE"""),11800630)</f>
        <v>11800630</v>
      </c>
    </row>
    <row r="1061" spans="1:6" x14ac:dyDescent="0.35">
      <c r="A1061" s="2">
        <f ca="1">IFERROR(__xludf.DUMMYFUNCTION("""COMPUTED_VALUE"""),43544.6666666666)</f>
        <v>43544.666666666599</v>
      </c>
      <c r="B1061" s="1">
        <f ca="1">IFERROR(__xludf.DUMMYFUNCTION("""COMPUTED_VALUE"""),17.98)</f>
        <v>17.98</v>
      </c>
      <c r="C1061" s="1">
        <f ca="1">IFERROR(__xludf.DUMMYFUNCTION("""COMPUTED_VALUE"""),18.33)</f>
        <v>18.329999999999998</v>
      </c>
      <c r="D1061" s="1">
        <f ca="1">IFERROR(__xludf.DUMMYFUNCTION("""COMPUTED_VALUE"""),17.75)</f>
        <v>17.75</v>
      </c>
      <c r="E1061" s="1">
        <f ca="1">IFERROR(__xludf.DUMMYFUNCTION("""COMPUTED_VALUE"""),18.24)</f>
        <v>18.239999999999998</v>
      </c>
      <c r="F1061" s="1">
        <f ca="1">IFERROR(__xludf.DUMMYFUNCTION("""COMPUTED_VALUE"""),6908224)</f>
        <v>6908224</v>
      </c>
    </row>
    <row r="1062" spans="1:6" x14ac:dyDescent="0.35">
      <c r="A1062" s="2">
        <f ca="1">IFERROR(__xludf.DUMMYFUNCTION("""COMPUTED_VALUE"""),43545.6666666666)</f>
        <v>43545.666666666599</v>
      </c>
      <c r="B1062" s="1">
        <f ca="1">IFERROR(__xludf.DUMMYFUNCTION("""COMPUTED_VALUE"""),18.17)</f>
        <v>18.170000000000002</v>
      </c>
      <c r="C1062" s="1">
        <f ca="1">IFERROR(__xludf.DUMMYFUNCTION("""COMPUTED_VALUE"""),18.43)</f>
        <v>18.43</v>
      </c>
      <c r="D1062" s="1">
        <f ca="1">IFERROR(__xludf.DUMMYFUNCTION("""COMPUTED_VALUE"""),17.9)</f>
        <v>17.899999999999999</v>
      </c>
      <c r="E1062" s="1">
        <f ca="1">IFERROR(__xludf.DUMMYFUNCTION("""COMPUTED_VALUE"""),18.27)</f>
        <v>18.27</v>
      </c>
      <c r="F1062" s="1">
        <f ca="1">IFERROR(__xludf.DUMMYFUNCTION("""COMPUTED_VALUE"""),5947098)</f>
        <v>5947098</v>
      </c>
    </row>
    <row r="1063" spans="1:6" x14ac:dyDescent="0.35">
      <c r="A1063" s="2">
        <f ca="1">IFERROR(__xludf.DUMMYFUNCTION("""COMPUTED_VALUE"""),43546.6666666666)</f>
        <v>43546.666666666599</v>
      </c>
      <c r="B1063" s="1">
        <f ca="1">IFERROR(__xludf.DUMMYFUNCTION("""COMPUTED_VALUE"""),18.17)</f>
        <v>18.170000000000002</v>
      </c>
      <c r="C1063" s="1">
        <f ca="1">IFERROR(__xludf.DUMMYFUNCTION("""COMPUTED_VALUE"""),18.19)</f>
        <v>18.190000000000001</v>
      </c>
      <c r="D1063" s="1">
        <f ca="1">IFERROR(__xludf.DUMMYFUNCTION("""COMPUTED_VALUE"""),17.6)</f>
        <v>17.600000000000001</v>
      </c>
      <c r="E1063" s="1">
        <f ca="1">IFERROR(__xludf.DUMMYFUNCTION("""COMPUTED_VALUE"""),17.64)</f>
        <v>17.64</v>
      </c>
      <c r="F1063" s="1">
        <f ca="1">IFERROR(__xludf.DUMMYFUNCTION("""COMPUTED_VALUE"""),8745609)</f>
        <v>8745609</v>
      </c>
    </row>
    <row r="1064" spans="1:6" x14ac:dyDescent="0.35">
      <c r="A1064" s="2">
        <f ca="1">IFERROR(__xludf.DUMMYFUNCTION("""COMPUTED_VALUE"""),43549.6666666666)</f>
        <v>43549.666666666599</v>
      </c>
      <c r="B1064" s="1">
        <f ca="1">IFERROR(__xludf.DUMMYFUNCTION("""COMPUTED_VALUE"""),17.31)</f>
        <v>17.309999999999999</v>
      </c>
      <c r="C1064" s="1">
        <f ca="1">IFERROR(__xludf.DUMMYFUNCTION("""COMPUTED_VALUE"""),17.55)</f>
        <v>17.55</v>
      </c>
      <c r="D1064" s="1">
        <f ca="1">IFERROR(__xludf.DUMMYFUNCTION("""COMPUTED_VALUE"""),16.96)</f>
        <v>16.96</v>
      </c>
      <c r="E1064" s="1">
        <f ca="1">IFERROR(__xludf.DUMMYFUNCTION("""COMPUTED_VALUE"""),17.36)</f>
        <v>17.36</v>
      </c>
      <c r="F1064" s="1">
        <f ca="1">IFERROR(__xludf.DUMMYFUNCTION("""COMPUTED_VALUE"""),10215029)</f>
        <v>10215029</v>
      </c>
    </row>
    <row r="1065" spans="1:6" x14ac:dyDescent="0.35">
      <c r="A1065" s="2">
        <f ca="1">IFERROR(__xludf.DUMMYFUNCTION("""COMPUTED_VALUE"""),43550.6666666666)</f>
        <v>43550.666666666599</v>
      </c>
      <c r="B1065" s="1">
        <f ca="1">IFERROR(__xludf.DUMMYFUNCTION("""COMPUTED_VALUE"""),17.63)</f>
        <v>17.63</v>
      </c>
      <c r="C1065" s="1">
        <f ca="1">IFERROR(__xludf.DUMMYFUNCTION("""COMPUTED_VALUE"""),18.02)</f>
        <v>18.02</v>
      </c>
      <c r="D1065" s="1">
        <f ca="1">IFERROR(__xludf.DUMMYFUNCTION("""COMPUTED_VALUE"""),17.63)</f>
        <v>17.63</v>
      </c>
      <c r="E1065" s="1">
        <f ca="1">IFERROR(__xludf.DUMMYFUNCTION("""COMPUTED_VALUE"""),17.85)</f>
        <v>17.850000000000001</v>
      </c>
      <c r="F1065" s="1">
        <f ca="1">IFERROR(__xludf.DUMMYFUNCTION("""COMPUTED_VALUE"""),7350948)</f>
        <v>7350948</v>
      </c>
    </row>
    <row r="1066" spans="1:6" x14ac:dyDescent="0.35">
      <c r="A1066" s="2">
        <f ca="1">IFERROR(__xludf.DUMMYFUNCTION("""COMPUTED_VALUE"""),43551.6666666666)</f>
        <v>43551.666666666599</v>
      </c>
      <c r="B1066" s="1">
        <f ca="1">IFERROR(__xludf.DUMMYFUNCTION("""COMPUTED_VALUE"""),17.92)</f>
        <v>17.920000000000002</v>
      </c>
      <c r="C1066" s="1">
        <f ca="1">IFERROR(__xludf.DUMMYFUNCTION("""COMPUTED_VALUE"""),18.36)</f>
        <v>18.36</v>
      </c>
      <c r="D1066" s="1">
        <f ca="1">IFERROR(__xludf.DUMMYFUNCTION("""COMPUTED_VALUE"""),17.88)</f>
        <v>17.88</v>
      </c>
      <c r="E1066" s="1">
        <f ca="1">IFERROR(__xludf.DUMMYFUNCTION("""COMPUTED_VALUE"""),18.32)</f>
        <v>18.32</v>
      </c>
      <c r="F1066" s="1">
        <f ca="1">IFERROR(__xludf.DUMMYFUNCTION("""COMPUTED_VALUE"""),8779166)</f>
        <v>8779166</v>
      </c>
    </row>
    <row r="1067" spans="1:6" x14ac:dyDescent="0.35">
      <c r="A1067" s="2">
        <f ca="1">IFERROR(__xludf.DUMMYFUNCTION("""COMPUTED_VALUE"""),43552.6666666666)</f>
        <v>43552.666666666599</v>
      </c>
      <c r="B1067" s="1">
        <f ca="1">IFERROR(__xludf.DUMMYFUNCTION("""COMPUTED_VALUE"""),18.48)</f>
        <v>18.48</v>
      </c>
      <c r="C1067" s="1">
        <f ca="1">IFERROR(__xludf.DUMMYFUNCTION("""COMPUTED_VALUE"""),18.69)</f>
        <v>18.690000000000001</v>
      </c>
      <c r="D1067" s="1">
        <f ca="1">IFERROR(__xludf.DUMMYFUNCTION("""COMPUTED_VALUE"""),18.34)</f>
        <v>18.34</v>
      </c>
      <c r="E1067" s="1">
        <f ca="1">IFERROR(__xludf.DUMMYFUNCTION("""COMPUTED_VALUE"""),18.57)</f>
        <v>18.57</v>
      </c>
      <c r="F1067" s="1">
        <f ca="1">IFERROR(__xludf.DUMMYFUNCTION("""COMPUTED_VALUE"""),6774093)</f>
        <v>6774093</v>
      </c>
    </row>
    <row r="1068" spans="1:6" x14ac:dyDescent="0.35">
      <c r="A1068" s="2">
        <f ca="1">IFERROR(__xludf.DUMMYFUNCTION("""COMPUTED_VALUE"""),43553.6666666666)</f>
        <v>43553.666666666599</v>
      </c>
      <c r="B1068" s="1">
        <f ca="1">IFERROR(__xludf.DUMMYFUNCTION("""COMPUTED_VALUE"""),18.58)</f>
        <v>18.579999999999998</v>
      </c>
      <c r="C1068" s="1">
        <f ca="1">IFERROR(__xludf.DUMMYFUNCTION("""COMPUTED_VALUE"""),18.68)</f>
        <v>18.68</v>
      </c>
      <c r="D1068" s="1">
        <f ca="1">IFERROR(__xludf.DUMMYFUNCTION("""COMPUTED_VALUE"""),18.3)</f>
        <v>18.3</v>
      </c>
      <c r="E1068" s="1">
        <f ca="1">IFERROR(__xludf.DUMMYFUNCTION("""COMPUTED_VALUE"""),18.66)</f>
        <v>18.66</v>
      </c>
      <c r="F1068" s="1">
        <f ca="1">IFERROR(__xludf.DUMMYFUNCTION("""COMPUTED_VALUE"""),5991338)</f>
        <v>5991338</v>
      </c>
    </row>
    <row r="1069" spans="1:6" x14ac:dyDescent="0.35">
      <c r="A1069" s="2">
        <f ca="1">IFERROR(__xludf.DUMMYFUNCTION("""COMPUTED_VALUE"""),43556.6666666666)</f>
        <v>43556.666666666599</v>
      </c>
      <c r="B1069" s="1">
        <f ca="1">IFERROR(__xludf.DUMMYFUNCTION("""COMPUTED_VALUE"""),18.84)</f>
        <v>18.84</v>
      </c>
      <c r="C1069" s="1">
        <f ca="1">IFERROR(__xludf.DUMMYFUNCTION("""COMPUTED_VALUE"""),19.28)</f>
        <v>19.28</v>
      </c>
      <c r="D1069" s="1">
        <f ca="1">IFERROR(__xludf.DUMMYFUNCTION("""COMPUTED_VALUE"""),18.75)</f>
        <v>18.75</v>
      </c>
      <c r="E1069" s="1">
        <f ca="1">IFERROR(__xludf.DUMMYFUNCTION("""COMPUTED_VALUE"""),19.28)</f>
        <v>19.28</v>
      </c>
      <c r="F1069" s="1">
        <f ca="1">IFERROR(__xludf.DUMMYFUNCTION("""COMPUTED_VALUE"""),8110439)</f>
        <v>8110439</v>
      </c>
    </row>
    <row r="1070" spans="1:6" x14ac:dyDescent="0.35">
      <c r="A1070" s="2">
        <f ca="1">IFERROR(__xludf.DUMMYFUNCTION("""COMPUTED_VALUE"""),43557.6666666666)</f>
        <v>43557.666666666599</v>
      </c>
      <c r="B1070" s="1">
        <f ca="1">IFERROR(__xludf.DUMMYFUNCTION("""COMPUTED_VALUE"""),19.22)</f>
        <v>19.22</v>
      </c>
      <c r="C1070" s="1">
        <f ca="1">IFERROR(__xludf.DUMMYFUNCTION("""COMPUTED_VALUE"""),19.3)</f>
        <v>19.3</v>
      </c>
      <c r="D1070" s="1">
        <f ca="1">IFERROR(__xludf.DUMMYFUNCTION("""COMPUTED_VALUE"""),18.93)</f>
        <v>18.93</v>
      </c>
      <c r="E1070" s="1">
        <f ca="1">IFERROR(__xludf.DUMMYFUNCTION("""COMPUTED_VALUE"""),19.06)</f>
        <v>19.059999999999999</v>
      </c>
      <c r="F1070" s="1">
        <f ca="1">IFERROR(__xludf.DUMMYFUNCTION("""COMPUTED_VALUE"""),5478940)</f>
        <v>5478940</v>
      </c>
    </row>
    <row r="1071" spans="1:6" x14ac:dyDescent="0.35">
      <c r="A1071" s="2">
        <f ca="1">IFERROR(__xludf.DUMMYFUNCTION("""COMPUTED_VALUE"""),43558.6666666666)</f>
        <v>43558.666666666599</v>
      </c>
      <c r="B1071" s="1">
        <f ca="1">IFERROR(__xludf.DUMMYFUNCTION("""COMPUTED_VALUE"""),19.15)</f>
        <v>19.149999999999999</v>
      </c>
      <c r="C1071" s="1">
        <f ca="1">IFERROR(__xludf.DUMMYFUNCTION("""COMPUTED_VALUE"""),19.74)</f>
        <v>19.739999999999998</v>
      </c>
      <c r="D1071" s="1">
        <f ca="1">IFERROR(__xludf.DUMMYFUNCTION("""COMPUTED_VALUE"""),19.14)</f>
        <v>19.14</v>
      </c>
      <c r="E1071" s="1">
        <f ca="1">IFERROR(__xludf.DUMMYFUNCTION("""COMPUTED_VALUE"""),19.45)</f>
        <v>19.45</v>
      </c>
      <c r="F1071" s="1">
        <f ca="1">IFERROR(__xludf.DUMMYFUNCTION("""COMPUTED_VALUE"""),7929864)</f>
        <v>7929864</v>
      </c>
    </row>
    <row r="1072" spans="1:6" x14ac:dyDescent="0.35">
      <c r="A1072" s="2">
        <f ca="1">IFERROR(__xludf.DUMMYFUNCTION("""COMPUTED_VALUE"""),43559.6666666666)</f>
        <v>43559.666666666599</v>
      </c>
      <c r="B1072" s="1">
        <f ca="1">IFERROR(__xludf.DUMMYFUNCTION("""COMPUTED_VALUE"""),17.46)</f>
        <v>17.46</v>
      </c>
      <c r="C1072" s="1">
        <f ca="1">IFERROR(__xludf.DUMMYFUNCTION("""COMPUTED_VALUE"""),18.08)</f>
        <v>18.079999999999998</v>
      </c>
      <c r="D1072" s="1">
        <f ca="1">IFERROR(__xludf.DUMMYFUNCTION("""COMPUTED_VALUE"""),17.37)</f>
        <v>17.37</v>
      </c>
      <c r="E1072" s="1">
        <f ca="1">IFERROR(__xludf.DUMMYFUNCTION("""COMPUTED_VALUE"""),17.85)</f>
        <v>17.850000000000001</v>
      </c>
      <c r="F1072" s="1">
        <f ca="1">IFERROR(__xludf.DUMMYFUNCTION("""COMPUTED_VALUE"""),23720729)</f>
        <v>23720729</v>
      </c>
    </row>
    <row r="1073" spans="1:6" x14ac:dyDescent="0.35">
      <c r="A1073" s="2">
        <f ca="1">IFERROR(__xludf.DUMMYFUNCTION("""COMPUTED_VALUE"""),43560.6666666666)</f>
        <v>43560.666666666599</v>
      </c>
      <c r="B1073" s="1">
        <f ca="1">IFERROR(__xludf.DUMMYFUNCTION("""COMPUTED_VALUE"""),17.99)</f>
        <v>17.989999999999998</v>
      </c>
      <c r="C1073" s="1">
        <f ca="1">IFERROR(__xludf.DUMMYFUNCTION("""COMPUTED_VALUE"""),18.41)</f>
        <v>18.41</v>
      </c>
      <c r="D1073" s="1">
        <f ca="1">IFERROR(__xludf.DUMMYFUNCTION("""COMPUTED_VALUE"""),17.74)</f>
        <v>17.739999999999998</v>
      </c>
      <c r="E1073" s="1">
        <f ca="1">IFERROR(__xludf.DUMMYFUNCTION("""COMPUTED_VALUE"""),18.33)</f>
        <v>18.329999999999998</v>
      </c>
      <c r="F1073" s="1">
        <f ca="1">IFERROR(__xludf.DUMMYFUNCTION("""COMPUTED_VALUE"""),13038257)</f>
        <v>13038257</v>
      </c>
    </row>
    <row r="1074" spans="1:6" x14ac:dyDescent="0.35">
      <c r="A1074" s="2">
        <f ca="1">IFERROR(__xludf.DUMMYFUNCTION("""COMPUTED_VALUE"""),43563.6666666666)</f>
        <v>43563.666666666599</v>
      </c>
      <c r="B1074" s="1">
        <f ca="1">IFERROR(__xludf.DUMMYFUNCTION("""COMPUTED_VALUE"""),18.51)</f>
        <v>18.510000000000002</v>
      </c>
      <c r="C1074" s="1">
        <f ca="1">IFERROR(__xludf.DUMMYFUNCTION("""COMPUTED_VALUE"""),18.74)</f>
        <v>18.739999999999998</v>
      </c>
      <c r="D1074" s="1">
        <f ca="1">IFERROR(__xludf.DUMMYFUNCTION("""COMPUTED_VALUE"""),18.03)</f>
        <v>18.03</v>
      </c>
      <c r="E1074" s="1">
        <f ca="1">IFERROR(__xludf.DUMMYFUNCTION("""COMPUTED_VALUE"""),18.21)</f>
        <v>18.21</v>
      </c>
      <c r="F1074" s="1">
        <f ca="1">IFERROR(__xludf.DUMMYFUNCTION("""COMPUTED_VALUE"""),10410436)</f>
        <v>10410436</v>
      </c>
    </row>
    <row r="1075" spans="1:6" x14ac:dyDescent="0.35">
      <c r="A1075" s="2">
        <f ca="1">IFERROR(__xludf.DUMMYFUNCTION("""COMPUTED_VALUE"""),43564.6666666666)</f>
        <v>43564.666666666599</v>
      </c>
      <c r="B1075" s="1">
        <f ca="1">IFERROR(__xludf.DUMMYFUNCTION("""COMPUTED_VALUE"""),18.11)</f>
        <v>18.11</v>
      </c>
      <c r="C1075" s="1">
        <f ca="1">IFERROR(__xludf.DUMMYFUNCTION("""COMPUTED_VALUE"""),18.33)</f>
        <v>18.329999999999998</v>
      </c>
      <c r="D1075" s="1">
        <f ca="1">IFERROR(__xludf.DUMMYFUNCTION("""COMPUTED_VALUE"""),17.97)</f>
        <v>17.97</v>
      </c>
      <c r="E1075" s="1">
        <f ca="1">IFERROR(__xludf.DUMMYFUNCTION("""COMPUTED_VALUE"""),18.15)</f>
        <v>18.149999999999999</v>
      </c>
      <c r="F1075" s="1">
        <f ca="1">IFERROR(__xludf.DUMMYFUNCTION("""COMPUTED_VALUE"""),5904031)</f>
        <v>5904031</v>
      </c>
    </row>
    <row r="1076" spans="1:6" x14ac:dyDescent="0.35">
      <c r="A1076" s="2">
        <f ca="1">IFERROR(__xludf.DUMMYFUNCTION("""COMPUTED_VALUE"""),43565.6666666666)</f>
        <v>43565.666666666599</v>
      </c>
      <c r="B1076" s="1">
        <f ca="1">IFERROR(__xludf.DUMMYFUNCTION("""COMPUTED_VALUE"""),18.45)</f>
        <v>18.45</v>
      </c>
      <c r="C1076" s="1">
        <f ca="1">IFERROR(__xludf.DUMMYFUNCTION("""COMPUTED_VALUE"""),18.56)</f>
        <v>18.559999999999999</v>
      </c>
      <c r="D1076" s="1">
        <f ca="1">IFERROR(__xludf.DUMMYFUNCTION("""COMPUTED_VALUE"""),18.19)</f>
        <v>18.190000000000001</v>
      </c>
      <c r="E1076" s="1">
        <f ca="1">IFERROR(__xludf.DUMMYFUNCTION("""COMPUTED_VALUE"""),18.4)</f>
        <v>18.399999999999999</v>
      </c>
      <c r="F1076" s="1">
        <f ca="1">IFERROR(__xludf.DUMMYFUNCTION("""COMPUTED_VALUE"""),7061314)</f>
        <v>7061314</v>
      </c>
    </row>
    <row r="1077" spans="1:6" x14ac:dyDescent="0.35">
      <c r="A1077" s="2">
        <f ca="1">IFERROR(__xludf.DUMMYFUNCTION("""COMPUTED_VALUE"""),43566.6666666666)</f>
        <v>43566.666666666599</v>
      </c>
      <c r="B1077" s="1">
        <f ca="1">IFERROR(__xludf.DUMMYFUNCTION("""COMPUTED_VALUE"""),17.89)</f>
        <v>17.89</v>
      </c>
      <c r="C1077" s="1">
        <f ca="1">IFERROR(__xludf.DUMMYFUNCTION("""COMPUTED_VALUE"""),18.03)</f>
        <v>18.03</v>
      </c>
      <c r="D1077" s="1">
        <f ca="1">IFERROR(__xludf.DUMMYFUNCTION("""COMPUTED_VALUE"""),17.71)</f>
        <v>17.71</v>
      </c>
      <c r="E1077" s="1">
        <f ca="1">IFERROR(__xludf.DUMMYFUNCTION("""COMPUTED_VALUE"""),17.89)</f>
        <v>17.89</v>
      </c>
      <c r="F1077" s="1">
        <f ca="1">IFERROR(__xludf.DUMMYFUNCTION("""COMPUTED_VALUE"""),9835927)</f>
        <v>9835927</v>
      </c>
    </row>
    <row r="1078" spans="1:6" x14ac:dyDescent="0.35">
      <c r="A1078" s="2">
        <f ca="1">IFERROR(__xludf.DUMMYFUNCTION("""COMPUTED_VALUE"""),43567.6666666666)</f>
        <v>43567.666666666599</v>
      </c>
      <c r="B1078" s="1">
        <f ca="1">IFERROR(__xludf.DUMMYFUNCTION("""COMPUTED_VALUE"""),18.01)</f>
        <v>18.010000000000002</v>
      </c>
      <c r="C1078" s="1">
        <f ca="1">IFERROR(__xludf.DUMMYFUNCTION("""COMPUTED_VALUE"""),18.13)</f>
        <v>18.13</v>
      </c>
      <c r="D1078" s="1">
        <f ca="1">IFERROR(__xludf.DUMMYFUNCTION("""COMPUTED_VALUE"""),17.79)</f>
        <v>17.79</v>
      </c>
      <c r="E1078" s="1">
        <f ca="1">IFERROR(__xludf.DUMMYFUNCTION("""COMPUTED_VALUE"""),17.85)</f>
        <v>17.850000000000001</v>
      </c>
      <c r="F1078" s="1">
        <f ca="1">IFERROR(__xludf.DUMMYFUNCTION("""COMPUTED_VALUE"""),6745974)</f>
        <v>6745974</v>
      </c>
    </row>
    <row r="1079" spans="1:6" x14ac:dyDescent="0.35">
      <c r="A1079" s="2">
        <f ca="1">IFERROR(__xludf.DUMMYFUNCTION("""COMPUTED_VALUE"""),43570.6666666666)</f>
        <v>43570.666666666599</v>
      </c>
      <c r="B1079" s="1">
        <f ca="1">IFERROR(__xludf.DUMMYFUNCTION("""COMPUTED_VALUE"""),17.91)</f>
        <v>17.91</v>
      </c>
      <c r="C1079" s="1">
        <f ca="1">IFERROR(__xludf.DUMMYFUNCTION("""COMPUTED_VALUE"""),17.93)</f>
        <v>17.93</v>
      </c>
      <c r="D1079" s="1">
        <f ca="1">IFERROR(__xludf.DUMMYFUNCTION("""COMPUTED_VALUE"""),17.24)</f>
        <v>17.239999999999998</v>
      </c>
      <c r="E1079" s="1">
        <f ca="1">IFERROR(__xludf.DUMMYFUNCTION("""COMPUTED_VALUE"""),17.76)</f>
        <v>17.760000000000002</v>
      </c>
      <c r="F1079" s="1">
        <f ca="1">IFERROR(__xludf.DUMMYFUNCTION("""COMPUTED_VALUE"""),10038579)</f>
        <v>10038579</v>
      </c>
    </row>
    <row r="1080" spans="1:6" x14ac:dyDescent="0.35">
      <c r="A1080" s="2">
        <f ca="1">IFERROR(__xludf.DUMMYFUNCTION("""COMPUTED_VALUE"""),43571.6666666666)</f>
        <v>43571.666666666599</v>
      </c>
      <c r="B1080" s="1">
        <f ca="1">IFERROR(__xludf.DUMMYFUNCTION("""COMPUTED_VALUE"""),17.72)</f>
        <v>17.72</v>
      </c>
      <c r="C1080" s="1">
        <f ca="1">IFERROR(__xludf.DUMMYFUNCTION("""COMPUTED_VALUE"""),18.33)</f>
        <v>18.329999999999998</v>
      </c>
      <c r="D1080" s="1">
        <f ca="1">IFERROR(__xludf.DUMMYFUNCTION("""COMPUTED_VALUE"""),17.65)</f>
        <v>17.649999999999999</v>
      </c>
      <c r="E1080" s="1">
        <f ca="1">IFERROR(__xludf.DUMMYFUNCTION("""COMPUTED_VALUE"""),18.22)</f>
        <v>18.22</v>
      </c>
      <c r="F1080" s="1">
        <f ca="1">IFERROR(__xludf.DUMMYFUNCTION("""COMPUTED_VALUE"""),7272930)</f>
        <v>7272930</v>
      </c>
    </row>
    <row r="1081" spans="1:6" x14ac:dyDescent="0.35">
      <c r="A1081" s="2">
        <f ca="1">IFERROR(__xludf.DUMMYFUNCTION("""COMPUTED_VALUE"""),43572.6666666666)</f>
        <v>43572.666666666599</v>
      </c>
      <c r="B1081" s="1">
        <f ca="1">IFERROR(__xludf.DUMMYFUNCTION("""COMPUTED_VALUE"""),18.32)</f>
        <v>18.32</v>
      </c>
      <c r="C1081" s="1">
        <f ca="1">IFERROR(__xludf.DUMMYFUNCTION("""COMPUTED_VALUE"""),18.32)</f>
        <v>18.32</v>
      </c>
      <c r="D1081" s="1">
        <f ca="1">IFERROR(__xludf.DUMMYFUNCTION("""COMPUTED_VALUE"""),17.9)</f>
        <v>17.899999999999999</v>
      </c>
      <c r="E1081" s="1">
        <f ca="1">IFERROR(__xludf.DUMMYFUNCTION("""COMPUTED_VALUE"""),18.08)</f>
        <v>18.079999999999998</v>
      </c>
      <c r="F1081" s="1">
        <f ca="1">IFERROR(__xludf.DUMMYFUNCTION("""COMPUTED_VALUE"""),5126468)</f>
        <v>5126468</v>
      </c>
    </row>
    <row r="1082" spans="1:6" x14ac:dyDescent="0.35">
      <c r="A1082" s="2">
        <f ca="1">IFERROR(__xludf.DUMMYFUNCTION("""COMPUTED_VALUE"""),43573.6666666666)</f>
        <v>43573.666666666599</v>
      </c>
      <c r="B1082" s="1">
        <f ca="1">IFERROR(__xludf.DUMMYFUNCTION("""COMPUTED_VALUE"""),18.08)</f>
        <v>18.079999999999998</v>
      </c>
      <c r="C1082" s="1">
        <f ca="1">IFERROR(__xludf.DUMMYFUNCTION("""COMPUTED_VALUE"""),18.32)</f>
        <v>18.32</v>
      </c>
      <c r="D1082" s="1">
        <f ca="1">IFERROR(__xludf.DUMMYFUNCTION("""COMPUTED_VALUE"""),17.98)</f>
        <v>17.98</v>
      </c>
      <c r="E1082" s="1">
        <f ca="1">IFERROR(__xludf.DUMMYFUNCTION("""COMPUTED_VALUE"""),18.22)</f>
        <v>18.22</v>
      </c>
      <c r="F1082" s="1">
        <f ca="1">IFERROR(__xludf.DUMMYFUNCTION("""COMPUTED_VALUE"""),5876325)</f>
        <v>5876325</v>
      </c>
    </row>
    <row r="1083" spans="1:6" x14ac:dyDescent="0.35">
      <c r="A1083" s="2">
        <f ca="1">IFERROR(__xludf.DUMMYFUNCTION("""COMPUTED_VALUE"""),43577.6666666666)</f>
        <v>43577.666666666599</v>
      </c>
      <c r="B1083" s="1">
        <f ca="1">IFERROR(__xludf.DUMMYFUNCTION("""COMPUTED_VALUE"""),17.93)</f>
        <v>17.93</v>
      </c>
      <c r="C1083" s="1">
        <f ca="1">IFERROR(__xludf.DUMMYFUNCTION("""COMPUTED_VALUE"""),17.98)</f>
        <v>17.98</v>
      </c>
      <c r="D1083" s="1">
        <f ca="1">IFERROR(__xludf.DUMMYFUNCTION("""COMPUTED_VALUE"""),17.5)</f>
        <v>17.5</v>
      </c>
      <c r="E1083" s="1">
        <f ca="1">IFERROR(__xludf.DUMMYFUNCTION("""COMPUTED_VALUE"""),17.52)</f>
        <v>17.52</v>
      </c>
      <c r="F1083" s="1">
        <f ca="1">IFERROR(__xludf.DUMMYFUNCTION("""COMPUTED_VALUE"""),12147141)</f>
        <v>12147141</v>
      </c>
    </row>
    <row r="1084" spans="1:6" x14ac:dyDescent="0.35">
      <c r="A1084" s="2">
        <f ca="1">IFERROR(__xludf.DUMMYFUNCTION("""COMPUTED_VALUE"""),43578.6666666666)</f>
        <v>43578.666666666599</v>
      </c>
      <c r="B1084" s="1">
        <f ca="1">IFERROR(__xludf.DUMMYFUNCTION("""COMPUTED_VALUE"""),17.34)</f>
        <v>17.34</v>
      </c>
      <c r="C1084" s="1">
        <f ca="1">IFERROR(__xludf.DUMMYFUNCTION("""COMPUTED_VALUE"""),17.71)</f>
        <v>17.71</v>
      </c>
      <c r="D1084" s="1">
        <f ca="1">IFERROR(__xludf.DUMMYFUNCTION("""COMPUTED_VALUE"""),17.05)</f>
        <v>17.05</v>
      </c>
      <c r="E1084" s="1">
        <f ca="1">IFERROR(__xludf.DUMMYFUNCTION("""COMPUTED_VALUE"""),17.59)</f>
        <v>17.59</v>
      </c>
      <c r="F1084" s="1">
        <f ca="1">IFERROR(__xludf.DUMMYFUNCTION("""COMPUTED_VALUE"""),10943859)</f>
        <v>10943859</v>
      </c>
    </row>
    <row r="1085" spans="1:6" x14ac:dyDescent="0.35">
      <c r="A1085" s="2">
        <f ca="1">IFERROR(__xludf.DUMMYFUNCTION("""COMPUTED_VALUE"""),43579.6666666666)</f>
        <v>43579.666666666599</v>
      </c>
      <c r="B1085" s="1">
        <f ca="1">IFERROR(__xludf.DUMMYFUNCTION("""COMPUTED_VALUE"""),17.59)</f>
        <v>17.59</v>
      </c>
      <c r="C1085" s="1">
        <f ca="1">IFERROR(__xludf.DUMMYFUNCTION("""COMPUTED_VALUE"""),17.69)</f>
        <v>17.690000000000001</v>
      </c>
      <c r="D1085" s="1">
        <f ca="1">IFERROR(__xludf.DUMMYFUNCTION("""COMPUTED_VALUE"""),17.2)</f>
        <v>17.2</v>
      </c>
      <c r="E1085" s="1">
        <f ca="1">IFERROR(__xludf.DUMMYFUNCTION("""COMPUTED_VALUE"""),17.24)</f>
        <v>17.239999999999998</v>
      </c>
      <c r="F1085" s="1">
        <f ca="1">IFERROR(__xludf.DUMMYFUNCTION("""COMPUTED_VALUE"""),10727454)</f>
        <v>10727454</v>
      </c>
    </row>
    <row r="1086" spans="1:6" x14ac:dyDescent="0.35">
      <c r="A1086" s="2">
        <f ca="1">IFERROR(__xludf.DUMMYFUNCTION("""COMPUTED_VALUE"""),43580.6666666666)</f>
        <v>43580.666666666599</v>
      </c>
      <c r="B1086" s="1">
        <f ca="1">IFERROR(__xludf.DUMMYFUNCTION("""COMPUTED_VALUE"""),17)</f>
        <v>17</v>
      </c>
      <c r="C1086" s="1">
        <f ca="1">IFERROR(__xludf.DUMMYFUNCTION("""COMPUTED_VALUE"""),17.27)</f>
        <v>17.27</v>
      </c>
      <c r="D1086" s="1">
        <f ca="1">IFERROR(__xludf.DUMMYFUNCTION("""COMPUTED_VALUE"""),16.4)</f>
        <v>16.399999999999999</v>
      </c>
      <c r="E1086" s="1">
        <f ca="1">IFERROR(__xludf.DUMMYFUNCTION("""COMPUTED_VALUE"""),16.51)</f>
        <v>16.510000000000002</v>
      </c>
      <c r="F1086" s="1">
        <f ca="1">IFERROR(__xludf.DUMMYFUNCTION("""COMPUTED_VALUE"""),21849393)</f>
        <v>21849393</v>
      </c>
    </row>
    <row r="1087" spans="1:6" x14ac:dyDescent="0.35">
      <c r="A1087" s="2">
        <f ca="1">IFERROR(__xludf.DUMMYFUNCTION("""COMPUTED_VALUE"""),43581.6666666666)</f>
        <v>43581.666666666599</v>
      </c>
      <c r="B1087" s="1">
        <f ca="1">IFERROR(__xludf.DUMMYFUNCTION("""COMPUTED_VALUE"""),16.43)</f>
        <v>16.43</v>
      </c>
      <c r="C1087" s="1">
        <f ca="1">IFERROR(__xludf.DUMMYFUNCTION("""COMPUTED_VALUE"""),16.45)</f>
        <v>16.45</v>
      </c>
      <c r="D1087" s="1">
        <f ca="1">IFERROR(__xludf.DUMMYFUNCTION("""COMPUTED_VALUE"""),15.41)</f>
        <v>15.41</v>
      </c>
      <c r="E1087" s="1">
        <f ca="1">IFERROR(__xludf.DUMMYFUNCTION("""COMPUTED_VALUE"""),15.68)</f>
        <v>15.68</v>
      </c>
      <c r="F1087" s="1">
        <f ca="1">IFERROR(__xludf.DUMMYFUNCTION("""COMPUTED_VALUE"""),22360709)</f>
        <v>22360709</v>
      </c>
    </row>
    <row r="1088" spans="1:6" x14ac:dyDescent="0.35">
      <c r="A1088" s="2">
        <f ca="1">IFERROR(__xludf.DUMMYFUNCTION("""COMPUTED_VALUE"""),43584.6666666666)</f>
        <v>43584.666666666599</v>
      </c>
      <c r="B1088" s="1">
        <f ca="1">IFERROR(__xludf.DUMMYFUNCTION("""COMPUTED_VALUE"""),15.72)</f>
        <v>15.72</v>
      </c>
      <c r="C1088" s="1">
        <f ca="1">IFERROR(__xludf.DUMMYFUNCTION("""COMPUTED_VALUE"""),16.27)</f>
        <v>16.27</v>
      </c>
      <c r="D1088" s="1">
        <f ca="1">IFERROR(__xludf.DUMMYFUNCTION("""COMPUTED_VALUE"""),15.48)</f>
        <v>15.48</v>
      </c>
      <c r="E1088" s="1">
        <f ca="1">IFERROR(__xludf.DUMMYFUNCTION("""COMPUTED_VALUE"""),16.1)</f>
        <v>16.100000000000001</v>
      </c>
      <c r="F1088" s="1">
        <f ca="1">IFERROR(__xludf.DUMMYFUNCTION("""COMPUTED_VALUE"""),16714476)</f>
        <v>16714476</v>
      </c>
    </row>
    <row r="1089" spans="1:6" x14ac:dyDescent="0.35">
      <c r="A1089" s="2">
        <f ca="1">IFERROR(__xludf.DUMMYFUNCTION("""COMPUTED_VALUE"""),43585.6666666666)</f>
        <v>43585.666666666599</v>
      </c>
      <c r="B1089" s="1">
        <f ca="1">IFERROR(__xludf.DUMMYFUNCTION("""COMPUTED_VALUE"""),16.14)</f>
        <v>16.14</v>
      </c>
      <c r="C1089" s="1">
        <f ca="1">IFERROR(__xludf.DUMMYFUNCTION("""COMPUTED_VALUE"""),16.28)</f>
        <v>16.28</v>
      </c>
      <c r="D1089" s="1">
        <f ca="1">IFERROR(__xludf.DUMMYFUNCTION("""COMPUTED_VALUE"""),15.8)</f>
        <v>15.8</v>
      </c>
      <c r="E1089" s="1">
        <f ca="1">IFERROR(__xludf.DUMMYFUNCTION("""COMPUTED_VALUE"""),15.91)</f>
        <v>15.91</v>
      </c>
      <c r="F1089" s="1">
        <f ca="1">IFERROR(__xludf.DUMMYFUNCTION("""COMPUTED_VALUE"""),9464628)</f>
        <v>9464628</v>
      </c>
    </row>
    <row r="1090" spans="1:6" x14ac:dyDescent="0.35">
      <c r="A1090" s="2">
        <f ca="1">IFERROR(__xludf.DUMMYFUNCTION("""COMPUTED_VALUE"""),43586.6666666666)</f>
        <v>43586.666666666599</v>
      </c>
      <c r="B1090" s="1">
        <f ca="1">IFERROR(__xludf.DUMMYFUNCTION("""COMPUTED_VALUE"""),15.92)</f>
        <v>15.92</v>
      </c>
      <c r="C1090" s="1">
        <f ca="1">IFERROR(__xludf.DUMMYFUNCTION("""COMPUTED_VALUE"""),16)</f>
        <v>16</v>
      </c>
      <c r="D1090" s="1">
        <f ca="1">IFERROR(__xludf.DUMMYFUNCTION("""COMPUTED_VALUE"""),15.43)</f>
        <v>15.43</v>
      </c>
      <c r="E1090" s="1">
        <f ca="1">IFERROR(__xludf.DUMMYFUNCTION("""COMPUTED_VALUE"""),15.6)</f>
        <v>15.6</v>
      </c>
      <c r="F1090" s="1">
        <f ca="1">IFERROR(__xludf.DUMMYFUNCTION("""COMPUTED_VALUE"""),10704354)</f>
        <v>10704354</v>
      </c>
    </row>
    <row r="1091" spans="1:6" x14ac:dyDescent="0.35">
      <c r="A1091" s="2">
        <f ca="1">IFERROR(__xludf.DUMMYFUNCTION("""COMPUTED_VALUE"""),43587.6666666666)</f>
        <v>43587.666666666599</v>
      </c>
      <c r="B1091" s="1">
        <f ca="1">IFERROR(__xludf.DUMMYFUNCTION("""COMPUTED_VALUE"""),16.37)</f>
        <v>16.37</v>
      </c>
      <c r="C1091" s="1">
        <f ca="1">IFERROR(__xludf.DUMMYFUNCTION("""COMPUTED_VALUE"""),16.48)</f>
        <v>16.48</v>
      </c>
      <c r="D1091" s="1">
        <f ca="1">IFERROR(__xludf.DUMMYFUNCTION("""COMPUTED_VALUE"""),15.85)</f>
        <v>15.85</v>
      </c>
      <c r="E1091" s="1">
        <f ca="1">IFERROR(__xludf.DUMMYFUNCTION("""COMPUTED_VALUE"""),16.27)</f>
        <v>16.27</v>
      </c>
      <c r="F1091" s="1">
        <f ca="1">IFERROR(__xludf.DUMMYFUNCTION("""COMPUTED_VALUE"""),18159339)</f>
        <v>18159339</v>
      </c>
    </row>
    <row r="1092" spans="1:6" x14ac:dyDescent="0.35">
      <c r="A1092" s="2">
        <f ca="1">IFERROR(__xludf.DUMMYFUNCTION("""COMPUTED_VALUE"""),43588.6666666666)</f>
        <v>43588.666666666599</v>
      </c>
      <c r="B1092" s="1">
        <f ca="1">IFERROR(__xludf.DUMMYFUNCTION("""COMPUTED_VALUE"""),16.26)</f>
        <v>16.260000000000002</v>
      </c>
      <c r="C1092" s="1">
        <f ca="1">IFERROR(__xludf.DUMMYFUNCTION("""COMPUTED_VALUE"""),17.11)</f>
        <v>17.11</v>
      </c>
      <c r="D1092" s="1">
        <f ca="1">IFERROR(__xludf.DUMMYFUNCTION("""COMPUTED_VALUE"""),16.23)</f>
        <v>16.23</v>
      </c>
      <c r="E1092" s="1">
        <f ca="1">IFERROR(__xludf.DUMMYFUNCTION("""COMPUTED_VALUE"""),17)</f>
        <v>17</v>
      </c>
      <c r="F1092" s="1">
        <f ca="1">IFERROR(__xludf.DUMMYFUNCTION("""COMPUTED_VALUE"""),23706771)</f>
        <v>23706771</v>
      </c>
    </row>
    <row r="1093" spans="1:6" x14ac:dyDescent="0.35">
      <c r="A1093" s="2">
        <f ca="1">IFERROR(__xludf.DUMMYFUNCTION("""COMPUTED_VALUE"""),43591.6666666666)</f>
        <v>43591.666666666599</v>
      </c>
      <c r="B1093" s="1">
        <f ca="1">IFERROR(__xludf.DUMMYFUNCTION("""COMPUTED_VALUE"""),16.67)</f>
        <v>16.670000000000002</v>
      </c>
      <c r="C1093" s="1">
        <f ca="1">IFERROR(__xludf.DUMMYFUNCTION("""COMPUTED_VALUE"""),17.22)</f>
        <v>17.22</v>
      </c>
      <c r="D1093" s="1">
        <f ca="1">IFERROR(__xludf.DUMMYFUNCTION("""COMPUTED_VALUE"""),16.57)</f>
        <v>16.57</v>
      </c>
      <c r="E1093" s="1">
        <f ca="1">IFERROR(__xludf.DUMMYFUNCTION("""COMPUTED_VALUE"""),17.02)</f>
        <v>17.02</v>
      </c>
      <c r="F1093" s="1">
        <f ca="1">IFERROR(__xludf.DUMMYFUNCTION("""COMPUTED_VALUE"""),10833943)</f>
        <v>10833943</v>
      </c>
    </row>
    <row r="1094" spans="1:6" x14ac:dyDescent="0.35">
      <c r="A1094" s="2">
        <f ca="1">IFERROR(__xludf.DUMMYFUNCTION("""COMPUTED_VALUE"""),43592.6666666666)</f>
        <v>43592.666666666599</v>
      </c>
      <c r="B1094" s="1">
        <f ca="1">IFERROR(__xludf.DUMMYFUNCTION("""COMPUTED_VALUE"""),17.12)</f>
        <v>17.12</v>
      </c>
      <c r="C1094" s="1">
        <f ca="1">IFERROR(__xludf.DUMMYFUNCTION("""COMPUTED_VALUE"""),17.15)</f>
        <v>17.149999999999999</v>
      </c>
      <c r="D1094" s="1">
        <f ca="1">IFERROR(__xludf.DUMMYFUNCTION("""COMPUTED_VALUE"""),16.34)</f>
        <v>16.34</v>
      </c>
      <c r="E1094" s="1">
        <f ca="1">IFERROR(__xludf.DUMMYFUNCTION("""COMPUTED_VALUE"""),16.47)</f>
        <v>16.47</v>
      </c>
      <c r="F1094" s="1">
        <f ca="1">IFERROR(__xludf.DUMMYFUNCTION("""COMPUTED_VALUE"""),10131408)</f>
        <v>10131408</v>
      </c>
    </row>
    <row r="1095" spans="1:6" x14ac:dyDescent="0.35">
      <c r="A1095" s="2">
        <f ca="1">IFERROR(__xludf.DUMMYFUNCTION("""COMPUTED_VALUE"""),43593.6666666666)</f>
        <v>43593.666666666599</v>
      </c>
      <c r="B1095" s="1">
        <f ca="1">IFERROR(__xludf.DUMMYFUNCTION("""COMPUTED_VALUE"""),16.46)</f>
        <v>16.46</v>
      </c>
      <c r="C1095" s="1">
        <f ca="1">IFERROR(__xludf.DUMMYFUNCTION("""COMPUTED_VALUE"""),16.71)</f>
        <v>16.71</v>
      </c>
      <c r="D1095" s="1">
        <f ca="1">IFERROR(__xludf.DUMMYFUNCTION("""COMPUTED_VALUE"""),16.28)</f>
        <v>16.28</v>
      </c>
      <c r="E1095" s="1">
        <f ca="1">IFERROR(__xludf.DUMMYFUNCTION("""COMPUTED_VALUE"""),16.32)</f>
        <v>16.32</v>
      </c>
      <c r="F1095" s="1">
        <f ca="1">IFERROR(__xludf.DUMMYFUNCTION("""COMPUTED_VALUE"""),6176440)</f>
        <v>6176440</v>
      </c>
    </row>
    <row r="1096" spans="1:6" x14ac:dyDescent="0.35">
      <c r="A1096" s="2">
        <f ca="1">IFERROR(__xludf.DUMMYFUNCTION("""COMPUTED_VALUE"""),43594.6666666666)</f>
        <v>43594.666666666599</v>
      </c>
      <c r="B1096" s="1">
        <f ca="1">IFERROR(__xludf.DUMMYFUNCTION("""COMPUTED_VALUE"""),16.13)</f>
        <v>16.13</v>
      </c>
      <c r="C1096" s="1">
        <f ca="1">IFERROR(__xludf.DUMMYFUNCTION("""COMPUTED_VALUE"""),16.25)</f>
        <v>16.25</v>
      </c>
      <c r="D1096" s="1">
        <f ca="1">IFERROR(__xludf.DUMMYFUNCTION("""COMPUTED_VALUE"""),15.8)</f>
        <v>15.8</v>
      </c>
      <c r="E1096" s="1">
        <f ca="1">IFERROR(__xludf.DUMMYFUNCTION("""COMPUTED_VALUE"""),16.13)</f>
        <v>16.13</v>
      </c>
      <c r="F1096" s="1">
        <f ca="1">IFERROR(__xludf.DUMMYFUNCTION("""COMPUTED_VALUE"""),6711382)</f>
        <v>6711382</v>
      </c>
    </row>
    <row r="1097" spans="1:6" x14ac:dyDescent="0.35">
      <c r="A1097" s="2">
        <f ca="1">IFERROR(__xludf.DUMMYFUNCTION("""COMPUTED_VALUE"""),43595.6666666666)</f>
        <v>43595.666666666599</v>
      </c>
      <c r="B1097" s="1">
        <f ca="1">IFERROR(__xludf.DUMMYFUNCTION("""COMPUTED_VALUE"""),15.98)</f>
        <v>15.98</v>
      </c>
      <c r="C1097" s="1">
        <f ca="1">IFERROR(__xludf.DUMMYFUNCTION("""COMPUTED_VALUE"""),16.13)</f>
        <v>16.13</v>
      </c>
      <c r="D1097" s="1">
        <f ca="1">IFERROR(__xludf.DUMMYFUNCTION("""COMPUTED_VALUE"""),15.73)</f>
        <v>15.73</v>
      </c>
      <c r="E1097" s="1">
        <f ca="1">IFERROR(__xludf.DUMMYFUNCTION("""COMPUTED_VALUE"""),15.97)</f>
        <v>15.97</v>
      </c>
      <c r="F1097" s="1">
        <f ca="1">IFERROR(__xludf.DUMMYFUNCTION("""COMPUTED_VALUE"""),7008336)</f>
        <v>7008336</v>
      </c>
    </row>
    <row r="1098" spans="1:6" x14ac:dyDescent="0.35">
      <c r="A1098" s="2">
        <f ca="1">IFERROR(__xludf.DUMMYFUNCTION("""COMPUTED_VALUE"""),43598.6666666666)</f>
        <v>43598.666666666599</v>
      </c>
      <c r="B1098" s="1">
        <f ca="1">IFERROR(__xludf.DUMMYFUNCTION("""COMPUTED_VALUE"""),15.47)</f>
        <v>15.47</v>
      </c>
      <c r="C1098" s="1">
        <f ca="1">IFERROR(__xludf.DUMMYFUNCTION("""COMPUTED_VALUE"""),15.5)</f>
        <v>15.5</v>
      </c>
      <c r="D1098" s="1">
        <f ca="1">IFERROR(__xludf.DUMMYFUNCTION("""COMPUTED_VALUE"""),14.97)</f>
        <v>14.97</v>
      </c>
      <c r="E1098" s="1">
        <f ca="1">IFERROR(__xludf.DUMMYFUNCTION("""COMPUTED_VALUE"""),15.13)</f>
        <v>15.13</v>
      </c>
      <c r="F1098" s="1">
        <f ca="1">IFERROR(__xludf.DUMMYFUNCTION("""COMPUTED_VALUE"""),10834796)</f>
        <v>10834796</v>
      </c>
    </row>
    <row r="1099" spans="1:6" x14ac:dyDescent="0.35">
      <c r="A1099" s="2">
        <f ca="1">IFERROR(__xludf.DUMMYFUNCTION("""COMPUTED_VALUE"""),43599.6666666666)</f>
        <v>43599.666666666599</v>
      </c>
      <c r="B1099" s="1">
        <f ca="1">IFERROR(__xludf.DUMMYFUNCTION("""COMPUTED_VALUE"""),15.29)</f>
        <v>15.29</v>
      </c>
      <c r="C1099" s="1">
        <f ca="1">IFERROR(__xludf.DUMMYFUNCTION("""COMPUTED_VALUE"""),15.63)</f>
        <v>15.63</v>
      </c>
      <c r="D1099" s="1">
        <f ca="1">IFERROR(__xludf.DUMMYFUNCTION("""COMPUTED_VALUE"""),15.2)</f>
        <v>15.2</v>
      </c>
      <c r="E1099" s="1">
        <f ca="1">IFERROR(__xludf.DUMMYFUNCTION("""COMPUTED_VALUE"""),15.49)</f>
        <v>15.49</v>
      </c>
      <c r="F1099" s="1">
        <f ca="1">IFERROR(__xludf.DUMMYFUNCTION("""COMPUTED_VALUE"""),7252412)</f>
        <v>7252412</v>
      </c>
    </row>
    <row r="1100" spans="1:6" x14ac:dyDescent="0.35">
      <c r="A1100" s="2">
        <f ca="1">IFERROR(__xludf.DUMMYFUNCTION("""COMPUTED_VALUE"""),43600.6666666666)</f>
        <v>43600.666666666599</v>
      </c>
      <c r="B1100" s="1">
        <f ca="1">IFERROR(__xludf.DUMMYFUNCTION("""COMPUTED_VALUE"""),15.29)</f>
        <v>15.29</v>
      </c>
      <c r="C1100" s="1">
        <f ca="1">IFERROR(__xludf.DUMMYFUNCTION("""COMPUTED_VALUE"""),15.5)</f>
        <v>15.5</v>
      </c>
      <c r="D1100" s="1">
        <f ca="1">IFERROR(__xludf.DUMMYFUNCTION("""COMPUTED_VALUE"""),15.02)</f>
        <v>15.02</v>
      </c>
      <c r="E1100" s="1">
        <f ca="1">IFERROR(__xludf.DUMMYFUNCTION("""COMPUTED_VALUE"""),15.46)</f>
        <v>15.46</v>
      </c>
      <c r="F1100" s="1">
        <f ca="1">IFERROR(__xludf.DUMMYFUNCTION("""COMPUTED_VALUE"""),7295976)</f>
        <v>7295976</v>
      </c>
    </row>
    <row r="1101" spans="1:6" x14ac:dyDescent="0.35">
      <c r="A1101" s="2">
        <f ca="1">IFERROR(__xludf.DUMMYFUNCTION("""COMPUTED_VALUE"""),43601.6666666666)</f>
        <v>43601.666666666599</v>
      </c>
      <c r="B1101" s="1">
        <f ca="1">IFERROR(__xludf.DUMMYFUNCTION("""COMPUTED_VALUE"""),15.3)</f>
        <v>15.3</v>
      </c>
      <c r="C1101" s="1">
        <f ca="1">IFERROR(__xludf.DUMMYFUNCTION("""COMPUTED_VALUE"""),15.4)</f>
        <v>15.4</v>
      </c>
      <c r="D1101" s="1">
        <f ca="1">IFERROR(__xludf.DUMMYFUNCTION("""COMPUTED_VALUE"""),15.1)</f>
        <v>15.1</v>
      </c>
      <c r="E1101" s="1">
        <f ca="1">IFERROR(__xludf.DUMMYFUNCTION("""COMPUTED_VALUE"""),15.22)</f>
        <v>15.22</v>
      </c>
      <c r="F1101" s="1">
        <f ca="1">IFERROR(__xludf.DUMMYFUNCTION("""COMPUTED_VALUE"""),7483273)</f>
        <v>7483273</v>
      </c>
    </row>
    <row r="1102" spans="1:6" x14ac:dyDescent="0.35">
      <c r="A1102" s="2">
        <f ca="1">IFERROR(__xludf.DUMMYFUNCTION("""COMPUTED_VALUE"""),43602.6666666666)</f>
        <v>43602.666666666599</v>
      </c>
      <c r="B1102" s="1">
        <f ca="1">IFERROR(__xludf.DUMMYFUNCTION("""COMPUTED_VALUE"""),14.8)</f>
        <v>14.8</v>
      </c>
      <c r="C1102" s="1">
        <f ca="1">IFERROR(__xludf.DUMMYFUNCTION("""COMPUTED_VALUE"""),14.82)</f>
        <v>14.82</v>
      </c>
      <c r="D1102" s="1">
        <f ca="1">IFERROR(__xludf.DUMMYFUNCTION("""COMPUTED_VALUE"""),13.93)</f>
        <v>13.93</v>
      </c>
      <c r="E1102" s="1">
        <f ca="1">IFERROR(__xludf.DUMMYFUNCTION("""COMPUTED_VALUE"""),14.07)</f>
        <v>14.07</v>
      </c>
      <c r="F1102" s="1">
        <f ca="1">IFERROR(__xludf.DUMMYFUNCTION("""COMPUTED_VALUE"""),17786666)</f>
        <v>17786666</v>
      </c>
    </row>
    <row r="1103" spans="1:6" x14ac:dyDescent="0.35">
      <c r="A1103" s="2">
        <f ca="1">IFERROR(__xludf.DUMMYFUNCTION("""COMPUTED_VALUE"""),43605.6666666666)</f>
        <v>43605.666666666599</v>
      </c>
      <c r="B1103" s="1">
        <f ca="1">IFERROR(__xludf.DUMMYFUNCTION("""COMPUTED_VALUE"""),13.52)</f>
        <v>13.52</v>
      </c>
      <c r="C1103" s="1">
        <f ca="1">IFERROR(__xludf.DUMMYFUNCTION("""COMPUTED_VALUE"""),13.73)</f>
        <v>13.73</v>
      </c>
      <c r="D1103" s="1">
        <f ca="1">IFERROR(__xludf.DUMMYFUNCTION("""COMPUTED_VALUE"""),13.02)</f>
        <v>13.02</v>
      </c>
      <c r="E1103" s="1">
        <f ca="1">IFERROR(__xludf.DUMMYFUNCTION("""COMPUTED_VALUE"""),13.69)</f>
        <v>13.69</v>
      </c>
      <c r="F1103" s="1">
        <f ca="1">IFERROR(__xludf.DUMMYFUNCTION("""COMPUTED_VALUE"""),20526195)</f>
        <v>20526195</v>
      </c>
    </row>
    <row r="1104" spans="1:6" x14ac:dyDescent="0.35">
      <c r="A1104" s="2">
        <f ca="1">IFERROR(__xludf.DUMMYFUNCTION("""COMPUTED_VALUE"""),43606.6666666666)</f>
        <v>43606.666666666599</v>
      </c>
      <c r="B1104" s="1">
        <f ca="1">IFERROR(__xludf.DUMMYFUNCTION("""COMPUTED_VALUE"""),13.18)</f>
        <v>13.18</v>
      </c>
      <c r="C1104" s="1">
        <f ca="1">IFERROR(__xludf.DUMMYFUNCTION("""COMPUTED_VALUE"""),13.83)</f>
        <v>13.83</v>
      </c>
      <c r="D1104" s="1">
        <f ca="1">IFERROR(__xludf.DUMMYFUNCTION("""COMPUTED_VALUE"""),13.07)</f>
        <v>13.07</v>
      </c>
      <c r="E1104" s="1">
        <f ca="1">IFERROR(__xludf.DUMMYFUNCTION("""COMPUTED_VALUE"""),13.67)</f>
        <v>13.67</v>
      </c>
      <c r="F1104" s="1">
        <f ca="1">IFERROR(__xludf.DUMMYFUNCTION("""COMPUTED_VALUE"""),18003899)</f>
        <v>18003899</v>
      </c>
    </row>
    <row r="1105" spans="1:6" x14ac:dyDescent="0.35">
      <c r="A1105" s="2">
        <f ca="1">IFERROR(__xludf.DUMMYFUNCTION("""COMPUTED_VALUE"""),43607.6666666666)</f>
        <v>43607.666666666599</v>
      </c>
      <c r="B1105" s="1">
        <f ca="1">IFERROR(__xludf.DUMMYFUNCTION("""COMPUTED_VALUE"""),13.27)</f>
        <v>13.27</v>
      </c>
      <c r="C1105" s="1">
        <f ca="1">IFERROR(__xludf.DUMMYFUNCTION("""COMPUTED_VALUE"""),13.6)</f>
        <v>13.6</v>
      </c>
      <c r="D1105" s="1">
        <f ca="1">IFERROR(__xludf.DUMMYFUNCTION("""COMPUTED_VALUE"""),12.79)</f>
        <v>12.79</v>
      </c>
      <c r="E1105" s="1">
        <f ca="1">IFERROR(__xludf.DUMMYFUNCTION("""COMPUTED_VALUE"""),12.85)</f>
        <v>12.85</v>
      </c>
      <c r="F1105" s="1">
        <f ca="1">IFERROR(__xludf.DUMMYFUNCTION("""COMPUTED_VALUE"""),18685187)</f>
        <v>18685187</v>
      </c>
    </row>
    <row r="1106" spans="1:6" x14ac:dyDescent="0.35">
      <c r="A1106" s="2">
        <f ca="1">IFERROR(__xludf.DUMMYFUNCTION("""COMPUTED_VALUE"""),43608.6666666666)</f>
        <v>43608.666666666599</v>
      </c>
      <c r="B1106" s="1">
        <f ca="1">IFERROR(__xludf.DUMMYFUNCTION("""COMPUTED_VALUE"""),12.96)</f>
        <v>12.96</v>
      </c>
      <c r="C1106" s="1">
        <f ca="1">IFERROR(__xludf.DUMMYFUNCTION("""COMPUTED_VALUE"""),13.3)</f>
        <v>13.3</v>
      </c>
      <c r="D1106" s="1">
        <f ca="1">IFERROR(__xludf.DUMMYFUNCTION("""COMPUTED_VALUE"""),12.41)</f>
        <v>12.41</v>
      </c>
      <c r="E1106" s="1">
        <f ca="1">IFERROR(__xludf.DUMMYFUNCTION("""COMPUTED_VALUE"""),13.03)</f>
        <v>13.03</v>
      </c>
      <c r="F1106" s="1">
        <f ca="1">IFERROR(__xludf.DUMMYFUNCTION("""COMPUTED_VALUE"""),26547142)</f>
        <v>26547142</v>
      </c>
    </row>
    <row r="1107" spans="1:6" x14ac:dyDescent="0.35">
      <c r="A1107" s="2">
        <f ca="1">IFERROR(__xludf.DUMMYFUNCTION("""COMPUTED_VALUE"""),43609.6666666666)</f>
        <v>43609.666666666599</v>
      </c>
      <c r="B1107" s="1">
        <f ca="1">IFERROR(__xludf.DUMMYFUNCTION("""COMPUTED_VALUE"""),13.32)</f>
        <v>13.32</v>
      </c>
      <c r="C1107" s="1">
        <f ca="1">IFERROR(__xludf.DUMMYFUNCTION("""COMPUTED_VALUE"""),13.33)</f>
        <v>13.33</v>
      </c>
      <c r="D1107" s="1">
        <f ca="1">IFERROR(__xludf.DUMMYFUNCTION("""COMPUTED_VALUE"""),12.58)</f>
        <v>12.58</v>
      </c>
      <c r="E1107" s="1">
        <f ca="1">IFERROR(__xludf.DUMMYFUNCTION("""COMPUTED_VALUE"""),12.71)</f>
        <v>12.71</v>
      </c>
      <c r="F1107" s="1">
        <f ca="1">IFERROR(__xludf.DUMMYFUNCTION("""COMPUTED_VALUE"""),14136572)</f>
        <v>14136572</v>
      </c>
    </row>
    <row r="1108" spans="1:6" x14ac:dyDescent="0.35">
      <c r="A1108" s="2">
        <f ca="1">IFERROR(__xludf.DUMMYFUNCTION("""COMPUTED_VALUE"""),43613.6666666666)</f>
        <v>43613.666666666599</v>
      </c>
      <c r="B1108" s="1">
        <f ca="1">IFERROR(__xludf.DUMMYFUNCTION("""COMPUTED_VALUE"""),12.75)</f>
        <v>12.75</v>
      </c>
      <c r="C1108" s="1">
        <f ca="1">IFERROR(__xludf.DUMMYFUNCTION("""COMPUTED_VALUE"""),13)</f>
        <v>13</v>
      </c>
      <c r="D1108" s="1">
        <f ca="1">IFERROR(__xludf.DUMMYFUNCTION("""COMPUTED_VALUE"""),12.52)</f>
        <v>12.52</v>
      </c>
      <c r="E1108" s="1">
        <f ca="1">IFERROR(__xludf.DUMMYFUNCTION("""COMPUTED_VALUE"""),12.58)</f>
        <v>12.58</v>
      </c>
      <c r="F1108" s="1">
        <f ca="1">IFERROR(__xludf.DUMMYFUNCTION("""COMPUTED_VALUE"""),10312901)</f>
        <v>10312901</v>
      </c>
    </row>
    <row r="1109" spans="1:6" x14ac:dyDescent="0.35">
      <c r="A1109" s="2">
        <f ca="1">IFERROR(__xludf.DUMMYFUNCTION("""COMPUTED_VALUE"""),43614.6666666666)</f>
        <v>43614.666666666599</v>
      </c>
      <c r="B1109" s="1">
        <f ca="1">IFERROR(__xludf.DUMMYFUNCTION("""COMPUTED_VALUE"""),12.47)</f>
        <v>12.47</v>
      </c>
      <c r="C1109" s="1">
        <f ca="1">IFERROR(__xludf.DUMMYFUNCTION("""COMPUTED_VALUE"""),12.83)</f>
        <v>12.83</v>
      </c>
      <c r="D1109" s="1">
        <f ca="1">IFERROR(__xludf.DUMMYFUNCTION("""COMPUTED_VALUE"""),12.34)</f>
        <v>12.34</v>
      </c>
      <c r="E1109" s="1">
        <f ca="1">IFERROR(__xludf.DUMMYFUNCTION("""COMPUTED_VALUE"""),12.66)</f>
        <v>12.66</v>
      </c>
      <c r="F1109" s="1">
        <f ca="1">IFERROR(__xludf.DUMMYFUNCTION("""COMPUTED_VALUE"""),11968638)</f>
        <v>11968638</v>
      </c>
    </row>
    <row r="1110" spans="1:6" x14ac:dyDescent="0.35">
      <c r="A1110" s="2">
        <f ca="1">IFERROR(__xludf.DUMMYFUNCTION("""COMPUTED_VALUE"""),43615.6666666666)</f>
        <v>43615.666666666599</v>
      </c>
      <c r="B1110" s="1">
        <f ca="1">IFERROR(__xludf.DUMMYFUNCTION("""COMPUTED_VALUE"""),12.58)</f>
        <v>12.58</v>
      </c>
      <c r="C1110" s="1">
        <f ca="1">IFERROR(__xludf.DUMMYFUNCTION("""COMPUTED_VALUE"""),12.82)</f>
        <v>12.82</v>
      </c>
      <c r="D1110" s="1">
        <f ca="1">IFERROR(__xludf.DUMMYFUNCTION("""COMPUTED_VALUE"""),12.47)</f>
        <v>12.47</v>
      </c>
      <c r="E1110" s="1">
        <f ca="1">IFERROR(__xludf.DUMMYFUNCTION("""COMPUTED_VALUE"""),12.55)</f>
        <v>12.55</v>
      </c>
      <c r="F1110" s="1">
        <f ca="1">IFERROR(__xludf.DUMMYFUNCTION("""COMPUTED_VALUE"""),7926475)</f>
        <v>7926475</v>
      </c>
    </row>
    <row r="1111" spans="1:6" x14ac:dyDescent="0.35">
      <c r="A1111" s="2">
        <f ca="1">IFERROR(__xludf.DUMMYFUNCTION("""COMPUTED_VALUE"""),43616.6666666666)</f>
        <v>43616.666666666599</v>
      </c>
      <c r="B1111" s="1">
        <f ca="1">IFERROR(__xludf.DUMMYFUNCTION("""COMPUTED_VALUE"""),12.34)</f>
        <v>12.34</v>
      </c>
      <c r="C1111" s="1">
        <f ca="1">IFERROR(__xludf.DUMMYFUNCTION("""COMPUTED_VALUE"""),12.66)</f>
        <v>12.66</v>
      </c>
      <c r="D1111" s="1">
        <f ca="1">IFERROR(__xludf.DUMMYFUNCTION("""COMPUTED_VALUE"""),12.27)</f>
        <v>12.27</v>
      </c>
      <c r="E1111" s="1">
        <f ca="1">IFERROR(__xludf.DUMMYFUNCTION("""COMPUTED_VALUE"""),12.34)</f>
        <v>12.34</v>
      </c>
      <c r="F1111" s="1">
        <f ca="1">IFERROR(__xludf.DUMMYFUNCTION("""COMPUTED_VALUE"""),10406732)</f>
        <v>10406732</v>
      </c>
    </row>
    <row r="1112" spans="1:6" x14ac:dyDescent="0.35">
      <c r="A1112" s="2">
        <f ca="1">IFERROR(__xludf.DUMMYFUNCTION("""COMPUTED_VALUE"""),43619.6666666666)</f>
        <v>43619.666666666599</v>
      </c>
      <c r="B1112" s="1">
        <f ca="1">IFERROR(__xludf.DUMMYFUNCTION("""COMPUTED_VALUE"""),12.37)</f>
        <v>12.37</v>
      </c>
      <c r="C1112" s="1">
        <f ca="1">IFERROR(__xludf.DUMMYFUNCTION("""COMPUTED_VALUE"""),12.45)</f>
        <v>12.45</v>
      </c>
      <c r="D1112" s="1">
        <f ca="1">IFERROR(__xludf.DUMMYFUNCTION("""COMPUTED_VALUE"""),11.8)</f>
        <v>11.8</v>
      </c>
      <c r="E1112" s="1">
        <f ca="1">IFERROR(__xludf.DUMMYFUNCTION("""COMPUTED_VALUE"""),11.93)</f>
        <v>11.93</v>
      </c>
      <c r="F1112" s="1">
        <f ca="1">IFERROR(__xludf.DUMMYFUNCTION("""COMPUTED_VALUE"""),13064410)</f>
        <v>13064410</v>
      </c>
    </row>
    <row r="1113" spans="1:6" x14ac:dyDescent="0.35">
      <c r="A1113" s="2">
        <f ca="1">IFERROR(__xludf.DUMMYFUNCTION("""COMPUTED_VALUE"""),43620.6666666666)</f>
        <v>43620.666666666599</v>
      </c>
      <c r="B1113" s="1">
        <f ca="1">IFERROR(__xludf.DUMMYFUNCTION("""COMPUTED_VALUE"""),12.07)</f>
        <v>12.07</v>
      </c>
      <c r="C1113" s="1">
        <f ca="1">IFERROR(__xludf.DUMMYFUNCTION("""COMPUTED_VALUE"""),12.93)</f>
        <v>12.93</v>
      </c>
      <c r="D1113" s="1">
        <f ca="1">IFERROR(__xludf.DUMMYFUNCTION("""COMPUTED_VALUE"""),11.97)</f>
        <v>11.97</v>
      </c>
      <c r="E1113" s="1">
        <f ca="1">IFERROR(__xludf.DUMMYFUNCTION("""COMPUTED_VALUE"""),12.91)</f>
        <v>12.91</v>
      </c>
      <c r="F1113" s="1">
        <f ca="1">IFERROR(__xludf.DUMMYFUNCTION("""COMPUTED_VALUE"""),13807522)</f>
        <v>13807522</v>
      </c>
    </row>
    <row r="1114" spans="1:6" x14ac:dyDescent="0.35">
      <c r="A1114" s="2">
        <f ca="1">IFERROR(__xludf.DUMMYFUNCTION("""COMPUTED_VALUE"""),43621.6666666666)</f>
        <v>43621.666666666599</v>
      </c>
      <c r="B1114" s="1">
        <f ca="1">IFERROR(__xludf.DUMMYFUNCTION("""COMPUTED_VALUE"""),13.25)</f>
        <v>13.25</v>
      </c>
      <c r="C1114" s="1">
        <f ca="1">IFERROR(__xludf.DUMMYFUNCTION("""COMPUTED_VALUE"""),13.42)</f>
        <v>13.42</v>
      </c>
      <c r="D1114" s="1">
        <f ca="1">IFERROR(__xludf.DUMMYFUNCTION("""COMPUTED_VALUE"""),12.79)</f>
        <v>12.79</v>
      </c>
      <c r="E1114" s="1">
        <f ca="1">IFERROR(__xludf.DUMMYFUNCTION("""COMPUTED_VALUE"""),13.11)</f>
        <v>13.11</v>
      </c>
      <c r="F1114" s="1">
        <f ca="1">IFERROR(__xludf.DUMMYFUNCTION("""COMPUTED_VALUE"""),13510756)</f>
        <v>13510756</v>
      </c>
    </row>
    <row r="1115" spans="1:6" x14ac:dyDescent="0.35">
      <c r="A1115" s="2">
        <f ca="1">IFERROR(__xludf.DUMMYFUNCTION("""COMPUTED_VALUE"""),43622.6666666666)</f>
        <v>43622.666666666599</v>
      </c>
      <c r="B1115" s="1">
        <f ca="1">IFERROR(__xludf.DUMMYFUNCTION("""COMPUTED_VALUE"""),13.63)</f>
        <v>13.63</v>
      </c>
      <c r="C1115" s="1">
        <f ca="1">IFERROR(__xludf.DUMMYFUNCTION("""COMPUTED_VALUE"""),14.07)</f>
        <v>14.07</v>
      </c>
      <c r="D1115" s="1">
        <f ca="1">IFERROR(__xludf.DUMMYFUNCTION("""COMPUTED_VALUE"""),13.45)</f>
        <v>13.45</v>
      </c>
      <c r="E1115" s="1">
        <f ca="1">IFERROR(__xludf.DUMMYFUNCTION("""COMPUTED_VALUE"""),13.73)</f>
        <v>13.73</v>
      </c>
      <c r="F1115" s="1">
        <f ca="1">IFERROR(__xludf.DUMMYFUNCTION("""COMPUTED_VALUE"""),20242151)</f>
        <v>20242151</v>
      </c>
    </row>
    <row r="1116" spans="1:6" x14ac:dyDescent="0.35">
      <c r="A1116" s="2">
        <f ca="1">IFERROR(__xludf.DUMMYFUNCTION("""COMPUTED_VALUE"""),43623.6666666666)</f>
        <v>43623.666666666599</v>
      </c>
      <c r="B1116" s="1">
        <f ca="1">IFERROR(__xludf.DUMMYFUNCTION("""COMPUTED_VALUE"""),13.67)</f>
        <v>13.67</v>
      </c>
      <c r="C1116" s="1">
        <f ca="1">IFERROR(__xludf.DUMMYFUNCTION("""COMPUTED_VALUE"""),14.06)</f>
        <v>14.06</v>
      </c>
      <c r="D1116" s="1">
        <f ca="1">IFERROR(__xludf.DUMMYFUNCTION("""COMPUTED_VALUE"""),13.57)</f>
        <v>13.57</v>
      </c>
      <c r="E1116" s="1">
        <f ca="1">IFERROR(__xludf.DUMMYFUNCTION("""COMPUTED_VALUE"""),13.63)</f>
        <v>13.63</v>
      </c>
      <c r="F1116" s="1">
        <f ca="1">IFERROR(__xludf.DUMMYFUNCTION("""COMPUTED_VALUE"""),16003527)</f>
        <v>16003527</v>
      </c>
    </row>
    <row r="1117" spans="1:6" x14ac:dyDescent="0.35">
      <c r="A1117" s="2">
        <f ca="1">IFERROR(__xludf.DUMMYFUNCTION("""COMPUTED_VALUE"""),43626.6666666666)</f>
        <v>43626.666666666599</v>
      </c>
      <c r="B1117" s="1">
        <f ca="1">IFERROR(__xludf.DUMMYFUNCTION("""COMPUTED_VALUE"""),14.02)</f>
        <v>14.02</v>
      </c>
      <c r="C1117" s="1">
        <f ca="1">IFERROR(__xludf.DUMMYFUNCTION("""COMPUTED_VALUE"""),14.46)</f>
        <v>14.46</v>
      </c>
      <c r="D1117" s="1">
        <f ca="1">IFERROR(__xludf.DUMMYFUNCTION("""COMPUTED_VALUE"""),13.93)</f>
        <v>13.93</v>
      </c>
      <c r="E1117" s="1">
        <f ca="1">IFERROR(__xludf.DUMMYFUNCTION("""COMPUTED_VALUE"""),14.19)</f>
        <v>14.19</v>
      </c>
      <c r="F1117" s="1">
        <f ca="1">IFERROR(__xludf.DUMMYFUNCTION("""COMPUTED_VALUE"""),10585039)</f>
        <v>10585039</v>
      </c>
    </row>
    <row r="1118" spans="1:6" x14ac:dyDescent="0.35">
      <c r="A1118" s="2">
        <f ca="1">IFERROR(__xludf.DUMMYFUNCTION("""COMPUTED_VALUE"""),43627.6666666666)</f>
        <v>43627.666666666599</v>
      </c>
      <c r="B1118" s="1">
        <f ca="1">IFERROR(__xludf.DUMMYFUNCTION("""COMPUTED_VALUE"""),14.61)</f>
        <v>14.61</v>
      </c>
      <c r="C1118" s="1">
        <f ca="1">IFERROR(__xludf.DUMMYFUNCTION("""COMPUTED_VALUE"""),14.73)</f>
        <v>14.73</v>
      </c>
      <c r="D1118" s="1">
        <f ca="1">IFERROR(__xludf.DUMMYFUNCTION("""COMPUTED_VALUE"""),14.23)</f>
        <v>14.23</v>
      </c>
      <c r="E1118" s="1">
        <f ca="1">IFERROR(__xludf.DUMMYFUNCTION("""COMPUTED_VALUE"""),14.47)</f>
        <v>14.47</v>
      </c>
      <c r="F1118" s="1">
        <f ca="1">IFERROR(__xludf.DUMMYFUNCTION("""COMPUTED_VALUE"""),11653537)</f>
        <v>11653537</v>
      </c>
    </row>
    <row r="1119" spans="1:6" x14ac:dyDescent="0.35">
      <c r="A1119" s="2">
        <f ca="1">IFERROR(__xludf.DUMMYFUNCTION("""COMPUTED_VALUE"""),43628.6666666666)</f>
        <v>43628.666666666599</v>
      </c>
      <c r="B1119" s="1">
        <f ca="1">IFERROR(__xludf.DUMMYFUNCTION("""COMPUTED_VALUE"""),14.86)</f>
        <v>14.86</v>
      </c>
      <c r="C1119" s="1">
        <f ca="1">IFERROR(__xludf.DUMMYFUNCTION("""COMPUTED_VALUE"""),14.89)</f>
        <v>14.89</v>
      </c>
      <c r="D1119" s="1">
        <f ca="1">IFERROR(__xludf.DUMMYFUNCTION("""COMPUTED_VALUE"""),13.93)</f>
        <v>13.93</v>
      </c>
      <c r="E1119" s="1">
        <f ca="1">IFERROR(__xludf.DUMMYFUNCTION("""COMPUTED_VALUE"""),13.95)</f>
        <v>13.95</v>
      </c>
      <c r="F1119" s="1">
        <f ca="1">IFERROR(__xludf.DUMMYFUNCTION("""COMPUTED_VALUE"""),15197544)</f>
        <v>15197544</v>
      </c>
    </row>
    <row r="1120" spans="1:6" x14ac:dyDescent="0.35">
      <c r="A1120" s="2">
        <f ca="1">IFERROR(__xludf.DUMMYFUNCTION("""COMPUTED_VALUE"""),43629.6666666666)</f>
        <v>43629.666666666599</v>
      </c>
      <c r="B1120" s="1">
        <f ca="1">IFERROR(__xludf.DUMMYFUNCTION("""COMPUTED_VALUE"""),14.03)</f>
        <v>14.03</v>
      </c>
      <c r="C1120" s="1">
        <f ca="1">IFERROR(__xludf.DUMMYFUNCTION("""COMPUTED_VALUE"""),14.33)</f>
        <v>14.33</v>
      </c>
      <c r="D1120" s="1">
        <f ca="1">IFERROR(__xludf.DUMMYFUNCTION("""COMPUTED_VALUE"""),13.83)</f>
        <v>13.83</v>
      </c>
      <c r="E1120" s="1">
        <f ca="1">IFERROR(__xludf.DUMMYFUNCTION("""COMPUTED_VALUE"""),14.26)</f>
        <v>14.26</v>
      </c>
      <c r="F1120" s="1">
        <f ca="1">IFERROR(__xludf.DUMMYFUNCTION("""COMPUTED_VALUE"""),8168260)</f>
        <v>8168260</v>
      </c>
    </row>
    <row r="1121" spans="1:6" x14ac:dyDescent="0.35">
      <c r="A1121" s="2">
        <f ca="1">IFERROR(__xludf.DUMMYFUNCTION("""COMPUTED_VALUE"""),43630.6666666666)</f>
        <v>43630.666666666599</v>
      </c>
      <c r="B1121" s="1">
        <f ca="1">IFERROR(__xludf.DUMMYFUNCTION("""COMPUTED_VALUE"""),14.08)</f>
        <v>14.08</v>
      </c>
      <c r="C1121" s="1">
        <f ca="1">IFERROR(__xludf.DUMMYFUNCTION("""COMPUTED_VALUE"""),14.44)</f>
        <v>14.44</v>
      </c>
      <c r="D1121" s="1">
        <f ca="1">IFERROR(__xludf.DUMMYFUNCTION("""COMPUTED_VALUE"""),14.03)</f>
        <v>14.03</v>
      </c>
      <c r="E1121" s="1">
        <f ca="1">IFERROR(__xludf.DUMMYFUNCTION("""COMPUTED_VALUE"""),14.33)</f>
        <v>14.33</v>
      </c>
      <c r="F1121" s="1">
        <f ca="1">IFERROR(__xludf.DUMMYFUNCTION("""COMPUTED_VALUE"""),7433402)</f>
        <v>7433402</v>
      </c>
    </row>
    <row r="1122" spans="1:6" x14ac:dyDescent="0.35">
      <c r="A1122" s="2">
        <f ca="1">IFERROR(__xludf.DUMMYFUNCTION("""COMPUTED_VALUE"""),43633.6666666666)</f>
        <v>43633.666666666599</v>
      </c>
      <c r="B1122" s="1">
        <f ca="1">IFERROR(__xludf.DUMMYFUNCTION("""COMPUTED_VALUE"""),14.37)</f>
        <v>14.37</v>
      </c>
      <c r="C1122" s="1">
        <f ca="1">IFERROR(__xludf.DUMMYFUNCTION("""COMPUTED_VALUE"""),15.13)</f>
        <v>15.13</v>
      </c>
      <c r="D1122" s="1">
        <f ca="1">IFERROR(__xludf.DUMMYFUNCTION("""COMPUTED_VALUE"""),14.28)</f>
        <v>14.28</v>
      </c>
      <c r="E1122" s="1">
        <f ca="1">IFERROR(__xludf.DUMMYFUNCTION("""COMPUTED_VALUE"""),15)</f>
        <v>15</v>
      </c>
      <c r="F1122" s="1">
        <f ca="1">IFERROR(__xludf.DUMMYFUNCTION("""COMPUTED_VALUE"""),12316803)</f>
        <v>12316803</v>
      </c>
    </row>
    <row r="1123" spans="1:6" x14ac:dyDescent="0.35">
      <c r="A1123" s="2">
        <f ca="1">IFERROR(__xludf.DUMMYFUNCTION("""COMPUTED_VALUE"""),43634.6666666666)</f>
        <v>43634.666666666599</v>
      </c>
      <c r="B1123" s="1">
        <f ca="1">IFERROR(__xludf.DUMMYFUNCTION("""COMPUTED_VALUE"""),15.25)</f>
        <v>15.25</v>
      </c>
      <c r="C1123" s="1">
        <f ca="1">IFERROR(__xludf.DUMMYFUNCTION("""COMPUTED_VALUE"""),15.65)</f>
        <v>15.65</v>
      </c>
      <c r="D1123" s="1">
        <f ca="1">IFERROR(__xludf.DUMMYFUNCTION("""COMPUTED_VALUE"""),14.84)</f>
        <v>14.84</v>
      </c>
      <c r="E1123" s="1">
        <f ca="1">IFERROR(__xludf.DUMMYFUNCTION("""COMPUTED_VALUE"""),14.98)</f>
        <v>14.98</v>
      </c>
      <c r="F1123" s="1">
        <f ca="1">IFERROR(__xludf.DUMMYFUNCTION("""COMPUTED_VALUE"""),12715788)</f>
        <v>12715788</v>
      </c>
    </row>
    <row r="1124" spans="1:6" x14ac:dyDescent="0.35">
      <c r="A1124" s="2">
        <f ca="1">IFERROR(__xludf.DUMMYFUNCTION("""COMPUTED_VALUE"""),43635.6666666666)</f>
        <v>43635.666666666599</v>
      </c>
      <c r="B1124" s="1">
        <f ca="1">IFERROR(__xludf.DUMMYFUNCTION("""COMPUTED_VALUE"""),15.01)</f>
        <v>15.01</v>
      </c>
      <c r="C1124" s="1">
        <f ca="1">IFERROR(__xludf.DUMMYFUNCTION("""COMPUTED_VALUE"""),15.18)</f>
        <v>15.18</v>
      </c>
      <c r="D1124" s="1">
        <f ca="1">IFERROR(__xludf.DUMMYFUNCTION("""COMPUTED_VALUE"""),14.74)</f>
        <v>14.74</v>
      </c>
      <c r="E1124" s="1">
        <f ca="1">IFERROR(__xludf.DUMMYFUNCTION("""COMPUTED_VALUE"""),15.1)</f>
        <v>15.1</v>
      </c>
      <c r="F1124" s="1">
        <f ca="1">IFERROR(__xludf.DUMMYFUNCTION("""COMPUTED_VALUE"""),6575135)</f>
        <v>6575135</v>
      </c>
    </row>
    <row r="1125" spans="1:6" x14ac:dyDescent="0.35">
      <c r="A1125" s="2">
        <f ca="1">IFERROR(__xludf.DUMMYFUNCTION("""COMPUTED_VALUE"""),43636.6666666666)</f>
        <v>43636.666666666599</v>
      </c>
      <c r="B1125" s="1">
        <f ca="1">IFERROR(__xludf.DUMMYFUNCTION("""COMPUTED_VALUE"""),14.87)</f>
        <v>14.87</v>
      </c>
      <c r="C1125" s="1">
        <f ca="1">IFERROR(__xludf.DUMMYFUNCTION("""COMPUTED_VALUE"""),15.13)</f>
        <v>15.13</v>
      </c>
      <c r="D1125" s="1">
        <f ca="1">IFERROR(__xludf.DUMMYFUNCTION("""COMPUTED_VALUE"""),14.42)</f>
        <v>14.42</v>
      </c>
      <c r="E1125" s="1">
        <f ca="1">IFERROR(__xludf.DUMMYFUNCTION("""COMPUTED_VALUE"""),14.64)</f>
        <v>14.64</v>
      </c>
      <c r="F1125" s="1">
        <f ca="1">IFERROR(__xludf.DUMMYFUNCTION("""COMPUTED_VALUE"""),11863462)</f>
        <v>11863462</v>
      </c>
    </row>
    <row r="1126" spans="1:6" x14ac:dyDescent="0.35">
      <c r="A1126" s="2">
        <f ca="1">IFERROR(__xludf.DUMMYFUNCTION("""COMPUTED_VALUE"""),43637.6666666666)</f>
        <v>43637.666666666599</v>
      </c>
      <c r="B1126" s="1">
        <f ca="1">IFERROR(__xludf.DUMMYFUNCTION("""COMPUTED_VALUE"""),14.41)</f>
        <v>14.41</v>
      </c>
      <c r="C1126" s="1">
        <f ca="1">IFERROR(__xludf.DUMMYFUNCTION("""COMPUTED_VALUE"""),14.81)</f>
        <v>14.81</v>
      </c>
      <c r="D1126" s="1">
        <f ca="1">IFERROR(__xludf.DUMMYFUNCTION("""COMPUTED_VALUE"""),14.37)</f>
        <v>14.37</v>
      </c>
      <c r="E1126" s="1">
        <f ca="1">IFERROR(__xludf.DUMMYFUNCTION("""COMPUTED_VALUE"""),14.79)</f>
        <v>14.79</v>
      </c>
      <c r="F1126" s="1">
        <f ca="1">IFERROR(__xludf.DUMMYFUNCTION("""COMPUTED_VALUE"""),8202078)</f>
        <v>8202078</v>
      </c>
    </row>
    <row r="1127" spans="1:6" x14ac:dyDescent="0.35">
      <c r="A1127" s="2">
        <f ca="1">IFERROR(__xludf.DUMMYFUNCTION("""COMPUTED_VALUE"""),43640.6666666666)</f>
        <v>43640.666666666599</v>
      </c>
      <c r="B1127" s="1">
        <f ca="1">IFERROR(__xludf.DUMMYFUNCTION("""COMPUTED_VALUE"""),14.88)</f>
        <v>14.88</v>
      </c>
      <c r="C1127" s="1">
        <f ca="1">IFERROR(__xludf.DUMMYFUNCTION("""COMPUTED_VALUE"""),15.06)</f>
        <v>15.06</v>
      </c>
      <c r="D1127" s="1">
        <f ca="1">IFERROR(__xludf.DUMMYFUNCTION("""COMPUTED_VALUE"""),14.73)</f>
        <v>14.73</v>
      </c>
      <c r="E1127" s="1">
        <f ca="1">IFERROR(__xludf.DUMMYFUNCTION("""COMPUTED_VALUE"""),14.91)</f>
        <v>14.91</v>
      </c>
      <c r="F1127" s="1">
        <f ca="1">IFERROR(__xludf.DUMMYFUNCTION("""COMPUTED_VALUE"""),5750771)</f>
        <v>5750771</v>
      </c>
    </row>
    <row r="1128" spans="1:6" x14ac:dyDescent="0.35">
      <c r="A1128" s="2">
        <f ca="1">IFERROR(__xludf.DUMMYFUNCTION("""COMPUTED_VALUE"""),43641.6666666666)</f>
        <v>43641.666666666599</v>
      </c>
      <c r="B1128" s="1">
        <f ca="1">IFERROR(__xludf.DUMMYFUNCTION("""COMPUTED_VALUE"""),14.96)</f>
        <v>14.96</v>
      </c>
      <c r="C1128" s="1">
        <f ca="1">IFERROR(__xludf.DUMMYFUNCTION("""COMPUTED_VALUE"""),15.02)</f>
        <v>15.02</v>
      </c>
      <c r="D1128" s="1">
        <f ca="1">IFERROR(__xludf.DUMMYFUNCTION("""COMPUTED_VALUE"""),14.63)</f>
        <v>14.63</v>
      </c>
      <c r="E1128" s="1">
        <f ca="1">IFERROR(__xludf.DUMMYFUNCTION("""COMPUTED_VALUE"""),14.65)</f>
        <v>14.65</v>
      </c>
      <c r="F1128" s="1">
        <f ca="1">IFERROR(__xludf.DUMMYFUNCTION("""COMPUTED_VALUE"""),6182071)</f>
        <v>6182071</v>
      </c>
    </row>
    <row r="1129" spans="1:6" x14ac:dyDescent="0.35">
      <c r="A1129" s="2">
        <f ca="1">IFERROR(__xludf.DUMMYFUNCTION("""COMPUTED_VALUE"""),43642.6666666666)</f>
        <v>43642.666666666599</v>
      </c>
      <c r="B1129" s="1">
        <f ca="1">IFERROR(__xludf.DUMMYFUNCTION("""COMPUTED_VALUE"""),14.69)</f>
        <v>14.69</v>
      </c>
      <c r="C1129" s="1">
        <f ca="1">IFERROR(__xludf.DUMMYFUNCTION("""COMPUTED_VALUE"""),15.15)</f>
        <v>15.15</v>
      </c>
      <c r="D1129" s="1">
        <f ca="1">IFERROR(__xludf.DUMMYFUNCTION("""COMPUTED_VALUE"""),14.54)</f>
        <v>14.54</v>
      </c>
      <c r="E1129" s="1">
        <f ca="1">IFERROR(__xludf.DUMMYFUNCTION("""COMPUTED_VALUE"""),14.62)</f>
        <v>14.62</v>
      </c>
      <c r="F1129" s="1">
        <f ca="1">IFERROR(__xludf.DUMMYFUNCTION("""COMPUTED_VALUE"""),8507208)</f>
        <v>8507208</v>
      </c>
    </row>
    <row r="1130" spans="1:6" x14ac:dyDescent="0.35">
      <c r="A1130" s="2">
        <f ca="1">IFERROR(__xludf.DUMMYFUNCTION("""COMPUTED_VALUE"""),43643.6666666666)</f>
        <v>43643.666666666599</v>
      </c>
      <c r="B1130" s="1">
        <f ca="1">IFERROR(__xludf.DUMMYFUNCTION("""COMPUTED_VALUE"""),14.63)</f>
        <v>14.63</v>
      </c>
      <c r="C1130" s="1">
        <f ca="1">IFERROR(__xludf.DUMMYFUNCTION("""COMPUTED_VALUE"""),14.86)</f>
        <v>14.86</v>
      </c>
      <c r="D1130" s="1">
        <f ca="1">IFERROR(__xludf.DUMMYFUNCTION("""COMPUTED_VALUE"""),14.49)</f>
        <v>14.49</v>
      </c>
      <c r="E1130" s="1">
        <f ca="1">IFERROR(__xludf.DUMMYFUNCTION("""COMPUTED_VALUE"""),14.86)</f>
        <v>14.86</v>
      </c>
      <c r="F1130" s="1">
        <f ca="1">IFERROR(__xludf.DUMMYFUNCTION("""COMPUTED_VALUE"""),6339710)</f>
        <v>6339710</v>
      </c>
    </row>
    <row r="1131" spans="1:6" x14ac:dyDescent="0.35">
      <c r="A1131" s="2">
        <f ca="1">IFERROR(__xludf.DUMMYFUNCTION("""COMPUTED_VALUE"""),43644.6666666666)</f>
        <v>43644.666666666599</v>
      </c>
      <c r="B1131" s="1">
        <f ca="1">IFERROR(__xludf.DUMMYFUNCTION("""COMPUTED_VALUE"""),14.73)</f>
        <v>14.73</v>
      </c>
      <c r="C1131" s="1">
        <f ca="1">IFERROR(__xludf.DUMMYFUNCTION("""COMPUTED_VALUE"""),15.01)</f>
        <v>15.01</v>
      </c>
      <c r="D1131" s="1">
        <f ca="1">IFERROR(__xludf.DUMMYFUNCTION("""COMPUTED_VALUE"""),14.72)</f>
        <v>14.72</v>
      </c>
      <c r="E1131" s="1">
        <f ca="1">IFERROR(__xludf.DUMMYFUNCTION("""COMPUTED_VALUE"""),14.9)</f>
        <v>14.9</v>
      </c>
      <c r="F1131" s="1">
        <f ca="1">IFERROR(__xludf.DUMMYFUNCTION("""COMPUTED_VALUE"""),6851384)</f>
        <v>6851384</v>
      </c>
    </row>
    <row r="1132" spans="1:6" x14ac:dyDescent="0.35">
      <c r="A1132" s="2">
        <f ca="1">IFERROR(__xludf.DUMMYFUNCTION("""COMPUTED_VALUE"""),43647.6666666666)</f>
        <v>43647.666666666599</v>
      </c>
      <c r="B1132" s="1">
        <f ca="1">IFERROR(__xludf.DUMMYFUNCTION("""COMPUTED_VALUE"""),15.35)</f>
        <v>15.35</v>
      </c>
      <c r="C1132" s="1">
        <f ca="1">IFERROR(__xludf.DUMMYFUNCTION("""COMPUTED_VALUE"""),15.54)</f>
        <v>15.54</v>
      </c>
      <c r="D1132" s="1">
        <f ca="1">IFERROR(__xludf.DUMMYFUNCTION("""COMPUTED_VALUE"""),15.09)</f>
        <v>15.09</v>
      </c>
      <c r="E1132" s="1">
        <f ca="1">IFERROR(__xludf.DUMMYFUNCTION("""COMPUTED_VALUE"""),15.14)</f>
        <v>15.14</v>
      </c>
      <c r="F1132" s="1">
        <f ca="1">IFERROR(__xludf.DUMMYFUNCTION("""COMPUTED_VALUE"""),8237964)</f>
        <v>8237964</v>
      </c>
    </row>
    <row r="1133" spans="1:6" x14ac:dyDescent="0.35">
      <c r="A1133" s="2">
        <f ca="1">IFERROR(__xludf.DUMMYFUNCTION("""COMPUTED_VALUE"""),43648.6666666666)</f>
        <v>43648.666666666599</v>
      </c>
      <c r="B1133" s="1">
        <f ca="1">IFERROR(__xludf.DUMMYFUNCTION("""COMPUTED_VALUE"""),15.26)</f>
        <v>15.26</v>
      </c>
      <c r="C1133" s="1">
        <f ca="1">IFERROR(__xludf.DUMMYFUNCTION("""COMPUTED_VALUE"""),15.28)</f>
        <v>15.28</v>
      </c>
      <c r="D1133" s="1">
        <f ca="1">IFERROR(__xludf.DUMMYFUNCTION("""COMPUTED_VALUE"""),14.81)</f>
        <v>14.81</v>
      </c>
      <c r="E1133" s="1">
        <f ca="1">IFERROR(__xludf.DUMMYFUNCTION("""COMPUTED_VALUE"""),14.97)</f>
        <v>14.97</v>
      </c>
      <c r="F1133" s="1">
        <f ca="1">IFERROR(__xludf.DUMMYFUNCTION("""COMPUTED_VALUE"""),9259027)</f>
        <v>9259027</v>
      </c>
    </row>
    <row r="1134" spans="1:6" x14ac:dyDescent="0.35">
      <c r="A1134" s="2">
        <f ca="1">IFERROR(__xludf.DUMMYFUNCTION("""COMPUTED_VALUE"""),43649.5416666666)</f>
        <v>43649.541666666599</v>
      </c>
      <c r="B1134" s="1">
        <f ca="1">IFERROR(__xludf.DUMMYFUNCTION("""COMPUTED_VALUE"""),15.96)</f>
        <v>15.96</v>
      </c>
      <c r="C1134" s="1">
        <f ca="1">IFERROR(__xludf.DUMMYFUNCTION("""COMPUTED_VALUE"""),16.1)</f>
        <v>16.100000000000001</v>
      </c>
      <c r="D1134" s="1">
        <f ca="1">IFERROR(__xludf.DUMMYFUNCTION("""COMPUTED_VALUE"""),15.63)</f>
        <v>15.63</v>
      </c>
      <c r="E1134" s="1">
        <f ca="1">IFERROR(__xludf.DUMMYFUNCTION("""COMPUTED_VALUE"""),15.66)</f>
        <v>15.66</v>
      </c>
      <c r="F1134" s="1">
        <f ca="1">IFERROR(__xludf.DUMMYFUNCTION("""COMPUTED_VALUE"""),14201148)</f>
        <v>14201148</v>
      </c>
    </row>
    <row r="1135" spans="1:6" x14ac:dyDescent="0.35">
      <c r="A1135" s="2">
        <f ca="1">IFERROR(__xludf.DUMMYFUNCTION("""COMPUTED_VALUE"""),43651.6666666666)</f>
        <v>43651.666666666599</v>
      </c>
      <c r="B1135" s="1">
        <f ca="1">IFERROR(__xludf.DUMMYFUNCTION("""COMPUTED_VALUE"""),15.64)</f>
        <v>15.64</v>
      </c>
      <c r="C1135" s="1">
        <f ca="1">IFERROR(__xludf.DUMMYFUNCTION("""COMPUTED_VALUE"""),15.7)</f>
        <v>15.7</v>
      </c>
      <c r="D1135" s="1">
        <f ca="1">IFERROR(__xludf.DUMMYFUNCTION("""COMPUTED_VALUE"""),15.39)</f>
        <v>15.39</v>
      </c>
      <c r="E1135" s="1">
        <f ca="1">IFERROR(__xludf.DUMMYFUNCTION("""COMPUTED_VALUE"""),15.54)</f>
        <v>15.54</v>
      </c>
      <c r="F1135" s="1">
        <f ca="1">IFERROR(__xludf.DUMMYFUNCTION("""COMPUTED_VALUE"""),7065738)</f>
        <v>7065738</v>
      </c>
    </row>
    <row r="1136" spans="1:6" x14ac:dyDescent="0.35">
      <c r="A1136" s="2">
        <f ca="1">IFERROR(__xludf.DUMMYFUNCTION("""COMPUTED_VALUE"""),43654.6666666666)</f>
        <v>43654.666666666599</v>
      </c>
      <c r="B1136" s="1">
        <f ca="1">IFERROR(__xludf.DUMMYFUNCTION("""COMPUTED_VALUE"""),15.42)</f>
        <v>15.42</v>
      </c>
      <c r="C1136" s="1">
        <f ca="1">IFERROR(__xludf.DUMMYFUNCTION("""COMPUTED_VALUE"""),15.48)</f>
        <v>15.48</v>
      </c>
      <c r="D1136" s="1">
        <f ca="1">IFERROR(__xludf.DUMMYFUNCTION("""COMPUTED_VALUE"""),15.24)</f>
        <v>15.24</v>
      </c>
      <c r="E1136" s="1">
        <f ca="1">IFERROR(__xludf.DUMMYFUNCTION("""COMPUTED_VALUE"""),15.36)</f>
        <v>15.36</v>
      </c>
      <c r="F1136" s="1">
        <f ca="1">IFERROR(__xludf.DUMMYFUNCTION("""COMPUTED_VALUE"""),5880542)</f>
        <v>5880542</v>
      </c>
    </row>
    <row r="1137" spans="1:6" x14ac:dyDescent="0.35">
      <c r="A1137" s="2">
        <f ca="1">IFERROR(__xludf.DUMMYFUNCTION("""COMPUTED_VALUE"""),43655.6666666666)</f>
        <v>43655.666666666599</v>
      </c>
      <c r="B1137" s="1">
        <f ca="1">IFERROR(__xludf.DUMMYFUNCTION("""COMPUTED_VALUE"""),15.26)</f>
        <v>15.26</v>
      </c>
      <c r="C1137" s="1">
        <f ca="1">IFERROR(__xludf.DUMMYFUNCTION("""COMPUTED_VALUE"""),15.4)</f>
        <v>15.4</v>
      </c>
      <c r="D1137" s="1">
        <f ca="1">IFERROR(__xludf.DUMMYFUNCTION("""COMPUTED_VALUE"""),15.15)</f>
        <v>15.15</v>
      </c>
      <c r="E1137" s="1">
        <f ca="1">IFERROR(__xludf.DUMMYFUNCTION("""COMPUTED_VALUE"""),15.34)</f>
        <v>15.34</v>
      </c>
      <c r="F1137" s="1">
        <f ca="1">IFERROR(__xludf.DUMMYFUNCTION("""COMPUTED_VALUE"""),6190835)</f>
        <v>6190835</v>
      </c>
    </row>
    <row r="1138" spans="1:6" x14ac:dyDescent="0.35">
      <c r="A1138" s="2">
        <f ca="1">IFERROR(__xludf.DUMMYFUNCTION("""COMPUTED_VALUE"""),43656.6666666666)</f>
        <v>43656.666666666599</v>
      </c>
      <c r="B1138" s="1">
        <f ca="1">IFERROR(__xludf.DUMMYFUNCTION("""COMPUTED_VALUE"""),15.61)</f>
        <v>15.61</v>
      </c>
      <c r="C1138" s="1">
        <f ca="1">IFERROR(__xludf.DUMMYFUNCTION("""COMPUTED_VALUE"""),15.93)</f>
        <v>15.93</v>
      </c>
      <c r="D1138" s="1">
        <f ca="1">IFERROR(__xludf.DUMMYFUNCTION("""COMPUTED_VALUE"""),15.54)</f>
        <v>15.54</v>
      </c>
      <c r="E1138" s="1">
        <f ca="1">IFERROR(__xludf.DUMMYFUNCTION("""COMPUTED_VALUE"""),15.93)</f>
        <v>15.93</v>
      </c>
      <c r="F1138" s="1">
        <f ca="1">IFERROR(__xludf.DUMMYFUNCTION("""COMPUTED_VALUE"""),9145736)</f>
        <v>9145736</v>
      </c>
    </row>
    <row r="1139" spans="1:6" x14ac:dyDescent="0.35">
      <c r="A1139" s="2">
        <f ca="1">IFERROR(__xludf.DUMMYFUNCTION("""COMPUTED_VALUE"""),43657.6666666666)</f>
        <v>43657.666666666599</v>
      </c>
      <c r="B1139" s="1">
        <f ca="1">IFERROR(__xludf.DUMMYFUNCTION("""COMPUTED_VALUE"""),15.88)</f>
        <v>15.88</v>
      </c>
      <c r="C1139" s="1">
        <f ca="1">IFERROR(__xludf.DUMMYFUNCTION("""COMPUTED_VALUE"""),16.1)</f>
        <v>16.100000000000001</v>
      </c>
      <c r="D1139" s="1">
        <f ca="1">IFERROR(__xludf.DUMMYFUNCTION("""COMPUTED_VALUE"""),15.72)</f>
        <v>15.72</v>
      </c>
      <c r="E1139" s="1">
        <f ca="1">IFERROR(__xludf.DUMMYFUNCTION("""COMPUTED_VALUE"""),15.91)</f>
        <v>15.91</v>
      </c>
      <c r="F1139" s="1">
        <f ca="1">IFERROR(__xludf.DUMMYFUNCTION("""COMPUTED_VALUE"""),7514430)</f>
        <v>7514430</v>
      </c>
    </row>
    <row r="1140" spans="1:6" x14ac:dyDescent="0.35">
      <c r="A1140" s="2">
        <f ca="1">IFERROR(__xludf.DUMMYFUNCTION("""COMPUTED_VALUE"""),43658.6666666666)</f>
        <v>43658.666666666599</v>
      </c>
      <c r="B1140" s="1">
        <f ca="1">IFERROR(__xludf.DUMMYFUNCTION("""COMPUTED_VALUE"""),15.98)</f>
        <v>15.98</v>
      </c>
      <c r="C1140" s="1">
        <f ca="1">IFERROR(__xludf.DUMMYFUNCTION("""COMPUTED_VALUE"""),16.36)</f>
        <v>16.36</v>
      </c>
      <c r="D1140" s="1">
        <f ca="1">IFERROR(__xludf.DUMMYFUNCTION("""COMPUTED_VALUE"""),15.98)</f>
        <v>15.98</v>
      </c>
      <c r="E1140" s="1">
        <f ca="1">IFERROR(__xludf.DUMMYFUNCTION("""COMPUTED_VALUE"""),16.34)</f>
        <v>16.34</v>
      </c>
      <c r="F1140" s="1">
        <f ca="1">IFERROR(__xludf.DUMMYFUNCTION("""COMPUTED_VALUE"""),9200521)</f>
        <v>9200521</v>
      </c>
    </row>
    <row r="1141" spans="1:6" x14ac:dyDescent="0.35">
      <c r="A1141" s="2">
        <f ca="1">IFERROR(__xludf.DUMMYFUNCTION("""COMPUTED_VALUE"""),43661.6666666666)</f>
        <v>43661.666666666599</v>
      </c>
      <c r="B1141" s="1">
        <f ca="1">IFERROR(__xludf.DUMMYFUNCTION("""COMPUTED_VALUE"""),16.53)</f>
        <v>16.53</v>
      </c>
      <c r="C1141" s="1">
        <f ca="1">IFERROR(__xludf.DUMMYFUNCTION("""COMPUTED_VALUE"""),16.96)</f>
        <v>16.96</v>
      </c>
      <c r="D1141" s="1">
        <f ca="1">IFERROR(__xludf.DUMMYFUNCTION("""COMPUTED_VALUE"""),16.32)</f>
        <v>16.32</v>
      </c>
      <c r="E1141" s="1">
        <f ca="1">IFERROR(__xludf.DUMMYFUNCTION("""COMPUTED_VALUE"""),16.9)</f>
        <v>16.899999999999999</v>
      </c>
      <c r="F1141" s="1">
        <f ca="1">IFERROR(__xludf.DUMMYFUNCTION("""COMPUTED_VALUE"""),11000092)</f>
        <v>11000092</v>
      </c>
    </row>
    <row r="1142" spans="1:6" x14ac:dyDescent="0.35">
      <c r="A1142" s="2">
        <f ca="1">IFERROR(__xludf.DUMMYFUNCTION("""COMPUTED_VALUE"""),43662.6666666666)</f>
        <v>43662.666666666599</v>
      </c>
      <c r="B1142" s="1">
        <f ca="1">IFERROR(__xludf.DUMMYFUNCTION("""COMPUTED_VALUE"""),16.62)</f>
        <v>16.62</v>
      </c>
      <c r="C1142" s="1">
        <f ca="1">IFERROR(__xludf.DUMMYFUNCTION("""COMPUTED_VALUE"""),16.9)</f>
        <v>16.899999999999999</v>
      </c>
      <c r="D1142" s="1">
        <f ca="1">IFERROR(__xludf.DUMMYFUNCTION("""COMPUTED_VALUE"""),16.53)</f>
        <v>16.53</v>
      </c>
      <c r="E1142" s="1">
        <f ca="1">IFERROR(__xludf.DUMMYFUNCTION("""COMPUTED_VALUE"""),16.83)</f>
        <v>16.829999999999998</v>
      </c>
      <c r="F1142" s="1">
        <f ca="1">IFERROR(__xludf.DUMMYFUNCTION("""COMPUTED_VALUE"""),8148989)</f>
        <v>8148989</v>
      </c>
    </row>
    <row r="1143" spans="1:6" x14ac:dyDescent="0.35">
      <c r="A1143" s="2">
        <f ca="1">IFERROR(__xludf.DUMMYFUNCTION("""COMPUTED_VALUE"""),43663.6666666666)</f>
        <v>43663.666666666599</v>
      </c>
      <c r="B1143" s="1">
        <f ca="1">IFERROR(__xludf.DUMMYFUNCTION("""COMPUTED_VALUE"""),17.04)</f>
        <v>17.04</v>
      </c>
      <c r="C1143" s="1">
        <f ca="1">IFERROR(__xludf.DUMMYFUNCTION("""COMPUTED_VALUE"""),17.22)</f>
        <v>17.22</v>
      </c>
      <c r="D1143" s="1">
        <f ca="1">IFERROR(__xludf.DUMMYFUNCTION("""COMPUTED_VALUE"""),16.89)</f>
        <v>16.89</v>
      </c>
      <c r="E1143" s="1">
        <f ca="1">IFERROR(__xludf.DUMMYFUNCTION("""COMPUTED_VALUE"""),16.99)</f>
        <v>16.989999999999998</v>
      </c>
      <c r="F1143" s="1">
        <f ca="1">IFERROR(__xludf.DUMMYFUNCTION("""COMPUTED_VALUE"""),9764727)</f>
        <v>9764727</v>
      </c>
    </row>
    <row r="1144" spans="1:6" x14ac:dyDescent="0.35">
      <c r="A1144" s="2">
        <f ca="1">IFERROR(__xludf.DUMMYFUNCTION("""COMPUTED_VALUE"""),43664.6666666666)</f>
        <v>43664.666666666599</v>
      </c>
      <c r="B1144" s="1">
        <f ca="1">IFERROR(__xludf.DUMMYFUNCTION("""COMPUTED_VALUE"""),17)</f>
        <v>17</v>
      </c>
      <c r="C1144" s="1">
        <f ca="1">IFERROR(__xludf.DUMMYFUNCTION("""COMPUTED_VALUE"""),17.05)</f>
        <v>17.05</v>
      </c>
      <c r="D1144" s="1">
        <f ca="1">IFERROR(__xludf.DUMMYFUNCTION("""COMPUTED_VALUE"""),16.79)</f>
        <v>16.79</v>
      </c>
      <c r="E1144" s="1">
        <f ca="1">IFERROR(__xludf.DUMMYFUNCTION("""COMPUTED_VALUE"""),16.9)</f>
        <v>16.899999999999999</v>
      </c>
      <c r="F1144" s="1">
        <f ca="1">IFERROR(__xludf.DUMMYFUNCTION("""COMPUTED_VALUE"""),4764483)</f>
        <v>4764483</v>
      </c>
    </row>
    <row r="1145" spans="1:6" x14ac:dyDescent="0.35">
      <c r="A1145" s="2">
        <f ca="1">IFERROR(__xludf.DUMMYFUNCTION("""COMPUTED_VALUE"""),43665.6666666666)</f>
        <v>43665.666666666599</v>
      </c>
      <c r="B1145" s="1">
        <f ca="1">IFERROR(__xludf.DUMMYFUNCTION("""COMPUTED_VALUE"""),17.05)</f>
        <v>17.05</v>
      </c>
      <c r="C1145" s="1">
        <f ca="1">IFERROR(__xludf.DUMMYFUNCTION("""COMPUTED_VALUE"""),17.33)</f>
        <v>17.329999999999998</v>
      </c>
      <c r="D1145" s="1">
        <f ca="1">IFERROR(__xludf.DUMMYFUNCTION("""COMPUTED_VALUE"""),16.97)</f>
        <v>16.97</v>
      </c>
      <c r="E1145" s="1">
        <f ca="1">IFERROR(__xludf.DUMMYFUNCTION("""COMPUTED_VALUE"""),17.21)</f>
        <v>17.21</v>
      </c>
      <c r="F1145" s="1">
        <f ca="1">IFERROR(__xludf.DUMMYFUNCTION("""COMPUTED_VALUE"""),7048410)</f>
        <v>7048410</v>
      </c>
    </row>
    <row r="1146" spans="1:6" x14ac:dyDescent="0.35">
      <c r="A1146" s="2">
        <f ca="1">IFERROR(__xludf.DUMMYFUNCTION("""COMPUTED_VALUE"""),43668.6666666666)</f>
        <v>43668.666666666599</v>
      </c>
      <c r="B1146" s="1">
        <f ca="1">IFERROR(__xludf.DUMMYFUNCTION("""COMPUTED_VALUE"""),17.25)</f>
        <v>17.25</v>
      </c>
      <c r="C1146" s="1">
        <f ca="1">IFERROR(__xludf.DUMMYFUNCTION("""COMPUTED_VALUE"""),17.48)</f>
        <v>17.48</v>
      </c>
      <c r="D1146" s="1">
        <f ca="1">IFERROR(__xludf.DUMMYFUNCTION("""COMPUTED_VALUE"""),16.95)</f>
        <v>16.95</v>
      </c>
      <c r="E1146" s="1">
        <f ca="1">IFERROR(__xludf.DUMMYFUNCTION("""COMPUTED_VALUE"""),17.05)</f>
        <v>17.05</v>
      </c>
      <c r="F1146" s="1">
        <f ca="1">IFERROR(__xludf.DUMMYFUNCTION("""COMPUTED_VALUE"""),6846273)</f>
        <v>6846273</v>
      </c>
    </row>
    <row r="1147" spans="1:6" x14ac:dyDescent="0.35">
      <c r="A1147" s="2">
        <f ca="1">IFERROR(__xludf.DUMMYFUNCTION("""COMPUTED_VALUE"""),43669.6666666666)</f>
        <v>43669.666666666599</v>
      </c>
      <c r="B1147" s="1">
        <f ca="1">IFERROR(__xludf.DUMMYFUNCTION("""COMPUTED_VALUE"""),17.11)</f>
        <v>17.11</v>
      </c>
      <c r="C1147" s="1">
        <f ca="1">IFERROR(__xludf.DUMMYFUNCTION("""COMPUTED_VALUE"""),17.37)</f>
        <v>17.37</v>
      </c>
      <c r="D1147" s="1">
        <f ca="1">IFERROR(__xludf.DUMMYFUNCTION("""COMPUTED_VALUE"""),16.97)</f>
        <v>16.97</v>
      </c>
      <c r="E1147" s="1">
        <f ca="1">IFERROR(__xludf.DUMMYFUNCTION("""COMPUTED_VALUE"""),17.34)</f>
        <v>17.34</v>
      </c>
      <c r="F1147" s="1">
        <f ca="1">IFERROR(__xludf.DUMMYFUNCTION("""COMPUTED_VALUE"""),5023121)</f>
        <v>5023121</v>
      </c>
    </row>
    <row r="1148" spans="1:6" x14ac:dyDescent="0.35">
      <c r="A1148" s="2">
        <f ca="1">IFERROR(__xludf.DUMMYFUNCTION("""COMPUTED_VALUE"""),43670.6666666666)</f>
        <v>43670.666666666599</v>
      </c>
      <c r="B1148" s="1">
        <f ca="1">IFERROR(__xludf.DUMMYFUNCTION("""COMPUTED_VALUE"""),17.28)</f>
        <v>17.28</v>
      </c>
      <c r="C1148" s="1">
        <f ca="1">IFERROR(__xludf.DUMMYFUNCTION("""COMPUTED_VALUE"""),17.74)</f>
        <v>17.739999999999998</v>
      </c>
      <c r="D1148" s="1">
        <f ca="1">IFERROR(__xludf.DUMMYFUNCTION("""COMPUTED_VALUE"""),17.21)</f>
        <v>17.21</v>
      </c>
      <c r="E1148" s="1">
        <f ca="1">IFERROR(__xludf.DUMMYFUNCTION("""COMPUTED_VALUE"""),17.66)</f>
        <v>17.66</v>
      </c>
      <c r="F1148" s="1">
        <f ca="1">IFERROR(__xludf.DUMMYFUNCTION("""COMPUTED_VALUE"""),11072835)</f>
        <v>11072835</v>
      </c>
    </row>
    <row r="1149" spans="1:6" x14ac:dyDescent="0.35">
      <c r="A1149" s="2">
        <f ca="1">IFERROR(__xludf.DUMMYFUNCTION("""COMPUTED_VALUE"""),43671.6666666666)</f>
        <v>43671.666666666599</v>
      </c>
      <c r="B1149" s="1">
        <f ca="1">IFERROR(__xludf.DUMMYFUNCTION("""COMPUTED_VALUE"""),15.57)</f>
        <v>15.57</v>
      </c>
      <c r="C1149" s="1">
        <f ca="1">IFERROR(__xludf.DUMMYFUNCTION("""COMPUTED_VALUE"""),15.63)</f>
        <v>15.63</v>
      </c>
      <c r="D1149" s="1">
        <f ca="1">IFERROR(__xludf.DUMMYFUNCTION("""COMPUTED_VALUE"""),15.04)</f>
        <v>15.04</v>
      </c>
      <c r="E1149" s="1">
        <f ca="1">IFERROR(__xludf.DUMMYFUNCTION("""COMPUTED_VALUE"""),15.25)</f>
        <v>15.25</v>
      </c>
      <c r="F1149" s="1">
        <f ca="1">IFERROR(__xludf.DUMMYFUNCTION("""COMPUTED_VALUE"""),22418252)</f>
        <v>22418252</v>
      </c>
    </row>
    <row r="1150" spans="1:6" x14ac:dyDescent="0.35">
      <c r="A1150" s="2">
        <f ca="1">IFERROR(__xludf.DUMMYFUNCTION("""COMPUTED_VALUE"""),43672.6666666666)</f>
        <v>43672.666666666599</v>
      </c>
      <c r="B1150" s="1">
        <f ca="1">IFERROR(__xludf.DUMMYFUNCTION("""COMPUTED_VALUE"""),15.13)</f>
        <v>15.13</v>
      </c>
      <c r="C1150" s="1">
        <f ca="1">IFERROR(__xludf.DUMMYFUNCTION("""COMPUTED_VALUE"""),15.35)</f>
        <v>15.35</v>
      </c>
      <c r="D1150" s="1">
        <f ca="1">IFERROR(__xludf.DUMMYFUNCTION("""COMPUTED_VALUE"""),14.82)</f>
        <v>14.82</v>
      </c>
      <c r="E1150" s="1">
        <f ca="1">IFERROR(__xludf.DUMMYFUNCTION("""COMPUTED_VALUE"""),15.2)</f>
        <v>15.2</v>
      </c>
      <c r="F1150" s="1">
        <f ca="1">IFERROR(__xludf.DUMMYFUNCTION("""COMPUTED_VALUE"""),10027697)</f>
        <v>10027697</v>
      </c>
    </row>
    <row r="1151" spans="1:6" x14ac:dyDescent="0.35">
      <c r="A1151" s="2">
        <f ca="1">IFERROR(__xludf.DUMMYFUNCTION("""COMPUTED_VALUE"""),43675.6666666666)</f>
        <v>43675.666666666599</v>
      </c>
      <c r="B1151" s="1">
        <f ca="1">IFERROR(__xludf.DUMMYFUNCTION("""COMPUTED_VALUE"""),15.14)</f>
        <v>15.14</v>
      </c>
      <c r="C1151" s="1">
        <f ca="1">IFERROR(__xludf.DUMMYFUNCTION("""COMPUTED_VALUE"""),15.73)</f>
        <v>15.73</v>
      </c>
      <c r="D1151" s="1">
        <f ca="1">IFERROR(__xludf.DUMMYFUNCTION("""COMPUTED_VALUE"""),15.07)</f>
        <v>15.07</v>
      </c>
      <c r="E1151" s="1">
        <f ca="1">IFERROR(__xludf.DUMMYFUNCTION("""COMPUTED_VALUE"""),15.72)</f>
        <v>15.72</v>
      </c>
      <c r="F1151" s="1">
        <f ca="1">IFERROR(__xludf.DUMMYFUNCTION("""COMPUTED_VALUE"""),9273331)</f>
        <v>9273331</v>
      </c>
    </row>
    <row r="1152" spans="1:6" x14ac:dyDescent="0.35">
      <c r="A1152" s="2">
        <f ca="1">IFERROR(__xludf.DUMMYFUNCTION("""COMPUTED_VALUE"""),43676.6666666666)</f>
        <v>43676.666666666599</v>
      </c>
      <c r="B1152" s="1">
        <f ca="1">IFERROR(__xludf.DUMMYFUNCTION("""COMPUTED_VALUE"""),15.53)</f>
        <v>15.53</v>
      </c>
      <c r="C1152" s="1">
        <f ca="1">IFERROR(__xludf.DUMMYFUNCTION("""COMPUTED_VALUE"""),16.22)</f>
        <v>16.22</v>
      </c>
      <c r="D1152" s="1">
        <f ca="1">IFERROR(__xludf.DUMMYFUNCTION("""COMPUTED_VALUE"""),15.48)</f>
        <v>15.48</v>
      </c>
      <c r="E1152" s="1">
        <f ca="1">IFERROR(__xludf.DUMMYFUNCTION("""COMPUTED_VALUE"""),16.15)</f>
        <v>16.149999999999999</v>
      </c>
      <c r="F1152" s="1">
        <f ca="1">IFERROR(__xludf.DUMMYFUNCTION("""COMPUTED_VALUE"""),8109014)</f>
        <v>8109014</v>
      </c>
    </row>
    <row r="1153" spans="1:6" x14ac:dyDescent="0.35">
      <c r="A1153" s="2">
        <f ca="1">IFERROR(__xludf.DUMMYFUNCTION("""COMPUTED_VALUE"""),43677.6666666666)</f>
        <v>43677.666666666599</v>
      </c>
      <c r="B1153" s="1">
        <f ca="1">IFERROR(__xludf.DUMMYFUNCTION("""COMPUTED_VALUE"""),16.2)</f>
        <v>16.2</v>
      </c>
      <c r="C1153" s="1">
        <f ca="1">IFERROR(__xludf.DUMMYFUNCTION("""COMPUTED_VALUE"""),16.45)</f>
        <v>16.45</v>
      </c>
      <c r="D1153" s="1">
        <f ca="1">IFERROR(__xludf.DUMMYFUNCTION("""COMPUTED_VALUE"""),15.78)</f>
        <v>15.78</v>
      </c>
      <c r="E1153" s="1">
        <f ca="1">IFERROR(__xludf.DUMMYFUNCTION("""COMPUTED_VALUE"""),16.11)</f>
        <v>16.11</v>
      </c>
      <c r="F1153" s="1">
        <f ca="1">IFERROR(__xludf.DUMMYFUNCTION("""COMPUTED_VALUE"""),9178208)</f>
        <v>9178208</v>
      </c>
    </row>
    <row r="1154" spans="1:6" x14ac:dyDescent="0.35">
      <c r="A1154" s="2">
        <f ca="1">IFERROR(__xludf.DUMMYFUNCTION("""COMPUTED_VALUE"""),43678.6666666666)</f>
        <v>43678.666666666599</v>
      </c>
      <c r="B1154" s="1">
        <f ca="1">IFERROR(__xludf.DUMMYFUNCTION("""COMPUTED_VALUE"""),16.18)</f>
        <v>16.18</v>
      </c>
      <c r="C1154" s="1">
        <f ca="1">IFERROR(__xludf.DUMMYFUNCTION("""COMPUTED_VALUE"""),16.3)</f>
        <v>16.3</v>
      </c>
      <c r="D1154" s="1">
        <f ca="1">IFERROR(__xludf.DUMMYFUNCTION("""COMPUTED_VALUE"""),15.45)</f>
        <v>15.45</v>
      </c>
      <c r="E1154" s="1">
        <f ca="1">IFERROR(__xludf.DUMMYFUNCTION("""COMPUTED_VALUE"""),15.59)</f>
        <v>15.59</v>
      </c>
      <c r="F1154" s="1">
        <f ca="1">IFERROR(__xludf.DUMMYFUNCTION("""COMPUTED_VALUE"""),8259516)</f>
        <v>8259516</v>
      </c>
    </row>
    <row r="1155" spans="1:6" x14ac:dyDescent="0.35">
      <c r="A1155" s="2">
        <f ca="1">IFERROR(__xludf.DUMMYFUNCTION("""COMPUTED_VALUE"""),43679.6666666666)</f>
        <v>43679.666666666599</v>
      </c>
      <c r="B1155" s="1">
        <f ca="1">IFERROR(__xludf.DUMMYFUNCTION("""COMPUTED_VALUE"""),15.42)</f>
        <v>15.42</v>
      </c>
      <c r="C1155" s="1">
        <f ca="1">IFERROR(__xludf.DUMMYFUNCTION("""COMPUTED_VALUE"""),15.75)</f>
        <v>15.75</v>
      </c>
      <c r="D1155" s="1">
        <f ca="1">IFERROR(__xludf.DUMMYFUNCTION("""COMPUTED_VALUE"""),15.28)</f>
        <v>15.28</v>
      </c>
      <c r="E1155" s="1">
        <f ca="1">IFERROR(__xludf.DUMMYFUNCTION("""COMPUTED_VALUE"""),15.62)</f>
        <v>15.62</v>
      </c>
      <c r="F1155" s="1">
        <f ca="1">IFERROR(__xludf.DUMMYFUNCTION("""COMPUTED_VALUE"""),6136481)</f>
        <v>6136481</v>
      </c>
    </row>
    <row r="1156" spans="1:6" x14ac:dyDescent="0.35">
      <c r="A1156" s="2">
        <f ca="1">IFERROR(__xludf.DUMMYFUNCTION("""COMPUTED_VALUE"""),43682.6666666666)</f>
        <v>43682.666666666599</v>
      </c>
      <c r="B1156" s="1">
        <f ca="1">IFERROR(__xludf.DUMMYFUNCTION("""COMPUTED_VALUE"""),15.31)</f>
        <v>15.31</v>
      </c>
      <c r="C1156" s="1">
        <f ca="1">IFERROR(__xludf.DUMMYFUNCTION("""COMPUTED_VALUE"""),15.42)</f>
        <v>15.42</v>
      </c>
      <c r="D1156" s="1">
        <f ca="1">IFERROR(__xludf.DUMMYFUNCTION("""COMPUTED_VALUE"""),15.05)</f>
        <v>15.05</v>
      </c>
      <c r="E1156" s="1">
        <f ca="1">IFERROR(__xludf.DUMMYFUNCTION("""COMPUTED_VALUE"""),15.22)</f>
        <v>15.22</v>
      </c>
      <c r="F1156" s="1">
        <f ca="1">IFERROR(__xludf.DUMMYFUNCTION("""COMPUTED_VALUE"""),7028279)</f>
        <v>7028279</v>
      </c>
    </row>
    <row r="1157" spans="1:6" x14ac:dyDescent="0.35">
      <c r="A1157" s="2">
        <f ca="1">IFERROR(__xludf.DUMMYFUNCTION("""COMPUTED_VALUE"""),43683.6666666666)</f>
        <v>43683.666666666599</v>
      </c>
      <c r="B1157" s="1">
        <f ca="1">IFERROR(__xludf.DUMMYFUNCTION("""COMPUTED_VALUE"""),15.46)</f>
        <v>15.46</v>
      </c>
      <c r="C1157" s="1">
        <f ca="1">IFERROR(__xludf.DUMMYFUNCTION("""COMPUTED_VALUE"""),15.5)</f>
        <v>15.5</v>
      </c>
      <c r="D1157" s="1">
        <f ca="1">IFERROR(__xludf.DUMMYFUNCTION("""COMPUTED_VALUE"""),15.05)</f>
        <v>15.05</v>
      </c>
      <c r="E1157" s="1">
        <f ca="1">IFERROR(__xludf.DUMMYFUNCTION("""COMPUTED_VALUE"""),15.38)</f>
        <v>15.38</v>
      </c>
      <c r="F1157" s="1">
        <f ca="1">IFERROR(__xludf.DUMMYFUNCTION("""COMPUTED_VALUE"""),5564200)</f>
        <v>5564200</v>
      </c>
    </row>
    <row r="1158" spans="1:6" x14ac:dyDescent="0.35">
      <c r="A1158" s="2">
        <f ca="1">IFERROR(__xludf.DUMMYFUNCTION("""COMPUTED_VALUE"""),43684.6666666666)</f>
        <v>43684.666666666599</v>
      </c>
      <c r="B1158" s="1">
        <f ca="1">IFERROR(__xludf.DUMMYFUNCTION("""COMPUTED_VALUE"""),15.1)</f>
        <v>15.1</v>
      </c>
      <c r="C1158" s="1">
        <f ca="1">IFERROR(__xludf.DUMMYFUNCTION("""COMPUTED_VALUE"""),15.57)</f>
        <v>15.57</v>
      </c>
      <c r="D1158" s="1">
        <f ca="1">IFERROR(__xludf.DUMMYFUNCTION("""COMPUTED_VALUE"""),15.05)</f>
        <v>15.05</v>
      </c>
      <c r="E1158" s="1">
        <f ca="1">IFERROR(__xludf.DUMMYFUNCTION("""COMPUTED_VALUE"""),15.56)</f>
        <v>15.56</v>
      </c>
      <c r="F1158" s="1">
        <f ca="1">IFERROR(__xludf.DUMMYFUNCTION("""COMPUTED_VALUE"""),4776500)</f>
        <v>4776500</v>
      </c>
    </row>
    <row r="1159" spans="1:6" x14ac:dyDescent="0.35">
      <c r="A1159" s="2">
        <f ca="1">IFERROR(__xludf.DUMMYFUNCTION("""COMPUTED_VALUE"""),43685.6666666666)</f>
        <v>43685.666666666599</v>
      </c>
      <c r="B1159" s="1">
        <f ca="1">IFERROR(__xludf.DUMMYFUNCTION("""COMPUTED_VALUE"""),15.63)</f>
        <v>15.63</v>
      </c>
      <c r="C1159" s="1">
        <f ca="1">IFERROR(__xludf.DUMMYFUNCTION("""COMPUTED_VALUE"""),15.99)</f>
        <v>15.99</v>
      </c>
      <c r="D1159" s="1">
        <f ca="1">IFERROR(__xludf.DUMMYFUNCTION("""COMPUTED_VALUE"""),15.51)</f>
        <v>15.51</v>
      </c>
      <c r="E1159" s="1">
        <f ca="1">IFERROR(__xludf.DUMMYFUNCTION("""COMPUTED_VALUE"""),15.89)</f>
        <v>15.89</v>
      </c>
      <c r="F1159" s="1">
        <f ca="1">IFERROR(__xludf.DUMMYFUNCTION("""COMPUTED_VALUE"""),5274349)</f>
        <v>5274349</v>
      </c>
    </row>
    <row r="1160" spans="1:6" x14ac:dyDescent="0.35">
      <c r="A1160" s="2">
        <f ca="1">IFERROR(__xludf.DUMMYFUNCTION("""COMPUTED_VALUE"""),43686.6666666666)</f>
        <v>43686.666666666599</v>
      </c>
      <c r="B1160" s="1">
        <f ca="1">IFERROR(__xludf.DUMMYFUNCTION("""COMPUTED_VALUE"""),15.74)</f>
        <v>15.74</v>
      </c>
      <c r="C1160" s="1">
        <f ca="1">IFERROR(__xludf.DUMMYFUNCTION("""COMPUTED_VALUE"""),15.93)</f>
        <v>15.93</v>
      </c>
      <c r="D1160" s="1">
        <f ca="1">IFERROR(__xludf.DUMMYFUNCTION("""COMPUTED_VALUE"""),15.59)</f>
        <v>15.59</v>
      </c>
      <c r="E1160" s="1">
        <f ca="1">IFERROR(__xludf.DUMMYFUNCTION("""COMPUTED_VALUE"""),15.67)</f>
        <v>15.67</v>
      </c>
      <c r="F1160" s="1">
        <f ca="1">IFERROR(__xludf.DUMMYFUNCTION("""COMPUTED_VALUE"""),3898244)</f>
        <v>3898244</v>
      </c>
    </row>
    <row r="1161" spans="1:6" x14ac:dyDescent="0.35">
      <c r="A1161" s="2">
        <f ca="1">IFERROR(__xludf.DUMMYFUNCTION("""COMPUTED_VALUE"""),43689.6666666666)</f>
        <v>43689.666666666599</v>
      </c>
      <c r="B1161" s="1">
        <f ca="1">IFERROR(__xludf.DUMMYFUNCTION("""COMPUTED_VALUE"""),15.53)</f>
        <v>15.53</v>
      </c>
      <c r="C1161" s="1">
        <f ca="1">IFERROR(__xludf.DUMMYFUNCTION("""COMPUTED_VALUE"""),15.72)</f>
        <v>15.72</v>
      </c>
      <c r="D1161" s="1">
        <f ca="1">IFERROR(__xludf.DUMMYFUNCTION("""COMPUTED_VALUE"""),15.25)</f>
        <v>15.25</v>
      </c>
      <c r="E1161" s="1">
        <f ca="1">IFERROR(__xludf.DUMMYFUNCTION("""COMPUTED_VALUE"""),15.27)</f>
        <v>15.27</v>
      </c>
      <c r="F1161" s="1">
        <f ca="1">IFERROR(__xludf.DUMMYFUNCTION("""COMPUTED_VALUE"""),4663937)</f>
        <v>4663937</v>
      </c>
    </row>
    <row r="1162" spans="1:6" x14ac:dyDescent="0.35">
      <c r="A1162" s="2">
        <f ca="1">IFERROR(__xludf.DUMMYFUNCTION("""COMPUTED_VALUE"""),43690.6666666666)</f>
        <v>43690.666666666599</v>
      </c>
      <c r="B1162" s="1">
        <f ca="1">IFERROR(__xludf.DUMMYFUNCTION("""COMPUTED_VALUE"""),15.25)</f>
        <v>15.25</v>
      </c>
      <c r="C1162" s="1">
        <f ca="1">IFERROR(__xludf.DUMMYFUNCTION("""COMPUTED_VALUE"""),15.73)</f>
        <v>15.73</v>
      </c>
      <c r="D1162" s="1">
        <f ca="1">IFERROR(__xludf.DUMMYFUNCTION("""COMPUTED_VALUE"""),15.17)</f>
        <v>15.17</v>
      </c>
      <c r="E1162" s="1">
        <f ca="1">IFERROR(__xludf.DUMMYFUNCTION("""COMPUTED_VALUE"""),15.67)</f>
        <v>15.67</v>
      </c>
      <c r="F1162" s="1">
        <f ca="1">IFERROR(__xludf.DUMMYFUNCTION("""COMPUTED_VALUE"""),4868998)</f>
        <v>4868998</v>
      </c>
    </row>
    <row r="1163" spans="1:6" x14ac:dyDescent="0.35">
      <c r="A1163" s="2">
        <f ca="1">IFERROR(__xludf.DUMMYFUNCTION("""COMPUTED_VALUE"""),43691.6666666666)</f>
        <v>43691.666666666599</v>
      </c>
      <c r="B1163" s="1">
        <f ca="1">IFERROR(__xludf.DUMMYFUNCTION("""COMPUTED_VALUE"""),15.41)</f>
        <v>15.41</v>
      </c>
      <c r="C1163" s="1">
        <f ca="1">IFERROR(__xludf.DUMMYFUNCTION("""COMPUTED_VALUE"""),15.43)</f>
        <v>15.43</v>
      </c>
      <c r="D1163" s="1">
        <f ca="1">IFERROR(__xludf.DUMMYFUNCTION("""COMPUTED_VALUE"""),14.45)</f>
        <v>14.45</v>
      </c>
      <c r="E1163" s="1">
        <f ca="1">IFERROR(__xludf.DUMMYFUNCTION("""COMPUTED_VALUE"""),14.64)</f>
        <v>14.64</v>
      </c>
      <c r="F1163" s="1">
        <f ca="1">IFERROR(__xludf.DUMMYFUNCTION("""COMPUTED_VALUE"""),9562591)</f>
        <v>9562591</v>
      </c>
    </row>
    <row r="1164" spans="1:6" x14ac:dyDescent="0.35">
      <c r="A1164" s="2">
        <f ca="1">IFERROR(__xludf.DUMMYFUNCTION("""COMPUTED_VALUE"""),43692.6666666666)</f>
        <v>43692.666666666599</v>
      </c>
      <c r="B1164" s="1">
        <f ca="1">IFERROR(__xludf.DUMMYFUNCTION("""COMPUTED_VALUE"""),14.72)</f>
        <v>14.72</v>
      </c>
      <c r="C1164" s="1">
        <f ca="1">IFERROR(__xludf.DUMMYFUNCTION("""COMPUTED_VALUE"""),14.77)</f>
        <v>14.77</v>
      </c>
      <c r="D1164" s="1">
        <f ca="1">IFERROR(__xludf.DUMMYFUNCTION("""COMPUTED_VALUE"""),14.1)</f>
        <v>14.1</v>
      </c>
      <c r="E1164" s="1">
        <f ca="1">IFERROR(__xludf.DUMMYFUNCTION("""COMPUTED_VALUE"""),14.38)</f>
        <v>14.38</v>
      </c>
      <c r="F1164" s="1">
        <f ca="1">IFERROR(__xludf.DUMMYFUNCTION("""COMPUTED_VALUE"""),8231952)</f>
        <v>8231952</v>
      </c>
    </row>
    <row r="1165" spans="1:6" x14ac:dyDescent="0.35">
      <c r="A1165" s="2">
        <f ca="1">IFERROR(__xludf.DUMMYFUNCTION("""COMPUTED_VALUE"""),43693.6666666666)</f>
        <v>43693.666666666599</v>
      </c>
      <c r="B1165" s="1">
        <f ca="1">IFERROR(__xludf.DUMMYFUNCTION("""COMPUTED_VALUE"""),14.44)</f>
        <v>14.44</v>
      </c>
      <c r="C1165" s="1">
        <f ca="1">IFERROR(__xludf.DUMMYFUNCTION("""COMPUTED_VALUE"""),14.82)</f>
        <v>14.82</v>
      </c>
      <c r="D1165" s="1">
        <f ca="1">IFERROR(__xludf.DUMMYFUNCTION("""COMPUTED_VALUE"""),14.4)</f>
        <v>14.4</v>
      </c>
      <c r="E1165" s="1">
        <f ca="1">IFERROR(__xludf.DUMMYFUNCTION("""COMPUTED_VALUE"""),14.66)</f>
        <v>14.66</v>
      </c>
      <c r="F1165" s="1">
        <f ca="1">IFERROR(__xludf.DUMMYFUNCTION("""COMPUTED_VALUE"""),5207376)</f>
        <v>5207376</v>
      </c>
    </row>
    <row r="1166" spans="1:6" x14ac:dyDescent="0.35">
      <c r="A1166" s="2">
        <f ca="1">IFERROR(__xludf.DUMMYFUNCTION("""COMPUTED_VALUE"""),43696.6666666666)</f>
        <v>43696.666666666599</v>
      </c>
      <c r="B1166" s="1">
        <f ca="1">IFERROR(__xludf.DUMMYFUNCTION("""COMPUTED_VALUE"""),14.95)</f>
        <v>14.95</v>
      </c>
      <c r="C1166" s="1">
        <f ca="1">IFERROR(__xludf.DUMMYFUNCTION("""COMPUTED_VALUE"""),15.19)</f>
        <v>15.19</v>
      </c>
      <c r="D1166" s="1">
        <f ca="1">IFERROR(__xludf.DUMMYFUNCTION("""COMPUTED_VALUE"""),14.78)</f>
        <v>14.78</v>
      </c>
      <c r="E1166" s="1">
        <f ca="1">IFERROR(__xludf.DUMMYFUNCTION("""COMPUTED_VALUE"""),15.12)</f>
        <v>15.12</v>
      </c>
      <c r="F1166" s="1">
        <f ca="1">IFERROR(__xludf.DUMMYFUNCTION("""COMPUTED_VALUE"""),5311748)</f>
        <v>5311748</v>
      </c>
    </row>
    <row r="1167" spans="1:6" x14ac:dyDescent="0.35">
      <c r="A1167" s="2">
        <f ca="1">IFERROR(__xludf.DUMMYFUNCTION("""COMPUTED_VALUE"""),43697.6666666666)</f>
        <v>43697.666666666599</v>
      </c>
      <c r="B1167" s="1">
        <f ca="1">IFERROR(__xludf.DUMMYFUNCTION("""COMPUTED_VALUE"""),15.17)</f>
        <v>15.17</v>
      </c>
      <c r="C1167" s="1">
        <f ca="1">IFERROR(__xludf.DUMMYFUNCTION("""COMPUTED_VALUE"""),15.27)</f>
        <v>15.27</v>
      </c>
      <c r="D1167" s="1">
        <f ca="1">IFERROR(__xludf.DUMMYFUNCTION("""COMPUTED_VALUE"""),14.97)</f>
        <v>14.97</v>
      </c>
      <c r="E1167" s="1">
        <f ca="1">IFERROR(__xludf.DUMMYFUNCTION("""COMPUTED_VALUE"""),15.06)</f>
        <v>15.06</v>
      </c>
      <c r="F1167" s="1">
        <f ca="1">IFERROR(__xludf.DUMMYFUNCTION("""COMPUTED_VALUE"""),4170527)</f>
        <v>4170527</v>
      </c>
    </row>
    <row r="1168" spans="1:6" x14ac:dyDescent="0.35">
      <c r="A1168" s="2">
        <f ca="1">IFERROR(__xludf.DUMMYFUNCTION("""COMPUTED_VALUE"""),43698.6666666666)</f>
        <v>43698.666666666599</v>
      </c>
      <c r="B1168" s="1">
        <f ca="1">IFERROR(__xludf.DUMMYFUNCTION("""COMPUTED_VALUE"""),14.8)</f>
        <v>14.8</v>
      </c>
      <c r="C1168" s="1">
        <f ca="1">IFERROR(__xludf.DUMMYFUNCTION("""COMPUTED_VALUE"""),14.88)</f>
        <v>14.88</v>
      </c>
      <c r="D1168" s="1">
        <f ca="1">IFERROR(__xludf.DUMMYFUNCTION("""COMPUTED_VALUE"""),14.51)</f>
        <v>14.51</v>
      </c>
      <c r="E1168" s="1">
        <f ca="1">IFERROR(__xludf.DUMMYFUNCTION("""COMPUTED_VALUE"""),14.72)</f>
        <v>14.72</v>
      </c>
      <c r="F1168" s="1">
        <f ca="1">IFERROR(__xludf.DUMMYFUNCTION("""COMPUTED_VALUE"""),7799744)</f>
        <v>7799744</v>
      </c>
    </row>
    <row r="1169" spans="1:6" x14ac:dyDescent="0.35">
      <c r="A1169" s="2">
        <f ca="1">IFERROR(__xludf.DUMMYFUNCTION("""COMPUTED_VALUE"""),43699.6666666666)</f>
        <v>43699.666666666599</v>
      </c>
      <c r="B1169" s="1">
        <f ca="1">IFERROR(__xludf.DUMMYFUNCTION("""COMPUTED_VALUE"""),14.85)</f>
        <v>14.85</v>
      </c>
      <c r="C1169" s="1">
        <f ca="1">IFERROR(__xludf.DUMMYFUNCTION("""COMPUTED_VALUE"""),15.03)</f>
        <v>15.03</v>
      </c>
      <c r="D1169" s="1">
        <f ca="1">IFERROR(__xludf.DUMMYFUNCTION("""COMPUTED_VALUE"""),14.55)</f>
        <v>14.55</v>
      </c>
      <c r="E1169" s="1">
        <f ca="1">IFERROR(__xludf.DUMMYFUNCTION("""COMPUTED_VALUE"""),14.81)</f>
        <v>14.81</v>
      </c>
      <c r="F1169" s="1">
        <f ca="1">IFERROR(__xludf.DUMMYFUNCTION("""COMPUTED_VALUE"""),6564964)</f>
        <v>6564964</v>
      </c>
    </row>
    <row r="1170" spans="1:6" x14ac:dyDescent="0.35">
      <c r="A1170" s="2">
        <f ca="1">IFERROR(__xludf.DUMMYFUNCTION("""COMPUTED_VALUE"""),43700.6666666666)</f>
        <v>43700.666666666599</v>
      </c>
      <c r="B1170" s="1">
        <f ca="1">IFERROR(__xludf.DUMMYFUNCTION("""COMPUTED_VALUE"""),14.66)</f>
        <v>14.66</v>
      </c>
      <c r="C1170" s="1">
        <f ca="1">IFERROR(__xludf.DUMMYFUNCTION("""COMPUTED_VALUE"""),14.74)</f>
        <v>14.74</v>
      </c>
      <c r="D1170" s="1">
        <f ca="1">IFERROR(__xludf.DUMMYFUNCTION("""COMPUTED_VALUE"""),14.07)</f>
        <v>14.07</v>
      </c>
      <c r="E1170" s="1">
        <f ca="1">IFERROR(__xludf.DUMMYFUNCTION("""COMPUTED_VALUE"""),14.09)</f>
        <v>14.09</v>
      </c>
      <c r="F1170" s="1">
        <f ca="1">IFERROR(__xludf.DUMMYFUNCTION("""COMPUTED_VALUE"""),8559704)</f>
        <v>8559704</v>
      </c>
    </row>
    <row r="1171" spans="1:6" x14ac:dyDescent="0.35">
      <c r="A1171" s="2">
        <f ca="1">IFERROR(__xludf.DUMMYFUNCTION("""COMPUTED_VALUE"""),43703.6666666666)</f>
        <v>43703.666666666599</v>
      </c>
      <c r="B1171" s="1">
        <f ca="1">IFERROR(__xludf.DUMMYFUNCTION("""COMPUTED_VALUE"""),14.24)</f>
        <v>14.24</v>
      </c>
      <c r="C1171" s="1">
        <f ca="1">IFERROR(__xludf.DUMMYFUNCTION("""COMPUTED_VALUE"""),14.33)</f>
        <v>14.33</v>
      </c>
      <c r="D1171" s="1">
        <f ca="1">IFERROR(__xludf.DUMMYFUNCTION("""COMPUTED_VALUE"""),14.1)</f>
        <v>14.1</v>
      </c>
      <c r="E1171" s="1">
        <f ca="1">IFERROR(__xludf.DUMMYFUNCTION("""COMPUTED_VALUE"""),14.33)</f>
        <v>14.33</v>
      </c>
      <c r="F1171" s="1">
        <f ca="1">IFERROR(__xludf.DUMMYFUNCTION("""COMPUTED_VALUE"""),5054414)</f>
        <v>5054414</v>
      </c>
    </row>
    <row r="1172" spans="1:6" x14ac:dyDescent="0.35">
      <c r="A1172" s="2">
        <f ca="1">IFERROR(__xludf.DUMMYFUNCTION("""COMPUTED_VALUE"""),43704.6666666666)</f>
        <v>43704.666666666599</v>
      </c>
      <c r="B1172" s="1">
        <f ca="1">IFERROR(__xludf.DUMMYFUNCTION("""COMPUTED_VALUE"""),14.38)</f>
        <v>14.38</v>
      </c>
      <c r="C1172" s="1">
        <f ca="1">IFERROR(__xludf.DUMMYFUNCTION("""COMPUTED_VALUE"""),14.59)</f>
        <v>14.59</v>
      </c>
      <c r="D1172" s="1">
        <f ca="1">IFERROR(__xludf.DUMMYFUNCTION("""COMPUTED_VALUE"""),14.14)</f>
        <v>14.14</v>
      </c>
      <c r="E1172" s="1">
        <f ca="1">IFERROR(__xludf.DUMMYFUNCTION("""COMPUTED_VALUE"""),14.27)</f>
        <v>14.27</v>
      </c>
      <c r="F1172" s="1">
        <f ca="1">IFERROR(__xludf.DUMMYFUNCTION("""COMPUTED_VALUE"""),5420727)</f>
        <v>5420727</v>
      </c>
    </row>
    <row r="1173" spans="1:6" x14ac:dyDescent="0.35">
      <c r="A1173" s="2">
        <f ca="1">IFERROR(__xludf.DUMMYFUNCTION("""COMPUTED_VALUE"""),43705.6666666666)</f>
        <v>43705.666666666599</v>
      </c>
      <c r="B1173" s="1">
        <f ca="1">IFERROR(__xludf.DUMMYFUNCTION("""COMPUTED_VALUE"""),14.25)</f>
        <v>14.25</v>
      </c>
      <c r="C1173" s="1">
        <f ca="1">IFERROR(__xludf.DUMMYFUNCTION("""COMPUTED_VALUE"""),14.48)</f>
        <v>14.48</v>
      </c>
      <c r="D1173" s="1">
        <f ca="1">IFERROR(__xludf.DUMMYFUNCTION("""COMPUTED_VALUE"""),14.15)</f>
        <v>14.15</v>
      </c>
      <c r="E1173" s="1">
        <f ca="1">IFERROR(__xludf.DUMMYFUNCTION("""COMPUTED_VALUE"""),14.37)</f>
        <v>14.37</v>
      </c>
      <c r="F1173" s="1">
        <f ca="1">IFERROR(__xludf.DUMMYFUNCTION("""COMPUTED_VALUE"""),3238625)</f>
        <v>3238625</v>
      </c>
    </row>
    <row r="1174" spans="1:6" x14ac:dyDescent="0.35">
      <c r="A1174" s="2">
        <f ca="1">IFERROR(__xludf.DUMMYFUNCTION("""COMPUTED_VALUE"""),43706.6666666666)</f>
        <v>43706.666666666599</v>
      </c>
      <c r="B1174" s="1">
        <f ca="1">IFERROR(__xludf.DUMMYFUNCTION("""COMPUTED_VALUE"""),14.6)</f>
        <v>14.6</v>
      </c>
      <c r="C1174" s="1">
        <f ca="1">IFERROR(__xludf.DUMMYFUNCTION("""COMPUTED_VALUE"""),14.89)</f>
        <v>14.89</v>
      </c>
      <c r="D1174" s="1">
        <f ca="1">IFERROR(__xludf.DUMMYFUNCTION("""COMPUTED_VALUE"""),14.53)</f>
        <v>14.53</v>
      </c>
      <c r="E1174" s="1">
        <f ca="1">IFERROR(__xludf.DUMMYFUNCTION("""COMPUTED_VALUE"""),14.78)</f>
        <v>14.78</v>
      </c>
      <c r="F1174" s="1">
        <f ca="1">IFERROR(__xludf.DUMMYFUNCTION("""COMPUTED_VALUE"""),5183104)</f>
        <v>5183104</v>
      </c>
    </row>
    <row r="1175" spans="1:6" x14ac:dyDescent="0.35">
      <c r="A1175" s="2">
        <f ca="1">IFERROR(__xludf.DUMMYFUNCTION("""COMPUTED_VALUE"""),43707.6666666666)</f>
        <v>43707.666666666599</v>
      </c>
      <c r="B1175" s="1">
        <f ca="1">IFERROR(__xludf.DUMMYFUNCTION("""COMPUTED_VALUE"""),15.28)</f>
        <v>15.28</v>
      </c>
      <c r="C1175" s="1">
        <f ca="1">IFERROR(__xludf.DUMMYFUNCTION("""COMPUTED_VALUE"""),15.5)</f>
        <v>15.5</v>
      </c>
      <c r="D1175" s="1">
        <f ca="1">IFERROR(__xludf.DUMMYFUNCTION("""COMPUTED_VALUE"""),14.95)</f>
        <v>14.95</v>
      </c>
      <c r="E1175" s="1">
        <f ca="1">IFERROR(__xludf.DUMMYFUNCTION("""COMPUTED_VALUE"""),15.04)</f>
        <v>15.04</v>
      </c>
      <c r="F1175" s="1">
        <f ca="1">IFERROR(__xludf.DUMMYFUNCTION("""COMPUTED_VALUE"""),9327775)</f>
        <v>9327775</v>
      </c>
    </row>
    <row r="1176" spans="1:6" x14ac:dyDescent="0.35">
      <c r="A1176" s="2">
        <f ca="1">IFERROR(__xludf.DUMMYFUNCTION("""COMPUTED_VALUE"""),43711.6666666666)</f>
        <v>43711.666666666599</v>
      </c>
      <c r="B1176" s="1">
        <f ca="1">IFERROR(__xludf.DUMMYFUNCTION("""COMPUTED_VALUE"""),14.94)</f>
        <v>14.94</v>
      </c>
      <c r="C1176" s="1">
        <f ca="1">IFERROR(__xludf.DUMMYFUNCTION("""COMPUTED_VALUE"""),15.26)</f>
        <v>15.26</v>
      </c>
      <c r="D1176" s="1">
        <f ca="1">IFERROR(__xludf.DUMMYFUNCTION("""COMPUTED_VALUE"""),14.88)</f>
        <v>14.88</v>
      </c>
      <c r="E1176" s="1">
        <f ca="1">IFERROR(__xludf.DUMMYFUNCTION("""COMPUTED_VALUE"""),15)</f>
        <v>15</v>
      </c>
      <c r="F1176" s="1">
        <f ca="1">IFERROR(__xludf.DUMMYFUNCTION("""COMPUTED_VALUE"""),5360546)</f>
        <v>5360546</v>
      </c>
    </row>
    <row r="1177" spans="1:6" x14ac:dyDescent="0.35">
      <c r="A1177" s="2">
        <f ca="1">IFERROR(__xludf.DUMMYFUNCTION("""COMPUTED_VALUE"""),43712.6666666666)</f>
        <v>43712.666666666599</v>
      </c>
      <c r="B1177" s="1">
        <f ca="1">IFERROR(__xludf.DUMMYFUNCTION("""COMPUTED_VALUE"""),15.13)</f>
        <v>15.13</v>
      </c>
      <c r="C1177" s="1">
        <f ca="1">IFERROR(__xludf.DUMMYFUNCTION("""COMPUTED_VALUE"""),15.23)</f>
        <v>15.23</v>
      </c>
      <c r="D1177" s="1">
        <f ca="1">IFERROR(__xludf.DUMMYFUNCTION("""COMPUTED_VALUE"""),14.61)</f>
        <v>14.61</v>
      </c>
      <c r="E1177" s="1">
        <f ca="1">IFERROR(__xludf.DUMMYFUNCTION("""COMPUTED_VALUE"""),14.71)</f>
        <v>14.71</v>
      </c>
      <c r="F1177" s="1">
        <f ca="1">IFERROR(__xludf.DUMMYFUNCTION("""COMPUTED_VALUE"""),5768696)</f>
        <v>5768696</v>
      </c>
    </row>
    <row r="1178" spans="1:6" x14ac:dyDescent="0.35">
      <c r="A1178" s="2">
        <f ca="1">IFERROR(__xludf.DUMMYFUNCTION("""COMPUTED_VALUE"""),43713.6666666666)</f>
        <v>43713.666666666599</v>
      </c>
      <c r="B1178" s="1">
        <f ca="1">IFERROR(__xludf.DUMMYFUNCTION("""COMPUTED_VALUE"""),14.83)</f>
        <v>14.83</v>
      </c>
      <c r="C1178" s="1">
        <f ca="1">IFERROR(__xludf.DUMMYFUNCTION("""COMPUTED_VALUE"""),15.32)</f>
        <v>15.32</v>
      </c>
      <c r="D1178" s="1">
        <f ca="1">IFERROR(__xludf.DUMMYFUNCTION("""COMPUTED_VALUE"""),14.72)</f>
        <v>14.72</v>
      </c>
      <c r="E1178" s="1">
        <f ca="1">IFERROR(__xludf.DUMMYFUNCTION("""COMPUTED_VALUE"""),15.31)</f>
        <v>15.31</v>
      </c>
      <c r="F1178" s="1">
        <f ca="1">IFERROR(__xludf.DUMMYFUNCTION("""COMPUTED_VALUE"""),7403322)</f>
        <v>7403322</v>
      </c>
    </row>
    <row r="1179" spans="1:6" x14ac:dyDescent="0.35">
      <c r="A1179" s="2">
        <f ca="1">IFERROR(__xludf.DUMMYFUNCTION("""COMPUTED_VALUE"""),43714.6666666666)</f>
        <v>43714.666666666599</v>
      </c>
      <c r="B1179" s="1">
        <f ca="1">IFERROR(__xludf.DUMMYFUNCTION("""COMPUTED_VALUE"""),15.15)</f>
        <v>15.15</v>
      </c>
      <c r="C1179" s="1">
        <f ca="1">IFERROR(__xludf.DUMMYFUNCTION("""COMPUTED_VALUE"""),15.31)</f>
        <v>15.31</v>
      </c>
      <c r="D1179" s="1">
        <f ca="1">IFERROR(__xludf.DUMMYFUNCTION("""COMPUTED_VALUE"""),15.01)</f>
        <v>15.01</v>
      </c>
      <c r="E1179" s="1">
        <f ca="1">IFERROR(__xludf.DUMMYFUNCTION("""COMPUTED_VALUE"""),15.16)</f>
        <v>15.16</v>
      </c>
      <c r="F1179" s="1">
        <f ca="1">IFERROR(__xludf.DUMMYFUNCTION("""COMPUTED_VALUE"""),4189372)</f>
        <v>4189372</v>
      </c>
    </row>
    <row r="1180" spans="1:6" x14ac:dyDescent="0.35">
      <c r="A1180" s="2">
        <f ca="1">IFERROR(__xludf.DUMMYFUNCTION("""COMPUTED_VALUE"""),43717.6666666666)</f>
        <v>43717.666666666599</v>
      </c>
      <c r="B1180" s="1">
        <f ca="1">IFERROR(__xludf.DUMMYFUNCTION("""COMPUTED_VALUE"""),15.33)</f>
        <v>15.33</v>
      </c>
      <c r="C1180" s="1">
        <f ca="1">IFERROR(__xludf.DUMMYFUNCTION("""COMPUTED_VALUE"""),15.58)</f>
        <v>15.58</v>
      </c>
      <c r="D1180" s="1">
        <f ca="1">IFERROR(__xludf.DUMMYFUNCTION("""COMPUTED_VALUE"""),15.28)</f>
        <v>15.28</v>
      </c>
      <c r="E1180" s="1">
        <f ca="1">IFERROR(__xludf.DUMMYFUNCTION("""COMPUTED_VALUE"""),15.45)</f>
        <v>15.45</v>
      </c>
      <c r="F1180" s="1">
        <f ca="1">IFERROR(__xludf.DUMMYFUNCTION("""COMPUTED_VALUE"""),4802669)</f>
        <v>4802669</v>
      </c>
    </row>
    <row r="1181" spans="1:6" x14ac:dyDescent="0.35">
      <c r="A1181" s="2">
        <f ca="1">IFERROR(__xludf.DUMMYFUNCTION("""COMPUTED_VALUE"""),43718.6666666666)</f>
        <v>43718.666666666599</v>
      </c>
      <c r="B1181" s="1">
        <f ca="1">IFERROR(__xludf.DUMMYFUNCTION("""COMPUTED_VALUE"""),15.39)</f>
        <v>15.39</v>
      </c>
      <c r="C1181" s="1">
        <f ca="1">IFERROR(__xludf.DUMMYFUNCTION("""COMPUTED_VALUE"""),15.7)</f>
        <v>15.7</v>
      </c>
      <c r="D1181" s="1">
        <f ca="1">IFERROR(__xludf.DUMMYFUNCTION("""COMPUTED_VALUE"""),15.26)</f>
        <v>15.26</v>
      </c>
      <c r="E1181" s="1">
        <f ca="1">IFERROR(__xludf.DUMMYFUNCTION("""COMPUTED_VALUE"""),15.7)</f>
        <v>15.7</v>
      </c>
      <c r="F1181" s="1">
        <f ca="1">IFERROR(__xludf.DUMMYFUNCTION("""COMPUTED_VALUE"""),4883714)</f>
        <v>4883714</v>
      </c>
    </row>
    <row r="1182" spans="1:6" x14ac:dyDescent="0.35">
      <c r="A1182" s="2">
        <f ca="1">IFERROR(__xludf.DUMMYFUNCTION("""COMPUTED_VALUE"""),43719.6666666666)</f>
        <v>43719.666666666599</v>
      </c>
      <c r="B1182" s="1">
        <f ca="1">IFERROR(__xludf.DUMMYFUNCTION("""COMPUTED_VALUE"""),15.83)</f>
        <v>15.83</v>
      </c>
      <c r="C1182" s="1">
        <f ca="1">IFERROR(__xludf.DUMMYFUNCTION("""COMPUTED_VALUE"""),16.54)</f>
        <v>16.54</v>
      </c>
      <c r="D1182" s="1">
        <f ca="1">IFERROR(__xludf.DUMMYFUNCTION("""COMPUTED_VALUE"""),15.73)</f>
        <v>15.73</v>
      </c>
      <c r="E1182" s="1">
        <f ca="1">IFERROR(__xludf.DUMMYFUNCTION("""COMPUTED_VALUE"""),16.47)</f>
        <v>16.47</v>
      </c>
      <c r="F1182" s="1">
        <f ca="1">IFERROR(__xludf.DUMMYFUNCTION("""COMPUTED_VALUE"""),10042777)</f>
        <v>10042777</v>
      </c>
    </row>
    <row r="1183" spans="1:6" x14ac:dyDescent="0.35">
      <c r="A1183" s="2">
        <f ca="1">IFERROR(__xludf.DUMMYFUNCTION("""COMPUTED_VALUE"""),43720.6666666666)</f>
        <v>43720.666666666599</v>
      </c>
      <c r="B1183" s="1">
        <f ca="1">IFERROR(__xludf.DUMMYFUNCTION("""COMPUTED_VALUE"""),16.51)</f>
        <v>16.510000000000002</v>
      </c>
      <c r="C1183" s="1">
        <f ca="1">IFERROR(__xludf.DUMMYFUNCTION("""COMPUTED_VALUE"""),16.9)</f>
        <v>16.899999999999999</v>
      </c>
      <c r="D1183" s="1">
        <f ca="1">IFERROR(__xludf.DUMMYFUNCTION("""COMPUTED_VALUE"""),16.29)</f>
        <v>16.29</v>
      </c>
      <c r="E1183" s="1">
        <f ca="1">IFERROR(__xludf.DUMMYFUNCTION("""COMPUTED_VALUE"""),16.39)</f>
        <v>16.39</v>
      </c>
      <c r="F1183" s="1">
        <f ca="1">IFERROR(__xludf.DUMMYFUNCTION("""COMPUTED_VALUE"""),8581210)</f>
        <v>8581210</v>
      </c>
    </row>
    <row r="1184" spans="1:6" x14ac:dyDescent="0.35">
      <c r="A1184" s="2">
        <f ca="1">IFERROR(__xludf.DUMMYFUNCTION("""COMPUTED_VALUE"""),43721.6666666666)</f>
        <v>43721.666666666599</v>
      </c>
      <c r="B1184" s="1">
        <f ca="1">IFERROR(__xludf.DUMMYFUNCTION("""COMPUTED_VALUE"""),16.46)</f>
        <v>16.46</v>
      </c>
      <c r="C1184" s="1">
        <f ca="1">IFERROR(__xludf.DUMMYFUNCTION("""COMPUTED_VALUE"""),16.56)</f>
        <v>16.559999999999999</v>
      </c>
      <c r="D1184" s="1">
        <f ca="1">IFERROR(__xludf.DUMMYFUNCTION("""COMPUTED_VALUE"""),16.32)</f>
        <v>16.32</v>
      </c>
      <c r="E1184" s="1">
        <f ca="1">IFERROR(__xludf.DUMMYFUNCTION("""COMPUTED_VALUE"""),16.35)</f>
        <v>16.350000000000001</v>
      </c>
      <c r="F1184" s="1">
        <f ca="1">IFERROR(__xludf.DUMMYFUNCTION("""COMPUTED_VALUE"""),5313145)</f>
        <v>5313145</v>
      </c>
    </row>
    <row r="1185" spans="1:6" x14ac:dyDescent="0.35">
      <c r="A1185" s="2">
        <f ca="1">IFERROR(__xludf.DUMMYFUNCTION("""COMPUTED_VALUE"""),43724.6666666666)</f>
        <v>43724.666666666599</v>
      </c>
      <c r="B1185" s="1">
        <f ca="1">IFERROR(__xludf.DUMMYFUNCTION("""COMPUTED_VALUE"""),16.4)</f>
        <v>16.399999999999999</v>
      </c>
      <c r="C1185" s="1">
        <f ca="1">IFERROR(__xludf.DUMMYFUNCTION("""COMPUTED_VALUE"""),16.5)</f>
        <v>16.5</v>
      </c>
      <c r="D1185" s="1">
        <f ca="1">IFERROR(__xludf.DUMMYFUNCTION("""COMPUTED_VALUE"""),16.08)</f>
        <v>16.079999999999998</v>
      </c>
      <c r="E1185" s="1">
        <f ca="1">IFERROR(__xludf.DUMMYFUNCTION("""COMPUTED_VALUE"""),16.19)</f>
        <v>16.190000000000001</v>
      </c>
      <c r="F1185" s="1">
        <f ca="1">IFERROR(__xludf.DUMMYFUNCTION("""COMPUTED_VALUE"""),4728096)</f>
        <v>4728096</v>
      </c>
    </row>
    <row r="1186" spans="1:6" x14ac:dyDescent="0.35">
      <c r="A1186" s="2">
        <f ca="1">IFERROR(__xludf.DUMMYFUNCTION("""COMPUTED_VALUE"""),43725.6666666666)</f>
        <v>43725.666666666599</v>
      </c>
      <c r="B1186" s="1">
        <f ca="1">IFERROR(__xludf.DUMMYFUNCTION("""COMPUTED_VALUE"""),16.16)</f>
        <v>16.16</v>
      </c>
      <c r="C1186" s="1">
        <f ca="1">IFERROR(__xludf.DUMMYFUNCTION("""COMPUTED_VALUE"""),16.37)</f>
        <v>16.37</v>
      </c>
      <c r="D1186" s="1">
        <f ca="1">IFERROR(__xludf.DUMMYFUNCTION("""COMPUTED_VALUE"""),16.02)</f>
        <v>16.02</v>
      </c>
      <c r="E1186" s="1">
        <f ca="1">IFERROR(__xludf.DUMMYFUNCTION("""COMPUTED_VALUE"""),16.32)</f>
        <v>16.32</v>
      </c>
      <c r="F1186" s="1">
        <f ca="1">IFERROR(__xludf.DUMMYFUNCTION("""COMPUTED_VALUE"""),3946909)</f>
        <v>3946909</v>
      </c>
    </row>
    <row r="1187" spans="1:6" x14ac:dyDescent="0.35">
      <c r="A1187" s="2">
        <f ca="1">IFERROR(__xludf.DUMMYFUNCTION("""COMPUTED_VALUE"""),43726.6666666666)</f>
        <v>43726.666666666599</v>
      </c>
      <c r="B1187" s="1">
        <f ca="1">IFERROR(__xludf.DUMMYFUNCTION("""COMPUTED_VALUE"""),16.33)</f>
        <v>16.329999999999998</v>
      </c>
      <c r="C1187" s="1">
        <f ca="1">IFERROR(__xludf.DUMMYFUNCTION("""COMPUTED_VALUE"""),16.54)</f>
        <v>16.54</v>
      </c>
      <c r="D1187" s="1">
        <f ca="1">IFERROR(__xludf.DUMMYFUNCTION("""COMPUTED_VALUE"""),16.16)</f>
        <v>16.16</v>
      </c>
      <c r="E1187" s="1">
        <f ca="1">IFERROR(__xludf.DUMMYFUNCTION("""COMPUTED_VALUE"""),16.23)</f>
        <v>16.23</v>
      </c>
      <c r="F1187" s="1">
        <f ca="1">IFERROR(__xludf.DUMMYFUNCTION("""COMPUTED_VALUE"""),4228103)</f>
        <v>4228103</v>
      </c>
    </row>
    <row r="1188" spans="1:6" x14ac:dyDescent="0.35">
      <c r="A1188" s="2">
        <f ca="1">IFERROR(__xludf.DUMMYFUNCTION("""COMPUTED_VALUE"""),43727.6666666666)</f>
        <v>43727.666666666599</v>
      </c>
      <c r="B1188" s="1">
        <f ca="1">IFERROR(__xludf.DUMMYFUNCTION("""COMPUTED_VALUE"""),16.4)</f>
        <v>16.399999999999999</v>
      </c>
      <c r="C1188" s="1">
        <f ca="1">IFERROR(__xludf.DUMMYFUNCTION("""COMPUTED_VALUE"""),16.53)</f>
        <v>16.53</v>
      </c>
      <c r="D1188" s="1">
        <f ca="1">IFERROR(__xludf.DUMMYFUNCTION("""COMPUTED_VALUE"""),16.32)</f>
        <v>16.32</v>
      </c>
      <c r="E1188" s="1">
        <f ca="1">IFERROR(__xludf.DUMMYFUNCTION("""COMPUTED_VALUE"""),16.44)</f>
        <v>16.440000000000001</v>
      </c>
      <c r="F1188" s="1">
        <f ca="1">IFERROR(__xludf.DUMMYFUNCTION("""COMPUTED_VALUE"""),4883135)</f>
        <v>4883135</v>
      </c>
    </row>
    <row r="1189" spans="1:6" x14ac:dyDescent="0.35">
      <c r="A1189" s="2">
        <f ca="1">IFERROR(__xludf.DUMMYFUNCTION("""COMPUTED_VALUE"""),43728.6666666666)</f>
        <v>43728.666666666599</v>
      </c>
      <c r="B1189" s="1">
        <f ca="1">IFERROR(__xludf.DUMMYFUNCTION("""COMPUTED_VALUE"""),16.43)</f>
        <v>16.43</v>
      </c>
      <c r="C1189" s="1">
        <f ca="1">IFERROR(__xludf.DUMMYFUNCTION("""COMPUTED_VALUE"""),16.46)</f>
        <v>16.46</v>
      </c>
      <c r="D1189" s="1">
        <f ca="1">IFERROR(__xludf.DUMMYFUNCTION("""COMPUTED_VALUE"""),15.88)</f>
        <v>15.88</v>
      </c>
      <c r="E1189" s="1">
        <f ca="1">IFERROR(__xludf.DUMMYFUNCTION("""COMPUTED_VALUE"""),16.04)</f>
        <v>16.04</v>
      </c>
      <c r="F1189" s="1">
        <f ca="1">IFERROR(__xludf.DUMMYFUNCTION("""COMPUTED_VALUE"""),6506264)</f>
        <v>6506264</v>
      </c>
    </row>
    <row r="1190" spans="1:6" x14ac:dyDescent="0.35">
      <c r="A1190" s="2">
        <f ca="1">IFERROR(__xludf.DUMMYFUNCTION("""COMPUTED_VALUE"""),43731.6666666666)</f>
        <v>43731.666666666599</v>
      </c>
      <c r="B1190" s="1">
        <f ca="1">IFERROR(__xludf.DUMMYFUNCTION("""COMPUTED_VALUE"""),16)</f>
        <v>16</v>
      </c>
      <c r="C1190" s="1">
        <f ca="1">IFERROR(__xludf.DUMMYFUNCTION("""COMPUTED_VALUE"""),16.35)</f>
        <v>16.350000000000001</v>
      </c>
      <c r="D1190" s="1">
        <f ca="1">IFERROR(__xludf.DUMMYFUNCTION("""COMPUTED_VALUE"""),15.95)</f>
        <v>15.95</v>
      </c>
      <c r="E1190" s="1">
        <f ca="1">IFERROR(__xludf.DUMMYFUNCTION("""COMPUTED_VALUE"""),16.08)</f>
        <v>16.079999999999998</v>
      </c>
      <c r="F1190" s="1">
        <f ca="1">IFERROR(__xludf.DUMMYFUNCTION("""COMPUTED_VALUE"""),4391630)</f>
        <v>4391630</v>
      </c>
    </row>
    <row r="1191" spans="1:6" x14ac:dyDescent="0.35">
      <c r="A1191" s="2">
        <f ca="1">IFERROR(__xludf.DUMMYFUNCTION("""COMPUTED_VALUE"""),43732.6666666666)</f>
        <v>43732.666666666599</v>
      </c>
      <c r="B1191" s="1">
        <f ca="1">IFERROR(__xludf.DUMMYFUNCTION("""COMPUTED_VALUE"""),16.1)</f>
        <v>16.100000000000001</v>
      </c>
      <c r="C1191" s="1">
        <f ca="1">IFERROR(__xludf.DUMMYFUNCTION("""COMPUTED_VALUE"""),16.13)</f>
        <v>16.13</v>
      </c>
      <c r="D1191" s="1">
        <f ca="1">IFERROR(__xludf.DUMMYFUNCTION("""COMPUTED_VALUE"""),14.84)</f>
        <v>14.84</v>
      </c>
      <c r="E1191" s="1">
        <f ca="1">IFERROR(__xludf.DUMMYFUNCTION("""COMPUTED_VALUE"""),14.88)</f>
        <v>14.88</v>
      </c>
      <c r="F1191" s="1">
        <f ca="1">IFERROR(__xludf.DUMMYFUNCTION("""COMPUTED_VALUE"""),12941112)</f>
        <v>12941112</v>
      </c>
    </row>
    <row r="1192" spans="1:6" x14ac:dyDescent="0.35">
      <c r="A1192" s="2">
        <f ca="1">IFERROR(__xludf.DUMMYFUNCTION("""COMPUTED_VALUE"""),43733.6666666666)</f>
        <v>43733.666666666599</v>
      </c>
      <c r="B1192" s="1">
        <f ca="1">IFERROR(__xludf.DUMMYFUNCTION("""COMPUTED_VALUE"""),14.97)</f>
        <v>14.97</v>
      </c>
      <c r="C1192" s="1">
        <f ca="1">IFERROR(__xludf.DUMMYFUNCTION("""COMPUTED_VALUE"""),15.27)</f>
        <v>15.27</v>
      </c>
      <c r="D1192" s="1">
        <f ca="1">IFERROR(__xludf.DUMMYFUNCTION("""COMPUTED_VALUE"""),14.56)</f>
        <v>14.56</v>
      </c>
      <c r="E1192" s="1">
        <f ca="1">IFERROR(__xludf.DUMMYFUNCTION("""COMPUTED_VALUE"""),15.25)</f>
        <v>15.25</v>
      </c>
      <c r="F1192" s="1">
        <f ca="1">IFERROR(__xludf.DUMMYFUNCTION("""COMPUTED_VALUE"""),9444286)</f>
        <v>9444286</v>
      </c>
    </row>
    <row r="1193" spans="1:6" x14ac:dyDescent="0.35">
      <c r="A1193" s="2">
        <f ca="1">IFERROR(__xludf.DUMMYFUNCTION("""COMPUTED_VALUE"""),43734.6666666666)</f>
        <v>43734.666666666599</v>
      </c>
      <c r="B1193" s="1">
        <f ca="1">IFERROR(__xludf.DUMMYFUNCTION("""COMPUTED_VALUE"""),15.38)</f>
        <v>15.38</v>
      </c>
      <c r="C1193" s="1">
        <f ca="1">IFERROR(__xludf.DUMMYFUNCTION("""COMPUTED_VALUE"""),16.22)</f>
        <v>16.22</v>
      </c>
      <c r="D1193" s="1">
        <f ca="1">IFERROR(__xludf.DUMMYFUNCTION("""COMPUTED_VALUE"""),15.16)</f>
        <v>15.16</v>
      </c>
      <c r="E1193" s="1">
        <f ca="1">IFERROR(__xludf.DUMMYFUNCTION("""COMPUTED_VALUE"""),16.17)</f>
        <v>16.170000000000002</v>
      </c>
      <c r="F1193" s="1">
        <f ca="1">IFERROR(__xludf.DUMMYFUNCTION("""COMPUTED_VALUE"""),12078785)</f>
        <v>12078785</v>
      </c>
    </row>
    <row r="1194" spans="1:6" x14ac:dyDescent="0.35">
      <c r="A1194" s="2">
        <f ca="1">IFERROR(__xludf.DUMMYFUNCTION("""COMPUTED_VALUE"""),43735.6666666666)</f>
        <v>43735.666666666599</v>
      </c>
      <c r="B1194" s="1">
        <f ca="1">IFERROR(__xludf.DUMMYFUNCTION("""COMPUTED_VALUE"""),16.15)</f>
        <v>16.149999999999999</v>
      </c>
      <c r="C1194" s="1">
        <f ca="1">IFERROR(__xludf.DUMMYFUNCTION("""COMPUTED_VALUE"""),16.58)</f>
        <v>16.579999999999998</v>
      </c>
      <c r="D1194" s="1">
        <f ca="1">IFERROR(__xludf.DUMMYFUNCTION("""COMPUTED_VALUE"""),15.92)</f>
        <v>15.92</v>
      </c>
      <c r="E1194" s="1">
        <f ca="1">IFERROR(__xludf.DUMMYFUNCTION("""COMPUTED_VALUE"""),16.14)</f>
        <v>16.14</v>
      </c>
      <c r="F1194" s="1">
        <f ca="1">IFERROR(__xludf.DUMMYFUNCTION("""COMPUTED_VALUE"""),11123179)</f>
        <v>11123179</v>
      </c>
    </row>
    <row r="1195" spans="1:6" x14ac:dyDescent="0.35">
      <c r="A1195" s="2">
        <f ca="1">IFERROR(__xludf.DUMMYFUNCTION("""COMPUTED_VALUE"""),43738.6666666666)</f>
        <v>43738.666666666599</v>
      </c>
      <c r="B1195" s="1">
        <f ca="1">IFERROR(__xludf.DUMMYFUNCTION("""COMPUTED_VALUE"""),16.2)</f>
        <v>16.2</v>
      </c>
      <c r="C1195" s="1">
        <f ca="1">IFERROR(__xludf.DUMMYFUNCTION("""COMPUTED_VALUE"""),16.27)</f>
        <v>16.27</v>
      </c>
      <c r="D1195" s="1">
        <f ca="1">IFERROR(__xludf.DUMMYFUNCTION("""COMPUTED_VALUE"""),15.74)</f>
        <v>15.74</v>
      </c>
      <c r="E1195" s="1">
        <f ca="1">IFERROR(__xludf.DUMMYFUNCTION("""COMPUTED_VALUE"""),16.06)</f>
        <v>16.059999999999999</v>
      </c>
      <c r="F1195" s="1">
        <f ca="1">IFERROR(__xludf.DUMMYFUNCTION("""COMPUTED_VALUE"""),5946161)</f>
        <v>5946161</v>
      </c>
    </row>
    <row r="1196" spans="1:6" x14ac:dyDescent="0.35">
      <c r="A1196" s="2">
        <f ca="1">IFERROR(__xludf.DUMMYFUNCTION("""COMPUTED_VALUE"""),43739.6666666666)</f>
        <v>43739.666666666599</v>
      </c>
      <c r="B1196" s="1">
        <f ca="1">IFERROR(__xludf.DUMMYFUNCTION("""COMPUTED_VALUE"""),16.1)</f>
        <v>16.100000000000001</v>
      </c>
      <c r="C1196" s="1">
        <f ca="1">IFERROR(__xludf.DUMMYFUNCTION("""COMPUTED_VALUE"""),16.4)</f>
        <v>16.399999999999999</v>
      </c>
      <c r="D1196" s="1">
        <f ca="1">IFERROR(__xludf.DUMMYFUNCTION("""COMPUTED_VALUE"""),15.94)</f>
        <v>15.94</v>
      </c>
      <c r="E1196" s="1">
        <f ca="1">IFERROR(__xludf.DUMMYFUNCTION("""COMPUTED_VALUE"""),16.31)</f>
        <v>16.309999999999999</v>
      </c>
      <c r="F1196" s="1">
        <f ca="1">IFERROR(__xludf.DUMMYFUNCTION("""COMPUTED_VALUE"""),6196290)</f>
        <v>6196290</v>
      </c>
    </row>
    <row r="1197" spans="1:6" x14ac:dyDescent="0.35">
      <c r="A1197" s="2">
        <f ca="1">IFERROR(__xludf.DUMMYFUNCTION("""COMPUTED_VALUE"""),43740.6666666666)</f>
        <v>43740.666666666599</v>
      </c>
      <c r="B1197" s="1">
        <f ca="1">IFERROR(__xludf.DUMMYFUNCTION("""COMPUTED_VALUE"""),16.22)</f>
        <v>16.22</v>
      </c>
      <c r="C1197" s="1">
        <f ca="1">IFERROR(__xludf.DUMMYFUNCTION("""COMPUTED_VALUE"""),16.31)</f>
        <v>16.309999999999999</v>
      </c>
      <c r="D1197" s="1">
        <f ca="1">IFERROR(__xludf.DUMMYFUNCTION("""COMPUTED_VALUE"""),15.96)</f>
        <v>15.96</v>
      </c>
      <c r="E1197" s="1">
        <f ca="1">IFERROR(__xludf.DUMMYFUNCTION("""COMPUTED_VALUE"""),16.21)</f>
        <v>16.21</v>
      </c>
      <c r="F1197" s="1">
        <f ca="1">IFERROR(__xludf.DUMMYFUNCTION("""COMPUTED_VALUE"""),6256548)</f>
        <v>6256548</v>
      </c>
    </row>
    <row r="1198" spans="1:6" x14ac:dyDescent="0.35">
      <c r="A1198" s="2">
        <f ca="1">IFERROR(__xludf.DUMMYFUNCTION("""COMPUTED_VALUE"""),43741.6666666666)</f>
        <v>43741.666666666599</v>
      </c>
      <c r="B1198" s="1">
        <f ca="1">IFERROR(__xludf.DUMMYFUNCTION("""COMPUTED_VALUE"""),15.46)</f>
        <v>15.46</v>
      </c>
      <c r="C1198" s="1">
        <f ca="1">IFERROR(__xludf.DUMMYFUNCTION("""COMPUTED_VALUE"""),15.63)</f>
        <v>15.63</v>
      </c>
      <c r="D1198" s="1">
        <f ca="1">IFERROR(__xludf.DUMMYFUNCTION("""COMPUTED_VALUE"""),14.95)</f>
        <v>14.95</v>
      </c>
      <c r="E1198" s="1">
        <f ca="1">IFERROR(__xludf.DUMMYFUNCTION("""COMPUTED_VALUE"""),15.54)</f>
        <v>15.54</v>
      </c>
      <c r="F1198" s="1">
        <f ca="1">IFERROR(__xludf.DUMMYFUNCTION("""COMPUTED_VALUE"""),15137763)</f>
        <v>15137763</v>
      </c>
    </row>
    <row r="1199" spans="1:6" x14ac:dyDescent="0.35">
      <c r="A1199" s="2">
        <f ca="1">IFERROR(__xludf.DUMMYFUNCTION("""COMPUTED_VALUE"""),43742.6666666666)</f>
        <v>43742.666666666599</v>
      </c>
      <c r="B1199" s="1">
        <f ca="1">IFERROR(__xludf.DUMMYFUNCTION("""COMPUTED_VALUE"""),15.44)</f>
        <v>15.44</v>
      </c>
      <c r="C1199" s="1">
        <f ca="1">IFERROR(__xludf.DUMMYFUNCTION("""COMPUTED_VALUE"""),15.65)</f>
        <v>15.65</v>
      </c>
      <c r="D1199" s="1">
        <f ca="1">IFERROR(__xludf.DUMMYFUNCTION("""COMPUTED_VALUE"""),15.2)</f>
        <v>15.2</v>
      </c>
      <c r="E1199" s="1">
        <f ca="1">IFERROR(__xludf.DUMMYFUNCTION("""COMPUTED_VALUE"""),15.43)</f>
        <v>15.43</v>
      </c>
      <c r="F1199" s="1">
        <f ca="1">IFERROR(__xludf.DUMMYFUNCTION("""COMPUTED_VALUE"""),8021180)</f>
        <v>8021180</v>
      </c>
    </row>
    <row r="1200" spans="1:6" x14ac:dyDescent="0.35">
      <c r="A1200" s="2">
        <f ca="1">IFERROR(__xludf.DUMMYFUNCTION("""COMPUTED_VALUE"""),43745.6666666666)</f>
        <v>43745.666666666599</v>
      </c>
      <c r="B1200" s="1">
        <f ca="1">IFERROR(__xludf.DUMMYFUNCTION("""COMPUTED_VALUE"""),15.32)</f>
        <v>15.32</v>
      </c>
      <c r="C1200" s="1">
        <f ca="1">IFERROR(__xludf.DUMMYFUNCTION("""COMPUTED_VALUE"""),15.9)</f>
        <v>15.9</v>
      </c>
      <c r="D1200" s="1">
        <f ca="1">IFERROR(__xludf.DUMMYFUNCTION("""COMPUTED_VALUE"""),15.24)</f>
        <v>15.24</v>
      </c>
      <c r="E1200" s="1">
        <f ca="1">IFERROR(__xludf.DUMMYFUNCTION("""COMPUTED_VALUE"""),15.85)</f>
        <v>15.85</v>
      </c>
      <c r="F1200" s="1">
        <f ca="1">IFERROR(__xludf.DUMMYFUNCTION("""COMPUTED_VALUE"""),8086957)</f>
        <v>8086957</v>
      </c>
    </row>
    <row r="1201" spans="1:6" x14ac:dyDescent="0.35">
      <c r="A1201" s="2">
        <f ca="1">IFERROR(__xludf.DUMMYFUNCTION("""COMPUTED_VALUE"""),43746.6666666666)</f>
        <v>43746.666666666599</v>
      </c>
      <c r="B1201" s="1">
        <f ca="1">IFERROR(__xludf.DUMMYFUNCTION("""COMPUTED_VALUE"""),15.72)</f>
        <v>15.72</v>
      </c>
      <c r="C1201" s="1">
        <f ca="1">IFERROR(__xludf.DUMMYFUNCTION("""COMPUTED_VALUE"""),16.26)</f>
        <v>16.260000000000002</v>
      </c>
      <c r="D1201" s="1">
        <f ca="1">IFERROR(__xludf.DUMMYFUNCTION("""COMPUTED_VALUE"""),15.63)</f>
        <v>15.63</v>
      </c>
      <c r="E1201" s="1">
        <f ca="1">IFERROR(__xludf.DUMMYFUNCTION("""COMPUTED_VALUE"""),16)</f>
        <v>16</v>
      </c>
      <c r="F1201" s="1">
        <f ca="1">IFERROR(__xludf.DUMMYFUNCTION("""COMPUTED_VALUE"""),8702338)</f>
        <v>8702338</v>
      </c>
    </row>
    <row r="1202" spans="1:6" x14ac:dyDescent="0.35">
      <c r="A1202" s="2">
        <f ca="1">IFERROR(__xludf.DUMMYFUNCTION("""COMPUTED_VALUE"""),43747.6666666666)</f>
        <v>43747.666666666599</v>
      </c>
      <c r="B1202" s="1">
        <f ca="1">IFERROR(__xludf.DUMMYFUNCTION("""COMPUTED_VALUE"""),16.09)</f>
        <v>16.09</v>
      </c>
      <c r="C1202" s="1">
        <f ca="1">IFERROR(__xludf.DUMMYFUNCTION("""COMPUTED_VALUE"""),16.49)</f>
        <v>16.489999999999998</v>
      </c>
      <c r="D1202" s="1">
        <f ca="1">IFERROR(__xludf.DUMMYFUNCTION("""COMPUTED_VALUE"""),16.04)</f>
        <v>16.04</v>
      </c>
      <c r="E1202" s="1">
        <f ca="1">IFERROR(__xludf.DUMMYFUNCTION("""COMPUTED_VALUE"""),16.3)</f>
        <v>16.3</v>
      </c>
      <c r="F1202" s="1">
        <f ca="1">IFERROR(__xludf.DUMMYFUNCTION("""COMPUTED_VALUE"""),6935033)</f>
        <v>6935033</v>
      </c>
    </row>
    <row r="1203" spans="1:6" x14ac:dyDescent="0.35">
      <c r="A1203" s="2">
        <f ca="1">IFERROR(__xludf.DUMMYFUNCTION("""COMPUTED_VALUE"""),43748.6666666666)</f>
        <v>43748.666666666599</v>
      </c>
      <c r="B1203" s="1">
        <f ca="1">IFERROR(__xludf.DUMMYFUNCTION("""COMPUTED_VALUE"""),16.35)</f>
        <v>16.350000000000001</v>
      </c>
      <c r="C1203" s="1">
        <f ca="1">IFERROR(__xludf.DUMMYFUNCTION("""COMPUTED_VALUE"""),16.62)</f>
        <v>16.62</v>
      </c>
      <c r="D1203" s="1">
        <f ca="1">IFERROR(__xludf.DUMMYFUNCTION("""COMPUTED_VALUE"""),16.11)</f>
        <v>16.11</v>
      </c>
      <c r="E1203" s="1">
        <f ca="1">IFERROR(__xludf.DUMMYFUNCTION("""COMPUTED_VALUE"""),16.32)</f>
        <v>16.32</v>
      </c>
      <c r="F1203" s="1">
        <f ca="1">IFERROR(__xludf.DUMMYFUNCTION("""COMPUTED_VALUE"""),6313417)</f>
        <v>6313417</v>
      </c>
    </row>
    <row r="1204" spans="1:6" x14ac:dyDescent="0.35">
      <c r="A1204" s="2">
        <f ca="1">IFERROR(__xludf.DUMMYFUNCTION("""COMPUTED_VALUE"""),43749.6666666666)</f>
        <v>43749.666666666599</v>
      </c>
      <c r="B1204" s="1">
        <f ca="1">IFERROR(__xludf.DUMMYFUNCTION("""COMPUTED_VALUE"""),16.48)</f>
        <v>16.48</v>
      </c>
      <c r="C1204" s="1">
        <f ca="1">IFERROR(__xludf.DUMMYFUNCTION("""COMPUTED_VALUE"""),16.74)</f>
        <v>16.739999999999998</v>
      </c>
      <c r="D1204" s="1">
        <f ca="1">IFERROR(__xludf.DUMMYFUNCTION("""COMPUTED_VALUE"""),16.45)</f>
        <v>16.45</v>
      </c>
      <c r="E1204" s="1">
        <f ca="1">IFERROR(__xludf.DUMMYFUNCTION("""COMPUTED_VALUE"""),16.53)</f>
        <v>16.53</v>
      </c>
      <c r="F1204" s="1">
        <f ca="1">IFERROR(__xludf.DUMMYFUNCTION("""COMPUTED_VALUE"""),8488159)</f>
        <v>8488159</v>
      </c>
    </row>
    <row r="1205" spans="1:6" x14ac:dyDescent="0.35">
      <c r="A1205" s="2">
        <f ca="1">IFERROR(__xludf.DUMMYFUNCTION("""COMPUTED_VALUE"""),43752.6666666666)</f>
        <v>43752.666666666599</v>
      </c>
      <c r="B1205" s="1">
        <f ca="1">IFERROR(__xludf.DUMMYFUNCTION("""COMPUTED_VALUE"""),16.53)</f>
        <v>16.53</v>
      </c>
      <c r="C1205" s="1">
        <f ca="1">IFERROR(__xludf.DUMMYFUNCTION("""COMPUTED_VALUE"""),17.24)</f>
        <v>17.239999999999998</v>
      </c>
      <c r="D1205" s="1">
        <f ca="1">IFERROR(__xludf.DUMMYFUNCTION("""COMPUTED_VALUE"""),16.48)</f>
        <v>16.48</v>
      </c>
      <c r="E1205" s="1">
        <f ca="1">IFERROR(__xludf.DUMMYFUNCTION("""COMPUTED_VALUE"""),17.13)</f>
        <v>17.13</v>
      </c>
      <c r="F1205" s="1">
        <f ca="1">IFERROR(__xludf.DUMMYFUNCTION("""COMPUTED_VALUE"""),10226863)</f>
        <v>10226863</v>
      </c>
    </row>
    <row r="1206" spans="1:6" x14ac:dyDescent="0.35">
      <c r="A1206" s="2">
        <f ca="1">IFERROR(__xludf.DUMMYFUNCTION("""COMPUTED_VALUE"""),43753.6666666666)</f>
        <v>43753.666666666599</v>
      </c>
      <c r="B1206" s="1">
        <f ca="1">IFERROR(__xludf.DUMMYFUNCTION("""COMPUTED_VALUE"""),17.18)</f>
        <v>17.18</v>
      </c>
      <c r="C1206" s="1">
        <f ca="1">IFERROR(__xludf.DUMMYFUNCTION("""COMPUTED_VALUE"""),17.33)</f>
        <v>17.329999999999998</v>
      </c>
      <c r="D1206" s="1">
        <f ca="1">IFERROR(__xludf.DUMMYFUNCTION("""COMPUTED_VALUE"""),16.94)</f>
        <v>16.940000000000001</v>
      </c>
      <c r="E1206" s="1">
        <f ca="1">IFERROR(__xludf.DUMMYFUNCTION("""COMPUTED_VALUE"""),17.19)</f>
        <v>17.190000000000001</v>
      </c>
      <c r="F1206" s="1">
        <f ca="1">IFERROR(__xludf.DUMMYFUNCTION("""COMPUTED_VALUE"""),6479456)</f>
        <v>6479456</v>
      </c>
    </row>
    <row r="1207" spans="1:6" x14ac:dyDescent="0.35">
      <c r="A1207" s="2">
        <f ca="1">IFERROR(__xludf.DUMMYFUNCTION("""COMPUTED_VALUE"""),43754.6666666666)</f>
        <v>43754.666666666599</v>
      </c>
      <c r="B1207" s="1">
        <f ca="1">IFERROR(__xludf.DUMMYFUNCTION("""COMPUTED_VALUE"""),17.16)</f>
        <v>17.16</v>
      </c>
      <c r="C1207" s="1">
        <f ca="1">IFERROR(__xludf.DUMMYFUNCTION("""COMPUTED_VALUE"""),17.47)</f>
        <v>17.47</v>
      </c>
      <c r="D1207" s="1">
        <f ca="1">IFERROR(__xludf.DUMMYFUNCTION("""COMPUTED_VALUE"""),17.13)</f>
        <v>17.13</v>
      </c>
      <c r="E1207" s="1">
        <f ca="1">IFERROR(__xludf.DUMMYFUNCTION("""COMPUTED_VALUE"""),17.32)</f>
        <v>17.32</v>
      </c>
      <c r="F1207" s="1">
        <f ca="1">IFERROR(__xludf.DUMMYFUNCTION("""COMPUTED_VALUE"""),6704303)</f>
        <v>6704303</v>
      </c>
    </row>
    <row r="1208" spans="1:6" x14ac:dyDescent="0.35">
      <c r="A1208" s="2">
        <f ca="1">IFERROR(__xludf.DUMMYFUNCTION("""COMPUTED_VALUE"""),43755.6666666666)</f>
        <v>43755.666666666599</v>
      </c>
      <c r="B1208" s="1">
        <f ca="1">IFERROR(__xludf.DUMMYFUNCTION("""COMPUTED_VALUE"""),17.5)</f>
        <v>17.5</v>
      </c>
      <c r="C1208" s="1">
        <f ca="1">IFERROR(__xludf.DUMMYFUNCTION("""COMPUTED_VALUE"""),17.65)</f>
        <v>17.649999999999999</v>
      </c>
      <c r="D1208" s="1">
        <f ca="1">IFERROR(__xludf.DUMMYFUNCTION("""COMPUTED_VALUE"""),17.34)</f>
        <v>17.34</v>
      </c>
      <c r="E1208" s="1">
        <f ca="1">IFERROR(__xludf.DUMMYFUNCTION("""COMPUTED_VALUE"""),17.46)</f>
        <v>17.46</v>
      </c>
      <c r="F1208" s="1">
        <f ca="1">IFERROR(__xludf.DUMMYFUNCTION("""COMPUTED_VALUE"""),4779043)</f>
        <v>4779043</v>
      </c>
    </row>
    <row r="1209" spans="1:6" x14ac:dyDescent="0.35">
      <c r="A1209" s="2">
        <f ca="1">IFERROR(__xludf.DUMMYFUNCTION("""COMPUTED_VALUE"""),43756.6666666666)</f>
        <v>43756.666666666599</v>
      </c>
      <c r="B1209" s="1">
        <f ca="1">IFERROR(__xludf.DUMMYFUNCTION("""COMPUTED_VALUE"""),17.38)</f>
        <v>17.38</v>
      </c>
      <c r="C1209" s="1">
        <f ca="1">IFERROR(__xludf.DUMMYFUNCTION("""COMPUTED_VALUE"""),17.52)</f>
        <v>17.52</v>
      </c>
      <c r="D1209" s="1">
        <f ca="1">IFERROR(__xludf.DUMMYFUNCTION("""COMPUTED_VALUE"""),17.01)</f>
        <v>17.010000000000002</v>
      </c>
      <c r="E1209" s="1">
        <f ca="1">IFERROR(__xludf.DUMMYFUNCTION("""COMPUTED_VALUE"""),17.13)</f>
        <v>17.13</v>
      </c>
      <c r="F1209" s="1">
        <f ca="1">IFERROR(__xludf.DUMMYFUNCTION("""COMPUTED_VALUE"""),5753666)</f>
        <v>5753666</v>
      </c>
    </row>
    <row r="1210" spans="1:6" x14ac:dyDescent="0.35">
      <c r="A1210" s="2">
        <f ca="1">IFERROR(__xludf.DUMMYFUNCTION("""COMPUTED_VALUE"""),43759.6666666666)</f>
        <v>43759.666666666599</v>
      </c>
      <c r="B1210" s="1">
        <f ca="1">IFERROR(__xludf.DUMMYFUNCTION("""COMPUTED_VALUE"""),17.22)</f>
        <v>17.22</v>
      </c>
      <c r="C1210" s="1">
        <f ca="1">IFERROR(__xludf.DUMMYFUNCTION("""COMPUTED_VALUE"""),17.3)</f>
        <v>17.3</v>
      </c>
      <c r="D1210" s="1">
        <f ca="1">IFERROR(__xludf.DUMMYFUNCTION("""COMPUTED_VALUE"""),16.68)</f>
        <v>16.68</v>
      </c>
      <c r="E1210" s="1">
        <f ca="1">IFERROR(__xludf.DUMMYFUNCTION("""COMPUTED_VALUE"""),16.9)</f>
        <v>16.899999999999999</v>
      </c>
      <c r="F1210" s="1">
        <f ca="1">IFERROR(__xludf.DUMMYFUNCTION("""COMPUTED_VALUE"""),5108101)</f>
        <v>5108101</v>
      </c>
    </row>
    <row r="1211" spans="1:6" x14ac:dyDescent="0.35">
      <c r="A1211" s="2">
        <f ca="1">IFERROR(__xludf.DUMMYFUNCTION("""COMPUTED_VALUE"""),43760.6666666666)</f>
        <v>43760.666666666599</v>
      </c>
      <c r="B1211" s="1">
        <f ca="1">IFERROR(__xludf.DUMMYFUNCTION("""COMPUTED_VALUE"""),16.95)</f>
        <v>16.95</v>
      </c>
      <c r="C1211" s="1">
        <f ca="1">IFERROR(__xludf.DUMMYFUNCTION("""COMPUTED_VALUE"""),17.22)</f>
        <v>17.22</v>
      </c>
      <c r="D1211" s="1">
        <f ca="1">IFERROR(__xludf.DUMMYFUNCTION("""COMPUTED_VALUE"""),16.72)</f>
        <v>16.72</v>
      </c>
      <c r="E1211" s="1">
        <f ca="1">IFERROR(__xludf.DUMMYFUNCTION("""COMPUTED_VALUE"""),17.04)</f>
        <v>17.04</v>
      </c>
      <c r="F1211" s="1">
        <f ca="1">IFERROR(__xludf.DUMMYFUNCTION("""COMPUTED_VALUE"""),4625095)</f>
        <v>4625095</v>
      </c>
    </row>
    <row r="1212" spans="1:6" x14ac:dyDescent="0.35">
      <c r="A1212" s="2">
        <f ca="1">IFERROR(__xludf.DUMMYFUNCTION("""COMPUTED_VALUE"""),43761.6666666666)</f>
        <v>43761.666666666599</v>
      </c>
      <c r="B1212" s="1">
        <f ca="1">IFERROR(__xludf.DUMMYFUNCTION("""COMPUTED_VALUE"""),16.97)</f>
        <v>16.97</v>
      </c>
      <c r="C1212" s="1">
        <f ca="1">IFERROR(__xludf.DUMMYFUNCTION("""COMPUTED_VALUE"""),17.08)</f>
        <v>17.079999999999998</v>
      </c>
      <c r="D1212" s="1">
        <f ca="1">IFERROR(__xludf.DUMMYFUNCTION("""COMPUTED_VALUE"""),16.76)</f>
        <v>16.760000000000002</v>
      </c>
      <c r="E1212" s="1">
        <f ca="1">IFERROR(__xludf.DUMMYFUNCTION("""COMPUTED_VALUE"""),16.98)</f>
        <v>16.98</v>
      </c>
      <c r="F1212" s="1">
        <f ca="1">IFERROR(__xludf.DUMMYFUNCTION("""COMPUTED_VALUE"""),11216182)</f>
        <v>11216182</v>
      </c>
    </row>
    <row r="1213" spans="1:6" x14ac:dyDescent="0.35">
      <c r="A1213" s="2">
        <f ca="1">IFERROR(__xludf.DUMMYFUNCTION("""COMPUTED_VALUE"""),43762.6666666666)</f>
        <v>43762.666666666599</v>
      </c>
      <c r="B1213" s="1">
        <f ca="1">IFERROR(__xludf.DUMMYFUNCTION("""COMPUTED_VALUE"""),19.89)</f>
        <v>19.89</v>
      </c>
      <c r="C1213" s="1">
        <f ca="1">IFERROR(__xludf.DUMMYFUNCTION("""COMPUTED_VALUE"""),20.33)</f>
        <v>20.329999999999998</v>
      </c>
      <c r="D1213" s="1">
        <f ca="1">IFERROR(__xludf.DUMMYFUNCTION("""COMPUTED_VALUE"""),19.28)</f>
        <v>19.28</v>
      </c>
      <c r="E1213" s="1">
        <f ca="1">IFERROR(__xludf.DUMMYFUNCTION("""COMPUTED_VALUE"""),19.98)</f>
        <v>19.98</v>
      </c>
      <c r="F1213" s="1">
        <f ca="1">IFERROR(__xludf.DUMMYFUNCTION("""COMPUTED_VALUE"""),29819231)</f>
        <v>29819231</v>
      </c>
    </row>
    <row r="1214" spans="1:6" x14ac:dyDescent="0.35">
      <c r="A1214" s="2">
        <f ca="1">IFERROR(__xludf.DUMMYFUNCTION("""COMPUTED_VALUE"""),43763.6666666666)</f>
        <v>43763.666666666599</v>
      </c>
      <c r="B1214" s="1">
        <f ca="1">IFERROR(__xludf.DUMMYFUNCTION("""COMPUTED_VALUE"""),19.85)</f>
        <v>19.850000000000001</v>
      </c>
      <c r="C1214" s="1">
        <f ca="1">IFERROR(__xludf.DUMMYFUNCTION("""COMPUTED_VALUE"""),22)</f>
        <v>22</v>
      </c>
      <c r="D1214" s="1">
        <f ca="1">IFERROR(__xludf.DUMMYFUNCTION("""COMPUTED_VALUE"""),19.74)</f>
        <v>19.739999999999998</v>
      </c>
      <c r="E1214" s="1">
        <f ca="1">IFERROR(__xludf.DUMMYFUNCTION("""COMPUTED_VALUE"""),21.88)</f>
        <v>21.88</v>
      </c>
      <c r="F1214" s="1">
        <f ca="1">IFERROR(__xludf.DUMMYFUNCTION("""COMPUTED_VALUE"""),30006091)</f>
        <v>30006091</v>
      </c>
    </row>
    <row r="1215" spans="1:6" x14ac:dyDescent="0.35">
      <c r="A1215" s="2">
        <f ca="1">IFERROR(__xludf.DUMMYFUNCTION("""COMPUTED_VALUE"""),43766.6666666666)</f>
        <v>43766.666666666599</v>
      </c>
      <c r="B1215" s="1">
        <f ca="1">IFERROR(__xludf.DUMMYFUNCTION("""COMPUTED_VALUE"""),21.84)</f>
        <v>21.84</v>
      </c>
      <c r="C1215" s="1">
        <f ca="1">IFERROR(__xludf.DUMMYFUNCTION("""COMPUTED_VALUE"""),22.72)</f>
        <v>22.72</v>
      </c>
      <c r="D1215" s="1">
        <f ca="1">IFERROR(__xludf.DUMMYFUNCTION("""COMPUTED_VALUE"""),21.51)</f>
        <v>21.51</v>
      </c>
      <c r="E1215" s="1">
        <f ca="1">IFERROR(__xludf.DUMMYFUNCTION("""COMPUTED_VALUE"""),21.85)</f>
        <v>21.85</v>
      </c>
      <c r="F1215" s="1">
        <f ca="1">IFERROR(__xludf.DUMMYFUNCTION("""COMPUTED_VALUE"""),18870286)</f>
        <v>18870286</v>
      </c>
    </row>
    <row r="1216" spans="1:6" x14ac:dyDescent="0.35">
      <c r="A1216" s="2">
        <f ca="1">IFERROR(__xludf.DUMMYFUNCTION("""COMPUTED_VALUE"""),43767.6666666666)</f>
        <v>43767.666666666599</v>
      </c>
      <c r="B1216" s="1">
        <f ca="1">IFERROR(__xludf.DUMMYFUNCTION("""COMPUTED_VALUE"""),21.33)</f>
        <v>21.33</v>
      </c>
      <c r="C1216" s="1">
        <f ca="1">IFERROR(__xludf.DUMMYFUNCTION("""COMPUTED_VALUE"""),21.62)</f>
        <v>21.62</v>
      </c>
      <c r="D1216" s="1">
        <f ca="1">IFERROR(__xludf.DUMMYFUNCTION("""COMPUTED_VALUE"""),20.98)</f>
        <v>20.98</v>
      </c>
      <c r="E1216" s="1">
        <f ca="1">IFERROR(__xludf.DUMMYFUNCTION("""COMPUTED_VALUE"""),21.08)</f>
        <v>21.08</v>
      </c>
      <c r="F1216" s="1">
        <f ca="1">IFERROR(__xludf.DUMMYFUNCTION("""COMPUTED_VALUE"""),12684267)</f>
        <v>12684267</v>
      </c>
    </row>
    <row r="1217" spans="1:6" x14ac:dyDescent="0.35">
      <c r="A1217" s="2">
        <f ca="1">IFERROR(__xludf.DUMMYFUNCTION("""COMPUTED_VALUE"""),43768.6666666666)</f>
        <v>43768.666666666599</v>
      </c>
      <c r="B1217" s="1">
        <f ca="1">IFERROR(__xludf.DUMMYFUNCTION("""COMPUTED_VALUE"""),20.87)</f>
        <v>20.87</v>
      </c>
      <c r="C1217" s="1">
        <f ca="1">IFERROR(__xludf.DUMMYFUNCTION("""COMPUTED_VALUE"""),21.25)</f>
        <v>21.25</v>
      </c>
      <c r="D1217" s="1">
        <f ca="1">IFERROR(__xludf.DUMMYFUNCTION("""COMPUTED_VALUE"""),20.66)</f>
        <v>20.66</v>
      </c>
      <c r="E1217" s="1">
        <f ca="1">IFERROR(__xludf.DUMMYFUNCTION("""COMPUTED_VALUE"""),21)</f>
        <v>21</v>
      </c>
      <c r="F1217" s="1">
        <f ca="1">IFERROR(__xludf.DUMMYFUNCTION("""COMPUTED_VALUE"""),9641810)</f>
        <v>9641810</v>
      </c>
    </row>
    <row r="1218" spans="1:6" x14ac:dyDescent="0.35">
      <c r="A1218" s="2">
        <f ca="1">IFERROR(__xludf.DUMMYFUNCTION("""COMPUTED_VALUE"""),43769.6666666666)</f>
        <v>43769.666666666599</v>
      </c>
      <c r="B1218" s="1">
        <f ca="1">IFERROR(__xludf.DUMMYFUNCTION("""COMPUTED_VALUE"""),20.87)</f>
        <v>20.87</v>
      </c>
      <c r="C1218" s="1">
        <f ca="1">IFERROR(__xludf.DUMMYFUNCTION("""COMPUTED_VALUE"""),21.27)</f>
        <v>21.27</v>
      </c>
      <c r="D1218" s="1">
        <f ca="1">IFERROR(__xludf.DUMMYFUNCTION("""COMPUTED_VALUE"""),20.87)</f>
        <v>20.87</v>
      </c>
      <c r="E1218" s="1">
        <f ca="1">IFERROR(__xludf.DUMMYFUNCTION("""COMPUTED_VALUE"""),20.99)</f>
        <v>20.99</v>
      </c>
      <c r="F1218" s="1">
        <f ca="1">IFERROR(__xludf.DUMMYFUNCTION("""COMPUTED_VALUE"""),5066956)</f>
        <v>5066956</v>
      </c>
    </row>
    <row r="1219" spans="1:6" x14ac:dyDescent="0.35">
      <c r="A1219" s="2">
        <f ca="1">IFERROR(__xludf.DUMMYFUNCTION("""COMPUTED_VALUE"""),43770.6666666666)</f>
        <v>43770.666666666599</v>
      </c>
      <c r="B1219" s="1">
        <f ca="1">IFERROR(__xludf.DUMMYFUNCTION("""COMPUTED_VALUE"""),21.09)</f>
        <v>21.09</v>
      </c>
      <c r="C1219" s="1">
        <f ca="1">IFERROR(__xludf.DUMMYFUNCTION("""COMPUTED_VALUE"""),21.1)</f>
        <v>21.1</v>
      </c>
      <c r="D1219" s="1">
        <f ca="1">IFERROR(__xludf.DUMMYFUNCTION("""COMPUTED_VALUE"""),20.65)</f>
        <v>20.65</v>
      </c>
      <c r="E1219" s="1">
        <f ca="1">IFERROR(__xludf.DUMMYFUNCTION("""COMPUTED_VALUE"""),20.89)</f>
        <v>20.89</v>
      </c>
      <c r="F1219" s="1">
        <f ca="1">IFERROR(__xludf.DUMMYFUNCTION("""COMPUTED_VALUE"""),6383929)</f>
        <v>6383929</v>
      </c>
    </row>
    <row r="1220" spans="1:6" x14ac:dyDescent="0.35">
      <c r="A1220" s="2">
        <f ca="1">IFERROR(__xludf.DUMMYFUNCTION("""COMPUTED_VALUE"""),43773.6666666666)</f>
        <v>43773.666666666599</v>
      </c>
      <c r="B1220" s="1">
        <f ca="1">IFERROR(__xludf.DUMMYFUNCTION("""COMPUTED_VALUE"""),20.99)</f>
        <v>20.99</v>
      </c>
      <c r="C1220" s="1">
        <f ca="1">IFERROR(__xludf.DUMMYFUNCTION("""COMPUTED_VALUE"""),21.46)</f>
        <v>21.46</v>
      </c>
      <c r="D1220" s="1">
        <f ca="1">IFERROR(__xludf.DUMMYFUNCTION("""COMPUTED_VALUE"""),20.62)</f>
        <v>20.62</v>
      </c>
      <c r="E1220" s="1">
        <f ca="1">IFERROR(__xludf.DUMMYFUNCTION("""COMPUTED_VALUE"""),21.16)</f>
        <v>21.16</v>
      </c>
      <c r="F1220" s="1">
        <f ca="1">IFERROR(__xludf.DUMMYFUNCTION("""COMPUTED_VALUE"""),8787040)</f>
        <v>8787040</v>
      </c>
    </row>
    <row r="1221" spans="1:6" x14ac:dyDescent="0.35">
      <c r="A1221" s="2">
        <f ca="1">IFERROR(__xludf.DUMMYFUNCTION("""COMPUTED_VALUE"""),43774.6666666666)</f>
        <v>43774.666666666599</v>
      </c>
      <c r="B1221" s="1">
        <f ca="1">IFERROR(__xludf.DUMMYFUNCTION("""COMPUTED_VALUE"""),21.31)</f>
        <v>21.31</v>
      </c>
      <c r="C1221" s="1">
        <f ca="1">IFERROR(__xludf.DUMMYFUNCTION("""COMPUTED_VALUE"""),21.57)</f>
        <v>21.57</v>
      </c>
      <c r="D1221" s="1">
        <f ca="1">IFERROR(__xludf.DUMMYFUNCTION("""COMPUTED_VALUE"""),21.07)</f>
        <v>21.07</v>
      </c>
      <c r="E1221" s="1">
        <f ca="1">IFERROR(__xludf.DUMMYFUNCTION("""COMPUTED_VALUE"""),21.15)</f>
        <v>21.15</v>
      </c>
      <c r="F1221" s="1">
        <f ca="1">IFERROR(__xludf.DUMMYFUNCTION("""COMPUTED_VALUE"""),6943417)</f>
        <v>6943417</v>
      </c>
    </row>
    <row r="1222" spans="1:6" x14ac:dyDescent="0.35">
      <c r="A1222" s="2">
        <f ca="1">IFERROR(__xludf.DUMMYFUNCTION("""COMPUTED_VALUE"""),43775.6666666666)</f>
        <v>43775.666666666599</v>
      </c>
      <c r="B1222" s="1">
        <f ca="1">IFERROR(__xludf.DUMMYFUNCTION("""COMPUTED_VALUE"""),21.2)</f>
        <v>21.2</v>
      </c>
      <c r="C1222" s="1">
        <f ca="1">IFERROR(__xludf.DUMMYFUNCTION("""COMPUTED_VALUE"""),21.78)</f>
        <v>21.78</v>
      </c>
      <c r="D1222" s="1">
        <f ca="1">IFERROR(__xludf.DUMMYFUNCTION("""COMPUTED_VALUE"""),20.97)</f>
        <v>20.97</v>
      </c>
      <c r="E1222" s="1">
        <f ca="1">IFERROR(__xludf.DUMMYFUNCTION("""COMPUTED_VALUE"""),21.77)</f>
        <v>21.77</v>
      </c>
      <c r="F1222" s="1">
        <f ca="1">IFERROR(__xludf.DUMMYFUNCTION("""COMPUTED_VALUE"""),7940932)</f>
        <v>7940932</v>
      </c>
    </row>
    <row r="1223" spans="1:6" x14ac:dyDescent="0.35">
      <c r="A1223" s="2">
        <f ca="1">IFERROR(__xludf.DUMMYFUNCTION("""COMPUTED_VALUE"""),43776.6666666666)</f>
        <v>43776.666666666599</v>
      </c>
      <c r="B1223" s="1">
        <f ca="1">IFERROR(__xludf.DUMMYFUNCTION("""COMPUTED_VALUE"""),21.94)</f>
        <v>21.94</v>
      </c>
      <c r="C1223" s="1">
        <f ca="1">IFERROR(__xludf.DUMMYFUNCTION("""COMPUTED_VALUE"""),22.77)</f>
        <v>22.77</v>
      </c>
      <c r="D1223" s="1">
        <f ca="1">IFERROR(__xludf.DUMMYFUNCTION("""COMPUTED_VALUE"""),21.87)</f>
        <v>21.87</v>
      </c>
      <c r="E1223" s="1">
        <f ca="1">IFERROR(__xludf.DUMMYFUNCTION("""COMPUTED_VALUE"""),22.37)</f>
        <v>22.37</v>
      </c>
      <c r="F1223" s="1">
        <f ca="1">IFERROR(__xludf.DUMMYFUNCTION("""COMPUTED_VALUE"""),14467348)</f>
        <v>14467348</v>
      </c>
    </row>
    <row r="1224" spans="1:6" x14ac:dyDescent="0.35">
      <c r="A1224" s="2">
        <f ca="1">IFERROR(__xludf.DUMMYFUNCTION("""COMPUTED_VALUE"""),43777.6666666666)</f>
        <v>43777.666666666599</v>
      </c>
      <c r="B1224" s="1">
        <f ca="1">IFERROR(__xludf.DUMMYFUNCTION("""COMPUTED_VALUE"""),22.3)</f>
        <v>22.3</v>
      </c>
      <c r="C1224" s="1">
        <f ca="1">IFERROR(__xludf.DUMMYFUNCTION("""COMPUTED_VALUE"""),22.5)</f>
        <v>22.5</v>
      </c>
      <c r="D1224" s="1">
        <f ca="1">IFERROR(__xludf.DUMMYFUNCTION("""COMPUTED_VALUE"""),22.17)</f>
        <v>22.17</v>
      </c>
      <c r="E1224" s="1">
        <f ca="1">IFERROR(__xludf.DUMMYFUNCTION("""COMPUTED_VALUE"""),22.48)</f>
        <v>22.48</v>
      </c>
      <c r="F1224" s="1">
        <f ca="1">IFERROR(__xludf.DUMMYFUNCTION("""COMPUTED_VALUE"""),6074221)</f>
        <v>6074221</v>
      </c>
    </row>
    <row r="1225" spans="1:6" x14ac:dyDescent="0.35">
      <c r="A1225" s="2">
        <f ca="1">IFERROR(__xludf.DUMMYFUNCTION("""COMPUTED_VALUE"""),43780.6666666666)</f>
        <v>43780.666666666599</v>
      </c>
      <c r="B1225" s="1">
        <f ca="1">IFERROR(__xludf.DUMMYFUNCTION("""COMPUTED_VALUE"""),22.93)</f>
        <v>22.93</v>
      </c>
      <c r="C1225" s="1">
        <f ca="1">IFERROR(__xludf.DUMMYFUNCTION("""COMPUTED_VALUE"""),23.28)</f>
        <v>23.28</v>
      </c>
      <c r="D1225" s="1">
        <f ca="1">IFERROR(__xludf.DUMMYFUNCTION("""COMPUTED_VALUE"""),22.8)</f>
        <v>22.8</v>
      </c>
      <c r="E1225" s="1">
        <f ca="1">IFERROR(__xludf.DUMMYFUNCTION("""COMPUTED_VALUE"""),23.01)</f>
        <v>23.01</v>
      </c>
      <c r="F1225" s="1">
        <f ca="1">IFERROR(__xludf.DUMMYFUNCTION("""COMPUTED_VALUE"""),9993689)</f>
        <v>9993689</v>
      </c>
    </row>
    <row r="1226" spans="1:6" x14ac:dyDescent="0.35">
      <c r="A1226" s="2">
        <f ca="1">IFERROR(__xludf.DUMMYFUNCTION("""COMPUTED_VALUE"""),43781.6666666666)</f>
        <v>43781.666666666599</v>
      </c>
      <c r="B1226" s="1">
        <f ca="1">IFERROR(__xludf.DUMMYFUNCTION("""COMPUTED_VALUE"""),23.13)</f>
        <v>23.13</v>
      </c>
      <c r="C1226" s="1">
        <f ca="1">IFERROR(__xludf.DUMMYFUNCTION("""COMPUTED_VALUE"""),23.36)</f>
        <v>23.36</v>
      </c>
      <c r="D1226" s="1">
        <f ca="1">IFERROR(__xludf.DUMMYFUNCTION("""COMPUTED_VALUE"""),22.94)</f>
        <v>22.94</v>
      </c>
      <c r="E1226" s="1">
        <f ca="1">IFERROR(__xludf.DUMMYFUNCTION("""COMPUTED_VALUE"""),23.33)</f>
        <v>23.33</v>
      </c>
      <c r="F1226" s="1">
        <f ca="1">IFERROR(__xludf.DUMMYFUNCTION("""COMPUTED_VALUE"""),7359383)</f>
        <v>7359383</v>
      </c>
    </row>
    <row r="1227" spans="1:6" x14ac:dyDescent="0.35">
      <c r="A1227" s="2">
        <f ca="1">IFERROR(__xludf.DUMMYFUNCTION("""COMPUTED_VALUE"""),43782.6666666666)</f>
        <v>43782.666666666599</v>
      </c>
      <c r="B1227" s="1">
        <f ca="1">IFERROR(__xludf.DUMMYFUNCTION("""COMPUTED_VALUE"""),23.67)</f>
        <v>23.67</v>
      </c>
      <c r="C1227" s="1">
        <f ca="1">IFERROR(__xludf.DUMMYFUNCTION("""COMPUTED_VALUE"""),23.76)</f>
        <v>23.76</v>
      </c>
      <c r="D1227" s="1">
        <f ca="1">IFERROR(__xludf.DUMMYFUNCTION("""COMPUTED_VALUE"""),23.01)</f>
        <v>23.01</v>
      </c>
      <c r="E1227" s="1">
        <f ca="1">IFERROR(__xludf.DUMMYFUNCTION("""COMPUTED_VALUE"""),23.07)</f>
        <v>23.07</v>
      </c>
      <c r="F1227" s="1">
        <f ca="1">IFERROR(__xludf.DUMMYFUNCTION("""COMPUTED_VALUE"""),8467863)</f>
        <v>8467863</v>
      </c>
    </row>
    <row r="1228" spans="1:6" x14ac:dyDescent="0.35">
      <c r="A1228" s="2">
        <f ca="1">IFERROR(__xludf.DUMMYFUNCTION("""COMPUTED_VALUE"""),43783.6666666666)</f>
        <v>43783.666666666599</v>
      </c>
      <c r="B1228" s="1">
        <f ca="1">IFERROR(__xludf.DUMMYFUNCTION("""COMPUTED_VALUE"""),23.07)</f>
        <v>23.07</v>
      </c>
      <c r="C1228" s="1">
        <f ca="1">IFERROR(__xludf.DUMMYFUNCTION("""COMPUTED_VALUE"""),23.59)</f>
        <v>23.59</v>
      </c>
      <c r="D1228" s="1">
        <f ca="1">IFERROR(__xludf.DUMMYFUNCTION("""COMPUTED_VALUE"""),22.86)</f>
        <v>22.86</v>
      </c>
      <c r="E1228" s="1">
        <f ca="1">IFERROR(__xludf.DUMMYFUNCTION("""COMPUTED_VALUE"""),23.29)</f>
        <v>23.29</v>
      </c>
      <c r="F1228" s="1">
        <f ca="1">IFERROR(__xludf.DUMMYFUNCTION("""COMPUTED_VALUE"""),6471703)</f>
        <v>6471703</v>
      </c>
    </row>
    <row r="1229" spans="1:6" x14ac:dyDescent="0.35">
      <c r="A1229" s="2">
        <f ca="1">IFERROR(__xludf.DUMMYFUNCTION("""COMPUTED_VALUE"""),43784.6666666666)</f>
        <v>43784.666666666599</v>
      </c>
      <c r="B1229" s="1">
        <f ca="1">IFERROR(__xludf.DUMMYFUNCTION("""COMPUTED_VALUE"""),23.38)</f>
        <v>23.38</v>
      </c>
      <c r="C1229" s="1">
        <f ca="1">IFERROR(__xludf.DUMMYFUNCTION("""COMPUTED_VALUE"""),23.52)</f>
        <v>23.52</v>
      </c>
      <c r="D1229" s="1">
        <f ca="1">IFERROR(__xludf.DUMMYFUNCTION("""COMPUTED_VALUE"""),23.22)</f>
        <v>23.22</v>
      </c>
      <c r="E1229" s="1">
        <f ca="1">IFERROR(__xludf.DUMMYFUNCTION("""COMPUTED_VALUE"""),23.48)</f>
        <v>23.48</v>
      </c>
      <c r="F1229" s="1">
        <f ca="1">IFERROR(__xludf.DUMMYFUNCTION("""COMPUTED_VALUE"""),4812563)</f>
        <v>4812563</v>
      </c>
    </row>
    <row r="1230" spans="1:6" x14ac:dyDescent="0.35">
      <c r="A1230" s="2">
        <f ca="1">IFERROR(__xludf.DUMMYFUNCTION("""COMPUTED_VALUE"""),43787.6666666666)</f>
        <v>43787.666666666599</v>
      </c>
      <c r="B1230" s="1">
        <f ca="1">IFERROR(__xludf.DUMMYFUNCTION("""COMPUTED_VALUE"""),23.53)</f>
        <v>23.53</v>
      </c>
      <c r="C1230" s="1">
        <f ca="1">IFERROR(__xludf.DUMMYFUNCTION("""COMPUTED_VALUE"""),23.54)</f>
        <v>23.54</v>
      </c>
      <c r="D1230" s="1">
        <f ca="1">IFERROR(__xludf.DUMMYFUNCTION("""COMPUTED_VALUE"""),23.07)</f>
        <v>23.07</v>
      </c>
      <c r="E1230" s="1">
        <f ca="1">IFERROR(__xludf.DUMMYFUNCTION("""COMPUTED_VALUE"""),23.33)</f>
        <v>23.33</v>
      </c>
      <c r="F1230" s="1">
        <f ca="1">IFERROR(__xludf.DUMMYFUNCTION("""COMPUTED_VALUE"""),4408505)</f>
        <v>4408505</v>
      </c>
    </row>
    <row r="1231" spans="1:6" x14ac:dyDescent="0.35">
      <c r="A1231" s="2">
        <f ca="1">IFERROR(__xludf.DUMMYFUNCTION("""COMPUTED_VALUE"""),43788.6666666666)</f>
        <v>43788.666666666599</v>
      </c>
      <c r="B1231" s="1">
        <f ca="1">IFERROR(__xludf.DUMMYFUNCTION("""COMPUTED_VALUE"""),23.45)</f>
        <v>23.45</v>
      </c>
      <c r="C1231" s="1">
        <f ca="1">IFERROR(__xludf.DUMMYFUNCTION("""COMPUTED_VALUE"""),24)</f>
        <v>24</v>
      </c>
      <c r="D1231" s="1">
        <f ca="1">IFERROR(__xludf.DUMMYFUNCTION("""COMPUTED_VALUE"""),23.19)</f>
        <v>23.19</v>
      </c>
      <c r="E1231" s="1">
        <f ca="1">IFERROR(__xludf.DUMMYFUNCTION("""COMPUTED_VALUE"""),23.97)</f>
        <v>23.97</v>
      </c>
      <c r="F1231" s="1">
        <f ca="1">IFERROR(__xludf.DUMMYFUNCTION("""COMPUTED_VALUE"""),7736078)</f>
        <v>7736078</v>
      </c>
    </row>
    <row r="1232" spans="1:6" x14ac:dyDescent="0.35">
      <c r="A1232" s="2">
        <f ca="1">IFERROR(__xludf.DUMMYFUNCTION("""COMPUTED_VALUE"""),43789.6666666666)</f>
        <v>43789.666666666599</v>
      </c>
      <c r="B1232" s="1">
        <f ca="1">IFERROR(__xludf.DUMMYFUNCTION("""COMPUTED_VALUE"""),24)</f>
        <v>24</v>
      </c>
      <c r="C1232" s="1">
        <f ca="1">IFERROR(__xludf.DUMMYFUNCTION("""COMPUTED_VALUE"""),24.08)</f>
        <v>24.08</v>
      </c>
      <c r="D1232" s="1">
        <f ca="1">IFERROR(__xludf.DUMMYFUNCTION("""COMPUTED_VALUE"""),23.3)</f>
        <v>23.3</v>
      </c>
      <c r="E1232" s="1">
        <f ca="1">IFERROR(__xludf.DUMMYFUNCTION("""COMPUTED_VALUE"""),23.48)</f>
        <v>23.48</v>
      </c>
      <c r="F1232" s="1">
        <f ca="1">IFERROR(__xludf.DUMMYFUNCTION("""COMPUTED_VALUE"""),6733965)</f>
        <v>6733965</v>
      </c>
    </row>
    <row r="1233" spans="1:6" x14ac:dyDescent="0.35">
      <c r="A1233" s="2">
        <f ca="1">IFERROR(__xludf.DUMMYFUNCTION("""COMPUTED_VALUE"""),43790.6666666666)</f>
        <v>43790.666666666599</v>
      </c>
      <c r="B1233" s="1">
        <f ca="1">IFERROR(__xludf.DUMMYFUNCTION("""COMPUTED_VALUE"""),23.63)</f>
        <v>23.63</v>
      </c>
      <c r="C1233" s="1">
        <f ca="1">IFERROR(__xludf.DUMMYFUNCTION("""COMPUTED_VALUE"""),24.06)</f>
        <v>24.06</v>
      </c>
      <c r="D1233" s="1">
        <f ca="1">IFERROR(__xludf.DUMMYFUNCTION("""COMPUTED_VALUE"""),23.6)</f>
        <v>23.6</v>
      </c>
      <c r="E1233" s="1">
        <f ca="1">IFERROR(__xludf.DUMMYFUNCTION("""COMPUTED_VALUE"""),23.66)</f>
        <v>23.66</v>
      </c>
      <c r="F1233" s="1">
        <f ca="1">IFERROR(__xludf.DUMMYFUNCTION("""COMPUTED_VALUE"""),6110013)</f>
        <v>6110013</v>
      </c>
    </row>
    <row r="1234" spans="1:6" x14ac:dyDescent="0.35">
      <c r="A1234" s="2">
        <f ca="1">IFERROR(__xludf.DUMMYFUNCTION("""COMPUTED_VALUE"""),43791.6666666666)</f>
        <v>43791.666666666599</v>
      </c>
      <c r="B1234" s="1">
        <f ca="1">IFERROR(__xludf.DUMMYFUNCTION("""COMPUTED_VALUE"""),22.68)</f>
        <v>22.68</v>
      </c>
      <c r="C1234" s="1">
        <f ca="1">IFERROR(__xludf.DUMMYFUNCTION("""COMPUTED_VALUE"""),22.73)</f>
        <v>22.73</v>
      </c>
      <c r="D1234" s="1">
        <f ca="1">IFERROR(__xludf.DUMMYFUNCTION("""COMPUTED_VALUE"""),22)</f>
        <v>22</v>
      </c>
      <c r="E1234" s="1">
        <f ca="1">IFERROR(__xludf.DUMMYFUNCTION("""COMPUTED_VALUE"""),22.2)</f>
        <v>22.2</v>
      </c>
      <c r="F1234" s="1">
        <f ca="1">IFERROR(__xludf.DUMMYFUNCTION("""COMPUTED_VALUE"""),16870642)</f>
        <v>16870642</v>
      </c>
    </row>
    <row r="1235" spans="1:6" x14ac:dyDescent="0.35">
      <c r="A1235" s="2">
        <f ca="1">IFERROR(__xludf.DUMMYFUNCTION("""COMPUTED_VALUE"""),43794.6666666666)</f>
        <v>43794.666666666599</v>
      </c>
      <c r="B1235" s="1">
        <f ca="1">IFERROR(__xludf.DUMMYFUNCTION("""COMPUTED_VALUE"""),22.95)</f>
        <v>22.95</v>
      </c>
      <c r="C1235" s="1">
        <f ca="1">IFERROR(__xludf.DUMMYFUNCTION("""COMPUTED_VALUE"""),22.97)</f>
        <v>22.97</v>
      </c>
      <c r="D1235" s="1">
        <f ca="1">IFERROR(__xludf.DUMMYFUNCTION("""COMPUTED_VALUE"""),22.3)</f>
        <v>22.3</v>
      </c>
      <c r="E1235" s="1">
        <f ca="1">IFERROR(__xludf.DUMMYFUNCTION("""COMPUTED_VALUE"""),22.42)</f>
        <v>22.42</v>
      </c>
      <c r="F1235" s="1">
        <f ca="1">IFERROR(__xludf.DUMMYFUNCTION("""COMPUTED_VALUE"""),12345765)</f>
        <v>12345765</v>
      </c>
    </row>
    <row r="1236" spans="1:6" x14ac:dyDescent="0.35">
      <c r="A1236" s="2">
        <f ca="1">IFERROR(__xludf.DUMMYFUNCTION("""COMPUTED_VALUE"""),43795.6666666666)</f>
        <v>43795.666666666599</v>
      </c>
      <c r="B1236" s="1">
        <f ca="1">IFERROR(__xludf.DUMMYFUNCTION("""COMPUTED_VALUE"""),22.35)</f>
        <v>22.35</v>
      </c>
      <c r="C1236" s="1">
        <f ca="1">IFERROR(__xludf.DUMMYFUNCTION("""COMPUTED_VALUE"""),22.37)</f>
        <v>22.37</v>
      </c>
      <c r="D1236" s="1">
        <f ca="1">IFERROR(__xludf.DUMMYFUNCTION("""COMPUTED_VALUE"""),21.81)</f>
        <v>21.81</v>
      </c>
      <c r="E1236" s="1">
        <f ca="1">IFERROR(__xludf.DUMMYFUNCTION("""COMPUTED_VALUE"""),21.93)</f>
        <v>21.93</v>
      </c>
      <c r="F1236" s="1">
        <f ca="1">IFERROR(__xludf.DUMMYFUNCTION("""COMPUTED_VALUE"""),7956239)</f>
        <v>7956239</v>
      </c>
    </row>
    <row r="1237" spans="1:6" x14ac:dyDescent="0.35">
      <c r="A1237" s="2">
        <f ca="1">IFERROR(__xludf.DUMMYFUNCTION("""COMPUTED_VALUE"""),43796.6666666666)</f>
        <v>43796.666666666599</v>
      </c>
      <c r="B1237" s="1">
        <f ca="1">IFERROR(__xludf.DUMMYFUNCTION("""COMPUTED_VALUE"""),22.07)</f>
        <v>22.07</v>
      </c>
      <c r="C1237" s="1">
        <f ca="1">IFERROR(__xludf.DUMMYFUNCTION("""COMPUTED_VALUE"""),22.26)</f>
        <v>22.26</v>
      </c>
      <c r="D1237" s="1">
        <f ca="1">IFERROR(__xludf.DUMMYFUNCTION("""COMPUTED_VALUE"""),21.9)</f>
        <v>21.9</v>
      </c>
      <c r="E1237" s="1">
        <f ca="1">IFERROR(__xludf.DUMMYFUNCTION("""COMPUTED_VALUE"""),22.09)</f>
        <v>22.09</v>
      </c>
      <c r="F1237" s="1">
        <f ca="1">IFERROR(__xludf.DUMMYFUNCTION("""COMPUTED_VALUE"""),5563459)</f>
        <v>5563459</v>
      </c>
    </row>
    <row r="1238" spans="1:6" x14ac:dyDescent="0.35">
      <c r="A1238" s="2">
        <f ca="1">IFERROR(__xludf.DUMMYFUNCTION("""COMPUTED_VALUE"""),43798.5416666666)</f>
        <v>43798.541666666599</v>
      </c>
      <c r="B1238" s="1">
        <f ca="1">IFERROR(__xludf.DUMMYFUNCTION("""COMPUTED_VALUE"""),22.07)</f>
        <v>22.07</v>
      </c>
      <c r="C1238" s="1">
        <f ca="1">IFERROR(__xludf.DUMMYFUNCTION("""COMPUTED_VALUE"""),22.08)</f>
        <v>22.08</v>
      </c>
      <c r="D1238" s="1">
        <f ca="1">IFERROR(__xludf.DUMMYFUNCTION("""COMPUTED_VALUE"""),21.83)</f>
        <v>21.83</v>
      </c>
      <c r="E1238" s="1">
        <f ca="1">IFERROR(__xludf.DUMMYFUNCTION("""COMPUTED_VALUE"""),22)</f>
        <v>22</v>
      </c>
      <c r="F1238" s="1">
        <f ca="1">IFERROR(__xludf.DUMMYFUNCTION("""COMPUTED_VALUE"""),2465629)</f>
        <v>2465629</v>
      </c>
    </row>
    <row r="1239" spans="1:6" x14ac:dyDescent="0.35">
      <c r="A1239" s="2">
        <f ca="1">IFERROR(__xludf.DUMMYFUNCTION("""COMPUTED_VALUE"""),43801.6666666666)</f>
        <v>43801.666666666599</v>
      </c>
      <c r="B1239" s="1">
        <f ca="1">IFERROR(__xludf.DUMMYFUNCTION("""COMPUTED_VALUE"""),21.96)</f>
        <v>21.96</v>
      </c>
      <c r="C1239" s="1">
        <f ca="1">IFERROR(__xludf.DUMMYFUNCTION("""COMPUTED_VALUE"""),22.43)</f>
        <v>22.43</v>
      </c>
      <c r="D1239" s="1">
        <f ca="1">IFERROR(__xludf.DUMMYFUNCTION("""COMPUTED_VALUE"""),21.91)</f>
        <v>21.91</v>
      </c>
      <c r="E1239" s="1">
        <f ca="1">IFERROR(__xludf.DUMMYFUNCTION("""COMPUTED_VALUE"""),22.32)</f>
        <v>22.32</v>
      </c>
      <c r="F1239" s="1">
        <f ca="1">IFERROR(__xludf.DUMMYFUNCTION("""COMPUTED_VALUE"""),6081986)</f>
        <v>6081986</v>
      </c>
    </row>
    <row r="1240" spans="1:6" x14ac:dyDescent="0.35">
      <c r="A1240" s="2">
        <f ca="1">IFERROR(__xludf.DUMMYFUNCTION("""COMPUTED_VALUE"""),43802.6666666666)</f>
        <v>43802.666666666599</v>
      </c>
      <c r="B1240" s="1">
        <f ca="1">IFERROR(__xludf.DUMMYFUNCTION("""COMPUTED_VALUE"""),22.17)</f>
        <v>22.17</v>
      </c>
      <c r="C1240" s="1">
        <f ca="1">IFERROR(__xludf.DUMMYFUNCTION("""COMPUTED_VALUE"""),22.53)</f>
        <v>22.53</v>
      </c>
      <c r="D1240" s="1">
        <f ca="1">IFERROR(__xludf.DUMMYFUNCTION("""COMPUTED_VALUE"""),22.15)</f>
        <v>22.15</v>
      </c>
      <c r="E1240" s="1">
        <f ca="1">IFERROR(__xludf.DUMMYFUNCTION("""COMPUTED_VALUE"""),22.41)</f>
        <v>22.41</v>
      </c>
      <c r="F1240" s="1">
        <f ca="1">IFERROR(__xludf.DUMMYFUNCTION("""COMPUTED_VALUE"""),6613476)</f>
        <v>6613476</v>
      </c>
    </row>
    <row r="1241" spans="1:6" x14ac:dyDescent="0.35">
      <c r="A1241" s="2">
        <f ca="1">IFERROR(__xludf.DUMMYFUNCTION("""COMPUTED_VALUE"""),43803.6666666666)</f>
        <v>43803.666666666599</v>
      </c>
      <c r="B1241" s="1">
        <f ca="1">IFERROR(__xludf.DUMMYFUNCTION("""COMPUTED_VALUE"""),22.52)</f>
        <v>22.52</v>
      </c>
      <c r="C1241" s="1">
        <f ca="1">IFERROR(__xludf.DUMMYFUNCTION("""COMPUTED_VALUE"""),22.52)</f>
        <v>22.52</v>
      </c>
      <c r="D1241" s="1">
        <f ca="1">IFERROR(__xludf.DUMMYFUNCTION("""COMPUTED_VALUE"""),22.19)</f>
        <v>22.19</v>
      </c>
      <c r="E1241" s="1">
        <f ca="1">IFERROR(__xludf.DUMMYFUNCTION("""COMPUTED_VALUE"""),22.2)</f>
        <v>22.2</v>
      </c>
      <c r="F1241" s="1">
        <f ca="1">IFERROR(__xludf.DUMMYFUNCTION("""COMPUTED_VALUE"""),5536255)</f>
        <v>5536255</v>
      </c>
    </row>
    <row r="1242" spans="1:6" x14ac:dyDescent="0.35">
      <c r="A1242" s="2">
        <f ca="1">IFERROR(__xludf.DUMMYFUNCTION("""COMPUTED_VALUE"""),43804.6666666666)</f>
        <v>43804.666666666599</v>
      </c>
      <c r="B1242" s="1">
        <f ca="1">IFERROR(__xludf.DUMMYFUNCTION("""COMPUTED_VALUE"""),22.19)</f>
        <v>22.19</v>
      </c>
      <c r="C1242" s="1">
        <f ca="1">IFERROR(__xludf.DUMMYFUNCTION("""COMPUTED_VALUE"""),22.29)</f>
        <v>22.29</v>
      </c>
      <c r="D1242" s="1">
        <f ca="1">IFERROR(__xludf.DUMMYFUNCTION("""COMPUTED_VALUE"""),21.82)</f>
        <v>21.82</v>
      </c>
      <c r="E1242" s="1">
        <f ca="1">IFERROR(__xludf.DUMMYFUNCTION("""COMPUTED_VALUE"""),22.02)</f>
        <v>22.02</v>
      </c>
      <c r="F1242" s="1">
        <f ca="1">IFERROR(__xludf.DUMMYFUNCTION("""COMPUTED_VALUE"""),3736976)</f>
        <v>3736976</v>
      </c>
    </row>
    <row r="1243" spans="1:6" x14ac:dyDescent="0.35">
      <c r="A1243" s="2">
        <f ca="1">IFERROR(__xludf.DUMMYFUNCTION("""COMPUTED_VALUE"""),43805.6666666666)</f>
        <v>43805.666666666599</v>
      </c>
      <c r="B1243" s="1">
        <f ca="1">IFERROR(__xludf.DUMMYFUNCTION("""COMPUTED_VALUE"""),22.33)</f>
        <v>22.33</v>
      </c>
      <c r="C1243" s="1">
        <f ca="1">IFERROR(__xludf.DUMMYFUNCTION("""COMPUTED_VALUE"""),22.59)</f>
        <v>22.59</v>
      </c>
      <c r="D1243" s="1">
        <f ca="1">IFERROR(__xludf.DUMMYFUNCTION("""COMPUTED_VALUE"""),22.32)</f>
        <v>22.32</v>
      </c>
      <c r="E1243" s="1">
        <f ca="1">IFERROR(__xludf.DUMMYFUNCTION("""COMPUTED_VALUE"""),22.39)</f>
        <v>22.39</v>
      </c>
      <c r="F1243" s="1">
        <f ca="1">IFERROR(__xludf.DUMMYFUNCTION("""COMPUTED_VALUE"""),7618937)</f>
        <v>7618937</v>
      </c>
    </row>
    <row r="1244" spans="1:6" x14ac:dyDescent="0.35">
      <c r="A1244" s="2">
        <f ca="1">IFERROR(__xludf.DUMMYFUNCTION("""COMPUTED_VALUE"""),43808.6666666666)</f>
        <v>43808.666666666599</v>
      </c>
      <c r="B1244" s="1">
        <f ca="1">IFERROR(__xludf.DUMMYFUNCTION("""COMPUTED_VALUE"""),22.44)</f>
        <v>22.44</v>
      </c>
      <c r="C1244" s="1">
        <f ca="1">IFERROR(__xludf.DUMMYFUNCTION("""COMPUTED_VALUE"""),22.96)</f>
        <v>22.96</v>
      </c>
      <c r="D1244" s="1">
        <f ca="1">IFERROR(__xludf.DUMMYFUNCTION("""COMPUTED_VALUE"""),22.34)</f>
        <v>22.34</v>
      </c>
      <c r="E1244" s="1">
        <f ca="1">IFERROR(__xludf.DUMMYFUNCTION("""COMPUTED_VALUE"""),22.64)</f>
        <v>22.64</v>
      </c>
      <c r="F1244" s="1">
        <f ca="1">IFERROR(__xludf.DUMMYFUNCTION("""COMPUTED_VALUE"""),9040217)</f>
        <v>9040217</v>
      </c>
    </row>
    <row r="1245" spans="1:6" x14ac:dyDescent="0.35">
      <c r="A1245" s="2">
        <f ca="1">IFERROR(__xludf.DUMMYFUNCTION("""COMPUTED_VALUE"""),43809.6666666666)</f>
        <v>43809.666666666599</v>
      </c>
      <c r="B1245" s="1">
        <f ca="1">IFERROR(__xludf.DUMMYFUNCTION("""COMPUTED_VALUE"""),22.66)</f>
        <v>22.66</v>
      </c>
      <c r="C1245" s="1">
        <f ca="1">IFERROR(__xludf.DUMMYFUNCTION("""COMPUTED_VALUE"""),23.38)</f>
        <v>23.38</v>
      </c>
      <c r="D1245" s="1">
        <f ca="1">IFERROR(__xludf.DUMMYFUNCTION("""COMPUTED_VALUE"""),22.62)</f>
        <v>22.62</v>
      </c>
      <c r="E1245" s="1">
        <f ca="1">IFERROR(__xludf.DUMMYFUNCTION("""COMPUTED_VALUE"""),23.26)</f>
        <v>23.26</v>
      </c>
      <c r="F1245" s="1">
        <f ca="1">IFERROR(__xludf.DUMMYFUNCTION("""COMPUTED_VALUE"""),8839951)</f>
        <v>8839951</v>
      </c>
    </row>
    <row r="1246" spans="1:6" x14ac:dyDescent="0.35">
      <c r="A1246" s="2">
        <f ca="1">IFERROR(__xludf.DUMMYFUNCTION("""COMPUTED_VALUE"""),43810.6666666666)</f>
        <v>43810.666666666599</v>
      </c>
      <c r="B1246" s="1">
        <f ca="1">IFERROR(__xludf.DUMMYFUNCTION("""COMPUTED_VALUE"""),23.46)</f>
        <v>23.46</v>
      </c>
      <c r="C1246" s="1">
        <f ca="1">IFERROR(__xludf.DUMMYFUNCTION("""COMPUTED_VALUE"""),23.81)</f>
        <v>23.81</v>
      </c>
      <c r="D1246" s="1">
        <f ca="1">IFERROR(__xludf.DUMMYFUNCTION("""COMPUTED_VALUE"""),23.41)</f>
        <v>23.41</v>
      </c>
      <c r="E1246" s="1">
        <f ca="1">IFERROR(__xludf.DUMMYFUNCTION("""COMPUTED_VALUE"""),23.51)</f>
        <v>23.51</v>
      </c>
      <c r="F1246" s="1">
        <f ca="1">IFERROR(__xludf.DUMMYFUNCTION("""COMPUTED_VALUE"""),6919162)</f>
        <v>6919162</v>
      </c>
    </row>
    <row r="1247" spans="1:6" x14ac:dyDescent="0.35">
      <c r="A1247" s="2">
        <f ca="1">IFERROR(__xludf.DUMMYFUNCTION("""COMPUTED_VALUE"""),43811.6666666666)</f>
        <v>43811.666666666599</v>
      </c>
      <c r="B1247" s="1">
        <f ca="1">IFERROR(__xludf.DUMMYFUNCTION("""COMPUTED_VALUE"""),23.66)</f>
        <v>23.66</v>
      </c>
      <c r="C1247" s="1">
        <f ca="1">IFERROR(__xludf.DUMMYFUNCTION("""COMPUTED_VALUE"""),24.18)</f>
        <v>24.18</v>
      </c>
      <c r="D1247" s="1">
        <f ca="1">IFERROR(__xludf.DUMMYFUNCTION("""COMPUTED_VALUE"""),23.55)</f>
        <v>23.55</v>
      </c>
      <c r="E1247" s="1">
        <f ca="1">IFERROR(__xludf.DUMMYFUNCTION("""COMPUTED_VALUE"""),23.98)</f>
        <v>23.98</v>
      </c>
      <c r="F1247" s="1">
        <f ca="1">IFERROR(__xludf.DUMMYFUNCTION("""COMPUTED_VALUE"""),7776211)</f>
        <v>7776211</v>
      </c>
    </row>
    <row r="1248" spans="1:6" x14ac:dyDescent="0.35">
      <c r="A1248" s="2">
        <f ca="1">IFERROR(__xludf.DUMMYFUNCTION("""COMPUTED_VALUE"""),43812.6666666666)</f>
        <v>43812.666666666599</v>
      </c>
      <c r="B1248" s="1">
        <f ca="1">IFERROR(__xludf.DUMMYFUNCTION("""COMPUTED_VALUE"""),24.07)</f>
        <v>24.07</v>
      </c>
      <c r="C1248" s="1">
        <f ca="1">IFERROR(__xludf.DUMMYFUNCTION("""COMPUTED_VALUE"""),24.35)</f>
        <v>24.35</v>
      </c>
      <c r="D1248" s="1">
        <f ca="1">IFERROR(__xludf.DUMMYFUNCTION("""COMPUTED_VALUE"""),23.64)</f>
        <v>23.64</v>
      </c>
      <c r="E1248" s="1">
        <f ca="1">IFERROR(__xludf.DUMMYFUNCTION("""COMPUTED_VALUE"""),23.89)</f>
        <v>23.89</v>
      </c>
      <c r="F1248" s="1">
        <f ca="1">IFERROR(__xludf.DUMMYFUNCTION("""COMPUTED_VALUE"""),6574281)</f>
        <v>6574281</v>
      </c>
    </row>
    <row r="1249" spans="1:6" x14ac:dyDescent="0.35">
      <c r="A1249" s="2">
        <f ca="1">IFERROR(__xludf.DUMMYFUNCTION("""COMPUTED_VALUE"""),43815.6666666666)</f>
        <v>43815.666666666599</v>
      </c>
      <c r="B1249" s="1">
        <f ca="1">IFERROR(__xludf.DUMMYFUNCTION("""COMPUTED_VALUE"""),24.17)</f>
        <v>24.17</v>
      </c>
      <c r="C1249" s="1">
        <f ca="1">IFERROR(__xludf.DUMMYFUNCTION("""COMPUTED_VALUE"""),25.57)</f>
        <v>25.57</v>
      </c>
      <c r="D1249" s="1">
        <f ca="1">IFERROR(__xludf.DUMMYFUNCTION("""COMPUTED_VALUE"""),24.17)</f>
        <v>24.17</v>
      </c>
      <c r="E1249" s="1">
        <f ca="1">IFERROR(__xludf.DUMMYFUNCTION("""COMPUTED_VALUE"""),25.43)</f>
        <v>25.43</v>
      </c>
      <c r="F1249" s="1">
        <f ca="1">IFERROR(__xludf.DUMMYFUNCTION("""COMPUTED_VALUE"""),18220940)</f>
        <v>18220940</v>
      </c>
    </row>
    <row r="1250" spans="1:6" x14ac:dyDescent="0.35">
      <c r="A1250" s="2">
        <f ca="1">IFERROR(__xludf.DUMMYFUNCTION("""COMPUTED_VALUE"""),43816.6666666666)</f>
        <v>43816.666666666599</v>
      </c>
      <c r="B1250" s="1">
        <f ca="1">IFERROR(__xludf.DUMMYFUNCTION("""COMPUTED_VALUE"""),25.27)</f>
        <v>25.27</v>
      </c>
      <c r="C1250" s="1">
        <f ca="1">IFERROR(__xludf.DUMMYFUNCTION("""COMPUTED_VALUE"""),25.7)</f>
        <v>25.7</v>
      </c>
      <c r="D1250" s="1">
        <f ca="1">IFERROR(__xludf.DUMMYFUNCTION("""COMPUTED_VALUE"""),25.06)</f>
        <v>25.06</v>
      </c>
      <c r="E1250" s="1">
        <f ca="1">IFERROR(__xludf.DUMMYFUNCTION("""COMPUTED_VALUE"""),25.27)</f>
        <v>25.27</v>
      </c>
      <c r="F1250" s="1">
        <f ca="1">IFERROR(__xludf.DUMMYFUNCTION("""COMPUTED_VALUE"""),8503775)</f>
        <v>8503775</v>
      </c>
    </row>
    <row r="1251" spans="1:6" x14ac:dyDescent="0.35">
      <c r="A1251" s="2">
        <f ca="1">IFERROR(__xludf.DUMMYFUNCTION("""COMPUTED_VALUE"""),43817.6666666666)</f>
        <v>43817.666666666599</v>
      </c>
      <c r="B1251" s="1">
        <f ca="1">IFERROR(__xludf.DUMMYFUNCTION("""COMPUTED_VALUE"""),25.38)</f>
        <v>25.38</v>
      </c>
      <c r="C1251" s="1">
        <f ca="1">IFERROR(__xludf.DUMMYFUNCTION("""COMPUTED_VALUE"""),26.35)</f>
        <v>26.35</v>
      </c>
      <c r="D1251" s="1">
        <f ca="1">IFERROR(__xludf.DUMMYFUNCTION("""COMPUTED_VALUE"""),25.37)</f>
        <v>25.37</v>
      </c>
      <c r="E1251" s="1">
        <f ca="1">IFERROR(__xludf.DUMMYFUNCTION("""COMPUTED_VALUE"""),26.21)</f>
        <v>26.21</v>
      </c>
      <c r="F1251" s="1">
        <f ca="1">IFERROR(__xludf.DUMMYFUNCTION("""COMPUTED_VALUE"""),14136392)</f>
        <v>14136392</v>
      </c>
    </row>
    <row r="1252" spans="1:6" x14ac:dyDescent="0.35">
      <c r="A1252" s="2">
        <f ca="1">IFERROR(__xludf.DUMMYFUNCTION("""COMPUTED_VALUE"""),43818.6666666666)</f>
        <v>43818.666666666599</v>
      </c>
      <c r="B1252" s="1">
        <f ca="1">IFERROR(__xludf.DUMMYFUNCTION("""COMPUTED_VALUE"""),26.49)</f>
        <v>26.49</v>
      </c>
      <c r="C1252" s="1">
        <f ca="1">IFERROR(__xludf.DUMMYFUNCTION("""COMPUTED_VALUE"""),27.12)</f>
        <v>27.12</v>
      </c>
      <c r="D1252" s="1">
        <f ca="1">IFERROR(__xludf.DUMMYFUNCTION("""COMPUTED_VALUE"""),26.43)</f>
        <v>26.43</v>
      </c>
      <c r="E1252" s="1">
        <f ca="1">IFERROR(__xludf.DUMMYFUNCTION("""COMPUTED_VALUE"""),26.94)</f>
        <v>26.94</v>
      </c>
      <c r="F1252" s="1">
        <f ca="1">IFERROR(__xludf.DUMMYFUNCTION("""COMPUTED_VALUE"""),18120307)</f>
        <v>18120307</v>
      </c>
    </row>
    <row r="1253" spans="1:6" x14ac:dyDescent="0.35">
      <c r="A1253" s="2">
        <f ca="1">IFERROR(__xludf.DUMMYFUNCTION("""COMPUTED_VALUE"""),43819.6666666666)</f>
        <v>43819.666666666599</v>
      </c>
      <c r="B1253" s="1">
        <f ca="1">IFERROR(__xludf.DUMMYFUNCTION("""COMPUTED_VALUE"""),27.35)</f>
        <v>27.35</v>
      </c>
      <c r="C1253" s="1">
        <f ca="1">IFERROR(__xludf.DUMMYFUNCTION("""COMPUTED_VALUE"""),27.53)</f>
        <v>27.53</v>
      </c>
      <c r="D1253" s="1">
        <f ca="1">IFERROR(__xludf.DUMMYFUNCTION("""COMPUTED_VALUE"""),26.68)</f>
        <v>26.68</v>
      </c>
      <c r="E1253" s="1">
        <f ca="1">IFERROR(__xludf.DUMMYFUNCTION("""COMPUTED_VALUE"""),27.04)</f>
        <v>27.04</v>
      </c>
      <c r="F1253" s="1">
        <f ca="1">IFERROR(__xludf.DUMMYFUNCTION("""COMPUTED_VALUE"""),14785206)</f>
        <v>14785206</v>
      </c>
    </row>
    <row r="1254" spans="1:6" x14ac:dyDescent="0.35">
      <c r="A1254" s="2">
        <f ca="1">IFERROR(__xludf.DUMMYFUNCTION("""COMPUTED_VALUE"""),43822.6666666666)</f>
        <v>43822.666666666599</v>
      </c>
      <c r="B1254" s="1">
        <f ca="1">IFERROR(__xludf.DUMMYFUNCTION("""COMPUTED_VALUE"""),27.45)</f>
        <v>27.45</v>
      </c>
      <c r="C1254" s="1">
        <f ca="1">IFERROR(__xludf.DUMMYFUNCTION("""COMPUTED_VALUE"""),28.13)</f>
        <v>28.13</v>
      </c>
      <c r="D1254" s="1">
        <f ca="1">IFERROR(__xludf.DUMMYFUNCTION("""COMPUTED_VALUE"""),27.33)</f>
        <v>27.33</v>
      </c>
      <c r="E1254" s="1">
        <f ca="1">IFERROR(__xludf.DUMMYFUNCTION("""COMPUTED_VALUE"""),27.95)</f>
        <v>27.95</v>
      </c>
      <c r="F1254" s="1">
        <f ca="1">IFERROR(__xludf.DUMMYFUNCTION("""COMPUTED_VALUE"""),13332821)</f>
        <v>13332821</v>
      </c>
    </row>
    <row r="1255" spans="1:6" x14ac:dyDescent="0.35">
      <c r="A1255" s="2">
        <f ca="1">IFERROR(__xludf.DUMMYFUNCTION("""COMPUTED_VALUE"""),43823.5416666666)</f>
        <v>43823.541666666599</v>
      </c>
      <c r="B1255" s="1">
        <f ca="1">IFERROR(__xludf.DUMMYFUNCTION("""COMPUTED_VALUE"""),27.89)</f>
        <v>27.89</v>
      </c>
      <c r="C1255" s="1">
        <f ca="1">IFERROR(__xludf.DUMMYFUNCTION("""COMPUTED_VALUE"""),28.36)</f>
        <v>28.36</v>
      </c>
      <c r="D1255" s="1">
        <f ca="1">IFERROR(__xludf.DUMMYFUNCTION("""COMPUTED_VALUE"""),27.51)</f>
        <v>27.51</v>
      </c>
      <c r="E1255" s="1">
        <f ca="1">IFERROR(__xludf.DUMMYFUNCTION("""COMPUTED_VALUE"""),28.35)</f>
        <v>28.35</v>
      </c>
      <c r="F1255" s="1">
        <f ca="1">IFERROR(__xludf.DUMMYFUNCTION("""COMPUTED_VALUE"""),8054720)</f>
        <v>8054720</v>
      </c>
    </row>
    <row r="1256" spans="1:6" x14ac:dyDescent="0.35">
      <c r="A1256" s="2">
        <f ca="1">IFERROR(__xludf.DUMMYFUNCTION("""COMPUTED_VALUE"""),43825.6666666666)</f>
        <v>43825.666666666599</v>
      </c>
      <c r="B1256" s="1">
        <f ca="1">IFERROR(__xludf.DUMMYFUNCTION("""COMPUTED_VALUE"""),28.53)</f>
        <v>28.53</v>
      </c>
      <c r="C1256" s="1">
        <f ca="1">IFERROR(__xludf.DUMMYFUNCTION("""COMPUTED_VALUE"""),28.9)</f>
        <v>28.9</v>
      </c>
      <c r="D1256" s="1">
        <f ca="1">IFERROR(__xludf.DUMMYFUNCTION("""COMPUTED_VALUE"""),28.42)</f>
        <v>28.42</v>
      </c>
      <c r="E1256" s="1">
        <f ca="1">IFERROR(__xludf.DUMMYFUNCTION("""COMPUTED_VALUE"""),28.73)</f>
        <v>28.73</v>
      </c>
      <c r="F1256" s="1">
        <f ca="1">IFERROR(__xludf.DUMMYFUNCTION("""COMPUTED_VALUE"""),10648289)</f>
        <v>10648289</v>
      </c>
    </row>
    <row r="1257" spans="1:6" x14ac:dyDescent="0.35">
      <c r="A1257" s="2">
        <f ca="1">IFERROR(__xludf.DUMMYFUNCTION("""COMPUTED_VALUE"""),43826.6666666666)</f>
        <v>43826.666666666599</v>
      </c>
      <c r="B1257" s="1">
        <f ca="1">IFERROR(__xludf.DUMMYFUNCTION("""COMPUTED_VALUE"""),29)</f>
        <v>29</v>
      </c>
      <c r="C1257" s="1">
        <f ca="1">IFERROR(__xludf.DUMMYFUNCTION("""COMPUTED_VALUE"""),29.02)</f>
        <v>29.02</v>
      </c>
      <c r="D1257" s="1">
        <f ca="1">IFERROR(__xludf.DUMMYFUNCTION("""COMPUTED_VALUE"""),28.41)</f>
        <v>28.41</v>
      </c>
      <c r="E1257" s="1">
        <f ca="1">IFERROR(__xludf.DUMMYFUNCTION("""COMPUTED_VALUE"""),28.69)</f>
        <v>28.69</v>
      </c>
      <c r="F1257" s="1">
        <f ca="1">IFERROR(__xludf.DUMMYFUNCTION("""COMPUTED_VALUE"""),9956827)</f>
        <v>9956827</v>
      </c>
    </row>
    <row r="1258" spans="1:6" x14ac:dyDescent="0.35">
      <c r="A1258" s="2">
        <f ca="1">IFERROR(__xludf.DUMMYFUNCTION("""COMPUTED_VALUE"""),43829.6666666666)</f>
        <v>43829.666666666599</v>
      </c>
      <c r="B1258" s="1">
        <f ca="1">IFERROR(__xludf.DUMMYFUNCTION("""COMPUTED_VALUE"""),28.59)</f>
        <v>28.59</v>
      </c>
      <c r="C1258" s="1">
        <f ca="1">IFERROR(__xludf.DUMMYFUNCTION("""COMPUTED_VALUE"""),28.6)</f>
        <v>28.6</v>
      </c>
      <c r="D1258" s="1">
        <f ca="1">IFERROR(__xludf.DUMMYFUNCTION("""COMPUTED_VALUE"""),27.28)</f>
        <v>27.28</v>
      </c>
      <c r="E1258" s="1">
        <f ca="1">IFERROR(__xludf.DUMMYFUNCTION("""COMPUTED_VALUE"""),27.65)</f>
        <v>27.65</v>
      </c>
      <c r="F1258" s="1">
        <f ca="1">IFERROR(__xludf.DUMMYFUNCTION("""COMPUTED_VALUE"""),12601265)</f>
        <v>12601265</v>
      </c>
    </row>
    <row r="1259" spans="1:6" x14ac:dyDescent="0.35">
      <c r="A1259" s="2">
        <f ca="1">IFERROR(__xludf.DUMMYFUNCTION("""COMPUTED_VALUE"""),43830.6666666666)</f>
        <v>43830.666666666599</v>
      </c>
      <c r="B1259" s="1">
        <f ca="1">IFERROR(__xludf.DUMMYFUNCTION("""COMPUTED_VALUE"""),27)</f>
        <v>27</v>
      </c>
      <c r="C1259" s="1">
        <f ca="1">IFERROR(__xludf.DUMMYFUNCTION("""COMPUTED_VALUE"""),28.09)</f>
        <v>28.09</v>
      </c>
      <c r="D1259" s="1">
        <f ca="1">IFERROR(__xludf.DUMMYFUNCTION("""COMPUTED_VALUE"""),26.81)</f>
        <v>26.81</v>
      </c>
      <c r="E1259" s="1">
        <f ca="1">IFERROR(__xludf.DUMMYFUNCTION("""COMPUTED_VALUE"""),27.89)</f>
        <v>27.89</v>
      </c>
      <c r="F1259" s="1">
        <f ca="1">IFERROR(__xludf.DUMMYFUNCTION("""COMPUTED_VALUE"""),10292456)</f>
        <v>10292456</v>
      </c>
    </row>
    <row r="1260" spans="1:6" x14ac:dyDescent="0.35">
      <c r="A1260" s="2">
        <f ca="1">IFERROR(__xludf.DUMMYFUNCTION("""COMPUTED_VALUE"""),43832.6666666666)</f>
        <v>43832.666666666599</v>
      </c>
      <c r="B1260" s="1">
        <f ca="1">IFERROR(__xludf.DUMMYFUNCTION("""COMPUTED_VALUE"""),28.3)</f>
        <v>28.3</v>
      </c>
      <c r="C1260" s="1">
        <f ca="1">IFERROR(__xludf.DUMMYFUNCTION("""COMPUTED_VALUE"""),28.71)</f>
        <v>28.71</v>
      </c>
      <c r="D1260" s="1">
        <f ca="1">IFERROR(__xludf.DUMMYFUNCTION("""COMPUTED_VALUE"""),28.11)</f>
        <v>28.11</v>
      </c>
      <c r="E1260" s="1">
        <f ca="1">IFERROR(__xludf.DUMMYFUNCTION("""COMPUTED_VALUE"""),28.68)</f>
        <v>28.68</v>
      </c>
      <c r="F1260" s="1">
        <f ca="1">IFERROR(__xludf.DUMMYFUNCTION("""COMPUTED_VALUE"""),9558386)</f>
        <v>9558386</v>
      </c>
    </row>
    <row r="1261" spans="1:6" x14ac:dyDescent="0.35">
      <c r="A1261" s="2">
        <f ca="1">IFERROR(__xludf.DUMMYFUNCTION("""COMPUTED_VALUE"""),43833.6666666666)</f>
        <v>43833.666666666599</v>
      </c>
      <c r="B1261" s="1">
        <f ca="1">IFERROR(__xludf.DUMMYFUNCTION("""COMPUTED_VALUE"""),29.37)</f>
        <v>29.37</v>
      </c>
      <c r="C1261" s="1">
        <f ca="1">IFERROR(__xludf.DUMMYFUNCTION("""COMPUTED_VALUE"""),30.27)</f>
        <v>30.27</v>
      </c>
      <c r="D1261" s="1">
        <f ca="1">IFERROR(__xludf.DUMMYFUNCTION("""COMPUTED_VALUE"""),29.13)</f>
        <v>29.13</v>
      </c>
      <c r="E1261" s="1">
        <f ca="1">IFERROR(__xludf.DUMMYFUNCTION("""COMPUTED_VALUE"""),29.53)</f>
        <v>29.53</v>
      </c>
      <c r="F1261" s="1">
        <f ca="1">IFERROR(__xludf.DUMMYFUNCTION("""COMPUTED_VALUE"""),17794697)</f>
        <v>17794697</v>
      </c>
    </row>
    <row r="1262" spans="1:6" x14ac:dyDescent="0.35">
      <c r="A1262" s="2">
        <f ca="1">IFERROR(__xludf.DUMMYFUNCTION("""COMPUTED_VALUE"""),43836.6666666666)</f>
        <v>43836.666666666599</v>
      </c>
      <c r="B1262" s="1">
        <f ca="1">IFERROR(__xludf.DUMMYFUNCTION("""COMPUTED_VALUE"""),29.36)</f>
        <v>29.36</v>
      </c>
      <c r="C1262" s="1">
        <f ca="1">IFERROR(__xludf.DUMMYFUNCTION("""COMPUTED_VALUE"""),30.1)</f>
        <v>30.1</v>
      </c>
      <c r="D1262" s="1">
        <f ca="1">IFERROR(__xludf.DUMMYFUNCTION("""COMPUTED_VALUE"""),29.33)</f>
        <v>29.33</v>
      </c>
      <c r="E1262" s="1">
        <f ca="1">IFERROR(__xludf.DUMMYFUNCTION("""COMPUTED_VALUE"""),30.1)</f>
        <v>30.1</v>
      </c>
      <c r="F1262" s="1">
        <f ca="1">IFERROR(__xludf.DUMMYFUNCTION("""COMPUTED_VALUE"""),10157499)</f>
        <v>10157499</v>
      </c>
    </row>
    <row r="1263" spans="1:6" x14ac:dyDescent="0.35">
      <c r="A1263" s="2">
        <f ca="1">IFERROR(__xludf.DUMMYFUNCTION("""COMPUTED_VALUE"""),43837.6666666666)</f>
        <v>43837.666666666599</v>
      </c>
      <c r="B1263" s="1">
        <f ca="1">IFERROR(__xludf.DUMMYFUNCTION("""COMPUTED_VALUE"""),30.76)</f>
        <v>30.76</v>
      </c>
      <c r="C1263" s="1">
        <f ca="1">IFERROR(__xludf.DUMMYFUNCTION("""COMPUTED_VALUE"""),31.44)</f>
        <v>31.44</v>
      </c>
      <c r="D1263" s="1">
        <f ca="1">IFERROR(__xludf.DUMMYFUNCTION("""COMPUTED_VALUE"""),30.22)</f>
        <v>30.22</v>
      </c>
      <c r="E1263" s="1">
        <f ca="1">IFERROR(__xludf.DUMMYFUNCTION("""COMPUTED_VALUE"""),31.27)</f>
        <v>31.27</v>
      </c>
      <c r="F1263" s="1">
        <f ca="1">IFERROR(__xludf.DUMMYFUNCTION("""COMPUTED_VALUE"""),18209138)</f>
        <v>18209138</v>
      </c>
    </row>
    <row r="1264" spans="1:6" x14ac:dyDescent="0.35">
      <c r="A1264" s="2">
        <f ca="1">IFERROR(__xludf.DUMMYFUNCTION("""COMPUTED_VALUE"""),43838.6666666666)</f>
        <v>43838.666666666599</v>
      </c>
      <c r="B1264" s="1">
        <f ca="1">IFERROR(__xludf.DUMMYFUNCTION("""COMPUTED_VALUE"""),31.58)</f>
        <v>31.58</v>
      </c>
      <c r="C1264" s="1">
        <f ca="1">IFERROR(__xludf.DUMMYFUNCTION("""COMPUTED_VALUE"""),33.23)</f>
        <v>33.229999999999997</v>
      </c>
      <c r="D1264" s="1">
        <f ca="1">IFERROR(__xludf.DUMMYFUNCTION("""COMPUTED_VALUE"""),31.22)</f>
        <v>31.22</v>
      </c>
      <c r="E1264" s="1">
        <f ca="1">IFERROR(__xludf.DUMMYFUNCTION("""COMPUTED_VALUE"""),32.81)</f>
        <v>32.81</v>
      </c>
      <c r="F1264" s="1">
        <f ca="1">IFERROR(__xludf.DUMMYFUNCTION("""COMPUTED_VALUE"""),31199393)</f>
        <v>31199393</v>
      </c>
    </row>
    <row r="1265" spans="1:6" x14ac:dyDescent="0.35">
      <c r="A1265" s="2">
        <f ca="1">IFERROR(__xludf.DUMMYFUNCTION("""COMPUTED_VALUE"""),43839.6666666666)</f>
        <v>43839.666666666599</v>
      </c>
      <c r="B1265" s="1">
        <f ca="1">IFERROR(__xludf.DUMMYFUNCTION("""COMPUTED_VALUE"""),33.14)</f>
        <v>33.14</v>
      </c>
      <c r="C1265" s="1">
        <f ca="1">IFERROR(__xludf.DUMMYFUNCTION("""COMPUTED_VALUE"""),33.25)</f>
        <v>33.25</v>
      </c>
      <c r="D1265" s="1">
        <f ca="1">IFERROR(__xludf.DUMMYFUNCTION("""COMPUTED_VALUE"""),31.52)</f>
        <v>31.52</v>
      </c>
      <c r="E1265" s="1">
        <f ca="1">IFERROR(__xludf.DUMMYFUNCTION("""COMPUTED_VALUE"""),32.09)</f>
        <v>32.090000000000003</v>
      </c>
      <c r="F1265" s="1">
        <f ca="1">IFERROR(__xludf.DUMMYFUNCTION("""COMPUTED_VALUE"""),28463186)</f>
        <v>28463186</v>
      </c>
    </row>
    <row r="1266" spans="1:6" x14ac:dyDescent="0.35">
      <c r="A1266" s="2">
        <f ca="1">IFERROR(__xludf.DUMMYFUNCTION("""COMPUTED_VALUE"""),43840.6666666666)</f>
        <v>43840.666666666599</v>
      </c>
      <c r="B1266" s="1">
        <f ca="1">IFERROR(__xludf.DUMMYFUNCTION("""COMPUTED_VALUE"""),32.12)</f>
        <v>32.119999999999997</v>
      </c>
      <c r="C1266" s="1">
        <f ca="1">IFERROR(__xludf.DUMMYFUNCTION("""COMPUTED_VALUE"""),32.33)</f>
        <v>32.33</v>
      </c>
      <c r="D1266" s="1">
        <f ca="1">IFERROR(__xludf.DUMMYFUNCTION("""COMPUTED_VALUE"""),31.58)</f>
        <v>31.58</v>
      </c>
      <c r="E1266" s="1">
        <f ca="1">IFERROR(__xludf.DUMMYFUNCTION("""COMPUTED_VALUE"""),31.88)</f>
        <v>31.88</v>
      </c>
      <c r="F1266" s="1">
        <f ca="1">IFERROR(__xludf.DUMMYFUNCTION("""COMPUTED_VALUE"""),12976832)</f>
        <v>12976832</v>
      </c>
    </row>
    <row r="1267" spans="1:6" x14ac:dyDescent="0.35">
      <c r="A1267" s="2">
        <f ca="1">IFERROR(__xludf.DUMMYFUNCTION("""COMPUTED_VALUE"""),43843.6666666666)</f>
        <v>43843.666666666599</v>
      </c>
      <c r="B1267" s="1">
        <f ca="1">IFERROR(__xludf.DUMMYFUNCTION("""COMPUTED_VALUE"""),32.9)</f>
        <v>32.9</v>
      </c>
      <c r="C1267" s="1">
        <f ca="1">IFERROR(__xludf.DUMMYFUNCTION("""COMPUTED_VALUE"""),35.04)</f>
        <v>35.04</v>
      </c>
      <c r="D1267" s="1">
        <f ca="1">IFERROR(__xludf.DUMMYFUNCTION("""COMPUTED_VALUE"""),32.8)</f>
        <v>32.799999999999997</v>
      </c>
      <c r="E1267" s="1">
        <f ca="1">IFERROR(__xludf.DUMMYFUNCTION("""COMPUTED_VALUE"""),34.99)</f>
        <v>34.99</v>
      </c>
      <c r="F1267" s="1">
        <f ca="1">IFERROR(__xludf.DUMMYFUNCTION("""COMPUTED_VALUE"""),26634547)</f>
        <v>26634547</v>
      </c>
    </row>
    <row r="1268" spans="1:6" x14ac:dyDescent="0.35">
      <c r="A1268" s="2">
        <f ca="1">IFERROR(__xludf.DUMMYFUNCTION("""COMPUTED_VALUE"""),43844.6666666666)</f>
        <v>43844.666666666599</v>
      </c>
      <c r="B1268" s="1">
        <f ca="1">IFERROR(__xludf.DUMMYFUNCTION("""COMPUTED_VALUE"""),36.28)</f>
        <v>36.28</v>
      </c>
      <c r="C1268" s="1">
        <f ca="1">IFERROR(__xludf.DUMMYFUNCTION("""COMPUTED_VALUE"""),36.49)</f>
        <v>36.49</v>
      </c>
      <c r="D1268" s="1">
        <f ca="1">IFERROR(__xludf.DUMMYFUNCTION("""COMPUTED_VALUE"""),34.99)</f>
        <v>34.99</v>
      </c>
      <c r="E1268" s="1">
        <f ca="1">IFERROR(__xludf.DUMMYFUNCTION("""COMPUTED_VALUE"""),35.86)</f>
        <v>35.86</v>
      </c>
      <c r="F1268" s="1">
        <f ca="1">IFERROR(__xludf.DUMMYFUNCTION("""COMPUTED_VALUE"""),29061377)</f>
        <v>29061377</v>
      </c>
    </row>
    <row r="1269" spans="1:6" x14ac:dyDescent="0.35">
      <c r="A1269" s="2">
        <f ca="1">IFERROR(__xludf.DUMMYFUNCTION("""COMPUTED_VALUE"""),43845.6666666666)</f>
        <v>43845.666666666599</v>
      </c>
      <c r="B1269" s="1">
        <f ca="1">IFERROR(__xludf.DUMMYFUNCTION("""COMPUTED_VALUE"""),35.32)</f>
        <v>35.32</v>
      </c>
      <c r="C1269" s="1">
        <f ca="1">IFERROR(__xludf.DUMMYFUNCTION("""COMPUTED_VALUE"""),35.86)</f>
        <v>35.86</v>
      </c>
      <c r="D1269" s="1">
        <f ca="1">IFERROR(__xludf.DUMMYFUNCTION("""COMPUTED_VALUE"""),34.45)</f>
        <v>34.450000000000003</v>
      </c>
      <c r="E1269" s="1">
        <f ca="1">IFERROR(__xludf.DUMMYFUNCTION("""COMPUTED_VALUE"""),34.57)</f>
        <v>34.57</v>
      </c>
      <c r="F1269" s="1">
        <f ca="1">IFERROR(__xludf.DUMMYFUNCTION("""COMPUTED_VALUE"""),17368831)</f>
        <v>17368831</v>
      </c>
    </row>
    <row r="1270" spans="1:6" x14ac:dyDescent="0.35">
      <c r="A1270" s="2">
        <f ca="1">IFERROR(__xludf.DUMMYFUNCTION("""COMPUTED_VALUE"""),43846.6666666666)</f>
        <v>43846.666666666599</v>
      </c>
      <c r="B1270" s="1">
        <f ca="1">IFERROR(__xludf.DUMMYFUNCTION("""COMPUTED_VALUE"""),32.92)</f>
        <v>32.92</v>
      </c>
      <c r="C1270" s="1">
        <f ca="1">IFERROR(__xludf.DUMMYFUNCTION("""COMPUTED_VALUE"""),34.3)</f>
        <v>34.299999999999997</v>
      </c>
      <c r="D1270" s="1">
        <f ca="1">IFERROR(__xludf.DUMMYFUNCTION("""COMPUTED_VALUE"""),32.81)</f>
        <v>32.81</v>
      </c>
      <c r="E1270" s="1">
        <f ca="1">IFERROR(__xludf.DUMMYFUNCTION("""COMPUTED_VALUE"""),34.23)</f>
        <v>34.229999999999997</v>
      </c>
      <c r="F1270" s="1">
        <f ca="1">IFERROR(__xludf.DUMMYFUNCTION("""COMPUTED_VALUE"""),21736653)</f>
        <v>21736653</v>
      </c>
    </row>
    <row r="1271" spans="1:6" x14ac:dyDescent="0.35">
      <c r="A1271" s="2">
        <f ca="1">IFERROR(__xludf.DUMMYFUNCTION("""COMPUTED_VALUE"""),43847.6666666666)</f>
        <v>43847.666666666599</v>
      </c>
      <c r="B1271" s="1">
        <f ca="1">IFERROR(__xludf.DUMMYFUNCTION("""COMPUTED_VALUE"""),33.84)</f>
        <v>33.840000000000003</v>
      </c>
      <c r="C1271" s="1">
        <f ca="1">IFERROR(__xludf.DUMMYFUNCTION("""COMPUTED_VALUE"""),34.38)</f>
        <v>34.380000000000003</v>
      </c>
      <c r="D1271" s="1">
        <f ca="1">IFERROR(__xludf.DUMMYFUNCTION("""COMPUTED_VALUE"""),33.54)</f>
        <v>33.54</v>
      </c>
      <c r="E1271" s="1">
        <f ca="1">IFERROR(__xludf.DUMMYFUNCTION("""COMPUTED_VALUE"""),34.03)</f>
        <v>34.03</v>
      </c>
      <c r="F1271" s="1">
        <f ca="1">IFERROR(__xludf.DUMMYFUNCTION("""COMPUTED_VALUE"""),13629073)</f>
        <v>13629073</v>
      </c>
    </row>
    <row r="1272" spans="1:6" x14ac:dyDescent="0.35">
      <c r="A1272" s="2">
        <f ca="1">IFERROR(__xludf.DUMMYFUNCTION("""COMPUTED_VALUE"""),43851.6666666666)</f>
        <v>43851.666666666599</v>
      </c>
      <c r="B1272" s="1">
        <f ca="1">IFERROR(__xludf.DUMMYFUNCTION("""COMPUTED_VALUE"""),35.35)</f>
        <v>35.35</v>
      </c>
      <c r="C1272" s="1">
        <f ca="1">IFERROR(__xludf.DUMMYFUNCTION("""COMPUTED_VALUE"""),36.57)</f>
        <v>36.57</v>
      </c>
      <c r="D1272" s="1">
        <f ca="1">IFERROR(__xludf.DUMMYFUNCTION("""COMPUTED_VALUE"""),35.23)</f>
        <v>35.229999999999997</v>
      </c>
      <c r="E1272" s="1">
        <f ca="1">IFERROR(__xludf.DUMMYFUNCTION("""COMPUTED_VALUE"""),36.48)</f>
        <v>36.479999999999997</v>
      </c>
      <c r="F1272" s="1">
        <f ca="1">IFERROR(__xludf.DUMMYFUNCTION("""COMPUTED_VALUE"""),17803471)</f>
        <v>17803471</v>
      </c>
    </row>
    <row r="1273" spans="1:6" x14ac:dyDescent="0.35">
      <c r="A1273" s="2">
        <f ca="1">IFERROR(__xludf.DUMMYFUNCTION("""COMPUTED_VALUE"""),43852.6666666666)</f>
        <v>43852.666666666599</v>
      </c>
      <c r="B1273" s="1">
        <f ca="1">IFERROR(__xludf.DUMMYFUNCTION("""COMPUTED_VALUE"""),38.13)</f>
        <v>38.130000000000003</v>
      </c>
      <c r="C1273" s="1">
        <f ca="1">IFERROR(__xludf.DUMMYFUNCTION("""COMPUTED_VALUE"""),39.63)</f>
        <v>39.630000000000003</v>
      </c>
      <c r="D1273" s="1">
        <f ca="1">IFERROR(__xludf.DUMMYFUNCTION("""COMPUTED_VALUE"""),37.27)</f>
        <v>37.270000000000003</v>
      </c>
      <c r="E1273" s="1">
        <f ca="1">IFERROR(__xludf.DUMMYFUNCTION("""COMPUTED_VALUE"""),37.97)</f>
        <v>37.97</v>
      </c>
      <c r="F1273" s="1">
        <f ca="1">IFERROR(__xludf.DUMMYFUNCTION("""COMPUTED_VALUE"""),31369028)</f>
        <v>31369028</v>
      </c>
    </row>
    <row r="1274" spans="1:6" x14ac:dyDescent="0.35">
      <c r="A1274" s="2">
        <f ca="1">IFERROR(__xludf.DUMMYFUNCTION("""COMPUTED_VALUE"""),43853.6666666666)</f>
        <v>43853.666666666599</v>
      </c>
      <c r="B1274" s="1">
        <f ca="1">IFERROR(__xludf.DUMMYFUNCTION("""COMPUTED_VALUE"""),37.62)</f>
        <v>37.619999999999997</v>
      </c>
      <c r="C1274" s="1">
        <f ca="1">IFERROR(__xludf.DUMMYFUNCTION("""COMPUTED_VALUE"""),38.8)</f>
        <v>38.799999999999997</v>
      </c>
      <c r="D1274" s="1">
        <f ca="1">IFERROR(__xludf.DUMMYFUNCTION("""COMPUTED_VALUE"""),37.04)</f>
        <v>37.04</v>
      </c>
      <c r="E1274" s="1">
        <f ca="1">IFERROR(__xludf.DUMMYFUNCTION("""COMPUTED_VALUE"""),38.15)</f>
        <v>38.15</v>
      </c>
      <c r="F1274" s="1">
        <f ca="1">IFERROR(__xludf.DUMMYFUNCTION("""COMPUTED_VALUE"""),19651042)</f>
        <v>19651042</v>
      </c>
    </row>
    <row r="1275" spans="1:6" x14ac:dyDescent="0.35">
      <c r="A1275" s="2">
        <f ca="1">IFERROR(__xludf.DUMMYFUNCTION("""COMPUTED_VALUE"""),43854.6666666666)</f>
        <v>43854.666666666599</v>
      </c>
      <c r="B1275" s="1">
        <f ca="1">IFERROR(__xludf.DUMMYFUNCTION("""COMPUTED_VALUE"""),38.04)</f>
        <v>38.04</v>
      </c>
      <c r="C1275" s="1">
        <f ca="1">IFERROR(__xludf.DUMMYFUNCTION("""COMPUTED_VALUE"""),38.26)</f>
        <v>38.26</v>
      </c>
      <c r="D1275" s="1">
        <f ca="1">IFERROR(__xludf.DUMMYFUNCTION("""COMPUTED_VALUE"""),36.95)</f>
        <v>36.950000000000003</v>
      </c>
      <c r="E1275" s="1">
        <f ca="1">IFERROR(__xludf.DUMMYFUNCTION("""COMPUTED_VALUE"""),37.65)</f>
        <v>37.65</v>
      </c>
      <c r="F1275" s="1">
        <f ca="1">IFERROR(__xludf.DUMMYFUNCTION("""COMPUTED_VALUE"""),14353600)</f>
        <v>14353600</v>
      </c>
    </row>
    <row r="1276" spans="1:6" x14ac:dyDescent="0.35">
      <c r="A1276" s="2">
        <f ca="1">IFERROR(__xludf.DUMMYFUNCTION("""COMPUTED_VALUE"""),43857.6666666666)</f>
        <v>43857.666666666599</v>
      </c>
      <c r="B1276" s="1">
        <f ca="1">IFERROR(__xludf.DUMMYFUNCTION("""COMPUTED_VALUE"""),36.13)</f>
        <v>36.130000000000003</v>
      </c>
      <c r="C1276" s="1">
        <f ca="1">IFERROR(__xludf.DUMMYFUNCTION("""COMPUTED_VALUE"""),37.63)</f>
        <v>37.630000000000003</v>
      </c>
      <c r="D1276" s="1">
        <f ca="1">IFERROR(__xludf.DUMMYFUNCTION("""COMPUTED_VALUE"""),35.95)</f>
        <v>35.950000000000003</v>
      </c>
      <c r="E1276" s="1">
        <f ca="1">IFERROR(__xludf.DUMMYFUNCTION("""COMPUTED_VALUE"""),37.2)</f>
        <v>37.200000000000003</v>
      </c>
      <c r="F1276" s="1">
        <f ca="1">IFERROR(__xludf.DUMMYFUNCTION("""COMPUTED_VALUE"""),13608068)</f>
        <v>13608068</v>
      </c>
    </row>
    <row r="1277" spans="1:6" x14ac:dyDescent="0.35">
      <c r="A1277" s="2">
        <f ca="1">IFERROR(__xludf.DUMMYFUNCTION("""COMPUTED_VALUE"""),43858.6666666666)</f>
        <v>43858.666666666599</v>
      </c>
      <c r="B1277" s="1">
        <f ca="1">IFERROR(__xludf.DUMMYFUNCTION("""COMPUTED_VALUE"""),37.9)</f>
        <v>37.9</v>
      </c>
      <c r="C1277" s="1">
        <f ca="1">IFERROR(__xludf.DUMMYFUNCTION("""COMPUTED_VALUE"""),38.45)</f>
        <v>38.450000000000003</v>
      </c>
      <c r="D1277" s="1">
        <f ca="1">IFERROR(__xludf.DUMMYFUNCTION("""COMPUTED_VALUE"""),37.21)</f>
        <v>37.21</v>
      </c>
      <c r="E1277" s="1">
        <f ca="1">IFERROR(__xludf.DUMMYFUNCTION("""COMPUTED_VALUE"""),37.79)</f>
        <v>37.79</v>
      </c>
      <c r="F1277" s="1">
        <f ca="1">IFERROR(__xludf.DUMMYFUNCTION("""COMPUTED_VALUE"""),11788493)</f>
        <v>11788493</v>
      </c>
    </row>
    <row r="1278" spans="1:6" x14ac:dyDescent="0.35">
      <c r="A1278" s="2">
        <f ca="1">IFERROR(__xludf.DUMMYFUNCTION("""COMPUTED_VALUE"""),43859.6666666666)</f>
        <v>43859.666666666599</v>
      </c>
      <c r="B1278" s="1">
        <f ca="1">IFERROR(__xludf.DUMMYFUNCTION("""COMPUTED_VALUE"""),38.38)</f>
        <v>38.380000000000003</v>
      </c>
      <c r="C1278" s="1">
        <f ca="1">IFERROR(__xludf.DUMMYFUNCTION("""COMPUTED_VALUE"""),39.32)</f>
        <v>39.32</v>
      </c>
      <c r="D1278" s="1">
        <f ca="1">IFERROR(__xludf.DUMMYFUNCTION("""COMPUTED_VALUE"""),37.83)</f>
        <v>37.83</v>
      </c>
      <c r="E1278" s="1">
        <f ca="1">IFERROR(__xludf.DUMMYFUNCTION("""COMPUTED_VALUE"""),38.73)</f>
        <v>38.729999999999997</v>
      </c>
      <c r="F1278" s="1">
        <f ca="1">IFERROR(__xludf.DUMMYFUNCTION("""COMPUTED_VALUE"""),18216672)</f>
        <v>18216672</v>
      </c>
    </row>
    <row r="1279" spans="1:6" x14ac:dyDescent="0.35">
      <c r="A1279" s="2">
        <f ca="1">IFERROR(__xludf.DUMMYFUNCTION("""COMPUTED_VALUE"""),43860.6666666666)</f>
        <v>43860.666666666599</v>
      </c>
      <c r="B1279" s="1">
        <f ca="1">IFERROR(__xludf.DUMMYFUNCTION("""COMPUTED_VALUE"""),42.16)</f>
        <v>42.16</v>
      </c>
      <c r="C1279" s="1">
        <f ca="1">IFERROR(__xludf.DUMMYFUNCTION("""COMPUTED_VALUE"""),43.39)</f>
        <v>43.39</v>
      </c>
      <c r="D1279" s="1">
        <f ca="1">IFERROR(__xludf.DUMMYFUNCTION("""COMPUTED_VALUE"""),41.2)</f>
        <v>41.2</v>
      </c>
      <c r="E1279" s="1">
        <f ca="1">IFERROR(__xludf.DUMMYFUNCTION("""COMPUTED_VALUE"""),42.72)</f>
        <v>42.72</v>
      </c>
      <c r="F1279" s="1">
        <f ca="1">IFERROR(__xludf.DUMMYFUNCTION("""COMPUTED_VALUE"""),29005676)</f>
        <v>29005676</v>
      </c>
    </row>
    <row r="1280" spans="1:6" x14ac:dyDescent="0.35">
      <c r="A1280" s="2">
        <f ca="1">IFERROR(__xludf.DUMMYFUNCTION("""COMPUTED_VALUE"""),43861.6666666666)</f>
        <v>43861.666666666599</v>
      </c>
      <c r="B1280" s="1">
        <f ca="1">IFERROR(__xludf.DUMMYFUNCTION("""COMPUTED_VALUE"""),42.67)</f>
        <v>42.67</v>
      </c>
      <c r="C1280" s="1">
        <f ca="1">IFERROR(__xludf.DUMMYFUNCTION("""COMPUTED_VALUE"""),43.53)</f>
        <v>43.53</v>
      </c>
      <c r="D1280" s="1">
        <f ca="1">IFERROR(__xludf.DUMMYFUNCTION("""COMPUTED_VALUE"""),42.17)</f>
        <v>42.17</v>
      </c>
      <c r="E1280" s="1">
        <f ca="1">IFERROR(__xludf.DUMMYFUNCTION("""COMPUTED_VALUE"""),43.37)</f>
        <v>43.37</v>
      </c>
      <c r="F1280" s="1">
        <f ca="1">IFERROR(__xludf.DUMMYFUNCTION("""COMPUTED_VALUE"""),15719266)</f>
        <v>15719266</v>
      </c>
    </row>
    <row r="1281" spans="1:6" x14ac:dyDescent="0.35">
      <c r="A1281" s="2">
        <f ca="1">IFERROR(__xludf.DUMMYFUNCTION("""COMPUTED_VALUE"""),43864.6666666666)</f>
        <v>43864.666666666599</v>
      </c>
      <c r="B1281" s="1">
        <f ca="1">IFERROR(__xludf.DUMMYFUNCTION("""COMPUTED_VALUE"""),44.91)</f>
        <v>44.91</v>
      </c>
      <c r="C1281" s="1">
        <f ca="1">IFERROR(__xludf.DUMMYFUNCTION("""COMPUTED_VALUE"""),52.41)</f>
        <v>52.41</v>
      </c>
      <c r="D1281" s="1">
        <f ca="1">IFERROR(__xludf.DUMMYFUNCTION("""COMPUTED_VALUE"""),44.9)</f>
        <v>44.9</v>
      </c>
      <c r="E1281" s="1">
        <f ca="1">IFERROR(__xludf.DUMMYFUNCTION("""COMPUTED_VALUE"""),52)</f>
        <v>52</v>
      </c>
      <c r="F1281" s="1">
        <f ca="1">IFERROR(__xludf.DUMMYFUNCTION("""COMPUTED_VALUE"""),47233495)</f>
        <v>47233495</v>
      </c>
    </row>
    <row r="1282" spans="1:6" x14ac:dyDescent="0.35">
      <c r="A1282" s="2">
        <f ca="1">IFERROR(__xludf.DUMMYFUNCTION("""COMPUTED_VALUE"""),43865.6666666666)</f>
        <v>43865.666666666599</v>
      </c>
      <c r="B1282" s="1">
        <f ca="1">IFERROR(__xludf.DUMMYFUNCTION("""COMPUTED_VALUE"""),58.86)</f>
        <v>58.86</v>
      </c>
      <c r="C1282" s="1">
        <f ca="1">IFERROR(__xludf.DUMMYFUNCTION("""COMPUTED_VALUE"""),64.6)</f>
        <v>64.599999999999994</v>
      </c>
      <c r="D1282" s="1">
        <f ca="1">IFERROR(__xludf.DUMMYFUNCTION("""COMPUTED_VALUE"""),55.59)</f>
        <v>55.59</v>
      </c>
      <c r="E1282" s="1">
        <f ca="1">IFERROR(__xludf.DUMMYFUNCTION("""COMPUTED_VALUE"""),59.14)</f>
        <v>59.14</v>
      </c>
      <c r="F1282" s="1">
        <f ca="1">IFERROR(__xludf.DUMMYFUNCTION("""COMPUTED_VALUE"""),60938758)</f>
        <v>60938758</v>
      </c>
    </row>
    <row r="1283" spans="1:6" x14ac:dyDescent="0.35">
      <c r="A1283" s="2">
        <f ca="1">IFERROR(__xludf.DUMMYFUNCTION("""COMPUTED_VALUE"""),43866.6666666666)</f>
        <v>43866.666666666599</v>
      </c>
      <c r="B1283" s="1">
        <f ca="1">IFERROR(__xludf.DUMMYFUNCTION("""COMPUTED_VALUE"""),54.88)</f>
        <v>54.88</v>
      </c>
      <c r="C1283" s="1">
        <f ca="1">IFERROR(__xludf.DUMMYFUNCTION("""COMPUTED_VALUE"""),56.4)</f>
        <v>56.4</v>
      </c>
      <c r="D1283" s="1">
        <f ca="1">IFERROR(__xludf.DUMMYFUNCTION("""COMPUTED_VALUE"""),46.94)</f>
        <v>46.94</v>
      </c>
      <c r="E1283" s="1">
        <f ca="1">IFERROR(__xludf.DUMMYFUNCTION("""COMPUTED_VALUE"""),48.98)</f>
        <v>48.98</v>
      </c>
      <c r="F1283" s="1">
        <f ca="1">IFERROR(__xludf.DUMMYFUNCTION("""COMPUTED_VALUE"""),48423837)</f>
        <v>48423837</v>
      </c>
    </row>
    <row r="1284" spans="1:6" x14ac:dyDescent="0.35">
      <c r="A1284" s="2">
        <f ca="1">IFERROR(__xludf.DUMMYFUNCTION("""COMPUTED_VALUE"""),43867.6666666666)</f>
        <v>43867.666666666599</v>
      </c>
      <c r="B1284" s="1">
        <f ca="1">IFERROR(__xludf.DUMMYFUNCTION("""COMPUTED_VALUE"""),46.66)</f>
        <v>46.66</v>
      </c>
      <c r="C1284" s="1">
        <f ca="1">IFERROR(__xludf.DUMMYFUNCTION("""COMPUTED_VALUE"""),53.06)</f>
        <v>53.06</v>
      </c>
      <c r="D1284" s="1">
        <f ca="1">IFERROR(__xludf.DUMMYFUNCTION("""COMPUTED_VALUE"""),45.8)</f>
        <v>45.8</v>
      </c>
      <c r="E1284" s="1">
        <f ca="1">IFERROR(__xludf.DUMMYFUNCTION("""COMPUTED_VALUE"""),49.93)</f>
        <v>49.93</v>
      </c>
      <c r="F1284" s="1">
        <f ca="1">IFERROR(__xludf.DUMMYFUNCTION("""COMPUTED_VALUE"""),39880752)</f>
        <v>39880752</v>
      </c>
    </row>
    <row r="1285" spans="1:6" x14ac:dyDescent="0.35">
      <c r="A1285" s="2">
        <f ca="1">IFERROR(__xludf.DUMMYFUNCTION("""COMPUTED_VALUE"""),43868.6666666666)</f>
        <v>43868.666666666599</v>
      </c>
      <c r="B1285" s="1">
        <f ca="1">IFERROR(__xludf.DUMMYFUNCTION("""COMPUTED_VALUE"""),48.7)</f>
        <v>48.7</v>
      </c>
      <c r="C1285" s="1">
        <f ca="1">IFERROR(__xludf.DUMMYFUNCTION("""COMPUTED_VALUE"""),51.32)</f>
        <v>51.32</v>
      </c>
      <c r="D1285" s="1">
        <f ca="1">IFERROR(__xludf.DUMMYFUNCTION("""COMPUTED_VALUE"""),48.67)</f>
        <v>48.67</v>
      </c>
      <c r="E1285" s="1">
        <f ca="1">IFERROR(__xludf.DUMMYFUNCTION("""COMPUTED_VALUE"""),49.87)</f>
        <v>49.87</v>
      </c>
      <c r="F1285" s="1">
        <f ca="1">IFERROR(__xludf.DUMMYFUNCTION("""COMPUTED_VALUE"""),17063521)</f>
        <v>17063521</v>
      </c>
    </row>
    <row r="1286" spans="1:6" x14ac:dyDescent="0.35">
      <c r="A1286" s="2">
        <f ca="1">IFERROR(__xludf.DUMMYFUNCTION("""COMPUTED_VALUE"""),43871.6666666666)</f>
        <v>43871.666666666599</v>
      </c>
      <c r="B1286" s="1">
        <f ca="1">IFERROR(__xludf.DUMMYFUNCTION("""COMPUTED_VALUE"""),53.33)</f>
        <v>53.33</v>
      </c>
      <c r="C1286" s="1">
        <f ca="1">IFERROR(__xludf.DUMMYFUNCTION("""COMPUTED_VALUE"""),54.67)</f>
        <v>54.67</v>
      </c>
      <c r="D1286" s="1">
        <f ca="1">IFERROR(__xludf.DUMMYFUNCTION("""COMPUTED_VALUE"""),50.16)</f>
        <v>50.16</v>
      </c>
      <c r="E1286" s="1">
        <f ca="1">IFERROR(__xludf.DUMMYFUNCTION("""COMPUTED_VALUE"""),51.42)</f>
        <v>51.42</v>
      </c>
      <c r="F1286" s="1">
        <f ca="1">IFERROR(__xludf.DUMMYFUNCTION("""COMPUTED_VALUE"""),24689163)</f>
        <v>24689163</v>
      </c>
    </row>
    <row r="1287" spans="1:6" x14ac:dyDescent="0.35">
      <c r="A1287" s="2">
        <f ca="1">IFERROR(__xludf.DUMMYFUNCTION("""COMPUTED_VALUE"""),43872.6666666666)</f>
        <v>43872.666666666599</v>
      </c>
      <c r="B1287" s="1">
        <f ca="1">IFERROR(__xludf.DUMMYFUNCTION("""COMPUTED_VALUE"""),51.25)</f>
        <v>51.25</v>
      </c>
      <c r="C1287" s="1">
        <f ca="1">IFERROR(__xludf.DUMMYFUNCTION("""COMPUTED_VALUE"""),52.23)</f>
        <v>52.23</v>
      </c>
      <c r="D1287" s="1">
        <f ca="1">IFERROR(__xludf.DUMMYFUNCTION("""COMPUTED_VALUE"""),50.53)</f>
        <v>50.53</v>
      </c>
      <c r="E1287" s="1">
        <f ca="1">IFERROR(__xludf.DUMMYFUNCTION("""COMPUTED_VALUE"""),51.63)</f>
        <v>51.63</v>
      </c>
      <c r="F1287" s="1">
        <f ca="1">IFERROR(__xludf.DUMMYFUNCTION("""COMPUTED_VALUE"""),11697473)</f>
        <v>11697473</v>
      </c>
    </row>
    <row r="1288" spans="1:6" x14ac:dyDescent="0.35">
      <c r="A1288" s="2">
        <f ca="1">IFERROR(__xludf.DUMMYFUNCTION("""COMPUTED_VALUE"""),43873.6666666666)</f>
        <v>43873.666666666599</v>
      </c>
      <c r="B1288" s="1">
        <f ca="1">IFERROR(__xludf.DUMMYFUNCTION("""COMPUTED_VALUE"""),51.86)</f>
        <v>51.86</v>
      </c>
      <c r="C1288" s="1">
        <f ca="1">IFERROR(__xludf.DUMMYFUNCTION("""COMPUTED_VALUE"""),52.65)</f>
        <v>52.65</v>
      </c>
      <c r="D1288" s="1">
        <f ca="1">IFERROR(__xludf.DUMMYFUNCTION("""COMPUTED_VALUE"""),50.89)</f>
        <v>50.89</v>
      </c>
      <c r="E1288" s="1">
        <f ca="1">IFERROR(__xludf.DUMMYFUNCTION("""COMPUTED_VALUE"""),51.15)</f>
        <v>51.15</v>
      </c>
      <c r="F1288" s="1">
        <f ca="1">IFERROR(__xludf.DUMMYFUNCTION("""COMPUTED_VALUE"""),12022470)</f>
        <v>12022470</v>
      </c>
    </row>
    <row r="1289" spans="1:6" x14ac:dyDescent="0.35">
      <c r="A1289" s="2">
        <f ca="1">IFERROR(__xludf.DUMMYFUNCTION("""COMPUTED_VALUE"""),43874.6666666666)</f>
        <v>43874.666666666599</v>
      </c>
      <c r="B1289" s="1">
        <f ca="1">IFERROR(__xludf.DUMMYFUNCTION("""COMPUTED_VALUE"""),49.46)</f>
        <v>49.46</v>
      </c>
      <c r="C1289" s="1">
        <f ca="1">IFERROR(__xludf.DUMMYFUNCTION("""COMPUTED_VALUE"""),54.53)</f>
        <v>54.53</v>
      </c>
      <c r="D1289" s="1">
        <f ca="1">IFERROR(__xludf.DUMMYFUNCTION("""COMPUTED_VALUE"""),49)</f>
        <v>49</v>
      </c>
      <c r="E1289" s="1">
        <f ca="1">IFERROR(__xludf.DUMMYFUNCTION("""COMPUTED_VALUE"""),53.6)</f>
        <v>53.6</v>
      </c>
      <c r="F1289" s="1">
        <f ca="1">IFERROR(__xludf.DUMMYFUNCTION("""COMPUTED_VALUE"""),26289348)</f>
        <v>26289348</v>
      </c>
    </row>
    <row r="1290" spans="1:6" x14ac:dyDescent="0.35">
      <c r="A1290" s="2">
        <f ca="1">IFERROR(__xludf.DUMMYFUNCTION("""COMPUTED_VALUE"""),43875.6666666666)</f>
        <v>43875.666666666599</v>
      </c>
      <c r="B1290" s="1">
        <f ca="1">IFERROR(__xludf.DUMMYFUNCTION("""COMPUTED_VALUE"""),52.48)</f>
        <v>52.48</v>
      </c>
      <c r="C1290" s="1">
        <f ca="1">IFERROR(__xludf.DUMMYFUNCTION("""COMPUTED_VALUE"""),54.2)</f>
        <v>54.2</v>
      </c>
      <c r="D1290" s="1">
        <f ca="1">IFERROR(__xludf.DUMMYFUNCTION("""COMPUTED_VALUE"""),52.37)</f>
        <v>52.37</v>
      </c>
      <c r="E1290" s="1">
        <f ca="1">IFERROR(__xludf.DUMMYFUNCTION("""COMPUTED_VALUE"""),53.34)</f>
        <v>53.34</v>
      </c>
      <c r="F1290" s="1">
        <f ca="1">IFERROR(__xludf.DUMMYFUNCTION("""COMPUTED_VALUE"""),15693711)</f>
        <v>15693711</v>
      </c>
    </row>
    <row r="1291" spans="1:6" x14ac:dyDescent="0.35">
      <c r="A1291" s="2">
        <f ca="1">IFERROR(__xludf.DUMMYFUNCTION("""COMPUTED_VALUE"""),43879.6666666666)</f>
        <v>43879.666666666599</v>
      </c>
      <c r="B1291" s="1">
        <f ca="1">IFERROR(__xludf.DUMMYFUNCTION("""COMPUTED_VALUE"""),56.11)</f>
        <v>56.11</v>
      </c>
      <c r="C1291" s="1">
        <f ca="1">IFERROR(__xludf.DUMMYFUNCTION("""COMPUTED_VALUE"""),57.33)</f>
        <v>57.33</v>
      </c>
      <c r="D1291" s="1">
        <f ca="1">IFERROR(__xludf.DUMMYFUNCTION("""COMPUTED_VALUE"""),55.49)</f>
        <v>55.49</v>
      </c>
      <c r="E1291" s="1">
        <f ca="1">IFERROR(__xludf.DUMMYFUNCTION("""COMPUTED_VALUE"""),57.23)</f>
        <v>57.23</v>
      </c>
      <c r="F1291" s="1">
        <f ca="1">IFERROR(__xludf.DUMMYFUNCTION("""COMPUTED_VALUE"""),16698369)</f>
        <v>16698369</v>
      </c>
    </row>
    <row r="1292" spans="1:6" x14ac:dyDescent="0.35">
      <c r="A1292" s="2">
        <f ca="1">IFERROR(__xludf.DUMMYFUNCTION("""COMPUTED_VALUE"""),43880.6666666666)</f>
        <v>43880.666666666599</v>
      </c>
      <c r="B1292" s="1">
        <f ca="1">IFERROR(__xludf.DUMMYFUNCTION("""COMPUTED_VALUE"""),61.57)</f>
        <v>61.57</v>
      </c>
      <c r="C1292" s="1">
        <f ca="1">IFERROR(__xludf.DUMMYFUNCTION("""COMPUTED_VALUE"""),62.99)</f>
        <v>62.99</v>
      </c>
      <c r="D1292" s="1">
        <f ca="1">IFERROR(__xludf.DUMMYFUNCTION("""COMPUTED_VALUE"""),60.07)</f>
        <v>60.07</v>
      </c>
      <c r="E1292" s="1">
        <f ca="1">IFERROR(__xludf.DUMMYFUNCTION("""COMPUTED_VALUE"""),61.16)</f>
        <v>61.16</v>
      </c>
      <c r="F1292" s="1">
        <f ca="1">IFERROR(__xludf.DUMMYFUNCTION("""COMPUTED_VALUE"""),25422958)</f>
        <v>25422958</v>
      </c>
    </row>
    <row r="1293" spans="1:6" x14ac:dyDescent="0.35">
      <c r="A1293" s="2">
        <f ca="1">IFERROR(__xludf.DUMMYFUNCTION("""COMPUTED_VALUE"""),43881.6666666666)</f>
        <v>43881.666666666599</v>
      </c>
      <c r="B1293" s="1">
        <f ca="1">IFERROR(__xludf.DUMMYFUNCTION("""COMPUTED_VALUE"""),60.8)</f>
        <v>60.8</v>
      </c>
      <c r="C1293" s="1">
        <f ca="1">IFERROR(__xludf.DUMMYFUNCTION("""COMPUTED_VALUE"""),60.8)</f>
        <v>60.8</v>
      </c>
      <c r="D1293" s="1">
        <f ca="1">IFERROR(__xludf.DUMMYFUNCTION("""COMPUTED_VALUE"""),57.33)</f>
        <v>57.33</v>
      </c>
      <c r="E1293" s="1">
        <f ca="1">IFERROR(__xludf.DUMMYFUNCTION("""COMPUTED_VALUE"""),59.96)</f>
        <v>59.96</v>
      </c>
      <c r="F1293" s="1">
        <f ca="1">IFERROR(__xludf.DUMMYFUNCTION("""COMPUTED_VALUE"""),17634893)</f>
        <v>17634893</v>
      </c>
    </row>
    <row r="1294" spans="1:6" x14ac:dyDescent="0.35">
      <c r="A1294" s="2">
        <f ca="1">IFERROR(__xludf.DUMMYFUNCTION("""COMPUTED_VALUE"""),43882.6666666666)</f>
        <v>43882.666666666599</v>
      </c>
      <c r="B1294" s="1">
        <f ca="1">IFERROR(__xludf.DUMMYFUNCTION("""COMPUTED_VALUE"""),60.47)</f>
        <v>60.47</v>
      </c>
      <c r="C1294" s="1">
        <f ca="1">IFERROR(__xludf.DUMMYFUNCTION("""COMPUTED_VALUE"""),60.87)</f>
        <v>60.87</v>
      </c>
      <c r="D1294" s="1">
        <f ca="1">IFERROR(__xludf.DUMMYFUNCTION("""COMPUTED_VALUE"""),58.7)</f>
        <v>58.7</v>
      </c>
      <c r="E1294" s="1">
        <f ca="1">IFERROR(__xludf.DUMMYFUNCTION("""COMPUTED_VALUE"""),60.07)</f>
        <v>60.07</v>
      </c>
      <c r="F1294" s="1">
        <f ca="1">IFERROR(__xludf.DUMMYFUNCTION("""COMPUTED_VALUE"""),14339446)</f>
        <v>14339446</v>
      </c>
    </row>
    <row r="1295" spans="1:6" x14ac:dyDescent="0.35">
      <c r="A1295" s="2">
        <f ca="1">IFERROR(__xludf.DUMMYFUNCTION("""COMPUTED_VALUE"""),43885.6666666666)</f>
        <v>43885.666666666599</v>
      </c>
      <c r="B1295" s="1">
        <f ca="1">IFERROR(__xludf.DUMMYFUNCTION("""COMPUTED_VALUE"""),55.93)</f>
        <v>55.93</v>
      </c>
      <c r="C1295" s="1">
        <f ca="1">IFERROR(__xludf.DUMMYFUNCTION("""COMPUTED_VALUE"""),57.57)</f>
        <v>57.57</v>
      </c>
      <c r="D1295" s="1">
        <f ca="1">IFERROR(__xludf.DUMMYFUNCTION("""COMPUTED_VALUE"""),54.81)</f>
        <v>54.81</v>
      </c>
      <c r="E1295" s="1">
        <f ca="1">IFERROR(__xludf.DUMMYFUNCTION("""COMPUTED_VALUE"""),55.59)</f>
        <v>55.59</v>
      </c>
      <c r="F1295" s="1">
        <f ca="1">IFERROR(__xludf.DUMMYFUNCTION("""COMPUTED_VALUE"""),15192163)</f>
        <v>15192163</v>
      </c>
    </row>
    <row r="1296" spans="1:6" x14ac:dyDescent="0.35">
      <c r="A1296" s="2">
        <f ca="1">IFERROR(__xludf.DUMMYFUNCTION("""COMPUTED_VALUE"""),43886.6666666666)</f>
        <v>43886.666666666599</v>
      </c>
      <c r="B1296" s="1">
        <f ca="1">IFERROR(__xludf.DUMMYFUNCTION("""COMPUTED_VALUE"""),56.6)</f>
        <v>56.6</v>
      </c>
      <c r="C1296" s="1">
        <f ca="1">IFERROR(__xludf.DUMMYFUNCTION("""COMPUTED_VALUE"""),57.11)</f>
        <v>57.11</v>
      </c>
      <c r="D1296" s="1">
        <f ca="1">IFERROR(__xludf.DUMMYFUNCTION("""COMPUTED_VALUE"""),52.47)</f>
        <v>52.47</v>
      </c>
      <c r="E1296" s="1">
        <f ca="1">IFERROR(__xludf.DUMMYFUNCTION("""COMPUTED_VALUE"""),53.33)</f>
        <v>53.33</v>
      </c>
      <c r="F1296" s="1">
        <f ca="1">IFERROR(__xludf.DUMMYFUNCTION("""COMPUTED_VALUE"""),17290481)</f>
        <v>17290481</v>
      </c>
    </row>
    <row r="1297" spans="1:6" x14ac:dyDescent="0.35">
      <c r="A1297" s="2">
        <f ca="1">IFERROR(__xludf.DUMMYFUNCTION("""COMPUTED_VALUE"""),43887.6666666666)</f>
        <v>43887.666666666599</v>
      </c>
      <c r="B1297" s="1">
        <f ca="1">IFERROR(__xludf.DUMMYFUNCTION("""COMPUTED_VALUE"""),52.17)</f>
        <v>52.17</v>
      </c>
      <c r="C1297" s="1">
        <f ca="1">IFERROR(__xludf.DUMMYFUNCTION("""COMPUTED_VALUE"""),54.22)</f>
        <v>54.22</v>
      </c>
      <c r="D1297" s="1">
        <f ca="1">IFERROR(__xludf.DUMMYFUNCTION("""COMPUTED_VALUE"""),51.74)</f>
        <v>51.74</v>
      </c>
      <c r="E1297" s="1">
        <f ca="1">IFERROR(__xludf.DUMMYFUNCTION("""COMPUTED_VALUE"""),51.92)</f>
        <v>51.92</v>
      </c>
      <c r="F1297" s="1">
        <f ca="1">IFERROR(__xludf.DUMMYFUNCTION("""COMPUTED_VALUE"""),14153843)</f>
        <v>14153843</v>
      </c>
    </row>
    <row r="1298" spans="1:6" x14ac:dyDescent="0.35">
      <c r="A1298" s="2">
        <f ca="1">IFERROR(__xludf.DUMMYFUNCTION("""COMPUTED_VALUE"""),43888.6666666666)</f>
        <v>43888.666666666599</v>
      </c>
      <c r="B1298" s="1">
        <f ca="1">IFERROR(__xludf.DUMMYFUNCTION("""COMPUTED_VALUE"""),48.67)</f>
        <v>48.67</v>
      </c>
      <c r="C1298" s="1">
        <f ca="1">IFERROR(__xludf.DUMMYFUNCTION("""COMPUTED_VALUE"""),49.32)</f>
        <v>49.32</v>
      </c>
      <c r="D1298" s="1">
        <f ca="1">IFERROR(__xludf.DUMMYFUNCTION("""COMPUTED_VALUE"""),44.6)</f>
        <v>44.6</v>
      </c>
      <c r="E1298" s="1">
        <f ca="1">IFERROR(__xludf.DUMMYFUNCTION("""COMPUTED_VALUE"""),45.27)</f>
        <v>45.27</v>
      </c>
      <c r="F1298" s="1">
        <f ca="1">IFERROR(__xludf.DUMMYFUNCTION("""COMPUTED_VALUE"""),24277160)</f>
        <v>24277160</v>
      </c>
    </row>
    <row r="1299" spans="1:6" x14ac:dyDescent="0.35">
      <c r="A1299" s="2">
        <f ca="1">IFERROR(__xludf.DUMMYFUNCTION("""COMPUTED_VALUE"""),43889.6666666666)</f>
        <v>43889.666666666599</v>
      </c>
      <c r="B1299" s="1">
        <f ca="1">IFERROR(__xludf.DUMMYFUNCTION("""COMPUTED_VALUE"""),41.98)</f>
        <v>41.98</v>
      </c>
      <c r="C1299" s="1">
        <f ca="1">IFERROR(__xludf.DUMMYFUNCTION("""COMPUTED_VALUE"""),46.03)</f>
        <v>46.03</v>
      </c>
      <c r="D1299" s="1">
        <f ca="1">IFERROR(__xludf.DUMMYFUNCTION("""COMPUTED_VALUE"""),40.77)</f>
        <v>40.770000000000003</v>
      </c>
      <c r="E1299" s="1">
        <f ca="1">IFERROR(__xludf.DUMMYFUNCTION("""COMPUTED_VALUE"""),44.53)</f>
        <v>44.53</v>
      </c>
      <c r="F1299" s="1">
        <f ca="1">IFERROR(__xludf.DUMMYFUNCTION("""COMPUTED_VALUE"""),24564171)</f>
        <v>24564171</v>
      </c>
    </row>
    <row r="1300" spans="1:6" x14ac:dyDescent="0.35">
      <c r="A1300" s="2">
        <f ca="1">IFERROR(__xludf.DUMMYFUNCTION("""COMPUTED_VALUE"""),43892.6666666666)</f>
        <v>43892.666666666599</v>
      </c>
      <c r="B1300" s="1">
        <f ca="1">IFERROR(__xludf.DUMMYFUNCTION("""COMPUTED_VALUE"""),47.42)</f>
        <v>47.42</v>
      </c>
      <c r="C1300" s="1">
        <f ca="1">IFERROR(__xludf.DUMMYFUNCTION("""COMPUTED_VALUE"""),49.58)</f>
        <v>49.58</v>
      </c>
      <c r="D1300" s="1">
        <f ca="1">IFERROR(__xludf.DUMMYFUNCTION("""COMPUTED_VALUE"""),45.78)</f>
        <v>45.78</v>
      </c>
      <c r="E1300" s="1">
        <f ca="1">IFERROR(__xludf.DUMMYFUNCTION("""COMPUTED_VALUE"""),49.57)</f>
        <v>49.57</v>
      </c>
      <c r="F1300" s="1">
        <f ca="1">IFERROR(__xludf.DUMMYFUNCTION("""COMPUTED_VALUE"""),20194991)</f>
        <v>20194991</v>
      </c>
    </row>
    <row r="1301" spans="1:6" x14ac:dyDescent="0.35">
      <c r="A1301" s="2">
        <f ca="1">IFERROR(__xludf.DUMMYFUNCTION("""COMPUTED_VALUE"""),43893.6666666666)</f>
        <v>43893.666666666599</v>
      </c>
      <c r="B1301" s="1">
        <f ca="1">IFERROR(__xludf.DUMMYFUNCTION("""COMPUTED_VALUE"""),53.67)</f>
        <v>53.67</v>
      </c>
      <c r="C1301" s="1">
        <f ca="1">IFERROR(__xludf.DUMMYFUNCTION("""COMPUTED_VALUE"""),53.8)</f>
        <v>53.8</v>
      </c>
      <c r="D1301" s="1">
        <f ca="1">IFERROR(__xludf.DUMMYFUNCTION("""COMPUTED_VALUE"""),47.74)</f>
        <v>47.74</v>
      </c>
      <c r="E1301" s="1">
        <f ca="1">IFERROR(__xludf.DUMMYFUNCTION("""COMPUTED_VALUE"""),49.7)</f>
        <v>49.7</v>
      </c>
      <c r="F1301" s="1">
        <f ca="1">IFERROR(__xludf.DUMMYFUNCTION("""COMPUTED_VALUE"""),25784003)</f>
        <v>25784003</v>
      </c>
    </row>
    <row r="1302" spans="1:6" x14ac:dyDescent="0.35">
      <c r="A1302" s="2">
        <f ca="1">IFERROR(__xludf.DUMMYFUNCTION("""COMPUTED_VALUE"""),43894.6666666666)</f>
        <v>43894.666666666599</v>
      </c>
      <c r="B1302" s="1">
        <f ca="1">IFERROR(__xludf.DUMMYFUNCTION("""COMPUTED_VALUE"""),50.93)</f>
        <v>50.93</v>
      </c>
      <c r="C1302" s="1">
        <f ca="1">IFERROR(__xludf.DUMMYFUNCTION("""COMPUTED_VALUE"""),51.1)</f>
        <v>51.1</v>
      </c>
      <c r="D1302" s="1">
        <f ca="1">IFERROR(__xludf.DUMMYFUNCTION("""COMPUTED_VALUE"""),48.32)</f>
        <v>48.32</v>
      </c>
      <c r="E1302" s="1">
        <f ca="1">IFERROR(__xludf.DUMMYFUNCTION("""COMPUTED_VALUE"""),49.97)</f>
        <v>49.97</v>
      </c>
      <c r="F1302" s="1">
        <f ca="1">IFERROR(__xludf.DUMMYFUNCTION("""COMPUTED_VALUE"""),15048977)</f>
        <v>15048977</v>
      </c>
    </row>
    <row r="1303" spans="1:6" x14ac:dyDescent="0.35">
      <c r="A1303" s="2">
        <f ca="1">IFERROR(__xludf.DUMMYFUNCTION("""COMPUTED_VALUE"""),43895.6666666666)</f>
        <v>43895.666666666599</v>
      </c>
      <c r="B1303" s="1">
        <f ca="1">IFERROR(__xludf.DUMMYFUNCTION("""COMPUTED_VALUE"""),48.25)</f>
        <v>48.25</v>
      </c>
      <c r="C1303" s="1">
        <f ca="1">IFERROR(__xludf.DUMMYFUNCTION("""COMPUTED_VALUE"""),49.72)</f>
        <v>49.72</v>
      </c>
      <c r="D1303" s="1">
        <f ca="1">IFERROR(__xludf.DUMMYFUNCTION("""COMPUTED_VALUE"""),47.87)</f>
        <v>47.87</v>
      </c>
      <c r="E1303" s="1">
        <f ca="1">IFERROR(__xludf.DUMMYFUNCTION("""COMPUTED_VALUE"""),48.3)</f>
        <v>48.3</v>
      </c>
      <c r="F1303" s="1">
        <f ca="1">IFERROR(__xludf.DUMMYFUNCTION("""COMPUTED_VALUE"""),10852657)</f>
        <v>10852657</v>
      </c>
    </row>
    <row r="1304" spans="1:6" x14ac:dyDescent="0.35">
      <c r="A1304" s="2">
        <f ca="1">IFERROR(__xludf.DUMMYFUNCTION("""COMPUTED_VALUE"""),43896.6666666666)</f>
        <v>43896.666666666599</v>
      </c>
      <c r="B1304" s="1">
        <f ca="1">IFERROR(__xludf.DUMMYFUNCTION("""COMPUTED_VALUE"""),46)</f>
        <v>46</v>
      </c>
      <c r="C1304" s="1">
        <f ca="1">IFERROR(__xludf.DUMMYFUNCTION("""COMPUTED_VALUE"""),47.13)</f>
        <v>47.13</v>
      </c>
      <c r="D1304" s="1">
        <f ca="1">IFERROR(__xludf.DUMMYFUNCTION("""COMPUTED_VALUE"""),45.62)</f>
        <v>45.62</v>
      </c>
      <c r="E1304" s="1">
        <f ca="1">IFERROR(__xludf.DUMMYFUNCTION("""COMPUTED_VALUE"""),46.9)</f>
        <v>46.9</v>
      </c>
      <c r="F1304" s="1">
        <f ca="1">IFERROR(__xludf.DUMMYFUNCTION("""COMPUTED_VALUE"""),12662918)</f>
        <v>12662918</v>
      </c>
    </row>
    <row r="1305" spans="1:6" x14ac:dyDescent="0.35">
      <c r="A1305" s="2">
        <f ca="1">IFERROR(__xludf.DUMMYFUNCTION("""COMPUTED_VALUE"""),43899.6666666666)</f>
        <v>43899.666666666599</v>
      </c>
      <c r="B1305" s="1">
        <f ca="1">IFERROR(__xludf.DUMMYFUNCTION("""COMPUTED_VALUE"""),40.36)</f>
        <v>40.36</v>
      </c>
      <c r="C1305" s="1">
        <f ca="1">IFERROR(__xludf.DUMMYFUNCTION("""COMPUTED_VALUE"""),44.2)</f>
        <v>44.2</v>
      </c>
      <c r="D1305" s="1">
        <f ca="1">IFERROR(__xludf.DUMMYFUNCTION("""COMPUTED_VALUE"""),40.33)</f>
        <v>40.33</v>
      </c>
      <c r="E1305" s="1">
        <f ca="1">IFERROR(__xludf.DUMMYFUNCTION("""COMPUTED_VALUE"""),40.53)</f>
        <v>40.53</v>
      </c>
      <c r="F1305" s="1">
        <f ca="1">IFERROR(__xludf.DUMMYFUNCTION("""COMPUTED_VALUE"""),17073740)</f>
        <v>17073740</v>
      </c>
    </row>
    <row r="1306" spans="1:6" x14ac:dyDescent="0.35">
      <c r="A1306" s="2">
        <f ca="1">IFERROR(__xludf.DUMMYFUNCTION("""COMPUTED_VALUE"""),43900.6666666666)</f>
        <v>43900.666666666599</v>
      </c>
      <c r="B1306" s="1">
        <f ca="1">IFERROR(__xludf.DUMMYFUNCTION("""COMPUTED_VALUE"""),43.96)</f>
        <v>43.96</v>
      </c>
      <c r="C1306" s="1">
        <f ca="1">IFERROR(__xludf.DUMMYFUNCTION("""COMPUTED_VALUE"""),44.53)</f>
        <v>44.53</v>
      </c>
      <c r="D1306" s="1">
        <f ca="1">IFERROR(__xludf.DUMMYFUNCTION("""COMPUTED_VALUE"""),40.53)</f>
        <v>40.53</v>
      </c>
      <c r="E1306" s="1">
        <f ca="1">IFERROR(__xludf.DUMMYFUNCTION("""COMPUTED_VALUE"""),43.02)</f>
        <v>43.02</v>
      </c>
      <c r="F1306" s="1">
        <f ca="1">IFERROR(__xludf.DUMMYFUNCTION("""COMPUTED_VALUE"""),15594443)</f>
        <v>15594443</v>
      </c>
    </row>
    <row r="1307" spans="1:6" x14ac:dyDescent="0.35">
      <c r="A1307" s="2">
        <f ca="1">IFERROR(__xludf.DUMMYFUNCTION("""COMPUTED_VALUE"""),43901.6666666666)</f>
        <v>43901.666666666599</v>
      </c>
      <c r="B1307" s="1">
        <f ca="1">IFERROR(__xludf.DUMMYFUNCTION("""COMPUTED_VALUE"""),42.68)</f>
        <v>42.68</v>
      </c>
      <c r="C1307" s="1">
        <f ca="1">IFERROR(__xludf.DUMMYFUNCTION("""COMPUTED_VALUE"""),43.57)</f>
        <v>43.57</v>
      </c>
      <c r="D1307" s="1">
        <f ca="1">IFERROR(__xludf.DUMMYFUNCTION("""COMPUTED_VALUE"""),40.87)</f>
        <v>40.869999999999997</v>
      </c>
      <c r="E1307" s="1">
        <f ca="1">IFERROR(__xludf.DUMMYFUNCTION("""COMPUTED_VALUE"""),42.28)</f>
        <v>42.28</v>
      </c>
      <c r="F1307" s="1">
        <f ca="1">IFERROR(__xludf.DUMMYFUNCTION("""COMPUTED_VALUE"""),13413587)</f>
        <v>13413587</v>
      </c>
    </row>
    <row r="1308" spans="1:6" x14ac:dyDescent="0.35">
      <c r="A1308" s="2">
        <f ca="1">IFERROR(__xludf.DUMMYFUNCTION("""COMPUTED_VALUE"""),43902.6666666666)</f>
        <v>43902.666666666599</v>
      </c>
      <c r="B1308" s="1">
        <f ca="1">IFERROR(__xludf.DUMMYFUNCTION("""COMPUTED_VALUE"""),38.73)</f>
        <v>38.729999999999997</v>
      </c>
      <c r="C1308" s="1">
        <f ca="1">IFERROR(__xludf.DUMMYFUNCTION("""COMPUTED_VALUE"""),39.63)</f>
        <v>39.630000000000003</v>
      </c>
      <c r="D1308" s="1">
        <f ca="1">IFERROR(__xludf.DUMMYFUNCTION("""COMPUTED_VALUE"""),36.42)</f>
        <v>36.42</v>
      </c>
      <c r="E1308" s="1">
        <f ca="1">IFERROR(__xludf.DUMMYFUNCTION("""COMPUTED_VALUE"""),37.37)</f>
        <v>37.369999999999997</v>
      </c>
      <c r="F1308" s="1">
        <f ca="1">IFERROR(__xludf.DUMMYFUNCTION("""COMPUTED_VALUE"""),18909052)</f>
        <v>18909052</v>
      </c>
    </row>
    <row r="1309" spans="1:6" x14ac:dyDescent="0.35">
      <c r="A1309" s="2">
        <f ca="1">IFERROR(__xludf.DUMMYFUNCTION("""COMPUTED_VALUE"""),43903.6666666666)</f>
        <v>43903.666666666599</v>
      </c>
      <c r="B1309" s="1">
        <f ca="1">IFERROR(__xludf.DUMMYFUNCTION("""COMPUTED_VALUE"""),39.67)</f>
        <v>39.67</v>
      </c>
      <c r="C1309" s="1">
        <f ca="1">IFERROR(__xludf.DUMMYFUNCTION("""COMPUTED_VALUE"""),40.5)</f>
        <v>40.5</v>
      </c>
      <c r="D1309" s="1">
        <f ca="1">IFERROR(__xludf.DUMMYFUNCTION("""COMPUTED_VALUE"""),33.47)</f>
        <v>33.47</v>
      </c>
      <c r="E1309" s="1">
        <f ca="1">IFERROR(__xludf.DUMMYFUNCTION("""COMPUTED_VALUE"""),36.44)</f>
        <v>36.44</v>
      </c>
      <c r="F1309" s="1">
        <f ca="1">IFERROR(__xludf.DUMMYFUNCTION("""COMPUTED_VALUE"""),22640254)</f>
        <v>22640254</v>
      </c>
    </row>
    <row r="1310" spans="1:6" x14ac:dyDescent="0.35">
      <c r="A1310" s="2">
        <f ca="1">IFERROR(__xludf.DUMMYFUNCTION("""COMPUTED_VALUE"""),43906.6666666666)</f>
        <v>43906.666666666599</v>
      </c>
      <c r="B1310" s="1">
        <f ca="1">IFERROR(__xludf.DUMMYFUNCTION("""COMPUTED_VALUE"""),31.3)</f>
        <v>31.3</v>
      </c>
      <c r="C1310" s="1">
        <f ca="1">IFERROR(__xludf.DUMMYFUNCTION("""COMPUTED_VALUE"""),32.99)</f>
        <v>32.99</v>
      </c>
      <c r="D1310" s="1">
        <f ca="1">IFERROR(__xludf.DUMMYFUNCTION("""COMPUTED_VALUE"""),29.48)</f>
        <v>29.48</v>
      </c>
      <c r="E1310" s="1">
        <f ca="1">IFERROR(__xludf.DUMMYFUNCTION("""COMPUTED_VALUE"""),29.67)</f>
        <v>29.67</v>
      </c>
      <c r="F1310" s="1">
        <f ca="1">IFERROR(__xludf.DUMMYFUNCTION("""COMPUTED_VALUE"""),20489464)</f>
        <v>20489464</v>
      </c>
    </row>
    <row r="1311" spans="1:6" x14ac:dyDescent="0.35">
      <c r="A1311" s="2">
        <f ca="1">IFERROR(__xludf.DUMMYFUNCTION("""COMPUTED_VALUE"""),43907.6666666666)</f>
        <v>43907.666666666599</v>
      </c>
      <c r="B1311" s="1">
        <f ca="1">IFERROR(__xludf.DUMMYFUNCTION("""COMPUTED_VALUE"""),29.33)</f>
        <v>29.33</v>
      </c>
      <c r="C1311" s="1">
        <f ca="1">IFERROR(__xludf.DUMMYFUNCTION("""COMPUTED_VALUE"""),31.46)</f>
        <v>31.46</v>
      </c>
      <c r="D1311" s="1">
        <f ca="1">IFERROR(__xludf.DUMMYFUNCTION("""COMPUTED_VALUE"""),26.4)</f>
        <v>26.4</v>
      </c>
      <c r="E1311" s="1">
        <f ca="1">IFERROR(__xludf.DUMMYFUNCTION("""COMPUTED_VALUE"""),28.68)</f>
        <v>28.68</v>
      </c>
      <c r="F1311" s="1">
        <f ca="1">IFERROR(__xludf.DUMMYFUNCTION("""COMPUTED_VALUE"""),23994580)</f>
        <v>23994580</v>
      </c>
    </row>
    <row r="1312" spans="1:6" x14ac:dyDescent="0.35">
      <c r="A1312" s="2">
        <f ca="1">IFERROR(__xludf.DUMMYFUNCTION("""COMPUTED_VALUE"""),43908.6666666666)</f>
        <v>43908.666666666599</v>
      </c>
      <c r="B1312" s="1">
        <f ca="1">IFERROR(__xludf.DUMMYFUNCTION("""COMPUTED_VALUE"""),25.93)</f>
        <v>25.93</v>
      </c>
      <c r="C1312" s="1">
        <f ca="1">IFERROR(__xludf.DUMMYFUNCTION("""COMPUTED_VALUE"""),26.99)</f>
        <v>26.99</v>
      </c>
      <c r="D1312" s="1">
        <f ca="1">IFERROR(__xludf.DUMMYFUNCTION("""COMPUTED_VALUE"""),23.37)</f>
        <v>23.37</v>
      </c>
      <c r="E1312" s="1">
        <f ca="1">IFERROR(__xludf.DUMMYFUNCTION("""COMPUTED_VALUE"""),24.08)</f>
        <v>24.08</v>
      </c>
      <c r="F1312" s="1">
        <f ca="1">IFERROR(__xludf.DUMMYFUNCTION("""COMPUTED_VALUE"""),23786162)</f>
        <v>23786162</v>
      </c>
    </row>
    <row r="1313" spans="1:6" x14ac:dyDescent="0.35">
      <c r="A1313" s="2">
        <f ca="1">IFERROR(__xludf.DUMMYFUNCTION("""COMPUTED_VALUE"""),43909.6666666666)</f>
        <v>43909.666666666599</v>
      </c>
      <c r="B1313" s="1">
        <f ca="1">IFERROR(__xludf.DUMMYFUNCTION("""COMPUTED_VALUE"""),24.98)</f>
        <v>24.98</v>
      </c>
      <c r="C1313" s="1">
        <f ca="1">IFERROR(__xludf.DUMMYFUNCTION("""COMPUTED_VALUE"""),30.13)</f>
        <v>30.13</v>
      </c>
      <c r="D1313" s="1">
        <f ca="1">IFERROR(__xludf.DUMMYFUNCTION("""COMPUTED_VALUE"""),23.9)</f>
        <v>23.9</v>
      </c>
      <c r="E1313" s="1">
        <f ca="1">IFERROR(__xludf.DUMMYFUNCTION("""COMPUTED_VALUE"""),28.51)</f>
        <v>28.51</v>
      </c>
      <c r="F1313" s="1">
        <f ca="1">IFERROR(__xludf.DUMMYFUNCTION("""COMPUTED_VALUE"""),30195460)</f>
        <v>30195460</v>
      </c>
    </row>
    <row r="1314" spans="1:6" x14ac:dyDescent="0.35">
      <c r="A1314" s="2">
        <f ca="1">IFERROR(__xludf.DUMMYFUNCTION("""COMPUTED_VALUE"""),43910.6666666666)</f>
        <v>43910.666666666599</v>
      </c>
      <c r="B1314" s="1">
        <f ca="1">IFERROR(__xludf.DUMMYFUNCTION("""COMPUTED_VALUE"""),29.21)</f>
        <v>29.21</v>
      </c>
      <c r="C1314" s="1">
        <f ca="1">IFERROR(__xludf.DUMMYFUNCTION("""COMPUTED_VALUE"""),31.8)</f>
        <v>31.8</v>
      </c>
      <c r="D1314" s="1">
        <f ca="1">IFERROR(__xludf.DUMMYFUNCTION("""COMPUTED_VALUE"""),28.39)</f>
        <v>28.39</v>
      </c>
      <c r="E1314" s="1">
        <f ca="1">IFERROR(__xludf.DUMMYFUNCTION("""COMPUTED_VALUE"""),28.5)</f>
        <v>28.5</v>
      </c>
      <c r="F1314" s="1">
        <f ca="1">IFERROR(__xludf.DUMMYFUNCTION("""COMPUTED_VALUE"""),28285502)</f>
        <v>28285502</v>
      </c>
    </row>
    <row r="1315" spans="1:6" x14ac:dyDescent="0.35">
      <c r="A1315" s="2">
        <f ca="1">IFERROR(__xludf.DUMMYFUNCTION("""COMPUTED_VALUE"""),43913.6666666666)</f>
        <v>43913.666666666599</v>
      </c>
      <c r="B1315" s="1">
        <f ca="1">IFERROR(__xludf.DUMMYFUNCTION("""COMPUTED_VALUE"""),28.91)</f>
        <v>28.91</v>
      </c>
      <c r="C1315" s="1">
        <f ca="1">IFERROR(__xludf.DUMMYFUNCTION("""COMPUTED_VALUE"""),29.47)</f>
        <v>29.47</v>
      </c>
      <c r="D1315" s="1">
        <f ca="1">IFERROR(__xludf.DUMMYFUNCTION("""COMPUTED_VALUE"""),27.37)</f>
        <v>27.37</v>
      </c>
      <c r="E1315" s="1">
        <f ca="1">IFERROR(__xludf.DUMMYFUNCTION("""COMPUTED_VALUE"""),28.95)</f>
        <v>28.95</v>
      </c>
      <c r="F1315" s="1">
        <f ca="1">IFERROR(__xludf.DUMMYFUNCTION("""COMPUTED_VALUE"""),16454549)</f>
        <v>16454549</v>
      </c>
    </row>
    <row r="1316" spans="1:6" x14ac:dyDescent="0.35">
      <c r="A1316" s="2">
        <f ca="1">IFERROR(__xludf.DUMMYFUNCTION("""COMPUTED_VALUE"""),43914.6666666666)</f>
        <v>43914.666666666599</v>
      </c>
      <c r="B1316" s="1">
        <f ca="1">IFERROR(__xludf.DUMMYFUNCTION("""COMPUTED_VALUE"""),31.82)</f>
        <v>31.82</v>
      </c>
      <c r="C1316" s="1">
        <f ca="1">IFERROR(__xludf.DUMMYFUNCTION("""COMPUTED_VALUE"""),34.25)</f>
        <v>34.25</v>
      </c>
      <c r="D1316" s="1">
        <f ca="1">IFERROR(__xludf.DUMMYFUNCTION("""COMPUTED_VALUE"""),31.6)</f>
        <v>31.6</v>
      </c>
      <c r="E1316" s="1">
        <f ca="1">IFERROR(__xludf.DUMMYFUNCTION("""COMPUTED_VALUE"""),33.67)</f>
        <v>33.67</v>
      </c>
      <c r="F1316" s="1">
        <f ca="1">IFERROR(__xludf.DUMMYFUNCTION("""COMPUTED_VALUE"""),22895170)</f>
        <v>22895170</v>
      </c>
    </row>
    <row r="1317" spans="1:6" x14ac:dyDescent="0.35">
      <c r="A1317" s="2">
        <f ca="1">IFERROR(__xludf.DUMMYFUNCTION("""COMPUTED_VALUE"""),43915.6666666666)</f>
        <v>43915.666666666599</v>
      </c>
      <c r="B1317" s="1">
        <f ca="1">IFERROR(__xludf.DUMMYFUNCTION("""COMPUTED_VALUE"""),36.35)</f>
        <v>36.35</v>
      </c>
      <c r="C1317" s="1">
        <f ca="1">IFERROR(__xludf.DUMMYFUNCTION("""COMPUTED_VALUE"""),37.13)</f>
        <v>37.130000000000003</v>
      </c>
      <c r="D1317" s="1">
        <f ca="1">IFERROR(__xludf.DUMMYFUNCTION("""COMPUTED_VALUE"""),34.07)</f>
        <v>34.07</v>
      </c>
      <c r="E1317" s="1">
        <f ca="1">IFERROR(__xludf.DUMMYFUNCTION("""COMPUTED_VALUE"""),35.95)</f>
        <v>35.950000000000003</v>
      </c>
      <c r="F1317" s="1">
        <f ca="1">IFERROR(__xludf.DUMMYFUNCTION("""COMPUTED_VALUE"""),21222745)</f>
        <v>21222745</v>
      </c>
    </row>
    <row r="1318" spans="1:6" x14ac:dyDescent="0.35">
      <c r="A1318" s="2">
        <f ca="1">IFERROR(__xludf.DUMMYFUNCTION("""COMPUTED_VALUE"""),43916.6666666666)</f>
        <v>43916.666666666599</v>
      </c>
      <c r="B1318" s="1">
        <f ca="1">IFERROR(__xludf.DUMMYFUNCTION("""COMPUTED_VALUE"""),36.49)</f>
        <v>36.49</v>
      </c>
      <c r="C1318" s="1">
        <f ca="1">IFERROR(__xludf.DUMMYFUNCTION("""COMPUTED_VALUE"""),37.33)</f>
        <v>37.33</v>
      </c>
      <c r="D1318" s="1">
        <f ca="1">IFERROR(__xludf.DUMMYFUNCTION("""COMPUTED_VALUE"""),34.15)</f>
        <v>34.15</v>
      </c>
      <c r="E1318" s="1">
        <f ca="1">IFERROR(__xludf.DUMMYFUNCTION("""COMPUTED_VALUE"""),35.21)</f>
        <v>35.21</v>
      </c>
      <c r="F1318" s="1">
        <f ca="1">IFERROR(__xludf.DUMMYFUNCTION("""COMPUTED_VALUE"""),17422082)</f>
        <v>17422082</v>
      </c>
    </row>
    <row r="1319" spans="1:6" x14ac:dyDescent="0.35">
      <c r="A1319" s="2">
        <f ca="1">IFERROR(__xludf.DUMMYFUNCTION("""COMPUTED_VALUE"""),43917.6666666666)</f>
        <v>43917.666666666599</v>
      </c>
      <c r="B1319" s="1">
        <f ca="1">IFERROR(__xludf.DUMMYFUNCTION("""COMPUTED_VALUE"""),33.67)</f>
        <v>33.67</v>
      </c>
      <c r="C1319" s="1">
        <f ca="1">IFERROR(__xludf.DUMMYFUNCTION("""COMPUTED_VALUE"""),35.05)</f>
        <v>35.049999999999997</v>
      </c>
      <c r="D1319" s="1">
        <f ca="1">IFERROR(__xludf.DUMMYFUNCTION("""COMPUTED_VALUE"""),32.94)</f>
        <v>32.94</v>
      </c>
      <c r="E1319" s="1">
        <f ca="1">IFERROR(__xludf.DUMMYFUNCTION("""COMPUTED_VALUE"""),34.29)</f>
        <v>34.29</v>
      </c>
      <c r="F1319" s="1">
        <f ca="1">IFERROR(__xludf.DUMMYFUNCTION("""COMPUTED_VALUE"""),14377408)</f>
        <v>14377408</v>
      </c>
    </row>
    <row r="1320" spans="1:6" x14ac:dyDescent="0.35">
      <c r="A1320" s="2">
        <f ca="1">IFERROR(__xludf.DUMMYFUNCTION("""COMPUTED_VALUE"""),43920.6666666666)</f>
        <v>43920.666666666599</v>
      </c>
      <c r="B1320" s="1">
        <f ca="1">IFERROR(__xludf.DUMMYFUNCTION("""COMPUTED_VALUE"""),34.02)</f>
        <v>34.020000000000003</v>
      </c>
      <c r="C1320" s="1">
        <f ca="1">IFERROR(__xludf.DUMMYFUNCTION("""COMPUTED_VALUE"""),34.44)</f>
        <v>34.44</v>
      </c>
      <c r="D1320" s="1">
        <f ca="1">IFERROR(__xludf.DUMMYFUNCTION("""COMPUTED_VALUE"""),32.75)</f>
        <v>32.75</v>
      </c>
      <c r="E1320" s="1">
        <f ca="1">IFERROR(__xludf.DUMMYFUNCTION("""COMPUTED_VALUE"""),33.48)</f>
        <v>33.479999999999997</v>
      </c>
      <c r="F1320" s="1">
        <f ca="1">IFERROR(__xludf.DUMMYFUNCTION("""COMPUTED_VALUE"""),11998067)</f>
        <v>11998067</v>
      </c>
    </row>
    <row r="1321" spans="1:6" x14ac:dyDescent="0.35">
      <c r="A1321" s="2">
        <f ca="1">IFERROR(__xludf.DUMMYFUNCTION("""COMPUTED_VALUE"""),43921.6666666666)</f>
        <v>43921.666666666599</v>
      </c>
      <c r="B1321" s="1">
        <f ca="1">IFERROR(__xludf.DUMMYFUNCTION("""COMPUTED_VALUE"""),33.42)</f>
        <v>33.42</v>
      </c>
      <c r="C1321" s="1">
        <f ca="1">IFERROR(__xludf.DUMMYFUNCTION("""COMPUTED_VALUE"""),36.2)</f>
        <v>36.200000000000003</v>
      </c>
      <c r="D1321" s="1">
        <f ca="1">IFERROR(__xludf.DUMMYFUNCTION("""COMPUTED_VALUE"""),33.13)</f>
        <v>33.130000000000003</v>
      </c>
      <c r="E1321" s="1">
        <f ca="1">IFERROR(__xludf.DUMMYFUNCTION("""COMPUTED_VALUE"""),34.93)</f>
        <v>34.93</v>
      </c>
      <c r="F1321" s="1">
        <f ca="1">IFERROR(__xludf.DUMMYFUNCTION("""COMPUTED_VALUE"""),17771485)</f>
        <v>17771485</v>
      </c>
    </row>
    <row r="1322" spans="1:6" x14ac:dyDescent="0.35">
      <c r="A1322" s="2">
        <f ca="1">IFERROR(__xludf.DUMMYFUNCTION("""COMPUTED_VALUE"""),43922.6666666666)</f>
        <v>43922.666666666599</v>
      </c>
      <c r="B1322" s="1">
        <f ca="1">IFERROR(__xludf.DUMMYFUNCTION("""COMPUTED_VALUE"""),33.6)</f>
        <v>33.6</v>
      </c>
      <c r="C1322" s="1">
        <f ca="1">IFERROR(__xludf.DUMMYFUNCTION("""COMPUTED_VALUE"""),34.26)</f>
        <v>34.26</v>
      </c>
      <c r="D1322" s="1">
        <f ca="1">IFERROR(__xludf.DUMMYFUNCTION("""COMPUTED_VALUE"""),31.67)</f>
        <v>31.67</v>
      </c>
      <c r="E1322" s="1">
        <f ca="1">IFERROR(__xludf.DUMMYFUNCTION("""COMPUTED_VALUE"""),32.1)</f>
        <v>32.1</v>
      </c>
      <c r="F1322" s="1">
        <f ca="1">IFERROR(__xludf.DUMMYFUNCTION("""COMPUTED_VALUE"""),13353180)</f>
        <v>13353180</v>
      </c>
    </row>
    <row r="1323" spans="1:6" x14ac:dyDescent="0.35">
      <c r="A1323" s="2">
        <f ca="1">IFERROR(__xludf.DUMMYFUNCTION("""COMPUTED_VALUE"""),43923.6666666666)</f>
        <v>43923.666666666599</v>
      </c>
      <c r="B1323" s="1">
        <f ca="1">IFERROR(__xludf.DUMMYFUNCTION("""COMPUTED_VALUE"""),32.07)</f>
        <v>32.07</v>
      </c>
      <c r="C1323" s="1">
        <f ca="1">IFERROR(__xludf.DUMMYFUNCTION("""COMPUTED_VALUE"""),32.95)</f>
        <v>32.950000000000003</v>
      </c>
      <c r="D1323" s="1">
        <f ca="1">IFERROR(__xludf.DUMMYFUNCTION("""COMPUTED_VALUE"""),29.76)</f>
        <v>29.76</v>
      </c>
      <c r="E1323" s="1">
        <f ca="1">IFERROR(__xludf.DUMMYFUNCTION("""COMPUTED_VALUE"""),30.3)</f>
        <v>30.3</v>
      </c>
      <c r="F1323" s="1">
        <f ca="1">IFERROR(__xludf.DUMMYFUNCTION("""COMPUTED_VALUE"""),19858427)</f>
        <v>19858427</v>
      </c>
    </row>
    <row r="1324" spans="1:6" x14ac:dyDescent="0.35">
      <c r="A1324" s="2">
        <f ca="1">IFERROR(__xludf.DUMMYFUNCTION("""COMPUTED_VALUE"""),43924.6666666666)</f>
        <v>43924.666666666599</v>
      </c>
      <c r="B1324" s="1">
        <f ca="1">IFERROR(__xludf.DUMMYFUNCTION("""COMPUTED_VALUE"""),33.97)</f>
        <v>33.97</v>
      </c>
      <c r="C1324" s="1">
        <f ca="1">IFERROR(__xludf.DUMMYFUNCTION("""COMPUTED_VALUE"""),34.37)</f>
        <v>34.369999999999997</v>
      </c>
      <c r="D1324" s="1">
        <f ca="1">IFERROR(__xludf.DUMMYFUNCTION("""COMPUTED_VALUE"""),31.23)</f>
        <v>31.23</v>
      </c>
      <c r="E1324" s="1">
        <f ca="1">IFERROR(__xludf.DUMMYFUNCTION("""COMPUTED_VALUE"""),32)</f>
        <v>32</v>
      </c>
      <c r="F1324" s="1">
        <f ca="1">IFERROR(__xludf.DUMMYFUNCTION("""COMPUTED_VALUE"""),22562076)</f>
        <v>22562076</v>
      </c>
    </row>
    <row r="1325" spans="1:6" x14ac:dyDescent="0.35">
      <c r="A1325" s="2">
        <f ca="1">IFERROR(__xludf.DUMMYFUNCTION("""COMPUTED_VALUE"""),43927.6666666666)</f>
        <v>43927.666666666599</v>
      </c>
      <c r="B1325" s="1">
        <f ca="1">IFERROR(__xludf.DUMMYFUNCTION("""COMPUTED_VALUE"""),34.08)</f>
        <v>34.08</v>
      </c>
      <c r="C1325" s="1">
        <f ca="1">IFERROR(__xludf.DUMMYFUNCTION("""COMPUTED_VALUE"""),34.73)</f>
        <v>34.729999999999997</v>
      </c>
      <c r="D1325" s="1">
        <f ca="1">IFERROR(__xludf.DUMMYFUNCTION("""COMPUTED_VALUE"""),33.2)</f>
        <v>33.200000000000003</v>
      </c>
      <c r="E1325" s="1">
        <f ca="1">IFERROR(__xludf.DUMMYFUNCTION("""COMPUTED_VALUE"""),34.42)</f>
        <v>34.42</v>
      </c>
      <c r="F1325" s="1">
        <f ca="1">IFERROR(__xludf.DUMMYFUNCTION("""COMPUTED_VALUE"""),14901836)</f>
        <v>14901836</v>
      </c>
    </row>
    <row r="1326" spans="1:6" x14ac:dyDescent="0.35">
      <c r="A1326" s="2">
        <f ca="1">IFERROR(__xludf.DUMMYFUNCTION("""COMPUTED_VALUE"""),43928.6666666666)</f>
        <v>43928.666666666599</v>
      </c>
      <c r="B1326" s="1">
        <f ca="1">IFERROR(__xludf.DUMMYFUNCTION("""COMPUTED_VALUE"""),36.33)</f>
        <v>36.33</v>
      </c>
      <c r="C1326" s="1">
        <f ca="1">IFERROR(__xludf.DUMMYFUNCTION("""COMPUTED_VALUE"""),37.67)</f>
        <v>37.67</v>
      </c>
      <c r="D1326" s="1">
        <f ca="1">IFERROR(__xludf.DUMMYFUNCTION("""COMPUTED_VALUE"""),35.49)</f>
        <v>35.49</v>
      </c>
      <c r="E1326" s="1">
        <f ca="1">IFERROR(__xludf.DUMMYFUNCTION("""COMPUTED_VALUE"""),36.36)</f>
        <v>36.36</v>
      </c>
      <c r="F1326" s="1">
        <f ca="1">IFERROR(__xludf.DUMMYFUNCTION("""COMPUTED_VALUE"""),17919784)</f>
        <v>17919784</v>
      </c>
    </row>
    <row r="1327" spans="1:6" x14ac:dyDescent="0.35">
      <c r="A1327" s="2">
        <f ca="1">IFERROR(__xludf.DUMMYFUNCTION("""COMPUTED_VALUE"""),43929.6666666666)</f>
        <v>43929.666666666599</v>
      </c>
      <c r="B1327" s="1">
        <f ca="1">IFERROR(__xludf.DUMMYFUNCTION("""COMPUTED_VALUE"""),36.95)</f>
        <v>36.950000000000003</v>
      </c>
      <c r="C1327" s="1">
        <f ca="1">IFERROR(__xludf.DUMMYFUNCTION("""COMPUTED_VALUE"""),37.15)</f>
        <v>37.15</v>
      </c>
      <c r="D1327" s="1">
        <f ca="1">IFERROR(__xludf.DUMMYFUNCTION("""COMPUTED_VALUE"""),35.56)</f>
        <v>35.56</v>
      </c>
      <c r="E1327" s="1">
        <f ca="1">IFERROR(__xludf.DUMMYFUNCTION("""COMPUTED_VALUE"""),36.59)</f>
        <v>36.590000000000003</v>
      </c>
      <c r="F1327" s="1">
        <f ca="1">IFERROR(__xludf.DUMMYFUNCTION("""COMPUTED_VALUE"""),12656024)</f>
        <v>12656024</v>
      </c>
    </row>
    <row r="1328" spans="1:6" x14ac:dyDescent="0.35">
      <c r="A1328" s="2">
        <f ca="1">IFERROR(__xludf.DUMMYFUNCTION("""COMPUTED_VALUE"""),43930.6666666666)</f>
        <v>43930.666666666599</v>
      </c>
      <c r="B1328" s="1">
        <f ca="1">IFERROR(__xludf.DUMMYFUNCTION("""COMPUTED_VALUE"""),37.47)</f>
        <v>37.47</v>
      </c>
      <c r="C1328" s="1">
        <f ca="1">IFERROR(__xludf.DUMMYFUNCTION("""COMPUTED_VALUE"""),38.35)</f>
        <v>38.35</v>
      </c>
      <c r="D1328" s="1">
        <f ca="1">IFERROR(__xludf.DUMMYFUNCTION("""COMPUTED_VALUE"""),37.14)</f>
        <v>37.14</v>
      </c>
      <c r="E1328" s="1">
        <f ca="1">IFERROR(__xludf.DUMMYFUNCTION("""COMPUTED_VALUE"""),38.2)</f>
        <v>38.200000000000003</v>
      </c>
      <c r="F1328" s="1">
        <f ca="1">IFERROR(__xludf.DUMMYFUNCTION("""COMPUTED_VALUE"""),13650000)</f>
        <v>13650000</v>
      </c>
    </row>
    <row r="1329" spans="1:6" x14ac:dyDescent="0.35">
      <c r="A1329" s="2">
        <f ca="1">IFERROR(__xludf.DUMMYFUNCTION("""COMPUTED_VALUE"""),43934.6666666666)</f>
        <v>43934.666666666599</v>
      </c>
      <c r="B1329" s="1">
        <f ca="1">IFERROR(__xludf.DUMMYFUNCTION("""COMPUTED_VALUE"""),39.34)</f>
        <v>39.340000000000003</v>
      </c>
      <c r="C1329" s="1">
        <f ca="1">IFERROR(__xludf.DUMMYFUNCTION("""COMPUTED_VALUE"""),43.47)</f>
        <v>43.47</v>
      </c>
      <c r="D1329" s="1">
        <f ca="1">IFERROR(__xludf.DUMMYFUNCTION("""COMPUTED_VALUE"""),38.7)</f>
        <v>38.700000000000003</v>
      </c>
      <c r="E1329" s="1">
        <f ca="1">IFERROR(__xludf.DUMMYFUNCTION("""COMPUTED_VALUE"""),43.4)</f>
        <v>43.4</v>
      </c>
      <c r="F1329" s="1">
        <f ca="1">IFERROR(__xludf.DUMMYFUNCTION("""COMPUTED_VALUE"""),22475421)</f>
        <v>22475421</v>
      </c>
    </row>
    <row r="1330" spans="1:6" x14ac:dyDescent="0.35">
      <c r="A1330" s="2">
        <f ca="1">IFERROR(__xludf.DUMMYFUNCTION("""COMPUTED_VALUE"""),43935.6666666666)</f>
        <v>43935.666666666599</v>
      </c>
      <c r="B1330" s="1">
        <f ca="1">IFERROR(__xludf.DUMMYFUNCTION("""COMPUTED_VALUE"""),46.6)</f>
        <v>46.6</v>
      </c>
      <c r="C1330" s="1">
        <f ca="1">IFERROR(__xludf.DUMMYFUNCTION("""COMPUTED_VALUE"""),49.46)</f>
        <v>49.46</v>
      </c>
      <c r="D1330" s="1">
        <f ca="1">IFERROR(__xludf.DUMMYFUNCTION("""COMPUTED_VALUE"""),46.16)</f>
        <v>46.16</v>
      </c>
      <c r="E1330" s="1">
        <f ca="1">IFERROR(__xludf.DUMMYFUNCTION("""COMPUTED_VALUE"""),47.33)</f>
        <v>47.33</v>
      </c>
      <c r="F1330" s="1">
        <f ca="1">IFERROR(__xludf.DUMMYFUNCTION("""COMPUTED_VALUE"""),30576511)</f>
        <v>30576511</v>
      </c>
    </row>
    <row r="1331" spans="1:6" x14ac:dyDescent="0.35">
      <c r="A1331" s="2">
        <f ca="1">IFERROR(__xludf.DUMMYFUNCTION("""COMPUTED_VALUE"""),43936.6666666666)</f>
        <v>43936.666666666599</v>
      </c>
      <c r="B1331" s="1">
        <f ca="1">IFERROR(__xludf.DUMMYFUNCTION("""COMPUTED_VALUE"""),49.47)</f>
        <v>49.47</v>
      </c>
      <c r="C1331" s="1">
        <f ca="1">IFERROR(__xludf.DUMMYFUNCTION("""COMPUTED_VALUE"""),50.21)</f>
        <v>50.21</v>
      </c>
      <c r="D1331" s="1">
        <f ca="1">IFERROR(__xludf.DUMMYFUNCTION("""COMPUTED_VALUE"""),47.33)</f>
        <v>47.33</v>
      </c>
      <c r="E1331" s="1">
        <f ca="1">IFERROR(__xludf.DUMMYFUNCTION("""COMPUTED_VALUE"""),48.66)</f>
        <v>48.66</v>
      </c>
      <c r="F1331" s="1">
        <f ca="1">IFERROR(__xludf.DUMMYFUNCTION("""COMPUTED_VALUE"""),23577001)</f>
        <v>23577001</v>
      </c>
    </row>
    <row r="1332" spans="1:6" x14ac:dyDescent="0.35">
      <c r="A1332" s="2">
        <f ca="1">IFERROR(__xludf.DUMMYFUNCTION("""COMPUTED_VALUE"""),43937.6666666666)</f>
        <v>43937.666666666599</v>
      </c>
      <c r="B1332" s="1">
        <f ca="1">IFERROR(__xludf.DUMMYFUNCTION("""COMPUTED_VALUE"""),47.8)</f>
        <v>47.8</v>
      </c>
      <c r="C1332" s="1">
        <f ca="1">IFERROR(__xludf.DUMMYFUNCTION("""COMPUTED_VALUE"""),50.63)</f>
        <v>50.63</v>
      </c>
      <c r="D1332" s="1">
        <f ca="1">IFERROR(__xludf.DUMMYFUNCTION("""COMPUTED_VALUE"""),47.11)</f>
        <v>47.11</v>
      </c>
      <c r="E1332" s="1">
        <f ca="1">IFERROR(__xludf.DUMMYFUNCTION("""COMPUTED_VALUE"""),49.68)</f>
        <v>49.68</v>
      </c>
      <c r="F1332" s="1">
        <f ca="1">IFERROR(__xludf.DUMMYFUNCTION("""COMPUTED_VALUE"""),20657862)</f>
        <v>20657862</v>
      </c>
    </row>
    <row r="1333" spans="1:6" x14ac:dyDescent="0.35">
      <c r="A1333" s="2">
        <f ca="1">IFERROR(__xludf.DUMMYFUNCTION("""COMPUTED_VALUE"""),43938.6666666666)</f>
        <v>43938.666666666599</v>
      </c>
      <c r="B1333" s="1">
        <f ca="1">IFERROR(__xludf.DUMMYFUNCTION("""COMPUTED_VALUE"""),51.49)</f>
        <v>51.49</v>
      </c>
      <c r="C1333" s="1">
        <f ca="1">IFERROR(__xludf.DUMMYFUNCTION("""COMPUTED_VALUE"""),51.66)</f>
        <v>51.66</v>
      </c>
      <c r="D1333" s="1">
        <f ca="1">IFERROR(__xludf.DUMMYFUNCTION("""COMPUTED_VALUE"""),49.84)</f>
        <v>49.84</v>
      </c>
      <c r="E1333" s="1">
        <f ca="1">IFERROR(__xludf.DUMMYFUNCTION("""COMPUTED_VALUE"""),50.26)</f>
        <v>50.26</v>
      </c>
      <c r="F1333" s="1">
        <f ca="1">IFERROR(__xludf.DUMMYFUNCTION("""COMPUTED_VALUE"""),13128237)</f>
        <v>13128237</v>
      </c>
    </row>
    <row r="1334" spans="1:6" x14ac:dyDescent="0.35">
      <c r="A1334" s="2">
        <f ca="1">IFERROR(__xludf.DUMMYFUNCTION("""COMPUTED_VALUE"""),43941.6666666666)</f>
        <v>43941.666666666599</v>
      </c>
      <c r="B1334" s="1">
        <f ca="1">IFERROR(__xludf.DUMMYFUNCTION("""COMPUTED_VALUE"""),48.85)</f>
        <v>48.85</v>
      </c>
      <c r="C1334" s="1">
        <f ca="1">IFERROR(__xludf.DUMMYFUNCTION("""COMPUTED_VALUE"""),51.04)</f>
        <v>51.04</v>
      </c>
      <c r="D1334" s="1">
        <f ca="1">IFERROR(__xludf.DUMMYFUNCTION("""COMPUTED_VALUE"""),47.48)</f>
        <v>47.48</v>
      </c>
      <c r="E1334" s="1">
        <f ca="1">IFERROR(__xludf.DUMMYFUNCTION("""COMPUTED_VALUE"""),49.76)</f>
        <v>49.76</v>
      </c>
      <c r="F1334" s="1">
        <f ca="1">IFERROR(__xludf.DUMMYFUNCTION("""COMPUTED_VALUE"""),14746577)</f>
        <v>14746577</v>
      </c>
    </row>
    <row r="1335" spans="1:6" x14ac:dyDescent="0.35">
      <c r="A1335" s="2">
        <f ca="1">IFERROR(__xludf.DUMMYFUNCTION("""COMPUTED_VALUE"""),43942.6666666666)</f>
        <v>43942.666666666599</v>
      </c>
      <c r="B1335" s="1">
        <f ca="1">IFERROR(__xludf.DUMMYFUNCTION("""COMPUTED_VALUE"""),48.67)</f>
        <v>48.67</v>
      </c>
      <c r="C1335" s="1">
        <f ca="1">IFERROR(__xludf.DUMMYFUNCTION("""COMPUTED_VALUE"""),50.22)</f>
        <v>50.22</v>
      </c>
      <c r="D1335" s="1">
        <f ca="1">IFERROR(__xludf.DUMMYFUNCTION("""COMPUTED_VALUE"""),44.92)</f>
        <v>44.92</v>
      </c>
      <c r="E1335" s="1">
        <f ca="1">IFERROR(__xludf.DUMMYFUNCTION("""COMPUTED_VALUE"""),45.78)</f>
        <v>45.78</v>
      </c>
      <c r="F1335" s="1">
        <f ca="1">IFERROR(__xludf.DUMMYFUNCTION("""COMPUTED_VALUE"""),20209093)</f>
        <v>20209093</v>
      </c>
    </row>
    <row r="1336" spans="1:6" x14ac:dyDescent="0.35">
      <c r="A1336" s="2">
        <f ca="1">IFERROR(__xludf.DUMMYFUNCTION("""COMPUTED_VALUE"""),43943.6666666666)</f>
        <v>43943.666666666599</v>
      </c>
      <c r="B1336" s="1">
        <f ca="1">IFERROR(__xludf.DUMMYFUNCTION("""COMPUTED_VALUE"""),46.93)</f>
        <v>46.93</v>
      </c>
      <c r="C1336" s="1">
        <f ca="1">IFERROR(__xludf.DUMMYFUNCTION("""COMPUTED_VALUE"""),48.93)</f>
        <v>48.93</v>
      </c>
      <c r="D1336" s="1">
        <f ca="1">IFERROR(__xludf.DUMMYFUNCTION("""COMPUTED_VALUE"""),45.91)</f>
        <v>45.91</v>
      </c>
      <c r="E1336" s="1">
        <f ca="1">IFERROR(__xludf.DUMMYFUNCTION("""COMPUTED_VALUE"""),48.81)</f>
        <v>48.81</v>
      </c>
      <c r="F1336" s="1">
        <f ca="1">IFERROR(__xludf.DUMMYFUNCTION("""COMPUTED_VALUE"""),14224831)</f>
        <v>14224831</v>
      </c>
    </row>
    <row r="1337" spans="1:6" x14ac:dyDescent="0.35">
      <c r="A1337" s="2">
        <f ca="1">IFERROR(__xludf.DUMMYFUNCTION("""COMPUTED_VALUE"""),43944.6666666666)</f>
        <v>43944.666666666599</v>
      </c>
      <c r="B1337" s="1">
        <f ca="1">IFERROR(__xludf.DUMMYFUNCTION("""COMPUTED_VALUE"""),48.51)</f>
        <v>48.51</v>
      </c>
      <c r="C1337" s="1">
        <f ca="1">IFERROR(__xludf.DUMMYFUNCTION("""COMPUTED_VALUE"""),48.93)</f>
        <v>48.93</v>
      </c>
      <c r="D1337" s="1">
        <f ca="1">IFERROR(__xludf.DUMMYFUNCTION("""COMPUTED_VALUE"""),46.88)</f>
        <v>46.88</v>
      </c>
      <c r="E1337" s="1">
        <f ca="1">IFERROR(__xludf.DUMMYFUNCTION("""COMPUTED_VALUE"""),47.04)</f>
        <v>47.04</v>
      </c>
      <c r="F1337" s="1">
        <f ca="1">IFERROR(__xludf.DUMMYFUNCTION("""COMPUTED_VALUE"""),13236697)</f>
        <v>13236697</v>
      </c>
    </row>
    <row r="1338" spans="1:6" x14ac:dyDescent="0.35">
      <c r="A1338" s="2">
        <f ca="1">IFERROR(__xludf.DUMMYFUNCTION("""COMPUTED_VALUE"""),43945.6666666666)</f>
        <v>43945.666666666599</v>
      </c>
      <c r="B1338" s="1">
        <f ca="1">IFERROR(__xludf.DUMMYFUNCTION("""COMPUTED_VALUE"""),47.39)</f>
        <v>47.39</v>
      </c>
      <c r="C1338" s="1">
        <f ca="1">IFERROR(__xludf.DUMMYFUNCTION("""COMPUTED_VALUE"""),48.72)</f>
        <v>48.72</v>
      </c>
      <c r="D1338" s="1">
        <f ca="1">IFERROR(__xludf.DUMMYFUNCTION("""COMPUTED_VALUE"""),46.55)</f>
        <v>46.55</v>
      </c>
      <c r="E1338" s="1">
        <f ca="1">IFERROR(__xludf.DUMMYFUNCTION("""COMPUTED_VALUE"""),48.34)</f>
        <v>48.34</v>
      </c>
      <c r="F1338" s="1">
        <f ca="1">IFERROR(__xludf.DUMMYFUNCTION("""COMPUTED_VALUE"""),13237612)</f>
        <v>13237612</v>
      </c>
    </row>
    <row r="1339" spans="1:6" x14ac:dyDescent="0.35">
      <c r="A1339" s="2">
        <f ca="1">IFERROR(__xludf.DUMMYFUNCTION("""COMPUTED_VALUE"""),43948.6666666666)</f>
        <v>43948.666666666599</v>
      </c>
      <c r="B1339" s="1">
        <f ca="1">IFERROR(__xludf.DUMMYFUNCTION("""COMPUTED_VALUE"""),49.17)</f>
        <v>49.17</v>
      </c>
      <c r="C1339" s="1">
        <f ca="1">IFERROR(__xludf.DUMMYFUNCTION("""COMPUTED_VALUE"""),53.3)</f>
        <v>53.3</v>
      </c>
      <c r="D1339" s="1">
        <f ca="1">IFERROR(__xludf.DUMMYFUNCTION("""COMPUTED_VALUE"""),49)</f>
        <v>49</v>
      </c>
      <c r="E1339" s="1">
        <f ca="1">IFERROR(__xludf.DUMMYFUNCTION("""COMPUTED_VALUE"""),53.25)</f>
        <v>53.25</v>
      </c>
      <c r="F1339" s="1">
        <f ca="1">IFERROR(__xludf.DUMMYFUNCTION("""COMPUTED_VALUE"""),20681442)</f>
        <v>20681442</v>
      </c>
    </row>
    <row r="1340" spans="1:6" x14ac:dyDescent="0.35">
      <c r="A1340" s="2">
        <f ca="1">IFERROR(__xludf.DUMMYFUNCTION("""COMPUTED_VALUE"""),43949.6666666666)</f>
        <v>43949.666666666599</v>
      </c>
      <c r="B1340" s="1">
        <f ca="1">IFERROR(__xludf.DUMMYFUNCTION("""COMPUTED_VALUE"""),53.04)</f>
        <v>53.04</v>
      </c>
      <c r="C1340" s="1">
        <f ca="1">IFERROR(__xludf.DUMMYFUNCTION("""COMPUTED_VALUE"""),53.67)</f>
        <v>53.67</v>
      </c>
      <c r="D1340" s="1">
        <f ca="1">IFERROR(__xludf.DUMMYFUNCTION("""COMPUTED_VALUE"""),50.45)</f>
        <v>50.45</v>
      </c>
      <c r="E1340" s="1">
        <f ca="1">IFERROR(__xludf.DUMMYFUNCTION("""COMPUTED_VALUE"""),51.27)</f>
        <v>51.27</v>
      </c>
      <c r="F1340" s="1">
        <f ca="1">IFERROR(__xludf.DUMMYFUNCTION("""COMPUTED_VALUE"""),15221964)</f>
        <v>15221964</v>
      </c>
    </row>
    <row r="1341" spans="1:6" x14ac:dyDescent="0.35">
      <c r="A1341" s="2">
        <f ca="1">IFERROR(__xludf.DUMMYFUNCTION("""COMPUTED_VALUE"""),43950.6666666666)</f>
        <v>43950.666666666599</v>
      </c>
      <c r="B1341" s="1">
        <f ca="1">IFERROR(__xludf.DUMMYFUNCTION("""COMPUTED_VALUE"""),52.68)</f>
        <v>52.68</v>
      </c>
      <c r="C1341" s="1">
        <f ca="1">IFERROR(__xludf.DUMMYFUNCTION("""COMPUTED_VALUE"""),53.55)</f>
        <v>53.55</v>
      </c>
      <c r="D1341" s="1">
        <f ca="1">IFERROR(__xludf.DUMMYFUNCTION("""COMPUTED_VALUE"""),52.21)</f>
        <v>52.21</v>
      </c>
      <c r="E1341" s="1">
        <f ca="1">IFERROR(__xludf.DUMMYFUNCTION("""COMPUTED_VALUE"""),53.37)</f>
        <v>53.37</v>
      </c>
      <c r="F1341" s="1">
        <f ca="1">IFERROR(__xludf.DUMMYFUNCTION("""COMPUTED_VALUE"""),16215982)</f>
        <v>16215982</v>
      </c>
    </row>
    <row r="1342" spans="1:6" x14ac:dyDescent="0.35">
      <c r="A1342" s="2">
        <f ca="1">IFERROR(__xludf.DUMMYFUNCTION("""COMPUTED_VALUE"""),43951.6666666666)</f>
        <v>43951.666666666599</v>
      </c>
      <c r="B1342" s="1">
        <f ca="1">IFERROR(__xludf.DUMMYFUNCTION("""COMPUTED_VALUE"""),57.01)</f>
        <v>57.01</v>
      </c>
      <c r="C1342" s="1">
        <f ca="1">IFERROR(__xludf.DUMMYFUNCTION("""COMPUTED_VALUE"""),57.99)</f>
        <v>57.99</v>
      </c>
      <c r="D1342" s="1">
        <f ca="1">IFERROR(__xludf.DUMMYFUNCTION("""COMPUTED_VALUE"""),50.9)</f>
        <v>50.9</v>
      </c>
      <c r="E1342" s="1">
        <f ca="1">IFERROR(__xludf.DUMMYFUNCTION("""COMPUTED_VALUE"""),52.13)</f>
        <v>52.13</v>
      </c>
      <c r="F1342" s="1">
        <f ca="1">IFERROR(__xludf.DUMMYFUNCTION("""COMPUTED_VALUE"""),28471854)</f>
        <v>28471854</v>
      </c>
    </row>
    <row r="1343" spans="1:6" x14ac:dyDescent="0.35">
      <c r="A1343" s="2">
        <f ca="1">IFERROR(__xludf.DUMMYFUNCTION("""COMPUTED_VALUE"""),43952.6666666666)</f>
        <v>43952.666666666599</v>
      </c>
      <c r="B1343" s="1">
        <f ca="1">IFERROR(__xludf.DUMMYFUNCTION("""COMPUTED_VALUE"""),50.33)</f>
        <v>50.33</v>
      </c>
      <c r="C1343" s="1">
        <f ca="1">IFERROR(__xludf.DUMMYFUNCTION("""COMPUTED_VALUE"""),51.52)</f>
        <v>51.52</v>
      </c>
      <c r="D1343" s="1">
        <f ca="1">IFERROR(__xludf.DUMMYFUNCTION("""COMPUTED_VALUE"""),45.54)</f>
        <v>45.54</v>
      </c>
      <c r="E1343" s="1">
        <f ca="1">IFERROR(__xludf.DUMMYFUNCTION("""COMPUTED_VALUE"""),46.75)</f>
        <v>46.75</v>
      </c>
      <c r="F1343" s="1">
        <f ca="1">IFERROR(__xludf.DUMMYFUNCTION("""COMPUTED_VALUE"""),32531807)</f>
        <v>32531807</v>
      </c>
    </row>
    <row r="1344" spans="1:6" x14ac:dyDescent="0.35">
      <c r="A1344" s="2">
        <f ca="1">IFERROR(__xludf.DUMMYFUNCTION("""COMPUTED_VALUE"""),43955.6666666666)</f>
        <v>43955.666666666599</v>
      </c>
      <c r="B1344" s="1">
        <f ca="1">IFERROR(__xludf.DUMMYFUNCTION("""COMPUTED_VALUE"""),46.73)</f>
        <v>46.73</v>
      </c>
      <c r="C1344" s="1">
        <f ca="1">IFERROR(__xludf.DUMMYFUNCTION("""COMPUTED_VALUE"""),50.8)</f>
        <v>50.8</v>
      </c>
      <c r="D1344" s="1">
        <f ca="1">IFERROR(__xludf.DUMMYFUNCTION("""COMPUTED_VALUE"""),46.53)</f>
        <v>46.53</v>
      </c>
      <c r="E1344" s="1">
        <f ca="1">IFERROR(__xludf.DUMMYFUNCTION("""COMPUTED_VALUE"""),50.75)</f>
        <v>50.75</v>
      </c>
      <c r="F1344" s="1">
        <f ca="1">IFERROR(__xludf.DUMMYFUNCTION("""COMPUTED_VALUE"""),19237090)</f>
        <v>19237090</v>
      </c>
    </row>
    <row r="1345" spans="1:6" x14ac:dyDescent="0.35">
      <c r="A1345" s="2">
        <f ca="1">IFERROR(__xludf.DUMMYFUNCTION("""COMPUTED_VALUE"""),43956.6666666666)</f>
        <v>43956.666666666599</v>
      </c>
      <c r="B1345" s="1">
        <f ca="1">IFERROR(__xludf.DUMMYFUNCTION("""COMPUTED_VALUE"""),52.65)</f>
        <v>52.65</v>
      </c>
      <c r="C1345" s="1">
        <f ca="1">IFERROR(__xludf.DUMMYFUNCTION("""COMPUTED_VALUE"""),53.26)</f>
        <v>53.26</v>
      </c>
      <c r="D1345" s="1">
        <f ca="1">IFERROR(__xludf.DUMMYFUNCTION("""COMPUTED_VALUE"""),50.81)</f>
        <v>50.81</v>
      </c>
      <c r="E1345" s="1">
        <f ca="1">IFERROR(__xludf.DUMMYFUNCTION("""COMPUTED_VALUE"""),51.21)</f>
        <v>51.21</v>
      </c>
      <c r="F1345" s="1">
        <f ca="1">IFERROR(__xludf.DUMMYFUNCTION("""COMPUTED_VALUE"""),16991656)</f>
        <v>16991656</v>
      </c>
    </row>
    <row r="1346" spans="1:6" x14ac:dyDescent="0.35">
      <c r="A1346" s="2">
        <f ca="1">IFERROR(__xludf.DUMMYFUNCTION("""COMPUTED_VALUE"""),43957.6666666666)</f>
        <v>43957.666666666599</v>
      </c>
      <c r="B1346" s="1">
        <f ca="1">IFERROR(__xludf.DUMMYFUNCTION("""COMPUTED_VALUE"""),51.77)</f>
        <v>51.77</v>
      </c>
      <c r="C1346" s="1">
        <f ca="1">IFERROR(__xludf.DUMMYFUNCTION("""COMPUTED_VALUE"""),52.65)</f>
        <v>52.65</v>
      </c>
      <c r="D1346" s="1">
        <f ca="1">IFERROR(__xludf.DUMMYFUNCTION("""COMPUTED_VALUE"""),50.74)</f>
        <v>50.74</v>
      </c>
      <c r="E1346" s="1">
        <f ca="1">IFERROR(__xludf.DUMMYFUNCTION("""COMPUTED_VALUE"""),52.17)</f>
        <v>52.17</v>
      </c>
      <c r="F1346" s="1">
        <f ca="1">IFERROR(__xludf.DUMMYFUNCTION("""COMPUTED_VALUE"""),11123231)</f>
        <v>11123231</v>
      </c>
    </row>
    <row r="1347" spans="1:6" x14ac:dyDescent="0.35">
      <c r="A1347" s="2">
        <f ca="1">IFERROR(__xludf.DUMMYFUNCTION("""COMPUTED_VALUE"""),43958.6666666666)</f>
        <v>43958.666666666599</v>
      </c>
      <c r="B1347" s="1">
        <f ca="1">IFERROR(__xludf.DUMMYFUNCTION("""COMPUTED_VALUE"""),51.81)</f>
        <v>51.81</v>
      </c>
      <c r="C1347" s="1">
        <f ca="1">IFERROR(__xludf.DUMMYFUNCTION("""COMPUTED_VALUE"""),53.09)</f>
        <v>53.09</v>
      </c>
      <c r="D1347" s="1">
        <f ca="1">IFERROR(__xludf.DUMMYFUNCTION("""COMPUTED_VALUE"""),51.49)</f>
        <v>51.49</v>
      </c>
      <c r="E1347" s="1">
        <f ca="1">IFERROR(__xludf.DUMMYFUNCTION("""COMPUTED_VALUE"""),52)</f>
        <v>52</v>
      </c>
      <c r="F1347" s="1">
        <f ca="1">IFERROR(__xludf.DUMMYFUNCTION("""COMPUTED_VALUE"""),11527686)</f>
        <v>11527686</v>
      </c>
    </row>
    <row r="1348" spans="1:6" x14ac:dyDescent="0.35">
      <c r="A1348" s="2">
        <f ca="1">IFERROR(__xludf.DUMMYFUNCTION("""COMPUTED_VALUE"""),43959.6666666666)</f>
        <v>43959.666666666599</v>
      </c>
      <c r="B1348" s="1">
        <f ca="1">IFERROR(__xludf.DUMMYFUNCTION("""COMPUTED_VALUE"""),52.92)</f>
        <v>52.92</v>
      </c>
      <c r="C1348" s="1">
        <f ca="1">IFERROR(__xludf.DUMMYFUNCTION("""COMPUTED_VALUE"""),54.93)</f>
        <v>54.93</v>
      </c>
      <c r="D1348" s="1">
        <f ca="1">IFERROR(__xludf.DUMMYFUNCTION("""COMPUTED_VALUE"""),52.47)</f>
        <v>52.47</v>
      </c>
      <c r="E1348" s="1">
        <f ca="1">IFERROR(__xludf.DUMMYFUNCTION("""COMPUTED_VALUE"""),54.63)</f>
        <v>54.63</v>
      </c>
      <c r="F1348" s="1">
        <f ca="1">IFERROR(__xludf.DUMMYFUNCTION("""COMPUTED_VALUE"""),16130087)</f>
        <v>16130087</v>
      </c>
    </row>
    <row r="1349" spans="1:6" x14ac:dyDescent="0.35">
      <c r="A1349" s="2">
        <f ca="1">IFERROR(__xludf.DUMMYFUNCTION("""COMPUTED_VALUE"""),43962.6666666666)</f>
        <v>43962.666666666599</v>
      </c>
      <c r="B1349" s="1">
        <f ca="1">IFERROR(__xludf.DUMMYFUNCTION("""COMPUTED_VALUE"""),52.7)</f>
        <v>52.7</v>
      </c>
      <c r="C1349" s="1">
        <f ca="1">IFERROR(__xludf.DUMMYFUNCTION("""COMPUTED_VALUE"""),54.93)</f>
        <v>54.93</v>
      </c>
      <c r="D1349" s="1">
        <f ca="1">IFERROR(__xludf.DUMMYFUNCTION("""COMPUTED_VALUE"""),52.33)</f>
        <v>52.33</v>
      </c>
      <c r="E1349" s="1">
        <f ca="1">IFERROR(__xludf.DUMMYFUNCTION("""COMPUTED_VALUE"""),54.09)</f>
        <v>54.09</v>
      </c>
      <c r="F1349" s="1">
        <f ca="1">IFERROR(__xludf.DUMMYFUNCTION("""COMPUTED_VALUE"""),16519601)</f>
        <v>16519601</v>
      </c>
    </row>
    <row r="1350" spans="1:6" x14ac:dyDescent="0.35">
      <c r="A1350" s="2">
        <f ca="1">IFERROR(__xludf.DUMMYFUNCTION("""COMPUTED_VALUE"""),43963.6666666666)</f>
        <v>43963.666666666599</v>
      </c>
      <c r="B1350" s="1">
        <f ca="1">IFERROR(__xludf.DUMMYFUNCTION("""COMPUTED_VALUE"""),55.13)</f>
        <v>55.13</v>
      </c>
      <c r="C1350" s="1">
        <f ca="1">IFERROR(__xludf.DUMMYFUNCTION("""COMPUTED_VALUE"""),56.22)</f>
        <v>56.22</v>
      </c>
      <c r="D1350" s="1">
        <f ca="1">IFERROR(__xludf.DUMMYFUNCTION("""COMPUTED_VALUE"""),53.87)</f>
        <v>53.87</v>
      </c>
      <c r="E1350" s="1">
        <f ca="1">IFERROR(__xludf.DUMMYFUNCTION("""COMPUTED_VALUE"""),53.96)</f>
        <v>53.96</v>
      </c>
      <c r="F1350" s="1">
        <f ca="1">IFERROR(__xludf.DUMMYFUNCTION("""COMPUTED_VALUE"""),15906905)</f>
        <v>15906905</v>
      </c>
    </row>
    <row r="1351" spans="1:6" x14ac:dyDescent="0.35">
      <c r="A1351" s="2">
        <f ca="1">IFERROR(__xludf.DUMMYFUNCTION("""COMPUTED_VALUE"""),43964.6666666666)</f>
        <v>43964.666666666599</v>
      </c>
      <c r="B1351" s="1">
        <f ca="1">IFERROR(__xludf.DUMMYFUNCTION("""COMPUTED_VALUE"""),54.72)</f>
        <v>54.72</v>
      </c>
      <c r="C1351" s="1">
        <f ca="1">IFERROR(__xludf.DUMMYFUNCTION("""COMPUTED_VALUE"""),55.07)</f>
        <v>55.07</v>
      </c>
      <c r="D1351" s="1">
        <f ca="1">IFERROR(__xludf.DUMMYFUNCTION("""COMPUTED_VALUE"""),50.89)</f>
        <v>50.89</v>
      </c>
      <c r="E1351" s="1">
        <f ca="1">IFERROR(__xludf.DUMMYFUNCTION("""COMPUTED_VALUE"""),52.73)</f>
        <v>52.73</v>
      </c>
      <c r="F1351" s="1">
        <f ca="1">IFERROR(__xludf.DUMMYFUNCTION("""COMPUTED_VALUE"""),19065491)</f>
        <v>19065491</v>
      </c>
    </row>
    <row r="1352" spans="1:6" x14ac:dyDescent="0.35">
      <c r="A1352" s="2">
        <f ca="1">IFERROR(__xludf.DUMMYFUNCTION("""COMPUTED_VALUE"""),43965.6666666666)</f>
        <v>43965.666666666599</v>
      </c>
      <c r="B1352" s="1">
        <f ca="1">IFERROR(__xludf.DUMMYFUNCTION("""COMPUTED_VALUE"""),52)</f>
        <v>52</v>
      </c>
      <c r="C1352" s="1">
        <f ca="1">IFERROR(__xludf.DUMMYFUNCTION("""COMPUTED_VALUE"""),53.56)</f>
        <v>53.56</v>
      </c>
      <c r="D1352" s="1">
        <f ca="1">IFERROR(__xludf.DUMMYFUNCTION("""COMPUTED_VALUE"""),50.93)</f>
        <v>50.93</v>
      </c>
      <c r="E1352" s="1">
        <f ca="1">IFERROR(__xludf.DUMMYFUNCTION("""COMPUTED_VALUE"""),53.56)</f>
        <v>53.56</v>
      </c>
      <c r="F1352" s="1">
        <f ca="1">IFERROR(__xludf.DUMMYFUNCTION("""COMPUTED_VALUE"""),13682188)</f>
        <v>13682188</v>
      </c>
    </row>
    <row r="1353" spans="1:6" x14ac:dyDescent="0.35">
      <c r="A1353" s="2">
        <f ca="1">IFERROR(__xludf.DUMMYFUNCTION("""COMPUTED_VALUE"""),43966.6666666666)</f>
        <v>43966.666666666599</v>
      </c>
      <c r="B1353" s="1">
        <f ca="1">IFERROR(__xludf.DUMMYFUNCTION("""COMPUTED_VALUE"""),52.69)</f>
        <v>52.69</v>
      </c>
      <c r="C1353" s="1">
        <f ca="1">IFERROR(__xludf.DUMMYFUNCTION("""COMPUTED_VALUE"""),53.67)</f>
        <v>53.67</v>
      </c>
      <c r="D1353" s="1">
        <f ca="1">IFERROR(__xludf.DUMMYFUNCTION("""COMPUTED_VALUE"""),52.44)</f>
        <v>52.44</v>
      </c>
      <c r="E1353" s="1">
        <f ca="1">IFERROR(__xludf.DUMMYFUNCTION("""COMPUTED_VALUE"""),53.28)</f>
        <v>53.28</v>
      </c>
      <c r="F1353" s="1">
        <f ca="1">IFERROR(__xludf.DUMMYFUNCTION("""COMPUTED_VALUE"""),10518428)</f>
        <v>10518428</v>
      </c>
    </row>
    <row r="1354" spans="1:6" x14ac:dyDescent="0.35">
      <c r="A1354" s="2">
        <f ca="1">IFERROR(__xludf.DUMMYFUNCTION("""COMPUTED_VALUE"""),43969.6666666666)</f>
        <v>43969.666666666599</v>
      </c>
      <c r="B1354" s="1">
        <f ca="1">IFERROR(__xludf.DUMMYFUNCTION("""COMPUTED_VALUE"""),55.19)</f>
        <v>55.19</v>
      </c>
      <c r="C1354" s="1">
        <f ca="1">IFERROR(__xludf.DUMMYFUNCTION("""COMPUTED_VALUE"""),55.65)</f>
        <v>55.65</v>
      </c>
      <c r="D1354" s="1">
        <f ca="1">IFERROR(__xludf.DUMMYFUNCTION("""COMPUTED_VALUE"""),53.59)</f>
        <v>53.59</v>
      </c>
      <c r="E1354" s="1">
        <f ca="1">IFERROR(__xludf.DUMMYFUNCTION("""COMPUTED_VALUE"""),54.24)</f>
        <v>54.24</v>
      </c>
      <c r="F1354" s="1">
        <f ca="1">IFERROR(__xludf.DUMMYFUNCTION("""COMPUTED_VALUE"""),11698102)</f>
        <v>11698102</v>
      </c>
    </row>
    <row r="1355" spans="1:6" x14ac:dyDescent="0.35">
      <c r="A1355" s="2">
        <f ca="1">IFERROR(__xludf.DUMMYFUNCTION("""COMPUTED_VALUE"""),43970.6666666666)</f>
        <v>43970.666666666599</v>
      </c>
      <c r="B1355" s="1">
        <f ca="1">IFERROR(__xludf.DUMMYFUNCTION("""COMPUTED_VALUE"""),54.34)</f>
        <v>54.34</v>
      </c>
      <c r="C1355" s="1">
        <f ca="1">IFERROR(__xludf.DUMMYFUNCTION("""COMPUTED_VALUE"""),54.8)</f>
        <v>54.8</v>
      </c>
      <c r="D1355" s="1">
        <f ca="1">IFERROR(__xludf.DUMMYFUNCTION("""COMPUTED_VALUE"""),53.74)</f>
        <v>53.74</v>
      </c>
      <c r="E1355" s="1">
        <f ca="1">IFERROR(__xludf.DUMMYFUNCTION("""COMPUTED_VALUE"""),53.87)</f>
        <v>53.87</v>
      </c>
      <c r="F1355" s="1">
        <f ca="1">IFERROR(__xludf.DUMMYFUNCTION("""COMPUTED_VALUE"""),9636522)</f>
        <v>9636522</v>
      </c>
    </row>
    <row r="1356" spans="1:6" x14ac:dyDescent="0.35">
      <c r="A1356" s="2">
        <f ca="1">IFERROR(__xludf.DUMMYFUNCTION("""COMPUTED_VALUE"""),43971.6666666666)</f>
        <v>43971.666666666599</v>
      </c>
      <c r="B1356" s="1">
        <f ca="1">IFERROR(__xludf.DUMMYFUNCTION("""COMPUTED_VALUE"""),54.7)</f>
        <v>54.7</v>
      </c>
      <c r="C1356" s="1">
        <f ca="1">IFERROR(__xludf.DUMMYFUNCTION("""COMPUTED_VALUE"""),55.07)</f>
        <v>55.07</v>
      </c>
      <c r="D1356" s="1">
        <f ca="1">IFERROR(__xludf.DUMMYFUNCTION("""COMPUTED_VALUE"""),54.12)</f>
        <v>54.12</v>
      </c>
      <c r="E1356" s="1">
        <f ca="1">IFERROR(__xludf.DUMMYFUNCTION("""COMPUTED_VALUE"""),54.37)</f>
        <v>54.37</v>
      </c>
      <c r="F1356" s="1">
        <f ca="1">IFERROR(__xludf.DUMMYFUNCTION("""COMPUTED_VALUE"""),7309271)</f>
        <v>7309271</v>
      </c>
    </row>
    <row r="1357" spans="1:6" x14ac:dyDescent="0.35">
      <c r="A1357" s="2">
        <f ca="1">IFERROR(__xludf.DUMMYFUNCTION("""COMPUTED_VALUE"""),43972.6666666666)</f>
        <v>43972.666666666599</v>
      </c>
      <c r="B1357" s="1">
        <f ca="1">IFERROR(__xludf.DUMMYFUNCTION("""COMPUTED_VALUE"""),54.4)</f>
        <v>54.4</v>
      </c>
      <c r="C1357" s="1">
        <f ca="1">IFERROR(__xludf.DUMMYFUNCTION("""COMPUTED_VALUE"""),55.5)</f>
        <v>55.5</v>
      </c>
      <c r="D1357" s="1">
        <f ca="1">IFERROR(__xludf.DUMMYFUNCTION("""COMPUTED_VALUE"""),53.07)</f>
        <v>53.07</v>
      </c>
      <c r="E1357" s="1">
        <f ca="1">IFERROR(__xludf.DUMMYFUNCTION("""COMPUTED_VALUE"""),55.17)</f>
        <v>55.17</v>
      </c>
      <c r="F1357" s="1">
        <f ca="1">IFERROR(__xludf.DUMMYFUNCTION("""COMPUTED_VALUE"""),12254584)</f>
        <v>12254584</v>
      </c>
    </row>
    <row r="1358" spans="1:6" x14ac:dyDescent="0.35">
      <c r="A1358" s="2">
        <f ca="1">IFERROR(__xludf.DUMMYFUNCTION("""COMPUTED_VALUE"""),43973.6666666666)</f>
        <v>43973.666666666599</v>
      </c>
      <c r="B1358" s="1">
        <f ca="1">IFERROR(__xludf.DUMMYFUNCTION("""COMPUTED_VALUE"""),54.81)</f>
        <v>54.81</v>
      </c>
      <c r="C1358" s="1">
        <f ca="1">IFERROR(__xludf.DUMMYFUNCTION("""COMPUTED_VALUE"""),55.45)</f>
        <v>55.45</v>
      </c>
      <c r="D1358" s="1">
        <f ca="1">IFERROR(__xludf.DUMMYFUNCTION("""COMPUTED_VALUE"""),54.13)</f>
        <v>54.13</v>
      </c>
      <c r="E1358" s="1">
        <f ca="1">IFERROR(__xludf.DUMMYFUNCTION("""COMPUTED_VALUE"""),54.46)</f>
        <v>54.46</v>
      </c>
      <c r="F1358" s="1">
        <f ca="1">IFERROR(__xludf.DUMMYFUNCTION("""COMPUTED_VALUE"""),9987475)</f>
        <v>9987475</v>
      </c>
    </row>
    <row r="1359" spans="1:6" x14ac:dyDescent="0.35">
      <c r="A1359" s="2">
        <f ca="1">IFERROR(__xludf.DUMMYFUNCTION("""COMPUTED_VALUE"""),43977.6666666666)</f>
        <v>43977.666666666599</v>
      </c>
      <c r="B1359" s="1">
        <f ca="1">IFERROR(__xludf.DUMMYFUNCTION("""COMPUTED_VALUE"""),55.63)</f>
        <v>55.63</v>
      </c>
      <c r="C1359" s="1">
        <f ca="1">IFERROR(__xludf.DUMMYFUNCTION("""COMPUTED_VALUE"""),55.64)</f>
        <v>55.64</v>
      </c>
      <c r="D1359" s="1">
        <f ca="1">IFERROR(__xludf.DUMMYFUNCTION("""COMPUTED_VALUE"""),54.38)</f>
        <v>54.38</v>
      </c>
      <c r="E1359" s="1">
        <f ca="1">IFERROR(__xludf.DUMMYFUNCTION("""COMPUTED_VALUE"""),54.59)</f>
        <v>54.59</v>
      </c>
      <c r="F1359" s="1">
        <f ca="1">IFERROR(__xludf.DUMMYFUNCTION("""COMPUTED_VALUE"""),8089736)</f>
        <v>8089736</v>
      </c>
    </row>
    <row r="1360" spans="1:6" x14ac:dyDescent="0.35">
      <c r="A1360" s="2">
        <f ca="1">IFERROR(__xludf.DUMMYFUNCTION("""COMPUTED_VALUE"""),43978.6666666666)</f>
        <v>43978.666666666599</v>
      </c>
      <c r="B1360" s="1">
        <f ca="1">IFERROR(__xludf.DUMMYFUNCTION("""COMPUTED_VALUE"""),54.72)</f>
        <v>54.72</v>
      </c>
      <c r="C1360" s="1">
        <f ca="1">IFERROR(__xludf.DUMMYFUNCTION("""COMPUTED_VALUE"""),55.18)</f>
        <v>55.18</v>
      </c>
      <c r="D1360" s="1">
        <f ca="1">IFERROR(__xludf.DUMMYFUNCTION("""COMPUTED_VALUE"""),52.33)</f>
        <v>52.33</v>
      </c>
      <c r="E1360" s="1">
        <f ca="1">IFERROR(__xludf.DUMMYFUNCTION("""COMPUTED_VALUE"""),54.68)</f>
        <v>54.68</v>
      </c>
      <c r="F1360" s="1">
        <f ca="1">IFERROR(__xludf.DUMMYFUNCTION("""COMPUTED_VALUE"""),11549530)</f>
        <v>11549530</v>
      </c>
    </row>
    <row r="1361" spans="1:6" x14ac:dyDescent="0.35">
      <c r="A1361" s="2">
        <f ca="1">IFERROR(__xludf.DUMMYFUNCTION("""COMPUTED_VALUE"""),43979.6666666666)</f>
        <v>43979.666666666599</v>
      </c>
      <c r="B1361" s="1">
        <f ca="1">IFERROR(__xludf.DUMMYFUNCTION("""COMPUTED_VALUE"""),54.23)</f>
        <v>54.23</v>
      </c>
      <c r="C1361" s="1">
        <f ca="1">IFERROR(__xludf.DUMMYFUNCTION("""COMPUTED_VALUE"""),54.98)</f>
        <v>54.98</v>
      </c>
      <c r="D1361" s="1">
        <f ca="1">IFERROR(__xludf.DUMMYFUNCTION("""COMPUTED_VALUE"""),53.45)</f>
        <v>53.45</v>
      </c>
      <c r="E1361" s="1">
        <f ca="1">IFERROR(__xludf.DUMMYFUNCTION("""COMPUTED_VALUE"""),53.72)</f>
        <v>53.72</v>
      </c>
      <c r="F1361" s="1">
        <f ca="1">IFERROR(__xludf.DUMMYFUNCTION("""COMPUTED_VALUE"""),7275774)</f>
        <v>7275774</v>
      </c>
    </row>
    <row r="1362" spans="1:6" x14ac:dyDescent="0.35">
      <c r="A1362" s="2">
        <f ca="1">IFERROR(__xludf.DUMMYFUNCTION("""COMPUTED_VALUE"""),43980.6666666666)</f>
        <v>43980.666666666599</v>
      </c>
      <c r="B1362" s="1">
        <f ca="1">IFERROR(__xludf.DUMMYFUNCTION("""COMPUTED_VALUE"""),53.92)</f>
        <v>53.92</v>
      </c>
      <c r="C1362" s="1">
        <f ca="1">IFERROR(__xludf.DUMMYFUNCTION("""COMPUTED_VALUE"""),55.67)</f>
        <v>55.67</v>
      </c>
      <c r="D1362" s="1">
        <f ca="1">IFERROR(__xludf.DUMMYFUNCTION("""COMPUTED_VALUE"""),53.61)</f>
        <v>53.61</v>
      </c>
      <c r="E1362" s="1">
        <f ca="1">IFERROR(__xludf.DUMMYFUNCTION("""COMPUTED_VALUE"""),55.67)</f>
        <v>55.67</v>
      </c>
      <c r="F1362" s="1">
        <f ca="1">IFERROR(__xludf.DUMMYFUNCTION("""COMPUTED_VALUE"""),11812489)</f>
        <v>11812489</v>
      </c>
    </row>
    <row r="1363" spans="1:6" x14ac:dyDescent="0.35">
      <c r="A1363" s="2">
        <f ca="1">IFERROR(__xludf.DUMMYFUNCTION("""COMPUTED_VALUE"""),43983.6666666666)</f>
        <v>43983.666666666599</v>
      </c>
      <c r="B1363" s="1">
        <f ca="1">IFERROR(__xludf.DUMMYFUNCTION("""COMPUTED_VALUE"""),57.2)</f>
        <v>57.2</v>
      </c>
      <c r="C1363" s="1">
        <f ca="1">IFERROR(__xludf.DUMMYFUNCTION("""COMPUTED_VALUE"""),59.93)</f>
        <v>59.93</v>
      </c>
      <c r="D1363" s="1">
        <f ca="1">IFERROR(__xludf.DUMMYFUNCTION("""COMPUTED_VALUE"""),56.94)</f>
        <v>56.94</v>
      </c>
      <c r="E1363" s="1">
        <f ca="1">IFERROR(__xludf.DUMMYFUNCTION("""COMPUTED_VALUE"""),59.87)</f>
        <v>59.87</v>
      </c>
      <c r="F1363" s="1">
        <f ca="1">IFERROR(__xludf.DUMMYFUNCTION("""COMPUTED_VALUE"""),15085297)</f>
        <v>15085297</v>
      </c>
    </row>
    <row r="1364" spans="1:6" x14ac:dyDescent="0.35">
      <c r="A1364" s="2">
        <f ca="1">IFERROR(__xludf.DUMMYFUNCTION("""COMPUTED_VALUE"""),43984.6666666666)</f>
        <v>43984.666666666599</v>
      </c>
      <c r="B1364" s="1">
        <f ca="1">IFERROR(__xludf.DUMMYFUNCTION("""COMPUTED_VALUE"""),59.65)</f>
        <v>59.65</v>
      </c>
      <c r="C1364" s="1">
        <f ca="1">IFERROR(__xludf.DUMMYFUNCTION("""COMPUTED_VALUE"""),60.58)</f>
        <v>60.58</v>
      </c>
      <c r="D1364" s="1">
        <f ca="1">IFERROR(__xludf.DUMMYFUNCTION("""COMPUTED_VALUE"""),58.07)</f>
        <v>58.07</v>
      </c>
      <c r="E1364" s="1">
        <f ca="1">IFERROR(__xludf.DUMMYFUNCTION("""COMPUTED_VALUE"""),58.77)</f>
        <v>58.77</v>
      </c>
      <c r="F1364" s="1">
        <f ca="1">IFERROR(__xludf.DUMMYFUNCTION("""COMPUTED_VALUE"""),13565596)</f>
        <v>13565596</v>
      </c>
    </row>
    <row r="1365" spans="1:6" x14ac:dyDescent="0.35">
      <c r="A1365" s="2">
        <f ca="1">IFERROR(__xludf.DUMMYFUNCTION("""COMPUTED_VALUE"""),43985.6666666666)</f>
        <v>43985.666666666599</v>
      </c>
      <c r="B1365" s="1">
        <f ca="1">IFERROR(__xludf.DUMMYFUNCTION("""COMPUTED_VALUE"""),59.21)</f>
        <v>59.21</v>
      </c>
      <c r="C1365" s="1">
        <f ca="1">IFERROR(__xludf.DUMMYFUNCTION("""COMPUTED_VALUE"""),59.86)</f>
        <v>59.86</v>
      </c>
      <c r="D1365" s="1">
        <f ca="1">IFERROR(__xludf.DUMMYFUNCTION("""COMPUTED_VALUE"""),58.67)</f>
        <v>58.67</v>
      </c>
      <c r="E1365" s="1">
        <f ca="1">IFERROR(__xludf.DUMMYFUNCTION("""COMPUTED_VALUE"""),58.86)</f>
        <v>58.86</v>
      </c>
      <c r="F1365" s="1">
        <f ca="1">IFERROR(__xludf.DUMMYFUNCTION("""COMPUTED_VALUE"""),7949469)</f>
        <v>7949469</v>
      </c>
    </row>
    <row r="1366" spans="1:6" x14ac:dyDescent="0.35">
      <c r="A1366" s="2">
        <f ca="1">IFERROR(__xludf.DUMMYFUNCTION("""COMPUTED_VALUE"""),43986.6666666666)</f>
        <v>43986.666666666599</v>
      </c>
      <c r="B1366" s="1">
        <f ca="1">IFERROR(__xludf.DUMMYFUNCTION("""COMPUTED_VALUE"""),59.33)</f>
        <v>59.33</v>
      </c>
      <c r="C1366" s="1">
        <f ca="1">IFERROR(__xludf.DUMMYFUNCTION("""COMPUTED_VALUE"""),59.72)</f>
        <v>59.72</v>
      </c>
      <c r="D1366" s="1">
        <f ca="1">IFERROR(__xludf.DUMMYFUNCTION("""COMPUTED_VALUE"""),57.23)</f>
        <v>57.23</v>
      </c>
      <c r="E1366" s="1">
        <f ca="1">IFERROR(__xludf.DUMMYFUNCTION("""COMPUTED_VALUE"""),57.63)</f>
        <v>57.63</v>
      </c>
      <c r="F1366" s="1">
        <f ca="1">IFERROR(__xludf.DUMMYFUNCTION("""COMPUTED_VALUE"""),8887713)</f>
        <v>8887713</v>
      </c>
    </row>
    <row r="1367" spans="1:6" x14ac:dyDescent="0.35">
      <c r="A1367" s="2">
        <f ca="1">IFERROR(__xludf.DUMMYFUNCTION("""COMPUTED_VALUE"""),43987.6666666666)</f>
        <v>43987.666666666599</v>
      </c>
      <c r="B1367" s="1">
        <f ca="1">IFERROR(__xludf.DUMMYFUNCTION("""COMPUTED_VALUE"""),58.52)</f>
        <v>58.52</v>
      </c>
      <c r="C1367" s="1">
        <f ca="1">IFERROR(__xludf.DUMMYFUNCTION("""COMPUTED_VALUE"""),59.1)</f>
        <v>59.1</v>
      </c>
      <c r="D1367" s="1">
        <f ca="1">IFERROR(__xludf.DUMMYFUNCTION("""COMPUTED_VALUE"""),57.75)</f>
        <v>57.75</v>
      </c>
      <c r="E1367" s="1">
        <f ca="1">IFERROR(__xludf.DUMMYFUNCTION("""COMPUTED_VALUE"""),59.04)</f>
        <v>59.04</v>
      </c>
      <c r="F1367" s="1">
        <f ca="1">IFERROR(__xludf.DUMMYFUNCTION("""COMPUTED_VALUE"""),7811917)</f>
        <v>7811917</v>
      </c>
    </row>
    <row r="1368" spans="1:6" x14ac:dyDescent="0.35">
      <c r="A1368" s="2">
        <f ca="1">IFERROR(__xludf.DUMMYFUNCTION("""COMPUTED_VALUE"""),43990.6666666666)</f>
        <v>43990.666666666599</v>
      </c>
      <c r="B1368" s="1">
        <f ca="1">IFERROR(__xludf.DUMMYFUNCTION("""COMPUTED_VALUE"""),61.27)</f>
        <v>61.27</v>
      </c>
      <c r="C1368" s="1">
        <f ca="1">IFERROR(__xludf.DUMMYFUNCTION("""COMPUTED_VALUE"""),63.33)</f>
        <v>63.33</v>
      </c>
      <c r="D1368" s="1">
        <f ca="1">IFERROR(__xludf.DUMMYFUNCTION("""COMPUTED_VALUE"""),60.61)</f>
        <v>60.61</v>
      </c>
      <c r="E1368" s="1">
        <f ca="1">IFERROR(__xludf.DUMMYFUNCTION("""COMPUTED_VALUE"""),63.33)</f>
        <v>63.33</v>
      </c>
      <c r="F1368" s="1">
        <f ca="1">IFERROR(__xludf.DUMMYFUNCTION("""COMPUTED_VALUE"""),14174727)</f>
        <v>14174727</v>
      </c>
    </row>
    <row r="1369" spans="1:6" x14ac:dyDescent="0.35">
      <c r="A1369" s="2">
        <f ca="1">IFERROR(__xludf.DUMMYFUNCTION("""COMPUTED_VALUE"""),43991.6666666666)</f>
        <v>43991.666666666599</v>
      </c>
      <c r="B1369" s="1">
        <f ca="1">IFERROR(__xludf.DUMMYFUNCTION("""COMPUTED_VALUE"""),62.67)</f>
        <v>62.67</v>
      </c>
      <c r="C1369" s="1">
        <f ca="1">IFERROR(__xludf.DUMMYFUNCTION("""COMPUTED_VALUE"""),63.63)</f>
        <v>63.63</v>
      </c>
      <c r="D1369" s="1">
        <f ca="1">IFERROR(__xludf.DUMMYFUNCTION("""COMPUTED_VALUE"""),61.6)</f>
        <v>61.6</v>
      </c>
      <c r="E1369" s="1">
        <f ca="1">IFERROR(__xludf.DUMMYFUNCTION("""COMPUTED_VALUE"""),62.71)</f>
        <v>62.71</v>
      </c>
      <c r="F1369" s="1">
        <f ca="1">IFERROR(__xludf.DUMMYFUNCTION("""COMPUTED_VALUE"""),11388154)</f>
        <v>11388154</v>
      </c>
    </row>
    <row r="1370" spans="1:6" x14ac:dyDescent="0.35">
      <c r="A1370" s="2">
        <f ca="1">IFERROR(__xludf.DUMMYFUNCTION("""COMPUTED_VALUE"""),43992.6666666666)</f>
        <v>43992.666666666599</v>
      </c>
      <c r="B1370" s="1">
        <f ca="1">IFERROR(__xludf.DUMMYFUNCTION("""COMPUTED_VALUE"""),66.13)</f>
        <v>66.13</v>
      </c>
      <c r="C1370" s="1">
        <f ca="1">IFERROR(__xludf.DUMMYFUNCTION("""COMPUTED_VALUE"""),68.5)</f>
        <v>68.5</v>
      </c>
      <c r="D1370" s="1">
        <f ca="1">IFERROR(__xludf.DUMMYFUNCTION("""COMPUTED_VALUE"""),65.5)</f>
        <v>65.5</v>
      </c>
      <c r="E1370" s="1">
        <f ca="1">IFERROR(__xludf.DUMMYFUNCTION("""COMPUTED_VALUE"""),68.34)</f>
        <v>68.34</v>
      </c>
      <c r="F1370" s="1">
        <f ca="1">IFERROR(__xludf.DUMMYFUNCTION("""COMPUTED_VALUE"""),18563413)</f>
        <v>18563413</v>
      </c>
    </row>
    <row r="1371" spans="1:6" x14ac:dyDescent="0.35">
      <c r="A1371" s="2">
        <f ca="1">IFERROR(__xludf.DUMMYFUNCTION("""COMPUTED_VALUE"""),43993.6666666666)</f>
        <v>43993.666666666599</v>
      </c>
      <c r="B1371" s="1">
        <f ca="1">IFERROR(__xludf.DUMMYFUNCTION("""COMPUTED_VALUE"""),66.01)</f>
        <v>66.010000000000005</v>
      </c>
      <c r="C1371" s="1">
        <f ca="1">IFERROR(__xludf.DUMMYFUNCTION("""COMPUTED_VALUE"""),67.93)</f>
        <v>67.930000000000007</v>
      </c>
      <c r="D1371" s="1">
        <f ca="1">IFERROR(__xludf.DUMMYFUNCTION("""COMPUTED_VALUE"""),64.8)</f>
        <v>64.8</v>
      </c>
      <c r="E1371" s="1">
        <f ca="1">IFERROR(__xludf.DUMMYFUNCTION("""COMPUTED_VALUE"""),64.86)</f>
        <v>64.86</v>
      </c>
      <c r="F1371" s="1">
        <f ca="1">IFERROR(__xludf.DUMMYFUNCTION("""COMPUTED_VALUE"""),15916482)</f>
        <v>15916482</v>
      </c>
    </row>
    <row r="1372" spans="1:6" x14ac:dyDescent="0.35">
      <c r="A1372" s="2">
        <f ca="1">IFERROR(__xludf.DUMMYFUNCTION("""COMPUTED_VALUE"""),43994.6666666666)</f>
        <v>43994.666666666599</v>
      </c>
      <c r="B1372" s="1">
        <f ca="1">IFERROR(__xludf.DUMMYFUNCTION("""COMPUTED_VALUE"""),65.33)</f>
        <v>65.33</v>
      </c>
      <c r="C1372" s="1">
        <f ca="1">IFERROR(__xludf.DUMMYFUNCTION("""COMPUTED_VALUE"""),65.87)</f>
        <v>65.87</v>
      </c>
      <c r="D1372" s="1">
        <f ca="1">IFERROR(__xludf.DUMMYFUNCTION("""COMPUTED_VALUE"""),60.84)</f>
        <v>60.84</v>
      </c>
      <c r="E1372" s="1">
        <f ca="1">IFERROR(__xludf.DUMMYFUNCTION("""COMPUTED_VALUE"""),62.35)</f>
        <v>62.35</v>
      </c>
      <c r="F1372" s="1">
        <f ca="1">IFERROR(__xludf.DUMMYFUNCTION("""COMPUTED_VALUE"""),16763374)</f>
        <v>16763374</v>
      </c>
    </row>
    <row r="1373" spans="1:6" x14ac:dyDescent="0.35">
      <c r="A1373" s="2">
        <f ca="1">IFERROR(__xludf.DUMMYFUNCTION("""COMPUTED_VALUE"""),43997.6666666666)</f>
        <v>43997.666666666599</v>
      </c>
      <c r="B1373" s="1">
        <f ca="1">IFERROR(__xludf.DUMMYFUNCTION("""COMPUTED_VALUE"""),61.19)</f>
        <v>61.19</v>
      </c>
      <c r="C1373" s="1">
        <f ca="1">IFERROR(__xludf.DUMMYFUNCTION("""COMPUTED_VALUE"""),66.59)</f>
        <v>66.59</v>
      </c>
      <c r="D1373" s="1">
        <f ca="1">IFERROR(__xludf.DUMMYFUNCTION("""COMPUTED_VALUE"""),60.57)</f>
        <v>60.57</v>
      </c>
      <c r="E1373" s="1">
        <f ca="1">IFERROR(__xludf.DUMMYFUNCTION("""COMPUTED_VALUE"""),66.06)</f>
        <v>66.06</v>
      </c>
      <c r="F1373" s="1">
        <f ca="1">IFERROR(__xludf.DUMMYFUNCTION("""COMPUTED_VALUE"""),15697178)</f>
        <v>15697178</v>
      </c>
    </row>
    <row r="1374" spans="1:6" x14ac:dyDescent="0.35">
      <c r="A1374" s="2">
        <f ca="1">IFERROR(__xludf.DUMMYFUNCTION("""COMPUTED_VALUE"""),43998.6666666666)</f>
        <v>43998.666666666599</v>
      </c>
      <c r="B1374" s="1">
        <f ca="1">IFERROR(__xludf.DUMMYFUNCTION("""COMPUTED_VALUE"""),67.46)</f>
        <v>67.459999999999994</v>
      </c>
      <c r="C1374" s="1">
        <f ca="1">IFERROR(__xludf.DUMMYFUNCTION("""COMPUTED_VALUE"""),67.53)</f>
        <v>67.53</v>
      </c>
      <c r="D1374" s="1">
        <f ca="1">IFERROR(__xludf.DUMMYFUNCTION("""COMPUTED_VALUE"""),64.16)</f>
        <v>64.16</v>
      </c>
      <c r="E1374" s="1">
        <f ca="1">IFERROR(__xludf.DUMMYFUNCTION("""COMPUTED_VALUE"""),65.48)</f>
        <v>65.48</v>
      </c>
      <c r="F1374" s="1">
        <f ca="1">IFERROR(__xludf.DUMMYFUNCTION("""COMPUTED_VALUE"""),14051078)</f>
        <v>14051078</v>
      </c>
    </row>
    <row r="1375" spans="1:6" x14ac:dyDescent="0.35">
      <c r="A1375" s="2">
        <f ca="1">IFERROR(__xludf.DUMMYFUNCTION("""COMPUTED_VALUE"""),43999.6666666666)</f>
        <v>43999.666666666599</v>
      </c>
      <c r="B1375" s="1">
        <f ca="1">IFERROR(__xludf.DUMMYFUNCTION("""COMPUTED_VALUE"""),65.85)</f>
        <v>65.849999999999994</v>
      </c>
      <c r="C1375" s="1">
        <f ca="1">IFERROR(__xludf.DUMMYFUNCTION("""COMPUTED_VALUE"""),67)</f>
        <v>67</v>
      </c>
      <c r="D1375" s="1">
        <f ca="1">IFERROR(__xludf.DUMMYFUNCTION("""COMPUTED_VALUE"""),65.5)</f>
        <v>65.5</v>
      </c>
      <c r="E1375" s="1">
        <f ca="1">IFERROR(__xludf.DUMMYFUNCTION("""COMPUTED_VALUE"""),66.12)</f>
        <v>66.12</v>
      </c>
      <c r="F1375" s="1">
        <f ca="1">IFERROR(__xludf.DUMMYFUNCTION("""COMPUTED_VALUE"""),9890800)</f>
        <v>9890800</v>
      </c>
    </row>
    <row r="1376" spans="1:6" x14ac:dyDescent="0.35">
      <c r="A1376" s="2">
        <f ca="1">IFERROR(__xludf.DUMMYFUNCTION("""COMPUTED_VALUE"""),44000.6666666666)</f>
        <v>44000.666666666599</v>
      </c>
      <c r="B1376" s="1">
        <f ca="1">IFERROR(__xludf.DUMMYFUNCTION("""COMPUTED_VALUE"""),66.87)</f>
        <v>66.87</v>
      </c>
      <c r="C1376" s="1">
        <f ca="1">IFERROR(__xludf.DUMMYFUNCTION("""COMPUTED_VALUE"""),67.95)</f>
        <v>67.95</v>
      </c>
      <c r="D1376" s="1">
        <f ca="1">IFERROR(__xludf.DUMMYFUNCTION("""COMPUTED_VALUE"""),66.3)</f>
        <v>66.3</v>
      </c>
      <c r="E1376" s="1">
        <f ca="1">IFERROR(__xludf.DUMMYFUNCTION("""COMPUTED_VALUE"""),66.93)</f>
        <v>66.930000000000007</v>
      </c>
      <c r="F1376" s="1">
        <f ca="1">IFERROR(__xludf.DUMMYFUNCTION("""COMPUTED_VALUE"""),9751936)</f>
        <v>9751936</v>
      </c>
    </row>
    <row r="1377" spans="1:6" x14ac:dyDescent="0.35">
      <c r="A1377" s="2">
        <f ca="1">IFERROR(__xludf.DUMMYFUNCTION("""COMPUTED_VALUE"""),44001.6666666666)</f>
        <v>44001.666666666599</v>
      </c>
      <c r="B1377" s="1">
        <f ca="1">IFERROR(__xludf.DUMMYFUNCTION("""COMPUTED_VALUE"""),67.52)</f>
        <v>67.52</v>
      </c>
      <c r="C1377" s="1">
        <f ca="1">IFERROR(__xludf.DUMMYFUNCTION("""COMPUTED_VALUE"""),67.73)</f>
        <v>67.73</v>
      </c>
      <c r="D1377" s="1">
        <f ca="1">IFERROR(__xludf.DUMMYFUNCTION("""COMPUTED_VALUE"""),66.09)</f>
        <v>66.09</v>
      </c>
      <c r="E1377" s="1">
        <f ca="1">IFERROR(__xludf.DUMMYFUNCTION("""COMPUTED_VALUE"""),66.73)</f>
        <v>66.73</v>
      </c>
      <c r="F1377" s="1">
        <f ca="1">IFERROR(__xludf.DUMMYFUNCTION("""COMPUTED_VALUE"""),8679749)</f>
        <v>8679749</v>
      </c>
    </row>
    <row r="1378" spans="1:6" x14ac:dyDescent="0.35">
      <c r="A1378" s="2">
        <f ca="1">IFERROR(__xludf.DUMMYFUNCTION("""COMPUTED_VALUE"""),44004.6666666666)</f>
        <v>44004.666666666599</v>
      </c>
      <c r="B1378" s="1">
        <f ca="1">IFERROR(__xludf.DUMMYFUNCTION("""COMPUTED_VALUE"""),66.66)</f>
        <v>66.66</v>
      </c>
      <c r="C1378" s="1">
        <f ca="1">IFERROR(__xludf.DUMMYFUNCTION("""COMPUTED_VALUE"""),67.26)</f>
        <v>67.260000000000005</v>
      </c>
      <c r="D1378" s="1">
        <f ca="1">IFERROR(__xludf.DUMMYFUNCTION("""COMPUTED_VALUE"""),66)</f>
        <v>66</v>
      </c>
      <c r="E1378" s="1">
        <f ca="1">IFERROR(__xludf.DUMMYFUNCTION("""COMPUTED_VALUE"""),66.29)</f>
        <v>66.290000000000006</v>
      </c>
      <c r="F1378" s="1">
        <f ca="1">IFERROR(__xludf.DUMMYFUNCTION("""COMPUTED_VALUE"""),6362350)</f>
        <v>6362350</v>
      </c>
    </row>
    <row r="1379" spans="1:6" x14ac:dyDescent="0.35">
      <c r="A1379" s="2">
        <f ca="1">IFERROR(__xludf.DUMMYFUNCTION("""COMPUTED_VALUE"""),44005.6666666666)</f>
        <v>44005.666666666599</v>
      </c>
      <c r="B1379" s="1">
        <f ca="1">IFERROR(__xludf.DUMMYFUNCTION("""COMPUTED_VALUE"""),66.59)</f>
        <v>66.59</v>
      </c>
      <c r="C1379" s="1">
        <f ca="1">IFERROR(__xludf.DUMMYFUNCTION("""COMPUTED_VALUE"""),67.47)</f>
        <v>67.47</v>
      </c>
      <c r="D1379" s="1">
        <f ca="1">IFERROR(__xludf.DUMMYFUNCTION("""COMPUTED_VALUE"""),66.27)</f>
        <v>66.27</v>
      </c>
      <c r="E1379" s="1">
        <f ca="1">IFERROR(__xludf.DUMMYFUNCTION("""COMPUTED_VALUE"""),66.79)</f>
        <v>66.790000000000006</v>
      </c>
      <c r="F1379" s="1">
        <f ca="1">IFERROR(__xludf.DUMMYFUNCTION("""COMPUTED_VALUE"""),6365271)</f>
        <v>6365271</v>
      </c>
    </row>
    <row r="1380" spans="1:6" x14ac:dyDescent="0.35">
      <c r="A1380" s="2">
        <f ca="1">IFERROR(__xludf.DUMMYFUNCTION("""COMPUTED_VALUE"""),44006.6666666666)</f>
        <v>44006.666666666599</v>
      </c>
      <c r="B1380" s="1">
        <f ca="1">IFERROR(__xludf.DUMMYFUNCTION("""COMPUTED_VALUE"""),66.27)</f>
        <v>66.27</v>
      </c>
      <c r="C1380" s="1">
        <f ca="1">IFERROR(__xludf.DUMMYFUNCTION("""COMPUTED_VALUE"""),66.73)</f>
        <v>66.73</v>
      </c>
      <c r="D1380" s="1">
        <f ca="1">IFERROR(__xludf.DUMMYFUNCTION("""COMPUTED_VALUE"""),63.54)</f>
        <v>63.54</v>
      </c>
      <c r="E1380" s="1">
        <f ca="1">IFERROR(__xludf.DUMMYFUNCTION("""COMPUTED_VALUE"""),64.06)</f>
        <v>64.06</v>
      </c>
      <c r="F1380" s="1">
        <f ca="1">IFERROR(__xludf.DUMMYFUNCTION("""COMPUTED_VALUE"""),10959593)</f>
        <v>10959593</v>
      </c>
    </row>
    <row r="1381" spans="1:6" x14ac:dyDescent="0.35">
      <c r="A1381" s="2">
        <f ca="1">IFERROR(__xludf.DUMMYFUNCTION("""COMPUTED_VALUE"""),44007.6666666666)</f>
        <v>44007.666666666599</v>
      </c>
      <c r="B1381" s="1">
        <f ca="1">IFERROR(__xludf.DUMMYFUNCTION("""COMPUTED_VALUE"""),63.62)</f>
        <v>63.62</v>
      </c>
      <c r="C1381" s="1">
        <f ca="1">IFERROR(__xludf.DUMMYFUNCTION("""COMPUTED_VALUE"""),65.73)</f>
        <v>65.73</v>
      </c>
      <c r="D1381" s="1">
        <f ca="1">IFERROR(__xludf.DUMMYFUNCTION("""COMPUTED_VALUE"""),62.48)</f>
        <v>62.48</v>
      </c>
      <c r="E1381" s="1">
        <f ca="1">IFERROR(__xludf.DUMMYFUNCTION("""COMPUTED_VALUE"""),65.73)</f>
        <v>65.73</v>
      </c>
      <c r="F1381" s="1">
        <f ca="1">IFERROR(__xludf.DUMMYFUNCTION("""COMPUTED_VALUE"""),9254549)</f>
        <v>9254549</v>
      </c>
    </row>
    <row r="1382" spans="1:6" x14ac:dyDescent="0.35">
      <c r="A1382" s="2">
        <f ca="1">IFERROR(__xludf.DUMMYFUNCTION("""COMPUTED_VALUE"""),44008.6666666666)</f>
        <v>44008.666666666599</v>
      </c>
      <c r="B1382" s="1">
        <f ca="1">IFERROR(__xludf.DUMMYFUNCTION("""COMPUTED_VALUE"""),66.32)</f>
        <v>66.319999999999993</v>
      </c>
      <c r="C1382" s="1">
        <f ca="1">IFERROR(__xludf.DUMMYFUNCTION("""COMPUTED_VALUE"""),66.33)</f>
        <v>66.33</v>
      </c>
      <c r="D1382" s="1">
        <f ca="1">IFERROR(__xludf.DUMMYFUNCTION("""COMPUTED_VALUE"""),63.66)</f>
        <v>63.66</v>
      </c>
      <c r="E1382" s="1">
        <f ca="1">IFERROR(__xludf.DUMMYFUNCTION("""COMPUTED_VALUE"""),63.98)</f>
        <v>63.98</v>
      </c>
      <c r="F1382" s="1">
        <f ca="1">IFERROR(__xludf.DUMMYFUNCTION("""COMPUTED_VALUE"""),8854908)</f>
        <v>8854908</v>
      </c>
    </row>
    <row r="1383" spans="1:6" x14ac:dyDescent="0.35">
      <c r="A1383" s="2">
        <f ca="1">IFERROR(__xludf.DUMMYFUNCTION("""COMPUTED_VALUE"""),44011.6666666666)</f>
        <v>44011.666666666599</v>
      </c>
      <c r="B1383" s="1">
        <f ca="1">IFERROR(__xludf.DUMMYFUNCTION("""COMPUTED_VALUE"""),64.6)</f>
        <v>64.599999999999994</v>
      </c>
      <c r="C1383" s="1">
        <f ca="1">IFERROR(__xludf.DUMMYFUNCTION("""COMPUTED_VALUE"""),67.33)</f>
        <v>67.33</v>
      </c>
      <c r="D1383" s="1">
        <f ca="1">IFERROR(__xludf.DUMMYFUNCTION("""COMPUTED_VALUE"""),63.23)</f>
        <v>63.23</v>
      </c>
      <c r="E1383" s="1">
        <f ca="1">IFERROR(__xludf.DUMMYFUNCTION("""COMPUTED_VALUE"""),67.29)</f>
        <v>67.290000000000006</v>
      </c>
      <c r="F1383" s="1">
        <f ca="1">IFERROR(__xludf.DUMMYFUNCTION("""COMPUTED_VALUE"""),9026404)</f>
        <v>9026404</v>
      </c>
    </row>
    <row r="1384" spans="1:6" x14ac:dyDescent="0.35">
      <c r="A1384" s="2">
        <f ca="1">IFERROR(__xludf.DUMMYFUNCTION("""COMPUTED_VALUE"""),44012.6666666666)</f>
        <v>44012.666666666599</v>
      </c>
      <c r="B1384" s="1">
        <f ca="1">IFERROR(__xludf.DUMMYFUNCTION("""COMPUTED_VALUE"""),67.1)</f>
        <v>67.099999999999994</v>
      </c>
      <c r="C1384" s="1">
        <f ca="1">IFERROR(__xludf.DUMMYFUNCTION("""COMPUTED_VALUE"""),72.51)</f>
        <v>72.510000000000005</v>
      </c>
      <c r="D1384" s="1">
        <f ca="1">IFERROR(__xludf.DUMMYFUNCTION("""COMPUTED_VALUE"""),66.92)</f>
        <v>66.92</v>
      </c>
      <c r="E1384" s="1">
        <f ca="1">IFERROR(__xludf.DUMMYFUNCTION("""COMPUTED_VALUE"""),71.99)</f>
        <v>71.989999999999995</v>
      </c>
      <c r="F1384" s="1">
        <f ca="1">IFERROR(__xludf.DUMMYFUNCTION("""COMPUTED_VALUE"""),16918501)</f>
        <v>16918501</v>
      </c>
    </row>
    <row r="1385" spans="1:6" x14ac:dyDescent="0.35">
      <c r="A1385" s="2">
        <f ca="1">IFERROR(__xludf.DUMMYFUNCTION("""COMPUTED_VALUE"""),44013.6666666666)</f>
        <v>44013.666666666599</v>
      </c>
      <c r="B1385" s="1">
        <f ca="1">IFERROR(__xludf.DUMMYFUNCTION("""COMPUTED_VALUE"""),72.2)</f>
        <v>72.2</v>
      </c>
      <c r="C1385" s="1">
        <f ca="1">IFERROR(__xludf.DUMMYFUNCTION("""COMPUTED_VALUE"""),75.69)</f>
        <v>75.69</v>
      </c>
      <c r="D1385" s="1">
        <f ca="1">IFERROR(__xludf.DUMMYFUNCTION("""COMPUTED_VALUE"""),72.03)</f>
        <v>72.03</v>
      </c>
      <c r="E1385" s="1">
        <f ca="1">IFERROR(__xludf.DUMMYFUNCTION("""COMPUTED_VALUE"""),74.64)</f>
        <v>74.64</v>
      </c>
      <c r="F1385" s="1">
        <f ca="1">IFERROR(__xludf.DUMMYFUNCTION("""COMPUTED_VALUE"""),13326896)</f>
        <v>13326896</v>
      </c>
    </row>
    <row r="1386" spans="1:6" x14ac:dyDescent="0.35">
      <c r="A1386" s="2">
        <f ca="1">IFERROR(__xludf.DUMMYFUNCTION("""COMPUTED_VALUE"""),44014.6666666666)</f>
        <v>44014.666666666599</v>
      </c>
      <c r="B1386" s="1">
        <f ca="1">IFERROR(__xludf.DUMMYFUNCTION("""COMPUTED_VALUE"""),81.43)</f>
        <v>81.430000000000007</v>
      </c>
      <c r="C1386" s="1">
        <f ca="1">IFERROR(__xludf.DUMMYFUNCTION("""COMPUTED_VALUE"""),81.87)</f>
        <v>81.87</v>
      </c>
      <c r="D1386" s="1">
        <f ca="1">IFERROR(__xludf.DUMMYFUNCTION("""COMPUTED_VALUE"""),79.04)</f>
        <v>79.040000000000006</v>
      </c>
      <c r="E1386" s="1">
        <f ca="1">IFERROR(__xludf.DUMMYFUNCTION("""COMPUTED_VALUE"""),80.58)</f>
        <v>80.58</v>
      </c>
      <c r="F1386" s="1">
        <f ca="1">IFERROR(__xludf.DUMMYFUNCTION("""COMPUTED_VALUE"""),17250115)</f>
        <v>17250115</v>
      </c>
    </row>
    <row r="1387" spans="1:6" x14ac:dyDescent="0.35">
      <c r="A1387" s="2">
        <f ca="1">IFERROR(__xludf.DUMMYFUNCTION("""COMPUTED_VALUE"""),44018.6666666666)</f>
        <v>44018.666666666599</v>
      </c>
      <c r="B1387" s="1">
        <f ca="1">IFERROR(__xludf.DUMMYFUNCTION("""COMPUTED_VALUE"""),85.11)</f>
        <v>85.11</v>
      </c>
      <c r="C1387" s="1">
        <f ca="1">IFERROR(__xludf.DUMMYFUNCTION("""COMPUTED_VALUE"""),91.85)</f>
        <v>91.85</v>
      </c>
      <c r="D1387" s="1">
        <f ca="1">IFERROR(__xludf.DUMMYFUNCTION("""COMPUTED_VALUE"""),84.4)</f>
        <v>84.4</v>
      </c>
      <c r="E1387" s="1">
        <f ca="1">IFERROR(__xludf.DUMMYFUNCTION("""COMPUTED_VALUE"""),91.44)</f>
        <v>91.44</v>
      </c>
      <c r="F1387" s="1">
        <f ca="1">IFERROR(__xludf.DUMMYFUNCTION("""COMPUTED_VALUE"""),20569864)</f>
        <v>20569864</v>
      </c>
    </row>
    <row r="1388" spans="1:6" x14ac:dyDescent="0.35">
      <c r="A1388" s="2">
        <f ca="1">IFERROR(__xludf.DUMMYFUNCTION("""COMPUTED_VALUE"""),44019.6666666666)</f>
        <v>44019.666666666599</v>
      </c>
      <c r="B1388" s="1">
        <f ca="1">IFERROR(__xludf.DUMMYFUNCTION("""COMPUTED_VALUE"""),93.67)</f>
        <v>93.67</v>
      </c>
      <c r="C1388" s="1">
        <f ca="1">IFERROR(__xludf.DUMMYFUNCTION("""COMPUTED_VALUE"""),95.3)</f>
        <v>95.3</v>
      </c>
      <c r="D1388" s="1">
        <f ca="1">IFERROR(__xludf.DUMMYFUNCTION("""COMPUTED_VALUE"""),89.11)</f>
        <v>89.11</v>
      </c>
      <c r="E1388" s="1">
        <f ca="1">IFERROR(__xludf.DUMMYFUNCTION("""COMPUTED_VALUE"""),92.66)</f>
        <v>92.66</v>
      </c>
      <c r="F1388" s="1">
        <f ca="1">IFERROR(__xludf.DUMMYFUNCTION("""COMPUTED_VALUE"""),21489661)</f>
        <v>21489661</v>
      </c>
    </row>
    <row r="1389" spans="1:6" x14ac:dyDescent="0.35">
      <c r="A1389" s="2">
        <f ca="1">IFERROR(__xludf.DUMMYFUNCTION("""COMPUTED_VALUE"""),44020.6666666666)</f>
        <v>44020.666666666599</v>
      </c>
      <c r="B1389" s="1">
        <f ca="1">IFERROR(__xludf.DUMMYFUNCTION("""COMPUTED_VALUE"""),93.67)</f>
        <v>93.67</v>
      </c>
      <c r="C1389" s="1">
        <f ca="1">IFERROR(__xludf.DUMMYFUNCTION("""COMPUTED_VALUE"""),94.48)</f>
        <v>94.48</v>
      </c>
      <c r="D1389" s="1">
        <f ca="1">IFERROR(__xludf.DUMMYFUNCTION("""COMPUTED_VALUE"""),87.42)</f>
        <v>87.42</v>
      </c>
      <c r="E1389" s="1">
        <f ca="1">IFERROR(__xludf.DUMMYFUNCTION("""COMPUTED_VALUE"""),91.06)</f>
        <v>91.06</v>
      </c>
      <c r="F1389" s="1">
        <f ca="1">IFERROR(__xludf.DUMMYFUNCTION("""COMPUTED_VALUE"""),16311312)</f>
        <v>16311312</v>
      </c>
    </row>
    <row r="1390" spans="1:6" x14ac:dyDescent="0.35">
      <c r="A1390" s="2">
        <f ca="1">IFERROR(__xludf.DUMMYFUNCTION("""COMPUTED_VALUE"""),44021.6666666666)</f>
        <v>44021.666666666599</v>
      </c>
      <c r="B1390" s="1">
        <f ca="1">IFERROR(__xludf.DUMMYFUNCTION("""COMPUTED_VALUE"""),93.13)</f>
        <v>93.13</v>
      </c>
      <c r="C1390" s="1">
        <f ca="1">IFERROR(__xludf.DUMMYFUNCTION("""COMPUTED_VALUE"""),93.9)</f>
        <v>93.9</v>
      </c>
      <c r="D1390" s="1">
        <f ca="1">IFERROR(__xludf.DUMMYFUNCTION("""COMPUTED_VALUE"""),90.09)</f>
        <v>90.09</v>
      </c>
      <c r="E1390" s="1">
        <f ca="1">IFERROR(__xludf.DUMMYFUNCTION("""COMPUTED_VALUE"""),92.95)</f>
        <v>92.95</v>
      </c>
      <c r="F1390" s="1">
        <f ca="1">IFERROR(__xludf.DUMMYFUNCTION("""COMPUTED_VALUE"""),11717598)</f>
        <v>11717598</v>
      </c>
    </row>
    <row r="1391" spans="1:6" x14ac:dyDescent="0.35">
      <c r="A1391" s="2">
        <f ca="1">IFERROR(__xludf.DUMMYFUNCTION("""COMPUTED_VALUE"""),44022.6666666666)</f>
        <v>44022.666666666599</v>
      </c>
      <c r="B1391" s="1">
        <f ca="1">IFERROR(__xludf.DUMMYFUNCTION("""COMPUTED_VALUE"""),93.07)</f>
        <v>93.07</v>
      </c>
      <c r="C1391" s="1">
        <f ca="1">IFERROR(__xludf.DUMMYFUNCTION("""COMPUTED_VALUE"""),103.26)</f>
        <v>103.26</v>
      </c>
      <c r="D1391" s="1">
        <f ca="1">IFERROR(__xludf.DUMMYFUNCTION("""COMPUTED_VALUE"""),91.73)</f>
        <v>91.73</v>
      </c>
      <c r="E1391" s="1">
        <f ca="1">IFERROR(__xludf.DUMMYFUNCTION("""COMPUTED_VALUE"""),102.98)</f>
        <v>102.98</v>
      </c>
      <c r="F1391" s="1">
        <f ca="1">IFERROR(__xludf.DUMMYFUNCTION("""COMPUTED_VALUE"""),23337553)</f>
        <v>23337553</v>
      </c>
    </row>
    <row r="1392" spans="1:6" x14ac:dyDescent="0.35">
      <c r="A1392" s="2">
        <f ca="1">IFERROR(__xludf.DUMMYFUNCTION("""COMPUTED_VALUE"""),44025.6666666666)</f>
        <v>44025.666666666599</v>
      </c>
      <c r="B1392" s="1">
        <f ca="1">IFERROR(__xludf.DUMMYFUNCTION("""COMPUTED_VALUE"""),110.6)</f>
        <v>110.6</v>
      </c>
      <c r="C1392" s="1">
        <f ca="1">IFERROR(__xludf.DUMMYFUNCTION("""COMPUTED_VALUE"""),119.67)</f>
        <v>119.67</v>
      </c>
      <c r="D1392" s="1">
        <f ca="1">IFERROR(__xludf.DUMMYFUNCTION("""COMPUTED_VALUE"""),98.07)</f>
        <v>98.07</v>
      </c>
      <c r="E1392" s="1">
        <f ca="1">IFERROR(__xludf.DUMMYFUNCTION("""COMPUTED_VALUE"""),99.8)</f>
        <v>99.8</v>
      </c>
      <c r="F1392" s="1">
        <f ca="1">IFERROR(__xludf.DUMMYFUNCTION("""COMPUTED_VALUE"""),38985362)</f>
        <v>38985362</v>
      </c>
    </row>
    <row r="1393" spans="1:6" x14ac:dyDescent="0.35">
      <c r="A1393" s="2">
        <f ca="1">IFERROR(__xludf.DUMMYFUNCTION("""COMPUTED_VALUE"""),44026.6666666666)</f>
        <v>44026.666666666599</v>
      </c>
      <c r="B1393" s="1">
        <f ca="1">IFERROR(__xludf.DUMMYFUNCTION("""COMPUTED_VALUE"""),103.73)</f>
        <v>103.73</v>
      </c>
      <c r="C1393" s="1">
        <f ca="1">IFERROR(__xludf.DUMMYFUNCTION("""COMPUTED_VALUE"""),106)</f>
        <v>106</v>
      </c>
      <c r="D1393" s="1">
        <f ca="1">IFERROR(__xludf.DUMMYFUNCTION("""COMPUTED_VALUE"""),95.4)</f>
        <v>95.4</v>
      </c>
      <c r="E1393" s="1">
        <f ca="1">IFERROR(__xludf.DUMMYFUNCTION("""COMPUTED_VALUE"""),101.12)</f>
        <v>101.12</v>
      </c>
      <c r="F1393" s="1">
        <f ca="1">IFERROR(__xludf.DUMMYFUNCTION("""COMPUTED_VALUE"""),23418140)</f>
        <v>23418140</v>
      </c>
    </row>
    <row r="1394" spans="1:6" x14ac:dyDescent="0.35">
      <c r="A1394" s="2">
        <f ca="1">IFERROR(__xludf.DUMMYFUNCTION("""COMPUTED_VALUE"""),44027.6666666666)</f>
        <v>44027.666666666599</v>
      </c>
      <c r="B1394" s="1">
        <f ca="1">IFERROR(__xludf.DUMMYFUNCTION("""COMPUTED_VALUE"""),102.87)</f>
        <v>102.87</v>
      </c>
      <c r="C1394" s="1">
        <f ca="1">IFERROR(__xludf.DUMMYFUNCTION("""COMPUTED_VALUE"""),103.33)</f>
        <v>103.33</v>
      </c>
      <c r="D1394" s="1">
        <f ca="1">IFERROR(__xludf.DUMMYFUNCTION("""COMPUTED_VALUE"""),97.13)</f>
        <v>97.13</v>
      </c>
      <c r="E1394" s="1">
        <f ca="1">IFERROR(__xludf.DUMMYFUNCTION("""COMPUTED_VALUE"""),103.07)</f>
        <v>103.07</v>
      </c>
      <c r="F1394" s="1">
        <f ca="1">IFERROR(__xludf.DUMMYFUNCTION("""COMPUTED_VALUE"""),16367829)</f>
        <v>16367829</v>
      </c>
    </row>
    <row r="1395" spans="1:6" x14ac:dyDescent="0.35">
      <c r="A1395" s="2">
        <f ca="1">IFERROR(__xludf.DUMMYFUNCTION("""COMPUTED_VALUE"""),44028.6666666666)</f>
        <v>44028.666666666599</v>
      </c>
      <c r="B1395" s="1">
        <f ca="1">IFERROR(__xludf.DUMMYFUNCTION("""COMPUTED_VALUE"""),98.48)</f>
        <v>98.48</v>
      </c>
      <c r="C1395" s="1">
        <f ca="1">IFERROR(__xludf.DUMMYFUNCTION("""COMPUTED_VALUE"""),102.11)</f>
        <v>102.11</v>
      </c>
      <c r="D1395" s="1">
        <f ca="1">IFERROR(__xludf.DUMMYFUNCTION("""COMPUTED_VALUE"""),97.73)</f>
        <v>97.73</v>
      </c>
      <c r="E1395" s="1">
        <f ca="1">IFERROR(__xludf.DUMMYFUNCTION("""COMPUTED_VALUE"""),100.04)</f>
        <v>100.04</v>
      </c>
      <c r="F1395" s="1">
        <f ca="1">IFERROR(__xludf.DUMMYFUNCTION("""COMPUTED_VALUE"""),14300785)</f>
        <v>14300785</v>
      </c>
    </row>
    <row r="1396" spans="1:6" x14ac:dyDescent="0.35">
      <c r="A1396" s="2">
        <f ca="1">IFERROR(__xludf.DUMMYFUNCTION("""COMPUTED_VALUE"""),44029.6666666666)</f>
        <v>44029.666666666599</v>
      </c>
      <c r="B1396" s="1">
        <f ca="1">IFERROR(__xludf.DUMMYFUNCTION("""COMPUTED_VALUE"""),100.9)</f>
        <v>100.9</v>
      </c>
      <c r="C1396" s="1">
        <f ca="1">IFERROR(__xludf.DUMMYFUNCTION("""COMPUTED_VALUE"""),102.5)</f>
        <v>102.5</v>
      </c>
      <c r="D1396" s="1">
        <f ca="1">IFERROR(__xludf.DUMMYFUNCTION("""COMPUTED_VALUE"""),99.33)</f>
        <v>99.33</v>
      </c>
      <c r="E1396" s="1">
        <f ca="1">IFERROR(__xludf.DUMMYFUNCTION("""COMPUTED_VALUE"""),100.06)</f>
        <v>100.06</v>
      </c>
      <c r="F1396" s="1">
        <f ca="1">IFERROR(__xludf.DUMMYFUNCTION("""COMPUTED_VALUE"""),9329972)</f>
        <v>9329972</v>
      </c>
    </row>
    <row r="1397" spans="1:6" x14ac:dyDescent="0.35">
      <c r="A1397" s="2">
        <f ca="1">IFERROR(__xludf.DUMMYFUNCTION("""COMPUTED_VALUE"""),44032.6666666666)</f>
        <v>44032.666666666599</v>
      </c>
      <c r="B1397" s="1">
        <f ca="1">IFERROR(__xludf.DUMMYFUNCTION("""COMPUTED_VALUE"""),101.27)</f>
        <v>101.27</v>
      </c>
      <c r="C1397" s="1">
        <f ca="1">IFERROR(__xludf.DUMMYFUNCTION("""COMPUTED_VALUE"""),110)</f>
        <v>110</v>
      </c>
      <c r="D1397" s="1">
        <f ca="1">IFERROR(__xludf.DUMMYFUNCTION("""COMPUTED_VALUE"""),99.2)</f>
        <v>99.2</v>
      </c>
      <c r="E1397" s="1">
        <f ca="1">IFERROR(__xludf.DUMMYFUNCTION("""COMPUTED_VALUE"""),109.53)</f>
        <v>109.53</v>
      </c>
      <c r="F1397" s="1">
        <f ca="1">IFERROR(__xludf.DUMMYFUNCTION("""COMPUTED_VALUE"""),17121367)</f>
        <v>17121367</v>
      </c>
    </row>
    <row r="1398" spans="1:6" x14ac:dyDescent="0.35">
      <c r="A1398" s="2">
        <f ca="1">IFERROR(__xludf.DUMMYFUNCTION("""COMPUTED_VALUE"""),44033.6666666666)</f>
        <v>44033.666666666599</v>
      </c>
      <c r="B1398" s="1">
        <f ca="1">IFERROR(__xludf.DUMMYFUNCTION("""COMPUTED_VALUE"""),109.33)</f>
        <v>109.33</v>
      </c>
      <c r="C1398" s="1">
        <f ca="1">IFERROR(__xludf.DUMMYFUNCTION("""COMPUTED_VALUE"""),111.67)</f>
        <v>111.67</v>
      </c>
      <c r="D1398" s="1">
        <f ca="1">IFERROR(__xludf.DUMMYFUNCTION("""COMPUTED_VALUE"""),103.87)</f>
        <v>103.87</v>
      </c>
      <c r="E1398" s="1">
        <f ca="1">IFERROR(__xludf.DUMMYFUNCTION("""COMPUTED_VALUE"""),104.56)</f>
        <v>104.56</v>
      </c>
      <c r="F1398" s="1">
        <f ca="1">IFERROR(__xludf.DUMMYFUNCTION("""COMPUTED_VALUE"""),16157280)</f>
        <v>16157280</v>
      </c>
    </row>
    <row r="1399" spans="1:6" x14ac:dyDescent="0.35">
      <c r="A1399" s="2">
        <f ca="1">IFERROR(__xludf.DUMMYFUNCTION("""COMPUTED_VALUE"""),44034.6666666666)</f>
        <v>44034.666666666599</v>
      </c>
      <c r="B1399" s="1">
        <f ca="1">IFERROR(__xludf.DUMMYFUNCTION("""COMPUTED_VALUE"""),106.6)</f>
        <v>106.6</v>
      </c>
      <c r="C1399" s="1">
        <f ca="1">IFERROR(__xludf.DUMMYFUNCTION("""COMPUTED_VALUE"""),108.43)</f>
        <v>108.43</v>
      </c>
      <c r="D1399" s="1">
        <f ca="1">IFERROR(__xludf.DUMMYFUNCTION("""COMPUTED_VALUE"""),104.13)</f>
        <v>104.13</v>
      </c>
      <c r="E1399" s="1">
        <f ca="1">IFERROR(__xludf.DUMMYFUNCTION("""COMPUTED_VALUE"""),106.16)</f>
        <v>106.16</v>
      </c>
      <c r="F1399" s="1">
        <f ca="1">IFERROR(__xludf.DUMMYFUNCTION("""COMPUTED_VALUE"""),14161080)</f>
        <v>14161080</v>
      </c>
    </row>
    <row r="1400" spans="1:6" x14ac:dyDescent="0.35">
      <c r="A1400" s="2">
        <f ca="1">IFERROR(__xludf.DUMMYFUNCTION("""COMPUTED_VALUE"""),44035.6666666666)</f>
        <v>44035.666666666599</v>
      </c>
      <c r="B1400" s="1">
        <f ca="1">IFERROR(__xludf.DUMMYFUNCTION("""COMPUTED_VALUE"""),111.93)</f>
        <v>111.93</v>
      </c>
      <c r="C1400" s="1">
        <f ca="1">IFERROR(__xludf.DUMMYFUNCTION("""COMPUTED_VALUE"""),112.6)</f>
        <v>112.6</v>
      </c>
      <c r="D1400" s="1">
        <f ca="1">IFERROR(__xludf.DUMMYFUNCTION("""COMPUTED_VALUE"""),98.72)</f>
        <v>98.72</v>
      </c>
      <c r="E1400" s="1">
        <f ca="1">IFERROR(__xludf.DUMMYFUNCTION("""COMPUTED_VALUE"""),100.87)</f>
        <v>100.87</v>
      </c>
      <c r="F1400" s="1">
        <f ca="1">IFERROR(__xludf.DUMMYFUNCTION("""COMPUTED_VALUE"""),24328504)</f>
        <v>24328504</v>
      </c>
    </row>
    <row r="1401" spans="1:6" x14ac:dyDescent="0.35">
      <c r="A1401" s="2">
        <f ca="1">IFERROR(__xludf.DUMMYFUNCTION("""COMPUTED_VALUE"""),44036.6666666666)</f>
        <v>44036.666666666599</v>
      </c>
      <c r="B1401" s="1">
        <f ca="1">IFERROR(__xludf.DUMMYFUNCTION("""COMPUTED_VALUE"""),94.4)</f>
        <v>94.4</v>
      </c>
      <c r="C1401" s="1">
        <f ca="1">IFERROR(__xludf.DUMMYFUNCTION("""COMPUTED_VALUE"""),97.67)</f>
        <v>97.67</v>
      </c>
      <c r="D1401" s="1">
        <f ca="1">IFERROR(__xludf.DUMMYFUNCTION("""COMPUTED_VALUE"""),91.1)</f>
        <v>91.1</v>
      </c>
      <c r="E1401" s="1">
        <f ca="1">IFERROR(__xludf.DUMMYFUNCTION("""COMPUTED_VALUE"""),94.47)</f>
        <v>94.47</v>
      </c>
      <c r="F1401" s="1">
        <f ca="1">IFERROR(__xludf.DUMMYFUNCTION("""COMPUTED_VALUE"""),19396616)</f>
        <v>19396616</v>
      </c>
    </row>
    <row r="1402" spans="1:6" x14ac:dyDescent="0.35">
      <c r="A1402" s="2">
        <f ca="1">IFERROR(__xludf.DUMMYFUNCTION("""COMPUTED_VALUE"""),44039.6666666666)</f>
        <v>44039.666666666599</v>
      </c>
      <c r="B1402" s="1">
        <f ca="1">IFERROR(__xludf.DUMMYFUNCTION("""COMPUTED_VALUE"""),95.67)</f>
        <v>95.67</v>
      </c>
      <c r="C1402" s="1">
        <f ca="1">IFERROR(__xludf.DUMMYFUNCTION("""COMPUTED_VALUE"""),103.2)</f>
        <v>103.2</v>
      </c>
      <c r="D1402" s="1">
        <f ca="1">IFERROR(__xludf.DUMMYFUNCTION("""COMPUTED_VALUE"""),94.2)</f>
        <v>94.2</v>
      </c>
      <c r="E1402" s="1">
        <f ca="1">IFERROR(__xludf.DUMMYFUNCTION("""COMPUTED_VALUE"""),102.64)</f>
        <v>102.64</v>
      </c>
      <c r="F1402" s="1">
        <f ca="1">IFERROR(__xludf.DUMMYFUNCTION("""COMPUTED_VALUE"""),16048669)</f>
        <v>16048669</v>
      </c>
    </row>
    <row r="1403" spans="1:6" x14ac:dyDescent="0.35">
      <c r="A1403" s="2">
        <f ca="1">IFERROR(__xludf.DUMMYFUNCTION("""COMPUTED_VALUE"""),44040.6666666666)</f>
        <v>44040.666666666599</v>
      </c>
      <c r="B1403" s="1">
        <f ca="1">IFERROR(__xludf.DUMMYFUNCTION("""COMPUTED_VALUE"""),100.27)</f>
        <v>100.27</v>
      </c>
      <c r="C1403" s="1">
        <f ca="1">IFERROR(__xludf.DUMMYFUNCTION("""COMPUTED_VALUE"""),104.31)</f>
        <v>104.31</v>
      </c>
      <c r="D1403" s="1">
        <f ca="1">IFERROR(__xludf.DUMMYFUNCTION("""COMPUTED_VALUE"""),98.29)</f>
        <v>98.29</v>
      </c>
      <c r="E1403" s="1">
        <f ca="1">IFERROR(__xludf.DUMMYFUNCTION("""COMPUTED_VALUE"""),98.43)</f>
        <v>98.43</v>
      </c>
      <c r="F1403" s="1">
        <f ca="1">IFERROR(__xludf.DUMMYFUNCTION("""COMPUTED_VALUE"""),15808700)</f>
        <v>15808700</v>
      </c>
    </row>
    <row r="1404" spans="1:6" x14ac:dyDescent="0.35">
      <c r="A1404" s="2">
        <f ca="1">IFERROR(__xludf.DUMMYFUNCTION("""COMPUTED_VALUE"""),44041.6666666666)</f>
        <v>44041.666666666599</v>
      </c>
      <c r="B1404" s="1">
        <f ca="1">IFERROR(__xludf.DUMMYFUNCTION("""COMPUTED_VALUE"""),100.07)</f>
        <v>100.07</v>
      </c>
      <c r="C1404" s="1">
        <f ca="1">IFERROR(__xludf.DUMMYFUNCTION("""COMPUTED_VALUE"""),102.32)</f>
        <v>102.32</v>
      </c>
      <c r="D1404" s="1">
        <f ca="1">IFERROR(__xludf.DUMMYFUNCTION("""COMPUTED_VALUE"""),99.13)</f>
        <v>99.13</v>
      </c>
      <c r="E1404" s="1">
        <f ca="1">IFERROR(__xludf.DUMMYFUNCTION("""COMPUTED_VALUE"""),99.94)</f>
        <v>99.94</v>
      </c>
      <c r="F1404" s="1">
        <f ca="1">IFERROR(__xludf.DUMMYFUNCTION("""COMPUTED_VALUE"""),9426893)</f>
        <v>9426893</v>
      </c>
    </row>
    <row r="1405" spans="1:6" x14ac:dyDescent="0.35">
      <c r="A1405" s="2">
        <f ca="1">IFERROR(__xludf.DUMMYFUNCTION("""COMPUTED_VALUE"""),44042.6666666666)</f>
        <v>44042.666666666599</v>
      </c>
      <c r="B1405" s="1">
        <f ca="1">IFERROR(__xludf.DUMMYFUNCTION("""COMPUTED_VALUE"""),99.2)</f>
        <v>99.2</v>
      </c>
      <c r="C1405" s="1">
        <f ca="1">IFERROR(__xludf.DUMMYFUNCTION("""COMPUTED_VALUE"""),100.88)</f>
        <v>100.88</v>
      </c>
      <c r="D1405" s="1">
        <f ca="1">IFERROR(__xludf.DUMMYFUNCTION("""COMPUTED_VALUE"""),98.07)</f>
        <v>98.07</v>
      </c>
      <c r="E1405" s="1">
        <f ca="1">IFERROR(__xludf.DUMMYFUNCTION("""COMPUTED_VALUE"""),99.17)</f>
        <v>99.17</v>
      </c>
      <c r="F1405" s="1">
        <f ca="1">IFERROR(__xludf.DUMMYFUNCTION("""COMPUTED_VALUE"""),7621039)</f>
        <v>7621039</v>
      </c>
    </row>
    <row r="1406" spans="1:6" x14ac:dyDescent="0.35">
      <c r="A1406" s="2">
        <f ca="1">IFERROR(__xludf.DUMMYFUNCTION("""COMPUTED_VALUE"""),44043.6666666666)</f>
        <v>44043.666666666599</v>
      </c>
      <c r="B1406" s="1">
        <f ca="1">IFERROR(__xludf.DUMMYFUNCTION("""COMPUTED_VALUE"""),101)</f>
        <v>101</v>
      </c>
      <c r="C1406" s="1">
        <f ca="1">IFERROR(__xludf.DUMMYFUNCTION("""COMPUTED_VALUE"""),101.14)</f>
        <v>101.14</v>
      </c>
      <c r="D1406" s="1">
        <f ca="1">IFERROR(__xludf.DUMMYFUNCTION("""COMPUTED_VALUE"""),94.73)</f>
        <v>94.73</v>
      </c>
      <c r="E1406" s="1">
        <f ca="1">IFERROR(__xludf.DUMMYFUNCTION("""COMPUTED_VALUE"""),95.38)</f>
        <v>95.38</v>
      </c>
      <c r="F1406" s="1">
        <f ca="1">IFERROR(__xludf.DUMMYFUNCTION("""COMPUTED_VALUE"""),12246960)</f>
        <v>12246960</v>
      </c>
    </row>
    <row r="1407" spans="1:6" x14ac:dyDescent="0.35">
      <c r="A1407" s="2">
        <f ca="1">IFERROR(__xludf.DUMMYFUNCTION("""COMPUTED_VALUE"""),44046.6666666666)</f>
        <v>44046.666666666599</v>
      </c>
      <c r="B1407" s="1">
        <f ca="1">IFERROR(__xludf.DUMMYFUNCTION("""COMPUTED_VALUE"""),96.61)</f>
        <v>96.61</v>
      </c>
      <c r="C1407" s="1">
        <f ca="1">IFERROR(__xludf.DUMMYFUNCTION("""COMPUTED_VALUE"""),100.65)</f>
        <v>100.65</v>
      </c>
      <c r="D1407" s="1">
        <f ca="1">IFERROR(__xludf.DUMMYFUNCTION("""COMPUTED_VALUE"""),96.29)</f>
        <v>96.29</v>
      </c>
      <c r="E1407" s="1">
        <f ca="1">IFERROR(__xludf.DUMMYFUNCTION("""COMPUTED_VALUE"""),99)</f>
        <v>99</v>
      </c>
      <c r="F1407" s="1">
        <f ca="1">IFERROR(__xludf.DUMMYFUNCTION("""COMPUTED_VALUE"""),8809346)</f>
        <v>8809346</v>
      </c>
    </row>
    <row r="1408" spans="1:6" x14ac:dyDescent="0.35">
      <c r="A1408" s="2">
        <f ca="1">IFERROR(__xludf.DUMMYFUNCTION("""COMPUTED_VALUE"""),44047.6666666666)</f>
        <v>44047.666666666599</v>
      </c>
      <c r="B1408" s="1">
        <f ca="1">IFERROR(__xludf.DUMMYFUNCTION("""COMPUTED_VALUE"""),99.67)</f>
        <v>99.67</v>
      </c>
      <c r="C1408" s="1">
        <f ca="1">IFERROR(__xludf.DUMMYFUNCTION("""COMPUTED_VALUE"""),101.83)</f>
        <v>101.83</v>
      </c>
      <c r="D1408" s="1">
        <f ca="1">IFERROR(__xludf.DUMMYFUNCTION("""COMPUTED_VALUE"""),97.47)</f>
        <v>97.47</v>
      </c>
      <c r="E1408" s="1">
        <f ca="1">IFERROR(__xludf.DUMMYFUNCTION("""COMPUTED_VALUE"""),99.13)</f>
        <v>99.13</v>
      </c>
      <c r="F1408" s="1">
        <f ca="1">IFERROR(__xludf.DUMMYFUNCTION("""COMPUTED_VALUE"""),8414990)</f>
        <v>8414990</v>
      </c>
    </row>
    <row r="1409" spans="1:6" x14ac:dyDescent="0.35">
      <c r="A1409" s="2">
        <f ca="1">IFERROR(__xludf.DUMMYFUNCTION("""COMPUTED_VALUE"""),44048.6666666666)</f>
        <v>44048.666666666599</v>
      </c>
      <c r="B1409" s="1">
        <f ca="1">IFERROR(__xludf.DUMMYFUNCTION("""COMPUTED_VALUE"""),99.53)</f>
        <v>99.53</v>
      </c>
      <c r="C1409" s="1">
        <f ca="1">IFERROR(__xludf.DUMMYFUNCTION("""COMPUTED_VALUE"""),99.99)</f>
        <v>99.99</v>
      </c>
      <c r="D1409" s="1">
        <f ca="1">IFERROR(__xludf.DUMMYFUNCTION("""COMPUTED_VALUE"""),97.89)</f>
        <v>97.89</v>
      </c>
      <c r="E1409" s="1">
        <f ca="1">IFERROR(__xludf.DUMMYFUNCTION("""COMPUTED_VALUE"""),99)</f>
        <v>99</v>
      </c>
      <c r="F1409" s="1">
        <f ca="1">IFERROR(__xludf.DUMMYFUNCTION("""COMPUTED_VALUE"""),4978015)</f>
        <v>4978015</v>
      </c>
    </row>
    <row r="1410" spans="1:6" x14ac:dyDescent="0.35">
      <c r="A1410" s="2">
        <f ca="1">IFERROR(__xludf.DUMMYFUNCTION("""COMPUTED_VALUE"""),44049.6666666666)</f>
        <v>44049.666666666599</v>
      </c>
      <c r="B1410" s="1">
        <f ca="1">IFERROR(__xludf.DUMMYFUNCTION("""COMPUTED_VALUE"""),99.39)</f>
        <v>99.39</v>
      </c>
      <c r="C1410" s="1">
        <f ca="1">IFERROR(__xludf.DUMMYFUNCTION("""COMPUTED_VALUE"""),101.15)</f>
        <v>101.15</v>
      </c>
      <c r="D1410" s="1">
        <f ca="1">IFERROR(__xludf.DUMMYFUNCTION("""COMPUTED_VALUE"""),98.48)</f>
        <v>98.48</v>
      </c>
      <c r="E1410" s="1">
        <f ca="1">IFERROR(__xludf.DUMMYFUNCTION("""COMPUTED_VALUE"""),99.31)</f>
        <v>99.31</v>
      </c>
      <c r="F1410" s="1">
        <f ca="1">IFERROR(__xludf.DUMMYFUNCTION("""COMPUTED_VALUE"""),5992313)</f>
        <v>5992313</v>
      </c>
    </row>
    <row r="1411" spans="1:6" x14ac:dyDescent="0.35">
      <c r="A1411" s="2">
        <f ca="1">IFERROR(__xludf.DUMMYFUNCTION("""COMPUTED_VALUE"""),44050.6666666666)</f>
        <v>44050.666666666599</v>
      </c>
      <c r="B1411" s="1">
        <f ca="1">IFERROR(__xludf.DUMMYFUNCTION("""COMPUTED_VALUE"""),99.97)</f>
        <v>99.97</v>
      </c>
      <c r="C1411" s="1">
        <f ca="1">IFERROR(__xludf.DUMMYFUNCTION("""COMPUTED_VALUE"""),99.98)</f>
        <v>99.98</v>
      </c>
      <c r="D1411" s="1">
        <f ca="1">IFERROR(__xludf.DUMMYFUNCTION("""COMPUTED_VALUE"""),94.33)</f>
        <v>94.33</v>
      </c>
      <c r="E1411" s="1">
        <f ca="1">IFERROR(__xludf.DUMMYFUNCTION("""COMPUTED_VALUE"""),96.85)</f>
        <v>96.85</v>
      </c>
      <c r="F1411" s="1">
        <f ca="1">IFERROR(__xludf.DUMMYFUNCTION("""COMPUTED_VALUE"""),8896420)</f>
        <v>8896420</v>
      </c>
    </row>
    <row r="1412" spans="1:6" x14ac:dyDescent="0.35">
      <c r="A1412" s="2">
        <f ca="1">IFERROR(__xludf.DUMMYFUNCTION("""COMPUTED_VALUE"""),44053.6666666666)</f>
        <v>44053.666666666599</v>
      </c>
      <c r="B1412" s="1">
        <f ca="1">IFERROR(__xludf.DUMMYFUNCTION("""COMPUTED_VALUE"""),96.53)</f>
        <v>96.53</v>
      </c>
      <c r="C1412" s="1">
        <f ca="1">IFERROR(__xludf.DUMMYFUNCTION("""COMPUTED_VALUE"""),97.17)</f>
        <v>97.17</v>
      </c>
      <c r="D1412" s="1">
        <f ca="1">IFERROR(__xludf.DUMMYFUNCTION("""COMPUTED_VALUE"""),92.39)</f>
        <v>92.39</v>
      </c>
      <c r="E1412" s="1">
        <f ca="1">IFERROR(__xludf.DUMMYFUNCTION("""COMPUTED_VALUE"""),94.57)</f>
        <v>94.57</v>
      </c>
      <c r="F1412" s="1">
        <f ca="1">IFERROR(__xludf.DUMMYFUNCTION("""COMPUTED_VALUE"""),7522264)</f>
        <v>7522264</v>
      </c>
    </row>
    <row r="1413" spans="1:6" x14ac:dyDescent="0.35">
      <c r="A1413" s="2">
        <f ca="1">IFERROR(__xludf.DUMMYFUNCTION("""COMPUTED_VALUE"""),44054.6666666666)</f>
        <v>44054.666666666599</v>
      </c>
      <c r="B1413" s="1">
        <f ca="1">IFERROR(__xludf.DUMMYFUNCTION("""COMPUTED_VALUE"""),93.07)</f>
        <v>93.07</v>
      </c>
      <c r="C1413" s="1">
        <f ca="1">IFERROR(__xludf.DUMMYFUNCTION("""COMPUTED_VALUE"""),94.67)</f>
        <v>94.67</v>
      </c>
      <c r="D1413" s="1">
        <f ca="1">IFERROR(__xludf.DUMMYFUNCTION("""COMPUTED_VALUE"""),91)</f>
        <v>91</v>
      </c>
      <c r="E1413" s="1">
        <f ca="1">IFERROR(__xludf.DUMMYFUNCTION("""COMPUTED_VALUE"""),91.63)</f>
        <v>91.63</v>
      </c>
      <c r="F1413" s="1">
        <f ca="1">IFERROR(__xludf.DUMMYFUNCTION("""COMPUTED_VALUE"""),8625834)</f>
        <v>8625834</v>
      </c>
    </row>
    <row r="1414" spans="1:6" x14ac:dyDescent="0.35">
      <c r="A1414" s="2">
        <f ca="1">IFERROR(__xludf.DUMMYFUNCTION("""COMPUTED_VALUE"""),44055.6666666666)</f>
        <v>44055.666666666599</v>
      </c>
      <c r="B1414" s="1">
        <f ca="1">IFERROR(__xludf.DUMMYFUNCTION("""COMPUTED_VALUE"""),98)</f>
        <v>98</v>
      </c>
      <c r="C1414" s="1">
        <f ca="1">IFERROR(__xludf.DUMMYFUNCTION("""COMPUTED_VALUE"""),105.67)</f>
        <v>105.67</v>
      </c>
      <c r="D1414" s="1">
        <f ca="1">IFERROR(__xludf.DUMMYFUNCTION("""COMPUTED_VALUE"""),95.67)</f>
        <v>95.67</v>
      </c>
      <c r="E1414" s="1">
        <f ca="1">IFERROR(__xludf.DUMMYFUNCTION("""COMPUTED_VALUE"""),103.65)</f>
        <v>103.65</v>
      </c>
      <c r="F1414" s="1">
        <f ca="1">IFERROR(__xludf.DUMMYFUNCTION("""COMPUTED_VALUE"""),21898834)</f>
        <v>21898834</v>
      </c>
    </row>
    <row r="1415" spans="1:6" x14ac:dyDescent="0.35">
      <c r="A1415" s="2">
        <f ca="1">IFERROR(__xludf.DUMMYFUNCTION("""COMPUTED_VALUE"""),44056.6666666666)</f>
        <v>44056.666666666599</v>
      </c>
      <c r="B1415" s="1">
        <f ca="1">IFERROR(__xludf.DUMMYFUNCTION("""COMPUTED_VALUE"""),107.4)</f>
        <v>107.4</v>
      </c>
      <c r="C1415" s="1">
        <f ca="1">IFERROR(__xludf.DUMMYFUNCTION("""COMPUTED_VALUE"""),110.08)</f>
        <v>110.08</v>
      </c>
      <c r="D1415" s="1">
        <f ca="1">IFERROR(__xludf.DUMMYFUNCTION("""COMPUTED_VALUE"""),104.48)</f>
        <v>104.48</v>
      </c>
      <c r="E1415" s="1">
        <f ca="1">IFERROR(__xludf.DUMMYFUNCTION("""COMPUTED_VALUE"""),108.07)</f>
        <v>108.07</v>
      </c>
      <c r="F1415" s="1">
        <f ca="1">IFERROR(__xludf.DUMMYFUNCTION("""COMPUTED_VALUE"""),20425308)</f>
        <v>20425308</v>
      </c>
    </row>
    <row r="1416" spans="1:6" x14ac:dyDescent="0.35">
      <c r="A1416" s="2">
        <f ca="1">IFERROR(__xludf.DUMMYFUNCTION("""COMPUTED_VALUE"""),44057.6666666666)</f>
        <v>44057.666666666599</v>
      </c>
      <c r="B1416" s="1">
        <f ca="1">IFERROR(__xludf.DUMMYFUNCTION("""COMPUTED_VALUE"""),111)</f>
        <v>111</v>
      </c>
      <c r="C1416" s="1">
        <f ca="1">IFERROR(__xludf.DUMMYFUNCTION("""COMPUTED_VALUE"""),111.25)</f>
        <v>111.25</v>
      </c>
      <c r="D1416" s="1">
        <f ca="1">IFERROR(__xludf.DUMMYFUNCTION("""COMPUTED_VALUE"""),108.44)</f>
        <v>108.44</v>
      </c>
      <c r="E1416" s="1">
        <f ca="1">IFERROR(__xludf.DUMMYFUNCTION("""COMPUTED_VALUE"""),110.05)</f>
        <v>110.05</v>
      </c>
      <c r="F1416" s="1">
        <f ca="1">IFERROR(__xludf.DUMMYFUNCTION("""COMPUTED_VALUE"""),12577614)</f>
        <v>12577614</v>
      </c>
    </row>
    <row r="1417" spans="1:6" x14ac:dyDescent="0.35">
      <c r="A1417" s="2">
        <f ca="1">IFERROR(__xludf.DUMMYFUNCTION("""COMPUTED_VALUE"""),44060.6666666666)</f>
        <v>44060.666666666599</v>
      </c>
      <c r="B1417" s="1">
        <f ca="1">IFERROR(__xludf.DUMMYFUNCTION("""COMPUTED_VALUE"""),111.8)</f>
        <v>111.8</v>
      </c>
      <c r="C1417" s="1">
        <f ca="1">IFERROR(__xludf.DUMMYFUNCTION("""COMPUTED_VALUE"""),123.06)</f>
        <v>123.06</v>
      </c>
      <c r="D1417" s="1">
        <f ca="1">IFERROR(__xludf.DUMMYFUNCTION("""COMPUTED_VALUE"""),111.52)</f>
        <v>111.52</v>
      </c>
      <c r="E1417" s="1">
        <f ca="1">IFERROR(__xludf.DUMMYFUNCTION("""COMPUTED_VALUE"""),122.38)</f>
        <v>122.38</v>
      </c>
      <c r="F1417" s="1">
        <f ca="1">IFERROR(__xludf.DUMMYFUNCTION("""COMPUTED_VALUE"""),20242323)</f>
        <v>20242323</v>
      </c>
    </row>
    <row r="1418" spans="1:6" x14ac:dyDescent="0.35">
      <c r="A1418" s="2">
        <f ca="1">IFERROR(__xludf.DUMMYFUNCTION("""COMPUTED_VALUE"""),44061.6666666666)</f>
        <v>44061.666666666599</v>
      </c>
      <c r="B1418" s="1">
        <f ca="1">IFERROR(__xludf.DUMMYFUNCTION("""COMPUTED_VALUE"""),126.6)</f>
        <v>126.6</v>
      </c>
      <c r="C1418" s="1">
        <f ca="1">IFERROR(__xludf.DUMMYFUNCTION("""COMPUTED_VALUE"""),128.26)</f>
        <v>128.26</v>
      </c>
      <c r="D1418" s="1">
        <f ca="1">IFERROR(__xludf.DUMMYFUNCTION("""COMPUTED_VALUE"""),123.01)</f>
        <v>123.01</v>
      </c>
      <c r="E1418" s="1">
        <f ca="1">IFERROR(__xludf.DUMMYFUNCTION("""COMPUTED_VALUE"""),125.81)</f>
        <v>125.81</v>
      </c>
      <c r="F1418" s="1">
        <f ca="1">IFERROR(__xludf.DUMMYFUNCTION("""COMPUTED_VALUE"""),16474491)</f>
        <v>16474491</v>
      </c>
    </row>
    <row r="1419" spans="1:6" x14ac:dyDescent="0.35">
      <c r="A1419" s="2">
        <f ca="1">IFERROR(__xludf.DUMMYFUNCTION("""COMPUTED_VALUE"""),44062.6666666666)</f>
        <v>44062.666666666599</v>
      </c>
      <c r="B1419" s="1">
        <f ca="1">IFERROR(__xludf.DUMMYFUNCTION("""COMPUTED_VALUE"""),124.33)</f>
        <v>124.33</v>
      </c>
      <c r="C1419" s="1">
        <f ca="1">IFERROR(__xludf.DUMMYFUNCTION("""COMPUTED_VALUE"""),127.4)</f>
        <v>127.4</v>
      </c>
      <c r="D1419" s="1">
        <f ca="1">IFERROR(__xludf.DUMMYFUNCTION("""COMPUTED_VALUE"""),122.75)</f>
        <v>122.75</v>
      </c>
      <c r="E1419" s="1">
        <f ca="1">IFERROR(__xludf.DUMMYFUNCTION("""COMPUTED_VALUE"""),125.24)</f>
        <v>125.24</v>
      </c>
      <c r="F1419" s="1">
        <f ca="1">IFERROR(__xludf.DUMMYFUNCTION("""COMPUTED_VALUE"""),12205331)</f>
        <v>12205331</v>
      </c>
    </row>
    <row r="1420" spans="1:6" x14ac:dyDescent="0.35">
      <c r="A1420" s="2">
        <f ca="1">IFERROR(__xludf.DUMMYFUNCTION("""COMPUTED_VALUE"""),44063.6666666666)</f>
        <v>44063.666666666599</v>
      </c>
      <c r="B1420" s="1">
        <f ca="1">IFERROR(__xludf.DUMMYFUNCTION("""COMPUTED_VALUE"""),124.05)</f>
        <v>124.05</v>
      </c>
      <c r="C1420" s="1">
        <f ca="1">IFERROR(__xludf.DUMMYFUNCTION("""COMPUTED_VALUE"""),134.8)</f>
        <v>134.80000000000001</v>
      </c>
      <c r="D1420" s="1">
        <f ca="1">IFERROR(__xludf.DUMMYFUNCTION("""COMPUTED_VALUE"""),123.8)</f>
        <v>123.8</v>
      </c>
      <c r="E1420" s="1">
        <f ca="1">IFERROR(__xludf.DUMMYFUNCTION("""COMPUTED_VALUE"""),133.46)</f>
        <v>133.46</v>
      </c>
      <c r="F1420" s="1">
        <f ca="1">IFERROR(__xludf.DUMMYFUNCTION("""COMPUTED_VALUE"""),20611796)</f>
        <v>20611796</v>
      </c>
    </row>
    <row r="1421" spans="1:6" x14ac:dyDescent="0.35">
      <c r="A1421" s="2">
        <f ca="1">IFERROR(__xludf.DUMMYFUNCTION("""COMPUTED_VALUE"""),44064.6666666666)</f>
        <v>44064.666666666599</v>
      </c>
      <c r="B1421" s="1">
        <f ca="1">IFERROR(__xludf.DUMMYFUNCTION("""COMPUTED_VALUE"""),136.32)</f>
        <v>136.32</v>
      </c>
      <c r="C1421" s="1">
        <f ca="1">IFERROR(__xludf.DUMMYFUNCTION("""COMPUTED_VALUE"""),139.7)</f>
        <v>139.69999999999999</v>
      </c>
      <c r="D1421" s="1">
        <f ca="1">IFERROR(__xludf.DUMMYFUNCTION("""COMPUTED_VALUE"""),135)</f>
        <v>135</v>
      </c>
      <c r="E1421" s="1">
        <f ca="1">IFERROR(__xludf.DUMMYFUNCTION("""COMPUTED_VALUE"""),136.67)</f>
        <v>136.66999999999999</v>
      </c>
      <c r="F1421" s="1">
        <f ca="1">IFERROR(__xludf.DUMMYFUNCTION("""COMPUTED_VALUE"""),21489559)</f>
        <v>21489559</v>
      </c>
    </row>
    <row r="1422" spans="1:6" x14ac:dyDescent="0.35">
      <c r="A1422" s="2">
        <f ca="1">IFERROR(__xludf.DUMMYFUNCTION("""COMPUTED_VALUE"""),44067.6666666666)</f>
        <v>44067.666666666599</v>
      </c>
      <c r="B1422" s="1">
        <f ca="1">IFERROR(__xludf.DUMMYFUNCTION("""COMPUTED_VALUE"""),141.75)</f>
        <v>141.75</v>
      </c>
      <c r="C1422" s="1">
        <f ca="1">IFERROR(__xludf.DUMMYFUNCTION("""COMPUTED_VALUE"""),141.93)</f>
        <v>141.93</v>
      </c>
      <c r="D1422" s="1">
        <f ca="1">IFERROR(__xludf.DUMMYFUNCTION("""COMPUTED_VALUE"""),128.5)</f>
        <v>128.5</v>
      </c>
      <c r="E1422" s="1">
        <f ca="1">IFERROR(__xludf.DUMMYFUNCTION("""COMPUTED_VALUE"""),134.28)</f>
        <v>134.28</v>
      </c>
      <c r="F1422" s="1">
        <f ca="1">IFERROR(__xludf.DUMMYFUNCTION("""COMPUTED_VALUE"""),20063621)</f>
        <v>20063621</v>
      </c>
    </row>
    <row r="1423" spans="1:6" x14ac:dyDescent="0.35">
      <c r="A1423" s="2">
        <f ca="1">IFERROR(__xludf.DUMMYFUNCTION("""COMPUTED_VALUE"""),44068.6666666666)</f>
        <v>44068.666666666599</v>
      </c>
      <c r="B1423" s="1">
        <f ca="1">IFERROR(__xludf.DUMMYFUNCTION("""COMPUTED_VALUE"""),131.66)</f>
        <v>131.66</v>
      </c>
      <c r="C1423" s="1">
        <f ca="1">IFERROR(__xludf.DUMMYFUNCTION("""COMPUTED_VALUE"""),135.2)</f>
        <v>135.19999999999999</v>
      </c>
      <c r="D1423" s="1">
        <f ca="1">IFERROR(__xludf.DUMMYFUNCTION("""COMPUTED_VALUE"""),131.2)</f>
        <v>131.19999999999999</v>
      </c>
      <c r="E1423" s="1">
        <f ca="1">IFERROR(__xludf.DUMMYFUNCTION("""COMPUTED_VALUE"""),134.89)</f>
        <v>134.88999999999999</v>
      </c>
      <c r="F1423" s="1">
        <f ca="1">IFERROR(__xludf.DUMMYFUNCTION("""COMPUTED_VALUE"""),10658893)</f>
        <v>10658893</v>
      </c>
    </row>
    <row r="1424" spans="1:6" x14ac:dyDescent="0.35">
      <c r="A1424" s="2">
        <f ca="1">IFERROR(__xludf.DUMMYFUNCTION("""COMPUTED_VALUE"""),44069.6666666666)</f>
        <v>44069.666666666599</v>
      </c>
      <c r="B1424" s="1">
        <f ca="1">IFERROR(__xludf.DUMMYFUNCTION("""COMPUTED_VALUE"""),137.33)</f>
        <v>137.33000000000001</v>
      </c>
      <c r="C1424" s="1">
        <f ca="1">IFERROR(__xludf.DUMMYFUNCTION("""COMPUTED_VALUE"""),144.4)</f>
        <v>144.4</v>
      </c>
      <c r="D1424" s="1">
        <f ca="1">IFERROR(__xludf.DUMMYFUNCTION("""COMPUTED_VALUE"""),136.91)</f>
        <v>136.91</v>
      </c>
      <c r="E1424" s="1">
        <f ca="1">IFERROR(__xludf.DUMMYFUNCTION("""COMPUTED_VALUE"""),143.54)</f>
        <v>143.54</v>
      </c>
      <c r="F1424" s="1">
        <f ca="1">IFERROR(__xludf.DUMMYFUNCTION("""COMPUTED_VALUE"""),14239382)</f>
        <v>14239382</v>
      </c>
    </row>
    <row r="1425" spans="1:6" x14ac:dyDescent="0.35">
      <c r="A1425" s="2">
        <f ca="1">IFERROR(__xludf.DUMMYFUNCTION("""COMPUTED_VALUE"""),44070.6666666666)</f>
        <v>44070.666666666599</v>
      </c>
      <c r="B1425" s="1">
        <f ca="1">IFERROR(__xludf.DUMMYFUNCTION("""COMPUTED_VALUE"""),145.36)</f>
        <v>145.36000000000001</v>
      </c>
      <c r="C1425" s="1">
        <f ca="1">IFERROR(__xludf.DUMMYFUNCTION("""COMPUTED_VALUE"""),153.04)</f>
        <v>153.04</v>
      </c>
      <c r="D1425" s="1">
        <f ca="1">IFERROR(__xludf.DUMMYFUNCTION("""COMPUTED_VALUE"""),142.83)</f>
        <v>142.83000000000001</v>
      </c>
      <c r="E1425" s="1">
        <f ca="1">IFERROR(__xludf.DUMMYFUNCTION("""COMPUTED_VALUE"""),149.25)</f>
        <v>149.25</v>
      </c>
      <c r="F1425" s="1">
        <f ca="1">IFERROR(__xludf.DUMMYFUNCTION("""COMPUTED_VALUE"""),23693043)</f>
        <v>23693043</v>
      </c>
    </row>
    <row r="1426" spans="1:6" x14ac:dyDescent="0.35">
      <c r="A1426" s="2">
        <f ca="1">IFERROR(__xludf.DUMMYFUNCTION("""COMPUTED_VALUE"""),44071.6666666666)</f>
        <v>44071.666666666599</v>
      </c>
      <c r="B1426" s="1">
        <f ca="1">IFERROR(__xludf.DUMMYFUNCTION("""COMPUTED_VALUE"""),153.01)</f>
        <v>153.01</v>
      </c>
      <c r="C1426" s="1">
        <f ca="1">IFERROR(__xludf.DUMMYFUNCTION("""COMPUTED_VALUE"""),154.57)</f>
        <v>154.57</v>
      </c>
      <c r="D1426" s="1">
        <f ca="1">IFERROR(__xludf.DUMMYFUNCTION("""COMPUTED_VALUE"""),145.77)</f>
        <v>145.77000000000001</v>
      </c>
      <c r="E1426" s="1">
        <f ca="1">IFERROR(__xludf.DUMMYFUNCTION("""COMPUTED_VALUE"""),147.56)</f>
        <v>147.56</v>
      </c>
      <c r="F1426" s="1">
        <f ca="1">IFERROR(__xludf.DUMMYFUNCTION("""COMPUTED_VALUE"""),20081176)</f>
        <v>20081176</v>
      </c>
    </row>
    <row r="1427" spans="1:6" x14ac:dyDescent="0.35">
      <c r="A1427" s="2">
        <f ca="1">IFERROR(__xludf.DUMMYFUNCTION("""COMPUTED_VALUE"""),44074.6666666666)</f>
        <v>44074.666666666599</v>
      </c>
      <c r="B1427" s="1">
        <f ca="1">IFERROR(__xludf.DUMMYFUNCTION("""COMPUTED_VALUE"""),148.2)</f>
        <v>148.19999999999999</v>
      </c>
      <c r="C1427" s="1">
        <f ca="1">IFERROR(__xludf.DUMMYFUNCTION("""COMPUTED_VALUE"""),166.71)</f>
        <v>166.71</v>
      </c>
      <c r="D1427" s="1">
        <f ca="1">IFERROR(__xludf.DUMMYFUNCTION("""COMPUTED_VALUE"""),146.7)</f>
        <v>146.69999999999999</v>
      </c>
      <c r="E1427" s="1">
        <f ca="1">IFERROR(__xludf.DUMMYFUNCTION("""COMPUTED_VALUE"""),166.11)</f>
        <v>166.11</v>
      </c>
      <c r="F1427" s="1">
        <f ca="1">IFERROR(__xludf.DUMMYFUNCTION("""COMPUTED_VALUE"""),118374406)</f>
        <v>118374406</v>
      </c>
    </row>
    <row r="1428" spans="1:6" x14ac:dyDescent="0.35">
      <c r="A1428" s="2">
        <f ca="1">IFERROR(__xludf.DUMMYFUNCTION("""COMPUTED_VALUE"""),44075.6666666666)</f>
        <v>44075.666666666599</v>
      </c>
      <c r="B1428" s="1">
        <f ca="1">IFERROR(__xludf.DUMMYFUNCTION("""COMPUTED_VALUE"""),167.38)</f>
        <v>167.38</v>
      </c>
      <c r="C1428" s="1">
        <f ca="1">IFERROR(__xludf.DUMMYFUNCTION("""COMPUTED_VALUE"""),167.5)</f>
        <v>167.5</v>
      </c>
      <c r="D1428" s="1">
        <f ca="1">IFERROR(__xludf.DUMMYFUNCTION("""COMPUTED_VALUE"""),156.84)</f>
        <v>156.84</v>
      </c>
      <c r="E1428" s="1">
        <f ca="1">IFERROR(__xludf.DUMMYFUNCTION("""COMPUTED_VALUE"""),158.35)</f>
        <v>158.35</v>
      </c>
      <c r="F1428" s="1">
        <f ca="1">IFERROR(__xludf.DUMMYFUNCTION("""COMPUTED_VALUE"""),90119419)</f>
        <v>90119419</v>
      </c>
    </row>
    <row r="1429" spans="1:6" x14ac:dyDescent="0.35">
      <c r="A1429" s="2">
        <f ca="1">IFERROR(__xludf.DUMMYFUNCTION("""COMPUTED_VALUE"""),44076.6666666666)</f>
        <v>44076.666666666599</v>
      </c>
      <c r="B1429" s="1">
        <f ca="1">IFERROR(__xludf.DUMMYFUNCTION("""COMPUTED_VALUE"""),159.66)</f>
        <v>159.66</v>
      </c>
      <c r="C1429" s="1">
        <f ca="1">IFERROR(__xludf.DUMMYFUNCTION("""COMPUTED_VALUE"""),159.68)</f>
        <v>159.68</v>
      </c>
      <c r="D1429" s="1">
        <f ca="1">IFERROR(__xludf.DUMMYFUNCTION("""COMPUTED_VALUE"""),135.04)</f>
        <v>135.04</v>
      </c>
      <c r="E1429" s="1">
        <f ca="1">IFERROR(__xludf.DUMMYFUNCTION("""COMPUTED_VALUE"""),149.12)</f>
        <v>149.12</v>
      </c>
      <c r="F1429" s="1">
        <f ca="1">IFERROR(__xludf.DUMMYFUNCTION("""COMPUTED_VALUE"""),96176128)</f>
        <v>96176128</v>
      </c>
    </row>
    <row r="1430" spans="1:6" x14ac:dyDescent="0.35">
      <c r="A1430" s="2">
        <f ca="1">IFERROR(__xludf.DUMMYFUNCTION("""COMPUTED_VALUE"""),44077.6666666666)</f>
        <v>44077.666666666599</v>
      </c>
      <c r="B1430" s="1">
        <f ca="1">IFERROR(__xludf.DUMMYFUNCTION("""COMPUTED_VALUE"""),135.74)</f>
        <v>135.74</v>
      </c>
      <c r="C1430" s="1">
        <f ca="1">IFERROR(__xludf.DUMMYFUNCTION("""COMPUTED_VALUE"""),143.93)</f>
        <v>143.93</v>
      </c>
      <c r="D1430" s="1">
        <f ca="1">IFERROR(__xludf.DUMMYFUNCTION("""COMPUTED_VALUE"""),134)</f>
        <v>134</v>
      </c>
      <c r="E1430" s="1">
        <f ca="1">IFERROR(__xludf.DUMMYFUNCTION("""COMPUTED_VALUE"""),135.67)</f>
        <v>135.66999999999999</v>
      </c>
      <c r="F1430" s="1">
        <f ca="1">IFERROR(__xludf.DUMMYFUNCTION("""COMPUTED_VALUE"""),87596086)</f>
        <v>87596086</v>
      </c>
    </row>
    <row r="1431" spans="1:6" x14ac:dyDescent="0.35">
      <c r="A1431" s="2">
        <f ca="1">IFERROR(__xludf.DUMMYFUNCTION("""COMPUTED_VALUE"""),44078.6666666666)</f>
        <v>44078.666666666599</v>
      </c>
      <c r="B1431" s="1">
        <f ca="1">IFERROR(__xludf.DUMMYFUNCTION("""COMPUTED_VALUE"""),134.27)</f>
        <v>134.27000000000001</v>
      </c>
      <c r="C1431" s="1">
        <f ca="1">IFERROR(__xludf.DUMMYFUNCTION("""COMPUTED_VALUE"""),142.67)</f>
        <v>142.66999999999999</v>
      </c>
      <c r="D1431" s="1">
        <f ca="1">IFERROR(__xludf.DUMMYFUNCTION("""COMPUTED_VALUE"""),124.01)</f>
        <v>124.01</v>
      </c>
      <c r="E1431" s="1">
        <f ca="1">IFERROR(__xludf.DUMMYFUNCTION("""COMPUTED_VALUE"""),139.44)</f>
        <v>139.44</v>
      </c>
      <c r="F1431" s="1">
        <f ca="1">IFERROR(__xludf.DUMMYFUNCTION("""COMPUTED_VALUE"""),110321885)</f>
        <v>110321885</v>
      </c>
    </row>
    <row r="1432" spans="1:6" x14ac:dyDescent="0.35">
      <c r="A1432" s="2">
        <f ca="1">IFERROR(__xludf.DUMMYFUNCTION("""COMPUTED_VALUE"""),44082.6666666666)</f>
        <v>44082.666666666599</v>
      </c>
      <c r="B1432" s="1">
        <f ca="1">IFERROR(__xludf.DUMMYFUNCTION("""COMPUTED_VALUE"""),118.67)</f>
        <v>118.67</v>
      </c>
      <c r="C1432" s="1">
        <f ca="1">IFERROR(__xludf.DUMMYFUNCTION("""COMPUTED_VALUE"""),122.91)</f>
        <v>122.91</v>
      </c>
      <c r="D1432" s="1">
        <f ca="1">IFERROR(__xludf.DUMMYFUNCTION("""COMPUTED_VALUE"""),109.96)</f>
        <v>109.96</v>
      </c>
      <c r="E1432" s="1">
        <f ca="1">IFERROR(__xludf.DUMMYFUNCTION("""COMPUTED_VALUE"""),110.07)</f>
        <v>110.07</v>
      </c>
      <c r="F1432" s="1">
        <f ca="1">IFERROR(__xludf.DUMMYFUNCTION("""COMPUTED_VALUE"""),115465691)</f>
        <v>115465691</v>
      </c>
    </row>
    <row r="1433" spans="1:6" x14ac:dyDescent="0.35">
      <c r="A1433" s="2">
        <f ca="1">IFERROR(__xludf.DUMMYFUNCTION("""COMPUTED_VALUE"""),44083.6666666666)</f>
        <v>44083.666666666599</v>
      </c>
      <c r="B1433" s="1">
        <f ca="1">IFERROR(__xludf.DUMMYFUNCTION("""COMPUTED_VALUE"""),118.87)</f>
        <v>118.87</v>
      </c>
      <c r="C1433" s="1">
        <f ca="1">IFERROR(__xludf.DUMMYFUNCTION("""COMPUTED_VALUE"""),123)</f>
        <v>123</v>
      </c>
      <c r="D1433" s="1">
        <f ca="1">IFERROR(__xludf.DUMMYFUNCTION("""COMPUTED_VALUE"""),113.84)</f>
        <v>113.84</v>
      </c>
      <c r="E1433" s="1">
        <f ca="1">IFERROR(__xludf.DUMMYFUNCTION("""COMPUTED_VALUE"""),122.09)</f>
        <v>122.09</v>
      </c>
      <c r="F1433" s="1">
        <f ca="1">IFERROR(__xludf.DUMMYFUNCTION("""COMPUTED_VALUE"""),79465769)</f>
        <v>79465769</v>
      </c>
    </row>
    <row r="1434" spans="1:6" x14ac:dyDescent="0.35">
      <c r="A1434" s="2">
        <f ca="1">IFERROR(__xludf.DUMMYFUNCTION("""COMPUTED_VALUE"""),44084.6666666666)</f>
        <v>44084.666666666599</v>
      </c>
      <c r="B1434" s="1">
        <f ca="1">IFERROR(__xludf.DUMMYFUNCTION("""COMPUTED_VALUE"""),128.74)</f>
        <v>128.74</v>
      </c>
      <c r="C1434" s="1">
        <f ca="1">IFERROR(__xludf.DUMMYFUNCTION("""COMPUTED_VALUE"""),133)</f>
        <v>133</v>
      </c>
      <c r="D1434" s="1">
        <f ca="1">IFERROR(__xludf.DUMMYFUNCTION("""COMPUTED_VALUE"""),120.19)</f>
        <v>120.19</v>
      </c>
      <c r="E1434" s="1">
        <f ca="1">IFERROR(__xludf.DUMMYFUNCTION("""COMPUTED_VALUE"""),123.78)</f>
        <v>123.78</v>
      </c>
      <c r="F1434" s="1">
        <f ca="1">IFERROR(__xludf.DUMMYFUNCTION("""COMPUTED_VALUE"""),84930608)</f>
        <v>84930608</v>
      </c>
    </row>
    <row r="1435" spans="1:6" x14ac:dyDescent="0.35">
      <c r="A1435" s="2">
        <f ca="1">IFERROR(__xludf.DUMMYFUNCTION("""COMPUTED_VALUE"""),44085.6666666666)</f>
        <v>44085.666666666599</v>
      </c>
      <c r="B1435" s="1">
        <f ca="1">IFERROR(__xludf.DUMMYFUNCTION("""COMPUTED_VALUE"""),127.31)</f>
        <v>127.31</v>
      </c>
      <c r="C1435" s="1">
        <f ca="1">IFERROR(__xludf.DUMMYFUNCTION("""COMPUTED_VALUE"""),127.5)</f>
        <v>127.5</v>
      </c>
      <c r="D1435" s="1">
        <f ca="1">IFERROR(__xludf.DUMMYFUNCTION("""COMPUTED_VALUE"""),120.17)</f>
        <v>120.17</v>
      </c>
      <c r="E1435" s="1">
        <f ca="1">IFERROR(__xludf.DUMMYFUNCTION("""COMPUTED_VALUE"""),124.24)</f>
        <v>124.24</v>
      </c>
      <c r="F1435" s="1">
        <f ca="1">IFERROR(__xludf.DUMMYFUNCTION("""COMPUTED_VALUE"""),60717459)</f>
        <v>60717459</v>
      </c>
    </row>
    <row r="1436" spans="1:6" x14ac:dyDescent="0.35">
      <c r="A1436" s="2">
        <f ca="1">IFERROR(__xludf.DUMMYFUNCTION("""COMPUTED_VALUE"""),44088.6666666666)</f>
        <v>44088.666666666599</v>
      </c>
      <c r="B1436" s="1">
        <f ca="1">IFERROR(__xludf.DUMMYFUNCTION("""COMPUTED_VALUE"""),126.98)</f>
        <v>126.98</v>
      </c>
      <c r="C1436" s="1">
        <f ca="1">IFERROR(__xludf.DUMMYFUNCTION("""COMPUTED_VALUE"""),140)</f>
        <v>140</v>
      </c>
      <c r="D1436" s="1">
        <f ca="1">IFERROR(__xludf.DUMMYFUNCTION("""COMPUTED_VALUE"""),124.43)</f>
        <v>124.43</v>
      </c>
      <c r="E1436" s="1">
        <f ca="1">IFERROR(__xludf.DUMMYFUNCTION("""COMPUTED_VALUE"""),139.87)</f>
        <v>139.87</v>
      </c>
      <c r="F1436" s="1">
        <f ca="1">IFERROR(__xludf.DUMMYFUNCTION("""COMPUTED_VALUE"""),83020608)</f>
        <v>83020608</v>
      </c>
    </row>
    <row r="1437" spans="1:6" x14ac:dyDescent="0.35">
      <c r="A1437" s="2">
        <f ca="1">IFERROR(__xludf.DUMMYFUNCTION("""COMPUTED_VALUE"""),44089.6666666666)</f>
        <v>44089.666666666599</v>
      </c>
      <c r="B1437" s="1">
        <f ca="1">IFERROR(__xludf.DUMMYFUNCTION("""COMPUTED_VALUE"""),145.52)</f>
        <v>145.52000000000001</v>
      </c>
      <c r="C1437" s="1">
        <f ca="1">IFERROR(__xludf.DUMMYFUNCTION("""COMPUTED_VALUE"""),153.98)</f>
        <v>153.97999999999999</v>
      </c>
      <c r="D1437" s="1">
        <f ca="1">IFERROR(__xludf.DUMMYFUNCTION("""COMPUTED_VALUE"""),143.57)</f>
        <v>143.57</v>
      </c>
      <c r="E1437" s="1">
        <f ca="1">IFERROR(__xludf.DUMMYFUNCTION("""COMPUTED_VALUE"""),149.92)</f>
        <v>149.91999999999999</v>
      </c>
      <c r="F1437" s="1">
        <f ca="1">IFERROR(__xludf.DUMMYFUNCTION("""COMPUTED_VALUE"""),97298228)</f>
        <v>97298228</v>
      </c>
    </row>
    <row r="1438" spans="1:6" x14ac:dyDescent="0.35">
      <c r="A1438" s="2">
        <f ca="1">IFERROR(__xludf.DUMMYFUNCTION("""COMPUTED_VALUE"""),44090.6666666666)</f>
        <v>44090.666666666599</v>
      </c>
      <c r="B1438" s="1">
        <f ca="1">IFERROR(__xludf.DUMMYFUNCTION("""COMPUTED_VALUE"""),146.62)</f>
        <v>146.62</v>
      </c>
      <c r="C1438" s="1">
        <f ca="1">IFERROR(__xludf.DUMMYFUNCTION("""COMPUTED_VALUE"""),152.6)</f>
        <v>152.6</v>
      </c>
      <c r="D1438" s="1">
        <f ca="1">IFERROR(__xludf.DUMMYFUNCTION("""COMPUTED_VALUE"""),145.1)</f>
        <v>145.1</v>
      </c>
      <c r="E1438" s="1">
        <f ca="1">IFERROR(__xludf.DUMMYFUNCTION("""COMPUTED_VALUE"""),147.25)</f>
        <v>147.25</v>
      </c>
      <c r="F1438" s="1">
        <f ca="1">IFERROR(__xludf.DUMMYFUNCTION("""COMPUTED_VALUE"""),72546760)</f>
        <v>72546760</v>
      </c>
    </row>
    <row r="1439" spans="1:6" x14ac:dyDescent="0.35">
      <c r="A1439" s="2">
        <f ca="1">IFERROR(__xludf.DUMMYFUNCTION("""COMPUTED_VALUE"""),44091.6666666666)</f>
        <v>44091.666666666599</v>
      </c>
      <c r="B1439" s="1">
        <f ca="1">IFERROR(__xludf.DUMMYFUNCTION("""COMPUTED_VALUE"""),138.53)</f>
        <v>138.53</v>
      </c>
      <c r="C1439" s="1">
        <f ca="1">IFERROR(__xludf.DUMMYFUNCTION("""COMPUTED_VALUE"""),145.93)</f>
        <v>145.93</v>
      </c>
      <c r="D1439" s="1">
        <f ca="1">IFERROR(__xludf.DUMMYFUNCTION("""COMPUTED_VALUE"""),136)</f>
        <v>136</v>
      </c>
      <c r="E1439" s="1">
        <f ca="1">IFERROR(__xludf.DUMMYFUNCTION("""COMPUTED_VALUE"""),141.14)</f>
        <v>141.13999999999999</v>
      </c>
      <c r="F1439" s="1">
        <f ca="1">IFERROR(__xludf.DUMMYFUNCTION("""COMPUTED_VALUE"""),76779163)</f>
        <v>76779163</v>
      </c>
    </row>
    <row r="1440" spans="1:6" x14ac:dyDescent="0.35">
      <c r="A1440" s="2">
        <f ca="1">IFERROR(__xludf.DUMMYFUNCTION("""COMPUTED_VALUE"""),44092.6666666666)</f>
        <v>44092.666666666599</v>
      </c>
      <c r="B1440" s="1">
        <f ca="1">IFERROR(__xludf.DUMMYFUNCTION("""COMPUTED_VALUE"""),149.31)</f>
        <v>149.31</v>
      </c>
      <c r="C1440" s="1">
        <f ca="1">IFERROR(__xludf.DUMMYFUNCTION("""COMPUTED_VALUE"""),150.33)</f>
        <v>150.33000000000001</v>
      </c>
      <c r="D1440" s="1">
        <f ca="1">IFERROR(__xludf.DUMMYFUNCTION("""COMPUTED_VALUE"""),142.93)</f>
        <v>142.93</v>
      </c>
      <c r="E1440" s="1">
        <f ca="1">IFERROR(__xludf.DUMMYFUNCTION("""COMPUTED_VALUE"""),147.38)</f>
        <v>147.38</v>
      </c>
      <c r="F1440" s="1">
        <f ca="1">IFERROR(__xludf.DUMMYFUNCTION("""COMPUTED_VALUE"""),86406819)</f>
        <v>86406819</v>
      </c>
    </row>
    <row r="1441" spans="1:6" x14ac:dyDescent="0.35">
      <c r="A1441" s="2">
        <f ca="1">IFERROR(__xludf.DUMMYFUNCTION("""COMPUTED_VALUE"""),44095.6666666666)</f>
        <v>44095.666666666599</v>
      </c>
      <c r="B1441" s="1">
        <f ca="1">IFERROR(__xludf.DUMMYFUNCTION("""COMPUTED_VALUE"""),151.04)</f>
        <v>151.04</v>
      </c>
      <c r="C1441" s="1">
        <f ca="1">IFERROR(__xludf.DUMMYFUNCTION("""COMPUTED_VALUE"""),151.89)</f>
        <v>151.88999999999999</v>
      </c>
      <c r="D1441" s="1">
        <f ca="1">IFERROR(__xludf.DUMMYFUNCTION("""COMPUTED_VALUE"""),135.69)</f>
        <v>135.69</v>
      </c>
      <c r="E1441" s="1">
        <f ca="1">IFERROR(__xludf.DUMMYFUNCTION("""COMPUTED_VALUE"""),149.8)</f>
        <v>149.80000000000001</v>
      </c>
      <c r="F1441" s="1">
        <f ca="1">IFERROR(__xludf.DUMMYFUNCTION("""COMPUTED_VALUE"""),109476800)</f>
        <v>109476800</v>
      </c>
    </row>
    <row r="1442" spans="1:6" x14ac:dyDescent="0.35">
      <c r="A1442" s="2">
        <f ca="1">IFERROR(__xludf.DUMMYFUNCTION("""COMPUTED_VALUE"""),44096.6666666666)</f>
        <v>44096.666666666599</v>
      </c>
      <c r="B1442" s="1">
        <f ca="1">IFERROR(__xludf.DUMMYFUNCTION("""COMPUTED_VALUE"""),143.2)</f>
        <v>143.19999999999999</v>
      </c>
      <c r="C1442" s="1">
        <f ca="1">IFERROR(__xludf.DUMMYFUNCTION("""COMPUTED_VALUE"""),145.92)</f>
        <v>145.91999999999999</v>
      </c>
      <c r="D1442" s="1">
        <f ca="1">IFERROR(__xludf.DUMMYFUNCTION("""COMPUTED_VALUE"""),139.2)</f>
        <v>139.19999999999999</v>
      </c>
      <c r="E1442" s="1">
        <f ca="1">IFERROR(__xludf.DUMMYFUNCTION("""COMPUTED_VALUE"""),141.41)</f>
        <v>141.41</v>
      </c>
      <c r="F1442" s="1">
        <f ca="1">IFERROR(__xludf.DUMMYFUNCTION("""COMPUTED_VALUE"""),79580795)</f>
        <v>79580795</v>
      </c>
    </row>
    <row r="1443" spans="1:6" x14ac:dyDescent="0.35">
      <c r="A1443" s="2">
        <f ca="1">IFERROR(__xludf.DUMMYFUNCTION("""COMPUTED_VALUE"""),44097.6666666666)</f>
        <v>44097.666666666599</v>
      </c>
      <c r="B1443" s="1">
        <f ca="1">IFERROR(__xludf.DUMMYFUNCTION("""COMPUTED_VALUE"""),135.05)</f>
        <v>135.05000000000001</v>
      </c>
      <c r="C1443" s="1">
        <f ca="1">IFERROR(__xludf.DUMMYFUNCTION("""COMPUTED_VALUE"""),137.38)</f>
        <v>137.38</v>
      </c>
      <c r="D1443" s="1">
        <f ca="1">IFERROR(__xludf.DUMMYFUNCTION("""COMPUTED_VALUE"""),125.29)</f>
        <v>125.29</v>
      </c>
      <c r="E1443" s="1">
        <f ca="1">IFERROR(__xludf.DUMMYFUNCTION("""COMPUTED_VALUE"""),126.79)</f>
        <v>126.79</v>
      </c>
      <c r="F1443" s="1">
        <f ca="1">IFERROR(__xludf.DUMMYFUNCTION("""COMPUTED_VALUE"""),95074176)</f>
        <v>95074176</v>
      </c>
    </row>
    <row r="1444" spans="1:6" x14ac:dyDescent="0.35">
      <c r="A1444" s="2">
        <f ca="1">IFERROR(__xludf.DUMMYFUNCTION("""COMPUTED_VALUE"""),44098.6666666666)</f>
        <v>44098.666666666599</v>
      </c>
      <c r="B1444" s="1">
        <f ca="1">IFERROR(__xludf.DUMMYFUNCTION("""COMPUTED_VALUE"""),121.27)</f>
        <v>121.27</v>
      </c>
      <c r="C1444" s="1">
        <f ca="1">IFERROR(__xludf.DUMMYFUNCTION("""COMPUTED_VALUE"""),133.17)</f>
        <v>133.16999999999999</v>
      </c>
      <c r="D1444" s="1">
        <f ca="1">IFERROR(__xludf.DUMMYFUNCTION("""COMPUTED_VALUE"""),117.1)</f>
        <v>117.1</v>
      </c>
      <c r="E1444" s="1">
        <f ca="1">IFERROR(__xludf.DUMMYFUNCTION("""COMPUTED_VALUE"""),129.26)</f>
        <v>129.26</v>
      </c>
      <c r="F1444" s="1">
        <f ca="1">IFERROR(__xludf.DUMMYFUNCTION("""COMPUTED_VALUE"""),96561061)</f>
        <v>96561061</v>
      </c>
    </row>
    <row r="1445" spans="1:6" x14ac:dyDescent="0.35">
      <c r="A1445" s="2">
        <f ca="1">IFERROR(__xludf.DUMMYFUNCTION("""COMPUTED_VALUE"""),44099.6666666666)</f>
        <v>44099.666666666599</v>
      </c>
      <c r="B1445" s="1">
        <f ca="1">IFERROR(__xludf.DUMMYFUNCTION("""COMPUTED_VALUE"""),131.16)</f>
        <v>131.16</v>
      </c>
      <c r="C1445" s="1">
        <f ca="1">IFERROR(__xludf.DUMMYFUNCTION("""COMPUTED_VALUE"""),136.24)</f>
        <v>136.24</v>
      </c>
      <c r="D1445" s="1">
        <f ca="1">IFERROR(__xludf.DUMMYFUNCTION("""COMPUTED_VALUE"""),130.43)</f>
        <v>130.43</v>
      </c>
      <c r="E1445" s="1">
        <f ca="1">IFERROR(__xludf.DUMMYFUNCTION("""COMPUTED_VALUE"""),135.78)</f>
        <v>135.78</v>
      </c>
      <c r="F1445" s="1">
        <f ca="1">IFERROR(__xludf.DUMMYFUNCTION("""COMPUTED_VALUE"""),67208459)</f>
        <v>67208459</v>
      </c>
    </row>
    <row r="1446" spans="1:6" x14ac:dyDescent="0.35">
      <c r="A1446" s="2">
        <f ca="1">IFERROR(__xludf.DUMMYFUNCTION("""COMPUTED_VALUE"""),44102.6666666666)</f>
        <v>44102.666666666599</v>
      </c>
      <c r="B1446" s="1">
        <f ca="1">IFERROR(__xludf.DUMMYFUNCTION("""COMPUTED_VALUE"""),141.54)</f>
        <v>141.54</v>
      </c>
      <c r="C1446" s="1">
        <f ca="1">IFERROR(__xludf.DUMMYFUNCTION("""COMPUTED_VALUE"""),142.69)</f>
        <v>142.69</v>
      </c>
      <c r="D1446" s="1">
        <f ca="1">IFERROR(__xludf.DUMMYFUNCTION("""COMPUTED_VALUE"""),138.52)</f>
        <v>138.52000000000001</v>
      </c>
      <c r="E1446" s="1">
        <f ca="1">IFERROR(__xludf.DUMMYFUNCTION("""COMPUTED_VALUE"""),140.4)</f>
        <v>140.4</v>
      </c>
      <c r="F1446" s="1">
        <f ca="1">IFERROR(__xludf.DUMMYFUNCTION("""COMPUTED_VALUE"""),49719561)</f>
        <v>49719561</v>
      </c>
    </row>
    <row r="1447" spans="1:6" x14ac:dyDescent="0.35">
      <c r="A1447" s="2">
        <f ca="1">IFERROR(__xludf.DUMMYFUNCTION("""COMPUTED_VALUE"""),44103.6666666666)</f>
        <v>44103.666666666599</v>
      </c>
      <c r="B1447" s="1">
        <f ca="1">IFERROR(__xludf.DUMMYFUNCTION("""COMPUTED_VALUE"""),138.67)</f>
        <v>138.66999999999999</v>
      </c>
      <c r="C1447" s="1">
        <f ca="1">IFERROR(__xludf.DUMMYFUNCTION("""COMPUTED_VALUE"""),142.83)</f>
        <v>142.83000000000001</v>
      </c>
      <c r="D1447" s="1">
        <f ca="1">IFERROR(__xludf.DUMMYFUNCTION("""COMPUTED_VALUE"""),137.2)</f>
        <v>137.19999999999999</v>
      </c>
      <c r="E1447" s="1">
        <f ca="1">IFERROR(__xludf.DUMMYFUNCTION("""COMPUTED_VALUE"""),139.69)</f>
        <v>139.69</v>
      </c>
      <c r="F1447" s="1">
        <f ca="1">IFERROR(__xludf.DUMMYFUNCTION("""COMPUTED_VALUE"""),50341404)</f>
        <v>50341404</v>
      </c>
    </row>
    <row r="1448" spans="1:6" x14ac:dyDescent="0.35">
      <c r="A1448" s="2">
        <f ca="1">IFERROR(__xludf.DUMMYFUNCTION("""COMPUTED_VALUE"""),44104.6666666666)</f>
        <v>44104.666666666599</v>
      </c>
      <c r="B1448" s="1">
        <f ca="1">IFERROR(__xludf.DUMMYFUNCTION("""COMPUTED_VALUE"""),140.44)</f>
        <v>140.44</v>
      </c>
      <c r="C1448" s="1">
        <f ca="1">IFERROR(__xludf.DUMMYFUNCTION("""COMPUTED_VALUE"""),144.64)</f>
        <v>144.63999999999999</v>
      </c>
      <c r="D1448" s="1">
        <f ca="1">IFERROR(__xludf.DUMMYFUNCTION("""COMPUTED_VALUE"""),140.16)</f>
        <v>140.16</v>
      </c>
      <c r="E1448" s="1">
        <f ca="1">IFERROR(__xludf.DUMMYFUNCTION("""COMPUTED_VALUE"""),143)</f>
        <v>143</v>
      </c>
      <c r="F1448" s="1">
        <f ca="1">IFERROR(__xludf.DUMMYFUNCTION("""COMPUTED_VALUE"""),48145566)</f>
        <v>48145566</v>
      </c>
    </row>
    <row r="1449" spans="1:6" x14ac:dyDescent="0.35">
      <c r="A1449" s="2">
        <f ca="1">IFERROR(__xludf.DUMMYFUNCTION("""COMPUTED_VALUE"""),44105.6666666666)</f>
        <v>44105.666666666599</v>
      </c>
      <c r="B1449" s="1">
        <f ca="1">IFERROR(__xludf.DUMMYFUNCTION("""COMPUTED_VALUE"""),146.92)</f>
        <v>146.91999999999999</v>
      </c>
      <c r="C1449" s="1">
        <f ca="1">IFERROR(__xludf.DUMMYFUNCTION("""COMPUTED_VALUE"""),149.63)</f>
        <v>149.63</v>
      </c>
      <c r="D1449" s="1">
        <f ca="1">IFERROR(__xludf.DUMMYFUNCTION("""COMPUTED_VALUE"""),144.81)</f>
        <v>144.81</v>
      </c>
      <c r="E1449" s="1">
        <f ca="1">IFERROR(__xludf.DUMMYFUNCTION("""COMPUTED_VALUE"""),149.39)</f>
        <v>149.38999999999999</v>
      </c>
      <c r="F1449" s="1">
        <f ca="1">IFERROR(__xludf.DUMMYFUNCTION("""COMPUTED_VALUE"""),50741454)</f>
        <v>50741454</v>
      </c>
    </row>
    <row r="1450" spans="1:6" x14ac:dyDescent="0.35">
      <c r="A1450" s="2">
        <f ca="1">IFERROR(__xludf.DUMMYFUNCTION("""COMPUTED_VALUE"""),44106.6666666666)</f>
        <v>44106.666666666599</v>
      </c>
      <c r="B1450" s="1">
        <f ca="1">IFERROR(__xludf.DUMMYFUNCTION("""COMPUTED_VALUE"""),140.46)</f>
        <v>140.46</v>
      </c>
      <c r="C1450" s="1">
        <f ca="1">IFERROR(__xludf.DUMMYFUNCTION("""COMPUTED_VALUE"""),146.38)</f>
        <v>146.38</v>
      </c>
      <c r="D1450" s="1">
        <f ca="1">IFERROR(__xludf.DUMMYFUNCTION("""COMPUTED_VALUE"""),138.33)</f>
        <v>138.33000000000001</v>
      </c>
      <c r="E1450" s="1">
        <f ca="1">IFERROR(__xludf.DUMMYFUNCTION("""COMPUTED_VALUE"""),138.36)</f>
        <v>138.36000000000001</v>
      </c>
      <c r="F1450" s="1">
        <f ca="1">IFERROR(__xludf.DUMMYFUNCTION("""COMPUTED_VALUE"""),71430025)</f>
        <v>71430025</v>
      </c>
    </row>
    <row r="1451" spans="1:6" x14ac:dyDescent="0.35">
      <c r="A1451" s="2">
        <f ca="1">IFERROR(__xludf.DUMMYFUNCTION("""COMPUTED_VALUE"""),44109.6666666666)</f>
        <v>44109.666666666599</v>
      </c>
      <c r="B1451" s="1">
        <f ca="1">IFERROR(__xludf.DUMMYFUNCTION("""COMPUTED_VALUE"""),141.12)</f>
        <v>141.12</v>
      </c>
      <c r="C1451" s="1">
        <f ca="1">IFERROR(__xludf.DUMMYFUNCTION("""COMPUTED_VALUE"""),144.55)</f>
        <v>144.55000000000001</v>
      </c>
      <c r="D1451" s="1">
        <f ca="1">IFERROR(__xludf.DUMMYFUNCTION("""COMPUTED_VALUE"""),139.78)</f>
        <v>139.78</v>
      </c>
      <c r="E1451" s="1">
        <f ca="1">IFERROR(__xludf.DUMMYFUNCTION("""COMPUTED_VALUE"""),141.89)</f>
        <v>141.88999999999999</v>
      </c>
      <c r="F1451" s="1">
        <f ca="1">IFERROR(__xludf.DUMMYFUNCTION("""COMPUTED_VALUE"""),44722786)</f>
        <v>44722786</v>
      </c>
    </row>
    <row r="1452" spans="1:6" x14ac:dyDescent="0.35">
      <c r="A1452" s="2">
        <f ca="1">IFERROR(__xludf.DUMMYFUNCTION("""COMPUTED_VALUE"""),44110.6666666666)</f>
        <v>44110.666666666599</v>
      </c>
      <c r="B1452" s="1">
        <f ca="1">IFERROR(__xludf.DUMMYFUNCTION("""COMPUTED_VALUE"""),141.26)</f>
        <v>141.26</v>
      </c>
      <c r="C1452" s="1">
        <f ca="1">IFERROR(__xludf.DUMMYFUNCTION("""COMPUTED_VALUE"""),142.93)</f>
        <v>142.93</v>
      </c>
      <c r="D1452" s="1">
        <f ca="1">IFERROR(__xludf.DUMMYFUNCTION("""COMPUTED_VALUE"""),135.35)</f>
        <v>135.35</v>
      </c>
      <c r="E1452" s="1">
        <f ca="1">IFERROR(__xludf.DUMMYFUNCTION("""COMPUTED_VALUE"""),137.99)</f>
        <v>137.99</v>
      </c>
      <c r="F1452" s="1">
        <f ca="1">IFERROR(__xludf.DUMMYFUNCTION("""COMPUTED_VALUE"""),49146259)</f>
        <v>49146259</v>
      </c>
    </row>
    <row r="1453" spans="1:6" x14ac:dyDescent="0.35">
      <c r="A1453" s="2">
        <f ca="1">IFERROR(__xludf.DUMMYFUNCTION("""COMPUTED_VALUE"""),44111.6666666666)</f>
        <v>44111.666666666599</v>
      </c>
      <c r="B1453" s="1">
        <f ca="1">IFERROR(__xludf.DUMMYFUNCTION("""COMPUTED_VALUE"""),139.96)</f>
        <v>139.96</v>
      </c>
      <c r="C1453" s="1">
        <f ca="1">IFERROR(__xludf.DUMMYFUNCTION("""COMPUTED_VALUE"""),143.3)</f>
        <v>143.30000000000001</v>
      </c>
      <c r="D1453" s="1">
        <f ca="1">IFERROR(__xludf.DUMMYFUNCTION("""COMPUTED_VALUE"""),137.95)</f>
        <v>137.94999999999999</v>
      </c>
      <c r="E1453" s="1">
        <f ca="1">IFERROR(__xludf.DUMMYFUNCTION("""COMPUTED_VALUE"""),141.77)</f>
        <v>141.77000000000001</v>
      </c>
      <c r="F1453" s="1">
        <f ca="1">IFERROR(__xludf.DUMMYFUNCTION("""COMPUTED_VALUE"""),43127709)</f>
        <v>43127709</v>
      </c>
    </row>
    <row r="1454" spans="1:6" x14ac:dyDescent="0.35">
      <c r="A1454" s="2">
        <f ca="1">IFERROR(__xludf.DUMMYFUNCTION("""COMPUTED_VALUE"""),44112.6666666666)</f>
        <v>44112.666666666599</v>
      </c>
      <c r="B1454" s="1">
        <f ca="1">IFERROR(__xludf.DUMMYFUNCTION("""COMPUTED_VALUE"""),146.15)</f>
        <v>146.15</v>
      </c>
      <c r="C1454" s="1">
        <f ca="1">IFERROR(__xludf.DUMMYFUNCTION("""COMPUTED_VALUE"""),146.33)</f>
        <v>146.33000000000001</v>
      </c>
      <c r="D1454" s="1">
        <f ca="1">IFERROR(__xludf.DUMMYFUNCTION("""COMPUTED_VALUE"""),141.77)</f>
        <v>141.77000000000001</v>
      </c>
      <c r="E1454" s="1">
        <f ca="1">IFERROR(__xludf.DUMMYFUNCTION("""COMPUTED_VALUE"""),141.97)</f>
        <v>141.97</v>
      </c>
      <c r="F1454" s="1">
        <f ca="1">IFERROR(__xludf.DUMMYFUNCTION("""COMPUTED_VALUE"""),40421116)</f>
        <v>40421116</v>
      </c>
    </row>
    <row r="1455" spans="1:6" x14ac:dyDescent="0.35">
      <c r="A1455" s="2">
        <f ca="1">IFERROR(__xludf.DUMMYFUNCTION("""COMPUTED_VALUE"""),44113.6666666666)</f>
        <v>44113.666666666599</v>
      </c>
      <c r="B1455" s="1">
        <f ca="1">IFERROR(__xludf.DUMMYFUNCTION("""COMPUTED_VALUE"""),143.38)</f>
        <v>143.38</v>
      </c>
      <c r="C1455" s="1">
        <f ca="1">IFERROR(__xludf.DUMMYFUNCTION("""COMPUTED_VALUE"""),144.86)</f>
        <v>144.86000000000001</v>
      </c>
      <c r="D1455" s="1">
        <f ca="1">IFERROR(__xludf.DUMMYFUNCTION("""COMPUTED_VALUE"""),142.15)</f>
        <v>142.15</v>
      </c>
      <c r="E1455" s="1">
        <f ca="1">IFERROR(__xludf.DUMMYFUNCTION("""COMPUTED_VALUE"""),144.67)</f>
        <v>144.66999999999999</v>
      </c>
      <c r="F1455" s="1">
        <f ca="1">IFERROR(__xludf.DUMMYFUNCTION("""COMPUTED_VALUE"""),28925656)</f>
        <v>28925656</v>
      </c>
    </row>
    <row r="1456" spans="1:6" x14ac:dyDescent="0.35">
      <c r="A1456" s="2">
        <f ca="1">IFERROR(__xludf.DUMMYFUNCTION("""COMPUTED_VALUE"""),44116.6666666666)</f>
        <v>44116.666666666599</v>
      </c>
      <c r="B1456" s="1">
        <f ca="1">IFERROR(__xludf.DUMMYFUNCTION("""COMPUTED_VALUE"""),147.33)</f>
        <v>147.33000000000001</v>
      </c>
      <c r="C1456" s="1">
        <f ca="1">IFERROR(__xludf.DUMMYFUNCTION("""COMPUTED_VALUE"""),149.58)</f>
        <v>149.58000000000001</v>
      </c>
      <c r="D1456" s="1">
        <f ca="1">IFERROR(__xludf.DUMMYFUNCTION("""COMPUTED_VALUE"""),146.19)</f>
        <v>146.19</v>
      </c>
      <c r="E1456" s="1">
        <f ca="1">IFERROR(__xludf.DUMMYFUNCTION("""COMPUTED_VALUE"""),147.43)</f>
        <v>147.43</v>
      </c>
      <c r="F1456" s="1">
        <f ca="1">IFERROR(__xludf.DUMMYFUNCTION("""COMPUTED_VALUE"""),38791133)</f>
        <v>38791133</v>
      </c>
    </row>
    <row r="1457" spans="1:6" x14ac:dyDescent="0.35">
      <c r="A1457" s="2">
        <f ca="1">IFERROR(__xludf.DUMMYFUNCTION("""COMPUTED_VALUE"""),44117.6666666666)</f>
        <v>44117.666666666599</v>
      </c>
      <c r="B1457" s="1">
        <f ca="1">IFERROR(__xludf.DUMMYFUNCTION("""COMPUTED_VALUE"""),147.78)</f>
        <v>147.78</v>
      </c>
      <c r="C1457" s="1">
        <f ca="1">IFERROR(__xludf.DUMMYFUNCTION("""COMPUTED_VALUE"""),149.63)</f>
        <v>149.63</v>
      </c>
      <c r="D1457" s="1">
        <f ca="1">IFERROR(__xludf.DUMMYFUNCTION("""COMPUTED_VALUE"""),145.53)</f>
        <v>145.53</v>
      </c>
      <c r="E1457" s="1">
        <f ca="1">IFERROR(__xludf.DUMMYFUNCTION("""COMPUTED_VALUE"""),148.88)</f>
        <v>148.88</v>
      </c>
      <c r="F1457" s="1">
        <f ca="1">IFERROR(__xludf.DUMMYFUNCTION("""COMPUTED_VALUE"""),34463665)</f>
        <v>34463665</v>
      </c>
    </row>
    <row r="1458" spans="1:6" x14ac:dyDescent="0.35">
      <c r="A1458" s="2">
        <f ca="1">IFERROR(__xludf.DUMMYFUNCTION("""COMPUTED_VALUE"""),44118.6666666666)</f>
        <v>44118.666666666599</v>
      </c>
      <c r="B1458" s="1">
        <f ca="1">IFERROR(__xludf.DUMMYFUNCTION("""COMPUTED_VALUE"""),149.93)</f>
        <v>149.93</v>
      </c>
      <c r="C1458" s="1">
        <f ca="1">IFERROR(__xludf.DUMMYFUNCTION("""COMPUTED_VALUE"""),155.3)</f>
        <v>155.30000000000001</v>
      </c>
      <c r="D1458" s="1">
        <f ca="1">IFERROR(__xludf.DUMMYFUNCTION("""COMPUTED_VALUE"""),149.12)</f>
        <v>149.12</v>
      </c>
      <c r="E1458" s="1">
        <f ca="1">IFERROR(__xludf.DUMMYFUNCTION("""COMPUTED_VALUE"""),153.77)</f>
        <v>153.77000000000001</v>
      </c>
      <c r="F1458" s="1">
        <f ca="1">IFERROR(__xludf.DUMMYFUNCTION("""COMPUTED_VALUE"""),48045394)</f>
        <v>48045394</v>
      </c>
    </row>
    <row r="1459" spans="1:6" x14ac:dyDescent="0.35">
      <c r="A1459" s="2">
        <f ca="1">IFERROR(__xludf.DUMMYFUNCTION("""COMPUTED_VALUE"""),44119.6666666666)</f>
        <v>44119.666666666599</v>
      </c>
      <c r="B1459" s="1">
        <f ca="1">IFERROR(__xludf.DUMMYFUNCTION("""COMPUTED_VALUE"""),150.1)</f>
        <v>150.1</v>
      </c>
      <c r="C1459" s="1">
        <f ca="1">IFERROR(__xludf.DUMMYFUNCTION("""COMPUTED_VALUE"""),152.19)</f>
        <v>152.19</v>
      </c>
      <c r="D1459" s="1">
        <f ca="1">IFERROR(__xludf.DUMMYFUNCTION("""COMPUTED_VALUE"""),147.5)</f>
        <v>147.5</v>
      </c>
      <c r="E1459" s="1">
        <f ca="1">IFERROR(__xludf.DUMMYFUNCTION("""COMPUTED_VALUE"""),149.63)</f>
        <v>149.63</v>
      </c>
      <c r="F1459" s="1">
        <f ca="1">IFERROR(__xludf.DUMMYFUNCTION("""COMPUTED_VALUE"""),35672354)</f>
        <v>35672354</v>
      </c>
    </row>
    <row r="1460" spans="1:6" x14ac:dyDescent="0.35">
      <c r="A1460" s="2">
        <f ca="1">IFERROR(__xludf.DUMMYFUNCTION("""COMPUTED_VALUE"""),44120.6666666666)</f>
        <v>44120.666666666599</v>
      </c>
      <c r="B1460" s="1">
        <f ca="1">IFERROR(__xludf.DUMMYFUNCTION("""COMPUTED_VALUE"""),151.48)</f>
        <v>151.47999999999999</v>
      </c>
      <c r="C1460" s="1">
        <f ca="1">IFERROR(__xludf.DUMMYFUNCTION("""COMPUTED_VALUE"""),151.98)</f>
        <v>151.97999999999999</v>
      </c>
      <c r="D1460" s="1">
        <f ca="1">IFERROR(__xludf.DUMMYFUNCTION("""COMPUTED_VALUE"""),146.28)</f>
        <v>146.28</v>
      </c>
      <c r="E1460" s="1">
        <f ca="1">IFERROR(__xludf.DUMMYFUNCTION("""COMPUTED_VALUE"""),146.56)</f>
        <v>146.56</v>
      </c>
      <c r="F1460" s="1">
        <f ca="1">IFERROR(__xludf.DUMMYFUNCTION("""COMPUTED_VALUE"""),32775879)</f>
        <v>32775879</v>
      </c>
    </row>
    <row r="1461" spans="1:6" x14ac:dyDescent="0.35">
      <c r="A1461" s="2">
        <f ca="1">IFERROR(__xludf.DUMMYFUNCTION("""COMPUTED_VALUE"""),44123.6666666666)</f>
        <v>44123.666666666599</v>
      </c>
      <c r="B1461" s="1">
        <f ca="1">IFERROR(__xludf.DUMMYFUNCTION("""COMPUTED_VALUE"""),148.75)</f>
        <v>148.75</v>
      </c>
      <c r="C1461" s="1">
        <f ca="1">IFERROR(__xludf.DUMMYFUNCTION("""COMPUTED_VALUE"""),149)</f>
        <v>149</v>
      </c>
      <c r="D1461" s="1">
        <f ca="1">IFERROR(__xludf.DUMMYFUNCTION("""COMPUTED_VALUE"""),142.96)</f>
        <v>142.96</v>
      </c>
      <c r="E1461" s="1">
        <f ca="1">IFERROR(__xludf.DUMMYFUNCTION("""COMPUTED_VALUE"""),143.61)</f>
        <v>143.61000000000001</v>
      </c>
      <c r="F1461" s="1">
        <f ca="1">IFERROR(__xludf.DUMMYFUNCTION("""COMPUTED_VALUE"""),36287843)</f>
        <v>36287843</v>
      </c>
    </row>
    <row r="1462" spans="1:6" x14ac:dyDescent="0.35">
      <c r="A1462" s="2">
        <f ca="1">IFERROR(__xludf.DUMMYFUNCTION("""COMPUTED_VALUE"""),44124.6666666666)</f>
        <v>44124.666666666599</v>
      </c>
      <c r="B1462" s="1">
        <f ca="1">IFERROR(__xludf.DUMMYFUNCTION("""COMPUTED_VALUE"""),143.92)</f>
        <v>143.91999999999999</v>
      </c>
      <c r="C1462" s="1">
        <f ca="1">IFERROR(__xludf.DUMMYFUNCTION("""COMPUTED_VALUE"""),143.92)</f>
        <v>143.91999999999999</v>
      </c>
      <c r="D1462" s="1">
        <f ca="1">IFERROR(__xludf.DUMMYFUNCTION("""COMPUTED_VALUE"""),139.68)</f>
        <v>139.68</v>
      </c>
      <c r="E1462" s="1">
        <f ca="1">IFERROR(__xludf.DUMMYFUNCTION("""COMPUTED_VALUE"""),140.65)</f>
        <v>140.65</v>
      </c>
      <c r="F1462" s="1">
        <f ca="1">IFERROR(__xludf.DUMMYFUNCTION("""COMPUTED_VALUE"""),31656289)</f>
        <v>31656289</v>
      </c>
    </row>
    <row r="1463" spans="1:6" x14ac:dyDescent="0.35">
      <c r="A1463" s="2">
        <f ca="1">IFERROR(__xludf.DUMMYFUNCTION("""COMPUTED_VALUE"""),44125.6666666666)</f>
        <v>44125.666666666599</v>
      </c>
      <c r="B1463" s="1">
        <f ca="1">IFERROR(__xludf.DUMMYFUNCTION("""COMPUTED_VALUE"""),140.9)</f>
        <v>140.9</v>
      </c>
      <c r="C1463" s="1">
        <f ca="1">IFERROR(__xludf.DUMMYFUNCTION("""COMPUTED_VALUE"""),144.32)</f>
        <v>144.32</v>
      </c>
      <c r="D1463" s="1">
        <f ca="1">IFERROR(__xludf.DUMMYFUNCTION("""COMPUTED_VALUE"""),140.42)</f>
        <v>140.41999999999999</v>
      </c>
      <c r="E1463" s="1">
        <f ca="1">IFERROR(__xludf.DUMMYFUNCTION("""COMPUTED_VALUE"""),140.88)</f>
        <v>140.88</v>
      </c>
      <c r="F1463" s="1">
        <f ca="1">IFERROR(__xludf.DUMMYFUNCTION("""COMPUTED_VALUE"""),32370461)</f>
        <v>32370461</v>
      </c>
    </row>
    <row r="1464" spans="1:6" x14ac:dyDescent="0.35">
      <c r="A1464" s="2">
        <f ca="1">IFERROR(__xludf.DUMMYFUNCTION("""COMPUTED_VALUE"""),44126.6666666666)</f>
        <v>44126.666666666599</v>
      </c>
      <c r="B1464" s="1">
        <f ca="1">IFERROR(__xludf.DUMMYFUNCTION("""COMPUTED_VALUE"""),147.31)</f>
        <v>147.31</v>
      </c>
      <c r="C1464" s="1">
        <f ca="1">IFERROR(__xludf.DUMMYFUNCTION("""COMPUTED_VALUE"""),148.41)</f>
        <v>148.41</v>
      </c>
      <c r="D1464" s="1">
        <f ca="1">IFERROR(__xludf.DUMMYFUNCTION("""COMPUTED_VALUE"""),141.5)</f>
        <v>141.5</v>
      </c>
      <c r="E1464" s="1">
        <f ca="1">IFERROR(__xludf.DUMMYFUNCTION("""COMPUTED_VALUE"""),141.93)</f>
        <v>141.93</v>
      </c>
      <c r="F1464" s="1">
        <f ca="1">IFERROR(__xludf.DUMMYFUNCTION("""COMPUTED_VALUE"""),39993191)</f>
        <v>39993191</v>
      </c>
    </row>
    <row r="1465" spans="1:6" x14ac:dyDescent="0.35">
      <c r="A1465" s="2">
        <f ca="1">IFERROR(__xludf.DUMMYFUNCTION("""COMPUTED_VALUE"""),44127.6666666666)</f>
        <v>44127.666666666599</v>
      </c>
      <c r="B1465" s="1">
        <f ca="1">IFERROR(__xludf.DUMMYFUNCTION("""COMPUTED_VALUE"""),140.61)</f>
        <v>140.61000000000001</v>
      </c>
      <c r="C1465" s="1">
        <f ca="1">IFERROR(__xludf.DUMMYFUNCTION("""COMPUTED_VALUE"""),140.96)</f>
        <v>140.96</v>
      </c>
      <c r="D1465" s="1">
        <f ca="1">IFERROR(__xludf.DUMMYFUNCTION("""COMPUTED_VALUE"""),135.79)</f>
        <v>135.79</v>
      </c>
      <c r="E1465" s="1">
        <f ca="1">IFERROR(__xludf.DUMMYFUNCTION("""COMPUTED_VALUE"""),140.21)</f>
        <v>140.21</v>
      </c>
      <c r="F1465" s="1">
        <f ca="1">IFERROR(__xludf.DUMMYFUNCTION("""COMPUTED_VALUE"""),33716980)</f>
        <v>33716980</v>
      </c>
    </row>
    <row r="1466" spans="1:6" x14ac:dyDescent="0.35">
      <c r="A1466" s="2">
        <f ca="1">IFERROR(__xludf.DUMMYFUNCTION("""COMPUTED_VALUE"""),44130.6666666666)</f>
        <v>44130.666666666599</v>
      </c>
      <c r="B1466" s="1">
        <f ca="1">IFERROR(__xludf.DUMMYFUNCTION("""COMPUTED_VALUE"""),137.21)</f>
        <v>137.21</v>
      </c>
      <c r="C1466" s="1">
        <f ca="1">IFERROR(__xludf.DUMMYFUNCTION("""COMPUTED_VALUE"""),141.92)</f>
        <v>141.91999999999999</v>
      </c>
      <c r="D1466" s="1">
        <f ca="1">IFERROR(__xludf.DUMMYFUNCTION("""COMPUTED_VALUE"""),136.67)</f>
        <v>136.66999999999999</v>
      </c>
      <c r="E1466" s="1">
        <f ca="1">IFERROR(__xludf.DUMMYFUNCTION("""COMPUTED_VALUE"""),140.09)</f>
        <v>140.09</v>
      </c>
      <c r="F1466" s="1">
        <f ca="1">IFERROR(__xludf.DUMMYFUNCTION("""COMPUTED_VALUE"""),28239161)</f>
        <v>28239161</v>
      </c>
    </row>
    <row r="1467" spans="1:6" x14ac:dyDescent="0.35">
      <c r="A1467" s="2">
        <f ca="1">IFERROR(__xludf.DUMMYFUNCTION("""COMPUTED_VALUE"""),44131.6666666666)</f>
        <v>44131.666666666599</v>
      </c>
      <c r="B1467" s="1">
        <f ca="1">IFERROR(__xludf.DUMMYFUNCTION("""COMPUTED_VALUE"""),141.25)</f>
        <v>141.25</v>
      </c>
      <c r="C1467" s="1">
        <f ca="1">IFERROR(__xludf.DUMMYFUNCTION("""COMPUTED_VALUE"""),143.5)</f>
        <v>143.5</v>
      </c>
      <c r="D1467" s="1">
        <f ca="1">IFERROR(__xludf.DUMMYFUNCTION("""COMPUTED_VALUE"""),140.03)</f>
        <v>140.03</v>
      </c>
      <c r="E1467" s="1">
        <f ca="1">IFERROR(__xludf.DUMMYFUNCTION("""COMPUTED_VALUE"""),141.56)</f>
        <v>141.56</v>
      </c>
      <c r="F1467" s="1">
        <f ca="1">IFERROR(__xludf.DUMMYFUNCTION("""COMPUTED_VALUE"""),22686506)</f>
        <v>22686506</v>
      </c>
    </row>
    <row r="1468" spans="1:6" x14ac:dyDescent="0.35">
      <c r="A1468" s="2">
        <f ca="1">IFERROR(__xludf.DUMMYFUNCTION("""COMPUTED_VALUE"""),44132.6666666666)</f>
        <v>44132.666666666599</v>
      </c>
      <c r="B1468" s="1">
        <f ca="1">IFERROR(__xludf.DUMMYFUNCTION("""COMPUTED_VALUE"""),138.83)</f>
        <v>138.83000000000001</v>
      </c>
      <c r="C1468" s="1">
        <f ca="1">IFERROR(__xludf.DUMMYFUNCTION("""COMPUTED_VALUE"""),139.53)</f>
        <v>139.53</v>
      </c>
      <c r="D1468" s="1">
        <f ca="1">IFERROR(__xludf.DUMMYFUNCTION("""COMPUTED_VALUE"""),135.33)</f>
        <v>135.33000000000001</v>
      </c>
      <c r="E1468" s="1">
        <f ca="1">IFERROR(__xludf.DUMMYFUNCTION("""COMPUTED_VALUE"""),135.34)</f>
        <v>135.34</v>
      </c>
      <c r="F1468" s="1">
        <f ca="1">IFERROR(__xludf.DUMMYFUNCTION("""COMPUTED_VALUE"""),25451409)</f>
        <v>25451409</v>
      </c>
    </row>
    <row r="1469" spans="1:6" x14ac:dyDescent="0.35">
      <c r="A1469" s="2">
        <f ca="1">IFERROR(__xludf.DUMMYFUNCTION("""COMPUTED_VALUE"""),44133.6666666666)</f>
        <v>44133.666666666599</v>
      </c>
      <c r="B1469" s="1">
        <f ca="1">IFERROR(__xludf.DUMMYFUNCTION("""COMPUTED_VALUE"""),136.65)</f>
        <v>136.65</v>
      </c>
      <c r="C1469" s="1">
        <f ca="1">IFERROR(__xludf.DUMMYFUNCTION("""COMPUTED_VALUE"""),139.35)</f>
        <v>139.35</v>
      </c>
      <c r="D1469" s="1">
        <f ca="1">IFERROR(__xludf.DUMMYFUNCTION("""COMPUTED_VALUE"""),135.49)</f>
        <v>135.49</v>
      </c>
      <c r="E1469" s="1">
        <f ca="1">IFERROR(__xludf.DUMMYFUNCTION("""COMPUTED_VALUE"""),136.94)</f>
        <v>136.94</v>
      </c>
      <c r="F1469" s="1">
        <f ca="1">IFERROR(__xludf.DUMMYFUNCTION("""COMPUTED_VALUE"""),22655308)</f>
        <v>22655308</v>
      </c>
    </row>
    <row r="1470" spans="1:6" x14ac:dyDescent="0.35">
      <c r="A1470" s="2">
        <f ca="1">IFERROR(__xludf.DUMMYFUNCTION("""COMPUTED_VALUE"""),44134.6666666666)</f>
        <v>44134.666666666599</v>
      </c>
      <c r="B1470" s="1">
        <f ca="1">IFERROR(__xludf.DUMMYFUNCTION("""COMPUTED_VALUE"""),135.63)</f>
        <v>135.63</v>
      </c>
      <c r="C1470" s="1">
        <f ca="1">IFERROR(__xludf.DUMMYFUNCTION("""COMPUTED_VALUE"""),135.86)</f>
        <v>135.86000000000001</v>
      </c>
      <c r="D1470" s="1">
        <f ca="1">IFERROR(__xludf.DUMMYFUNCTION("""COMPUTED_VALUE"""),126.37)</f>
        <v>126.37</v>
      </c>
      <c r="E1470" s="1">
        <f ca="1">IFERROR(__xludf.DUMMYFUNCTION("""COMPUTED_VALUE"""),129.35)</f>
        <v>129.35</v>
      </c>
      <c r="F1470" s="1">
        <f ca="1">IFERROR(__xludf.DUMMYFUNCTION("""COMPUTED_VALUE"""),42587639)</f>
        <v>42587639</v>
      </c>
    </row>
    <row r="1471" spans="1:6" x14ac:dyDescent="0.35">
      <c r="A1471" s="2">
        <f ca="1">IFERROR(__xludf.DUMMYFUNCTION("""COMPUTED_VALUE"""),44137.6666666666)</f>
        <v>44137.666666666599</v>
      </c>
      <c r="B1471" s="1">
        <f ca="1">IFERROR(__xludf.DUMMYFUNCTION("""COMPUTED_VALUE"""),131.33)</f>
        <v>131.33000000000001</v>
      </c>
      <c r="C1471" s="1">
        <f ca="1">IFERROR(__xludf.DUMMYFUNCTION("""COMPUTED_VALUE"""),135.66)</f>
        <v>135.66</v>
      </c>
      <c r="D1471" s="1">
        <f ca="1">IFERROR(__xludf.DUMMYFUNCTION("""COMPUTED_VALUE"""),130.77)</f>
        <v>130.77000000000001</v>
      </c>
      <c r="E1471" s="1">
        <f ca="1">IFERROR(__xludf.DUMMYFUNCTION("""COMPUTED_VALUE"""),133.5)</f>
        <v>133.5</v>
      </c>
      <c r="F1471" s="1">
        <f ca="1">IFERROR(__xludf.DUMMYFUNCTION("""COMPUTED_VALUE"""),29021118)</f>
        <v>29021118</v>
      </c>
    </row>
    <row r="1472" spans="1:6" x14ac:dyDescent="0.35">
      <c r="A1472" s="2">
        <f ca="1">IFERROR(__xludf.DUMMYFUNCTION("""COMPUTED_VALUE"""),44138.6666666666)</f>
        <v>44138.666666666599</v>
      </c>
      <c r="B1472" s="1">
        <f ca="1">IFERROR(__xludf.DUMMYFUNCTION("""COMPUTED_VALUE"""),136.58)</f>
        <v>136.58000000000001</v>
      </c>
      <c r="C1472" s="1">
        <f ca="1">IFERROR(__xludf.DUMMYFUNCTION("""COMPUTED_VALUE"""),142.59)</f>
        <v>142.59</v>
      </c>
      <c r="D1472" s="1">
        <f ca="1">IFERROR(__xludf.DUMMYFUNCTION("""COMPUTED_VALUE"""),135.56)</f>
        <v>135.56</v>
      </c>
      <c r="E1472" s="1">
        <f ca="1">IFERROR(__xludf.DUMMYFUNCTION("""COMPUTED_VALUE"""),141.3)</f>
        <v>141.30000000000001</v>
      </c>
      <c r="F1472" s="1">
        <f ca="1">IFERROR(__xludf.DUMMYFUNCTION("""COMPUTED_VALUE"""),34351715)</f>
        <v>34351715</v>
      </c>
    </row>
    <row r="1473" spans="1:6" x14ac:dyDescent="0.35">
      <c r="A1473" s="2">
        <f ca="1">IFERROR(__xludf.DUMMYFUNCTION("""COMPUTED_VALUE"""),44139.6666666666)</f>
        <v>44139.666666666599</v>
      </c>
      <c r="B1473" s="1">
        <f ca="1">IFERROR(__xludf.DUMMYFUNCTION("""COMPUTED_VALUE"""),143.54)</f>
        <v>143.54</v>
      </c>
      <c r="C1473" s="1">
        <f ca="1">IFERROR(__xludf.DUMMYFUNCTION("""COMPUTED_VALUE"""),145.13)</f>
        <v>145.13</v>
      </c>
      <c r="D1473" s="1">
        <f ca="1">IFERROR(__xludf.DUMMYFUNCTION("""COMPUTED_VALUE"""),139.03)</f>
        <v>139.03</v>
      </c>
      <c r="E1473" s="1">
        <f ca="1">IFERROR(__xludf.DUMMYFUNCTION("""COMPUTED_VALUE"""),140.33)</f>
        <v>140.33000000000001</v>
      </c>
      <c r="F1473" s="1">
        <f ca="1">IFERROR(__xludf.DUMMYFUNCTION("""COMPUTED_VALUE"""),32143057)</f>
        <v>32143057</v>
      </c>
    </row>
    <row r="1474" spans="1:6" x14ac:dyDescent="0.35">
      <c r="A1474" s="2">
        <f ca="1">IFERROR(__xludf.DUMMYFUNCTION("""COMPUTED_VALUE"""),44140.6666666666)</f>
        <v>44140.666666666599</v>
      </c>
      <c r="B1474" s="1">
        <f ca="1">IFERROR(__xludf.DUMMYFUNCTION("""COMPUTED_VALUE"""),142.77)</f>
        <v>142.77000000000001</v>
      </c>
      <c r="C1474" s="1">
        <f ca="1">IFERROR(__xludf.DUMMYFUNCTION("""COMPUTED_VALUE"""),146.67)</f>
        <v>146.66999999999999</v>
      </c>
      <c r="D1474" s="1">
        <f ca="1">IFERROR(__xludf.DUMMYFUNCTION("""COMPUTED_VALUE"""),141.33)</f>
        <v>141.33000000000001</v>
      </c>
      <c r="E1474" s="1">
        <f ca="1">IFERROR(__xludf.DUMMYFUNCTION("""COMPUTED_VALUE"""),146.03)</f>
        <v>146.03</v>
      </c>
      <c r="F1474" s="1">
        <f ca="1">IFERROR(__xludf.DUMMYFUNCTION("""COMPUTED_VALUE"""),28414523)</f>
        <v>28414523</v>
      </c>
    </row>
    <row r="1475" spans="1:6" x14ac:dyDescent="0.35">
      <c r="A1475" s="2">
        <f ca="1">IFERROR(__xludf.DUMMYFUNCTION("""COMPUTED_VALUE"""),44141.6666666666)</f>
        <v>44141.666666666599</v>
      </c>
      <c r="B1475" s="1">
        <f ca="1">IFERROR(__xludf.DUMMYFUNCTION("""COMPUTED_VALUE"""),145.37)</f>
        <v>145.37</v>
      </c>
      <c r="C1475" s="1">
        <f ca="1">IFERROR(__xludf.DUMMYFUNCTION("""COMPUTED_VALUE"""),145.52)</f>
        <v>145.52000000000001</v>
      </c>
      <c r="D1475" s="1">
        <f ca="1">IFERROR(__xludf.DUMMYFUNCTION("""COMPUTED_VALUE"""),141.43)</f>
        <v>141.43</v>
      </c>
      <c r="E1475" s="1">
        <f ca="1">IFERROR(__xludf.DUMMYFUNCTION("""COMPUTED_VALUE"""),143.32)</f>
        <v>143.32</v>
      </c>
      <c r="F1475" s="1">
        <f ca="1">IFERROR(__xludf.DUMMYFUNCTION("""COMPUTED_VALUE"""),21706014)</f>
        <v>21706014</v>
      </c>
    </row>
    <row r="1476" spans="1:6" x14ac:dyDescent="0.35">
      <c r="A1476" s="2">
        <f ca="1">IFERROR(__xludf.DUMMYFUNCTION("""COMPUTED_VALUE"""),44144.6666666666)</f>
        <v>44144.666666666599</v>
      </c>
      <c r="B1476" s="1">
        <f ca="1">IFERROR(__xludf.DUMMYFUNCTION("""COMPUTED_VALUE"""),146.5)</f>
        <v>146.5</v>
      </c>
      <c r="C1476" s="1">
        <f ca="1">IFERROR(__xludf.DUMMYFUNCTION("""COMPUTED_VALUE"""),150.83)</f>
        <v>150.83000000000001</v>
      </c>
      <c r="D1476" s="1">
        <f ca="1">IFERROR(__xludf.DUMMYFUNCTION("""COMPUTED_VALUE"""),140.33)</f>
        <v>140.33000000000001</v>
      </c>
      <c r="E1476" s="1">
        <f ca="1">IFERROR(__xludf.DUMMYFUNCTION("""COMPUTED_VALUE"""),140.42)</f>
        <v>140.41999999999999</v>
      </c>
      <c r="F1476" s="1">
        <f ca="1">IFERROR(__xludf.DUMMYFUNCTION("""COMPUTED_VALUE"""),34833025)</f>
        <v>34833025</v>
      </c>
    </row>
    <row r="1477" spans="1:6" x14ac:dyDescent="0.35">
      <c r="A1477" s="2">
        <f ca="1">IFERROR(__xludf.DUMMYFUNCTION("""COMPUTED_VALUE"""),44145.6666666666)</f>
        <v>44145.666666666599</v>
      </c>
      <c r="B1477" s="1">
        <f ca="1">IFERROR(__xludf.DUMMYFUNCTION("""COMPUTED_VALUE"""),140.03)</f>
        <v>140.03</v>
      </c>
      <c r="C1477" s="1">
        <f ca="1">IFERROR(__xludf.DUMMYFUNCTION("""COMPUTED_VALUE"""),140.03)</f>
        <v>140.03</v>
      </c>
      <c r="D1477" s="1">
        <f ca="1">IFERROR(__xludf.DUMMYFUNCTION("""COMPUTED_VALUE"""),132.01)</f>
        <v>132.01</v>
      </c>
      <c r="E1477" s="1">
        <f ca="1">IFERROR(__xludf.DUMMYFUNCTION("""COMPUTED_VALUE"""),136.79)</f>
        <v>136.79</v>
      </c>
      <c r="F1477" s="1">
        <f ca="1">IFERROR(__xludf.DUMMYFUNCTION("""COMPUTED_VALUE"""),30284224)</f>
        <v>30284224</v>
      </c>
    </row>
    <row r="1478" spans="1:6" x14ac:dyDescent="0.35">
      <c r="A1478" s="2">
        <f ca="1">IFERROR(__xludf.DUMMYFUNCTION("""COMPUTED_VALUE"""),44146.6666666666)</f>
        <v>44146.666666666599</v>
      </c>
      <c r="B1478" s="1">
        <f ca="1">IFERROR(__xludf.DUMMYFUNCTION("""COMPUTED_VALUE"""),138.82)</f>
        <v>138.82</v>
      </c>
      <c r="C1478" s="1">
        <f ca="1">IFERROR(__xludf.DUMMYFUNCTION("""COMPUTED_VALUE"""),139.57)</f>
        <v>139.57</v>
      </c>
      <c r="D1478" s="1">
        <f ca="1">IFERROR(__xludf.DUMMYFUNCTION("""COMPUTED_VALUE"""),136.86)</f>
        <v>136.86000000000001</v>
      </c>
      <c r="E1478" s="1">
        <f ca="1">IFERROR(__xludf.DUMMYFUNCTION("""COMPUTED_VALUE"""),139.04)</f>
        <v>139.04</v>
      </c>
      <c r="F1478" s="1">
        <f ca="1">IFERROR(__xludf.DUMMYFUNCTION("""COMPUTED_VALUE"""),17357722)</f>
        <v>17357722</v>
      </c>
    </row>
    <row r="1479" spans="1:6" x14ac:dyDescent="0.35">
      <c r="A1479" s="2">
        <f ca="1">IFERROR(__xludf.DUMMYFUNCTION("""COMPUTED_VALUE"""),44147.6666666666)</f>
        <v>44147.666666666599</v>
      </c>
      <c r="B1479" s="1">
        <f ca="1">IFERROR(__xludf.DUMMYFUNCTION("""COMPUTED_VALUE"""),138.35)</f>
        <v>138.35</v>
      </c>
      <c r="C1479" s="1">
        <f ca="1">IFERROR(__xludf.DUMMYFUNCTION("""COMPUTED_VALUE"""),141)</f>
        <v>141</v>
      </c>
      <c r="D1479" s="1">
        <f ca="1">IFERROR(__xludf.DUMMYFUNCTION("""COMPUTED_VALUE"""),136.51)</f>
        <v>136.51</v>
      </c>
      <c r="E1479" s="1">
        <f ca="1">IFERROR(__xludf.DUMMYFUNCTION("""COMPUTED_VALUE"""),137.25)</f>
        <v>137.25</v>
      </c>
      <c r="F1479" s="1">
        <f ca="1">IFERROR(__xludf.DUMMYFUNCTION("""COMPUTED_VALUE"""),19940500)</f>
        <v>19940500</v>
      </c>
    </row>
    <row r="1480" spans="1:6" x14ac:dyDescent="0.35">
      <c r="A1480" s="2">
        <f ca="1">IFERROR(__xludf.DUMMYFUNCTION("""COMPUTED_VALUE"""),44148.6666666666)</f>
        <v>44148.666666666599</v>
      </c>
      <c r="B1480" s="1">
        <f ca="1">IFERROR(__xludf.DUMMYFUNCTION("""COMPUTED_VALUE"""),136.95)</f>
        <v>136.94999999999999</v>
      </c>
      <c r="C1480" s="1">
        <f ca="1">IFERROR(__xludf.DUMMYFUNCTION("""COMPUTED_VALUE"""),137.51)</f>
        <v>137.51</v>
      </c>
      <c r="D1480" s="1">
        <f ca="1">IFERROR(__xludf.DUMMYFUNCTION("""COMPUTED_VALUE"""),133.89)</f>
        <v>133.88999999999999</v>
      </c>
      <c r="E1480" s="1">
        <f ca="1">IFERROR(__xludf.DUMMYFUNCTION("""COMPUTED_VALUE"""),136.17)</f>
        <v>136.16999999999999</v>
      </c>
      <c r="F1480" s="1">
        <f ca="1">IFERROR(__xludf.DUMMYFUNCTION("""COMPUTED_VALUE"""),19830351)</f>
        <v>19830351</v>
      </c>
    </row>
    <row r="1481" spans="1:6" x14ac:dyDescent="0.35">
      <c r="A1481" s="2">
        <f ca="1">IFERROR(__xludf.DUMMYFUNCTION("""COMPUTED_VALUE"""),44151.6666666666)</f>
        <v>44151.666666666599</v>
      </c>
      <c r="B1481" s="1">
        <f ca="1">IFERROR(__xludf.DUMMYFUNCTION("""COMPUTED_VALUE"""),136.31)</f>
        <v>136.31</v>
      </c>
      <c r="C1481" s="1">
        <f ca="1">IFERROR(__xludf.DUMMYFUNCTION("""COMPUTED_VALUE"""),137.48)</f>
        <v>137.47999999999999</v>
      </c>
      <c r="D1481" s="1">
        <f ca="1">IFERROR(__xludf.DUMMYFUNCTION("""COMPUTED_VALUE"""),134.7)</f>
        <v>134.69999999999999</v>
      </c>
      <c r="E1481" s="1">
        <f ca="1">IFERROR(__xludf.DUMMYFUNCTION("""COMPUTED_VALUE"""),136.03)</f>
        <v>136.03</v>
      </c>
      <c r="F1481" s="1">
        <f ca="1">IFERROR(__xludf.DUMMYFUNCTION("""COMPUTED_VALUE"""),26838635)</f>
        <v>26838635</v>
      </c>
    </row>
    <row r="1482" spans="1:6" x14ac:dyDescent="0.35">
      <c r="A1482" s="2">
        <f ca="1">IFERROR(__xludf.DUMMYFUNCTION("""COMPUTED_VALUE"""),44152.6666666666)</f>
        <v>44152.666666666599</v>
      </c>
      <c r="B1482" s="1">
        <f ca="1">IFERROR(__xludf.DUMMYFUNCTION("""COMPUTED_VALUE"""),153.39)</f>
        <v>153.38999999999999</v>
      </c>
      <c r="C1482" s="1">
        <f ca="1">IFERROR(__xludf.DUMMYFUNCTION("""COMPUTED_VALUE"""),154)</f>
        <v>154</v>
      </c>
      <c r="D1482" s="1">
        <f ca="1">IFERROR(__xludf.DUMMYFUNCTION("""COMPUTED_VALUE"""),144.34)</f>
        <v>144.34</v>
      </c>
      <c r="E1482" s="1">
        <f ca="1">IFERROR(__xludf.DUMMYFUNCTION("""COMPUTED_VALUE"""),147.2)</f>
        <v>147.19999999999999</v>
      </c>
      <c r="F1482" s="1">
        <f ca="1">IFERROR(__xludf.DUMMYFUNCTION("""COMPUTED_VALUE"""),61188281)</f>
        <v>61188281</v>
      </c>
    </row>
    <row r="1483" spans="1:6" x14ac:dyDescent="0.35">
      <c r="A1483" s="2">
        <f ca="1">IFERROR(__xludf.DUMMYFUNCTION("""COMPUTED_VALUE"""),44153.6666666666)</f>
        <v>44153.666666666599</v>
      </c>
      <c r="B1483" s="1">
        <f ca="1">IFERROR(__xludf.DUMMYFUNCTION("""COMPUTED_VALUE"""),149.45)</f>
        <v>149.44999999999999</v>
      </c>
      <c r="C1483" s="1">
        <f ca="1">IFERROR(__xludf.DUMMYFUNCTION("""COMPUTED_VALUE"""),165.33)</f>
        <v>165.33</v>
      </c>
      <c r="D1483" s="1">
        <f ca="1">IFERROR(__xludf.DUMMYFUNCTION("""COMPUTED_VALUE"""),147.83)</f>
        <v>147.83000000000001</v>
      </c>
      <c r="E1483" s="1">
        <f ca="1">IFERROR(__xludf.DUMMYFUNCTION("""COMPUTED_VALUE"""),162.21)</f>
        <v>162.21</v>
      </c>
      <c r="F1483" s="1">
        <f ca="1">IFERROR(__xludf.DUMMYFUNCTION("""COMPUTED_VALUE"""),78044024)</f>
        <v>78044024</v>
      </c>
    </row>
    <row r="1484" spans="1:6" x14ac:dyDescent="0.35">
      <c r="A1484" s="2">
        <f ca="1">IFERROR(__xludf.DUMMYFUNCTION("""COMPUTED_VALUE"""),44154.6666666666)</f>
        <v>44154.666666666599</v>
      </c>
      <c r="B1484" s="1">
        <f ca="1">IFERROR(__xludf.DUMMYFUNCTION("""COMPUTED_VALUE"""),164)</f>
        <v>164</v>
      </c>
      <c r="C1484" s="1">
        <f ca="1">IFERROR(__xludf.DUMMYFUNCTION("""COMPUTED_VALUE"""),169.54)</f>
        <v>169.54</v>
      </c>
      <c r="D1484" s="1">
        <f ca="1">IFERROR(__xludf.DUMMYFUNCTION("""COMPUTED_VALUE"""),162.52)</f>
        <v>162.52000000000001</v>
      </c>
      <c r="E1484" s="1">
        <f ca="1">IFERROR(__xludf.DUMMYFUNCTION("""COMPUTED_VALUE"""),166.42)</f>
        <v>166.42</v>
      </c>
      <c r="F1484" s="1">
        <f ca="1">IFERROR(__xludf.DUMMYFUNCTION("""COMPUTED_VALUE"""),62475346)</f>
        <v>62475346</v>
      </c>
    </row>
    <row r="1485" spans="1:6" x14ac:dyDescent="0.35">
      <c r="A1485" s="2">
        <f ca="1">IFERROR(__xludf.DUMMYFUNCTION("""COMPUTED_VALUE"""),44155.6666666666)</f>
        <v>44155.666666666599</v>
      </c>
      <c r="B1485" s="1">
        <f ca="1">IFERROR(__xludf.DUMMYFUNCTION("""COMPUTED_VALUE"""),166)</f>
        <v>166</v>
      </c>
      <c r="C1485" s="1">
        <f ca="1">IFERROR(__xludf.DUMMYFUNCTION("""COMPUTED_VALUE"""),167.5)</f>
        <v>167.5</v>
      </c>
      <c r="D1485" s="1">
        <f ca="1">IFERROR(__xludf.DUMMYFUNCTION("""COMPUTED_VALUE"""),163.02)</f>
        <v>163.02000000000001</v>
      </c>
      <c r="E1485" s="1">
        <f ca="1">IFERROR(__xludf.DUMMYFUNCTION("""COMPUTED_VALUE"""),163.2)</f>
        <v>163.19999999999999</v>
      </c>
      <c r="F1485" s="1">
        <f ca="1">IFERROR(__xludf.DUMMYFUNCTION("""COMPUTED_VALUE"""),32911922)</f>
        <v>32911922</v>
      </c>
    </row>
    <row r="1486" spans="1:6" x14ac:dyDescent="0.35">
      <c r="A1486" s="2">
        <f ca="1">IFERROR(__xludf.DUMMYFUNCTION("""COMPUTED_VALUE"""),44158.6666666666)</f>
        <v>44158.666666666599</v>
      </c>
      <c r="B1486" s="1">
        <f ca="1">IFERROR(__xludf.DUMMYFUNCTION("""COMPUTED_VALUE"""),167.83)</f>
        <v>167.83</v>
      </c>
      <c r="C1486" s="1">
        <f ca="1">IFERROR(__xludf.DUMMYFUNCTION("""COMPUTED_VALUE"""),175.33)</f>
        <v>175.33</v>
      </c>
      <c r="D1486" s="1">
        <f ca="1">IFERROR(__xludf.DUMMYFUNCTION("""COMPUTED_VALUE"""),167.26)</f>
        <v>167.26</v>
      </c>
      <c r="E1486" s="1">
        <f ca="1">IFERROR(__xludf.DUMMYFUNCTION("""COMPUTED_VALUE"""),173.95)</f>
        <v>173.95</v>
      </c>
      <c r="F1486" s="1">
        <f ca="1">IFERROR(__xludf.DUMMYFUNCTION("""COMPUTED_VALUE"""),50260304)</f>
        <v>50260304</v>
      </c>
    </row>
    <row r="1487" spans="1:6" x14ac:dyDescent="0.35">
      <c r="A1487" s="2">
        <f ca="1">IFERROR(__xludf.DUMMYFUNCTION("""COMPUTED_VALUE"""),44159.6666666666)</f>
        <v>44159.666666666599</v>
      </c>
      <c r="B1487" s="1">
        <f ca="1">IFERROR(__xludf.DUMMYFUNCTION("""COMPUTED_VALUE"""),180.13)</f>
        <v>180.13</v>
      </c>
      <c r="C1487" s="1">
        <f ca="1">IFERROR(__xludf.DUMMYFUNCTION("""COMPUTED_VALUE"""),186.66)</f>
        <v>186.66</v>
      </c>
      <c r="D1487" s="1">
        <f ca="1">IFERROR(__xludf.DUMMYFUNCTION("""COMPUTED_VALUE"""),175.4)</f>
        <v>175.4</v>
      </c>
      <c r="E1487" s="1">
        <f ca="1">IFERROR(__xludf.DUMMYFUNCTION("""COMPUTED_VALUE"""),185.13)</f>
        <v>185.13</v>
      </c>
      <c r="F1487" s="1">
        <f ca="1">IFERROR(__xludf.DUMMYFUNCTION("""COMPUTED_VALUE"""),53648494)</f>
        <v>53648494</v>
      </c>
    </row>
    <row r="1488" spans="1:6" x14ac:dyDescent="0.35">
      <c r="A1488" s="2">
        <f ca="1">IFERROR(__xludf.DUMMYFUNCTION("""COMPUTED_VALUE"""),44160.6666666666)</f>
        <v>44160.666666666599</v>
      </c>
      <c r="B1488" s="1">
        <f ca="1">IFERROR(__xludf.DUMMYFUNCTION("""COMPUTED_VALUE"""),183.35)</f>
        <v>183.35</v>
      </c>
      <c r="C1488" s="1">
        <f ca="1">IFERROR(__xludf.DUMMYFUNCTION("""COMPUTED_VALUE"""),191.33)</f>
        <v>191.33</v>
      </c>
      <c r="D1488" s="1">
        <f ca="1">IFERROR(__xludf.DUMMYFUNCTION("""COMPUTED_VALUE"""),181.79)</f>
        <v>181.79</v>
      </c>
      <c r="E1488" s="1">
        <f ca="1">IFERROR(__xludf.DUMMYFUNCTION("""COMPUTED_VALUE"""),191.33)</f>
        <v>191.33</v>
      </c>
      <c r="F1488" s="1">
        <f ca="1">IFERROR(__xludf.DUMMYFUNCTION("""COMPUTED_VALUE"""),48930162)</f>
        <v>48930162</v>
      </c>
    </row>
    <row r="1489" spans="1:6" x14ac:dyDescent="0.35">
      <c r="A1489" s="2">
        <f ca="1">IFERROR(__xludf.DUMMYFUNCTION("""COMPUTED_VALUE"""),44162.5416666666)</f>
        <v>44162.541666666599</v>
      </c>
      <c r="B1489" s="1">
        <f ca="1">IFERROR(__xludf.DUMMYFUNCTION("""COMPUTED_VALUE"""),193.72)</f>
        <v>193.72</v>
      </c>
      <c r="C1489" s="1">
        <f ca="1">IFERROR(__xludf.DUMMYFUNCTION("""COMPUTED_VALUE"""),199.59)</f>
        <v>199.59</v>
      </c>
      <c r="D1489" s="1">
        <f ca="1">IFERROR(__xludf.DUMMYFUNCTION("""COMPUTED_VALUE"""),192.82)</f>
        <v>192.82</v>
      </c>
      <c r="E1489" s="1">
        <f ca="1">IFERROR(__xludf.DUMMYFUNCTION("""COMPUTED_VALUE"""),195.25)</f>
        <v>195.25</v>
      </c>
      <c r="F1489" s="1">
        <f ca="1">IFERROR(__xludf.DUMMYFUNCTION("""COMPUTED_VALUE"""),37561078)</f>
        <v>37561078</v>
      </c>
    </row>
    <row r="1490" spans="1:6" x14ac:dyDescent="0.35">
      <c r="A1490" s="2">
        <f ca="1">IFERROR(__xludf.DUMMYFUNCTION("""COMPUTED_VALUE"""),44165.6666666666)</f>
        <v>44165.666666666599</v>
      </c>
      <c r="B1490" s="1">
        <f ca="1">IFERROR(__xludf.DUMMYFUNCTION("""COMPUTED_VALUE"""),200.74)</f>
        <v>200.74</v>
      </c>
      <c r="C1490" s="1">
        <f ca="1">IFERROR(__xludf.DUMMYFUNCTION("""COMPUTED_VALUE"""),202.6)</f>
        <v>202.6</v>
      </c>
      <c r="D1490" s="1">
        <f ca="1">IFERROR(__xludf.DUMMYFUNCTION("""COMPUTED_VALUE"""),184.84)</f>
        <v>184.84</v>
      </c>
      <c r="E1490" s="1">
        <f ca="1">IFERROR(__xludf.DUMMYFUNCTION("""COMPUTED_VALUE"""),189.2)</f>
        <v>189.2</v>
      </c>
      <c r="F1490" s="1">
        <f ca="1">IFERROR(__xludf.DUMMYFUNCTION("""COMPUTED_VALUE"""),63003052)</f>
        <v>63003052</v>
      </c>
    </row>
    <row r="1491" spans="1:6" x14ac:dyDescent="0.35">
      <c r="A1491" s="2">
        <f ca="1">IFERROR(__xludf.DUMMYFUNCTION("""COMPUTED_VALUE"""),44166.6666666666)</f>
        <v>44166.666666666599</v>
      </c>
      <c r="B1491" s="1">
        <f ca="1">IFERROR(__xludf.DUMMYFUNCTION("""COMPUTED_VALUE"""),199.2)</f>
        <v>199.2</v>
      </c>
      <c r="C1491" s="1">
        <f ca="1">IFERROR(__xludf.DUMMYFUNCTION("""COMPUTED_VALUE"""),199.28)</f>
        <v>199.28</v>
      </c>
      <c r="D1491" s="1">
        <f ca="1">IFERROR(__xludf.DUMMYFUNCTION("""COMPUTED_VALUE"""),190.68)</f>
        <v>190.68</v>
      </c>
      <c r="E1491" s="1">
        <f ca="1">IFERROR(__xludf.DUMMYFUNCTION("""COMPUTED_VALUE"""),194.92)</f>
        <v>194.92</v>
      </c>
      <c r="F1491" s="1">
        <f ca="1">IFERROR(__xludf.DUMMYFUNCTION("""COMPUTED_VALUE"""),40382832)</f>
        <v>40382832</v>
      </c>
    </row>
    <row r="1492" spans="1:6" x14ac:dyDescent="0.35">
      <c r="A1492" s="2">
        <f ca="1">IFERROR(__xludf.DUMMYFUNCTION("""COMPUTED_VALUE"""),44167.6666666666)</f>
        <v>44167.666666666599</v>
      </c>
      <c r="B1492" s="1">
        <f ca="1">IFERROR(__xludf.DUMMYFUNCTION("""COMPUTED_VALUE"""),185.48)</f>
        <v>185.48</v>
      </c>
      <c r="C1492" s="1">
        <f ca="1">IFERROR(__xludf.DUMMYFUNCTION("""COMPUTED_VALUE"""),190.51)</f>
        <v>190.51</v>
      </c>
      <c r="D1492" s="1">
        <f ca="1">IFERROR(__xludf.DUMMYFUNCTION("""COMPUTED_VALUE"""),180.4)</f>
        <v>180.4</v>
      </c>
      <c r="E1492" s="1">
        <f ca="1">IFERROR(__xludf.DUMMYFUNCTION("""COMPUTED_VALUE"""),189.61)</f>
        <v>189.61</v>
      </c>
      <c r="F1492" s="1">
        <f ca="1">IFERROR(__xludf.DUMMYFUNCTION("""COMPUTED_VALUE"""),47775653)</f>
        <v>47775653</v>
      </c>
    </row>
    <row r="1493" spans="1:6" x14ac:dyDescent="0.35">
      <c r="A1493" s="2">
        <f ca="1">IFERROR(__xludf.DUMMYFUNCTION("""COMPUTED_VALUE"""),44168.6666666666)</f>
        <v>44168.666666666599</v>
      </c>
      <c r="B1493" s="1">
        <f ca="1">IFERROR(__xludf.DUMMYFUNCTION("""COMPUTED_VALUE"""),196.67)</f>
        <v>196.67</v>
      </c>
      <c r="C1493" s="1">
        <f ca="1">IFERROR(__xludf.DUMMYFUNCTION("""COMPUTED_VALUE"""),199.66)</f>
        <v>199.66</v>
      </c>
      <c r="D1493" s="1">
        <f ca="1">IFERROR(__xludf.DUMMYFUNCTION("""COMPUTED_VALUE"""),194.14)</f>
        <v>194.14</v>
      </c>
      <c r="E1493" s="1">
        <f ca="1">IFERROR(__xludf.DUMMYFUNCTION("""COMPUTED_VALUE"""),197.79)</f>
        <v>197.79</v>
      </c>
      <c r="F1493" s="1">
        <f ca="1">IFERROR(__xludf.DUMMYFUNCTION("""COMPUTED_VALUE"""),42552003)</f>
        <v>42552003</v>
      </c>
    </row>
    <row r="1494" spans="1:6" x14ac:dyDescent="0.35">
      <c r="A1494" s="2">
        <f ca="1">IFERROR(__xludf.DUMMYFUNCTION("""COMPUTED_VALUE"""),44169.6666666666)</f>
        <v>44169.666666666599</v>
      </c>
      <c r="B1494" s="1">
        <f ca="1">IFERROR(__xludf.DUMMYFUNCTION("""COMPUTED_VALUE"""),197)</f>
        <v>197</v>
      </c>
      <c r="C1494" s="1">
        <f ca="1">IFERROR(__xludf.DUMMYFUNCTION("""COMPUTED_VALUE"""),199.68)</f>
        <v>199.68</v>
      </c>
      <c r="D1494" s="1">
        <f ca="1">IFERROR(__xludf.DUMMYFUNCTION("""COMPUTED_VALUE"""),195.17)</f>
        <v>195.17</v>
      </c>
      <c r="E1494" s="1">
        <f ca="1">IFERROR(__xludf.DUMMYFUNCTION("""COMPUTED_VALUE"""),199.68)</f>
        <v>199.68</v>
      </c>
      <c r="F1494" s="1">
        <f ca="1">IFERROR(__xludf.DUMMYFUNCTION("""COMPUTED_VALUE"""),29401314)</f>
        <v>29401314</v>
      </c>
    </row>
    <row r="1495" spans="1:6" x14ac:dyDescent="0.35">
      <c r="A1495" s="2">
        <f ca="1">IFERROR(__xludf.DUMMYFUNCTION("""COMPUTED_VALUE"""),44172.6666666666)</f>
        <v>44172.666666666599</v>
      </c>
      <c r="B1495" s="1">
        <f ca="1">IFERROR(__xludf.DUMMYFUNCTION("""COMPUTED_VALUE"""),201.64)</f>
        <v>201.64</v>
      </c>
      <c r="C1495" s="1">
        <f ca="1">IFERROR(__xludf.DUMMYFUNCTION("""COMPUTED_VALUE"""),216.26)</f>
        <v>216.26</v>
      </c>
      <c r="D1495" s="1">
        <f ca="1">IFERROR(__xludf.DUMMYFUNCTION("""COMPUTED_VALUE"""),201.02)</f>
        <v>201.02</v>
      </c>
      <c r="E1495" s="1">
        <f ca="1">IFERROR(__xludf.DUMMYFUNCTION("""COMPUTED_VALUE"""),213.92)</f>
        <v>213.92</v>
      </c>
      <c r="F1495" s="1">
        <f ca="1">IFERROR(__xludf.DUMMYFUNCTION("""COMPUTED_VALUE"""),56309709)</f>
        <v>56309709</v>
      </c>
    </row>
    <row r="1496" spans="1:6" x14ac:dyDescent="0.35">
      <c r="A1496" s="2">
        <f ca="1">IFERROR(__xludf.DUMMYFUNCTION("""COMPUTED_VALUE"""),44173.6666666666)</f>
        <v>44173.666666666599</v>
      </c>
      <c r="B1496" s="1">
        <f ca="1">IFERROR(__xludf.DUMMYFUNCTION("""COMPUTED_VALUE"""),208.5)</f>
        <v>208.5</v>
      </c>
      <c r="C1496" s="1">
        <f ca="1">IFERROR(__xludf.DUMMYFUNCTION("""COMPUTED_VALUE"""),217.09)</f>
        <v>217.09</v>
      </c>
      <c r="D1496" s="1">
        <f ca="1">IFERROR(__xludf.DUMMYFUNCTION("""COMPUTED_VALUE"""),206.17)</f>
        <v>206.17</v>
      </c>
      <c r="E1496" s="1">
        <f ca="1">IFERROR(__xludf.DUMMYFUNCTION("""COMPUTED_VALUE"""),216.63)</f>
        <v>216.63</v>
      </c>
      <c r="F1496" s="1">
        <f ca="1">IFERROR(__xludf.DUMMYFUNCTION("""COMPUTED_VALUE"""),64265029)</f>
        <v>64265029</v>
      </c>
    </row>
    <row r="1497" spans="1:6" x14ac:dyDescent="0.35">
      <c r="A1497" s="2">
        <f ca="1">IFERROR(__xludf.DUMMYFUNCTION("""COMPUTED_VALUE"""),44174.6666666666)</f>
        <v>44174.666666666599</v>
      </c>
      <c r="B1497" s="1">
        <f ca="1">IFERROR(__xludf.DUMMYFUNCTION("""COMPUTED_VALUE"""),217.9)</f>
        <v>217.9</v>
      </c>
      <c r="C1497" s="1">
        <f ca="1">IFERROR(__xludf.DUMMYFUNCTION("""COMPUTED_VALUE"""),218.11)</f>
        <v>218.11</v>
      </c>
      <c r="D1497" s="1">
        <f ca="1">IFERROR(__xludf.DUMMYFUNCTION("""COMPUTED_VALUE"""),196)</f>
        <v>196</v>
      </c>
      <c r="E1497" s="1">
        <f ca="1">IFERROR(__xludf.DUMMYFUNCTION("""COMPUTED_VALUE"""),201.49)</f>
        <v>201.49</v>
      </c>
      <c r="F1497" s="1">
        <f ca="1">IFERROR(__xludf.DUMMYFUNCTION("""COMPUTED_VALUE"""),71291190)</f>
        <v>71291190</v>
      </c>
    </row>
    <row r="1498" spans="1:6" x14ac:dyDescent="0.35">
      <c r="A1498" s="2">
        <f ca="1">IFERROR(__xludf.DUMMYFUNCTION("""COMPUTED_VALUE"""),44175.6666666666)</f>
        <v>44175.666666666599</v>
      </c>
      <c r="B1498" s="1">
        <f ca="1">IFERROR(__xludf.DUMMYFUNCTION("""COMPUTED_VALUE"""),191.46)</f>
        <v>191.46</v>
      </c>
      <c r="C1498" s="1">
        <f ca="1">IFERROR(__xludf.DUMMYFUNCTION("""COMPUTED_VALUE"""),209.25)</f>
        <v>209.25</v>
      </c>
      <c r="D1498" s="1">
        <f ca="1">IFERROR(__xludf.DUMMYFUNCTION("""COMPUTED_VALUE"""),188.78)</f>
        <v>188.78</v>
      </c>
      <c r="E1498" s="1">
        <f ca="1">IFERROR(__xludf.DUMMYFUNCTION("""COMPUTED_VALUE"""),209.02)</f>
        <v>209.02</v>
      </c>
      <c r="F1498" s="1">
        <f ca="1">IFERROR(__xludf.DUMMYFUNCTION("""COMPUTED_VALUE"""),67083153)</f>
        <v>67083153</v>
      </c>
    </row>
    <row r="1499" spans="1:6" x14ac:dyDescent="0.35">
      <c r="A1499" s="2">
        <f ca="1">IFERROR(__xludf.DUMMYFUNCTION("""COMPUTED_VALUE"""),44176.6666666666)</f>
        <v>44176.666666666599</v>
      </c>
      <c r="B1499" s="1">
        <f ca="1">IFERROR(__xludf.DUMMYFUNCTION("""COMPUTED_VALUE"""),205)</f>
        <v>205</v>
      </c>
      <c r="C1499" s="1">
        <f ca="1">IFERROR(__xludf.DUMMYFUNCTION("""COMPUTED_VALUE"""),208)</f>
        <v>208</v>
      </c>
      <c r="D1499" s="1">
        <f ca="1">IFERROR(__xludf.DUMMYFUNCTION("""COMPUTED_VALUE"""),198.93)</f>
        <v>198.93</v>
      </c>
      <c r="E1499" s="1">
        <f ca="1">IFERROR(__xludf.DUMMYFUNCTION("""COMPUTED_VALUE"""),203.33)</f>
        <v>203.33</v>
      </c>
      <c r="F1499" s="1">
        <f ca="1">IFERROR(__xludf.DUMMYFUNCTION("""COMPUTED_VALUE"""),46474974)</f>
        <v>46474974</v>
      </c>
    </row>
    <row r="1500" spans="1:6" x14ac:dyDescent="0.35">
      <c r="A1500" s="2">
        <f ca="1">IFERROR(__xludf.DUMMYFUNCTION("""COMPUTED_VALUE"""),44179.6666666666)</f>
        <v>44179.666666666599</v>
      </c>
      <c r="B1500" s="1">
        <f ca="1">IFERROR(__xludf.DUMMYFUNCTION("""COMPUTED_VALUE"""),206.33)</f>
        <v>206.33</v>
      </c>
      <c r="C1500" s="1">
        <f ca="1">IFERROR(__xludf.DUMMYFUNCTION("""COMPUTED_VALUE"""),214.25)</f>
        <v>214.25</v>
      </c>
      <c r="D1500" s="1">
        <f ca="1">IFERROR(__xludf.DUMMYFUNCTION("""COMPUTED_VALUE"""),203.4)</f>
        <v>203.4</v>
      </c>
      <c r="E1500" s="1">
        <f ca="1">IFERROR(__xludf.DUMMYFUNCTION("""COMPUTED_VALUE"""),213.28)</f>
        <v>213.28</v>
      </c>
      <c r="F1500" s="1">
        <f ca="1">IFERROR(__xludf.DUMMYFUNCTION("""COMPUTED_VALUE"""),52040649)</f>
        <v>52040649</v>
      </c>
    </row>
    <row r="1501" spans="1:6" x14ac:dyDescent="0.35">
      <c r="A1501" s="2">
        <f ca="1">IFERROR(__xludf.DUMMYFUNCTION("""COMPUTED_VALUE"""),44180.6666666666)</f>
        <v>44180.666666666599</v>
      </c>
      <c r="B1501" s="1">
        <f ca="1">IFERROR(__xludf.DUMMYFUNCTION("""COMPUTED_VALUE"""),214.43)</f>
        <v>214.43</v>
      </c>
      <c r="C1501" s="1">
        <f ca="1">IFERROR(__xludf.DUMMYFUNCTION("""COMPUTED_VALUE"""),215.63)</f>
        <v>215.63</v>
      </c>
      <c r="D1501" s="1">
        <f ca="1">IFERROR(__xludf.DUMMYFUNCTION("""COMPUTED_VALUE"""),207.93)</f>
        <v>207.93</v>
      </c>
      <c r="E1501" s="1">
        <f ca="1">IFERROR(__xludf.DUMMYFUNCTION("""COMPUTED_VALUE"""),211.08)</f>
        <v>211.08</v>
      </c>
      <c r="F1501" s="1">
        <f ca="1">IFERROR(__xludf.DUMMYFUNCTION("""COMPUTED_VALUE"""),45223559)</f>
        <v>45223559</v>
      </c>
    </row>
    <row r="1502" spans="1:6" x14ac:dyDescent="0.35">
      <c r="A1502" s="2">
        <f ca="1">IFERROR(__xludf.DUMMYFUNCTION("""COMPUTED_VALUE"""),44181.6666666666)</f>
        <v>44181.666666666599</v>
      </c>
      <c r="B1502" s="1">
        <f ca="1">IFERROR(__xludf.DUMMYFUNCTION("""COMPUTED_VALUE"""),209.41)</f>
        <v>209.41</v>
      </c>
      <c r="C1502" s="1">
        <f ca="1">IFERROR(__xludf.DUMMYFUNCTION("""COMPUTED_VALUE"""),210.83)</f>
        <v>210.83</v>
      </c>
      <c r="D1502" s="1">
        <f ca="1">IFERROR(__xludf.DUMMYFUNCTION("""COMPUTED_VALUE"""),201.67)</f>
        <v>201.67</v>
      </c>
      <c r="E1502" s="1">
        <f ca="1">IFERROR(__xludf.DUMMYFUNCTION("""COMPUTED_VALUE"""),207.59)</f>
        <v>207.59</v>
      </c>
      <c r="F1502" s="1">
        <f ca="1">IFERROR(__xludf.DUMMYFUNCTION("""COMPUTED_VALUE"""),42095813)</f>
        <v>42095813</v>
      </c>
    </row>
    <row r="1503" spans="1:6" x14ac:dyDescent="0.35">
      <c r="A1503" s="2">
        <f ca="1">IFERROR(__xludf.DUMMYFUNCTION("""COMPUTED_VALUE"""),44182.6666666666)</f>
        <v>44182.666666666599</v>
      </c>
      <c r="B1503" s="1">
        <f ca="1">IFERROR(__xludf.DUMMYFUNCTION("""COMPUTED_VALUE"""),209.4)</f>
        <v>209.4</v>
      </c>
      <c r="C1503" s="1">
        <f ca="1">IFERROR(__xludf.DUMMYFUNCTION("""COMPUTED_VALUE"""),219.61)</f>
        <v>219.61</v>
      </c>
      <c r="D1503" s="1">
        <f ca="1">IFERROR(__xludf.DUMMYFUNCTION("""COMPUTED_VALUE"""),206.5)</f>
        <v>206.5</v>
      </c>
      <c r="E1503" s="1">
        <f ca="1">IFERROR(__xludf.DUMMYFUNCTION("""COMPUTED_VALUE"""),218.63)</f>
        <v>218.63</v>
      </c>
      <c r="F1503" s="1">
        <f ca="1">IFERROR(__xludf.DUMMYFUNCTION("""COMPUTED_VALUE"""),56270144)</f>
        <v>56270144</v>
      </c>
    </row>
    <row r="1504" spans="1:6" x14ac:dyDescent="0.35">
      <c r="A1504" s="2">
        <f ca="1">IFERROR(__xludf.DUMMYFUNCTION("""COMPUTED_VALUE"""),44183.6666666666)</f>
        <v>44183.666666666599</v>
      </c>
      <c r="B1504" s="1">
        <f ca="1">IFERROR(__xludf.DUMMYFUNCTION("""COMPUTED_VALUE"""),222.97)</f>
        <v>222.97</v>
      </c>
      <c r="C1504" s="1">
        <f ca="1">IFERROR(__xludf.DUMMYFUNCTION("""COMPUTED_VALUE"""),231.67)</f>
        <v>231.67</v>
      </c>
      <c r="D1504" s="1">
        <f ca="1">IFERROR(__xludf.DUMMYFUNCTION("""COMPUTED_VALUE"""),209.51)</f>
        <v>209.51</v>
      </c>
      <c r="E1504" s="1">
        <f ca="1">IFERROR(__xludf.DUMMYFUNCTION("""COMPUTED_VALUE"""),231.67)</f>
        <v>231.67</v>
      </c>
      <c r="F1504" s="1">
        <f ca="1">IFERROR(__xludf.DUMMYFUNCTION("""COMPUTED_VALUE"""),222126194)</f>
        <v>222126194</v>
      </c>
    </row>
    <row r="1505" spans="1:6" x14ac:dyDescent="0.35">
      <c r="A1505" s="2">
        <f ca="1">IFERROR(__xludf.DUMMYFUNCTION("""COMPUTED_VALUE"""),44186.6666666666)</f>
        <v>44186.666666666599</v>
      </c>
      <c r="B1505" s="1">
        <f ca="1">IFERROR(__xludf.DUMMYFUNCTION("""COMPUTED_VALUE"""),222.08)</f>
        <v>222.08</v>
      </c>
      <c r="C1505" s="1">
        <f ca="1">IFERROR(__xludf.DUMMYFUNCTION("""COMPUTED_VALUE"""),222.83)</f>
        <v>222.83</v>
      </c>
      <c r="D1505" s="1">
        <f ca="1">IFERROR(__xludf.DUMMYFUNCTION("""COMPUTED_VALUE"""),215.36)</f>
        <v>215.36</v>
      </c>
      <c r="E1505" s="1">
        <f ca="1">IFERROR(__xludf.DUMMYFUNCTION("""COMPUTED_VALUE"""),216.62)</f>
        <v>216.62</v>
      </c>
      <c r="F1505" s="1">
        <f ca="1">IFERROR(__xludf.DUMMYFUNCTION("""COMPUTED_VALUE"""),58045264)</f>
        <v>58045264</v>
      </c>
    </row>
    <row r="1506" spans="1:6" x14ac:dyDescent="0.35">
      <c r="A1506" s="2">
        <f ca="1">IFERROR(__xludf.DUMMYFUNCTION("""COMPUTED_VALUE"""),44187.6666666666)</f>
        <v>44187.666666666599</v>
      </c>
      <c r="B1506" s="1">
        <f ca="1">IFERROR(__xludf.DUMMYFUNCTION("""COMPUTED_VALUE"""),216)</f>
        <v>216</v>
      </c>
      <c r="C1506" s="1">
        <f ca="1">IFERROR(__xludf.DUMMYFUNCTION("""COMPUTED_VALUE"""),216.63)</f>
        <v>216.63</v>
      </c>
      <c r="D1506" s="1">
        <f ca="1">IFERROR(__xludf.DUMMYFUNCTION("""COMPUTED_VALUE"""),204.74)</f>
        <v>204.74</v>
      </c>
      <c r="E1506" s="1">
        <f ca="1">IFERROR(__xludf.DUMMYFUNCTION("""COMPUTED_VALUE"""),213.45)</f>
        <v>213.45</v>
      </c>
      <c r="F1506" s="1">
        <f ca="1">IFERROR(__xludf.DUMMYFUNCTION("""COMPUTED_VALUE"""),51861644)</f>
        <v>51861644</v>
      </c>
    </row>
    <row r="1507" spans="1:6" x14ac:dyDescent="0.35">
      <c r="A1507" s="2">
        <f ca="1">IFERROR(__xludf.DUMMYFUNCTION("""COMPUTED_VALUE"""),44188.6666666666)</f>
        <v>44188.666666666599</v>
      </c>
      <c r="B1507" s="1">
        <f ca="1">IFERROR(__xludf.DUMMYFUNCTION("""COMPUTED_VALUE"""),210.73)</f>
        <v>210.73</v>
      </c>
      <c r="C1507" s="1">
        <f ca="1">IFERROR(__xludf.DUMMYFUNCTION("""COMPUTED_VALUE"""),217.17)</f>
        <v>217.17</v>
      </c>
      <c r="D1507" s="1">
        <f ca="1">IFERROR(__xludf.DUMMYFUNCTION("""COMPUTED_VALUE"""),207.52)</f>
        <v>207.52</v>
      </c>
      <c r="E1507" s="1">
        <f ca="1">IFERROR(__xludf.DUMMYFUNCTION("""COMPUTED_VALUE"""),215.33)</f>
        <v>215.33</v>
      </c>
      <c r="F1507" s="1">
        <f ca="1">IFERROR(__xludf.DUMMYFUNCTION("""COMPUTED_VALUE"""),33172972)</f>
        <v>33172972</v>
      </c>
    </row>
    <row r="1508" spans="1:6" x14ac:dyDescent="0.35">
      <c r="A1508" s="2">
        <f ca="1">IFERROR(__xludf.DUMMYFUNCTION("""COMPUTED_VALUE"""),44189.5416666666)</f>
        <v>44189.541666666599</v>
      </c>
      <c r="B1508" s="1">
        <f ca="1">IFERROR(__xludf.DUMMYFUNCTION("""COMPUTED_VALUE"""),214.33)</f>
        <v>214.33</v>
      </c>
      <c r="C1508" s="1">
        <f ca="1">IFERROR(__xludf.DUMMYFUNCTION("""COMPUTED_VALUE"""),222.03)</f>
        <v>222.03</v>
      </c>
      <c r="D1508" s="1">
        <f ca="1">IFERROR(__xludf.DUMMYFUNCTION("""COMPUTED_VALUE"""),213.67)</f>
        <v>213.67</v>
      </c>
      <c r="E1508" s="1">
        <f ca="1">IFERROR(__xludf.DUMMYFUNCTION("""COMPUTED_VALUE"""),220.59)</f>
        <v>220.59</v>
      </c>
      <c r="F1508" s="1">
        <f ca="1">IFERROR(__xludf.DUMMYFUNCTION("""COMPUTED_VALUE"""),22865568)</f>
        <v>22865568</v>
      </c>
    </row>
    <row r="1509" spans="1:6" x14ac:dyDescent="0.35">
      <c r="A1509" s="2">
        <f ca="1">IFERROR(__xludf.DUMMYFUNCTION("""COMPUTED_VALUE"""),44193.6666666666)</f>
        <v>44193.666666666599</v>
      </c>
      <c r="B1509" s="1">
        <f ca="1">IFERROR(__xludf.DUMMYFUNCTION("""COMPUTED_VALUE"""),224.84)</f>
        <v>224.84</v>
      </c>
      <c r="C1509" s="1">
        <f ca="1">IFERROR(__xludf.DUMMYFUNCTION("""COMPUTED_VALUE"""),227.13)</f>
        <v>227.13</v>
      </c>
      <c r="D1509" s="1">
        <f ca="1">IFERROR(__xludf.DUMMYFUNCTION("""COMPUTED_VALUE"""),220.27)</f>
        <v>220.27</v>
      </c>
      <c r="E1509" s="1">
        <f ca="1">IFERROR(__xludf.DUMMYFUNCTION("""COMPUTED_VALUE"""),221.23)</f>
        <v>221.23</v>
      </c>
      <c r="F1509" s="1">
        <f ca="1">IFERROR(__xludf.DUMMYFUNCTION("""COMPUTED_VALUE"""),32278561)</f>
        <v>32278561</v>
      </c>
    </row>
    <row r="1510" spans="1:6" x14ac:dyDescent="0.35">
      <c r="A1510" s="2">
        <f ca="1">IFERROR(__xludf.DUMMYFUNCTION("""COMPUTED_VALUE"""),44194.6666666666)</f>
        <v>44194.666666666599</v>
      </c>
      <c r="B1510" s="1">
        <f ca="1">IFERROR(__xludf.DUMMYFUNCTION("""COMPUTED_VALUE"""),220.33)</f>
        <v>220.33</v>
      </c>
      <c r="C1510" s="1">
        <f ca="1">IFERROR(__xludf.DUMMYFUNCTION("""COMPUTED_VALUE"""),223.3)</f>
        <v>223.3</v>
      </c>
      <c r="D1510" s="1">
        <f ca="1">IFERROR(__xludf.DUMMYFUNCTION("""COMPUTED_VALUE"""),218.33)</f>
        <v>218.33</v>
      </c>
      <c r="E1510" s="1">
        <f ca="1">IFERROR(__xludf.DUMMYFUNCTION("""COMPUTED_VALUE"""),222)</f>
        <v>222</v>
      </c>
      <c r="F1510" s="1">
        <f ca="1">IFERROR(__xludf.DUMMYFUNCTION("""COMPUTED_VALUE"""),22910811)</f>
        <v>22910811</v>
      </c>
    </row>
    <row r="1511" spans="1:6" x14ac:dyDescent="0.35">
      <c r="A1511" s="2">
        <f ca="1">IFERROR(__xludf.DUMMYFUNCTION("""COMPUTED_VALUE"""),44195.6666666666)</f>
        <v>44195.666666666599</v>
      </c>
      <c r="B1511" s="1">
        <f ca="1">IFERROR(__xludf.DUMMYFUNCTION("""COMPUTED_VALUE"""),224)</f>
        <v>224</v>
      </c>
      <c r="C1511" s="1">
        <f ca="1">IFERROR(__xludf.DUMMYFUNCTION("""COMPUTED_VALUE"""),232.2)</f>
        <v>232.2</v>
      </c>
      <c r="D1511" s="1">
        <f ca="1">IFERROR(__xludf.DUMMYFUNCTION("""COMPUTED_VALUE"""),222.79)</f>
        <v>222.79</v>
      </c>
      <c r="E1511" s="1">
        <f ca="1">IFERROR(__xludf.DUMMYFUNCTION("""COMPUTED_VALUE"""),231.59)</f>
        <v>231.59</v>
      </c>
      <c r="F1511" s="1">
        <f ca="1">IFERROR(__xludf.DUMMYFUNCTION("""COMPUTED_VALUE"""),42846021)</f>
        <v>42846021</v>
      </c>
    </row>
    <row r="1512" spans="1:6" x14ac:dyDescent="0.35">
      <c r="A1512" s="2">
        <f ca="1">IFERROR(__xludf.DUMMYFUNCTION("""COMPUTED_VALUE"""),44196.6666666666)</f>
        <v>44196.666666666599</v>
      </c>
      <c r="B1512" s="1">
        <f ca="1">IFERROR(__xludf.DUMMYFUNCTION("""COMPUTED_VALUE"""),233.33)</f>
        <v>233.33</v>
      </c>
      <c r="C1512" s="1">
        <f ca="1">IFERROR(__xludf.DUMMYFUNCTION("""COMPUTED_VALUE"""),239.57)</f>
        <v>239.57</v>
      </c>
      <c r="D1512" s="1">
        <f ca="1">IFERROR(__xludf.DUMMYFUNCTION("""COMPUTED_VALUE"""),230.37)</f>
        <v>230.37</v>
      </c>
      <c r="E1512" s="1">
        <f ca="1">IFERROR(__xludf.DUMMYFUNCTION("""COMPUTED_VALUE"""),235.22)</f>
        <v>235.22</v>
      </c>
      <c r="F1512" s="1">
        <f ca="1">IFERROR(__xludf.DUMMYFUNCTION("""COMPUTED_VALUE"""),49649928)</f>
        <v>49649928</v>
      </c>
    </row>
    <row r="1513" spans="1:6" x14ac:dyDescent="0.35">
      <c r="A1513" s="2">
        <f ca="1">IFERROR(__xludf.DUMMYFUNCTION("""COMPUTED_VALUE"""),44200.6666666666)</f>
        <v>44200.666666666599</v>
      </c>
      <c r="B1513" s="1">
        <f ca="1">IFERROR(__xludf.DUMMYFUNCTION("""COMPUTED_VALUE"""),239.82)</f>
        <v>239.82</v>
      </c>
      <c r="C1513" s="1">
        <f ca="1">IFERROR(__xludf.DUMMYFUNCTION("""COMPUTED_VALUE"""),248.16)</f>
        <v>248.16</v>
      </c>
      <c r="D1513" s="1">
        <f ca="1">IFERROR(__xludf.DUMMYFUNCTION("""COMPUTED_VALUE"""),239.06)</f>
        <v>239.06</v>
      </c>
      <c r="E1513" s="1">
        <f ca="1">IFERROR(__xludf.DUMMYFUNCTION("""COMPUTED_VALUE"""),243.26)</f>
        <v>243.26</v>
      </c>
      <c r="F1513" s="1">
        <f ca="1">IFERROR(__xludf.DUMMYFUNCTION("""COMPUTED_VALUE"""),48638189)</f>
        <v>48638189</v>
      </c>
    </row>
    <row r="1514" spans="1:6" x14ac:dyDescent="0.35">
      <c r="A1514" s="2">
        <f ca="1">IFERROR(__xludf.DUMMYFUNCTION("""COMPUTED_VALUE"""),44201.6666666666)</f>
        <v>44201.666666666599</v>
      </c>
      <c r="B1514" s="1">
        <f ca="1">IFERROR(__xludf.DUMMYFUNCTION("""COMPUTED_VALUE"""),241.22)</f>
        <v>241.22</v>
      </c>
      <c r="C1514" s="1">
        <f ca="1">IFERROR(__xludf.DUMMYFUNCTION("""COMPUTED_VALUE"""),246.95)</f>
        <v>246.95</v>
      </c>
      <c r="D1514" s="1">
        <f ca="1">IFERROR(__xludf.DUMMYFUNCTION("""COMPUTED_VALUE"""),239.73)</f>
        <v>239.73</v>
      </c>
      <c r="E1514" s="1">
        <f ca="1">IFERROR(__xludf.DUMMYFUNCTION("""COMPUTED_VALUE"""),245.04)</f>
        <v>245.04</v>
      </c>
      <c r="F1514" s="1">
        <f ca="1">IFERROR(__xludf.DUMMYFUNCTION("""COMPUTED_VALUE"""),32245165)</f>
        <v>32245165</v>
      </c>
    </row>
    <row r="1515" spans="1:6" x14ac:dyDescent="0.35">
      <c r="A1515" s="2">
        <f ca="1">IFERROR(__xludf.DUMMYFUNCTION("""COMPUTED_VALUE"""),44202.6666666666)</f>
        <v>44202.666666666599</v>
      </c>
      <c r="B1515" s="1">
        <f ca="1">IFERROR(__xludf.DUMMYFUNCTION("""COMPUTED_VALUE"""),252.83)</f>
        <v>252.83</v>
      </c>
      <c r="C1515" s="1">
        <f ca="1">IFERROR(__xludf.DUMMYFUNCTION("""COMPUTED_VALUE"""),258)</f>
        <v>258</v>
      </c>
      <c r="D1515" s="1">
        <f ca="1">IFERROR(__xludf.DUMMYFUNCTION("""COMPUTED_VALUE"""),249.7)</f>
        <v>249.7</v>
      </c>
      <c r="E1515" s="1">
        <f ca="1">IFERROR(__xludf.DUMMYFUNCTION("""COMPUTED_VALUE"""),251.99)</f>
        <v>251.99</v>
      </c>
      <c r="F1515" s="1">
        <f ca="1">IFERROR(__xludf.DUMMYFUNCTION("""COMPUTED_VALUE"""),44699965)</f>
        <v>44699965</v>
      </c>
    </row>
    <row r="1516" spans="1:6" x14ac:dyDescent="0.35">
      <c r="A1516" s="2">
        <f ca="1">IFERROR(__xludf.DUMMYFUNCTION("""COMPUTED_VALUE"""),44203.6666666666)</f>
        <v>44203.666666666599</v>
      </c>
      <c r="B1516" s="1">
        <f ca="1">IFERROR(__xludf.DUMMYFUNCTION("""COMPUTED_VALUE"""),259.21)</f>
        <v>259.20999999999998</v>
      </c>
      <c r="C1516" s="1">
        <f ca="1">IFERROR(__xludf.DUMMYFUNCTION("""COMPUTED_VALUE"""),272.33)</f>
        <v>272.33</v>
      </c>
      <c r="D1516" s="1">
        <f ca="1">IFERROR(__xludf.DUMMYFUNCTION("""COMPUTED_VALUE"""),258.4)</f>
        <v>258.39999999999998</v>
      </c>
      <c r="E1516" s="1">
        <f ca="1">IFERROR(__xludf.DUMMYFUNCTION("""COMPUTED_VALUE"""),272.01)</f>
        <v>272.01</v>
      </c>
      <c r="F1516" s="1">
        <f ca="1">IFERROR(__xludf.DUMMYFUNCTION("""COMPUTED_VALUE"""),51498948)</f>
        <v>51498948</v>
      </c>
    </row>
    <row r="1517" spans="1:6" x14ac:dyDescent="0.35">
      <c r="A1517" s="2">
        <f ca="1">IFERROR(__xludf.DUMMYFUNCTION("""COMPUTED_VALUE"""),44204.6666666666)</f>
        <v>44204.666666666599</v>
      </c>
      <c r="B1517" s="1">
        <f ca="1">IFERROR(__xludf.DUMMYFUNCTION("""COMPUTED_VALUE"""),285.33)</f>
        <v>285.33</v>
      </c>
      <c r="C1517" s="1">
        <f ca="1">IFERROR(__xludf.DUMMYFUNCTION("""COMPUTED_VALUE"""),294.83)</f>
        <v>294.83</v>
      </c>
      <c r="D1517" s="1">
        <f ca="1">IFERROR(__xludf.DUMMYFUNCTION("""COMPUTED_VALUE"""),279.46)</f>
        <v>279.45999999999998</v>
      </c>
      <c r="E1517" s="1">
        <f ca="1">IFERROR(__xludf.DUMMYFUNCTION("""COMPUTED_VALUE"""),293.34)</f>
        <v>293.33999999999997</v>
      </c>
      <c r="F1517" s="1">
        <f ca="1">IFERROR(__xludf.DUMMYFUNCTION("""COMPUTED_VALUE"""),75055528)</f>
        <v>75055528</v>
      </c>
    </row>
    <row r="1518" spans="1:6" x14ac:dyDescent="0.35">
      <c r="A1518" s="2">
        <f ca="1">IFERROR(__xludf.DUMMYFUNCTION("""COMPUTED_VALUE"""),44207.6666666666)</f>
        <v>44207.666666666599</v>
      </c>
      <c r="B1518" s="1">
        <f ca="1">IFERROR(__xludf.DUMMYFUNCTION("""COMPUTED_VALUE"""),283.13)</f>
        <v>283.13</v>
      </c>
      <c r="C1518" s="1">
        <f ca="1">IFERROR(__xludf.DUMMYFUNCTION("""COMPUTED_VALUE"""),284.81)</f>
        <v>284.81</v>
      </c>
      <c r="D1518" s="1">
        <f ca="1">IFERROR(__xludf.DUMMYFUNCTION("""COMPUTED_VALUE"""),267.87)</f>
        <v>267.87</v>
      </c>
      <c r="E1518" s="1">
        <f ca="1">IFERROR(__xludf.DUMMYFUNCTION("""COMPUTED_VALUE"""),270.4)</f>
        <v>270.39999999999998</v>
      </c>
      <c r="F1518" s="1">
        <f ca="1">IFERROR(__xludf.DUMMYFUNCTION("""COMPUTED_VALUE"""),59554146)</f>
        <v>59554146</v>
      </c>
    </row>
    <row r="1519" spans="1:6" x14ac:dyDescent="0.35">
      <c r="A1519" s="2">
        <f ca="1">IFERROR(__xludf.DUMMYFUNCTION("""COMPUTED_VALUE"""),44208.6666666666)</f>
        <v>44208.666666666599</v>
      </c>
      <c r="B1519" s="1">
        <f ca="1">IFERROR(__xludf.DUMMYFUNCTION("""COMPUTED_VALUE"""),277)</f>
        <v>277</v>
      </c>
      <c r="C1519" s="1">
        <f ca="1">IFERROR(__xludf.DUMMYFUNCTION("""COMPUTED_VALUE"""),289.33)</f>
        <v>289.33</v>
      </c>
      <c r="D1519" s="1">
        <f ca="1">IFERROR(__xludf.DUMMYFUNCTION("""COMPUTED_VALUE"""),275.78)</f>
        <v>275.77999999999997</v>
      </c>
      <c r="E1519" s="1">
        <f ca="1">IFERROR(__xludf.DUMMYFUNCTION("""COMPUTED_VALUE"""),283.15)</f>
        <v>283.14999999999998</v>
      </c>
      <c r="F1519" s="1">
        <f ca="1">IFERROR(__xludf.DUMMYFUNCTION("""COMPUTED_VALUE"""),46270720)</f>
        <v>46270720</v>
      </c>
    </row>
    <row r="1520" spans="1:6" x14ac:dyDescent="0.35">
      <c r="A1520" s="2">
        <f ca="1">IFERROR(__xludf.DUMMYFUNCTION("""COMPUTED_VALUE"""),44209.6666666666)</f>
        <v>44209.666666666599</v>
      </c>
      <c r="B1520" s="1">
        <f ca="1">IFERROR(__xludf.DUMMYFUNCTION("""COMPUTED_VALUE"""),284.25)</f>
        <v>284.25</v>
      </c>
      <c r="C1520" s="1">
        <f ca="1">IFERROR(__xludf.DUMMYFUNCTION("""COMPUTED_VALUE"""),286.82)</f>
        <v>286.82</v>
      </c>
      <c r="D1520" s="1">
        <f ca="1">IFERROR(__xludf.DUMMYFUNCTION("""COMPUTED_VALUE"""),277.33)</f>
        <v>277.33</v>
      </c>
      <c r="E1520" s="1">
        <f ca="1">IFERROR(__xludf.DUMMYFUNCTION("""COMPUTED_VALUE"""),284.8)</f>
        <v>284.8</v>
      </c>
      <c r="F1520" s="1">
        <f ca="1">IFERROR(__xludf.DUMMYFUNCTION("""COMPUTED_VALUE"""),33312496)</f>
        <v>33312496</v>
      </c>
    </row>
    <row r="1521" spans="1:6" x14ac:dyDescent="0.35">
      <c r="A1521" s="2">
        <f ca="1">IFERROR(__xludf.DUMMYFUNCTION("""COMPUTED_VALUE"""),44210.6666666666)</f>
        <v>44210.666666666599</v>
      </c>
      <c r="B1521" s="1">
        <f ca="1">IFERROR(__xludf.DUMMYFUNCTION("""COMPUTED_VALUE"""),281.13)</f>
        <v>281.13</v>
      </c>
      <c r="C1521" s="1">
        <f ca="1">IFERROR(__xludf.DUMMYFUNCTION("""COMPUTED_VALUE"""),287.67)</f>
        <v>287.67</v>
      </c>
      <c r="D1521" s="1">
        <f ca="1">IFERROR(__xludf.DUMMYFUNCTION("""COMPUTED_VALUE"""),279.58)</f>
        <v>279.58</v>
      </c>
      <c r="E1521" s="1">
        <f ca="1">IFERROR(__xludf.DUMMYFUNCTION("""COMPUTED_VALUE"""),281.67)</f>
        <v>281.67</v>
      </c>
      <c r="F1521" s="1">
        <f ca="1">IFERROR(__xludf.DUMMYFUNCTION("""COMPUTED_VALUE"""),31266327)</f>
        <v>31266327</v>
      </c>
    </row>
    <row r="1522" spans="1:6" x14ac:dyDescent="0.35">
      <c r="A1522" s="2">
        <f ca="1">IFERROR(__xludf.DUMMYFUNCTION("""COMPUTED_VALUE"""),44211.6666666666)</f>
        <v>44211.666666666599</v>
      </c>
      <c r="B1522" s="1">
        <f ca="1">IFERROR(__xludf.DUMMYFUNCTION("""COMPUTED_VALUE"""),284)</f>
        <v>284</v>
      </c>
      <c r="C1522" s="1">
        <f ca="1">IFERROR(__xludf.DUMMYFUNCTION("""COMPUTED_VALUE"""),286.63)</f>
        <v>286.63</v>
      </c>
      <c r="D1522" s="1">
        <f ca="1">IFERROR(__xludf.DUMMYFUNCTION("""COMPUTED_VALUE"""),273.03)</f>
        <v>273.02999999999997</v>
      </c>
      <c r="E1522" s="1">
        <f ca="1">IFERROR(__xludf.DUMMYFUNCTION("""COMPUTED_VALUE"""),275.39)</f>
        <v>275.39</v>
      </c>
      <c r="F1522" s="1">
        <f ca="1">IFERROR(__xludf.DUMMYFUNCTION("""COMPUTED_VALUE"""),38777596)</f>
        <v>38777596</v>
      </c>
    </row>
    <row r="1523" spans="1:6" x14ac:dyDescent="0.35">
      <c r="A1523" s="2">
        <f ca="1">IFERROR(__xludf.DUMMYFUNCTION("""COMPUTED_VALUE"""),44215.6666666666)</f>
        <v>44215.666666666599</v>
      </c>
      <c r="B1523" s="1">
        <f ca="1">IFERROR(__xludf.DUMMYFUNCTION("""COMPUTED_VALUE"""),279.27)</f>
        <v>279.27</v>
      </c>
      <c r="C1523" s="1">
        <f ca="1">IFERROR(__xludf.DUMMYFUNCTION("""COMPUTED_VALUE"""),283.33)</f>
        <v>283.33</v>
      </c>
      <c r="D1523" s="1">
        <f ca="1">IFERROR(__xludf.DUMMYFUNCTION("""COMPUTED_VALUE"""),277.67)</f>
        <v>277.67</v>
      </c>
      <c r="E1523" s="1">
        <f ca="1">IFERROR(__xludf.DUMMYFUNCTION("""COMPUTED_VALUE"""),281.52)</f>
        <v>281.52</v>
      </c>
      <c r="F1523" s="1">
        <f ca="1">IFERROR(__xludf.DUMMYFUNCTION("""COMPUTED_VALUE"""),25366980)</f>
        <v>25366980</v>
      </c>
    </row>
    <row r="1524" spans="1:6" x14ac:dyDescent="0.35">
      <c r="A1524" s="2">
        <f ca="1">IFERROR(__xludf.DUMMYFUNCTION("""COMPUTED_VALUE"""),44216.6666666666)</f>
        <v>44216.666666666599</v>
      </c>
      <c r="B1524" s="1">
        <f ca="1">IFERROR(__xludf.DUMMYFUNCTION("""COMPUTED_VALUE"""),286.25)</f>
        <v>286.25</v>
      </c>
      <c r="C1524" s="1">
        <f ca="1">IFERROR(__xludf.DUMMYFUNCTION("""COMPUTED_VALUE"""),286.5)</f>
        <v>286.5</v>
      </c>
      <c r="D1524" s="1">
        <f ca="1">IFERROR(__xludf.DUMMYFUNCTION("""COMPUTED_VALUE"""),279.09)</f>
        <v>279.08999999999997</v>
      </c>
      <c r="E1524" s="1">
        <f ca="1">IFERROR(__xludf.DUMMYFUNCTION("""COMPUTED_VALUE"""),283.48)</f>
        <v>283.48</v>
      </c>
      <c r="F1524" s="1">
        <f ca="1">IFERROR(__xludf.DUMMYFUNCTION("""COMPUTED_VALUE"""),25665883)</f>
        <v>25665883</v>
      </c>
    </row>
    <row r="1525" spans="1:6" x14ac:dyDescent="0.35">
      <c r="A1525" s="2">
        <f ca="1">IFERROR(__xludf.DUMMYFUNCTION("""COMPUTED_VALUE"""),44217.6666666666)</f>
        <v>44217.666666666599</v>
      </c>
      <c r="B1525" s="1">
        <f ca="1">IFERROR(__xludf.DUMMYFUNCTION("""COMPUTED_VALUE"""),285)</f>
        <v>285</v>
      </c>
      <c r="C1525" s="1">
        <f ca="1">IFERROR(__xludf.DUMMYFUNCTION("""COMPUTED_VALUE"""),285.24)</f>
        <v>285.24</v>
      </c>
      <c r="D1525" s="1">
        <f ca="1">IFERROR(__xludf.DUMMYFUNCTION("""COMPUTED_VALUE"""),280.47)</f>
        <v>280.47000000000003</v>
      </c>
      <c r="E1525" s="1">
        <f ca="1">IFERROR(__xludf.DUMMYFUNCTION("""COMPUTED_VALUE"""),281.66)</f>
        <v>281.66000000000003</v>
      </c>
      <c r="F1525" s="1">
        <f ca="1">IFERROR(__xludf.DUMMYFUNCTION("""COMPUTED_VALUE"""),20598133)</f>
        <v>20598133</v>
      </c>
    </row>
    <row r="1526" spans="1:6" x14ac:dyDescent="0.35">
      <c r="A1526" s="2">
        <f ca="1">IFERROR(__xludf.DUMMYFUNCTION("""COMPUTED_VALUE"""),44218.6666666666)</f>
        <v>44218.666666666599</v>
      </c>
      <c r="B1526" s="1">
        <f ca="1">IFERROR(__xludf.DUMMYFUNCTION("""COMPUTED_VALUE"""),278.1)</f>
        <v>278.10000000000002</v>
      </c>
      <c r="C1526" s="1">
        <f ca="1">IFERROR(__xludf.DUMMYFUNCTION("""COMPUTED_VALUE"""),282.67)</f>
        <v>282.67</v>
      </c>
      <c r="D1526" s="1">
        <f ca="1">IFERROR(__xludf.DUMMYFUNCTION("""COMPUTED_VALUE"""),276.21)</f>
        <v>276.20999999999998</v>
      </c>
      <c r="E1526" s="1">
        <f ca="1">IFERROR(__xludf.DUMMYFUNCTION("""COMPUTED_VALUE"""),282.21)</f>
        <v>282.20999999999998</v>
      </c>
      <c r="F1526" s="1">
        <f ca="1">IFERROR(__xludf.DUMMYFUNCTION("""COMPUTED_VALUE"""),20066497)</f>
        <v>20066497</v>
      </c>
    </row>
    <row r="1527" spans="1:6" x14ac:dyDescent="0.35">
      <c r="A1527" s="2">
        <f ca="1">IFERROR(__xludf.DUMMYFUNCTION("""COMPUTED_VALUE"""),44221.6666666666)</f>
        <v>44221.666666666599</v>
      </c>
      <c r="B1527" s="1">
        <f ca="1">IFERROR(__xludf.DUMMYFUNCTION("""COMPUTED_VALUE"""),285)</f>
        <v>285</v>
      </c>
      <c r="C1527" s="1">
        <f ca="1">IFERROR(__xludf.DUMMYFUNCTION("""COMPUTED_VALUE"""),300.13)</f>
        <v>300.13</v>
      </c>
      <c r="D1527" s="1">
        <f ca="1">IFERROR(__xludf.DUMMYFUNCTION("""COMPUTED_VALUE"""),279.61)</f>
        <v>279.61</v>
      </c>
      <c r="E1527" s="1">
        <f ca="1">IFERROR(__xludf.DUMMYFUNCTION("""COMPUTED_VALUE"""),293.6)</f>
        <v>293.60000000000002</v>
      </c>
      <c r="F1527" s="1">
        <f ca="1">IFERROR(__xludf.DUMMYFUNCTION("""COMPUTED_VALUE"""),41173397)</f>
        <v>41173397</v>
      </c>
    </row>
    <row r="1528" spans="1:6" x14ac:dyDescent="0.35">
      <c r="A1528" s="2">
        <f ca="1">IFERROR(__xludf.DUMMYFUNCTION("""COMPUTED_VALUE"""),44222.6666666666)</f>
        <v>44222.666666666599</v>
      </c>
      <c r="B1528" s="1">
        <f ca="1">IFERROR(__xludf.DUMMYFUNCTION("""COMPUTED_VALUE"""),297.13)</f>
        <v>297.13</v>
      </c>
      <c r="C1528" s="1">
        <f ca="1">IFERROR(__xludf.DUMMYFUNCTION("""COMPUTED_VALUE"""),298.63)</f>
        <v>298.63</v>
      </c>
      <c r="D1528" s="1">
        <f ca="1">IFERROR(__xludf.DUMMYFUNCTION("""COMPUTED_VALUE"""),290.53)</f>
        <v>290.52999999999997</v>
      </c>
      <c r="E1528" s="1">
        <f ca="1">IFERROR(__xludf.DUMMYFUNCTION("""COMPUTED_VALUE"""),294.36)</f>
        <v>294.36</v>
      </c>
      <c r="F1528" s="1">
        <f ca="1">IFERROR(__xludf.DUMMYFUNCTION("""COMPUTED_VALUE"""),23131603)</f>
        <v>23131603</v>
      </c>
    </row>
    <row r="1529" spans="1:6" x14ac:dyDescent="0.35">
      <c r="A1529" s="2">
        <f ca="1">IFERROR(__xludf.DUMMYFUNCTION("""COMPUTED_VALUE"""),44223.6666666666)</f>
        <v>44223.666666666599</v>
      </c>
      <c r="B1529" s="1">
        <f ca="1">IFERROR(__xludf.DUMMYFUNCTION("""COMPUTED_VALUE"""),290.12)</f>
        <v>290.12</v>
      </c>
      <c r="C1529" s="1">
        <f ca="1">IFERROR(__xludf.DUMMYFUNCTION("""COMPUTED_VALUE"""),297.17)</f>
        <v>297.17</v>
      </c>
      <c r="D1529" s="1">
        <f ca="1">IFERROR(__xludf.DUMMYFUNCTION("""COMPUTED_VALUE"""),286.22)</f>
        <v>286.22000000000003</v>
      </c>
      <c r="E1529" s="1">
        <f ca="1">IFERROR(__xludf.DUMMYFUNCTION("""COMPUTED_VALUE"""),288.05)</f>
        <v>288.05</v>
      </c>
      <c r="F1529" s="1">
        <f ca="1">IFERROR(__xludf.DUMMYFUNCTION("""COMPUTED_VALUE"""),27333955)</f>
        <v>27333955</v>
      </c>
    </row>
    <row r="1530" spans="1:6" x14ac:dyDescent="0.35">
      <c r="A1530" s="2">
        <f ca="1">IFERROR(__xludf.DUMMYFUNCTION("""COMPUTED_VALUE"""),44224.6666666666)</f>
        <v>44224.666666666599</v>
      </c>
      <c r="B1530" s="1">
        <f ca="1">IFERROR(__xludf.DUMMYFUNCTION("""COMPUTED_VALUE"""),273.33)</f>
        <v>273.33</v>
      </c>
      <c r="C1530" s="1">
        <f ca="1">IFERROR(__xludf.DUMMYFUNCTION("""COMPUTED_VALUE"""),282.67)</f>
        <v>282.67</v>
      </c>
      <c r="D1530" s="1">
        <f ca="1">IFERROR(__xludf.DUMMYFUNCTION("""COMPUTED_VALUE"""),267)</f>
        <v>267</v>
      </c>
      <c r="E1530" s="1">
        <f ca="1">IFERROR(__xludf.DUMMYFUNCTION("""COMPUTED_VALUE"""),278.48)</f>
        <v>278.48</v>
      </c>
      <c r="F1530" s="1">
        <f ca="1">IFERROR(__xludf.DUMMYFUNCTION("""COMPUTED_VALUE"""),26378048)</f>
        <v>26378048</v>
      </c>
    </row>
    <row r="1531" spans="1:6" x14ac:dyDescent="0.35">
      <c r="A1531" s="2">
        <f ca="1">IFERROR(__xludf.DUMMYFUNCTION("""COMPUTED_VALUE"""),44225.6666666666)</f>
        <v>44225.666666666599</v>
      </c>
      <c r="B1531" s="1">
        <f ca="1">IFERROR(__xludf.DUMMYFUNCTION("""COMPUTED_VALUE"""),276.67)</f>
        <v>276.67</v>
      </c>
      <c r="C1531" s="1">
        <f ca="1">IFERROR(__xludf.DUMMYFUNCTION("""COMPUTED_VALUE"""),280.8)</f>
        <v>280.8</v>
      </c>
      <c r="D1531" s="1">
        <f ca="1">IFERROR(__xludf.DUMMYFUNCTION("""COMPUTED_VALUE"""),260.03)</f>
        <v>260.02999999999997</v>
      </c>
      <c r="E1531" s="1">
        <f ca="1">IFERROR(__xludf.DUMMYFUNCTION("""COMPUTED_VALUE"""),264.51)</f>
        <v>264.51</v>
      </c>
      <c r="F1531" s="1">
        <f ca="1">IFERROR(__xludf.DUMMYFUNCTION("""COMPUTED_VALUE"""),34990754)</f>
        <v>34990754</v>
      </c>
    </row>
    <row r="1532" spans="1:6" x14ac:dyDescent="0.35">
      <c r="A1532" s="2">
        <f ca="1">IFERROR(__xludf.DUMMYFUNCTION("""COMPUTED_VALUE"""),44228.6666666666)</f>
        <v>44228.666666666599</v>
      </c>
      <c r="B1532" s="1">
        <f ca="1">IFERROR(__xludf.DUMMYFUNCTION("""COMPUTED_VALUE"""),271.43)</f>
        <v>271.43</v>
      </c>
      <c r="C1532" s="1">
        <f ca="1">IFERROR(__xludf.DUMMYFUNCTION("""COMPUTED_VALUE"""),280.67)</f>
        <v>280.67</v>
      </c>
      <c r="D1532" s="1">
        <f ca="1">IFERROR(__xludf.DUMMYFUNCTION("""COMPUTED_VALUE"""),265.19)</f>
        <v>265.19</v>
      </c>
      <c r="E1532" s="1">
        <f ca="1">IFERROR(__xludf.DUMMYFUNCTION("""COMPUTED_VALUE"""),279.94)</f>
        <v>279.94</v>
      </c>
      <c r="F1532" s="1">
        <f ca="1">IFERROR(__xludf.DUMMYFUNCTION("""COMPUTED_VALUE"""),25391385)</f>
        <v>25391385</v>
      </c>
    </row>
    <row r="1533" spans="1:6" x14ac:dyDescent="0.35">
      <c r="A1533" s="2">
        <f ca="1">IFERROR(__xludf.DUMMYFUNCTION("""COMPUTED_VALUE"""),44229.6666666666)</f>
        <v>44229.666666666599</v>
      </c>
      <c r="B1533" s="1">
        <f ca="1">IFERROR(__xludf.DUMMYFUNCTION("""COMPUTED_VALUE"""),281.56)</f>
        <v>281.56</v>
      </c>
      <c r="C1533" s="1">
        <f ca="1">IFERROR(__xludf.DUMMYFUNCTION("""COMPUTED_VALUE"""),293.5)</f>
        <v>293.5</v>
      </c>
      <c r="D1533" s="1">
        <f ca="1">IFERROR(__xludf.DUMMYFUNCTION("""COMPUTED_VALUE"""),280.73)</f>
        <v>280.73</v>
      </c>
      <c r="E1533" s="1">
        <f ca="1">IFERROR(__xludf.DUMMYFUNCTION("""COMPUTED_VALUE"""),290.93)</f>
        <v>290.93</v>
      </c>
      <c r="F1533" s="1">
        <f ca="1">IFERROR(__xludf.DUMMYFUNCTION("""COMPUTED_VALUE"""),24346213)</f>
        <v>24346213</v>
      </c>
    </row>
    <row r="1534" spans="1:6" x14ac:dyDescent="0.35">
      <c r="A1534" s="2">
        <f ca="1">IFERROR(__xludf.DUMMYFUNCTION("""COMPUTED_VALUE"""),44230.6666666666)</f>
        <v>44230.666666666599</v>
      </c>
      <c r="B1534" s="1">
        <f ca="1">IFERROR(__xludf.DUMMYFUNCTION("""COMPUTED_VALUE"""),292.34)</f>
        <v>292.33999999999997</v>
      </c>
      <c r="C1534" s="1">
        <f ca="1">IFERROR(__xludf.DUMMYFUNCTION("""COMPUTED_VALUE"""),292.69)</f>
        <v>292.69</v>
      </c>
      <c r="D1534" s="1">
        <f ca="1">IFERROR(__xludf.DUMMYFUNCTION("""COMPUTED_VALUE"""),284.35)</f>
        <v>284.35000000000002</v>
      </c>
      <c r="E1534" s="1">
        <f ca="1">IFERROR(__xludf.DUMMYFUNCTION("""COMPUTED_VALUE"""),284.9)</f>
        <v>284.89999999999998</v>
      </c>
      <c r="F1534" s="1">
        <f ca="1">IFERROR(__xludf.DUMMYFUNCTION("""COMPUTED_VALUE"""),18343510)</f>
        <v>18343510</v>
      </c>
    </row>
    <row r="1535" spans="1:6" x14ac:dyDescent="0.35">
      <c r="A1535" s="2">
        <f ca="1">IFERROR(__xludf.DUMMYFUNCTION("""COMPUTED_VALUE"""),44231.6666666666)</f>
        <v>44231.666666666599</v>
      </c>
      <c r="B1535" s="1">
        <f ca="1">IFERROR(__xludf.DUMMYFUNCTION("""COMPUTED_VALUE"""),285)</f>
        <v>285</v>
      </c>
      <c r="C1535" s="1">
        <f ca="1">IFERROR(__xludf.DUMMYFUNCTION("""COMPUTED_VALUE"""),285.5)</f>
        <v>285.5</v>
      </c>
      <c r="D1535" s="1">
        <f ca="1">IFERROR(__xludf.DUMMYFUNCTION("""COMPUTED_VALUE"""),277.81)</f>
        <v>277.81</v>
      </c>
      <c r="E1535" s="1">
        <f ca="1">IFERROR(__xludf.DUMMYFUNCTION("""COMPUTED_VALUE"""),283.33)</f>
        <v>283.33</v>
      </c>
      <c r="F1535" s="1">
        <f ca="1">IFERROR(__xludf.DUMMYFUNCTION("""COMPUTED_VALUE"""),15812661)</f>
        <v>15812661</v>
      </c>
    </row>
    <row r="1536" spans="1:6" x14ac:dyDescent="0.35">
      <c r="A1536" s="2">
        <f ca="1">IFERROR(__xludf.DUMMYFUNCTION("""COMPUTED_VALUE"""),44232.6666666666)</f>
        <v>44232.666666666599</v>
      </c>
      <c r="B1536" s="1">
        <f ca="1">IFERROR(__xludf.DUMMYFUNCTION("""COMPUTED_VALUE"""),281.67)</f>
        <v>281.67</v>
      </c>
      <c r="C1536" s="1">
        <f ca="1">IFERROR(__xludf.DUMMYFUNCTION("""COMPUTED_VALUE"""),288.26)</f>
        <v>288.26</v>
      </c>
      <c r="D1536" s="1">
        <f ca="1">IFERROR(__xludf.DUMMYFUNCTION("""COMPUTED_VALUE"""),279.66)</f>
        <v>279.66000000000003</v>
      </c>
      <c r="E1536" s="1">
        <f ca="1">IFERROR(__xludf.DUMMYFUNCTION("""COMPUTED_VALUE"""),284.08)</f>
        <v>284.08</v>
      </c>
      <c r="F1536" s="1">
        <f ca="1">IFERROR(__xludf.DUMMYFUNCTION("""COMPUTED_VALUE"""),18566637)</f>
        <v>18566637</v>
      </c>
    </row>
    <row r="1537" spans="1:6" x14ac:dyDescent="0.35">
      <c r="A1537" s="2">
        <f ca="1">IFERROR(__xludf.DUMMYFUNCTION("""COMPUTED_VALUE"""),44235.6666666666)</f>
        <v>44235.666666666599</v>
      </c>
      <c r="B1537" s="1">
        <f ca="1">IFERROR(__xludf.DUMMYFUNCTION("""COMPUTED_VALUE"""),289.89)</f>
        <v>289.89</v>
      </c>
      <c r="C1537" s="1">
        <f ca="1">IFERROR(__xludf.DUMMYFUNCTION("""COMPUTED_VALUE"""),292.59)</f>
        <v>292.58999999999997</v>
      </c>
      <c r="D1537" s="1">
        <f ca="1">IFERROR(__xludf.DUMMYFUNCTION("""COMPUTED_VALUE"""),284.92)</f>
        <v>284.92</v>
      </c>
      <c r="E1537" s="1">
        <f ca="1">IFERROR(__xludf.DUMMYFUNCTION("""COMPUTED_VALUE"""),287.81)</f>
        <v>287.81</v>
      </c>
      <c r="F1537" s="1">
        <f ca="1">IFERROR(__xludf.DUMMYFUNCTION("""COMPUTED_VALUE"""),20161719)</f>
        <v>20161719</v>
      </c>
    </row>
    <row r="1538" spans="1:6" x14ac:dyDescent="0.35">
      <c r="A1538" s="2">
        <f ca="1">IFERROR(__xludf.DUMMYFUNCTION("""COMPUTED_VALUE"""),44236.6666666666)</f>
        <v>44236.666666666599</v>
      </c>
      <c r="B1538" s="1">
        <f ca="1">IFERROR(__xludf.DUMMYFUNCTION("""COMPUTED_VALUE"""),285.04)</f>
        <v>285.04000000000002</v>
      </c>
      <c r="C1538" s="1">
        <f ca="1">IFERROR(__xludf.DUMMYFUNCTION("""COMPUTED_VALUE"""),286.6)</f>
        <v>286.60000000000002</v>
      </c>
      <c r="D1538" s="1">
        <f ca="1">IFERROR(__xludf.DUMMYFUNCTION("""COMPUTED_VALUE"""),280.58)</f>
        <v>280.58</v>
      </c>
      <c r="E1538" s="1">
        <f ca="1">IFERROR(__xludf.DUMMYFUNCTION("""COMPUTED_VALUE"""),283.15)</f>
        <v>283.14999999999998</v>
      </c>
      <c r="F1538" s="1">
        <f ca="1">IFERROR(__xludf.DUMMYFUNCTION("""COMPUTED_VALUE"""),15157651)</f>
        <v>15157651</v>
      </c>
    </row>
    <row r="1539" spans="1:6" x14ac:dyDescent="0.35">
      <c r="A1539" s="2">
        <f ca="1">IFERROR(__xludf.DUMMYFUNCTION("""COMPUTED_VALUE"""),44237.6666666666)</f>
        <v>44237.666666666599</v>
      </c>
      <c r="B1539" s="1">
        <f ca="1">IFERROR(__xludf.DUMMYFUNCTION("""COMPUTED_VALUE"""),281.21)</f>
        <v>281.20999999999998</v>
      </c>
      <c r="C1539" s="1">
        <f ca="1">IFERROR(__xludf.DUMMYFUNCTION("""COMPUTED_VALUE"""),281.61)</f>
        <v>281.61</v>
      </c>
      <c r="D1539" s="1">
        <f ca="1">IFERROR(__xludf.DUMMYFUNCTION("""COMPUTED_VALUE"""),266.67)</f>
        <v>266.67</v>
      </c>
      <c r="E1539" s="1">
        <f ca="1">IFERROR(__xludf.DUMMYFUNCTION("""COMPUTED_VALUE"""),268.27)</f>
        <v>268.27</v>
      </c>
      <c r="F1539" s="1">
        <f ca="1">IFERROR(__xludf.DUMMYFUNCTION("""COMPUTED_VALUE"""),36216090)</f>
        <v>36216090</v>
      </c>
    </row>
    <row r="1540" spans="1:6" x14ac:dyDescent="0.35">
      <c r="A1540" s="2">
        <f ca="1">IFERROR(__xludf.DUMMYFUNCTION("""COMPUTED_VALUE"""),44238.6666666666)</f>
        <v>44238.666666666599</v>
      </c>
      <c r="B1540" s="1">
        <f ca="1">IFERROR(__xludf.DUMMYFUNCTION("""COMPUTED_VALUE"""),270.81)</f>
        <v>270.81</v>
      </c>
      <c r="C1540" s="1">
        <f ca="1">IFERROR(__xludf.DUMMYFUNCTION("""COMPUTED_VALUE"""),276.63)</f>
        <v>276.63</v>
      </c>
      <c r="D1540" s="1">
        <f ca="1">IFERROR(__xludf.DUMMYFUNCTION("""COMPUTED_VALUE"""),267.24)</f>
        <v>267.24</v>
      </c>
      <c r="E1540" s="1">
        <f ca="1">IFERROR(__xludf.DUMMYFUNCTION("""COMPUTED_VALUE"""),270.55)</f>
        <v>270.55</v>
      </c>
      <c r="F1540" s="1">
        <f ca="1">IFERROR(__xludf.DUMMYFUNCTION("""COMPUTED_VALUE"""),21622753)</f>
        <v>21622753</v>
      </c>
    </row>
    <row r="1541" spans="1:6" x14ac:dyDescent="0.35">
      <c r="A1541" s="2">
        <f ca="1">IFERROR(__xludf.DUMMYFUNCTION("""COMPUTED_VALUE"""),44239.6666666666)</f>
        <v>44239.666666666599</v>
      </c>
      <c r="B1541" s="1">
        <f ca="1">IFERROR(__xludf.DUMMYFUNCTION("""COMPUTED_VALUE"""),267.09)</f>
        <v>267.08999999999997</v>
      </c>
      <c r="C1541" s="1">
        <f ca="1">IFERROR(__xludf.DUMMYFUNCTION("""COMPUTED_VALUE"""),272.44)</f>
        <v>272.44</v>
      </c>
      <c r="D1541" s="1">
        <f ca="1">IFERROR(__xludf.DUMMYFUNCTION("""COMPUTED_VALUE"""),261.78)</f>
        <v>261.77999999999997</v>
      </c>
      <c r="E1541" s="1">
        <f ca="1">IFERROR(__xludf.DUMMYFUNCTION("""COMPUTED_VALUE"""),272.04)</f>
        <v>272.04000000000002</v>
      </c>
      <c r="F1541" s="1">
        <f ca="1">IFERROR(__xludf.DUMMYFUNCTION("""COMPUTED_VALUE"""),23768313)</f>
        <v>23768313</v>
      </c>
    </row>
    <row r="1542" spans="1:6" x14ac:dyDescent="0.35">
      <c r="A1542" s="2">
        <f ca="1">IFERROR(__xludf.DUMMYFUNCTION("""COMPUTED_VALUE"""),44243.6666666666)</f>
        <v>44243.666666666599</v>
      </c>
      <c r="B1542" s="1">
        <f ca="1">IFERROR(__xludf.DUMMYFUNCTION("""COMPUTED_VALUE"""),272.67)</f>
        <v>272.67</v>
      </c>
      <c r="C1542" s="1">
        <f ca="1">IFERROR(__xludf.DUMMYFUNCTION("""COMPUTED_VALUE"""),273.67)</f>
        <v>273.67</v>
      </c>
      <c r="D1542" s="1">
        <f ca="1">IFERROR(__xludf.DUMMYFUNCTION("""COMPUTED_VALUE"""),264.15)</f>
        <v>264.14999999999998</v>
      </c>
      <c r="E1542" s="1">
        <f ca="1">IFERROR(__xludf.DUMMYFUNCTION("""COMPUTED_VALUE"""),265.41)</f>
        <v>265.41000000000003</v>
      </c>
      <c r="F1542" s="1">
        <f ca="1">IFERROR(__xludf.DUMMYFUNCTION("""COMPUTED_VALUE"""),19802324)</f>
        <v>19802324</v>
      </c>
    </row>
    <row r="1543" spans="1:6" x14ac:dyDescent="0.35">
      <c r="A1543" s="2">
        <f ca="1">IFERROR(__xludf.DUMMYFUNCTION("""COMPUTED_VALUE"""),44244.6666666666)</f>
        <v>44244.666666666599</v>
      </c>
      <c r="B1543" s="1">
        <f ca="1">IFERROR(__xludf.DUMMYFUNCTION("""COMPUTED_VALUE"""),259.7)</f>
        <v>259.7</v>
      </c>
      <c r="C1543" s="1">
        <f ca="1">IFERROR(__xludf.DUMMYFUNCTION("""COMPUTED_VALUE"""),266.61)</f>
        <v>266.61</v>
      </c>
      <c r="D1543" s="1">
        <f ca="1">IFERROR(__xludf.DUMMYFUNCTION("""COMPUTED_VALUE"""),254)</f>
        <v>254</v>
      </c>
      <c r="E1543" s="1">
        <f ca="1">IFERROR(__xludf.DUMMYFUNCTION("""COMPUTED_VALUE"""),266.05)</f>
        <v>266.05</v>
      </c>
      <c r="F1543" s="1">
        <f ca="1">IFERROR(__xludf.DUMMYFUNCTION("""COMPUTED_VALUE"""),26078898)</f>
        <v>26078898</v>
      </c>
    </row>
    <row r="1544" spans="1:6" x14ac:dyDescent="0.35">
      <c r="A1544" s="2">
        <f ca="1">IFERROR(__xludf.DUMMYFUNCTION("""COMPUTED_VALUE"""),44245.6666666666)</f>
        <v>44245.666666666599</v>
      </c>
      <c r="B1544" s="1">
        <f ca="1">IFERROR(__xludf.DUMMYFUNCTION("""COMPUTED_VALUE"""),260.3)</f>
        <v>260.3</v>
      </c>
      <c r="C1544" s="1">
        <f ca="1">IFERROR(__xludf.DUMMYFUNCTION("""COMPUTED_VALUE"""),264.9)</f>
        <v>264.89999999999998</v>
      </c>
      <c r="D1544" s="1">
        <f ca="1">IFERROR(__xludf.DUMMYFUNCTION("""COMPUTED_VALUE"""),258.76)</f>
        <v>258.76</v>
      </c>
      <c r="E1544" s="1">
        <f ca="1">IFERROR(__xludf.DUMMYFUNCTION("""COMPUTED_VALUE"""),262.46)</f>
        <v>262.45999999999998</v>
      </c>
      <c r="F1544" s="1">
        <f ca="1">IFERROR(__xludf.DUMMYFUNCTION("""COMPUTED_VALUE"""),17957058)</f>
        <v>17957058</v>
      </c>
    </row>
    <row r="1545" spans="1:6" x14ac:dyDescent="0.35">
      <c r="A1545" s="2">
        <f ca="1">IFERROR(__xludf.DUMMYFUNCTION("""COMPUTED_VALUE"""),44246.6666666666)</f>
        <v>44246.666666666599</v>
      </c>
      <c r="B1545" s="1">
        <f ca="1">IFERROR(__xludf.DUMMYFUNCTION("""COMPUTED_VALUE"""),265)</f>
        <v>265</v>
      </c>
      <c r="C1545" s="1">
        <f ca="1">IFERROR(__xludf.DUMMYFUNCTION("""COMPUTED_VALUE"""),265.6)</f>
        <v>265.60000000000002</v>
      </c>
      <c r="D1545" s="1">
        <f ca="1">IFERROR(__xludf.DUMMYFUNCTION("""COMPUTED_VALUE"""),259.12)</f>
        <v>259.12</v>
      </c>
      <c r="E1545" s="1">
        <f ca="1">IFERROR(__xludf.DUMMYFUNCTION("""COMPUTED_VALUE"""),260.43)</f>
        <v>260.43</v>
      </c>
      <c r="F1545" s="1">
        <f ca="1">IFERROR(__xludf.DUMMYFUNCTION("""COMPUTED_VALUE"""),18958255)</f>
        <v>18958255</v>
      </c>
    </row>
    <row r="1546" spans="1:6" x14ac:dyDescent="0.35">
      <c r="A1546" s="2">
        <f ca="1">IFERROR(__xludf.DUMMYFUNCTION("""COMPUTED_VALUE"""),44249.6666666666)</f>
        <v>44249.666666666599</v>
      </c>
      <c r="B1546" s="1">
        <f ca="1">IFERROR(__xludf.DUMMYFUNCTION("""COMPUTED_VALUE"""),254.21)</f>
        <v>254.21</v>
      </c>
      <c r="C1546" s="1">
        <f ca="1">IFERROR(__xludf.DUMMYFUNCTION("""COMPUTED_VALUE"""),256.17)</f>
        <v>256.17</v>
      </c>
      <c r="D1546" s="1">
        <f ca="1">IFERROR(__xludf.DUMMYFUNCTION("""COMPUTED_VALUE"""),236.73)</f>
        <v>236.73</v>
      </c>
      <c r="E1546" s="1">
        <f ca="1">IFERROR(__xludf.DUMMYFUNCTION("""COMPUTED_VALUE"""),238.17)</f>
        <v>238.17</v>
      </c>
      <c r="F1546" s="1">
        <f ca="1">IFERROR(__xludf.DUMMYFUNCTION("""COMPUTED_VALUE"""),37269716)</f>
        <v>37269716</v>
      </c>
    </row>
    <row r="1547" spans="1:6" x14ac:dyDescent="0.35">
      <c r="A1547" s="2">
        <f ca="1">IFERROR(__xludf.DUMMYFUNCTION("""COMPUTED_VALUE"""),44250.6666666666)</f>
        <v>44250.666666666599</v>
      </c>
      <c r="B1547" s="1">
        <f ca="1">IFERROR(__xludf.DUMMYFUNCTION("""COMPUTED_VALUE"""),220.71)</f>
        <v>220.71</v>
      </c>
      <c r="C1547" s="1">
        <f ca="1">IFERROR(__xludf.DUMMYFUNCTION("""COMPUTED_VALUE"""),237.87)</f>
        <v>237.87</v>
      </c>
      <c r="D1547" s="1">
        <f ca="1">IFERROR(__xludf.DUMMYFUNCTION("""COMPUTED_VALUE"""),206.33)</f>
        <v>206.33</v>
      </c>
      <c r="E1547" s="1">
        <f ca="1">IFERROR(__xludf.DUMMYFUNCTION("""COMPUTED_VALUE"""),232.95)</f>
        <v>232.95</v>
      </c>
      <c r="F1547" s="1">
        <f ca="1">IFERROR(__xludf.DUMMYFUNCTION("""COMPUTED_VALUE"""),66606882)</f>
        <v>66606882</v>
      </c>
    </row>
    <row r="1548" spans="1:6" x14ac:dyDescent="0.35">
      <c r="A1548" s="2">
        <f ca="1">IFERROR(__xludf.DUMMYFUNCTION("""COMPUTED_VALUE"""),44251.6666666666)</f>
        <v>44251.666666666599</v>
      </c>
      <c r="B1548" s="1">
        <f ca="1">IFERROR(__xludf.DUMMYFUNCTION("""COMPUTED_VALUE"""),237.28)</f>
        <v>237.28</v>
      </c>
      <c r="C1548" s="1">
        <f ca="1">IFERROR(__xludf.DUMMYFUNCTION("""COMPUTED_VALUE"""),248.33)</f>
        <v>248.33</v>
      </c>
      <c r="D1548" s="1">
        <f ca="1">IFERROR(__xludf.DUMMYFUNCTION("""COMPUTED_VALUE"""),231.39)</f>
        <v>231.39</v>
      </c>
      <c r="E1548" s="1">
        <f ca="1">IFERROR(__xludf.DUMMYFUNCTION("""COMPUTED_VALUE"""),247.34)</f>
        <v>247.34</v>
      </c>
      <c r="F1548" s="1">
        <f ca="1">IFERROR(__xludf.DUMMYFUNCTION("""COMPUTED_VALUE"""),36766950)</f>
        <v>36766950</v>
      </c>
    </row>
    <row r="1549" spans="1:6" x14ac:dyDescent="0.35">
      <c r="A1549" s="2">
        <f ca="1">IFERROR(__xludf.DUMMYFUNCTION("""COMPUTED_VALUE"""),44252.6666666666)</f>
        <v>44252.666666666599</v>
      </c>
      <c r="B1549" s="1">
        <f ca="1">IFERROR(__xludf.DUMMYFUNCTION("""COMPUTED_VALUE"""),242.05)</f>
        <v>242.05</v>
      </c>
      <c r="C1549" s="1">
        <f ca="1">IFERROR(__xludf.DUMMYFUNCTION("""COMPUTED_VALUE"""),245.74)</f>
        <v>245.74</v>
      </c>
      <c r="D1549" s="1">
        <f ca="1">IFERROR(__xludf.DUMMYFUNCTION("""COMPUTED_VALUE"""),223.53)</f>
        <v>223.53</v>
      </c>
      <c r="E1549" s="1">
        <f ca="1">IFERROR(__xludf.DUMMYFUNCTION("""COMPUTED_VALUE"""),227.41)</f>
        <v>227.41</v>
      </c>
      <c r="F1549" s="1">
        <f ca="1">IFERROR(__xludf.DUMMYFUNCTION("""COMPUTED_VALUE"""),39023855)</f>
        <v>39023855</v>
      </c>
    </row>
    <row r="1550" spans="1:6" x14ac:dyDescent="0.35">
      <c r="A1550" s="2">
        <f ca="1">IFERROR(__xludf.DUMMYFUNCTION("""COMPUTED_VALUE"""),44253.6666666666)</f>
        <v>44253.666666666599</v>
      </c>
      <c r="B1550" s="1">
        <f ca="1">IFERROR(__xludf.DUMMYFUNCTION("""COMPUTED_VALUE"""),233.33)</f>
        <v>233.33</v>
      </c>
      <c r="C1550" s="1">
        <f ca="1">IFERROR(__xludf.DUMMYFUNCTION("""COMPUTED_VALUE"""),235.57)</f>
        <v>235.57</v>
      </c>
      <c r="D1550" s="1">
        <f ca="1">IFERROR(__xludf.DUMMYFUNCTION("""COMPUTED_VALUE"""),219.84)</f>
        <v>219.84</v>
      </c>
      <c r="E1550" s="1">
        <f ca="1">IFERROR(__xludf.DUMMYFUNCTION("""COMPUTED_VALUE"""),225.17)</f>
        <v>225.17</v>
      </c>
      <c r="F1550" s="1">
        <f ca="1">IFERROR(__xludf.DUMMYFUNCTION("""COMPUTED_VALUE"""),41089173)</f>
        <v>41089173</v>
      </c>
    </row>
    <row r="1551" spans="1:6" x14ac:dyDescent="0.35">
      <c r="A1551" s="2">
        <f ca="1">IFERROR(__xludf.DUMMYFUNCTION("""COMPUTED_VALUE"""),44256.6666666666)</f>
        <v>44256.666666666599</v>
      </c>
      <c r="B1551" s="1">
        <f ca="1">IFERROR(__xludf.DUMMYFUNCTION("""COMPUTED_VALUE"""),230.04)</f>
        <v>230.04</v>
      </c>
      <c r="C1551" s="1">
        <f ca="1">IFERROR(__xludf.DUMMYFUNCTION("""COMPUTED_VALUE"""),290.67)</f>
        <v>290.67</v>
      </c>
      <c r="D1551" s="1">
        <f ca="1">IFERROR(__xludf.DUMMYFUNCTION("""COMPUTED_VALUE"""),228.35)</f>
        <v>228.35</v>
      </c>
      <c r="E1551" s="1">
        <f ca="1">IFERROR(__xludf.DUMMYFUNCTION("""COMPUTED_VALUE"""),239.48)</f>
        <v>239.48</v>
      </c>
      <c r="F1551" s="1">
        <f ca="1">IFERROR(__xludf.DUMMYFUNCTION("""COMPUTED_VALUE"""),27136239)</f>
        <v>27136239</v>
      </c>
    </row>
    <row r="1552" spans="1:6" x14ac:dyDescent="0.35">
      <c r="A1552" s="2">
        <f ca="1">IFERROR(__xludf.DUMMYFUNCTION("""COMPUTED_VALUE"""),44257.6666666666)</f>
        <v>44257.666666666599</v>
      </c>
      <c r="B1552" s="1">
        <f ca="1">IFERROR(__xludf.DUMMYFUNCTION("""COMPUTED_VALUE"""),239.43)</f>
        <v>239.43</v>
      </c>
      <c r="C1552" s="1">
        <f ca="1">IFERROR(__xludf.DUMMYFUNCTION("""COMPUTED_VALUE"""),240.37)</f>
        <v>240.37</v>
      </c>
      <c r="D1552" s="1">
        <f ca="1">IFERROR(__xludf.DUMMYFUNCTION("""COMPUTED_VALUE"""),228.33)</f>
        <v>228.33</v>
      </c>
      <c r="E1552" s="1">
        <f ca="1">IFERROR(__xludf.DUMMYFUNCTION("""COMPUTED_VALUE"""),228.81)</f>
        <v>228.81</v>
      </c>
      <c r="F1552" s="1">
        <f ca="1">IFERROR(__xludf.DUMMYFUNCTION("""COMPUTED_VALUE"""),23732158)</f>
        <v>23732158</v>
      </c>
    </row>
    <row r="1553" spans="1:6" x14ac:dyDescent="0.35">
      <c r="A1553" s="2">
        <f ca="1">IFERROR(__xludf.DUMMYFUNCTION("""COMPUTED_VALUE"""),44258.6666666666)</f>
        <v>44258.666666666599</v>
      </c>
      <c r="B1553" s="1">
        <f ca="1">IFERROR(__xludf.DUMMYFUNCTION("""COMPUTED_VALUE"""),229.33)</f>
        <v>229.33</v>
      </c>
      <c r="C1553" s="1">
        <f ca="1">IFERROR(__xludf.DUMMYFUNCTION("""COMPUTED_VALUE"""),233.57)</f>
        <v>233.57</v>
      </c>
      <c r="D1553" s="1">
        <f ca="1">IFERROR(__xludf.DUMMYFUNCTION("""COMPUTED_VALUE"""),217.24)</f>
        <v>217.24</v>
      </c>
      <c r="E1553" s="1">
        <f ca="1">IFERROR(__xludf.DUMMYFUNCTION("""COMPUTED_VALUE"""),217.73)</f>
        <v>217.73</v>
      </c>
      <c r="F1553" s="1">
        <f ca="1">IFERROR(__xludf.DUMMYFUNCTION("""COMPUTED_VALUE"""),30207960)</f>
        <v>30207960</v>
      </c>
    </row>
    <row r="1554" spans="1:6" x14ac:dyDescent="0.35">
      <c r="A1554" s="2">
        <f ca="1">IFERROR(__xludf.DUMMYFUNCTION("""COMPUTED_VALUE"""),44259.6666666666)</f>
        <v>44259.666666666599</v>
      </c>
      <c r="B1554" s="1">
        <f ca="1">IFERROR(__xludf.DUMMYFUNCTION("""COMPUTED_VALUE"""),218.6)</f>
        <v>218.6</v>
      </c>
      <c r="C1554" s="1">
        <f ca="1">IFERROR(__xludf.DUMMYFUNCTION("""COMPUTED_VALUE"""),291.31)</f>
        <v>291.31</v>
      </c>
      <c r="D1554" s="1">
        <f ca="1">IFERROR(__xludf.DUMMYFUNCTION("""COMPUTED_VALUE"""),200)</f>
        <v>200</v>
      </c>
      <c r="E1554" s="1">
        <f ca="1">IFERROR(__xludf.DUMMYFUNCTION("""COMPUTED_VALUE"""),207.15)</f>
        <v>207.15</v>
      </c>
      <c r="F1554" s="1">
        <f ca="1">IFERROR(__xludf.DUMMYFUNCTION("""COMPUTED_VALUE"""),65919530)</f>
        <v>65919530</v>
      </c>
    </row>
    <row r="1555" spans="1:6" x14ac:dyDescent="0.35">
      <c r="A1555" s="2">
        <f ca="1">IFERROR(__xludf.DUMMYFUNCTION("""COMPUTED_VALUE"""),44260.6666666666)</f>
        <v>44260.666666666599</v>
      </c>
      <c r="B1555" s="1">
        <f ca="1">IFERROR(__xludf.DUMMYFUNCTION("""COMPUTED_VALUE"""),208.69)</f>
        <v>208.69</v>
      </c>
      <c r="C1555" s="1">
        <f ca="1">IFERROR(__xludf.DUMMYFUNCTION("""COMPUTED_VALUE"""),209.28)</f>
        <v>209.28</v>
      </c>
      <c r="D1555" s="1">
        <f ca="1">IFERROR(__xludf.DUMMYFUNCTION("""COMPUTED_VALUE"""),179.83)</f>
        <v>179.83</v>
      </c>
      <c r="E1555" s="1">
        <f ca="1">IFERROR(__xludf.DUMMYFUNCTION("""COMPUTED_VALUE"""),199.32)</f>
        <v>199.32</v>
      </c>
      <c r="F1555" s="1">
        <f ca="1">IFERROR(__xludf.DUMMYFUNCTION("""COMPUTED_VALUE"""),89396459)</f>
        <v>89396459</v>
      </c>
    </row>
    <row r="1556" spans="1:6" x14ac:dyDescent="0.35">
      <c r="A1556" s="2">
        <f ca="1">IFERROR(__xludf.DUMMYFUNCTION("""COMPUTED_VALUE"""),44263.6666666666)</f>
        <v>44263.666666666599</v>
      </c>
      <c r="B1556" s="1">
        <f ca="1">IFERROR(__xludf.DUMMYFUNCTION("""COMPUTED_VALUE"""),200.18)</f>
        <v>200.18</v>
      </c>
      <c r="C1556" s="1">
        <f ca="1">IFERROR(__xludf.DUMMYFUNCTION("""COMPUTED_VALUE"""),206.71)</f>
        <v>206.71</v>
      </c>
      <c r="D1556" s="1">
        <f ca="1">IFERROR(__xludf.DUMMYFUNCTION("""COMPUTED_VALUE"""),186.26)</f>
        <v>186.26</v>
      </c>
      <c r="E1556" s="1">
        <f ca="1">IFERROR(__xludf.DUMMYFUNCTION("""COMPUTED_VALUE"""),187.67)</f>
        <v>187.67</v>
      </c>
      <c r="F1556" s="1">
        <f ca="1">IFERROR(__xludf.DUMMYFUNCTION("""COMPUTED_VALUE"""),51786958)</f>
        <v>51786958</v>
      </c>
    </row>
    <row r="1557" spans="1:6" x14ac:dyDescent="0.35">
      <c r="A1557" s="2">
        <f ca="1">IFERROR(__xludf.DUMMYFUNCTION("""COMPUTED_VALUE"""),44264.6666666666)</f>
        <v>44264.666666666599</v>
      </c>
      <c r="B1557" s="1">
        <f ca="1">IFERROR(__xludf.DUMMYFUNCTION("""COMPUTED_VALUE"""),202.73)</f>
        <v>202.73</v>
      </c>
      <c r="C1557" s="1">
        <f ca="1">IFERROR(__xludf.DUMMYFUNCTION("""COMPUTED_VALUE"""),226.03)</f>
        <v>226.03</v>
      </c>
      <c r="D1557" s="1">
        <f ca="1">IFERROR(__xludf.DUMMYFUNCTION("""COMPUTED_VALUE"""),198.4)</f>
        <v>198.4</v>
      </c>
      <c r="E1557" s="1">
        <f ca="1">IFERROR(__xludf.DUMMYFUNCTION("""COMPUTED_VALUE"""),224.53)</f>
        <v>224.53</v>
      </c>
      <c r="F1557" s="1">
        <f ca="1">IFERROR(__xludf.DUMMYFUNCTION("""COMPUTED_VALUE"""),67523328)</f>
        <v>67523328</v>
      </c>
    </row>
    <row r="1558" spans="1:6" x14ac:dyDescent="0.35">
      <c r="A1558" s="2">
        <f ca="1">IFERROR(__xludf.DUMMYFUNCTION("""COMPUTED_VALUE"""),44265.6666666666)</f>
        <v>44265.666666666599</v>
      </c>
      <c r="B1558" s="1">
        <f ca="1">IFERROR(__xludf.DUMMYFUNCTION("""COMPUTED_VALUE"""),233.43)</f>
        <v>233.43</v>
      </c>
      <c r="C1558" s="1">
        <f ca="1">IFERROR(__xludf.DUMMYFUNCTION("""COMPUTED_VALUE"""),239.28)</f>
        <v>239.28</v>
      </c>
      <c r="D1558" s="1">
        <f ca="1">IFERROR(__xludf.DUMMYFUNCTION("""COMPUTED_VALUE"""),218.35)</f>
        <v>218.35</v>
      </c>
      <c r="E1558" s="1">
        <f ca="1">IFERROR(__xludf.DUMMYFUNCTION("""COMPUTED_VALUE"""),222.69)</f>
        <v>222.69</v>
      </c>
      <c r="F1558" s="1">
        <f ca="1">IFERROR(__xludf.DUMMYFUNCTION("""COMPUTED_VALUE"""),60605672)</f>
        <v>60605672</v>
      </c>
    </row>
    <row r="1559" spans="1:6" x14ac:dyDescent="0.35">
      <c r="A1559" s="2">
        <f ca="1">IFERROR(__xludf.DUMMYFUNCTION("""COMPUTED_VALUE"""),44266.6666666666)</f>
        <v>44266.666666666599</v>
      </c>
      <c r="B1559" s="1">
        <f ca="1">IFERROR(__xludf.DUMMYFUNCTION("""COMPUTED_VALUE"""),233.13)</f>
        <v>233.13</v>
      </c>
      <c r="C1559" s="1">
        <f ca="1">IFERROR(__xludf.DUMMYFUNCTION("""COMPUTED_VALUE"""),234.17)</f>
        <v>234.17</v>
      </c>
      <c r="D1559" s="1">
        <f ca="1">IFERROR(__xludf.DUMMYFUNCTION("""COMPUTED_VALUE"""),225.73)</f>
        <v>225.73</v>
      </c>
      <c r="E1559" s="1">
        <f ca="1">IFERROR(__xludf.DUMMYFUNCTION("""COMPUTED_VALUE"""),233.2)</f>
        <v>233.2</v>
      </c>
      <c r="F1559" s="1">
        <f ca="1">IFERROR(__xludf.DUMMYFUNCTION("""COMPUTED_VALUE"""),36253892)</f>
        <v>36253892</v>
      </c>
    </row>
    <row r="1560" spans="1:6" x14ac:dyDescent="0.35">
      <c r="A1560" s="2">
        <f ca="1">IFERROR(__xludf.DUMMYFUNCTION("""COMPUTED_VALUE"""),44267.6666666666)</f>
        <v>44267.666666666599</v>
      </c>
      <c r="B1560" s="1">
        <f ca="1">IFERROR(__xludf.DUMMYFUNCTION("""COMPUTED_VALUE"""),223.33)</f>
        <v>223.33</v>
      </c>
      <c r="C1560" s="1">
        <f ca="1">IFERROR(__xludf.DUMMYFUNCTION("""COMPUTED_VALUE"""),231.63)</f>
        <v>231.63</v>
      </c>
      <c r="D1560" s="1">
        <f ca="1">IFERROR(__xludf.DUMMYFUNCTION("""COMPUTED_VALUE"""),222.05)</f>
        <v>222.05</v>
      </c>
      <c r="E1560" s="1">
        <f ca="1">IFERROR(__xludf.DUMMYFUNCTION("""COMPUTED_VALUE"""),231.24)</f>
        <v>231.24</v>
      </c>
      <c r="F1560" s="1">
        <f ca="1">IFERROR(__xludf.DUMMYFUNCTION("""COMPUTED_VALUE"""),33583840)</f>
        <v>33583840</v>
      </c>
    </row>
    <row r="1561" spans="1:6" x14ac:dyDescent="0.35">
      <c r="A1561" s="2">
        <f ca="1">IFERROR(__xludf.DUMMYFUNCTION("""COMPUTED_VALUE"""),44270.6666666666)</f>
        <v>44270.666666666599</v>
      </c>
      <c r="B1561" s="1">
        <f ca="1">IFERROR(__xludf.DUMMYFUNCTION("""COMPUTED_VALUE"""),231.36)</f>
        <v>231.36</v>
      </c>
      <c r="C1561" s="1">
        <f ca="1">IFERROR(__xludf.DUMMYFUNCTION("""COMPUTED_VALUE"""),237.73)</f>
        <v>237.73</v>
      </c>
      <c r="D1561" s="1">
        <f ca="1">IFERROR(__xludf.DUMMYFUNCTION("""COMPUTED_VALUE"""),228.01)</f>
        <v>228.01</v>
      </c>
      <c r="E1561" s="1">
        <f ca="1">IFERROR(__xludf.DUMMYFUNCTION("""COMPUTED_VALUE"""),235.98)</f>
        <v>235.98</v>
      </c>
      <c r="F1561" s="1">
        <f ca="1">IFERROR(__xludf.DUMMYFUNCTION("""COMPUTED_VALUE"""),29423479)</f>
        <v>29423479</v>
      </c>
    </row>
    <row r="1562" spans="1:6" x14ac:dyDescent="0.35">
      <c r="A1562" s="2">
        <f ca="1">IFERROR(__xludf.DUMMYFUNCTION("""COMPUTED_VALUE"""),44271.6666666666)</f>
        <v>44271.666666666599</v>
      </c>
      <c r="B1562" s="1">
        <f ca="1">IFERROR(__xludf.DUMMYFUNCTION("""COMPUTED_VALUE"""),234.45)</f>
        <v>234.45</v>
      </c>
      <c r="C1562" s="1">
        <f ca="1">IFERROR(__xludf.DUMMYFUNCTION("""COMPUTED_VALUE"""),235.97)</f>
        <v>235.97</v>
      </c>
      <c r="D1562" s="1">
        <f ca="1">IFERROR(__xludf.DUMMYFUNCTION("""COMPUTED_VALUE"""),223.67)</f>
        <v>223.67</v>
      </c>
      <c r="E1562" s="1">
        <f ca="1">IFERROR(__xludf.DUMMYFUNCTION("""COMPUTED_VALUE"""),225.63)</f>
        <v>225.63</v>
      </c>
      <c r="F1562" s="1">
        <f ca="1">IFERROR(__xludf.DUMMYFUNCTION("""COMPUTED_VALUE"""),32195672)</f>
        <v>32195672</v>
      </c>
    </row>
    <row r="1563" spans="1:6" x14ac:dyDescent="0.35">
      <c r="A1563" s="2">
        <f ca="1">IFERROR(__xludf.DUMMYFUNCTION("""COMPUTED_VALUE"""),44272.6666666666)</f>
        <v>44272.666666666599</v>
      </c>
      <c r="B1563" s="1">
        <f ca="1">IFERROR(__xludf.DUMMYFUNCTION("""COMPUTED_VALUE"""),218.96)</f>
        <v>218.96</v>
      </c>
      <c r="C1563" s="1">
        <f ca="1">IFERROR(__xludf.DUMMYFUNCTION("""COMPUTED_VALUE"""),234.58)</f>
        <v>234.58</v>
      </c>
      <c r="D1563" s="1">
        <f ca="1">IFERROR(__xludf.DUMMYFUNCTION("""COMPUTED_VALUE"""),217)</f>
        <v>217</v>
      </c>
      <c r="E1563" s="1">
        <f ca="1">IFERROR(__xludf.DUMMYFUNCTION("""COMPUTED_VALUE"""),233.94)</f>
        <v>233.94</v>
      </c>
      <c r="F1563" s="1">
        <f ca="1">IFERROR(__xludf.DUMMYFUNCTION("""COMPUTED_VALUE"""),40372453)</f>
        <v>40372453</v>
      </c>
    </row>
    <row r="1564" spans="1:6" x14ac:dyDescent="0.35">
      <c r="A1564" s="2">
        <f ca="1">IFERROR(__xludf.DUMMYFUNCTION("""COMPUTED_VALUE"""),44273.6666666666)</f>
        <v>44273.666666666599</v>
      </c>
      <c r="B1564" s="1">
        <f ca="1">IFERROR(__xludf.DUMMYFUNCTION("""COMPUTED_VALUE"""),228.1)</f>
        <v>228.1</v>
      </c>
      <c r="C1564" s="1">
        <f ca="1">IFERROR(__xludf.DUMMYFUNCTION("""COMPUTED_VALUE"""),229.74)</f>
        <v>229.74</v>
      </c>
      <c r="D1564" s="1">
        <f ca="1">IFERROR(__xludf.DUMMYFUNCTION("""COMPUTED_VALUE"""),217.33)</f>
        <v>217.33</v>
      </c>
      <c r="E1564" s="1">
        <f ca="1">IFERROR(__xludf.DUMMYFUNCTION("""COMPUTED_VALUE"""),217.72)</f>
        <v>217.72</v>
      </c>
      <c r="F1564" s="1">
        <f ca="1">IFERROR(__xludf.DUMMYFUNCTION("""COMPUTED_VALUE"""),33369022)</f>
        <v>33369022</v>
      </c>
    </row>
    <row r="1565" spans="1:6" x14ac:dyDescent="0.35">
      <c r="A1565" s="2">
        <f ca="1">IFERROR(__xludf.DUMMYFUNCTION("""COMPUTED_VALUE"""),44274.6666666666)</f>
        <v>44274.666666666599</v>
      </c>
      <c r="B1565" s="1">
        <f ca="1">IFERROR(__xludf.DUMMYFUNCTION("""COMPUTED_VALUE"""),215.53)</f>
        <v>215.53</v>
      </c>
      <c r="C1565" s="1">
        <f ca="1">IFERROR(__xludf.DUMMYFUNCTION("""COMPUTED_VALUE"""),219.08)</f>
        <v>219.08</v>
      </c>
      <c r="D1565" s="1">
        <f ca="1">IFERROR(__xludf.DUMMYFUNCTION("""COMPUTED_VALUE"""),208.21)</f>
        <v>208.21</v>
      </c>
      <c r="E1565" s="1">
        <f ca="1">IFERROR(__xludf.DUMMYFUNCTION("""COMPUTED_VALUE"""),218.29)</f>
        <v>218.29</v>
      </c>
      <c r="F1565" s="1">
        <f ca="1">IFERROR(__xludf.DUMMYFUNCTION("""COMPUTED_VALUE"""),42893978)</f>
        <v>42893978</v>
      </c>
    </row>
    <row r="1566" spans="1:6" x14ac:dyDescent="0.35">
      <c r="A1566" s="2">
        <f ca="1">IFERROR(__xludf.DUMMYFUNCTION("""COMPUTED_VALUE"""),44277.6666666666)</f>
        <v>44277.666666666599</v>
      </c>
      <c r="B1566" s="1">
        <f ca="1">IFERROR(__xludf.DUMMYFUNCTION("""COMPUTED_VALUE"""),228.2)</f>
        <v>228.2</v>
      </c>
      <c r="C1566" s="1">
        <f ca="1">IFERROR(__xludf.DUMMYFUNCTION("""COMPUTED_VALUE"""),233.21)</f>
        <v>233.21</v>
      </c>
      <c r="D1566" s="1">
        <f ca="1">IFERROR(__xludf.DUMMYFUNCTION("""COMPUTED_VALUE"""),222.92)</f>
        <v>222.92</v>
      </c>
      <c r="E1566" s="1">
        <f ca="1">IFERROR(__xludf.DUMMYFUNCTION("""COMPUTED_VALUE"""),223.33)</f>
        <v>223.33</v>
      </c>
      <c r="F1566" s="1">
        <f ca="1">IFERROR(__xludf.DUMMYFUNCTION("""COMPUTED_VALUE"""),39512221)</f>
        <v>39512221</v>
      </c>
    </row>
    <row r="1567" spans="1:6" x14ac:dyDescent="0.35">
      <c r="A1567" s="2">
        <f ca="1">IFERROR(__xludf.DUMMYFUNCTION("""COMPUTED_VALUE"""),44278.6666666666)</f>
        <v>44278.666666666599</v>
      </c>
      <c r="B1567" s="1">
        <f ca="1">IFERROR(__xludf.DUMMYFUNCTION("""COMPUTED_VALUE"""),225.26)</f>
        <v>225.26</v>
      </c>
      <c r="C1567" s="1">
        <f ca="1">IFERROR(__xludf.DUMMYFUNCTION("""COMPUTED_VALUE"""),225.93)</f>
        <v>225.93</v>
      </c>
      <c r="D1567" s="1">
        <f ca="1">IFERROR(__xludf.DUMMYFUNCTION("""COMPUTED_VALUE"""),219.17)</f>
        <v>219.17</v>
      </c>
      <c r="E1567" s="1">
        <f ca="1">IFERROR(__xludf.DUMMYFUNCTION("""COMPUTED_VALUE"""),220.72)</f>
        <v>220.72</v>
      </c>
      <c r="F1567" s="1">
        <f ca="1">IFERROR(__xludf.DUMMYFUNCTION("""COMPUTED_VALUE"""),30491870)</f>
        <v>30491870</v>
      </c>
    </row>
    <row r="1568" spans="1:6" x14ac:dyDescent="0.35">
      <c r="A1568" s="2">
        <f ca="1">IFERROR(__xludf.DUMMYFUNCTION("""COMPUTED_VALUE"""),44279.6666666666)</f>
        <v>44279.666666666599</v>
      </c>
      <c r="B1568" s="1">
        <f ca="1">IFERROR(__xludf.DUMMYFUNCTION("""COMPUTED_VALUE"""),222.64)</f>
        <v>222.64</v>
      </c>
      <c r="C1568" s="1">
        <f ca="1">IFERROR(__xludf.DUMMYFUNCTION("""COMPUTED_VALUE"""),222.67)</f>
        <v>222.67</v>
      </c>
      <c r="D1568" s="1">
        <f ca="1">IFERROR(__xludf.DUMMYFUNCTION("""COMPUTED_VALUE"""),210.04)</f>
        <v>210.04</v>
      </c>
      <c r="E1568" s="1">
        <f ca="1">IFERROR(__xludf.DUMMYFUNCTION("""COMPUTED_VALUE"""),210.09)</f>
        <v>210.09</v>
      </c>
      <c r="F1568" s="1">
        <f ca="1">IFERROR(__xludf.DUMMYFUNCTION("""COMPUTED_VALUE"""),33795174)</f>
        <v>33795174</v>
      </c>
    </row>
    <row r="1569" spans="1:6" x14ac:dyDescent="0.35">
      <c r="A1569" s="2">
        <f ca="1">IFERROR(__xludf.DUMMYFUNCTION("""COMPUTED_VALUE"""),44280.6666666666)</f>
        <v>44280.666666666599</v>
      </c>
      <c r="B1569" s="1">
        <f ca="1">IFERROR(__xludf.DUMMYFUNCTION("""COMPUTED_VALUE"""),204.33)</f>
        <v>204.33</v>
      </c>
      <c r="C1569" s="1">
        <f ca="1">IFERROR(__xludf.DUMMYFUNCTION("""COMPUTED_VALUE"""),215.17)</f>
        <v>215.17</v>
      </c>
      <c r="D1569" s="1">
        <f ca="1">IFERROR(__xludf.DUMMYFUNCTION("""COMPUTED_VALUE"""),203.17)</f>
        <v>203.17</v>
      </c>
      <c r="E1569" s="1">
        <f ca="1">IFERROR(__xludf.DUMMYFUNCTION("""COMPUTED_VALUE"""),213.46)</f>
        <v>213.46</v>
      </c>
      <c r="F1569" s="1">
        <f ca="1">IFERROR(__xludf.DUMMYFUNCTION("""COMPUTED_VALUE"""),39224850)</f>
        <v>39224850</v>
      </c>
    </row>
    <row r="1570" spans="1:6" x14ac:dyDescent="0.35">
      <c r="A1570" s="2">
        <f ca="1">IFERROR(__xludf.DUMMYFUNCTION("""COMPUTED_VALUE"""),44281.6666666666)</f>
        <v>44281.666666666599</v>
      </c>
      <c r="B1570" s="1">
        <f ca="1">IFERROR(__xludf.DUMMYFUNCTION("""COMPUTED_VALUE"""),213.96)</f>
        <v>213.96</v>
      </c>
      <c r="C1570" s="1">
        <f ca="1">IFERROR(__xludf.DUMMYFUNCTION("""COMPUTED_VALUE"""),214.61)</f>
        <v>214.61</v>
      </c>
      <c r="D1570" s="1">
        <f ca="1">IFERROR(__xludf.DUMMYFUNCTION("""COMPUTED_VALUE"""),199.96)</f>
        <v>199.96</v>
      </c>
      <c r="E1570" s="1">
        <f ca="1">IFERROR(__xludf.DUMMYFUNCTION("""COMPUTED_VALUE"""),206.24)</f>
        <v>206.24</v>
      </c>
      <c r="F1570" s="1">
        <f ca="1">IFERROR(__xludf.DUMMYFUNCTION("""COMPUTED_VALUE"""),33852827)</f>
        <v>33852827</v>
      </c>
    </row>
    <row r="1571" spans="1:6" x14ac:dyDescent="0.35">
      <c r="A1571" s="2">
        <f ca="1">IFERROR(__xludf.DUMMYFUNCTION("""COMPUTED_VALUE"""),44284.6666666666)</f>
        <v>44284.666666666599</v>
      </c>
      <c r="B1571" s="1">
        <f ca="1">IFERROR(__xludf.DUMMYFUNCTION("""COMPUTED_VALUE"""),205.21)</f>
        <v>205.21</v>
      </c>
      <c r="C1571" s="1">
        <f ca="1">IFERROR(__xludf.DUMMYFUNCTION("""COMPUTED_VALUE"""),205.49)</f>
        <v>205.49</v>
      </c>
      <c r="D1571" s="1">
        <f ca="1">IFERROR(__xludf.DUMMYFUNCTION("""COMPUTED_VALUE"""),198.67)</f>
        <v>198.67</v>
      </c>
      <c r="E1571" s="1">
        <f ca="1">IFERROR(__xludf.DUMMYFUNCTION("""COMPUTED_VALUE"""),203.76)</f>
        <v>203.76</v>
      </c>
      <c r="F1571" s="1">
        <f ca="1">IFERROR(__xludf.DUMMYFUNCTION("""COMPUTED_VALUE"""),28636985)</f>
        <v>28636985</v>
      </c>
    </row>
    <row r="1572" spans="1:6" x14ac:dyDescent="0.35">
      <c r="A1572" s="2">
        <f ca="1">IFERROR(__xludf.DUMMYFUNCTION("""COMPUTED_VALUE"""),44285.6666666666)</f>
        <v>44285.666666666599</v>
      </c>
      <c r="B1572" s="1">
        <f ca="1">IFERROR(__xludf.DUMMYFUNCTION("""COMPUTED_VALUE"""),200.58)</f>
        <v>200.58</v>
      </c>
      <c r="C1572" s="1">
        <f ca="1">IFERROR(__xludf.DUMMYFUNCTION("""COMPUTED_VALUE"""),212.55)</f>
        <v>212.55</v>
      </c>
      <c r="D1572" s="1">
        <f ca="1">IFERROR(__xludf.DUMMYFUNCTION("""COMPUTED_VALUE"""),197)</f>
        <v>197</v>
      </c>
      <c r="E1572" s="1">
        <f ca="1">IFERROR(__xludf.DUMMYFUNCTION("""COMPUTED_VALUE"""),211.87)</f>
        <v>211.87</v>
      </c>
      <c r="F1572" s="1">
        <f ca="1">IFERROR(__xludf.DUMMYFUNCTION("""COMPUTED_VALUE"""),39432359)</f>
        <v>39432359</v>
      </c>
    </row>
    <row r="1573" spans="1:6" x14ac:dyDescent="0.35">
      <c r="A1573" s="2">
        <f ca="1">IFERROR(__xludf.DUMMYFUNCTION("""COMPUTED_VALUE"""),44286.6666666666)</f>
        <v>44286.666666666599</v>
      </c>
      <c r="B1573" s="1">
        <f ca="1">IFERROR(__xludf.DUMMYFUNCTION("""COMPUTED_VALUE"""),215.54)</f>
        <v>215.54</v>
      </c>
      <c r="C1573" s="1">
        <f ca="1">IFERROR(__xludf.DUMMYFUNCTION("""COMPUTED_VALUE"""),224)</f>
        <v>224</v>
      </c>
      <c r="D1573" s="1">
        <f ca="1">IFERROR(__xludf.DUMMYFUNCTION("""COMPUTED_VALUE"""),213.7)</f>
        <v>213.7</v>
      </c>
      <c r="E1573" s="1">
        <f ca="1">IFERROR(__xludf.DUMMYFUNCTION("""COMPUTED_VALUE"""),222.64)</f>
        <v>222.64</v>
      </c>
      <c r="F1573" s="1">
        <f ca="1">IFERROR(__xludf.DUMMYFUNCTION("""COMPUTED_VALUE"""),33337288)</f>
        <v>33337288</v>
      </c>
    </row>
    <row r="1574" spans="1:6" x14ac:dyDescent="0.35">
      <c r="A1574" s="2">
        <f ca="1">IFERROR(__xludf.DUMMYFUNCTION("""COMPUTED_VALUE"""),44287.6666666666)</f>
        <v>44287.666666666599</v>
      </c>
      <c r="B1574" s="1">
        <f ca="1">IFERROR(__xludf.DUMMYFUNCTION("""COMPUTED_VALUE"""),229.46)</f>
        <v>229.46</v>
      </c>
      <c r="C1574" s="1">
        <f ca="1">IFERROR(__xludf.DUMMYFUNCTION("""COMPUTED_VALUE"""),230.81)</f>
        <v>230.81</v>
      </c>
      <c r="D1574" s="1">
        <f ca="1">IFERROR(__xludf.DUMMYFUNCTION("""COMPUTED_VALUE"""),219.81)</f>
        <v>219.81</v>
      </c>
      <c r="E1574" s="1">
        <f ca="1">IFERROR(__xludf.DUMMYFUNCTION("""COMPUTED_VALUE"""),220.58)</f>
        <v>220.58</v>
      </c>
      <c r="F1574" s="1">
        <f ca="1">IFERROR(__xludf.DUMMYFUNCTION("""COMPUTED_VALUE"""),35298378)</f>
        <v>35298378</v>
      </c>
    </row>
    <row r="1575" spans="1:6" x14ac:dyDescent="0.35">
      <c r="A1575" s="2">
        <f ca="1">IFERROR(__xludf.DUMMYFUNCTION("""COMPUTED_VALUE"""),44291.6666666666)</f>
        <v>44291.666666666599</v>
      </c>
      <c r="B1575" s="1">
        <f ca="1">IFERROR(__xludf.DUMMYFUNCTION("""COMPUTED_VALUE"""),235.9)</f>
        <v>235.9</v>
      </c>
      <c r="C1575" s="1">
        <f ca="1">IFERROR(__xludf.DUMMYFUNCTION("""COMPUTED_VALUE"""),236.05)</f>
        <v>236.05</v>
      </c>
      <c r="D1575" s="1">
        <f ca="1">IFERROR(__xludf.DUMMYFUNCTION("""COMPUTED_VALUE"""),228.23)</f>
        <v>228.23</v>
      </c>
      <c r="E1575" s="1">
        <f ca="1">IFERROR(__xludf.DUMMYFUNCTION("""COMPUTED_VALUE"""),230.35)</f>
        <v>230.35</v>
      </c>
      <c r="F1575" s="1">
        <f ca="1">IFERROR(__xludf.DUMMYFUNCTION("""COMPUTED_VALUE"""),41842767)</f>
        <v>41842767</v>
      </c>
    </row>
    <row r="1576" spans="1:6" x14ac:dyDescent="0.35">
      <c r="A1576" s="2">
        <f ca="1">IFERROR(__xludf.DUMMYFUNCTION("""COMPUTED_VALUE"""),44292.6666666666)</f>
        <v>44292.666666666599</v>
      </c>
      <c r="B1576" s="1">
        <f ca="1">IFERROR(__xludf.DUMMYFUNCTION("""COMPUTED_VALUE"""),230.1)</f>
        <v>230.1</v>
      </c>
      <c r="C1576" s="1">
        <f ca="1">IFERROR(__xludf.DUMMYFUNCTION("""COMPUTED_VALUE"""),232.18)</f>
        <v>232.18</v>
      </c>
      <c r="D1576" s="1">
        <f ca="1">IFERROR(__xludf.DUMMYFUNCTION("""COMPUTED_VALUE"""),227.12)</f>
        <v>227.12</v>
      </c>
      <c r="E1576" s="1">
        <f ca="1">IFERROR(__xludf.DUMMYFUNCTION("""COMPUTED_VALUE"""),230.54)</f>
        <v>230.54</v>
      </c>
      <c r="F1576" s="1">
        <f ca="1">IFERROR(__xludf.DUMMYFUNCTION("""COMPUTED_VALUE"""),28271839)</f>
        <v>28271839</v>
      </c>
    </row>
    <row r="1577" spans="1:6" x14ac:dyDescent="0.35">
      <c r="A1577" s="2">
        <f ca="1">IFERROR(__xludf.DUMMYFUNCTION("""COMPUTED_VALUE"""),44293.6666666666)</f>
        <v>44293.666666666599</v>
      </c>
      <c r="B1577" s="1">
        <f ca="1">IFERROR(__xludf.DUMMYFUNCTION("""COMPUTED_VALUE"""),229)</f>
        <v>229</v>
      </c>
      <c r="C1577" s="1">
        <f ca="1">IFERROR(__xludf.DUMMYFUNCTION("""COMPUTED_VALUE"""),230.46)</f>
        <v>230.46</v>
      </c>
      <c r="D1577" s="1">
        <f ca="1">IFERROR(__xludf.DUMMYFUNCTION("""COMPUTED_VALUE"""),222.61)</f>
        <v>222.61</v>
      </c>
      <c r="E1577" s="1">
        <f ca="1">IFERROR(__xludf.DUMMYFUNCTION("""COMPUTED_VALUE"""),223.66)</f>
        <v>223.66</v>
      </c>
      <c r="F1577" s="1">
        <f ca="1">IFERROR(__xludf.DUMMYFUNCTION("""COMPUTED_VALUE"""),26309433)</f>
        <v>26309433</v>
      </c>
    </row>
    <row r="1578" spans="1:6" x14ac:dyDescent="0.35">
      <c r="A1578" s="2">
        <f ca="1">IFERROR(__xludf.DUMMYFUNCTION("""COMPUTED_VALUE"""),44294.6666666666)</f>
        <v>44294.666666666599</v>
      </c>
      <c r="B1578" s="1">
        <f ca="1">IFERROR(__xludf.DUMMYFUNCTION("""COMPUTED_VALUE"""),225.79)</f>
        <v>225.79</v>
      </c>
      <c r="C1578" s="1">
        <f ca="1">IFERROR(__xludf.DUMMYFUNCTION("""COMPUTED_VALUE"""),229.85)</f>
        <v>229.85</v>
      </c>
      <c r="D1578" s="1">
        <f ca="1">IFERROR(__xludf.DUMMYFUNCTION("""COMPUTED_VALUE"""),223.88)</f>
        <v>223.88</v>
      </c>
      <c r="E1578" s="1">
        <f ca="1">IFERROR(__xludf.DUMMYFUNCTION("""COMPUTED_VALUE"""),227.93)</f>
        <v>227.93</v>
      </c>
      <c r="F1578" s="1">
        <f ca="1">IFERROR(__xludf.DUMMYFUNCTION("""COMPUTED_VALUE"""),23924329)</f>
        <v>23924329</v>
      </c>
    </row>
    <row r="1579" spans="1:6" x14ac:dyDescent="0.35">
      <c r="A1579" s="2">
        <f ca="1">IFERROR(__xludf.DUMMYFUNCTION("""COMPUTED_VALUE"""),44295.6666666666)</f>
        <v>44295.666666666599</v>
      </c>
      <c r="B1579" s="1">
        <f ca="1">IFERROR(__xludf.DUMMYFUNCTION("""COMPUTED_VALUE"""),225.92)</f>
        <v>225.92</v>
      </c>
      <c r="C1579" s="1">
        <f ca="1">IFERROR(__xludf.DUMMYFUNCTION("""COMPUTED_VALUE"""),226.99)</f>
        <v>226.99</v>
      </c>
      <c r="D1579" s="1">
        <f ca="1">IFERROR(__xludf.DUMMYFUNCTION("""COMPUTED_VALUE"""),223.14)</f>
        <v>223.14</v>
      </c>
      <c r="E1579" s="1">
        <f ca="1">IFERROR(__xludf.DUMMYFUNCTION("""COMPUTED_VALUE"""),225.67)</f>
        <v>225.67</v>
      </c>
      <c r="F1579" s="1">
        <f ca="1">IFERROR(__xludf.DUMMYFUNCTION("""COMPUTED_VALUE"""),21437087)</f>
        <v>21437087</v>
      </c>
    </row>
    <row r="1580" spans="1:6" x14ac:dyDescent="0.35">
      <c r="A1580" s="2">
        <f ca="1">IFERROR(__xludf.DUMMYFUNCTION("""COMPUTED_VALUE"""),44298.6666666666)</f>
        <v>44298.666666666599</v>
      </c>
      <c r="B1580" s="1">
        <f ca="1">IFERROR(__xludf.DUMMYFUNCTION("""COMPUTED_VALUE"""),228.57)</f>
        <v>228.57</v>
      </c>
      <c r="C1580" s="1">
        <f ca="1">IFERROR(__xludf.DUMMYFUNCTION("""COMPUTED_VALUE"""),234.93)</f>
        <v>234.93</v>
      </c>
      <c r="D1580" s="1">
        <f ca="1">IFERROR(__xludf.DUMMYFUNCTION("""COMPUTED_VALUE"""),227.36)</f>
        <v>227.36</v>
      </c>
      <c r="E1580" s="1">
        <f ca="1">IFERROR(__xludf.DUMMYFUNCTION("""COMPUTED_VALUE"""),233.99)</f>
        <v>233.99</v>
      </c>
      <c r="F1580" s="1">
        <f ca="1">IFERROR(__xludf.DUMMYFUNCTION("""COMPUTED_VALUE"""),29135670)</f>
        <v>29135670</v>
      </c>
    </row>
    <row r="1581" spans="1:6" x14ac:dyDescent="0.35">
      <c r="A1581" s="2">
        <f ca="1">IFERROR(__xludf.DUMMYFUNCTION("""COMPUTED_VALUE"""),44299.6666666666)</f>
        <v>44299.666666666599</v>
      </c>
      <c r="B1581" s="1">
        <f ca="1">IFERROR(__xludf.DUMMYFUNCTION("""COMPUTED_VALUE"""),237.57)</f>
        <v>237.57</v>
      </c>
      <c r="C1581" s="1">
        <f ca="1">IFERROR(__xludf.DUMMYFUNCTION("""COMPUTED_VALUE"""),254.33)</f>
        <v>254.33</v>
      </c>
      <c r="D1581" s="1">
        <f ca="1">IFERROR(__xludf.DUMMYFUNCTION("""COMPUTED_VALUE"""),236.89)</f>
        <v>236.89</v>
      </c>
      <c r="E1581" s="1">
        <f ca="1">IFERROR(__xludf.DUMMYFUNCTION("""COMPUTED_VALUE"""),254.11)</f>
        <v>254.11</v>
      </c>
      <c r="F1581" s="1">
        <f ca="1">IFERROR(__xludf.DUMMYFUNCTION("""COMPUTED_VALUE"""),44652808)</f>
        <v>44652808</v>
      </c>
    </row>
    <row r="1582" spans="1:6" x14ac:dyDescent="0.35">
      <c r="A1582" s="2">
        <f ca="1">IFERROR(__xludf.DUMMYFUNCTION("""COMPUTED_VALUE"""),44300.6666666666)</f>
        <v>44300.666666666599</v>
      </c>
      <c r="B1582" s="1">
        <f ca="1">IFERROR(__xludf.DUMMYFUNCTION("""COMPUTED_VALUE"""),256.9)</f>
        <v>256.89999999999998</v>
      </c>
      <c r="C1582" s="1">
        <f ca="1">IFERROR(__xludf.DUMMYFUNCTION("""COMPUTED_VALUE"""),260.26)</f>
        <v>260.26</v>
      </c>
      <c r="D1582" s="1">
        <f ca="1">IFERROR(__xludf.DUMMYFUNCTION("""COMPUTED_VALUE"""),242.68)</f>
        <v>242.68</v>
      </c>
      <c r="E1582" s="1">
        <f ca="1">IFERROR(__xludf.DUMMYFUNCTION("""COMPUTED_VALUE"""),244.08)</f>
        <v>244.08</v>
      </c>
      <c r="F1582" s="1">
        <f ca="1">IFERROR(__xludf.DUMMYFUNCTION("""COMPUTED_VALUE"""),49017434)</f>
        <v>49017434</v>
      </c>
    </row>
    <row r="1583" spans="1:6" x14ac:dyDescent="0.35">
      <c r="A1583" s="2">
        <f ca="1">IFERROR(__xludf.DUMMYFUNCTION("""COMPUTED_VALUE"""),44301.6666666666)</f>
        <v>44301.666666666599</v>
      </c>
      <c r="B1583" s="1">
        <f ca="1">IFERROR(__xludf.DUMMYFUNCTION("""COMPUTED_VALUE"""),247.7)</f>
        <v>247.7</v>
      </c>
      <c r="C1583" s="1">
        <f ca="1">IFERROR(__xludf.DUMMYFUNCTION("""COMPUTED_VALUE"""),247.9)</f>
        <v>247.9</v>
      </c>
      <c r="D1583" s="1">
        <f ca="1">IFERROR(__xludf.DUMMYFUNCTION("""COMPUTED_VALUE"""),240.44)</f>
        <v>240.44</v>
      </c>
      <c r="E1583" s="1">
        <f ca="1">IFERROR(__xludf.DUMMYFUNCTION("""COMPUTED_VALUE"""),246.28)</f>
        <v>246.28</v>
      </c>
      <c r="F1583" s="1">
        <f ca="1">IFERROR(__xludf.DUMMYFUNCTION("""COMPUTED_VALUE"""),27848900)</f>
        <v>27848900</v>
      </c>
    </row>
    <row r="1584" spans="1:6" x14ac:dyDescent="0.35">
      <c r="A1584" s="2">
        <f ca="1">IFERROR(__xludf.DUMMYFUNCTION("""COMPUTED_VALUE"""),44302.6666666666)</f>
        <v>44302.666666666599</v>
      </c>
      <c r="B1584" s="1">
        <f ca="1">IFERROR(__xludf.DUMMYFUNCTION("""COMPUTED_VALUE"""),242.88)</f>
        <v>242.88</v>
      </c>
      <c r="C1584" s="1">
        <f ca="1">IFERROR(__xludf.DUMMYFUNCTION("""COMPUTED_VALUE"""),249.8)</f>
        <v>249.8</v>
      </c>
      <c r="D1584" s="1">
        <f ca="1">IFERROR(__xludf.DUMMYFUNCTION("""COMPUTED_VALUE"""),241.53)</f>
        <v>241.53</v>
      </c>
      <c r="E1584" s="1">
        <f ca="1">IFERROR(__xludf.DUMMYFUNCTION("""COMPUTED_VALUE"""),246.59)</f>
        <v>246.59</v>
      </c>
      <c r="F1584" s="1">
        <f ca="1">IFERROR(__xludf.DUMMYFUNCTION("""COMPUTED_VALUE"""),27979526)</f>
        <v>27979526</v>
      </c>
    </row>
    <row r="1585" spans="1:6" x14ac:dyDescent="0.35">
      <c r="A1585" s="2">
        <f ca="1">IFERROR(__xludf.DUMMYFUNCTION("""COMPUTED_VALUE"""),44305.6666666666)</f>
        <v>44305.666666666599</v>
      </c>
      <c r="B1585" s="1">
        <f ca="1">IFERROR(__xludf.DUMMYFUNCTION("""COMPUTED_VALUE"""),239.87)</f>
        <v>239.87</v>
      </c>
      <c r="C1585" s="1">
        <f ca="1">IFERROR(__xludf.DUMMYFUNCTION("""COMPUTED_VALUE"""),241.8)</f>
        <v>241.8</v>
      </c>
      <c r="D1585" s="1">
        <f ca="1">IFERROR(__xludf.DUMMYFUNCTION("""COMPUTED_VALUE"""),230.6)</f>
        <v>230.6</v>
      </c>
      <c r="E1585" s="1">
        <f ca="1">IFERROR(__xludf.DUMMYFUNCTION("""COMPUTED_VALUE"""),238.21)</f>
        <v>238.21</v>
      </c>
      <c r="F1585" s="1">
        <f ca="1">IFERROR(__xludf.DUMMYFUNCTION("""COMPUTED_VALUE"""),39686226)</f>
        <v>39686226</v>
      </c>
    </row>
    <row r="1586" spans="1:6" x14ac:dyDescent="0.35">
      <c r="A1586" s="2">
        <f ca="1">IFERROR(__xludf.DUMMYFUNCTION("""COMPUTED_VALUE"""),44306.6666666666)</f>
        <v>44306.666666666599</v>
      </c>
      <c r="B1586" s="1">
        <f ca="1">IFERROR(__xludf.DUMMYFUNCTION("""COMPUTED_VALUE"""),239.14)</f>
        <v>239.14</v>
      </c>
      <c r="C1586" s="1">
        <f ca="1">IFERROR(__xludf.DUMMYFUNCTION("""COMPUTED_VALUE"""),245.75)</f>
        <v>245.75</v>
      </c>
      <c r="D1586" s="1">
        <f ca="1">IFERROR(__xludf.DUMMYFUNCTION("""COMPUTED_VALUE"""),236.9)</f>
        <v>236.9</v>
      </c>
      <c r="E1586" s="1">
        <f ca="1">IFERROR(__xludf.DUMMYFUNCTION("""COMPUTED_VALUE"""),239.66)</f>
        <v>239.66</v>
      </c>
      <c r="F1586" s="1">
        <f ca="1">IFERROR(__xludf.DUMMYFUNCTION("""COMPUTED_VALUE"""),35609038)</f>
        <v>35609038</v>
      </c>
    </row>
    <row r="1587" spans="1:6" x14ac:dyDescent="0.35">
      <c r="A1587" s="2">
        <f ca="1">IFERROR(__xludf.DUMMYFUNCTION("""COMPUTED_VALUE"""),44307.6666666666)</f>
        <v>44307.666666666599</v>
      </c>
      <c r="B1587" s="1">
        <f ca="1">IFERROR(__xludf.DUMMYFUNCTION("""COMPUTED_VALUE"""),234.92)</f>
        <v>234.92</v>
      </c>
      <c r="C1587" s="1">
        <f ca="1">IFERROR(__xludf.DUMMYFUNCTION("""COMPUTED_VALUE"""),248.28)</f>
        <v>248.28</v>
      </c>
      <c r="D1587" s="1">
        <f ca="1">IFERROR(__xludf.DUMMYFUNCTION("""COMPUTED_VALUE"""),232.67)</f>
        <v>232.67</v>
      </c>
      <c r="E1587" s="1">
        <f ca="1">IFERROR(__xludf.DUMMYFUNCTION("""COMPUTED_VALUE"""),248.04)</f>
        <v>248.04</v>
      </c>
      <c r="F1587" s="1">
        <f ca="1">IFERROR(__xludf.DUMMYFUNCTION("""COMPUTED_VALUE"""),31215514)</f>
        <v>31215514</v>
      </c>
    </row>
    <row r="1588" spans="1:6" x14ac:dyDescent="0.35">
      <c r="A1588" s="2">
        <f ca="1">IFERROR(__xludf.DUMMYFUNCTION("""COMPUTED_VALUE"""),44308.6666666666)</f>
        <v>44308.666666666599</v>
      </c>
      <c r="B1588" s="1">
        <f ca="1">IFERROR(__xludf.DUMMYFUNCTION("""COMPUTED_VALUE"""),247.17)</f>
        <v>247.17</v>
      </c>
      <c r="C1588" s="1">
        <f ca="1">IFERROR(__xludf.DUMMYFUNCTION("""COMPUTED_VALUE"""),251.26)</f>
        <v>251.26</v>
      </c>
      <c r="D1588" s="1">
        <f ca="1">IFERROR(__xludf.DUMMYFUNCTION("""COMPUTED_VALUE"""),239.35)</f>
        <v>239.35</v>
      </c>
      <c r="E1588" s="1">
        <f ca="1">IFERROR(__xludf.DUMMYFUNCTION("""COMPUTED_VALUE"""),239.9)</f>
        <v>239.9</v>
      </c>
      <c r="F1588" s="1">
        <f ca="1">IFERROR(__xludf.DUMMYFUNCTION("""COMPUTED_VALUE"""),35590255)</f>
        <v>35590255</v>
      </c>
    </row>
    <row r="1589" spans="1:6" x14ac:dyDescent="0.35">
      <c r="A1589" s="2">
        <f ca="1">IFERROR(__xludf.DUMMYFUNCTION("""COMPUTED_VALUE"""),44309.6666666666)</f>
        <v>44309.666666666599</v>
      </c>
      <c r="B1589" s="1">
        <f ca="1">IFERROR(__xludf.DUMMYFUNCTION("""COMPUTED_VALUE"""),239.93)</f>
        <v>239.93</v>
      </c>
      <c r="C1589" s="1">
        <f ca="1">IFERROR(__xludf.DUMMYFUNCTION("""COMPUTED_VALUE"""),245.79)</f>
        <v>245.79</v>
      </c>
      <c r="D1589" s="1">
        <f ca="1">IFERROR(__xludf.DUMMYFUNCTION("""COMPUTED_VALUE"""),238.49)</f>
        <v>238.49</v>
      </c>
      <c r="E1589" s="1">
        <f ca="1">IFERROR(__xludf.DUMMYFUNCTION("""COMPUTED_VALUE"""),243.13)</f>
        <v>243.13</v>
      </c>
      <c r="F1589" s="1">
        <f ca="1">IFERROR(__xludf.DUMMYFUNCTION("""COMPUTED_VALUE"""),28413889)</f>
        <v>28413889</v>
      </c>
    </row>
    <row r="1590" spans="1:6" x14ac:dyDescent="0.35">
      <c r="A1590" s="2">
        <f ca="1">IFERROR(__xludf.DUMMYFUNCTION("""COMPUTED_VALUE"""),44312.6666666666)</f>
        <v>44312.666666666599</v>
      </c>
      <c r="B1590" s="1">
        <f ca="1">IFERROR(__xludf.DUMMYFUNCTION("""COMPUTED_VALUE"""),247)</f>
        <v>247</v>
      </c>
      <c r="C1590" s="1">
        <f ca="1">IFERROR(__xludf.DUMMYFUNCTION("""COMPUTED_VALUE"""),249.77)</f>
        <v>249.77</v>
      </c>
      <c r="D1590" s="1">
        <f ca="1">IFERROR(__xludf.DUMMYFUNCTION("""COMPUTED_VALUE"""),244.2)</f>
        <v>244.2</v>
      </c>
      <c r="E1590" s="1">
        <f ca="1">IFERROR(__xludf.DUMMYFUNCTION("""COMPUTED_VALUE"""),246.07)</f>
        <v>246.07</v>
      </c>
      <c r="F1590" s="1">
        <f ca="1">IFERROR(__xludf.DUMMYFUNCTION("""COMPUTED_VALUE"""),31038502)</f>
        <v>31038502</v>
      </c>
    </row>
    <row r="1591" spans="1:6" x14ac:dyDescent="0.35">
      <c r="A1591" s="2">
        <f ca="1">IFERROR(__xludf.DUMMYFUNCTION("""COMPUTED_VALUE"""),44313.6666666666)</f>
        <v>44313.666666666599</v>
      </c>
      <c r="B1591" s="1">
        <f ca="1">IFERROR(__xludf.DUMMYFUNCTION("""COMPUTED_VALUE"""),239.32)</f>
        <v>239.32</v>
      </c>
      <c r="C1591" s="1">
        <f ca="1">IFERROR(__xludf.DUMMYFUNCTION("""COMPUTED_VALUE"""),241.33)</f>
        <v>241.33</v>
      </c>
      <c r="D1591" s="1">
        <f ca="1">IFERROR(__xludf.DUMMYFUNCTION("""COMPUTED_VALUE"""),234.45)</f>
        <v>234.45</v>
      </c>
      <c r="E1591" s="1">
        <f ca="1">IFERROR(__xludf.DUMMYFUNCTION("""COMPUTED_VALUE"""),234.91)</f>
        <v>234.91</v>
      </c>
      <c r="F1591" s="1">
        <f ca="1">IFERROR(__xludf.DUMMYFUNCTION("""COMPUTED_VALUE"""),29436995)</f>
        <v>29436995</v>
      </c>
    </row>
    <row r="1592" spans="1:6" x14ac:dyDescent="0.35">
      <c r="A1592" s="2">
        <f ca="1">IFERROR(__xludf.DUMMYFUNCTION("""COMPUTED_VALUE"""),44314.6666666666)</f>
        <v>44314.666666666599</v>
      </c>
      <c r="B1592" s="1">
        <f ca="1">IFERROR(__xludf.DUMMYFUNCTION("""COMPUTED_VALUE"""),232.14)</f>
        <v>232.14</v>
      </c>
      <c r="C1592" s="1">
        <f ca="1">IFERROR(__xludf.DUMMYFUNCTION("""COMPUTED_VALUE"""),236.17)</f>
        <v>236.17</v>
      </c>
      <c r="D1592" s="1">
        <f ca="1">IFERROR(__xludf.DUMMYFUNCTION("""COMPUTED_VALUE"""),231.2)</f>
        <v>231.2</v>
      </c>
      <c r="E1592" s="1">
        <f ca="1">IFERROR(__xludf.DUMMYFUNCTION("""COMPUTED_VALUE"""),231.47)</f>
        <v>231.47</v>
      </c>
      <c r="F1592" s="1">
        <f ca="1">IFERROR(__xludf.DUMMYFUNCTION("""COMPUTED_VALUE"""),22271047)</f>
        <v>22271047</v>
      </c>
    </row>
    <row r="1593" spans="1:6" x14ac:dyDescent="0.35">
      <c r="A1593" s="2">
        <f ca="1">IFERROR(__xludf.DUMMYFUNCTION("""COMPUTED_VALUE"""),44315.6666666666)</f>
        <v>44315.666666666599</v>
      </c>
      <c r="B1593" s="1">
        <f ca="1">IFERROR(__xludf.DUMMYFUNCTION("""COMPUTED_VALUE"""),233.17)</f>
        <v>233.17</v>
      </c>
      <c r="C1593" s="1">
        <f ca="1">IFERROR(__xludf.DUMMYFUNCTION("""COMPUTED_VALUE"""),234.08)</f>
        <v>234.08</v>
      </c>
      <c r="D1593" s="1">
        <f ca="1">IFERROR(__xludf.DUMMYFUNCTION("""COMPUTED_VALUE"""),222.83)</f>
        <v>222.83</v>
      </c>
      <c r="E1593" s="1">
        <f ca="1">IFERROR(__xludf.DUMMYFUNCTION("""COMPUTED_VALUE"""),225.67)</f>
        <v>225.67</v>
      </c>
      <c r="F1593" s="1">
        <f ca="1">IFERROR(__xludf.DUMMYFUNCTION("""COMPUTED_VALUE"""),28845449)</f>
        <v>28845449</v>
      </c>
    </row>
    <row r="1594" spans="1:6" x14ac:dyDescent="0.35">
      <c r="A1594" s="2">
        <f ca="1">IFERROR(__xludf.DUMMYFUNCTION("""COMPUTED_VALUE"""),44316.6666666666)</f>
        <v>44316.666666666599</v>
      </c>
      <c r="B1594" s="1">
        <f ca="1">IFERROR(__xludf.DUMMYFUNCTION("""COMPUTED_VALUE"""),222.53)</f>
        <v>222.53</v>
      </c>
      <c r="C1594" s="1">
        <f ca="1">IFERROR(__xludf.DUMMYFUNCTION("""COMPUTED_VALUE"""),238.49)</f>
        <v>238.49</v>
      </c>
      <c r="D1594" s="1">
        <f ca="1">IFERROR(__xludf.DUMMYFUNCTION("""COMPUTED_VALUE"""),222.05)</f>
        <v>222.05</v>
      </c>
      <c r="E1594" s="1">
        <f ca="1">IFERROR(__xludf.DUMMYFUNCTION("""COMPUTED_VALUE"""),236.48)</f>
        <v>236.48</v>
      </c>
      <c r="F1594" s="1">
        <f ca="1">IFERROR(__xludf.DUMMYFUNCTION("""COMPUTED_VALUE"""),40758722)</f>
        <v>40758722</v>
      </c>
    </row>
    <row r="1595" spans="1:6" x14ac:dyDescent="0.35">
      <c r="A1595" s="2">
        <f ca="1">IFERROR(__xludf.DUMMYFUNCTION("""COMPUTED_VALUE"""),44319.6666666666)</f>
        <v>44319.666666666599</v>
      </c>
      <c r="B1595" s="1">
        <f ca="1">IFERROR(__xludf.DUMMYFUNCTION("""COMPUTED_VALUE"""),234.6)</f>
        <v>234.6</v>
      </c>
      <c r="C1595" s="1">
        <f ca="1">IFERROR(__xludf.DUMMYFUNCTION("""COMPUTED_VALUE"""),235.33)</f>
        <v>235.33</v>
      </c>
      <c r="D1595" s="1">
        <f ca="1">IFERROR(__xludf.DUMMYFUNCTION("""COMPUTED_VALUE"""),226.83)</f>
        <v>226.83</v>
      </c>
      <c r="E1595" s="1">
        <f ca="1">IFERROR(__xludf.DUMMYFUNCTION("""COMPUTED_VALUE"""),228.3)</f>
        <v>228.3</v>
      </c>
      <c r="F1595" s="1">
        <f ca="1">IFERROR(__xludf.DUMMYFUNCTION("""COMPUTED_VALUE"""),27043143)</f>
        <v>27043143</v>
      </c>
    </row>
    <row r="1596" spans="1:6" x14ac:dyDescent="0.35">
      <c r="A1596" s="2">
        <f ca="1">IFERROR(__xludf.DUMMYFUNCTION("""COMPUTED_VALUE"""),44320.6666666666)</f>
        <v>44320.666666666599</v>
      </c>
      <c r="B1596" s="1">
        <f ca="1">IFERROR(__xludf.DUMMYFUNCTION("""COMPUTED_VALUE"""),226.31)</f>
        <v>226.31</v>
      </c>
      <c r="C1596" s="1">
        <f ca="1">IFERROR(__xludf.DUMMYFUNCTION("""COMPUTED_VALUE"""),227.82)</f>
        <v>227.82</v>
      </c>
      <c r="D1596" s="1">
        <f ca="1">IFERROR(__xludf.DUMMYFUNCTION("""COMPUTED_VALUE"""),219.23)</f>
        <v>219.23</v>
      </c>
      <c r="E1596" s="1">
        <f ca="1">IFERROR(__xludf.DUMMYFUNCTION("""COMPUTED_VALUE"""),224.53)</f>
        <v>224.53</v>
      </c>
      <c r="F1596" s="1">
        <f ca="1">IFERROR(__xludf.DUMMYFUNCTION("""COMPUTED_VALUE"""),29739319)</f>
        <v>29739319</v>
      </c>
    </row>
    <row r="1597" spans="1:6" x14ac:dyDescent="0.35">
      <c r="A1597" s="2">
        <f ca="1">IFERROR(__xludf.DUMMYFUNCTION("""COMPUTED_VALUE"""),44321.6666666666)</f>
        <v>44321.666666666599</v>
      </c>
      <c r="B1597" s="1">
        <f ca="1">IFERROR(__xludf.DUMMYFUNCTION("""COMPUTED_VALUE"""),227.02)</f>
        <v>227.02</v>
      </c>
      <c r="C1597" s="1">
        <f ca="1">IFERROR(__xludf.DUMMYFUNCTION("""COMPUTED_VALUE"""),228.43)</f>
        <v>228.43</v>
      </c>
      <c r="D1597" s="1">
        <f ca="1">IFERROR(__xludf.DUMMYFUNCTION("""COMPUTED_VALUE"""),222.45)</f>
        <v>222.45</v>
      </c>
      <c r="E1597" s="1">
        <f ca="1">IFERROR(__xludf.DUMMYFUNCTION("""COMPUTED_VALUE"""),223.65)</f>
        <v>223.65</v>
      </c>
      <c r="F1597" s="1">
        <f ca="1">IFERROR(__xludf.DUMMYFUNCTION("""COMPUTED_VALUE"""),21901894)</f>
        <v>21901894</v>
      </c>
    </row>
    <row r="1598" spans="1:6" x14ac:dyDescent="0.35">
      <c r="A1598" s="2">
        <f ca="1">IFERROR(__xludf.DUMMYFUNCTION("""COMPUTED_VALUE"""),44322.6666666666)</f>
        <v>44322.666666666599</v>
      </c>
      <c r="B1598" s="1">
        <f ca="1">IFERROR(__xludf.DUMMYFUNCTION("""COMPUTED_VALUE"""),226.92)</f>
        <v>226.92</v>
      </c>
      <c r="C1598" s="1">
        <f ca="1">IFERROR(__xludf.DUMMYFUNCTION("""COMPUTED_VALUE"""),227.01)</f>
        <v>227.01</v>
      </c>
      <c r="D1598" s="1">
        <f ca="1">IFERROR(__xludf.DUMMYFUNCTION("""COMPUTED_VALUE"""),216.67)</f>
        <v>216.67</v>
      </c>
      <c r="E1598" s="1">
        <f ca="1">IFERROR(__xludf.DUMMYFUNCTION("""COMPUTED_VALUE"""),221.18)</f>
        <v>221.18</v>
      </c>
      <c r="F1598" s="1">
        <f ca="1">IFERROR(__xludf.DUMMYFUNCTION("""COMPUTED_VALUE"""),27784619)</f>
        <v>27784619</v>
      </c>
    </row>
    <row r="1599" spans="1:6" x14ac:dyDescent="0.35">
      <c r="A1599" s="2">
        <f ca="1">IFERROR(__xludf.DUMMYFUNCTION("""COMPUTED_VALUE"""),44323.6666666666)</f>
        <v>44323.666666666599</v>
      </c>
      <c r="B1599" s="1">
        <f ca="1">IFERROR(__xludf.DUMMYFUNCTION("""COMPUTED_VALUE"""),221.93)</f>
        <v>221.93</v>
      </c>
      <c r="C1599" s="1">
        <f ca="1">IFERROR(__xludf.DUMMYFUNCTION("""COMPUTED_VALUE"""),230)</f>
        <v>230</v>
      </c>
      <c r="D1599" s="1">
        <f ca="1">IFERROR(__xludf.DUMMYFUNCTION("""COMPUTED_VALUE"""),220.07)</f>
        <v>220.07</v>
      </c>
      <c r="E1599" s="1">
        <f ca="1">IFERROR(__xludf.DUMMYFUNCTION("""COMPUTED_VALUE"""),224.12)</f>
        <v>224.12</v>
      </c>
      <c r="F1599" s="1">
        <f ca="1">IFERROR(__xludf.DUMMYFUNCTION("""COMPUTED_VALUE"""),23469172)</f>
        <v>23469172</v>
      </c>
    </row>
    <row r="1600" spans="1:6" x14ac:dyDescent="0.35">
      <c r="A1600" s="2">
        <f ca="1">IFERROR(__xludf.DUMMYFUNCTION("""COMPUTED_VALUE"""),44326.6666666666)</f>
        <v>44326.666666666599</v>
      </c>
      <c r="B1600" s="1">
        <f ca="1">IFERROR(__xludf.DUMMYFUNCTION("""COMPUTED_VALUE"""),221.63)</f>
        <v>221.63</v>
      </c>
      <c r="C1600" s="1">
        <f ca="1">IFERROR(__xludf.DUMMYFUNCTION("""COMPUTED_VALUE"""),221.68)</f>
        <v>221.68</v>
      </c>
      <c r="D1600" s="1">
        <f ca="1">IFERROR(__xludf.DUMMYFUNCTION("""COMPUTED_VALUE"""),209.2)</f>
        <v>209.2</v>
      </c>
      <c r="E1600" s="1">
        <f ca="1">IFERROR(__xludf.DUMMYFUNCTION("""COMPUTED_VALUE"""),209.68)</f>
        <v>209.68</v>
      </c>
      <c r="F1600" s="1">
        <f ca="1">IFERROR(__xludf.DUMMYFUNCTION("""COMPUTED_VALUE"""),31392417)</f>
        <v>31392417</v>
      </c>
    </row>
    <row r="1601" spans="1:6" x14ac:dyDescent="0.35">
      <c r="A1601" s="2">
        <f ca="1">IFERROR(__xludf.DUMMYFUNCTION("""COMPUTED_VALUE"""),44327.6666666666)</f>
        <v>44327.666666666599</v>
      </c>
      <c r="B1601" s="1">
        <f ca="1">IFERROR(__xludf.DUMMYFUNCTION("""COMPUTED_VALUE"""),199.75)</f>
        <v>199.75</v>
      </c>
      <c r="C1601" s="1">
        <f ca="1">IFERROR(__xludf.DUMMYFUNCTION("""COMPUTED_VALUE"""),209.03)</f>
        <v>209.03</v>
      </c>
      <c r="D1601" s="1">
        <f ca="1">IFERROR(__xludf.DUMMYFUNCTION("""COMPUTED_VALUE"""),198.53)</f>
        <v>198.53</v>
      </c>
      <c r="E1601" s="1">
        <f ca="1">IFERROR(__xludf.DUMMYFUNCTION("""COMPUTED_VALUE"""),205.73)</f>
        <v>205.73</v>
      </c>
      <c r="F1601" s="1">
        <f ca="1">IFERROR(__xludf.DUMMYFUNCTION("""COMPUTED_VALUE"""),46503896)</f>
        <v>46503896</v>
      </c>
    </row>
    <row r="1602" spans="1:6" x14ac:dyDescent="0.35">
      <c r="A1602" s="2">
        <f ca="1">IFERROR(__xludf.DUMMYFUNCTION("""COMPUTED_VALUE"""),44328.6666666666)</f>
        <v>44328.666666666599</v>
      </c>
      <c r="B1602" s="1">
        <f ca="1">IFERROR(__xludf.DUMMYFUNCTION("""COMPUTED_VALUE"""),200.83)</f>
        <v>200.83</v>
      </c>
      <c r="C1602" s="1">
        <f ca="1">IFERROR(__xludf.DUMMYFUNCTION("""COMPUTED_VALUE"""),206.8)</f>
        <v>206.8</v>
      </c>
      <c r="D1602" s="1">
        <f ca="1">IFERROR(__xludf.DUMMYFUNCTION("""COMPUTED_VALUE"""),195.59)</f>
        <v>195.59</v>
      </c>
      <c r="E1602" s="1">
        <f ca="1">IFERROR(__xludf.DUMMYFUNCTION("""COMPUTED_VALUE"""),196.63)</f>
        <v>196.63</v>
      </c>
      <c r="F1602" s="1">
        <f ca="1">IFERROR(__xludf.DUMMYFUNCTION("""COMPUTED_VALUE"""),33823646)</f>
        <v>33823646</v>
      </c>
    </row>
    <row r="1603" spans="1:6" x14ac:dyDescent="0.35">
      <c r="A1603" s="2">
        <f ca="1">IFERROR(__xludf.DUMMYFUNCTION("""COMPUTED_VALUE"""),44329.6666666666)</f>
        <v>44329.666666666599</v>
      </c>
      <c r="B1603" s="1">
        <f ca="1">IFERROR(__xludf.DUMMYFUNCTION("""COMPUTED_VALUE"""),200.52)</f>
        <v>200.52</v>
      </c>
      <c r="C1603" s="1">
        <f ca="1">IFERROR(__xludf.DUMMYFUNCTION("""COMPUTED_VALUE"""),202.15)</f>
        <v>202.15</v>
      </c>
      <c r="D1603" s="1">
        <f ca="1">IFERROR(__xludf.DUMMYFUNCTION("""COMPUTED_VALUE"""),186.55)</f>
        <v>186.55</v>
      </c>
      <c r="E1603" s="1">
        <f ca="1">IFERROR(__xludf.DUMMYFUNCTION("""COMPUTED_VALUE"""),190.56)</f>
        <v>190.56</v>
      </c>
      <c r="F1603" s="1">
        <f ca="1">IFERROR(__xludf.DUMMYFUNCTION("""COMPUTED_VALUE"""),44184916)</f>
        <v>44184916</v>
      </c>
    </row>
    <row r="1604" spans="1:6" x14ac:dyDescent="0.35">
      <c r="A1604" s="2">
        <f ca="1">IFERROR(__xludf.DUMMYFUNCTION("""COMPUTED_VALUE"""),44330.6666666666)</f>
        <v>44330.666666666599</v>
      </c>
      <c r="B1604" s="1">
        <f ca="1">IFERROR(__xludf.DUMMYFUNCTION("""COMPUTED_VALUE"""),194.47)</f>
        <v>194.47</v>
      </c>
      <c r="C1604" s="1">
        <f ca="1">IFERROR(__xludf.DUMMYFUNCTION("""COMPUTED_VALUE"""),197.62)</f>
        <v>197.62</v>
      </c>
      <c r="D1604" s="1">
        <f ca="1">IFERROR(__xludf.DUMMYFUNCTION("""COMPUTED_VALUE"""),190.15)</f>
        <v>190.15</v>
      </c>
      <c r="E1604" s="1">
        <f ca="1">IFERROR(__xludf.DUMMYFUNCTION("""COMPUTED_VALUE"""),196.58)</f>
        <v>196.58</v>
      </c>
      <c r="F1604" s="1">
        <f ca="1">IFERROR(__xludf.DUMMYFUNCTION("""COMPUTED_VALUE"""),33370856)</f>
        <v>33370856</v>
      </c>
    </row>
    <row r="1605" spans="1:6" x14ac:dyDescent="0.35">
      <c r="A1605" s="2">
        <f ca="1">IFERROR(__xludf.DUMMYFUNCTION("""COMPUTED_VALUE"""),44333.6666666666)</f>
        <v>44333.666666666599</v>
      </c>
      <c r="B1605" s="1">
        <f ca="1">IFERROR(__xludf.DUMMYFUNCTION("""COMPUTED_VALUE"""),191.85)</f>
        <v>191.85</v>
      </c>
      <c r="C1605" s="1">
        <f ca="1">IFERROR(__xludf.DUMMYFUNCTION("""COMPUTED_VALUE"""),196.58)</f>
        <v>196.58</v>
      </c>
      <c r="D1605" s="1">
        <f ca="1">IFERROR(__xludf.DUMMYFUNCTION("""COMPUTED_VALUE"""),187.07)</f>
        <v>187.07</v>
      </c>
      <c r="E1605" s="1">
        <f ca="1">IFERROR(__xludf.DUMMYFUNCTION("""COMPUTED_VALUE"""),192.28)</f>
        <v>192.28</v>
      </c>
      <c r="F1605" s="1">
        <f ca="1">IFERROR(__xludf.DUMMYFUNCTION("""COMPUTED_VALUE"""),32390360)</f>
        <v>32390360</v>
      </c>
    </row>
    <row r="1606" spans="1:6" x14ac:dyDescent="0.35">
      <c r="A1606" s="2">
        <f ca="1">IFERROR(__xludf.DUMMYFUNCTION("""COMPUTED_VALUE"""),44334.6666666666)</f>
        <v>44334.666666666599</v>
      </c>
      <c r="B1606" s="1">
        <f ca="1">IFERROR(__xludf.DUMMYFUNCTION("""COMPUTED_VALUE"""),189.33)</f>
        <v>189.33</v>
      </c>
      <c r="C1606" s="1">
        <f ca="1">IFERROR(__xludf.DUMMYFUNCTION("""COMPUTED_VALUE"""),198.75)</f>
        <v>198.75</v>
      </c>
      <c r="D1606" s="1">
        <f ca="1">IFERROR(__xludf.DUMMYFUNCTION("""COMPUTED_VALUE"""),187.79)</f>
        <v>187.79</v>
      </c>
      <c r="E1606" s="1">
        <f ca="1">IFERROR(__xludf.DUMMYFUNCTION("""COMPUTED_VALUE"""),192.62)</f>
        <v>192.62</v>
      </c>
      <c r="F1606" s="1">
        <f ca="1">IFERROR(__xludf.DUMMYFUNCTION("""COMPUTED_VALUE"""),36830567)</f>
        <v>36830567</v>
      </c>
    </row>
    <row r="1607" spans="1:6" x14ac:dyDescent="0.35">
      <c r="A1607" s="2">
        <f ca="1">IFERROR(__xludf.DUMMYFUNCTION("""COMPUTED_VALUE"""),44335.6666666666)</f>
        <v>44335.666666666599</v>
      </c>
      <c r="B1607" s="1">
        <f ca="1">IFERROR(__xludf.DUMMYFUNCTION("""COMPUTED_VALUE"""),184.18)</f>
        <v>184.18</v>
      </c>
      <c r="C1607" s="1">
        <f ca="1">IFERROR(__xludf.DUMMYFUNCTION("""COMPUTED_VALUE"""),188.74)</f>
        <v>188.74</v>
      </c>
      <c r="D1607" s="1">
        <f ca="1">IFERROR(__xludf.DUMMYFUNCTION("""COMPUTED_VALUE"""),182.33)</f>
        <v>182.33</v>
      </c>
      <c r="E1607" s="1">
        <f ca="1">IFERROR(__xludf.DUMMYFUNCTION("""COMPUTED_VALUE"""),187.82)</f>
        <v>187.82</v>
      </c>
      <c r="F1607" s="1">
        <f ca="1">IFERROR(__xludf.DUMMYFUNCTION("""COMPUTED_VALUE"""),39578395)</f>
        <v>39578395</v>
      </c>
    </row>
    <row r="1608" spans="1:6" x14ac:dyDescent="0.35">
      <c r="A1608" s="2">
        <f ca="1">IFERROR(__xludf.DUMMYFUNCTION("""COMPUTED_VALUE"""),44336.6666666666)</f>
        <v>44336.666666666599</v>
      </c>
      <c r="B1608" s="1">
        <f ca="1">IFERROR(__xludf.DUMMYFUNCTION("""COMPUTED_VALUE"""),191.67)</f>
        <v>191.67</v>
      </c>
      <c r="C1608" s="1">
        <f ca="1">IFERROR(__xludf.DUMMYFUNCTION("""COMPUTED_VALUE"""),196.28)</f>
        <v>196.28</v>
      </c>
      <c r="D1608" s="1">
        <f ca="1">IFERROR(__xludf.DUMMYFUNCTION("""COMPUTED_VALUE"""),190.36)</f>
        <v>190.36</v>
      </c>
      <c r="E1608" s="1">
        <f ca="1">IFERROR(__xludf.DUMMYFUNCTION("""COMPUTED_VALUE"""),195.59)</f>
        <v>195.59</v>
      </c>
      <c r="F1608" s="1">
        <f ca="1">IFERROR(__xludf.DUMMYFUNCTION("""COMPUTED_VALUE"""),30821119)</f>
        <v>30821119</v>
      </c>
    </row>
    <row r="1609" spans="1:6" x14ac:dyDescent="0.35">
      <c r="A1609" s="2">
        <f ca="1">IFERROR(__xludf.DUMMYFUNCTION("""COMPUTED_VALUE"""),44337.6666666666)</f>
        <v>44337.666666666599</v>
      </c>
      <c r="B1609" s="1">
        <f ca="1">IFERROR(__xludf.DUMMYFUNCTION("""COMPUTED_VALUE"""),198.7)</f>
        <v>198.7</v>
      </c>
      <c r="C1609" s="1">
        <f ca="1">IFERROR(__xludf.DUMMYFUNCTION("""COMPUTED_VALUE"""),198.89)</f>
        <v>198.89</v>
      </c>
      <c r="D1609" s="1">
        <f ca="1">IFERROR(__xludf.DUMMYFUNCTION("""COMPUTED_VALUE"""),193.33)</f>
        <v>193.33</v>
      </c>
      <c r="E1609" s="1">
        <f ca="1">IFERROR(__xludf.DUMMYFUNCTION("""COMPUTED_VALUE"""),193.63)</f>
        <v>193.63</v>
      </c>
      <c r="F1609" s="1">
        <f ca="1">IFERROR(__xludf.DUMMYFUNCTION("""COMPUTED_VALUE"""),26030595)</f>
        <v>26030595</v>
      </c>
    </row>
    <row r="1610" spans="1:6" x14ac:dyDescent="0.35">
      <c r="A1610" s="2">
        <f ca="1">IFERROR(__xludf.DUMMYFUNCTION("""COMPUTED_VALUE"""),44340.6666666666)</f>
        <v>44340.666666666599</v>
      </c>
      <c r="B1610" s="1">
        <f ca="1">IFERROR(__xludf.DUMMYFUNCTION("""COMPUTED_VALUE"""),193.87)</f>
        <v>193.87</v>
      </c>
      <c r="C1610" s="1">
        <f ca="1">IFERROR(__xludf.DUMMYFUNCTION("""COMPUTED_VALUE"""),204.83)</f>
        <v>204.83</v>
      </c>
      <c r="D1610" s="1">
        <f ca="1">IFERROR(__xludf.DUMMYFUNCTION("""COMPUTED_VALUE"""),191.22)</f>
        <v>191.22</v>
      </c>
      <c r="E1610" s="1">
        <f ca="1">IFERROR(__xludf.DUMMYFUNCTION("""COMPUTED_VALUE"""),202.15)</f>
        <v>202.15</v>
      </c>
      <c r="F1610" s="1">
        <f ca="1">IFERROR(__xludf.DUMMYFUNCTION("""COMPUTED_VALUE"""),34558089)</f>
        <v>34558089</v>
      </c>
    </row>
    <row r="1611" spans="1:6" x14ac:dyDescent="0.35">
      <c r="A1611" s="2">
        <f ca="1">IFERROR(__xludf.DUMMYFUNCTION("""COMPUTED_VALUE"""),44341.6666666666)</f>
        <v>44341.666666666599</v>
      </c>
      <c r="B1611" s="1">
        <f ca="1">IFERROR(__xludf.DUMMYFUNCTION("""COMPUTED_VALUE"""),202.44)</f>
        <v>202.44</v>
      </c>
      <c r="C1611" s="1">
        <f ca="1">IFERROR(__xludf.DUMMYFUNCTION("""COMPUTED_VALUE"""),204.66)</f>
        <v>204.66</v>
      </c>
      <c r="D1611" s="1">
        <f ca="1">IFERROR(__xludf.DUMMYFUNCTION("""COMPUTED_VALUE"""),198.57)</f>
        <v>198.57</v>
      </c>
      <c r="E1611" s="1">
        <f ca="1">IFERROR(__xludf.DUMMYFUNCTION("""COMPUTED_VALUE"""),201.56)</f>
        <v>201.56</v>
      </c>
      <c r="F1611" s="1">
        <f ca="1">IFERROR(__xludf.DUMMYFUNCTION("""COMPUTED_VALUE"""),28005933)</f>
        <v>28005933</v>
      </c>
    </row>
    <row r="1612" spans="1:6" x14ac:dyDescent="0.35">
      <c r="A1612" s="2">
        <f ca="1">IFERROR(__xludf.DUMMYFUNCTION("""COMPUTED_VALUE"""),44342.6666666666)</f>
        <v>44342.666666666599</v>
      </c>
      <c r="B1612" s="1">
        <f ca="1">IFERROR(__xludf.DUMMYFUNCTION("""COMPUTED_VALUE"""),202.52)</f>
        <v>202.52</v>
      </c>
      <c r="C1612" s="1">
        <f ca="1">IFERROR(__xludf.DUMMYFUNCTION("""COMPUTED_VALUE"""),208.72)</f>
        <v>208.72</v>
      </c>
      <c r="D1612" s="1">
        <f ca="1">IFERROR(__xludf.DUMMYFUNCTION("""COMPUTED_VALUE"""),200.5)</f>
        <v>200.5</v>
      </c>
      <c r="E1612" s="1">
        <f ca="1">IFERROR(__xludf.DUMMYFUNCTION("""COMPUTED_VALUE"""),206.38)</f>
        <v>206.38</v>
      </c>
      <c r="F1612" s="1">
        <f ca="1">IFERROR(__xludf.DUMMYFUNCTION("""COMPUTED_VALUE"""),28639305)</f>
        <v>28639305</v>
      </c>
    </row>
    <row r="1613" spans="1:6" x14ac:dyDescent="0.35">
      <c r="A1613" s="2">
        <f ca="1">IFERROR(__xludf.DUMMYFUNCTION("""COMPUTED_VALUE"""),44343.6666666666)</f>
        <v>44343.666666666599</v>
      </c>
      <c r="B1613" s="1">
        <f ca="1">IFERROR(__xludf.DUMMYFUNCTION("""COMPUTED_VALUE"""),206.75)</f>
        <v>206.75</v>
      </c>
      <c r="C1613" s="1">
        <f ca="1">IFERROR(__xludf.DUMMYFUNCTION("""COMPUTED_VALUE"""),210.38)</f>
        <v>210.38</v>
      </c>
      <c r="D1613" s="1">
        <f ca="1">IFERROR(__xludf.DUMMYFUNCTION("""COMPUTED_VALUE"""),205.4)</f>
        <v>205.4</v>
      </c>
      <c r="E1613" s="1">
        <f ca="1">IFERROR(__xludf.DUMMYFUNCTION("""COMPUTED_VALUE"""),210.28)</f>
        <v>210.28</v>
      </c>
      <c r="F1613" s="1">
        <f ca="1">IFERROR(__xludf.DUMMYFUNCTION("""COMPUTED_VALUE"""),26370593)</f>
        <v>26370593</v>
      </c>
    </row>
    <row r="1614" spans="1:6" x14ac:dyDescent="0.35">
      <c r="A1614" s="2">
        <f ca="1">IFERROR(__xludf.DUMMYFUNCTION("""COMPUTED_VALUE"""),44344.6666666666)</f>
        <v>44344.666666666599</v>
      </c>
      <c r="B1614" s="1">
        <f ca="1">IFERROR(__xludf.DUMMYFUNCTION("""COMPUTED_VALUE"""),209.5)</f>
        <v>209.5</v>
      </c>
      <c r="C1614" s="1">
        <f ca="1">IFERROR(__xludf.DUMMYFUNCTION("""COMPUTED_VALUE"""),211.86)</f>
        <v>211.86</v>
      </c>
      <c r="D1614" s="1">
        <f ca="1">IFERROR(__xludf.DUMMYFUNCTION("""COMPUTED_VALUE"""),207.46)</f>
        <v>207.46</v>
      </c>
      <c r="E1614" s="1">
        <f ca="1">IFERROR(__xludf.DUMMYFUNCTION("""COMPUTED_VALUE"""),208.41)</f>
        <v>208.41</v>
      </c>
      <c r="F1614" s="1">
        <f ca="1">IFERROR(__xludf.DUMMYFUNCTION("""COMPUTED_VALUE"""),22737038)</f>
        <v>22737038</v>
      </c>
    </row>
    <row r="1615" spans="1:6" x14ac:dyDescent="0.35">
      <c r="A1615" s="2">
        <f ca="1">IFERROR(__xludf.DUMMYFUNCTION("""COMPUTED_VALUE"""),44348.6666666666)</f>
        <v>44348.666666666599</v>
      </c>
      <c r="B1615" s="1">
        <f ca="1">IFERROR(__xludf.DUMMYFUNCTION("""COMPUTED_VALUE"""),209.27)</f>
        <v>209.27</v>
      </c>
      <c r="C1615" s="1">
        <f ca="1">IFERROR(__xludf.DUMMYFUNCTION("""COMPUTED_VALUE"""),211.27)</f>
        <v>211.27</v>
      </c>
      <c r="D1615" s="1">
        <f ca="1">IFERROR(__xludf.DUMMYFUNCTION("""COMPUTED_VALUE"""),206.85)</f>
        <v>206.85</v>
      </c>
      <c r="E1615" s="1">
        <f ca="1">IFERROR(__xludf.DUMMYFUNCTION("""COMPUTED_VALUE"""),207.97)</f>
        <v>207.97</v>
      </c>
      <c r="F1615" s="1">
        <f ca="1">IFERROR(__xludf.DUMMYFUNCTION("""COMPUTED_VALUE"""),18084890)</f>
        <v>18084890</v>
      </c>
    </row>
    <row r="1616" spans="1:6" x14ac:dyDescent="0.35">
      <c r="A1616" s="2">
        <f ca="1">IFERROR(__xludf.DUMMYFUNCTION("""COMPUTED_VALUE"""),44349.6666666666)</f>
        <v>44349.666666666599</v>
      </c>
      <c r="B1616" s="1">
        <f ca="1">IFERROR(__xludf.DUMMYFUNCTION("""COMPUTED_VALUE"""),206.71)</f>
        <v>206.71</v>
      </c>
      <c r="C1616" s="1">
        <f ca="1">IFERROR(__xludf.DUMMYFUNCTION("""COMPUTED_VALUE"""),207.79)</f>
        <v>207.79</v>
      </c>
      <c r="D1616" s="1">
        <f ca="1">IFERROR(__xludf.DUMMYFUNCTION("""COMPUTED_VALUE"""),199.71)</f>
        <v>199.71</v>
      </c>
      <c r="E1616" s="1">
        <f ca="1">IFERROR(__xludf.DUMMYFUNCTION("""COMPUTED_VALUE"""),201.71)</f>
        <v>201.71</v>
      </c>
      <c r="F1616" s="1">
        <f ca="1">IFERROR(__xludf.DUMMYFUNCTION("""COMPUTED_VALUE"""),23302779)</f>
        <v>23302779</v>
      </c>
    </row>
    <row r="1617" spans="1:6" x14ac:dyDescent="0.35">
      <c r="A1617" s="2">
        <f ca="1">IFERROR(__xludf.DUMMYFUNCTION("""COMPUTED_VALUE"""),44350.6666666666)</f>
        <v>44350.666666666599</v>
      </c>
      <c r="B1617" s="1">
        <f ca="1">IFERROR(__xludf.DUMMYFUNCTION("""COMPUTED_VALUE"""),200.6)</f>
        <v>200.6</v>
      </c>
      <c r="C1617" s="1">
        <f ca="1">IFERROR(__xludf.DUMMYFUNCTION("""COMPUTED_VALUE"""),201.52)</f>
        <v>201.52</v>
      </c>
      <c r="D1617" s="1">
        <f ca="1">IFERROR(__xludf.DUMMYFUNCTION("""COMPUTED_VALUE"""),190.41)</f>
        <v>190.41</v>
      </c>
      <c r="E1617" s="1">
        <f ca="1">IFERROR(__xludf.DUMMYFUNCTION("""COMPUTED_VALUE"""),190.95)</f>
        <v>190.95</v>
      </c>
      <c r="F1617" s="1">
        <f ca="1">IFERROR(__xludf.DUMMYFUNCTION("""COMPUTED_VALUE"""),30111893)</f>
        <v>30111893</v>
      </c>
    </row>
    <row r="1618" spans="1:6" x14ac:dyDescent="0.35">
      <c r="A1618" s="2">
        <f ca="1">IFERROR(__xludf.DUMMYFUNCTION("""COMPUTED_VALUE"""),44351.6666666666)</f>
        <v>44351.666666666599</v>
      </c>
      <c r="B1618" s="1">
        <f ca="1">IFERROR(__xludf.DUMMYFUNCTION("""COMPUTED_VALUE"""),193.24)</f>
        <v>193.24</v>
      </c>
      <c r="C1618" s="1">
        <f ca="1">IFERROR(__xludf.DUMMYFUNCTION("""COMPUTED_VALUE"""),200.2)</f>
        <v>200.2</v>
      </c>
      <c r="D1618" s="1">
        <f ca="1">IFERROR(__xludf.DUMMYFUNCTION("""COMPUTED_VALUE"""),192.4)</f>
        <v>192.4</v>
      </c>
      <c r="E1618" s="1">
        <f ca="1">IFERROR(__xludf.DUMMYFUNCTION("""COMPUTED_VALUE"""),199.68)</f>
        <v>199.68</v>
      </c>
      <c r="F1618" s="1">
        <f ca="1">IFERROR(__xludf.DUMMYFUNCTION("""COMPUTED_VALUE"""),24036896)</f>
        <v>24036896</v>
      </c>
    </row>
    <row r="1619" spans="1:6" x14ac:dyDescent="0.35">
      <c r="A1619" s="2">
        <f ca="1">IFERROR(__xludf.DUMMYFUNCTION("""COMPUTED_VALUE"""),44354.6666666666)</f>
        <v>44354.666666666599</v>
      </c>
      <c r="B1619" s="1">
        <f ca="1">IFERROR(__xludf.DUMMYFUNCTION("""COMPUTED_VALUE"""),197.28)</f>
        <v>197.28</v>
      </c>
      <c r="C1619" s="1">
        <f ca="1">IFERROR(__xludf.DUMMYFUNCTION("""COMPUTED_VALUE"""),203.33)</f>
        <v>203.33</v>
      </c>
      <c r="D1619" s="1">
        <f ca="1">IFERROR(__xludf.DUMMYFUNCTION("""COMPUTED_VALUE"""),194.29)</f>
        <v>194.29</v>
      </c>
      <c r="E1619" s="1">
        <f ca="1">IFERROR(__xludf.DUMMYFUNCTION("""COMPUTED_VALUE"""),201.71)</f>
        <v>201.71</v>
      </c>
      <c r="F1619" s="1">
        <f ca="1">IFERROR(__xludf.DUMMYFUNCTION("""COMPUTED_VALUE"""),22543682)</f>
        <v>22543682</v>
      </c>
    </row>
    <row r="1620" spans="1:6" x14ac:dyDescent="0.35">
      <c r="A1620" s="2">
        <f ca="1">IFERROR(__xludf.DUMMYFUNCTION("""COMPUTED_VALUE"""),44355.6666666666)</f>
        <v>44355.666666666599</v>
      </c>
      <c r="B1620" s="1">
        <f ca="1">IFERROR(__xludf.DUMMYFUNCTION("""COMPUTED_VALUE"""),207.67)</f>
        <v>207.67</v>
      </c>
      <c r="C1620" s="1">
        <f ca="1">IFERROR(__xludf.DUMMYFUNCTION("""COMPUTED_VALUE"""),207.7)</f>
        <v>207.7</v>
      </c>
      <c r="D1620" s="1">
        <f ca="1">IFERROR(__xludf.DUMMYFUNCTION("""COMPUTED_VALUE"""),198.5)</f>
        <v>198.5</v>
      </c>
      <c r="E1620" s="1">
        <f ca="1">IFERROR(__xludf.DUMMYFUNCTION("""COMPUTED_VALUE"""),201.2)</f>
        <v>201.2</v>
      </c>
      <c r="F1620" s="1">
        <f ca="1">IFERROR(__xludf.DUMMYFUNCTION("""COMPUTED_VALUE"""),26053405)</f>
        <v>26053405</v>
      </c>
    </row>
    <row r="1621" spans="1:6" x14ac:dyDescent="0.35">
      <c r="A1621" s="2">
        <f ca="1">IFERROR(__xludf.DUMMYFUNCTION("""COMPUTED_VALUE"""),44356.6666666666)</f>
        <v>44356.666666666599</v>
      </c>
      <c r="B1621" s="1">
        <f ca="1">IFERROR(__xludf.DUMMYFUNCTION("""COMPUTED_VALUE"""),200.72)</f>
        <v>200.72</v>
      </c>
      <c r="C1621" s="1">
        <f ca="1">IFERROR(__xludf.DUMMYFUNCTION("""COMPUTED_VALUE"""),203.93)</f>
        <v>203.93</v>
      </c>
      <c r="D1621" s="1">
        <f ca="1">IFERROR(__xludf.DUMMYFUNCTION("""COMPUTED_VALUE"""),199.21)</f>
        <v>199.21</v>
      </c>
      <c r="E1621" s="1">
        <f ca="1">IFERROR(__xludf.DUMMYFUNCTION("""COMPUTED_VALUE"""),199.59)</f>
        <v>199.59</v>
      </c>
      <c r="F1621" s="1">
        <f ca="1">IFERROR(__xludf.DUMMYFUNCTION("""COMPUTED_VALUE"""),16584566)</f>
        <v>16584566</v>
      </c>
    </row>
    <row r="1622" spans="1:6" x14ac:dyDescent="0.35">
      <c r="A1622" s="2">
        <f ca="1">IFERROR(__xludf.DUMMYFUNCTION("""COMPUTED_VALUE"""),44357.6666666666)</f>
        <v>44357.666666666599</v>
      </c>
      <c r="B1622" s="1">
        <f ca="1">IFERROR(__xludf.DUMMYFUNCTION("""COMPUTED_VALUE"""),201.29)</f>
        <v>201.29</v>
      </c>
      <c r="C1622" s="1">
        <f ca="1">IFERROR(__xludf.DUMMYFUNCTION("""COMPUTED_VALUE"""),205.53)</f>
        <v>205.53</v>
      </c>
      <c r="D1622" s="1">
        <f ca="1">IFERROR(__xludf.DUMMYFUNCTION("""COMPUTED_VALUE"""),200.17)</f>
        <v>200.17</v>
      </c>
      <c r="E1622" s="1">
        <f ca="1">IFERROR(__xludf.DUMMYFUNCTION("""COMPUTED_VALUE"""),203.37)</f>
        <v>203.37</v>
      </c>
      <c r="F1622" s="1">
        <f ca="1">IFERROR(__xludf.DUMMYFUNCTION("""COMPUTED_VALUE"""),23919606)</f>
        <v>23919606</v>
      </c>
    </row>
    <row r="1623" spans="1:6" x14ac:dyDescent="0.35">
      <c r="A1623" s="2">
        <f ca="1">IFERROR(__xludf.DUMMYFUNCTION("""COMPUTED_VALUE"""),44358.6666666666)</f>
        <v>44358.666666666599</v>
      </c>
      <c r="B1623" s="1">
        <f ca="1">IFERROR(__xludf.DUMMYFUNCTION("""COMPUTED_VALUE"""),203.41)</f>
        <v>203.41</v>
      </c>
      <c r="C1623" s="1">
        <f ca="1">IFERROR(__xludf.DUMMYFUNCTION("""COMPUTED_VALUE"""),204.19)</f>
        <v>204.19</v>
      </c>
      <c r="D1623" s="1">
        <f ca="1">IFERROR(__xludf.DUMMYFUNCTION("""COMPUTED_VALUE"""),200.51)</f>
        <v>200.51</v>
      </c>
      <c r="E1623" s="1">
        <f ca="1">IFERROR(__xludf.DUMMYFUNCTION("""COMPUTED_VALUE"""),203.3)</f>
        <v>203.3</v>
      </c>
      <c r="F1623" s="1">
        <f ca="1">IFERROR(__xludf.DUMMYFUNCTION("""COMPUTED_VALUE"""),16205303)</f>
        <v>16205303</v>
      </c>
    </row>
    <row r="1624" spans="1:6" x14ac:dyDescent="0.35">
      <c r="A1624" s="2">
        <f ca="1">IFERROR(__xludf.DUMMYFUNCTION("""COMPUTED_VALUE"""),44361.6666666666)</f>
        <v>44361.666666666599</v>
      </c>
      <c r="B1624" s="1">
        <f ca="1">IFERROR(__xludf.DUMMYFUNCTION("""COMPUTED_VALUE"""),204.08)</f>
        <v>204.08</v>
      </c>
      <c r="C1624" s="1">
        <f ca="1">IFERROR(__xludf.DUMMYFUNCTION("""COMPUTED_VALUE"""),208.5)</f>
        <v>208.5</v>
      </c>
      <c r="D1624" s="1">
        <f ca="1">IFERROR(__xludf.DUMMYFUNCTION("""COMPUTED_VALUE"""),203.06)</f>
        <v>203.06</v>
      </c>
      <c r="E1624" s="1">
        <f ca="1">IFERROR(__xludf.DUMMYFUNCTION("""COMPUTED_VALUE"""),205.9)</f>
        <v>205.9</v>
      </c>
      <c r="F1624" s="1">
        <f ca="1">IFERROR(__xludf.DUMMYFUNCTION("""COMPUTED_VALUE"""),20423983)</f>
        <v>20423983</v>
      </c>
    </row>
    <row r="1625" spans="1:6" x14ac:dyDescent="0.35">
      <c r="A1625" s="2">
        <f ca="1">IFERROR(__xludf.DUMMYFUNCTION("""COMPUTED_VALUE"""),44362.6666666666)</f>
        <v>44362.666666666599</v>
      </c>
      <c r="B1625" s="1">
        <f ca="1">IFERROR(__xludf.DUMMYFUNCTION("""COMPUTED_VALUE"""),205.56)</f>
        <v>205.56</v>
      </c>
      <c r="C1625" s="1">
        <f ca="1">IFERROR(__xludf.DUMMYFUNCTION("""COMPUTED_VALUE"""),205.6)</f>
        <v>205.6</v>
      </c>
      <c r="D1625" s="1">
        <f ca="1">IFERROR(__xludf.DUMMYFUNCTION("""COMPUTED_VALUE"""),199.41)</f>
        <v>199.41</v>
      </c>
      <c r="E1625" s="1">
        <f ca="1">IFERROR(__xludf.DUMMYFUNCTION("""COMPUTED_VALUE"""),199.79)</f>
        <v>199.79</v>
      </c>
      <c r="F1625" s="1">
        <f ca="1">IFERROR(__xludf.DUMMYFUNCTION("""COMPUTED_VALUE"""),17764145)</f>
        <v>17764145</v>
      </c>
    </row>
    <row r="1626" spans="1:6" x14ac:dyDescent="0.35">
      <c r="A1626" s="2">
        <f ca="1">IFERROR(__xludf.DUMMYFUNCTION("""COMPUTED_VALUE"""),44363.6666666666)</f>
        <v>44363.666666666599</v>
      </c>
      <c r="B1626" s="1">
        <f ca="1">IFERROR(__xludf.DUMMYFUNCTION("""COMPUTED_VALUE"""),199.18)</f>
        <v>199.18</v>
      </c>
      <c r="C1626" s="1">
        <f ca="1">IFERROR(__xludf.DUMMYFUNCTION("""COMPUTED_VALUE"""),202.83)</f>
        <v>202.83</v>
      </c>
      <c r="D1626" s="1">
        <f ca="1">IFERROR(__xludf.DUMMYFUNCTION("""COMPUTED_VALUE"""),197.83)</f>
        <v>197.83</v>
      </c>
      <c r="E1626" s="1">
        <f ca="1">IFERROR(__xludf.DUMMYFUNCTION("""COMPUTED_VALUE"""),201.62)</f>
        <v>201.62</v>
      </c>
      <c r="F1626" s="1">
        <f ca="1">IFERROR(__xludf.DUMMYFUNCTION("""COMPUTED_VALUE"""),22144127)</f>
        <v>22144127</v>
      </c>
    </row>
    <row r="1627" spans="1:6" x14ac:dyDescent="0.35">
      <c r="A1627" s="2">
        <f ca="1">IFERROR(__xludf.DUMMYFUNCTION("""COMPUTED_VALUE"""),44364.6666666666)</f>
        <v>44364.666666666599</v>
      </c>
      <c r="B1627" s="1">
        <f ca="1">IFERROR(__xludf.DUMMYFUNCTION("""COMPUTED_VALUE"""),200.63)</f>
        <v>200.63</v>
      </c>
      <c r="C1627" s="1">
        <f ca="1">IFERROR(__xludf.DUMMYFUNCTION("""COMPUTED_VALUE"""),207.16)</f>
        <v>207.16</v>
      </c>
      <c r="D1627" s="1">
        <f ca="1">IFERROR(__xludf.DUMMYFUNCTION("""COMPUTED_VALUE"""),200.45)</f>
        <v>200.45</v>
      </c>
      <c r="E1627" s="1">
        <f ca="1">IFERROR(__xludf.DUMMYFUNCTION("""COMPUTED_VALUE"""),205.53)</f>
        <v>205.53</v>
      </c>
      <c r="F1627" s="1">
        <f ca="1">IFERROR(__xludf.DUMMYFUNCTION("""COMPUTED_VALUE"""),22701350)</f>
        <v>22701350</v>
      </c>
    </row>
    <row r="1628" spans="1:6" x14ac:dyDescent="0.35">
      <c r="A1628" s="2">
        <f ca="1">IFERROR(__xludf.DUMMYFUNCTION("""COMPUTED_VALUE"""),44365.6666666666)</f>
        <v>44365.666666666599</v>
      </c>
      <c r="B1628" s="1">
        <f ca="1">IFERROR(__xludf.DUMMYFUNCTION("""COMPUTED_VALUE"""),204.46)</f>
        <v>204.46</v>
      </c>
      <c r="C1628" s="1">
        <f ca="1">IFERROR(__xludf.DUMMYFUNCTION("""COMPUTED_VALUE"""),209.45)</f>
        <v>209.45</v>
      </c>
      <c r="D1628" s="1">
        <f ca="1">IFERROR(__xludf.DUMMYFUNCTION("""COMPUTED_VALUE"""),203.93)</f>
        <v>203.93</v>
      </c>
      <c r="E1628" s="1">
        <f ca="1">IFERROR(__xludf.DUMMYFUNCTION("""COMPUTED_VALUE"""),207.77)</f>
        <v>207.77</v>
      </c>
      <c r="F1628" s="1">
        <f ca="1">IFERROR(__xludf.DUMMYFUNCTION("""COMPUTED_VALUE"""),24560905)</f>
        <v>24560905</v>
      </c>
    </row>
    <row r="1629" spans="1:6" x14ac:dyDescent="0.35">
      <c r="A1629" s="2">
        <f ca="1">IFERROR(__xludf.DUMMYFUNCTION("""COMPUTED_VALUE"""),44368.6666666666)</f>
        <v>44368.666666666599</v>
      </c>
      <c r="B1629" s="1">
        <f ca="1">IFERROR(__xludf.DUMMYFUNCTION("""COMPUTED_VALUE"""),208.16)</f>
        <v>208.16</v>
      </c>
      <c r="C1629" s="1">
        <f ca="1">IFERROR(__xludf.DUMMYFUNCTION("""COMPUTED_VALUE"""),210.46)</f>
        <v>210.46</v>
      </c>
      <c r="D1629" s="1">
        <f ca="1">IFERROR(__xludf.DUMMYFUNCTION("""COMPUTED_VALUE"""),202.96)</f>
        <v>202.96</v>
      </c>
      <c r="E1629" s="1">
        <f ca="1">IFERROR(__xludf.DUMMYFUNCTION("""COMPUTED_VALUE"""),206.94)</f>
        <v>206.94</v>
      </c>
      <c r="F1629" s="1">
        <f ca="1">IFERROR(__xludf.DUMMYFUNCTION("""COMPUTED_VALUE"""),24812741)</f>
        <v>24812741</v>
      </c>
    </row>
    <row r="1630" spans="1:6" x14ac:dyDescent="0.35">
      <c r="A1630" s="2">
        <f ca="1">IFERROR(__xludf.DUMMYFUNCTION("""COMPUTED_VALUE"""),44369.6666666666)</f>
        <v>44369.666666666599</v>
      </c>
      <c r="B1630" s="1">
        <f ca="1">IFERROR(__xludf.DUMMYFUNCTION("""COMPUTED_VALUE"""),206.08)</f>
        <v>206.08</v>
      </c>
      <c r="C1630" s="1">
        <f ca="1">IFERROR(__xludf.DUMMYFUNCTION("""COMPUTED_VALUE"""),209.52)</f>
        <v>209.52</v>
      </c>
      <c r="D1630" s="1">
        <f ca="1">IFERROR(__xludf.DUMMYFUNCTION("""COMPUTED_VALUE"""),205.17)</f>
        <v>205.17</v>
      </c>
      <c r="E1630" s="1">
        <f ca="1">IFERROR(__xludf.DUMMYFUNCTION("""COMPUTED_VALUE"""),207.9)</f>
        <v>207.9</v>
      </c>
      <c r="F1630" s="1">
        <f ca="1">IFERROR(__xludf.DUMMYFUNCTION("""COMPUTED_VALUE"""),19158892)</f>
        <v>19158892</v>
      </c>
    </row>
    <row r="1631" spans="1:6" x14ac:dyDescent="0.35">
      <c r="A1631" s="2">
        <f ca="1">IFERROR(__xludf.DUMMYFUNCTION("""COMPUTED_VALUE"""),44370.6666666666)</f>
        <v>44370.666666666599</v>
      </c>
      <c r="B1631" s="1">
        <f ca="1">IFERROR(__xludf.DUMMYFUNCTION("""COMPUTED_VALUE"""),210.67)</f>
        <v>210.67</v>
      </c>
      <c r="C1631" s="1">
        <f ca="1">IFERROR(__xludf.DUMMYFUNCTION("""COMPUTED_VALUE"""),219.07)</f>
        <v>219.07</v>
      </c>
      <c r="D1631" s="1">
        <f ca="1">IFERROR(__xludf.DUMMYFUNCTION("""COMPUTED_VALUE"""),210.01)</f>
        <v>210.01</v>
      </c>
      <c r="E1631" s="1">
        <f ca="1">IFERROR(__xludf.DUMMYFUNCTION("""COMPUTED_VALUE"""),218.86)</f>
        <v>218.86</v>
      </c>
      <c r="F1631" s="1">
        <f ca="1">IFERROR(__xludf.DUMMYFUNCTION("""COMPUTED_VALUE"""),31099228)</f>
        <v>31099228</v>
      </c>
    </row>
    <row r="1632" spans="1:6" x14ac:dyDescent="0.35">
      <c r="A1632" s="2">
        <f ca="1">IFERROR(__xludf.DUMMYFUNCTION("""COMPUTED_VALUE"""),44371.6666666666)</f>
        <v>44371.666666666599</v>
      </c>
      <c r="B1632" s="1">
        <f ca="1">IFERROR(__xludf.DUMMYFUNCTION("""COMPUTED_VALUE"""),225)</f>
        <v>225</v>
      </c>
      <c r="C1632" s="1">
        <f ca="1">IFERROR(__xludf.DUMMYFUNCTION("""COMPUTED_VALUE"""),232.54)</f>
        <v>232.54</v>
      </c>
      <c r="D1632" s="1">
        <f ca="1">IFERROR(__xludf.DUMMYFUNCTION("""COMPUTED_VALUE"""),222.54)</f>
        <v>222.54</v>
      </c>
      <c r="E1632" s="1">
        <f ca="1">IFERROR(__xludf.DUMMYFUNCTION("""COMPUTED_VALUE"""),226.61)</f>
        <v>226.61</v>
      </c>
      <c r="F1632" s="1">
        <f ca="1">IFERROR(__xludf.DUMMYFUNCTION("""COMPUTED_VALUE"""),45982386)</f>
        <v>45982386</v>
      </c>
    </row>
    <row r="1633" spans="1:6" x14ac:dyDescent="0.35">
      <c r="A1633" s="2">
        <f ca="1">IFERROR(__xludf.DUMMYFUNCTION("""COMPUTED_VALUE"""),44372.6666666666)</f>
        <v>44372.666666666599</v>
      </c>
      <c r="B1633" s="1">
        <f ca="1">IFERROR(__xludf.DUMMYFUNCTION("""COMPUTED_VALUE"""),229.86)</f>
        <v>229.86</v>
      </c>
      <c r="C1633" s="1">
        <f ca="1">IFERROR(__xludf.DUMMYFUNCTION("""COMPUTED_VALUE"""),231.27)</f>
        <v>231.27</v>
      </c>
      <c r="D1633" s="1">
        <f ca="1">IFERROR(__xludf.DUMMYFUNCTION("""COMPUTED_VALUE"""),222.9)</f>
        <v>222.9</v>
      </c>
      <c r="E1633" s="1">
        <f ca="1">IFERROR(__xludf.DUMMYFUNCTION("""COMPUTED_VALUE"""),223.96)</f>
        <v>223.96</v>
      </c>
      <c r="F1633" s="1">
        <f ca="1">IFERROR(__xludf.DUMMYFUNCTION("""COMPUTED_VALUE"""),32496707)</f>
        <v>32496707</v>
      </c>
    </row>
    <row r="1634" spans="1:6" x14ac:dyDescent="0.35">
      <c r="A1634" s="2">
        <f ca="1">IFERROR(__xludf.DUMMYFUNCTION("""COMPUTED_VALUE"""),44375.6666666666)</f>
        <v>44375.666666666599</v>
      </c>
      <c r="B1634" s="1">
        <f ca="1">IFERROR(__xludf.DUMMYFUNCTION("""COMPUTED_VALUE"""),223.88)</f>
        <v>223.88</v>
      </c>
      <c r="C1634" s="1">
        <f ca="1">IFERROR(__xludf.DUMMYFUNCTION("""COMPUTED_VALUE"""),231.57)</f>
        <v>231.57</v>
      </c>
      <c r="D1634" s="1">
        <f ca="1">IFERROR(__xludf.DUMMYFUNCTION("""COMPUTED_VALUE"""),223.44)</f>
        <v>223.44</v>
      </c>
      <c r="E1634" s="1">
        <f ca="1">IFERROR(__xludf.DUMMYFUNCTION("""COMPUTED_VALUE"""),229.57)</f>
        <v>229.57</v>
      </c>
      <c r="F1634" s="1">
        <f ca="1">IFERROR(__xludf.DUMMYFUNCTION("""COMPUTED_VALUE"""),21628159)</f>
        <v>21628159</v>
      </c>
    </row>
    <row r="1635" spans="1:6" x14ac:dyDescent="0.35">
      <c r="A1635" s="2">
        <f ca="1">IFERROR(__xludf.DUMMYFUNCTION("""COMPUTED_VALUE"""),44376.6666666666)</f>
        <v>44376.666666666599</v>
      </c>
      <c r="B1635" s="1">
        <f ca="1">IFERROR(__xludf.DUMMYFUNCTION("""COMPUTED_VALUE"""),228.22)</f>
        <v>228.22</v>
      </c>
      <c r="C1635" s="1">
        <f ca="1">IFERROR(__xludf.DUMMYFUNCTION("""COMPUTED_VALUE"""),229.17)</f>
        <v>229.17</v>
      </c>
      <c r="D1635" s="1">
        <f ca="1">IFERROR(__xludf.DUMMYFUNCTION("""COMPUTED_VALUE"""),225.3)</f>
        <v>225.3</v>
      </c>
      <c r="E1635" s="1">
        <f ca="1">IFERROR(__xludf.DUMMYFUNCTION("""COMPUTED_VALUE"""),226.92)</f>
        <v>226.92</v>
      </c>
      <c r="F1635" s="1">
        <f ca="1">IFERROR(__xludf.DUMMYFUNCTION("""COMPUTED_VALUE"""),17381313)</f>
        <v>17381313</v>
      </c>
    </row>
    <row r="1636" spans="1:6" x14ac:dyDescent="0.35">
      <c r="A1636" s="2">
        <f ca="1">IFERROR(__xludf.DUMMYFUNCTION("""COMPUTED_VALUE"""),44377.6666666666)</f>
        <v>44377.666666666599</v>
      </c>
      <c r="B1636" s="1">
        <f ca="1">IFERROR(__xludf.DUMMYFUNCTION("""COMPUTED_VALUE"""),226.59)</f>
        <v>226.59</v>
      </c>
      <c r="C1636" s="1">
        <f ca="1">IFERROR(__xludf.DUMMYFUNCTION("""COMPUTED_VALUE"""),230.94)</f>
        <v>230.94</v>
      </c>
      <c r="D1636" s="1">
        <f ca="1">IFERROR(__xludf.DUMMYFUNCTION("""COMPUTED_VALUE"""),226.05)</f>
        <v>226.05</v>
      </c>
      <c r="E1636" s="1">
        <f ca="1">IFERROR(__xludf.DUMMYFUNCTION("""COMPUTED_VALUE"""),226.57)</f>
        <v>226.57</v>
      </c>
      <c r="F1636" s="1">
        <f ca="1">IFERROR(__xludf.DUMMYFUNCTION("""COMPUTED_VALUE"""),18924862)</f>
        <v>18924862</v>
      </c>
    </row>
    <row r="1637" spans="1:6" x14ac:dyDescent="0.35">
      <c r="A1637" s="2">
        <f ca="1">IFERROR(__xludf.DUMMYFUNCTION("""COMPUTED_VALUE"""),44378.6666666666)</f>
        <v>44378.666666666599</v>
      </c>
      <c r="B1637" s="1">
        <f ca="1">IFERROR(__xludf.DUMMYFUNCTION("""COMPUTED_VALUE"""),227.97)</f>
        <v>227.97</v>
      </c>
      <c r="C1637" s="1">
        <f ca="1">IFERROR(__xludf.DUMMYFUNCTION("""COMPUTED_VALUE"""),229.33)</f>
        <v>229.33</v>
      </c>
      <c r="D1637" s="1">
        <f ca="1">IFERROR(__xludf.DUMMYFUNCTION("""COMPUTED_VALUE"""),224.27)</f>
        <v>224.27</v>
      </c>
      <c r="E1637" s="1">
        <f ca="1">IFERROR(__xludf.DUMMYFUNCTION("""COMPUTED_VALUE"""),225.97)</f>
        <v>225.97</v>
      </c>
      <c r="F1637" s="1">
        <f ca="1">IFERROR(__xludf.DUMMYFUNCTION("""COMPUTED_VALUE"""),18634522)</f>
        <v>18634522</v>
      </c>
    </row>
    <row r="1638" spans="1:6" x14ac:dyDescent="0.35">
      <c r="A1638" s="2">
        <f ca="1">IFERROR(__xludf.DUMMYFUNCTION("""COMPUTED_VALUE"""),44379.6666666666)</f>
        <v>44379.666666666599</v>
      </c>
      <c r="B1638" s="1">
        <f ca="1">IFERROR(__xludf.DUMMYFUNCTION("""COMPUTED_VALUE"""),226.33)</f>
        <v>226.33</v>
      </c>
      <c r="C1638" s="1">
        <f ca="1">IFERROR(__xludf.DUMMYFUNCTION("""COMPUTED_VALUE"""),233.33)</f>
        <v>233.33</v>
      </c>
      <c r="D1638" s="1">
        <f ca="1">IFERROR(__xludf.DUMMYFUNCTION("""COMPUTED_VALUE"""),224.42)</f>
        <v>224.42</v>
      </c>
      <c r="E1638" s="1">
        <f ca="1">IFERROR(__xludf.DUMMYFUNCTION("""COMPUTED_VALUE"""),226.3)</f>
        <v>226.3</v>
      </c>
      <c r="F1638" s="1">
        <f ca="1">IFERROR(__xludf.DUMMYFUNCTION("""COMPUTED_VALUE"""),27097374)</f>
        <v>27097374</v>
      </c>
    </row>
    <row r="1639" spans="1:6" x14ac:dyDescent="0.35">
      <c r="A1639" s="2">
        <f ca="1">IFERROR(__xludf.DUMMYFUNCTION("""COMPUTED_VALUE"""),44383.6666666666)</f>
        <v>44383.666666666599</v>
      </c>
      <c r="B1639" s="1">
        <f ca="1">IFERROR(__xludf.DUMMYFUNCTION("""COMPUTED_VALUE"""),227.24)</f>
        <v>227.24</v>
      </c>
      <c r="C1639" s="1">
        <f ca="1">IFERROR(__xludf.DUMMYFUNCTION("""COMPUTED_VALUE"""),228)</f>
        <v>228</v>
      </c>
      <c r="D1639" s="1">
        <f ca="1">IFERROR(__xludf.DUMMYFUNCTION("""COMPUTED_VALUE"""),217.13)</f>
        <v>217.13</v>
      </c>
      <c r="E1639" s="1">
        <f ca="1">IFERROR(__xludf.DUMMYFUNCTION("""COMPUTED_VALUE"""),219.86)</f>
        <v>219.86</v>
      </c>
      <c r="F1639" s="1">
        <f ca="1">IFERROR(__xludf.DUMMYFUNCTION("""COMPUTED_VALUE"""),23284450)</f>
        <v>23284450</v>
      </c>
    </row>
    <row r="1640" spans="1:6" x14ac:dyDescent="0.35">
      <c r="A1640" s="2">
        <f ca="1">IFERROR(__xludf.DUMMYFUNCTION("""COMPUTED_VALUE"""),44384.6666666666)</f>
        <v>44384.666666666599</v>
      </c>
      <c r="B1640" s="1">
        <f ca="1">IFERROR(__xludf.DUMMYFUNCTION("""COMPUTED_VALUE"""),221.42)</f>
        <v>221.42</v>
      </c>
      <c r="C1640" s="1">
        <f ca="1">IFERROR(__xludf.DUMMYFUNCTION("""COMPUTED_VALUE"""),221.9)</f>
        <v>221.9</v>
      </c>
      <c r="D1640" s="1">
        <f ca="1">IFERROR(__xludf.DUMMYFUNCTION("""COMPUTED_VALUE"""),212.77)</f>
        <v>212.77</v>
      </c>
      <c r="E1640" s="1">
        <f ca="1">IFERROR(__xludf.DUMMYFUNCTION("""COMPUTED_VALUE"""),214.88)</f>
        <v>214.88</v>
      </c>
      <c r="F1640" s="1">
        <f ca="1">IFERROR(__xludf.DUMMYFUNCTION("""COMPUTED_VALUE"""),18791960)</f>
        <v>18791960</v>
      </c>
    </row>
    <row r="1641" spans="1:6" x14ac:dyDescent="0.35">
      <c r="A1641" s="2">
        <f ca="1">IFERROR(__xludf.DUMMYFUNCTION("""COMPUTED_VALUE"""),44385.6666666666)</f>
        <v>44385.666666666599</v>
      </c>
      <c r="B1641" s="1">
        <f ca="1">IFERROR(__xludf.DUMMYFUNCTION("""COMPUTED_VALUE"""),209.46)</f>
        <v>209.46</v>
      </c>
      <c r="C1641" s="1">
        <f ca="1">IFERROR(__xludf.DUMMYFUNCTION("""COMPUTED_VALUE"""),218.14)</f>
        <v>218.14</v>
      </c>
      <c r="D1641" s="1">
        <f ca="1">IFERROR(__xludf.DUMMYFUNCTION("""COMPUTED_VALUE"""),206.82)</f>
        <v>206.82</v>
      </c>
      <c r="E1641" s="1">
        <f ca="1">IFERROR(__xludf.DUMMYFUNCTION("""COMPUTED_VALUE"""),217.6)</f>
        <v>217.6</v>
      </c>
      <c r="F1641" s="1">
        <f ca="1">IFERROR(__xludf.DUMMYFUNCTION("""COMPUTED_VALUE"""),22773316)</f>
        <v>22773316</v>
      </c>
    </row>
    <row r="1642" spans="1:6" x14ac:dyDescent="0.35">
      <c r="A1642" s="2">
        <f ca="1">IFERROR(__xludf.DUMMYFUNCTION("""COMPUTED_VALUE"""),44386.6666666666)</f>
        <v>44386.666666666599</v>
      </c>
      <c r="B1642" s="1">
        <f ca="1">IFERROR(__xludf.DUMMYFUNCTION("""COMPUTED_VALUE"""),217.73)</f>
        <v>217.73</v>
      </c>
      <c r="C1642" s="1">
        <f ca="1">IFERROR(__xludf.DUMMYFUNCTION("""COMPUTED_VALUE"""),219.64)</f>
        <v>219.64</v>
      </c>
      <c r="D1642" s="1">
        <f ca="1">IFERROR(__xludf.DUMMYFUNCTION("""COMPUTED_VALUE"""),214.9)</f>
        <v>214.9</v>
      </c>
      <c r="E1642" s="1">
        <f ca="1">IFERROR(__xludf.DUMMYFUNCTION("""COMPUTED_VALUE"""),218.98)</f>
        <v>218.98</v>
      </c>
      <c r="F1642" s="1">
        <f ca="1">IFERROR(__xludf.DUMMYFUNCTION("""COMPUTED_VALUE"""),18140548)</f>
        <v>18140548</v>
      </c>
    </row>
    <row r="1643" spans="1:6" x14ac:dyDescent="0.35">
      <c r="A1643" s="2">
        <f ca="1">IFERROR(__xludf.DUMMYFUNCTION("""COMPUTED_VALUE"""),44389.6666666666)</f>
        <v>44389.666666666599</v>
      </c>
      <c r="B1643" s="1">
        <f ca="1">IFERROR(__xludf.DUMMYFUNCTION("""COMPUTED_VALUE"""),220.73)</f>
        <v>220.73</v>
      </c>
      <c r="C1643" s="1">
        <f ca="1">IFERROR(__xludf.DUMMYFUNCTION("""COMPUTED_VALUE"""),229.08)</f>
        <v>229.08</v>
      </c>
      <c r="D1643" s="1">
        <f ca="1">IFERROR(__xludf.DUMMYFUNCTION("""COMPUTED_VALUE"""),220.72)</f>
        <v>220.72</v>
      </c>
      <c r="E1643" s="1">
        <f ca="1">IFERROR(__xludf.DUMMYFUNCTION("""COMPUTED_VALUE"""),228.57)</f>
        <v>228.57</v>
      </c>
      <c r="F1643" s="1">
        <f ca="1">IFERROR(__xludf.DUMMYFUNCTION("""COMPUTED_VALUE"""),25927042)</f>
        <v>25927042</v>
      </c>
    </row>
    <row r="1644" spans="1:6" x14ac:dyDescent="0.35">
      <c r="A1644" s="2">
        <f ca="1">IFERROR(__xludf.DUMMYFUNCTION("""COMPUTED_VALUE"""),44390.6666666666)</f>
        <v>44390.666666666599</v>
      </c>
      <c r="B1644" s="1">
        <f ca="1">IFERROR(__xludf.DUMMYFUNCTION("""COMPUTED_VALUE"""),228.77)</f>
        <v>228.77</v>
      </c>
      <c r="C1644" s="1">
        <f ca="1">IFERROR(__xludf.DUMMYFUNCTION("""COMPUTED_VALUE"""),231.09)</f>
        <v>231.09</v>
      </c>
      <c r="D1644" s="1">
        <f ca="1">IFERROR(__xludf.DUMMYFUNCTION("""COMPUTED_VALUE"""),222.1)</f>
        <v>222.1</v>
      </c>
      <c r="E1644" s="1">
        <f ca="1">IFERROR(__xludf.DUMMYFUNCTION("""COMPUTED_VALUE"""),222.85)</f>
        <v>222.85</v>
      </c>
      <c r="F1644" s="1">
        <f ca="1">IFERROR(__xludf.DUMMYFUNCTION("""COMPUTED_VALUE"""),20966092)</f>
        <v>20966092</v>
      </c>
    </row>
    <row r="1645" spans="1:6" x14ac:dyDescent="0.35">
      <c r="A1645" s="2">
        <f ca="1">IFERROR(__xludf.DUMMYFUNCTION("""COMPUTED_VALUE"""),44391.6666666666)</f>
        <v>44391.666666666599</v>
      </c>
      <c r="B1645" s="1">
        <f ca="1">IFERROR(__xludf.DUMMYFUNCTION("""COMPUTED_VALUE"""),223.58)</f>
        <v>223.58</v>
      </c>
      <c r="C1645" s="1">
        <f ca="1">IFERROR(__xludf.DUMMYFUNCTION("""COMPUTED_VALUE"""),226.2)</f>
        <v>226.2</v>
      </c>
      <c r="D1645" s="1">
        <f ca="1">IFERROR(__xludf.DUMMYFUNCTION("""COMPUTED_VALUE"""),217.61)</f>
        <v>217.61</v>
      </c>
      <c r="E1645" s="1">
        <f ca="1">IFERROR(__xludf.DUMMYFUNCTION("""COMPUTED_VALUE"""),217.79)</f>
        <v>217.79</v>
      </c>
      <c r="F1645" s="1">
        <f ca="1">IFERROR(__xludf.DUMMYFUNCTION("""COMPUTED_VALUE"""),21641190)</f>
        <v>21641190</v>
      </c>
    </row>
    <row r="1646" spans="1:6" x14ac:dyDescent="0.35">
      <c r="A1646" s="2">
        <f ca="1">IFERROR(__xludf.DUMMYFUNCTION("""COMPUTED_VALUE"""),44392.6666666666)</f>
        <v>44392.666666666599</v>
      </c>
      <c r="B1646" s="1">
        <f ca="1">IFERROR(__xludf.DUMMYFUNCTION("""COMPUTED_VALUE"""),219.46)</f>
        <v>219.46</v>
      </c>
      <c r="C1646" s="1">
        <f ca="1">IFERROR(__xludf.DUMMYFUNCTION("""COMPUTED_VALUE"""),222.05)</f>
        <v>222.05</v>
      </c>
      <c r="D1646" s="1">
        <f ca="1">IFERROR(__xludf.DUMMYFUNCTION("""COMPUTED_VALUE"""),212.63)</f>
        <v>212.63</v>
      </c>
      <c r="E1646" s="1">
        <f ca="1">IFERROR(__xludf.DUMMYFUNCTION("""COMPUTED_VALUE"""),216.87)</f>
        <v>216.87</v>
      </c>
      <c r="F1646" s="1">
        <f ca="1">IFERROR(__xludf.DUMMYFUNCTION("""COMPUTED_VALUE"""),20209571)</f>
        <v>20209571</v>
      </c>
    </row>
    <row r="1647" spans="1:6" x14ac:dyDescent="0.35">
      <c r="A1647" s="2">
        <f ca="1">IFERROR(__xludf.DUMMYFUNCTION("""COMPUTED_VALUE"""),44393.6666666666)</f>
        <v>44393.666666666599</v>
      </c>
      <c r="B1647" s="1">
        <f ca="1">IFERROR(__xludf.DUMMYFUNCTION("""COMPUTED_VALUE"""),218.23)</f>
        <v>218.23</v>
      </c>
      <c r="C1647" s="1">
        <f ca="1">IFERROR(__xludf.DUMMYFUNCTION("""COMPUTED_VALUE"""),218.9)</f>
        <v>218.9</v>
      </c>
      <c r="D1647" s="1">
        <f ca="1">IFERROR(__xludf.DUMMYFUNCTION("""COMPUTED_VALUE"""),214.07)</f>
        <v>214.07</v>
      </c>
      <c r="E1647" s="1">
        <f ca="1">IFERROR(__xludf.DUMMYFUNCTION("""COMPUTED_VALUE"""),214.74)</f>
        <v>214.74</v>
      </c>
      <c r="F1647" s="1">
        <f ca="1">IFERROR(__xludf.DUMMYFUNCTION("""COMPUTED_VALUE"""),16370970)</f>
        <v>16370970</v>
      </c>
    </row>
    <row r="1648" spans="1:6" x14ac:dyDescent="0.35">
      <c r="A1648" s="2">
        <f ca="1">IFERROR(__xludf.DUMMYFUNCTION("""COMPUTED_VALUE"""),44396.6666666666)</f>
        <v>44396.666666666599</v>
      </c>
      <c r="B1648" s="1">
        <f ca="1">IFERROR(__xludf.DUMMYFUNCTION("""COMPUTED_VALUE"""),209.96)</f>
        <v>209.96</v>
      </c>
      <c r="C1648" s="1">
        <f ca="1">IFERROR(__xludf.DUMMYFUNCTION("""COMPUTED_VALUE"""),215.73)</f>
        <v>215.73</v>
      </c>
      <c r="D1648" s="1">
        <f ca="1">IFERROR(__xludf.DUMMYFUNCTION("""COMPUTED_VALUE"""),207.1)</f>
        <v>207.1</v>
      </c>
      <c r="E1648" s="1">
        <f ca="1">IFERROR(__xludf.DUMMYFUNCTION("""COMPUTED_VALUE"""),215.41)</f>
        <v>215.41</v>
      </c>
      <c r="F1648" s="1">
        <f ca="1">IFERROR(__xludf.DUMMYFUNCTION("""COMPUTED_VALUE"""),21297090)</f>
        <v>21297090</v>
      </c>
    </row>
    <row r="1649" spans="1:6" x14ac:dyDescent="0.35">
      <c r="A1649" s="2">
        <f ca="1">IFERROR(__xludf.DUMMYFUNCTION("""COMPUTED_VALUE"""),44397.6666666666)</f>
        <v>44397.666666666599</v>
      </c>
      <c r="B1649" s="1">
        <f ca="1">IFERROR(__xludf.DUMMYFUNCTION("""COMPUTED_VALUE"""),217.33)</f>
        <v>217.33</v>
      </c>
      <c r="C1649" s="1">
        <f ca="1">IFERROR(__xludf.DUMMYFUNCTION("""COMPUTED_VALUE"""),220.8)</f>
        <v>220.8</v>
      </c>
      <c r="D1649" s="1">
        <f ca="1">IFERROR(__xludf.DUMMYFUNCTION("""COMPUTED_VALUE"""),213.5)</f>
        <v>213.5</v>
      </c>
      <c r="E1649" s="1">
        <f ca="1">IFERROR(__xludf.DUMMYFUNCTION("""COMPUTED_VALUE"""),220.17)</f>
        <v>220.17</v>
      </c>
      <c r="F1649" s="1">
        <f ca="1">IFERROR(__xludf.DUMMYFUNCTION("""COMPUTED_VALUE"""),15487127)</f>
        <v>15487127</v>
      </c>
    </row>
    <row r="1650" spans="1:6" x14ac:dyDescent="0.35">
      <c r="A1650" s="2">
        <f ca="1">IFERROR(__xludf.DUMMYFUNCTION("""COMPUTED_VALUE"""),44398.6666666666)</f>
        <v>44398.666666666599</v>
      </c>
      <c r="B1650" s="1">
        <f ca="1">IFERROR(__xludf.DUMMYFUNCTION("""COMPUTED_VALUE"""),219.87)</f>
        <v>219.87</v>
      </c>
      <c r="C1650" s="1">
        <f ca="1">IFERROR(__xludf.DUMMYFUNCTION("""COMPUTED_VALUE"""),221.62)</f>
        <v>221.62</v>
      </c>
      <c r="D1650" s="1">
        <f ca="1">IFERROR(__xludf.DUMMYFUNCTION("""COMPUTED_VALUE"""),216.76)</f>
        <v>216.76</v>
      </c>
      <c r="E1650" s="1">
        <f ca="1">IFERROR(__xludf.DUMMYFUNCTION("""COMPUTED_VALUE"""),218.43)</f>
        <v>218.43</v>
      </c>
      <c r="F1650" s="1">
        <f ca="1">IFERROR(__xludf.DUMMYFUNCTION("""COMPUTED_VALUE"""),13953338)</f>
        <v>13953338</v>
      </c>
    </row>
    <row r="1651" spans="1:6" x14ac:dyDescent="0.35">
      <c r="A1651" s="2">
        <f ca="1">IFERROR(__xludf.DUMMYFUNCTION("""COMPUTED_VALUE"""),44399.6666666666)</f>
        <v>44399.666666666599</v>
      </c>
      <c r="B1651" s="1">
        <f ca="1">IFERROR(__xludf.DUMMYFUNCTION("""COMPUTED_VALUE"""),218.81)</f>
        <v>218.81</v>
      </c>
      <c r="C1651" s="1">
        <f ca="1">IFERROR(__xludf.DUMMYFUNCTION("""COMPUTED_VALUE"""),220.72)</f>
        <v>220.72</v>
      </c>
      <c r="D1651" s="1">
        <f ca="1">IFERROR(__xludf.DUMMYFUNCTION("""COMPUTED_VALUE"""),214.87)</f>
        <v>214.87</v>
      </c>
      <c r="E1651" s="1">
        <f ca="1">IFERROR(__xludf.DUMMYFUNCTION("""COMPUTED_VALUE"""),216.42)</f>
        <v>216.42</v>
      </c>
      <c r="F1651" s="1">
        <f ca="1">IFERROR(__xludf.DUMMYFUNCTION("""COMPUTED_VALUE"""),15105727)</f>
        <v>15105727</v>
      </c>
    </row>
    <row r="1652" spans="1:6" x14ac:dyDescent="0.35">
      <c r="A1652" s="2">
        <f ca="1">IFERROR(__xludf.DUMMYFUNCTION("""COMPUTED_VALUE"""),44400.6666666666)</f>
        <v>44400.666666666599</v>
      </c>
      <c r="B1652" s="1">
        <f ca="1">IFERROR(__xludf.DUMMYFUNCTION("""COMPUTED_VALUE"""),215.45)</f>
        <v>215.45</v>
      </c>
      <c r="C1652" s="1">
        <f ca="1">IFERROR(__xludf.DUMMYFUNCTION("""COMPUTED_VALUE"""),216.27)</f>
        <v>216.27</v>
      </c>
      <c r="D1652" s="1">
        <f ca="1">IFERROR(__xludf.DUMMYFUNCTION("""COMPUTED_VALUE"""),212.43)</f>
        <v>212.43</v>
      </c>
      <c r="E1652" s="1">
        <f ca="1">IFERROR(__xludf.DUMMYFUNCTION("""COMPUTED_VALUE"""),214.46)</f>
        <v>214.46</v>
      </c>
      <c r="F1652" s="1">
        <f ca="1">IFERROR(__xludf.DUMMYFUNCTION("""COMPUTED_VALUE"""),14604944)</f>
        <v>14604944</v>
      </c>
    </row>
    <row r="1653" spans="1:6" x14ac:dyDescent="0.35">
      <c r="A1653" s="2">
        <f ca="1">IFERROR(__xludf.DUMMYFUNCTION("""COMPUTED_VALUE"""),44403.6666666666)</f>
        <v>44403.666666666599</v>
      </c>
      <c r="B1653" s="1">
        <f ca="1">IFERROR(__xludf.DUMMYFUNCTION("""COMPUTED_VALUE"""),216.99)</f>
        <v>216.99</v>
      </c>
      <c r="C1653" s="1">
        <f ca="1">IFERROR(__xludf.DUMMYFUNCTION("""COMPUTED_VALUE"""),222.73)</f>
        <v>222.73</v>
      </c>
      <c r="D1653" s="1">
        <f ca="1">IFERROR(__xludf.DUMMYFUNCTION("""COMPUTED_VALUE"""),215.7)</f>
        <v>215.7</v>
      </c>
      <c r="E1653" s="1">
        <f ca="1">IFERROR(__xludf.DUMMYFUNCTION("""COMPUTED_VALUE"""),219.21)</f>
        <v>219.21</v>
      </c>
      <c r="F1653" s="1">
        <f ca="1">IFERROR(__xludf.DUMMYFUNCTION("""COMPUTED_VALUE"""),25336556)</f>
        <v>25336556</v>
      </c>
    </row>
    <row r="1654" spans="1:6" x14ac:dyDescent="0.35">
      <c r="A1654" s="2">
        <f ca="1">IFERROR(__xludf.DUMMYFUNCTION("""COMPUTED_VALUE"""),44404.6666666666)</f>
        <v>44404.666666666599</v>
      </c>
      <c r="B1654" s="1">
        <f ca="1">IFERROR(__xludf.DUMMYFUNCTION("""COMPUTED_VALUE"""),221.13)</f>
        <v>221.13</v>
      </c>
      <c r="C1654" s="1">
        <f ca="1">IFERROR(__xludf.DUMMYFUNCTION("""COMPUTED_VALUE"""),222.17)</f>
        <v>222.17</v>
      </c>
      <c r="D1654" s="1">
        <f ca="1">IFERROR(__xludf.DUMMYFUNCTION("""COMPUTED_VALUE"""),209.08)</f>
        <v>209.08</v>
      </c>
      <c r="E1654" s="1">
        <f ca="1">IFERROR(__xludf.DUMMYFUNCTION("""COMPUTED_VALUE"""),214.93)</f>
        <v>214.93</v>
      </c>
      <c r="F1654" s="1">
        <f ca="1">IFERROR(__xludf.DUMMYFUNCTION("""COMPUTED_VALUE"""),32813290)</f>
        <v>32813290</v>
      </c>
    </row>
    <row r="1655" spans="1:6" x14ac:dyDescent="0.35">
      <c r="A1655" s="2">
        <f ca="1">IFERROR(__xludf.DUMMYFUNCTION("""COMPUTED_VALUE"""),44405.6666666666)</f>
        <v>44405.666666666599</v>
      </c>
      <c r="B1655" s="1">
        <f ca="1">IFERROR(__xludf.DUMMYFUNCTION("""COMPUTED_VALUE"""),215.67)</f>
        <v>215.67</v>
      </c>
      <c r="C1655" s="1">
        <f ca="1">IFERROR(__xludf.DUMMYFUNCTION("""COMPUTED_VALUE"""),218.32)</f>
        <v>218.32</v>
      </c>
      <c r="D1655" s="1">
        <f ca="1">IFERROR(__xludf.DUMMYFUNCTION("""COMPUTED_VALUE"""),213.13)</f>
        <v>213.13</v>
      </c>
      <c r="E1655" s="1">
        <f ca="1">IFERROR(__xludf.DUMMYFUNCTION("""COMPUTED_VALUE"""),215.66)</f>
        <v>215.66</v>
      </c>
      <c r="F1655" s="1">
        <f ca="1">IFERROR(__xludf.DUMMYFUNCTION("""COMPUTED_VALUE"""),16006596)</f>
        <v>16006596</v>
      </c>
    </row>
    <row r="1656" spans="1:6" x14ac:dyDescent="0.35">
      <c r="A1656" s="2">
        <f ca="1">IFERROR(__xludf.DUMMYFUNCTION("""COMPUTED_VALUE"""),44406.6666666666)</f>
        <v>44406.666666666599</v>
      </c>
      <c r="B1656" s="1">
        <f ca="1">IFERROR(__xludf.DUMMYFUNCTION("""COMPUTED_VALUE"""),216.6)</f>
        <v>216.6</v>
      </c>
      <c r="C1656" s="1">
        <f ca="1">IFERROR(__xludf.DUMMYFUNCTION("""COMPUTED_VALUE"""),227.9)</f>
        <v>227.9</v>
      </c>
      <c r="D1656" s="1">
        <f ca="1">IFERROR(__xludf.DUMMYFUNCTION("""COMPUTED_VALUE"""),216.27)</f>
        <v>216.27</v>
      </c>
      <c r="E1656" s="1">
        <f ca="1">IFERROR(__xludf.DUMMYFUNCTION("""COMPUTED_VALUE"""),225.78)</f>
        <v>225.78</v>
      </c>
      <c r="F1656" s="1">
        <f ca="1">IFERROR(__xludf.DUMMYFUNCTION("""COMPUTED_VALUE"""),30394637)</f>
        <v>30394637</v>
      </c>
    </row>
    <row r="1657" spans="1:6" x14ac:dyDescent="0.35">
      <c r="A1657" s="2">
        <f ca="1">IFERROR(__xludf.DUMMYFUNCTION("""COMPUTED_VALUE"""),44407.6666666666)</f>
        <v>44407.666666666599</v>
      </c>
      <c r="B1657" s="1">
        <f ca="1">IFERROR(__xludf.DUMMYFUNCTION("""COMPUTED_VALUE"""),223.92)</f>
        <v>223.92</v>
      </c>
      <c r="C1657" s="1">
        <f ca="1">IFERROR(__xludf.DUMMYFUNCTION("""COMPUTED_VALUE"""),232.51)</f>
        <v>232.51</v>
      </c>
      <c r="D1657" s="1">
        <f ca="1">IFERROR(__xludf.DUMMYFUNCTION("""COMPUTED_VALUE"""),223)</f>
        <v>223</v>
      </c>
      <c r="E1657" s="1">
        <f ca="1">IFERROR(__xludf.DUMMYFUNCTION("""COMPUTED_VALUE"""),229.07)</f>
        <v>229.07</v>
      </c>
      <c r="F1657" s="1">
        <f ca="1">IFERROR(__xludf.DUMMYFUNCTION("""COMPUTED_VALUE"""),29656411)</f>
        <v>29656411</v>
      </c>
    </row>
    <row r="1658" spans="1:6" x14ac:dyDescent="0.35">
      <c r="A1658" s="2">
        <f ca="1">IFERROR(__xludf.DUMMYFUNCTION("""COMPUTED_VALUE"""),44410.6666666666)</f>
        <v>44410.666666666599</v>
      </c>
      <c r="B1658" s="1">
        <f ca="1">IFERROR(__xludf.DUMMYFUNCTION("""COMPUTED_VALUE"""),233.33)</f>
        <v>233.33</v>
      </c>
      <c r="C1658" s="1">
        <f ca="1">IFERROR(__xludf.DUMMYFUNCTION("""COMPUTED_VALUE"""),242.31)</f>
        <v>242.31</v>
      </c>
      <c r="D1658" s="1">
        <f ca="1">IFERROR(__xludf.DUMMYFUNCTION("""COMPUTED_VALUE"""),232.8)</f>
        <v>232.8</v>
      </c>
      <c r="E1658" s="1">
        <f ca="1">IFERROR(__xludf.DUMMYFUNCTION("""COMPUTED_VALUE"""),236.56)</f>
        <v>236.56</v>
      </c>
      <c r="F1658" s="1">
        <f ca="1">IFERROR(__xludf.DUMMYFUNCTION("""COMPUTED_VALUE"""),33615765)</f>
        <v>33615765</v>
      </c>
    </row>
    <row r="1659" spans="1:6" x14ac:dyDescent="0.35">
      <c r="A1659" s="2">
        <f ca="1">IFERROR(__xludf.DUMMYFUNCTION("""COMPUTED_VALUE"""),44411.6666666666)</f>
        <v>44411.666666666599</v>
      </c>
      <c r="B1659" s="1">
        <f ca="1">IFERROR(__xludf.DUMMYFUNCTION("""COMPUTED_VALUE"""),239.67)</f>
        <v>239.67</v>
      </c>
      <c r="C1659" s="1">
        <f ca="1">IFERROR(__xludf.DUMMYFUNCTION("""COMPUTED_VALUE"""),240.88)</f>
        <v>240.88</v>
      </c>
      <c r="D1659" s="1">
        <f ca="1">IFERROR(__xludf.DUMMYFUNCTION("""COMPUTED_VALUE"""),233.67)</f>
        <v>233.67</v>
      </c>
      <c r="E1659" s="1">
        <f ca="1">IFERROR(__xludf.DUMMYFUNCTION("""COMPUTED_VALUE"""),236.58)</f>
        <v>236.58</v>
      </c>
      <c r="F1659" s="1">
        <f ca="1">IFERROR(__xludf.DUMMYFUNCTION("""COMPUTED_VALUE"""),21620253)</f>
        <v>21620253</v>
      </c>
    </row>
    <row r="1660" spans="1:6" x14ac:dyDescent="0.35">
      <c r="A1660" s="2">
        <f ca="1">IFERROR(__xludf.DUMMYFUNCTION("""COMPUTED_VALUE"""),44412.6666666666)</f>
        <v>44412.666666666599</v>
      </c>
      <c r="B1660" s="1">
        <f ca="1">IFERROR(__xludf.DUMMYFUNCTION("""COMPUTED_VALUE"""),237)</f>
        <v>237</v>
      </c>
      <c r="C1660" s="1">
        <f ca="1">IFERROR(__xludf.DUMMYFUNCTION("""COMPUTED_VALUE"""),241.63)</f>
        <v>241.63</v>
      </c>
      <c r="D1660" s="1">
        <f ca="1">IFERROR(__xludf.DUMMYFUNCTION("""COMPUTED_VALUE"""),236.31)</f>
        <v>236.31</v>
      </c>
      <c r="E1660" s="1">
        <f ca="1">IFERROR(__xludf.DUMMYFUNCTION("""COMPUTED_VALUE"""),236.97)</f>
        <v>236.97</v>
      </c>
      <c r="F1660" s="1">
        <f ca="1">IFERROR(__xludf.DUMMYFUNCTION("""COMPUTED_VALUE"""),17002647)</f>
        <v>17002647</v>
      </c>
    </row>
    <row r="1661" spans="1:6" x14ac:dyDescent="0.35">
      <c r="A1661" s="2">
        <f ca="1">IFERROR(__xludf.DUMMYFUNCTION("""COMPUTED_VALUE"""),44413.6666666666)</f>
        <v>44413.666666666599</v>
      </c>
      <c r="B1661" s="1">
        <f ca="1">IFERROR(__xludf.DUMMYFUNCTION("""COMPUTED_VALUE"""),238.67)</f>
        <v>238.67</v>
      </c>
      <c r="C1661" s="1">
        <f ca="1">IFERROR(__xludf.DUMMYFUNCTION("""COMPUTED_VALUE"""),240.32)</f>
        <v>240.32</v>
      </c>
      <c r="D1661" s="1">
        <f ca="1">IFERROR(__xludf.DUMMYFUNCTION("""COMPUTED_VALUE"""),237.14)</f>
        <v>237.14</v>
      </c>
      <c r="E1661" s="1">
        <f ca="1">IFERROR(__xludf.DUMMYFUNCTION("""COMPUTED_VALUE"""),238.21)</f>
        <v>238.21</v>
      </c>
      <c r="F1661" s="1">
        <f ca="1">IFERROR(__xludf.DUMMYFUNCTION("""COMPUTED_VALUE"""),12919637)</f>
        <v>12919637</v>
      </c>
    </row>
    <row r="1662" spans="1:6" x14ac:dyDescent="0.35">
      <c r="A1662" s="2">
        <f ca="1">IFERROR(__xludf.DUMMYFUNCTION("""COMPUTED_VALUE"""),44414.6666666666)</f>
        <v>44414.666666666599</v>
      </c>
      <c r="B1662" s="1">
        <f ca="1">IFERROR(__xludf.DUMMYFUNCTION("""COMPUTED_VALUE"""),237.3)</f>
        <v>237.3</v>
      </c>
      <c r="C1662" s="1">
        <f ca="1">IFERROR(__xludf.DUMMYFUNCTION("""COMPUTED_VALUE"""),238.78)</f>
        <v>238.78</v>
      </c>
      <c r="D1662" s="1">
        <f ca="1">IFERROR(__xludf.DUMMYFUNCTION("""COMPUTED_VALUE"""),232.54)</f>
        <v>232.54</v>
      </c>
      <c r="E1662" s="1">
        <f ca="1">IFERROR(__xludf.DUMMYFUNCTION("""COMPUTED_VALUE"""),233.03)</f>
        <v>233.03</v>
      </c>
      <c r="F1662" s="1">
        <f ca="1">IFERROR(__xludf.DUMMYFUNCTION("""COMPUTED_VALUE"""),15623049)</f>
        <v>15623049</v>
      </c>
    </row>
    <row r="1663" spans="1:6" x14ac:dyDescent="0.35">
      <c r="A1663" s="2">
        <f ca="1">IFERROR(__xludf.DUMMYFUNCTION("""COMPUTED_VALUE"""),44417.6666666666)</f>
        <v>44417.666666666599</v>
      </c>
      <c r="B1663" s="1">
        <f ca="1">IFERROR(__xludf.DUMMYFUNCTION("""COMPUTED_VALUE"""),236.72)</f>
        <v>236.72</v>
      </c>
      <c r="C1663" s="1">
        <f ca="1">IFERROR(__xludf.DUMMYFUNCTION("""COMPUTED_VALUE"""),239.68)</f>
        <v>239.68</v>
      </c>
      <c r="D1663" s="1">
        <f ca="1">IFERROR(__xludf.DUMMYFUNCTION("""COMPUTED_VALUE"""),235.04)</f>
        <v>235.04</v>
      </c>
      <c r="E1663" s="1">
        <f ca="1">IFERROR(__xludf.DUMMYFUNCTION("""COMPUTED_VALUE"""),237.92)</f>
        <v>237.92</v>
      </c>
      <c r="F1663" s="1">
        <f ca="1">IFERROR(__xludf.DUMMYFUNCTION("""COMPUTED_VALUE"""),14715349)</f>
        <v>14715349</v>
      </c>
    </row>
    <row r="1664" spans="1:6" x14ac:dyDescent="0.35">
      <c r="A1664" s="2">
        <f ca="1">IFERROR(__xludf.DUMMYFUNCTION("""COMPUTED_VALUE"""),44418.6666666666)</f>
        <v>44418.666666666599</v>
      </c>
      <c r="B1664" s="1">
        <f ca="1">IFERROR(__xludf.DUMMYFUNCTION("""COMPUTED_VALUE"""),238)</f>
        <v>238</v>
      </c>
      <c r="C1664" s="1">
        <f ca="1">IFERROR(__xludf.DUMMYFUNCTION("""COMPUTED_VALUE"""),238.86)</f>
        <v>238.86</v>
      </c>
      <c r="D1664" s="1">
        <f ca="1">IFERROR(__xludf.DUMMYFUNCTION("""COMPUTED_VALUE"""),233.96)</f>
        <v>233.96</v>
      </c>
      <c r="E1664" s="1">
        <f ca="1">IFERROR(__xludf.DUMMYFUNCTION("""COMPUTED_VALUE"""),236.66)</f>
        <v>236.66</v>
      </c>
      <c r="F1664" s="1">
        <f ca="1">IFERROR(__xludf.DUMMYFUNCTION("""COMPUTED_VALUE"""),13432305)</f>
        <v>13432305</v>
      </c>
    </row>
    <row r="1665" spans="1:6" x14ac:dyDescent="0.35">
      <c r="A1665" s="2">
        <f ca="1">IFERROR(__xludf.DUMMYFUNCTION("""COMPUTED_VALUE"""),44419.6666666666)</f>
        <v>44419.666666666599</v>
      </c>
      <c r="B1665" s="1">
        <f ca="1">IFERROR(__xludf.DUMMYFUNCTION("""COMPUTED_VALUE"""),237.57)</f>
        <v>237.57</v>
      </c>
      <c r="C1665" s="1">
        <f ca="1">IFERROR(__xludf.DUMMYFUNCTION("""COMPUTED_VALUE"""),238.39)</f>
        <v>238.39</v>
      </c>
      <c r="D1665" s="1">
        <f ca="1">IFERROR(__xludf.DUMMYFUNCTION("""COMPUTED_VALUE"""),234.74)</f>
        <v>234.74</v>
      </c>
      <c r="E1665" s="1">
        <f ca="1">IFERROR(__xludf.DUMMYFUNCTION("""COMPUTED_VALUE"""),235.94)</f>
        <v>235.94</v>
      </c>
      <c r="F1665" s="1">
        <f ca="1">IFERROR(__xludf.DUMMYFUNCTION("""COMPUTED_VALUE"""),9800558)</f>
        <v>9800558</v>
      </c>
    </row>
    <row r="1666" spans="1:6" x14ac:dyDescent="0.35">
      <c r="A1666" s="2">
        <f ca="1">IFERROR(__xludf.DUMMYFUNCTION("""COMPUTED_VALUE"""),44420.6666666666)</f>
        <v>44420.666666666599</v>
      </c>
      <c r="B1666" s="1">
        <f ca="1">IFERROR(__xludf.DUMMYFUNCTION("""COMPUTED_VALUE"""),235.45)</f>
        <v>235.45</v>
      </c>
      <c r="C1666" s="1">
        <f ca="1">IFERROR(__xludf.DUMMYFUNCTION("""COMPUTED_VALUE"""),240.93)</f>
        <v>240.93</v>
      </c>
      <c r="D1666" s="1">
        <f ca="1">IFERROR(__xludf.DUMMYFUNCTION("""COMPUTED_VALUE"""),233.13)</f>
        <v>233.13</v>
      </c>
      <c r="E1666" s="1">
        <f ca="1">IFERROR(__xludf.DUMMYFUNCTION("""COMPUTED_VALUE"""),240.75)</f>
        <v>240.75</v>
      </c>
      <c r="F1666" s="1">
        <f ca="1">IFERROR(__xludf.DUMMYFUNCTION("""COMPUTED_VALUE"""),17681686)</f>
        <v>17681686</v>
      </c>
    </row>
    <row r="1667" spans="1:6" x14ac:dyDescent="0.35">
      <c r="A1667" s="2">
        <f ca="1">IFERROR(__xludf.DUMMYFUNCTION("""COMPUTED_VALUE"""),44421.6666666666)</f>
        <v>44421.666666666599</v>
      </c>
      <c r="B1667" s="1">
        <f ca="1">IFERROR(__xludf.DUMMYFUNCTION("""COMPUTED_VALUE"""),241.24)</f>
        <v>241.24</v>
      </c>
      <c r="C1667" s="1">
        <f ca="1">IFERROR(__xludf.DUMMYFUNCTION("""COMPUTED_VALUE"""),243.3)</f>
        <v>243.3</v>
      </c>
      <c r="D1667" s="1">
        <f ca="1">IFERROR(__xludf.DUMMYFUNCTION("""COMPUTED_VALUE"""),238.11)</f>
        <v>238.11</v>
      </c>
      <c r="E1667" s="1">
        <f ca="1">IFERROR(__xludf.DUMMYFUNCTION("""COMPUTED_VALUE"""),239.06)</f>
        <v>239.06</v>
      </c>
      <c r="F1667" s="1">
        <f ca="1">IFERROR(__xludf.DUMMYFUNCTION("""COMPUTED_VALUE"""),16731467)</f>
        <v>16731467</v>
      </c>
    </row>
    <row r="1668" spans="1:6" x14ac:dyDescent="0.35">
      <c r="A1668" s="2">
        <f ca="1">IFERROR(__xludf.DUMMYFUNCTION("""COMPUTED_VALUE"""),44424.6666666666)</f>
        <v>44424.666666666599</v>
      </c>
      <c r="B1668" s="1">
        <f ca="1">IFERROR(__xludf.DUMMYFUNCTION("""COMPUTED_VALUE"""),235.02)</f>
        <v>235.02</v>
      </c>
      <c r="C1668" s="1">
        <f ca="1">IFERROR(__xludf.DUMMYFUNCTION("""COMPUTED_VALUE"""),236.5)</f>
        <v>236.5</v>
      </c>
      <c r="D1668" s="1">
        <f ca="1">IFERROR(__xludf.DUMMYFUNCTION("""COMPUTED_VALUE"""),225.47)</f>
        <v>225.47</v>
      </c>
      <c r="E1668" s="1">
        <f ca="1">IFERROR(__xludf.DUMMYFUNCTION("""COMPUTED_VALUE"""),228.72)</f>
        <v>228.72</v>
      </c>
      <c r="F1668" s="1">
        <f ca="1">IFERROR(__xludf.DUMMYFUNCTION("""COMPUTED_VALUE"""),23103303)</f>
        <v>23103303</v>
      </c>
    </row>
    <row r="1669" spans="1:6" x14ac:dyDescent="0.35">
      <c r="A1669" s="2">
        <f ca="1">IFERROR(__xludf.DUMMYFUNCTION("""COMPUTED_VALUE"""),44425.6666666666)</f>
        <v>44425.666666666599</v>
      </c>
      <c r="B1669" s="1">
        <f ca="1">IFERROR(__xludf.DUMMYFUNCTION("""COMPUTED_VALUE"""),224.22)</f>
        <v>224.22</v>
      </c>
      <c r="C1669" s="1">
        <f ca="1">IFERROR(__xludf.DUMMYFUNCTION("""COMPUTED_VALUE"""),224.86)</f>
        <v>224.86</v>
      </c>
      <c r="D1669" s="1">
        <f ca="1">IFERROR(__xludf.DUMMYFUNCTION("""COMPUTED_VALUE"""),216.28)</f>
        <v>216.28</v>
      </c>
      <c r="E1669" s="1">
        <f ca="1">IFERROR(__xludf.DUMMYFUNCTION("""COMPUTED_VALUE"""),221.9)</f>
        <v>221.9</v>
      </c>
      <c r="F1669" s="1">
        <f ca="1">IFERROR(__xludf.DUMMYFUNCTION("""COMPUTED_VALUE"""),23721279)</f>
        <v>23721279</v>
      </c>
    </row>
    <row r="1670" spans="1:6" x14ac:dyDescent="0.35">
      <c r="A1670" s="2">
        <f ca="1">IFERROR(__xludf.DUMMYFUNCTION("""COMPUTED_VALUE"""),44426.6666666666)</f>
        <v>44426.666666666599</v>
      </c>
      <c r="B1670" s="1">
        <f ca="1">IFERROR(__xludf.DUMMYFUNCTION("""COMPUTED_VALUE"""),223.25)</f>
        <v>223.25</v>
      </c>
      <c r="C1670" s="1">
        <f ca="1">IFERROR(__xludf.DUMMYFUNCTION("""COMPUTED_VALUE"""),231.92)</f>
        <v>231.92</v>
      </c>
      <c r="D1670" s="1">
        <f ca="1">IFERROR(__xludf.DUMMYFUNCTION("""COMPUTED_VALUE"""),223.12)</f>
        <v>223.12</v>
      </c>
      <c r="E1670" s="1">
        <f ca="1">IFERROR(__xludf.DUMMYFUNCTION("""COMPUTED_VALUE"""),229.66)</f>
        <v>229.66</v>
      </c>
      <c r="F1670" s="1">
        <f ca="1">IFERROR(__xludf.DUMMYFUNCTION("""COMPUTED_VALUE"""),20349375)</f>
        <v>20349375</v>
      </c>
    </row>
    <row r="1671" spans="1:6" x14ac:dyDescent="0.35">
      <c r="A1671" s="2">
        <f ca="1">IFERROR(__xludf.DUMMYFUNCTION("""COMPUTED_VALUE"""),44427.6666666666)</f>
        <v>44427.666666666599</v>
      </c>
      <c r="B1671" s="1">
        <f ca="1">IFERROR(__xludf.DUMMYFUNCTION("""COMPUTED_VALUE"""),226.07)</f>
        <v>226.07</v>
      </c>
      <c r="C1671" s="1">
        <f ca="1">IFERROR(__xludf.DUMMYFUNCTION("""COMPUTED_VALUE"""),228.85)</f>
        <v>228.85</v>
      </c>
      <c r="D1671" s="1">
        <f ca="1">IFERROR(__xludf.DUMMYFUNCTION("""COMPUTED_VALUE"""),222.53)</f>
        <v>222.53</v>
      </c>
      <c r="E1671" s="1">
        <f ca="1">IFERROR(__xludf.DUMMYFUNCTION("""COMPUTED_VALUE"""),224.49)</f>
        <v>224.49</v>
      </c>
      <c r="F1671" s="1">
        <f ca="1">IFERROR(__xludf.DUMMYFUNCTION("""COMPUTED_VALUE"""),14313486)</f>
        <v>14313486</v>
      </c>
    </row>
    <row r="1672" spans="1:6" x14ac:dyDescent="0.35">
      <c r="A1672" s="2">
        <f ca="1">IFERROR(__xludf.DUMMYFUNCTION("""COMPUTED_VALUE"""),44428.6666666666)</f>
        <v>44428.666666666599</v>
      </c>
      <c r="B1672" s="1">
        <f ca="1">IFERROR(__xludf.DUMMYFUNCTION("""COMPUTED_VALUE"""),227.62)</f>
        <v>227.62</v>
      </c>
      <c r="C1672" s="1">
        <f ca="1">IFERROR(__xludf.DUMMYFUNCTION("""COMPUTED_VALUE"""),230.71)</f>
        <v>230.71</v>
      </c>
      <c r="D1672" s="1">
        <f ca="1">IFERROR(__xludf.DUMMYFUNCTION("""COMPUTED_VALUE"""),224.57)</f>
        <v>224.57</v>
      </c>
      <c r="E1672" s="1">
        <f ca="1">IFERROR(__xludf.DUMMYFUNCTION("""COMPUTED_VALUE"""),226.75)</f>
        <v>226.75</v>
      </c>
      <c r="F1672" s="1">
        <f ca="1">IFERROR(__xludf.DUMMYFUNCTION("""COMPUTED_VALUE"""),14841865)</f>
        <v>14841865</v>
      </c>
    </row>
    <row r="1673" spans="1:6" x14ac:dyDescent="0.35">
      <c r="A1673" s="2">
        <f ca="1">IFERROR(__xludf.DUMMYFUNCTION("""COMPUTED_VALUE"""),44431.6666666666)</f>
        <v>44431.666666666599</v>
      </c>
      <c r="B1673" s="1">
        <f ca="1">IFERROR(__xludf.DUMMYFUNCTION("""COMPUTED_VALUE"""),228.48)</f>
        <v>228.48</v>
      </c>
      <c r="C1673" s="1">
        <f ca="1">IFERROR(__xludf.DUMMYFUNCTION("""COMPUTED_VALUE"""),237.38)</f>
        <v>237.38</v>
      </c>
      <c r="D1673" s="1">
        <f ca="1">IFERROR(__xludf.DUMMYFUNCTION("""COMPUTED_VALUE"""),226.92)</f>
        <v>226.92</v>
      </c>
      <c r="E1673" s="1">
        <f ca="1">IFERROR(__xludf.DUMMYFUNCTION("""COMPUTED_VALUE"""),235.43)</f>
        <v>235.43</v>
      </c>
      <c r="F1673" s="1">
        <f ca="1">IFERROR(__xludf.DUMMYFUNCTION("""COMPUTED_VALUE"""),20264859)</f>
        <v>20264859</v>
      </c>
    </row>
    <row r="1674" spans="1:6" x14ac:dyDescent="0.35">
      <c r="A1674" s="2">
        <f ca="1">IFERROR(__xludf.DUMMYFUNCTION("""COMPUTED_VALUE"""),44432.6666666666)</f>
        <v>44432.666666666599</v>
      </c>
      <c r="B1674" s="1">
        <f ca="1">IFERROR(__xludf.DUMMYFUNCTION("""COMPUTED_VALUE"""),236.89)</f>
        <v>236.89</v>
      </c>
      <c r="C1674" s="1">
        <f ca="1">IFERROR(__xludf.DUMMYFUNCTION("""COMPUTED_VALUE"""),238.41)</f>
        <v>238.41</v>
      </c>
      <c r="D1674" s="1">
        <f ca="1">IFERROR(__xludf.DUMMYFUNCTION("""COMPUTED_VALUE"""),234.21)</f>
        <v>234.21</v>
      </c>
      <c r="E1674" s="1">
        <f ca="1">IFERROR(__xludf.DUMMYFUNCTION("""COMPUTED_VALUE"""),236.16)</f>
        <v>236.16</v>
      </c>
      <c r="F1674" s="1">
        <f ca="1">IFERROR(__xludf.DUMMYFUNCTION("""COMPUTED_VALUE"""),13083071)</f>
        <v>13083071</v>
      </c>
    </row>
    <row r="1675" spans="1:6" x14ac:dyDescent="0.35">
      <c r="A1675" s="2">
        <f ca="1">IFERROR(__xludf.DUMMYFUNCTION("""COMPUTED_VALUE"""),44433.6666666666)</f>
        <v>44433.666666666599</v>
      </c>
      <c r="B1675" s="1">
        <f ca="1">IFERROR(__xludf.DUMMYFUNCTION("""COMPUTED_VALUE"""),235.68)</f>
        <v>235.68</v>
      </c>
      <c r="C1675" s="1">
        <f ca="1">IFERROR(__xludf.DUMMYFUNCTION("""COMPUTED_VALUE"""),238.99)</f>
        <v>238.99</v>
      </c>
      <c r="D1675" s="1">
        <f ca="1">IFERROR(__xludf.DUMMYFUNCTION("""COMPUTED_VALUE"""),234.67)</f>
        <v>234.67</v>
      </c>
      <c r="E1675" s="1">
        <f ca="1">IFERROR(__xludf.DUMMYFUNCTION("""COMPUTED_VALUE"""),237.07)</f>
        <v>237.07</v>
      </c>
      <c r="F1675" s="1">
        <f ca="1">IFERROR(__xludf.DUMMYFUNCTION("""COMPUTED_VALUE"""),12645562)</f>
        <v>12645562</v>
      </c>
    </row>
    <row r="1676" spans="1:6" x14ac:dyDescent="0.35">
      <c r="A1676" s="2">
        <f ca="1">IFERROR(__xludf.DUMMYFUNCTION("""COMPUTED_VALUE"""),44434.6666666666)</f>
        <v>44434.666666666599</v>
      </c>
      <c r="B1676" s="1">
        <f ca="1">IFERROR(__xludf.DUMMYFUNCTION("""COMPUTED_VALUE"""),236.1)</f>
        <v>236.1</v>
      </c>
      <c r="C1676" s="1">
        <f ca="1">IFERROR(__xludf.DUMMYFUNCTION("""COMPUTED_VALUE"""),238.47)</f>
        <v>238.47</v>
      </c>
      <c r="D1676" s="1">
        <f ca="1">IFERROR(__xludf.DUMMYFUNCTION("""COMPUTED_VALUE"""),232.54)</f>
        <v>232.54</v>
      </c>
      <c r="E1676" s="1">
        <f ca="1">IFERROR(__xludf.DUMMYFUNCTION("""COMPUTED_VALUE"""),233.72)</f>
        <v>233.72</v>
      </c>
      <c r="F1676" s="1">
        <f ca="1">IFERROR(__xludf.DUMMYFUNCTION("""COMPUTED_VALUE"""),13214292)</f>
        <v>13214292</v>
      </c>
    </row>
    <row r="1677" spans="1:6" x14ac:dyDescent="0.35">
      <c r="A1677" s="2">
        <f ca="1">IFERROR(__xludf.DUMMYFUNCTION("""COMPUTED_VALUE"""),44435.6666666666)</f>
        <v>44435.666666666599</v>
      </c>
      <c r="B1677" s="1">
        <f ca="1">IFERROR(__xludf.DUMMYFUNCTION("""COMPUTED_VALUE"""),235)</f>
        <v>235</v>
      </c>
      <c r="C1677" s="1">
        <f ca="1">IFERROR(__xludf.DUMMYFUNCTION("""COMPUTED_VALUE"""),238.33)</f>
        <v>238.33</v>
      </c>
      <c r="D1677" s="1">
        <f ca="1">IFERROR(__xludf.DUMMYFUNCTION("""COMPUTED_VALUE"""),234.03)</f>
        <v>234.03</v>
      </c>
      <c r="E1677" s="1">
        <f ca="1">IFERROR(__xludf.DUMMYFUNCTION("""COMPUTED_VALUE"""),237.31)</f>
        <v>237.31</v>
      </c>
      <c r="F1677" s="1">
        <f ca="1">IFERROR(__xludf.DUMMYFUNCTION("""COMPUTED_VALUE"""),13833763)</f>
        <v>13833763</v>
      </c>
    </row>
    <row r="1678" spans="1:6" x14ac:dyDescent="0.35">
      <c r="A1678" s="2">
        <f ca="1">IFERROR(__xludf.DUMMYFUNCTION("""COMPUTED_VALUE"""),44438.6666666666)</f>
        <v>44438.666666666599</v>
      </c>
      <c r="B1678" s="1">
        <f ca="1">IFERROR(__xludf.DUMMYFUNCTION("""COMPUTED_VALUE"""),238.24)</f>
        <v>238.24</v>
      </c>
      <c r="C1678" s="1">
        <f ca="1">IFERROR(__xludf.DUMMYFUNCTION("""COMPUTED_VALUE"""),243.67)</f>
        <v>243.67</v>
      </c>
      <c r="D1678" s="1">
        <f ca="1">IFERROR(__xludf.DUMMYFUNCTION("""COMPUTED_VALUE"""),237.58)</f>
        <v>237.58</v>
      </c>
      <c r="E1678" s="1">
        <f ca="1">IFERROR(__xludf.DUMMYFUNCTION("""COMPUTED_VALUE"""),243.64)</f>
        <v>243.64</v>
      </c>
      <c r="F1678" s="1">
        <f ca="1">IFERROR(__xludf.DUMMYFUNCTION("""COMPUTED_VALUE"""),18604220)</f>
        <v>18604220</v>
      </c>
    </row>
    <row r="1679" spans="1:6" x14ac:dyDescent="0.35">
      <c r="A1679" s="2">
        <f ca="1">IFERROR(__xludf.DUMMYFUNCTION("""COMPUTED_VALUE"""),44439.6666666666)</f>
        <v>44439.666666666599</v>
      </c>
      <c r="B1679" s="1">
        <f ca="1">IFERROR(__xludf.DUMMYFUNCTION("""COMPUTED_VALUE"""),244.33)</f>
        <v>244.33</v>
      </c>
      <c r="C1679" s="1">
        <f ca="1">IFERROR(__xludf.DUMMYFUNCTION("""COMPUTED_VALUE"""),246.8)</f>
        <v>246.8</v>
      </c>
      <c r="D1679" s="1">
        <f ca="1">IFERROR(__xludf.DUMMYFUNCTION("""COMPUTED_VALUE"""),242.15)</f>
        <v>242.15</v>
      </c>
      <c r="E1679" s="1">
        <f ca="1">IFERROR(__xludf.DUMMYFUNCTION("""COMPUTED_VALUE"""),245.24)</f>
        <v>245.24</v>
      </c>
      <c r="F1679" s="1">
        <f ca="1">IFERROR(__xludf.DUMMYFUNCTION("""COMPUTED_VALUE"""),20855436)</f>
        <v>20855436</v>
      </c>
    </row>
    <row r="1680" spans="1:6" x14ac:dyDescent="0.35">
      <c r="A1680" s="2">
        <f ca="1">IFERROR(__xludf.DUMMYFUNCTION("""COMPUTED_VALUE"""),44440.6666666666)</f>
        <v>44440.666666666599</v>
      </c>
      <c r="B1680" s="1">
        <f ca="1">IFERROR(__xludf.DUMMYFUNCTION("""COMPUTED_VALUE"""),244.69)</f>
        <v>244.69</v>
      </c>
      <c r="C1680" s="1">
        <f ca="1">IFERROR(__xludf.DUMMYFUNCTION("""COMPUTED_VALUE"""),247.33)</f>
        <v>247.33</v>
      </c>
      <c r="D1680" s="1">
        <f ca="1">IFERROR(__xludf.DUMMYFUNCTION("""COMPUTED_VALUE"""),243.76)</f>
        <v>243.76</v>
      </c>
      <c r="E1680" s="1">
        <f ca="1">IFERROR(__xludf.DUMMYFUNCTION("""COMPUTED_VALUE"""),244.7)</f>
        <v>244.7</v>
      </c>
      <c r="F1680" s="1">
        <f ca="1">IFERROR(__xludf.DUMMYFUNCTION("""COMPUTED_VALUE"""),13204335)</f>
        <v>13204335</v>
      </c>
    </row>
    <row r="1681" spans="1:6" x14ac:dyDescent="0.35">
      <c r="A1681" s="2">
        <f ca="1">IFERROR(__xludf.DUMMYFUNCTION("""COMPUTED_VALUE"""),44441.6666666666)</f>
        <v>44441.666666666599</v>
      </c>
      <c r="B1681" s="1">
        <f ca="1">IFERROR(__xludf.DUMMYFUNCTION("""COMPUTED_VALUE"""),244.83)</f>
        <v>244.83</v>
      </c>
      <c r="C1681" s="1">
        <f ca="1">IFERROR(__xludf.DUMMYFUNCTION("""COMPUTED_VALUE"""),246.99)</f>
        <v>246.99</v>
      </c>
      <c r="D1681" s="1">
        <f ca="1">IFERROR(__xludf.DUMMYFUNCTION("""COMPUTED_VALUE"""),243.51)</f>
        <v>243.51</v>
      </c>
      <c r="E1681" s="1">
        <f ca="1">IFERROR(__xludf.DUMMYFUNCTION("""COMPUTED_VALUE"""),244.13)</f>
        <v>244.13</v>
      </c>
      <c r="F1681" s="1">
        <f ca="1">IFERROR(__xludf.DUMMYFUNCTION("""COMPUTED_VALUE"""),12796739)</f>
        <v>12796739</v>
      </c>
    </row>
    <row r="1682" spans="1:6" x14ac:dyDescent="0.35">
      <c r="A1682" s="2">
        <f ca="1">IFERROR(__xludf.DUMMYFUNCTION("""COMPUTED_VALUE"""),44442.6666666666)</f>
        <v>44442.666666666599</v>
      </c>
      <c r="B1682" s="1">
        <f ca="1">IFERROR(__xludf.DUMMYFUNCTION("""COMPUTED_VALUE"""),244.08)</f>
        <v>244.08</v>
      </c>
      <c r="C1682" s="1">
        <f ca="1">IFERROR(__xludf.DUMMYFUNCTION("""COMPUTED_VALUE"""),244.67)</f>
        <v>244.67</v>
      </c>
      <c r="D1682" s="1">
        <f ca="1">IFERROR(__xludf.DUMMYFUNCTION("""COMPUTED_VALUE"""),241.4)</f>
        <v>241.4</v>
      </c>
      <c r="E1682" s="1">
        <f ca="1">IFERROR(__xludf.DUMMYFUNCTION("""COMPUTED_VALUE"""),244.52)</f>
        <v>244.52</v>
      </c>
      <c r="F1682" s="1">
        <f ca="1">IFERROR(__xludf.DUMMYFUNCTION("""COMPUTED_VALUE"""),15271045)</f>
        <v>15271045</v>
      </c>
    </row>
    <row r="1683" spans="1:6" x14ac:dyDescent="0.35">
      <c r="A1683" s="2">
        <f ca="1">IFERROR(__xludf.DUMMYFUNCTION("""COMPUTED_VALUE"""),44446.6666666666)</f>
        <v>44446.666666666599</v>
      </c>
      <c r="B1683" s="1">
        <f ca="1">IFERROR(__xludf.DUMMYFUNCTION("""COMPUTED_VALUE"""),246.67)</f>
        <v>246.67</v>
      </c>
      <c r="C1683" s="1">
        <f ca="1">IFERROR(__xludf.DUMMYFUNCTION("""COMPUTED_VALUE"""),253.4)</f>
        <v>253.4</v>
      </c>
      <c r="D1683" s="1">
        <f ca="1">IFERROR(__xludf.DUMMYFUNCTION("""COMPUTED_VALUE"""),246.42)</f>
        <v>246.42</v>
      </c>
      <c r="E1683" s="1">
        <f ca="1">IFERROR(__xludf.DUMMYFUNCTION("""COMPUTED_VALUE"""),250.97)</f>
        <v>250.97</v>
      </c>
      <c r="F1683" s="1">
        <f ca="1">IFERROR(__xludf.DUMMYFUNCTION("""COMPUTED_VALUE"""),20039825)</f>
        <v>20039825</v>
      </c>
    </row>
    <row r="1684" spans="1:6" x14ac:dyDescent="0.35">
      <c r="A1684" s="2">
        <f ca="1">IFERROR(__xludf.DUMMYFUNCTION("""COMPUTED_VALUE"""),44447.6666666666)</f>
        <v>44447.666666666599</v>
      </c>
      <c r="B1684" s="1">
        <f ca="1">IFERROR(__xludf.DUMMYFUNCTION("""COMPUTED_VALUE"""),253.86)</f>
        <v>253.86</v>
      </c>
      <c r="C1684" s="1">
        <f ca="1">IFERROR(__xludf.DUMMYFUNCTION("""COMPUTED_VALUE"""),254.82)</f>
        <v>254.82</v>
      </c>
      <c r="D1684" s="1">
        <f ca="1">IFERROR(__xludf.DUMMYFUNCTION("""COMPUTED_VALUE"""),246.92)</f>
        <v>246.92</v>
      </c>
      <c r="E1684" s="1">
        <f ca="1">IFERROR(__xludf.DUMMYFUNCTION("""COMPUTED_VALUE"""),251.29)</f>
        <v>251.29</v>
      </c>
      <c r="F1684" s="1">
        <f ca="1">IFERROR(__xludf.DUMMYFUNCTION("""COMPUTED_VALUE"""),18793036)</f>
        <v>18793036</v>
      </c>
    </row>
    <row r="1685" spans="1:6" x14ac:dyDescent="0.35">
      <c r="A1685" s="2">
        <f ca="1">IFERROR(__xludf.DUMMYFUNCTION("""COMPUTED_VALUE"""),44448.6666666666)</f>
        <v>44448.666666666599</v>
      </c>
      <c r="B1685" s="1">
        <f ca="1">IFERROR(__xludf.DUMMYFUNCTION("""COMPUTED_VALUE"""),251.14)</f>
        <v>251.14</v>
      </c>
      <c r="C1685" s="1">
        <f ca="1">IFERROR(__xludf.DUMMYFUNCTION("""COMPUTED_VALUE"""),254.03)</f>
        <v>254.03</v>
      </c>
      <c r="D1685" s="1">
        <f ca="1">IFERROR(__xludf.DUMMYFUNCTION("""COMPUTED_VALUE"""),250.54)</f>
        <v>250.54</v>
      </c>
      <c r="E1685" s="1">
        <f ca="1">IFERROR(__xludf.DUMMYFUNCTION("""COMPUTED_VALUE"""),251.62)</f>
        <v>251.62</v>
      </c>
      <c r="F1685" s="1">
        <f ca="1">IFERROR(__xludf.DUMMYFUNCTION("""COMPUTED_VALUE"""),14077731)</f>
        <v>14077731</v>
      </c>
    </row>
    <row r="1686" spans="1:6" x14ac:dyDescent="0.35">
      <c r="A1686" s="2">
        <f ca="1">IFERROR(__xludf.DUMMYFUNCTION("""COMPUTED_VALUE"""),44449.6666666666)</f>
        <v>44449.666666666599</v>
      </c>
      <c r="B1686" s="1">
        <f ca="1">IFERROR(__xludf.DUMMYFUNCTION("""COMPUTED_VALUE"""),253.2)</f>
        <v>253.2</v>
      </c>
      <c r="C1686" s="1">
        <f ca="1">IFERROR(__xludf.DUMMYFUNCTION("""COMPUTED_VALUE"""),254.2)</f>
        <v>254.2</v>
      </c>
      <c r="D1686" s="1">
        <f ca="1">IFERROR(__xludf.DUMMYFUNCTION("""COMPUTED_VALUE"""),244.84)</f>
        <v>244.84</v>
      </c>
      <c r="E1686" s="1">
        <f ca="1">IFERROR(__xludf.DUMMYFUNCTION("""COMPUTED_VALUE"""),245.42)</f>
        <v>245.42</v>
      </c>
      <c r="F1686" s="1">
        <f ca="1">IFERROR(__xludf.DUMMYFUNCTION("""COMPUTED_VALUE"""),15184170)</f>
        <v>15184170</v>
      </c>
    </row>
    <row r="1687" spans="1:6" x14ac:dyDescent="0.35">
      <c r="A1687" s="2">
        <f ca="1">IFERROR(__xludf.DUMMYFUNCTION("""COMPUTED_VALUE"""),44452.6666666666)</f>
        <v>44452.666666666599</v>
      </c>
      <c r="B1687" s="1">
        <f ca="1">IFERROR(__xludf.DUMMYFUNCTION("""COMPUTED_VALUE"""),246.74)</f>
        <v>246.74</v>
      </c>
      <c r="C1687" s="1">
        <f ca="1">IFERROR(__xludf.DUMMYFUNCTION("""COMPUTED_VALUE"""),248.26)</f>
        <v>248.26</v>
      </c>
      <c r="D1687" s="1">
        <f ca="1">IFERROR(__xludf.DUMMYFUNCTION("""COMPUTED_VALUE"""),236.28)</f>
        <v>236.28</v>
      </c>
      <c r="E1687" s="1">
        <f ca="1">IFERROR(__xludf.DUMMYFUNCTION("""COMPUTED_VALUE"""),247.67)</f>
        <v>247.67</v>
      </c>
      <c r="F1687" s="1">
        <f ca="1">IFERROR(__xludf.DUMMYFUNCTION("""COMPUTED_VALUE"""),22952482)</f>
        <v>22952482</v>
      </c>
    </row>
    <row r="1688" spans="1:6" x14ac:dyDescent="0.35">
      <c r="A1688" s="2">
        <f ca="1">IFERROR(__xludf.DUMMYFUNCTION("""COMPUTED_VALUE"""),44453.6666666666)</f>
        <v>44453.666666666599</v>
      </c>
      <c r="B1688" s="1">
        <f ca="1">IFERROR(__xludf.DUMMYFUNCTION("""COMPUTED_VALUE"""),247.52)</f>
        <v>247.52</v>
      </c>
      <c r="C1688" s="1">
        <f ca="1">IFERROR(__xludf.DUMMYFUNCTION("""COMPUTED_VALUE"""),251.49)</f>
        <v>251.49</v>
      </c>
      <c r="D1688" s="1">
        <f ca="1">IFERROR(__xludf.DUMMYFUNCTION("""COMPUTED_VALUE"""),245.47)</f>
        <v>245.47</v>
      </c>
      <c r="E1688" s="1">
        <f ca="1">IFERROR(__xludf.DUMMYFUNCTION("""COMPUTED_VALUE"""),248.16)</f>
        <v>248.16</v>
      </c>
      <c r="F1688" s="1">
        <f ca="1">IFERROR(__xludf.DUMMYFUNCTION("""COMPUTED_VALUE"""),18524881)</f>
        <v>18524881</v>
      </c>
    </row>
    <row r="1689" spans="1:6" x14ac:dyDescent="0.35">
      <c r="A1689" s="2">
        <f ca="1">IFERROR(__xludf.DUMMYFUNCTION("""COMPUTED_VALUE"""),44454.6666666666)</f>
        <v>44454.666666666599</v>
      </c>
      <c r="B1689" s="1">
        <f ca="1">IFERROR(__xludf.DUMMYFUNCTION("""COMPUTED_VALUE"""),248.33)</f>
        <v>248.33</v>
      </c>
      <c r="C1689" s="1">
        <f ca="1">IFERROR(__xludf.DUMMYFUNCTION("""COMPUTED_VALUE"""),252.29)</f>
        <v>252.29</v>
      </c>
      <c r="D1689" s="1">
        <f ca="1">IFERROR(__xludf.DUMMYFUNCTION("""COMPUTED_VALUE"""),246.12)</f>
        <v>246.12</v>
      </c>
      <c r="E1689" s="1">
        <f ca="1">IFERROR(__xludf.DUMMYFUNCTION("""COMPUTED_VALUE"""),251.94)</f>
        <v>251.94</v>
      </c>
      <c r="F1689" s="1">
        <f ca="1">IFERROR(__xludf.DUMMYFUNCTION("""COMPUTED_VALUE"""),15357685)</f>
        <v>15357685</v>
      </c>
    </row>
    <row r="1690" spans="1:6" x14ac:dyDescent="0.35">
      <c r="A1690" s="2">
        <f ca="1">IFERROR(__xludf.DUMMYFUNCTION("""COMPUTED_VALUE"""),44455.6666666666)</f>
        <v>44455.666666666599</v>
      </c>
      <c r="B1690" s="1">
        <f ca="1">IFERROR(__xludf.DUMMYFUNCTION("""COMPUTED_VALUE"""),250.94)</f>
        <v>250.94</v>
      </c>
      <c r="C1690" s="1">
        <f ca="1">IFERROR(__xludf.DUMMYFUNCTION("""COMPUTED_VALUE"""),252.97)</f>
        <v>252.97</v>
      </c>
      <c r="D1690" s="1">
        <f ca="1">IFERROR(__xludf.DUMMYFUNCTION("""COMPUTED_VALUE"""),249.2)</f>
        <v>249.2</v>
      </c>
      <c r="E1690" s="1">
        <f ca="1">IFERROR(__xludf.DUMMYFUNCTION("""COMPUTED_VALUE"""),252.33)</f>
        <v>252.33</v>
      </c>
      <c r="F1690" s="1">
        <f ca="1">IFERROR(__xludf.DUMMYFUNCTION("""COMPUTED_VALUE"""),13923393)</f>
        <v>13923393</v>
      </c>
    </row>
    <row r="1691" spans="1:6" x14ac:dyDescent="0.35">
      <c r="A1691" s="2">
        <f ca="1">IFERROR(__xludf.DUMMYFUNCTION("""COMPUTED_VALUE"""),44456.6666666666)</f>
        <v>44456.666666666599</v>
      </c>
      <c r="B1691" s="1">
        <f ca="1">IFERROR(__xludf.DUMMYFUNCTION("""COMPUTED_VALUE"""),252.38)</f>
        <v>252.38</v>
      </c>
      <c r="C1691" s="1">
        <f ca="1">IFERROR(__xludf.DUMMYFUNCTION("""COMPUTED_VALUE"""),253.68)</f>
        <v>253.68</v>
      </c>
      <c r="D1691" s="1">
        <f ca="1">IFERROR(__xludf.DUMMYFUNCTION("""COMPUTED_VALUE"""),250)</f>
        <v>250</v>
      </c>
      <c r="E1691" s="1">
        <f ca="1">IFERROR(__xludf.DUMMYFUNCTION("""COMPUTED_VALUE"""),253.16)</f>
        <v>253.16</v>
      </c>
      <c r="F1691" s="1">
        <f ca="1">IFERROR(__xludf.DUMMYFUNCTION("""COMPUTED_VALUE"""),28204176)</f>
        <v>28204176</v>
      </c>
    </row>
    <row r="1692" spans="1:6" x14ac:dyDescent="0.35">
      <c r="A1692" s="2">
        <f ca="1">IFERROR(__xludf.DUMMYFUNCTION("""COMPUTED_VALUE"""),44459.6666666666)</f>
        <v>44459.666666666599</v>
      </c>
      <c r="B1692" s="1">
        <f ca="1">IFERROR(__xludf.DUMMYFUNCTION("""COMPUTED_VALUE"""),244.85)</f>
        <v>244.85</v>
      </c>
      <c r="C1692" s="1">
        <f ca="1">IFERROR(__xludf.DUMMYFUNCTION("""COMPUTED_VALUE"""),247.33)</f>
        <v>247.33</v>
      </c>
      <c r="D1692" s="1">
        <f ca="1">IFERROR(__xludf.DUMMYFUNCTION("""COMPUTED_VALUE"""),239.54)</f>
        <v>239.54</v>
      </c>
      <c r="E1692" s="1">
        <f ca="1">IFERROR(__xludf.DUMMYFUNCTION("""COMPUTED_VALUE"""),243.39)</f>
        <v>243.39</v>
      </c>
      <c r="F1692" s="1">
        <f ca="1">IFERROR(__xludf.DUMMYFUNCTION("""COMPUTED_VALUE"""),24757652)</f>
        <v>24757652</v>
      </c>
    </row>
    <row r="1693" spans="1:6" x14ac:dyDescent="0.35">
      <c r="A1693" s="2">
        <f ca="1">IFERROR(__xludf.DUMMYFUNCTION("""COMPUTED_VALUE"""),44460.6666666666)</f>
        <v>44460.666666666599</v>
      </c>
      <c r="B1693" s="1">
        <f ca="1">IFERROR(__xludf.DUMMYFUNCTION("""COMPUTED_VALUE"""),244.93)</f>
        <v>244.93</v>
      </c>
      <c r="C1693" s="1">
        <f ca="1">IFERROR(__xludf.DUMMYFUNCTION("""COMPUTED_VALUE"""),248.25)</f>
        <v>248.25</v>
      </c>
      <c r="D1693" s="1">
        <f ca="1">IFERROR(__xludf.DUMMYFUNCTION("""COMPUTED_VALUE"""),243.48)</f>
        <v>243.48</v>
      </c>
      <c r="E1693" s="1">
        <f ca="1">IFERROR(__xludf.DUMMYFUNCTION("""COMPUTED_VALUE"""),246.46)</f>
        <v>246.46</v>
      </c>
      <c r="F1693" s="1">
        <f ca="1">IFERROR(__xludf.DUMMYFUNCTION("""COMPUTED_VALUE"""),16330723)</f>
        <v>16330723</v>
      </c>
    </row>
    <row r="1694" spans="1:6" x14ac:dyDescent="0.35">
      <c r="A1694" s="2">
        <f ca="1">IFERROR(__xludf.DUMMYFUNCTION("""COMPUTED_VALUE"""),44461.6666666666)</f>
        <v>44461.666666666599</v>
      </c>
      <c r="B1694" s="1">
        <f ca="1">IFERROR(__xludf.DUMMYFUNCTION("""COMPUTED_VALUE"""),247.84)</f>
        <v>247.84</v>
      </c>
      <c r="C1694" s="1">
        <f ca="1">IFERROR(__xludf.DUMMYFUNCTION("""COMPUTED_VALUE"""),251.22)</f>
        <v>251.22</v>
      </c>
      <c r="D1694" s="1">
        <f ca="1">IFERROR(__xludf.DUMMYFUNCTION("""COMPUTED_VALUE"""),246.37)</f>
        <v>246.37</v>
      </c>
      <c r="E1694" s="1">
        <f ca="1">IFERROR(__xludf.DUMMYFUNCTION("""COMPUTED_VALUE"""),250.65)</f>
        <v>250.65</v>
      </c>
      <c r="F1694" s="1">
        <f ca="1">IFERROR(__xludf.DUMMYFUNCTION("""COMPUTED_VALUE"""),15126272)</f>
        <v>15126272</v>
      </c>
    </row>
    <row r="1695" spans="1:6" x14ac:dyDescent="0.35">
      <c r="A1695" s="2">
        <f ca="1">IFERROR(__xludf.DUMMYFUNCTION("""COMPUTED_VALUE"""),44462.6666666666)</f>
        <v>44462.666666666599</v>
      </c>
      <c r="B1695" s="1">
        <f ca="1">IFERROR(__xludf.DUMMYFUNCTION("""COMPUTED_VALUE"""),251.67)</f>
        <v>251.67</v>
      </c>
      <c r="C1695" s="1">
        <f ca="1">IFERROR(__xludf.DUMMYFUNCTION("""COMPUTED_VALUE"""),252.73)</f>
        <v>252.73</v>
      </c>
      <c r="D1695" s="1">
        <f ca="1">IFERROR(__xludf.DUMMYFUNCTION("""COMPUTED_VALUE"""),249.31)</f>
        <v>249.31</v>
      </c>
      <c r="E1695" s="1">
        <f ca="1">IFERROR(__xludf.DUMMYFUNCTION("""COMPUTED_VALUE"""),251.21)</f>
        <v>251.21</v>
      </c>
      <c r="F1695" s="1">
        <f ca="1">IFERROR(__xludf.DUMMYFUNCTION("""COMPUTED_VALUE"""),11947527)</f>
        <v>11947527</v>
      </c>
    </row>
    <row r="1696" spans="1:6" x14ac:dyDescent="0.35">
      <c r="A1696" s="2">
        <f ca="1">IFERROR(__xludf.DUMMYFUNCTION("""COMPUTED_VALUE"""),44463.6666666666)</f>
        <v>44463.666666666599</v>
      </c>
      <c r="B1696" s="1">
        <f ca="1">IFERROR(__xludf.DUMMYFUNCTION("""COMPUTED_VALUE"""),248.63)</f>
        <v>248.63</v>
      </c>
      <c r="C1696" s="1">
        <f ca="1">IFERROR(__xludf.DUMMYFUNCTION("""COMPUTED_VALUE"""),258.27)</f>
        <v>258.27</v>
      </c>
      <c r="D1696" s="1">
        <f ca="1">IFERROR(__xludf.DUMMYFUNCTION("""COMPUTED_VALUE"""),248.19)</f>
        <v>248.19</v>
      </c>
      <c r="E1696" s="1">
        <f ca="1">IFERROR(__xludf.DUMMYFUNCTION("""COMPUTED_VALUE"""),258.13)</f>
        <v>258.13</v>
      </c>
      <c r="F1696" s="1">
        <f ca="1">IFERROR(__xludf.DUMMYFUNCTION("""COMPUTED_VALUE"""),21373022)</f>
        <v>21373022</v>
      </c>
    </row>
    <row r="1697" spans="1:6" x14ac:dyDescent="0.35">
      <c r="A1697" s="2">
        <f ca="1">IFERROR(__xludf.DUMMYFUNCTION("""COMPUTED_VALUE"""),44466.6666666666)</f>
        <v>44466.666666666599</v>
      </c>
      <c r="B1697" s="1">
        <f ca="1">IFERROR(__xludf.DUMMYFUNCTION("""COMPUTED_VALUE"""),257.71)</f>
        <v>257.70999999999998</v>
      </c>
      <c r="C1697" s="1">
        <f ca="1">IFERROR(__xludf.DUMMYFUNCTION("""COMPUTED_VALUE"""),266.33)</f>
        <v>266.33</v>
      </c>
      <c r="D1697" s="1">
        <f ca="1">IFERROR(__xludf.DUMMYFUNCTION("""COMPUTED_VALUE"""),256.44)</f>
        <v>256.44</v>
      </c>
      <c r="E1697" s="1">
        <f ca="1">IFERROR(__xludf.DUMMYFUNCTION("""COMPUTED_VALUE"""),263.79)</f>
        <v>263.79000000000002</v>
      </c>
      <c r="F1697" s="1">
        <f ca="1">IFERROR(__xludf.DUMMYFUNCTION("""COMPUTED_VALUE"""),28070657)</f>
        <v>28070657</v>
      </c>
    </row>
    <row r="1698" spans="1:6" x14ac:dyDescent="0.35">
      <c r="A1698" s="2">
        <f ca="1">IFERROR(__xludf.DUMMYFUNCTION("""COMPUTED_VALUE"""),44467.6666666666)</f>
        <v>44467.666666666599</v>
      </c>
      <c r="B1698" s="1">
        <f ca="1">IFERROR(__xludf.DUMMYFUNCTION("""COMPUTED_VALUE"""),262.4)</f>
        <v>262.39999999999998</v>
      </c>
      <c r="C1698" s="1">
        <f ca="1">IFERROR(__xludf.DUMMYFUNCTION("""COMPUTED_VALUE"""),265.21)</f>
        <v>265.20999999999998</v>
      </c>
      <c r="D1698" s="1">
        <f ca="1">IFERROR(__xludf.DUMMYFUNCTION("""COMPUTED_VALUE"""),255.39)</f>
        <v>255.39</v>
      </c>
      <c r="E1698" s="1">
        <f ca="1">IFERROR(__xludf.DUMMYFUNCTION("""COMPUTED_VALUE"""),259.19)</f>
        <v>259.19</v>
      </c>
      <c r="F1698" s="1">
        <f ca="1">IFERROR(__xludf.DUMMYFUNCTION("""COMPUTED_VALUE"""),25381422)</f>
        <v>25381422</v>
      </c>
    </row>
    <row r="1699" spans="1:6" x14ac:dyDescent="0.35">
      <c r="A1699" s="2">
        <f ca="1">IFERROR(__xludf.DUMMYFUNCTION("""COMPUTED_VALUE"""),44468.6666666666)</f>
        <v>44468.666666666599</v>
      </c>
      <c r="B1699" s="1">
        <f ca="1">IFERROR(__xludf.DUMMYFUNCTION("""COMPUTED_VALUE"""),259.93)</f>
        <v>259.93</v>
      </c>
      <c r="C1699" s="1">
        <f ca="1">IFERROR(__xludf.DUMMYFUNCTION("""COMPUTED_VALUE"""),264.5)</f>
        <v>264.5</v>
      </c>
      <c r="D1699" s="1">
        <f ca="1">IFERROR(__xludf.DUMMYFUNCTION("""COMPUTED_VALUE"""),256.89)</f>
        <v>256.89</v>
      </c>
      <c r="E1699" s="1">
        <f ca="1">IFERROR(__xludf.DUMMYFUNCTION("""COMPUTED_VALUE"""),260.44)</f>
        <v>260.44</v>
      </c>
      <c r="F1699" s="1">
        <f ca="1">IFERROR(__xludf.DUMMYFUNCTION("""COMPUTED_VALUE"""),20942877)</f>
        <v>20942877</v>
      </c>
    </row>
    <row r="1700" spans="1:6" x14ac:dyDescent="0.35">
      <c r="A1700" s="2">
        <f ca="1">IFERROR(__xludf.DUMMYFUNCTION("""COMPUTED_VALUE"""),44469.6666666666)</f>
        <v>44469.666666666599</v>
      </c>
      <c r="B1700" s="1">
        <f ca="1">IFERROR(__xludf.DUMMYFUNCTION("""COMPUTED_VALUE"""),260.33)</f>
        <v>260.33</v>
      </c>
      <c r="C1700" s="1">
        <f ca="1">IFERROR(__xludf.DUMMYFUNCTION("""COMPUTED_VALUE"""),263.04)</f>
        <v>263.04000000000002</v>
      </c>
      <c r="D1700" s="1">
        <f ca="1">IFERROR(__xludf.DUMMYFUNCTION("""COMPUTED_VALUE"""),258.33)</f>
        <v>258.33</v>
      </c>
      <c r="E1700" s="1">
        <f ca="1">IFERROR(__xludf.DUMMYFUNCTION("""COMPUTED_VALUE"""),258.49)</f>
        <v>258.49</v>
      </c>
      <c r="F1700" s="1">
        <f ca="1">IFERROR(__xludf.DUMMYFUNCTION("""COMPUTED_VALUE"""),17955961)</f>
        <v>17955961</v>
      </c>
    </row>
    <row r="1701" spans="1:6" x14ac:dyDescent="0.35">
      <c r="A1701" s="2">
        <f ca="1">IFERROR(__xludf.DUMMYFUNCTION("""COMPUTED_VALUE"""),44470.6666666666)</f>
        <v>44470.666666666599</v>
      </c>
      <c r="B1701" s="1">
        <f ca="1">IFERROR(__xludf.DUMMYFUNCTION("""COMPUTED_VALUE"""),259.47)</f>
        <v>259.47000000000003</v>
      </c>
      <c r="C1701" s="1">
        <f ca="1">IFERROR(__xludf.DUMMYFUNCTION("""COMPUTED_VALUE"""),260.26)</f>
        <v>260.26</v>
      </c>
      <c r="D1701" s="1">
        <f ca="1">IFERROR(__xludf.DUMMYFUNCTION("""COMPUTED_VALUE"""),254.53)</f>
        <v>254.53</v>
      </c>
      <c r="E1701" s="1">
        <f ca="1">IFERROR(__xludf.DUMMYFUNCTION("""COMPUTED_VALUE"""),258.41)</f>
        <v>258.41000000000003</v>
      </c>
      <c r="F1701" s="1">
        <f ca="1">IFERROR(__xludf.DUMMYFUNCTION("""COMPUTED_VALUE"""),17031414)</f>
        <v>17031414</v>
      </c>
    </row>
    <row r="1702" spans="1:6" x14ac:dyDescent="0.35">
      <c r="A1702" s="2">
        <f ca="1">IFERROR(__xludf.DUMMYFUNCTION("""COMPUTED_VALUE"""),44473.6666666666)</f>
        <v>44473.666666666599</v>
      </c>
      <c r="B1702" s="1">
        <f ca="1">IFERROR(__xludf.DUMMYFUNCTION("""COMPUTED_VALUE"""),265.5)</f>
        <v>265.5</v>
      </c>
      <c r="C1702" s="1">
        <f ca="1">IFERROR(__xludf.DUMMYFUNCTION("""COMPUTED_VALUE"""),268.99)</f>
        <v>268.99</v>
      </c>
      <c r="D1702" s="1">
        <f ca="1">IFERROR(__xludf.DUMMYFUNCTION("""COMPUTED_VALUE"""),258.71)</f>
        <v>258.70999999999998</v>
      </c>
      <c r="E1702" s="1">
        <f ca="1">IFERROR(__xludf.DUMMYFUNCTION("""COMPUTED_VALUE"""),260.51)</f>
        <v>260.51</v>
      </c>
      <c r="F1702" s="1">
        <f ca="1">IFERROR(__xludf.DUMMYFUNCTION("""COMPUTED_VALUE"""),30483341)</f>
        <v>30483341</v>
      </c>
    </row>
    <row r="1703" spans="1:6" x14ac:dyDescent="0.35">
      <c r="A1703" s="2">
        <f ca="1">IFERROR(__xludf.DUMMYFUNCTION("""COMPUTED_VALUE"""),44474.6666666666)</f>
        <v>44474.666666666599</v>
      </c>
      <c r="B1703" s="1">
        <f ca="1">IFERROR(__xludf.DUMMYFUNCTION("""COMPUTED_VALUE"""),261.6)</f>
        <v>261.60000000000002</v>
      </c>
      <c r="C1703" s="1">
        <f ca="1">IFERROR(__xludf.DUMMYFUNCTION("""COMPUTED_VALUE"""),265.77)</f>
        <v>265.77</v>
      </c>
      <c r="D1703" s="1">
        <f ca="1">IFERROR(__xludf.DUMMYFUNCTION("""COMPUTED_VALUE"""),258.07)</f>
        <v>258.07</v>
      </c>
      <c r="E1703" s="1">
        <f ca="1">IFERROR(__xludf.DUMMYFUNCTION("""COMPUTED_VALUE"""),260.2)</f>
        <v>260.2</v>
      </c>
      <c r="F1703" s="1">
        <f ca="1">IFERROR(__xludf.DUMMYFUNCTION("""COMPUTED_VALUE"""),18432625)</f>
        <v>18432625</v>
      </c>
    </row>
    <row r="1704" spans="1:6" x14ac:dyDescent="0.35">
      <c r="A1704" s="2">
        <f ca="1">IFERROR(__xludf.DUMMYFUNCTION("""COMPUTED_VALUE"""),44475.6666666666)</f>
        <v>44475.666666666599</v>
      </c>
      <c r="B1704" s="1">
        <f ca="1">IFERROR(__xludf.DUMMYFUNCTION("""COMPUTED_VALUE"""),258.73)</f>
        <v>258.73</v>
      </c>
      <c r="C1704" s="1">
        <f ca="1">IFERROR(__xludf.DUMMYFUNCTION("""COMPUTED_VALUE"""),262.22)</f>
        <v>262.22000000000003</v>
      </c>
      <c r="D1704" s="1">
        <f ca="1">IFERROR(__xludf.DUMMYFUNCTION("""COMPUTED_VALUE"""),257.74)</f>
        <v>257.74</v>
      </c>
      <c r="E1704" s="1">
        <f ca="1">IFERROR(__xludf.DUMMYFUNCTION("""COMPUTED_VALUE"""),260.92)</f>
        <v>260.92</v>
      </c>
      <c r="F1704" s="1">
        <f ca="1">IFERROR(__xludf.DUMMYFUNCTION("""COMPUTED_VALUE"""),14632768)</f>
        <v>14632768</v>
      </c>
    </row>
    <row r="1705" spans="1:6" x14ac:dyDescent="0.35">
      <c r="A1705" s="2">
        <f ca="1">IFERROR(__xludf.DUMMYFUNCTION("""COMPUTED_VALUE"""),44476.6666666666)</f>
        <v>44476.666666666599</v>
      </c>
      <c r="B1705" s="1">
        <f ca="1">IFERROR(__xludf.DUMMYFUNCTION("""COMPUTED_VALUE"""),261.82)</f>
        <v>261.82</v>
      </c>
      <c r="C1705" s="1">
        <f ca="1">IFERROR(__xludf.DUMMYFUNCTION("""COMPUTED_VALUE"""),268.33)</f>
        <v>268.33</v>
      </c>
      <c r="D1705" s="1">
        <f ca="1">IFERROR(__xludf.DUMMYFUNCTION("""COMPUTED_VALUE"""),261.13)</f>
        <v>261.13</v>
      </c>
      <c r="E1705" s="1">
        <f ca="1">IFERROR(__xludf.DUMMYFUNCTION("""COMPUTED_VALUE"""),264.54)</f>
        <v>264.54000000000002</v>
      </c>
      <c r="F1705" s="1">
        <f ca="1">IFERROR(__xludf.DUMMYFUNCTION("""COMPUTED_VALUE"""),19195782)</f>
        <v>19195782</v>
      </c>
    </row>
    <row r="1706" spans="1:6" x14ac:dyDescent="0.35">
      <c r="A1706" s="2">
        <f ca="1">IFERROR(__xludf.DUMMYFUNCTION("""COMPUTED_VALUE"""),44477.6666666666)</f>
        <v>44477.666666666599</v>
      </c>
      <c r="B1706" s="1">
        <f ca="1">IFERROR(__xludf.DUMMYFUNCTION("""COMPUTED_VALUE"""),265.4)</f>
        <v>265.39999999999998</v>
      </c>
      <c r="C1706" s="1">
        <f ca="1">IFERROR(__xludf.DUMMYFUNCTION("""COMPUTED_VALUE"""),265.46)</f>
        <v>265.45999999999998</v>
      </c>
      <c r="D1706" s="1">
        <f ca="1">IFERROR(__xludf.DUMMYFUNCTION("""COMPUTED_VALUE"""),260.3)</f>
        <v>260.3</v>
      </c>
      <c r="E1706" s="1">
        <f ca="1">IFERROR(__xludf.DUMMYFUNCTION("""COMPUTED_VALUE"""),261.83)</f>
        <v>261.83</v>
      </c>
      <c r="F1706" s="1">
        <f ca="1">IFERROR(__xludf.DUMMYFUNCTION("""COMPUTED_VALUE"""),16738604)</f>
        <v>16738604</v>
      </c>
    </row>
    <row r="1707" spans="1:6" x14ac:dyDescent="0.35">
      <c r="A1707" s="2">
        <f ca="1">IFERROR(__xludf.DUMMYFUNCTION("""COMPUTED_VALUE"""),44480.6666666666)</f>
        <v>44480.666666666599</v>
      </c>
      <c r="B1707" s="1">
        <f ca="1">IFERROR(__xludf.DUMMYFUNCTION("""COMPUTED_VALUE"""),262.55)</f>
        <v>262.55</v>
      </c>
      <c r="C1707" s="1">
        <f ca="1">IFERROR(__xludf.DUMMYFUNCTION("""COMPUTED_VALUE"""),267.08)</f>
        <v>267.08</v>
      </c>
      <c r="D1707" s="1">
        <f ca="1">IFERROR(__xludf.DUMMYFUNCTION("""COMPUTED_VALUE"""),261.83)</f>
        <v>261.83</v>
      </c>
      <c r="E1707" s="1">
        <f ca="1">IFERROR(__xludf.DUMMYFUNCTION("""COMPUTED_VALUE"""),263.98)</f>
        <v>263.98</v>
      </c>
      <c r="F1707" s="1">
        <f ca="1">IFERROR(__xludf.DUMMYFUNCTION("""COMPUTED_VALUE"""),14200322)</f>
        <v>14200322</v>
      </c>
    </row>
    <row r="1708" spans="1:6" x14ac:dyDescent="0.35">
      <c r="A1708" s="2">
        <f ca="1">IFERROR(__xludf.DUMMYFUNCTION("""COMPUTED_VALUE"""),44481.6666666666)</f>
        <v>44481.666666666599</v>
      </c>
      <c r="B1708" s="1">
        <f ca="1">IFERROR(__xludf.DUMMYFUNCTION("""COMPUTED_VALUE"""),266.98)</f>
        <v>266.98</v>
      </c>
      <c r="C1708" s="1">
        <f ca="1">IFERROR(__xludf.DUMMYFUNCTION("""COMPUTED_VALUE"""),270.77)</f>
        <v>270.77</v>
      </c>
      <c r="D1708" s="1">
        <f ca="1">IFERROR(__xludf.DUMMYFUNCTION("""COMPUTED_VALUE"""),265.52)</f>
        <v>265.52</v>
      </c>
      <c r="E1708" s="1">
        <f ca="1">IFERROR(__xludf.DUMMYFUNCTION("""COMPUTED_VALUE"""),268.57)</f>
        <v>268.57</v>
      </c>
      <c r="F1708" s="1">
        <f ca="1">IFERROR(__xludf.DUMMYFUNCTION("""COMPUTED_VALUE"""),22020040)</f>
        <v>22020040</v>
      </c>
    </row>
    <row r="1709" spans="1:6" x14ac:dyDescent="0.35">
      <c r="A1709" s="2">
        <f ca="1">IFERROR(__xludf.DUMMYFUNCTION("""COMPUTED_VALUE"""),44482.6666666666)</f>
        <v>44482.666666666599</v>
      </c>
      <c r="B1709" s="1">
        <f ca="1">IFERROR(__xludf.DUMMYFUNCTION("""COMPUTED_VALUE"""),270.16)</f>
        <v>270.16000000000003</v>
      </c>
      <c r="C1709" s="1">
        <f ca="1">IFERROR(__xludf.DUMMYFUNCTION("""COMPUTED_VALUE"""),271.8)</f>
        <v>271.8</v>
      </c>
      <c r="D1709" s="1">
        <f ca="1">IFERROR(__xludf.DUMMYFUNCTION("""COMPUTED_VALUE"""),268.59)</f>
        <v>268.58999999999997</v>
      </c>
      <c r="E1709" s="1">
        <f ca="1">IFERROR(__xludf.DUMMYFUNCTION("""COMPUTED_VALUE"""),270.36)</f>
        <v>270.36</v>
      </c>
      <c r="F1709" s="1">
        <f ca="1">IFERROR(__xludf.DUMMYFUNCTION("""COMPUTED_VALUE"""),14120075)</f>
        <v>14120075</v>
      </c>
    </row>
    <row r="1710" spans="1:6" x14ac:dyDescent="0.35">
      <c r="A1710" s="2">
        <f ca="1">IFERROR(__xludf.DUMMYFUNCTION("""COMPUTED_VALUE"""),44483.6666666666)</f>
        <v>44483.666666666599</v>
      </c>
      <c r="B1710" s="1">
        <f ca="1">IFERROR(__xludf.DUMMYFUNCTION("""COMPUTED_VALUE"""),271.83)</f>
        <v>271.83</v>
      </c>
      <c r="C1710" s="1">
        <f ca="1">IFERROR(__xludf.DUMMYFUNCTION("""COMPUTED_VALUE"""),273.42)</f>
        <v>273.42</v>
      </c>
      <c r="D1710" s="1">
        <f ca="1">IFERROR(__xludf.DUMMYFUNCTION("""COMPUTED_VALUE"""),271.12)</f>
        <v>271.12</v>
      </c>
      <c r="E1710" s="1">
        <f ca="1">IFERROR(__xludf.DUMMYFUNCTION("""COMPUTED_VALUE"""),272.77)</f>
        <v>272.77</v>
      </c>
      <c r="F1710" s="1">
        <f ca="1">IFERROR(__xludf.DUMMYFUNCTION("""COMPUTED_VALUE"""),12247170)</f>
        <v>12247170</v>
      </c>
    </row>
    <row r="1711" spans="1:6" x14ac:dyDescent="0.35">
      <c r="A1711" s="2">
        <f ca="1">IFERROR(__xludf.DUMMYFUNCTION("""COMPUTED_VALUE"""),44484.6666666666)</f>
        <v>44484.666666666599</v>
      </c>
      <c r="B1711" s="1">
        <f ca="1">IFERROR(__xludf.DUMMYFUNCTION("""COMPUTED_VALUE"""),274.58)</f>
        <v>274.58</v>
      </c>
      <c r="C1711" s="1">
        <f ca="1">IFERROR(__xludf.DUMMYFUNCTION("""COMPUTED_VALUE"""),281.07)</f>
        <v>281.07</v>
      </c>
      <c r="D1711" s="1">
        <f ca="1">IFERROR(__xludf.DUMMYFUNCTION("""COMPUTED_VALUE"""),274.12)</f>
        <v>274.12</v>
      </c>
      <c r="E1711" s="1">
        <f ca="1">IFERROR(__xludf.DUMMYFUNCTION("""COMPUTED_VALUE"""),281.01)</f>
        <v>281.01</v>
      </c>
      <c r="F1711" s="1">
        <f ca="1">IFERROR(__xludf.DUMMYFUNCTION("""COMPUTED_VALUE"""),18924567)</f>
        <v>18924567</v>
      </c>
    </row>
    <row r="1712" spans="1:6" x14ac:dyDescent="0.35">
      <c r="A1712" s="2">
        <f ca="1">IFERROR(__xludf.DUMMYFUNCTION("""COMPUTED_VALUE"""),44487.6666666666)</f>
        <v>44487.666666666599</v>
      </c>
      <c r="B1712" s="1">
        <f ca="1">IFERROR(__xludf.DUMMYFUNCTION("""COMPUTED_VALUE"""),283.93)</f>
        <v>283.93</v>
      </c>
      <c r="C1712" s="1">
        <f ca="1">IFERROR(__xludf.DUMMYFUNCTION("""COMPUTED_VALUE"""),291.75)</f>
        <v>291.75</v>
      </c>
      <c r="D1712" s="1">
        <f ca="1">IFERROR(__xludf.DUMMYFUNCTION("""COMPUTED_VALUE"""),283.82)</f>
        <v>283.82</v>
      </c>
      <c r="E1712" s="1">
        <f ca="1">IFERROR(__xludf.DUMMYFUNCTION("""COMPUTED_VALUE"""),290.04)</f>
        <v>290.04000000000002</v>
      </c>
      <c r="F1712" s="1">
        <f ca="1">IFERROR(__xludf.DUMMYFUNCTION("""COMPUTED_VALUE"""),24207244)</f>
        <v>24207244</v>
      </c>
    </row>
    <row r="1713" spans="1:6" x14ac:dyDescent="0.35">
      <c r="A1713" s="2">
        <f ca="1">IFERROR(__xludf.DUMMYFUNCTION("""COMPUTED_VALUE"""),44488.6666666666)</f>
        <v>44488.666666666599</v>
      </c>
      <c r="B1713" s="1">
        <f ca="1">IFERROR(__xludf.DUMMYFUNCTION("""COMPUTED_VALUE"""),292.51)</f>
        <v>292.51</v>
      </c>
      <c r="C1713" s="1">
        <f ca="1">IFERROR(__xludf.DUMMYFUNCTION("""COMPUTED_VALUE"""),292.65)</f>
        <v>292.64999999999998</v>
      </c>
      <c r="D1713" s="1">
        <f ca="1">IFERROR(__xludf.DUMMYFUNCTION("""COMPUTED_VALUE"""),287.5)</f>
        <v>287.5</v>
      </c>
      <c r="E1713" s="1">
        <f ca="1">IFERROR(__xludf.DUMMYFUNCTION("""COMPUTED_VALUE"""),288.09)</f>
        <v>288.08999999999997</v>
      </c>
      <c r="F1713" s="1">
        <f ca="1">IFERROR(__xludf.DUMMYFUNCTION("""COMPUTED_VALUE"""),17381128)</f>
        <v>17381128</v>
      </c>
    </row>
    <row r="1714" spans="1:6" x14ac:dyDescent="0.35">
      <c r="A1714" s="2">
        <f ca="1">IFERROR(__xludf.DUMMYFUNCTION("""COMPUTED_VALUE"""),44489.6666666666)</f>
        <v>44489.666666666599</v>
      </c>
      <c r="B1714" s="1">
        <f ca="1">IFERROR(__xludf.DUMMYFUNCTION("""COMPUTED_VALUE"""),288.45)</f>
        <v>288.45</v>
      </c>
      <c r="C1714" s="1">
        <f ca="1">IFERROR(__xludf.DUMMYFUNCTION("""COMPUTED_VALUE"""),289.83)</f>
        <v>289.83</v>
      </c>
      <c r="D1714" s="1">
        <f ca="1">IFERROR(__xludf.DUMMYFUNCTION("""COMPUTED_VALUE"""),285.79)</f>
        <v>285.79000000000002</v>
      </c>
      <c r="E1714" s="1">
        <f ca="1">IFERROR(__xludf.DUMMYFUNCTION("""COMPUTED_VALUE"""),288.6)</f>
        <v>288.60000000000002</v>
      </c>
      <c r="F1714" s="1">
        <f ca="1">IFERROR(__xludf.DUMMYFUNCTION("""COMPUTED_VALUE"""),14032052)</f>
        <v>14032052</v>
      </c>
    </row>
    <row r="1715" spans="1:6" x14ac:dyDescent="0.35">
      <c r="A1715" s="2">
        <f ca="1">IFERROR(__xludf.DUMMYFUNCTION("""COMPUTED_VALUE"""),44490.6666666666)</f>
        <v>44490.666666666599</v>
      </c>
      <c r="B1715" s="1">
        <f ca="1">IFERROR(__xludf.DUMMYFUNCTION("""COMPUTED_VALUE"""),285.33)</f>
        <v>285.33</v>
      </c>
      <c r="C1715" s="1">
        <f ca="1">IFERROR(__xludf.DUMMYFUNCTION("""COMPUTED_VALUE"""),300)</f>
        <v>300</v>
      </c>
      <c r="D1715" s="1">
        <f ca="1">IFERROR(__xludf.DUMMYFUNCTION("""COMPUTED_VALUE"""),285.17)</f>
        <v>285.17</v>
      </c>
      <c r="E1715" s="1">
        <f ca="1">IFERROR(__xludf.DUMMYFUNCTION("""COMPUTED_VALUE"""),298)</f>
        <v>298</v>
      </c>
      <c r="F1715" s="1">
        <f ca="1">IFERROR(__xludf.DUMMYFUNCTION("""COMPUTED_VALUE"""),31481454)</f>
        <v>31481454</v>
      </c>
    </row>
    <row r="1716" spans="1:6" x14ac:dyDescent="0.35">
      <c r="A1716" s="2">
        <f ca="1">IFERROR(__xludf.DUMMYFUNCTION("""COMPUTED_VALUE"""),44491.6666666666)</f>
        <v>44491.666666666599</v>
      </c>
      <c r="B1716" s="1">
        <f ca="1">IFERROR(__xludf.DUMMYFUNCTION("""COMPUTED_VALUE"""),298.5)</f>
        <v>298.5</v>
      </c>
      <c r="C1716" s="1">
        <f ca="1">IFERROR(__xludf.DUMMYFUNCTION("""COMPUTED_VALUE"""),303.33)</f>
        <v>303.33</v>
      </c>
      <c r="D1716" s="1">
        <f ca="1">IFERROR(__xludf.DUMMYFUNCTION("""COMPUTED_VALUE"""),296.99)</f>
        <v>296.99</v>
      </c>
      <c r="E1716" s="1">
        <f ca="1">IFERROR(__xludf.DUMMYFUNCTION("""COMPUTED_VALUE"""),303.23)</f>
        <v>303.23</v>
      </c>
      <c r="F1716" s="1">
        <f ca="1">IFERROR(__xludf.DUMMYFUNCTION("""COMPUTED_VALUE"""),22880835)</f>
        <v>22880835</v>
      </c>
    </row>
    <row r="1717" spans="1:6" x14ac:dyDescent="0.35">
      <c r="A1717" s="2">
        <f ca="1">IFERROR(__xludf.DUMMYFUNCTION("""COMPUTED_VALUE"""),44494.6666666666)</f>
        <v>44494.666666666599</v>
      </c>
      <c r="B1717" s="1">
        <f ca="1">IFERROR(__xludf.DUMMYFUNCTION("""COMPUTED_VALUE"""),316.84)</f>
        <v>316.83999999999997</v>
      </c>
      <c r="C1717" s="1">
        <f ca="1">IFERROR(__xludf.DUMMYFUNCTION("""COMPUTED_VALUE"""),348.34)</f>
        <v>348.34</v>
      </c>
      <c r="D1717" s="1">
        <f ca="1">IFERROR(__xludf.DUMMYFUNCTION("""COMPUTED_VALUE"""),314.73)</f>
        <v>314.73</v>
      </c>
      <c r="E1717" s="1">
        <f ca="1">IFERROR(__xludf.DUMMYFUNCTION("""COMPUTED_VALUE"""),341.62)</f>
        <v>341.62</v>
      </c>
      <c r="F1717" s="1">
        <f ca="1">IFERROR(__xludf.DUMMYFUNCTION("""COMPUTED_VALUE"""),62852099)</f>
        <v>62852099</v>
      </c>
    </row>
    <row r="1718" spans="1:6" x14ac:dyDescent="0.35">
      <c r="A1718" s="2">
        <f ca="1">IFERROR(__xludf.DUMMYFUNCTION("""COMPUTED_VALUE"""),44495.6666666666)</f>
        <v>44495.666666666599</v>
      </c>
      <c r="B1718" s="1">
        <f ca="1">IFERROR(__xludf.DUMMYFUNCTION("""COMPUTED_VALUE"""),341.56)</f>
        <v>341.56</v>
      </c>
      <c r="C1718" s="1">
        <f ca="1">IFERROR(__xludf.DUMMYFUNCTION("""COMPUTED_VALUE"""),364.98)</f>
        <v>364.98</v>
      </c>
      <c r="D1718" s="1">
        <f ca="1">IFERROR(__xludf.DUMMYFUNCTION("""COMPUTED_VALUE"""),333.81)</f>
        <v>333.81</v>
      </c>
      <c r="E1718" s="1">
        <f ca="1">IFERROR(__xludf.DUMMYFUNCTION("""COMPUTED_VALUE"""),339.48)</f>
        <v>339.48</v>
      </c>
      <c r="F1718" s="1">
        <f ca="1">IFERROR(__xludf.DUMMYFUNCTION("""COMPUTED_VALUE"""),62414968)</f>
        <v>62414968</v>
      </c>
    </row>
    <row r="1719" spans="1:6" x14ac:dyDescent="0.35">
      <c r="A1719" s="2">
        <f ca="1">IFERROR(__xludf.DUMMYFUNCTION("""COMPUTED_VALUE"""),44496.6666666666)</f>
        <v>44496.666666666599</v>
      </c>
      <c r="B1719" s="1">
        <f ca="1">IFERROR(__xludf.DUMMYFUNCTION("""COMPUTED_VALUE"""),346.55)</f>
        <v>346.55</v>
      </c>
      <c r="C1719" s="1">
        <f ca="1">IFERROR(__xludf.DUMMYFUNCTION("""COMPUTED_VALUE"""),356.96)</f>
        <v>356.96</v>
      </c>
      <c r="D1719" s="1">
        <f ca="1">IFERROR(__xludf.DUMMYFUNCTION("""COMPUTED_VALUE"""),343.59)</f>
        <v>343.59</v>
      </c>
      <c r="E1719" s="1">
        <f ca="1">IFERROR(__xludf.DUMMYFUNCTION("""COMPUTED_VALUE"""),345.95)</f>
        <v>345.95</v>
      </c>
      <c r="F1719" s="1">
        <f ca="1">IFERROR(__xludf.DUMMYFUNCTION("""COMPUTED_VALUE"""),38526459)</f>
        <v>38526459</v>
      </c>
    </row>
    <row r="1720" spans="1:6" x14ac:dyDescent="0.35">
      <c r="A1720" s="2">
        <f ca="1">IFERROR(__xludf.DUMMYFUNCTION("""COMPUTED_VALUE"""),44497.6666666666)</f>
        <v>44497.666666666599</v>
      </c>
      <c r="B1720" s="1">
        <f ca="1">IFERROR(__xludf.DUMMYFUNCTION("""COMPUTED_VALUE"""),356.1)</f>
        <v>356.1</v>
      </c>
      <c r="C1720" s="1">
        <f ca="1">IFERROR(__xludf.DUMMYFUNCTION("""COMPUTED_VALUE"""),360.33)</f>
        <v>360.33</v>
      </c>
      <c r="D1720" s="1">
        <f ca="1">IFERROR(__xludf.DUMMYFUNCTION("""COMPUTED_VALUE"""),351.4)</f>
        <v>351.4</v>
      </c>
      <c r="E1720" s="1">
        <f ca="1">IFERROR(__xludf.DUMMYFUNCTION("""COMPUTED_VALUE"""),359.01)</f>
        <v>359.01</v>
      </c>
      <c r="F1720" s="1">
        <f ca="1">IFERROR(__xludf.DUMMYFUNCTION("""COMPUTED_VALUE"""),27213173)</f>
        <v>27213173</v>
      </c>
    </row>
    <row r="1721" spans="1:6" x14ac:dyDescent="0.35">
      <c r="A1721" s="2">
        <f ca="1">IFERROR(__xludf.DUMMYFUNCTION("""COMPUTED_VALUE"""),44498.6666666666)</f>
        <v>44498.666666666599</v>
      </c>
      <c r="B1721" s="1">
        <f ca="1">IFERROR(__xludf.DUMMYFUNCTION("""COMPUTED_VALUE"""),360.62)</f>
        <v>360.62</v>
      </c>
      <c r="C1721" s="1">
        <f ca="1">IFERROR(__xludf.DUMMYFUNCTION("""COMPUTED_VALUE"""),371.74)</f>
        <v>371.74</v>
      </c>
      <c r="D1721" s="1">
        <f ca="1">IFERROR(__xludf.DUMMYFUNCTION("""COMPUTED_VALUE"""),357.74)</f>
        <v>357.74</v>
      </c>
      <c r="E1721" s="1">
        <f ca="1">IFERROR(__xludf.DUMMYFUNCTION("""COMPUTED_VALUE"""),371.33)</f>
        <v>371.33</v>
      </c>
      <c r="F1721" s="1">
        <f ca="1">IFERROR(__xludf.DUMMYFUNCTION("""COMPUTED_VALUE"""),29918417)</f>
        <v>29918417</v>
      </c>
    </row>
    <row r="1722" spans="1:6" x14ac:dyDescent="0.35">
      <c r="A1722" s="2">
        <f ca="1">IFERROR(__xludf.DUMMYFUNCTION("""COMPUTED_VALUE"""),44501.6666666666)</f>
        <v>44501.666666666599</v>
      </c>
      <c r="B1722" s="1">
        <f ca="1">IFERROR(__xludf.DUMMYFUNCTION("""COMPUTED_VALUE"""),381.67)</f>
        <v>381.67</v>
      </c>
      <c r="C1722" s="1">
        <f ca="1">IFERROR(__xludf.DUMMYFUNCTION("""COMPUTED_VALUE"""),403.25)</f>
        <v>403.25</v>
      </c>
      <c r="D1722" s="1">
        <f ca="1">IFERROR(__xludf.DUMMYFUNCTION("""COMPUTED_VALUE"""),372.89)</f>
        <v>372.89</v>
      </c>
      <c r="E1722" s="1">
        <f ca="1">IFERROR(__xludf.DUMMYFUNCTION("""COMPUTED_VALUE"""),402.86)</f>
        <v>402.86</v>
      </c>
      <c r="F1722" s="1">
        <f ca="1">IFERROR(__xludf.DUMMYFUNCTION("""COMPUTED_VALUE"""),56048716)</f>
        <v>56048716</v>
      </c>
    </row>
    <row r="1723" spans="1:6" x14ac:dyDescent="0.35">
      <c r="A1723" s="2">
        <f ca="1">IFERROR(__xludf.DUMMYFUNCTION("""COMPUTED_VALUE"""),44502.6666666666)</f>
        <v>44502.666666666599</v>
      </c>
      <c r="B1723" s="1">
        <f ca="1">IFERROR(__xludf.DUMMYFUNCTION("""COMPUTED_VALUE"""),386.45)</f>
        <v>386.45</v>
      </c>
      <c r="C1723" s="1">
        <f ca="1">IFERROR(__xludf.DUMMYFUNCTION("""COMPUTED_VALUE"""),402.86)</f>
        <v>402.86</v>
      </c>
      <c r="D1723" s="1">
        <f ca="1">IFERROR(__xludf.DUMMYFUNCTION("""COMPUTED_VALUE"""),382)</f>
        <v>382</v>
      </c>
      <c r="E1723" s="1">
        <f ca="1">IFERROR(__xludf.DUMMYFUNCTION("""COMPUTED_VALUE"""),390.67)</f>
        <v>390.67</v>
      </c>
      <c r="F1723" s="1">
        <f ca="1">IFERROR(__xludf.DUMMYFUNCTION("""COMPUTED_VALUE"""),42737797)</f>
        <v>42737797</v>
      </c>
    </row>
    <row r="1724" spans="1:6" x14ac:dyDescent="0.35">
      <c r="A1724" s="2">
        <f ca="1">IFERROR(__xludf.DUMMYFUNCTION("""COMPUTED_VALUE"""),44503.6666666666)</f>
        <v>44503.666666666599</v>
      </c>
      <c r="B1724" s="1">
        <f ca="1">IFERROR(__xludf.DUMMYFUNCTION("""COMPUTED_VALUE"""),392.44)</f>
        <v>392.44</v>
      </c>
      <c r="C1724" s="1">
        <f ca="1">IFERROR(__xludf.DUMMYFUNCTION("""COMPUTED_VALUE"""),405.13)</f>
        <v>405.13</v>
      </c>
      <c r="D1724" s="1">
        <f ca="1">IFERROR(__xludf.DUMMYFUNCTION("""COMPUTED_VALUE"""),384.21)</f>
        <v>384.21</v>
      </c>
      <c r="E1724" s="1">
        <f ca="1">IFERROR(__xludf.DUMMYFUNCTION("""COMPUTED_VALUE"""),404.62)</f>
        <v>404.62</v>
      </c>
      <c r="F1724" s="1">
        <f ca="1">IFERROR(__xludf.DUMMYFUNCTION("""COMPUTED_VALUE"""),34628519)</f>
        <v>34628519</v>
      </c>
    </row>
    <row r="1725" spans="1:6" x14ac:dyDescent="0.35">
      <c r="A1725" s="2">
        <f ca="1">IFERROR(__xludf.DUMMYFUNCTION("""COMPUTED_VALUE"""),44504.6666666666)</f>
        <v>44504.666666666599</v>
      </c>
      <c r="B1725" s="1">
        <f ca="1">IFERROR(__xludf.DUMMYFUNCTION("""COMPUTED_VALUE"""),411.47)</f>
        <v>411.47</v>
      </c>
      <c r="C1725" s="1">
        <f ca="1">IFERROR(__xludf.DUMMYFUNCTION("""COMPUTED_VALUE"""),414.5)</f>
        <v>414.5</v>
      </c>
      <c r="D1725" s="1">
        <f ca="1">IFERROR(__xludf.DUMMYFUNCTION("""COMPUTED_VALUE"""),405.67)</f>
        <v>405.67</v>
      </c>
      <c r="E1725" s="1">
        <f ca="1">IFERROR(__xludf.DUMMYFUNCTION("""COMPUTED_VALUE"""),409.97)</f>
        <v>409.97</v>
      </c>
      <c r="F1725" s="1">
        <f ca="1">IFERROR(__xludf.DUMMYFUNCTION("""COMPUTED_VALUE"""),25397410)</f>
        <v>25397410</v>
      </c>
    </row>
    <row r="1726" spans="1:6" x14ac:dyDescent="0.35">
      <c r="A1726" s="2">
        <f ca="1">IFERROR(__xludf.DUMMYFUNCTION("""COMPUTED_VALUE"""),44505.6666666666)</f>
        <v>44505.666666666599</v>
      </c>
      <c r="B1726" s="1">
        <f ca="1">IFERROR(__xludf.DUMMYFUNCTION("""COMPUTED_VALUE"""),409.33)</f>
        <v>409.33</v>
      </c>
      <c r="C1726" s="1">
        <f ca="1">IFERROR(__xludf.DUMMYFUNCTION("""COMPUTED_VALUE"""),413.29)</f>
        <v>413.29</v>
      </c>
      <c r="D1726" s="1">
        <f ca="1">IFERROR(__xludf.DUMMYFUNCTION("""COMPUTED_VALUE"""),402.67)</f>
        <v>402.67</v>
      </c>
      <c r="E1726" s="1">
        <f ca="1">IFERROR(__xludf.DUMMYFUNCTION("""COMPUTED_VALUE"""),407.36)</f>
        <v>407.36</v>
      </c>
      <c r="F1726" s="1">
        <f ca="1">IFERROR(__xludf.DUMMYFUNCTION("""COMPUTED_VALUE"""),21628812)</f>
        <v>21628812</v>
      </c>
    </row>
    <row r="1727" spans="1:6" x14ac:dyDescent="0.35">
      <c r="A1727" s="2">
        <f ca="1">IFERROR(__xludf.DUMMYFUNCTION("""COMPUTED_VALUE"""),44508.6666666666)</f>
        <v>44508.666666666599</v>
      </c>
      <c r="B1727" s="1">
        <f ca="1">IFERROR(__xludf.DUMMYFUNCTION("""COMPUTED_VALUE"""),383.26)</f>
        <v>383.26</v>
      </c>
      <c r="C1727" s="1">
        <f ca="1">IFERROR(__xludf.DUMMYFUNCTION("""COMPUTED_VALUE"""),399)</f>
        <v>399</v>
      </c>
      <c r="D1727" s="1">
        <f ca="1">IFERROR(__xludf.DUMMYFUNCTION("""COMPUTED_VALUE"""),377.67)</f>
        <v>377.67</v>
      </c>
      <c r="E1727" s="1">
        <f ca="1">IFERROR(__xludf.DUMMYFUNCTION("""COMPUTED_VALUE"""),387.65)</f>
        <v>387.65</v>
      </c>
      <c r="F1727" s="1">
        <f ca="1">IFERROR(__xludf.DUMMYFUNCTION("""COMPUTED_VALUE"""),33445715)</f>
        <v>33445715</v>
      </c>
    </row>
    <row r="1728" spans="1:6" x14ac:dyDescent="0.35">
      <c r="A1728" s="2">
        <f ca="1">IFERROR(__xludf.DUMMYFUNCTION("""COMPUTED_VALUE"""),44509.6666666666)</f>
        <v>44509.666666666599</v>
      </c>
      <c r="B1728" s="1">
        <f ca="1">IFERROR(__xludf.DUMMYFUNCTION("""COMPUTED_VALUE"""),391.2)</f>
        <v>391.2</v>
      </c>
      <c r="C1728" s="1">
        <f ca="1">IFERROR(__xludf.DUMMYFUNCTION("""COMPUTED_VALUE"""),391.5)</f>
        <v>391.5</v>
      </c>
      <c r="D1728" s="1">
        <f ca="1">IFERROR(__xludf.DUMMYFUNCTION("""COMPUTED_VALUE"""),337.17)</f>
        <v>337.17</v>
      </c>
      <c r="E1728" s="1">
        <f ca="1">IFERROR(__xludf.DUMMYFUNCTION("""COMPUTED_VALUE"""),341.17)</f>
        <v>341.17</v>
      </c>
      <c r="F1728" s="1">
        <f ca="1">IFERROR(__xludf.DUMMYFUNCTION("""COMPUTED_VALUE"""),59105836)</f>
        <v>59105836</v>
      </c>
    </row>
    <row r="1729" spans="1:6" x14ac:dyDescent="0.35">
      <c r="A1729" s="2">
        <f ca="1">IFERROR(__xludf.DUMMYFUNCTION("""COMPUTED_VALUE"""),44510.6666666666)</f>
        <v>44510.666666666599</v>
      </c>
      <c r="B1729" s="1">
        <f ca="1">IFERROR(__xludf.DUMMYFUNCTION("""COMPUTED_VALUE"""),336.8)</f>
        <v>336.8</v>
      </c>
      <c r="C1729" s="1">
        <f ca="1">IFERROR(__xludf.DUMMYFUNCTION("""COMPUTED_VALUE"""),359.37)</f>
        <v>359.37</v>
      </c>
      <c r="D1729" s="1">
        <f ca="1">IFERROR(__xludf.DUMMYFUNCTION("""COMPUTED_VALUE"""),329.1)</f>
        <v>329.1</v>
      </c>
      <c r="E1729" s="1">
        <f ca="1">IFERROR(__xludf.DUMMYFUNCTION("""COMPUTED_VALUE"""),355.98)</f>
        <v>355.98</v>
      </c>
      <c r="F1729" s="1">
        <f ca="1">IFERROR(__xludf.DUMMYFUNCTION("""COMPUTED_VALUE"""),42802722)</f>
        <v>42802722</v>
      </c>
    </row>
    <row r="1730" spans="1:6" x14ac:dyDescent="0.35">
      <c r="A1730" s="2">
        <f ca="1">IFERROR(__xludf.DUMMYFUNCTION("""COMPUTED_VALUE"""),44511.6666666666)</f>
        <v>44511.666666666599</v>
      </c>
      <c r="B1730" s="1">
        <f ca="1">IFERROR(__xludf.DUMMYFUNCTION("""COMPUTED_VALUE"""),367.59)</f>
        <v>367.59</v>
      </c>
      <c r="C1730" s="1">
        <f ca="1">IFERROR(__xludf.DUMMYFUNCTION("""COMPUTED_VALUE"""),368.32)</f>
        <v>368.32</v>
      </c>
      <c r="D1730" s="1">
        <f ca="1">IFERROR(__xludf.DUMMYFUNCTION("""COMPUTED_VALUE"""),351.56)</f>
        <v>351.56</v>
      </c>
      <c r="E1730" s="1">
        <f ca="1">IFERROR(__xludf.DUMMYFUNCTION("""COMPUTED_VALUE"""),354.5)</f>
        <v>354.5</v>
      </c>
      <c r="F1730" s="1">
        <f ca="1">IFERROR(__xludf.DUMMYFUNCTION("""COMPUTED_VALUE"""),22396568)</f>
        <v>22396568</v>
      </c>
    </row>
    <row r="1731" spans="1:6" x14ac:dyDescent="0.35">
      <c r="A1731" s="2">
        <f ca="1">IFERROR(__xludf.DUMMYFUNCTION("""COMPUTED_VALUE"""),44512.6666666666)</f>
        <v>44512.666666666599</v>
      </c>
      <c r="B1731" s="1">
        <f ca="1">IFERROR(__xludf.DUMMYFUNCTION("""COMPUTED_VALUE"""),349.17)</f>
        <v>349.17</v>
      </c>
      <c r="C1731" s="1">
        <f ca="1">IFERROR(__xludf.DUMMYFUNCTION("""COMPUTED_VALUE"""),351.5)</f>
        <v>351.5</v>
      </c>
      <c r="D1731" s="1">
        <f ca="1">IFERROR(__xludf.DUMMYFUNCTION("""COMPUTED_VALUE"""),339.73)</f>
        <v>339.73</v>
      </c>
      <c r="E1731" s="1">
        <f ca="1">IFERROR(__xludf.DUMMYFUNCTION("""COMPUTED_VALUE"""),344.47)</f>
        <v>344.47</v>
      </c>
      <c r="F1731" s="1">
        <f ca="1">IFERROR(__xludf.DUMMYFUNCTION("""COMPUTED_VALUE"""),25573148)</f>
        <v>25573148</v>
      </c>
    </row>
    <row r="1732" spans="1:6" x14ac:dyDescent="0.35">
      <c r="A1732" s="2">
        <f ca="1">IFERROR(__xludf.DUMMYFUNCTION("""COMPUTED_VALUE"""),44515.6666666666)</f>
        <v>44515.666666666599</v>
      </c>
      <c r="B1732" s="1">
        <f ca="1">IFERROR(__xludf.DUMMYFUNCTION("""COMPUTED_VALUE"""),339.21)</f>
        <v>339.21</v>
      </c>
      <c r="C1732" s="1">
        <f ca="1">IFERROR(__xludf.DUMMYFUNCTION("""COMPUTED_VALUE"""),343.99)</f>
        <v>343.99</v>
      </c>
      <c r="D1732" s="1">
        <f ca="1">IFERROR(__xludf.DUMMYFUNCTION("""COMPUTED_VALUE"""),326.2)</f>
        <v>326.2</v>
      </c>
      <c r="E1732" s="1">
        <f ca="1">IFERROR(__xludf.DUMMYFUNCTION("""COMPUTED_VALUE"""),337.8)</f>
        <v>337.8</v>
      </c>
      <c r="F1732" s="1">
        <f ca="1">IFERROR(__xludf.DUMMYFUNCTION("""COMPUTED_VALUE"""),34775649)</f>
        <v>34775649</v>
      </c>
    </row>
    <row r="1733" spans="1:6" x14ac:dyDescent="0.35">
      <c r="A1733" s="2">
        <f ca="1">IFERROR(__xludf.DUMMYFUNCTION("""COMPUTED_VALUE"""),44516.6666666666)</f>
        <v>44516.666666666599</v>
      </c>
      <c r="B1733" s="1">
        <f ca="1">IFERROR(__xludf.DUMMYFUNCTION("""COMPUTED_VALUE"""),334.44)</f>
        <v>334.44</v>
      </c>
      <c r="C1733" s="1">
        <f ca="1">IFERROR(__xludf.DUMMYFUNCTION("""COMPUTED_VALUE"""),352.4)</f>
        <v>352.4</v>
      </c>
      <c r="D1733" s="1">
        <f ca="1">IFERROR(__xludf.DUMMYFUNCTION("""COMPUTED_VALUE"""),334.06)</f>
        <v>334.06</v>
      </c>
      <c r="E1733" s="1">
        <f ca="1">IFERROR(__xludf.DUMMYFUNCTION("""COMPUTED_VALUE"""),351.58)</f>
        <v>351.58</v>
      </c>
      <c r="F1733" s="1">
        <f ca="1">IFERROR(__xludf.DUMMYFUNCTION("""COMPUTED_VALUE"""),26542359)</f>
        <v>26542359</v>
      </c>
    </row>
    <row r="1734" spans="1:6" x14ac:dyDescent="0.35">
      <c r="A1734" s="2">
        <f ca="1">IFERROR(__xludf.DUMMYFUNCTION("""COMPUTED_VALUE"""),44517.6666666666)</f>
        <v>44517.666666666599</v>
      </c>
      <c r="B1734" s="1">
        <f ca="1">IFERROR(__xludf.DUMMYFUNCTION("""COMPUTED_VALUE"""),354.5)</f>
        <v>354.5</v>
      </c>
      <c r="C1734" s="1">
        <f ca="1">IFERROR(__xludf.DUMMYFUNCTION("""COMPUTED_VALUE"""),373.21)</f>
        <v>373.21</v>
      </c>
      <c r="D1734" s="1">
        <f ca="1">IFERROR(__xludf.DUMMYFUNCTION("""COMPUTED_VALUE"""),351.83)</f>
        <v>351.83</v>
      </c>
      <c r="E1734" s="1">
        <f ca="1">IFERROR(__xludf.DUMMYFUNCTION("""COMPUTED_VALUE"""),363)</f>
        <v>363</v>
      </c>
      <c r="F1734" s="1">
        <f ca="1">IFERROR(__xludf.DUMMYFUNCTION("""COMPUTED_VALUE"""),31445365)</f>
        <v>31445365</v>
      </c>
    </row>
    <row r="1735" spans="1:6" x14ac:dyDescent="0.35">
      <c r="A1735" s="2">
        <f ca="1">IFERROR(__xludf.DUMMYFUNCTION("""COMPUTED_VALUE"""),44518.6666666666)</f>
        <v>44518.666666666599</v>
      </c>
      <c r="B1735" s="1">
        <f ca="1">IFERROR(__xludf.DUMMYFUNCTION("""COMPUTED_VALUE"""),368.85)</f>
        <v>368.85</v>
      </c>
      <c r="C1735" s="1">
        <f ca="1">IFERROR(__xludf.DUMMYFUNCTION("""COMPUTED_VALUE"""),370.67)</f>
        <v>370.67</v>
      </c>
      <c r="D1735" s="1">
        <f ca="1">IFERROR(__xludf.DUMMYFUNCTION("""COMPUTED_VALUE"""),358.34)</f>
        <v>358.34</v>
      </c>
      <c r="E1735" s="1">
        <f ca="1">IFERROR(__xludf.DUMMYFUNCTION("""COMPUTED_VALUE"""),365.46)</f>
        <v>365.46</v>
      </c>
      <c r="F1735" s="1">
        <f ca="1">IFERROR(__xludf.DUMMYFUNCTION("""COMPUTED_VALUE"""),20898930)</f>
        <v>20898930</v>
      </c>
    </row>
    <row r="1736" spans="1:6" x14ac:dyDescent="0.35">
      <c r="A1736" s="2">
        <f ca="1">IFERROR(__xludf.DUMMYFUNCTION("""COMPUTED_VALUE"""),44519.6666666666)</f>
        <v>44519.666666666599</v>
      </c>
      <c r="B1736" s="1">
        <f ca="1">IFERROR(__xludf.DUMMYFUNCTION("""COMPUTED_VALUE"""),366.29)</f>
        <v>366.29</v>
      </c>
      <c r="C1736" s="1">
        <f ca="1">IFERROR(__xludf.DUMMYFUNCTION("""COMPUTED_VALUE"""),379.57)</f>
        <v>379.57</v>
      </c>
      <c r="D1736" s="1">
        <f ca="1">IFERROR(__xludf.DUMMYFUNCTION("""COMPUTED_VALUE"""),364.23)</f>
        <v>364.23</v>
      </c>
      <c r="E1736" s="1">
        <f ca="1">IFERROR(__xludf.DUMMYFUNCTION("""COMPUTED_VALUE"""),379.02)</f>
        <v>379.02</v>
      </c>
      <c r="F1736" s="1">
        <f ca="1">IFERROR(__xludf.DUMMYFUNCTION("""COMPUTED_VALUE"""),21642258)</f>
        <v>21642258</v>
      </c>
    </row>
    <row r="1737" spans="1:6" x14ac:dyDescent="0.35">
      <c r="A1737" s="2">
        <f ca="1">IFERROR(__xludf.DUMMYFUNCTION("""COMPUTED_VALUE"""),44522.6666666666)</f>
        <v>44522.666666666599</v>
      </c>
      <c r="B1737" s="1">
        <f ca="1">IFERROR(__xludf.DUMMYFUNCTION("""COMPUTED_VALUE"""),387.44)</f>
        <v>387.44</v>
      </c>
      <c r="C1737" s="1">
        <f ca="1">IFERROR(__xludf.DUMMYFUNCTION("""COMPUTED_VALUE"""),400.65)</f>
        <v>400.65</v>
      </c>
      <c r="D1737" s="1">
        <f ca="1">IFERROR(__xludf.DUMMYFUNCTION("""COMPUTED_VALUE"""),377.48)</f>
        <v>377.48</v>
      </c>
      <c r="E1737" s="1">
        <f ca="1">IFERROR(__xludf.DUMMYFUNCTION("""COMPUTED_VALUE"""),385.62)</f>
        <v>385.62</v>
      </c>
      <c r="F1737" s="1">
        <f ca="1">IFERROR(__xludf.DUMMYFUNCTION("""COMPUTED_VALUE"""),33072509)</f>
        <v>33072509</v>
      </c>
    </row>
    <row r="1738" spans="1:6" x14ac:dyDescent="0.35">
      <c r="A1738" s="2">
        <f ca="1">IFERROR(__xludf.DUMMYFUNCTION("""COMPUTED_VALUE"""),44523.6666666666)</f>
        <v>44523.666666666599</v>
      </c>
      <c r="B1738" s="1">
        <f ca="1">IFERROR(__xludf.DUMMYFUNCTION("""COMPUTED_VALUE"""),389.17)</f>
        <v>389.17</v>
      </c>
      <c r="C1738" s="1">
        <f ca="1">IFERROR(__xludf.DUMMYFUNCTION("""COMPUTED_VALUE"""),393.5)</f>
        <v>393.5</v>
      </c>
      <c r="D1738" s="1">
        <f ca="1">IFERROR(__xludf.DUMMYFUNCTION("""COMPUTED_VALUE"""),354.23)</f>
        <v>354.23</v>
      </c>
      <c r="E1738" s="1">
        <f ca="1">IFERROR(__xludf.DUMMYFUNCTION("""COMPUTED_VALUE"""),369.68)</f>
        <v>369.68</v>
      </c>
      <c r="F1738" s="1">
        <f ca="1">IFERROR(__xludf.DUMMYFUNCTION("""COMPUTED_VALUE"""),36171700)</f>
        <v>36171700</v>
      </c>
    </row>
    <row r="1739" spans="1:6" x14ac:dyDescent="0.35">
      <c r="A1739" s="2">
        <f ca="1">IFERROR(__xludf.DUMMYFUNCTION("""COMPUTED_VALUE"""),44524.6666666666)</f>
        <v>44524.666666666599</v>
      </c>
      <c r="B1739" s="1">
        <f ca="1">IFERROR(__xludf.DUMMYFUNCTION("""COMPUTED_VALUE"""),360.13)</f>
        <v>360.13</v>
      </c>
      <c r="C1739" s="1">
        <f ca="1">IFERROR(__xludf.DUMMYFUNCTION("""COMPUTED_VALUE"""),377.59)</f>
        <v>377.59</v>
      </c>
      <c r="D1739" s="1">
        <f ca="1">IFERROR(__xludf.DUMMYFUNCTION("""COMPUTED_VALUE"""),354)</f>
        <v>354</v>
      </c>
      <c r="E1739" s="1">
        <f ca="1">IFERROR(__xludf.DUMMYFUNCTION("""COMPUTED_VALUE"""),372)</f>
        <v>372</v>
      </c>
      <c r="F1739" s="1">
        <f ca="1">IFERROR(__xludf.DUMMYFUNCTION("""COMPUTED_VALUE"""),22560238)</f>
        <v>22560238</v>
      </c>
    </row>
    <row r="1740" spans="1:6" x14ac:dyDescent="0.35">
      <c r="A1740" s="2">
        <f ca="1">IFERROR(__xludf.DUMMYFUNCTION("""COMPUTED_VALUE"""),44526.5416666666)</f>
        <v>44526.541666666599</v>
      </c>
      <c r="B1740" s="1">
        <f ca="1">IFERROR(__xludf.DUMMYFUNCTION("""COMPUTED_VALUE"""),366.49)</f>
        <v>366.49</v>
      </c>
      <c r="C1740" s="1">
        <f ca="1">IFERROR(__xludf.DUMMYFUNCTION("""COMPUTED_VALUE"""),369.59)</f>
        <v>369.59</v>
      </c>
      <c r="D1740" s="1">
        <f ca="1">IFERROR(__xludf.DUMMYFUNCTION("""COMPUTED_VALUE"""),360.33)</f>
        <v>360.33</v>
      </c>
      <c r="E1740" s="1">
        <f ca="1">IFERROR(__xludf.DUMMYFUNCTION("""COMPUTED_VALUE"""),360.64)</f>
        <v>360.64</v>
      </c>
      <c r="F1740" s="1">
        <f ca="1">IFERROR(__xludf.DUMMYFUNCTION("""COMPUTED_VALUE"""),11680890)</f>
        <v>11680890</v>
      </c>
    </row>
    <row r="1741" spans="1:6" x14ac:dyDescent="0.35">
      <c r="A1741" s="2">
        <f ca="1">IFERROR(__xludf.DUMMYFUNCTION("""COMPUTED_VALUE"""),44529.6666666666)</f>
        <v>44529.666666666599</v>
      </c>
      <c r="B1741" s="1">
        <f ca="1">IFERROR(__xludf.DUMMYFUNCTION("""COMPUTED_VALUE"""),367)</f>
        <v>367</v>
      </c>
      <c r="C1741" s="1">
        <f ca="1">IFERROR(__xludf.DUMMYFUNCTION("""COMPUTED_VALUE"""),380.89)</f>
        <v>380.89</v>
      </c>
      <c r="D1741" s="1">
        <f ca="1">IFERROR(__xludf.DUMMYFUNCTION("""COMPUTED_VALUE"""),366.73)</f>
        <v>366.73</v>
      </c>
      <c r="E1741" s="1">
        <f ca="1">IFERROR(__xludf.DUMMYFUNCTION("""COMPUTED_VALUE"""),379)</f>
        <v>379</v>
      </c>
      <c r="F1741" s="1">
        <f ca="1">IFERROR(__xludf.DUMMYFUNCTION("""COMPUTED_VALUE"""),19464467)</f>
        <v>19464467</v>
      </c>
    </row>
    <row r="1742" spans="1:6" x14ac:dyDescent="0.35">
      <c r="A1742" s="2">
        <f ca="1">IFERROR(__xludf.DUMMYFUNCTION("""COMPUTED_VALUE"""),44530.6666666666)</f>
        <v>44530.666666666599</v>
      </c>
      <c r="B1742" s="1">
        <f ca="1">IFERROR(__xludf.DUMMYFUNCTION("""COMPUTED_VALUE"""),381.46)</f>
        <v>381.46</v>
      </c>
      <c r="C1742" s="1">
        <f ca="1">IFERROR(__xludf.DUMMYFUNCTION("""COMPUTED_VALUE"""),389.33)</f>
        <v>389.33</v>
      </c>
      <c r="D1742" s="1">
        <f ca="1">IFERROR(__xludf.DUMMYFUNCTION("""COMPUTED_VALUE"""),372.67)</f>
        <v>372.67</v>
      </c>
      <c r="E1742" s="1">
        <f ca="1">IFERROR(__xludf.DUMMYFUNCTION("""COMPUTED_VALUE"""),381.59)</f>
        <v>381.59</v>
      </c>
      <c r="F1742" s="1">
        <f ca="1">IFERROR(__xludf.DUMMYFUNCTION("""COMPUTED_VALUE"""),27092038)</f>
        <v>27092038</v>
      </c>
    </row>
    <row r="1743" spans="1:6" x14ac:dyDescent="0.35">
      <c r="A1743" s="2">
        <f ca="1">IFERROR(__xludf.DUMMYFUNCTION("""COMPUTED_VALUE"""),44531.6666666666)</f>
        <v>44531.666666666599</v>
      </c>
      <c r="B1743" s="1">
        <f ca="1">IFERROR(__xludf.DUMMYFUNCTION("""COMPUTED_VALUE"""),386.9)</f>
        <v>386.9</v>
      </c>
      <c r="C1743" s="1">
        <f ca="1">IFERROR(__xludf.DUMMYFUNCTION("""COMPUTED_VALUE"""),390.95)</f>
        <v>390.95</v>
      </c>
      <c r="D1743" s="1">
        <f ca="1">IFERROR(__xludf.DUMMYFUNCTION("""COMPUTED_VALUE"""),363.59)</f>
        <v>363.59</v>
      </c>
      <c r="E1743" s="1">
        <f ca="1">IFERROR(__xludf.DUMMYFUNCTION("""COMPUTED_VALUE"""),365)</f>
        <v>365</v>
      </c>
      <c r="F1743" s="1">
        <f ca="1">IFERROR(__xludf.DUMMYFUNCTION("""COMPUTED_VALUE"""),22934698)</f>
        <v>22934698</v>
      </c>
    </row>
    <row r="1744" spans="1:6" x14ac:dyDescent="0.35">
      <c r="A1744" s="2">
        <f ca="1">IFERROR(__xludf.DUMMYFUNCTION("""COMPUTED_VALUE"""),44532.6666666666)</f>
        <v>44532.666666666599</v>
      </c>
      <c r="B1744" s="1">
        <f ca="1">IFERROR(__xludf.DUMMYFUNCTION("""COMPUTED_VALUE"""),366.35)</f>
        <v>366.35</v>
      </c>
      <c r="C1744" s="1">
        <f ca="1">IFERROR(__xludf.DUMMYFUNCTION("""COMPUTED_VALUE"""),371)</f>
        <v>371</v>
      </c>
      <c r="D1744" s="1">
        <f ca="1">IFERROR(__xludf.DUMMYFUNCTION("""COMPUTED_VALUE"""),352.22)</f>
        <v>352.22</v>
      </c>
      <c r="E1744" s="1">
        <f ca="1">IFERROR(__xludf.DUMMYFUNCTION("""COMPUTED_VALUE"""),361.53)</f>
        <v>361.53</v>
      </c>
      <c r="F1744" s="1">
        <f ca="1">IFERROR(__xludf.DUMMYFUNCTION("""COMPUTED_VALUE"""),24371623)</f>
        <v>24371623</v>
      </c>
    </row>
    <row r="1745" spans="1:6" x14ac:dyDescent="0.35">
      <c r="A1745" s="2">
        <f ca="1">IFERROR(__xludf.DUMMYFUNCTION("""COMPUTED_VALUE"""),44533.6666666666)</f>
        <v>44533.666666666599</v>
      </c>
      <c r="B1745" s="1">
        <f ca="1">IFERROR(__xludf.DUMMYFUNCTION("""COMPUTED_VALUE"""),361.6)</f>
        <v>361.6</v>
      </c>
      <c r="C1745" s="1">
        <f ca="1">IFERROR(__xludf.DUMMYFUNCTION("""COMPUTED_VALUE"""),363.53)</f>
        <v>363.53</v>
      </c>
      <c r="D1745" s="1">
        <f ca="1">IFERROR(__xludf.DUMMYFUNCTION("""COMPUTED_VALUE"""),333.4)</f>
        <v>333.4</v>
      </c>
      <c r="E1745" s="1">
        <f ca="1">IFERROR(__xludf.DUMMYFUNCTION("""COMPUTED_VALUE"""),338.32)</f>
        <v>338.32</v>
      </c>
      <c r="F1745" s="1">
        <f ca="1">IFERROR(__xludf.DUMMYFUNCTION("""COMPUTED_VALUE"""),30773995)</f>
        <v>30773995</v>
      </c>
    </row>
    <row r="1746" spans="1:6" x14ac:dyDescent="0.35">
      <c r="A1746" s="2">
        <f ca="1">IFERROR(__xludf.DUMMYFUNCTION("""COMPUTED_VALUE"""),44536.6666666666)</f>
        <v>44536.666666666599</v>
      </c>
      <c r="B1746" s="1">
        <f ca="1">IFERROR(__xludf.DUMMYFUNCTION("""COMPUTED_VALUE"""),333.84)</f>
        <v>333.84</v>
      </c>
      <c r="C1746" s="1">
        <f ca="1">IFERROR(__xludf.DUMMYFUNCTION("""COMPUTED_VALUE"""),340.55)</f>
        <v>340.55</v>
      </c>
      <c r="D1746" s="1">
        <f ca="1">IFERROR(__xludf.DUMMYFUNCTION("""COMPUTED_VALUE"""),316.83)</f>
        <v>316.83</v>
      </c>
      <c r="E1746" s="1">
        <f ca="1">IFERROR(__xludf.DUMMYFUNCTION("""COMPUTED_VALUE"""),336.34)</f>
        <v>336.34</v>
      </c>
      <c r="F1746" s="1">
        <f ca="1">IFERROR(__xludf.DUMMYFUNCTION("""COMPUTED_VALUE"""),27221037)</f>
        <v>27221037</v>
      </c>
    </row>
    <row r="1747" spans="1:6" x14ac:dyDescent="0.35">
      <c r="A1747" s="2">
        <f ca="1">IFERROR(__xludf.DUMMYFUNCTION("""COMPUTED_VALUE"""),44537.6666666666)</f>
        <v>44537.666666666599</v>
      </c>
      <c r="B1747" s="1">
        <f ca="1">IFERROR(__xludf.DUMMYFUNCTION("""COMPUTED_VALUE"""),348.07)</f>
        <v>348.07</v>
      </c>
      <c r="C1747" s="1">
        <f ca="1">IFERROR(__xludf.DUMMYFUNCTION("""COMPUTED_VALUE"""),352.56)</f>
        <v>352.56</v>
      </c>
      <c r="D1747" s="1">
        <f ca="1">IFERROR(__xludf.DUMMYFUNCTION("""COMPUTED_VALUE"""),342.27)</f>
        <v>342.27</v>
      </c>
      <c r="E1747" s="1">
        <f ca="1">IFERROR(__xludf.DUMMYFUNCTION("""COMPUTED_VALUE"""),350.58)</f>
        <v>350.58</v>
      </c>
      <c r="F1747" s="1">
        <f ca="1">IFERROR(__xludf.DUMMYFUNCTION("""COMPUTED_VALUE"""),18694857)</f>
        <v>18694857</v>
      </c>
    </row>
    <row r="1748" spans="1:6" x14ac:dyDescent="0.35">
      <c r="A1748" s="2">
        <f ca="1">IFERROR(__xludf.DUMMYFUNCTION("""COMPUTED_VALUE"""),44538.6666666666)</f>
        <v>44538.666666666599</v>
      </c>
      <c r="B1748" s="1">
        <f ca="1">IFERROR(__xludf.DUMMYFUNCTION("""COMPUTED_VALUE"""),350.9)</f>
        <v>350.9</v>
      </c>
      <c r="C1748" s="1">
        <f ca="1">IFERROR(__xludf.DUMMYFUNCTION("""COMPUTED_VALUE"""),357.46)</f>
        <v>357.46</v>
      </c>
      <c r="D1748" s="1">
        <f ca="1">IFERROR(__xludf.DUMMYFUNCTION("""COMPUTED_VALUE"""),344.33)</f>
        <v>344.33</v>
      </c>
      <c r="E1748" s="1">
        <f ca="1">IFERROR(__xludf.DUMMYFUNCTION("""COMPUTED_VALUE"""),356.32)</f>
        <v>356.32</v>
      </c>
      <c r="F1748" s="1">
        <f ca="1">IFERROR(__xludf.DUMMYFUNCTION("""COMPUTED_VALUE"""),13968790)</f>
        <v>13968790</v>
      </c>
    </row>
    <row r="1749" spans="1:6" x14ac:dyDescent="0.35">
      <c r="A1749" s="2">
        <f ca="1">IFERROR(__xludf.DUMMYFUNCTION("""COMPUTED_VALUE"""),44539.6666666666)</f>
        <v>44539.666666666599</v>
      </c>
      <c r="B1749" s="1">
        <f ca="1">IFERROR(__xludf.DUMMYFUNCTION("""COMPUTED_VALUE"""),353.55)</f>
        <v>353.55</v>
      </c>
      <c r="C1749" s="1">
        <f ca="1">IFERROR(__xludf.DUMMYFUNCTION("""COMPUTED_VALUE"""),354.16)</f>
        <v>354.16</v>
      </c>
      <c r="D1749" s="1">
        <f ca="1">IFERROR(__xludf.DUMMYFUNCTION("""COMPUTED_VALUE"""),334.12)</f>
        <v>334.12</v>
      </c>
      <c r="E1749" s="1">
        <f ca="1">IFERROR(__xludf.DUMMYFUNCTION("""COMPUTED_VALUE"""),334.6)</f>
        <v>334.6</v>
      </c>
      <c r="F1749" s="1">
        <f ca="1">IFERROR(__xludf.DUMMYFUNCTION("""COMPUTED_VALUE"""),19812832)</f>
        <v>19812832</v>
      </c>
    </row>
    <row r="1750" spans="1:6" x14ac:dyDescent="0.35">
      <c r="A1750" s="2">
        <f ca="1">IFERROR(__xludf.DUMMYFUNCTION("""COMPUTED_VALUE"""),44540.6666666666)</f>
        <v>44540.666666666599</v>
      </c>
      <c r="B1750" s="1">
        <f ca="1">IFERROR(__xludf.DUMMYFUNCTION("""COMPUTED_VALUE"""),336.25)</f>
        <v>336.25</v>
      </c>
      <c r="C1750" s="1">
        <f ca="1">IFERROR(__xludf.DUMMYFUNCTION("""COMPUTED_VALUE"""),340.33)</f>
        <v>340.33</v>
      </c>
      <c r="D1750" s="1">
        <f ca="1">IFERROR(__xludf.DUMMYFUNCTION("""COMPUTED_VALUE"""),327.51)</f>
        <v>327.51</v>
      </c>
      <c r="E1750" s="1">
        <f ca="1">IFERROR(__xludf.DUMMYFUNCTION("""COMPUTED_VALUE"""),339.01)</f>
        <v>339.01</v>
      </c>
      <c r="F1750" s="1">
        <f ca="1">IFERROR(__xludf.DUMMYFUNCTION("""COMPUTED_VALUE"""),19888122)</f>
        <v>19888122</v>
      </c>
    </row>
    <row r="1751" spans="1:6" x14ac:dyDescent="0.35">
      <c r="A1751" s="2">
        <f ca="1">IFERROR(__xludf.DUMMYFUNCTION("""COMPUTED_VALUE"""),44543.6666666666)</f>
        <v>44543.666666666599</v>
      </c>
      <c r="B1751" s="1">
        <f ca="1">IFERROR(__xludf.DUMMYFUNCTION("""COMPUTED_VALUE"""),333.7)</f>
        <v>333.7</v>
      </c>
      <c r="C1751" s="1">
        <f ca="1">IFERROR(__xludf.DUMMYFUNCTION("""COMPUTED_VALUE"""),335)</f>
        <v>335</v>
      </c>
      <c r="D1751" s="1">
        <f ca="1">IFERROR(__xludf.DUMMYFUNCTION("""COMPUTED_VALUE"""),317.14)</f>
        <v>317.14</v>
      </c>
      <c r="E1751" s="1">
        <f ca="1">IFERROR(__xludf.DUMMYFUNCTION("""COMPUTED_VALUE"""),322.14)</f>
        <v>322.14</v>
      </c>
      <c r="F1751" s="1">
        <f ca="1">IFERROR(__xludf.DUMMYFUNCTION("""COMPUTED_VALUE"""),26198502)</f>
        <v>26198502</v>
      </c>
    </row>
    <row r="1752" spans="1:6" x14ac:dyDescent="0.35">
      <c r="A1752" s="2">
        <f ca="1">IFERROR(__xludf.DUMMYFUNCTION("""COMPUTED_VALUE"""),44544.6666666666)</f>
        <v>44544.666666666599</v>
      </c>
      <c r="B1752" s="1">
        <f ca="1">IFERROR(__xludf.DUMMYFUNCTION("""COMPUTED_VALUE"""),315)</f>
        <v>315</v>
      </c>
      <c r="C1752" s="1">
        <f ca="1">IFERROR(__xludf.DUMMYFUNCTION("""COMPUTED_VALUE"""),322.14)</f>
        <v>322.14</v>
      </c>
      <c r="D1752" s="1">
        <f ca="1">IFERROR(__xludf.DUMMYFUNCTION("""COMPUTED_VALUE"""),310)</f>
        <v>310</v>
      </c>
      <c r="E1752" s="1">
        <f ca="1">IFERROR(__xludf.DUMMYFUNCTION("""COMPUTED_VALUE"""),319.5)</f>
        <v>319.5</v>
      </c>
      <c r="F1752" s="1">
        <f ca="1">IFERROR(__xludf.DUMMYFUNCTION("""COMPUTED_VALUE"""),23602090)</f>
        <v>23602090</v>
      </c>
    </row>
    <row r="1753" spans="1:6" x14ac:dyDescent="0.35">
      <c r="A1753" s="2">
        <f ca="1">IFERROR(__xludf.DUMMYFUNCTION("""COMPUTED_VALUE"""),44545.6666666666)</f>
        <v>44545.666666666599</v>
      </c>
      <c r="B1753" s="1">
        <f ca="1">IFERROR(__xludf.DUMMYFUNCTION("""COMPUTED_VALUE"""),317.74)</f>
        <v>317.74</v>
      </c>
      <c r="C1753" s="1">
        <f ca="1">IFERROR(__xludf.DUMMYFUNCTION("""COMPUTED_VALUE"""),326.25)</f>
        <v>326.25</v>
      </c>
      <c r="D1753" s="1">
        <f ca="1">IFERROR(__xludf.DUMMYFUNCTION("""COMPUTED_VALUE"""),309.42)</f>
        <v>309.42</v>
      </c>
      <c r="E1753" s="1">
        <f ca="1">IFERROR(__xludf.DUMMYFUNCTION("""COMPUTED_VALUE"""),325.33)</f>
        <v>325.33</v>
      </c>
      <c r="F1753" s="1">
        <f ca="1">IFERROR(__xludf.DUMMYFUNCTION("""COMPUTED_VALUE"""),25056410)</f>
        <v>25056410</v>
      </c>
    </row>
    <row r="1754" spans="1:6" x14ac:dyDescent="0.35">
      <c r="A1754" s="2">
        <f ca="1">IFERROR(__xludf.DUMMYFUNCTION("""COMPUTED_VALUE"""),44546.6666666666)</f>
        <v>44546.666666666599</v>
      </c>
      <c r="B1754" s="1">
        <f ca="1">IFERROR(__xludf.DUMMYFUNCTION("""COMPUTED_VALUE"""),331.5)</f>
        <v>331.5</v>
      </c>
      <c r="C1754" s="1">
        <f ca="1">IFERROR(__xludf.DUMMYFUNCTION("""COMPUTED_VALUE"""),331.66)</f>
        <v>331.66</v>
      </c>
      <c r="D1754" s="1">
        <f ca="1">IFERROR(__xludf.DUMMYFUNCTION("""COMPUTED_VALUE"""),307.28)</f>
        <v>307.27999999999997</v>
      </c>
      <c r="E1754" s="1">
        <f ca="1">IFERROR(__xludf.DUMMYFUNCTION("""COMPUTED_VALUE"""),308.97)</f>
        <v>308.97000000000003</v>
      </c>
      <c r="F1754" s="1">
        <f ca="1">IFERROR(__xludf.DUMMYFUNCTION("""COMPUTED_VALUE"""),27590483)</f>
        <v>27590483</v>
      </c>
    </row>
    <row r="1755" spans="1:6" x14ac:dyDescent="0.35">
      <c r="A1755" s="2">
        <f ca="1">IFERROR(__xludf.DUMMYFUNCTION("""COMPUTED_VALUE"""),44547.6666666666)</f>
        <v>44547.666666666599</v>
      </c>
      <c r="B1755" s="1">
        <f ca="1">IFERROR(__xludf.DUMMYFUNCTION("""COMPUTED_VALUE"""),304.92)</f>
        <v>304.92</v>
      </c>
      <c r="C1755" s="1">
        <f ca="1">IFERROR(__xludf.DUMMYFUNCTION("""COMPUTED_VALUE"""),320.22)</f>
        <v>320.22000000000003</v>
      </c>
      <c r="D1755" s="1">
        <f ca="1">IFERROR(__xludf.DUMMYFUNCTION("""COMPUTED_VALUE"""),303.01)</f>
        <v>303.01</v>
      </c>
      <c r="E1755" s="1">
        <f ca="1">IFERROR(__xludf.DUMMYFUNCTION("""COMPUTED_VALUE"""),310.86)</f>
        <v>310.86</v>
      </c>
      <c r="F1755" s="1">
        <f ca="1">IFERROR(__xludf.DUMMYFUNCTION("""COMPUTED_VALUE"""),33626754)</f>
        <v>33626754</v>
      </c>
    </row>
    <row r="1756" spans="1:6" x14ac:dyDescent="0.35">
      <c r="A1756" s="2">
        <f ca="1">IFERROR(__xludf.DUMMYFUNCTION("""COMPUTED_VALUE"""),44550.6666666666)</f>
        <v>44550.666666666599</v>
      </c>
      <c r="B1756" s="1">
        <f ca="1">IFERROR(__xludf.DUMMYFUNCTION("""COMPUTED_VALUE"""),303.57)</f>
        <v>303.57</v>
      </c>
      <c r="C1756" s="1">
        <f ca="1">IFERROR(__xludf.DUMMYFUNCTION("""COMPUTED_VALUE"""),307.23)</f>
        <v>307.23</v>
      </c>
      <c r="D1756" s="1">
        <f ca="1">IFERROR(__xludf.DUMMYFUNCTION("""COMPUTED_VALUE"""),297.8)</f>
        <v>297.8</v>
      </c>
      <c r="E1756" s="1">
        <f ca="1">IFERROR(__xludf.DUMMYFUNCTION("""COMPUTED_VALUE"""),299.98)</f>
        <v>299.98</v>
      </c>
      <c r="F1756" s="1">
        <f ca="1">IFERROR(__xludf.DUMMYFUNCTION("""COMPUTED_VALUE"""),18826671)</f>
        <v>18826671</v>
      </c>
    </row>
    <row r="1757" spans="1:6" x14ac:dyDescent="0.35">
      <c r="A1757" s="2">
        <f ca="1">IFERROR(__xludf.DUMMYFUNCTION("""COMPUTED_VALUE"""),44551.6666666666)</f>
        <v>44551.666666666599</v>
      </c>
      <c r="B1757" s="1">
        <f ca="1">IFERROR(__xludf.DUMMYFUNCTION("""COMPUTED_VALUE"""),305.62)</f>
        <v>305.62</v>
      </c>
      <c r="C1757" s="1">
        <f ca="1">IFERROR(__xludf.DUMMYFUNCTION("""COMPUTED_VALUE"""),313.17)</f>
        <v>313.17</v>
      </c>
      <c r="D1757" s="1">
        <f ca="1">IFERROR(__xludf.DUMMYFUNCTION("""COMPUTED_VALUE"""),295.37)</f>
        <v>295.37</v>
      </c>
      <c r="E1757" s="1">
        <f ca="1">IFERROR(__xludf.DUMMYFUNCTION("""COMPUTED_VALUE"""),312.84)</f>
        <v>312.83999999999997</v>
      </c>
      <c r="F1757" s="1">
        <f ca="1">IFERROR(__xludf.DUMMYFUNCTION("""COMPUTED_VALUE"""),23839305)</f>
        <v>23839305</v>
      </c>
    </row>
    <row r="1758" spans="1:6" x14ac:dyDescent="0.35">
      <c r="A1758" s="2">
        <f ca="1">IFERROR(__xludf.DUMMYFUNCTION("""COMPUTED_VALUE"""),44552.6666666666)</f>
        <v>44552.666666666599</v>
      </c>
      <c r="B1758" s="1">
        <f ca="1">IFERROR(__xludf.DUMMYFUNCTION("""COMPUTED_VALUE"""),321.89)</f>
        <v>321.89</v>
      </c>
      <c r="C1758" s="1">
        <f ca="1">IFERROR(__xludf.DUMMYFUNCTION("""COMPUTED_VALUE"""),338.55)</f>
        <v>338.55</v>
      </c>
      <c r="D1758" s="1">
        <f ca="1">IFERROR(__xludf.DUMMYFUNCTION("""COMPUTED_VALUE"""),319.02)</f>
        <v>319.02</v>
      </c>
      <c r="E1758" s="1">
        <f ca="1">IFERROR(__xludf.DUMMYFUNCTION("""COMPUTED_VALUE"""),336.29)</f>
        <v>336.29</v>
      </c>
      <c r="F1758" s="1">
        <f ca="1">IFERROR(__xludf.DUMMYFUNCTION("""COMPUTED_VALUE"""),31211362)</f>
        <v>31211362</v>
      </c>
    </row>
    <row r="1759" spans="1:6" x14ac:dyDescent="0.35">
      <c r="A1759" s="2">
        <f ca="1">IFERROR(__xludf.DUMMYFUNCTION("""COMPUTED_VALUE"""),44553.6666666666)</f>
        <v>44553.666666666599</v>
      </c>
      <c r="B1759" s="1">
        <f ca="1">IFERROR(__xludf.DUMMYFUNCTION("""COMPUTED_VALUE"""),335.6)</f>
        <v>335.6</v>
      </c>
      <c r="C1759" s="1">
        <f ca="1">IFERROR(__xludf.DUMMYFUNCTION("""COMPUTED_VALUE"""),357.66)</f>
        <v>357.66</v>
      </c>
      <c r="D1759" s="1">
        <f ca="1">IFERROR(__xludf.DUMMYFUNCTION("""COMPUTED_VALUE"""),332.52)</f>
        <v>332.52</v>
      </c>
      <c r="E1759" s="1">
        <f ca="1">IFERROR(__xludf.DUMMYFUNCTION("""COMPUTED_VALUE"""),355.67)</f>
        <v>355.67</v>
      </c>
      <c r="F1759" s="1">
        <f ca="1">IFERROR(__xludf.DUMMYFUNCTION("""COMPUTED_VALUE"""),30904429)</f>
        <v>30904429</v>
      </c>
    </row>
    <row r="1760" spans="1:6" x14ac:dyDescent="0.35">
      <c r="A1760" s="2">
        <f ca="1">IFERROR(__xludf.DUMMYFUNCTION("""COMPUTED_VALUE"""),44557.6666666666)</f>
        <v>44557.666666666599</v>
      </c>
      <c r="B1760" s="1">
        <f ca="1">IFERROR(__xludf.DUMMYFUNCTION("""COMPUTED_VALUE"""),357.89)</f>
        <v>357.89</v>
      </c>
      <c r="C1760" s="1">
        <f ca="1">IFERROR(__xludf.DUMMYFUNCTION("""COMPUTED_VALUE"""),372.33)</f>
        <v>372.33</v>
      </c>
      <c r="D1760" s="1">
        <f ca="1">IFERROR(__xludf.DUMMYFUNCTION("""COMPUTED_VALUE"""),356.91)</f>
        <v>356.91</v>
      </c>
      <c r="E1760" s="1">
        <f ca="1">IFERROR(__xludf.DUMMYFUNCTION("""COMPUTED_VALUE"""),364.65)</f>
        <v>364.65</v>
      </c>
      <c r="F1760" s="1">
        <f ca="1">IFERROR(__xludf.DUMMYFUNCTION("""COMPUTED_VALUE"""),23715273)</f>
        <v>23715273</v>
      </c>
    </row>
    <row r="1761" spans="1:6" x14ac:dyDescent="0.35">
      <c r="A1761" s="2">
        <f ca="1">IFERROR(__xludf.DUMMYFUNCTION("""COMPUTED_VALUE"""),44558.6666666666)</f>
        <v>44558.666666666599</v>
      </c>
      <c r="B1761" s="1">
        <f ca="1">IFERROR(__xludf.DUMMYFUNCTION("""COMPUTED_VALUE"""),369.83)</f>
        <v>369.83</v>
      </c>
      <c r="C1761" s="1">
        <f ca="1">IFERROR(__xludf.DUMMYFUNCTION("""COMPUTED_VALUE"""),373)</f>
        <v>373</v>
      </c>
      <c r="D1761" s="1">
        <f ca="1">IFERROR(__xludf.DUMMYFUNCTION("""COMPUTED_VALUE"""),359.47)</f>
        <v>359.47</v>
      </c>
      <c r="E1761" s="1">
        <f ca="1">IFERROR(__xludf.DUMMYFUNCTION("""COMPUTED_VALUE"""),362.82)</f>
        <v>362.82</v>
      </c>
      <c r="F1761" s="1">
        <f ca="1">IFERROR(__xludf.DUMMYFUNCTION("""COMPUTED_VALUE"""),20107969)</f>
        <v>20107969</v>
      </c>
    </row>
    <row r="1762" spans="1:6" x14ac:dyDescent="0.35">
      <c r="A1762" s="2">
        <f ca="1">IFERROR(__xludf.DUMMYFUNCTION("""COMPUTED_VALUE"""),44559.6666666666)</f>
        <v>44559.666666666599</v>
      </c>
      <c r="B1762" s="1">
        <f ca="1">IFERROR(__xludf.DUMMYFUNCTION("""COMPUTED_VALUE"""),366.21)</f>
        <v>366.21</v>
      </c>
      <c r="C1762" s="1">
        <f ca="1">IFERROR(__xludf.DUMMYFUNCTION("""COMPUTED_VALUE"""),368)</f>
        <v>368</v>
      </c>
      <c r="D1762" s="1">
        <f ca="1">IFERROR(__xludf.DUMMYFUNCTION("""COMPUTED_VALUE"""),354.71)</f>
        <v>354.71</v>
      </c>
      <c r="E1762" s="1">
        <f ca="1">IFERROR(__xludf.DUMMYFUNCTION("""COMPUTED_VALUE"""),362.06)</f>
        <v>362.06</v>
      </c>
      <c r="F1762" s="1">
        <f ca="1">IFERROR(__xludf.DUMMYFUNCTION("""COMPUTED_VALUE"""),18718015)</f>
        <v>18718015</v>
      </c>
    </row>
    <row r="1763" spans="1:6" x14ac:dyDescent="0.35">
      <c r="A1763" s="2">
        <f ca="1">IFERROR(__xludf.DUMMYFUNCTION("""COMPUTED_VALUE"""),44560.6666666666)</f>
        <v>44560.666666666599</v>
      </c>
      <c r="B1763" s="1">
        <f ca="1">IFERROR(__xludf.DUMMYFUNCTION("""COMPUTED_VALUE"""),353.78)</f>
        <v>353.78</v>
      </c>
      <c r="C1763" s="1">
        <f ca="1">IFERROR(__xludf.DUMMYFUNCTION("""COMPUTED_VALUE"""),365.18)</f>
        <v>365.18</v>
      </c>
      <c r="D1763" s="1">
        <f ca="1">IFERROR(__xludf.DUMMYFUNCTION("""COMPUTED_VALUE"""),351.05)</f>
        <v>351.05</v>
      </c>
      <c r="E1763" s="1">
        <f ca="1">IFERROR(__xludf.DUMMYFUNCTION("""COMPUTED_VALUE"""),356.78)</f>
        <v>356.78</v>
      </c>
      <c r="F1763" s="1">
        <f ca="1">IFERROR(__xludf.DUMMYFUNCTION("""COMPUTED_VALUE"""),15680313)</f>
        <v>15680313</v>
      </c>
    </row>
    <row r="1764" spans="1:6" x14ac:dyDescent="0.35">
      <c r="A1764" s="2">
        <f ca="1">IFERROR(__xludf.DUMMYFUNCTION("""COMPUTED_VALUE"""),44561.6666666666)</f>
        <v>44561.666666666599</v>
      </c>
      <c r="B1764" s="1">
        <f ca="1">IFERROR(__xludf.DUMMYFUNCTION("""COMPUTED_VALUE"""),357.81)</f>
        <v>357.81</v>
      </c>
      <c r="C1764" s="1">
        <f ca="1">IFERROR(__xludf.DUMMYFUNCTION("""COMPUTED_VALUE"""),360.67)</f>
        <v>360.67</v>
      </c>
      <c r="D1764" s="1">
        <f ca="1">IFERROR(__xludf.DUMMYFUNCTION("""COMPUTED_VALUE"""),351.53)</f>
        <v>351.53</v>
      </c>
      <c r="E1764" s="1">
        <f ca="1">IFERROR(__xludf.DUMMYFUNCTION("""COMPUTED_VALUE"""),352.26)</f>
        <v>352.26</v>
      </c>
      <c r="F1764" s="1">
        <f ca="1">IFERROR(__xludf.DUMMYFUNCTION("""COMPUTED_VALUE"""),13577875)</f>
        <v>13577875</v>
      </c>
    </row>
    <row r="1765" spans="1:6" x14ac:dyDescent="0.35">
      <c r="A1765" s="2">
        <f ca="1">IFERROR(__xludf.DUMMYFUNCTION("""COMPUTED_VALUE"""),44564.6666666666)</f>
        <v>44564.666666666599</v>
      </c>
      <c r="B1765" s="1">
        <f ca="1">IFERROR(__xludf.DUMMYFUNCTION("""COMPUTED_VALUE"""),382.58)</f>
        <v>382.58</v>
      </c>
      <c r="C1765" s="1">
        <f ca="1">IFERROR(__xludf.DUMMYFUNCTION("""COMPUTED_VALUE"""),400.36)</f>
        <v>400.36</v>
      </c>
      <c r="D1765" s="1">
        <f ca="1">IFERROR(__xludf.DUMMYFUNCTION("""COMPUTED_VALUE"""),378.68)</f>
        <v>378.68</v>
      </c>
      <c r="E1765" s="1">
        <f ca="1">IFERROR(__xludf.DUMMYFUNCTION("""COMPUTED_VALUE"""),399.93)</f>
        <v>399.93</v>
      </c>
      <c r="F1765" s="1">
        <f ca="1">IFERROR(__xludf.DUMMYFUNCTION("""COMPUTED_VALUE"""),34895349)</f>
        <v>34895349</v>
      </c>
    </row>
    <row r="1766" spans="1:6" x14ac:dyDescent="0.35">
      <c r="A1766" s="2">
        <f ca="1">IFERROR(__xludf.DUMMYFUNCTION("""COMPUTED_VALUE"""),44565.6666666666)</f>
        <v>44565.666666666599</v>
      </c>
      <c r="B1766" s="1">
        <f ca="1">IFERROR(__xludf.DUMMYFUNCTION("""COMPUTED_VALUE"""),396.52)</f>
        <v>396.52</v>
      </c>
      <c r="C1766" s="1">
        <f ca="1">IFERROR(__xludf.DUMMYFUNCTION("""COMPUTED_VALUE"""),402.67)</f>
        <v>402.67</v>
      </c>
      <c r="D1766" s="1">
        <f ca="1">IFERROR(__xludf.DUMMYFUNCTION("""COMPUTED_VALUE"""),374.35)</f>
        <v>374.35</v>
      </c>
      <c r="E1766" s="1">
        <f ca="1">IFERROR(__xludf.DUMMYFUNCTION("""COMPUTED_VALUE"""),383.2)</f>
        <v>383.2</v>
      </c>
      <c r="F1766" s="1">
        <f ca="1">IFERROR(__xludf.DUMMYFUNCTION("""COMPUTED_VALUE"""),33416086)</f>
        <v>33416086</v>
      </c>
    </row>
    <row r="1767" spans="1:6" x14ac:dyDescent="0.35">
      <c r="A1767" s="2">
        <f ca="1">IFERROR(__xludf.DUMMYFUNCTION("""COMPUTED_VALUE"""),44566.6666666666)</f>
        <v>44566.666666666599</v>
      </c>
      <c r="B1767" s="1">
        <f ca="1">IFERROR(__xludf.DUMMYFUNCTION("""COMPUTED_VALUE"""),382.22)</f>
        <v>382.22</v>
      </c>
      <c r="C1767" s="1">
        <f ca="1">IFERROR(__xludf.DUMMYFUNCTION("""COMPUTED_VALUE"""),390.11)</f>
        <v>390.11</v>
      </c>
      <c r="D1767" s="1">
        <f ca="1">IFERROR(__xludf.DUMMYFUNCTION("""COMPUTED_VALUE"""),360.34)</f>
        <v>360.34</v>
      </c>
      <c r="E1767" s="1">
        <f ca="1">IFERROR(__xludf.DUMMYFUNCTION("""COMPUTED_VALUE"""),362.71)</f>
        <v>362.71</v>
      </c>
      <c r="F1767" s="1">
        <f ca="1">IFERROR(__xludf.DUMMYFUNCTION("""COMPUTED_VALUE"""),26706599)</f>
        <v>26706599</v>
      </c>
    </row>
    <row r="1768" spans="1:6" x14ac:dyDescent="0.35">
      <c r="A1768" s="2">
        <f ca="1">IFERROR(__xludf.DUMMYFUNCTION("""COMPUTED_VALUE"""),44567.6666666666)</f>
        <v>44567.666666666599</v>
      </c>
      <c r="B1768" s="1">
        <f ca="1">IFERROR(__xludf.DUMMYFUNCTION("""COMPUTED_VALUE"""),359)</f>
        <v>359</v>
      </c>
      <c r="C1768" s="1">
        <f ca="1">IFERROR(__xludf.DUMMYFUNCTION("""COMPUTED_VALUE"""),362.67)</f>
        <v>362.67</v>
      </c>
      <c r="D1768" s="1">
        <f ca="1">IFERROR(__xludf.DUMMYFUNCTION("""COMPUTED_VALUE"""),340.17)</f>
        <v>340.17</v>
      </c>
      <c r="E1768" s="1">
        <f ca="1">IFERROR(__xludf.DUMMYFUNCTION("""COMPUTED_VALUE"""),354.9)</f>
        <v>354.9</v>
      </c>
      <c r="F1768" s="1">
        <f ca="1">IFERROR(__xludf.DUMMYFUNCTION("""COMPUTED_VALUE"""),30112158)</f>
        <v>30112158</v>
      </c>
    </row>
    <row r="1769" spans="1:6" x14ac:dyDescent="0.35">
      <c r="A1769" s="2">
        <f ca="1">IFERROR(__xludf.DUMMYFUNCTION("""COMPUTED_VALUE"""),44568.6666666666)</f>
        <v>44568.666666666599</v>
      </c>
      <c r="B1769" s="1">
        <f ca="1">IFERROR(__xludf.DUMMYFUNCTION("""COMPUTED_VALUE"""),360.12)</f>
        <v>360.12</v>
      </c>
      <c r="C1769" s="1">
        <f ca="1">IFERROR(__xludf.DUMMYFUNCTION("""COMPUTED_VALUE"""),360.31)</f>
        <v>360.31</v>
      </c>
      <c r="D1769" s="1">
        <f ca="1">IFERROR(__xludf.DUMMYFUNCTION("""COMPUTED_VALUE"""),336.67)</f>
        <v>336.67</v>
      </c>
      <c r="E1769" s="1">
        <f ca="1">IFERROR(__xludf.DUMMYFUNCTION("""COMPUTED_VALUE"""),342.32)</f>
        <v>342.32</v>
      </c>
      <c r="F1769" s="1">
        <f ca="1">IFERROR(__xludf.DUMMYFUNCTION("""COMPUTED_VALUE"""),28054916)</f>
        <v>28054916</v>
      </c>
    </row>
    <row r="1770" spans="1:6" x14ac:dyDescent="0.35">
      <c r="A1770" s="2">
        <f ca="1">IFERROR(__xludf.DUMMYFUNCTION("""COMPUTED_VALUE"""),44571.6666666666)</f>
        <v>44571.666666666599</v>
      </c>
      <c r="B1770" s="1">
        <f ca="1">IFERROR(__xludf.DUMMYFUNCTION("""COMPUTED_VALUE"""),333.33)</f>
        <v>333.33</v>
      </c>
      <c r="C1770" s="1">
        <f ca="1">IFERROR(__xludf.DUMMYFUNCTION("""COMPUTED_VALUE"""),353.03)</f>
        <v>353.03</v>
      </c>
      <c r="D1770" s="1">
        <f ca="1">IFERROR(__xludf.DUMMYFUNCTION("""COMPUTED_VALUE"""),326.67)</f>
        <v>326.67</v>
      </c>
      <c r="E1770" s="1">
        <f ca="1">IFERROR(__xludf.DUMMYFUNCTION("""COMPUTED_VALUE"""),352.71)</f>
        <v>352.71</v>
      </c>
      <c r="F1770" s="1">
        <f ca="1">IFERROR(__xludf.DUMMYFUNCTION("""COMPUTED_VALUE"""),30604959)</f>
        <v>30604959</v>
      </c>
    </row>
    <row r="1771" spans="1:6" x14ac:dyDescent="0.35">
      <c r="A1771" s="2">
        <f ca="1">IFERROR(__xludf.DUMMYFUNCTION("""COMPUTED_VALUE"""),44572.6666666666)</f>
        <v>44572.666666666599</v>
      </c>
      <c r="B1771" s="1">
        <f ca="1">IFERROR(__xludf.DUMMYFUNCTION("""COMPUTED_VALUE"""),351.22)</f>
        <v>351.22</v>
      </c>
      <c r="C1771" s="1">
        <f ca="1">IFERROR(__xludf.DUMMYFUNCTION("""COMPUTED_VALUE"""),358.62)</f>
        <v>358.62</v>
      </c>
      <c r="D1771" s="1">
        <f ca="1">IFERROR(__xludf.DUMMYFUNCTION("""COMPUTED_VALUE"""),346.27)</f>
        <v>346.27</v>
      </c>
      <c r="E1771" s="1">
        <f ca="1">IFERROR(__xludf.DUMMYFUNCTION("""COMPUTED_VALUE"""),354.8)</f>
        <v>354.8</v>
      </c>
      <c r="F1771" s="1">
        <f ca="1">IFERROR(__xludf.DUMMYFUNCTION("""COMPUTED_VALUE"""),22021070)</f>
        <v>22021070</v>
      </c>
    </row>
    <row r="1772" spans="1:6" x14ac:dyDescent="0.35">
      <c r="A1772" s="2">
        <f ca="1">IFERROR(__xludf.DUMMYFUNCTION("""COMPUTED_VALUE"""),44573.6666666666)</f>
        <v>44573.666666666599</v>
      </c>
      <c r="B1772" s="1">
        <f ca="1">IFERROR(__xludf.DUMMYFUNCTION("""COMPUTED_VALUE"""),359.62)</f>
        <v>359.62</v>
      </c>
      <c r="C1772" s="1">
        <f ca="1">IFERROR(__xludf.DUMMYFUNCTION("""COMPUTED_VALUE"""),371.61)</f>
        <v>371.61</v>
      </c>
      <c r="D1772" s="1">
        <f ca="1">IFERROR(__xludf.DUMMYFUNCTION("""COMPUTED_VALUE"""),357.53)</f>
        <v>357.53</v>
      </c>
      <c r="E1772" s="1">
        <f ca="1">IFERROR(__xludf.DUMMYFUNCTION("""COMPUTED_VALUE"""),368.74)</f>
        <v>368.74</v>
      </c>
      <c r="F1772" s="1">
        <f ca="1">IFERROR(__xludf.DUMMYFUNCTION("""COMPUTED_VALUE"""),27913005)</f>
        <v>27913005</v>
      </c>
    </row>
    <row r="1773" spans="1:6" x14ac:dyDescent="0.35">
      <c r="A1773" s="2">
        <f ca="1">IFERROR(__xludf.DUMMYFUNCTION("""COMPUTED_VALUE"""),44574.6666666666)</f>
        <v>44574.666666666599</v>
      </c>
      <c r="B1773" s="1">
        <f ca="1">IFERROR(__xludf.DUMMYFUNCTION("""COMPUTED_VALUE"""),369.69)</f>
        <v>369.69</v>
      </c>
      <c r="C1773" s="1">
        <f ca="1">IFERROR(__xludf.DUMMYFUNCTION("""COMPUTED_VALUE"""),371.87)</f>
        <v>371.87</v>
      </c>
      <c r="D1773" s="1">
        <f ca="1">IFERROR(__xludf.DUMMYFUNCTION("""COMPUTED_VALUE"""),342.18)</f>
        <v>342.18</v>
      </c>
      <c r="E1773" s="1">
        <f ca="1">IFERROR(__xludf.DUMMYFUNCTION("""COMPUTED_VALUE"""),343.85)</f>
        <v>343.85</v>
      </c>
      <c r="F1773" s="1">
        <f ca="1">IFERROR(__xludf.DUMMYFUNCTION("""COMPUTED_VALUE"""),32403264)</f>
        <v>32403264</v>
      </c>
    </row>
    <row r="1774" spans="1:6" x14ac:dyDescent="0.35">
      <c r="A1774" s="2">
        <f ca="1">IFERROR(__xludf.DUMMYFUNCTION("""COMPUTED_VALUE"""),44575.6666666666)</f>
        <v>44575.666666666599</v>
      </c>
      <c r="B1774" s="1">
        <f ca="1">IFERROR(__xludf.DUMMYFUNCTION("""COMPUTED_VALUE"""),339.96)</f>
        <v>339.96</v>
      </c>
      <c r="C1774" s="1">
        <f ca="1">IFERROR(__xludf.DUMMYFUNCTION("""COMPUTED_VALUE"""),350.67)</f>
        <v>350.67</v>
      </c>
      <c r="D1774" s="1">
        <f ca="1">IFERROR(__xludf.DUMMYFUNCTION("""COMPUTED_VALUE"""),337.79)</f>
        <v>337.79</v>
      </c>
      <c r="E1774" s="1">
        <f ca="1">IFERROR(__xludf.DUMMYFUNCTION("""COMPUTED_VALUE"""),349.87)</f>
        <v>349.87</v>
      </c>
      <c r="F1774" s="1">
        <f ca="1">IFERROR(__xludf.DUMMYFUNCTION("""COMPUTED_VALUE"""),24308137)</f>
        <v>24308137</v>
      </c>
    </row>
    <row r="1775" spans="1:6" x14ac:dyDescent="0.35">
      <c r="A1775" s="2">
        <f ca="1">IFERROR(__xludf.DUMMYFUNCTION("""COMPUTED_VALUE"""),44579.6666666666)</f>
        <v>44579.666666666599</v>
      </c>
      <c r="B1775" s="1">
        <f ca="1">IFERROR(__xludf.DUMMYFUNCTION("""COMPUTED_VALUE"""),342.2)</f>
        <v>342.2</v>
      </c>
      <c r="C1775" s="1">
        <f ca="1">IFERROR(__xludf.DUMMYFUNCTION("""COMPUTED_VALUE"""),356.93)</f>
        <v>356.93</v>
      </c>
      <c r="D1775" s="1">
        <f ca="1">IFERROR(__xludf.DUMMYFUNCTION("""COMPUTED_VALUE"""),338.69)</f>
        <v>338.69</v>
      </c>
      <c r="E1775" s="1">
        <f ca="1">IFERROR(__xludf.DUMMYFUNCTION("""COMPUTED_VALUE"""),343.5)</f>
        <v>343.5</v>
      </c>
      <c r="F1775" s="1">
        <f ca="1">IFERROR(__xludf.DUMMYFUNCTION("""COMPUTED_VALUE"""),22329803)</f>
        <v>22329803</v>
      </c>
    </row>
    <row r="1776" spans="1:6" x14ac:dyDescent="0.35">
      <c r="A1776" s="2">
        <f ca="1">IFERROR(__xludf.DUMMYFUNCTION("""COMPUTED_VALUE"""),44580.6666666666)</f>
        <v>44580.666666666599</v>
      </c>
      <c r="B1776" s="1">
        <f ca="1">IFERROR(__xludf.DUMMYFUNCTION("""COMPUTED_VALUE"""),347.24)</f>
        <v>347.24</v>
      </c>
      <c r="C1776" s="1">
        <f ca="1">IFERROR(__xludf.DUMMYFUNCTION("""COMPUTED_VALUE"""),351.56)</f>
        <v>351.56</v>
      </c>
      <c r="D1776" s="1">
        <f ca="1">IFERROR(__xludf.DUMMYFUNCTION("""COMPUTED_VALUE"""),331.67)</f>
        <v>331.67</v>
      </c>
      <c r="E1776" s="1">
        <f ca="1">IFERROR(__xludf.DUMMYFUNCTION("""COMPUTED_VALUE"""),331.88)</f>
        <v>331.88</v>
      </c>
      <c r="F1776" s="1">
        <f ca="1">IFERROR(__xludf.DUMMYFUNCTION("""COMPUTED_VALUE"""),25147496)</f>
        <v>25147496</v>
      </c>
    </row>
    <row r="1777" spans="1:6" x14ac:dyDescent="0.35">
      <c r="A1777" s="2">
        <f ca="1">IFERROR(__xludf.DUMMYFUNCTION("""COMPUTED_VALUE"""),44581.6666666666)</f>
        <v>44581.666666666599</v>
      </c>
      <c r="B1777" s="1">
        <f ca="1">IFERROR(__xludf.DUMMYFUNCTION("""COMPUTED_VALUE"""),336.58)</f>
        <v>336.58</v>
      </c>
      <c r="C1777" s="1">
        <f ca="1">IFERROR(__xludf.DUMMYFUNCTION("""COMPUTED_VALUE"""),347.22)</f>
        <v>347.22</v>
      </c>
      <c r="D1777" s="1">
        <f ca="1">IFERROR(__xludf.DUMMYFUNCTION("""COMPUTED_VALUE"""),331.33)</f>
        <v>331.33</v>
      </c>
      <c r="E1777" s="1">
        <f ca="1">IFERROR(__xludf.DUMMYFUNCTION("""COMPUTED_VALUE"""),332.09)</f>
        <v>332.09</v>
      </c>
      <c r="F1777" s="1">
        <f ca="1">IFERROR(__xludf.DUMMYFUNCTION("""COMPUTED_VALUE"""),23496248)</f>
        <v>23496248</v>
      </c>
    </row>
    <row r="1778" spans="1:6" x14ac:dyDescent="0.35">
      <c r="A1778" s="2">
        <f ca="1">IFERROR(__xludf.DUMMYFUNCTION("""COMPUTED_VALUE"""),44582.6666666666)</f>
        <v>44582.666666666599</v>
      </c>
      <c r="B1778" s="1">
        <f ca="1">IFERROR(__xludf.DUMMYFUNCTION("""COMPUTED_VALUE"""),332.11)</f>
        <v>332.11</v>
      </c>
      <c r="C1778" s="1">
        <f ca="1">IFERROR(__xludf.DUMMYFUNCTION("""COMPUTED_VALUE"""),334.85)</f>
        <v>334.85</v>
      </c>
      <c r="D1778" s="1">
        <f ca="1">IFERROR(__xludf.DUMMYFUNCTION("""COMPUTED_VALUE"""),313.5)</f>
        <v>313.5</v>
      </c>
      <c r="E1778" s="1">
        <f ca="1">IFERROR(__xludf.DUMMYFUNCTION("""COMPUTED_VALUE"""),314.63)</f>
        <v>314.63</v>
      </c>
      <c r="F1778" s="1">
        <f ca="1">IFERROR(__xludf.DUMMYFUNCTION("""COMPUTED_VALUE"""),34472009)</f>
        <v>34472009</v>
      </c>
    </row>
    <row r="1779" spans="1:6" x14ac:dyDescent="0.35">
      <c r="A1779" s="2">
        <f ca="1">IFERROR(__xludf.DUMMYFUNCTION("""COMPUTED_VALUE"""),44585.6666666666)</f>
        <v>44585.666666666599</v>
      </c>
      <c r="B1779" s="1">
        <f ca="1">IFERROR(__xludf.DUMMYFUNCTION("""COMPUTED_VALUE"""),301.59)</f>
        <v>301.58999999999997</v>
      </c>
      <c r="C1779" s="1">
        <f ca="1">IFERROR(__xludf.DUMMYFUNCTION("""COMPUTED_VALUE"""),311.17)</f>
        <v>311.17</v>
      </c>
      <c r="D1779" s="1">
        <f ca="1">IFERROR(__xludf.DUMMYFUNCTION("""COMPUTED_VALUE"""),283.82)</f>
        <v>283.82</v>
      </c>
      <c r="E1779" s="1">
        <f ca="1">IFERROR(__xludf.DUMMYFUNCTION("""COMPUTED_VALUE"""),310)</f>
        <v>310</v>
      </c>
      <c r="F1779" s="1">
        <f ca="1">IFERROR(__xludf.DUMMYFUNCTION("""COMPUTED_VALUE"""),50791714)</f>
        <v>50791714</v>
      </c>
    </row>
    <row r="1780" spans="1:6" x14ac:dyDescent="0.35">
      <c r="A1780" s="2">
        <f ca="1">IFERROR(__xludf.DUMMYFUNCTION("""COMPUTED_VALUE"""),44586.6666666666)</f>
        <v>44586.666666666599</v>
      </c>
      <c r="B1780" s="1">
        <f ca="1">IFERROR(__xludf.DUMMYFUNCTION("""COMPUTED_VALUE"""),304.73)</f>
        <v>304.73</v>
      </c>
      <c r="C1780" s="1">
        <f ca="1">IFERROR(__xludf.DUMMYFUNCTION("""COMPUTED_VALUE"""),317.09)</f>
        <v>317.08999999999997</v>
      </c>
      <c r="D1780" s="1">
        <f ca="1">IFERROR(__xludf.DUMMYFUNCTION("""COMPUTED_VALUE"""),301.07)</f>
        <v>301.07</v>
      </c>
      <c r="E1780" s="1">
        <f ca="1">IFERROR(__xludf.DUMMYFUNCTION("""COMPUTED_VALUE"""),306.13)</f>
        <v>306.13</v>
      </c>
      <c r="F1780" s="1">
        <f ca="1">IFERROR(__xludf.DUMMYFUNCTION("""COMPUTED_VALUE"""),28865302)</f>
        <v>28865302</v>
      </c>
    </row>
    <row r="1781" spans="1:6" x14ac:dyDescent="0.35">
      <c r="A1781" s="2">
        <f ca="1">IFERROR(__xludf.DUMMYFUNCTION("""COMPUTED_VALUE"""),44587.6666666666)</f>
        <v>44587.666666666599</v>
      </c>
      <c r="B1781" s="1">
        <f ca="1">IFERROR(__xludf.DUMMYFUNCTION("""COMPUTED_VALUE"""),317.48)</f>
        <v>317.48</v>
      </c>
      <c r="C1781" s="1">
        <f ca="1">IFERROR(__xludf.DUMMYFUNCTION("""COMPUTED_VALUE"""),329.23)</f>
        <v>329.23</v>
      </c>
      <c r="D1781" s="1">
        <f ca="1">IFERROR(__xludf.DUMMYFUNCTION("""COMPUTED_VALUE"""),302)</f>
        <v>302</v>
      </c>
      <c r="E1781" s="1">
        <f ca="1">IFERROR(__xludf.DUMMYFUNCTION("""COMPUTED_VALUE"""),312.47)</f>
        <v>312.47000000000003</v>
      </c>
      <c r="F1781" s="1">
        <f ca="1">IFERROR(__xludf.DUMMYFUNCTION("""COMPUTED_VALUE"""),34955761)</f>
        <v>34955761</v>
      </c>
    </row>
    <row r="1782" spans="1:6" x14ac:dyDescent="0.35">
      <c r="A1782" s="2">
        <f ca="1">IFERROR(__xludf.DUMMYFUNCTION("""COMPUTED_VALUE"""),44588.6666666666)</f>
        <v>44588.666666666599</v>
      </c>
      <c r="B1782" s="1">
        <f ca="1">IFERROR(__xludf.DUMMYFUNCTION("""COMPUTED_VALUE"""),311.12)</f>
        <v>311.12</v>
      </c>
      <c r="C1782" s="1">
        <f ca="1">IFERROR(__xludf.DUMMYFUNCTION("""COMPUTED_VALUE"""),311.8)</f>
        <v>311.8</v>
      </c>
      <c r="D1782" s="1">
        <f ca="1">IFERROR(__xludf.DUMMYFUNCTION("""COMPUTED_VALUE"""),276.33)</f>
        <v>276.33</v>
      </c>
      <c r="E1782" s="1">
        <f ca="1">IFERROR(__xludf.DUMMYFUNCTION("""COMPUTED_VALUE"""),276.37)</f>
        <v>276.37</v>
      </c>
      <c r="F1782" s="1">
        <f ca="1">IFERROR(__xludf.DUMMYFUNCTION("""COMPUTED_VALUE"""),49036523)</f>
        <v>49036523</v>
      </c>
    </row>
    <row r="1783" spans="1:6" x14ac:dyDescent="0.35">
      <c r="A1783" s="2">
        <f ca="1">IFERROR(__xludf.DUMMYFUNCTION("""COMPUTED_VALUE"""),44589.6666666666)</f>
        <v>44589.666666666599</v>
      </c>
      <c r="B1783" s="1">
        <f ca="1">IFERROR(__xludf.DUMMYFUNCTION("""COMPUTED_VALUE"""),277.19)</f>
        <v>277.19</v>
      </c>
      <c r="C1783" s="1">
        <f ca="1">IFERROR(__xludf.DUMMYFUNCTION("""COMPUTED_VALUE"""),285.83)</f>
        <v>285.83</v>
      </c>
      <c r="D1783" s="1">
        <f ca="1">IFERROR(__xludf.DUMMYFUNCTION("""COMPUTED_VALUE"""),264)</f>
        <v>264</v>
      </c>
      <c r="E1783" s="1">
        <f ca="1">IFERROR(__xludf.DUMMYFUNCTION("""COMPUTED_VALUE"""),282.12)</f>
        <v>282.12</v>
      </c>
      <c r="F1783" s="1">
        <f ca="1">IFERROR(__xludf.DUMMYFUNCTION("""COMPUTED_VALUE"""),44929650)</f>
        <v>44929650</v>
      </c>
    </row>
    <row r="1784" spans="1:6" x14ac:dyDescent="0.35">
      <c r="A1784" s="2">
        <f ca="1">IFERROR(__xludf.DUMMYFUNCTION("""COMPUTED_VALUE"""),44592.6666666666)</f>
        <v>44592.666666666599</v>
      </c>
      <c r="B1784" s="1">
        <f ca="1">IFERROR(__xludf.DUMMYFUNCTION("""COMPUTED_VALUE"""),290.9)</f>
        <v>290.89999999999998</v>
      </c>
      <c r="C1784" s="1">
        <f ca="1">IFERROR(__xludf.DUMMYFUNCTION("""COMPUTED_VALUE"""),312.66)</f>
        <v>312.66000000000003</v>
      </c>
      <c r="D1784" s="1">
        <f ca="1">IFERROR(__xludf.DUMMYFUNCTION("""COMPUTED_VALUE"""),287.35)</f>
        <v>287.35000000000002</v>
      </c>
      <c r="E1784" s="1">
        <f ca="1">IFERROR(__xludf.DUMMYFUNCTION("""COMPUTED_VALUE"""),312.24)</f>
        <v>312.24</v>
      </c>
      <c r="F1784" s="1">
        <f ca="1">IFERROR(__xludf.DUMMYFUNCTION("""COMPUTED_VALUE"""),34812032)</f>
        <v>34812032</v>
      </c>
    </row>
    <row r="1785" spans="1:6" x14ac:dyDescent="0.35">
      <c r="A1785" s="2">
        <f ca="1">IFERROR(__xludf.DUMMYFUNCTION("""COMPUTED_VALUE"""),44593.6666666666)</f>
        <v>44593.666666666599</v>
      </c>
      <c r="B1785" s="1">
        <f ca="1">IFERROR(__xludf.DUMMYFUNCTION("""COMPUTED_VALUE"""),311.74)</f>
        <v>311.74</v>
      </c>
      <c r="C1785" s="1">
        <f ca="1">IFERROR(__xludf.DUMMYFUNCTION("""COMPUTED_VALUE"""),314.57)</f>
        <v>314.57</v>
      </c>
      <c r="D1785" s="1">
        <f ca="1">IFERROR(__xludf.DUMMYFUNCTION("""COMPUTED_VALUE"""),301.67)</f>
        <v>301.67</v>
      </c>
      <c r="E1785" s="1">
        <f ca="1">IFERROR(__xludf.DUMMYFUNCTION("""COMPUTED_VALUE"""),310.42)</f>
        <v>310.42</v>
      </c>
      <c r="F1785" s="1">
        <f ca="1">IFERROR(__xludf.DUMMYFUNCTION("""COMPUTED_VALUE"""),24379446)</f>
        <v>24379446</v>
      </c>
    </row>
    <row r="1786" spans="1:6" x14ac:dyDescent="0.35">
      <c r="A1786" s="2">
        <f ca="1">IFERROR(__xludf.DUMMYFUNCTION("""COMPUTED_VALUE"""),44594.6666666666)</f>
        <v>44594.666666666599</v>
      </c>
      <c r="B1786" s="1">
        <f ca="1">IFERROR(__xludf.DUMMYFUNCTION("""COMPUTED_VALUE"""),309.39)</f>
        <v>309.39</v>
      </c>
      <c r="C1786" s="1">
        <f ca="1">IFERROR(__xludf.DUMMYFUNCTION("""COMPUTED_VALUE"""),310.5)</f>
        <v>310.5</v>
      </c>
      <c r="D1786" s="1">
        <f ca="1">IFERROR(__xludf.DUMMYFUNCTION("""COMPUTED_VALUE"""),296.47)</f>
        <v>296.47000000000003</v>
      </c>
      <c r="E1786" s="1">
        <f ca="1">IFERROR(__xludf.DUMMYFUNCTION("""COMPUTED_VALUE"""),301.89)</f>
        <v>301.89</v>
      </c>
      <c r="F1786" s="1">
        <f ca="1">IFERROR(__xludf.DUMMYFUNCTION("""COMPUTED_VALUE"""),22264345)</f>
        <v>22264345</v>
      </c>
    </row>
    <row r="1787" spans="1:6" x14ac:dyDescent="0.35">
      <c r="A1787" s="2">
        <f ca="1">IFERROR(__xludf.DUMMYFUNCTION("""COMPUTED_VALUE"""),44595.6666666666)</f>
        <v>44595.666666666599</v>
      </c>
      <c r="B1787" s="1">
        <f ca="1">IFERROR(__xludf.DUMMYFUNCTION("""COMPUTED_VALUE"""),294)</f>
        <v>294</v>
      </c>
      <c r="C1787" s="1">
        <f ca="1">IFERROR(__xludf.DUMMYFUNCTION("""COMPUTED_VALUE"""),312.33)</f>
        <v>312.33</v>
      </c>
      <c r="D1787" s="1">
        <f ca="1">IFERROR(__xludf.DUMMYFUNCTION("""COMPUTED_VALUE"""),293.51)</f>
        <v>293.51</v>
      </c>
      <c r="E1787" s="1">
        <f ca="1">IFERROR(__xludf.DUMMYFUNCTION("""COMPUTED_VALUE"""),297.05)</f>
        <v>297.05</v>
      </c>
      <c r="F1787" s="1">
        <f ca="1">IFERROR(__xludf.DUMMYFUNCTION("""COMPUTED_VALUE"""),26285186)</f>
        <v>26285186</v>
      </c>
    </row>
    <row r="1788" spans="1:6" x14ac:dyDescent="0.35">
      <c r="A1788" s="2">
        <f ca="1">IFERROR(__xludf.DUMMYFUNCTION("""COMPUTED_VALUE"""),44596.6666666666)</f>
        <v>44596.666666666599</v>
      </c>
      <c r="B1788" s="1">
        <f ca="1">IFERROR(__xludf.DUMMYFUNCTION("""COMPUTED_VALUE"""),299.07)</f>
        <v>299.07</v>
      </c>
      <c r="C1788" s="1">
        <f ca="1">IFERROR(__xludf.DUMMYFUNCTION("""COMPUTED_VALUE"""),312.17)</f>
        <v>312.17</v>
      </c>
      <c r="D1788" s="1">
        <f ca="1">IFERROR(__xludf.DUMMYFUNCTION("""COMPUTED_VALUE"""),293.72)</f>
        <v>293.72000000000003</v>
      </c>
      <c r="E1788" s="1">
        <f ca="1">IFERROR(__xludf.DUMMYFUNCTION("""COMPUTED_VALUE"""),307.77)</f>
        <v>307.77</v>
      </c>
      <c r="F1788" s="1">
        <f ca="1">IFERROR(__xludf.DUMMYFUNCTION("""COMPUTED_VALUE"""),24541822)</f>
        <v>24541822</v>
      </c>
    </row>
    <row r="1789" spans="1:6" x14ac:dyDescent="0.35">
      <c r="A1789" s="2">
        <f ca="1">IFERROR(__xludf.DUMMYFUNCTION("""COMPUTED_VALUE"""),44599.6666666666)</f>
        <v>44599.666666666599</v>
      </c>
      <c r="B1789" s="1">
        <f ca="1">IFERROR(__xludf.DUMMYFUNCTION("""COMPUTED_VALUE"""),307.93)</f>
        <v>307.93</v>
      </c>
      <c r="C1789" s="1">
        <f ca="1">IFERROR(__xludf.DUMMYFUNCTION("""COMPUTED_VALUE"""),315.92)</f>
        <v>315.92</v>
      </c>
      <c r="D1789" s="1">
        <f ca="1">IFERROR(__xludf.DUMMYFUNCTION("""COMPUTED_VALUE"""),300.9)</f>
        <v>300.89999999999998</v>
      </c>
      <c r="E1789" s="1">
        <f ca="1">IFERROR(__xludf.DUMMYFUNCTION("""COMPUTED_VALUE"""),302.45)</f>
        <v>302.45</v>
      </c>
      <c r="F1789" s="1">
        <f ca="1">IFERROR(__xludf.DUMMYFUNCTION("""COMPUTED_VALUE"""),20331488)</f>
        <v>20331488</v>
      </c>
    </row>
    <row r="1790" spans="1:6" x14ac:dyDescent="0.35">
      <c r="A1790" s="2">
        <f ca="1">IFERROR(__xludf.DUMMYFUNCTION("""COMPUTED_VALUE"""),44600.6666666666)</f>
        <v>44600.666666666599</v>
      </c>
      <c r="B1790" s="1">
        <f ca="1">IFERROR(__xludf.DUMMYFUNCTION("""COMPUTED_VALUE"""),301.84)</f>
        <v>301.83999999999997</v>
      </c>
      <c r="C1790" s="1">
        <f ca="1">IFERROR(__xludf.DUMMYFUNCTION("""COMPUTED_VALUE"""),308.76)</f>
        <v>308.76</v>
      </c>
      <c r="D1790" s="1">
        <f ca="1">IFERROR(__xludf.DUMMYFUNCTION("""COMPUTED_VALUE"""),298.27)</f>
        <v>298.27</v>
      </c>
      <c r="E1790" s="1">
        <f ca="1">IFERROR(__xludf.DUMMYFUNCTION("""COMPUTED_VALUE"""),307.33)</f>
        <v>307.33</v>
      </c>
      <c r="F1790" s="1">
        <f ca="1">IFERROR(__xludf.DUMMYFUNCTION("""COMPUTED_VALUE"""),16909671)</f>
        <v>16909671</v>
      </c>
    </row>
    <row r="1791" spans="1:6" x14ac:dyDescent="0.35">
      <c r="A1791" s="2">
        <f ca="1">IFERROR(__xludf.DUMMYFUNCTION("""COMPUTED_VALUE"""),44601.6666666666)</f>
        <v>44601.666666666599</v>
      </c>
      <c r="B1791" s="1">
        <f ca="1">IFERROR(__xludf.DUMMYFUNCTION("""COMPUTED_VALUE"""),311.67)</f>
        <v>311.67</v>
      </c>
      <c r="C1791" s="1">
        <f ca="1">IFERROR(__xludf.DUMMYFUNCTION("""COMPUTED_VALUE"""),315.42)</f>
        <v>315.42</v>
      </c>
      <c r="D1791" s="1">
        <f ca="1">IFERROR(__xludf.DUMMYFUNCTION("""COMPUTED_VALUE"""),306.67)</f>
        <v>306.67</v>
      </c>
      <c r="E1791" s="1">
        <f ca="1">IFERROR(__xludf.DUMMYFUNCTION("""COMPUTED_VALUE"""),310.67)</f>
        <v>310.67</v>
      </c>
      <c r="F1791" s="1">
        <f ca="1">IFERROR(__xludf.DUMMYFUNCTION("""COMPUTED_VALUE"""),17419848)</f>
        <v>17419848</v>
      </c>
    </row>
    <row r="1792" spans="1:6" x14ac:dyDescent="0.35">
      <c r="A1792" s="2">
        <f ca="1">IFERROR(__xludf.DUMMYFUNCTION("""COMPUTED_VALUE"""),44602.6666666666)</f>
        <v>44602.666666666599</v>
      </c>
      <c r="B1792" s="1">
        <f ca="1">IFERROR(__xludf.DUMMYFUNCTION("""COMPUTED_VALUE"""),302.79)</f>
        <v>302.79000000000002</v>
      </c>
      <c r="C1792" s="1">
        <f ca="1">IFERROR(__xludf.DUMMYFUNCTION("""COMPUTED_VALUE"""),314.6)</f>
        <v>314.60000000000002</v>
      </c>
      <c r="D1792" s="1">
        <f ca="1">IFERROR(__xludf.DUMMYFUNCTION("""COMPUTED_VALUE"""),298.9)</f>
        <v>298.89999999999998</v>
      </c>
      <c r="E1792" s="1">
        <f ca="1">IFERROR(__xludf.DUMMYFUNCTION("""COMPUTED_VALUE"""),301.52)</f>
        <v>301.52</v>
      </c>
      <c r="F1792" s="1">
        <f ca="1">IFERROR(__xludf.DUMMYFUNCTION("""COMPUTED_VALUE"""),22042277)</f>
        <v>22042277</v>
      </c>
    </row>
    <row r="1793" spans="1:6" x14ac:dyDescent="0.35">
      <c r="A1793" s="2">
        <f ca="1">IFERROR(__xludf.DUMMYFUNCTION("""COMPUTED_VALUE"""),44603.6666666666)</f>
        <v>44603.666666666599</v>
      </c>
      <c r="B1793" s="1">
        <f ca="1">IFERROR(__xludf.DUMMYFUNCTION("""COMPUTED_VALUE"""),303.21)</f>
        <v>303.20999999999998</v>
      </c>
      <c r="C1793" s="1">
        <f ca="1">IFERROR(__xludf.DUMMYFUNCTION("""COMPUTED_VALUE"""),305.32)</f>
        <v>305.32</v>
      </c>
      <c r="D1793" s="1">
        <f ca="1">IFERROR(__xludf.DUMMYFUNCTION("""COMPUTED_VALUE"""),283.57)</f>
        <v>283.57</v>
      </c>
      <c r="E1793" s="1">
        <f ca="1">IFERROR(__xludf.DUMMYFUNCTION("""COMPUTED_VALUE"""),286.67)</f>
        <v>286.67</v>
      </c>
      <c r="F1793" s="1">
        <f ca="1">IFERROR(__xludf.DUMMYFUNCTION("""COMPUTED_VALUE"""),26548623)</f>
        <v>26548623</v>
      </c>
    </row>
    <row r="1794" spans="1:6" x14ac:dyDescent="0.35">
      <c r="A1794" s="2">
        <f ca="1">IFERROR(__xludf.DUMMYFUNCTION("""COMPUTED_VALUE"""),44606.6666666666)</f>
        <v>44606.666666666599</v>
      </c>
      <c r="B1794" s="1">
        <f ca="1">IFERROR(__xludf.DUMMYFUNCTION("""COMPUTED_VALUE"""),287.19)</f>
        <v>287.19</v>
      </c>
      <c r="C1794" s="1">
        <f ca="1">IFERROR(__xludf.DUMMYFUNCTION("""COMPUTED_VALUE"""),299.63)</f>
        <v>299.63</v>
      </c>
      <c r="D1794" s="1">
        <f ca="1">IFERROR(__xludf.DUMMYFUNCTION("""COMPUTED_VALUE"""),284.38)</f>
        <v>284.38</v>
      </c>
      <c r="E1794" s="1">
        <f ca="1">IFERROR(__xludf.DUMMYFUNCTION("""COMPUTED_VALUE"""),291.92)</f>
        <v>291.92</v>
      </c>
      <c r="F1794" s="1">
        <f ca="1">IFERROR(__xludf.DUMMYFUNCTION("""COMPUTED_VALUE"""),22585472)</f>
        <v>22585472</v>
      </c>
    </row>
    <row r="1795" spans="1:6" x14ac:dyDescent="0.35">
      <c r="A1795" s="2">
        <f ca="1">IFERROR(__xludf.DUMMYFUNCTION("""COMPUTED_VALUE"""),44607.6666666666)</f>
        <v>44607.666666666599</v>
      </c>
      <c r="B1795" s="1">
        <f ca="1">IFERROR(__xludf.DUMMYFUNCTION("""COMPUTED_VALUE"""),300)</f>
        <v>300</v>
      </c>
      <c r="C1795" s="1">
        <f ca="1">IFERROR(__xludf.DUMMYFUNCTION("""COMPUTED_VALUE"""),307.67)</f>
        <v>307.67</v>
      </c>
      <c r="D1795" s="1">
        <f ca="1">IFERROR(__xludf.DUMMYFUNCTION("""COMPUTED_VALUE"""),297.79)</f>
        <v>297.79000000000002</v>
      </c>
      <c r="E1795" s="1">
        <f ca="1">IFERROR(__xludf.DUMMYFUNCTION("""COMPUTED_VALUE"""),307.48)</f>
        <v>307.48</v>
      </c>
      <c r="F1795" s="1">
        <f ca="1">IFERROR(__xludf.DUMMYFUNCTION("""COMPUTED_VALUE"""),19216514)</f>
        <v>19216514</v>
      </c>
    </row>
    <row r="1796" spans="1:6" x14ac:dyDescent="0.35">
      <c r="A1796" s="2">
        <f ca="1">IFERROR(__xludf.DUMMYFUNCTION("""COMPUTED_VALUE"""),44608.6666666666)</f>
        <v>44608.666666666599</v>
      </c>
      <c r="B1796" s="1">
        <f ca="1">IFERROR(__xludf.DUMMYFUNCTION("""COMPUTED_VALUE"""),304.68)</f>
        <v>304.68</v>
      </c>
      <c r="C1796" s="1">
        <f ca="1">IFERROR(__xludf.DUMMYFUNCTION("""COMPUTED_VALUE"""),308.81)</f>
        <v>308.81</v>
      </c>
      <c r="D1796" s="1">
        <f ca="1">IFERROR(__xludf.DUMMYFUNCTION("""COMPUTED_VALUE"""),300.4)</f>
        <v>300.39999999999998</v>
      </c>
      <c r="E1796" s="1">
        <f ca="1">IFERROR(__xludf.DUMMYFUNCTION("""COMPUTED_VALUE"""),307.8)</f>
        <v>307.8</v>
      </c>
      <c r="F1796" s="1">
        <f ca="1">IFERROR(__xludf.DUMMYFUNCTION("""COMPUTED_VALUE"""),17098132)</f>
        <v>17098132</v>
      </c>
    </row>
    <row r="1797" spans="1:6" x14ac:dyDescent="0.35">
      <c r="A1797" s="2">
        <f ca="1">IFERROR(__xludf.DUMMYFUNCTION("""COMPUTED_VALUE"""),44609.6666666666)</f>
        <v>44609.666666666599</v>
      </c>
      <c r="B1797" s="1">
        <f ca="1">IFERROR(__xludf.DUMMYFUNCTION("""COMPUTED_VALUE"""),304.42)</f>
        <v>304.42</v>
      </c>
      <c r="C1797" s="1">
        <f ca="1">IFERROR(__xludf.DUMMYFUNCTION("""COMPUTED_VALUE"""),306.17)</f>
        <v>306.17</v>
      </c>
      <c r="D1797" s="1">
        <f ca="1">IFERROR(__xludf.DUMMYFUNCTION("""COMPUTED_VALUE"""),291.37)</f>
        <v>291.37</v>
      </c>
      <c r="E1797" s="1">
        <f ca="1">IFERROR(__xludf.DUMMYFUNCTION("""COMPUTED_VALUE"""),292.12)</f>
        <v>292.12</v>
      </c>
      <c r="F1797" s="1">
        <f ca="1">IFERROR(__xludf.DUMMYFUNCTION("""COMPUTED_VALUE"""),18392806)</f>
        <v>18392806</v>
      </c>
    </row>
    <row r="1798" spans="1:6" x14ac:dyDescent="0.35">
      <c r="A1798" s="2">
        <f ca="1">IFERROR(__xludf.DUMMYFUNCTION("""COMPUTED_VALUE"""),44610.6666666666)</f>
        <v>44610.666666666599</v>
      </c>
      <c r="B1798" s="1">
        <f ca="1">IFERROR(__xludf.DUMMYFUNCTION("""COMPUTED_VALUE"""),295.33)</f>
        <v>295.33</v>
      </c>
      <c r="C1798" s="1">
        <f ca="1">IFERROR(__xludf.DUMMYFUNCTION("""COMPUTED_VALUE"""),295.62)</f>
        <v>295.62</v>
      </c>
      <c r="D1798" s="1">
        <f ca="1">IFERROR(__xludf.DUMMYFUNCTION("""COMPUTED_VALUE"""),279.2)</f>
        <v>279.2</v>
      </c>
      <c r="E1798" s="1">
        <f ca="1">IFERROR(__xludf.DUMMYFUNCTION("""COMPUTED_VALUE"""),285.66)</f>
        <v>285.66000000000003</v>
      </c>
      <c r="F1798" s="1">
        <f ca="1">IFERROR(__xludf.DUMMYFUNCTION("""COMPUTED_VALUE"""),22833947)</f>
        <v>22833947</v>
      </c>
    </row>
    <row r="1799" spans="1:6" x14ac:dyDescent="0.35">
      <c r="A1799" s="2">
        <f ca="1">IFERROR(__xludf.DUMMYFUNCTION("""COMPUTED_VALUE"""),44614.6666666666)</f>
        <v>44614.666666666599</v>
      </c>
      <c r="B1799" s="1">
        <f ca="1">IFERROR(__xludf.DUMMYFUNCTION("""COMPUTED_VALUE"""),278.04)</f>
        <v>278.04000000000002</v>
      </c>
      <c r="C1799" s="1">
        <f ca="1">IFERROR(__xludf.DUMMYFUNCTION("""COMPUTED_VALUE"""),285.58)</f>
        <v>285.58</v>
      </c>
      <c r="D1799" s="1">
        <f ca="1">IFERROR(__xludf.DUMMYFUNCTION("""COMPUTED_VALUE"""),267.03)</f>
        <v>267.02999999999997</v>
      </c>
      <c r="E1799" s="1">
        <f ca="1">IFERROR(__xludf.DUMMYFUNCTION("""COMPUTED_VALUE"""),273.84)</f>
        <v>273.83999999999997</v>
      </c>
      <c r="F1799" s="1">
        <f ca="1">IFERROR(__xludf.DUMMYFUNCTION("""COMPUTED_VALUE"""),27762734)</f>
        <v>27762734</v>
      </c>
    </row>
    <row r="1800" spans="1:6" x14ac:dyDescent="0.35">
      <c r="A1800" s="2">
        <f ca="1">IFERROR(__xludf.DUMMYFUNCTION("""COMPUTED_VALUE"""),44615.6666666666)</f>
        <v>44615.666666666599</v>
      </c>
      <c r="B1800" s="1">
        <f ca="1">IFERROR(__xludf.DUMMYFUNCTION("""COMPUTED_VALUE"""),276.81)</f>
        <v>276.81</v>
      </c>
      <c r="C1800" s="1">
        <f ca="1">IFERROR(__xludf.DUMMYFUNCTION("""COMPUTED_VALUE"""),278.43)</f>
        <v>278.43</v>
      </c>
      <c r="D1800" s="1">
        <f ca="1">IFERROR(__xludf.DUMMYFUNCTION("""COMPUTED_VALUE"""),253.52)</f>
        <v>253.52</v>
      </c>
      <c r="E1800" s="1">
        <f ca="1">IFERROR(__xludf.DUMMYFUNCTION("""COMPUTED_VALUE"""),254.68)</f>
        <v>254.68</v>
      </c>
      <c r="F1800" s="1">
        <f ca="1">IFERROR(__xludf.DUMMYFUNCTION("""COMPUTED_VALUE"""),31752336)</f>
        <v>31752336</v>
      </c>
    </row>
    <row r="1801" spans="1:6" x14ac:dyDescent="0.35">
      <c r="A1801" s="2">
        <f ca="1">IFERROR(__xludf.DUMMYFUNCTION("""COMPUTED_VALUE"""),44616.6666666666)</f>
        <v>44616.666666666599</v>
      </c>
      <c r="B1801" s="1">
        <f ca="1">IFERROR(__xludf.DUMMYFUNCTION("""COMPUTED_VALUE"""),233.46)</f>
        <v>233.46</v>
      </c>
      <c r="C1801" s="1">
        <f ca="1">IFERROR(__xludf.DUMMYFUNCTION("""COMPUTED_VALUE"""),267.49)</f>
        <v>267.49</v>
      </c>
      <c r="D1801" s="1">
        <f ca="1">IFERROR(__xludf.DUMMYFUNCTION("""COMPUTED_VALUE"""),233.33)</f>
        <v>233.33</v>
      </c>
      <c r="E1801" s="1">
        <f ca="1">IFERROR(__xludf.DUMMYFUNCTION("""COMPUTED_VALUE"""),266.92)</f>
        <v>266.92</v>
      </c>
      <c r="F1801" s="1">
        <f ca="1">IFERROR(__xludf.DUMMYFUNCTION("""COMPUTED_VALUE"""),45107425)</f>
        <v>45107425</v>
      </c>
    </row>
    <row r="1802" spans="1:6" x14ac:dyDescent="0.35">
      <c r="A1802" s="2">
        <f ca="1">IFERROR(__xludf.DUMMYFUNCTION("""COMPUTED_VALUE"""),44617.6666666666)</f>
        <v>44617.666666666599</v>
      </c>
      <c r="B1802" s="1">
        <f ca="1">IFERROR(__xludf.DUMMYFUNCTION("""COMPUTED_VALUE"""),269.74)</f>
        <v>269.74</v>
      </c>
      <c r="C1802" s="1">
        <f ca="1">IFERROR(__xludf.DUMMYFUNCTION("""COMPUTED_VALUE"""),273.17)</f>
        <v>273.17</v>
      </c>
      <c r="D1802" s="1">
        <f ca="1">IFERROR(__xludf.DUMMYFUNCTION("""COMPUTED_VALUE"""),260.8)</f>
        <v>260.8</v>
      </c>
      <c r="E1802" s="1">
        <f ca="1">IFERROR(__xludf.DUMMYFUNCTION("""COMPUTED_VALUE"""),269.96)</f>
        <v>269.95999999999998</v>
      </c>
      <c r="F1802" s="1">
        <f ca="1">IFERROR(__xludf.DUMMYFUNCTION("""COMPUTED_VALUE"""),25355921)</f>
        <v>25355921</v>
      </c>
    </row>
    <row r="1803" spans="1:6" x14ac:dyDescent="0.35">
      <c r="A1803" s="2">
        <f ca="1">IFERROR(__xludf.DUMMYFUNCTION("""COMPUTED_VALUE"""),44620.6666666666)</f>
        <v>44620.666666666599</v>
      </c>
      <c r="B1803" s="1">
        <f ca="1">IFERROR(__xludf.DUMMYFUNCTION("""COMPUTED_VALUE"""),271.67)</f>
        <v>271.67</v>
      </c>
      <c r="C1803" s="1">
        <f ca="1">IFERROR(__xludf.DUMMYFUNCTION("""COMPUTED_VALUE"""),292.29)</f>
        <v>292.29000000000002</v>
      </c>
      <c r="D1803" s="1">
        <f ca="1">IFERROR(__xludf.DUMMYFUNCTION("""COMPUTED_VALUE"""),271.57)</f>
        <v>271.57</v>
      </c>
      <c r="E1803" s="1">
        <f ca="1">IFERROR(__xludf.DUMMYFUNCTION("""COMPUTED_VALUE"""),290.14)</f>
        <v>290.14</v>
      </c>
      <c r="F1803" s="1">
        <f ca="1">IFERROR(__xludf.DUMMYFUNCTION("""COMPUTED_VALUE"""),33002289)</f>
        <v>33002289</v>
      </c>
    </row>
    <row r="1804" spans="1:6" x14ac:dyDescent="0.35">
      <c r="A1804" s="2">
        <f ca="1">IFERROR(__xludf.DUMMYFUNCTION("""COMPUTED_VALUE"""),44621.6666666666)</f>
        <v>44621.666666666599</v>
      </c>
      <c r="B1804" s="1">
        <f ca="1">IFERROR(__xludf.DUMMYFUNCTION("""COMPUTED_VALUE"""),289.89)</f>
        <v>289.89</v>
      </c>
      <c r="C1804" s="1">
        <f ca="1">IFERROR(__xludf.DUMMYFUNCTION("""COMPUTED_VALUE"""),296.63)</f>
        <v>296.63</v>
      </c>
      <c r="D1804" s="1">
        <f ca="1">IFERROR(__xludf.DUMMYFUNCTION("""COMPUTED_VALUE"""),284.59)</f>
        <v>284.58999999999997</v>
      </c>
      <c r="E1804" s="1">
        <f ca="1">IFERROR(__xludf.DUMMYFUNCTION("""COMPUTED_VALUE"""),288.12)</f>
        <v>288.12</v>
      </c>
      <c r="F1804" s="1">
        <f ca="1">IFERROR(__xludf.DUMMYFUNCTION("""COMPUTED_VALUE"""),24922287)</f>
        <v>24922287</v>
      </c>
    </row>
    <row r="1805" spans="1:6" x14ac:dyDescent="0.35">
      <c r="A1805" s="2">
        <f ca="1">IFERROR(__xludf.DUMMYFUNCTION("""COMPUTED_VALUE"""),44622.6666666666)</f>
        <v>44622.666666666599</v>
      </c>
      <c r="B1805" s="1">
        <f ca="1">IFERROR(__xludf.DUMMYFUNCTION("""COMPUTED_VALUE"""),290.71)</f>
        <v>290.70999999999998</v>
      </c>
      <c r="C1805" s="1">
        <f ca="1">IFERROR(__xludf.DUMMYFUNCTION("""COMPUTED_VALUE"""),295.49)</f>
        <v>295.49</v>
      </c>
      <c r="D1805" s="1">
        <f ca="1">IFERROR(__xludf.DUMMYFUNCTION("""COMPUTED_VALUE"""),281.42)</f>
        <v>281.42</v>
      </c>
      <c r="E1805" s="1">
        <f ca="1">IFERROR(__xludf.DUMMYFUNCTION("""COMPUTED_VALUE"""),293.3)</f>
        <v>293.3</v>
      </c>
      <c r="F1805" s="1">
        <f ca="1">IFERROR(__xludf.DUMMYFUNCTION("""COMPUTED_VALUE"""),24881146)</f>
        <v>24881146</v>
      </c>
    </row>
    <row r="1806" spans="1:6" x14ac:dyDescent="0.35">
      <c r="A1806" s="2">
        <f ca="1">IFERROR(__xludf.DUMMYFUNCTION("""COMPUTED_VALUE"""),44623.6666666666)</f>
        <v>44623.666666666599</v>
      </c>
      <c r="B1806" s="1">
        <f ca="1">IFERROR(__xludf.DUMMYFUNCTION("""COMPUTED_VALUE"""),292.92)</f>
        <v>292.92</v>
      </c>
      <c r="C1806" s="1">
        <f ca="1">IFERROR(__xludf.DUMMYFUNCTION("""COMPUTED_VALUE"""),295.48)</f>
        <v>295.48</v>
      </c>
      <c r="D1806" s="1">
        <f ca="1">IFERROR(__xludf.DUMMYFUNCTION("""COMPUTED_VALUE"""),277.53)</f>
        <v>277.52999999999997</v>
      </c>
      <c r="E1806" s="1">
        <f ca="1">IFERROR(__xludf.DUMMYFUNCTION("""COMPUTED_VALUE"""),279.76)</f>
        <v>279.76</v>
      </c>
      <c r="F1806" s="1">
        <f ca="1">IFERROR(__xludf.DUMMYFUNCTION("""COMPUTED_VALUE"""),20541169)</f>
        <v>20541169</v>
      </c>
    </row>
    <row r="1807" spans="1:6" x14ac:dyDescent="0.35">
      <c r="A1807" s="2">
        <f ca="1">IFERROR(__xludf.DUMMYFUNCTION("""COMPUTED_VALUE"""),44624.6666666666)</f>
        <v>44624.666666666599</v>
      </c>
      <c r="B1807" s="1">
        <f ca="1">IFERROR(__xludf.DUMMYFUNCTION("""COMPUTED_VALUE"""),283.03)</f>
        <v>283.02999999999997</v>
      </c>
      <c r="C1807" s="1">
        <f ca="1">IFERROR(__xludf.DUMMYFUNCTION("""COMPUTED_VALUE"""),285.22)</f>
        <v>285.22000000000003</v>
      </c>
      <c r="D1807" s="1">
        <f ca="1">IFERROR(__xludf.DUMMYFUNCTION("""COMPUTED_VALUE"""),275.05)</f>
        <v>275.05</v>
      </c>
      <c r="E1807" s="1">
        <f ca="1">IFERROR(__xludf.DUMMYFUNCTION("""COMPUTED_VALUE"""),279.43)</f>
        <v>279.43</v>
      </c>
      <c r="F1807" s="1">
        <f ca="1">IFERROR(__xludf.DUMMYFUNCTION("""COMPUTED_VALUE"""),22393287)</f>
        <v>22393287</v>
      </c>
    </row>
    <row r="1808" spans="1:6" x14ac:dyDescent="0.35">
      <c r="A1808" s="2">
        <f ca="1">IFERROR(__xludf.DUMMYFUNCTION("""COMPUTED_VALUE"""),44627.6666666666)</f>
        <v>44627.666666666599</v>
      </c>
      <c r="B1808" s="1">
        <f ca="1">IFERROR(__xludf.DUMMYFUNCTION("""COMPUTED_VALUE"""),285.43)</f>
        <v>285.43</v>
      </c>
      <c r="C1808" s="1">
        <f ca="1">IFERROR(__xludf.DUMMYFUNCTION("""COMPUTED_VALUE"""),288.71)</f>
        <v>288.70999999999998</v>
      </c>
      <c r="D1808" s="1">
        <f ca="1">IFERROR(__xludf.DUMMYFUNCTION("""COMPUTED_VALUE"""),268.19)</f>
        <v>268.19</v>
      </c>
      <c r="E1808" s="1">
        <f ca="1">IFERROR(__xludf.DUMMYFUNCTION("""COMPUTED_VALUE"""),268.19)</f>
        <v>268.19</v>
      </c>
      <c r="F1808" s="1">
        <f ca="1">IFERROR(__xludf.DUMMYFUNCTION("""COMPUTED_VALUE"""),24164724)</f>
        <v>24164724</v>
      </c>
    </row>
    <row r="1809" spans="1:6" x14ac:dyDescent="0.35">
      <c r="A1809" s="2">
        <f ca="1">IFERROR(__xludf.DUMMYFUNCTION("""COMPUTED_VALUE"""),44628.6666666666)</f>
        <v>44628.666666666599</v>
      </c>
      <c r="B1809" s="1">
        <f ca="1">IFERROR(__xludf.DUMMYFUNCTION("""COMPUTED_VALUE"""),265.18)</f>
        <v>265.18</v>
      </c>
      <c r="C1809" s="1">
        <f ca="1">IFERROR(__xludf.DUMMYFUNCTION("""COMPUTED_VALUE"""),283.33)</f>
        <v>283.33</v>
      </c>
      <c r="D1809" s="1">
        <f ca="1">IFERROR(__xludf.DUMMYFUNCTION("""COMPUTED_VALUE"""),260.72)</f>
        <v>260.72000000000003</v>
      </c>
      <c r="E1809" s="1">
        <f ca="1">IFERROR(__xludf.DUMMYFUNCTION("""COMPUTED_VALUE"""),274.8)</f>
        <v>274.8</v>
      </c>
      <c r="F1809" s="1">
        <f ca="1">IFERROR(__xludf.DUMMYFUNCTION("""COMPUTED_VALUE"""),26799702)</f>
        <v>26799702</v>
      </c>
    </row>
    <row r="1810" spans="1:6" x14ac:dyDescent="0.35">
      <c r="A1810" s="2">
        <f ca="1">IFERROR(__xludf.DUMMYFUNCTION("""COMPUTED_VALUE"""),44629.6666666666)</f>
        <v>44629.666666666599</v>
      </c>
      <c r="B1810" s="1">
        <f ca="1">IFERROR(__xludf.DUMMYFUNCTION("""COMPUTED_VALUE"""),279.83)</f>
        <v>279.83</v>
      </c>
      <c r="C1810" s="1">
        <f ca="1">IFERROR(__xludf.DUMMYFUNCTION("""COMPUTED_VALUE"""),286.85)</f>
        <v>286.85000000000002</v>
      </c>
      <c r="D1810" s="1">
        <f ca="1">IFERROR(__xludf.DUMMYFUNCTION("""COMPUTED_VALUE"""),277.34)</f>
        <v>277.33999999999997</v>
      </c>
      <c r="E1810" s="1">
        <f ca="1">IFERROR(__xludf.DUMMYFUNCTION("""COMPUTED_VALUE"""),286.32)</f>
        <v>286.32</v>
      </c>
      <c r="F1810" s="1">
        <f ca="1">IFERROR(__xludf.DUMMYFUNCTION("""COMPUTED_VALUE"""),19727993)</f>
        <v>19727993</v>
      </c>
    </row>
    <row r="1811" spans="1:6" x14ac:dyDescent="0.35">
      <c r="A1811" s="2">
        <f ca="1">IFERROR(__xludf.DUMMYFUNCTION("""COMPUTED_VALUE"""),44630.6666666666)</f>
        <v>44630.666666666599</v>
      </c>
      <c r="B1811" s="1">
        <f ca="1">IFERROR(__xludf.DUMMYFUNCTION("""COMPUTED_VALUE"""),283.82)</f>
        <v>283.82</v>
      </c>
      <c r="C1811" s="1">
        <f ca="1">IFERROR(__xludf.DUMMYFUNCTION("""COMPUTED_VALUE"""),284.82)</f>
        <v>284.82</v>
      </c>
      <c r="D1811" s="1">
        <f ca="1">IFERROR(__xludf.DUMMYFUNCTION("""COMPUTED_VALUE"""),270.12)</f>
        <v>270.12</v>
      </c>
      <c r="E1811" s="1">
        <f ca="1">IFERROR(__xludf.DUMMYFUNCTION("""COMPUTED_VALUE"""),279.43)</f>
        <v>279.43</v>
      </c>
      <c r="F1811" s="1">
        <f ca="1">IFERROR(__xludf.DUMMYFUNCTION("""COMPUTED_VALUE"""),19549548)</f>
        <v>19549548</v>
      </c>
    </row>
    <row r="1812" spans="1:6" x14ac:dyDescent="0.35">
      <c r="A1812" s="2">
        <f ca="1">IFERROR(__xludf.DUMMYFUNCTION("""COMPUTED_VALUE"""),44631.6666666666)</f>
        <v>44631.666666666599</v>
      </c>
      <c r="B1812" s="1">
        <f ca="1">IFERROR(__xludf.DUMMYFUNCTION("""COMPUTED_VALUE"""),280.07)</f>
        <v>280.07</v>
      </c>
      <c r="C1812" s="1">
        <f ca="1">IFERROR(__xludf.DUMMYFUNCTION("""COMPUTED_VALUE"""),281.27)</f>
        <v>281.27</v>
      </c>
      <c r="D1812" s="1">
        <f ca="1">IFERROR(__xludf.DUMMYFUNCTION("""COMPUTED_VALUE"""),264.59)</f>
        <v>264.58999999999997</v>
      </c>
      <c r="E1812" s="1">
        <f ca="1">IFERROR(__xludf.DUMMYFUNCTION("""COMPUTED_VALUE"""),265.12)</f>
        <v>265.12</v>
      </c>
      <c r="F1812" s="1">
        <f ca="1">IFERROR(__xludf.DUMMYFUNCTION("""COMPUTED_VALUE"""),22345722)</f>
        <v>22345722</v>
      </c>
    </row>
    <row r="1813" spans="1:6" x14ac:dyDescent="0.35">
      <c r="A1813" s="2">
        <f ca="1">IFERROR(__xludf.DUMMYFUNCTION("""COMPUTED_VALUE"""),44634.6666666666)</f>
        <v>44634.666666666599</v>
      </c>
      <c r="B1813" s="1">
        <f ca="1">IFERROR(__xludf.DUMMYFUNCTION("""COMPUTED_VALUE"""),260.2)</f>
        <v>260.2</v>
      </c>
      <c r="C1813" s="1">
        <f ca="1">IFERROR(__xludf.DUMMYFUNCTION("""COMPUTED_VALUE"""),266.9)</f>
        <v>266.89999999999998</v>
      </c>
      <c r="D1813" s="1">
        <f ca="1">IFERROR(__xludf.DUMMYFUNCTION("""COMPUTED_VALUE"""),252.01)</f>
        <v>252.01</v>
      </c>
      <c r="E1813" s="1">
        <f ca="1">IFERROR(__xludf.DUMMYFUNCTION("""COMPUTED_VALUE"""),255.46)</f>
        <v>255.46</v>
      </c>
      <c r="F1813" s="1">
        <f ca="1">IFERROR(__xludf.DUMMYFUNCTION("""COMPUTED_VALUE"""),23717421)</f>
        <v>23717421</v>
      </c>
    </row>
    <row r="1814" spans="1:6" x14ac:dyDescent="0.35">
      <c r="A1814" s="2">
        <f ca="1">IFERROR(__xludf.DUMMYFUNCTION("""COMPUTED_VALUE"""),44635.6666666666)</f>
        <v>44635.666666666599</v>
      </c>
      <c r="B1814" s="1">
        <f ca="1">IFERROR(__xludf.DUMMYFUNCTION("""COMPUTED_VALUE"""),258.42)</f>
        <v>258.42</v>
      </c>
      <c r="C1814" s="1">
        <f ca="1">IFERROR(__xludf.DUMMYFUNCTION("""COMPUTED_VALUE"""),268.52)</f>
        <v>268.52</v>
      </c>
      <c r="D1814" s="1">
        <f ca="1">IFERROR(__xludf.DUMMYFUNCTION("""COMPUTED_VALUE"""),252.19)</f>
        <v>252.19</v>
      </c>
      <c r="E1814" s="1">
        <f ca="1">IFERROR(__xludf.DUMMYFUNCTION("""COMPUTED_VALUE"""),267.3)</f>
        <v>267.3</v>
      </c>
      <c r="F1814" s="1">
        <f ca="1">IFERROR(__xludf.DUMMYFUNCTION("""COMPUTED_VALUE"""),22280381)</f>
        <v>22280381</v>
      </c>
    </row>
    <row r="1815" spans="1:6" x14ac:dyDescent="0.35">
      <c r="A1815" s="2">
        <f ca="1">IFERROR(__xludf.DUMMYFUNCTION("""COMPUTED_VALUE"""),44636.6666666666)</f>
        <v>44636.666666666599</v>
      </c>
      <c r="B1815" s="1">
        <f ca="1">IFERROR(__xludf.DUMMYFUNCTION("""COMPUTED_VALUE"""),269.67)</f>
        <v>269.67</v>
      </c>
      <c r="C1815" s="1">
        <f ca="1">IFERROR(__xludf.DUMMYFUNCTION("""COMPUTED_VALUE"""),280.67)</f>
        <v>280.67</v>
      </c>
      <c r="D1815" s="1">
        <f ca="1">IFERROR(__xludf.DUMMYFUNCTION("""COMPUTED_VALUE"""),267.42)</f>
        <v>267.42</v>
      </c>
      <c r="E1815" s="1">
        <f ca="1">IFERROR(__xludf.DUMMYFUNCTION("""COMPUTED_VALUE"""),280.08)</f>
        <v>280.08</v>
      </c>
      <c r="F1815" s="1">
        <f ca="1">IFERROR(__xludf.DUMMYFUNCTION("""COMPUTED_VALUE"""),28009607)</f>
        <v>28009607</v>
      </c>
    </row>
    <row r="1816" spans="1:6" x14ac:dyDescent="0.35">
      <c r="A1816" s="2">
        <f ca="1">IFERROR(__xludf.DUMMYFUNCTION("""COMPUTED_VALUE"""),44637.6666666666)</f>
        <v>44637.666666666599</v>
      </c>
      <c r="B1816" s="1">
        <f ca="1">IFERROR(__xludf.DUMMYFUNCTION("""COMPUTED_VALUE"""),277)</f>
        <v>277</v>
      </c>
      <c r="C1816" s="1">
        <f ca="1">IFERROR(__xludf.DUMMYFUNCTION("""COMPUTED_VALUE"""),291.67)</f>
        <v>291.67</v>
      </c>
      <c r="D1816" s="1">
        <f ca="1">IFERROR(__xludf.DUMMYFUNCTION("""COMPUTED_VALUE"""),275.24)</f>
        <v>275.24</v>
      </c>
      <c r="E1816" s="1">
        <f ca="1">IFERROR(__xludf.DUMMYFUNCTION("""COMPUTED_VALUE"""),290.53)</f>
        <v>290.52999999999997</v>
      </c>
      <c r="F1816" s="1">
        <f ca="1">IFERROR(__xludf.DUMMYFUNCTION("""COMPUTED_VALUE"""),22194324)</f>
        <v>22194324</v>
      </c>
    </row>
    <row r="1817" spans="1:6" x14ac:dyDescent="0.35">
      <c r="A1817" s="2">
        <f ca="1">IFERROR(__xludf.DUMMYFUNCTION("""COMPUTED_VALUE"""),44638.6666666666)</f>
        <v>44638.666666666599</v>
      </c>
      <c r="B1817" s="1">
        <f ca="1">IFERROR(__xludf.DUMMYFUNCTION("""COMPUTED_VALUE"""),291.5)</f>
        <v>291.5</v>
      </c>
      <c r="C1817" s="1">
        <f ca="1">IFERROR(__xludf.DUMMYFUNCTION("""COMPUTED_VALUE"""),302.62)</f>
        <v>302.62</v>
      </c>
      <c r="D1817" s="1">
        <f ca="1">IFERROR(__xludf.DUMMYFUNCTION("""COMPUTED_VALUE"""),289.13)</f>
        <v>289.13</v>
      </c>
      <c r="E1817" s="1">
        <f ca="1">IFERROR(__xludf.DUMMYFUNCTION("""COMPUTED_VALUE"""),301.8)</f>
        <v>301.8</v>
      </c>
      <c r="F1817" s="1">
        <f ca="1">IFERROR(__xludf.DUMMYFUNCTION("""COMPUTED_VALUE"""),33471397)</f>
        <v>33471397</v>
      </c>
    </row>
    <row r="1818" spans="1:6" x14ac:dyDescent="0.35">
      <c r="A1818" s="2">
        <f ca="1">IFERROR(__xludf.DUMMYFUNCTION("""COMPUTED_VALUE"""),44641.6666666666)</f>
        <v>44641.666666666599</v>
      </c>
      <c r="B1818" s="1">
        <f ca="1">IFERROR(__xludf.DUMMYFUNCTION("""COMPUTED_VALUE"""),304.99)</f>
        <v>304.99</v>
      </c>
      <c r="C1818" s="1">
        <f ca="1">IFERROR(__xludf.DUMMYFUNCTION("""COMPUTED_VALUE"""),314.28)</f>
        <v>314.27999999999997</v>
      </c>
      <c r="D1818" s="1">
        <f ca="1">IFERROR(__xludf.DUMMYFUNCTION("""COMPUTED_VALUE"""),302.36)</f>
        <v>302.36</v>
      </c>
      <c r="E1818" s="1">
        <f ca="1">IFERROR(__xludf.DUMMYFUNCTION("""COMPUTED_VALUE"""),307.05)</f>
        <v>307.05</v>
      </c>
      <c r="F1818" s="1">
        <f ca="1">IFERROR(__xludf.DUMMYFUNCTION("""COMPUTED_VALUE"""),27327216)</f>
        <v>27327216</v>
      </c>
    </row>
    <row r="1819" spans="1:6" x14ac:dyDescent="0.35">
      <c r="A1819" s="2">
        <f ca="1">IFERROR(__xludf.DUMMYFUNCTION("""COMPUTED_VALUE"""),44642.6666666666)</f>
        <v>44642.666666666599</v>
      </c>
      <c r="B1819" s="1">
        <f ca="1">IFERROR(__xludf.DUMMYFUNCTION("""COMPUTED_VALUE"""),310)</f>
        <v>310</v>
      </c>
      <c r="C1819" s="1">
        <f ca="1">IFERROR(__xludf.DUMMYFUNCTION("""COMPUTED_VALUE"""),332.62)</f>
        <v>332.62</v>
      </c>
      <c r="D1819" s="1">
        <f ca="1">IFERROR(__xludf.DUMMYFUNCTION("""COMPUTED_VALUE"""),307.25)</f>
        <v>307.25</v>
      </c>
      <c r="E1819" s="1">
        <f ca="1">IFERROR(__xludf.DUMMYFUNCTION("""COMPUTED_VALUE"""),331.33)</f>
        <v>331.33</v>
      </c>
      <c r="F1819" s="1">
        <f ca="1">IFERROR(__xludf.DUMMYFUNCTION("""COMPUTED_VALUE"""),35289519)</f>
        <v>35289519</v>
      </c>
    </row>
    <row r="1820" spans="1:6" x14ac:dyDescent="0.35">
      <c r="A1820" s="2">
        <f ca="1">IFERROR(__xludf.DUMMYFUNCTION("""COMPUTED_VALUE"""),44643.6666666666)</f>
        <v>44643.666666666599</v>
      </c>
      <c r="B1820" s="1">
        <f ca="1">IFERROR(__xludf.DUMMYFUNCTION("""COMPUTED_VALUE"""),326.65)</f>
        <v>326.64999999999998</v>
      </c>
      <c r="C1820" s="1">
        <f ca="1">IFERROR(__xludf.DUMMYFUNCTION("""COMPUTED_VALUE"""),346.9)</f>
        <v>346.9</v>
      </c>
      <c r="D1820" s="1">
        <f ca="1">IFERROR(__xludf.DUMMYFUNCTION("""COMPUTED_VALUE"""),325.47)</f>
        <v>325.47000000000003</v>
      </c>
      <c r="E1820" s="1">
        <f ca="1">IFERROR(__xludf.DUMMYFUNCTION("""COMPUTED_VALUE"""),333.04)</f>
        <v>333.04</v>
      </c>
      <c r="F1820" s="1">
        <f ca="1">IFERROR(__xludf.DUMMYFUNCTION("""COMPUTED_VALUE"""),40225383)</f>
        <v>40225383</v>
      </c>
    </row>
    <row r="1821" spans="1:6" x14ac:dyDescent="0.35">
      <c r="A1821" s="2">
        <f ca="1">IFERROR(__xludf.DUMMYFUNCTION("""COMPUTED_VALUE"""),44644.6666666666)</f>
        <v>44644.666666666599</v>
      </c>
      <c r="B1821" s="1">
        <f ca="1">IFERROR(__xludf.DUMMYFUNCTION("""COMPUTED_VALUE"""),336.58)</f>
        <v>336.58</v>
      </c>
      <c r="C1821" s="1">
        <f ca="1">IFERROR(__xludf.DUMMYFUNCTION("""COMPUTED_VALUE"""),341.5)</f>
        <v>341.5</v>
      </c>
      <c r="D1821" s="1">
        <f ca="1">IFERROR(__xludf.DUMMYFUNCTION("""COMPUTED_VALUE"""),329.6)</f>
        <v>329.6</v>
      </c>
      <c r="E1821" s="1">
        <f ca="1">IFERROR(__xludf.DUMMYFUNCTION("""COMPUTED_VALUE"""),337.97)</f>
        <v>337.97</v>
      </c>
      <c r="F1821" s="1">
        <f ca="1">IFERROR(__xludf.DUMMYFUNCTION("""COMPUTED_VALUE"""),22973626)</f>
        <v>22973626</v>
      </c>
    </row>
    <row r="1822" spans="1:6" x14ac:dyDescent="0.35">
      <c r="A1822" s="2">
        <f ca="1">IFERROR(__xludf.DUMMYFUNCTION("""COMPUTED_VALUE"""),44645.6666666666)</f>
        <v>44645.666666666599</v>
      </c>
      <c r="B1822" s="1">
        <f ca="1">IFERROR(__xludf.DUMMYFUNCTION("""COMPUTED_VALUE"""),336)</f>
        <v>336</v>
      </c>
      <c r="C1822" s="1">
        <f ca="1">IFERROR(__xludf.DUMMYFUNCTION("""COMPUTED_VALUE"""),340.6)</f>
        <v>340.6</v>
      </c>
      <c r="D1822" s="1">
        <f ca="1">IFERROR(__xludf.DUMMYFUNCTION("""COMPUTED_VALUE"""),332.44)</f>
        <v>332.44</v>
      </c>
      <c r="E1822" s="1">
        <f ca="1">IFERROR(__xludf.DUMMYFUNCTION("""COMPUTED_VALUE"""),336.88)</f>
        <v>336.88</v>
      </c>
      <c r="F1822" s="1">
        <f ca="1">IFERROR(__xludf.DUMMYFUNCTION("""COMPUTED_VALUE"""),20677182)</f>
        <v>20677182</v>
      </c>
    </row>
    <row r="1823" spans="1:6" x14ac:dyDescent="0.35">
      <c r="A1823" s="2">
        <f ca="1">IFERROR(__xludf.DUMMYFUNCTION("""COMPUTED_VALUE"""),44648.6666666666)</f>
        <v>44648.666666666599</v>
      </c>
      <c r="B1823" s="1">
        <f ca="1">IFERROR(__xludf.DUMMYFUNCTION("""COMPUTED_VALUE"""),355.03)</f>
        <v>355.03</v>
      </c>
      <c r="C1823" s="1">
        <f ca="1">IFERROR(__xludf.DUMMYFUNCTION("""COMPUTED_VALUE"""),365.96)</f>
        <v>365.96</v>
      </c>
      <c r="D1823" s="1">
        <f ca="1">IFERROR(__xludf.DUMMYFUNCTION("""COMPUTED_VALUE"""),351.2)</f>
        <v>351.2</v>
      </c>
      <c r="E1823" s="1">
        <f ca="1">IFERROR(__xludf.DUMMYFUNCTION("""COMPUTED_VALUE"""),363.95)</f>
        <v>363.95</v>
      </c>
      <c r="F1823" s="1">
        <f ca="1">IFERROR(__xludf.DUMMYFUNCTION("""COMPUTED_VALUE"""),34168693)</f>
        <v>34168693</v>
      </c>
    </row>
    <row r="1824" spans="1:6" x14ac:dyDescent="0.35">
      <c r="A1824" s="2">
        <f ca="1">IFERROR(__xludf.DUMMYFUNCTION("""COMPUTED_VALUE"""),44649.6666666666)</f>
        <v>44649.666666666599</v>
      </c>
      <c r="B1824" s="1">
        <f ca="1">IFERROR(__xludf.DUMMYFUNCTION("""COMPUTED_VALUE"""),369.33)</f>
        <v>369.33</v>
      </c>
      <c r="C1824" s="1">
        <f ca="1">IFERROR(__xludf.DUMMYFUNCTION("""COMPUTED_VALUE"""),371.59)</f>
        <v>371.59</v>
      </c>
      <c r="D1824" s="1">
        <f ca="1">IFERROR(__xludf.DUMMYFUNCTION("""COMPUTED_VALUE"""),357.7)</f>
        <v>357.7</v>
      </c>
      <c r="E1824" s="1">
        <f ca="1">IFERROR(__xludf.DUMMYFUNCTION("""COMPUTED_VALUE"""),366.52)</f>
        <v>366.52</v>
      </c>
      <c r="F1824" s="1">
        <f ca="1">IFERROR(__xludf.DUMMYFUNCTION("""COMPUTED_VALUE"""),24538273)</f>
        <v>24538273</v>
      </c>
    </row>
    <row r="1825" spans="1:6" x14ac:dyDescent="0.35">
      <c r="A1825" s="2">
        <f ca="1">IFERROR(__xludf.DUMMYFUNCTION("""COMPUTED_VALUE"""),44650.6666666666)</f>
        <v>44650.666666666599</v>
      </c>
      <c r="B1825" s="1">
        <f ca="1">IFERROR(__xludf.DUMMYFUNCTION("""COMPUTED_VALUE"""),363.72)</f>
        <v>363.72</v>
      </c>
      <c r="C1825" s="1">
        <f ca="1">IFERROR(__xludf.DUMMYFUNCTION("""COMPUTED_VALUE"""),371.32)</f>
        <v>371.32</v>
      </c>
      <c r="D1825" s="1">
        <f ca="1">IFERROR(__xludf.DUMMYFUNCTION("""COMPUTED_VALUE"""),361.33)</f>
        <v>361.33</v>
      </c>
      <c r="E1825" s="1">
        <f ca="1">IFERROR(__xludf.DUMMYFUNCTION("""COMPUTED_VALUE"""),364.66)</f>
        <v>364.66</v>
      </c>
      <c r="F1825" s="1">
        <f ca="1">IFERROR(__xludf.DUMMYFUNCTION("""COMPUTED_VALUE"""),19955002)</f>
        <v>19955002</v>
      </c>
    </row>
    <row r="1826" spans="1:6" x14ac:dyDescent="0.35">
      <c r="A1826" s="2">
        <f ca="1">IFERROR(__xludf.DUMMYFUNCTION("""COMPUTED_VALUE"""),44651.6666666666)</f>
        <v>44651.666666666599</v>
      </c>
      <c r="B1826" s="1">
        <f ca="1">IFERROR(__xludf.DUMMYFUNCTION("""COMPUTED_VALUE"""),364.86)</f>
        <v>364.86</v>
      </c>
      <c r="C1826" s="1">
        <f ca="1">IFERROR(__xludf.DUMMYFUNCTION("""COMPUTED_VALUE"""),367.71)</f>
        <v>367.71</v>
      </c>
      <c r="D1826" s="1">
        <f ca="1">IFERROR(__xludf.DUMMYFUNCTION("""COMPUTED_VALUE"""),358.88)</f>
        <v>358.88</v>
      </c>
      <c r="E1826" s="1">
        <f ca="1">IFERROR(__xludf.DUMMYFUNCTION("""COMPUTED_VALUE"""),359.2)</f>
        <v>359.2</v>
      </c>
      <c r="F1826" s="1">
        <f ca="1">IFERROR(__xludf.DUMMYFUNCTION("""COMPUTED_VALUE"""),16330919)</f>
        <v>16330919</v>
      </c>
    </row>
    <row r="1827" spans="1:6" x14ac:dyDescent="0.35">
      <c r="A1827" s="2">
        <f ca="1">IFERROR(__xludf.DUMMYFUNCTION("""COMPUTED_VALUE"""),44652.6666666666)</f>
        <v>44652.666666666599</v>
      </c>
      <c r="B1827" s="1">
        <f ca="1">IFERROR(__xludf.DUMMYFUNCTION("""COMPUTED_VALUE"""),360.38)</f>
        <v>360.38</v>
      </c>
      <c r="C1827" s="1">
        <f ca="1">IFERROR(__xludf.DUMMYFUNCTION("""COMPUTED_VALUE"""),364.92)</f>
        <v>364.92</v>
      </c>
      <c r="D1827" s="1">
        <f ca="1">IFERROR(__xludf.DUMMYFUNCTION("""COMPUTED_VALUE"""),355.55)</f>
        <v>355.55</v>
      </c>
      <c r="E1827" s="1">
        <f ca="1">IFERROR(__xludf.DUMMYFUNCTION("""COMPUTED_VALUE"""),361.53)</f>
        <v>361.53</v>
      </c>
      <c r="F1827" s="1">
        <f ca="1">IFERROR(__xludf.DUMMYFUNCTION("""COMPUTED_VALUE"""),18087741)</f>
        <v>18087741</v>
      </c>
    </row>
    <row r="1828" spans="1:6" x14ac:dyDescent="0.35">
      <c r="A1828" s="2">
        <f ca="1">IFERROR(__xludf.DUMMYFUNCTION("""COMPUTED_VALUE"""),44655.6666666666)</f>
        <v>44655.666666666599</v>
      </c>
      <c r="B1828" s="1">
        <f ca="1">IFERROR(__xludf.DUMMYFUNCTION("""COMPUTED_VALUE"""),363.13)</f>
        <v>363.13</v>
      </c>
      <c r="C1828" s="1">
        <f ca="1">IFERROR(__xludf.DUMMYFUNCTION("""COMPUTED_VALUE"""),383.3)</f>
        <v>383.3</v>
      </c>
      <c r="D1828" s="1">
        <f ca="1">IFERROR(__xludf.DUMMYFUNCTION("""COMPUTED_VALUE"""),357.51)</f>
        <v>357.51</v>
      </c>
      <c r="E1828" s="1">
        <f ca="1">IFERROR(__xludf.DUMMYFUNCTION("""COMPUTED_VALUE"""),381.82)</f>
        <v>381.82</v>
      </c>
      <c r="F1828" s="1">
        <f ca="1">IFERROR(__xludf.DUMMYFUNCTION("""COMPUTED_VALUE"""),27392567)</f>
        <v>27392567</v>
      </c>
    </row>
    <row r="1829" spans="1:6" x14ac:dyDescent="0.35">
      <c r="A1829" s="2">
        <f ca="1">IFERROR(__xludf.DUMMYFUNCTION("""COMPUTED_VALUE"""),44656.6666666666)</f>
        <v>44656.666666666599</v>
      </c>
      <c r="B1829" s="1">
        <f ca="1">IFERROR(__xludf.DUMMYFUNCTION("""COMPUTED_VALUE"""),378.77)</f>
        <v>378.77</v>
      </c>
      <c r="C1829" s="1">
        <f ca="1">IFERROR(__xludf.DUMMYFUNCTION("""COMPUTED_VALUE"""),384.29)</f>
        <v>384.29</v>
      </c>
      <c r="D1829" s="1">
        <f ca="1">IFERROR(__xludf.DUMMYFUNCTION("""COMPUTED_VALUE"""),362.43)</f>
        <v>362.43</v>
      </c>
      <c r="E1829" s="1">
        <f ca="1">IFERROR(__xludf.DUMMYFUNCTION("""COMPUTED_VALUE"""),363.75)</f>
        <v>363.75</v>
      </c>
      <c r="F1829" s="1">
        <f ca="1">IFERROR(__xludf.DUMMYFUNCTION("""COMPUTED_VALUE"""),26691673)</f>
        <v>26691673</v>
      </c>
    </row>
    <row r="1830" spans="1:6" x14ac:dyDescent="0.35">
      <c r="A1830" s="2">
        <f ca="1">IFERROR(__xludf.DUMMYFUNCTION("""COMPUTED_VALUE"""),44657.6666666666)</f>
        <v>44657.666666666599</v>
      </c>
      <c r="B1830" s="1">
        <f ca="1">IFERROR(__xludf.DUMMYFUNCTION("""COMPUTED_VALUE"""),357.82)</f>
        <v>357.82</v>
      </c>
      <c r="C1830" s="1">
        <f ca="1">IFERROR(__xludf.DUMMYFUNCTION("""COMPUTED_VALUE"""),359.67)</f>
        <v>359.67</v>
      </c>
      <c r="D1830" s="1">
        <f ca="1">IFERROR(__xludf.DUMMYFUNCTION("""COMPUTED_VALUE"""),342.57)</f>
        <v>342.57</v>
      </c>
      <c r="E1830" s="1">
        <f ca="1">IFERROR(__xludf.DUMMYFUNCTION("""COMPUTED_VALUE"""),348.59)</f>
        <v>348.59</v>
      </c>
      <c r="F1830" s="1">
        <f ca="1">IFERROR(__xludf.DUMMYFUNCTION("""COMPUTED_VALUE"""),29782845)</f>
        <v>29782845</v>
      </c>
    </row>
    <row r="1831" spans="1:6" x14ac:dyDescent="0.35">
      <c r="A1831" s="2">
        <f ca="1">IFERROR(__xludf.DUMMYFUNCTION("""COMPUTED_VALUE"""),44658.6666666666)</f>
        <v>44658.666666666599</v>
      </c>
      <c r="B1831" s="1">
        <f ca="1">IFERROR(__xludf.DUMMYFUNCTION("""COMPUTED_VALUE"""),350.8)</f>
        <v>350.8</v>
      </c>
      <c r="C1831" s="1">
        <f ca="1">IFERROR(__xludf.DUMMYFUNCTION("""COMPUTED_VALUE"""),358.86)</f>
        <v>358.86</v>
      </c>
      <c r="D1831" s="1">
        <f ca="1">IFERROR(__xludf.DUMMYFUNCTION("""COMPUTED_VALUE"""),340.51)</f>
        <v>340.51</v>
      </c>
      <c r="E1831" s="1">
        <f ca="1">IFERROR(__xludf.DUMMYFUNCTION("""COMPUTED_VALUE"""),352.42)</f>
        <v>352.42</v>
      </c>
      <c r="F1831" s="1">
        <f ca="1">IFERROR(__xludf.DUMMYFUNCTION("""COMPUTED_VALUE"""),26482353)</f>
        <v>26482353</v>
      </c>
    </row>
    <row r="1832" spans="1:6" x14ac:dyDescent="0.35">
      <c r="A1832" s="2">
        <f ca="1">IFERROR(__xludf.DUMMYFUNCTION("""COMPUTED_VALUE"""),44659.6666666666)</f>
        <v>44659.666666666599</v>
      </c>
      <c r="B1832" s="1">
        <f ca="1">IFERROR(__xludf.DUMMYFUNCTION("""COMPUTED_VALUE"""),347.74)</f>
        <v>347.74</v>
      </c>
      <c r="C1832" s="1">
        <f ca="1">IFERROR(__xludf.DUMMYFUNCTION("""COMPUTED_VALUE"""),349.48)</f>
        <v>349.48</v>
      </c>
      <c r="D1832" s="1">
        <f ca="1">IFERROR(__xludf.DUMMYFUNCTION("""COMPUTED_VALUE"""),340.81)</f>
        <v>340.81</v>
      </c>
      <c r="E1832" s="1">
        <f ca="1">IFERROR(__xludf.DUMMYFUNCTION("""COMPUTED_VALUE"""),341.83)</f>
        <v>341.83</v>
      </c>
      <c r="F1832" s="1">
        <f ca="1">IFERROR(__xludf.DUMMYFUNCTION("""COMPUTED_VALUE"""),18337896)</f>
        <v>18337896</v>
      </c>
    </row>
    <row r="1833" spans="1:6" x14ac:dyDescent="0.35">
      <c r="A1833" s="2">
        <f ca="1">IFERROR(__xludf.DUMMYFUNCTION("""COMPUTED_VALUE"""),44662.6666666666)</f>
        <v>44662.666666666599</v>
      </c>
      <c r="B1833" s="1">
        <f ca="1">IFERROR(__xludf.DUMMYFUNCTION("""COMPUTED_VALUE"""),326.8)</f>
        <v>326.8</v>
      </c>
      <c r="C1833" s="1">
        <f ca="1">IFERROR(__xludf.DUMMYFUNCTION("""COMPUTED_VALUE"""),336.16)</f>
        <v>336.16</v>
      </c>
      <c r="D1833" s="1">
        <f ca="1">IFERROR(__xludf.DUMMYFUNCTION("""COMPUTED_VALUE"""),324.88)</f>
        <v>324.88</v>
      </c>
      <c r="E1833" s="1">
        <f ca="1">IFERROR(__xludf.DUMMYFUNCTION("""COMPUTED_VALUE"""),325.31)</f>
        <v>325.31</v>
      </c>
      <c r="F1833" s="1">
        <f ca="1">IFERROR(__xludf.DUMMYFUNCTION("""COMPUTED_VALUE"""),19785735)</f>
        <v>19785735</v>
      </c>
    </row>
    <row r="1834" spans="1:6" x14ac:dyDescent="0.35">
      <c r="A1834" s="2">
        <f ca="1">IFERROR(__xludf.DUMMYFUNCTION("""COMPUTED_VALUE"""),44663.6666666666)</f>
        <v>44663.666666666599</v>
      </c>
      <c r="B1834" s="1">
        <f ca="1">IFERROR(__xludf.DUMMYFUNCTION("""COMPUTED_VALUE"""),332.55)</f>
        <v>332.55</v>
      </c>
      <c r="C1834" s="1">
        <f ca="1">IFERROR(__xludf.DUMMYFUNCTION("""COMPUTED_VALUE"""),340.4)</f>
        <v>340.4</v>
      </c>
      <c r="D1834" s="1">
        <f ca="1">IFERROR(__xludf.DUMMYFUNCTION("""COMPUTED_VALUE"""),325.53)</f>
        <v>325.52999999999997</v>
      </c>
      <c r="E1834" s="1">
        <f ca="1">IFERROR(__xludf.DUMMYFUNCTION("""COMPUTED_VALUE"""),328.98)</f>
        <v>328.98</v>
      </c>
      <c r="F1834" s="1">
        <f ca="1">IFERROR(__xludf.DUMMYFUNCTION("""COMPUTED_VALUE"""),21992032)</f>
        <v>21992032</v>
      </c>
    </row>
    <row r="1835" spans="1:6" x14ac:dyDescent="0.35">
      <c r="A1835" s="2">
        <f ca="1">IFERROR(__xludf.DUMMYFUNCTION("""COMPUTED_VALUE"""),44664.6666666666)</f>
        <v>44664.666666666599</v>
      </c>
      <c r="B1835" s="1">
        <f ca="1">IFERROR(__xludf.DUMMYFUNCTION("""COMPUTED_VALUE"""),327.02)</f>
        <v>327.02</v>
      </c>
      <c r="C1835" s="1">
        <f ca="1">IFERROR(__xludf.DUMMYFUNCTION("""COMPUTED_VALUE"""),342.08)</f>
        <v>342.08</v>
      </c>
      <c r="D1835" s="1">
        <f ca="1">IFERROR(__xludf.DUMMYFUNCTION("""COMPUTED_VALUE"""),324.37)</f>
        <v>324.37</v>
      </c>
      <c r="E1835" s="1">
        <f ca="1">IFERROR(__xludf.DUMMYFUNCTION("""COMPUTED_VALUE"""),340.79)</f>
        <v>340.79</v>
      </c>
      <c r="F1835" s="1">
        <f ca="1">IFERROR(__xludf.DUMMYFUNCTION("""COMPUTED_VALUE"""),18373737)</f>
        <v>18373737</v>
      </c>
    </row>
    <row r="1836" spans="1:6" x14ac:dyDescent="0.35">
      <c r="A1836" s="2">
        <f ca="1">IFERROR(__xludf.DUMMYFUNCTION("""COMPUTED_VALUE"""),44665.6666666666)</f>
        <v>44665.666666666599</v>
      </c>
      <c r="B1836" s="1">
        <f ca="1">IFERROR(__xludf.DUMMYFUNCTION("""COMPUTED_VALUE"""),333.1)</f>
        <v>333.1</v>
      </c>
      <c r="C1836" s="1">
        <f ca="1">IFERROR(__xludf.DUMMYFUNCTION("""COMPUTED_VALUE"""),337.57)</f>
        <v>337.57</v>
      </c>
      <c r="D1836" s="1">
        <f ca="1">IFERROR(__xludf.DUMMYFUNCTION("""COMPUTED_VALUE"""),327.4)</f>
        <v>327.39999999999998</v>
      </c>
      <c r="E1836" s="1">
        <f ca="1">IFERROR(__xludf.DUMMYFUNCTION("""COMPUTED_VALUE"""),328.33)</f>
        <v>328.33</v>
      </c>
      <c r="F1836" s="1">
        <f ca="1">IFERROR(__xludf.DUMMYFUNCTION("""COMPUTED_VALUE"""),19474135)</f>
        <v>19474135</v>
      </c>
    </row>
    <row r="1837" spans="1:6" x14ac:dyDescent="0.35">
      <c r="A1837" s="2">
        <f ca="1">IFERROR(__xludf.DUMMYFUNCTION("""COMPUTED_VALUE"""),44669.6666666666)</f>
        <v>44669.666666666599</v>
      </c>
      <c r="B1837" s="1">
        <f ca="1">IFERROR(__xludf.DUMMYFUNCTION("""COMPUTED_VALUE"""),329.68)</f>
        <v>329.68</v>
      </c>
      <c r="C1837" s="1">
        <f ca="1">IFERROR(__xludf.DUMMYFUNCTION("""COMPUTED_VALUE"""),338.31)</f>
        <v>338.31</v>
      </c>
      <c r="D1837" s="1">
        <f ca="1">IFERROR(__xludf.DUMMYFUNCTION("""COMPUTED_VALUE"""),324.47)</f>
        <v>324.47000000000003</v>
      </c>
      <c r="E1837" s="1">
        <f ca="1">IFERROR(__xludf.DUMMYFUNCTION("""COMPUTED_VALUE"""),334.76)</f>
        <v>334.76</v>
      </c>
      <c r="F1837" s="1">
        <f ca="1">IFERROR(__xludf.DUMMYFUNCTION("""COMPUTED_VALUE"""),17238407)</f>
        <v>17238407</v>
      </c>
    </row>
    <row r="1838" spans="1:6" x14ac:dyDescent="0.35">
      <c r="A1838" s="2">
        <f ca="1">IFERROR(__xludf.DUMMYFUNCTION("""COMPUTED_VALUE"""),44670.6666666666)</f>
        <v>44670.666666666599</v>
      </c>
      <c r="B1838" s="1">
        <f ca="1">IFERROR(__xludf.DUMMYFUNCTION("""COMPUTED_VALUE"""),335.02)</f>
        <v>335.02</v>
      </c>
      <c r="C1838" s="1">
        <f ca="1">IFERROR(__xludf.DUMMYFUNCTION("""COMPUTED_VALUE"""),344.98)</f>
        <v>344.98</v>
      </c>
      <c r="D1838" s="1">
        <f ca="1">IFERROR(__xludf.DUMMYFUNCTION("""COMPUTED_VALUE"""),331.78)</f>
        <v>331.78</v>
      </c>
      <c r="E1838" s="1">
        <f ca="1">IFERROR(__xludf.DUMMYFUNCTION("""COMPUTED_VALUE"""),342.72)</f>
        <v>342.72</v>
      </c>
      <c r="F1838" s="1">
        <f ca="1">IFERROR(__xludf.DUMMYFUNCTION("""COMPUTED_VALUE"""),16615944)</f>
        <v>16615944</v>
      </c>
    </row>
    <row r="1839" spans="1:6" x14ac:dyDescent="0.35">
      <c r="A1839" s="2">
        <f ca="1">IFERROR(__xludf.DUMMYFUNCTION("""COMPUTED_VALUE"""),44671.6666666666)</f>
        <v>44671.666666666599</v>
      </c>
      <c r="B1839" s="1">
        <f ca="1">IFERROR(__xludf.DUMMYFUNCTION("""COMPUTED_VALUE"""),343.33)</f>
        <v>343.33</v>
      </c>
      <c r="C1839" s="1">
        <f ca="1">IFERROR(__xludf.DUMMYFUNCTION("""COMPUTED_VALUE"""),344.67)</f>
        <v>344.67</v>
      </c>
      <c r="D1839" s="1">
        <f ca="1">IFERROR(__xludf.DUMMYFUNCTION("""COMPUTED_VALUE"""),325.08)</f>
        <v>325.08</v>
      </c>
      <c r="E1839" s="1">
        <f ca="1">IFERROR(__xludf.DUMMYFUNCTION("""COMPUTED_VALUE"""),325.73)</f>
        <v>325.73</v>
      </c>
      <c r="F1839" s="1">
        <f ca="1">IFERROR(__xludf.DUMMYFUNCTION("""COMPUTED_VALUE"""),23570442)</f>
        <v>23570442</v>
      </c>
    </row>
    <row r="1840" spans="1:6" x14ac:dyDescent="0.35">
      <c r="A1840" s="2">
        <f ca="1">IFERROR(__xludf.DUMMYFUNCTION("""COMPUTED_VALUE"""),44672.6666666666)</f>
        <v>44672.666666666599</v>
      </c>
      <c r="B1840" s="1">
        <f ca="1">IFERROR(__xludf.DUMMYFUNCTION("""COMPUTED_VALUE"""),358.24)</f>
        <v>358.24</v>
      </c>
      <c r="C1840" s="1">
        <f ca="1">IFERROR(__xludf.DUMMYFUNCTION("""COMPUTED_VALUE"""),364.07)</f>
        <v>364.07</v>
      </c>
      <c r="D1840" s="1">
        <f ca="1">IFERROR(__xludf.DUMMYFUNCTION("""COMPUTED_VALUE"""),332.14)</f>
        <v>332.14</v>
      </c>
      <c r="E1840" s="1">
        <f ca="1">IFERROR(__xludf.DUMMYFUNCTION("""COMPUTED_VALUE"""),336.26)</f>
        <v>336.26</v>
      </c>
      <c r="F1840" s="1">
        <f ca="1">IFERROR(__xludf.DUMMYFUNCTION("""COMPUTED_VALUE"""),35138779)</f>
        <v>35138779</v>
      </c>
    </row>
    <row r="1841" spans="1:6" x14ac:dyDescent="0.35">
      <c r="A1841" s="2">
        <f ca="1">IFERROR(__xludf.DUMMYFUNCTION("""COMPUTED_VALUE"""),44673.6666666666)</f>
        <v>44673.666666666599</v>
      </c>
      <c r="B1841" s="1">
        <f ca="1">IFERROR(__xludf.DUMMYFUNCTION("""COMPUTED_VALUE"""),338.3)</f>
        <v>338.3</v>
      </c>
      <c r="C1841" s="1">
        <f ca="1">IFERROR(__xludf.DUMMYFUNCTION("""COMPUTED_VALUE"""),344.95)</f>
        <v>344.95</v>
      </c>
      <c r="D1841" s="1">
        <f ca="1">IFERROR(__xludf.DUMMYFUNCTION("""COMPUTED_VALUE"""),331.33)</f>
        <v>331.33</v>
      </c>
      <c r="E1841" s="1">
        <f ca="1">IFERROR(__xludf.DUMMYFUNCTION("""COMPUTED_VALUE"""),335.02)</f>
        <v>335.02</v>
      </c>
      <c r="F1841" s="1">
        <f ca="1">IFERROR(__xludf.DUMMYFUNCTION("""COMPUTED_VALUE"""),23232186)</f>
        <v>23232186</v>
      </c>
    </row>
    <row r="1842" spans="1:6" x14ac:dyDescent="0.35">
      <c r="A1842" s="2">
        <f ca="1">IFERROR(__xludf.DUMMYFUNCTION("""COMPUTED_VALUE"""),44676.6666666666)</f>
        <v>44676.666666666599</v>
      </c>
      <c r="B1842" s="1">
        <f ca="1">IFERROR(__xludf.DUMMYFUNCTION("""COMPUTED_VALUE"""),326.32)</f>
        <v>326.32</v>
      </c>
      <c r="C1842" s="1">
        <f ca="1">IFERROR(__xludf.DUMMYFUNCTION("""COMPUTED_VALUE"""),336.21)</f>
        <v>336.21</v>
      </c>
      <c r="D1842" s="1">
        <f ca="1">IFERROR(__xludf.DUMMYFUNCTION("""COMPUTED_VALUE"""),325.1)</f>
        <v>325.10000000000002</v>
      </c>
      <c r="E1842" s="1">
        <f ca="1">IFERROR(__xludf.DUMMYFUNCTION("""COMPUTED_VALUE"""),332.67)</f>
        <v>332.67</v>
      </c>
      <c r="F1842" s="1">
        <f ca="1">IFERROR(__xludf.DUMMYFUNCTION("""COMPUTED_VALUE"""),22780445)</f>
        <v>22780445</v>
      </c>
    </row>
    <row r="1843" spans="1:6" x14ac:dyDescent="0.35">
      <c r="A1843" s="2">
        <f ca="1">IFERROR(__xludf.DUMMYFUNCTION("""COMPUTED_VALUE"""),44677.6666666666)</f>
        <v>44677.666666666599</v>
      </c>
      <c r="B1843" s="1">
        <f ca="1">IFERROR(__xludf.DUMMYFUNCTION("""COMPUTED_VALUE"""),331.81)</f>
        <v>331.81</v>
      </c>
      <c r="C1843" s="1">
        <f ca="1">IFERROR(__xludf.DUMMYFUNCTION("""COMPUTED_VALUE"""),333.33)</f>
        <v>333.33</v>
      </c>
      <c r="D1843" s="1">
        <f ca="1">IFERROR(__xludf.DUMMYFUNCTION("""COMPUTED_VALUE"""),291.67)</f>
        <v>291.67</v>
      </c>
      <c r="E1843" s="1">
        <f ca="1">IFERROR(__xludf.DUMMYFUNCTION("""COMPUTED_VALUE"""),292.14)</f>
        <v>292.14</v>
      </c>
      <c r="F1843" s="1">
        <f ca="1">IFERROR(__xludf.DUMMYFUNCTION("""COMPUTED_VALUE"""),45377889)</f>
        <v>45377889</v>
      </c>
    </row>
    <row r="1844" spans="1:6" x14ac:dyDescent="0.35">
      <c r="A1844" s="2">
        <f ca="1">IFERROR(__xludf.DUMMYFUNCTION("""COMPUTED_VALUE"""),44678.6666666666)</f>
        <v>44678.666666666599</v>
      </c>
      <c r="B1844" s="1">
        <f ca="1">IFERROR(__xludf.DUMMYFUNCTION("""COMPUTED_VALUE"""),299.53)</f>
        <v>299.52999999999997</v>
      </c>
      <c r="C1844" s="1">
        <f ca="1">IFERROR(__xludf.DUMMYFUNCTION("""COMPUTED_VALUE"""),306)</f>
        <v>306</v>
      </c>
      <c r="D1844" s="1">
        <f ca="1">IFERROR(__xludf.DUMMYFUNCTION("""COMPUTED_VALUE"""),292.45)</f>
        <v>292.45</v>
      </c>
      <c r="E1844" s="1">
        <f ca="1">IFERROR(__xludf.DUMMYFUNCTION("""COMPUTED_VALUE"""),293.84)</f>
        <v>293.83999999999997</v>
      </c>
      <c r="F1844" s="1">
        <f ca="1">IFERROR(__xludf.DUMMYFUNCTION("""COMPUTED_VALUE"""),25652132)</f>
        <v>25652132</v>
      </c>
    </row>
    <row r="1845" spans="1:6" x14ac:dyDescent="0.35">
      <c r="A1845" s="2">
        <f ca="1">IFERROR(__xludf.DUMMYFUNCTION("""COMPUTED_VALUE"""),44679.6666666666)</f>
        <v>44679.666666666599</v>
      </c>
      <c r="B1845" s="1">
        <f ca="1">IFERROR(__xludf.DUMMYFUNCTION("""COMPUTED_VALUE"""),299.99)</f>
        <v>299.99</v>
      </c>
      <c r="C1845" s="1">
        <f ca="1">IFERROR(__xludf.DUMMYFUNCTION("""COMPUTED_VALUE"""),300)</f>
        <v>300</v>
      </c>
      <c r="D1845" s="1">
        <f ca="1">IFERROR(__xludf.DUMMYFUNCTION("""COMPUTED_VALUE"""),273.9)</f>
        <v>273.89999999999998</v>
      </c>
      <c r="E1845" s="1">
        <f ca="1">IFERROR(__xludf.DUMMYFUNCTION("""COMPUTED_VALUE"""),292.5)</f>
        <v>292.5</v>
      </c>
      <c r="F1845" s="1">
        <f ca="1">IFERROR(__xludf.DUMMYFUNCTION("""COMPUTED_VALUE"""),41649509)</f>
        <v>41649509</v>
      </c>
    </row>
    <row r="1846" spans="1:6" x14ac:dyDescent="0.35">
      <c r="A1846" s="2">
        <f ca="1">IFERROR(__xludf.DUMMYFUNCTION("""COMPUTED_VALUE"""),44680.6666666666)</f>
        <v>44680.666666666599</v>
      </c>
      <c r="B1846" s="1">
        <f ca="1">IFERROR(__xludf.DUMMYFUNCTION("""COMPUTED_VALUE"""),300.75)</f>
        <v>300.75</v>
      </c>
      <c r="C1846" s="1">
        <f ca="1">IFERROR(__xludf.DUMMYFUNCTION("""COMPUTED_VALUE"""),311.47)</f>
        <v>311.47000000000003</v>
      </c>
      <c r="D1846" s="1">
        <f ca="1">IFERROR(__xludf.DUMMYFUNCTION("""COMPUTED_VALUE"""),290)</f>
        <v>290</v>
      </c>
      <c r="E1846" s="1">
        <f ca="1">IFERROR(__xludf.DUMMYFUNCTION("""COMPUTED_VALUE"""),290.25)</f>
        <v>290.25</v>
      </c>
      <c r="F1846" s="1">
        <f ca="1">IFERROR(__xludf.DUMMYFUNCTION("""COMPUTED_VALUE"""),29377665)</f>
        <v>29377665</v>
      </c>
    </row>
    <row r="1847" spans="1:6" x14ac:dyDescent="0.35">
      <c r="A1847" s="2">
        <f ca="1">IFERROR(__xludf.DUMMYFUNCTION("""COMPUTED_VALUE"""),44683.6666666666)</f>
        <v>44683.666666666599</v>
      </c>
      <c r="B1847" s="1">
        <f ca="1">IFERROR(__xludf.DUMMYFUNCTION("""COMPUTED_VALUE"""),286.92)</f>
        <v>286.92</v>
      </c>
      <c r="C1847" s="1">
        <f ca="1">IFERROR(__xludf.DUMMYFUNCTION("""COMPUTED_VALUE"""),302.12)</f>
        <v>302.12</v>
      </c>
      <c r="D1847" s="1">
        <f ca="1">IFERROR(__xludf.DUMMYFUNCTION("""COMPUTED_VALUE"""),282.68)</f>
        <v>282.68</v>
      </c>
      <c r="E1847" s="1">
        <f ca="1">IFERROR(__xludf.DUMMYFUNCTION("""COMPUTED_VALUE"""),300.98)</f>
        <v>300.98</v>
      </c>
      <c r="F1847" s="1">
        <f ca="1">IFERROR(__xludf.DUMMYFUNCTION("""COMPUTED_VALUE"""),25260457)</f>
        <v>25260457</v>
      </c>
    </row>
    <row r="1848" spans="1:6" x14ac:dyDescent="0.35">
      <c r="A1848" s="2">
        <f ca="1">IFERROR(__xludf.DUMMYFUNCTION("""COMPUTED_VALUE"""),44684.6666666666)</f>
        <v>44684.666666666599</v>
      </c>
      <c r="B1848" s="1">
        <f ca="1">IFERROR(__xludf.DUMMYFUNCTION("""COMPUTED_VALUE"""),301.06)</f>
        <v>301.06</v>
      </c>
      <c r="C1848" s="1">
        <f ca="1">IFERROR(__xludf.DUMMYFUNCTION("""COMPUTED_VALUE"""),308.03)</f>
        <v>308.02999999999997</v>
      </c>
      <c r="D1848" s="1">
        <f ca="1">IFERROR(__xludf.DUMMYFUNCTION("""COMPUTED_VALUE"""),296.2)</f>
        <v>296.2</v>
      </c>
      <c r="E1848" s="1">
        <f ca="1">IFERROR(__xludf.DUMMYFUNCTION("""COMPUTED_VALUE"""),303.08)</f>
        <v>303.08</v>
      </c>
      <c r="F1848" s="1">
        <f ca="1">IFERROR(__xludf.DUMMYFUNCTION("""COMPUTED_VALUE"""),21236525)</f>
        <v>21236525</v>
      </c>
    </row>
    <row r="1849" spans="1:6" x14ac:dyDescent="0.35">
      <c r="A1849" s="2">
        <f ca="1">IFERROR(__xludf.DUMMYFUNCTION("""COMPUTED_VALUE"""),44685.6666666666)</f>
        <v>44685.666666666599</v>
      </c>
      <c r="B1849" s="1">
        <f ca="1">IFERROR(__xludf.DUMMYFUNCTION("""COMPUTED_VALUE"""),301.31)</f>
        <v>301.31</v>
      </c>
      <c r="C1849" s="1">
        <f ca="1">IFERROR(__xludf.DUMMYFUNCTION("""COMPUTED_VALUE"""),318.5)</f>
        <v>318.5</v>
      </c>
      <c r="D1849" s="1">
        <f ca="1">IFERROR(__xludf.DUMMYFUNCTION("""COMPUTED_VALUE"""),295.09)</f>
        <v>295.08999999999997</v>
      </c>
      <c r="E1849" s="1">
        <f ca="1">IFERROR(__xludf.DUMMYFUNCTION("""COMPUTED_VALUE"""),317.54)</f>
        <v>317.54000000000002</v>
      </c>
      <c r="F1849" s="1">
        <f ca="1">IFERROR(__xludf.DUMMYFUNCTION("""COMPUTED_VALUE"""),27214568)</f>
        <v>27214568</v>
      </c>
    </row>
    <row r="1850" spans="1:6" x14ac:dyDescent="0.35">
      <c r="A1850" s="2">
        <f ca="1">IFERROR(__xludf.DUMMYFUNCTION("""COMPUTED_VALUE"""),44686.6666666666)</f>
        <v>44686.666666666599</v>
      </c>
      <c r="B1850" s="1">
        <f ca="1">IFERROR(__xludf.DUMMYFUNCTION("""COMPUTED_VALUE"""),313.07)</f>
        <v>313.07</v>
      </c>
      <c r="C1850" s="1">
        <f ca="1">IFERROR(__xludf.DUMMYFUNCTION("""COMPUTED_VALUE"""),315.2)</f>
        <v>315.2</v>
      </c>
      <c r="D1850" s="1">
        <f ca="1">IFERROR(__xludf.DUMMYFUNCTION("""COMPUTED_VALUE"""),285.9)</f>
        <v>285.89999999999998</v>
      </c>
      <c r="E1850" s="1">
        <f ca="1">IFERROR(__xludf.DUMMYFUNCTION("""COMPUTED_VALUE"""),291.09)</f>
        <v>291.08999999999997</v>
      </c>
      <c r="F1850" s="1">
        <f ca="1">IFERROR(__xludf.DUMMYFUNCTION("""COMPUTED_VALUE"""),30839731)</f>
        <v>30839731</v>
      </c>
    </row>
    <row r="1851" spans="1:6" x14ac:dyDescent="0.35">
      <c r="A1851" s="2">
        <f ca="1">IFERROR(__xludf.DUMMYFUNCTION("""COMPUTED_VALUE"""),44687.6666666666)</f>
        <v>44687.666666666599</v>
      </c>
      <c r="B1851" s="1">
        <f ca="1">IFERROR(__xludf.DUMMYFUNCTION("""COMPUTED_VALUE"""),295.67)</f>
        <v>295.67</v>
      </c>
      <c r="C1851" s="1">
        <f ca="1">IFERROR(__xludf.DUMMYFUNCTION("""COMPUTED_VALUE"""),296)</f>
        <v>296</v>
      </c>
      <c r="D1851" s="1">
        <f ca="1">IFERROR(__xludf.DUMMYFUNCTION("""COMPUTED_VALUE"""),281.04)</f>
        <v>281.04000000000002</v>
      </c>
      <c r="E1851" s="1">
        <f ca="1">IFERROR(__xludf.DUMMYFUNCTION("""COMPUTED_VALUE"""),288.55)</f>
        <v>288.55</v>
      </c>
      <c r="F1851" s="1">
        <f ca="1">IFERROR(__xludf.DUMMYFUNCTION("""COMPUTED_VALUE"""),24301037)</f>
        <v>24301037</v>
      </c>
    </row>
    <row r="1852" spans="1:6" x14ac:dyDescent="0.35">
      <c r="A1852" s="2">
        <f ca="1">IFERROR(__xludf.DUMMYFUNCTION("""COMPUTED_VALUE"""),44690.6666666666)</f>
        <v>44690.666666666599</v>
      </c>
      <c r="B1852" s="1">
        <f ca="1">IFERROR(__xludf.DUMMYFUNCTION("""COMPUTED_VALUE"""),278.82)</f>
        <v>278.82</v>
      </c>
      <c r="C1852" s="1">
        <f ca="1">IFERROR(__xludf.DUMMYFUNCTION("""COMPUTED_VALUE"""),281.88)</f>
        <v>281.88</v>
      </c>
      <c r="D1852" s="1">
        <f ca="1">IFERROR(__xludf.DUMMYFUNCTION("""COMPUTED_VALUE"""),260.38)</f>
        <v>260.38</v>
      </c>
      <c r="E1852" s="1">
        <f ca="1">IFERROR(__xludf.DUMMYFUNCTION("""COMPUTED_VALUE"""),262.37)</f>
        <v>262.37</v>
      </c>
      <c r="F1852" s="1">
        <f ca="1">IFERROR(__xludf.DUMMYFUNCTION("""COMPUTED_VALUE"""),30270074)</f>
        <v>30270074</v>
      </c>
    </row>
    <row r="1853" spans="1:6" x14ac:dyDescent="0.35">
      <c r="A1853" s="2">
        <f ca="1">IFERROR(__xludf.DUMMYFUNCTION("""COMPUTED_VALUE"""),44691.6666666666)</f>
        <v>44691.666666666599</v>
      </c>
      <c r="B1853" s="1">
        <f ca="1">IFERROR(__xludf.DUMMYFUNCTION("""COMPUTED_VALUE"""),273.1)</f>
        <v>273.10000000000002</v>
      </c>
      <c r="C1853" s="1">
        <f ca="1">IFERROR(__xludf.DUMMYFUNCTION("""COMPUTED_VALUE"""),275.12)</f>
        <v>275.12</v>
      </c>
      <c r="D1853" s="1">
        <f ca="1">IFERROR(__xludf.DUMMYFUNCTION("""COMPUTED_VALUE"""),258.08)</f>
        <v>258.08</v>
      </c>
      <c r="E1853" s="1">
        <f ca="1">IFERROR(__xludf.DUMMYFUNCTION("""COMPUTED_VALUE"""),266.68)</f>
        <v>266.68</v>
      </c>
      <c r="F1853" s="1">
        <f ca="1">IFERROR(__xludf.DUMMYFUNCTION("""COMPUTED_VALUE"""),28133877)</f>
        <v>28133877</v>
      </c>
    </row>
    <row r="1854" spans="1:6" x14ac:dyDescent="0.35">
      <c r="A1854" s="2">
        <f ca="1">IFERROR(__xludf.DUMMYFUNCTION("""COMPUTED_VALUE"""),44692.6666666666)</f>
        <v>44692.666666666599</v>
      </c>
      <c r="B1854" s="1">
        <f ca="1">IFERROR(__xludf.DUMMYFUNCTION("""COMPUTED_VALUE"""),265)</f>
        <v>265</v>
      </c>
      <c r="C1854" s="1">
        <f ca="1">IFERROR(__xludf.DUMMYFUNCTION("""COMPUTED_VALUE"""),269.92)</f>
        <v>269.92</v>
      </c>
      <c r="D1854" s="1">
        <f ca="1">IFERROR(__xludf.DUMMYFUNCTION("""COMPUTED_VALUE"""),242.4)</f>
        <v>242.4</v>
      </c>
      <c r="E1854" s="1">
        <f ca="1">IFERROR(__xludf.DUMMYFUNCTION("""COMPUTED_VALUE"""),244.67)</f>
        <v>244.67</v>
      </c>
      <c r="F1854" s="1">
        <f ca="1">IFERROR(__xludf.DUMMYFUNCTION("""COMPUTED_VALUE"""),32408153)</f>
        <v>32408153</v>
      </c>
    </row>
    <row r="1855" spans="1:6" x14ac:dyDescent="0.35">
      <c r="A1855" s="2">
        <f ca="1">IFERROR(__xludf.DUMMYFUNCTION("""COMPUTED_VALUE"""),44693.6666666666)</f>
        <v>44693.666666666599</v>
      </c>
      <c r="B1855" s="1">
        <f ca="1">IFERROR(__xludf.DUMMYFUNCTION("""COMPUTED_VALUE"""),233.67)</f>
        <v>233.67</v>
      </c>
      <c r="C1855" s="1">
        <f ca="1">IFERROR(__xludf.DUMMYFUNCTION("""COMPUTED_VALUE"""),253.22)</f>
        <v>253.22</v>
      </c>
      <c r="D1855" s="1">
        <f ca="1">IFERROR(__xludf.DUMMYFUNCTION("""COMPUTED_VALUE"""),226.67)</f>
        <v>226.67</v>
      </c>
      <c r="E1855" s="1">
        <f ca="1">IFERROR(__xludf.DUMMYFUNCTION("""COMPUTED_VALUE"""),242.67)</f>
        <v>242.67</v>
      </c>
      <c r="F1855" s="1">
        <f ca="1">IFERROR(__xludf.DUMMYFUNCTION("""COMPUTED_VALUE"""),46770954)</f>
        <v>46770954</v>
      </c>
    </row>
    <row r="1856" spans="1:6" x14ac:dyDescent="0.35">
      <c r="A1856" s="2">
        <f ca="1">IFERROR(__xludf.DUMMYFUNCTION("""COMPUTED_VALUE"""),44694.6666666666)</f>
        <v>44694.666666666599</v>
      </c>
      <c r="B1856" s="1">
        <f ca="1">IFERROR(__xludf.DUMMYFUNCTION("""COMPUTED_VALUE"""),257.83)</f>
        <v>257.83</v>
      </c>
      <c r="C1856" s="1">
        <f ca="1">IFERROR(__xludf.DUMMYFUNCTION("""COMPUTED_VALUE"""),262.45)</f>
        <v>262.45</v>
      </c>
      <c r="D1856" s="1">
        <f ca="1">IFERROR(__xludf.DUMMYFUNCTION("""COMPUTED_VALUE"""),250.52)</f>
        <v>250.52</v>
      </c>
      <c r="E1856" s="1">
        <f ca="1">IFERROR(__xludf.DUMMYFUNCTION("""COMPUTED_VALUE"""),256.53)</f>
        <v>256.52999999999997</v>
      </c>
      <c r="F1856" s="1">
        <f ca="1">IFERROR(__xludf.DUMMYFUNCTION("""COMPUTED_VALUE"""),30716908)</f>
        <v>30716908</v>
      </c>
    </row>
    <row r="1857" spans="1:6" x14ac:dyDescent="0.35">
      <c r="A1857" s="2">
        <f ca="1">IFERROR(__xludf.DUMMYFUNCTION("""COMPUTED_VALUE"""),44697.6666666666)</f>
        <v>44697.666666666599</v>
      </c>
      <c r="B1857" s="1">
        <f ca="1">IFERROR(__xludf.DUMMYFUNCTION("""COMPUTED_VALUE"""),255.72)</f>
        <v>255.72</v>
      </c>
      <c r="C1857" s="1">
        <f ca="1">IFERROR(__xludf.DUMMYFUNCTION("""COMPUTED_VALUE"""),256.59)</f>
        <v>256.58999999999997</v>
      </c>
      <c r="D1857" s="1">
        <f ca="1">IFERROR(__xludf.DUMMYFUNCTION("""COMPUTED_VALUE"""),239.7)</f>
        <v>239.7</v>
      </c>
      <c r="E1857" s="1">
        <f ca="1">IFERROR(__xludf.DUMMYFUNCTION("""COMPUTED_VALUE"""),241.46)</f>
        <v>241.46</v>
      </c>
      <c r="F1857" s="1">
        <f ca="1">IFERROR(__xludf.DUMMYFUNCTION("""COMPUTED_VALUE"""),28699513)</f>
        <v>28699513</v>
      </c>
    </row>
    <row r="1858" spans="1:6" x14ac:dyDescent="0.35">
      <c r="A1858" s="2">
        <f ca="1">IFERROR(__xludf.DUMMYFUNCTION("""COMPUTED_VALUE"""),44698.6666666666)</f>
        <v>44698.666666666599</v>
      </c>
      <c r="B1858" s="1">
        <f ca="1">IFERROR(__xludf.DUMMYFUNCTION("""COMPUTED_VALUE"""),249.12)</f>
        <v>249.12</v>
      </c>
      <c r="C1858" s="1">
        <f ca="1">IFERROR(__xludf.DUMMYFUNCTION("""COMPUTED_VALUE"""),254.83)</f>
        <v>254.83</v>
      </c>
      <c r="D1858" s="1">
        <f ca="1">IFERROR(__xludf.DUMMYFUNCTION("""COMPUTED_VALUE"""),242.95)</f>
        <v>242.95</v>
      </c>
      <c r="E1858" s="1">
        <f ca="1">IFERROR(__xludf.DUMMYFUNCTION("""COMPUTED_VALUE"""),253.87)</f>
        <v>253.87</v>
      </c>
      <c r="F1858" s="1">
        <f ca="1">IFERROR(__xludf.DUMMYFUNCTION("""COMPUTED_VALUE"""),26745370)</f>
        <v>26745370</v>
      </c>
    </row>
    <row r="1859" spans="1:6" x14ac:dyDescent="0.35">
      <c r="A1859" s="2">
        <f ca="1">IFERROR(__xludf.DUMMYFUNCTION("""COMPUTED_VALUE"""),44699.6666666666)</f>
        <v>44699.666666666599</v>
      </c>
      <c r="B1859" s="1">
        <f ca="1">IFERROR(__xludf.DUMMYFUNCTION("""COMPUTED_VALUE"""),248.17)</f>
        <v>248.17</v>
      </c>
      <c r="C1859" s="1">
        <f ca="1">IFERROR(__xludf.DUMMYFUNCTION("""COMPUTED_VALUE"""),253.5)</f>
        <v>253.5</v>
      </c>
      <c r="D1859" s="1">
        <f ca="1">IFERROR(__xludf.DUMMYFUNCTION("""COMPUTED_VALUE"""),233.6)</f>
        <v>233.6</v>
      </c>
      <c r="E1859" s="1">
        <f ca="1">IFERROR(__xludf.DUMMYFUNCTION("""COMPUTED_VALUE"""),236.6)</f>
        <v>236.6</v>
      </c>
      <c r="F1859" s="1">
        <f ca="1">IFERROR(__xludf.DUMMYFUNCTION("""COMPUTED_VALUE"""),29270604)</f>
        <v>29270604</v>
      </c>
    </row>
    <row r="1860" spans="1:6" x14ac:dyDescent="0.35">
      <c r="A1860" s="2">
        <f ca="1">IFERROR(__xludf.DUMMYFUNCTION("""COMPUTED_VALUE"""),44700.6666666666)</f>
        <v>44700.666666666599</v>
      </c>
      <c r="B1860" s="1">
        <f ca="1">IFERROR(__xludf.DUMMYFUNCTION("""COMPUTED_VALUE"""),235.67)</f>
        <v>235.67</v>
      </c>
      <c r="C1860" s="1">
        <f ca="1">IFERROR(__xludf.DUMMYFUNCTION("""COMPUTED_VALUE"""),244.67)</f>
        <v>244.67</v>
      </c>
      <c r="D1860" s="1">
        <f ca="1">IFERROR(__xludf.DUMMYFUNCTION("""COMPUTED_VALUE"""),231.37)</f>
        <v>231.37</v>
      </c>
      <c r="E1860" s="1">
        <f ca="1">IFERROR(__xludf.DUMMYFUNCTION("""COMPUTED_VALUE"""),236.47)</f>
        <v>236.47</v>
      </c>
      <c r="F1860" s="1">
        <f ca="1">IFERROR(__xludf.DUMMYFUNCTION("""COMPUTED_VALUE"""),30098891)</f>
        <v>30098891</v>
      </c>
    </row>
    <row r="1861" spans="1:6" x14ac:dyDescent="0.35">
      <c r="A1861" s="2">
        <f ca="1">IFERROR(__xludf.DUMMYFUNCTION("""COMPUTED_VALUE"""),44701.6666666666)</f>
        <v>44701.666666666599</v>
      </c>
      <c r="B1861" s="1">
        <f ca="1">IFERROR(__xludf.DUMMYFUNCTION("""COMPUTED_VALUE"""),238)</f>
        <v>238</v>
      </c>
      <c r="C1861" s="1">
        <f ca="1">IFERROR(__xludf.DUMMYFUNCTION("""COMPUTED_VALUE"""),240.53)</f>
        <v>240.53</v>
      </c>
      <c r="D1861" s="1">
        <f ca="1">IFERROR(__xludf.DUMMYFUNCTION("""COMPUTED_VALUE"""),211)</f>
        <v>211</v>
      </c>
      <c r="E1861" s="1">
        <f ca="1">IFERROR(__xludf.DUMMYFUNCTION("""COMPUTED_VALUE"""),221.3)</f>
        <v>221.3</v>
      </c>
      <c r="F1861" s="1">
        <f ca="1">IFERROR(__xludf.DUMMYFUNCTION("""COMPUTED_VALUE"""),48324435)</f>
        <v>48324435</v>
      </c>
    </row>
    <row r="1862" spans="1:6" x14ac:dyDescent="0.35">
      <c r="A1862" s="2">
        <f ca="1">IFERROR(__xludf.DUMMYFUNCTION("""COMPUTED_VALUE"""),44704.6666666666)</f>
        <v>44704.666666666599</v>
      </c>
      <c r="B1862" s="1">
        <f ca="1">IFERROR(__xludf.DUMMYFUNCTION("""COMPUTED_VALUE"""),218.34)</f>
        <v>218.34</v>
      </c>
      <c r="C1862" s="1">
        <f ca="1">IFERROR(__xludf.DUMMYFUNCTION("""COMPUTED_VALUE"""),226.65)</f>
        <v>226.65</v>
      </c>
      <c r="D1862" s="1">
        <f ca="1">IFERROR(__xludf.DUMMYFUNCTION("""COMPUTED_VALUE"""),212.69)</f>
        <v>212.69</v>
      </c>
      <c r="E1862" s="1">
        <f ca="1">IFERROR(__xludf.DUMMYFUNCTION("""COMPUTED_VALUE"""),224.97)</f>
        <v>224.97</v>
      </c>
      <c r="F1862" s="1">
        <f ca="1">IFERROR(__xludf.DUMMYFUNCTION("""COMPUTED_VALUE"""),29634546)</f>
        <v>29634546</v>
      </c>
    </row>
    <row r="1863" spans="1:6" x14ac:dyDescent="0.35">
      <c r="A1863" s="2">
        <f ca="1">IFERROR(__xludf.DUMMYFUNCTION("""COMPUTED_VALUE"""),44705.6666666666)</f>
        <v>44705.666666666599</v>
      </c>
      <c r="B1863" s="1">
        <f ca="1">IFERROR(__xludf.DUMMYFUNCTION("""COMPUTED_VALUE"""),217.84)</f>
        <v>217.84</v>
      </c>
      <c r="C1863" s="1">
        <f ca="1">IFERROR(__xludf.DUMMYFUNCTION("""COMPUTED_VALUE"""),217.97)</f>
        <v>217.97</v>
      </c>
      <c r="D1863" s="1">
        <f ca="1">IFERROR(__xludf.DUMMYFUNCTION("""COMPUTED_VALUE"""),206.86)</f>
        <v>206.86</v>
      </c>
      <c r="E1863" s="1">
        <f ca="1">IFERROR(__xludf.DUMMYFUNCTION("""COMPUTED_VALUE"""),209.39)</f>
        <v>209.39</v>
      </c>
      <c r="F1863" s="1">
        <f ca="1">IFERROR(__xludf.DUMMYFUNCTION("""COMPUTED_VALUE"""),29697505)</f>
        <v>29697505</v>
      </c>
    </row>
    <row r="1864" spans="1:6" x14ac:dyDescent="0.35">
      <c r="A1864" s="2">
        <f ca="1">IFERROR(__xludf.DUMMYFUNCTION("""COMPUTED_VALUE"""),44706.6666666666)</f>
        <v>44706.666666666599</v>
      </c>
      <c r="B1864" s="1">
        <f ca="1">IFERROR(__xludf.DUMMYFUNCTION("""COMPUTED_VALUE"""),207.95)</f>
        <v>207.95</v>
      </c>
      <c r="C1864" s="1">
        <f ca="1">IFERROR(__xludf.DUMMYFUNCTION("""COMPUTED_VALUE"""),223.11)</f>
        <v>223.11</v>
      </c>
      <c r="D1864" s="1">
        <f ca="1">IFERROR(__xludf.DUMMYFUNCTION("""COMPUTED_VALUE"""),207.67)</f>
        <v>207.67</v>
      </c>
      <c r="E1864" s="1">
        <f ca="1">IFERROR(__xludf.DUMMYFUNCTION("""COMPUTED_VALUE"""),219.6)</f>
        <v>219.6</v>
      </c>
      <c r="F1864" s="1">
        <f ca="1">IFERROR(__xludf.DUMMYFUNCTION("""COMPUTED_VALUE"""),30713108)</f>
        <v>30713108</v>
      </c>
    </row>
    <row r="1865" spans="1:6" x14ac:dyDescent="0.35">
      <c r="A1865" s="2">
        <f ca="1">IFERROR(__xludf.DUMMYFUNCTION("""COMPUTED_VALUE"""),44707.6666666666)</f>
        <v>44707.666666666599</v>
      </c>
      <c r="B1865" s="1">
        <f ca="1">IFERROR(__xludf.DUMMYFUNCTION("""COMPUTED_VALUE"""),220.47)</f>
        <v>220.47</v>
      </c>
      <c r="C1865" s="1">
        <f ca="1">IFERROR(__xludf.DUMMYFUNCTION("""COMPUTED_VALUE"""),239.56)</f>
        <v>239.56</v>
      </c>
      <c r="D1865" s="1">
        <f ca="1">IFERROR(__xludf.DUMMYFUNCTION("""COMPUTED_VALUE"""),217.89)</f>
        <v>217.89</v>
      </c>
      <c r="E1865" s="1">
        <f ca="1">IFERROR(__xludf.DUMMYFUNCTION("""COMPUTED_VALUE"""),235.91)</f>
        <v>235.91</v>
      </c>
      <c r="F1865" s="1">
        <f ca="1">IFERROR(__xludf.DUMMYFUNCTION("""COMPUTED_VALUE"""),35334448)</f>
        <v>35334448</v>
      </c>
    </row>
    <row r="1866" spans="1:6" x14ac:dyDescent="0.35">
      <c r="A1866" s="2">
        <f ca="1">IFERROR(__xludf.DUMMYFUNCTION("""COMPUTED_VALUE"""),44708.6666666666)</f>
        <v>44708.666666666599</v>
      </c>
      <c r="B1866" s="1">
        <f ca="1">IFERROR(__xludf.DUMMYFUNCTION("""COMPUTED_VALUE"""),241.08)</f>
        <v>241.08</v>
      </c>
      <c r="C1866" s="1">
        <f ca="1">IFERROR(__xludf.DUMMYFUNCTION("""COMPUTED_VALUE"""),253.27)</f>
        <v>253.27</v>
      </c>
      <c r="D1866" s="1">
        <f ca="1">IFERROR(__xludf.DUMMYFUNCTION("""COMPUTED_VALUE"""),240.18)</f>
        <v>240.18</v>
      </c>
      <c r="E1866" s="1">
        <f ca="1">IFERROR(__xludf.DUMMYFUNCTION("""COMPUTED_VALUE"""),253.21)</f>
        <v>253.21</v>
      </c>
      <c r="F1866" s="1">
        <f ca="1">IFERROR(__xludf.DUMMYFUNCTION("""COMPUTED_VALUE"""),29764994)</f>
        <v>29764994</v>
      </c>
    </row>
    <row r="1867" spans="1:6" x14ac:dyDescent="0.35">
      <c r="A1867" s="2">
        <f ca="1">IFERROR(__xludf.DUMMYFUNCTION("""COMPUTED_VALUE"""),44712.6666666666)</f>
        <v>44712.666666666599</v>
      </c>
      <c r="B1867" s="1">
        <f ca="1">IFERROR(__xludf.DUMMYFUNCTION("""COMPUTED_VALUE"""),257.95)</f>
        <v>257.95</v>
      </c>
      <c r="C1867" s="1">
        <f ca="1">IFERROR(__xludf.DUMMYFUNCTION("""COMPUTED_VALUE"""),259.6)</f>
        <v>259.60000000000002</v>
      </c>
      <c r="D1867" s="1">
        <f ca="1">IFERROR(__xludf.DUMMYFUNCTION("""COMPUTED_VALUE"""),244.74)</f>
        <v>244.74</v>
      </c>
      <c r="E1867" s="1">
        <f ca="1">IFERROR(__xludf.DUMMYFUNCTION("""COMPUTED_VALUE"""),252.75)</f>
        <v>252.75</v>
      </c>
      <c r="F1867" s="1">
        <f ca="1">IFERROR(__xludf.DUMMYFUNCTION("""COMPUTED_VALUE"""),33971457)</f>
        <v>33971457</v>
      </c>
    </row>
    <row r="1868" spans="1:6" x14ac:dyDescent="0.35">
      <c r="A1868" s="2">
        <f ca="1">IFERROR(__xludf.DUMMYFUNCTION("""COMPUTED_VALUE"""),44713.6666666666)</f>
        <v>44713.666666666599</v>
      </c>
      <c r="B1868" s="1">
        <f ca="1">IFERROR(__xludf.DUMMYFUNCTION("""COMPUTED_VALUE"""),251.72)</f>
        <v>251.72</v>
      </c>
      <c r="C1868" s="1">
        <f ca="1">IFERROR(__xludf.DUMMYFUNCTION("""COMPUTED_VALUE"""),257.33)</f>
        <v>257.33</v>
      </c>
      <c r="D1868" s="1">
        <f ca="1">IFERROR(__xludf.DUMMYFUNCTION("""COMPUTED_VALUE"""),243.64)</f>
        <v>243.64</v>
      </c>
      <c r="E1868" s="1">
        <f ca="1">IFERROR(__xludf.DUMMYFUNCTION("""COMPUTED_VALUE"""),246.79)</f>
        <v>246.79</v>
      </c>
      <c r="F1868" s="1">
        <f ca="1">IFERROR(__xludf.DUMMYFUNCTION("""COMPUTED_VALUE"""),25749321)</f>
        <v>25749321</v>
      </c>
    </row>
    <row r="1869" spans="1:6" x14ac:dyDescent="0.35">
      <c r="A1869" s="2">
        <f ca="1">IFERROR(__xludf.DUMMYFUNCTION("""COMPUTED_VALUE"""),44714.6666666666)</f>
        <v>44714.666666666599</v>
      </c>
      <c r="B1869" s="1">
        <f ca="1">IFERROR(__xludf.DUMMYFUNCTION("""COMPUTED_VALUE"""),244.16)</f>
        <v>244.16</v>
      </c>
      <c r="C1869" s="1">
        <f ca="1">IFERROR(__xludf.DUMMYFUNCTION("""COMPUTED_VALUE"""),264.21)</f>
        <v>264.20999999999998</v>
      </c>
      <c r="D1869" s="1">
        <f ca="1">IFERROR(__xludf.DUMMYFUNCTION("""COMPUTED_VALUE"""),242.07)</f>
        <v>242.07</v>
      </c>
      <c r="E1869" s="1">
        <f ca="1">IFERROR(__xludf.DUMMYFUNCTION("""COMPUTED_VALUE"""),258.33)</f>
        <v>258.33</v>
      </c>
      <c r="F1869" s="1">
        <f ca="1">IFERROR(__xludf.DUMMYFUNCTION("""COMPUTED_VALUE"""),31157706)</f>
        <v>31157706</v>
      </c>
    </row>
    <row r="1870" spans="1:6" x14ac:dyDescent="0.35">
      <c r="A1870" s="2">
        <f ca="1">IFERROR(__xludf.DUMMYFUNCTION("""COMPUTED_VALUE"""),44715.6666666666)</f>
        <v>44715.666666666599</v>
      </c>
      <c r="B1870" s="1">
        <f ca="1">IFERROR(__xludf.DUMMYFUNCTION("""COMPUTED_VALUE"""),243.23)</f>
        <v>243.23</v>
      </c>
      <c r="C1870" s="1">
        <f ca="1">IFERROR(__xludf.DUMMYFUNCTION("""COMPUTED_VALUE"""),247.8)</f>
        <v>247.8</v>
      </c>
      <c r="D1870" s="1">
        <f ca="1">IFERROR(__xludf.DUMMYFUNCTION("""COMPUTED_VALUE"""),233.42)</f>
        <v>233.42</v>
      </c>
      <c r="E1870" s="1">
        <f ca="1">IFERROR(__xludf.DUMMYFUNCTION("""COMPUTED_VALUE"""),234.52)</f>
        <v>234.52</v>
      </c>
      <c r="F1870" s="1">
        <f ca="1">IFERROR(__xludf.DUMMYFUNCTION("""COMPUTED_VALUE"""),37464579)</f>
        <v>37464579</v>
      </c>
    </row>
    <row r="1871" spans="1:6" x14ac:dyDescent="0.35">
      <c r="A1871" s="2">
        <f ca="1">IFERROR(__xludf.DUMMYFUNCTION("""COMPUTED_VALUE"""),44718.6666666666)</f>
        <v>44718.666666666599</v>
      </c>
      <c r="B1871" s="1">
        <f ca="1">IFERROR(__xludf.DUMMYFUNCTION("""COMPUTED_VALUE"""),244.35)</f>
        <v>244.35</v>
      </c>
      <c r="C1871" s="1">
        <f ca="1">IFERROR(__xludf.DUMMYFUNCTION("""COMPUTED_VALUE"""),244.87)</f>
        <v>244.87</v>
      </c>
      <c r="D1871" s="1">
        <f ca="1">IFERROR(__xludf.DUMMYFUNCTION("""COMPUTED_VALUE"""),234.35)</f>
        <v>234.35</v>
      </c>
      <c r="E1871" s="1">
        <f ca="1">IFERROR(__xludf.DUMMYFUNCTION("""COMPUTED_VALUE"""),238.28)</f>
        <v>238.28</v>
      </c>
      <c r="F1871" s="1">
        <f ca="1">IFERROR(__xludf.DUMMYFUNCTION("""COMPUTED_VALUE"""),28068174)</f>
        <v>28068174</v>
      </c>
    </row>
    <row r="1872" spans="1:6" x14ac:dyDescent="0.35">
      <c r="A1872" s="2">
        <f ca="1">IFERROR(__xludf.DUMMYFUNCTION("""COMPUTED_VALUE"""),44719.6666666666)</f>
        <v>44719.666666666599</v>
      </c>
      <c r="B1872" s="1">
        <f ca="1">IFERROR(__xludf.DUMMYFUNCTION("""COMPUTED_VALUE"""),234)</f>
        <v>234</v>
      </c>
      <c r="C1872" s="1">
        <f ca="1">IFERROR(__xludf.DUMMYFUNCTION("""COMPUTED_VALUE"""),240)</f>
        <v>240</v>
      </c>
      <c r="D1872" s="1">
        <f ca="1">IFERROR(__xludf.DUMMYFUNCTION("""COMPUTED_VALUE"""),230.09)</f>
        <v>230.09</v>
      </c>
      <c r="E1872" s="1">
        <f ca="1">IFERROR(__xludf.DUMMYFUNCTION("""COMPUTED_VALUE"""),238.89)</f>
        <v>238.89</v>
      </c>
      <c r="F1872" s="1">
        <f ca="1">IFERROR(__xludf.DUMMYFUNCTION("""COMPUTED_VALUE"""),24269534)</f>
        <v>24269534</v>
      </c>
    </row>
    <row r="1873" spans="1:6" x14ac:dyDescent="0.35">
      <c r="A1873" s="2">
        <f ca="1">IFERROR(__xludf.DUMMYFUNCTION("""COMPUTED_VALUE"""),44720.6666666666)</f>
        <v>44720.666666666599</v>
      </c>
      <c r="B1873" s="1">
        <f ca="1">IFERROR(__xludf.DUMMYFUNCTION("""COMPUTED_VALUE"""),240.09)</f>
        <v>240.09</v>
      </c>
      <c r="C1873" s="1">
        <f ca="1">IFERROR(__xludf.DUMMYFUNCTION("""COMPUTED_VALUE"""),249.96)</f>
        <v>249.96</v>
      </c>
      <c r="D1873" s="1">
        <f ca="1">IFERROR(__xludf.DUMMYFUNCTION("""COMPUTED_VALUE"""),239.18)</f>
        <v>239.18</v>
      </c>
      <c r="E1873" s="1">
        <f ca="1">IFERROR(__xludf.DUMMYFUNCTION("""COMPUTED_VALUE"""),241.87)</f>
        <v>241.87</v>
      </c>
      <c r="F1873" s="1">
        <f ca="1">IFERROR(__xludf.DUMMYFUNCTION("""COMPUTED_VALUE"""),25403540)</f>
        <v>25403540</v>
      </c>
    </row>
    <row r="1874" spans="1:6" x14ac:dyDescent="0.35">
      <c r="A1874" s="2">
        <f ca="1">IFERROR(__xludf.DUMMYFUNCTION("""COMPUTED_VALUE"""),44721.6666666666)</f>
        <v>44721.666666666599</v>
      </c>
      <c r="B1874" s="1">
        <f ca="1">IFERROR(__xludf.DUMMYFUNCTION("""COMPUTED_VALUE"""),249.34)</f>
        <v>249.34</v>
      </c>
      <c r="C1874" s="1">
        <f ca="1">IFERROR(__xludf.DUMMYFUNCTION("""COMPUTED_VALUE"""),255.55)</f>
        <v>255.55</v>
      </c>
      <c r="D1874" s="1">
        <f ca="1">IFERROR(__xludf.DUMMYFUNCTION("""COMPUTED_VALUE"""),239.33)</f>
        <v>239.33</v>
      </c>
      <c r="E1874" s="1">
        <f ca="1">IFERROR(__xludf.DUMMYFUNCTION("""COMPUTED_VALUE"""),239.71)</f>
        <v>239.71</v>
      </c>
      <c r="F1874" s="1">
        <f ca="1">IFERROR(__xludf.DUMMYFUNCTION("""COMPUTED_VALUE"""),32163769)</f>
        <v>32163769</v>
      </c>
    </row>
    <row r="1875" spans="1:6" x14ac:dyDescent="0.35">
      <c r="A1875" s="2">
        <f ca="1">IFERROR(__xludf.DUMMYFUNCTION("""COMPUTED_VALUE"""),44722.6666666666)</f>
        <v>44722.666666666599</v>
      </c>
      <c r="B1875" s="1">
        <f ca="1">IFERROR(__xludf.DUMMYFUNCTION("""COMPUTED_VALUE"""),235.16)</f>
        <v>235.16</v>
      </c>
      <c r="C1875" s="1">
        <f ca="1">IFERROR(__xludf.DUMMYFUNCTION("""COMPUTED_VALUE"""),239.5)</f>
        <v>239.5</v>
      </c>
      <c r="D1875" s="1">
        <f ca="1">IFERROR(__xludf.DUMMYFUNCTION("""COMPUTED_VALUE"""),227.91)</f>
        <v>227.91</v>
      </c>
      <c r="E1875" s="1">
        <f ca="1">IFERROR(__xludf.DUMMYFUNCTION("""COMPUTED_VALUE"""),232.23)</f>
        <v>232.23</v>
      </c>
      <c r="F1875" s="1">
        <f ca="1">IFERROR(__xludf.DUMMYFUNCTION("""COMPUTED_VALUE"""),32696966)</f>
        <v>32696966</v>
      </c>
    </row>
    <row r="1876" spans="1:6" x14ac:dyDescent="0.35">
      <c r="A1876" s="2">
        <f ca="1">IFERROR(__xludf.DUMMYFUNCTION("""COMPUTED_VALUE"""),44725.6666666666)</f>
        <v>44725.666666666599</v>
      </c>
      <c r="B1876" s="1">
        <f ca="1">IFERROR(__xludf.DUMMYFUNCTION("""COMPUTED_VALUE"""),223.17)</f>
        <v>223.17</v>
      </c>
      <c r="C1876" s="1">
        <f ca="1">IFERROR(__xludf.DUMMYFUNCTION("""COMPUTED_VALUE"""),226.63)</f>
        <v>226.63</v>
      </c>
      <c r="D1876" s="1">
        <f ca="1">IFERROR(__xludf.DUMMYFUNCTION("""COMPUTED_VALUE"""),214.68)</f>
        <v>214.68</v>
      </c>
      <c r="E1876" s="1">
        <f ca="1">IFERROR(__xludf.DUMMYFUNCTION("""COMPUTED_VALUE"""),215.74)</f>
        <v>215.74</v>
      </c>
      <c r="F1876" s="1">
        <f ca="1">IFERROR(__xludf.DUMMYFUNCTION("""COMPUTED_VALUE"""),34255754)</f>
        <v>34255754</v>
      </c>
    </row>
    <row r="1877" spans="1:6" x14ac:dyDescent="0.35">
      <c r="A1877" s="2">
        <f ca="1">IFERROR(__xludf.DUMMYFUNCTION("""COMPUTED_VALUE"""),44726.6666666666)</f>
        <v>44726.666666666599</v>
      </c>
      <c r="B1877" s="1">
        <f ca="1">IFERROR(__xludf.DUMMYFUNCTION("""COMPUTED_VALUE"""),218.29)</f>
        <v>218.29</v>
      </c>
      <c r="C1877" s="1">
        <f ca="1">IFERROR(__xludf.DUMMYFUNCTION("""COMPUTED_VALUE"""),226.33)</f>
        <v>226.33</v>
      </c>
      <c r="D1877" s="1">
        <f ca="1">IFERROR(__xludf.DUMMYFUNCTION("""COMPUTED_VALUE"""),211.74)</f>
        <v>211.74</v>
      </c>
      <c r="E1877" s="1">
        <f ca="1">IFERROR(__xludf.DUMMYFUNCTION("""COMPUTED_VALUE"""),220.89)</f>
        <v>220.89</v>
      </c>
      <c r="F1877" s="1">
        <f ca="1">IFERROR(__xludf.DUMMYFUNCTION("""COMPUTED_VALUE"""),32662932)</f>
        <v>32662932</v>
      </c>
    </row>
    <row r="1878" spans="1:6" x14ac:dyDescent="0.35">
      <c r="A1878" s="2">
        <f ca="1">IFERROR(__xludf.DUMMYFUNCTION("""COMPUTED_VALUE"""),44727.6666666666)</f>
        <v>44727.666666666599</v>
      </c>
      <c r="B1878" s="1">
        <f ca="1">IFERROR(__xludf.DUMMYFUNCTION("""COMPUTED_VALUE"""),220.92)</f>
        <v>220.92</v>
      </c>
      <c r="C1878" s="1">
        <f ca="1">IFERROR(__xludf.DUMMYFUNCTION("""COMPUTED_VALUE"""),235.66)</f>
        <v>235.66</v>
      </c>
      <c r="D1878" s="1">
        <f ca="1">IFERROR(__xludf.DUMMYFUNCTION("""COMPUTED_VALUE"""),218.15)</f>
        <v>218.15</v>
      </c>
      <c r="E1878" s="1">
        <f ca="1">IFERROR(__xludf.DUMMYFUNCTION("""COMPUTED_VALUE"""),233)</f>
        <v>233</v>
      </c>
      <c r="F1878" s="1">
        <f ca="1">IFERROR(__xludf.DUMMYFUNCTION("""COMPUTED_VALUE"""),39710645)</f>
        <v>39710645</v>
      </c>
    </row>
    <row r="1879" spans="1:6" x14ac:dyDescent="0.35">
      <c r="A1879" s="2">
        <f ca="1">IFERROR(__xludf.DUMMYFUNCTION("""COMPUTED_VALUE"""),44728.6666666666)</f>
        <v>44728.666666666599</v>
      </c>
      <c r="B1879" s="1">
        <f ca="1">IFERROR(__xludf.DUMMYFUNCTION("""COMPUTED_VALUE"""),222.74)</f>
        <v>222.74</v>
      </c>
      <c r="C1879" s="1">
        <f ca="1">IFERROR(__xludf.DUMMYFUNCTION("""COMPUTED_VALUE"""),225.17)</f>
        <v>225.17</v>
      </c>
      <c r="D1879" s="1">
        <f ca="1">IFERROR(__xludf.DUMMYFUNCTION("""COMPUTED_VALUE"""),208.69)</f>
        <v>208.69</v>
      </c>
      <c r="E1879" s="1">
        <f ca="1">IFERROR(__xludf.DUMMYFUNCTION("""COMPUTED_VALUE"""),213.1)</f>
        <v>213.1</v>
      </c>
      <c r="F1879" s="1">
        <f ca="1">IFERROR(__xludf.DUMMYFUNCTION("""COMPUTED_VALUE"""),35796900)</f>
        <v>35796900</v>
      </c>
    </row>
    <row r="1880" spans="1:6" x14ac:dyDescent="0.35">
      <c r="A1880" s="2">
        <f ca="1">IFERROR(__xludf.DUMMYFUNCTION("""COMPUTED_VALUE"""),44729.6666666666)</f>
        <v>44729.666666666599</v>
      </c>
      <c r="B1880" s="1">
        <f ca="1">IFERROR(__xludf.DUMMYFUNCTION("""COMPUTED_VALUE"""),213.43)</f>
        <v>213.43</v>
      </c>
      <c r="C1880" s="1">
        <f ca="1">IFERROR(__xludf.DUMMYFUNCTION("""COMPUTED_VALUE"""),220.97)</f>
        <v>220.97</v>
      </c>
      <c r="D1880" s="1">
        <f ca="1">IFERROR(__xludf.DUMMYFUNCTION("""COMPUTED_VALUE"""),213.2)</f>
        <v>213.2</v>
      </c>
      <c r="E1880" s="1">
        <f ca="1">IFERROR(__xludf.DUMMYFUNCTION("""COMPUTED_VALUE"""),216.76)</f>
        <v>216.76</v>
      </c>
      <c r="F1880" s="1">
        <f ca="1">IFERROR(__xludf.DUMMYFUNCTION("""COMPUTED_VALUE"""),30880590)</f>
        <v>30880590</v>
      </c>
    </row>
    <row r="1881" spans="1:6" x14ac:dyDescent="0.35">
      <c r="A1881" s="2">
        <f ca="1">IFERROR(__xludf.DUMMYFUNCTION("""COMPUTED_VALUE"""),44733.6666666666)</f>
        <v>44733.666666666599</v>
      </c>
      <c r="B1881" s="1">
        <f ca="1">IFERROR(__xludf.DUMMYFUNCTION("""COMPUTED_VALUE"""),224.6)</f>
        <v>224.6</v>
      </c>
      <c r="C1881" s="1">
        <f ca="1">IFERROR(__xludf.DUMMYFUNCTION("""COMPUTED_VALUE"""),243.58)</f>
        <v>243.58</v>
      </c>
      <c r="D1881" s="1">
        <f ca="1">IFERROR(__xludf.DUMMYFUNCTION("""COMPUTED_VALUE"""),224.33)</f>
        <v>224.33</v>
      </c>
      <c r="E1881" s="1">
        <f ca="1">IFERROR(__xludf.DUMMYFUNCTION("""COMPUTED_VALUE"""),237.04)</f>
        <v>237.04</v>
      </c>
      <c r="F1881" s="1">
        <f ca="1">IFERROR(__xludf.DUMMYFUNCTION("""COMPUTED_VALUE"""),40930985)</f>
        <v>40930985</v>
      </c>
    </row>
    <row r="1882" spans="1:6" x14ac:dyDescent="0.35">
      <c r="A1882" s="2">
        <f ca="1">IFERROR(__xludf.DUMMYFUNCTION("""COMPUTED_VALUE"""),44734.6666666666)</f>
        <v>44734.666666666599</v>
      </c>
      <c r="B1882" s="1">
        <f ca="1">IFERROR(__xludf.DUMMYFUNCTION("""COMPUTED_VALUE"""),234.5)</f>
        <v>234.5</v>
      </c>
      <c r="C1882" s="1">
        <f ca="1">IFERROR(__xludf.DUMMYFUNCTION("""COMPUTED_VALUE"""),246.83)</f>
        <v>246.83</v>
      </c>
      <c r="D1882" s="1">
        <f ca="1">IFERROR(__xludf.DUMMYFUNCTION("""COMPUTED_VALUE"""),233.83)</f>
        <v>233.83</v>
      </c>
      <c r="E1882" s="1">
        <f ca="1">IFERROR(__xludf.DUMMYFUNCTION("""COMPUTED_VALUE"""),236.09)</f>
        <v>236.09</v>
      </c>
      <c r="F1882" s="1">
        <f ca="1">IFERROR(__xludf.DUMMYFUNCTION("""COMPUTED_VALUE"""),33842420)</f>
        <v>33842420</v>
      </c>
    </row>
    <row r="1883" spans="1:6" x14ac:dyDescent="0.35">
      <c r="A1883" s="2">
        <f ca="1">IFERROR(__xludf.DUMMYFUNCTION("""COMPUTED_VALUE"""),44735.6666666666)</f>
        <v>44735.666666666599</v>
      </c>
      <c r="B1883" s="1">
        <f ca="1">IFERROR(__xludf.DUMMYFUNCTION("""COMPUTED_VALUE"""),237.91)</f>
        <v>237.91</v>
      </c>
      <c r="C1883" s="1">
        <f ca="1">IFERROR(__xludf.DUMMYFUNCTION("""COMPUTED_VALUE"""),239.32)</f>
        <v>239.32</v>
      </c>
      <c r="D1883" s="1">
        <f ca="1">IFERROR(__xludf.DUMMYFUNCTION("""COMPUTED_VALUE"""),228.64)</f>
        <v>228.64</v>
      </c>
      <c r="E1883" s="1">
        <f ca="1">IFERROR(__xludf.DUMMYFUNCTION("""COMPUTED_VALUE"""),235.07)</f>
        <v>235.07</v>
      </c>
      <c r="F1883" s="1">
        <f ca="1">IFERROR(__xludf.DUMMYFUNCTION("""COMPUTED_VALUE"""),34734226)</f>
        <v>34734226</v>
      </c>
    </row>
    <row r="1884" spans="1:6" x14ac:dyDescent="0.35">
      <c r="A1884" s="2">
        <f ca="1">IFERROR(__xludf.DUMMYFUNCTION("""COMPUTED_VALUE"""),44736.6666666666)</f>
        <v>44736.666666666599</v>
      </c>
      <c r="B1884" s="1">
        <f ca="1">IFERROR(__xludf.DUMMYFUNCTION("""COMPUTED_VALUE"""),237.47)</f>
        <v>237.47</v>
      </c>
      <c r="C1884" s="1">
        <f ca="1">IFERROR(__xludf.DUMMYFUNCTION("""COMPUTED_VALUE"""),246.07)</f>
        <v>246.07</v>
      </c>
      <c r="D1884" s="1">
        <f ca="1">IFERROR(__xludf.DUMMYFUNCTION("""COMPUTED_VALUE"""),236.09)</f>
        <v>236.09</v>
      </c>
      <c r="E1884" s="1">
        <f ca="1">IFERROR(__xludf.DUMMYFUNCTION("""COMPUTED_VALUE"""),245.71)</f>
        <v>245.71</v>
      </c>
      <c r="F1884" s="1">
        <f ca="1">IFERROR(__xludf.DUMMYFUNCTION("""COMPUTED_VALUE"""),31923565)</f>
        <v>31923565</v>
      </c>
    </row>
    <row r="1885" spans="1:6" x14ac:dyDescent="0.35">
      <c r="A1885" s="2">
        <f ca="1">IFERROR(__xludf.DUMMYFUNCTION("""COMPUTED_VALUE"""),44739.6666666666)</f>
        <v>44739.666666666599</v>
      </c>
      <c r="B1885" s="1">
        <f ca="1">IFERROR(__xludf.DUMMYFUNCTION("""COMPUTED_VALUE"""),249.37)</f>
        <v>249.37</v>
      </c>
      <c r="C1885" s="1">
        <f ca="1">IFERROR(__xludf.DUMMYFUNCTION("""COMPUTED_VALUE"""),252.07)</f>
        <v>252.07</v>
      </c>
      <c r="D1885" s="1">
        <f ca="1">IFERROR(__xludf.DUMMYFUNCTION("""COMPUTED_VALUE"""),242.57)</f>
        <v>242.57</v>
      </c>
      <c r="E1885" s="1">
        <f ca="1">IFERROR(__xludf.DUMMYFUNCTION("""COMPUTED_VALUE"""),244.92)</f>
        <v>244.92</v>
      </c>
      <c r="F1885" s="1">
        <f ca="1">IFERROR(__xludf.DUMMYFUNCTION("""COMPUTED_VALUE"""),29726104)</f>
        <v>29726104</v>
      </c>
    </row>
    <row r="1886" spans="1:6" x14ac:dyDescent="0.35">
      <c r="A1886" s="2">
        <f ca="1">IFERROR(__xludf.DUMMYFUNCTION("""COMPUTED_VALUE"""),44740.6666666666)</f>
        <v>44740.666666666599</v>
      </c>
      <c r="B1886" s="1">
        <f ca="1">IFERROR(__xludf.DUMMYFUNCTION("""COMPUTED_VALUE"""),244.48)</f>
        <v>244.48</v>
      </c>
      <c r="C1886" s="1">
        <f ca="1">IFERROR(__xludf.DUMMYFUNCTION("""COMPUTED_VALUE"""),249.97)</f>
        <v>249.97</v>
      </c>
      <c r="D1886" s="1">
        <f ca="1">IFERROR(__xludf.DUMMYFUNCTION("""COMPUTED_VALUE"""),232.34)</f>
        <v>232.34</v>
      </c>
      <c r="E1886" s="1">
        <f ca="1">IFERROR(__xludf.DUMMYFUNCTION("""COMPUTED_VALUE"""),232.66)</f>
        <v>232.66</v>
      </c>
      <c r="F1886" s="1">
        <f ca="1">IFERROR(__xludf.DUMMYFUNCTION("""COMPUTED_VALUE"""),30222167)</f>
        <v>30222167</v>
      </c>
    </row>
    <row r="1887" spans="1:6" x14ac:dyDescent="0.35">
      <c r="A1887" s="2">
        <f ca="1">IFERROR(__xludf.DUMMYFUNCTION("""COMPUTED_VALUE"""),44741.6666666666)</f>
        <v>44741.666666666599</v>
      </c>
      <c r="B1887" s="1">
        <f ca="1">IFERROR(__xludf.DUMMYFUNCTION("""COMPUTED_VALUE"""),230.5)</f>
        <v>230.5</v>
      </c>
      <c r="C1887" s="1">
        <f ca="1">IFERROR(__xludf.DUMMYFUNCTION("""COMPUTED_VALUE"""),231.17)</f>
        <v>231.17</v>
      </c>
      <c r="D1887" s="1">
        <f ca="1">IFERROR(__xludf.DUMMYFUNCTION("""COMPUTED_VALUE"""),222.27)</f>
        <v>222.27</v>
      </c>
      <c r="E1887" s="1">
        <f ca="1">IFERROR(__xludf.DUMMYFUNCTION("""COMPUTED_VALUE"""),228.49)</f>
        <v>228.49</v>
      </c>
      <c r="F1887" s="1">
        <f ca="1">IFERROR(__xludf.DUMMYFUNCTION("""COMPUTED_VALUE"""),27632418)</f>
        <v>27632418</v>
      </c>
    </row>
    <row r="1888" spans="1:6" x14ac:dyDescent="0.35">
      <c r="A1888" s="2">
        <f ca="1">IFERROR(__xludf.DUMMYFUNCTION("""COMPUTED_VALUE"""),44742.6666666666)</f>
        <v>44742.666666666599</v>
      </c>
      <c r="B1888" s="1">
        <f ca="1">IFERROR(__xludf.DUMMYFUNCTION("""COMPUTED_VALUE"""),224.51)</f>
        <v>224.51</v>
      </c>
      <c r="C1888" s="1">
        <f ca="1">IFERROR(__xludf.DUMMYFUNCTION("""COMPUTED_VALUE"""),229.46)</f>
        <v>229.46</v>
      </c>
      <c r="D1888" s="1">
        <f ca="1">IFERROR(__xludf.DUMMYFUNCTION("""COMPUTED_VALUE"""),218.86)</f>
        <v>218.86</v>
      </c>
      <c r="E1888" s="1">
        <f ca="1">IFERROR(__xludf.DUMMYFUNCTION("""COMPUTED_VALUE"""),224.47)</f>
        <v>224.47</v>
      </c>
      <c r="F1888" s="1">
        <f ca="1">IFERROR(__xludf.DUMMYFUNCTION("""COMPUTED_VALUE"""),31533484)</f>
        <v>31533484</v>
      </c>
    </row>
    <row r="1889" spans="1:6" x14ac:dyDescent="0.35">
      <c r="A1889" s="2">
        <f ca="1">IFERROR(__xludf.DUMMYFUNCTION("""COMPUTED_VALUE"""),44743.6666666666)</f>
        <v>44743.666666666599</v>
      </c>
      <c r="B1889" s="1">
        <f ca="1">IFERROR(__xludf.DUMMYFUNCTION("""COMPUTED_VALUE"""),227)</f>
        <v>227</v>
      </c>
      <c r="C1889" s="1">
        <f ca="1">IFERROR(__xludf.DUMMYFUNCTION("""COMPUTED_VALUE"""),230.23)</f>
        <v>230.23</v>
      </c>
      <c r="D1889" s="1">
        <f ca="1">IFERROR(__xludf.DUMMYFUNCTION("""COMPUTED_VALUE"""),222.12)</f>
        <v>222.12</v>
      </c>
      <c r="E1889" s="1">
        <f ca="1">IFERROR(__xludf.DUMMYFUNCTION("""COMPUTED_VALUE"""),227.26)</f>
        <v>227.26</v>
      </c>
      <c r="F1889" s="1">
        <f ca="1">IFERROR(__xludf.DUMMYFUNCTION("""COMPUTED_VALUE"""),24820148)</f>
        <v>24820148</v>
      </c>
    </row>
    <row r="1890" spans="1:6" x14ac:dyDescent="0.35">
      <c r="A1890" s="2">
        <f ca="1">IFERROR(__xludf.DUMMYFUNCTION("""COMPUTED_VALUE"""),44747.6666666666)</f>
        <v>44747.666666666599</v>
      </c>
      <c r="B1890" s="1">
        <f ca="1">IFERROR(__xludf.DUMMYFUNCTION("""COMPUTED_VALUE"""),223)</f>
        <v>223</v>
      </c>
      <c r="C1890" s="1">
        <f ca="1">IFERROR(__xludf.DUMMYFUNCTION("""COMPUTED_VALUE"""),233.15)</f>
        <v>233.15</v>
      </c>
      <c r="D1890" s="1">
        <f ca="1">IFERROR(__xludf.DUMMYFUNCTION("""COMPUTED_VALUE"""),216.17)</f>
        <v>216.17</v>
      </c>
      <c r="E1890" s="1">
        <f ca="1">IFERROR(__xludf.DUMMYFUNCTION("""COMPUTED_VALUE"""),233.07)</f>
        <v>233.07</v>
      </c>
      <c r="F1890" s="1">
        <f ca="1">IFERROR(__xludf.DUMMYFUNCTION("""COMPUTED_VALUE"""),28259704)</f>
        <v>28259704</v>
      </c>
    </row>
    <row r="1891" spans="1:6" x14ac:dyDescent="0.35">
      <c r="A1891" s="2">
        <f ca="1">IFERROR(__xludf.DUMMYFUNCTION("""COMPUTED_VALUE"""),44748.6666666666)</f>
        <v>44748.666666666599</v>
      </c>
      <c r="B1891" s="1">
        <f ca="1">IFERROR(__xludf.DUMMYFUNCTION("""COMPUTED_VALUE"""),230.78)</f>
        <v>230.78</v>
      </c>
      <c r="C1891" s="1">
        <f ca="1">IFERROR(__xludf.DUMMYFUNCTION("""COMPUTED_VALUE"""),234.56)</f>
        <v>234.56</v>
      </c>
      <c r="D1891" s="1">
        <f ca="1">IFERROR(__xludf.DUMMYFUNCTION("""COMPUTED_VALUE"""),227.19)</f>
        <v>227.19</v>
      </c>
      <c r="E1891" s="1">
        <f ca="1">IFERROR(__xludf.DUMMYFUNCTION("""COMPUTED_VALUE"""),231.73)</f>
        <v>231.73</v>
      </c>
      <c r="F1891" s="1">
        <f ca="1">IFERROR(__xludf.DUMMYFUNCTION("""COMPUTED_VALUE"""),23951210)</f>
        <v>23951210</v>
      </c>
    </row>
    <row r="1892" spans="1:6" x14ac:dyDescent="0.35">
      <c r="A1892" s="2">
        <f ca="1">IFERROR(__xludf.DUMMYFUNCTION("""COMPUTED_VALUE"""),44749.6666666666)</f>
        <v>44749.666666666599</v>
      </c>
      <c r="B1892" s="1">
        <f ca="1">IFERROR(__xludf.DUMMYFUNCTION("""COMPUTED_VALUE"""),233.92)</f>
        <v>233.92</v>
      </c>
      <c r="C1892" s="1">
        <f ca="1">IFERROR(__xludf.DUMMYFUNCTION("""COMPUTED_VALUE"""),245.36)</f>
        <v>245.36</v>
      </c>
      <c r="D1892" s="1">
        <f ca="1">IFERROR(__xludf.DUMMYFUNCTION("""COMPUTED_VALUE"""),232.21)</f>
        <v>232.21</v>
      </c>
      <c r="E1892" s="1">
        <f ca="1">IFERROR(__xludf.DUMMYFUNCTION("""COMPUTED_VALUE"""),244.54)</f>
        <v>244.54</v>
      </c>
      <c r="F1892" s="1">
        <f ca="1">IFERROR(__xludf.DUMMYFUNCTION("""COMPUTED_VALUE"""),27310230)</f>
        <v>27310230</v>
      </c>
    </row>
    <row r="1893" spans="1:6" x14ac:dyDescent="0.35">
      <c r="A1893" s="2">
        <f ca="1">IFERROR(__xludf.DUMMYFUNCTION("""COMPUTED_VALUE"""),44750.6666666666)</f>
        <v>44750.666666666599</v>
      </c>
      <c r="B1893" s="1">
        <f ca="1">IFERROR(__xludf.DUMMYFUNCTION("""COMPUTED_VALUE"""),242.33)</f>
        <v>242.33</v>
      </c>
      <c r="C1893" s="1">
        <f ca="1">IFERROR(__xludf.DUMMYFUNCTION("""COMPUTED_VALUE"""),254.98)</f>
        <v>254.98</v>
      </c>
      <c r="D1893" s="1">
        <f ca="1">IFERROR(__xludf.DUMMYFUNCTION("""COMPUTED_VALUE"""),241.16)</f>
        <v>241.16</v>
      </c>
      <c r="E1893" s="1">
        <f ca="1">IFERROR(__xludf.DUMMYFUNCTION("""COMPUTED_VALUE"""),250.76)</f>
        <v>250.76</v>
      </c>
      <c r="F1893" s="1">
        <f ca="1">IFERROR(__xludf.DUMMYFUNCTION("""COMPUTED_VALUE"""),33951362)</f>
        <v>33951362</v>
      </c>
    </row>
    <row r="1894" spans="1:6" x14ac:dyDescent="0.35">
      <c r="A1894" s="2">
        <f ca="1">IFERROR(__xludf.DUMMYFUNCTION("""COMPUTED_VALUE"""),44753.6666666666)</f>
        <v>44753.666666666599</v>
      </c>
      <c r="B1894" s="1">
        <f ca="1">IFERROR(__xludf.DUMMYFUNCTION("""COMPUTED_VALUE"""),252.1)</f>
        <v>252.1</v>
      </c>
      <c r="C1894" s="1">
        <f ca="1">IFERROR(__xludf.DUMMYFUNCTION("""COMPUTED_VALUE"""),253.06)</f>
        <v>253.06</v>
      </c>
      <c r="D1894" s="1">
        <f ca="1">IFERROR(__xludf.DUMMYFUNCTION("""COMPUTED_VALUE"""),233.63)</f>
        <v>233.63</v>
      </c>
      <c r="E1894" s="1">
        <f ca="1">IFERROR(__xludf.DUMMYFUNCTION("""COMPUTED_VALUE"""),234.34)</f>
        <v>234.34</v>
      </c>
      <c r="F1894" s="1">
        <f ca="1">IFERROR(__xludf.DUMMYFUNCTION("""COMPUTED_VALUE"""),33169740)</f>
        <v>33169740</v>
      </c>
    </row>
    <row r="1895" spans="1:6" x14ac:dyDescent="0.35">
      <c r="A1895" s="2">
        <f ca="1">IFERROR(__xludf.DUMMYFUNCTION("""COMPUTED_VALUE"""),44754.6666666666)</f>
        <v>44754.666666666599</v>
      </c>
      <c r="B1895" s="1">
        <f ca="1">IFERROR(__xludf.DUMMYFUNCTION("""COMPUTED_VALUE"""),236.85)</f>
        <v>236.85</v>
      </c>
      <c r="C1895" s="1">
        <f ca="1">IFERROR(__xludf.DUMMYFUNCTION("""COMPUTED_VALUE"""),239.77)</f>
        <v>239.77</v>
      </c>
      <c r="D1895" s="1">
        <f ca="1">IFERROR(__xludf.DUMMYFUNCTION("""COMPUTED_VALUE"""),228.37)</f>
        <v>228.37</v>
      </c>
      <c r="E1895" s="1">
        <f ca="1">IFERROR(__xludf.DUMMYFUNCTION("""COMPUTED_VALUE"""),233.07)</f>
        <v>233.07</v>
      </c>
      <c r="F1895" s="1">
        <f ca="1">IFERROR(__xludf.DUMMYFUNCTION("""COMPUTED_VALUE"""),29310320)</f>
        <v>29310320</v>
      </c>
    </row>
    <row r="1896" spans="1:6" x14ac:dyDescent="0.35">
      <c r="A1896" s="2">
        <f ca="1">IFERROR(__xludf.DUMMYFUNCTION("""COMPUTED_VALUE"""),44755.6666666666)</f>
        <v>44755.666666666599</v>
      </c>
      <c r="B1896" s="1">
        <f ca="1">IFERROR(__xludf.DUMMYFUNCTION("""COMPUTED_VALUE"""),225.5)</f>
        <v>225.5</v>
      </c>
      <c r="C1896" s="1">
        <f ca="1">IFERROR(__xludf.DUMMYFUNCTION("""COMPUTED_VALUE"""),242.06)</f>
        <v>242.06</v>
      </c>
      <c r="D1896" s="1">
        <f ca="1">IFERROR(__xludf.DUMMYFUNCTION("""COMPUTED_VALUE"""),225.03)</f>
        <v>225.03</v>
      </c>
      <c r="E1896" s="1">
        <f ca="1">IFERROR(__xludf.DUMMYFUNCTION("""COMPUTED_VALUE"""),237.04)</f>
        <v>237.04</v>
      </c>
      <c r="F1896" s="1">
        <f ca="1">IFERROR(__xludf.DUMMYFUNCTION("""COMPUTED_VALUE"""),32651499)</f>
        <v>32651499</v>
      </c>
    </row>
    <row r="1897" spans="1:6" x14ac:dyDescent="0.35">
      <c r="A1897" s="2">
        <f ca="1">IFERROR(__xludf.DUMMYFUNCTION("""COMPUTED_VALUE"""),44756.6666666666)</f>
        <v>44756.666666666599</v>
      </c>
      <c r="B1897" s="1">
        <f ca="1">IFERROR(__xludf.DUMMYFUNCTION("""COMPUTED_VALUE"""),234.9)</f>
        <v>234.9</v>
      </c>
      <c r="C1897" s="1">
        <f ca="1">IFERROR(__xludf.DUMMYFUNCTION("""COMPUTED_VALUE"""),238.65)</f>
        <v>238.65</v>
      </c>
      <c r="D1897" s="1">
        <f ca="1">IFERROR(__xludf.DUMMYFUNCTION("""COMPUTED_VALUE"""),229.33)</f>
        <v>229.33</v>
      </c>
      <c r="E1897" s="1">
        <f ca="1">IFERROR(__xludf.DUMMYFUNCTION("""COMPUTED_VALUE"""),238.31)</f>
        <v>238.31</v>
      </c>
      <c r="F1897" s="1">
        <f ca="1">IFERROR(__xludf.DUMMYFUNCTION("""COMPUTED_VALUE"""),26185833)</f>
        <v>26185833</v>
      </c>
    </row>
    <row r="1898" spans="1:6" x14ac:dyDescent="0.35">
      <c r="A1898" s="2">
        <f ca="1">IFERROR(__xludf.DUMMYFUNCTION("""COMPUTED_VALUE"""),44757.6666666666)</f>
        <v>44757.666666666599</v>
      </c>
      <c r="B1898" s="1">
        <f ca="1">IFERROR(__xludf.DUMMYFUNCTION("""COMPUTED_VALUE"""),240)</f>
        <v>240</v>
      </c>
      <c r="C1898" s="1">
        <f ca="1">IFERROR(__xludf.DUMMYFUNCTION("""COMPUTED_VALUE"""),243.62)</f>
        <v>243.62</v>
      </c>
      <c r="D1898" s="1">
        <f ca="1">IFERROR(__xludf.DUMMYFUNCTION("""COMPUTED_VALUE"""),236.89)</f>
        <v>236.89</v>
      </c>
      <c r="E1898" s="1">
        <f ca="1">IFERROR(__xludf.DUMMYFUNCTION("""COMPUTED_VALUE"""),240.07)</f>
        <v>240.07</v>
      </c>
      <c r="F1898" s="1">
        <f ca="1">IFERROR(__xludf.DUMMYFUNCTION("""COMPUTED_VALUE"""),23227673)</f>
        <v>23227673</v>
      </c>
    </row>
    <row r="1899" spans="1:6" x14ac:dyDescent="0.35">
      <c r="A1899" s="2">
        <f ca="1">IFERROR(__xludf.DUMMYFUNCTION("""COMPUTED_VALUE"""),44760.6666666666)</f>
        <v>44760.666666666599</v>
      </c>
      <c r="B1899" s="1">
        <f ca="1">IFERROR(__xludf.DUMMYFUNCTION("""COMPUTED_VALUE"""),244.94)</f>
        <v>244.94</v>
      </c>
      <c r="C1899" s="1">
        <f ca="1">IFERROR(__xludf.DUMMYFUNCTION("""COMPUTED_VALUE"""),250.52)</f>
        <v>250.52</v>
      </c>
      <c r="D1899" s="1">
        <f ca="1">IFERROR(__xludf.DUMMYFUNCTION("""COMPUTED_VALUE"""),239.6)</f>
        <v>239.6</v>
      </c>
      <c r="E1899" s="1">
        <f ca="1">IFERROR(__xludf.DUMMYFUNCTION("""COMPUTED_VALUE"""),240.55)</f>
        <v>240.55</v>
      </c>
      <c r="F1899" s="1">
        <f ca="1">IFERROR(__xludf.DUMMYFUNCTION("""COMPUTED_VALUE"""),27512476)</f>
        <v>27512476</v>
      </c>
    </row>
    <row r="1900" spans="1:6" x14ac:dyDescent="0.35">
      <c r="A1900" s="2">
        <f ca="1">IFERROR(__xludf.DUMMYFUNCTION("""COMPUTED_VALUE"""),44761.6666666666)</f>
        <v>44761.666666666599</v>
      </c>
      <c r="B1900" s="1">
        <f ca="1">IFERROR(__xludf.DUMMYFUNCTION("""COMPUTED_VALUE"""),245)</f>
        <v>245</v>
      </c>
      <c r="C1900" s="1">
        <f ca="1">IFERROR(__xludf.DUMMYFUNCTION("""COMPUTED_VALUE"""),247.14)</f>
        <v>247.14</v>
      </c>
      <c r="D1900" s="1">
        <f ca="1">IFERROR(__xludf.DUMMYFUNCTION("""COMPUTED_VALUE"""),236.98)</f>
        <v>236.98</v>
      </c>
      <c r="E1900" s="1">
        <f ca="1">IFERROR(__xludf.DUMMYFUNCTION("""COMPUTED_VALUE"""),245.53)</f>
        <v>245.53</v>
      </c>
      <c r="F1900" s="1">
        <f ca="1">IFERROR(__xludf.DUMMYFUNCTION("""COMPUTED_VALUE"""),26963370)</f>
        <v>26963370</v>
      </c>
    </row>
    <row r="1901" spans="1:6" x14ac:dyDescent="0.35">
      <c r="A1901" s="2">
        <f ca="1">IFERROR(__xludf.DUMMYFUNCTION("""COMPUTED_VALUE"""),44762.6666666666)</f>
        <v>44762.666666666599</v>
      </c>
      <c r="B1901" s="1">
        <f ca="1">IFERROR(__xludf.DUMMYFUNCTION("""COMPUTED_VALUE"""),246.78)</f>
        <v>246.78</v>
      </c>
      <c r="C1901" s="1">
        <f ca="1">IFERROR(__xludf.DUMMYFUNCTION("""COMPUTED_VALUE"""),250.66)</f>
        <v>250.66</v>
      </c>
      <c r="D1901" s="1">
        <f ca="1">IFERROR(__xludf.DUMMYFUNCTION("""COMPUTED_VALUE"""),243.48)</f>
        <v>243.48</v>
      </c>
      <c r="E1901" s="1">
        <f ca="1">IFERROR(__xludf.DUMMYFUNCTION("""COMPUTED_VALUE"""),247.5)</f>
        <v>247.5</v>
      </c>
      <c r="F1901" s="1">
        <f ca="1">IFERROR(__xludf.DUMMYFUNCTION("""COMPUTED_VALUE"""),29621363)</f>
        <v>29621363</v>
      </c>
    </row>
    <row r="1902" spans="1:6" x14ac:dyDescent="0.35">
      <c r="A1902" s="2">
        <f ca="1">IFERROR(__xludf.DUMMYFUNCTION("""COMPUTED_VALUE"""),44763.6666666666)</f>
        <v>44763.666666666599</v>
      </c>
      <c r="B1902" s="1">
        <f ca="1">IFERROR(__xludf.DUMMYFUNCTION("""COMPUTED_VALUE"""),255.11)</f>
        <v>255.11</v>
      </c>
      <c r="C1902" s="1">
        <f ca="1">IFERROR(__xludf.DUMMYFUNCTION("""COMPUTED_VALUE"""),273.27)</f>
        <v>273.27</v>
      </c>
      <c r="D1902" s="1">
        <f ca="1">IFERROR(__xludf.DUMMYFUNCTION("""COMPUTED_VALUE"""),254.87)</f>
        <v>254.87</v>
      </c>
      <c r="E1902" s="1">
        <f ca="1">IFERROR(__xludf.DUMMYFUNCTION("""COMPUTED_VALUE"""),271.71)</f>
        <v>271.70999999999998</v>
      </c>
      <c r="F1902" s="1">
        <f ca="1">IFERROR(__xludf.DUMMYFUNCTION("""COMPUTED_VALUE"""),47344059)</f>
        <v>47344059</v>
      </c>
    </row>
    <row r="1903" spans="1:6" x14ac:dyDescent="0.35">
      <c r="A1903" s="2">
        <f ca="1">IFERROR(__xludf.DUMMYFUNCTION("""COMPUTED_VALUE"""),44764.6666666666)</f>
        <v>44764.666666666599</v>
      </c>
      <c r="B1903" s="1">
        <f ca="1">IFERROR(__xludf.DUMMYFUNCTION("""COMPUTED_VALUE"""),276.22)</f>
        <v>276.22000000000003</v>
      </c>
      <c r="C1903" s="1">
        <f ca="1">IFERROR(__xludf.DUMMYFUNCTION("""COMPUTED_VALUE"""),280.79)</f>
        <v>280.79000000000002</v>
      </c>
      <c r="D1903" s="1">
        <f ca="1">IFERROR(__xludf.DUMMYFUNCTION("""COMPUTED_VALUE"""),270.71)</f>
        <v>270.70999999999998</v>
      </c>
      <c r="E1903" s="1">
        <f ca="1">IFERROR(__xludf.DUMMYFUNCTION("""COMPUTED_VALUE"""),272.24)</f>
        <v>272.24</v>
      </c>
      <c r="F1903" s="1">
        <f ca="1">IFERROR(__xludf.DUMMYFUNCTION("""COMPUTED_VALUE"""),34490949)</f>
        <v>34490949</v>
      </c>
    </row>
    <row r="1904" spans="1:6" x14ac:dyDescent="0.35">
      <c r="A1904" s="2">
        <f ca="1">IFERROR(__xludf.DUMMYFUNCTION("""COMPUTED_VALUE"""),44767.6666666666)</f>
        <v>44767.666666666599</v>
      </c>
      <c r="B1904" s="1">
        <f ca="1">IFERROR(__xludf.DUMMYFUNCTION("""COMPUTED_VALUE"""),272.22)</f>
        <v>272.22000000000003</v>
      </c>
      <c r="C1904" s="1">
        <f ca="1">IFERROR(__xludf.DUMMYFUNCTION("""COMPUTED_VALUE"""),274.15)</f>
        <v>274.14999999999998</v>
      </c>
      <c r="D1904" s="1">
        <f ca="1">IFERROR(__xludf.DUMMYFUNCTION("""COMPUTED_VALUE"""),267.4)</f>
        <v>267.39999999999998</v>
      </c>
      <c r="E1904" s="1">
        <f ca="1">IFERROR(__xludf.DUMMYFUNCTION("""COMPUTED_VALUE"""),268.43)</f>
        <v>268.43</v>
      </c>
      <c r="F1904" s="1">
        <f ca="1">IFERROR(__xludf.DUMMYFUNCTION("""COMPUTED_VALUE"""),21357835)</f>
        <v>21357835</v>
      </c>
    </row>
    <row r="1905" spans="1:6" x14ac:dyDescent="0.35">
      <c r="A1905" s="2">
        <f ca="1">IFERROR(__xludf.DUMMYFUNCTION("""COMPUTED_VALUE"""),44768.6666666666)</f>
        <v>44768.666666666599</v>
      </c>
      <c r="B1905" s="1">
        <f ca="1">IFERROR(__xludf.DUMMYFUNCTION("""COMPUTED_VALUE"""),266.51)</f>
        <v>266.51</v>
      </c>
      <c r="C1905" s="1">
        <f ca="1">IFERROR(__xludf.DUMMYFUNCTION("""COMPUTED_VALUE"""),267.31)</f>
        <v>267.31</v>
      </c>
      <c r="D1905" s="1">
        <f ca="1">IFERROR(__xludf.DUMMYFUNCTION("""COMPUTED_VALUE"""),256.26)</f>
        <v>256.26</v>
      </c>
      <c r="E1905" s="1">
        <f ca="1">IFERROR(__xludf.DUMMYFUNCTION("""COMPUTED_VALUE"""),258.86)</f>
        <v>258.86</v>
      </c>
      <c r="F1905" s="1">
        <f ca="1">IFERROR(__xludf.DUMMYFUNCTION("""COMPUTED_VALUE"""),22273586)</f>
        <v>22273586</v>
      </c>
    </row>
    <row r="1906" spans="1:6" x14ac:dyDescent="0.35">
      <c r="A1906" s="2">
        <f ca="1">IFERROR(__xludf.DUMMYFUNCTION("""COMPUTED_VALUE"""),44769.6666666666)</f>
        <v>44769.666666666599</v>
      </c>
      <c r="B1906" s="1">
        <f ca="1">IFERROR(__xludf.DUMMYFUNCTION("""COMPUTED_VALUE"""),263.81)</f>
        <v>263.81</v>
      </c>
      <c r="C1906" s="1">
        <f ca="1">IFERROR(__xludf.DUMMYFUNCTION("""COMPUTED_VALUE"""),275.93)</f>
        <v>275.93</v>
      </c>
      <c r="D1906" s="1">
        <f ca="1">IFERROR(__xludf.DUMMYFUNCTION("""COMPUTED_VALUE"""),261.79)</f>
        <v>261.79000000000002</v>
      </c>
      <c r="E1906" s="1">
        <f ca="1">IFERROR(__xludf.DUMMYFUNCTION("""COMPUTED_VALUE"""),274.82)</f>
        <v>274.82</v>
      </c>
      <c r="F1906" s="1">
        <f ca="1">IFERROR(__xludf.DUMMYFUNCTION("""COMPUTED_VALUE"""),29369996)</f>
        <v>29369996</v>
      </c>
    </row>
    <row r="1907" spans="1:6" x14ac:dyDescent="0.35">
      <c r="A1907" s="2">
        <f ca="1">IFERROR(__xludf.DUMMYFUNCTION("""COMPUTED_VALUE"""),44770.6666666666)</f>
        <v>44770.666666666599</v>
      </c>
      <c r="B1907" s="1">
        <f ca="1">IFERROR(__xludf.DUMMYFUNCTION("""COMPUTED_VALUE"""),280.07)</f>
        <v>280.07</v>
      </c>
      <c r="C1907" s="1">
        <f ca="1">IFERROR(__xludf.DUMMYFUNCTION("""COMPUTED_VALUE"""),283.3)</f>
        <v>283.3</v>
      </c>
      <c r="D1907" s="1">
        <f ca="1">IFERROR(__xludf.DUMMYFUNCTION("""COMPUTED_VALUE"""),272.8)</f>
        <v>272.8</v>
      </c>
      <c r="E1907" s="1">
        <f ca="1">IFERROR(__xludf.DUMMYFUNCTION("""COMPUTED_VALUE"""),280.9)</f>
        <v>280.89999999999998</v>
      </c>
      <c r="F1907" s="1">
        <f ca="1">IFERROR(__xludf.DUMMYFUNCTION("""COMPUTED_VALUE"""),28240997)</f>
        <v>28240997</v>
      </c>
    </row>
    <row r="1908" spans="1:6" x14ac:dyDescent="0.35">
      <c r="A1908" s="2">
        <f ca="1">IFERROR(__xludf.DUMMYFUNCTION("""COMPUTED_VALUE"""),44771.6666666666)</f>
        <v>44771.666666666599</v>
      </c>
      <c r="B1908" s="1">
        <f ca="1">IFERROR(__xludf.DUMMYFUNCTION("""COMPUTED_VALUE"""),280.7)</f>
        <v>280.7</v>
      </c>
      <c r="C1908" s="1">
        <f ca="1">IFERROR(__xludf.DUMMYFUNCTION("""COMPUTED_VALUE"""),298.32)</f>
        <v>298.32</v>
      </c>
      <c r="D1908" s="1">
        <f ca="1">IFERROR(__xludf.DUMMYFUNCTION("""COMPUTED_VALUE"""),279.1)</f>
        <v>279.10000000000002</v>
      </c>
      <c r="E1908" s="1">
        <f ca="1">IFERROR(__xludf.DUMMYFUNCTION("""COMPUTED_VALUE"""),297.15)</f>
        <v>297.14999999999998</v>
      </c>
      <c r="F1908" s="1">
        <f ca="1">IFERROR(__xludf.DUMMYFUNCTION("""COMPUTED_VALUE"""),31770961)</f>
        <v>31770961</v>
      </c>
    </row>
    <row r="1909" spans="1:6" x14ac:dyDescent="0.35">
      <c r="A1909" s="2">
        <f ca="1">IFERROR(__xludf.DUMMYFUNCTION("""COMPUTED_VALUE"""),44774.6666666666)</f>
        <v>44774.666666666599</v>
      </c>
      <c r="B1909" s="1">
        <f ca="1">IFERROR(__xludf.DUMMYFUNCTION("""COMPUTED_VALUE"""),301.27)</f>
        <v>301.27</v>
      </c>
      <c r="C1909" s="1">
        <f ca="1">IFERROR(__xludf.DUMMYFUNCTION("""COMPUTED_VALUE"""),311.88)</f>
        <v>311.88</v>
      </c>
      <c r="D1909" s="1">
        <f ca="1">IFERROR(__xludf.DUMMYFUNCTION("""COMPUTED_VALUE"""),295)</f>
        <v>295</v>
      </c>
      <c r="E1909" s="1">
        <f ca="1">IFERROR(__xludf.DUMMYFUNCTION("""COMPUTED_VALUE"""),297.28)</f>
        <v>297.27999999999997</v>
      </c>
      <c r="F1909" s="1">
        <f ca="1">IFERROR(__xludf.DUMMYFUNCTION("""COMPUTED_VALUE"""),39014296)</f>
        <v>39014296</v>
      </c>
    </row>
    <row r="1910" spans="1:6" x14ac:dyDescent="0.35">
      <c r="A1910" s="2">
        <f ca="1">IFERROR(__xludf.DUMMYFUNCTION("""COMPUTED_VALUE"""),44775.6666666666)</f>
        <v>44775.666666666599</v>
      </c>
      <c r="B1910" s="1">
        <f ca="1">IFERROR(__xludf.DUMMYFUNCTION("""COMPUTED_VALUE"""),294)</f>
        <v>294</v>
      </c>
      <c r="C1910" s="1">
        <f ca="1">IFERROR(__xludf.DUMMYFUNCTION("""COMPUTED_VALUE"""),307.83)</f>
        <v>307.83</v>
      </c>
      <c r="D1910" s="1">
        <f ca="1">IFERROR(__xludf.DUMMYFUNCTION("""COMPUTED_VALUE"""),292.67)</f>
        <v>292.67</v>
      </c>
      <c r="E1910" s="1">
        <f ca="1">IFERROR(__xludf.DUMMYFUNCTION("""COMPUTED_VALUE"""),300.59)</f>
        <v>300.58999999999997</v>
      </c>
      <c r="F1910" s="1">
        <f ca="1">IFERROR(__xludf.DUMMYFUNCTION("""COMPUTED_VALUE"""),31859156)</f>
        <v>31859156</v>
      </c>
    </row>
    <row r="1911" spans="1:6" x14ac:dyDescent="0.35">
      <c r="A1911" s="2">
        <f ca="1">IFERROR(__xludf.DUMMYFUNCTION("""COMPUTED_VALUE"""),44776.6666666666)</f>
        <v>44776.666666666599</v>
      </c>
      <c r="B1911" s="1">
        <f ca="1">IFERROR(__xludf.DUMMYFUNCTION("""COMPUTED_VALUE"""),305)</f>
        <v>305</v>
      </c>
      <c r="C1911" s="1">
        <f ca="1">IFERROR(__xludf.DUMMYFUNCTION("""COMPUTED_VALUE"""),309.55)</f>
        <v>309.55</v>
      </c>
      <c r="D1911" s="1">
        <f ca="1">IFERROR(__xludf.DUMMYFUNCTION("""COMPUTED_VALUE"""),301.15)</f>
        <v>301.14999999999998</v>
      </c>
      <c r="E1911" s="1">
        <f ca="1">IFERROR(__xludf.DUMMYFUNCTION("""COMPUTED_VALUE"""),307.4)</f>
        <v>307.39999999999998</v>
      </c>
      <c r="F1911" s="1">
        <f ca="1">IFERROR(__xludf.DUMMYFUNCTION("""COMPUTED_VALUE"""),26697035)</f>
        <v>26697035</v>
      </c>
    </row>
    <row r="1912" spans="1:6" x14ac:dyDescent="0.35">
      <c r="A1912" s="2">
        <f ca="1">IFERROR(__xludf.DUMMYFUNCTION("""COMPUTED_VALUE"""),44777.6666666666)</f>
        <v>44777.666666666599</v>
      </c>
      <c r="B1912" s="1">
        <f ca="1">IFERROR(__xludf.DUMMYFUNCTION("""COMPUTED_VALUE"""),311)</f>
        <v>311</v>
      </c>
      <c r="C1912" s="1">
        <f ca="1">IFERROR(__xludf.DUMMYFUNCTION("""COMPUTED_VALUE"""),313.61)</f>
        <v>313.61</v>
      </c>
      <c r="D1912" s="1">
        <f ca="1">IFERROR(__xludf.DUMMYFUNCTION("""COMPUTED_VALUE"""),305)</f>
        <v>305</v>
      </c>
      <c r="E1912" s="1">
        <f ca="1">IFERROR(__xludf.DUMMYFUNCTION("""COMPUTED_VALUE"""),308.63)</f>
        <v>308.63</v>
      </c>
      <c r="F1912" s="1">
        <f ca="1">IFERROR(__xludf.DUMMYFUNCTION("""COMPUTED_VALUE"""),24085439)</f>
        <v>24085439</v>
      </c>
    </row>
    <row r="1913" spans="1:6" x14ac:dyDescent="0.35">
      <c r="A1913" s="2">
        <f ca="1">IFERROR(__xludf.DUMMYFUNCTION("""COMPUTED_VALUE"""),44778.6666666666)</f>
        <v>44778.666666666599</v>
      </c>
      <c r="B1913" s="1">
        <f ca="1">IFERROR(__xludf.DUMMYFUNCTION("""COMPUTED_VALUE"""),302.67)</f>
        <v>302.67</v>
      </c>
      <c r="C1913" s="1">
        <f ca="1">IFERROR(__xludf.DUMMYFUNCTION("""COMPUTED_VALUE"""),304.61)</f>
        <v>304.61</v>
      </c>
      <c r="D1913" s="1">
        <f ca="1">IFERROR(__xludf.DUMMYFUNCTION("""COMPUTED_VALUE"""),285.54)</f>
        <v>285.54000000000002</v>
      </c>
      <c r="E1913" s="1">
        <f ca="1">IFERROR(__xludf.DUMMYFUNCTION("""COMPUTED_VALUE"""),288.17)</f>
        <v>288.17</v>
      </c>
      <c r="F1913" s="1">
        <f ca="1">IFERROR(__xludf.DUMMYFUNCTION("""COMPUTED_VALUE"""),37724299)</f>
        <v>37724299</v>
      </c>
    </row>
    <row r="1914" spans="1:6" x14ac:dyDescent="0.35">
      <c r="A1914" s="2">
        <f ca="1">IFERROR(__xludf.DUMMYFUNCTION("""COMPUTED_VALUE"""),44781.6666666666)</f>
        <v>44781.666666666599</v>
      </c>
      <c r="B1914" s="1">
        <f ca="1">IFERROR(__xludf.DUMMYFUNCTION("""COMPUTED_VALUE"""),295)</f>
        <v>295</v>
      </c>
      <c r="C1914" s="1">
        <f ca="1">IFERROR(__xludf.DUMMYFUNCTION("""COMPUTED_VALUE"""),305.2)</f>
        <v>305.2</v>
      </c>
      <c r="D1914" s="1">
        <f ca="1">IFERROR(__xludf.DUMMYFUNCTION("""COMPUTED_VALUE"""),289.09)</f>
        <v>289.08999999999997</v>
      </c>
      <c r="E1914" s="1">
        <f ca="1">IFERROR(__xludf.DUMMYFUNCTION("""COMPUTED_VALUE"""),290.42)</f>
        <v>290.42</v>
      </c>
      <c r="F1914" s="1">
        <f ca="1">IFERROR(__xludf.DUMMYFUNCTION("""COMPUTED_VALUE"""),33121758)</f>
        <v>33121758</v>
      </c>
    </row>
    <row r="1915" spans="1:6" x14ac:dyDescent="0.35">
      <c r="A1915" s="2">
        <f ca="1">IFERROR(__xludf.DUMMYFUNCTION("""COMPUTED_VALUE"""),44782.6666666666)</f>
        <v>44782.666666666599</v>
      </c>
      <c r="B1915" s="1">
        <f ca="1">IFERROR(__xludf.DUMMYFUNCTION("""COMPUTED_VALUE"""),290.29)</f>
        <v>290.29000000000002</v>
      </c>
      <c r="C1915" s="1">
        <f ca="1">IFERROR(__xludf.DUMMYFUNCTION("""COMPUTED_VALUE"""),292.4)</f>
        <v>292.39999999999998</v>
      </c>
      <c r="D1915" s="1">
        <f ca="1">IFERROR(__xludf.DUMMYFUNCTION("""COMPUTED_VALUE"""),279.35)</f>
        <v>279.35000000000002</v>
      </c>
      <c r="E1915" s="1">
        <f ca="1">IFERROR(__xludf.DUMMYFUNCTION("""COMPUTED_VALUE"""),283.33)</f>
        <v>283.33</v>
      </c>
      <c r="F1915" s="1">
        <f ca="1">IFERROR(__xludf.DUMMYFUNCTION("""COMPUTED_VALUE"""),28748227)</f>
        <v>28748227</v>
      </c>
    </row>
    <row r="1916" spans="1:6" x14ac:dyDescent="0.35">
      <c r="A1916" s="2">
        <f ca="1">IFERROR(__xludf.DUMMYFUNCTION("""COMPUTED_VALUE"""),44783.6666666666)</f>
        <v>44783.666666666599</v>
      </c>
      <c r="B1916" s="1">
        <f ca="1">IFERROR(__xludf.DUMMYFUNCTION("""COMPUTED_VALUE"""),297.07)</f>
        <v>297.07</v>
      </c>
      <c r="C1916" s="1">
        <f ca="1">IFERROR(__xludf.DUMMYFUNCTION("""COMPUTED_VALUE"""),297.51)</f>
        <v>297.51</v>
      </c>
      <c r="D1916" s="1">
        <f ca="1">IFERROR(__xludf.DUMMYFUNCTION("""COMPUTED_VALUE"""),283.37)</f>
        <v>283.37</v>
      </c>
      <c r="E1916" s="1">
        <f ca="1">IFERROR(__xludf.DUMMYFUNCTION("""COMPUTED_VALUE"""),294.36)</f>
        <v>294.36</v>
      </c>
      <c r="F1916" s="1">
        <f ca="1">IFERROR(__xludf.DUMMYFUNCTION("""COMPUTED_VALUE"""),31639624)</f>
        <v>31639624</v>
      </c>
    </row>
    <row r="1917" spans="1:6" x14ac:dyDescent="0.35">
      <c r="A1917" s="2">
        <f ca="1">IFERROR(__xludf.DUMMYFUNCTION("""COMPUTED_VALUE"""),44784.6666666666)</f>
        <v>44784.666666666599</v>
      </c>
      <c r="B1917" s="1">
        <f ca="1">IFERROR(__xludf.DUMMYFUNCTION("""COMPUTED_VALUE"""),296.51)</f>
        <v>296.51</v>
      </c>
      <c r="C1917" s="1">
        <f ca="1">IFERROR(__xludf.DUMMYFUNCTION("""COMPUTED_VALUE"""),298.24)</f>
        <v>298.24</v>
      </c>
      <c r="D1917" s="1">
        <f ca="1">IFERROR(__xludf.DUMMYFUNCTION("""COMPUTED_VALUE"""),285.83)</f>
        <v>285.83</v>
      </c>
      <c r="E1917" s="1">
        <f ca="1">IFERROR(__xludf.DUMMYFUNCTION("""COMPUTED_VALUE"""),286.63)</f>
        <v>286.63</v>
      </c>
      <c r="F1917" s="1">
        <f ca="1">IFERROR(__xludf.DUMMYFUNCTION("""COMPUTED_VALUE"""),23385015)</f>
        <v>23385015</v>
      </c>
    </row>
    <row r="1918" spans="1:6" x14ac:dyDescent="0.35">
      <c r="A1918" s="2">
        <f ca="1">IFERROR(__xludf.DUMMYFUNCTION("""COMPUTED_VALUE"""),44785.6666666666)</f>
        <v>44785.666666666599</v>
      </c>
      <c r="B1918" s="1">
        <f ca="1">IFERROR(__xludf.DUMMYFUNCTION("""COMPUTED_VALUE"""),289.42)</f>
        <v>289.42</v>
      </c>
      <c r="C1918" s="1">
        <f ca="1">IFERROR(__xludf.DUMMYFUNCTION("""COMPUTED_VALUE"""),300.16)</f>
        <v>300.16000000000003</v>
      </c>
      <c r="D1918" s="1">
        <f ca="1">IFERROR(__xludf.DUMMYFUNCTION("""COMPUTED_VALUE"""),285.03)</f>
        <v>285.02999999999997</v>
      </c>
      <c r="E1918" s="1">
        <f ca="1">IFERROR(__xludf.DUMMYFUNCTION("""COMPUTED_VALUE"""),300.03)</f>
        <v>300.02999999999997</v>
      </c>
      <c r="F1918" s="1">
        <f ca="1">IFERROR(__xludf.DUMMYFUNCTION("""COMPUTED_VALUE"""),26552429)</f>
        <v>26552429</v>
      </c>
    </row>
    <row r="1919" spans="1:6" x14ac:dyDescent="0.35">
      <c r="A1919" s="2">
        <f ca="1">IFERROR(__xludf.DUMMYFUNCTION("""COMPUTED_VALUE"""),44788.6666666666)</f>
        <v>44788.666666666599</v>
      </c>
      <c r="B1919" s="1">
        <f ca="1">IFERROR(__xludf.DUMMYFUNCTION("""COMPUTED_VALUE"""),301.79)</f>
        <v>301.79000000000002</v>
      </c>
      <c r="C1919" s="1">
        <f ca="1">IFERROR(__xludf.DUMMYFUNCTION("""COMPUTED_VALUE"""),313.13)</f>
        <v>313.13</v>
      </c>
      <c r="D1919" s="1">
        <f ca="1">IFERROR(__xludf.DUMMYFUNCTION("""COMPUTED_VALUE"""),301.23)</f>
        <v>301.23</v>
      </c>
      <c r="E1919" s="1">
        <f ca="1">IFERROR(__xludf.DUMMYFUNCTION("""COMPUTED_VALUE"""),309.32)</f>
        <v>309.32</v>
      </c>
      <c r="F1919" s="1">
        <f ca="1">IFERROR(__xludf.DUMMYFUNCTION("""COMPUTED_VALUE"""),29786389)</f>
        <v>29786389</v>
      </c>
    </row>
    <row r="1920" spans="1:6" x14ac:dyDescent="0.35">
      <c r="A1920" s="2">
        <f ca="1">IFERROR(__xludf.DUMMYFUNCTION("""COMPUTED_VALUE"""),44789.6666666666)</f>
        <v>44789.666666666599</v>
      </c>
      <c r="B1920" s="1">
        <f ca="1">IFERROR(__xludf.DUMMYFUNCTION("""COMPUTED_VALUE"""),311.67)</f>
        <v>311.67</v>
      </c>
      <c r="C1920" s="1">
        <f ca="1">IFERROR(__xludf.DUMMYFUNCTION("""COMPUTED_VALUE"""),314.67)</f>
        <v>314.67</v>
      </c>
      <c r="D1920" s="1">
        <f ca="1">IFERROR(__xludf.DUMMYFUNCTION("""COMPUTED_VALUE"""),302.88)</f>
        <v>302.88</v>
      </c>
      <c r="E1920" s="1">
        <f ca="1">IFERROR(__xludf.DUMMYFUNCTION("""COMPUTED_VALUE"""),306.56)</f>
        <v>306.56</v>
      </c>
      <c r="F1920" s="1">
        <f ca="1">IFERROR(__xludf.DUMMYFUNCTION("""COMPUTED_VALUE"""),29378774)</f>
        <v>29378774</v>
      </c>
    </row>
    <row r="1921" spans="1:6" x14ac:dyDescent="0.35">
      <c r="A1921" s="2">
        <f ca="1">IFERROR(__xludf.DUMMYFUNCTION("""COMPUTED_VALUE"""),44790.6666666666)</f>
        <v>44790.666666666599</v>
      </c>
      <c r="B1921" s="1">
        <f ca="1">IFERROR(__xludf.DUMMYFUNCTION("""COMPUTED_VALUE"""),303.4)</f>
        <v>303.39999999999998</v>
      </c>
      <c r="C1921" s="1">
        <f ca="1">IFERROR(__xludf.DUMMYFUNCTION("""COMPUTED_VALUE"""),309.66)</f>
        <v>309.66000000000003</v>
      </c>
      <c r="D1921" s="1">
        <f ca="1">IFERROR(__xludf.DUMMYFUNCTION("""COMPUTED_VALUE"""),300.03)</f>
        <v>300.02999999999997</v>
      </c>
      <c r="E1921" s="1">
        <f ca="1">IFERROR(__xludf.DUMMYFUNCTION("""COMPUTED_VALUE"""),304)</f>
        <v>304</v>
      </c>
      <c r="F1921" s="1">
        <f ca="1">IFERROR(__xludf.DUMMYFUNCTION("""COMPUTED_VALUE"""),22921990)</f>
        <v>22921990</v>
      </c>
    </row>
    <row r="1922" spans="1:6" x14ac:dyDescent="0.35">
      <c r="A1922" s="2">
        <f ca="1">IFERROR(__xludf.DUMMYFUNCTION("""COMPUTED_VALUE"""),44791.6666666666)</f>
        <v>44791.666666666599</v>
      </c>
      <c r="B1922" s="1">
        <f ca="1">IFERROR(__xludf.DUMMYFUNCTION("""COMPUTED_VALUE"""),306)</f>
        <v>306</v>
      </c>
      <c r="C1922" s="1">
        <f ca="1">IFERROR(__xludf.DUMMYFUNCTION("""COMPUTED_VALUE"""),306.5)</f>
        <v>306.5</v>
      </c>
      <c r="D1922" s="1">
        <f ca="1">IFERROR(__xludf.DUMMYFUNCTION("""COMPUTED_VALUE"""),301.85)</f>
        <v>301.85000000000002</v>
      </c>
      <c r="E1922" s="1">
        <f ca="1">IFERROR(__xludf.DUMMYFUNCTION("""COMPUTED_VALUE"""),302.87)</f>
        <v>302.87</v>
      </c>
      <c r="F1922" s="1">
        <f ca="1">IFERROR(__xludf.DUMMYFUNCTION("""COMPUTED_VALUE"""),15833512)</f>
        <v>15833512</v>
      </c>
    </row>
    <row r="1923" spans="1:6" x14ac:dyDescent="0.35">
      <c r="A1923" s="2">
        <f ca="1">IFERROR(__xludf.DUMMYFUNCTION("""COMPUTED_VALUE"""),44792.6666666666)</f>
        <v>44792.666666666599</v>
      </c>
      <c r="B1923" s="1">
        <f ca="1">IFERROR(__xludf.DUMMYFUNCTION("""COMPUTED_VALUE"""),299)</f>
        <v>299</v>
      </c>
      <c r="C1923" s="1">
        <f ca="1">IFERROR(__xludf.DUMMYFUNCTION("""COMPUTED_VALUE"""),300.36)</f>
        <v>300.36</v>
      </c>
      <c r="D1923" s="1">
        <f ca="1">IFERROR(__xludf.DUMMYFUNCTION("""COMPUTED_VALUE"""),292.5)</f>
        <v>292.5</v>
      </c>
      <c r="E1923" s="1">
        <f ca="1">IFERROR(__xludf.DUMMYFUNCTION("""COMPUTED_VALUE"""),296.67)</f>
        <v>296.67</v>
      </c>
      <c r="F1923" s="1">
        <f ca="1">IFERROR(__xludf.DUMMYFUNCTION("""COMPUTED_VALUE"""),20465129)</f>
        <v>20465129</v>
      </c>
    </row>
    <row r="1924" spans="1:6" x14ac:dyDescent="0.35">
      <c r="A1924" s="2">
        <f ca="1">IFERROR(__xludf.DUMMYFUNCTION("""COMPUTED_VALUE"""),44795.6666666666)</f>
        <v>44795.666666666599</v>
      </c>
      <c r="B1924" s="1">
        <f ca="1">IFERROR(__xludf.DUMMYFUNCTION("""COMPUTED_VALUE"""),291.91)</f>
        <v>291.91000000000003</v>
      </c>
      <c r="C1924" s="1">
        <f ca="1">IFERROR(__xludf.DUMMYFUNCTION("""COMPUTED_VALUE"""),292.4)</f>
        <v>292.39999999999998</v>
      </c>
      <c r="D1924" s="1">
        <f ca="1">IFERROR(__xludf.DUMMYFUNCTION("""COMPUTED_VALUE"""),286.3)</f>
        <v>286.3</v>
      </c>
      <c r="E1924" s="1">
        <f ca="1">IFERROR(__xludf.DUMMYFUNCTION("""COMPUTED_VALUE"""),289.91)</f>
        <v>289.91000000000003</v>
      </c>
      <c r="F1924" s="1">
        <f ca="1">IFERROR(__xludf.DUMMYFUNCTION("""COMPUTED_VALUE"""),18614449)</f>
        <v>18614449</v>
      </c>
    </row>
    <row r="1925" spans="1:6" x14ac:dyDescent="0.35">
      <c r="A1925" s="2">
        <f ca="1">IFERROR(__xludf.DUMMYFUNCTION("""COMPUTED_VALUE"""),44796.6666666666)</f>
        <v>44796.666666666599</v>
      </c>
      <c r="B1925" s="1">
        <f ca="1">IFERROR(__xludf.DUMMYFUNCTION("""COMPUTED_VALUE"""),291.45)</f>
        <v>291.45</v>
      </c>
      <c r="C1925" s="1">
        <f ca="1">IFERROR(__xludf.DUMMYFUNCTION("""COMPUTED_VALUE"""),298.83)</f>
        <v>298.83</v>
      </c>
      <c r="D1925" s="1">
        <f ca="1">IFERROR(__xludf.DUMMYFUNCTION("""COMPUTED_VALUE"""),287.92)</f>
        <v>287.92</v>
      </c>
      <c r="E1925" s="1">
        <f ca="1">IFERROR(__xludf.DUMMYFUNCTION("""COMPUTED_VALUE"""),296.45)</f>
        <v>296.45</v>
      </c>
      <c r="F1925" s="1">
        <f ca="1">IFERROR(__xludf.DUMMYFUNCTION("""COMPUTED_VALUE"""),21328348)</f>
        <v>21328348</v>
      </c>
    </row>
    <row r="1926" spans="1:6" x14ac:dyDescent="0.35">
      <c r="A1926" s="2">
        <f ca="1">IFERROR(__xludf.DUMMYFUNCTION("""COMPUTED_VALUE"""),44797.6666666666)</f>
        <v>44797.666666666599</v>
      </c>
      <c r="B1926" s="1">
        <f ca="1">IFERROR(__xludf.DUMMYFUNCTION("""COMPUTED_VALUE"""),297.56)</f>
        <v>297.56</v>
      </c>
      <c r="C1926" s="1">
        <f ca="1">IFERROR(__xludf.DUMMYFUNCTION("""COMPUTED_VALUE"""),303.65)</f>
        <v>303.64999999999998</v>
      </c>
      <c r="D1926" s="1">
        <f ca="1">IFERROR(__xludf.DUMMYFUNCTION("""COMPUTED_VALUE"""),296.5)</f>
        <v>296.5</v>
      </c>
      <c r="E1926" s="1">
        <f ca="1">IFERROR(__xludf.DUMMYFUNCTION("""COMPUTED_VALUE"""),297.1)</f>
        <v>297.10000000000002</v>
      </c>
      <c r="F1926" s="1">
        <f ca="1">IFERROR(__xludf.DUMMYFUNCTION("""COMPUTED_VALUE"""),19086572)</f>
        <v>19086572</v>
      </c>
    </row>
    <row r="1927" spans="1:6" x14ac:dyDescent="0.35">
      <c r="A1927" s="2">
        <f ca="1">IFERROR(__xludf.DUMMYFUNCTION("""COMPUTED_VALUE"""),44798.6666666666)</f>
        <v>44798.666666666599</v>
      </c>
      <c r="B1927" s="1">
        <f ca="1">IFERROR(__xludf.DUMMYFUNCTION("""COMPUTED_VALUE"""),302.36)</f>
        <v>302.36</v>
      </c>
      <c r="C1927" s="1">
        <f ca="1">IFERROR(__xludf.DUMMYFUNCTION("""COMPUTED_VALUE"""),302.96)</f>
        <v>302.95999999999998</v>
      </c>
      <c r="D1927" s="1">
        <f ca="1">IFERROR(__xludf.DUMMYFUNCTION("""COMPUTED_VALUE"""),291.6)</f>
        <v>291.60000000000002</v>
      </c>
      <c r="E1927" s="1">
        <f ca="1">IFERROR(__xludf.DUMMYFUNCTION("""COMPUTED_VALUE"""),296.07)</f>
        <v>296.07</v>
      </c>
      <c r="F1927" s="1">
        <f ca="1">IFERROR(__xludf.DUMMYFUNCTION("""COMPUTED_VALUE"""),53230013)</f>
        <v>53230013</v>
      </c>
    </row>
    <row r="1928" spans="1:6" x14ac:dyDescent="0.35">
      <c r="A1928" s="2">
        <f ca="1">IFERROR(__xludf.DUMMYFUNCTION("""COMPUTED_VALUE"""),44799.6666666666)</f>
        <v>44799.666666666599</v>
      </c>
      <c r="B1928" s="1">
        <f ca="1">IFERROR(__xludf.DUMMYFUNCTION("""COMPUTED_VALUE"""),297.43)</f>
        <v>297.43</v>
      </c>
      <c r="C1928" s="1">
        <f ca="1">IFERROR(__xludf.DUMMYFUNCTION("""COMPUTED_VALUE"""),302)</f>
        <v>302</v>
      </c>
      <c r="D1928" s="1">
        <f ca="1">IFERROR(__xludf.DUMMYFUNCTION("""COMPUTED_VALUE"""),287.47)</f>
        <v>287.47000000000003</v>
      </c>
      <c r="E1928" s="1">
        <f ca="1">IFERROR(__xludf.DUMMYFUNCTION("""COMPUTED_VALUE"""),288.09)</f>
        <v>288.08999999999997</v>
      </c>
      <c r="F1928" s="1">
        <f ca="1">IFERROR(__xludf.DUMMYFUNCTION("""COMPUTED_VALUE"""),57163947)</f>
        <v>57163947</v>
      </c>
    </row>
    <row r="1929" spans="1:6" x14ac:dyDescent="0.35">
      <c r="A1929" s="2">
        <f ca="1">IFERROR(__xludf.DUMMYFUNCTION("""COMPUTED_VALUE"""),44802.6666666666)</f>
        <v>44802.666666666599</v>
      </c>
      <c r="B1929" s="1">
        <f ca="1">IFERROR(__xludf.DUMMYFUNCTION("""COMPUTED_VALUE"""),282.83)</f>
        <v>282.83</v>
      </c>
      <c r="C1929" s="1">
        <f ca="1">IFERROR(__xludf.DUMMYFUNCTION("""COMPUTED_VALUE"""),287.74)</f>
        <v>287.74</v>
      </c>
      <c r="D1929" s="1">
        <f ca="1">IFERROR(__xludf.DUMMYFUNCTION("""COMPUTED_VALUE"""),280.7)</f>
        <v>280.7</v>
      </c>
      <c r="E1929" s="1">
        <f ca="1">IFERROR(__xludf.DUMMYFUNCTION("""COMPUTED_VALUE"""),284.82)</f>
        <v>284.82</v>
      </c>
      <c r="F1929" s="1">
        <f ca="1">IFERROR(__xludf.DUMMYFUNCTION("""COMPUTED_VALUE"""),41864742)</f>
        <v>41864742</v>
      </c>
    </row>
    <row r="1930" spans="1:6" x14ac:dyDescent="0.35">
      <c r="A1930" s="2">
        <f ca="1">IFERROR(__xludf.DUMMYFUNCTION("""COMPUTED_VALUE"""),44803.6666666666)</f>
        <v>44803.666666666599</v>
      </c>
      <c r="B1930" s="1">
        <f ca="1">IFERROR(__xludf.DUMMYFUNCTION("""COMPUTED_VALUE"""),287.87)</f>
        <v>287.87</v>
      </c>
      <c r="C1930" s="1">
        <f ca="1">IFERROR(__xludf.DUMMYFUNCTION("""COMPUTED_VALUE"""),288.48)</f>
        <v>288.48</v>
      </c>
      <c r="D1930" s="1">
        <f ca="1">IFERROR(__xludf.DUMMYFUNCTION("""COMPUTED_VALUE"""),272.65)</f>
        <v>272.64999999999998</v>
      </c>
      <c r="E1930" s="1">
        <f ca="1">IFERROR(__xludf.DUMMYFUNCTION("""COMPUTED_VALUE"""),277.7)</f>
        <v>277.7</v>
      </c>
      <c r="F1930" s="1">
        <f ca="1">IFERROR(__xludf.DUMMYFUNCTION("""COMPUTED_VALUE"""),50541759)</f>
        <v>50541759</v>
      </c>
    </row>
    <row r="1931" spans="1:6" x14ac:dyDescent="0.35">
      <c r="A1931" s="2">
        <f ca="1">IFERROR(__xludf.DUMMYFUNCTION("""COMPUTED_VALUE"""),44804.6666666666)</f>
        <v>44804.666666666599</v>
      </c>
      <c r="B1931" s="1">
        <f ca="1">IFERROR(__xludf.DUMMYFUNCTION("""COMPUTED_VALUE"""),280.62)</f>
        <v>280.62</v>
      </c>
      <c r="C1931" s="1">
        <f ca="1">IFERROR(__xludf.DUMMYFUNCTION("""COMPUTED_VALUE"""),281.25)</f>
        <v>281.25</v>
      </c>
      <c r="D1931" s="1">
        <f ca="1">IFERROR(__xludf.DUMMYFUNCTION("""COMPUTED_VALUE"""),271.81)</f>
        <v>271.81</v>
      </c>
      <c r="E1931" s="1">
        <f ca="1">IFERROR(__xludf.DUMMYFUNCTION("""COMPUTED_VALUE"""),275.61)</f>
        <v>275.61</v>
      </c>
      <c r="F1931" s="1">
        <f ca="1">IFERROR(__xludf.DUMMYFUNCTION("""COMPUTED_VALUE"""),52107337)</f>
        <v>52107337</v>
      </c>
    </row>
    <row r="1932" spans="1:6" x14ac:dyDescent="0.35">
      <c r="A1932" s="2">
        <f ca="1">IFERROR(__xludf.DUMMYFUNCTION("""COMPUTED_VALUE"""),44805.6666666666)</f>
        <v>44805.666666666599</v>
      </c>
      <c r="B1932" s="1">
        <f ca="1">IFERROR(__xludf.DUMMYFUNCTION("""COMPUTED_VALUE"""),272.58)</f>
        <v>272.58</v>
      </c>
      <c r="C1932" s="1">
        <f ca="1">IFERROR(__xludf.DUMMYFUNCTION("""COMPUTED_VALUE"""),277.58)</f>
        <v>277.58</v>
      </c>
      <c r="D1932" s="1">
        <f ca="1">IFERROR(__xludf.DUMMYFUNCTION("""COMPUTED_VALUE"""),266.15)</f>
        <v>266.14999999999998</v>
      </c>
      <c r="E1932" s="1">
        <f ca="1">IFERROR(__xludf.DUMMYFUNCTION("""COMPUTED_VALUE"""),277.16)</f>
        <v>277.16000000000003</v>
      </c>
      <c r="F1932" s="1">
        <f ca="1">IFERROR(__xludf.DUMMYFUNCTION("""COMPUTED_VALUE"""),54287024)</f>
        <v>54287024</v>
      </c>
    </row>
    <row r="1933" spans="1:6" x14ac:dyDescent="0.35">
      <c r="A1933" s="2">
        <f ca="1">IFERROR(__xludf.DUMMYFUNCTION("""COMPUTED_VALUE"""),44806.6666666666)</f>
        <v>44806.666666666599</v>
      </c>
      <c r="B1933" s="1">
        <f ca="1">IFERROR(__xludf.DUMMYFUNCTION("""COMPUTED_VALUE"""),281.07)</f>
        <v>281.07</v>
      </c>
      <c r="C1933" s="1">
        <f ca="1">IFERROR(__xludf.DUMMYFUNCTION("""COMPUTED_VALUE"""),282.35)</f>
        <v>282.35000000000002</v>
      </c>
      <c r="D1933" s="1">
        <f ca="1">IFERROR(__xludf.DUMMYFUNCTION("""COMPUTED_VALUE"""),269.08)</f>
        <v>269.08</v>
      </c>
      <c r="E1933" s="1">
        <f ca="1">IFERROR(__xludf.DUMMYFUNCTION("""COMPUTED_VALUE"""),270.21)</f>
        <v>270.20999999999998</v>
      </c>
      <c r="F1933" s="1">
        <f ca="1">IFERROR(__xludf.DUMMYFUNCTION("""COMPUTED_VALUE"""),50890090)</f>
        <v>50890090</v>
      </c>
    </row>
    <row r="1934" spans="1:6" x14ac:dyDescent="0.35">
      <c r="A1934" s="2">
        <f ca="1">IFERROR(__xludf.DUMMYFUNCTION("""COMPUTED_VALUE"""),44810.6666666666)</f>
        <v>44810.666666666599</v>
      </c>
      <c r="B1934" s="1">
        <f ca="1">IFERROR(__xludf.DUMMYFUNCTION("""COMPUTED_VALUE"""),272.68)</f>
        <v>272.68</v>
      </c>
      <c r="C1934" s="1">
        <f ca="1">IFERROR(__xludf.DUMMYFUNCTION("""COMPUTED_VALUE"""),275.99)</f>
        <v>275.99</v>
      </c>
      <c r="D1934" s="1">
        <f ca="1">IFERROR(__xludf.DUMMYFUNCTION("""COMPUTED_VALUE"""),265.74)</f>
        <v>265.74</v>
      </c>
      <c r="E1934" s="1">
        <f ca="1">IFERROR(__xludf.DUMMYFUNCTION("""COMPUTED_VALUE"""),274.42)</f>
        <v>274.42</v>
      </c>
      <c r="F1934" s="1">
        <f ca="1">IFERROR(__xludf.DUMMYFUNCTION("""COMPUTED_VALUE"""),55859984)</f>
        <v>55859984</v>
      </c>
    </row>
    <row r="1935" spans="1:6" x14ac:dyDescent="0.35">
      <c r="A1935" s="2">
        <f ca="1">IFERROR(__xludf.DUMMYFUNCTION("""COMPUTED_VALUE"""),44811.6666666666)</f>
        <v>44811.666666666599</v>
      </c>
      <c r="B1935" s="1">
        <f ca="1">IFERROR(__xludf.DUMMYFUNCTION("""COMPUTED_VALUE"""),273.1)</f>
        <v>273.10000000000002</v>
      </c>
      <c r="C1935" s="1">
        <f ca="1">IFERROR(__xludf.DUMMYFUNCTION("""COMPUTED_VALUE"""),283.84)</f>
        <v>283.83999999999997</v>
      </c>
      <c r="D1935" s="1">
        <f ca="1">IFERROR(__xludf.DUMMYFUNCTION("""COMPUTED_VALUE"""),272.27)</f>
        <v>272.27</v>
      </c>
      <c r="E1935" s="1">
        <f ca="1">IFERROR(__xludf.DUMMYFUNCTION("""COMPUTED_VALUE"""),283.7)</f>
        <v>283.7</v>
      </c>
      <c r="F1935" s="1">
        <f ca="1">IFERROR(__xludf.DUMMYFUNCTION("""COMPUTED_VALUE"""),50028916)</f>
        <v>50028916</v>
      </c>
    </row>
    <row r="1936" spans="1:6" x14ac:dyDescent="0.35">
      <c r="A1936" s="2">
        <f ca="1">IFERROR(__xludf.DUMMYFUNCTION("""COMPUTED_VALUE"""),44812.6666666666)</f>
        <v>44812.666666666599</v>
      </c>
      <c r="B1936" s="1">
        <f ca="1">IFERROR(__xludf.DUMMYFUNCTION("""COMPUTED_VALUE"""),281.3)</f>
        <v>281.3</v>
      </c>
      <c r="C1936" s="1">
        <f ca="1">IFERROR(__xludf.DUMMYFUNCTION("""COMPUTED_VALUE"""),289.5)</f>
        <v>289.5</v>
      </c>
      <c r="D1936" s="1">
        <f ca="1">IFERROR(__xludf.DUMMYFUNCTION("""COMPUTED_VALUE"""),279.76)</f>
        <v>279.76</v>
      </c>
      <c r="E1936" s="1">
        <f ca="1">IFERROR(__xludf.DUMMYFUNCTION("""COMPUTED_VALUE"""),289.26)</f>
        <v>289.26</v>
      </c>
      <c r="F1936" s="1">
        <f ca="1">IFERROR(__xludf.DUMMYFUNCTION("""COMPUTED_VALUE"""),53713124)</f>
        <v>53713124</v>
      </c>
    </row>
    <row r="1937" spans="1:6" x14ac:dyDescent="0.35">
      <c r="A1937" s="2">
        <f ca="1">IFERROR(__xludf.DUMMYFUNCTION("""COMPUTED_VALUE"""),44813.6666666666)</f>
        <v>44813.666666666599</v>
      </c>
      <c r="B1937" s="1">
        <f ca="1">IFERROR(__xludf.DUMMYFUNCTION("""COMPUTED_VALUE"""),291.67)</f>
        <v>291.67</v>
      </c>
      <c r="C1937" s="1">
        <f ca="1">IFERROR(__xludf.DUMMYFUNCTION("""COMPUTED_VALUE"""),299.85)</f>
        <v>299.85000000000002</v>
      </c>
      <c r="D1937" s="1">
        <f ca="1">IFERROR(__xludf.DUMMYFUNCTION("""COMPUTED_VALUE"""),291.25)</f>
        <v>291.25</v>
      </c>
      <c r="E1937" s="1">
        <f ca="1">IFERROR(__xludf.DUMMYFUNCTION("""COMPUTED_VALUE"""),299.68)</f>
        <v>299.68</v>
      </c>
      <c r="F1937" s="1">
        <f ca="1">IFERROR(__xludf.DUMMYFUNCTION("""COMPUTED_VALUE"""),54470854)</f>
        <v>54470854</v>
      </c>
    </row>
    <row r="1938" spans="1:6" x14ac:dyDescent="0.35">
      <c r="A1938" s="2">
        <f ca="1">IFERROR(__xludf.DUMMYFUNCTION("""COMPUTED_VALUE"""),44816.6666666666)</f>
        <v>44816.666666666599</v>
      </c>
      <c r="B1938" s="1">
        <f ca="1">IFERROR(__xludf.DUMMYFUNCTION("""COMPUTED_VALUE"""),300.72)</f>
        <v>300.72000000000003</v>
      </c>
      <c r="C1938" s="1">
        <f ca="1">IFERROR(__xludf.DUMMYFUNCTION("""COMPUTED_VALUE"""),305.49)</f>
        <v>305.49</v>
      </c>
      <c r="D1938" s="1">
        <f ca="1">IFERROR(__xludf.DUMMYFUNCTION("""COMPUTED_VALUE"""),300.4)</f>
        <v>300.39999999999998</v>
      </c>
      <c r="E1938" s="1">
        <f ca="1">IFERROR(__xludf.DUMMYFUNCTION("""COMPUTED_VALUE"""),304.42)</f>
        <v>304.42</v>
      </c>
      <c r="F1938" s="1">
        <f ca="1">IFERROR(__xludf.DUMMYFUNCTION("""COMPUTED_VALUE"""),48674604)</f>
        <v>48674604</v>
      </c>
    </row>
    <row r="1939" spans="1:6" x14ac:dyDescent="0.35">
      <c r="A1939" s="2">
        <f ca="1">IFERROR(__xludf.DUMMYFUNCTION("""COMPUTED_VALUE"""),44817.6666666666)</f>
        <v>44817.666666666599</v>
      </c>
      <c r="B1939" s="1">
        <f ca="1">IFERROR(__xludf.DUMMYFUNCTION("""COMPUTED_VALUE"""),292.9)</f>
        <v>292.89999999999998</v>
      </c>
      <c r="C1939" s="1">
        <f ca="1">IFERROR(__xludf.DUMMYFUNCTION("""COMPUTED_VALUE"""),297.4)</f>
        <v>297.39999999999998</v>
      </c>
      <c r="D1939" s="1">
        <f ca="1">IFERROR(__xludf.DUMMYFUNCTION("""COMPUTED_VALUE"""),290.4)</f>
        <v>290.39999999999998</v>
      </c>
      <c r="E1939" s="1">
        <f ca="1">IFERROR(__xludf.DUMMYFUNCTION("""COMPUTED_VALUE"""),292.13)</f>
        <v>292.13</v>
      </c>
      <c r="F1939" s="1">
        <f ca="1">IFERROR(__xludf.DUMMYFUNCTION("""COMPUTED_VALUE"""),68229619)</f>
        <v>68229619</v>
      </c>
    </row>
    <row r="1940" spans="1:6" x14ac:dyDescent="0.35">
      <c r="A1940" s="2">
        <f ca="1">IFERROR(__xludf.DUMMYFUNCTION("""COMPUTED_VALUE"""),44818.6666666666)</f>
        <v>44818.666666666599</v>
      </c>
      <c r="B1940" s="1">
        <f ca="1">IFERROR(__xludf.DUMMYFUNCTION("""COMPUTED_VALUE"""),292.24)</f>
        <v>292.24</v>
      </c>
      <c r="C1940" s="1">
        <f ca="1">IFERROR(__xludf.DUMMYFUNCTION("""COMPUTED_VALUE"""),306)</f>
        <v>306</v>
      </c>
      <c r="D1940" s="1">
        <f ca="1">IFERROR(__xludf.DUMMYFUNCTION("""COMPUTED_VALUE"""),291.64)</f>
        <v>291.64</v>
      </c>
      <c r="E1940" s="1">
        <f ca="1">IFERROR(__xludf.DUMMYFUNCTION("""COMPUTED_VALUE"""),302.61)</f>
        <v>302.61</v>
      </c>
      <c r="F1940" s="1">
        <f ca="1">IFERROR(__xludf.DUMMYFUNCTION("""COMPUTED_VALUE"""),72628653)</f>
        <v>72628653</v>
      </c>
    </row>
    <row r="1941" spans="1:6" x14ac:dyDescent="0.35">
      <c r="A1941" s="2">
        <f ca="1">IFERROR(__xludf.DUMMYFUNCTION("""COMPUTED_VALUE"""),44819.6666666666)</f>
        <v>44819.666666666599</v>
      </c>
      <c r="B1941" s="1">
        <f ca="1">IFERROR(__xludf.DUMMYFUNCTION("""COMPUTED_VALUE"""),301.83)</f>
        <v>301.83</v>
      </c>
      <c r="C1941" s="1">
        <f ca="1">IFERROR(__xludf.DUMMYFUNCTION("""COMPUTED_VALUE"""),309.12)</f>
        <v>309.12</v>
      </c>
      <c r="D1941" s="1">
        <f ca="1">IFERROR(__xludf.DUMMYFUNCTION("""COMPUTED_VALUE"""),300.72)</f>
        <v>300.72000000000003</v>
      </c>
      <c r="E1941" s="1">
        <f ca="1">IFERROR(__xludf.DUMMYFUNCTION("""COMPUTED_VALUE"""),303.75)</f>
        <v>303.75</v>
      </c>
      <c r="F1941" s="1">
        <f ca="1">IFERROR(__xludf.DUMMYFUNCTION("""COMPUTED_VALUE"""),64795523)</f>
        <v>64795523</v>
      </c>
    </row>
    <row r="1942" spans="1:6" x14ac:dyDescent="0.35">
      <c r="A1942" s="2">
        <f ca="1">IFERROR(__xludf.DUMMYFUNCTION("""COMPUTED_VALUE"""),44820.6666666666)</f>
        <v>44820.666666666599</v>
      </c>
      <c r="B1942" s="1">
        <f ca="1">IFERROR(__xludf.DUMMYFUNCTION("""COMPUTED_VALUE"""),299.61)</f>
        <v>299.61</v>
      </c>
      <c r="C1942" s="1">
        <f ca="1">IFERROR(__xludf.DUMMYFUNCTION("""COMPUTED_VALUE"""),303.71)</f>
        <v>303.70999999999998</v>
      </c>
      <c r="D1942" s="1">
        <f ca="1">IFERROR(__xludf.DUMMYFUNCTION("""COMPUTED_VALUE"""),295.6)</f>
        <v>295.60000000000002</v>
      </c>
      <c r="E1942" s="1">
        <f ca="1">IFERROR(__xludf.DUMMYFUNCTION("""COMPUTED_VALUE"""),303.35)</f>
        <v>303.35000000000002</v>
      </c>
      <c r="F1942" s="1">
        <f ca="1">IFERROR(__xludf.DUMMYFUNCTION("""COMPUTED_VALUE"""),87087786)</f>
        <v>87087786</v>
      </c>
    </row>
    <row r="1943" spans="1:6" x14ac:dyDescent="0.35">
      <c r="A1943" s="2">
        <f ca="1">IFERROR(__xludf.DUMMYFUNCTION("""COMPUTED_VALUE"""),44823.6666666666)</f>
        <v>44823.666666666599</v>
      </c>
      <c r="B1943" s="1">
        <f ca="1">IFERROR(__xludf.DUMMYFUNCTION("""COMPUTED_VALUE"""),300.09)</f>
        <v>300.08999999999997</v>
      </c>
      <c r="C1943" s="1">
        <f ca="1">IFERROR(__xludf.DUMMYFUNCTION("""COMPUTED_VALUE"""),309.84)</f>
        <v>309.83999999999997</v>
      </c>
      <c r="D1943" s="1">
        <f ca="1">IFERROR(__xludf.DUMMYFUNCTION("""COMPUTED_VALUE"""),297.8)</f>
        <v>297.8</v>
      </c>
      <c r="E1943" s="1">
        <f ca="1">IFERROR(__xludf.DUMMYFUNCTION("""COMPUTED_VALUE"""),309.07)</f>
        <v>309.07</v>
      </c>
      <c r="F1943" s="1">
        <f ca="1">IFERROR(__xludf.DUMMYFUNCTION("""COMPUTED_VALUE"""),60231156)</f>
        <v>60231156</v>
      </c>
    </row>
    <row r="1944" spans="1:6" x14ac:dyDescent="0.35">
      <c r="A1944" s="2">
        <f ca="1">IFERROR(__xludf.DUMMYFUNCTION("""COMPUTED_VALUE"""),44824.6666666666)</f>
        <v>44824.666666666599</v>
      </c>
      <c r="B1944" s="1">
        <f ca="1">IFERROR(__xludf.DUMMYFUNCTION("""COMPUTED_VALUE"""),306.91)</f>
        <v>306.91000000000003</v>
      </c>
      <c r="C1944" s="1">
        <f ca="1">IFERROR(__xludf.DUMMYFUNCTION("""COMPUTED_VALUE"""),313.33)</f>
        <v>313.33</v>
      </c>
      <c r="D1944" s="1">
        <f ca="1">IFERROR(__xludf.DUMMYFUNCTION("""COMPUTED_VALUE"""),305.58)</f>
        <v>305.58</v>
      </c>
      <c r="E1944" s="1">
        <f ca="1">IFERROR(__xludf.DUMMYFUNCTION("""COMPUTED_VALUE"""),308.73)</f>
        <v>308.73</v>
      </c>
      <c r="F1944" s="1">
        <f ca="1">IFERROR(__xludf.DUMMYFUNCTION("""COMPUTED_VALUE"""),61642783)</f>
        <v>61642783</v>
      </c>
    </row>
    <row r="1945" spans="1:6" x14ac:dyDescent="0.35">
      <c r="A1945" s="2">
        <f ca="1">IFERROR(__xludf.DUMMYFUNCTION("""COMPUTED_VALUE"""),44825.6666666666)</f>
        <v>44825.666666666599</v>
      </c>
      <c r="B1945" s="1">
        <f ca="1">IFERROR(__xludf.DUMMYFUNCTION("""COMPUTED_VALUE"""),308.29)</f>
        <v>308.29000000000002</v>
      </c>
      <c r="C1945" s="1">
        <f ca="1">IFERROR(__xludf.DUMMYFUNCTION("""COMPUTED_VALUE"""),313.8)</f>
        <v>313.8</v>
      </c>
      <c r="D1945" s="1">
        <f ca="1">IFERROR(__xludf.DUMMYFUNCTION("""COMPUTED_VALUE"""),300.63)</f>
        <v>300.63</v>
      </c>
      <c r="E1945" s="1">
        <f ca="1">IFERROR(__xludf.DUMMYFUNCTION("""COMPUTED_VALUE"""),300.8)</f>
        <v>300.8</v>
      </c>
      <c r="F1945" s="1">
        <f ca="1">IFERROR(__xludf.DUMMYFUNCTION("""COMPUTED_VALUE"""),62555656)</f>
        <v>62555656</v>
      </c>
    </row>
    <row r="1946" spans="1:6" x14ac:dyDescent="0.35">
      <c r="A1946" s="2">
        <f ca="1">IFERROR(__xludf.DUMMYFUNCTION("""COMPUTED_VALUE"""),44826.6666666666)</f>
        <v>44826.666666666599</v>
      </c>
      <c r="B1946" s="1">
        <f ca="1">IFERROR(__xludf.DUMMYFUNCTION("""COMPUTED_VALUE"""),299.86)</f>
        <v>299.86</v>
      </c>
      <c r="C1946" s="1">
        <f ca="1">IFERROR(__xludf.DUMMYFUNCTION("""COMPUTED_VALUE"""),301.29)</f>
        <v>301.29000000000002</v>
      </c>
      <c r="D1946" s="1">
        <f ca="1">IFERROR(__xludf.DUMMYFUNCTION("""COMPUTED_VALUE"""),285.82)</f>
        <v>285.82</v>
      </c>
      <c r="E1946" s="1">
        <f ca="1">IFERROR(__xludf.DUMMYFUNCTION("""COMPUTED_VALUE"""),288.59)</f>
        <v>288.58999999999997</v>
      </c>
      <c r="F1946" s="1">
        <f ca="1">IFERROR(__xludf.DUMMYFUNCTION("""COMPUTED_VALUE"""),70545413)</f>
        <v>70545413</v>
      </c>
    </row>
    <row r="1947" spans="1:6" x14ac:dyDescent="0.35">
      <c r="A1947" s="2">
        <f ca="1">IFERROR(__xludf.DUMMYFUNCTION("""COMPUTED_VALUE"""),44827.6666666666)</f>
        <v>44827.666666666599</v>
      </c>
      <c r="B1947" s="1">
        <f ca="1">IFERROR(__xludf.DUMMYFUNCTION("""COMPUTED_VALUE"""),283.09)</f>
        <v>283.08999999999997</v>
      </c>
      <c r="C1947" s="1">
        <f ca="1">IFERROR(__xludf.DUMMYFUNCTION("""COMPUTED_VALUE"""),284.5)</f>
        <v>284.5</v>
      </c>
      <c r="D1947" s="1">
        <f ca="1">IFERROR(__xludf.DUMMYFUNCTION("""COMPUTED_VALUE"""),272.82)</f>
        <v>272.82</v>
      </c>
      <c r="E1947" s="1">
        <f ca="1">IFERROR(__xludf.DUMMYFUNCTION("""COMPUTED_VALUE"""),275.33)</f>
        <v>275.33</v>
      </c>
      <c r="F1947" s="1">
        <f ca="1">IFERROR(__xludf.DUMMYFUNCTION("""COMPUTED_VALUE"""),63748362)</f>
        <v>63748362</v>
      </c>
    </row>
    <row r="1948" spans="1:6" x14ac:dyDescent="0.35">
      <c r="A1948" s="2">
        <f ca="1">IFERROR(__xludf.DUMMYFUNCTION("""COMPUTED_VALUE"""),44830.6666666666)</f>
        <v>44830.666666666599</v>
      </c>
      <c r="B1948" s="1">
        <f ca="1">IFERROR(__xludf.DUMMYFUNCTION("""COMPUTED_VALUE"""),271.83)</f>
        <v>271.83</v>
      </c>
      <c r="C1948" s="1">
        <f ca="1">IFERROR(__xludf.DUMMYFUNCTION("""COMPUTED_VALUE"""),284.09)</f>
        <v>284.08999999999997</v>
      </c>
      <c r="D1948" s="1">
        <f ca="1">IFERROR(__xludf.DUMMYFUNCTION("""COMPUTED_VALUE"""),270.31)</f>
        <v>270.31</v>
      </c>
      <c r="E1948" s="1">
        <f ca="1">IFERROR(__xludf.DUMMYFUNCTION("""COMPUTED_VALUE"""),276.01)</f>
        <v>276.01</v>
      </c>
      <c r="F1948" s="1">
        <f ca="1">IFERROR(__xludf.DUMMYFUNCTION("""COMPUTED_VALUE"""),58076913)</f>
        <v>58076913</v>
      </c>
    </row>
    <row r="1949" spans="1:6" x14ac:dyDescent="0.35">
      <c r="A1949" s="2">
        <f ca="1">IFERROR(__xludf.DUMMYFUNCTION("""COMPUTED_VALUE"""),44831.6666666666)</f>
        <v>44831.666666666599</v>
      </c>
      <c r="B1949" s="1">
        <f ca="1">IFERROR(__xludf.DUMMYFUNCTION("""COMPUTED_VALUE"""),283.84)</f>
        <v>283.83999999999997</v>
      </c>
      <c r="C1949" s="1">
        <f ca="1">IFERROR(__xludf.DUMMYFUNCTION("""COMPUTED_VALUE"""),288.67)</f>
        <v>288.67</v>
      </c>
      <c r="D1949" s="1">
        <f ca="1">IFERROR(__xludf.DUMMYFUNCTION("""COMPUTED_VALUE"""),277.51)</f>
        <v>277.51</v>
      </c>
      <c r="E1949" s="1">
        <f ca="1">IFERROR(__xludf.DUMMYFUNCTION("""COMPUTED_VALUE"""),282.94)</f>
        <v>282.94</v>
      </c>
      <c r="F1949" s="1">
        <f ca="1">IFERROR(__xludf.DUMMYFUNCTION("""COMPUTED_VALUE"""),61925185)</f>
        <v>61925185</v>
      </c>
    </row>
    <row r="1950" spans="1:6" x14ac:dyDescent="0.35">
      <c r="A1950" s="2">
        <f ca="1">IFERROR(__xludf.DUMMYFUNCTION("""COMPUTED_VALUE"""),44832.6666666666)</f>
        <v>44832.666666666599</v>
      </c>
      <c r="B1950" s="1">
        <f ca="1">IFERROR(__xludf.DUMMYFUNCTION("""COMPUTED_VALUE"""),283.08)</f>
        <v>283.08</v>
      </c>
      <c r="C1950" s="1">
        <f ca="1">IFERROR(__xludf.DUMMYFUNCTION("""COMPUTED_VALUE"""),289)</f>
        <v>289</v>
      </c>
      <c r="D1950" s="1">
        <f ca="1">IFERROR(__xludf.DUMMYFUNCTION("""COMPUTED_VALUE"""),277.57)</f>
        <v>277.57</v>
      </c>
      <c r="E1950" s="1">
        <f ca="1">IFERROR(__xludf.DUMMYFUNCTION("""COMPUTED_VALUE"""),287.81)</f>
        <v>287.81</v>
      </c>
      <c r="F1950" s="1">
        <f ca="1">IFERROR(__xludf.DUMMYFUNCTION("""COMPUTED_VALUE"""),54664809)</f>
        <v>54664809</v>
      </c>
    </row>
    <row r="1951" spans="1:6" x14ac:dyDescent="0.35">
      <c r="A1951" s="2">
        <f ca="1">IFERROR(__xludf.DUMMYFUNCTION("""COMPUTED_VALUE"""),44833.6666666666)</f>
        <v>44833.666666666599</v>
      </c>
      <c r="B1951" s="1">
        <f ca="1">IFERROR(__xludf.DUMMYFUNCTION("""COMPUTED_VALUE"""),282.76)</f>
        <v>282.76</v>
      </c>
      <c r="C1951" s="1">
        <f ca="1">IFERROR(__xludf.DUMMYFUNCTION("""COMPUTED_VALUE"""),283.65)</f>
        <v>283.64999999999998</v>
      </c>
      <c r="D1951" s="1">
        <f ca="1">IFERROR(__xludf.DUMMYFUNCTION("""COMPUTED_VALUE"""),265.78)</f>
        <v>265.77999999999997</v>
      </c>
      <c r="E1951" s="1">
        <f ca="1">IFERROR(__xludf.DUMMYFUNCTION("""COMPUTED_VALUE"""),268.21)</f>
        <v>268.20999999999998</v>
      </c>
      <c r="F1951" s="1">
        <f ca="1">IFERROR(__xludf.DUMMYFUNCTION("""COMPUTED_VALUE"""),77620642)</f>
        <v>77620642</v>
      </c>
    </row>
    <row r="1952" spans="1:6" x14ac:dyDescent="0.35">
      <c r="A1952" s="2">
        <f ca="1">IFERROR(__xludf.DUMMYFUNCTION("""COMPUTED_VALUE"""),44834.6666666666)</f>
        <v>44834.666666666599</v>
      </c>
      <c r="B1952" s="1">
        <f ca="1">IFERROR(__xludf.DUMMYFUNCTION("""COMPUTED_VALUE"""),266.15)</f>
        <v>266.14999999999998</v>
      </c>
      <c r="C1952" s="1">
        <f ca="1">IFERROR(__xludf.DUMMYFUNCTION("""COMPUTED_VALUE"""),275.57)</f>
        <v>275.57</v>
      </c>
      <c r="D1952" s="1">
        <f ca="1">IFERROR(__xludf.DUMMYFUNCTION("""COMPUTED_VALUE"""),262.47)</f>
        <v>262.47000000000003</v>
      </c>
      <c r="E1952" s="1">
        <f ca="1">IFERROR(__xludf.DUMMYFUNCTION("""COMPUTED_VALUE"""),265.25)</f>
        <v>265.25</v>
      </c>
      <c r="F1952" s="1">
        <f ca="1">IFERROR(__xludf.DUMMYFUNCTION("""COMPUTED_VALUE"""),67726598)</f>
        <v>67726598</v>
      </c>
    </row>
    <row r="1953" spans="1:6" x14ac:dyDescent="0.35">
      <c r="A1953" s="2">
        <f ca="1">IFERROR(__xludf.DUMMYFUNCTION("""COMPUTED_VALUE"""),44837.6666666666)</f>
        <v>44837.666666666599</v>
      </c>
      <c r="B1953" s="1">
        <f ca="1">IFERROR(__xludf.DUMMYFUNCTION("""COMPUTED_VALUE"""),254.5)</f>
        <v>254.5</v>
      </c>
      <c r="C1953" s="1">
        <f ca="1">IFERROR(__xludf.DUMMYFUNCTION("""COMPUTED_VALUE"""),255.16)</f>
        <v>255.16</v>
      </c>
      <c r="D1953" s="1">
        <f ca="1">IFERROR(__xludf.DUMMYFUNCTION("""COMPUTED_VALUE"""),241.01)</f>
        <v>241.01</v>
      </c>
      <c r="E1953" s="1">
        <f ca="1">IFERROR(__xludf.DUMMYFUNCTION("""COMPUTED_VALUE"""),242.4)</f>
        <v>242.4</v>
      </c>
      <c r="F1953" s="1">
        <f ca="1">IFERROR(__xludf.DUMMYFUNCTION("""COMPUTED_VALUE"""),98363541)</f>
        <v>98363541</v>
      </c>
    </row>
    <row r="1954" spans="1:6" x14ac:dyDescent="0.35">
      <c r="A1954" s="2">
        <f ca="1">IFERROR(__xludf.DUMMYFUNCTION("""COMPUTED_VALUE"""),44838.6666666666)</f>
        <v>44838.666666666599</v>
      </c>
      <c r="B1954" s="1">
        <f ca="1">IFERROR(__xludf.DUMMYFUNCTION("""COMPUTED_VALUE"""),250.52)</f>
        <v>250.52</v>
      </c>
      <c r="C1954" s="1">
        <f ca="1">IFERROR(__xludf.DUMMYFUNCTION("""COMPUTED_VALUE"""),257.5)</f>
        <v>257.5</v>
      </c>
      <c r="D1954" s="1">
        <f ca="1">IFERROR(__xludf.DUMMYFUNCTION("""COMPUTED_VALUE"""),242.01)</f>
        <v>242.01</v>
      </c>
      <c r="E1954" s="1">
        <f ca="1">IFERROR(__xludf.DUMMYFUNCTION("""COMPUTED_VALUE"""),249.44)</f>
        <v>249.44</v>
      </c>
      <c r="F1954" s="1">
        <f ca="1">IFERROR(__xludf.DUMMYFUNCTION("""COMPUTED_VALUE"""),109578535)</f>
        <v>109578535</v>
      </c>
    </row>
    <row r="1955" spans="1:6" x14ac:dyDescent="0.35">
      <c r="A1955" s="2">
        <f ca="1">IFERROR(__xludf.DUMMYFUNCTION("""COMPUTED_VALUE"""),44839.6666666666)</f>
        <v>44839.666666666599</v>
      </c>
      <c r="B1955" s="1">
        <f ca="1">IFERROR(__xludf.DUMMYFUNCTION("""COMPUTED_VALUE"""),245.01)</f>
        <v>245.01</v>
      </c>
      <c r="C1955" s="1">
        <f ca="1">IFERROR(__xludf.DUMMYFUNCTION("""COMPUTED_VALUE"""),246.67)</f>
        <v>246.67</v>
      </c>
      <c r="D1955" s="1">
        <f ca="1">IFERROR(__xludf.DUMMYFUNCTION("""COMPUTED_VALUE"""),233.27)</f>
        <v>233.27</v>
      </c>
      <c r="E1955" s="1">
        <f ca="1">IFERROR(__xludf.DUMMYFUNCTION("""COMPUTED_VALUE"""),240.81)</f>
        <v>240.81</v>
      </c>
      <c r="F1955" s="1">
        <f ca="1">IFERROR(__xludf.DUMMYFUNCTION("""COMPUTED_VALUE"""),86982673)</f>
        <v>86982673</v>
      </c>
    </row>
    <row r="1956" spans="1:6" x14ac:dyDescent="0.35">
      <c r="A1956" s="2">
        <f ca="1">IFERROR(__xludf.DUMMYFUNCTION("""COMPUTED_VALUE"""),44840.6666666666)</f>
        <v>44840.666666666599</v>
      </c>
      <c r="B1956" s="1">
        <f ca="1">IFERROR(__xludf.DUMMYFUNCTION("""COMPUTED_VALUE"""),239.44)</f>
        <v>239.44</v>
      </c>
      <c r="C1956" s="1">
        <f ca="1">IFERROR(__xludf.DUMMYFUNCTION("""COMPUTED_VALUE"""),244.58)</f>
        <v>244.58</v>
      </c>
      <c r="D1956" s="1">
        <f ca="1">IFERROR(__xludf.DUMMYFUNCTION("""COMPUTED_VALUE"""),235.35)</f>
        <v>235.35</v>
      </c>
      <c r="E1956" s="1">
        <f ca="1">IFERROR(__xludf.DUMMYFUNCTION("""COMPUTED_VALUE"""),238.13)</f>
        <v>238.13</v>
      </c>
      <c r="F1956" s="1">
        <f ca="1">IFERROR(__xludf.DUMMYFUNCTION("""COMPUTED_VALUE"""),69298437)</f>
        <v>69298437</v>
      </c>
    </row>
    <row r="1957" spans="1:6" x14ac:dyDescent="0.35">
      <c r="A1957" s="2">
        <f ca="1">IFERROR(__xludf.DUMMYFUNCTION("""COMPUTED_VALUE"""),44841.6666666666)</f>
        <v>44841.666666666599</v>
      </c>
      <c r="B1957" s="1">
        <f ca="1">IFERROR(__xludf.DUMMYFUNCTION("""COMPUTED_VALUE"""),233.94)</f>
        <v>233.94</v>
      </c>
      <c r="C1957" s="1">
        <f ca="1">IFERROR(__xludf.DUMMYFUNCTION("""COMPUTED_VALUE"""),234.57)</f>
        <v>234.57</v>
      </c>
      <c r="D1957" s="1">
        <f ca="1">IFERROR(__xludf.DUMMYFUNCTION("""COMPUTED_VALUE"""),222.02)</f>
        <v>222.02</v>
      </c>
      <c r="E1957" s="1">
        <f ca="1">IFERROR(__xludf.DUMMYFUNCTION("""COMPUTED_VALUE"""),223.07)</f>
        <v>223.07</v>
      </c>
      <c r="F1957" s="1">
        <f ca="1">IFERROR(__xludf.DUMMYFUNCTION("""COMPUTED_VALUE"""),83916800)</f>
        <v>83916800</v>
      </c>
    </row>
    <row r="1958" spans="1:6" x14ac:dyDescent="0.35">
      <c r="A1958" s="2">
        <f ca="1">IFERROR(__xludf.DUMMYFUNCTION("""COMPUTED_VALUE"""),44844.6666666666)</f>
        <v>44844.666666666599</v>
      </c>
      <c r="B1958" s="1">
        <f ca="1">IFERROR(__xludf.DUMMYFUNCTION("""COMPUTED_VALUE"""),223.93)</f>
        <v>223.93</v>
      </c>
      <c r="C1958" s="1">
        <f ca="1">IFERROR(__xludf.DUMMYFUNCTION("""COMPUTED_VALUE"""),226.99)</f>
        <v>226.99</v>
      </c>
      <c r="D1958" s="1">
        <f ca="1">IFERROR(__xludf.DUMMYFUNCTION("""COMPUTED_VALUE"""),218.36)</f>
        <v>218.36</v>
      </c>
      <c r="E1958" s="1">
        <f ca="1">IFERROR(__xludf.DUMMYFUNCTION("""COMPUTED_VALUE"""),222.96)</f>
        <v>222.96</v>
      </c>
      <c r="F1958" s="1">
        <f ca="1">IFERROR(__xludf.DUMMYFUNCTION("""COMPUTED_VALUE"""),67925018)</f>
        <v>67925018</v>
      </c>
    </row>
    <row r="1959" spans="1:6" x14ac:dyDescent="0.35">
      <c r="A1959" s="2">
        <f ca="1">IFERROR(__xludf.DUMMYFUNCTION("""COMPUTED_VALUE"""),44845.6666666666)</f>
        <v>44845.666666666599</v>
      </c>
      <c r="B1959" s="1">
        <f ca="1">IFERROR(__xludf.DUMMYFUNCTION("""COMPUTED_VALUE"""),220.95)</f>
        <v>220.95</v>
      </c>
      <c r="C1959" s="1">
        <f ca="1">IFERROR(__xludf.DUMMYFUNCTION("""COMPUTED_VALUE"""),225.75)</f>
        <v>225.75</v>
      </c>
      <c r="D1959" s="1">
        <f ca="1">IFERROR(__xludf.DUMMYFUNCTION("""COMPUTED_VALUE"""),215)</f>
        <v>215</v>
      </c>
      <c r="E1959" s="1">
        <f ca="1">IFERROR(__xludf.DUMMYFUNCTION("""COMPUTED_VALUE"""),216.5)</f>
        <v>216.5</v>
      </c>
      <c r="F1959" s="1">
        <f ca="1">IFERROR(__xludf.DUMMYFUNCTION("""COMPUTED_VALUE"""),77013202)</f>
        <v>77013202</v>
      </c>
    </row>
    <row r="1960" spans="1:6" x14ac:dyDescent="0.35">
      <c r="A1960" s="2">
        <f ca="1">IFERROR(__xludf.DUMMYFUNCTION("""COMPUTED_VALUE"""),44846.6666666666)</f>
        <v>44846.666666666599</v>
      </c>
      <c r="B1960" s="1">
        <f ca="1">IFERROR(__xludf.DUMMYFUNCTION("""COMPUTED_VALUE"""),215.33)</f>
        <v>215.33</v>
      </c>
      <c r="C1960" s="1">
        <f ca="1">IFERROR(__xludf.DUMMYFUNCTION("""COMPUTED_VALUE"""),219.3)</f>
        <v>219.3</v>
      </c>
      <c r="D1960" s="1">
        <f ca="1">IFERROR(__xludf.DUMMYFUNCTION("""COMPUTED_VALUE"""),211.51)</f>
        <v>211.51</v>
      </c>
      <c r="E1960" s="1">
        <f ca="1">IFERROR(__xludf.DUMMYFUNCTION("""COMPUTED_VALUE"""),217.24)</f>
        <v>217.24</v>
      </c>
      <c r="F1960" s="1">
        <f ca="1">IFERROR(__xludf.DUMMYFUNCTION("""COMPUTED_VALUE"""),66860699)</f>
        <v>66860699</v>
      </c>
    </row>
    <row r="1961" spans="1:6" x14ac:dyDescent="0.35">
      <c r="A1961" s="2">
        <f ca="1">IFERROR(__xludf.DUMMYFUNCTION("""COMPUTED_VALUE"""),44847.6666666666)</f>
        <v>44847.666666666599</v>
      </c>
      <c r="B1961" s="1">
        <f ca="1">IFERROR(__xludf.DUMMYFUNCTION("""COMPUTED_VALUE"""),208.3)</f>
        <v>208.3</v>
      </c>
      <c r="C1961" s="1">
        <f ca="1">IFERROR(__xludf.DUMMYFUNCTION("""COMPUTED_VALUE"""),222.99)</f>
        <v>222.99</v>
      </c>
      <c r="D1961" s="1">
        <f ca="1">IFERROR(__xludf.DUMMYFUNCTION("""COMPUTED_VALUE"""),206.22)</f>
        <v>206.22</v>
      </c>
      <c r="E1961" s="1">
        <f ca="1">IFERROR(__xludf.DUMMYFUNCTION("""COMPUTED_VALUE"""),221.72)</f>
        <v>221.72</v>
      </c>
      <c r="F1961" s="1">
        <f ca="1">IFERROR(__xludf.DUMMYFUNCTION("""COMPUTED_VALUE"""),91483045)</f>
        <v>91483045</v>
      </c>
    </row>
    <row r="1962" spans="1:6" x14ac:dyDescent="0.35">
      <c r="A1962" s="2">
        <f ca="1">IFERROR(__xludf.DUMMYFUNCTION("""COMPUTED_VALUE"""),44848.6666666666)</f>
        <v>44848.666666666599</v>
      </c>
      <c r="B1962" s="1">
        <f ca="1">IFERROR(__xludf.DUMMYFUNCTION("""COMPUTED_VALUE"""),224.01)</f>
        <v>224.01</v>
      </c>
      <c r="C1962" s="1">
        <f ca="1">IFERROR(__xludf.DUMMYFUNCTION("""COMPUTED_VALUE"""),226.26)</f>
        <v>226.26</v>
      </c>
      <c r="D1962" s="1">
        <f ca="1">IFERROR(__xludf.DUMMYFUNCTION("""COMPUTED_VALUE"""),204.16)</f>
        <v>204.16</v>
      </c>
      <c r="E1962" s="1">
        <f ca="1">IFERROR(__xludf.DUMMYFUNCTION("""COMPUTED_VALUE"""),204.99)</f>
        <v>204.99</v>
      </c>
      <c r="F1962" s="1">
        <f ca="1">IFERROR(__xludf.DUMMYFUNCTION("""COMPUTED_VALUE"""),94124511)</f>
        <v>94124511</v>
      </c>
    </row>
    <row r="1963" spans="1:6" x14ac:dyDescent="0.35">
      <c r="A1963" s="2">
        <f ca="1">IFERROR(__xludf.DUMMYFUNCTION("""COMPUTED_VALUE"""),44851.6666666666)</f>
        <v>44851.666666666599</v>
      </c>
      <c r="B1963" s="1">
        <f ca="1">IFERROR(__xludf.DUMMYFUNCTION("""COMPUTED_VALUE"""),210.04)</f>
        <v>210.04</v>
      </c>
      <c r="C1963" s="1">
        <f ca="1">IFERROR(__xludf.DUMMYFUNCTION("""COMPUTED_VALUE"""),221.86)</f>
        <v>221.86</v>
      </c>
      <c r="D1963" s="1">
        <f ca="1">IFERROR(__xludf.DUMMYFUNCTION("""COMPUTED_VALUE"""),209.45)</f>
        <v>209.45</v>
      </c>
      <c r="E1963" s="1">
        <f ca="1">IFERROR(__xludf.DUMMYFUNCTION("""COMPUTED_VALUE"""),219.35)</f>
        <v>219.35</v>
      </c>
      <c r="F1963" s="1">
        <f ca="1">IFERROR(__xludf.DUMMYFUNCTION("""COMPUTED_VALUE"""),79428810)</f>
        <v>79428810</v>
      </c>
    </row>
    <row r="1964" spans="1:6" x14ac:dyDescent="0.35">
      <c r="A1964" s="2">
        <f ca="1">IFERROR(__xludf.DUMMYFUNCTION("""COMPUTED_VALUE"""),44852.6666666666)</f>
        <v>44852.666666666599</v>
      </c>
      <c r="B1964" s="1">
        <f ca="1">IFERROR(__xludf.DUMMYFUNCTION("""COMPUTED_VALUE"""),229.5)</f>
        <v>229.5</v>
      </c>
      <c r="C1964" s="1">
        <f ca="1">IFERROR(__xludf.DUMMYFUNCTION("""COMPUTED_VALUE"""),229.82)</f>
        <v>229.82</v>
      </c>
      <c r="D1964" s="1">
        <f ca="1">IFERROR(__xludf.DUMMYFUNCTION("""COMPUTED_VALUE"""),217.25)</f>
        <v>217.25</v>
      </c>
      <c r="E1964" s="1">
        <f ca="1">IFERROR(__xludf.DUMMYFUNCTION("""COMPUTED_VALUE"""),220.19)</f>
        <v>220.19</v>
      </c>
      <c r="F1964" s="1">
        <f ca="1">IFERROR(__xludf.DUMMYFUNCTION("""COMPUTED_VALUE"""),75891905)</f>
        <v>75891905</v>
      </c>
    </row>
    <row r="1965" spans="1:6" x14ac:dyDescent="0.35">
      <c r="A1965" s="2">
        <f ca="1">IFERROR(__xludf.DUMMYFUNCTION("""COMPUTED_VALUE"""),44853.6666666666)</f>
        <v>44853.666666666599</v>
      </c>
      <c r="B1965" s="1">
        <f ca="1">IFERROR(__xludf.DUMMYFUNCTION("""COMPUTED_VALUE"""),219.8)</f>
        <v>219.8</v>
      </c>
      <c r="C1965" s="1">
        <f ca="1">IFERROR(__xludf.DUMMYFUNCTION("""COMPUTED_VALUE"""),222.93)</f>
        <v>222.93</v>
      </c>
      <c r="D1965" s="1">
        <f ca="1">IFERROR(__xludf.DUMMYFUNCTION("""COMPUTED_VALUE"""),217.78)</f>
        <v>217.78</v>
      </c>
      <c r="E1965" s="1">
        <f ca="1">IFERROR(__xludf.DUMMYFUNCTION("""COMPUTED_VALUE"""),222.04)</f>
        <v>222.04</v>
      </c>
      <c r="F1965" s="1">
        <f ca="1">IFERROR(__xludf.DUMMYFUNCTION("""COMPUTED_VALUE"""),66571479)</f>
        <v>66571479</v>
      </c>
    </row>
    <row r="1966" spans="1:6" x14ac:dyDescent="0.35">
      <c r="A1966" s="2">
        <f ca="1">IFERROR(__xludf.DUMMYFUNCTION("""COMPUTED_VALUE"""),44854.6666666666)</f>
        <v>44854.666666666599</v>
      </c>
      <c r="B1966" s="1">
        <f ca="1">IFERROR(__xludf.DUMMYFUNCTION("""COMPUTED_VALUE"""),208.28)</f>
        <v>208.28</v>
      </c>
      <c r="C1966" s="1">
        <f ca="1">IFERROR(__xludf.DUMMYFUNCTION("""COMPUTED_VALUE"""),215.55)</f>
        <v>215.55</v>
      </c>
      <c r="D1966" s="1">
        <f ca="1">IFERROR(__xludf.DUMMYFUNCTION("""COMPUTED_VALUE"""),202)</f>
        <v>202</v>
      </c>
      <c r="E1966" s="1">
        <f ca="1">IFERROR(__xludf.DUMMYFUNCTION("""COMPUTED_VALUE"""),207.28)</f>
        <v>207.28</v>
      </c>
      <c r="F1966" s="1">
        <f ca="1">IFERROR(__xludf.DUMMYFUNCTION("""COMPUTED_VALUE"""),117798062)</f>
        <v>117798062</v>
      </c>
    </row>
    <row r="1967" spans="1:6" x14ac:dyDescent="0.35">
      <c r="A1967" s="2">
        <f ca="1">IFERROR(__xludf.DUMMYFUNCTION("""COMPUTED_VALUE"""),44855.6666666666)</f>
        <v>44855.666666666599</v>
      </c>
      <c r="B1967" s="1">
        <f ca="1">IFERROR(__xludf.DUMMYFUNCTION("""COMPUTED_VALUE"""),206.42)</f>
        <v>206.42</v>
      </c>
      <c r="C1967" s="1">
        <f ca="1">IFERROR(__xludf.DUMMYFUNCTION("""COMPUTED_VALUE"""),214.66)</f>
        <v>214.66</v>
      </c>
      <c r="D1967" s="1">
        <f ca="1">IFERROR(__xludf.DUMMYFUNCTION("""COMPUTED_VALUE"""),203.8)</f>
        <v>203.8</v>
      </c>
      <c r="E1967" s="1">
        <f ca="1">IFERROR(__xludf.DUMMYFUNCTION("""COMPUTED_VALUE"""),214.44)</f>
        <v>214.44</v>
      </c>
      <c r="F1967" s="1">
        <f ca="1">IFERROR(__xludf.DUMMYFUNCTION("""COMPUTED_VALUE"""),75713754)</f>
        <v>75713754</v>
      </c>
    </row>
    <row r="1968" spans="1:6" x14ac:dyDescent="0.35">
      <c r="A1968" s="2">
        <f ca="1">IFERROR(__xludf.DUMMYFUNCTION("""COMPUTED_VALUE"""),44858.6666666666)</f>
        <v>44858.666666666599</v>
      </c>
      <c r="B1968" s="1">
        <f ca="1">IFERROR(__xludf.DUMMYFUNCTION("""COMPUTED_VALUE"""),205.82)</f>
        <v>205.82</v>
      </c>
      <c r="C1968" s="1">
        <f ca="1">IFERROR(__xludf.DUMMYFUNCTION("""COMPUTED_VALUE"""),213.5)</f>
        <v>213.5</v>
      </c>
      <c r="D1968" s="1">
        <f ca="1">IFERROR(__xludf.DUMMYFUNCTION("""COMPUTED_VALUE"""),198.59)</f>
        <v>198.59</v>
      </c>
      <c r="E1968" s="1">
        <f ca="1">IFERROR(__xludf.DUMMYFUNCTION("""COMPUTED_VALUE"""),211.25)</f>
        <v>211.25</v>
      </c>
      <c r="F1968" s="1">
        <f ca="1">IFERROR(__xludf.DUMMYFUNCTION("""COMPUTED_VALUE"""),100446765)</f>
        <v>100446765</v>
      </c>
    </row>
    <row r="1969" spans="1:6" x14ac:dyDescent="0.35">
      <c r="A1969" s="2">
        <f ca="1">IFERROR(__xludf.DUMMYFUNCTION("""COMPUTED_VALUE"""),44859.6666666666)</f>
        <v>44859.666666666599</v>
      </c>
      <c r="B1969" s="1">
        <f ca="1">IFERROR(__xludf.DUMMYFUNCTION("""COMPUTED_VALUE"""),210.1)</f>
        <v>210.1</v>
      </c>
      <c r="C1969" s="1">
        <f ca="1">IFERROR(__xludf.DUMMYFUNCTION("""COMPUTED_VALUE"""),224.35)</f>
        <v>224.35</v>
      </c>
      <c r="D1969" s="1">
        <f ca="1">IFERROR(__xludf.DUMMYFUNCTION("""COMPUTED_VALUE"""),210)</f>
        <v>210</v>
      </c>
      <c r="E1969" s="1">
        <f ca="1">IFERROR(__xludf.DUMMYFUNCTION("""COMPUTED_VALUE"""),222.42)</f>
        <v>222.42</v>
      </c>
      <c r="F1969" s="1">
        <f ca="1">IFERROR(__xludf.DUMMYFUNCTION("""COMPUTED_VALUE"""),96507870)</f>
        <v>96507870</v>
      </c>
    </row>
    <row r="1970" spans="1:6" x14ac:dyDescent="0.35">
      <c r="A1970" s="2">
        <f ca="1">IFERROR(__xludf.DUMMYFUNCTION("""COMPUTED_VALUE"""),44860.6666666666)</f>
        <v>44860.666666666599</v>
      </c>
      <c r="B1970" s="1">
        <f ca="1">IFERROR(__xludf.DUMMYFUNCTION("""COMPUTED_VALUE"""),219.4)</f>
        <v>219.4</v>
      </c>
      <c r="C1970" s="1">
        <f ca="1">IFERROR(__xludf.DUMMYFUNCTION("""COMPUTED_VALUE"""),230.6)</f>
        <v>230.6</v>
      </c>
      <c r="D1970" s="1">
        <f ca="1">IFERROR(__xludf.DUMMYFUNCTION("""COMPUTED_VALUE"""),218.2)</f>
        <v>218.2</v>
      </c>
      <c r="E1970" s="1">
        <f ca="1">IFERROR(__xludf.DUMMYFUNCTION("""COMPUTED_VALUE"""),224.64)</f>
        <v>224.64</v>
      </c>
      <c r="F1970" s="1">
        <f ca="1">IFERROR(__xludf.DUMMYFUNCTION("""COMPUTED_VALUE"""),85327078)</f>
        <v>85327078</v>
      </c>
    </row>
    <row r="1971" spans="1:6" x14ac:dyDescent="0.35">
      <c r="A1971" s="2">
        <f ca="1">IFERROR(__xludf.DUMMYFUNCTION("""COMPUTED_VALUE"""),44861.6666666666)</f>
        <v>44861.666666666599</v>
      </c>
      <c r="B1971" s="1">
        <f ca="1">IFERROR(__xludf.DUMMYFUNCTION("""COMPUTED_VALUE"""),229.77)</f>
        <v>229.77</v>
      </c>
      <c r="C1971" s="1">
        <f ca="1">IFERROR(__xludf.DUMMYFUNCTION("""COMPUTED_VALUE"""),233.81)</f>
        <v>233.81</v>
      </c>
      <c r="D1971" s="1">
        <f ca="1">IFERROR(__xludf.DUMMYFUNCTION("""COMPUTED_VALUE"""),222.85)</f>
        <v>222.85</v>
      </c>
      <c r="E1971" s="1">
        <f ca="1">IFERROR(__xludf.DUMMYFUNCTION("""COMPUTED_VALUE"""),225.09)</f>
        <v>225.09</v>
      </c>
      <c r="F1971" s="1">
        <f ca="1">IFERROR(__xludf.DUMMYFUNCTION("""COMPUTED_VALUE"""),61638824)</f>
        <v>61638824</v>
      </c>
    </row>
    <row r="1972" spans="1:6" x14ac:dyDescent="0.35">
      <c r="A1972" s="2">
        <f ca="1">IFERROR(__xludf.DUMMYFUNCTION("""COMPUTED_VALUE"""),44862.6666666666)</f>
        <v>44862.666666666599</v>
      </c>
      <c r="B1972" s="1">
        <f ca="1">IFERROR(__xludf.DUMMYFUNCTION("""COMPUTED_VALUE"""),225.4)</f>
        <v>225.4</v>
      </c>
      <c r="C1972" s="1">
        <f ca="1">IFERROR(__xludf.DUMMYFUNCTION("""COMPUTED_VALUE"""),228.86)</f>
        <v>228.86</v>
      </c>
      <c r="D1972" s="1">
        <f ca="1">IFERROR(__xludf.DUMMYFUNCTION("""COMPUTED_VALUE"""),216.35)</f>
        <v>216.35</v>
      </c>
      <c r="E1972" s="1">
        <f ca="1">IFERROR(__xludf.DUMMYFUNCTION("""COMPUTED_VALUE"""),228.52)</f>
        <v>228.52</v>
      </c>
      <c r="F1972" s="1">
        <f ca="1">IFERROR(__xludf.DUMMYFUNCTION("""COMPUTED_VALUE"""),69152386)</f>
        <v>69152386</v>
      </c>
    </row>
    <row r="1973" spans="1:6" x14ac:dyDescent="0.35">
      <c r="A1973" s="2">
        <f ca="1">IFERROR(__xludf.DUMMYFUNCTION("""COMPUTED_VALUE"""),44865.6666666666)</f>
        <v>44865.666666666599</v>
      </c>
      <c r="B1973" s="1">
        <f ca="1">IFERROR(__xludf.DUMMYFUNCTION("""COMPUTED_VALUE"""),226.19)</f>
        <v>226.19</v>
      </c>
      <c r="C1973" s="1">
        <f ca="1">IFERROR(__xludf.DUMMYFUNCTION("""COMPUTED_VALUE"""),229.85)</f>
        <v>229.85</v>
      </c>
      <c r="D1973" s="1">
        <f ca="1">IFERROR(__xludf.DUMMYFUNCTION("""COMPUTED_VALUE"""),221.94)</f>
        <v>221.94</v>
      </c>
      <c r="E1973" s="1">
        <f ca="1">IFERROR(__xludf.DUMMYFUNCTION("""COMPUTED_VALUE"""),227.54)</f>
        <v>227.54</v>
      </c>
      <c r="F1973" s="1">
        <f ca="1">IFERROR(__xludf.DUMMYFUNCTION("""COMPUTED_VALUE"""),61554341)</f>
        <v>61554341</v>
      </c>
    </row>
    <row r="1974" spans="1:6" x14ac:dyDescent="0.35">
      <c r="A1974" s="2">
        <f ca="1">IFERROR(__xludf.DUMMYFUNCTION("""COMPUTED_VALUE"""),44866.6666666666)</f>
        <v>44866.666666666599</v>
      </c>
      <c r="B1974" s="1">
        <f ca="1">IFERROR(__xludf.DUMMYFUNCTION("""COMPUTED_VALUE"""),234.05)</f>
        <v>234.05</v>
      </c>
      <c r="C1974" s="1">
        <f ca="1">IFERROR(__xludf.DUMMYFUNCTION("""COMPUTED_VALUE"""),237.4)</f>
        <v>237.4</v>
      </c>
      <c r="D1974" s="1">
        <f ca="1">IFERROR(__xludf.DUMMYFUNCTION("""COMPUTED_VALUE"""),227.28)</f>
        <v>227.28</v>
      </c>
      <c r="E1974" s="1">
        <f ca="1">IFERROR(__xludf.DUMMYFUNCTION("""COMPUTED_VALUE"""),227.82)</f>
        <v>227.82</v>
      </c>
      <c r="F1974" s="1">
        <f ca="1">IFERROR(__xludf.DUMMYFUNCTION("""COMPUTED_VALUE"""),62688822)</f>
        <v>62688822</v>
      </c>
    </row>
    <row r="1975" spans="1:6" x14ac:dyDescent="0.35">
      <c r="A1975" s="2">
        <f ca="1">IFERROR(__xludf.DUMMYFUNCTION("""COMPUTED_VALUE"""),44867.6666666666)</f>
        <v>44867.666666666599</v>
      </c>
      <c r="B1975" s="1">
        <f ca="1">IFERROR(__xludf.DUMMYFUNCTION("""COMPUTED_VALUE"""),226.04)</f>
        <v>226.04</v>
      </c>
      <c r="C1975" s="1">
        <f ca="1">IFERROR(__xludf.DUMMYFUNCTION("""COMPUTED_VALUE"""),227.87)</f>
        <v>227.87</v>
      </c>
      <c r="D1975" s="1">
        <f ca="1">IFERROR(__xludf.DUMMYFUNCTION("""COMPUTED_VALUE"""),214.82)</f>
        <v>214.82</v>
      </c>
      <c r="E1975" s="1">
        <f ca="1">IFERROR(__xludf.DUMMYFUNCTION("""COMPUTED_VALUE"""),214.98)</f>
        <v>214.98</v>
      </c>
      <c r="F1975" s="1">
        <f ca="1">IFERROR(__xludf.DUMMYFUNCTION("""COMPUTED_VALUE"""),63070293)</f>
        <v>63070293</v>
      </c>
    </row>
    <row r="1976" spans="1:6" x14ac:dyDescent="0.35">
      <c r="A1976" s="2">
        <f ca="1">IFERROR(__xludf.DUMMYFUNCTION("""COMPUTED_VALUE"""),44868.6666666666)</f>
        <v>44868.666666666599</v>
      </c>
      <c r="B1976" s="1">
        <f ca="1">IFERROR(__xludf.DUMMYFUNCTION("""COMPUTED_VALUE"""),211.36)</f>
        <v>211.36</v>
      </c>
      <c r="C1976" s="1">
        <f ca="1">IFERROR(__xludf.DUMMYFUNCTION("""COMPUTED_VALUE"""),221.2)</f>
        <v>221.2</v>
      </c>
      <c r="D1976" s="1">
        <f ca="1">IFERROR(__xludf.DUMMYFUNCTION("""COMPUTED_VALUE"""),210.14)</f>
        <v>210.14</v>
      </c>
      <c r="E1976" s="1">
        <f ca="1">IFERROR(__xludf.DUMMYFUNCTION("""COMPUTED_VALUE"""),215.31)</f>
        <v>215.31</v>
      </c>
      <c r="F1976" s="1">
        <f ca="1">IFERROR(__xludf.DUMMYFUNCTION("""COMPUTED_VALUE"""),56538848)</f>
        <v>56538848</v>
      </c>
    </row>
    <row r="1977" spans="1:6" x14ac:dyDescent="0.35">
      <c r="A1977" s="2">
        <f ca="1">IFERROR(__xludf.DUMMYFUNCTION("""COMPUTED_VALUE"""),44869.6666666666)</f>
        <v>44869.666666666599</v>
      </c>
      <c r="B1977" s="1">
        <f ca="1">IFERROR(__xludf.DUMMYFUNCTION("""COMPUTED_VALUE"""),222.6)</f>
        <v>222.6</v>
      </c>
      <c r="C1977" s="1">
        <f ca="1">IFERROR(__xludf.DUMMYFUNCTION("""COMPUTED_VALUE"""),223.8)</f>
        <v>223.8</v>
      </c>
      <c r="D1977" s="1">
        <f ca="1">IFERROR(__xludf.DUMMYFUNCTION("""COMPUTED_VALUE"""),203.08)</f>
        <v>203.08</v>
      </c>
      <c r="E1977" s="1">
        <f ca="1">IFERROR(__xludf.DUMMYFUNCTION("""COMPUTED_VALUE"""),207.47)</f>
        <v>207.47</v>
      </c>
      <c r="F1977" s="1">
        <f ca="1">IFERROR(__xludf.DUMMYFUNCTION("""COMPUTED_VALUE"""),98622212)</f>
        <v>98622212</v>
      </c>
    </row>
    <row r="1978" spans="1:6" x14ac:dyDescent="0.35">
      <c r="A1978" s="2">
        <f ca="1">IFERROR(__xludf.DUMMYFUNCTION("""COMPUTED_VALUE"""),44872.6666666666)</f>
        <v>44872.666666666599</v>
      </c>
      <c r="B1978" s="1">
        <f ca="1">IFERROR(__xludf.DUMMYFUNCTION("""COMPUTED_VALUE"""),208.65)</f>
        <v>208.65</v>
      </c>
      <c r="C1978" s="1">
        <f ca="1">IFERROR(__xludf.DUMMYFUNCTION("""COMPUTED_VALUE"""),208.9)</f>
        <v>208.9</v>
      </c>
      <c r="D1978" s="1">
        <f ca="1">IFERROR(__xludf.DUMMYFUNCTION("""COMPUTED_VALUE"""),196.66)</f>
        <v>196.66</v>
      </c>
      <c r="E1978" s="1">
        <f ca="1">IFERROR(__xludf.DUMMYFUNCTION("""COMPUTED_VALUE"""),197.08)</f>
        <v>197.08</v>
      </c>
      <c r="F1978" s="1">
        <f ca="1">IFERROR(__xludf.DUMMYFUNCTION("""COMPUTED_VALUE"""),93916520)</f>
        <v>93916520</v>
      </c>
    </row>
    <row r="1979" spans="1:6" x14ac:dyDescent="0.35">
      <c r="A1979" s="2">
        <f ca="1">IFERROR(__xludf.DUMMYFUNCTION("""COMPUTED_VALUE"""),44873.6666666666)</f>
        <v>44873.666666666599</v>
      </c>
      <c r="B1979" s="1">
        <f ca="1">IFERROR(__xludf.DUMMYFUNCTION("""COMPUTED_VALUE"""),194.02)</f>
        <v>194.02</v>
      </c>
      <c r="C1979" s="1">
        <f ca="1">IFERROR(__xludf.DUMMYFUNCTION("""COMPUTED_VALUE"""),195.2)</f>
        <v>195.2</v>
      </c>
      <c r="D1979" s="1">
        <f ca="1">IFERROR(__xludf.DUMMYFUNCTION("""COMPUTED_VALUE"""),186.75)</f>
        <v>186.75</v>
      </c>
      <c r="E1979" s="1">
        <f ca="1">IFERROR(__xludf.DUMMYFUNCTION("""COMPUTED_VALUE"""),191.3)</f>
        <v>191.3</v>
      </c>
      <c r="F1979" s="1">
        <f ca="1">IFERROR(__xludf.DUMMYFUNCTION("""COMPUTED_VALUE"""),128803404)</f>
        <v>128803404</v>
      </c>
    </row>
    <row r="1980" spans="1:6" x14ac:dyDescent="0.35">
      <c r="A1980" s="2">
        <f ca="1">IFERROR(__xludf.DUMMYFUNCTION("""COMPUTED_VALUE"""),44874.6666666666)</f>
        <v>44874.666666666599</v>
      </c>
      <c r="B1980" s="1">
        <f ca="1">IFERROR(__xludf.DUMMYFUNCTION("""COMPUTED_VALUE"""),190.78)</f>
        <v>190.78</v>
      </c>
      <c r="C1980" s="1">
        <f ca="1">IFERROR(__xludf.DUMMYFUNCTION("""COMPUTED_VALUE"""),195.89)</f>
        <v>195.89</v>
      </c>
      <c r="D1980" s="1">
        <f ca="1">IFERROR(__xludf.DUMMYFUNCTION("""COMPUTED_VALUE"""),177.12)</f>
        <v>177.12</v>
      </c>
      <c r="E1980" s="1">
        <f ca="1">IFERROR(__xludf.DUMMYFUNCTION("""COMPUTED_VALUE"""),177.59)</f>
        <v>177.59</v>
      </c>
      <c r="F1980" s="1">
        <f ca="1">IFERROR(__xludf.DUMMYFUNCTION("""COMPUTED_VALUE"""),127062659)</f>
        <v>127062659</v>
      </c>
    </row>
    <row r="1981" spans="1:6" x14ac:dyDescent="0.35">
      <c r="A1981" s="2">
        <f ca="1">IFERROR(__xludf.DUMMYFUNCTION("""COMPUTED_VALUE"""),44875.6666666666)</f>
        <v>44875.666666666599</v>
      </c>
      <c r="B1981" s="1">
        <f ca="1">IFERROR(__xludf.DUMMYFUNCTION("""COMPUTED_VALUE"""),189.9)</f>
        <v>189.9</v>
      </c>
      <c r="C1981" s="1">
        <f ca="1">IFERROR(__xludf.DUMMYFUNCTION("""COMPUTED_VALUE"""),191)</f>
        <v>191</v>
      </c>
      <c r="D1981" s="1">
        <f ca="1">IFERROR(__xludf.DUMMYFUNCTION("""COMPUTED_VALUE"""),180.03)</f>
        <v>180.03</v>
      </c>
      <c r="E1981" s="1">
        <f ca="1">IFERROR(__xludf.DUMMYFUNCTION("""COMPUTED_VALUE"""),190.72)</f>
        <v>190.72</v>
      </c>
      <c r="F1981" s="1">
        <f ca="1">IFERROR(__xludf.DUMMYFUNCTION("""COMPUTED_VALUE"""),132703015)</f>
        <v>132703015</v>
      </c>
    </row>
    <row r="1982" spans="1:6" x14ac:dyDescent="0.35">
      <c r="A1982" s="2">
        <f ca="1">IFERROR(__xludf.DUMMYFUNCTION("""COMPUTED_VALUE"""),44876.6666666666)</f>
        <v>44876.666666666599</v>
      </c>
      <c r="B1982" s="1">
        <f ca="1">IFERROR(__xludf.DUMMYFUNCTION("""COMPUTED_VALUE"""),186)</f>
        <v>186</v>
      </c>
      <c r="C1982" s="1">
        <f ca="1">IFERROR(__xludf.DUMMYFUNCTION("""COMPUTED_VALUE"""),196.52)</f>
        <v>196.52</v>
      </c>
      <c r="D1982" s="1">
        <f ca="1">IFERROR(__xludf.DUMMYFUNCTION("""COMPUTED_VALUE"""),182.59)</f>
        <v>182.59</v>
      </c>
      <c r="E1982" s="1">
        <f ca="1">IFERROR(__xludf.DUMMYFUNCTION("""COMPUTED_VALUE"""),195.97)</f>
        <v>195.97</v>
      </c>
      <c r="F1982" s="1">
        <f ca="1">IFERROR(__xludf.DUMMYFUNCTION("""COMPUTED_VALUE"""),114403575)</f>
        <v>114403575</v>
      </c>
    </row>
    <row r="1983" spans="1:6" x14ac:dyDescent="0.35">
      <c r="A1983" s="2">
        <f ca="1">IFERROR(__xludf.DUMMYFUNCTION("""COMPUTED_VALUE"""),44879.6666666666)</f>
        <v>44879.666666666599</v>
      </c>
      <c r="B1983" s="1">
        <f ca="1">IFERROR(__xludf.DUMMYFUNCTION("""COMPUTED_VALUE"""),192.77)</f>
        <v>192.77</v>
      </c>
      <c r="C1983" s="1">
        <f ca="1">IFERROR(__xludf.DUMMYFUNCTION("""COMPUTED_VALUE"""),195.73)</f>
        <v>195.73</v>
      </c>
      <c r="D1983" s="1">
        <f ca="1">IFERROR(__xludf.DUMMYFUNCTION("""COMPUTED_VALUE"""),186.34)</f>
        <v>186.34</v>
      </c>
      <c r="E1983" s="1">
        <f ca="1">IFERROR(__xludf.DUMMYFUNCTION("""COMPUTED_VALUE"""),190.95)</f>
        <v>190.95</v>
      </c>
      <c r="F1983" s="1">
        <f ca="1">IFERROR(__xludf.DUMMYFUNCTION("""COMPUTED_VALUE"""),92226649)</f>
        <v>92226649</v>
      </c>
    </row>
    <row r="1984" spans="1:6" x14ac:dyDescent="0.35">
      <c r="A1984" s="2">
        <f ca="1">IFERROR(__xludf.DUMMYFUNCTION("""COMPUTED_VALUE"""),44880.6666666666)</f>
        <v>44880.666666666599</v>
      </c>
      <c r="B1984" s="1">
        <f ca="1">IFERROR(__xludf.DUMMYFUNCTION("""COMPUTED_VALUE"""),195.88)</f>
        <v>195.88</v>
      </c>
      <c r="C1984" s="1">
        <f ca="1">IFERROR(__xludf.DUMMYFUNCTION("""COMPUTED_VALUE"""),200.82)</f>
        <v>200.82</v>
      </c>
      <c r="D1984" s="1">
        <f ca="1">IFERROR(__xludf.DUMMYFUNCTION("""COMPUTED_VALUE"""),192.06)</f>
        <v>192.06</v>
      </c>
      <c r="E1984" s="1">
        <f ca="1">IFERROR(__xludf.DUMMYFUNCTION("""COMPUTED_VALUE"""),194.42)</f>
        <v>194.42</v>
      </c>
      <c r="F1984" s="1">
        <f ca="1">IFERROR(__xludf.DUMMYFUNCTION("""COMPUTED_VALUE"""),91293785)</f>
        <v>91293785</v>
      </c>
    </row>
    <row r="1985" spans="1:6" x14ac:dyDescent="0.35">
      <c r="A1985" s="2">
        <f ca="1">IFERROR(__xludf.DUMMYFUNCTION("""COMPUTED_VALUE"""),44881.6666666666)</f>
        <v>44881.666666666599</v>
      </c>
      <c r="B1985" s="1">
        <f ca="1">IFERROR(__xludf.DUMMYFUNCTION("""COMPUTED_VALUE"""),191.51)</f>
        <v>191.51</v>
      </c>
      <c r="C1985" s="1">
        <f ca="1">IFERROR(__xludf.DUMMYFUNCTION("""COMPUTED_VALUE"""),192.57)</f>
        <v>192.57</v>
      </c>
      <c r="D1985" s="1">
        <f ca="1">IFERROR(__xludf.DUMMYFUNCTION("""COMPUTED_VALUE"""),185.66)</f>
        <v>185.66</v>
      </c>
      <c r="E1985" s="1">
        <f ca="1">IFERROR(__xludf.DUMMYFUNCTION("""COMPUTED_VALUE"""),186.92)</f>
        <v>186.92</v>
      </c>
      <c r="F1985" s="1">
        <f ca="1">IFERROR(__xludf.DUMMYFUNCTION("""COMPUTED_VALUE"""),66567599)</f>
        <v>66567599</v>
      </c>
    </row>
    <row r="1986" spans="1:6" x14ac:dyDescent="0.35">
      <c r="A1986" s="2">
        <f ca="1">IFERROR(__xludf.DUMMYFUNCTION("""COMPUTED_VALUE"""),44882.6666666666)</f>
        <v>44882.666666666599</v>
      </c>
      <c r="B1986" s="1">
        <f ca="1">IFERROR(__xludf.DUMMYFUNCTION("""COMPUTED_VALUE"""),183.96)</f>
        <v>183.96</v>
      </c>
      <c r="C1986" s="1">
        <f ca="1">IFERROR(__xludf.DUMMYFUNCTION("""COMPUTED_VALUE"""),186.16)</f>
        <v>186.16</v>
      </c>
      <c r="D1986" s="1">
        <f ca="1">IFERROR(__xludf.DUMMYFUNCTION("""COMPUTED_VALUE"""),180.9)</f>
        <v>180.9</v>
      </c>
      <c r="E1986" s="1">
        <f ca="1">IFERROR(__xludf.DUMMYFUNCTION("""COMPUTED_VALUE"""),183.17)</f>
        <v>183.17</v>
      </c>
      <c r="F1986" s="1">
        <f ca="1">IFERROR(__xludf.DUMMYFUNCTION("""COMPUTED_VALUE"""),64335970)</f>
        <v>64335970</v>
      </c>
    </row>
    <row r="1987" spans="1:6" x14ac:dyDescent="0.35">
      <c r="A1987" s="2">
        <f ca="1">IFERROR(__xludf.DUMMYFUNCTION("""COMPUTED_VALUE"""),44883.6666666666)</f>
        <v>44883.666666666599</v>
      </c>
      <c r="B1987" s="1">
        <f ca="1">IFERROR(__xludf.DUMMYFUNCTION("""COMPUTED_VALUE"""),185.05)</f>
        <v>185.05</v>
      </c>
      <c r="C1987" s="1">
        <f ca="1">IFERROR(__xludf.DUMMYFUNCTION("""COMPUTED_VALUE"""),185.19)</f>
        <v>185.19</v>
      </c>
      <c r="D1987" s="1">
        <f ca="1">IFERROR(__xludf.DUMMYFUNCTION("""COMPUTED_VALUE"""),176.55)</f>
        <v>176.55</v>
      </c>
      <c r="E1987" s="1">
        <f ca="1">IFERROR(__xludf.DUMMYFUNCTION("""COMPUTED_VALUE"""),180.19)</f>
        <v>180.19</v>
      </c>
      <c r="F1987" s="1">
        <f ca="1">IFERROR(__xludf.DUMMYFUNCTION("""COMPUTED_VALUE"""),76048866)</f>
        <v>76048866</v>
      </c>
    </row>
    <row r="1988" spans="1:6" x14ac:dyDescent="0.35">
      <c r="A1988" s="2">
        <f ca="1">IFERROR(__xludf.DUMMYFUNCTION("""COMPUTED_VALUE"""),44886.6666666666)</f>
        <v>44886.666666666599</v>
      </c>
      <c r="B1988" s="1">
        <f ca="1">IFERROR(__xludf.DUMMYFUNCTION("""COMPUTED_VALUE"""),175.85)</f>
        <v>175.85</v>
      </c>
      <c r="C1988" s="1">
        <f ca="1">IFERROR(__xludf.DUMMYFUNCTION("""COMPUTED_VALUE"""),176.77)</f>
        <v>176.77</v>
      </c>
      <c r="D1988" s="1">
        <f ca="1">IFERROR(__xludf.DUMMYFUNCTION("""COMPUTED_VALUE"""),167.54)</f>
        <v>167.54</v>
      </c>
      <c r="E1988" s="1">
        <f ca="1">IFERROR(__xludf.DUMMYFUNCTION("""COMPUTED_VALUE"""),167.87)</f>
        <v>167.87</v>
      </c>
      <c r="F1988" s="1">
        <f ca="1">IFERROR(__xludf.DUMMYFUNCTION("""COMPUTED_VALUE"""),92882712)</f>
        <v>92882712</v>
      </c>
    </row>
    <row r="1989" spans="1:6" x14ac:dyDescent="0.35">
      <c r="A1989" s="2">
        <f ca="1">IFERROR(__xludf.DUMMYFUNCTION("""COMPUTED_VALUE"""),44887.6666666666)</f>
        <v>44887.666666666599</v>
      </c>
      <c r="B1989" s="1">
        <f ca="1">IFERROR(__xludf.DUMMYFUNCTION("""COMPUTED_VALUE"""),168.63)</f>
        <v>168.63</v>
      </c>
      <c r="C1989" s="1">
        <f ca="1">IFERROR(__xludf.DUMMYFUNCTION("""COMPUTED_VALUE"""),170.92)</f>
        <v>170.92</v>
      </c>
      <c r="D1989" s="1">
        <f ca="1">IFERROR(__xludf.DUMMYFUNCTION("""COMPUTED_VALUE"""),166.19)</f>
        <v>166.19</v>
      </c>
      <c r="E1989" s="1">
        <f ca="1">IFERROR(__xludf.DUMMYFUNCTION("""COMPUTED_VALUE"""),169.91)</f>
        <v>169.91</v>
      </c>
      <c r="F1989" s="1">
        <f ca="1">IFERROR(__xludf.DUMMYFUNCTION("""COMPUTED_VALUE"""),78452327)</f>
        <v>78452327</v>
      </c>
    </row>
    <row r="1990" spans="1:6" x14ac:dyDescent="0.35">
      <c r="A1990" s="2">
        <f ca="1">IFERROR(__xludf.DUMMYFUNCTION("""COMPUTED_VALUE"""),44888.6666666666)</f>
        <v>44888.666666666599</v>
      </c>
      <c r="B1990" s="1">
        <f ca="1">IFERROR(__xludf.DUMMYFUNCTION("""COMPUTED_VALUE"""),173.57)</f>
        <v>173.57</v>
      </c>
      <c r="C1990" s="1">
        <f ca="1">IFERROR(__xludf.DUMMYFUNCTION("""COMPUTED_VALUE"""),183.62)</f>
        <v>183.62</v>
      </c>
      <c r="D1990" s="1">
        <f ca="1">IFERROR(__xludf.DUMMYFUNCTION("""COMPUTED_VALUE"""),172.5)</f>
        <v>172.5</v>
      </c>
      <c r="E1990" s="1">
        <f ca="1">IFERROR(__xludf.DUMMYFUNCTION("""COMPUTED_VALUE"""),183.2)</f>
        <v>183.2</v>
      </c>
      <c r="F1990" s="1">
        <f ca="1">IFERROR(__xludf.DUMMYFUNCTION("""COMPUTED_VALUE"""),109536709)</f>
        <v>109536709</v>
      </c>
    </row>
    <row r="1991" spans="1:6" x14ac:dyDescent="0.35">
      <c r="A1991" s="2">
        <f ca="1">IFERROR(__xludf.DUMMYFUNCTION("""COMPUTED_VALUE"""),44890.5451388888)</f>
        <v>44890.545138888803</v>
      </c>
      <c r="B1991" s="1">
        <f ca="1">IFERROR(__xludf.DUMMYFUNCTION("""COMPUTED_VALUE"""),185.06)</f>
        <v>185.06</v>
      </c>
      <c r="C1991" s="1">
        <f ca="1">IFERROR(__xludf.DUMMYFUNCTION("""COMPUTED_VALUE"""),185.2)</f>
        <v>185.2</v>
      </c>
      <c r="D1991" s="1">
        <f ca="1">IFERROR(__xludf.DUMMYFUNCTION("""COMPUTED_VALUE"""),180.63)</f>
        <v>180.63</v>
      </c>
      <c r="E1991" s="1">
        <f ca="1">IFERROR(__xludf.DUMMYFUNCTION("""COMPUTED_VALUE"""),182.86)</f>
        <v>182.86</v>
      </c>
      <c r="F1991" s="1">
        <f ca="1">IFERROR(__xludf.DUMMYFUNCTION("""COMPUTED_VALUE"""),50672739)</f>
        <v>50672739</v>
      </c>
    </row>
    <row r="1992" spans="1:6" x14ac:dyDescent="0.35">
      <c r="A1992" s="2">
        <f ca="1">IFERROR(__xludf.DUMMYFUNCTION("""COMPUTED_VALUE"""),44893.6666666666)</f>
        <v>44893.666666666599</v>
      </c>
      <c r="B1992" s="1">
        <f ca="1">IFERROR(__xludf.DUMMYFUNCTION("""COMPUTED_VALUE"""),179.96)</f>
        <v>179.96</v>
      </c>
      <c r="C1992" s="1">
        <f ca="1">IFERROR(__xludf.DUMMYFUNCTION("""COMPUTED_VALUE"""),188.5)</f>
        <v>188.5</v>
      </c>
      <c r="D1992" s="1">
        <f ca="1">IFERROR(__xludf.DUMMYFUNCTION("""COMPUTED_VALUE"""),179)</f>
        <v>179</v>
      </c>
      <c r="E1992" s="1">
        <f ca="1">IFERROR(__xludf.DUMMYFUNCTION("""COMPUTED_VALUE"""),182.92)</f>
        <v>182.92</v>
      </c>
      <c r="F1992" s="1">
        <f ca="1">IFERROR(__xludf.DUMMYFUNCTION("""COMPUTED_VALUE"""),93038148)</f>
        <v>93038148</v>
      </c>
    </row>
    <row r="1993" spans="1:6" x14ac:dyDescent="0.35">
      <c r="A1993" s="2">
        <f ca="1">IFERROR(__xludf.DUMMYFUNCTION("""COMPUTED_VALUE"""),44894.6666666666)</f>
        <v>44894.666666666599</v>
      </c>
      <c r="B1993" s="1">
        <f ca="1">IFERROR(__xludf.DUMMYFUNCTION("""COMPUTED_VALUE"""),184.99)</f>
        <v>184.99</v>
      </c>
      <c r="C1993" s="1">
        <f ca="1">IFERROR(__xludf.DUMMYFUNCTION("""COMPUTED_VALUE"""),186.38)</f>
        <v>186.38</v>
      </c>
      <c r="D1993" s="1">
        <f ca="1">IFERROR(__xludf.DUMMYFUNCTION("""COMPUTED_VALUE"""),178.75)</f>
        <v>178.75</v>
      </c>
      <c r="E1993" s="1">
        <f ca="1">IFERROR(__xludf.DUMMYFUNCTION("""COMPUTED_VALUE"""),180.83)</f>
        <v>180.83</v>
      </c>
      <c r="F1993" s="1">
        <f ca="1">IFERROR(__xludf.DUMMYFUNCTION("""COMPUTED_VALUE"""),83357111)</f>
        <v>83357111</v>
      </c>
    </row>
    <row r="1994" spans="1:6" x14ac:dyDescent="0.35">
      <c r="A1994" s="2">
        <f ca="1">IFERROR(__xludf.DUMMYFUNCTION("""COMPUTED_VALUE"""),44895.6666666666)</f>
        <v>44895.666666666599</v>
      </c>
      <c r="B1994" s="1">
        <f ca="1">IFERROR(__xludf.DUMMYFUNCTION("""COMPUTED_VALUE"""),182.43)</f>
        <v>182.43</v>
      </c>
      <c r="C1994" s="1">
        <f ca="1">IFERROR(__xludf.DUMMYFUNCTION("""COMPUTED_VALUE"""),194.76)</f>
        <v>194.76</v>
      </c>
      <c r="D1994" s="1">
        <f ca="1">IFERROR(__xludf.DUMMYFUNCTION("""COMPUTED_VALUE"""),180.63)</f>
        <v>180.63</v>
      </c>
      <c r="E1994" s="1">
        <f ca="1">IFERROR(__xludf.DUMMYFUNCTION("""COMPUTED_VALUE"""),194.7)</f>
        <v>194.7</v>
      </c>
      <c r="F1994" s="1">
        <f ca="1">IFERROR(__xludf.DUMMYFUNCTION("""COMPUTED_VALUE"""),109186404)</f>
        <v>109186404</v>
      </c>
    </row>
    <row r="1995" spans="1:6" x14ac:dyDescent="0.35">
      <c r="A1995" s="2">
        <f ca="1">IFERROR(__xludf.DUMMYFUNCTION("""COMPUTED_VALUE"""),44896.6666666666)</f>
        <v>44896.666666666599</v>
      </c>
      <c r="B1995" s="1">
        <f ca="1">IFERROR(__xludf.DUMMYFUNCTION("""COMPUTED_VALUE"""),197.08)</f>
        <v>197.08</v>
      </c>
      <c r="C1995" s="1">
        <f ca="1">IFERROR(__xludf.DUMMYFUNCTION("""COMPUTED_VALUE"""),198.92)</f>
        <v>198.92</v>
      </c>
      <c r="D1995" s="1">
        <f ca="1">IFERROR(__xludf.DUMMYFUNCTION("""COMPUTED_VALUE"""),191.8)</f>
        <v>191.8</v>
      </c>
      <c r="E1995" s="1">
        <f ca="1">IFERROR(__xludf.DUMMYFUNCTION("""COMPUTED_VALUE"""),194.7)</f>
        <v>194.7</v>
      </c>
      <c r="F1995" s="1">
        <f ca="1">IFERROR(__xludf.DUMMYFUNCTION("""COMPUTED_VALUE"""),80046213)</f>
        <v>80046213</v>
      </c>
    </row>
    <row r="1996" spans="1:6" x14ac:dyDescent="0.35">
      <c r="A1996" s="2">
        <f ca="1">IFERROR(__xludf.DUMMYFUNCTION("""COMPUTED_VALUE"""),44897.6666666666)</f>
        <v>44897.666666666599</v>
      </c>
      <c r="B1996" s="1">
        <f ca="1">IFERROR(__xludf.DUMMYFUNCTION("""COMPUTED_VALUE"""),191.78)</f>
        <v>191.78</v>
      </c>
      <c r="C1996" s="1">
        <f ca="1">IFERROR(__xludf.DUMMYFUNCTION("""COMPUTED_VALUE"""),196.25)</f>
        <v>196.25</v>
      </c>
      <c r="D1996" s="1">
        <f ca="1">IFERROR(__xludf.DUMMYFUNCTION("""COMPUTED_VALUE"""),191.11)</f>
        <v>191.11</v>
      </c>
      <c r="E1996" s="1">
        <f ca="1">IFERROR(__xludf.DUMMYFUNCTION("""COMPUTED_VALUE"""),194.86)</f>
        <v>194.86</v>
      </c>
      <c r="F1996" s="1">
        <f ca="1">IFERROR(__xludf.DUMMYFUNCTION("""COMPUTED_VALUE"""),73645922)</f>
        <v>73645922</v>
      </c>
    </row>
    <row r="1997" spans="1:6" x14ac:dyDescent="0.35">
      <c r="A1997" s="2">
        <f ca="1">IFERROR(__xludf.DUMMYFUNCTION("""COMPUTED_VALUE"""),44900.6666666666)</f>
        <v>44900.666666666599</v>
      </c>
      <c r="B1997" s="1">
        <f ca="1">IFERROR(__xludf.DUMMYFUNCTION("""COMPUTED_VALUE"""),189.44)</f>
        <v>189.44</v>
      </c>
      <c r="C1997" s="1">
        <f ca="1">IFERROR(__xludf.DUMMYFUNCTION("""COMPUTED_VALUE"""),191.27)</f>
        <v>191.27</v>
      </c>
      <c r="D1997" s="1">
        <f ca="1">IFERROR(__xludf.DUMMYFUNCTION("""COMPUTED_VALUE"""),180.55)</f>
        <v>180.55</v>
      </c>
      <c r="E1997" s="1">
        <f ca="1">IFERROR(__xludf.DUMMYFUNCTION("""COMPUTED_VALUE"""),182.45)</f>
        <v>182.45</v>
      </c>
      <c r="F1997" s="1">
        <f ca="1">IFERROR(__xludf.DUMMYFUNCTION("""COMPUTED_VALUE"""),93122667)</f>
        <v>93122667</v>
      </c>
    </row>
    <row r="1998" spans="1:6" x14ac:dyDescent="0.35">
      <c r="A1998" s="2">
        <f ca="1">IFERROR(__xludf.DUMMYFUNCTION("""COMPUTED_VALUE"""),44901.6666666666)</f>
        <v>44901.666666666599</v>
      </c>
      <c r="B1998" s="1">
        <f ca="1">IFERROR(__xludf.DUMMYFUNCTION("""COMPUTED_VALUE"""),181.22)</f>
        <v>181.22</v>
      </c>
      <c r="C1998" s="1">
        <f ca="1">IFERROR(__xludf.DUMMYFUNCTION("""COMPUTED_VALUE"""),183.65)</f>
        <v>183.65</v>
      </c>
      <c r="D1998" s="1">
        <f ca="1">IFERROR(__xludf.DUMMYFUNCTION("""COMPUTED_VALUE"""),175.33)</f>
        <v>175.33</v>
      </c>
      <c r="E1998" s="1">
        <f ca="1">IFERROR(__xludf.DUMMYFUNCTION("""COMPUTED_VALUE"""),179.82)</f>
        <v>179.82</v>
      </c>
      <c r="F1998" s="1">
        <f ca="1">IFERROR(__xludf.DUMMYFUNCTION("""COMPUTED_VALUE"""),92150823)</f>
        <v>92150823</v>
      </c>
    </row>
    <row r="1999" spans="1:6" x14ac:dyDescent="0.35">
      <c r="A1999" s="2">
        <f ca="1">IFERROR(__xludf.DUMMYFUNCTION("""COMPUTED_VALUE"""),44902.6666666666)</f>
        <v>44902.666666666599</v>
      </c>
      <c r="B1999" s="1">
        <f ca="1">IFERROR(__xludf.DUMMYFUNCTION("""COMPUTED_VALUE"""),175.03)</f>
        <v>175.03</v>
      </c>
      <c r="C1999" s="1">
        <f ca="1">IFERROR(__xludf.DUMMYFUNCTION("""COMPUTED_VALUE"""),179.38)</f>
        <v>179.38</v>
      </c>
      <c r="D1999" s="1">
        <f ca="1">IFERROR(__xludf.DUMMYFUNCTION("""COMPUTED_VALUE"""),172.22)</f>
        <v>172.22</v>
      </c>
      <c r="E1999" s="1">
        <f ca="1">IFERROR(__xludf.DUMMYFUNCTION("""COMPUTED_VALUE"""),174.04)</f>
        <v>174.04</v>
      </c>
      <c r="F1999" s="1">
        <f ca="1">IFERROR(__xludf.DUMMYFUNCTION("""COMPUTED_VALUE"""),84213284)</f>
        <v>84213284</v>
      </c>
    </row>
    <row r="2000" spans="1:6" x14ac:dyDescent="0.35">
      <c r="A2000" s="2">
        <f ca="1">IFERROR(__xludf.DUMMYFUNCTION("""COMPUTED_VALUE"""),44903.6666666666)</f>
        <v>44903.666666666599</v>
      </c>
      <c r="B2000" s="1">
        <f ca="1">IFERROR(__xludf.DUMMYFUNCTION("""COMPUTED_VALUE"""),172.2)</f>
        <v>172.2</v>
      </c>
      <c r="C2000" s="1">
        <f ca="1">IFERROR(__xludf.DUMMYFUNCTION("""COMPUTED_VALUE"""),175.2)</f>
        <v>175.2</v>
      </c>
      <c r="D2000" s="1">
        <f ca="1">IFERROR(__xludf.DUMMYFUNCTION("""COMPUTED_VALUE"""),169.06)</f>
        <v>169.06</v>
      </c>
      <c r="E2000" s="1">
        <f ca="1">IFERROR(__xludf.DUMMYFUNCTION("""COMPUTED_VALUE"""),173.44)</f>
        <v>173.44</v>
      </c>
      <c r="F2000" s="1">
        <f ca="1">IFERROR(__xludf.DUMMYFUNCTION("""COMPUTED_VALUE"""),97624491)</f>
        <v>97624491</v>
      </c>
    </row>
    <row r="2001" spans="1:6" x14ac:dyDescent="0.35">
      <c r="A2001" s="2">
        <f ca="1">IFERROR(__xludf.DUMMYFUNCTION("""COMPUTED_VALUE"""),44904.6666666666)</f>
        <v>44904.666666666599</v>
      </c>
      <c r="B2001" s="1">
        <f ca="1">IFERROR(__xludf.DUMMYFUNCTION("""COMPUTED_VALUE"""),173.84)</f>
        <v>173.84</v>
      </c>
      <c r="C2001" s="1">
        <f ca="1">IFERROR(__xludf.DUMMYFUNCTION("""COMPUTED_VALUE"""),182.5)</f>
        <v>182.5</v>
      </c>
      <c r="D2001" s="1">
        <f ca="1">IFERROR(__xludf.DUMMYFUNCTION("""COMPUTED_VALUE"""),173.36)</f>
        <v>173.36</v>
      </c>
      <c r="E2001" s="1">
        <f ca="1">IFERROR(__xludf.DUMMYFUNCTION("""COMPUTED_VALUE"""),179.05)</f>
        <v>179.05</v>
      </c>
      <c r="F2001" s="1">
        <f ca="1">IFERROR(__xludf.DUMMYFUNCTION("""COMPUTED_VALUE"""),104872336)</f>
        <v>104872336</v>
      </c>
    </row>
    <row r="2002" spans="1:6" x14ac:dyDescent="0.35">
      <c r="A2002" s="2">
        <f ca="1">IFERROR(__xludf.DUMMYFUNCTION("""COMPUTED_VALUE"""),44907.6666666666)</f>
        <v>44907.666666666599</v>
      </c>
      <c r="B2002" s="1">
        <f ca="1">IFERROR(__xludf.DUMMYFUNCTION("""COMPUTED_VALUE"""),176.1)</f>
        <v>176.1</v>
      </c>
      <c r="C2002" s="1">
        <f ca="1">IFERROR(__xludf.DUMMYFUNCTION("""COMPUTED_VALUE"""),177.37)</f>
        <v>177.37</v>
      </c>
      <c r="D2002" s="1">
        <f ca="1">IFERROR(__xludf.DUMMYFUNCTION("""COMPUTED_VALUE"""),167.52)</f>
        <v>167.52</v>
      </c>
      <c r="E2002" s="1">
        <f ca="1">IFERROR(__xludf.DUMMYFUNCTION("""COMPUTED_VALUE"""),167.82)</f>
        <v>167.82</v>
      </c>
      <c r="F2002" s="1">
        <f ca="1">IFERROR(__xludf.DUMMYFUNCTION("""COMPUTED_VALUE"""),109794471)</f>
        <v>109794471</v>
      </c>
    </row>
    <row r="2003" spans="1:6" x14ac:dyDescent="0.35">
      <c r="A2003" s="2">
        <f ca="1">IFERROR(__xludf.DUMMYFUNCTION("""COMPUTED_VALUE"""),44908.6666666666)</f>
        <v>44908.666666666599</v>
      </c>
      <c r="B2003" s="1">
        <f ca="1">IFERROR(__xludf.DUMMYFUNCTION("""COMPUTED_VALUE"""),174.87)</f>
        <v>174.87</v>
      </c>
      <c r="C2003" s="1">
        <f ca="1">IFERROR(__xludf.DUMMYFUNCTION("""COMPUTED_VALUE"""),175.05)</f>
        <v>175.05</v>
      </c>
      <c r="D2003" s="1">
        <f ca="1">IFERROR(__xludf.DUMMYFUNCTION("""COMPUTED_VALUE"""),156.91)</f>
        <v>156.91</v>
      </c>
      <c r="E2003" s="1">
        <f ca="1">IFERROR(__xludf.DUMMYFUNCTION("""COMPUTED_VALUE"""),160.95)</f>
        <v>160.94999999999999</v>
      </c>
      <c r="F2003" s="1">
        <f ca="1">IFERROR(__xludf.DUMMYFUNCTION("""COMPUTED_VALUE"""),175862722)</f>
        <v>175862722</v>
      </c>
    </row>
    <row r="2004" spans="1:6" x14ac:dyDescent="0.35">
      <c r="A2004" s="2">
        <f ca="1">IFERROR(__xludf.DUMMYFUNCTION("""COMPUTED_VALUE"""),44909.6666666666)</f>
        <v>44909.666666666599</v>
      </c>
      <c r="B2004" s="1">
        <f ca="1">IFERROR(__xludf.DUMMYFUNCTION("""COMPUTED_VALUE"""),159.25)</f>
        <v>159.25</v>
      </c>
      <c r="C2004" s="1">
        <f ca="1">IFERROR(__xludf.DUMMYFUNCTION("""COMPUTED_VALUE"""),161.62)</f>
        <v>161.62</v>
      </c>
      <c r="D2004" s="1">
        <f ca="1">IFERROR(__xludf.DUMMYFUNCTION("""COMPUTED_VALUE"""),155.31)</f>
        <v>155.31</v>
      </c>
      <c r="E2004" s="1">
        <f ca="1">IFERROR(__xludf.DUMMYFUNCTION("""COMPUTED_VALUE"""),156.8)</f>
        <v>156.80000000000001</v>
      </c>
      <c r="F2004" s="1">
        <f ca="1">IFERROR(__xludf.DUMMYFUNCTION("""COMPUTED_VALUE"""),140682338)</f>
        <v>140682338</v>
      </c>
    </row>
    <row r="2005" spans="1:6" x14ac:dyDescent="0.35">
      <c r="A2005" s="2">
        <f ca="1">IFERROR(__xludf.DUMMYFUNCTION("""COMPUTED_VALUE"""),44910.6666666666)</f>
        <v>44910.666666666599</v>
      </c>
      <c r="B2005" s="1">
        <f ca="1">IFERROR(__xludf.DUMMYFUNCTION("""COMPUTED_VALUE"""),153.44)</f>
        <v>153.44</v>
      </c>
      <c r="C2005" s="1">
        <f ca="1">IFERROR(__xludf.DUMMYFUNCTION("""COMPUTED_VALUE"""),160.93)</f>
        <v>160.93</v>
      </c>
      <c r="D2005" s="1">
        <f ca="1">IFERROR(__xludf.DUMMYFUNCTION("""COMPUTED_VALUE"""),153.28)</f>
        <v>153.28</v>
      </c>
      <c r="E2005" s="1">
        <f ca="1">IFERROR(__xludf.DUMMYFUNCTION("""COMPUTED_VALUE"""),157.67)</f>
        <v>157.66999999999999</v>
      </c>
      <c r="F2005" s="1">
        <f ca="1">IFERROR(__xludf.DUMMYFUNCTION("""COMPUTED_VALUE"""),122334459)</f>
        <v>122334459</v>
      </c>
    </row>
    <row r="2006" spans="1:6" x14ac:dyDescent="0.35">
      <c r="A2006" s="2">
        <f ca="1">IFERROR(__xludf.DUMMYFUNCTION("""COMPUTED_VALUE"""),44911.6666666666)</f>
        <v>44911.666666666599</v>
      </c>
      <c r="B2006" s="1">
        <f ca="1">IFERROR(__xludf.DUMMYFUNCTION("""COMPUTED_VALUE"""),159.64)</f>
        <v>159.63999999999999</v>
      </c>
      <c r="C2006" s="1">
        <f ca="1">IFERROR(__xludf.DUMMYFUNCTION("""COMPUTED_VALUE"""),160.99)</f>
        <v>160.99</v>
      </c>
      <c r="D2006" s="1">
        <f ca="1">IFERROR(__xludf.DUMMYFUNCTION("""COMPUTED_VALUE"""),150.04)</f>
        <v>150.04</v>
      </c>
      <c r="E2006" s="1">
        <f ca="1">IFERROR(__xludf.DUMMYFUNCTION("""COMPUTED_VALUE"""),150.23)</f>
        <v>150.22999999999999</v>
      </c>
      <c r="F2006" s="1">
        <f ca="1">IFERROR(__xludf.DUMMYFUNCTION("""COMPUTED_VALUE"""),139032175)</f>
        <v>139032175</v>
      </c>
    </row>
    <row r="2007" spans="1:6" x14ac:dyDescent="0.35">
      <c r="A2007" s="2">
        <f ca="1">IFERROR(__xludf.DUMMYFUNCTION("""COMPUTED_VALUE"""),44914.6666666666)</f>
        <v>44914.666666666599</v>
      </c>
      <c r="B2007" s="1">
        <f ca="1">IFERROR(__xludf.DUMMYFUNCTION("""COMPUTED_VALUE"""),154)</f>
        <v>154</v>
      </c>
      <c r="C2007" s="1">
        <f ca="1">IFERROR(__xludf.DUMMYFUNCTION("""COMPUTED_VALUE"""),155.25)</f>
        <v>155.25</v>
      </c>
      <c r="D2007" s="1">
        <f ca="1">IFERROR(__xludf.DUMMYFUNCTION("""COMPUTED_VALUE"""),145.82)</f>
        <v>145.82</v>
      </c>
      <c r="E2007" s="1">
        <f ca="1">IFERROR(__xludf.DUMMYFUNCTION("""COMPUTED_VALUE"""),149.87)</f>
        <v>149.87</v>
      </c>
      <c r="F2007" s="1">
        <f ca="1">IFERROR(__xludf.DUMMYFUNCTION("""COMPUTED_VALUE"""),139390634)</f>
        <v>139390634</v>
      </c>
    </row>
    <row r="2008" spans="1:6" x14ac:dyDescent="0.35">
      <c r="A2008" s="2">
        <f ca="1">IFERROR(__xludf.DUMMYFUNCTION("""COMPUTED_VALUE"""),44915.6666666666)</f>
        <v>44915.666666666599</v>
      </c>
      <c r="B2008" s="1">
        <f ca="1">IFERROR(__xludf.DUMMYFUNCTION("""COMPUTED_VALUE"""),146.05)</f>
        <v>146.05000000000001</v>
      </c>
      <c r="C2008" s="1">
        <f ca="1">IFERROR(__xludf.DUMMYFUNCTION("""COMPUTED_VALUE"""),148.47)</f>
        <v>148.47</v>
      </c>
      <c r="D2008" s="1">
        <f ca="1">IFERROR(__xludf.DUMMYFUNCTION("""COMPUTED_VALUE"""),137.66)</f>
        <v>137.66</v>
      </c>
      <c r="E2008" s="1">
        <f ca="1">IFERROR(__xludf.DUMMYFUNCTION("""COMPUTED_VALUE"""),137.8)</f>
        <v>137.80000000000001</v>
      </c>
      <c r="F2008" s="1">
        <f ca="1">IFERROR(__xludf.DUMMYFUNCTION("""COMPUTED_VALUE"""),159563267)</f>
        <v>159563267</v>
      </c>
    </row>
    <row r="2009" spans="1:6" x14ac:dyDescent="0.35">
      <c r="A2009" s="2">
        <f ca="1">IFERROR(__xludf.DUMMYFUNCTION("""COMPUTED_VALUE"""),44916.6666666666)</f>
        <v>44916.666666666599</v>
      </c>
      <c r="B2009" s="1">
        <f ca="1">IFERROR(__xludf.DUMMYFUNCTION("""COMPUTED_VALUE"""),139.34)</f>
        <v>139.34</v>
      </c>
      <c r="C2009" s="1">
        <f ca="1">IFERROR(__xludf.DUMMYFUNCTION("""COMPUTED_VALUE"""),141.26)</f>
        <v>141.26</v>
      </c>
      <c r="D2009" s="1">
        <f ca="1">IFERROR(__xludf.DUMMYFUNCTION("""COMPUTED_VALUE"""),135.89)</f>
        <v>135.88999999999999</v>
      </c>
      <c r="E2009" s="1">
        <f ca="1">IFERROR(__xludf.DUMMYFUNCTION("""COMPUTED_VALUE"""),137.57)</f>
        <v>137.57</v>
      </c>
      <c r="F2009" s="1">
        <f ca="1">IFERROR(__xludf.DUMMYFUNCTION("""COMPUTED_VALUE"""),145417412)</f>
        <v>145417412</v>
      </c>
    </row>
    <row r="2010" spans="1:6" x14ac:dyDescent="0.35">
      <c r="A2010" s="2">
        <f ca="1">IFERROR(__xludf.DUMMYFUNCTION("""COMPUTED_VALUE"""),44917.6666666666)</f>
        <v>44917.666666666599</v>
      </c>
      <c r="B2010" s="1">
        <f ca="1">IFERROR(__xludf.DUMMYFUNCTION("""COMPUTED_VALUE"""),136)</f>
        <v>136</v>
      </c>
      <c r="C2010" s="1">
        <f ca="1">IFERROR(__xludf.DUMMYFUNCTION("""COMPUTED_VALUE"""),136.63)</f>
        <v>136.63</v>
      </c>
      <c r="D2010" s="1">
        <f ca="1">IFERROR(__xludf.DUMMYFUNCTION("""COMPUTED_VALUE"""),122.26)</f>
        <v>122.26</v>
      </c>
      <c r="E2010" s="1">
        <f ca="1">IFERROR(__xludf.DUMMYFUNCTION("""COMPUTED_VALUE"""),125.35)</f>
        <v>125.35</v>
      </c>
      <c r="F2010" s="1">
        <f ca="1">IFERROR(__xludf.DUMMYFUNCTION("""COMPUTED_VALUE"""),210090250)</f>
        <v>210090250</v>
      </c>
    </row>
    <row r="2011" spans="1:6" x14ac:dyDescent="0.35">
      <c r="A2011" s="2">
        <f ca="1">IFERROR(__xludf.DUMMYFUNCTION("""COMPUTED_VALUE"""),44918.6666666666)</f>
        <v>44918.666666666599</v>
      </c>
      <c r="B2011" s="1">
        <f ca="1">IFERROR(__xludf.DUMMYFUNCTION("""COMPUTED_VALUE"""),126.37)</f>
        <v>126.37</v>
      </c>
      <c r="C2011" s="1">
        <f ca="1">IFERROR(__xludf.DUMMYFUNCTION("""COMPUTED_VALUE"""),128.62)</f>
        <v>128.62</v>
      </c>
      <c r="D2011" s="1">
        <f ca="1">IFERROR(__xludf.DUMMYFUNCTION("""COMPUTED_VALUE"""),121.02)</f>
        <v>121.02</v>
      </c>
      <c r="E2011" s="1">
        <f ca="1">IFERROR(__xludf.DUMMYFUNCTION("""COMPUTED_VALUE"""),123.15)</f>
        <v>123.15</v>
      </c>
      <c r="F2011" s="1">
        <f ca="1">IFERROR(__xludf.DUMMYFUNCTION("""COMPUTED_VALUE"""),166989688)</f>
        <v>166989688</v>
      </c>
    </row>
    <row r="2012" spans="1:6" x14ac:dyDescent="0.35">
      <c r="A2012" s="2">
        <f ca="1">IFERROR(__xludf.DUMMYFUNCTION("""COMPUTED_VALUE"""),44922.6666666666)</f>
        <v>44922.666666666599</v>
      </c>
      <c r="B2012" s="1">
        <f ca="1">IFERROR(__xludf.DUMMYFUNCTION("""COMPUTED_VALUE"""),117.5)</f>
        <v>117.5</v>
      </c>
      <c r="C2012" s="1">
        <f ca="1">IFERROR(__xludf.DUMMYFUNCTION("""COMPUTED_VALUE"""),119.67)</f>
        <v>119.67</v>
      </c>
      <c r="D2012" s="1">
        <f ca="1">IFERROR(__xludf.DUMMYFUNCTION("""COMPUTED_VALUE"""),108.76)</f>
        <v>108.76</v>
      </c>
      <c r="E2012" s="1">
        <f ca="1">IFERROR(__xludf.DUMMYFUNCTION("""COMPUTED_VALUE"""),109.1)</f>
        <v>109.1</v>
      </c>
      <c r="F2012" s="1">
        <f ca="1">IFERROR(__xludf.DUMMYFUNCTION("""COMPUTED_VALUE"""),208643444)</f>
        <v>208643444</v>
      </c>
    </row>
    <row r="2013" spans="1:6" x14ac:dyDescent="0.35">
      <c r="A2013" s="2">
        <f ca="1">IFERROR(__xludf.DUMMYFUNCTION("""COMPUTED_VALUE"""),44923.6666666666)</f>
        <v>44923.666666666599</v>
      </c>
      <c r="B2013" s="1">
        <f ca="1">IFERROR(__xludf.DUMMYFUNCTION("""COMPUTED_VALUE"""),110.35)</f>
        <v>110.35</v>
      </c>
      <c r="C2013" s="1">
        <f ca="1">IFERROR(__xludf.DUMMYFUNCTION("""COMPUTED_VALUE"""),116.27)</f>
        <v>116.27</v>
      </c>
      <c r="D2013" s="1">
        <f ca="1">IFERROR(__xludf.DUMMYFUNCTION("""COMPUTED_VALUE"""),108.24)</f>
        <v>108.24</v>
      </c>
      <c r="E2013" s="1">
        <f ca="1">IFERROR(__xludf.DUMMYFUNCTION("""COMPUTED_VALUE"""),112.71)</f>
        <v>112.71</v>
      </c>
      <c r="F2013" s="1">
        <f ca="1">IFERROR(__xludf.DUMMYFUNCTION("""COMPUTED_VALUE"""),221070537)</f>
        <v>221070537</v>
      </c>
    </row>
    <row r="2014" spans="1:6" x14ac:dyDescent="0.35">
      <c r="A2014" s="2">
        <f ca="1">IFERROR(__xludf.DUMMYFUNCTION("""COMPUTED_VALUE"""),44924.6666666666)</f>
        <v>44924.666666666599</v>
      </c>
      <c r="B2014" s="1">
        <f ca="1">IFERROR(__xludf.DUMMYFUNCTION("""COMPUTED_VALUE"""),120.39)</f>
        <v>120.39</v>
      </c>
      <c r="C2014" s="1">
        <f ca="1">IFERROR(__xludf.DUMMYFUNCTION("""COMPUTED_VALUE"""),123.57)</f>
        <v>123.57</v>
      </c>
      <c r="D2014" s="1">
        <f ca="1">IFERROR(__xludf.DUMMYFUNCTION("""COMPUTED_VALUE"""),117.5)</f>
        <v>117.5</v>
      </c>
      <c r="E2014" s="1">
        <f ca="1">IFERROR(__xludf.DUMMYFUNCTION("""COMPUTED_VALUE"""),121.82)</f>
        <v>121.82</v>
      </c>
      <c r="F2014" s="1">
        <f ca="1">IFERROR(__xludf.DUMMYFUNCTION("""COMPUTED_VALUE"""),221923313)</f>
        <v>221923313</v>
      </c>
    </row>
    <row r="2015" spans="1:6" x14ac:dyDescent="0.35">
      <c r="A2015" s="2">
        <f ca="1">IFERROR(__xludf.DUMMYFUNCTION("""COMPUTED_VALUE"""),44925.6666666666)</f>
        <v>44925.666666666599</v>
      </c>
      <c r="B2015" s="1">
        <f ca="1">IFERROR(__xludf.DUMMYFUNCTION("""COMPUTED_VALUE"""),119.95)</f>
        <v>119.95</v>
      </c>
      <c r="C2015" s="1">
        <f ca="1">IFERROR(__xludf.DUMMYFUNCTION("""COMPUTED_VALUE"""),124.48)</f>
        <v>124.48</v>
      </c>
      <c r="D2015" s="1">
        <f ca="1">IFERROR(__xludf.DUMMYFUNCTION("""COMPUTED_VALUE"""),119.75)</f>
        <v>119.75</v>
      </c>
      <c r="E2015" s="1">
        <f ca="1">IFERROR(__xludf.DUMMYFUNCTION("""COMPUTED_VALUE"""),123.18)</f>
        <v>123.18</v>
      </c>
      <c r="F2015" s="1">
        <f ca="1">IFERROR(__xludf.DUMMYFUNCTION("""COMPUTED_VALUE"""),157777339)</f>
        <v>157777339</v>
      </c>
    </row>
    <row r="2016" spans="1:6" x14ac:dyDescent="0.35">
      <c r="A2016" s="2">
        <f ca="1">IFERROR(__xludf.DUMMYFUNCTION("""COMPUTED_VALUE"""),44929.6666666666)</f>
        <v>44929.666666666599</v>
      </c>
      <c r="B2016" s="1">
        <f ca="1">IFERROR(__xludf.DUMMYFUNCTION("""COMPUTED_VALUE"""),118.47)</f>
        <v>118.47</v>
      </c>
      <c r="C2016" s="1">
        <f ca="1">IFERROR(__xludf.DUMMYFUNCTION("""COMPUTED_VALUE"""),118.8)</f>
        <v>118.8</v>
      </c>
      <c r="D2016" s="1">
        <f ca="1">IFERROR(__xludf.DUMMYFUNCTION("""COMPUTED_VALUE"""),104.64)</f>
        <v>104.64</v>
      </c>
      <c r="E2016" s="1">
        <f ca="1">IFERROR(__xludf.DUMMYFUNCTION("""COMPUTED_VALUE"""),108.1)</f>
        <v>108.1</v>
      </c>
      <c r="F2016" s="1">
        <f ca="1">IFERROR(__xludf.DUMMYFUNCTION("""COMPUTED_VALUE"""),231402818)</f>
        <v>231402818</v>
      </c>
    </row>
    <row r="2017" spans="1:6" x14ac:dyDescent="0.35">
      <c r="A2017" s="2">
        <f ca="1">IFERROR(__xludf.DUMMYFUNCTION("""COMPUTED_VALUE"""),44930.6666666666)</f>
        <v>44930.666666666599</v>
      </c>
      <c r="B2017" s="1">
        <f ca="1">IFERROR(__xludf.DUMMYFUNCTION("""COMPUTED_VALUE"""),109.11)</f>
        <v>109.11</v>
      </c>
      <c r="C2017" s="1">
        <f ca="1">IFERROR(__xludf.DUMMYFUNCTION("""COMPUTED_VALUE"""),114.59)</f>
        <v>114.59</v>
      </c>
      <c r="D2017" s="1">
        <f ca="1">IFERROR(__xludf.DUMMYFUNCTION("""COMPUTED_VALUE"""),107.52)</f>
        <v>107.52</v>
      </c>
      <c r="E2017" s="1">
        <f ca="1">IFERROR(__xludf.DUMMYFUNCTION("""COMPUTED_VALUE"""),113.64)</f>
        <v>113.64</v>
      </c>
      <c r="F2017" s="1">
        <f ca="1">IFERROR(__xludf.DUMMYFUNCTION("""COMPUTED_VALUE"""),180388976)</f>
        <v>180388976</v>
      </c>
    </row>
    <row r="2018" spans="1:6" x14ac:dyDescent="0.35">
      <c r="A2018" s="2">
        <f ca="1">IFERROR(__xludf.DUMMYFUNCTION("""COMPUTED_VALUE"""),44931.6666666666)</f>
        <v>44931.666666666599</v>
      </c>
      <c r="B2018" s="1">
        <f ca="1">IFERROR(__xludf.DUMMYFUNCTION("""COMPUTED_VALUE"""),110.51)</f>
        <v>110.51</v>
      </c>
      <c r="C2018" s="1">
        <f ca="1">IFERROR(__xludf.DUMMYFUNCTION("""COMPUTED_VALUE"""),111.75)</f>
        <v>111.75</v>
      </c>
      <c r="D2018" s="1">
        <f ca="1">IFERROR(__xludf.DUMMYFUNCTION("""COMPUTED_VALUE"""),107.16)</f>
        <v>107.16</v>
      </c>
      <c r="E2018" s="1">
        <f ca="1">IFERROR(__xludf.DUMMYFUNCTION("""COMPUTED_VALUE"""),110.34)</f>
        <v>110.34</v>
      </c>
      <c r="F2018" s="1">
        <f ca="1">IFERROR(__xludf.DUMMYFUNCTION("""COMPUTED_VALUE"""),157986324)</f>
        <v>157986324</v>
      </c>
    </row>
    <row r="2019" spans="1:6" x14ac:dyDescent="0.35">
      <c r="A2019" s="2">
        <f ca="1">IFERROR(__xludf.DUMMYFUNCTION("""COMPUTED_VALUE"""),44932.6666666666)</f>
        <v>44932.666666666599</v>
      </c>
      <c r="B2019" s="1">
        <f ca="1">IFERROR(__xludf.DUMMYFUNCTION("""COMPUTED_VALUE"""),103)</f>
        <v>103</v>
      </c>
      <c r="C2019" s="1">
        <f ca="1">IFERROR(__xludf.DUMMYFUNCTION("""COMPUTED_VALUE"""),114.39)</f>
        <v>114.39</v>
      </c>
      <c r="D2019" s="1">
        <f ca="1">IFERROR(__xludf.DUMMYFUNCTION("""COMPUTED_VALUE"""),101.81)</f>
        <v>101.81</v>
      </c>
      <c r="E2019" s="1">
        <f ca="1">IFERROR(__xludf.DUMMYFUNCTION("""COMPUTED_VALUE"""),113.06)</f>
        <v>113.06</v>
      </c>
      <c r="F2019" s="1">
        <f ca="1">IFERROR(__xludf.DUMMYFUNCTION("""COMPUTED_VALUE"""),220911051)</f>
        <v>220911051</v>
      </c>
    </row>
    <row r="2020" spans="1:6" x14ac:dyDescent="0.35">
      <c r="A2020" s="2">
        <f ca="1">IFERROR(__xludf.DUMMYFUNCTION("""COMPUTED_VALUE"""),44935.6666666666)</f>
        <v>44935.666666666599</v>
      </c>
      <c r="B2020" s="1">
        <f ca="1">IFERROR(__xludf.DUMMYFUNCTION("""COMPUTED_VALUE"""),118.96)</f>
        <v>118.96</v>
      </c>
      <c r="C2020" s="1">
        <f ca="1">IFERROR(__xludf.DUMMYFUNCTION("""COMPUTED_VALUE"""),123.52)</f>
        <v>123.52</v>
      </c>
      <c r="D2020" s="1">
        <f ca="1">IFERROR(__xludf.DUMMYFUNCTION("""COMPUTED_VALUE"""),117.11)</f>
        <v>117.11</v>
      </c>
      <c r="E2020" s="1">
        <f ca="1">IFERROR(__xludf.DUMMYFUNCTION("""COMPUTED_VALUE"""),119.77)</f>
        <v>119.77</v>
      </c>
      <c r="F2020" s="1">
        <f ca="1">IFERROR(__xludf.DUMMYFUNCTION("""COMPUTED_VALUE"""),190283951)</f>
        <v>190283951</v>
      </c>
    </row>
    <row r="2021" spans="1:6" x14ac:dyDescent="0.35">
      <c r="A2021" s="2">
        <f ca="1">IFERROR(__xludf.DUMMYFUNCTION("""COMPUTED_VALUE"""),44936.6666666666)</f>
        <v>44936.666666666599</v>
      </c>
      <c r="B2021" s="1">
        <f ca="1">IFERROR(__xludf.DUMMYFUNCTION("""COMPUTED_VALUE"""),121.07)</f>
        <v>121.07</v>
      </c>
      <c r="C2021" s="1">
        <f ca="1">IFERROR(__xludf.DUMMYFUNCTION("""COMPUTED_VALUE"""),122.76)</f>
        <v>122.76</v>
      </c>
      <c r="D2021" s="1">
        <f ca="1">IFERROR(__xludf.DUMMYFUNCTION("""COMPUTED_VALUE"""),114.92)</f>
        <v>114.92</v>
      </c>
      <c r="E2021" s="1">
        <f ca="1">IFERROR(__xludf.DUMMYFUNCTION("""COMPUTED_VALUE"""),118.85)</f>
        <v>118.85</v>
      </c>
      <c r="F2021" s="1">
        <f ca="1">IFERROR(__xludf.DUMMYFUNCTION("""COMPUTED_VALUE"""),167642485)</f>
        <v>167642485</v>
      </c>
    </row>
    <row r="2022" spans="1:6" x14ac:dyDescent="0.35">
      <c r="A2022" s="2">
        <f ca="1">IFERROR(__xludf.DUMMYFUNCTION("""COMPUTED_VALUE"""),44937.6666666666)</f>
        <v>44937.666666666599</v>
      </c>
      <c r="B2022" s="1">
        <f ca="1">IFERROR(__xludf.DUMMYFUNCTION("""COMPUTED_VALUE"""),122.09)</f>
        <v>122.09</v>
      </c>
      <c r="C2022" s="1">
        <f ca="1">IFERROR(__xludf.DUMMYFUNCTION("""COMPUTED_VALUE"""),125.95)</f>
        <v>125.95</v>
      </c>
      <c r="D2022" s="1">
        <f ca="1">IFERROR(__xludf.DUMMYFUNCTION("""COMPUTED_VALUE"""),120.51)</f>
        <v>120.51</v>
      </c>
      <c r="E2022" s="1">
        <f ca="1">IFERROR(__xludf.DUMMYFUNCTION("""COMPUTED_VALUE"""),123.22)</f>
        <v>123.22</v>
      </c>
      <c r="F2022" s="1">
        <f ca="1">IFERROR(__xludf.DUMMYFUNCTION("""COMPUTED_VALUE"""),183810771)</f>
        <v>183810771</v>
      </c>
    </row>
    <row r="2023" spans="1:6" x14ac:dyDescent="0.35">
      <c r="A2023" s="2">
        <f ca="1">IFERROR(__xludf.DUMMYFUNCTION("""COMPUTED_VALUE"""),44938.6666666666)</f>
        <v>44938.666666666599</v>
      </c>
      <c r="B2023" s="1">
        <f ca="1">IFERROR(__xludf.DUMMYFUNCTION("""COMPUTED_VALUE"""),122.56)</f>
        <v>122.56</v>
      </c>
      <c r="C2023" s="1">
        <f ca="1">IFERROR(__xludf.DUMMYFUNCTION("""COMPUTED_VALUE"""),124.13)</f>
        <v>124.13</v>
      </c>
      <c r="D2023" s="1">
        <f ca="1">IFERROR(__xludf.DUMMYFUNCTION("""COMPUTED_VALUE"""),117)</f>
        <v>117</v>
      </c>
      <c r="E2023" s="1">
        <f ca="1">IFERROR(__xludf.DUMMYFUNCTION("""COMPUTED_VALUE"""),123.56)</f>
        <v>123.56</v>
      </c>
      <c r="F2023" s="1">
        <f ca="1">IFERROR(__xludf.DUMMYFUNCTION("""COMPUTED_VALUE"""),169400913)</f>
        <v>169400913</v>
      </c>
    </row>
    <row r="2024" spans="1:6" x14ac:dyDescent="0.35">
      <c r="A2024" s="2">
        <f ca="1">IFERROR(__xludf.DUMMYFUNCTION("""COMPUTED_VALUE"""),44939.6666666666)</f>
        <v>44939.666666666599</v>
      </c>
      <c r="B2024" s="1">
        <f ca="1">IFERROR(__xludf.DUMMYFUNCTION("""COMPUTED_VALUE"""),116.55)</f>
        <v>116.55</v>
      </c>
      <c r="C2024" s="1">
        <f ca="1">IFERROR(__xludf.DUMMYFUNCTION("""COMPUTED_VALUE"""),122.63)</f>
        <v>122.63</v>
      </c>
      <c r="D2024" s="1">
        <f ca="1">IFERROR(__xludf.DUMMYFUNCTION("""COMPUTED_VALUE"""),115.6)</f>
        <v>115.6</v>
      </c>
      <c r="E2024" s="1">
        <f ca="1">IFERROR(__xludf.DUMMYFUNCTION("""COMPUTED_VALUE"""),122.4)</f>
        <v>122.4</v>
      </c>
      <c r="F2024" s="1">
        <f ca="1">IFERROR(__xludf.DUMMYFUNCTION("""COMPUTED_VALUE"""),180714119)</f>
        <v>180714119</v>
      </c>
    </row>
    <row r="2025" spans="1:6" x14ac:dyDescent="0.35">
      <c r="A2025" s="2">
        <f ca="1">IFERROR(__xludf.DUMMYFUNCTION("""COMPUTED_VALUE"""),44943.6666666666)</f>
        <v>44943.666666666599</v>
      </c>
      <c r="B2025" s="1">
        <f ca="1">IFERROR(__xludf.DUMMYFUNCTION("""COMPUTED_VALUE"""),125.7)</f>
        <v>125.7</v>
      </c>
      <c r="C2025" s="1">
        <f ca="1">IFERROR(__xludf.DUMMYFUNCTION("""COMPUTED_VALUE"""),131.7)</f>
        <v>131.69999999999999</v>
      </c>
      <c r="D2025" s="1">
        <f ca="1">IFERROR(__xludf.DUMMYFUNCTION("""COMPUTED_VALUE"""),125.02)</f>
        <v>125.02</v>
      </c>
      <c r="E2025" s="1">
        <f ca="1">IFERROR(__xludf.DUMMYFUNCTION("""COMPUTED_VALUE"""),131.49)</f>
        <v>131.49</v>
      </c>
      <c r="F2025" s="1">
        <f ca="1">IFERROR(__xludf.DUMMYFUNCTION("""COMPUTED_VALUE"""),186476985)</f>
        <v>186476985</v>
      </c>
    </row>
    <row r="2026" spans="1:6" x14ac:dyDescent="0.35">
      <c r="A2026" s="2">
        <f ca="1">IFERROR(__xludf.DUMMYFUNCTION("""COMPUTED_VALUE"""),44944.6666666666)</f>
        <v>44944.666666666599</v>
      </c>
      <c r="B2026" s="1">
        <f ca="1">IFERROR(__xludf.DUMMYFUNCTION("""COMPUTED_VALUE"""),136.56)</f>
        <v>136.56</v>
      </c>
      <c r="C2026" s="1">
        <f ca="1">IFERROR(__xludf.DUMMYFUNCTION("""COMPUTED_VALUE"""),136.68)</f>
        <v>136.68</v>
      </c>
      <c r="D2026" s="1">
        <f ca="1">IFERROR(__xludf.DUMMYFUNCTION("""COMPUTED_VALUE"""),127.01)</f>
        <v>127.01</v>
      </c>
      <c r="E2026" s="1">
        <f ca="1">IFERROR(__xludf.DUMMYFUNCTION("""COMPUTED_VALUE"""),128.78)</f>
        <v>128.78</v>
      </c>
      <c r="F2026" s="1">
        <f ca="1">IFERROR(__xludf.DUMMYFUNCTION("""COMPUTED_VALUE"""),195680318)</f>
        <v>195680318</v>
      </c>
    </row>
    <row r="2027" spans="1:6" x14ac:dyDescent="0.35">
      <c r="A2027" s="2">
        <f ca="1">IFERROR(__xludf.DUMMYFUNCTION("""COMPUTED_VALUE"""),44945.6666666666)</f>
        <v>44945.666666666599</v>
      </c>
      <c r="B2027" s="1">
        <f ca="1">IFERROR(__xludf.DUMMYFUNCTION("""COMPUTED_VALUE"""),127.26)</f>
        <v>127.26</v>
      </c>
      <c r="C2027" s="1">
        <f ca="1">IFERROR(__xludf.DUMMYFUNCTION("""COMPUTED_VALUE"""),129.99)</f>
        <v>129.99</v>
      </c>
      <c r="D2027" s="1">
        <f ca="1">IFERROR(__xludf.DUMMYFUNCTION("""COMPUTED_VALUE"""),124.31)</f>
        <v>124.31</v>
      </c>
      <c r="E2027" s="1">
        <f ca="1">IFERROR(__xludf.DUMMYFUNCTION("""COMPUTED_VALUE"""),127.17)</f>
        <v>127.17</v>
      </c>
      <c r="F2027" s="1">
        <f ca="1">IFERROR(__xludf.DUMMYFUNCTION("""COMPUTED_VALUE"""),170291880)</f>
        <v>170291880</v>
      </c>
    </row>
    <row r="2028" spans="1:6" x14ac:dyDescent="0.35">
      <c r="A2028" s="2">
        <f ca="1">IFERROR(__xludf.DUMMYFUNCTION("""COMPUTED_VALUE"""),44946.6666666666)</f>
        <v>44946.666666666599</v>
      </c>
      <c r="B2028" s="1">
        <f ca="1">IFERROR(__xludf.DUMMYFUNCTION("""COMPUTED_VALUE"""),128.68)</f>
        <v>128.68</v>
      </c>
      <c r="C2028" s="1">
        <f ca="1">IFERROR(__xludf.DUMMYFUNCTION("""COMPUTED_VALUE"""),133.51)</f>
        <v>133.51</v>
      </c>
      <c r="D2028" s="1">
        <f ca="1">IFERROR(__xludf.DUMMYFUNCTION("""COMPUTED_VALUE"""),127.35)</f>
        <v>127.35</v>
      </c>
      <c r="E2028" s="1">
        <f ca="1">IFERROR(__xludf.DUMMYFUNCTION("""COMPUTED_VALUE"""),133.42)</f>
        <v>133.41999999999999</v>
      </c>
      <c r="F2028" s="1">
        <f ca="1">IFERROR(__xludf.DUMMYFUNCTION("""COMPUTED_VALUE"""),138858136)</f>
        <v>138858136</v>
      </c>
    </row>
    <row r="2029" spans="1:6" x14ac:dyDescent="0.35">
      <c r="A2029" s="2">
        <f ca="1">IFERROR(__xludf.DUMMYFUNCTION("""COMPUTED_VALUE"""),44949.6666666666)</f>
        <v>44949.666666666599</v>
      </c>
      <c r="B2029" s="1">
        <f ca="1">IFERROR(__xludf.DUMMYFUNCTION("""COMPUTED_VALUE"""),135.87)</f>
        <v>135.87</v>
      </c>
      <c r="C2029" s="1">
        <f ca="1">IFERROR(__xludf.DUMMYFUNCTION("""COMPUTED_VALUE"""),145.38)</f>
        <v>145.38</v>
      </c>
      <c r="D2029" s="1">
        <f ca="1">IFERROR(__xludf.DUMMYFUNCTION("""COMPUTED_VALUE"""),134.27)</f>
        <v>134.27000000000001</v>
      </c>
      <c r="E2029" s="1">
        <f ca="1">IFERROR(__xludf.DUMMYFUNCTION("""COMPUTED_VALUE"""),143.75)</f>
        <v>143.75</v>
      </c>
      <c r="F2029" s="1">
        <f ca="1">IFERROR(__xludf.DUMMYFUNCTION("""COMPUTED_VALUE"""),203119211)</f>
        <v>203119211</v>
      </c>
    </row>
    <row r="2030" spans="1:6" x14ac:dyDescent="0.35">
      <c r="A2030" s="2">
        <f ca="1">IFERROR(__xludf.DUMMYFUNCTION("""COMPUTED_VALUE"""),44950.6666666666)</f>
        <v>44950.666666666599</v>
      </c>
      <c r="B2030" s="1">
        <f ca="1">IFERROR(__xludf.DUMMYFUNCTION("""COMPUTED_VALUE"""),143)</f>
        <v>143</v>
      </c>
      <c r="C2030" s="1">
        <f ca="1">IFERROR(__xludf.DUMMYFUNCTION("""COMPUTED_VALUE"""),146.5)</f>
        <v>146.5</v>
      </c>
      <c r="D2030" s="1">
        <f ca="1">IFERROR(__xludf.DUMMYFUNCTION("""COMPUTED_VALUE"""),141.1)</f>
        <v>141.1</v>
      </c>
      <c r="E2030" s="1">
        <f ca="1">IFERROR(__xludf.DUMMYFUNCTION("""COMPUTED_VALUE"""),143.89)</f>
        <v>143.88999999999999</v>
      </c>
      <c r="F2030" s="1">
        <f ca="1">IFERROR(__xludf.DUMMYFUNCTION("""COMPUTED_VALUE"""),158699056)</f>
        <v>158699056</v>
      </c>
    </row>
    <row r="2031" spans="1:6" x14ac:dyDescent="0.35">
      <c r="A2031" s="2">
        <f ca="1">IFERROR(__xludf.DUMMYFUNCTION("""COMPUTED_VALUE"""),44951.6666666666)</f>
        <v>44951.666666666599</v>
      </c>
      <c r="B2031" s="1">
        <f ca="1">IFERROR(__xludf.DUMMYFUNCTION("""COMPUTED_VALUE"""),141.91)</f>
        <v>141.91</v>
      </c>
      <c r="C2031" s="1">
        <f ca="1">IFERROR(__xludf.DUMMYFUNCTION("""COMPUTED_VALUE"""),146.41)</f>
        <v>146.41</v>
      </c>
      <c r="D2031" s="1">
        <f ca="1">IFERROR(__xludf.DUMMYFUNCTION("""COMPUTED_VALUE"""),138.07)</f>
        <v>138.07</v>
      </c>
      <c r="E2031" s="1">
        <f ca="1">IFERROR(__xludf.DUMMYFUNCTION("""COMPUTED_VALUE"""),144.43)</f>
        <v>144.43</v>
      </c>
      <c r="F2031" s="1">
        <f ca="1">IFERROR(__xludf.DUMMYFUNCTION("""COMPUTED_VALUE"""),192734347)</f>
        <v>192734347</v>
      </c>
    </row>
    <row r="2032" spans="1:6" x14ac:dyDescent="0.35">
      <c r="A2032" s="2">
        <f ca="1">IFERROR(__xludf.DUMMYFUNCTION("""COMPUTED_VALUE"""),44952.6666666666)</f>
        <v>44952.666666666599</v>
      </c>
      <c r="B2032" s="1">
        <f ca="1">IFERROR(__xludf.DUMMYFUNCTION("""COMPUTED_VALUE"""),159.97)</f>
        <v>159.97</v>
      </c>
      <c r="C2032" s="1">
        <f ca="1">IFERROR(__xludf.DUMMYFUNCTION("""COMPUTED_VALUE"""),161.42)</f>
        <v>161.41999999999999</v>
      </c>
      <c r="D2032" s="1">
        <f ca="1">IFERROR(__xludf.DUMMYFUNCTION("""COMPUTED_VALUE"""),154.76)</f>
        <v>154.76</v>
      </c>
      <c r="E2032" s="1">
        <f ca="1">IFERROR(__xludf.DUMMYFUNCTION("""COMPUTED_VALUE"""),160.27)</f>
        <v>160.27000000000001</v>
      </c>
      <c r="F2032" s="1">
        <f ca="1">IFERROR(__xludf.DUMMYFUNCTION("""COMPUTED_VALUE"""),234815090)</f>
        <v>234815090</v>
      </c>
    </row>
    <row r="2033" spans="1:6" x14ac:dyDescent="0.35">
      <c r="A2033" s="2">
        <f ca="1">IFERROR(__xludf.DUMMYFUNCTION("""COMPUTED_VALUE"""),44953.6666666666)</f>
        <v>44953.666666666599</v>
      </c>
      <c r="B2033" s="1">
        <f ca="1">IFERROR(__xludf.DUMMYFUNCTION("""COMPUTED_VALUE"""),162.43)</f>
        <v>162.43</v>
      </c>
      <c r="C2033" s="1">
        <f ca="1">IFERROR(__xludf.DUMMYFUNCTION("""COMPUTED_VALUE"""),180.68)</f>
        <v>180.68</v>
      </c>
      <c r="D2033" s="1">
        <f ca="1">IFERROR(__xludf.DUMMYFUNCTION("""COMPUTED_VALUE"""),161.17)</f>
        <v>161.16999999999999</v>
      </c>
      <c r="E2033" s="1">
        <f ca="1">IFERROR(__xludf.DUMMYFUNCTION("""COMPUTED_VALUE"""),177.9)</f>
        <v>177.9</v>
      </c>
      <c r="F2033" s="1">
        <f ca="1">IFERROR(__xludf.DUMMYFUNCTION("""COMPUTED_VALUE"""),306590613)</f>
        <v>306590613</v>
      </c>
    </row>
    <row r="2034" spans="1:6" x14ac:dyDescent="0.35">
      <c r="A2034" s="2">
        <f ca="1">IFERROR(__xludf.DUMMYFUNCTION("""COMPUTED_VALUE"""),44956.6666666666)</f>
        <v>44956.666666666599</v>
      </c>
      <c r="B2034" s="1">
        <f ca="1">IFERROR(__xludf.DUMMYFUNCTION("""COMPUTED_VALUE"""),178.05)</f>
        <v>178.05</v>
      </c>
      <c r="C2034" s="1">
        <f ca="1">IFERROR(__xludf.DUMMYFUNCTION("""COMPUTED_VALUE"""),179.77)</f>
        <v>179.77</v>
      </c>
      <c r="D2034" s="1">
        <f ca="1">IFERROR(__xludf.DUMMYFUNCTION("""COMPUTED_VALUE"""),166.5)</f>
        <v>166.5</v>
      </c>
      <c r="E2034" s="1">
        <f ca="1">IFERROR(__xludf.DUMMYFUNCTION("""COMPUTED_VALUE"""),166.66)</f>
        <v>166.66</v>
      </c>
      <c r="F2034" s="1">
        <f ca="1">IFERROR(__xludf.DUMMYFUNCTION("""COMPUTED_VALUE"""),230878807)</f>
        <v>230878807</v>
      </c>
    </row>
    <row r="2035" spans="1:6" x14ac:dyDescent="0.35">
      <c r="A2035" s="2">
        <f ca="1">IFERROR(__xludf.DUMMYFUNCTION("""COMPUTED_VALUE"""),44957.6666666666)</f>
        <v>44957.666666666599</v>
      </c>
      <c r="B2035" s="1">
        <f ca="1">IFERROR(__xludf.DUMMYFUNCTION("""COMPUTED_VALUE"""),164.57)</f>
        <v>164.57</v>
      </c>
      <c r="C2035" s="1">
        <f ca="1">IFERROR(__xludf.DUMMYFUNCTION("""COMPUTED_VALUE"""),174.3)</f>
        <v>174.3</v>
      </c>
      <c r="D2035" s="1">
        <f ca="1">IFERROR(__xludf.DUMMYFUNCTION("""COMPUTED_VALUE"""),162.78)</f>
        <v>162.78</v>
      </c>
      <c r="E2035" s="1">
        <f ca="1">IFERROR(__xludf.DUMMYFUNCTION("""COMPUTED_VALUE"""),173.22)</f>
        <v>173.22</v>
      </c>
      <c r="F2035" s="1">
        <f ca="1">IFERROR(__xludf.DUMMYFUNCTION("""COMPUTED_VALUE"""),196813541)</f>
        <v>196813541</v>
      </c>
    </row>
    <row r="2036" spans="1:6" x14ac:dyDescent="0.35">
      <c r="A2036" s="2">
        <f ca="1">IFERROR(__xludf.DUMMYFUNCTION("""COMPUTED_VALUE"""),44958.6666666666)</f>
        <v>44958.666666666599</v>
      </c>
      <c r="B2036" s="1">
        <f ca="1">IFERROR(__xludf.DUMMYFUNCTION("""COMPUTED_VALUE"""),173.89)</f>
        <v>173.89</v>
      </c>
      <c r="C2036" s="1">
        <f ca="1">IFERROR(__xludf.DUMMYFUNCTION("""COMPUTED_VALUE"""),183.81)</f>
        <v>183.81</v>
      </c>
      <c r="D2036" s="1">
        <f ca="1">IFERROR(__xludf.DUMMYFUNCTION("""COMPUTED_VALUE"""),169.93)</f>
        <v>169.93</v>
      </c>
      <c r="E2036" s="1">
        <f ca="1">IFERROR(__xludf.DUMMYFUNCTION("""COMPUTED_VALUE"""),181.41)</f>
        <v>181.41</v>
      </c>
      <c r="F2036" s="1">
        <f ca="1">IFERROR(__xludf.DUMMYFUNCTION("""COMPUTED_VALUE"""),213806323)</f>
        <v>213806323</v>
      </c>
    </row>
    <row r="2037" spans="1:6" x14ac:dyDescent="0.35">
      <c r="A2037" s="2">
        <f ca="1">IFERROR(__xludf.DUMMYFUNCTION("""COMPUTED_VALUE"""),44959.6666666666)</f>
        <v>44959.666666666599</v>
      </c>
      <c r="B2037" s="1">
        <f ca="1">IFERROR(__xludf.DUMMYFUNCTION("""COMPUTED_VALUE"""),187.33)</f>
        <v>187.33</v>
      </c>
      <c r="C2037" s="1">
        <f ca="1">IFERROR(__xludf.DUMMYFUNCTION("""COMPUTED_VALUE"""),196.75)</f>
        <v>196.75</v>
      </c>
      <c r="D2037" s="1">
        <f ca="1">IFERROR(__xludf.DUMMYFUNCTION("""COMPUTED_VALUE"""),182.61)</f>
        <v>182.61</v>
      </c>
      <c r="E2037" s="1">
        <f ca="1">IFERROR(__xludf.DUMMYFUNCTION("""COMPUTED_VALUE"""),188.27)</f>
        <v>188.27</v>
      </c>
      <c r="F2037" s="1">
        <f ca="1">IFERROR(__xludf.DUMMYFUNCTION("""COMPUTED_VALUE"""),217448287)</f>
        <v>217448287</v>
      </c>
    </row>
    <row r="2038" spans="1:6" x14ac:dyDescent="0.35">
      <c r="A2038" s="2">
        <f ca="1">IFERROR(__xludf.DUMMYFUNCTION("""COMPUTED_VALUE"""),44960.6666666666)</f>
        <v>44960.666666666599</v>
      </c>
      <c r="B2038" s="1">
        <f ca="1">IFERROR(__xludf.DUMMYFUNCTION("""COMPUTED_VALUE"""),183.95)</f>
        <v>183.95</v>
      </c>
      <c r="C2038" s="1">
        <f ca="1">IFERROR(__xludf.DUMMYFUNCTION("""COMPUTED_VALUE"""),199)</f>
        <v>199</v>
      </c>
      <c r="D2038" s="1">
        <f ca="1">IFERROR(__xludf.DUMMYFUNCTION("""COMPUTED_VALUE"""),183.69)</f>
        <v>183.69</v>
      </c>
      <c r="E2038" s="1">
        <f ca="1">IFERROR(__xludf.DUMMYFUNCTION("""COMPUTED_VALUE"""),189.98)</f>
        <v>189.98</v>
      </c>
      <c r="F2038" s="1">
        <f ca="1">IFERROR(__xludf.DUMMYFUNCTION("""COMPUTED_VALUE"""),232662023)</f>
        <v>232662023</v>
      </c>
    </row>
    <row r="2039" spans="1:6" x14ac:dyDescent="0.35">
      <c r="A2039" s="2">
        <f ca="1">IFERROR(__xludf.DUMMYFUNCTION("""COMPUTED_VALUE"""),44963.6666666666)</f>
        <v>44963.666666666599</v>
      </c>
      <c r="B2039" s="1">
        <f ca="1">IFERROR(__xludf.DUMMYFUNCTION("""COMPUTED_VALUE"""),193.01)</f>
        <v>193.01</v>
      </c>
      <c r="C2039" s="1">
        <f ca="1">IFERROR(__xludf.DUMMYFUNCTION("""COMPUTED_VALUE"""),198.17)</f>
        <v>198.17</v>
      </c>
      <c r="D2039" s="1">
        <f ca="1">IFERROR(__xludf.DUMMYFUNCTION("""COMPUTED_VALUE"""),189.92)</f>
        <v>189.92</v>
      </c>
      <c r="E2039" s="1">
        <f ca="1">IFERROR(__xludf.DUMMYFUNCTION("""COMPUTED_VALUE"""),194.76)</f>
        <v>194.76</v>
      </c>
      <c r="F2039" s="1">
        <f ca="1">IFERROR(__xludf.DUMMYFUNCTION("""COMPUTED_VALUE"""),186188131)</f>
        <v>186188131</v>
      </c>
    </row>
    <row r="2040" spans="1:6" x14ac:dyDescent="0.35">
      <c r="A2040" s="2">
        <f ca="1">IFERROR(__xludf.DUMMYFUNCTION("""COMPUTED_VALUE"""),44964.6666666666)</f>
        <v>44964.666666666599</v>
      </c>
      <c r="B2040" s="1">
        <f ca="1">IFERROR(__xludf.DUMMYFUNCTION("""COMPUTED_VALUE"""),196.43)</f>
        <v>196.43</v>
      </c>
      <c r="C2040" s="1">
        <f ca="1">IFERROR(__xludf.DUMMYFUNCTION("""COMPUTED_VALUE"""),197.5)</f>
        <v>197.5</v>
      </c>
      <c r="D2040" s="1">
        <f ca="1">IFERROR(__xludf.DUMMYFUNCTION("""COMPUTED_VALUE"""),189.55)</f>
        <v>189.55</v>
      </c>
      <c r="E2040" s="1">
        <f ca="1">IFERROR(__xludf.DUMMYFUNCTION("""COMPUTED_VALUE"""),196.81)</f>
        <v>196.81</v>
      </c>
      <c r="F2040" s="1">
        <f ca="1">IFERROR(__xludf.DUMMYFUNCTION("""COMPUTED_VALUE"""),186010325)</f>
        <v>186010325</v>
      </c>
    </row>
    <row r="2041" spans="1:6" x14ac:dyDescent="0.35">
      <c r="A2041" s="2">
        <f ca="1">IFERROR(__xludf.DUMMYFUNCTION("""COMPUTED_VALUE"""),44965.6666666666)</f>
        <v>44965.666666666599</v>
      </c>
      <c r="B2041" s="1">
        <f ca="1">IFERROR(__xludf.DUMMYFUNCTION("""COMPUTED_VALUE"""),196.1)</f>
        <v>196.1</v>
      </c>
      <c r="C2041" s="1">
        <f ca="1">IFERROR(__xludf.DUMMYFUNCTION("""COMPUTED_VALUE"""),203)</f>
        <v>203</v>
      </c>
      <c r="D2041" s="1">
        <f ca="1">IFERROR(__xludf.DUMMYFUNCTION("""COMPUTED_VALUE"""),194.31)</f>
        <v>194.31</v>
      </c>
      <c r="E2041" s="1">
        <f ca="1">IFERROR(__xludf.DUMMYFUNCTION("""COMPUTED_VALUE"""),201.29)</f>
        <v>201.29</v>
      </c>
      <c r="F2041" s="1">
        <f ca="1">IFERROR(__xludf.DUMMYFUNCTION("""COMPUTED_VALUE"""),180673644)</f>
        <v>180673644</v>
      </c>
    </row>
    <row r="2042" spans="1:6" x14ac:dyDescent="0.35">
      <c r="A2042" s="2">
        <f ca="1">IFERROR(__xludf.DUMMYFUNCTION("""COMPUTED_VALUE"""),44966.6666666666)</f>
        <v>44966.666666666599</v>
      </c>
      <c r="B2042" s="1">
        <f ca="1">IFERROR(__xludf.DUMMYFUNCTION("""COMPUTED_VALUE"""),207.78)</f>
        <v>207.78</v>
      </c>
      <c r="C2042" s="1">
        <f ca="1">IFERROR(__xludf.DUMMYFUNCTION("""COMPUTED_VALUE"""),214)</f>
        <v>214</v>
      </c>
      <c r="D2042" s="1">
        <f ca="1">IFERROR(__xludf.DUMMYFUNCTION("""COMPUTED_VALUE"""),204.77)</f>
        <v>204.77</v>
      </c>
      <c r="E2042" s="1">
        <f ca="1">IFERROR(__xludf.DUMMYFUNCTION("""COMPUTED_VALUE"""),207.32)</f>
        <v>207.32</v>
      </c>
      <c r="F2042" s="1">
        <f ca="1">IFERROR(__xludf.DUMMYFUNCTION("""COMPUTED_VALUE"""),215431442)</f>
        <v>215431442</v>
      </c>
    </row>
    <row r="2043" spans="1:6" x14ac:dyDescent="0.35">
      <c r="A2043" s="2">
        <f ca="1">IFERROR(__xludf.DUMMYFUNCTION("""COMPUTED_VALUE"""),44967.6666666666)</f>
        <v>44967.666666666599</v>
      </c>
      <c r="B2043" s="1">
        <f ca="1">IFERROR(__xludf.DUMMYFUNCTION("""COMPUTED_VALUE"""),202.23)</f>
        <v>202.23</v>
      </c>
      <c r="C2043" s="1">
        <f ca="1">IFERROR(__xludf.DUMMYFUNCTION("""COMPUTED_VALUE"""),206.2)</f>
        <v>206.2</v>
      </c>
      <c r="D2043" s="1">
        <f ca="1">IFERROR(__xludf.DUMMYFUNCTION("""COMPUTED_VALUE"""),192.89)</f>
        <v>192.89</v>
      </c>
      <c r="E2043" s="1">
        <f ca="1">IFERROR(__xludf.DUMMYFUNCTION("""COMPUTED_VALUE"""),196.89)</f>
        <v>196.89</v>
      </c>
      <c r="F2043" s="1">
        <f ca="1">IFERROR(__xludf.DUMMYFUNCTION("""COMPUTED_VALUE"""),204754129)</f>
        <v>204754129</v>
      </c>
    </row>
    <row r="2044" spans="1:6" x14ac:dyDescent="0.35">
      <c r="A2044" s="2">
        <f ca="1">IFERROR(__xludf.DUMMYFUNCTION("""COMPUTED_VALUE"""),44970.6666666666)</f>
        <v>44970.666666666599</v>
      </c>
      <c r="B2044" s="1">
        <f ca="1">IFERROR(__xludf.DUMMYFUNCTION("""COMPUTED_VALUE"""),194.42)</f>
        <v>194.42</v>
      </c>
      <c r="C2044" s="1">
        <f ca="1">IFERROR(__xludf.DUMMYFUNCTION("""COMPUTED_VALUE"""),196.3)</f>
        <v>196.3</v>
      </c>
      <c r="D2044" s="1">
        <f ca="1">IFERROR(__xludf.DUMMYFUNCTION("""COMPUTED_VALUE"""),187.61)</f>
        <v>187.61</v>
      </c>
      <c r="E2044" s="1">
        <f ca="1">IFERROR(__xludf.DUMMYFUNCTION("""COMPUTED_VALUE"""),194.64)</f>
        <v>194.64</v>
      </c>
      <c r="F2044" s="1">
        <f ca="1">IFERROR(__xludf.DUMMYFUNCTION("""COMPUTED_VALUE"""),172475452)</f>
        <v>172475452</v>
      </c>
    </row>
    <row r="2045" spans="1:6" x14ac:dyDescent="0.35">
      <c r="A2045" s="2">
        <f ca="1">IFERROR(__xludf.DUMMYFUNCTION("""COMPUTED_VALUE"""),44971.6666666666)</f>
        <v>44971.666666666599</v>
      </c>
      <c r="B2045" s="1">
        <f ca="1">IFERROR(__xludf.DUMMYFUNCTION("""COMPUTED_VALUE"""),191.94)</f>
        <v>191.94</v>
      </c>
      <c r="C2045" s="1">
        <f ca="1">IFERROR(__xludf.DUMMYFUNCTION("""COMPUTED_VALUE"""),209.82)</f>
        <v>209.82</v>
      </c>
      <c r="D2045" s="1">
        <f ca="1">IFERROR(__xludf.DUMMYFUNCTION("""COMPUTED_VALUE"""),189.44)</f>
        <v>189.44</v>
      </c>
      <c r="E2045" s="1">
        <f ca="1">IFERROR(__xludf.DUMMYFUNCTION("""COMPUTED_VALUE"""),209.25)</f>
        <v>209.25</v>
      </c>
      <c r="F2045" s="1">
        <f ca="1">IFERROR(__xludf.DUMMYFUNCTION("""COMPUTED_VALUE"""),216455708)</f>
        <v>216455708</v>
      </c>
    </row>
    <row r="2046" spans="1:6" x14ac:dyDescent="0.35">
      <c r="A2046" s="2">
        <f ca="1">IFERROR(__xludf.DUMMYFUNCTION("""COMPUTED_VALUE"""),44972.6666666666)</f>
        <v>44972.666666666599</v>
      </c>
      <c r="B2046" s="1">
        <f ca="1">IFERROR(__xludf.DUMMYFUNCTION("""COMPUTED_VALUE"""),211.76)</f>
        <v>211.76</v>
      </c>
      <c r="C2046" s="1">
        <f ca="1">IFERROR(__xludf.DUMMYFUNCTION("""COMPUTED_VALUE"""),214.66)</f>
        <v>214.66</v>
      </c>
      <c r="D2046" s="1">
        <f ca="1">IFERROR(__xludf.DUMMYFUNCTION("""COMPUTED_VALUE"""),206.11)</f>
        <v>206.11</v>
      </c>
      <c r="E2046" s="1">
        <f ca="1">IFERROR(__xludf.DUMMYFUNCTION("""COMPUTED_VALUE"""),214.24)</f>
        <v>214.24</v>
      </c>
      <c r="F2046" s="1">
        <f ca="1">IFERROR(__xludf.DUMMYFUNCTION("""COMPUTED_VALUE"""),182108581)</f>
        <v>182108581</v>
      </c>
    </row>
    <row r="2047" spans="1:6" x14ac:dyDescent="0.35">
      <c r="A2047" s="2">
        <f ca="1">IFERROR(__xludf.DUMMYFUNCTION("""COMPUTED_VALUE"""),44973.6666666666)</f>
        <v>44973.666666666599</v>
      </c>
      <c r="B2047" s="1">
        <f ca="1">IFERROR(__xludf.DUMMYFUNCTION("""COMPUTED_VALUE"""),210.78)</f>
        <v>210.78</v>
      </c>
      <c r="C2047" s="1">
        <f ca="1">IFERROR(__xludf.DUMMYFUNCTION("""COMPUTED_VALUE"""),217.65)</f>
        <v>217.65</v>
      </c>
      <c r="D2047" s="1">
        <f ca="1">IFERROR(__xludf.DUMMYFUNCTION("""COMPUTED_VALUE"""),201.84)</f>
        <v>201.84</v>
      </c>
      <c r="E2047" s="1">
        <f ca="1">IFERROR(__xludf.DUMMYFUNCTION("""COMPUTED_VALUE"""),202.04)</f>
        <v>202.04</v>
      </c>
      <c r="F2047" s="1">
        <f ca="1">IFERROR(__xludf.DUMMYFUNCTION("""COMPUTED_VALUE"""),229586538)</f>
        <v>229586538</v>
      </c>
    </row>
    <row r="2048" spans="1:6" x14ac:dyDescent="0.35">
      <c r="A2048" s="2">
        <f ca="1">IFERROR(__xludf.DUMMYFUNCTION("""COMPUTED_VALUE"""),44974.6666666666)</f>
        <v>44974.666666666599</v>
      </c>
      <c r="B2048" s="1">
        <f ca="1">IFERROR(__xludf.DUMMYFUNCTION("""COMPUTED_VALUE"""),199.99)</f>
        <v>199.99</v>
      </c>
      <c r="C2048" s="1">
        <f ca="1">IFERROR(__xludf.DUMMYFUNCTION("""COMPUTED_VALUE"""),208.44)</f>
        <v>208.44</v>
      </c>
      <c r="D2048" s="1">
        <f ca="1">IFERROR(__xludf.DUMMYFUNCTION("""COMPUTED_VALUE"""),197.5)</f>
        <v>197.5</v>
      </c>
      <c r="E2048" s="1">
        <f ca="1">IFERROR(__xludf.DUMMYFUNCTION("""COMPUTED_VALUE"""),208.31)</f>
        <v>208.31</v>
      </c>
      <c r="F2048" s="1">
        <f ca="1">IFERROR(__xludf.DUMMYFUNCTION("""COMPUTED_VALUE"""),213738549)</f>
        <v>213738549</v>
      </c>
    </row>
    <row r="2049" spans="1:6" x14ac:dyDescent="0.35">
      <c r="A2049" s="2">
        <f ca="1">IFERROR(__xludf.DUMMYFUNCTION("""COMPUTED_VALUE"""),44978.6666666666)</f>
        <v>44978.666666666599</v>
      </c>
      <c r="B2049" s="1">
        <f ca="1">IFERROR(__xludf.DUMMYFUNCTION("""COMPUTED_VALUE"""),204.99)</f>
        <v>204.99</v>
      </c>
      <c r="C2049" s="1">
        <f ca="1">IFERROR(__xludf.DUMMYFUNCTION("""COMPUTED_VALUE"""),209.71)</f>
        <v>209.71</v>
      </c>
      <c r="D2049" s="1">
        <f ca="1">IFERROR(__xludf.DUMMYFUNCTION("""COMPUTED_VALUE"""),197.22)</f>
        <v>197.22</v>
      </c>
      <c r="E2049" s="1">
        <f ca="1">IFERROR(__xludf.DUMMYFUNCTION("""COMPUTED_VALUE"""),197.37)</f>
        <v>197.37</v>
      </c>
      <c r="F2049" s="1">
        <f ca="1">IFERROR(__xludf.DUMMYFUNCTION("""COMPUTED_VALUE"""),180018588)</f>
        <v>180018588</v>
      </c>
    </row>
    <row r="2050" spans="1:6" x14ac:dyDescent="0.35">
      <c r="A2050" s="2">
        <f ca="1">IFERROR(__xludf.DUMMYFUNCTION("""COMPUTED_VALUE"""),44979.6666666666)</f>
        <v>44979.666666666599</v>
      </c>
      <c r="B2050" s="1">
        <f ca="1">IFERROR(__xludf.DUMMYFUNCTION("""COMPUTED_VALUE"""),197.93)</f>
        <v>197.93</v>
      </c>
      <c r="C2050" s="1">
        <f ca="1">IFERROR(__xludf.DUMMYFUNCTION("""COMPUTED_VALUE"""),201.99)</f>
        <v>201.99</v>
      </c>
      <c r="D2050" s="1">
        <f ca="1">IFERROR(__xludf.DUMMYFUNCTION("""COMPUTED_VALUE"""),191.78)</f>
        <v>191.78</v>
      </c>
      <c r="E2050" s="1">
        <f ca="1">IFERROR(__xludf.DUMMYFUNCTION("""COMPUTED_VALUE"""),200.86)</f>
        <v>200.86</v>
      </c>
      <c r="F2050" s="1">
        <f ca="1">IFERROR(__xludf.DUMMYFUNCTION("""COMPUTED_VALUE"""),191828457)</f>
        <v>191828457</v>
      </c>
    </row>
    <row r="2051" spans="1:6" x14ac:dyDescent="0.35">
      <c r="A2051" s="2">
        <f ca="1">IFERROR(__xludf.DUMMYFUNCTION("""COMPUTED_VALUE"""),44980.6666666666)</f>
        <v>44980.666666666599</v>
      </c>
      <c r="B2051" s="1">
        <f ca="1">IFERROR(__xludf.DUMMYFUNCTION("""COMPUTED_VALUE"""),203.91)</f>
        <v>203.91</v>
      </c>
      <c r="C2051" s="1">
        <f ca="1">IFERROR(__xludf.DUMMYFUNCTION("""COMPUTED_VALUE"""),205.14)</f>
        <v>205.14</v>
      </c>
      <c r="D2051" s="1">
        <f ca="1">IFERROR(__xludf.DUMMYFUNCTION("""COMPUTED_VALUE"""),196.33)</f>
        <v>196.33</v>
      </c>
      <c r="E2051" s="1">
        <f ca="1">IFERROR(__xludf.DUMMYFUNCTION("""COMPUTED_VALUE"""),202.07)</f>
        <v>202.07</v>
      </c>
      <c r="F2051" s="1">
        <f ca="1">IFERROR(__xludf.DUMMYFUNCTION("""COMPUTED_VALUE"""),146359950)</f>
        <v>146359950</v>
      </c>
    </row>
    <row r="2052" spans="1:6" x14ac:dyDescent="0.35">
      <c r="A2052" s="2">
        <f ca="1">IFERROR(__xludf.DUMMYFUNCTION("""COMPUTED_VALUE"""),44981.6666666666)</f>
        <v>44981.666666666599</v>
      </c>
      <c r="B2052" s="1">
        <f ca="1">IFERROR(__xludf.DUMMYFUNCTION("""COMPUTED_VALUE"""),196.33)</f>
        <v>196.33</v>
      </c>
      <c r="C2052" s="1">
        <f ca="1">IFERROR(__xludf.DUMMYFUNCTION("""COMPUTED_VALUE"""),197.67)</f>
        <v>197.67</v>
      </c>
      <c r="D2052" s="1">
        <f ca="1">IFERROR(__xludf.DUMMYFUNCTION("""COMPUTED_VALUE"""),192.8)</f>
        <v>192.8</v>
      </c>
      <c r="E2052" s="1">
        <f ca="1">IFERROR(__xludf.DUMMYFUNCTION("""COMPUTED_VALUE"""),196.88)</f>
        <v>196.88</v>
      </c>
      <c r="F2052" s="1">
        <f ca="1">IFERROR(__xludf.DUMMYFUNCTION("""COMPUTED_VALUE"""),142228105)</f>
        <v>142228105</v>
      </c>
    </row>
    <row r="2053" spans="1:6" x14ac:dyDescent="0.35">
      <c r="A2053" s="2">
        <f ca="1">IFERROR(__xludf.DUMMYFUNCTION("""COMPUTED_VALUE"""),44984.6666666666)</f>
        <v>44984.666666666599</v>
      </c>
      <c r="B2053" s="1">
        <f ca="1">IFERROR(__xludf.DUMMYFUNCTION("""COMPUTED_VALUE"""),202.03)</f>
        <v>202.03</v>
      </c>
      <c r="C2053" s="1">
        <f ca="1">IFERROR(__xludf.DUMMYFUNCTION("""COMPUTED_VALUE"""),209.42)</f>
        <v>209.42</v>
      </c>
      <c r="D2053" s="1">
        <f ca="1">IFERROR(__xludf.DUMMYFUNCTION("""COMPUTED_VALUE"""),201.26)</f>
        <v>201.26</v>
      </c>
      <c r="E2053" s="1">
        <f ca="1">IFERROR(__xludf.DUMMYFUNCTION("""COMPUTED_VALUE"""),207.63)</f>
        <v>207.63</v>
      </c>
      <c r="F2053" s="1">
        <f ca="1">IFERROR(__xludf.DUMMYFUNCTION("""COMPUTED_VALUE"""),161028315)</f>
        <v>161028315</v>
      </c>
    </row>
    <row r="2054" spans="1:6" x14ac:dyDescent="0.35">
      <c r="A2054" s="2">
        <f ca="1">IFERROR(__xludf.DUMMYFUNCTION("""COMPUTED_VALUE"""),44985.6666666666)</f>
        <v>44985.666666666599</v>
      </c>
      <c r="B2054" s="1">
        <f ca="1">IFERROR(__xludf.DUMMYFUNCTION("""COMPUTED_VALUE"""),210.59)</f>
        <v>210.59</v>
      </c>
      <c r="C2054" s="1">
        <f ca="1">IFERROR(__xludf.DUMMYFUNCTION("""COMPUTED_VALUE"""),211.23)</f>
        <v>211.23</v>
      </c>
      <c r="D2054" s="1">
        <f ca="1">IFERROR(__xludf.DUMMYFUNCTION("""COMPUTED_VALUE"""),203.75)</f>
        <v>203.75</v>
      </c>
      <c r="E2054" s="1">
        <f ca="1">IFERROR(__xludf.DUMMYFUNCTION("""COMPUTED_VALUE"""),205.71)</f>
        <v>205.71</v>
      </c>
      <c r="F2054" s="1">
        <f ca="1">IFERROR(__xludf.DUMMYFUNCTION("""COMPUTED_VALUE"""),153144912)</f>
        <v>153144912</v>
      </c>
    </row>
    <row r="2055" spans="1:6" x14ac:dyDescent="0.35">
      <c r="A2055" s="2">
        <f ca="1">IFERROR(__xludf.DUMMYFUNCTION("""COMPUTED_VALUE"""),44986.6666666666)</f>
        <v>44986.666666666599</v>
      </c>
      <c r="B2055" s="1">
        <f ca="1">IFERROR(__xludf.DUMMYFUNCTION("""COMPUTED_VALUE"""),206.21)</f>
        <v>206.21</v>
      </c>
      <c r="C2055" s="1">
        <f ca="1">IFERROR(__xludf.DUMMYFUNCTION("""COMPUTED_VALUE"""),207.2)</f>
        <v>207.2</v>
      </c>
      <c r="D2055" s="1">
        <f ca="1">IFERROR(__xludf.DUMMYFUNCTION("""COMPUTED_VALUE"""),198.52)</f>
        <v>198.52</v>
      </c>
      <c r="E2055" s="1">
        <f ca="1">IFERROR(__xludf.DUMMYFUNCTION("""COMPUTED_VALUE"""),202.77)</f>
        <v>202.77</v>
      </c>
      <c r="F2055" s="1">
        <f ca="1">IFERROR(__xludf.DUMMYFUNCTION("""COMPUTED_VALUE"""),156852790)</f>
        <v>156852790</v>
      </c>
    </row>
    <row r="2056" spans="1:6" x14ac:dyDescent="0.35">
      <c r="A2056" s="2">
        <f ca="1">IFERROR(__xludf.DUMMYFUNCTION("""COMPUTED_VALUE"""),44987.6666666666)</f>
        <v>44987.666666666599</v>
      </c>
      <c r="B2056" s="1">
        <f ca="1">IFERROR(__xludf.DUMMYFUNCTION("""COMPUTED_VALUE"""),186.74)</f>
        <v>186.74</v>
      </c>
      <c r="C2056" s="1">
        <f ca="1">IFERROR(__xludf.DUMMYFUNCTION("""COMPUTED_VALUE"""),193.75)</f>
        <v>193.75</v>
      </c>
      <c r="D2056" s="1">
        <f ca="1">IFERROR(__xludf.DUMMYFUNCTION("""COMPUTED_VALUE"""),186.01)</f>
        <v>186.01</v>
      </c>
      <c r="E2056" s="1">
        <f ca="1">IFERROR(__xludf.DUMMYFUNCTION("""COMPUTED_VALUE"""),190.9)</f>
        <v>190.9</v>
      </c>
      <c r="F2056" s="1">
        <f ca="1">IFERROR(__xludf.DUMMYFUNCTION("""COMPUTED_VALUE"""),181979154)</f>
        <v>181979154</v>
      </c>
    </row>
    <row r="2057" spans="1:6" x14ac:dyDescent="0.35">
      <c r="A2057" s="2">
        <f ca="1">IFERROR(__xludf.DUMMYFUNCTION("""COMPUTED_VALUE"""),44988.6666666666)</f>
        <v>44988.666666666599</v>
      </c>
      <c r="B2057" s="1">
        <f ca="1">IFERROR(__xludf.DUMMYFUNCTION("""COMPUTED_VALUE"""),194.8)</f>
        <v>194.8</v>
      </c>
      <c r="C2057" s="1">
        <f ca="1">IFERROR(__xludf.DUMMYFUNCTION("""COMPUTED_VALUE"""),200.48)</f>
        <v>200.48</v>
      </c>
      <c r="D2057" s="1">
        <f ca="1">IFERROR(__xludf.DUMMYFUNCTION("""COMPUTED_VALUE"""),192.88)</f>
        <v>192.88</v>
      </c>
      <c r="E2057" s="1">
        <f ca="1">IFERROR(__xludf.DUMMYFUNCTION("""COMPUTED_VALUE"""),197.79)</f>
        <v>197.79</v>
      </c>
      <c r="F2057" s="1">
        <f ca="1">IFERROR(__xludf.DUMMYFUNCTION("""COMPUTED_VALUE"""),154193277)</f>
        <v>154193277</v>
      </c>
    </row>
    <row r="2058" spans="1:6" x14ac:dyDescent="0.35">
      <c r="A2058" s="2">
        <f ca="1">IFERROR(__xludf.DUMMYFUNCTION("""COMPUTED_VALUE"""),44991.6666666666)</f>
        <v>44991.666666666599</v>
      </c>
      <c r="B2058" s="1">
        <f ca="1">IFERROR(__xludf.DUMMYFUNCTION("""COMPUTED_VALUE"""),198.54)</f>
        <v>198.54</v>
      </c>
      <c r="C2058" s="1">
        <f ca="1">IFERROR(__xludf.DUMMYFUNCTION("""COMPUTED_VALUE"""),198.6)</f>
        <v>198.6</v>
      </c>
      <c r="D2058" s="1">
        <f ca="1">IFERROR(__xludf.DUMMYFUNCTION("""COMPUTED_VALUE"""),192.3)</f>
        <v>192.3</v>
      </c>
      <c r="E2058" s="1">
        <f ca="1">IFERROR(__xludf.DUMMYFUNCTION("""COMPUTED_VALUE"""),193.81)</f>
        <v>193.81</v>
      </c>
      <c r="F2058" s="1">
        <f ca="1">IFERROR(__xludf.DUMMYFUNCTION("""COMPUTED_VALUE"""),128100106)</f>
        <v>128100106</v>
      </c>
    </row>
    <row r="2059" spans="1:6" x14ac:dyDescent="0.35">
      <c r="A2059" s="2">
        <f ca="1">IFERROR(__xludf.DUMMYFUNCTION("""COMPUTED_VALUE"""),44992.6666666666)</f>
        <v>44992.666666666599</v>
      </c>
      <c r="B2059" s="1">
        <f ca="1">IFERROR(__xludf.DUMMYFUNCTION("""COMPUTED_VALUE"""),191.38)</f>
        <v>191.38</v>
      </c>
      <c r="C2059" s="1">
        <f ca="1">IFERROR(__xludf.DUMMYFUNCTION("""COMPUTED_VALUE"""),194.2)</f>
        <v>194.2</v>
      </c>
      <c r="D2059" s="1">
        <f ca="1">IFERROR(__xludf.DUMMYFUNCTION("""COMPUTED_VALUE"""),186.1)</f>
        <v>186.1</v>
      </c>
      <c r="E2059" s="1">
        <f ca="1">IFERROR(__xludf.DUMMYFUNCTION("""COMPUTED_VALUE"""),187.71)</f>
        <v>187.71</v>
      </c>
      <c r="F2059" s="1">
        <f ca="1">IFERROR(__xludf.DUMMYFUNCTION("""COMPUTED_VALUE"""),148125790)</f>
        <v>148125790</v>
      </c>
    </row>
    <row r="2060" spans="1:6" x14ac:dyDescent="0.35">
      <c r="A2060" s="2">
        <f ca="1">IFERROR(__xludf.DUMMYFUNCTION("""COMPUTED_VALUE"""),44993.6666666666)</f>
        <v>44993.666666666599</v>
      </c>
      <c r="B2060" s="1">
        <f ca="1">IFERROR(__xludf.DUMMYFUNCTION("""COMPUTED_VALUE"""),185.04)</f>
        <v>185.04</v>
      </c>
      <c r="C2060" s="1">
        <f ca="1">IFERROR(__xludf.DUMMYFUNCTION("""COMPUTED_VALUE"""),186.5)</f>
        <v>186.5</v>
      </c>
      <c r="D2060" s="1">
        <f ca="1">IFERROR(__xludf.DUMMYFUNCTION("""COMPUTED_VALUE"""),180)</f>
        <v>180</v>
      </c>
      <c r="E2060" s="1">
        <f ca="1">IFERROR(__xludf.DUMMYFUNCTION("""COMPUTED_VALUE"""),182)</f>
        <v>182</v>
      </c>
      <c r="F2060" s="1">
        <f ca="1">IFERROR(__xludf.DUMMYFUNCTION("""COMPUTED_VALUE"""),151897763)</f>
        <v>151897763</v>
      </c>
    </row>
    <row r="2061" spans="1:6" x14ac:dyDescent="0.35">
      <c r="A2061" s="2">
        <f ca="1">IFERROR(__xludf.DUMMYFUNCTION("""COMPUTED_VALUE"""),44994.6666666666)</f>
        <v>44994.666666666599</v>
      </c>
      <c r="B2061" s="1">
        <f ca="1">IFERROR(__xludf.DUMMYFUNCTION("""COMPUTED_VALUE"""),180.25)</f>
        <v>180.25</v>
      </c>
      <c r="C2061" s="1">
        <f ca="1">IFERROR(__xludf.DUMMYFUNCTION("""COMPUTED_VALUE"""),185.18)</f>
        <v>185.18</v>
      </c>
      <c r="D2061" s="1">
        <f ca="1">IFERROR(__xludf.DUMMYFUNCTION("""COMPUTED_VALUE"""),172.51)</f>
        <v>172.51</v>
      </c>
      <c r="E2061" s="1">
        <f ca="1">IFERROR(__xludf.DUMMYFUNCTION("""COMPUTED_VALUE"""),172.92)</f>
        <v>172.92</v>
      </c>
      <c r="F2061" s="1">
        <f ca="1">IFERROR(__xludf.DUMMYFUNCTION("""COMPUTED_VALUE"""),170023794)</f>
        <v>170023794</v>
      </c>
    </row>
    <row r="2062" spans="1:6" x14ac:dyDescent="0.35">
      <c r="A2062" s="2">
        <f ca="1">IFERROR(__xludf.DUMMYFUNCTION("""COMPUTED_VALUE"""),44995.6666666666)</f>
        <v>44995.666666666599</v>
      </c>
      <c r="B2062" s="1">
        <f ca="1">IFERROR(__xludf.DUMMYFUNCTION("""COMPUTED_VALUE"""),175.13)</f>
        <v>175.13</v>
      </c>
      <c r="C2062" s="1">
        <f ca="1">IFERROR(__xludf.DUMMYFUNCTION("""COMPUTED_VALUE"""),178.29)</f>
        <v>178.29</v>
      </c>
      <c r="D2062" s="1">
        <f ca="1">IFERROR(__xludf.DUMMYFUNCTION("""COMPUTED_VALUE"""),168.44)</f>
        <v>168.44</v>
      </c>
      <c r="E2062" s="1">
        <f ca="1">IFERROR(__xludf.DUMMYFUNCTION("""COMPUTED_VALUE"""),173.44)</f>
        <v>173.44</v>
      </c>
      <c r="F2062" s="1">
        <f ca="1">IFERROR(__xludf.DUMMYFUNCTION("""COMPUTED_VALUE"""),191488872)</f>
        <v>191488872</v>
      </c>
    </row>
    <row r="2063" spans="1:6" x14ac:dyDescent="0.35">
      <c r="A2063" s="2">
        <f ca="1">IFERROR(__xludf.DUMMYFUNCTION("""COMPUTED_VALUE"""),44998.6666666666)</f>
        <v>44998.666666666599</v>
      </c>
      <c r="B2063" s="1">
        <f ca="1">IFERROR(__xludf.DUMMYFUNCTION("""COMPUTED_VALUE"""),167.46)</f>
        <v>167.46</v>
      </c>
      <c r="C2063" s="1">
        <f ca="1">IFERROR(__xludf.DUMMYFUNCTION("""COMPUTED_VALUE"""),177.35)</f>
        <v>177.35</v>
      </c>
      <c r="D2063" s="1">
        <f ca="1">IFERROR(__xludf.DUMMYFUNCTION("""COMPUTED_VALUE"""),163.91)</f>
        <v>163.91</v>
      </c>
      <c r="E2063" s="1">
        <f ca="1">IFERROR(__xludf.DUMMYFUNCTION("""COMPUTED_VALUE"""),174.48)</f>
        <v>174.48</v>
      </c>
      <c r="F2063" s="1">
        <f ca="1">IFERROR(__xludf.DUMMYFUNCTION("""COMPUTED_VALUE"""),167790256)</f>
        <v>167790256</v>
      </c>
    </row>
    <row r="2064" spans="1:6" x14ac:dyDescent="0.35">
      <c r="A2064" s="2">
        <f ca="1">IFERROR(__xludf.DUMMYFUNCTION("""COMPUTED_VALUE"""),44999.6666666666)</f>
        <v>44999.666666666599</v>
      </c>
      <c r="B2064" s="1">
        <f ca="1">IFERROR(__xludf.DUMMYFUNCTION("""COMPUTED_VALUE"""),177.31)</f>
        <v>177.31</v>
      </c>
      <c r="C2064" s="1">
        <f ca="1">IFERROR(__xludf.DUMMYFUNCTION("""COMPUTED_VALUE"""),183.8)</f>
        <v>183.8</v>
      </c>
      <c r="D2064" s="1">
        <f ca="1">IFERROR(__xludf.DUMMYFUNCTION("""COMPUTED_VALUE"""),177.14)</f>
        <v>177.14</v>
      </c>
      <c r="E2064" s="1">
        <f ca="1">IFERROR(__xludf.DUMMYFUNCTION("""COMPUTED_VALUE"""),183.26)</f>
        <v>183.26</v>
      </c>
      <c r="F2064" s="1">
        <f ca="1">IFERROR(__xludf.DUMMYFUNCTION("""COMPUTED_VALUE"""),143717897)</f>
        <v>143717897</v>
      </c>
    </row>
    <row r="2065" spans="1:6" x14ac:dyDescent="0.35">
      <c r="A2065" s="2">
        <f ca="1">IFERROR(__xludf.DUMMYFUNCTION("""COMPUTED_VALUE"""),45000.6666666666)</f>
        <v>45000.666666666599</v>
      </c>
      <c r="B2065" s="1">
        <f ca="1">IFERROR(__xludf.DUMMYFUNCTION("""COMPUTED_VALUE"""),180.8)</f>
        <v>180.8</v>
      </c>
      <c r="C2065" s="1">
        <f ca="1">IFERROR(__xludf.DUMMYFUNCTION("""COMPUTED_VALUE"""),182.34)</f>
        <v>182.34</v>
      </c>
      <c r="D2065" s="1">
        <f ca="1">IFERROR(__xludf.DUMMYFUNCTION("""COMPUTED_VALUE"""),176.03)</f>
        <v>176.03</v>
      </c>
      <c r="E2065" s="1">
        <f ca="1">IFERROR(__xludf.DUMMYFUNCTION("""COMPUTED_VALUE"""),180.45)</f>
        <v>180.45</v>
      </c>
      <c r="F2065" s="1">
        <f ca="1">IFERROR(__xludf.DUMMYFUNCTION("""COMPUTED_VALUE"""),145995583)</f>
        <v>145995583</v>
      </c>
    </row>
    <row r="2066" spans="1:6" x14ac:dyDescent="0.35">
      <c r="A2066" s="2">
        <f ca="1">IFERROR(__xludf.DUMMYFUNCTION("""COMPUTED_VALUE"""),45001.6666666666)</f>
        <v>45001.666666666599</v>
      </c>
      <c r="B2066" s="1">
        <f ca="1">IFERROR(__xludf.DUMMYFUNCTION("""COMPUTED_VALUE"""),180.37)</f>
        <v>180.37</v>
      </c>
      <c r="C2066" s="1">
        <f ca="1">IFERROR(__xludf.DUMMYFUNCTION("""COMPUTED_VALUE"""),185.81)</f>
        <v>185.81</v>
      </c>
      <c r="D2066" s="1">
        <f ca="1">IFERROR(__xludf.DUMMYFUNCTION("""COMPUTED_VALUE"""),178.84)</f>
        <v>178.84</v>
      </c>
      <c r="E2066" s="1">
        <f ca="1">IFERROR(__xludf.DUMMYFUNCTION("""COMPUTED_VALUE"""),184.13)</f>
        <v>184.13</v>
      </c>
      <c r="F2066" s="1">
        <f ca="1">IFERROR(__xludf.DUMMYFUNCTION("""COMPUTED_VALUE"""),121374453)</f>
        <v>121374453</v>
      </c>
    </row>
    <row r="2067" spans="1:6" x14ac:dyDescent="0.35">
      <c r="A2067" s="2">
        <f ca="1">IFERROR(__xludf.DUMMYFUNCTION("""COMPUTED_VALUE"""),45002.6666666666)</f>
        <v>45002.666666666599</v>
      </c>
      <c r="B2067" s="1">
        <f ca="1">IFERROR(__xludf.DUMMYFUNCTION("""COMPUTED_VALUE"""),184.52)</f>
        <v>184.52</v>
      </c>
      <c r="C2067" s="1">
        <f ca="1">IFERROR(__xludf.DUMMYFUNCTION("""COMPUTED_VALUE"""),186.22)</f>
        <v>186.22</v>
      </c>
      <c r="D2067" s="1">
        <f ca="1">IFERROR(__xludf.DUMMYFUNCTION("""COMPUTED_VALUE"""),177.33)</f>
        <v>177.33</v>
      </c>
      <c r="E2067" s="1">
        <f ca="1">IFERROR(__xludf.DUMMYFUNCTION("""COMPUTED_VALUE"""),180.13)</f>
        <v>180.13</v>
      </c>
      <c r="F2067" s="1">
        <f ca="1">IFERROR(__xludf.DUMMYFUNCTION("""COMPUTED_VALUE"""),133197140)</f>
        <v>133197140</v>
      </c>
    </row>
    <row r="2068" spans="1:6" x14ac:dyDescent="0.35">
      <c r="A2068" s="2">
        <f ca="1">IFERROR(__xludf.DUMMYFUNCTION("""COMPUTED_VALUE"""),45005.6666666666)</f>
        <v>45005.666666666599</v>
      </c>
      <c r="B2068" s="1">
        <f ca="1">IFERROR(__xludf.DUMMYFUNCTION("""COMPUTED_VALUE"""),178.08)</f>
        <v>178.08</v>
      </c>
      <c r="C2068" s="1">
        <f ca="1">IFERROR(__xludf.DUMMYFUNCTION("""COMPUTED_VALUE"""),186.44)</f>
        <v>186.44</v>
      </c>
      <c r="D2068" s="1">
        <f ca="1">IFERROR(__xludf.DUMMYFUNCTION("""COMPUTED_VALUE"""),176.35)</f>
        <v>176.35</v>
      </c>
      <c r="E2068" s="1">
        <f ca="1">IFERROR(__xludf.DUMMYFUNCTION("""COMPUTED_VALUE"""),183.25)</f>
        <v>183.25</v>
      </c>
      <c r="F2068" s="1">
        <f ca="1">IFERROR(__xludf.DUMMYFUNCTION("""COMPUTED_VALUE"""),129684359)</f>
        <v>129684359</v>
      </c>
    </row>
    <row r="2069" spans="1:6" x14ac:dyDescent="0.35">
      <c r="A2069" s="2">
        <f ca="1">IFERROR(__xludf.DUMMYFUNCTION("""COMPUTED_VALUE"""),45006.6666666666)</f>
        <v>45006.666666666599</v>
      </c>
      <c r="B2069" s="1">
        <f ca="1">IFERROR(__xludf.DUMMYFUNCTION("""COMPUTED_VALUE"""),188.28)</f>
        <v>188.28</v>
      </c>
      <c r="C2069" s="1">
        <f ca="1">IFERROR(__xludf.DUMMYFUNCTION("""COMPUTED_VALUE"""),198)</f>
        <v>198</v>
      </c>
      <c r="D2069" s="1">
        <f ca="1">IFERROR(__xludf.DUMMYFUNCTION("""COMPUTED_VALUE"""),188.04)</f>
        <v>188.04</v>
      </c>
      <c r="E2069" s="1">
        <f ca="1">IFERROR(__xludf.DUMMYFUNCTION("""COMPUTED_VALUE"""),197.58)</f>
        <v>197.58</v>
      </c>
      <c r="F2069" s="1">
        <f ca="1">IFERROR(__xludf.DUMMYFUNCTION("""COMPUTED_VALUE"""),153391444)</f>
        <v>153391444</v>
      </c>
    </row>
    <row r="2070" spans="1:6" x14ac:dyDescent="0.35">
      <c r="A2070" s="2">
        <f ca="1">IFERROR(__xludf.DUMMYFUNCTION("""COMPUTED_VALUE"""),45007.6666666666)</f>
        <v>45007.666666666599</v>
      </c>
      <c r="B2070" s="1">
        <f ca="1">IFERROR(__xludf.DUMMYFUNCTION("""COMPUTED_VALUE"""),199.3)</f>
        <v>199.3</v>
      </c>
      <c r="C2070" s="1">
        <f ca="1">IFERROR(__xludf.DUMMYFUNCTION("""COMPUTED_VALUE"""),200.66)</f>
        <v>200.66</v>
      </c>
      <c r="D2070" s="1">
        <f ca="1">IFERROR(__xludf.DUMMYFUNCTION("""COMPUTED_VALUE"""),190.95)</f>
        <v>190.95</v>
      </c>
      <c r="E2070" s="1">
        <f ca="1">IFERROR(__xludf.DUMMYFUNCTION("""COMPUTED_VALUE"""),191.15)</f>
        <v>191.15</v>
      </c>
      <c r="F2070" s="1">
        <f ca="1">IFERROR(__xludf.DUMMYFUNCTION("""COMPUTED_VALUE"""),150376373)</f>
        <v>150376373</v>
      </c>
    </row>
    <row r="2071" spans="1:6" x14ac:dyDescent="0.35">
      <c r="A2071" s="2">
        <f ca="1">IFERROR(__xludf.DUMMYFUNCTION("""COMPUTED_VALUE"""),45008.6666666666)</f>
        <v>45008.666666666599</v>
      </c>
      <c r="B2071" s="1">
        <f ca="1">IFERROR(__xludf.DUMMYFUNCTION("""COMPUTED_VALUE"""),195.26)</f>
        <v>195.26</v>
      </c>
      <c r="C2071" s="1">
        <f ca="1">IFERROR(__xludf.DUMMYFUNCTION("""COMPUTED_VALUE"""),199.31)</f>
        <v>199.31</v>
      </c>
      <c r="D2071" s="1">
        <f ca="1">IFERROR(__xludf.DUMMYFUNCTION("""COMPUTED_VALUE"""),188.65)</f>
        <v>188.65</v>
      </c>
      <c r="E2071" s="1">
        <f ca="1">IFERROR(__xludf.DUMMYFUNCTION("""COMPUTED_VALUE"""),192.22)</f>
        <v>192.22</v>
      </c>
      <c r="F2071" s="1">
        <f ca="1">IFERROR(__xludf.DUMMYFUNCTION("""COMPUTED_VALUE"""),144193876)</f>
        <v>144193876</v>
      </c>
    </row>
    <row r="2072" spans="1:6" x14ac:dyDescent="0.35">
      <c r="A2072" s="2">
        <f ca="1">IFERROR(__xludf.DUMMYFUNCTION("""COMPUTED_VALUE"""),45009.6666666666)</f>
        <v>45009.666666666599</v>
      </c>
      <c r="B2072" s="1">
        <f ca="1">IFERROR(__xludf.DUMMYFUNCTION("""COMPUTED_VALUE"""),191.65)</f>
        <v>191.65</v>
      </c>
      <c r="C2072" s="1">
        <f ca="1">IFERROR(__xludf.DUMMYFUNCTION("""COMPUTED_VALUE"""),192.36)</f>
        <v>192.36</v>
      </c>
      <c r="D2072" s="1">
        <f ca="1">IFERROR(__xludf.DUMMYFUNCTION("""COMPUTED_VALUE"""),187.15)</f>
        <v>187.15</v>
      </c>
      <c r="E2072" s="1">
        <f ca="1">IFERROR(__xludf.DUMMYFUNCTION("""COMPUTED_VALUE"""),190.41)</f>
        <v>190.41</v>
      </c>
      <c r="F2072" s="1">
        <f ca="1">IFERROR(__xludf.DUMMYFUNCTION("""COMPUTED_VALUE"""),116531584)</f>
        <v>116531584</v>
      </c>
    </row>
    <row r="2073" spans="1:6" x14ac:dyDescent="0.35">
      <c r="A2073" s="2">
        <f ca="1">IFERROR(__xludf.DUMMYFUNCTION("""COMPUTED_VALUE"""),45012.6666666666)</f>
        <v>45012.666666666599</v>
      </c>
      <c r="B2073" s="1">
        <f ca="1">IFERROR(__xludf.DUMMYFUNCTION("""COMPUTED_VALUE"""),194.42)</f>
        <v>194.42</v>
      </c>
      <c r="C2073" s="1">
        <f ca="1">IFERROR(__xludf.DUMMYFUNCTION("""COMPUTED_VALUE"""),197.39)</f>
        <v>197.39</v>
      </c>
      <c r="D2073" s="1">
        <f ca="1">IFERROR(__xludf.DUMMYFUNCTION("""COMPUTED_VALUE"""),189.94)</f>
        <v>189.94</v>
      </c>
      <c r="E2073" s="1">
        <f ca="1">IFERROR(__xludf.DUMMYFUNCTION("""COMPUTED_VALUE"""),191.81)</f>
        <v>191.81</v>
      </c>
      <c r="F2073" s="1">
        <f ca="1">IFERROR(__xludf.DUMMYFUNCTION("""COMPUTED_VALUE"""),120851587)</f>
        <v>120851587</v>
      </c>
    </row>
    <row r="2074" spans="1:6" x14ac:dyDescent="0.35">
      <c r="A2074" s="2">
        <f ca="1">IFERROR(__xludf.DUMMYFUNCTION("""COMPUTED_VALUE"""),45013.6666666666)</f>
        <v>45013.666666666599</v>
      </c>
      <c r="B2074" s="1">
        <f ca="1">IFERROR(__xludf.DUMMYFUNCTION("""COMPUTED_VALUE"""),192)</f>
        <v>192</v>
      </c>
      <c r="C2074" s="1">
        <f ca="1">IFERROR(__xludf.DUMMYFUNCTION("""COMPUTED_VALUE"""),192.35)</f>
        <v>192.35</v>
      </c>
      <c r="D2074" s="1">
        <f ca="1">IFERROR(__xludf.DUMMYFUNCTION("""COMPUTED_VALUE"""),185.43)</f>
        <v>185.43</v>
      </c>
      <c r="E2074" s="1">
        <f ca="1">IFERROR(__xludf.DUMMYFUNCTION("""COMPUTED_VALUE"""),189.19)</f>
        <v>189.19</v>
      </c>
      <c r="F2074" s="1">
        <f ca="1">IFERROR(__xludf.DUMMYFUNCTION("""COMPUTED_VALUE"""),98654635)</f>
        <v>98654635</v>
      </c>
    </row>
    <row r="2075" spans="1:6" x14ac:dyDescent="0.35">
      <c r="A2075" s="2">
        <f ca="1">IFERROR(__xludf.DUMMYFUNCTION("""COMPUTED_VALUE"""),45014.6666666666)</f>
        <v>45014.666666666599</v>
      </c>
      <c r="B2075" s="1">
        <f ca="1">IFERROR(__xludf.DUMMYFUNCTION("""COMPUTED_VALUE"""),193.13)</f>
        <v>193.13</v>
      </c>
      <c r="C2075" s="1">
        <f ca="1">IFERROR(__xludf.DUMMYFUNCTION("""COMPUTED_VALUE"""),195.29)</f>
        <v>195.29</v>
      </c>
      <c r="D2075" s="1">
        <f ca="1">IFERROR(__xludf.DUMMYFUNCTION("""COMPUTED_VALUE"""),189.44)</f>
        <v>189.44</v>
      </c>
      <c r="E2075" s="1">
        <f ca="1">IFERROR(__xludf.DUMMYFUNCTION("""COMPUTED_VALUE"""),193.88)</f>
        <v>193.88</v>
      </c>
      <c r="F2075" s="1">
        <f ca="1">IFERROR(__xludf.DUMMYFUNCTION("""COMPUTED_VALUE"""),123660026)</f>
        <v>123660026</v>
      </c>
    </row>
    <row r="2076" spans="1:6" x14ac:dyDescent="0.35">
      <c r="A2076" s="2">
        <f ca="1">IFERROR(__xludf.DUMMYFUNCTION("""COMPUTED_VALUE"""),45015.6666666666)</f>
        <v>45015.666666666599</v>
      </c>
      <c r="B2076" s="1">
        <f ca="1">IFERROR(__xludf.DUMMYFUNCTION("""COMPUTED_VALUE"""),195.58)</f>
        <v>195.58</v>
      </c>
      <c r="C2076" s="1">
        <f ca="1">IFERROR(__xludf.DUMMYFUNCTION("""COMPUTED_VALUE"""),197.33)</f>
        <v>197.33</v>
      </c>
      <c r="D2076" s="1">
        <f ca="1">IFERROR(__xludf.DUMMYFUNCTION("""COMPUTED_VALUE"""),194.42)</f>
        <v>194.42</v>
      </c>
      <c r="E2076" s="1">
        <f ca="1">IFERROR(__xludf.DUMMYFUNCTION("""COMPUTED_VALUE"""),195.28)</f>
        <v>195.28</v>
      </c>
      <c r="F2076" s="1">
        <f ca="1">IFERROR(__xludf.DUMMYFUNCTION("""COMPUTED_VALUE"""),110252238)</f>
        <v>110252238</v>
      </c>
    </row>
    <row r="2077" spans="1:6" x14ac:dyDescent="0.35">
      <c r="A2077" s="2">
        <f ca="1">IFERROR(__xludf.DUMMYFUNCTION("""COMPUTED_VALUE"""),45016.6666666666)</f>
        <v>45016.666666666599</v>
      </c>
      <c r="B2077" s="1">
        <f ca="1">IFERROR(__xludf.DUMMYFUNCTION("""COMPUTED_VALUE"""),197.53)</f>
        <v>197.53</v>
      </c>
      <c r="C2077" s="1">
        <f ca="1">IFERROR(__xludf.DUMMYFUNCTION("""COMPUTED_VALUE"""),207.79)</f>
        <v>207.79</v>
      </c>
      <c r="D2077" s="1">
        <f ca="1">IFERROR(__xludf.DUMMYFUNCTION("""COMPUTED_VALUE"""),197.2)</f>
        <v>197.2</v>
      </c>
      <c r="E2077" s="1">
        <f ca="1">IFERROR(__xludf.DUMMYFUNCTION("""COMPUTED_VALUE"""),207.46)</f>
        <v>207.46</v>
      </c>
      <c r="F2077" s="1">
        <f ca="1">IFERROR(__xludf.DUMMYFUNCTION("""COMPUTED_VALUE"""),170222118)</f>
        <v>170222118</v>
      </c>
    </row>
    <row r="2078" spans="1:6" x14ac:dyDescent="0.35">
      <c r="A2078" s="2">
        <f ca="1">IFERROR(__xludf.DUMMYFUNCTION("""COMPUTED_VALUE"""),45019.6666666666)</f>
        <v>45019.666666666599</v>
      </c>
      <c r="B2078" s="1">
        <f ca="1">IFERROR(__xludf.DUMMYFUNCTION("""COMPUTED_VALUE"""),199.91)</f>
        <v>199.91</v>
      </c>
      <c r="C2078" s="1">
        <f ca="1">IFERROR(__xludf.DUMMYFUNCTION("""COMPUTED_VALUE"""),202.69)</f>
        <v>202.69</v>
      </c>
      <c r="D2078" s="1">
        <f ca="1">IFERROR(__xludf.DUMMYFUNCTION("""COMPUTED_VALUE"""),192.2)</f>
        <v>192.2</v>
      </c>
      <c r="E2078" s="1">
        <f ca="1">IFERROR(__xludf.DUMMYFUNCTION("""COMPUTED_VALUE"""),194.77)</f>
        <v>194.77</v>
      </c>
      <c r="F2078" s="1">
        <f ca="1">IFERROR(__xludf.DUMMYFUNCTION("""COMPUTED_VALUE"""),169545900)</f>
        <v>169545900</v>
      </c>
    </row>
    <row r="2079" spans="1:6" x14ac:dyDescent="0.35">
      <c r="A2079" s="2">
        <f ca="1">IFERROR(__xludf.DUMMYFUNCTION("""COMPUTED_VALUE"""),45020.6666666666)</f>
        <v>45020.666666666599</v>
      </c>
      <c r="B2079" s="1">
        <f ca="1">IFERROR(__xludf.DUMMYFUNCTION("""COMPUTED_VALUE"""),197.32)</f>
        <v>197.32</v>
      </c>
      <c r="C2079" s="1">
        <f ca="1">IFERROR(__xludf.DUMMYFUNCTION("""COMPUTED_VALUE"""),198.74)</f>
        <v>198.74</v>
      </c>
      <c r="D2079" s="1">
        <f ca="1">IFERROR(__xludf.DUMMYFUNCTION("""COMPUTED_VALUE"""),190.32)</f>
        <v>190.32</v>
      </c>
      <c r="E2079" s="1">
        <f ca="1">IFERROR(__xludf.DUMMYFUNCTION("""COMPUTED_VALUE"""),192.58)</f>
        <v>192.58</v>
      </c>
      <c r="F2079" s="1">
        <f ca="1">IFERROR(__xludf.DUMMYFUNCTION("""COMPUTED_VALUE"""),126463845)</f>
        <v>126463845</v>
      </c>
    </row>
    <row r="2080" spans="1:6" x14ac:dyDescent="0.35">
      <c r="A2080" s="2">
        <f ca="1">IFERROR(__xludf.DUMMYFUNCTION("""COMPUTED_VALUE"""),45021.6666666666)</f>
        <v>45021.666666666599</v>
      </c>
      <c r="B2080" s="1">
        <f ca="1">IFERROR(__xludf.DUMMYFUNCTION("""COMPUTED_VALUE"""),190.52)</f>
        <v>190.52</v>
      </c>
      <c r="C2080" s="1">
        <f ca="1">IFERROR(__xludf.DUMMYFUNCTION("""COMPUTED_VALUE"""),190.68)</f>
        <v>190.68</v>
      </c>
      <c r="D2080" s="1">
        <f ca="1">IFERROR(__xludf.DUMMYFUNCTION("""COMPUTED_VALUE"""),183.76)</f>
        <v>183.76</v>
      </c>
      <c r="E2080" s="1">
        <f ca="1">IFERROR(__xludf.DUMMYFUNCTION("""COMPUTED_VALUE"""),185.52)</f>
        <v>185.52</v>
      </c>
      <c r="F2080" s="1">
        <f ca="1">IFERROR(__xludf.DUMMYFUNCTION("""COMPUTED_VALUE"""),133882493)</f>
        <v>133882493</v>
      </c>
    </row>
    <row r="2081" spans="1:6" x14ac:dyDescent="0.35">
      <c r="A2081" s="2">
        <f ca="1">IFERROR(__xludf.DUMMYFUNCTION("""COMPUTED_VALUE"""),45022.6666666666)</f>
        <v>45022.666666666599</v>
      </c>
      <c r="B2081" s="1">
        <f ca="1">IFERROR(__xludf.DUMMYFUNCTION("""COMPUTED_VALUE"""),183.08)</f>
        <v>183.08</v>
      </c>
      <c r="C2081" s="1">
        <f ca="1">IFERROR(__xludf.DUMMYFUNCTION("""COMPUTED_VALUE"""),186.39)</f>
        <v>186.39</v>
      </c>
      <c r="D2081" s="1">
        <f ca="1">IFERROR(__xludf.DUMMYFUNCTION("""COMPUTED_VALUE"""),179.74)</f>
        <v>179.74</v>
      </c>
      <c r="E2081" s="1">
        <f ca="1">IFERROR(__xludf.DUMMYFUNCTION("""COMPUTED_VALUE"""),185.06)</f>
        <v>185.06</v>
      </c>
      <c r="F2081" s="1">
        <f ca="1">IFERROR(__xludf.DUMMYFUNCTION("""COMPUTED_VALUE"""),123857932)</f>
        <v>123857932</v>
      </c>
    </row>
    <row r="2082" spans="1:6" x14ac:dyDescent="0.35">
      <c r="A2082" s="2">
        <f ca="1">IFERROR(__xludf.DUMMYFUNCTION("""COMPUTED_VALUE"""),45026.6666666666)</f>
        <v>45026.666666666599</v>
      </c>
      <c r="B2082" s="1">
        <f ca="1">IFERROR(__xludf.DUMMYFUNCTION("""COMPUTED_VALUE"""),179.94)</f>
        <v>179.94</v>
      </c>
      <c r="C2082" s="1">
        <f ca="1">IFERROR(__xludf.DUMMYFUNCTION("""COMPUTED_VALUE"""),185.1)</f>
        <v>185.1</v>
      </c>
      <c r="D2082" s="1">
        <f ca="1">IFERROR(__xludf.DUMMYFUNCTION("""COMPUTED_VALUE"""),176.11)</f>
        <v>176.11</v>
      </c>
      <c r="E2082" s="1">
        <f ca="1">IFERROR(__xludf.DUMMYFUNCTION("""COMPUTED_VALUE"""),184.51)</f>
        <v>184.51</v>
      </c>
      <c r="F2082" s="1">
        <f ca="1">IFERROR(__xludf.DUMMYFUNCTION("""COMPUTED_VALUE"""),142154637)</f>
        <v>142154637</v>
      </c>
    </row>
    <row r="2083" spans="1:6" x14ac:dyDescent="0.35">
      <c r="A2083" s="2">
        <f ca="1">IFERROR(__xludf.DUMMYFUNCTION("""COMPUTED_VALUE"""),45027.6666666666)</f>
        <v>45027.666666666599</v>
      </c>
      <c r="B2083" s="1">
        <f ca="1">IFERROR(__xludf.DUMMYFUNCTION("""COMPUTED_VALUE"""),186.69)</f>
        <v>186.69</v>
      </c>
      <c r="C2083" s="1">
        <f ca="1">IFERROR(__xludf.DUMMYFUNCTION("""COMPUTED_VALUE"""),189.19)</f>
        <v>189.19</v>
      </c>
      <c r="D2083" s="1">
        <f ca="1">IFERROR(__xludf.DUMMYFUNCTION("""COMPUTED_VALUE"""),185.65)</f>
        <v>185.65</v>
      </c>
      <c r="E2083" s="1">
        <f ca="1">IFERROR(__xludf.DUMMYFUNCTION("""COMPUTED_VALUE"""),186.79)</f>
        <v>186.79</v>
      </c>
      <c r="F2083" s="1">
        <f ca="1">IFERROR(__xludf.DUMMYFUNCTION("""COMPUTED_VALUE"""),115770892)</f>
        <v>115770892</v>
      </c>
    </row>
    <row r="2084" spans="1:6" x14ac:dyDescent="0.35">
      <c r="A2084" s="2">
        <f ca="1">IFERROR(__xludf.DUMMYFUNCTION("""COMPUTED_VALUE"""),45028.6666666666)</f>
        <v>45028.666666666599</v>
      </c>
      <c r="B2084" s="1">
        <f ca="1">IFERROR(__xludf.DUMMYFUNCTION("""COMPUTED_VALUE"""),190.74)</f>
        <v>190.74</v>
      </c>
      <c r="C2084" s="1">
        <f ca="1">IFERROR(__xludf.DUMMYFUNCTION("""COMPUTED_VALUE"""),191.58)</f>
        <v>191.58</v>
      </c>
      <c r="D2084" s="1">
        <f ca="1">IFERROR(__xludf.DUMMYFUNCTION("""COMPUTED_VALUE"""),180.31)</f>
        <v>180.31</v>
      </c>
      <c r="E2084" s="1">
        <f ca="1">IFERROR(__xludf.DUMMYFUNCTION("""COMPUTED_VALUE"""),180.54)</f>
        <v>180.54</v>
      </c>
      <c r="F2084" s="1">
        <f ca="1">IFERROR(__xludf.DUMMYFUNCTION("""COMPUTED_VALUE"""),150256278)</f>
        <v>150256278</v>
      </c>
    </row>
    <row r="2085" spans="1:6" x14ac:dyDescent="0.35">
      <c r="A2085" s="2">
        <f ca="1">IFERROR(__xludf.DUMMYFUNCTION("""COMPUTED_VALUE"""),45029.6666666666)</f>
        <v>45029.666666666599</v>
      </c>
      <c r="B2085" s="1">
        <f ca="1">IFERROR(__xludf.DUMMYFUNCTION("""COMPUTED_VALUE"""),182.96)</f>
        <v>182.96</v>
      </c>
      <c r="C2085" s="1">
        <f ca="1">IFERROR(__xludf.DUMMYFUNCTION("""COMPUTED_VALUE"""),186.5)</f>
        <v>186.5</v>
      </c>
      <c r="D2085" s="1">
        <f ca="1">IFERROR(__xludf.DUMMYFUNCTION("""COMPUTED_VALUE"""),180.94)</f>
        <v>180.94</v>
      </c>
      <c r="E2085" s="1">
        <f ca="1">IFERROR(__xludf.DUMMYFUNCTION("""COMPUTED_VALUE"""),185.9)</f>
        <v>185.9</v>
      </c>
      <c r="F2085" s="1">
        <f ca="1">IFERROR(__xludf.DUMMYFUNCTION("""COMPUTED_VALUE"""),112932985)</f>
        <v>112932985</v>
      </c>
    </row>
    <row r="2086" spans="1:6" x14ac:dyDescent="0.35">
      <c r="A2086" s="2">
        <f ca="1">IFERROR(__xludf.DUMMYFUNCTION("""COMPUTED_VALUE"""),45030.6666666666)</f>
        <v>45030.666666666599</v>
      </c>
      <c r="B2086" s="1">
        <f ca="1">IFERROR(__xludf.DUMMYFUNCTION("""COMPUTED_VALUE"""),183.95)</f>
        <v>183.95</v>
      </c>
      <c r="C2086" s="1">
        <f ca="1">IFERROR(__xludf.DUMMYFUNCTION("""COMPUTED_VALUE"""),186.28)</f>
        <v>186.28</v>
      </c>
      <c r="D2086" s="1">
        <f ca="1">IFERROR(__xludf.DUMMYFUNCTION("""COMPUTED_VALUE"""),182.01)</f>
        <v>182.01</v>
      </c>
      <c r="E2086" s="1">
        <f ca="1">IFERROR(__xludf.DUMMYFUNCTION("""COMPUTED_VALUE"""),185)</f>
        <v>185</v>
      </c>
      <c r="F2086" s="1">
        <f ca="1">IFERROR(__xludf.DUMMYFUNCTION("""COMPUTED_VALUE"""),96438664)</f>
        <v>96438664</v>
      </c>
    </row>
    <row r="2087" spans="1:6" x14ac:dyDescent="0.35">
      <c r="A2087" s="2">
        <f ca="1">IFERROR(__xludf.DUMMYFUNCTION("""COMPUTED_VALUE"""),45033.6666666666)</f>
        <v>45033.666666666599</v>
      </c>
      <c r="B2087" s="1">
        <f ca="1">IFERROR(__xludf.DUMMYFUNCTION("""COMPUTED_VALUE"""),186.32)</f>
        <v>186.32</v>
      </c>
      <c r="C2087" s="1">
        <f ca="1">IFERROR(__xludf.DUMMYFUNCTION("""COMPUTED_VALUE"""),189.69)</f>
        <v>189.69</v>
      </c>
      <c r="D2087" s="1">
        <f ca="1">IFERROR(__xludf.DUMMYFUNCTION("""COMPUTED_VALUE"""),182.69)</f>
        <v>182.69</v>
      </c>
      <c r="E2087" s="1">
        <f ca="1">IFERROR(__xludf.DUMMYFUNCTION("""COMPUTED_VALUE"""),187.04)</f>
        <v>187.04</v>
      </c>
      <c r="F2087" s="1">
        <f ca="1">IFERROR(__xludf.DUMMYFUNCTION("""COMPUTED_VALUE"""),116662189)</f>
        <v>116662189</v>
      </c>
    </row>
    <row r="2088" spans="1:6" x14ac:dyDescent="0.35">
      <c r="A2088" s="2">
        <f ca="1">IFERROR(__xludf.DUMMYFUNCTION("""COMPUTED_VALUE"""),45034.6666666666)</f>
        <v>45034.666666666599</v>
      </c>
      <c r="B2088" s="1">
        <f ca="1">IFERROR(__xludf.DUMMYFUNCTION("""COMPUTED_VALUE"""),187.15)</f>
        <v>187.15</v>
      </c>
      <c r="C2088" s="1">
        <f ca="1">IFERROR(__xludf.DUMMYFUNCTION("""COMPUTED_VALUE"""),187.69)</f>
        <v>187.69</v>
      </c>
      <c r="D2088" s="1">
        <f ca="1">IFERROR(__xludf.DUMMYFUNCTION("""COMPUTED_VALUE"""),183.58)</f>
        <v>183.58</v>
      </c>
      <c r="E2088" s="1">
        <f ca="1">IFERROR(__xludf.DUMMYFUNCTION("""COMPUTED_VALUE"""),184.31)</f>
        <v>184.31</v>
      </c>
      <c r="F2088" s="1">
        <f ca="1">IFERROR(__xludf.DUMMYFUNCTION("""COMPUTED_VALUE"""),92067016)</f>
        <v>92067016</v>
      </c>
    </row>
    <row r="2089" spans="1:6" x14ac:dyDescent="0.35">
      <c r="A2089" s="2">
        <f ca="1">IFERROR(__xludf.DUMMYFUNCTION("""COMPUTED_VALUE"""),45035.6666666666)</f>
        <v>45035.666666666599</v>
      </c>
      <c r="B2089" s="1">
        <f ca="1">IFERROR(__xludf.DUMMYFUNCTION("""COMPUTED_VALUE"""),179.1)</f>
        <v>179.1</v>
      </c>
      <c r="C2089" s="1">
        <f ca="1">IFERROR(__xludf.DUMMYFUNCTION("""COMPUTED_VALUE"""),183.5)</f>
        <v>183.5</v>
      </c>
      <c r="D2089" s="1">
        <f ca="1">IFERROR(__xludf.DUMMYFUNCTION("""COMPUTED_VALUE"""),177.65)</f>
        <v>177.65</v>
      </c>
      <c r="E2089" s="1">
        <f ca="1">IFERROR(__xludf.DUMMYFUNCTION("""COMPUTED_VALUE"""),180.59)</f>
        <v>180.59</v>
      </c>
      <c r="F2089" s="1">
        <f ca="1">IFERROR(__xludf.DUMMYFUNCTION("""COMPUTED_VALUE"""),125732687)</f>
        <v>125732687</v>
      </c>
    </row>
    <row r="2090" spans="1:6" x14ac:dyDescent="0.35">
      <c r="A2090" s="2">
        <f ca="1">IFERROR(__xludf.DUMMYFUNCTION("""COMPUTED_VALUE"""),45036.6666666666)</f>
        <v>45036.666666666599</v>
      </c>
      <c r="B2090" s="1">
        <f ca="1">IFERROR(__xludf.DUMMYFUNCTION("""COMPUTED_VALUE"""),166.17)</f>
        <v>166.17</v>
      </c>
      <c r="C2090" s="1">
        <f ca="1">IFERROR(__xludf.DUMMYFUNCTION("""COMPUTED_VALUE"""),169.7)</f>
        <v>169.7</v>
      </c>
      <c r="D2090" s="1">
        <f ca="1">IFERROR(__xludf.DUMMYFUNCTION("""COMPUTED_VALUE"""),160.56)</f>
        <v>160.56</v>
      </c>
      <c r="E2090" s="1">
        <f ca="1">IFERROR(__xludf.DUMMYFUNCTION("""COMPUTED_VALUE"""),162.99)</f>
        <v>162.99</v>
      </c>
      <c r="F2090" s="1">
        <f ca="1">IFERROR(__xludf.DUMMYFUNCTION("""COMPUTED_VALUE"""),210970819)</f>
        <v>210970819</v>
      </c>
    </row>
    <row r="2091" spans="1:6" x14ac:dyDescent="0.35">
      <c r="A2091" s="2">
        <f ca="1">IFERROR(__xludf.DUMMYFUNCTION("""COMPUTED_VALUE"""),45037.6666666666)</f>
        <v>45037.666666666599</v>
      </c>
      <c r="B2091" s="1">
        <f ca="1">IFERROR(__xludf.DUMMYFUNCTION("""COMPUTED_VALUE"""),164.8)</f>
        <v>164.8</v>
      </c>
      <c r="C2091" s="1">
        <f ca="1">IFERROR(__xludf.DUMMYFUNCTION("""COMPUTED_VALUE"""),166)</f>
        <v>166</v>
      </c>
      <c r="D2091" s="1">
        <f ca="1">IFERROR(__xludf.DUMMYFUNCTION("""COMPUTED_VALUE"""),161.32)</f>
        <v>161.32</v>
      </c>
      <c r="E2091" s="1">
        <f ca="1">IFERROR(__xludf.DUMMYFUNCTION("""COMPUTED_VALUE"""),165.08)</f>
        <v>165.08</v>
      </c>
      <c r="F2091" s="1">
        <f ca="1">IFERROR(__xludf.DUMMYFUNCTION("""COMPUTED_VALUE"""),123538954)</f>
        <v>123538954</v>
      </c>
    </row>
    <row r="2092" spans="1:6" x14ac:dyDescent="0.35">
      <c r="A2092" s="2">
        <f ca="1">IFERROR(__xludf.DUMMYFUNCTION("""COMPUTED_VALUE"""),45040.6666666666)</f>
        <v>45040.666666666599</v>
      </c>
      <c r="B2092" s="1">
        <f ca="1">IFERROR(__xludf.DUMMYFUNCTION("""COMPUTED_VALUE"""),164.65)</f>
        <v>164.65</v>
      </c>
      <c r="C2092" s="1">
        <f ca="1">IFERROR(__xludf.DUMMYFUNCTION("""COMPUTED_VALUE"""),165.65)</f>
        <v>165.65</v>
      </c>
      <c r="D2092" s="1">
        <f ca="1">IFERROR(__xludf.DUMMYFUNCTION("""COMPUTED_VALUE"""),158.61)</f>
        <v>158.61000000000001</v>
      </c>
      <c r="E2092" s="1">
        <f ca="1">IFERROR(__xludf.DUMMYFUNCTION("""COMPUTED_VALUE"""),162.55)</f>
        <v>162.55000000000001</v>
      </c>
      <c r="F2092" s="1">
        <f ca="1">IFERROR(__xludf.DUMMYFUNCTION("""COMPUTED_VALUE"""),140006559)</f>
        <v>140006559</v>
      </c>
    </row>
    <row r="2093" spans="1:6" x14ac:dyDescent="0.35">
      <c r="A2093" s="2">
        <f ca="1">IFERROR(__xludf.DUMMYFUNCTION("""COMPUTED_VALUE"""),45041.6666666666)</f>
        <v>45041.666666666599</v>
      </c>
      <c r="B2093" s="1">
        <f ca="1">IFERROR(__xludf.DUMMYFUNCTION("""COMPUTED_VALUE"""),159.82)</f>
        <v>159.82</v>
      </c>
      <c r="C2093" s="1">
        <f ca="1">IFERROR(__xludf.DUMMYFUNCTION("""COMPUTED_VALUE"""),163.47)</f>
        <v>163.47</v>
      </c>
      <c r="D2093" s="1">
        <f ca="1">IFERROR(__xludf.DUMMYFUNCTION("""COMPUTED_VALUE"""),158.75)</f>
        <v>158.75</v>
      </c>
      <c r="E2093" s="1">
        <f ca="1">IFERROR(__xludf.DUMMYFUNCTION("""COMPUTED_VALUE"""),160.67)</f>
        <v>160.66999999999999</v>
      </c>
      <c r="F2093" s="1">
        <f ca="1">IFERROR(__xludf.DUMMYFUNCTION("""COMPUTED_VALUE"""),121999312)</f>
        <v>121999312</v>
      </c>
    </row>
    <row r="2094" spans="1:6" x14ac:dyDescent="0.35">
      <c r="A2094" s="2">
        <f ca="1">IFERROR(__xludf.DUMMYFUNCTION("""COMPUTED_VALUE"""),45042.6666666666)</f>
        <v>45042.666666666599</v>
      </c>
      <c r="B2094" s="1">
        <f ca="1">IFERROR(__xludf.DUMMYFUNCTION("""COMPUTED_VALUE"""),160.29)</f>
        <v>160.29</v>
      </c>
      <c r="C2094" s="1">
        <f ca="1">IFERROR(__xludf.DUMMYFUNCTION("""COMPUTED_VALUE"""),160.67)</f>
        <v>160.66999999999999</v>
      </c>
      <c r="D2094" s="1">
        <f ca="1">IFERROR(__xludf.DUMMYFUNCTION("""COMPUTED_VALUE"""),153.14)</f>
        <v>153.13999999999999</v>
      </c>
      <c r="E2094" s="1">
        <f ca="1">IFERROR(__xludf.DUMMYFUNCTION("""COMPUTED_VALUE"""),153.75)</f>
        <v>153.75</v>
      </c>
      <c r="F2094" s="1">
        <f ca="1">IFERROR(__xludf.DUMMYFUNCTION("""COMPUTED_VALUE"""),153364142)</f>
        <v>153364142</v>
      </c>
    </row>
    <row r="2095" spans="1:6" x14ac:dyDescent="0.35">
      <c r="A2095" s="2">
        <f ca="1">IFERROR(__xludf.DUMMYFUNCTION("""COMPUTED_VALUE"""),45043.6666666666)</f>
        <v>45043.666666666599</v>
      </c>
      <c r="B2095" s="1">
        <f ca="1">IFERROR(__xludf.DUMMYFUNCTION("""COMPUTED_VALUE"""),152.64)</f>
        <v>152.63999999999999</v>
      </c>
      <c r="C2095" s="1">
        <f ca="1">IFERROR(__xludf.DUMMYFUNCTION("""COMPUTED_VALUE"""),160.48)</f>
        <v>160.47999999999999</v>
      </c>
      <c r="D2095" s="1">
        <f ca="1">IFERROR(__xludf.DUMMYFUNCTION("""COMPUTED_VALUE"""),152.37)</f>
        <v>152.37</v>
      </c>
      <c r="E2095" s="1">
        <f ca="1">IFERROR(__xludf.DUMMYFUNCTION("""COMPUTED_VALUE"""),160.19)</f>
        <v>160.19</v>
      </c>
      <c r="F2095" s="1">
        <f ca="1">IFERROR(__xludf.DUMMYFUNCTION("""COMPUTED_VALUE"""),127015177)</f>
        <v>127015177</v>
      </c>
    </row>
    <row r="2096" spans="1:6" x14ac:dyDescent="0.35">
      <c r="A2096" s="2">
        <f ca="1">IFERROR(__xludf.DUMMYFUNCTION("""COMPUTED_VALUE"""),45044.6666666666)</f>
        <v>45044.666666666599</v>
      </c>
      <c r="B2096" s="1">
        <f ca="1">IFERROR(__xludf.DUMMYFUNCTION("""COMPUTED_VALUE"""),160.9)</f>
        <v>160.9</v>
      </c>
      <c r="C2096" s="1">
        <f ca="1">IFERROR(__xludf.DUMMYFUNCTION("""COMPUTED_VALUE"""),165)</f>
        <v>165</v>
      </c>
      <c r="D2096" s="1">
        <f ca="1">IFERROR(__xludf.DUMMYFUNCTION("""COMPUTED_VALUE"""),157.32)</f>
        <v>157.32</v>
      </c>
      <c r="E2096" s="1">
        <f ca="1">IFERROR(__xludf.DUMMYFUNCTION("""COMPUTED_VALUE"""),164.31)</f>
        <v>164.31</v>
      </c>
      <c r="F2096" s="1">
        <f ca="1">IFERROR(__xludf.DUMMYFUNCTION("""COMPUTED_VALUE"""),122515812)</f>
        <v>122515812</v>
      </c>
    </row>
    <row r="2097" spans="1:6" x14ac:dyDescent="0.35">
      <c r="A2097" s="2">
        <f ca="1">IFERROR(__xludf.DUMMYFUNCTION("""COMPUTED_VALUE"""),45047.6666666666)</f>
        <v>45047.666666666599</v>
      </c>
      <c r="B2097" s="1">
        <f ca="1">IFERROR(__xludf.DUMMYFUNCTION("""COMPUTED_VALUE"""),163.17)</f>
        <v>163.16999999999999</v>
      </c>
      <c r="C2097" s="1">
        <f ca="1">IFERROR(__xludf.DUMMYFUNCTION("""COMPUTED_VALUE"""),163.28)</f>
        <v>163.28</v>
      </c>
      <c r="D2097" s="1">
        <f ca="1">IFERROR(__xludf.DUMMYFUNCTION("""COMPUTED_VALUE"""),158.83)</f>
        <v>158.83000000000001</v>
      </c>
      <c r="E2097" s="1">
        <f ca="1">IFERROR(__xludf.DUMMYFUNCTION("""COMPUTED_VALUE"""),161.83)</f>
        <v>161.83000000000001</v>
      </c>
      <c r="F2097" s="1">
        <f ca="1">IFERROR(__xludf.DUMMYFUNCTION("""COMPUTED_VALUE"""),109015048)</f>
        <v>109015048</v>
      </c>
    </row>
    <row r="2098" spans="1:6" x14ac:dyDescent="0.35">
      <c r="A2098" s="2">
        <f ca="1">IFERROR(__xludf.DUMMYFUNCTION("""COMPUTED_VALUE"""),45048.6666666666)</f>
        <v>45048.666666666599</v>
      </c>
      <c r="B2098" s="1">
        <f ca="1">IFERROR(__xludf.DUMMYFUNCTION("""COMPUTED_VALUE"""),161.88)</f>
        <v>161.88</v>
      </c>
      <c r="C2098" s="1">
        <f ca="1">IFERROR(__xludf.DUMMYFUNCTION("""COMPUTED_VALUE"""),165.49)</f>
        <v>165.49</v>
      </c>
      <c r="D2098" s="1">
        <f ca="1">IFERROR(__xludf.DUMMYFUNCTION("""COMPUTED_VALUE"""),158.93)</f>
        <v>158.93</v>
      </c>
      <c r="E2098" s="1">
        <f ca="1">IFERROR(__xludf.DUMMYFUNCTION("""COMPUTED_VALUE"""),160.31)</f>
        <v>160.31</v>
      </c>
      <c r="F2098" s="1">
        <f ca="1">IFERROR(__xludf.DUMMYFUNCTION("""COMPUTED_VALUE"""),128259744)</f>
        <v>128259744</v>
      </c>
    </row>
    <row r="2099" spans="1:6" x14ac:dyDescent="0.35">
      <c r="A2099" s="2">
        <f ca="1">IFERROR(__xludf.DUMMYFUNCTION("""COMPUTED_VALUE"""),45049.6666666666)</f>
        <v>45049.666666666599</v>
      </c>
      <c r="B2099" s="1">
        <f ca="1">IFERROR(__xludf.DUMMYFUNCTION("""COMPUTED_VALUE"""),160.01)</f>
        <v>160.01</v>
      </c>
      <c r="C2099" s="1">
        <f ca="1">IFERROR(__xludf.DUMMYFUNCTION("""COMPUTED_VALUE"""),165)</f>
        <v>165</v>
      </c>
      <c r="D2099" s="1">
        <f ca="1">IFERROR(__xludf.DUMMYFUNCTION("""COMPUTED_VALUE"""),159.91)</f>
        <v>159.91</v>
      </c>
      <c r="E2099" s="1">
        <f ca="1">IFERROR(__xludf.DUMMYFUNCTION("""COMPUTED_VALUE"""),160.61)</f>
        <v>160.61000000000001</v>
      </c>
      <c r="F2099" s="1">
        <f ca="1">IFERROR(__xludf.DUMMYFUNCTION("""COMPUTED_VALUE"""),119727972)</f>
        <v>119727972</v>
      </c>
    </row>
    <row r="2100" spans="1:6" x14ac:dyDescent="0.35">
      <c r="A2100" s="2">
        <f ca="1">IFERROR(__xludf.DUMMYFUNCTION("""COMPUTED_VALUE"""),45050.6666666666)</f>
        <v>45050.666666666599</v>
      </c>
      <c r="B2100" s="1">
        <f ca="1">IFERROR(__xludf.DUMMYFUNCTION("""COMPUTED_VALUE"""),162.71)</f>
        <v>162.71</v>
      </c>
      <c r="C2100" s="1">
        <f ca="1">IFERROR(__xludf.DUMMYFUNCTION("""COMPUTED_VALUE"""),162.95)</f>
        <v>162.94999999999999</v>
      </c>
      <c r="D2100" s="1">
        <f ca="1">IFERROR(__xludf.DUMMYFUNCTION("""COMPUTED_VALUE"""),159.65)</f>
        <v>159.65</v>
      </c>
      <c r="E2100" s="1">
        <f ca="1">IFERROR(__xludf.DUMMYFUNCTION("""COMPUTED_VALUE"""),161.2)</f>
        <v>161.19999999999999</v>
      </c>
      <c r="F2100" s="1">
        <f ca="1">IFERROR(__xludf.DUMMYFUNCTION("""COMPUTED_VALUE"""),95108492)</f>
        <v>95108492</v>
      </c>
    </row>
    <row r="2101" spans="1:6" x14ac:dyDescent="0.35">
      <c r="A2101" s="2">
        <f ca="1">IFERROR(__xludf.DUMMYFUNCTION("""COMPUTED_VALUE"""),45051.6666666666)</f>
        <v>45051.666666666599</v>
      </c>
      <c r="B2101" s="1">
        <f ca="1">IFERROR(__xludf.DUMMYFUNCTION("""COMPUTED_VALUE"""),163.97)</f>
        <v>163.97</v>
      </c>
      <c r="C2101" s="1">
        <f ca="1">IFERROR(__xludf.DUMMYFUNCTION("""COMPUTED_VALUE"""),170.79)</f>
        <v>170.79</v>
      </c>
      <c r="D2101" s="1">
        <f ca="1">IFERROR(__xludf.DUMMYFUNCTION("""COMPUTED_VALUE"""),163.51)</f>
        <v>163.51</v>
      </c>
      <c r="E2101" s="1">
        <f ca="1">IFERROR(__xludf.DUMMYFUNCTION("""COMPUTED_VALUE"""),170.06)</f>
        <v>170.06</v>
      </c>
      <c r="F2101" s="1">
        <f ca="1">IFERROR(__xludf.DUMMYFUNCTION("""COMPUTED_VALUE"""),107607259)</f>
        <v>107607259</v>
      </c>
    </row>
    <row r="2102" spans="1:6" x14ac:dyDescent="0.35">
      <c r="A2102" s="2">
        <f ca="1">IFERROR(__xludf.DUMMYFUNCTION("""COMPUTED_VALUE"""),45054.6666666666)</f>
        <v>45054.666666666599</v>
      </c>
      <c r="B2102" s="1">
        <f ca="1">IFERROR(__xludf.DUMMYFUNCTION("""COMPUTED_VALUE"""),173.72)</f>
        <v>173.72</v>
      </c>
      <c r="C2102" s="1">
        <f ca="1">IFERROR(__xludf.DUMMYFUNCTION("""COMPUTED_VALUE"""),173.8)</f>
        <v>173.8</v>
      </c>
      <c r="D2102" s="1">
        <f ca="1">IFERROR(__xludf.DUMMYFUNCTION("""COMPUTED_VALUE"""),169.19)</f>
        <v>169.19</v>
      </c>
      <c r="E2102" s="1">
        <f ca="1">IFERROR(__xludf.DUMMYFUNCTION("""COMPUTED_VALUE"""),171.79)</f>
        <v>171.79</v>
      </c>
      <c r="F2102" s="1">
        <f ca="1">IFERROR(__xludf.DUMMYFUNCTION("""COMPUTED_VALUE"""),112249449)</f>
        <v>112249449</v>
      </c>
    </row>
    <row r="2103" spans="1:6" x14ac:dyDescent="0.35">
      <c r="A2103" s="2">
        <f ca="1">IFERROR(__xludf.DUMMYFUNCTION("""COMPUTED_VALUE"""),45055.6666666666)</f>
        <v>45055.666666666599</v>
      </c>
      <c r="B2103" s="1">
        <f ca="1">IFERROR(__xludf.DUMMYFUNCTION("""COMPUTED_VALUE"""),168.95)</f>
        <v>168.95</v>
      </c>
      <c r="C2103" s="1">
        <f ca="1">IFERROR(__xludf.DUMMYFUNCTION("""COMPUTED_VALUE"""),169.82)</f>
        <v>169.82</v>
      </c>
      <c r="D2103" s="1">
        <f ca="1">IFERROR(__xludf.DUMMYFUNCTION("""COMPUTED_VALUE"""),166.56)</f>
        <v>166.56</v>
      </c>
      <c r="E2103" s="1">
        <f ca="1">IFERROR(__xludf.DUMMYFUNCTION("""COMPUTED_VALUE"""),169.15)</f>
        <v>169.15</v>
      </c>
      <c r="F2103" s="1">
        <f ca="1">IFERROR(__xludf.DUMMYFUNCTION("""COMPUTED_VALUE"""),88965043)</f>
        <v>88965043</v>
      </c>
    </row>
    <row r="2104" spans="1:6" x14ac:dyDescent="0.35">
      <c r="A2104" s="2">
        <f ca="1">IFERROR(__xludf.DUMMYFUNCTION("""COMPUTED_VALUE"""),45056.6666666666)</f>
        <v>45056.666666666599</v>
      </c>
      <c r="B2104" s="1">
        <f ca="1">IFERROR(__xludf.DUMMYFUNCTION("""COMPUTED_VALUE"""),172.55)</f>
        <v>172.55</v>
      </c>
      <c r="C2104" s="1">
        <f ca="1">IFERROR(__xludf.DUMMYFUNCTION("""COMPUTED_VALUE"""),174.43)</f>
        <v>174.43</v>
      </c>
      <c r="D2104" s="1">
        <f ca="1">IFERROR(__xludf.DUMMYFUNCTION("""COMPUTED_VALUE"""),166.68)</f>
        <v>166.68</v>
      </c>
      <c r="E2104" s="1">
        <f ca="1">IFERROR(__xludf.DUMMYFUNCTION("""COMPUTED_VALUE"""),168.54)</f>
        <v>168.54</v>
      </c>
      <c r="F2104" s="1">
        <f ca="1">IFERROR(__xludf.DUMMYFUNCTION("""COMPUTED_VALUE"""),119840693)</f>
        <v>119840693</v>
      </c>
    </row>
    <row r="2105" spans="1:6" x14ac:dyDescent="0.35">
      <c r="A2105" s="2">
        <f ca="1">IFERROR(__xludf.DUMMYFUNCTION("""COMPUTED_VALUE"""),45057.6666666666)</f>
        <v>45057.666666666599</v>
      </c>
      <c r="B2105" s="1">
        <f ca="1">IFERROR(__xludf.DUMMYFUNCTION("""COMPUTED_VALUE"""),168.7)</f>
        <v>168.7</v>
      </c>
      <c r="C2105" s="1">
        <f ca="1">IFERROR(__xludf.DUMMYFUNCTION("""COMPUTED_VALUE"""),173.57)</f>
        <v>173.57</v>
      </c>
      <c r="D2105" s="1">
        <f ca="1">IFERROR(__xludf.DUMMYFUNCTION("""COMPUTED_VALUE"""),166.79)</f>
        <v>166.79</v>
      </c>
      <c r="E2105" s="1">
        <f ca="1">IFERROR(__xludf.DUMMYFUNCTION("""COMPUTED_VALUE"""),172.08)</f>
        <v>172.08</v>
      </c>
      <c r="F2105" s="1">
        <f ca="1">IFERROR(__xludf.DUMMYFUNCTION("""COMPUTED_VALUE"""),103889930)</f>
        <v>103889930</v>
      </c>
    </row>
    <row r="2106" spans="1:6" x14ac:dyDescent="0.35">
      <c r="A2106" s="2">
        <f ca="1">IFERROR(__xludf.DUMMYFUNCTION("""COMPUTED_VALUE"""),45058.6666666666)</f>
        <v>45058.666666666599</v>
      </c>
      <c r="B2106" s="1">
        <f ca="1">IFERROR(__xludf.DUMMYFUNCTION("""COMPUTED_VALUE"""),176.07)</f>
        <v>176.07</v>
      </c>
      <c r="C2106" s="1">
        <f ca="1">IFERROR(__xludf.DUMMYFUNCTION("""COMPUTED_VALUE"""),177.38)</f>
        <v>177.38</v>
      </c>
      <c r="D2106" s="1">
        <f ca="1">IFERROR(__xludf.DUMMYFUNCTION("""COMPUTED_VALUE"""),167.23)</f>
        <v>167.23</v>
      </c>
      <c r="E2106" s="1">
        <f ca="1">IFERROR(__xludf.DUMMYFUNCTION("""COMPUTED_VALUE"""),167.98)</f>
        <v>167.98</v>
      </c>
      <c r="F2106" s="1">
        <f ca="1">IFERROR(__xludf.DUMMYFUNCTION("""COMPUTED_VALUE"""),157849625)</f>
        <v>157849625</v>
      </c>
    </row>
    <row r="2107" spans="1:6" x14ac:dyDescent="0.35">
      <c r="A2107" s="2">
        <f ca="1">IFERROR(__xludf.DUMMYFUNCTION("""COMPUTED_VALUE"""),45061.6666666666)</f>
        <v>45061.666666666599</v>
      </c>
      <c r="B2107" s="1">
        <f ca="1">IFERROR(__xludf.DUMMYFUNCTION("""COMPUTED_VALUE"""),167.66)</f>
        <v>167.66</v>
      </c>
      <c r="C2107" s="1">
        <f ca="1">IFERROR(__xludf.DUMMYFUNCTION("""COMPUTED_VALUE"""),169.76)</f>
        <v>169.76</v>
      </c>
      <c r="D2107" s="1">
        <f ca="1">IFERROR(__xludf.DUMMYFUNCTION("""COMPUTED_VALUE"""),164.55)</f>
        <v>164.55</v>
      </c>
      <c r="E2107" s="1">
        <f ca="1">IFERROR(__xludf.DUMMYFUNCTION("""COMPUTED_VALUE"""),166.35)</f>
        <v>166.35</v>
      </c>
      <c r="F2107" s="1">
        <f ca="1">IFERROR(__xludf.DUMMYFUNCTION("""COMPUTED_VALUE"""),105592510)</f>
        <v>105592510</v>
      </c>
    </row>
    <row r="2108" spans="1:6" x14ac:dyDescent="0.35">
      <c r="A2108" s="2">
        <f ca="1">IFERROR(__xludf.DUMMYFUNCTION("""COMPUTED_VALUE"""),45062.6666666666)</f>
        <v>45062.666666666599</v>
      </c>
      <c r="B2108" s="1">
        <f ca="1">IFERROR(__xludf.DUMMYFUNCTION("""COMPUTED_VALUE"""),165.65)</f>
        <v>165.65</v>
      </c>
      <c r="C2108" s="1">
        <f ca="1">IFERROR(__xludf.DUMMYFUNCTION("""COMPUTED_VALUE"""),169.52)</f>
        <v>169.52</v>
      </c>
      <c r="D2108" s="1">
        <f ca="1">IFERROR(__xludf.DUMMYFUNCTION("""COMPUTED_VALUE"""),164.35)</f>
        <v>164.35</v>
      </c>
      <c r="E2108" s="1">
        <f ca="1">IFERROR(__xludf.DUMMYFUNCTION("""COMPUTED_VALUE"""),166.52)</f>
        <v>166.52</v>
      </c>
      <c r="F2108" s="1">
        <f ca="1">IFERROR(__xludf.DUMMYFUNCTION("""COMPUTED_VALUE"""),98288792)</f>
        <v>98288792</v>
      </c>
    </row>
    <row r="2109" spans="1:6" x14ac:dyDescent="0.35">
      <c r="A2109" s="2">
        <f ca="1">IFERROR(__xludf.DUMMYFUNCTION("""COMPUTED_VALUE"""),45063.6666666666)</f>
        <v>45063.666666666599</v>
      </c>
      <c r="B2109" s="1">
        <f ca="1">IFERROR(__xludf.DUMMYFUNCTION("""COMPUTED_VALUE"""),168.41)</f>
        <v>168.41</v>
      </c>
      <c r="C2109" s="1">
        <f ca="1">IFERROR(__xludf.DUMMYFUNCTION("""COMPUTED_VALUE"""),174.5)</f>
        <v>174.5</v>
      </c>
      <c r="D2109" s="1">
        <f ca="1">IFERROR(__xludf.DUMMYFUNCTION("""COMPUTED_VALUE"""),167.19)</f>
        <v>167.19</v>
      </c>
      <c r="E2109" s="1">
        <f ca="1">IFERROR(__xludf.DUMMYFUNCTION("""COMPUTED_VALUE"""),173.86)</f>
        <v>173.86</v>
      </c>
      <c r="F2109" s="1">
        <f ca="1">IFERROR(__xludf.DUMMYFUNCTION("""COMPUTED_VALUE"""),125473558)</f>
        <v>125473558</v>
      </c>
    </row>
    <row r="2110" spans="1:6" x14ac:dyDescent="0.35">
      <c r="A2110" s="2">
        <f ca="1">IFERROR(__xludf.DUMMYFUNCTION("""COMPUTED_VALUE"""),45064.6666666666)</f>
        <v>45064.666666666599</v>
      </c>
      <c r="B2110" s="1">
        <f ca="1">IFERROR(__xludf.DUMMYFUNCTION("""COMPUTED_VALUE"""),174.22)</f>
        <v>174.22</v>
      </c>
      <c r="C2110" s="1">
        <f ca="1">IFERROR(__xludf.DUMMYFUNCTION("""COMPUTED_VALUE"""),177.06)</f>
        <v>177.06</v>
      </c>
      <c r="D2110" s="1">
        <f ca="1">IFERROR(__xludf.DUMMYFUNCTION("""COMPUTED_VALUE"""),172.45)</f>
        <v>172.45</v>
      </c>
      <c r="E2110" s="1">
        <f ca="1">IFERROR(__xludf.DUMMYFUNCTION("""COMPUTED_VALUE"""),176.89)</f>
        <v>176.89</v>
      </c>
      <c r="F2110" s="1">
        <f ca="1">IFERROR(__xludf.DUMMYFUNCTION("""COMPUTED_VALUE"""),109520332)</f>
        <v>109520332</v>
      </c>
    </row>
    <row r="2111" spans="1:6" x14ac:dyDescent="0.35">
      <c r="A2111" s="2">
        <f ca="1">IFERROR(__xludf.DUMMYFUNCTION("""COMPUTED_VALUE"""),45065.6666666666)</f>
        <v>45065.666666666599</v>
      </c>
      <c r="B2111" s="1">
        <f ca="1">IFERROR(__xludf.DUMMYFUNCTION("""COMPUTED_VALUE"""),177.17)</f>
        <v>177.17</v>
      </c>
      <c r="C2111" s="1">
        <f ca="1">IFERROR(__xludf.DUMMYFUNCTION("""COMPUTED_VALUE"""),181.95)</f>
        <v>181.95</v>
      </c>
      <c r="D2111" s="1">
        <f ca="1">IFERROR(__xludf.DUMMYFUNCTION("""COMPUTED_VALUE"""),176.31)</f>
        <v>176.31</v>
      </c>
      <c r="E2111" s="1">
        <f ca="1">IFERROR(__xludf.DUMMYFUNCTION("""COMPUTED_VALUE"""),180.14)</f>
        <v>180.14</v>
      </c>
      <c r="F2111" s="1">
        <f ca="1">IFERROR(__xludf.DUMMYFUNCTION("""COMPUTED_VALUE"""),136196668)</f>
        <v>136196668</v>
      </c>
    </row>
    <row r="2112" spans="1:6" x14ac:dyDescent="0.35">
      <c r="A2112" s="2">
        <f ca="1">IFERROR(__xludf.DUMMYFUNCTION("""COMPUTED_VALUE"""),45068.6666666666)</f>
        <v>45068.666666666599</v>
      </c>
      <c r="B2112" s="1">
        <f ca="1">IFERROR(__xludf.DUMMYFUNCTION("""COMPUTED_VALUE"""),180.7)</f>
        <v>180.7</v>
      </c>
      <c r="C2112" s="1">
        <f ca="1">IFERROR(__xludf.DUMMYFUNCTION("""COMPUTED_VALUE"""),189.32)</f>
        <v>189.32</v>
      </c>
      <c r="D2112" s="1">
        <f ca="1">IFERROR(__xludf.DUMMYFUNCTION("""COMPUTED_VALUE"""),180.11)</f>
        <v>180.11</v>
      </c>
      <c r="E2112" s="1">
        <f ca="1">IFERROR(__xludf.DUMMYFUNCTION("""COMPUTED_VALUE"""),188.87)</f>
        <v>188.87</v>
      </c>
      <c r="F2112" s="1">
        <f ca="1">IFERROR(__xludf.DUMMYFUNCTION("""COMPUTED_VALUE"""),132001430)</f>
        <v>132001430</v>
      </c>
    </row>
    <row r="2113" spans="1:6" x14ac:dyDescent="0.35">
      <c r="A2113" s="2">
        <f ca="1">IFERROR(__xludf.DUMMYFUNCTION("""COMPUTED_VALUE"""),45069.6666666666)</f>
        <v>45069.666666666599</v>
      </c>
      <c r="B2113" s="1">
        <f ca="1">IFERROR(__xludf.DUMMYFUNCTION("""COMPUTED_VALUE"""),186.2)</f>
        <v>186.2</v>
      </c>
      <c r="C2113" s="1">
        <f ca="1">IFERROR(__xludf.DUMMYFUNCTION("""COMPUTED_VALUE"""),192.96)</f>
        <v>192.96</v>
      </c>
      <c r="D2113" s="1">
        <f ca="1">IFERROR(__xludf.DUMMYFUNCTION("""COMPUTED_VALUE"""),185.26)</f>
        <v>185.26</v>
      </c>
      <c r="E2113" s="1">
        <f ca="1">IFERROR(__xludf.DUMMYFUNCTION("""COMPUTED_VALUE"""),185.77)</f>
        <v>185.77</v>
      </c>
      <c r="F2113" s="1">
        <f ca="1">IFERROR(__xludf.DUMMYFUNCTION("""COMPUTED_VALUE"""),156952130)</f>
        <v>156952130</v>
      </c>
    </row>
    <row r="2114" spans="1:6" x14ac:dyDescent="0.35">
      <c r="A2114" s="2">
        <f ca="1">IFERROR(__xludf.DUMMYFUNCTION("""COMPUTED_VALUE"""),45070.6666666666)</f>
        <v>45070.666666666599</v>
      </c>
      <c r="B2114" s="1">
        <f ca="1">IFERROR(__xludf.DUMMYFUNCTION("""COMPUTED_VALUE"""),182.23)</f>
        <v>182.23</v>
      </c>
      <c r="C2114" s="1">
        <f ca="1">IFERROR(__xludf.DUMMYFUNCTION("""COMPUTED_VALUE"""),184.22)</f>
        <v>184.22</v>
      </c>
      <c r="D2114" s="1">
        <f ca="1">IFERROR(__xludf.DUMMYFUNCTION("""COMPUTED_VALUE"""),178.22)</f>
        <v>178.22</v>
      </c>
      <c r="E2114" s="1">
        <f ca="1">IFERROR(__xludf.DUMMYFUNCTION("""COMPUTED_VALUE"""),182.9)</f>
        <v>182.9</v>
      </c>
      <c r="F2114" s="1">
        <f ca="1">IFERROR(__xludf.DUMMYFUNCTION("""COMPUTED_VALUE"""),137605054)</f>
        <v>137605054</v>
      </c>
    </row>
    <row r="2115" spans="1:6" x14ac:dyDescent="0.35">
      <c r="A2115" s="2">
        <f ca="1">IFERROR(__xludf.DUMMYFUNCTION("""COMPUTED_VALUE"""),45071.6666666666)</f>
        <v>45071.666666666599</v>
      </c>
      <c r="B2115" s="1">
        <f ca="1">IFERROR(__xludf.DUMMYFUNCTION("""COMPUTED_VALUE"""),186.54)</f>
        <v>186.54</v>
      </c>
      <c r="C2115" s="1">
        <f ca="1">IFERROR(__xludf.DUMMYFUNCTION("""COMPUTED_VALUE"""),186.78)</f>
        <v>186.78</v>
      </c>
      <c r="D2115" s="1">
        <f ca="1">IFERROR(__xludf.DUMMYFUNCTION("""COMPUTED_VALUE"""),180.58)</f>
        <v>180.58</v>
      </c>
      <c r="E2115" s="1">
        <f ca="1">IFERROR(__xludf.DUMMYFUNCTION("""COMPUTED_VALUE"""),184.47)</f>
        <v>184.47</v>
      </c>
      <c r="F2115" s="1">
        <f ca="1">IFERROR(__xludf.DUMMYFUNCTION("""COMPUTED_VALUE"""),96870719)</f>
        <v>96870719</v>
      </c>
    </row>
    <row r="2116" spans="1:6" x14ac:dyDescent="0.35">
      <c r="A2116" s="2">
        <f ca="1">IFERROR(__xludf.DUMMYFUNCTION("""COMPUTED_VALUE"""),45072.6666666666)</f>
        <v>45072.666666666599</v>
      </c>
      <c r="B2116" s="1">
        <f ca="1">IFERROR(__xludf.DUMMYFUNCTION("""COMPUTED_VALUE"""),184.62)</f>
        <v>184.62</v>
      </c>
      <c r="C2116" s="1">
        <f ca="1">IFERROR(__xludf.DUMMYFUNCTION("""COMPUTED_VALUE"""),198.6)</f>
        <v>198.6</v>
      </c>
      <c r="D2116" s="1">
        <f ca="1">IFERROR(__xludf.DUMMYFUNCTION("""COMPUTED_VALUE"""),184.53)</f>
        <v>184.53</v>
      </c>
      <c r="E2116" s="1">
        <f ca="1">IFERROR(__xludf.DUMMYFUNCTION("""COMPUTED_VALUE"""),193.17)</f>
        <v>193.17</v>
      </c>
      <c r="F2116" s="1">
        <f ca="1">IFERROR(__xludf.DUMMYFUNCTION("""COMPUTED_VALUE"""),162061496)</f>
        <v>162061496</v>
      </c>
    </row>
    <row r="2117" spans="1:6" x14ac:dyDescent="0.35">
      <c r="A2117" s="2">
        <f ca="1">IFERROR(__xludf.DUMMYFUNCTION("""COMPUTED_VALUE"""),45076.6666666666)</f>
        <v>45076.666666666599</v>
      </c>
      <c r="B2117" s="1">
        <f ca="1">IFERROR(__xludf.DUMMYFUNCTION("""COMPUTED_VALUE"""),200.1)</f>
        <v>200.1</v>
      </c>
      <c r="C2117" s="1">
        <f ca="1">IFERROR(__xludf.DUMMYFUNCTION("""COMPUTED_VALUE"""),204.48)</f>
        <v>204.48</v>
      </c>
      <c r="D2117" s="1">
        <f ca="1">IFERROR(__xludf.DUMMYFUNCTION("""COMPUTED_VALUE"""),197.53)</f>
        <v>197.53</v>
      </c>
      <c r="E2117" s="1">
        <f ca="1">IFERROR(__xludf.DUMMYFUNCTION("""COMPUTED_VALUE"""),201.16)</f>
        <v>201.16</v>
      </c>
      <c r="F2117" s="1">
        <f ca="1">IFERROR(__xludf.DUMMYFUNCTION("""COMPUTED_VALUE"""),128818746)</f>
        <v>128818746</v>
      </c>
    </row>
    <row r="2118" spans="1:6" x14ac:dyDescent="0.35">
      <c r="A2118" s="2">
        <f ca="1">IFERROR(__xludf.DUMMYFUNCTION("""COMPUTED_VALUE"""),45077.6666666666)</f>
        <v>45077.666666666599</v>
      </c>
      <c r="B2118" s="1">
        <f ca="1">IFERROR(__xludf.DUMMYFUNCTION("""COMPUTED_VALUE"""),199.78)</f>
        <v>199.78</v>
      </c>
      <c r="C2118" s="1">
        <f ca="1">IFERROR(__xludf.DUMMYFUNCTION("""COMPUTED_VALUE"""),203.95)</f>
        <v>203.95</v>
      </c>
      <c r="D2118" s="1">
        <f ca="1">IFERROR(__xludf.DUMMYFUNCTION("""COMPUTED_VALUE"""),195.12)</f>
        <v>195.12</v>
      </c>
      <c r="E2118" s="1">
        <f ca="1">IFERROR(__xludf.DUMMYFUNCTION("""COMPUTED_VALUE"""),203.93)</f>
        <v>203.93</v>
      </c>
      <c r="F2118" s="1">
        <f ca="1">IFERROR(__xludf.DUMMYFUNCTION("""COMPUTED_VALUE"""),150711736)</f>
        <v>150711736</v>
      </c>
    </row>
    <row r="2119" spans="1:6" x14ac:dyDescent="0.35">
      <c r="A2119" s="2">
        <f ca="1">IFERROR(__xludf.DUMMYFUNCTION("""COMPUTED_VALUE"""),45078.6666666666)</f>
        <v>45078.666666666599</v>
      </c>
      <c r="B2119" s="1">
        <f ca="1">IFERROR(__xludf.DUMMYFUNCTION("""COMPUTED_VALUE"""),202.59)</f>
        <v>202.59</v>
      </c>
      <c r="C2119" s="1">
        <f ca="1">IFERROR(__xludf.DUMMYFUNCTION("""COMPUTED_VALUE"""),209.8)</f>
        <v>209.8</v>
      </c>
      <c r="D2119" s="1">
        <f ca="1">IFERROR(__xludf.DUMMYFUNCTION("""COMPUTED_VALUE"""),199.37)</f>
        <v>199.37</v>
      </c>
      <c r="E2119" s="1">
        <f ca="1">IFERROR(__xludf.DUMMYFUNCTION("""COMPUTED_VALUE"""),207.52)</f>
        <v>207.52</v>
      </c>
      <c r="F2119" s="1">
        <f ca="1">IFERROR(__xludf.DUMMYFUNCTION("""COMPUTED_VALUE"""),148029931)</f>
        <v>148029931</v>
      </c>
    </row>
    <row r="2120" spans="1:6" x14ac:dyDescent="0.35">
      <c r="A2120" s="2">
        <f ca="1">IFERROR(__xludf.DUMMYFUNCTION("""COMPUTED_VALUE"""),45079.6666666666)</f>
        <v>45079.666666666599</v>
      </c>
      <c r="B2120" s="1">
        <f ca="1">IFERROR(__xludf.DUMMYFUNCTION("""COMPUTED_VALUE"""),210.15)</f>
        <v>210.15</v>
      </c>
      <c r="C2120" s="1">
        <f ca="1">IFERROR(__xludf.DUMMYFUNCTION("""COMPUTED_VALUE"""),217.25)</f>
        <v>217.25</v>
      </c>
      <c r="D2120" s="1">
        <f ca="1">IFERROR(__xludf.DUMMYFUNCTION("""COMPUTED_VALUE"""),209.75)</f>
        <v>209.75</v>
      </c>
      <c r="E2120" s="1">
        <f ca="1">IFERROR(__xludf.DUMMYFUNCTION("""COMPUTED_VALUE"""),213.97)</f>
        <v>213.97</v>
      </c>
      <c r="F2120" s="1">
        <f ca="1">IFERROR(__xludf.DUMMYFUNCTION("""COMPUTED_VALUE"""),164398372)</f>
        <v>164398372</v>
      </c>
    </row>
    <row r="2121" spans="1:6" x14ac:dyDescent="0.35">
      <c r="A2121" s="2">
        <f ca="1">IFERROR(__xludf.DUMMYFUNCTION("""COMPUTED_VALUE"""),45082.6666666666)</f>
        <v>45082.666666666599</v>
      </c>
      <c r="B2121" s="1">
        <f ca="1">IFERROR(__xludf.DUMMYFUNCTION("""COMPUTED_VALUE"""),217.8)</f>
        <v>217.8</v>
      </c>
      <c r="C2121" s="1">
        <f ca="1">IFERROR(__xludf.DUMMYFUNCTION("""COMPUTED_VALUE"""),221.29)</f>
        <v>221.29</v>
      </c>
      <c r="D2121" s="1">
        <f ca="1">IFERROR(__xludf.DUMMYFUNCTION("""COMPUTED_VALUE"""),214.52)</f>
        <v>214.52</v>
      </c>
      <c r="E2121" s="1">
        <f ca="1">IFERROR(__xludf.DUMMYFUNCTION("""COMPUTED_VALUE"""),217.61)</f>
        <v>217.61</v>
      </c>
      <c r="F2121" s="1">
        <f ca="1">IFERROR(__xludf.DUMMYFUNCTION("""COMPUTED_VALUE"""),151143052)</f>
        <v>151143052</v>
      </c>
    </row>
    <row r="2122" spans="1:6" x14ac:dyDescent="0.35">
      <c r="A2122" s="2">
        <f ca="1">IFERROR(__xludf.DUMMYFUNCTION("""COMPUTED_VALUE"""),45083.6666666666)</f>
        <v>45083.666666666599</v>
      </c>
      <c r="B2122" s="1">
        <f ca="1">IFERROR(__xludf.DUMMYFUNCTION("""COMPUTED_VALUE"""),216.14)</f>
        <v>216.14</v>
      </c>
      <c r="C2122" s="1">
        <f ca="1">IFERROR(__xludf.DUMMYFUNCTION("""COMPUTED_VALUE"""),221.91)</f>
        <v>221.91</v>
      </c>
      <c r="D2122" s="1">
        <f ca="1">IFERROR(__xludf.DUMMYFUNCTION("""COMPUTED_VALUE"""),212.53)</f>
        <v>212.53</v>
      </c>
      <c r="E2122" s="1">
        <f ca="1">IFERROR(__xludf.DUMMYFUNCTION("""COMPUTED_VALUE"""),221.31)</f>
        <v>221.31</v>
      </c>
      <c r="F2122" s="1">
        <f ca="1">IFERROR(__xludf.DUMMYFUNCTION("""COMPUTED_VALUE"""),146911576)</f>
        <v>146911576</v>
      </c>
    </row>
    <row r="2123" spans="1:6" x14ac:dyDescent="0.35">
      <c r="A2123" s="2">
        <f ca="1">IFERROR(__xludf.DUMMYFUNCTION("""COMPUTED_VALUE"""),45084.6666666666)</f>
        <v>45084.666666666599</v>
      </c>
      <c r="B2123" s="1">
        <f ca="1">IFERROR(__xludf.DUMMYFUNCTION("""COMPUTED_VALUE"""),228)</f>
        <v>228</v>
      </c>
      <c r="C2123" s="1">
        <f ca="1">IFERROR(__xludf.DUMMYFUNCTION("""COMPUTED_VALUE"""),230.83)</f>
        <v>230.83</v>
      </c>
      <c r="D2123" s="1">
        <f ca="1">IFERROR(__xludf.DUMMYFUNCTION("""COMPUTED_VALUE"""),223.2)</f>
        <v>223.2</v>
      </c>
      <c r="E2123" s="1">
        <f ca="1">IFERROR(__xludf.DUMMYFUNCTION("""COMPUTED_VALUE"""),224.57)</f>
        <v>224.57</v>
      </c>
      <c r="F2123" s="1">
        <f ca="1">IFERROR(__xludf.DUMMYFUNCTION("""COMPUTED_VALUE"""),185710777)</f>
        <v>185710777</v>
      </c>
    </row>
    <row r="2124" spans="1:6" x14ac:dyDescent="0.35">
      <c r="A2124" s="2">
        <f ca="1">IFERROR(__xludf.DUMMYFUNCTION("""COMPUTED_VALUE"""),45085.6666666666)</f>
        <v>45085.666666666599</v>
      </c>
      <c r="B2124" s="1">
        <f ca="1">IFERROR(__xludf.DUMMYFUNCTION("""COMPUTED_VALUE"""),224.22)</f>
        <v>224.22</v>
      </c>
      <c r="C2124" s="1">
        <f ca="1">IFERROR(__xludf.DUMMYFUNCTION("""COMPUTED_VALUE"""),235.23)</f>
        <v>235.23</v>
      </c>
      <c r="D2124" s="1">
        <f ca="1">IFERROR(__xludf.DUMMYFUNCTION("""COMPUTED_VALUE"""),223.01)</f>
        <v>223.01</v>
      </c>
      <c r="E2124" s="1">
        <f ca="1">IFERROR(__xludf.DUMMYFUNCTION("""COMPUTED_VALUE"""),234.86)</f>
        <v>234.86</v>
      </c>
      <c r="F2124" s="1">
        <f ca="1">IFERROR(__xludf.DUMMYFUNCTION("""COMPUTED_VALUE"""),164489739)</f>
        <v>164489739</v>
      </c>
    </row>
    <row r="2125" spans="1:6" x14ac:dyDescent="0.35">
      <c r="A2125" s="2">
        <f ca="1">IFERROR(__xludf.DUMMYFUNCTION("""COMPUTED_VALUE"""),45086.6666666666)</f>
        <v>45086.666666666599</v>
      </c>
      <c r="B2125" s="1">
        <f ca="1">IFERROR(__xludf.DUMMYFUNCTION("""COMPUTED_VALUE"""),249.07)</f>
        <v>249.07</v>
      </c>
      <c r="C2125" s="1">
        <f ca="1">IFERROR(__xludf.DUMMYFUNCTION("""COMPUTED_VALUE"""),252.42)</f>
        <v>252.42</v>
      </c>
      <c r="D2125" s="1">
        <f ca="1">IFERROR(__xludf.DUMMYFUNCTION("""COMPUTED_VALUE"""),242.02)</f>
        <v>242.02</v>
      </c>
      <c r="E2125" s="1">
        <f ca="1">IFERROR(__xludf.DUMMYFUNCTION("""COMPUTED_VALUE"""),244.4)</f>
        <v>244.4</v>
      </c>
      <c r="F2125" s="1">
        <f ca="1">IFERROR(__xludf.DUMMYFUNCTION("""COMPUTED_VALUE"""),200242371)</f>
        <v>200242371</v>
      </c>
    </row>
    <row r="2126" spans="1:6" x14ac:dyDescent="0.35">
      <c r="A2126" s="2">
        <f ca="1">IFERROR(__xludf.DUMMYFUNCTION("""COMPUTED_VALUE"""),45089.6666666666)</f>
        <v>45089.666666666599</v>
      </c>
      <c r="B2126" s="1">
        <f ca="1">IFERROR(__xludf.DUMMYFUNCTION("""COMPUTED_VALUE"""),247.94)</f>
        <v>247.94</v>
      </c>
      <c r="C2126" s="1">
        <f ca="1">IFERROR(__xludf.DUMMYFUNCTION("""COMPUTED_VALUE"""),250.97)</f>
        <v>250.97</v>
      </c>
      <c r="D2126" s="1">
        <f ca="1">IFERROR(__xludf.DUMMYFUNCTION("""COMPUTED_VALUE"""),244.59)</f>
        <v>244.59</v>
      </c>
      <c r="E2126" s="1">
        <f ca="1">IFERROR(__xludf.DUMMYFUNCTION("""COMPUTED_VALUE"""),249.83)</f>
        <v>249.83</v>
      </c>
      <c r="F2126" s="1">
        <f ca="1">IFERROR(__xludf.DUMMYFUNCTION("""COMPUTED_VALUE"""),150740523)</f>
        <v>150740523</v>
      </c>
    </row>
    <row r="2127" spans="1:6" x14ac:dyDescent="0.35">
      <c r="A2127" s="2">
        <f ca="1">IFERROR(__xludf.DUMMYFUNCTION("""COMPUTED_VALUE"""),45090.6666666666)</f>
        <v>45090.666666666599</v>
      </c>
      <c r="B2127" s="1">
        <f ca="1">IFERROR(__xludf.DUMMYFUNCTION("""COMPUTED_VALUE"""),253.51)</f>
        <v>253.51</v>
      </c>
      <c r="C2127" s="1">
        <f ca="1">IFERROR(__xludf.DUMMYFUNCTION("""COMPUTED_VALUE"""),259.68)</f>
        <v>259.68</v>
      </c>
      <c r="D2127" s="1">
        <f ca="1">IFERROR(__xludf.DUMMYFUNCTION("""COMPUTED_VALUE"""),251.34)</f>
        <v>251.34</v>
      </c>
      <c r="E2127" s="1">
        <f ca="1">IFERROR(__xludf.DUMMYFUNCTION("""COMPUTED_VALUE"""),258.71)</f>
        <v>258.70999999999998</v>
      </c>
      <c r="F2127" s="1">
        <f ca="1">IFERROR(__xludf.DUMMYFUNCTION("""COMPUTED_VALUE"""),162384343)</f>
        <v>162384343</v>
      </c>
    </row>
    <row r="2128" spans="1:6" x14ac:dyDescent="0.35">
      <c r="A2128" s="2">
        <f ca="1">IFERROR(__xludf.DUMMYFUNCTION("""COMPUTED_VALUE"""),45091.6666666666)</f>
        <v>45091.666666666599</v>
      </c>
      <c r="B2128" s="1">
        <f ca="1">IFERROR(__xludf.DUMMYFUNCTION("""COMPUTED_VALUE"""),260.17)</f>
        <v>260.17</v>
      </c>
      <c r="C2128" s="1">
        <f ca="1">IFERROR(__xludf.DUMMYFUNCTION("""COMPUTED_VALUE"""),261.57)</f>
        <v>261.57</v>
      </c>
      <c r="D2128" s="1">
        <f ca="1">IFERROR(__xludf.DUMMYFUNCTION("""COMPUTED_VALUE"""),250.5)</f>
        <v>250.5</v>
      </c>
      <c r="E2128" s="1">
        <f ca="1">IFERROR(__xludf.DUMMYFUNCTION("""COMPUTED_VALUE"""),256.79)</f>
        <v>256.79000000000002</v>
      </c>
      <c r="F2128" s="1">
        <f ca="1">IFERROR(__xludf.DUMMYFUNCTION("""COMPUTED_VALUE"""),170575536)</f>
        <v>170575536</v>
      </c>
    </row>
    <row r="2129" spans="1:6" x14ac:dyDescent="0.35">
      <c r="A2129" s="2">
        <f ca="1">IFERROR(__xludf.DUMMYFUNCTION("""COMPUTED_VALUE"""),45092.6666666666)</f>
        <v>45092.666666666599</v>
      </c>
      <c r="B2129" s="1">
        <f ca="1">IFERROR(__xludf.DUMMYFUNCTION("""COMPUTED_VALUE"""),248.4)</f>
        <v>248.4</v>
      </c>
      <c r="C2129" s="1">
        <f ca="1">IFERROR(__xludf.DUMMYFUNCTION("""COMPUTED_VALUE"""),258.95)</f>
        <v>258.95</v>
      </c>
      <c r="D2129" s="1">
        <f ca="1">IFERROR(__xludf.DUMMYFUNCTION("""COMPUTED_VALUE"""),247.29)</f>
        <v>247.29</v>
      </c>
      <c r="E2129" s="1">
        <f ca="1">IFERROR(__xludf.DUMMYFUNCTION("""COMPUTED_VALUE"""),255.9)</f>
        <v>255.9</v>
      </c>
      <c r="F2129" s="1">
        <f ca="1">IFERROR(__xludf.DUMMYFUNCTION("""COMPUTED_VALUE"""),160171238)</f>
        <v>160171238</v>
      </c>
    </row>
    <row r="2130" spans="1:6" x14ac:dyDescent="0.35">
      <c r="A2130" s="2">
        <f ca="1">IFERROR(__xludf.DUMMYFUNCTION("""COMPUTED_VALUE"""),45093.6666666666)</f>
        <v>45093.666666666599</v>
      </c>
      <c r="B2130" s="1">
        <f ca="1">IFERROR(__xludf.DUMMYFUNCTION("""COMPUTED_VALUE"""),258.92)</f>
        <v>258.92</v>
      </c>
      <c r="C2130" s="1">
        <f ca="1">IFERROR(__xludf.DUMMYFUNCTION("""COMPUTED_VALUE"""),263.6)</f>
        <v>263.60000000000002</v>
      </c>
      <c r="D2130" s="1">
        <f ca="1">IFERROR(__xludf.DUMMYFUNCTION("""COMPUTED_VALUE"""),257.21)</f>
        <v>257.20999999999998</v>
      </c>
      <c r="E2130" s="1">
        <f ca="1">IFERROR(__xludf.DUMMYFUNCTION("""COMPUTED_VALUE"""),260.54)</f>
        <v>260.54000000000002</v>
      </c>
      <c r="F2130" s="1">
        <f ca="1">IFERROR(__xludf.DUMMYFUNCTION("""COMPUTED_VALUE"""),167915649)</f>
        <v>167915649</v>
      </c>
    </row>
    <row r="2131" spans="1:6" x14ac:dyDescent="0.35">
      <c r="A2131" s="2">
        <f ca="1">IFERROR(__xludf.DUMMYFUNCTION("""COMPUTED_VALUE"""),45097.6666666666)</f>
        <v>45097.666666666599</v>
      </c>
      <c r="B2131" s="1">
        <f ca="1">IFERROR(__xludf.DUMMYFUNCTION("""COMPUTED_VALUE"""),261.5)</f>
        <v>261.5</v>
      </c>
      <c r="C2131" s="1">
        <f ca="1">IFERROR(__xludf.DUMMYFUNCTION("""COMPUTED_VALUE"""),274.75)</f>
        <v>274.75</v>
      </c>
      <c r="D2131" s="1">
        <f ca="1">IFERROR(__xludf.DUMMYFUNCTION("""COMPUTED_VALUE"""),261.12)</f>
        <v>261.12</v>
      </c>
      <c r="E2131" s="1">
        <f ca="1">IFERROR(__xludf.DUMMYFUNCTION("""COMPUTED_VALUE"""),274.45)</f>
        <v>274.45</v>
      </c>
      <c r="F2131" s="1">
        <f ca="1">IFERROR(__xludf.DUMMYFUNCTION("""COMPUTED_VALUE"""),165611217)</f>
        <v>165611217</v>
      </c>
    </row>
    <row r="2132" spans="1:6" x14ac:dyDescent="0.35">
      <c r="A2132" s="2">
        <f ca="1">IFERROR(__xludf.DUMMYFUNCTION("""COMPUTED_VALUE"""),45098.6666666666)</f>
        <v>45098.666666666599</v>
      </c>
      <c r="B2132" s="1">
        <f ca="1">IFERROR(__xludf.DUMMYFUNCTION("""COMPUTED_VALUE"""),275.13)</f>
        <v>275.13</v>
      </c>
      <c r="C2132" s="1">
        <f ca="1">IFERROR(__xludf.DUMMYFUNCTION("""COMPUTED_VALUE"""),276.99)</f>
        <v>276.99</v>
      </c>
      <c r="D2132" s="1">
        <f ca="1">IFERROR(__xludf.DUMMYFUNCTION("""COMPUTED_VALUE"""),257.78)</f>
        <v>257.77999999999997</v>
      </c>
      <c r="E2132" s="1">
        <f ca="1">IFERROR(__xludf.DUMMYFUNCTION("""COMPUTED_VALUE"""),259.46)</f>
        <v>259.45999999999998</v>
      </c>
      <c r="F2132" s="1">
        <f ca="1">IFERROR(__xludf.DUMMYFUNCTION("""COMPUTED_VALUE"""),211797109)</f>
        <v>211797109</v>
      </c>
    </row>
    <row r="2133" spans="1:6" x14ac:dyDescent="0.35">
      <c r="A2133" s="2">
        <f ca="1">IFERROR(__xludf.DUMMYFUNCTION("""COMPUTED_VALUE"""),45099.6666666666)</f>
        <v>45099.666666666599</v>
      </c>
      <c r="B2133" s="1">
        <f ca="1">IFERROR(__xludf.DUMMYFUNCTION("""COMPUTED_VALUE"""),250.77)</f>
        <v>250.77</v>
      </c>
      <c r="C2133" s="1">
        <f ca="1">IFERROR(__xludf.DUMMYFUNCTION("""COMPUTED_VALUE"""),265)</f>
        <v>265</v>
      </c>
      <c r="D2133" s="1">
        <f ca="1">IFERROR(__xludf.DUMMYFUNCTION("""COMPUTED_VALUE"""),248.25)</f>
        <v>248.25</v>
      </c>
      <c r="E2133" s="1">
        <f ca="1">IFERROR(__xludf.DUMMYFUNCTION("""COMPUTED_VALUE"""),264.61)</f>
        <v>264.61</v>
      </c>
      <c r="F2133" s="1">
        <f ca="1">IFERROR(__xludf.DUMMYFUNCTION("""COMPUTED_VALUE"""),166875944)</f>
        <v>166875944</v>
      </c>
    </row>
    <row r="2134" spans="1:6" x14ac:dyDescent="0.35">
      <c r="A2134" s="2">
        <f ca="1">IFERROR(__xludf.DUMMYFUNCTION("""COMPUTED_VALUE"""),45100.6666666666)</f>
        <v>45100.666666666599</v>
      </c>
      <c r="B2134" s="1">
        <f ca="1">IFERROR(__xludf.DUMMYFUNCTION("""COMPUTED_VALUE"""),259.29)</f>
        <v>259.29000000000002</v>
      </c>
      <c r="C2134" s="1">
        <f ca="1">IFERROR(__xludf.DUMMYFUNCTION("""COMPUTED_VALUE"""),262.45)</f>
        <v>262.45</v>
      </c>
      <c r="D2134" s="1">
        <f ca="1">IFERROR(__xludf.DUMMYFUNCTION("""COMPUTED_VALUE"""),252.8)</f>
        <v>252.8</v>
      </c>
      <c r="E2134" s="1">
        <f ca="1">IFERROR(__xludf.DUMMYFUNCTION("""COMPUTED_VALUE"""),256.6)</f>
        <v>256.60000000000002</v>
      </c>
      <c r="F2134" s="1">
        <f ca="1">IFERROR(__xludf.DUMMYFUNCTION("""COMPUTED_VALUE"""),177460803)</f>
        <v>177460803</v>
      </c>
    </row>
    <row r="2135" spans="1:6" x14ac:dyDescent="0.35">
      <c r="A2135" s="2">
        <f ca="1">IFERROR(__xludf.DUMMYFUNCTION("""COMPUTED_VALUE"""),45103.6666666666)</f>
        <v>45103.666666666599</v>
      </c>
      <c r="B2135" s="1">
        <f ca="1">IFERROR(__xludf.DUMMYFUNCTION("""COMPUTED_VALUE"""),250.07)</f>
        <v>250.07</v>
      </c>
      <c r="C2135" s="1">
        <f ca="1">IFERROR(__xludf.DUMMYFUNCTION("""COMPUTED_VALUE"""),258.37)</f>
        <v>258.37</v>
      </c>
      <c r="D2135" s="1">
        <f ca="1">IFERROR(__xludf.DUMMYFUNCTION("""COMPUTED_VALUE"""),240.7)</f>
        <v>240.7</v>
      </c>
      <c r="E2135" s="1">
        <f ca="1">IFERROR(__xludf.DUMMYFUNCTION("""COMPUTED_VALUE"""),241.05)</f>
        <v>241.05</v>
      </c>
      <c r="F2135" s="1">
        <f ca="1">IFERROR(__xludf.DUMMYFUNCTION("""COMPUTED_VALUE"""),179990552)</f>
        <v>179990552</v>
      </c>
    </row>
    <row r="2136" spans="1:6" x14ac:dyDescent="0.35">
      <c r="A2136" s="2">
        <f ca="1">IFERROR(__xludf.DUMMYFUNCTION("""COMPUTED_VALUE"""),45104.6666666666)</f>
        <v>45104.666666666599</v>
      </c>
      <c r="B2136" s="1">
        <f ca="1">IFERROR(__xludf.DUMMYFUNCTION("""COMPUTED_VALUE"""),243.24)</f>
        <v>243.24</v>
      </c>
      <c r="C2136" s="1">
        <f ca="1">IFERROR(__xludf.DUMMYFUNCTION("""COMPUTED_VALUE"""),250.39)</f>
        <v>250.39</v>
      </c>
      <c r="D2136" s="1">
        <f ca="1">IFERROR(__xludf.DUMMYFUNCTION("""COMPUTED_VALUE"""),240.85)</f>
        <v>240.85</v>
      </c>
      <c r="E2136" s="1">
        <f ca="1">IFERROR(__xludf.DUMMYFUNCTION("""COMPUTED_VALUE"""),250.21)</f>
        <v>250.21</v>
      </c>
      <c r="F2136" s="1">
        <f ca="1">IFERROR(__xludf.DUMMYFUNCTION("""COMPUTED_VALUE"""),164968214)</f>
        <v>164968214</v>
      </c>
    </row>
    <row r="2137" spans="1:6" x14ac:dyDescent="0.35">
      <c r="A2137" s="2">
        <f ca="1">IFERROR(__xludf.DUMMYFUNCTION("""COMPUTED_VALUE"""),45105.6666666666)</f>
        <v>45105.666666666599</v>
      </c>
      <c r="B2137" s="1">
        <f ca="1">IFERROR(__xludf.DUMMYFUNCTION("""COMPUTED_VALUE"""),249.7)</f>
        <v>249.7</v>
      </c>
      <c r="C2137" s="1">
        <f ca="1">IFERROR(__xludf.DUMMYFUNCTION("""COMPUTED_VALUE"""),259.88)</f>
        <v>259.88</v>
      </c>
      <c r="D2137" s="1">
        <f ca="1">IFERROR(__xludf.DUMMYFUNCTION("""COMPUTED_VALUE"""),248.89)</f>
        <v>248.89</v>
      </c>
      <c r="E2137" s="1">
        <f ca="1">IFERROR(__xludf.DUMMYFUNCTION("""COMPUTED_VALUE"""),256.24)</f>
        <v>256.24</v>
      </c>
      <c r="F2137" s="1">
        <f ca="1">IFERROR(__xludf.DUMMYFUNCTION("""COMPUTED_VALUE"""),159770797)</f>
        <v>159770797</v>
      </c>
    </row>
    <row r="2138" spans="1:6" x14ac:dyDescent="0.35">
      <c r="A2138" s="2">
        <f ca="1">IFERROR(__xludf.DUMMYFUNCTION("""COMPUTED_VALUE"""),45106.6666666666)</f>
        <v>45106.666666666599</v>
      </c>
      <c r="B2138" s="1">
        <f ca="1">IFERROR(__xludf.DUMMYFUNCTION("""COMPUTED_VALUE"""),258.03)</f>
        <v>258.02999999999997</v>
      </c>
      <c r="C2138" s="1">
        <f ca="1">IFERROR(__xludf.DUMMYFUNCTION("""COMPUTED_VALUE"""),260.74)</f>
        <v>260.74</v>
      </c>
      <c r="D2138" s="1">
        <f ca="1">IFERROR(__xludf.DUMMYFUNCTION("""COMPUTED_VALUE"""),253.61)</f>
        <v>253.61</v>
      </c>
      <c r="E2138" s="1">
        <f ca="1">IFERROR(__xludf.DUMMYFUNCTION("""COMPUTED_VALUE"""),257.5)</f>
        <v>257.5</v>
      </c>
      <c r="F2138" s="1">
        <f ca="1">IFERROR(__xludf.DUMMYFUNCTION("""COMPUTED_VALUE"""),131283360)</f>
        <v>131283360</v>
      </c>
    </row>
    <row r="2139" spans="1:6" x14ac:dyDescent="0.35">
      <c r="A2139" s="2">
        <f ca="1">IFERROR(__xludf.DUMMYFUNCTION("""COMPUTED_VALUE"""),45107.6666666666)</f>
        <v>45107.666666666599</v>
      </c>
      <c r="B2139" s="1">
        <f ca="1">IFERROR(__xludf.DUMMYFUNCTION("""COMPUTED_VALUE"""),260.6)</f>
        <v>260.60000000000002</v>
      </c>
      <c r="C2139" s="1">
        <f ca="1">IFERROR(__xludf.DUMMYFUNCTION("""COMPUTED_VALUE"""),264.45)</f>
        <v>264.45</v>
      </c>
      <c r="D2139" s="1">
        <f ca="1">IFERROR(__xludf.DUMMYFUNCTION("""COMPUTED_VALUE"""),259.89)</f>
        <v>259.89</v>
      </c>
      <c r="E2139" s="1">
        <f ca="1">IFERROR(__xludf.DUMMYFUNCTION("""COMPUTED_VALUE"""),261.77)</f>
        <v>261.77</v>
      </c>
      <c r="F2139" s="1">
        <f ca="1">IFERROR(__xludf.DUMMYFUNCTION("""COMPUTED_VALUE"""),112620784)</f>
        <v>112620784</v>
      </c>
    </row>
    <row r="2140" spans="1:6" x14ac:dyDescent="0.35">
      <c r="A2140" s="2">
        <f ca="1">IFERROR(__xludf.DUMMYFUNCTION("""COMPUTED_VALUE"""),45110.5451388888)</f>
        <v>45110.545138888803</v>
      </c>
      <c r="B2140" s="1">
        <f ca="1">IFERROR(__xludf.DUMMYFUNCTION("""COMPUTED_VALUE"""),276.49)</f>
        <v>276.49</v>
      </c>
      <c r="C2140" s="1">
        <f ca="1">IFERROR(__xludf.DUMMYFUNCTION("""COMPUTED_VALUE"""),284.25)</f>
        <v>284.25</v>
      </c>
      <c r="D2140" s="1">
        <f ca="1">IFERROR(__xludf.DUMMYFUNCTION("""COMPUTED_VALUE"""),275.11)</f>
        <v>275.11</v>
      </c>
      <c r="E2140" s="1">
        <f ca="1">IFERROR(__xludf.DUMMYFUNCTION("""COMPUTED_VALUE"""),279.82)</f>
        <v>279.82</v>
      </c>
      <c r="F2140" s="1">
        <f ca="1">IFERROR(__xludf.DUMMYFUNCTION("""COMPUTED_VALUE"""),119685891)</f>
        <v>119685891</v>
      </c>
    </row>
    <row r="2141" spans="1:6" x14ac:dyDescent="0.35">
      <c r="A2141" s="2">
        <f ca="1">IFERROR(__xludf.DUMMYFUNCTION("""COMPUTED_VALUE"""),45112.6666666666)</f>
        <v>45112.666666666599</v>
      </c>
      <c r="B2141" s="1">
        <f ca="1">IFERROR(__xludf.DUMMYFUNCTION("""COMPUTED_VALUE"""),278.82)</f>
        <v>278.82</v>
      </c>
      <c r="C2141" s="1">
        <f ca="1">IFERROR(__xludf.DUMMYFUNCTION("""COMPUTED_VALUE"""),283.85)</f>
        <v>283.85000000000002</v>
      </c>
      <c r="D2141" s="1">
        <f ca="1">IFERROR(__xludf.DUMMYFUNCTION("""COMPUTED_VALUE"""),277.6)</f>
        <v>277.60000000000002</v>
      </c>
      <c r="E2141" s="1">
        <f ca="1">IFERROR(__xludf.DUMMYFUNCTION("""COMPUTED_VALUE"""),282.48)</f>
        <v>282.48</v>
      </c>
      <c r="F2141" s="1">
        <f ca="1">IFERROR(__xludf.DUMMYFUNCTION("""COMPUTED_VALUE"""),131530862)</f>
        <v>131530862</v>
      </c>
    </row>
    <row r="2142" spans="1:6" x14ac:dyDescent="0.35">
      <c r="A2142" s="2">
        <f ca="1">IFERROR(__xludf.DUMMYFUNCTION("""COMPUTED_VALUE"""),45113.6666666666)</f>
        <v>45113.666666666599</v>
      </c>
      <c r="B2142" s="1">
        <f ca="1">IFERROR(__xludf.DUMMYFUNCTION("""COMPUTED_VALUE"""),278.09)</f>
        <v>278.08999999999997</v>
      </c>
      <c r="C2142" s="1">
        <f ca="1">IFERROR(__xludf.DUMMYFUNCTION("""COMPUTED_VALUE"""),279.97)</f>
        <v>279.97000000000003</v>
      </c>
      <c r="D2142" s="1">
        <f ca="1">IFERROR(__xludf.DUMMYFUNCTION("""COMPUTED_VALUE"""),272.88)</f>
        <v>272.88</v>
      </c>
      <c r="E2142" s="1">
        <f ca="1">IFERROR(__xludf.DUMMYFUNCTION("""COMPUTED_VALUE"""),276.54)</f>
        <v>276.54000000000002</v>
      </c>
      <c r="F2142" s="1">
        <f ca="1">IFERROR(__xludf.DUMMYFUNCTION("""COMPUTED_VALUE"""),120707419)</f>
        <v>120707419</v>
      </c>
    </row>
    <row r="2143" spans="1:6" x14ac:dyDescent="0.35">
      <c r="A2143" s="2">
        <f ca="1">IFERROR(__xludf.DUMMYFUNCTION("""COMPUTED_VALUE"""),45114.6666666666)</f>
        <v>45114.666666666599</v>
      </c>
      <c r="B2143" s="1">
        <f ca="1">IFERROR(__xludf.DUMMYFUNCTION("""COMPUTED_VALUE"""),278.43)</f>
        <v>278.43</v>
      </c>
      <c r="C2143" s="1">
        <f ca="1">IFERROR(__xludf.DUMMYFUNCTION("""COMPUTED_VALUE"""),280.78)</f>
        <v>280.77999999999997</v>
      </c>
      <c r="D2143" s="1">
        <f ca="1">IFERROR(__xludf.DUMMYFUNCTION("""COMPUTED_VALUE"""),273.77)</f>
        <v>273.77</v>
      </c>
      <c r="E2143" s="1">
        <f ca="1">IFERROR(__xludf.DUMMYFUNCTION("""COMPUTED_VALUE"""),274.43)</f>
        <v>274.43</v>
      </c>
      <c r="F2143" s="1">
        <f ca="1">IFERROR(__xludf.DUMMYFUNCTION("""COMPUTED_VALUE"""),113879174)</f>
        <v>113879174</v>
      </c>
    </row>
    <row r="2144" spans="1:6" x14ac:dyDescent="0.35">
      <c r="A2144" s="2">
        <f ca="1">IFERROR(__xludf.DUMMYFUNCTION("""COMPUTED_VALUE"""),45117.6666666666)</f>
        <v>45117.666666666599</v>
      </c>
      <c r="B2144" s="1">
        <f ca="1">IFERROR(__xludf.DUMMYFUNCTION("""COMPUTED_VALUE"""),276.47)</f>
        <v>276.47000000000003</v>
      </c>
      <c r="C2144" s="1">
        <f ca="1">IFERROR(__xludf.DUMMYFUNCTION("""COMPUTED_VALUE"""),277.52)</f>
        <v>277.52</v>
      </c>
      <c r="D2144" s="1">
        <f ca="1">IFERROR(__xludf.DUMMYFUNCTION("""COMPUTED_VALUE"""),265.1)</f>
        <v>265.10000000000002</v>
      </c>
      <c r="E2144" s="1">
        <f ca="1">IFERROR(__xludf.DUMMYFUNCTION("""COMPUTED_VALUE"""),269.61)</f>
        <v>269.61</v>
      </c>
      <c r="F2144" s="1">
        <f ca="1">IFERROR(__xludf.DUMMYFUNCTION("""COMPUTED_VALUE"""),119425405)</f>
        <v>119425405</v>
      </c>
    </row>
    <row r="2145" spans="1:6" x14ac:dyDescent="0.35">
      <c r="A2145" s="2">
        <f ca="1">IFERROR(__xludf.DUMMYFUNCTION("""COMPUTED_VALUE"""),45118.6666666666)</f>
        <v>45118.666666666599</v>
      </c>
      <c r="B2145" s="1">
        <f ca="1">IFERROR(__xludf.DUMMYFUNCTION("""COMPUTED_VALUE"""),268.65)</f>
        <v>268.64999999999998</v>
      </c>
      <c r="C2145" s="1">
        <f ca="1">IFERROR(__xludf.DUMMYFUNCTION("""COMPUTED_VALUE"""),270.9)</f>
        <v>270.89999999999998</v>
      </c>
      <c r="D2145" s="1">
        <f ca="1">IFERROR(__xludf.DUMMYFUNCTION("""COMPUTED_VALUE"""),266.37)</f>
        <v>266.37</v>
      </c>
      <c r="E2145" s="1">
        <f ca="1">IFERROR(__xludf.DUMMYFUNCTION("""COMPUTED_VALUE"""),269.79)</f>
        <v>269.79000000000002</v>
      </c>
      <c r="F2145" s="1">
        <f ca="1">IFERROR(__xludf.DUMMYFUNCTION("""COMPUTED_VALUE"""),91972358)</f>
        <v>91972358</v>
      </c>
    </row>
    <row r="2146" spans="1:6" x14ac:dyDescent="0.35">
      <c r="A2146" s="2">
        <f ca="1">IFERROR(__xludf.DUMMYFUNCTION("""COMPUTED_VALUE"""),45119.6666666666)</f>
        <v>45119.666666666599</v>
      </c>
      <c r="B2146" s="1">
        <f ca="1">IFERROR(__xludf.DUMMYFUNCTION("""COMPUTED_VALUE"""),276.33)</f>
        <v>276.33</v>
      </c>
      <c r="C2146" s="1">
        <f ca="1">IFERROR(__xludf.DUMMYFUNCTION("""COMPUTED_VALUE"""),276.52)</f>
        <v>276.52</v>
      </c>
      <c r="D2146" s="1">
        <f ca="1">IFERROR(__xludf.DUMMYFUNCTION("""COMPUTED_VALUE"""),271.46)</f>
        <v>271.45999999999998</v>
      </c>
      <c r="E2146" s="1">
        <f ca="1">IFERROR(__xludf.DUMMYFUNCTION("""COMPUTED_VALUE"""),271.99)</f>
        <v>271.99</v>
      </c>
      <c r="F2146" s="1">
        <f ca="1">IFERROR(__xludf.DUMMYFUNCTION("""COMPUTED_VALUE"""),95672139)</f>
        <v>95672139</v>
      </c>
    </row>
    <row r="2147" spans="1:6" x14ac:dyDescent="0.35">
      <c r="A2147" s="2">
        <f ca="1">IFERROR(__xludf.DUMMYFUNCTION("""COMPUTED_VALUE"""),45120.6666666666)</f>
        <v>45120.666666666599</v>
      </c>
      <c r="B2147" s="1">
        <f ca="1">IFERROR(__xludf.DUMMYFUNCTION("""COMPUTED_VALUE"""),274.59)</f>
        <v>274.58999999999997</v>
      </c>
      <c r="C2147" s="1">
        <f ca="1">IFERROR(__xludf.DUMMYFUNCTION("""COMPUTED_VALUE"""),279.45)</f>
        <v>279.45</v>
      </c>
      <c r="D2147" s="1">
        <f ca="1">IFERROR(__xludf.DUMMYFUNCTION("""COMPUTED_VALUE"""),270.6)</f>
        <v>270.60000000000002</v>
      </c>
      <c r="E2147" s="1">
        <f ca="1">IFERROR(__xludf.DUMMYFUNCTION("""COMPUTED_VALUE"""),277.9)</f>
        <v>277.89999999999998</v>
      </c>
      <c r="F2147" s="1">
        <f ca="1">IFERROR(__xludf.DUMMYFUNCTION("""COMPUTED_VALUE"""),112681458)</f>
        <v>112681458</v>
      </c>
    </row>
    <row r="2148" spans="1:6" x14ac:dyDescent="0.35">
      <c r="A2148" s="2">
        <f ca="1">IFERROR(__xludf.DUMMYFUNCTION("""COMPUTED_VALUE"""),45121.6666666666)</f>
        <v>45121.666666666599</v>
      </c>
      <c r="B2148" s="1">
        <f ca="1">IFERROR(__xludf.DUMMYFUNCTION("""COMPUTED_VALUE"""),277.01)</f>
        <v>277.01</v>
      </c>
      <c r="C2148" s="1">
        <f ca="1">IFERROR(__xludf.DUMMYFUNCTION("""COMPUTED_VALUE"""),285.3)</f>
        <v>285.3</v>
      </c>
      <c r="D2148" s="1">
        <f ca="1">IFERROR(__xludf.DUMMYFUNCTION("""COMPUTED_VALUE"""),276.31)</f>
        <v>276.31</v>
      </c>
      <c r="E2148" s="1">
        <f ca="1">IFERROR(__xludf.DUMMYFUNCTION("""COMPUTED_VALUE"""),281.38)</f>
        <v>281.38</v>
      </c>
      <c r="F2148" s="1">
        <f ca="1">IFERROR(__xludf.DUMMYFUNCTION("""COMPUTED_VALUE"""),120062369)</f>
        <v>120062369</v>
      </c>
    </row>
    <row r="2149" spans="1:6" x14ac:dyDescent="0.35">
      <c r="A2149" s="2">
        <f ca="1">IFERROR(__xludf.DUMMYFUNCTION("""COMPUTED_VALUE"""),45124.6666666666)</f>
        <v>45124.666666666599</v>
      </c>
      <c r="B2149" s="1">
        <f ca="1">IFERROR(__xludf.DUMMYFUNCTION("""COMPUTED_VALUE"""),286.63)</f>
        <v>286.63</v>
      </c>
      <c r="C2149" s="1">
        <f ca="1">IFERROR(__xludf.DUMMYFUNCTION("""COMPUTED_VALUE"""),292.23)</f>
        <v>292.23</v>
      </c>
      <c r="D2149" s="1">
        <f ca="1">IFERROR(__xludf.DUMMYFUNCTION("""COMPUTED_VALUE"""),283.57)</f>
        <v>283.57</v>
      </c>
      <c r="E2149" s="1">
        <f ca="1">IFERROR(__xludf.DUMMYFUNCTION("""COMPUTED_VALUE"""),290.38)</f>
        <v>290.38</v>
      </c>
      <c r="F2149" s="1">
        <f ca="1">IFERROR(__xludf.DUMMYFUNCTION("""COMPUTED_VALUE"""),131569593)</f>
        <v>131569593</v>
      </c>
    </row>
    <row r="2150" spans="1:6" x14ac:dyDescent="0.35">
      <c r="A2150" s="2">
        <f ca="1">IFERROR(__xludf.DUMMYFUNCTION("""COMPUTED_VALUE"""),45125.6666666666)</f>
        <v>45125.666666666599</v>
      </c>
      <c r="B2150" s="1">
        <f ca="1">IFERROR(__xludf.DUMMYFUNCTION("""COMPUTED_VALUE"""),290.15)</f>
        <v>290.14999999999998</v>
      </c>
      <c r="C2150" s="1">
        <f ca="1">IFERROR(__xludf.DUMMYFUNCTION("""COMPUTED_VALUE"""),295.26)</f>
        <v>295.26</v>
      </c>
      <c r="D2150" s="1">
        <f ca="1">IFERROR(__xludf.DUMMYFUNCTION("""COMPUTED_VALUE"""),286.01)</f>
        <v>286.01</v>
      </c>
      <c r="E2150" s="1">
        <f ca="1">IFERROR(__xludf.DUMMYFUNCTION("""COMPUTED_VALUE"""),293.34)</f>
        <v>293.33999999999997</v>
      </c>
      <c r="F2150" s="1">
        <f ca="1">IFERROR(__xludf.DUMMYFUNCTION("""COMPUTED_VALUE"""),112434713)</f>
        <v>112434713</v>
      </c>
    </row>
    <row r="2151" spans="1:6" x14ac:dyDescent="0.35">
      <c r="A2151" s="2">
        <f ca="1">IFERROR(__xludf.DUMMYFUNCTION("""COMPUTED_VALUE"""),45126.6666666666)</f>
        <v>45126.666666666599</v>
      </c>
      <c r="B2151" s="1">
        <f ca="1">IFERROR(__xludf.DUMMYFUNCTION("""COMPUTED_VALUE"""),296.04)</f>
        <v>296.04000000000002</v>
      </c>
      <c r="C2151" s="1">
        <f ca="1">IFERROR(__xludf.DUMMYFUNCTION("""COMPUTED_VALUE"""),299.29)</f>
        <v>299.29000000000002</v>
      </c>
      <c r="D2151" s="1">
        <f ca="1">IFERROR(__xludf.DUMMYFUNCTION("""COMPUTED_VALUE"""),289.52)</f>
        <v>289.52</v>
      </c>
      <c r="E2151" s="1">
        <f ca="1">IFERROR(__xludf.DUMMYFUNCTION("""COMPUTED_VALUE"""),291.26)</f>
        <v>291.26</v>
      </c>
      <c r="F2151" s="1">
        <f ca="1">IFERROR(__xludf.DUMMYFUNCTION("""COMPUTED_VALUE"""),142355353)</f>
        <v>142355353</v>
      </c>
    </row>
    <row r="2152" spans="1:6" x14ac:dyDescent="0.35">
      <c r="A2152" s="2">
        <f ca="1">IFERROR(__xludf.DUMMYFUNCTION("""COMPUTED_VALUE"""),45127.6666666666)</f>
        <v>45127.666666666599</v>
      </c>
      <c r="B2152" s="1">
        <f ca="1">IFERROR(__xludf.DUMMYFUNCTION("""COMPUTED_VALUE"""),279.56)</f>
        <v>279.56</v>
      </c>
      <c r="C2152" s="1">
        <f ca="1">IFERROR(__xludf.DUMMYFUNCTION("""COMPUTED_VALUE"""),280.93)</f>
        <v>280.93</v>
      </c>
      <c r="D2152" s="1">
        <f ca="1">IFERROR(__xludf.DUMMYFUNCTION("""COMPUTED_VALUE"""),261.2)</f>
        <v>261.2</v>
      </c>
      <c r="E2152" s="1">
        <f ca="1">IFERROR(__xludf.DUMMYFUNCTION("""COMPUTED_VALUE"""),262.9)</f>
        <v>262.89999999999998</v>
      </c>
      <c r="F2152" s="1">
        <f ca="1">IFERROR(__xludf.DUMMYFUNCTION("""COMPUTED_VALUE"""),175158273)</f>
        <v>175158273</v>
      </c>
    </row>
    <row r="2153" spans="1:6" x14ac:dyDescent="0.35">
      <c r="A2153" s="2">
        <f ca="1">IFERROR(__xludf.DUMMYFUNCTION("""COMPUTED_VALUE"""),45128.6666666666)</f>
        <v>45128.666666666599</v>
      </c>
      <c r="B2153" s="1">
        <f ca="1">IFERROR(__xludf.DUMMYFUNCTION("""COMPUTED_VALUE"""),268)</f>
        <v>268</v>
      </c>
      <c r="C2153" s="1">
        <f ca="1">IFERROR(__xludf.DUMMYFUNCTION("""COMPUTED_VALUE"""),268)</f>
        <v>268</v>
      </c>
      <c r="D2153" s="1">
        <f ca="1">IFERROR(__xludf.DUMMYFUNCTION("""COMPUTED_VALUE"""),255.8)</f>
        <v>255.8</v>
      </c>
      <c r="E2153" s="1">
        <f ca="1">IFERROR(__xludf.DUMMYFUNCTION("""COMPUTED_VALUE"""),260.02)</f>
        <v>260.02</v>
      </c>
      <c r="F2153" s="1">
        <f ca="1">IFERROR(__xludf.DUMMYFUNCTION("""COMPUTED_VALUE"""),161796073)</f>
        <v>161796073</v>
      </c>
    </row>
    <row r="2154" spans="1:6" x14ac:dyDescent="0.35">
      <c r="A2154" s="2">
        <f ca="1">IFERROR(__xludf.DUMMYFUNCTION("""COMPUTED_VALUE"""),45131.6666666666)</f>
        <v>45131.666666666599</v>
      </c>
      <c r="B2154" s="1">
        <f ca="1">IFERROR(__xludf.DUMMYFUNCTION("""COMPUTED_VALUE"""),255.85)</f>
        <v>255.85</v>
      </c>
      <c r="C2154" s="1">
        <f ca="1">IFERROR(__xludf.DUMMYFUNCTION("""COMPUTED_VALUE"""),269.85)</f>
        <v>269.85000000000002</v>
      </c>
      <c r="D2154" s="1">
        <f ca="1">IFERROR(__xludf.DUMMYFUNCTION("""COMPUTED_VALUE"""),254.12)</f>
        <v>254.12</v>
      </c>
      <c r="E2154" s="1">
        <f ca="1">IFERROR(__xludf.DUMMYFUNCTION("""COMPUTED_VALUE"""),269.06)</f>
        <v>269.06</v>
      </c>
      <c r="F2154" s="1">
        <f ca="1">IFERROR(__xludf.DUMMYFUNCTION("""COMPUTED_VALUE"""),137005037)</f>
        <v>137005037</v>
      </c>
    </row>
    <row r="2155" spans="1:6" x14ac:dyDescent="0.35">
      <c r="A2155" s="2">
        <f ca="1">IFERROR(__xludf.DUMMYFUNCTION("""COMPUTED_VALUE"""),45132.6666666666)</f>
        <v>45132.666666666599</v>
      </c>
      <c r="B2155" s="1">
        <f ca="1">IFERROR(__xludf.DUMMYFUNCTION("""COMPUTED_VALUE"""),272.38)</f>
        <v>272.38</v>
      </c>
      <c r="C2155" s="1">
        <f ca="1">IFERROR(__xludf.DUMMYFUNCTION("""COMPUTED_VALUE"""),272.9)</f>
        <v>272.89999999999998</v>
      </c>
      <c r="D2155" s="1">
        <f ca="1">IFERROR(__xludf.DUMMYFUNCTION("""COMPUTED_VALUE"""),265)</f>
        <v>265</v>
      </c>
      <c r="E2155" s="1">
        <f ca="1">IFERROR(__xludf.DUMMYFUNCTION("""COMPUTED_VALUE"""),265.28)</f>
        <v>265.27999999999997</v>
      </c>
      <c r="F2155" s="1">
        <f ca="1">IFERROR(__xludf.DUMMYFUNCTION("""COMPUTED_VALUE"""),112757327)</f>
        <v>112757327</v>
      </c>
    </row>
    <row r="2156" spans="1:6" x14ac:dyDescent="0.35">
      <c r="A2156" s="2">
        <f ca="1">IFERROR(__xludf.DUMMYFUNCTION("""COMPUTED_VALUE"""),45133.6666666666)</f>
        <v>45133.666666666599</v>
      </c>
      <c r="B2156" s="1">
        <f ca="1">IFERROR(__xludf.DUMMYFUNCTION("""COMPUTED_VALUE"""),263.25)</f>
        <v>263.25</v>
      </c>
      <c r="C2156" s="1">
        <f ca="1">IFERROR(__xludf.DUMMYFUNCTION("""COMPUTED_VALUE"""),268.04)</f>
        <v>268.04000000000002</v>
      </c>
      <c r="D2156" s="1">
        <f ca="1">IFERROR(__xludf.DUMMYFUNCTION("""COMPUTED_VALUE"""),261.75)</f>
        <v>261.75</v>
      </c>
      <c r="E2156" s="1">
        <f ca="1">IFERROR(__xludf.DUMMYFUNCTION("""COMPUTED_VALUE"""),264.35)</f>
        <v>264.35000000000002</v>
      </c>
      <c r="F2156" s="1">
        <f ca="1">IFERROR(__xludf.DUMMYFUNCTION("""COMPUTED_VALUE"""),95856177)</f>
        <v>95856177</v>
      </c>
    </row>
    <row r="2157" spans="1:6" x14ac:dyDescent="0.35">
      <c r="A2157" s="2">
        <f ca="1">IFERROR(__xludf.DUMMYFUNCTION("""COMPUTED_VALUE"""),45134.6666666666)</f>
        <v>45134.666666666599</v>
      </c>
      <c r="B2157" s="1">
        <f ca="1">IFERROR(__xludf.DUMMYFUNCTION("""COMPUTED_VALUE"""),268.31)</f>
        <v>268.31</v>
      </c>
      <c r="C2157" s="1">
        <f ca="1">IFERROR(__xludf.DUMMYFUNCTION("""COMPUTED_VALUE"""),269.13)</f>
        <v>269.13</v>
      </c>
      <c r="D2157" s="1">
        <f ca="1">IFERROR(__xludf.DUMMYFUNCTION("""COMPUTED_VALUE"""),255.3)</f>
        <v>255.3</v>
      </c>
      <c r="E2157" s="1">
        <f ca="1">IFERROR(__xludf.DUMMYFUNCTION("""COMPUTED_VALUE"""),255.71)</f>
        <v>255.71</v>
      </c>
      <c r="F2157" s="1">
        <f ca="1">IFERROR(__xludf.DUMMYFUNCTION("""COMPUTED_VALUE"""),103697263)</f>
        <v>103697263</v>
      </c>
    </row>
    <row r="2158" spans="1:6" x14ac:dyDescent="0.35">
      <c r="A2158" s="2">
        <f ca="1">IFERROR(__xludf.DUMMYFUNCTION("""COMPUTED_VALUE"""),45135.6666666666)</f>
        <v>45135.666666666599</v>
      </c>
      <c r="B2158" s="1">
        <f ca="1">IFERROR(__xludf.DUMMYFUNCTION("""COMPUTED_VALUE"""),259.86)</f>
        <v>259.86</v>
      </c>
      <c r="C2158" s="1">
        <f ca="1">IFERROR(__xludf.DUMMYFUNCTION("""COMPUTED_VALUE"""),267.25)</f>
        <v>267.25</v>
      </c>
      <c r="D2158" s="1">
        <f ca="1">IFERROR(__xludf.DUMMYFUNCTION("""COMPUTED_VALUE"""),258.23)</f>
        <v>258.23</v>
      </c>
      <c r="E2158" s="1">
        <f ca="1">IFERROR(__xludf.DUMMYFUNCTION("""COMPUTED_VALUE"""),266.44)</f>
        <v>266.44</v>
      </c>
      <c r="F2158" s="1">
        <f ca="1">IFERROR(__xludf.DUMMYFUNCTION("""COMPUTED_VALUE"""),111446026)</f>
        <v>111446026</v>
      </c>
    </row>
    <row r="2159" spans="1:6" x14ac:dyDescent="0.35">
      <c r="A2159" s="2">
        <f ca="1">IFERROR(__xludf.DUMMYFUNCTION("""COMPUTED_VALUE"""),45138.6666666666)</f>
        <v>45138.666666666599</v>
      </c>
      <c r="B2159" s="1">
        <f ca="1">IFERROR(__xludf.DUMMYFUNCTION("""COMPUTED_VALUE"""),267.48)</f>
        <v>267.48</v>
      </c>
      <c r="C2159" s="1">
        <f ca="1">IFERROR(__xludf.DUMMYFUNCTION("""COMPUTED_VALUE"""),269.08)</f>
        <v>269.08</v>
      </c>
      <c r="D2159" s="1">
        <f ca="1">IFERROR(__xludf.DUMMYFUNCTION("""COMPUTED_VALUE"""),263.78)</f>
        <v>263.77999999999997</v>
      </c>
      <c r="E2159" s="1">
        <f ca="1">IFERROR(__xludf.DUMMYFUNCTION("""COMPUTED_VALUE"""),267.43)</f>
        <v>267.43</v>
      </c>
      <c r="F2159" s="1">
        <f ca="1">IFERROR(__xludf.DUMMYFUNCTION("""COMPUTED_VALUE"""),84582172)</f>
        <v>84582172</v>
      </c>
    </row>
    <row r="2160" spans="1:6" x14ac:dyDescent="0.35">
      <c r="A2160" s="2">
        <f ca="1">IFERROR(__xludf.DUMMYFUNCTION("""COMPUTED_VALUE"""),45139.6666666666)</f>
        <v>45139.666666666599</v>
      </c>
      <c r="B2160" s="1">
        <f ca="1">IFERROR(__xludf.DUMMYFUNCTION("""COMPUTED_VALUE"""),266.26)</f>
        <v>266.26</v>
      </c>
      <c r="C2160" s="1">
        <f ca="1">IFERROR(__xludf.DUMMYFUNCTION("""COMPUTED_VALUE"""),266.47)</f>
        <v>266.47000000000003</v>
      </c>
      <c r="D2160" s="1">
        <f ca="1">IFERROR(__xludf.DUMMYFUNCTION("""COMPUTED_VALUE"""),260.25)</f>
        <v>260.25</v>
      </c>
      <c r="E2160" s="1">
        <f ca="1">IFERROR(__xludf.DUMMYFUNCTION("""COMPUTED_VALUE"""),261.07)</f>
        <v>261.07</v>
      </c>
      <c r="F2160" s="1">
        <f ca="1">IFERROR(__xludf.DUMMYFUNCTION("""COMPUTED_VALUE"""),83645720)</f>
        <v>83645720</v>
      </c>
    </row>
    <row r="2161" spans="1:6" x14ac:dyDescent="0.35">
      <c r="A2161" s="2">
        <f ca="1">IFERROR(__xludf.DUMMYFUNCTION("""COMPUTED_VALUE"""),45140.6666666666)</f>
        <v>45140.666666666599</v>
      </c>
      <c r="B2161" s="1">
        <f ca="1">IFERROR(__xludf.DUMMYFUNCTION("""COMPUTED_VALUE"""),255.57)</f>
        <v>255.57</v>
      </c>
      <c r="C2161" s="1">
        <f ca="1">IFERROR(__xludf.DUMMYFUNCTION("""COMPUTED_VALUE"""),259.52)</f>
        <v>259.52</v>
      </c>
      <c r="D2161" s="1">
        <f ca="1">IFERROR(__xludf.DUMMYFUNCTION("""COMPUTED_VALUE"""),250.49)</f>
        <v>250.49</v>
      </c>
      <c r="E2161" s="1">
        <f ca="1">IFERROR(__xludf.DUMMYFUNCTION("""COMPUTED_VALUE"""),254.11)</f>
        <v>254.11</v>
      </c>
      <c r="F2161" s="1">
        <f ca="1">IFERROR(__xludf.DUMMYFUNCTION("""COMPUTED_VALUE"""),101752865)</f>
        <v>101752865</v>
      </c>
    </row>
    <row r="2162" spans="1:6" x14ac:dyDescent="0.35">
      <c r="A2162" s="2">
        <f ca="1">IFERROR(__xludf.DUMMYFUNCTION("""COMPUTED_VALUE"""),45141.6666666666)</f>
        <v>45141.666666666599</v>
      </c>
      <c r="B2162" s="1">
        <f ca="1">IFERROR(__xludf.DUMMYFUNCTION("""COMPUTED_VALUE"""),252.04)</f>
        <v>252.04</v>
      </c>
      <c r="C2162" s="1">
        <f ca="1">IFERROR(__xludf.DUMMYFUNCTION("""COMPUTED_VALUE"""),260.49)</f>
        <v>260.49</v>
      </c>
      <c r="D2162" s="1">
        <f ca="1">IFERROR(__xludf.DUMMYFUNCTION("""COMPUTED_VALUE"""),252)</f>
        <v>252</v>
      </c>
      <c r="E2162" s="1">
        <f ca="1">IFERROR(__xludf.DUMMYFUNCTION("""COMPUTED_VALUE"""),259.32)</f>
        <v>259.32</v>
      </c>
      <c r="F2162" s="1">
        <f ca="1">IFERROR(__xludf.DUMMYFUNCTION("""COMPUTED_VALUE"""),97829545)</f>
        <v>97829545</v>
      </c>
    </row>
    <row r="2163" spans="1:6" x14ac:dyDescent="0.35">
      <c r="A2163" s="2">
        <f ca="1">IFERROR(__xludf.DUMMYFUNCTION("""COMPUTED_VALUE"""),45142.6666666666)</f>
        <v>45142.666666666599</v>
      </c>
      <c r="B2163" s="1">
        <f ca="1">IFERROR(__xludf.DUMMYFUNCTION("""COMPUTED_VALUE"""),260.97)</f>
        <v>260.97000000000003</v>
      </c>
      <c r="C2163" s="1">
        <f ca="1">IFERROR(__xludf.DUMMYFUNCTION("""COMPUTED_VALUE"""),264.77)</f>
        <v>264.77</v>
      </c>
      <c r="D2163" s="1">
        <f ca="1">IFERROR(__xludf.DUMMYFUNCTION("""COMPUTED_VALUE"""),253.11)</f>
        <v>253.11</v>
      </c>
      <c r="E2163" s="1">
        <f ca="1">IFERROR(__xludf.DUMMYFUNCTION("""COMPUTED_VALUE"""),253.86)</f>
        <v>253.86</v>
      </c>
      <c r="F2163" s="1">
        <f ca="1">IFERROR(__xludf.DUMMYFUNCTION("""COMPUTED_VALUE"""),99539907)</f>
        <v>99539907</v>
      </c>
    </row>
    <row r="2164" spans="1:6" x14ac:dyDescent="0.35">
      <c r="A2164" s="2">
        <f ca="1">IFERROR(__xludf.DUMMYFUNCTION("""COMPUTED_VALUE"""),45145.6666666666)</f>
        <v>45145.666666666599</v>
      </c>
      <c r="B2164" s="1">
        <f ca="1">IFERROR(__xludf.DUMMYFUNCTION("""COMPUTED_VALUE"""),251.45)</f>
        <v>251.45</v>
      </c>
      <c r="C2164" s="1">
        <f ca="1">IFERROR(__xludf.DUMMYFUNCTION("""COMPUTED_VALUE"""),253.65)</f>
        <v>253.65</v>
      </c>
      <c r="D2164" s="1">
        <f ca="1">IFERROR(__xludf.DUMMYFUNCTION("""COMPUTED_VALUE"""),242.76)</f>
        <v>242.76</v>
      </c>
      <c r="E2164" s="1">
        <f ca="1">IFERROR(__xludf.DUMMYFUNCTION("""COMPUTED_VALUE"""),251.45)</f>
        <v>251.45</v>
      </c>
      <c r="F2164" s="1">
        <f ca="1">IFERROR(__xludf.DUMMYFUNCTION("""COMPUTED_VALUE"""),111097943)</f>
        <v>111097943</v>
      </c>
    </row>
    <row r="2165" spans="1:6" x14ac:dyDescent="0.35">
      <c r="A2165" s="2">
        <f ca="1">IFERROR(__xludf.DUMMYFUNCTION("""COMPUTED_VALUE"""),45146.6666666666)</f>
        <v>45146.666666666599</v>
      </c>
      <c r="B2165" s="1">
        <f ca="1">IFERROR(__xludf.DUMMYFUNCTION("""COMPUTED_VALUE"""),247.45)</f>
        <v>247.45</v>
      </c>
      <c r="C2165" s="1">
        <f ca="1">IFERROR(__xludf.DUMMYFUNCTION("""COMPUTED_VALUE"""),250.92)</f>
        <v>250.92</v>
      </c>
      <c r="D2165" s="1">
        <f ca="1">IFERROR(__xludf.DUMMYFUNCTION("""COMPUTED_VALUE"""),245.01)</f>
        <v>245.01</v>
      </c>
      <c r="E2165" s="1">
        <f ca="1">IFERROR(__xludf.DUMMYFUNCTION("""COMPUTED_VALUE"""),249.7)</f>
        <v>249.7</v>
      </c>
      <c r="F2165" s="1">
        <f ca="1">IFERROR(__xludf.DUMMYFUNCTION("""COMPUTED_VALUE"""),96642183)</f>
        <v>96642183</v>
      </c>
    </row>
    <row r="2166" spans="1:6" x14ac:dyDescent="0.35">
      <c r="A2166" s="2">
        <f ca="1">IFERROR(__xludf.DUMMYFUNCTION("""COMPUTED_VALUE"""),45147.6666666666)</f>
        <v>45147.666666666599</v>
      </c>
      <c r="B2166" s="1">
        <f ca="1">IFERROR(__xludf.DUMMYFUNCTION("""COMPUTED_VALUE"""),250.87)</f>
        <v>250.87</v>
      </c>
      <c r="C2166" s="1">
        <f ca="1">IFERROR(__xludf.DUMMYFUNCTION("""COMPUTED_VALUE"""),251.1)</f>
        <v>251.1</v>
      </c>
      <c r="D2166" s="1">
        <f ca="1">IFERROR(__xludf.DUMMYFUNCTION("""COMPUTED_VALUE"""),241.9)</f>
        <v>241.9</v>
      </c>
      <c r="E2166" s="1">
        <f ca="1">IFERROR(__xludf.DUMMYFUNCTION("""COMPUTED_VALUE"""),242.19)</f>
        <v>242.19</v>
      </c>
      <c r="F2166" s="1">
        <f ca="1">IFERROR(__xludf.DUMMYFUNCTION("""COMPUTED_VALUE"""),101596324)</f>
        <v>101596324</v>
      </c>
    </row>
    <row r="2167" spans="1:6" x14ac:dyDescent="0.35">
      <c r="A2167" s="2">
        <f ca="1">IFERROR(__xludf.DUMMYFUNCTION("""COMPUTED_VALUE"""),45148.6666666666)</f>
        <v>45148.666666666599</v>
      </c>
      <c r="B2167" s="1">
        <f ca="1">IFERROR(__xludf.DUMMYFUNCTION("""COMPUTED_VALUE"""),245.4)</f>
        <v>245.4</v>
      </c>
      <c r="C2167" s="1">
        <f ca="1">IFERROR(__xludf.DUMMYFUNCTION("""COMPUTED_VALUE"""),251.8)</f>
        <v>251.8</v>
      </c>
      <c r="D2167" s="1">
        <f ca="1">IFERROR(__xludf.DUMMYFUNCTION("""COMPUTED_VALUE"""),243)</f>
        <v>243</v>
      </c>
      <c r="E2167" s="1">
        <f ca="1">IFERROR(__xludf.DUMMYFUNCTION("""COMPUTED_VALUE"""),245.34)</f>
        <v>245.34</v>
      </c>
      <c r="F2167" s="1">
        <f ca="1">IFERROR(__xludf.DUMMYFUNCTION("""COMPUTED_VALUE"""),109498608)</f>
        <v>109498608</v>
      </c>
    </row>
    <row r="2168" spans="1:6" x14ac:dyDescent="0.35">
      <c r="A2168" s="2">
        <f ca="1">IFERROR(__xludf.DUMMYFUNCTION("""COMPUTED_VALUE"""),45149.6666666666)</f>
        <v>45149.666666666599</v>
      </c>
      <c r="B2168" s="1">
        <f ca="1">IFERROR(__xludf.DUMMYFUNCTION("""COMPUTED_VALUE"""),241.77)</f>
        <v>241.77</v>
      </c>
      <c r="C2168" s="1">
        <f ca="1">IFERROR(__xludf.DUMMYFUNCTION("""COMPUTED_VALUE"""),243.79)</f>
        <v>243.79</v>
      </c>
      <c r="D2168" s="1">
        <f ca="1">IFERROR(__xludf.DUMMYFUNCTION("""COMPUTED_VALUE"""),238.02)</f>
        <v>238.02</v>
      </c>
      <c r="E2168" s="1">
        <f ca="1">IFERROR(__xludf.DUMMYFUNCTION("""COMPUTED_VALUE"""),242.65)</f>
        <v>242.65</v>
      </c>
      <c r="F2168" s="1">
        <f ca="1">IFERROR(__xludf.DUMMYFUNCTION("""COMPUTED_VALUE"""),99038642)</f>
        <v>99038642</v>
      </c>
    </row>
    <row r="2169" spans="1:6" x14ac:dyDescent="0.35">
      <c r="A2169" s="2">
        <f ca="1">IFERROR(__xludf.DUMMYFUNCTION("""COMPUTED_VALUE"""),45152.6666666666)</f>
        <v>45152.666666666599</v>
      </c>
      <c r="B2169" s="1">
        <f ca="1">IFERROR(__xludf.DUMMYFUNCTION("""COMPUTED_VALUE"""),235.7)</f>
        <v>235.7</v>
      </c>
      <c r="C2169" s="1">
        <f ca="1">IFERROR(__xludf.DUMMYFUNCTION("""COMPUTED_VALUE"""),240.66)</f>
        <v>240.66</v>
      </c>
      <c r="D2169" s="1">
        <f ca="1">IFERROR(__xludf.DUMMYFUNCTION("""COMPUTED_VALUE"""),233.75)</f>
        <v>233.75</v>
      </c>
      <c r="E2169" s="1">
        <f ca="1">IFERROR(__xludf.DUMMYFUNCTION("""COMPUTED_VALUE"""),239.76)</f>
        <v>239.76</v>
      </c>
      <c r="F2169" s="1">
        <f ca="1">IFERROR(__xludf.DUMMYFUNCTION("""COMPUTED_VALUE"""),98595331)</f>
        <v>98595331</v>
      </c>
    </row>
    <row r="2170" spans="1:6" x14ac:dyDescent="0.35">
      <c r="A2170" s="2">
        <f ca="1">IFERROR(__xludf.DUMMYFUNCTION("""COMPUTED_VALUE"""),45153.6666666666)</f>
        <v>45153.666666666599</v>
      </c>
      <c r="B2170" s="1">
        <f ca="1">IFERROR(__xludf.DUMMYFUNCTION("""COMPUTED_VALUE"""),238.73)</f>
        <v>238.73</v>
      </c>
      <c r="C2170" s="1">
        <f ca="1">IFERROR(__xludf.DUMMYFUNCTION("""COMPUTED_VALUE"""),240.5)</f>
        <v>240.5</v>
      </c>
      <c r="D2170" s="1">
        <f ca="1">IFERROR(__xludf.DUMMYFUNCTION("""COMPUTED_VALUE"""),232.61)</f>
        <v>232.61</v>
      </c>
      <c r="E2170" s="1">
        <f ca="1">IFERROR(__xludf.DUMMYFUNCTION("""COMPUTED_VALUE"""),232.96)</f>
        <v>232.96</v>
      </c>
      <c r="F2170" s="1">
        <f ca="1">IFERROR(__xludf.DUMMYFUNCTION("""COMPUTED_VALUE"""),88197599)</f>
        <v>88197599</v>
      </c>
    </row>
    <row r="2171" spans="1:6" x14ac:dyDescent="0.35">
      <c r="A2171" s="2">
        <f ca="1">IFERROR(__xludf.DUMMYFUNCTION("""COMPUTED_VALUE"""),45154.6666666666)</f>
        <v>45154.666666666599</v>
      </c>
      <c r="B2171" s="1">
        <f ca="1">IFERROR(__xludf.DUMMYFUNCTION("""COMPUTED_VALUE"""),228.02)</f>
        <v>228.02</v>
      </c>
      <c r="C2171" s="1">
        <f ca="1">IFERROR(__xludf.DUMMYFUNCTION("""COMPUTED_VALUE"""),233.97)</f>
        <v>233.97</v>
      </c>
      <c r="D2171" s="1">
        <f ca="1">IFERROR(__xludf.DUMMYFUNCTION("""COMPUTED_VALUE"""),225.38)</f>
        <v>225.38</v>
      </c>
      <c r="E2171" s="1">
        <f ca="1">IFERROR(__xludf.DUMMYFUNCTION("""COMPUTED_VALUE"""),225.6)</f>
        <v>225.6</v>
      </c>
      <c r="F2171" s="1">
        <f ca="1">IFERROR(__xludf.DUMMYFUNCTION("""COMPUTED_VALUE"""),112484520)</f>
        <v>112484520</v>
      </c>
    </row>
    <row r="2172" spans="1:6" x14ac:dyDescent="0.35">
      <c r="A2172" s="2">
        <f ca="1">IFERROR(__xludf.DUMMYFUNCTION("""COMPUTED_VALUE"""),45155.6666666666)</f>
        <v>45155.666666666599</v>
      </c>
      <c r="B2172" s="1">
        <f ca="1">IFERROR(__xludf.DUMMYFUNCTION("""COMPUTED_VALUE"""),226.06)</f>
        <v>226.06</v>
      </c>
      <c r="C2172" s="1">
        <f ca="1">IFERROR(__xludf.DUMMYFUNCTION("""COMPUTED_VALUE"""),226.74)</f>
        <v>226.74</v>
      </c>
      <c r="D2172" s="1">
        <f ca="1">IFERROR(__xludf.DUMMYFUNCTION("""COMPUTED_VALUE"""),218.83)</f>
        <v>218.83</v>
      </c>
      <c r="E2172" s="1">
        <f ca="1">IFERROR(__xludf.DUMMYFUNCTION("""COMPUTED_VALUE"""),219.22)</f>
        <v>219.22</v>
      </c>
      <c r="F2172" s="1">
        <f ca="1">IFERROR(__xludf.DUMMYFUNCTION("""COMPUTED_VALUE"""),120718417)</f>
        <v>120718417</v>
      </c>
    </row>
    <row r="2173" spans="1:6" x14ac:dyDescent="0.35">
      <c r="A2173" s="2">
        <f ca="1">IFERROR(__xludf.DUMMYFUNCTION("""COMPUTED_VALUE"""),45156.6666666666)</f>
        <v>45156.666666666599</v>
      </c>
      <c r="B2173" s="1">
        <f ca="1">IFERROR(__xludf.DUMMYFUNCTION("""COMPUTED_VALUE"""),214.12)</f>
        <v>214.12</v>
      </c>
      <c r="C2173" s="1">
        <f ca="1">IFERROR(__xludf.DUMMYFUNCTION("""COMPUTED_VALUE"""),217.58)</f>
        <v>217.58</v>
      </c>
      <c r="D2173" s="1">
        <f ca="1">IFERROR(__xludf.DUMMYFUNCTION("""COMPUTED_VALUE"""),212.36)</f>
        <v>212.36</v>
      </c>
      <c r="E2173" s="1">
        <f ca="1">IFERROR(__xludf.DUMMYFUNCTION("""COMPUTED_VALUE"""),215.49)</f>
        <v>215.49</v>
      </c>
      <c r="F2173" s="1">
        <f ca="1">IFERROR(__xludf.DUMMYFUNCTION("""COMPUTED_VALUE"""),136276584)</f>
        <v>136276584</v>
      </c>
    </row>
    <row r="2174" spans="1:6" x14ac:dyDescent="0.35">
      <c r="A2174" s="2">
        <f ca="1">IFERROR(__xludf.DUMMYFUNCTION("""COMPUTED_VALUE"""),45159.6666666666)</f>
        <v>45159.666666666599</v>
      </c>
      <c r="B2174" s="1">
        <f ca="1">IFERROR(__xludf.DUMMYFUNCTION("""COMPUTED_VALUE"""),221.55)</f>
        <v>221.55</v>
      </c>
      <c r="C2174" s="1">
        <f ca="1">IFERROR(__xludf.DUMMYFUNCTION("""COMPUTED_VALUE"""),232.13)</f>
        <v>232.13</v>
      </c>
      <c r="D2174" s="1">
        <f ca="1">IFERROR(__xludf.DUMMYFUNCTION("""COMPUTED_VALUE"""),220.58)</f>
        <v>220.58</v>
      </c>
      <c r="E2174" s="1">
        <f ca="1">IFERROR(__xludf.DUMMYFUNCTION("""COMPUTED_VALUE"""),231.28)</f>
        <v>231.28</v>
      </c>
      <c r="F2174" s="1">
        <f ca="1">IFERROR(__xludf.DUMMYFUNCTION("""COMPUTED_VALUE"""),135702671)</f>
        <v>135702671</v>
      </c>
    </row>
    <row r="2175" spans="1:6" x14ac:dyDescent="0.35">
      <c r="A2175" s="2">
        <f ca="1">IFERROR(__xludf.DUMMYFUNCTION("""COMPUTED_VALUE"""),45160.6666666666)</f>
        <v>45160.666666666599</v>
      </c>
      <c r="B2175" s="1">
        <f ca="1">IFERROR(__xludf.DUMMYFUNCTION("""COMPUTED_VALUE"""),240.25)</f>
        <v>240.25</v>
      </c>
      <c r="C2175" s="1">
        <f ca="1">IFERROR(__xludf.DUMMYFUNCTION("""COMPUTED_VALUE"""),240.82)</f>
        <v>240.82</v>
      </c>
      <c r="D2175" s="1">
        <f ca="1">IFERROR(__xludf.DUMMYFUNCTION("""COMPUTED_VALUE"""),229.55)</f>
        <v>229.55</v>
      </c>
      <c r="E2175" s="1">
        <f ca="1">IFERROR(__xludf.DUMMYFUNCTION("""COMPUTED_VALUE"""),233.19)</f>
        <v>233.19</v>
      </c>
      <c r="F2175" s="1">
        <f ca="1">IFERROR(__xludf.DUMMYFUNCTION("""COMPUTED_VALUE"""),130597886)</f>
        <v>130597886</v>
      </c>
    </row>
    <row r="2176" spans="1:6" x14ac:dyDescent="0.35">
      <c r="A2176" s="2">
        <f ca="1">IFERROR(__xludf.DUMMYFUNCTION("""COMPUTED_VALUE"""),45161.6666666666)</f>
        <v>45161.666666666599</v>
      </c>
      <c r="B2176" s="1">
        <f ca="1">IFERROR(__xludf.DUMMYFUNCTION("""COMPUTED_VALUE"""),229.34)</f>
        <v>229.34</v>
      </c>
      <c r="C2176" s="1">
        <f ca="1">IFERROR(__xludf.DUMMYFUNCTION("""COMPUTED_VALUE"""),238.98)</f>
        <v>238.98</v>
      </c>
      <c r="D2176" s="1">
        <f ca="1">IFERROR(__xludf.DUMMYFUNCTION("""COMPUTED_VALUE"""),229.29)</f>
        <v>229.29</v>
      </c>
      <c r="E2176" s="1">
        <f ca="1">IFERROR(__xludf.DUMMYFUNCTION("""COMPUTED_VALUE"""),236.86)</f>
        <v>236.86</v>
      </c>
      <c r="F2176" s="1">
        <f ca="1">IFERROR(__xludf.DUMMYFUNCTION("""COMPUTED_VALUE"""),101077635)</f>
        <v>101077635</v>
      </c>
    </row>
    <row r="2177" spans="1:6" x14ac:dyDescent="0.35">
      <c r="A2177" s="2">
        <f ca="1">IFERROR(__xludf.DUMMYFUNCTION("""COMPUTED_VALUE"""),45162.6666666666)</f>
        <v>45162.666666666599</v>
      </c>
      <c r="B2177" s="1">
        <f ca="1">IFERROR(__xludf.DUMMYFUNCTION("""COMPUTED_VALUE"""),238.66)</f>
        <v>238.66</v>
      </c>
      <c r="C2177" s="1">
        <f ca="1">IFERROR(__xludf.DUMMYFUNCTION("""COMPUTED_VALUE"""),238.92)</f>
        <v>238.92</v>
      </c>
      <c r="D2177" s="1">
        <f ca="1">IFERROR(__xludf.DUMMYFUNCTION("""COMPUTED_VALUE"""),228.18)</f>
        <v>228.18</v>
      </c>
      <c r="E2177" s="1">
        <f ca="1">IFERROR(__xludf.DUMMYFUNCTION("""COMPUTED_VALUE"""),230.04)</f>
        <v>230.04</v>
      </c>
      <c r="F2177" s="1">
        <f ca="1">IFERROR(__xludf.DUMMYFUNCTION("""COMPUTED_VALUE"""),99777432)</f>
        <v>99777432</v>
      </c>
    </row>
    <row r="2178" spans="1:6" x14ac:dyDescent="0.35">
      <c r="A2178" s="2">
        <f ca="1">IFERROR(__xludf.DUMMYFUNCTION("""COMPUTED_VALUE"""),45163.6666666666)</f>
        <v>45163.666666666599</v>
      </c>
      <c r="B2178" s="1">
        <f ca="1">IFERROR(__xludf.DUMMYFUNCTION("""COMPUTED_VALUE"""),231.31)</f>
        <v>231.31</v>
      </c>
      <c r="C2178" s="1">
        <f ca="1">IFERROR(__xludf.DUMMYFUNCTION("""COMPUTED_VALUE"""),239)</f>
        <v>239</v>
      </c>
      <c r="D2178" s="1">
        <f ca="1">IFERROR(__xludf.DUMMYFUNCTION("""COMPUTED_VALUE"""),230.35)</f>
        <v>230.35</v>
      </c>
      <c r="E2178" s="1">
        <f ca="1">IFERROR(__xludf.DUMMYFUNCTION("""COMPUTED_VALUE"""),238.59)</f>
        <v>238.59</v>
      </c>
      <c r="F2178" s="1">
        <f ca="1">IFERROR(__xludf.DUMMYFUNCTION("""COMPUTED_VALUE"""),106612231)</f>
        <v>106612231</v>
      </c>
    </row>
    <row r="2179" spans="1:6" x14ac:dyDescent="0.35">
      <c r="A2179" s="2">
        <f ca="1">IFERROR(__xludf.DUMMYFUNCTION("""COMPUTED_VALUE"""),45166.6666666666)</f>
        <v>45166.666666666599</v>
      </c>
      <c r="B2179" s="1">
        <f ca="1">IFERROR(__xludf.DUMMYFUNCTION("""COMPUTED_VALUE"""),242.58)</f>
        <v>242.58</v>
      </c>
      <c r="C2179" s="1">
        <f ca="1">IFERROR(__xludf.DUMMYFUNCTION("""COMPUTED_VALUE"""),244.38)</f>
        <v>244.38</v>
      </c>
      <c r="D2179" s="1">
        <f ca="1">IFERROR(__xludf.DUMMYFUNCTION("""COMPUTED_VALUE"""),235.35)</f>
        <v>235.35</v>
      </c>
      <c r="E2179" s="1">
        <f ca="1">IFERROR(__xludf.DUMMYFUNCTION("""COMPUTED_VALUE"""),238.82)</f>
        <v>238.82</v>
      </c>
      <c r="F2179" s="1">
        <f ca="1">IFERROR(__xludf.DUMMYFUNCTION("""COMPUTED_VALUE"""),107673727)</f>
        <v>107673727</v>
      </c>
    </row>
    <row r="2180" spans="1:6" x14ac:dyDescent="0.35">
      <c r="A2180" s="2">
        <f ca="1">IFERROR(__xludf.DUMMYFUNCTION("""COMPUTED_VALUE"""),45167.6666666666)</f>
        <v>45167.666666666599</v>
      </c>
      <c r="B2180" s="1">
        <f ca="1">IFERROR(__xludf.DUMMYFUNCTION("""COMPUTED_VALUE"""),238.58)</f>
        <v>238.58</v>
      </c>
      <c r="C2180" s="1">
        <f ca="1">IFERROR(__xludf.DUMMYFUNCTION("""COMPUTED_VALUE"""),257.48)</f>
        <v>257.48</v>
      </c>
      <c r="D2180" s="1">
        <f ca="1">IFERROR(__xludf.DUMMYFUNCTION("""COMPUTED_VALUE"""),237.77)</f>
        <v>237.77</v>
      </c>
      <c r="E2180" s="1">
        <f ca="1">IFERROR(__xludf.DUMMYFUNCTION("""COMPUTED_VALUE"""),257.18)</f>
        <v>257.18</v>
      </c>
      <c r="F2180" s="1">
        <f ca="1">IFERROR(__xludf.DUMMYFUNCTION("""COMPUTED_VALUE"""),134047603)</f>
        <v>134047603</v>
      </c>
    </row>
    <row r="2181" spans="1:6" x14ac:dyDescent="0.35">
      <c r="A2181" s="2">
        <f ca="1">IFERROR(__xludf.DUMMYFUNCTION("""COMPUTED_VALUE"""),45168.6666666666)</f>
        <v>45168.666666666599</v>
      </c>
      <c r="B2181" s="1">
        <f ca="1">IFERROR(__xludf.DUMMYFUNCTION("""COMPUTED_VALUE"""),254.2)</f>
        <v>254.2</v>
      </c>
      <c r="C2181" s="1">
        <f ca="1">IFERROR(__xludf.DUMMYFUNCTION("""COMPUTED_VALUE"""),260.51)</f>
        <v>260.51</v>
      </c>
      <c r="D2181" s="1">
        <f ca="1">IFERROR(__xludf.DUMMYFUNCTION("""COMPUTED_VALUE"""),250.59)</f>
        <v>250.59</v>
      </c>
      <c r="E2181" s="1">
        <f ca="1">IFERROR(__xludf.DUMMYFUNCTION("""COMPUTED_VALUE"""),256.9)</f>
        <v>256.89999999999998</v>
      </c>
      <c r="F2181" s="1">
        <f ca="1">IFERROR(__xludf.DUMMYFUNCTION("""COMPUTED_VALUE"""),121988437)</f>
        <v>121988437</v>
      </c>
    </row>
    <row r="2182" spans="1:6" x14ac:dyDescent="0.35">
      <c r="A2182" s="2">
        <f ca="1">IFERROR(__xludf.DUMMYFUNCTION("""COMPUTED_VALUE"""),45169.6666666666)</f>
        <v>45169.666666666599</v>
      </c>
      <c r="B2182" s="1">
        <f ca="1">IFERROR(__xludf.DUMMYFUNCTION("""COMPUTED_VALUE"""),255.98)</f>
        <v>255.98</v>
      </c>
      <c r="C2182" s="1">
        <f ca="1">IFERROR(__xludf.DUMMYFUNCTION("""COMPUTED_VALUE"""),261.18)</f>
        <v>261.18</v>
      </c>
      <c r="D2182" s="1">
        <f ca="1">IFERROR(__xludf.DUMMYFUNCTION("""COMPUTED_VALUE"""),255.05)</f>
        <v>255.05</v>
      </c>
      <c r="E2182" s="1">
        <f ca="1">IFERROR(__xludf.DUMMYFUNCTION("""COMPUTED_VALUE"""),258.08)</f>
        <v>258.08</v>
      </c>
      <c r="F2182" s="1">
        <f ca="1">IFERROR(__xludf.DUMMYFUNCTION("""COMPUTED_VALUE"""),108861698)</f>
        <v>108861698</v>
      </c>
    </row>
    <row r="2183" spans="1:6" x14ac:dyDescent="0.35">
      <c r="A2183" s="2">
        <f ca="1">IFERROR(__xludf.DUMMYFUNCTION("""COMPUTED_VALUE"""),45170.6666666666)</f>
        <v>45170.666666666599</v>
      </c>
      <c r="B2183" s="1">
        <f ca="1">IFERROR(__xludf.DUMMYFUNCTION("""COMPUTED_VALUE"""),257.26)</f>
        <v>257.26</v>
      </c>
      <c r="C2183" s="1">
        <f ca="1">IFERROR(__xludf.DUMMYFUNCTION("""COMPUTED_VALUE"""),259.08)</f>
        <v>259.08</v>
      </c>
      <c r="D2183" s="1">
        <f ca="1">IFERROR(__xludf.DUMMYFUNCTION("""COMPUTED_VALUE"""),242.01)</f>
        <v>242.01</v>
      </c>
      <c r="E2183" s="1">
        <f ca="1">IFERROR(__xludf.DUMMYFUNCTION("""COMPUTED_VALUE"""),245.01)</f>
        <v>245.01</v>
      </c>
      <c r="F2183" s="1">
        <f ca="1">IFERROR(__xludf.DUMMYFUNCTION("""COMPUTED_VALUE"""),132541640)</f>
        <v>132541640</v>
      </c>
    </row>
    <row r="2184" spans="1:6" x14ac:dyDescent="0.35">
      <c r="A2184" s="2">
        <f ca="1">IFERROR(__xludf.DUMMYFUNCTION("""COMPUTED_VALUE"""),45174.6666666666)</f>
        <v>45174.666666666599</v>
      </c>
      <c r="B2184" s="1">
        <f ca="1">IFERROR(__xludf.DUMMYFUNCTION("""COMPUTED_VALUE"""),245)</f>
        <v>245</v>
      </c>
      <c r="C2184" s="1">
        <f ca="1">IFERROR(__xludf.DUMMYFUNCTION("""COMPUTED_VALUE"""),258)</f>
        <v>258</v>
      </c>
      <c r="D2184" s="1">
        <f ca="1">IFERROR(__xludf.DUMMYFUNCTION("""COMPUTED_VALUE"""),244.86)</f>
        <v>244.86</v>
      </c>
      <c r="E2184" s="1">
        <f ca="1">IFERROR(__xludf.DUMMYFUNCTION("""COMPUTED_VALUE"""),256.49)</f>
        <v>256.49</v>
      </c>
      <c r="F2184" s="1">
        <f ca="1">IFERROR(__xludf.DUMMYFUNCTION("""COMPUTED_VALUE"""),129469565)</f>
        <v>129469565</v>
      </c>
    </row>
    <row r="2185" spans="1:6" x14ac:dyDescent="0.35">
      <c r="A2185" s="2">
        <f ca="1">IFERROR(__xludf.DUMMYFUNCTION("""COMPUTED_VALUE"""),45175.6666666666)</f>
        <v>45175.666666666599</v>
      </c>
      <c r="B2185" s="1">
        <f ca="1">IFERROR(__xludf.DUMMYFUNCTION("""COMPUTED_VALUE"""),255.14)</f>
        <v>255.14</v>
      </c>
      <c r="C2185" s="1">
        <f ca="1">IFERROR(__xludf.DUMMYFUNCTION("""COMPUTED_VALUE"""),255.39)</f>
        <v>255.39</v>
      </c>
      <c r="D2185" s="1">
        <f ca="1">IFERROR(__xludf.DUMMYFUNCTION("""COMPUTED_VALUE"""),245.06)</f>
        <v>245.06</v>
      </c>
      <c r="E2185" s="1">
        <f ca="1">IFERROR(__xludf.DUMMYFUNCTION("""COMPUTED_VALUE"""),251.92)</f>
        <v>251.92</v>
      </c>
      <c r="F2185" s="1">
        <f ca="1">IFERROR(__xludf.DUMMYFUNCTION("""COMPUTED_VALUE"""),116959759)</f>
        <v>116959759</v>
      </c>
    </row>
    <row r="2186" spans="1:6" x14ac:dyDescent="0.35">
      <c r="A2186" s="2">
        <f ca="1">IFERROR(__xludf.DUMMYFUNCTION("""COMPUTED_VALUE"""),45176.6666666666)</f>
        <v>45176.666666666599</v>
      </c>
      <c r="B2186" s="1">
        <f ca="1">IFERROR(__xludf.DUMMYFUNCTION("""COMPUTED_VALUE"""),245.07)</f>
        <v>245.07</v>
      </c>
      <c r="C2186" s="1">
        <f ca="1">IFERROR(__xludf.DUMMYFUNCTION("""COMPUTED_VALUE"""),252.81)</f>
        <v>252.81</v>
      </c>
      <c r="D2186" s="1">
        <f ca="1">IFERROR(__xludf.DUMMYFUNCTION("""COMPUTED_VALUE"""),243.27)</f>
        <v>243.27</v>
      </c>
      <c r="E2186" s="1">
        <f ca="1">IFERROR(__xludf.DUMMYFUNCTION("""COMPUTED_VALUE"""),251.49)</f>
        <v>251.49</v>
      </c>
      <c r="F2186" s="1">
        <f ca="1">IFERROR(__xludf.DUMMYFUNCTION("""COMPUTED_VALUE"""),115312886)</f>
        <v>115312886</v>
      </c>
    </row>
    <row r="2187" spans="1:6" x14ac:dyDescent="0.35">
      <c r="A2187" s="2">
        <f ca="1">IFERROR(__xludf.DUMMYFUNCTION("""COMPUTED_VALUE"""),45177.6666666666)</f>
        <v>45177.666666666599</v>
      </c>
      <c r="B2187" s="1">
        <f ca="1">IFERROR(__xludf.DUMMYFUNCTION("""COMPUTED_VALUE"""),251.22)</f>
        <v>251.22</v>
      </c>
      <c r="C2187" s="1">
        <f ca="1">IFERROR(__xludf.DUMMYFUNCTION("""COMPUTED_VALUE"""),256.52)</f>
        <v>256.52</v>
      </c>
      <c r="D2187" s="1">
        <f ca="1">IFERROR(__xludf.DUMMYFUNCTION("""COMPUTED_VALUE"""),246.67)</f>
        <v>246.67</v>
      </c>
      <c r="E2187" s="1">
        <f ca="1">IFERROR(__xludf.DUMMYFUNCTION("""COMPUTED_VALUE"""),248.5)</f>
        <v>248.5</v>
      </c>
      <c r="F2187" s="1">
        <f ca="1">IFERROR(__xludf.DUMMYFUNCTION("""COMPUTED_VALUE"""),118559635)</f>
        <v>118559635</v>
      </c>
    </row>
    <row r="2188" spans="1:6" x14ac:dyDescent="0.35">
      <c r="A2188" s="2">
        <f ca="1">IFERROR(__xludf.DUMMYFUNCTION("""COMPUTED_VALUE"""),45180.6666666666)</f>
        <v>45180.666666666599</v>
      </c>
      <c r="B2188" s="1">
        <f ca="1">IFERROR(__xludf.DUMMYFUNCTION("""COMPUTED_VALUE"""),264.27)</f>
        <v>264.27</v>
      </c>
      <c r="C2188" s="1">
        <f ca="1">IFERROR(__xludf.DUMMYFUNCTION("""COMPUTED_VALUE"""),274.85)</f>
        <v>274.85000000000002</v>
      </c>
      <c r="D2188" s="1">
        <f ca="1">IFERROR(__xludf.DUMMYFUNCTION("""COMPUTED_VALUE"""),260.61)</f>
        <v>260.61</v>
      </c>
      <c r="E2188" s="1">
        <f ca="1">IFERROR(__xludf.DUMMYFUNCTION("""COMPUTED_VALUE"""),273.58)</f>
        <v>273.58</v>
      </c>
      <c r="F2188" s="1">
        <f ca="1">IFERROR(__xludf.DUMMYFUNCTION("""COMPUTED_VALUE"""),174667852)</f>
        <v>174667852</v>
      </c>
    </row>
    <row r="2189" spans="1:6" x14ac:dyDescent="0.35">
      <c r="A2189" s="2">
        <f ca="1">IFERROR(__xludf.DUMMYFUNCTION("""COMPUTED_VALUE"""),45181.6666666666)</f>
        <v>45181.666666666599</v>
      </c>
      <c r="B2189" s="1">
        <f ca="1">IFERROR(__xludf.DUMMYFUNCTION("""COMPUTED_VALUE"""),270.76)</f>
        <v>270.76</v>
      </c>
      <c r="C2189" s="1">
        <f ca="1">IFERROR(__xludf.DUMMYFUNCTION("""COMPUTED_VALUE"""),278.39)</f>
        <v>278.39</v>
      </c>
      <c r="D2189" s="1">
        <f ca="1">IFERROR(__xludf.DUMMYFUNCTION("""COMPUTED_VALUE"""),266.6)</f>
        <v>266.60000000000002</v>
      </c>
      <c r="E2189" s="1">
        <f ca="1">IFERROR(__xludf.DUMMYFUNCTION("""COMPUTED_VALUE"""),267.48)</f>
        <v>267.48</v>
      </c>
      <c r="F2189" s="1">
        <f ca="1">IFERROR(__xludf.DUMMYFUNCTION("""COMPUTED_VALUE"""),135999866)</f>
        <v>135999866</v>
      </c>
    </row>
    <row r="2190" spans="1:6" x14ac:dyDescent="0.35">
      <c r="A2190" s="2">
        <f ca="1">IFERROR(__xludf.DUMMYFUNCTION("""COMPUTED_VALUE"""),45182.6666666666)</f>
        <v>45182.666666666599</v>
      </c>
      <c r="B2190" s="1">
        <f ca="1">IFERROR(__xludf.DUMMYFUNCTION("""COMPUTED_VALUE"""),270.07)</f>
        <v>270.07</v>
      </c>
      <c r="C2190" s="1">
        <f ca="1">IFERROR(__xludf.DUMMYFUNCTION("""COMPUTED_VALUE"""),274.98)</f>
        <v>274.98</v>
      </c>
      <c r="D2190" s="1">
        <f ca="1">IFERROR(__xludf.DUMMYFUNCTION("""COMPUTED_VALUE"""),268.1)</f>
        <v>268.10000000000002</v>
      </c>
      <c r="E2190" s="1">
        <f ca="1">IFERROR(__xludf.DUMMYFUNCTION("""COMPUTED_VALUE"""),271.3)</f>
        <v>271.3</v>
      </c>
      <c r="F2190" s="1">
        <f ca="1">IFERROR(__xludf.DUMMYFUNCTION("""COMPUTED_VALUE"""),111673737)</f>
        <v>111673737</v>
      </c>
    </row>
    <row r="2191" spans="1:6" x14ac:dyDescent="0.35">
      <c r="A2191" s="2">
        <f ca="1">IFERROR(__xludf.DUMMYFUNCTION("""COMPUTED_VALUE"""),45183.6666666666)</f>
        <v>45183.666666666599</v>
      </c>
      <c r="B2191" s="1">
        <f ca="1">IFERROR(__xludf.DUMMYFUNCTION("""COMPUTED_VALUE"""),271.32)</f>
        <v>271.32</v>
      </c>
      <c r="C2191" s="1">
        <f ca="1">IFERROR(__xludf.DUMMYFUNCTION("""COMPUTED_VALUE"""),276.71)</f>
        <v>276.70999999999998</v>
      </c>
      <c r="D2191" s="1">
        <f ca="1">IFERROR(__xludf.DUMMYFUNCTION("""COMPUTED_VALUE"""),270.42)</f>
        <v>270.42</v>
      </c>
      <c r="E2191" s="1">
        <f ca="1">IFERROR(__xludf.DUMMYFUNCTION("""COMPUTED_VALUE"""),276.04)</f>
        <v>276.04000000000002</v>
      </c>
      <c r="F2191" s="1">
        <f ca="1">IFERROR(__xludf.DUMMYFUNCTION("""COMPUTED_VALUE"""),107709842)</f>
        <v>107709842</v>
      </c>
    </row>
    <row r="2192" spans="1:6" x14ac:dyDescent="0.35">
      <c r="A2192" s="2">
        <f ca="1">IFERROR(__xludf.DUMMYFUNCTION("""COMPUTED_VALUE"""),45184.6666666666)</f>
        <v>45184.666666666599</v>
      </c>
      <c r="B2192" s="1">
        <f ca="1">IFERROR(__xludf.DUMMYFUNCTION("""COMPUTED_VALUE"""),277.55)</f>
        <v>277.55</v>
      </c>
      <c r="C2192" s="1">
        <f ca="1">IFERROR(__xludf.DUMMYFUNCTION("""COMPUTED_VALUE"""),278.98)</f>
        <v>278.98</v>
      </c>
      <c r="D2192" s="1">
        <f ca="1">IFERROR(__xludf.DUMMYFUNCTION("""COMPUTED_VALUE"""),271)</f>
        <v>271</v>
      </c>
      <c r="E2192" s="1">
        <f ca="1">IFERROR(__xludf.DUMMYFUNCTION("""COMPUTED_VALUE"""),274.39)</f>
        <v>274.39</v>
      </c>
      <c r="F2192" s="1">
        <f ca="1">IFERROR(__xludf.DUMMYFUNCTION("""COMPUTED_VALUE"""),133692313)</f>
        <v>133692313</v>
      </c>
    </row>
    <row r="2193" spans="1:6" x14ac:dyDescent="0.35">
      <c r="A2193" s="2">
        <f ca="1">IFERROR(__xludf.DUMMYFUNCTION("""COMPUTED_VALUE"""),45187.6666666666)</f>
        <v>45187.666666666599</v>
      </c>
      <c r="B2193" s="1">
        <f ca="1">IFERROR(__xludf.DUMMYFUNCTION("""COMPUTED_VALUE"""),271.16)</f>
        <v>271.16000000000003</v>
      </c>
      <c r="C2193" s="1">
        <f ca="1">IFERROR(__xludf.DUMMYFUNCTION("""COMPUTED_VALUE"""),271.44)</f>
        <v>271.44</v>
      </c>
      <c r="D2193" s="1">
        <f ca="1">IFERROR(__xludf.DUMMYFUNCTION("""COMPUTED_VALUE"""),263.76)</f>
        <v>263.76</v>
      </c>
      <c r="E2193" s="1">
        <f ca="1">IFERROR(__xludf.DUMMYFUNCTION("""COMPUTED_VALUE"""),265.28)</f>
        <v>265.27999999999997</v>
      </c>
      <c r="F2193" s="1">
        <f ca="1">IFERROR(__xludf.DUMMYFUNCTION("""COMPUTED_VALUE"""),101543305)</f>
        <v>101543305</v>
      </c>
    </row>
    <row r="2194" spans="1:6" x14ac:dyDescent="0.35">
      <c r="A2194" s="2">
        <f ca="1">IFERROR(__xludf.DUMMYFUNCTION("""COMPUTED_VALUE"""),45188.6666666666)</f>
        <v>45188.666666666599</v>
      </c>
      <c r="B2194" s="1">
        <f ca="1">IFERROR(__xludf.DUMMYFUNCTION("""COMPUTED_VALUE"""),264.35)</f>
        <v>264.35000000000002</v>
      </c>
      <c r="C2194" s="1">
        <f ca="1">IFERROR(__xludf.DUMMYFUNCTION("""COMPUTED_VALUE"""),267.85)</f>
        <v>267.85000000000002</v>
      </c>
      <c r="D2194" s="1">
        <f ca="1">IFERROR(__xludf.DUMMYFUNCTION("""COMPUTED_VALUE"""),261.2)</f>
        <v>261.2</v>
      </c>
      <c r="E2194" s="1">
        <f ca="1">IFERROR(__xludf.DUMMYFUNCTION("""COMPUTED_VALUE"""),266.5)</f>
        <v>266.5</v>
      </c>
      <c r="F2194" s="1">
        <f ca="1">IFERROR(__xludf.DUMMYFUNCTION("""COMPUTED_VALUE"""),103704040)</f>
        <v>103704040</v>
      </c>
    </row>
    <row r="2195" spans="1:6" x14ac:dyDescent="0.35">
      <c r="A2195" s="2">
        <f ca="1">IFERROR(__xludf.DUMMYFUNCTION("""COMPUTED_VALUE"""),45189.6666666666)</f>
        <v>45189.666666666599</v>
      </c>
      <c r="B2195" s="1">
        <f ca="1">IFERROR(__xludf.DUMMYFUNCTION("""COMPUTED_VALUE"""),267.04)</f>
        <v>267.04000000000002</v>
      </c>
      <c r="C2195" s="1">
        <f ca="1">IFERROR(__xludf.DUMMYFUNCTION("""COMPUTED_VALUE"""),273.93)</f>
        <v>273.93</v>
      </c>
      <c r="D2195" s="1">
        <f ca="1">IFERROR(__xludf.DUMMYFUNCTION("""COMPUTED_VALUE"""),262.46)</f>
        <v>262.45999999999998</v>
      </c>
      <c r="E2195" s="1">
        <f ca="1">IFERROR(__xludf.DUMMYFUNCTION("""COMPUTED_VALUE"""),262.59)</f>
        <v>262.58999999999997</v>
      </c>
      <c r="F2195" s="1">
        <f ca="1">IFERROR(__xludf.DUMMYFUNCTION("""COMPUTED_VALUE"""),122514643)</f>
        <v>122514643</v>
      </c>
    </row>
    <row r="2196" spans="1:6" x14ac:dyDescent="0.35">
      <c r="A2196" s="2">
        <f ca="1">IFERROR(__xludf.DUMMYFUNCTION("""COMPUTED_VALUE"""),45190.6666666666)</f>
        <v>45190.666666666599</v>
      </c>
      <c r="B2196" s="1">
        <f ca="1">IFERROR(__xludf.DUMMYFUNCTION("""COMPUTED_VALUE"""),257.85)</f>
        <v>257.85000000000002</v>
      </c>
      <c r="C2196" s="1">
        <f ca="1">IFERROR(__xludf.DUMMYFUNCTION("""COMPUTED_VALUE"""),260.86)</f>
        <v>260.86</v>
      </c>
      <c r="D2196" s="1">
        <f ca="1">IFERROR(__xludf.DUMMYFUNCTION("""COMPUTED_VALUE"""),254.21)</f>
        <v>254.21</v>
      </c>
      <c r="E2196" s="1">
        <f ca="1">IFERROR(__xludf.DUMMYFUNCTION("""COMPUTED_VALUE"""),255.7)</f>
        <v>255.7</v>
      </c>
      <c r="F2196" s="1">
        <f ca="1">IFERROR(__xludf.DUMMYFUNCTION("""COMPUTED_VALUE"""),119951516)</f>
        <v>119951516</v>
      </c>
    </row>
    <row r="2197" spans="1:6" x14ac:dyDescent="0.35">
      <c r="A2197" s="2">
        <f ca="1">IFERROR(__xludf.DUMMYFUNCTION("""COMPUTED_VALUE"""),45191.6666666666)</f>
        <v>45191.666666666599</v>
      </c>
      <c r="B2197" s="1">
        <f ca="1">IFERROR(__xludf.DUMMYFUNCTION("""COMPUTED_VALUE"""),257.4)</f>
        <v>257.39999999999998</v>
      </c>
      <c r="C2197" s="1">
        <f ca="1">IFERROR(__xludf.DUMMYFUNCTION("""COMPUTED_VALUE"""),257.79)</f>
        <v>257.79000000000002</v>
      </c>
      <c r="D2197" s="1">
        <f ca="1">IFERROR(__xludf.DUMMYFUNCTION("""COMPUTED_VALUE"""),244.48)</f>
        <v>244.48</v>
      </c>
      <c r="E2197" s="1">
        <f ca="1">IFERROR(__xludf.DUMMYFUNCTION("""COMPUTED_VALUE"""),244.88)</f>
        <v>244.88</v>
      </c>
      <c r="F2197" s="1">
        <f ca="1">IFERROR(__xludf.DUMMYFUNCTION("""COMPUTED_VALUE"""),127524083)</f>
        <v>127524083</v>
      </c>
    </row>
    <row r="2198" spans="1:6" x14ac:dyDescent="0.35">
      <c r="A2198" s="2">
        <f ca="1">IFERROR(__xludf.DUMMYFUNCTION("""COMPUTED_VALUE"""),45194.6666666666)</f>
        <v>45194.666666666599</v>
      </c>
      <c r="B2198" s="1">
        <f ca="1">IFERROR(__xludf.DUMMYFUNCTION("""COMPUTED_VALUE"""),243.38)</f>
        <v>243.38</v>
      </c>
      <c r="C2198" s="1">
        <f ca="1">IFERROR(__xludf.DUMMYFUNCTION("""COMPUTED_VALUE"""),247.1)</f>
        <v>247.1</v>
      </c>
      <c r="D2198" s="1">
        <f ca="1">IFERROR(__xludf.DUMMYFUNCTION("""COMPUTED_VALUE"""),238.31)</f>
        <v>238.31</v>
      </c>
      <c r="E2198" s="1">
        <f ca="1">IFERROR(__xludf.DUMMYFUNCTION("""COMPUTED_VALUE"""),246.99)</f>
        <v>246.99</v>
      </c>
      <c r="F2198" s="1">
        <f ca="1">IFERROR(__xludf.DUMMYFUNCTION("""COMPUTED_VALUE"""),104636557)</f>
        <v>104636557</v>
      </c>
    </row>
    <row r="2199" spans="1:6" x14ac:dyDescent="0.35">
      <c r="A2199" s="2">
        <f ca="1">IFERROR(__xludf.DUMMYFUNCTION("""COMPUTED_VALUE"""),45195.6666666666)</f>
        <v>45195.666666666599</v>
      </c>
      <c r="B2199" s="1">
        <f ca="1">IFERROR(__xludf.DUMMYFUNCTION("""COMPUTED_VALUE"""),242.98)</f>
        <v>242.98</v>
      </c>
      <c r="C2199" s="1">
        <f ca="1">IFERROR(__xludf.DUMMYFUNCTION("""COMPUTED_VALUE"""),249.55)</f>
        <v>249.55</v>
      </c>
      <c r="D2199" s="1">
        <f ca="1">IFERROR(__xludf.DUMMYFUNCTION("""COMPUTED_VALUE"""),241.66)</f>
        <v>241.66</v>
      </c>
      <c r="E2199" s="1">
        <f ca="1">IFERROR(__xludf.DUMMYFUNCTION("""COMPUTED_VALUE"""),244.12)</f>
        <v>244.12</v>
      </c>
      <c r="F2199" s="1">
        <f ca="1">IFERROR(__xludf.DUMMYFUNCTION("""COMPUTED_VALUE"""),101993631)</f>
        <v>101993631</v>
      </c>
    </row>
    <row r="2200" spans="1:6" x14ac:dyDescent="0.35">
      <c r="A2200" s="2">
        <f ca="1">IFERROR(__xludf.DUMMYFUNCTION("""COMPUTED_VALUE"""),45196.6666666666)</f>
        <v>45196.666666666599</v>
      </c>
      <c r="B2200" s="1">
        <f ca="1">IFERROR(__xludf.DUMMYFUNCTION("""COMPUTED_VALUE"""),244.26)</f>
        <v>244.26</v>
      </c>
      <c r="C2200" s="1">
        <f ca="1">IFERROR(__xludf.DUMMYFUNCTION("""COMPUTED_VALUE"""),245.33)</f>
        <v>245.33</v>
      </c>
      <c r="D2200" s="1">
        <f ca="1">IFERROR(__xludf.DUMMYFUNCTION("""COMPUTED_VALUE"""),234.58)</f>
        <v>234.58</v>
      </c>
      <c r="E2200" s="1">
        <f ca="1">IFERROR(__xludf.DUMMYFUNCTION("""COMPUTED_VALUE"""),240.5)</f>
        <v>240.5</v>
      </c>
      <c r="F2200" s="1">
        <f ca="1">IFERROR(__xludf.DUMMYFUNCTION("""COMPUTED_VALUE"""),136597184)</f>
        <v>136597184</v>
      </c>
    </row>
    <row r="2201" spans="1:6" x14ac:dyDescent="0.35">
      <c r="A2201" s="2">
        <f ca="1">IFERROR(__xludf.DUMMYFUNCTION("""COMPUTED_VALUE"""),45197.6666666666)</f>
        <v>45197.666666666599</v>
      </c>
      <c r="B2201" s="1">
        <f ca="1">IFERROR(__xludf.DUMMYFUNCTION("""COMPUTED_VALUE"""),240.02)</f>
        <v>240.02</v>
      </c>
      <c r="C2201" s="1">
        <f ca="1">IFERROR(__xludf.DUMMYFUNCTION("""COMPUTED_VALUE"""),247.55)</f>
        <v>247.55</v>
      </c>
      <c r="D2201" s="1">
        <f ca="1">IFERROR(__xludf.DUMMYFUNCTION("""COMPUTED_VALUE"""),238.65)</f>
        <v>238.65</v>
      </c>
      <c r="E2201" s="1">
        <f ca="1">IFERROR(__xludf.DUMMYFUNCTION("""COMPUTED_VALUE"""),246.38)</f>
        <v>246.38</v>
      </c>
      <c r="F2201" s="1">
        <f ca="1">IFERROR(__xludf.DUMMYFUNCTION("""COMPUTED_VALUE"""),117058870)</f>
        <v>117058870</v>
      </c>
    </row>
    <row r="2202" spans="1:6" x14ac:dyDescent="0.35">
      <c r="A2202" s="2">
        <f ca="1">IFERROR(__xludf.DUMMYFUNCTION("""COMPUTED_VALUE"""),45198.6666666666)</f>
        <v>45198.666666666599</v>
      </c>
      <c r="B2202" s="1">
        <f ca="1">IFERROR(__xludf.DUMMYFUNCTION("""COMPUTED_VALUE"""),250)</f>
        <v>250</v>
      </c>
      <c r="C2202" s="1">
        <f ca="1">IFERROR(__xludf.DUMMYFUNCTION("""COMPUTED_VALUE"""),254.77)</f>
        <v>254.77</v>
      </c>
      <c r="D2202" s="1">
        <f ca="1">IFERROR(__xludf.DUMMYFUNCTION("""COMPUTED_VALUE"""),246.35)</f>
        <v>246.35</v>
      </c>
      <c r="E2202" s="1">
        <f ca="1">IFERROR(__xludf.DUMMYFUNCTION("""COMPUTED_VALUE"""),250.22)</f>
        <v>250.22</v>
      </c>
      <c r="F2202" s="1">
        <f ca="1">IFERROR(__xludf.DUMMYFUNCTION("""COMPUTED_VALUE"""),128522729)</f>
        <v>128522729</v>
      </c>
    </row>
    <row r="2203" spans="1:6" x14ac:dyDescent="0.35">
      <c r="A2203" s="2">
        <f ca="1">IFERROR(__xludf.DUMMYFUNCTION("""COMPUTED_VALUE"""),45201.6666666666)</f>
        <v>45201.666666666599</v>
      </c>
      <c r="B2203" s="1">
        <f ca="1">IFERROR(__xludf.DUMMYFUNCTION("""COMPUTED_VALUE"""),244.81)</f>
        <v>244.81</v>
      </c>
      <c r="C2203" s="1">
        <f ca="1">IFERROR(__xludf.DUMMYFUNCTION("""COMPUTED_VALUE"""),254.28)</f>
        <v>254.28</v>
      </c>
      <c r="D2203" s="1">
        <f ca="1">IFERROR(__xludf.DUMMYFUNCTION("""COMPUTED_VALUE"""),242.62)</f>
        <v>242.62</v>
      </c>
      <c r="E2203" s="1">
        <f ca="1">IFERROR(__xludf.DUMMYFUNCTION("""COMPUTED_VALUE"""),251.6)</f>
        <v>251.6</v>
      </c>
      <c r="F2203" s="1">
        <f ca="1">IFERROR(__xludf.DUMMYFUNCTION("""COMPUTED_VALUE"""),123810402)</f>
        <v>123810402</v>
      </c>
    </row>
    <row r="2204" spans="1:6" x14ac:dyDescent="0.35">
      <c r="A2204" s="2">
        <f ca="1">IFERROR(__xludf.DUMMYFUNCTION("""COMPUTED_VALUE"""),45202.6666666666)</f>
        <v>45202.666666666599</v>
      </c>
      <c r="B2204" s="1">
        <f ca="1">IFERROR(__xludf.DUMMYFUNCTION("""COMPUTED_VALUE"""),248.61)</f>
        <v>248.61</v>
      </c>
      <c r="C2204" s="1">
        <f ca="1">IFERROR(__xludf.DUMMYFUNCTION("""COMPUTED_VALUE"""),250.02)</f>
        <v>250.02</v>
      </c>
      <c r="D2204" s="1">
        <f ca="1">IFERROR(__xludf.DUMMYFUNCTION("""COMPUTED_VALUE"""),244.45)</f>
        <v>244.45</v>
      </c>
      <c r="E2204" s="1">
        <f ca="1">IFERROR(__xludf.DUMMYFUNCTION("""COMPUTED_VALUE"""),246.53)</f>
        <v>246.53</v>
      </c>
      <c r="F2204" s="1">
        <f ca="1">IFERROR(__xludf.DUMMYFUNCTION("""COMPUTED_VALUE"""),101985305)</f>
        <v>101985305</v>
      </c>
    </row>
    <row r="2205" spans="1:6" x14ac:dyDescent="0.35">
      <c r="A2205" s="2">
        <f ca="1">IFERROR(__xludf.DUMMYFUNCTION("""COMPUTED_VALUE"""),45203.6666666666)</f>
        <v>45203.666666666599</v>
      </c>
      <c r="B2205" s="1">
        <f ca="1">IFERROR(__xludf.DUMMYFUNCTION("""COMPUTED_VALUE"""),248.14)</f>
        <v>248.14</v>
      </c>
      <c r="C2205" s="1">
        <f ca="1">IFERROR(__xludf.DUMMYFUNCTION("""COMPUTED_VALUE"""),261.86)</f>
        <v>261.86</v>
      </c>
      <c r="D2205" s="1">
        <f ca="1">IFERROR(__xludf.DUMMYFUNCTION("""COMPUTED_VALUE"""),247.6)</f>
        <v>247.6</v>
      </c>
      <c r="E2205" s="1">
        <f ca="1">IFERROR(__xludf.DUMMYFUNCTION("""COMPUTED_VALUE"""),261.16)</f>
        <v>261.16000000000003</v>
      </c>
      <c r="F2205" s="1">
        <f ca="1">IFERROR(__xludf.DUMMYFUNCTION("""COMPUTED_VALUE"""),129721567)</f>
        <v>129721567</v>
      </c>
    </row>
    <row r="2206" spans="1:6" x14ac:dyDescent="0.35">
      <c r="A2206" s="2">
        <f ca="1">IFERROR(__xludf.DUMMYFUNCTION("""COMPUTED_VALUE"""),45204.6666666666)</f>
        <v>45204.666666666599</v>
      </c>
      <c r="B2206" s="1">
        <f ca="1">IFERROR(__xludf.DUMMYFUNCTION("""COMPUTED_VALUE"""),260)</f>
        <v>260</v>
      </c>
      <c r="C2206" s="1">
        <f ca="1">IFERROR(__xludf.DUMMYFUNCTION("""COMPUTED_VALUE"""),263.6)</f>
        <v>263.60000000000002</v>
      </c>
      <c r="D2206" s="1">
        <f ca="1">IFERROR(__xludf.DUMMYFUNCTION("""COMPUTED_VALUE"""),256.25)</f>
        <v>256.25</v>
      </c>
      <c r="E2206" s="1">
        <f ca="1">IFERROR(__xludf.DUMMYFUNCTION("""COMPUTED_VALUE"""),260.05)</f>
        <v>260.05</v>
      </c>
      <c r="F2206" s="1">
        <f ca="1">IFERROR(__xludf.DUMMYFUNCTION("""COMPUTED_VALUE"""),119159214)</f>
        <v>119159214</v>
      </c>
    </row>
    <row r="2207" spans="1:6" x14ac:dyDescent="0.35">
      <c r="A2207" s="2">
        <f ca="1">IFERROR(__xludf.DUMMYFUNCTION("""COMPUTED_VALUE"""),45205.6666666666)</f>
        <v>45205.666666666599</v>
      </c>
      <c r="B2207" s="1">
        <f ca="1">IFERROR(__xludf.DUMMYFUNCTION("""COMPUTED_VALUE"""),253.98)</f>
        <v>253.98</v>
      </c>
      <c r="C2207" s="1">
        <f ca="1">IFERROR(__xludf.DUMMYFUNCTION("""COMPUTED_VALUE"""),261.65)</f>
        <v>261.64999999999998</v>
      </c>
      <c r="D2207" s="1">
        <f ca="1">IFERROR(__xludf.DUMMYFUNCTION("""COMPUTED_VALUE"""),250.65)</f>
        <v>250.65</v>
      </c>
      <c r="E2207" s="1">
        <f ca="1">IFERROR(__xludf.DUMMYFUNCTION("""COMPUTED_VALUE"""),260.53)</f>
        <v>260.52999999999997</v>
      </c>
      <c r="F2207" s="1">
        <f ca="1">IFERROR(__xludf.DUMMYFUNCTION("""COMPUTED_VALUE"""),118121812)</f>
        <v>118121812</v>
      </c>
    </row>
    <row r="2208" spans="1:6" x14ac:dyDescent="0.35">
      <c r="A2208" s="2">
        <f ca="1">IFERROR(__xludf.DUMMYFUNCTION("""COMPUTED_VALUE"""),45208.6666666666)</f>
        <v>45208.666666666599</v>
      </c>
      <c r="B2208" s="1">
        <f ca="1">IFERROR(__xludf.DUMMYFUNCTION("""COMPUTED_VALUE"""),255.31)</f>
        <v>255.31</v>
      </c>
      <c r="C2208" s="1">
        <f ca="1">IFERROR(__xludf.DUMMYFUNCTION("""COMPUTED_VALUE"""),261.36)</f>
        <v>261.36</v>
      </c>
      <c r="D2208" s="1">
        <f ca="1">IFERROR(__xludf.DUMMYFUNCTION("""COMPUTED_VALUE"""),252.05)</f>
        <v>252.05</v>
      </c>
      <c r="E2208" s="1">
        <f ca="1">IFERROR(__xludf.DUMMYFUNCTION("""COMPUTED_VALUE"""),259.67)</f>
        <v>259.67</v>
      </c>
      <c r="F2208" s="1">
        <f ca="1">IFERROR(__xludf.DUMMYFUNCTION("""COMPUTED_VALUE"""),101377947)</f>
        <v>101377947</v>
      </c>
    </row>
    <row r="2209" spans="1:6" x14ac:dyDescent="0.35">
      <c r="A2209" s="2">
        <f ca="1">IFERROR(__xludf.DUMMYFUNCTION("""COMPUTED_VALUE"""),45209.6666666666)</f>
        <v>45209.666666666599</v>
      </c>
      <c r="B2209" s="1">
        <f ca="1">IFERROR(__xludf.DUMMYFUNCTION("""COMPUTED_VALUE"""),257.75)</f>
        <v>257.75</v>
      </c>
      <c r="C2209" s="1">
        <f ca="1">IFERROR(__xludf.DUMMYFUNCTION("""COMPUTED_VALUE"""),268.94)</f>
        <v>268.94</v>
      </c>
      <c r="D2209" s="1">
        <f ca="1">IFERROR(__xludf.DUMMYFUNCTION("""COMPUTED_VALUE"""),257.65)</f>
        <v>257.64999999999998</v>
      </c>
      <c r="E2209" s="1">
        <f ca="1">IFERROR(__xludf.DUMMYFUNCTION("""COMPUTED_VALUE"""),263.62)</f>
        <v>263.62</v>
      </c>
      <c r="F2209" s="1">
        <f ca="1">IFERROR(__xludf.DUMMYFUNCTION("""COMPUTED_VALUE"""),122656030)</f>
        <v>122656030</v>
      </c>
    </row>
    <row r="2210" spans="1:6" x14ac:dyDescent="0.35">
      <c r="A2210" s="2">
        <f ca="1">IFERROR(__xludf.DUMMYFUNCTION("""COMPUTED_VALUE"""),45210.6666666666)</f>
        <v>45210.666666666599</v>
      </c>
      <c r="B2210" s="1">
        <f ca="1">IFERROR(__xludf.DUMMYFUNCTION("""COMPUTED_VALUE"""),266.2)</f>
        <v>266.2</v>
      </c>
      <c r="C2210" s="1">
        <f ca="1">IFERROR(__xludf.DUMMYFUNCTION("""COMPUTED_VALUE"""),268.6)</f>
        <v>268.60000000000002</v>
      </c>
      <c r="D2210" s="1">
        <f ca="1">IFERROR(__xludf.DUMMYFUNCTION("""COMPUTED_VALUE"""),260.9)</f>
        <v>260.89999999999998</v>
      </c>
      <c r="E2210" s="1">
        <f ca="1">IFERROR(__xludf.DUMMYFUNCTION("""COMPUTED_VALUE"""),262.99)</f>
        <v>262.99</v>
      </c>
      <c r="F2210" s="1">
        <f ca="1">IFERROR(__xludf.DUMMYFUNCTION("""COMPUTED_VALUE"""),103706266)</f>
        <v>103706266</v>
      </c>
    </row>
    <row r="2211" spans="1:6" x14ac:dyDescent="0.35">
      <c r="A2211" s="2">
        <f ca="1">IFERROR(__xludf.DUMMYFUNCTION("""COMPUTED_VALUE"""),45211.6666666666)</f>
        <v>45211.666666666599</v>
      </c>
      <c r="B2211" s="1">
        <f ca="1">IFERROR(__xludf.DUMMYFUNCTION("""COMPUTED_VALUE"""),262.92)</f>
        <v>262.92</v>
      </c>
      <c r="C2211" s="1">
        <f ca="1">IFERROR(__xludf.DUMMYFUNCTION("""COMPUTED_VALUE"""),265.41)</f>
        <v>265.41000000000003</v>
      </c>
      <c r="D2211" s="1">
        <f ca="1">IFERROR(__xludf.DUMMYFUNCTION("""COMPUTED_VALUE"""),256.63)</f>
        <v>256.63</v>
      </c>
      <c r="E2211" s="1">
        <f ca="1">IFERROR(__xludf.DUMMYFUNCTION("""COMPUTED_VALUE"""),258.87)</f>
        <v>258.87</v>
      </c>
      <c r="F2211" s="1">
        <f ca="1">IFERROR(__xludf.DUMMYFUNCTION("""COMPUTED_VALUE"""),111508114)</f>
        <v>111508114</v>
      </c>
    </row>
    <row r="2212" spans="1:6" x14ac:dyDescent="0.35">
      <c r="A2212" s="2">
        <f ca="1">IFERROR(__xludf.DUMMYFUNCTION("""COMPUTED_VALUE"""),45212.6666666666)</f>
        <v>45212.666666666599</v>
      </c>
      <c r="B2212" s="1">
        <f ca="1">IFERROR(__xludf.DUMMYFUNCTION("""COMPUTED_VALUE"""),258.9)</f>
        <v>258.89999999999998</v>
      </c>
      <c r="C2212" s="1">
        <f ca="1">IFERROR(__xludf.DUMMYFUNCTION("""COMPUTED_VALUE"""),259.6)</f>
        <v>259.60000000000002</v>
      </c>
      <c r="D2212" s="1">
        <f ca="1">IFERROR(__xludf.DUMMYFUNCTION("""COMPUTED_VALUE"""),250.22)</f>
        <v>250.22</v>
      </c>
      <c r="E2212" s="1">
        <f ca="1">IFERROR(__xludf.DUMMYFUNCTION("""COMPUTED_VALUE"""),251.12)</f>
        <v>251.12</v>
      </c>
      <c r="F2212" s="1">
        <f ca="1">IFERROR(__xludf.DUMMYFUNCTION("""COMPUTED_VALUE"""),102296786)</f>
        <v>102296786</v>
      </c>
    </row>
    <row r="2213" spans="1:6" x14ac:dyDescent="0.35">
      <c r="A2213" s="2">
        <f ca="1">IFERROR(__xludf.DUMMYFUNCTION("""COMPUTED_VALUE"""),45215.6666666666)</f>
        <v>45215.666666666599</v>
      </c>
      <c r="B2213" s="1">
        <f ca="1">IFERROR(__xludf.DUMMYFUNCTION("""COMPUTED_VALUE"""),250.05)</f>
        <v>250.05</v>
      </c>
      <c r="C2213" s="1">
        <f ca="1">IFERROR(__xludf.DUMMYFUNCTION("""COMPUTED_VALUE"""),255.4)</f>
        <v>255.4</v>
      </c>
      <c r="D2213" s="1">
        <f ca="1">IFERROR(__xludf.DUMMYFUNCTION("""COMPUTED_VALUE"""),248.48)</f>
        <v>248.48</v>
      </c>
      <c r="E2213" s="1">
        <f ca="1">IFERROR(__xludf.DUMMYFUNCTION("""COMPUTED_VALUE"""),253.92)</f>
        <v>253.92</v>
      </c>
      <c r="F2213" s="1">
        <f ca="1">IFERROR(__xludf.DUMMYFUNCTION("""COMPUTED_VALUE"""),88917176)</f>
        <v>88917176</v>
      </c>
    </row>
    <row r="2214" spans="1:6" x14ac:dyDescent="0.35">
      <c r="A2214" s="2">
        <f ca="1">IFERROR(__xludf.DUMMYFUNCTION("""COMPUTED_VALUE"""),45216.6666666666)</f>
        <v>45216.666666666599</v>
      </c>
      <c r="B2214" s="1">
        <f ca="1">IFERROR(__xludf.DUMMYFUNCTION("""COMPUTED_VALUE"""),250.1)</f>
        <v>250.1</v>
      </c>
      <c r="C2214" s="1">
        <f ca="1">IFERROR(__xludf.DUMMYFUNCTION("""COMPUTED_VALUE"""),257.18)</f>
        <v>257.18</v>
      </c>
      <c r="D2214" s="1">
        <f ca="1">IFERROR(__xludf.DUMMYFUNCTION("""COMPUTED_VALUE"""),247.08)</f>
        <v>247.08</v>
      </c>
      <c r="E2214" s="1">
        <f ca="1">IFERROR(__xludf.DUMMYFUNCTION("""COMPUTED_VALUE"""),254.85)</f>
        <v>254.85</v>
      </c>
      <c r="F2214" s="1">
        <f ca="1">IFERROR(__xludf.DUMMYFUNCTION("""COMPUTED_VALUE"""),93562909)</f>
        <v>93562909</v>
      </c>
    </row>
    <row r="2215" spans="1:6" x14ac:dyDescent="0.35">
      <c r="A2215" s="2">
        <f ca="1">IFERROR(__xludf.DUMMYFUNCTION("""COMPUTED_VALUE"""),45217.6666666666)</f>
        <v>45217.666666666599</v>
      </c>
      <c r="B2215" s="1">
        <f ca="1">IFERROR(__xludf.DUMMYFUNCTION("""COMPUTED_VALUE"""),252.7)</f>
        <v>252.7</v>
      </c>
      <c r="C2215" s="1">
        <f ca="1">IFERROR(__xludf.DUMMYFUNCTION("""COMPUTED_VALUE"""),254.63)</f>
        <v>254.63</v>
      </c>
      <c r="D2215" s="1">
        <f ca="1">IFERROR(__xludf.DUMMYFUNCTION("""COMPUTED_VALUE"""),242.08)</f>
        <v>242.08</v>
      </c>
      <c r="E2215" s="1">
        <f ca="1">IFERROR(__xludf.DUMMYFUNCTION("""COMPUTED_VALUE"""),242.68)</f>
        <v>242.68</v>
      </c>
      <c r="F2215" s="1">
        <f ca="1">IFERROR(__xludf.DUMMYFUNCTION("""COMPUTED_VALUE"""),125147846)</f>
        <v>125147846</v>
      </c>
    </row>
    <row r="2216" spans="1:6" x14ac:dyDescent="0.35">
      <c r="A2216" s="2">
        <f ca="1">IFERROR(__xludf.DUMMYFUNCTION("""COMPUTED_VALUE"""),45218.6666666666)</f>
        <v>45218.666666666599</v>
      </c>
      <c r="B2216" s="1">
        <f ca="1">IFERROR(__xludf.DUMMYFUNCTION("""COMPUTED_VALUE"""),225.95)</f>
        <v>225.95</v>
      </c>
      <c r="C2216" s="1">
        <f ca="1">IFERROR(__xludf.DUMMYFUNCTION("""COMPUTED_VALUE"""),230.61)</f>
        <v>230.61</v>
      </c>
      <c r="D2216" s="1">
        <f ca="1">IFERROR(__xludf.DUMMYFUNCTION("""COMPUTED_VALUE"""),216.78)</f>
        <v>216.78</v>
      </c>
      <c r="E2216" s="1">
        <f ca="1">IFERROR(__xludf.DUMMYFUNCTION("""COMPUTED_VALUE"""),220.11)</f>
        <v>220.11</v>
      </c>
      <c r="F2216" s="1">
        <f ca="1">IFERROR(__xludf.DUMMYFUNCTION("""COMPUTED_VALUE"""),170772713)</f>
        <v>170772713</v>
      </c>
    </row>
    <row r="2217" spans="1:6" x14ac:dyDescent="0.35">
      <c r="A2217" s="2">
        <f ca="1">IFERROR(__xludf.DUMMYFUNCTION("""COMPUTED_VALUE"""),45219.6666666666)</f>
        <v>45219.666666666599</v>
      </c>
      <c r="B2217" s="1">
        <f ca="1">IFERROR(__xludf.DUMMYFUNCTION("""COMPUTED_VALUE"""),217.01)</f>
        <v>217.01</v>
      </c>
      <c r="C2217" s="1">
        <f ca="1">IFERROR(__xludf.DUMMYFUNCTION("""COMPUTED_VALUE"""),218.86)</f>
        <v>218.86</v>
      </c>
      <c r="D2217" s="1">
        <f ca="1">IFERROR(__xludf.DUMMYFUNCTION("""COMPUTED_VALUE"""),210.42)</f>
        <v>210.42</v>
      </c>
      <c r="E2217" s="1">
        <f ca="1">IFERROR(__xludf.DUMMYFUNCTION("""COMPUTED_VALUE"""),211.99)</f>
        <v>211.99</v>
      </c>
      <c r="F2217" s="1">
        <f ca="1">IFERROR(__xludf.DUMMYFUNCTION("""COMPUTED_VALUE"""),138010095)</f>
        <v>138010095</v>
      </c>
    </row>
    <row r="2218" spans="1:6" x14ac:dyDescent="0.35">
      <c r="A2218" s="2">
        <f ca="1">IFERROR(__xludf.DUMMYFUNCTION("""COMPUTED_VALUE"""),45222.6666666666)</f>
        <v>45222.666666666599</v>
      </c>
      <c r="B2218" s="1">
        <f ca="1">IFERROR(__xludf.DUMMYFUNCTION("""COMPUTED_VALUE"""),210)</f>
        <v>210</v>
      </c>
      <c r="C2218" s="1">
        <f ca="1">IFERROR(__xludf.DUMMYFUNCTION("""COMPUTED_VALUE"""),216.98)</f>
        <v>216.98</v>
      </c>
      <c r="D2218" s="1">
        <f ca="1">IFERROR(__xludf.DUMMYFUNCTION("""COMPUTED_VALUE"""),202.51)</f>
        <v>202.51</v>
      </c>
      <c r="E2218" s="1">
        <f ca="1">IFERROR(__xludf.DUMMYFUNCTION("""COMPUTED_VALUE"""),212.08)</f>
        <v>212.08</v>
      </c>
      <c r="F2218" s="1">
        <f ca="1">IFERROR(__xludf.DUMMYFUNCTION("""COMPUTED_VALUE"""),150683368)</f>
        <v>150683368</v>
      </c>
    </row>
    <row r="2219" spans="1:6" x14ac:dyDescent="0.35">
      <c r="A2219" s="2">
        <f ca="1">IFERROR(__xludf.DUMMYFUNCTION("""COMPUTED_VALUE"""),45223.6666666666)</f>
        <v>45223.666666666599</v>
      </c>
      <c r="B2219" s="1">
        <f ca="1">IFERROR(__xludf.DUMMYFUNCTION("""COMPUTED_VALUE"""),216.5)</f>
        <v>216.5</v>
      </c>
      <c r="C2219" s="1">
        <f ca="1">IFERROR(__xludf.DUMMYFUNCTION("""COMPUTED_VALUE"""),222.05)</f>
        <v>222.05</v>
      </c>
      <c r="D2219" s="1">
        <f ca="1">IFERROR(__xludf.DUMMYFUNCTION("""COMPUTED_VALUE"""),214.11)</f>
        <v>214.11</v>
      </c>
      <c r="E2219" s="1">
        <f ca="1">IFERROR(__xludf.DUMMYFUNCTION("""COMPUTED_VALUE"""),216.52)</f>
        <v>216.52</v>
      </c>
      <c r="F2219" s="1">
        <f ca="1">IFERROR(__xludf.DUMMYFUNCTION("""COMPUTED_VALUE"""),118231113)</f>
        <v>118231113</v>
      </c>
    </row>
    <row r="2220" spans="1:6" x14ac:dyDescent="0.35">
      <c r="A2220" s="2">
        <f ca="1">IFERROR(__xludf.DUMMYFUNCTION("""COMPUTED_VALUE"""),45224.6666666666)</f>
        <v>45224.666666666599</v>
      </c>
      <c r="B2220" s="1">
        <f ca="1">IFERROR(__xludf.DUMMYFUNCTION("""COMPUTED_VALUE"""),215.88)</f>
        <v>215.88</v>
      </c>
      <c r="C2220" s="1">
        <f ca="1">IFERROR(__xludf.DUMMYFUNCTION("""COMPUTED_VALUE"""),220.1)</f>
        <v>220.1</v>
      </c>
      <c r="D2220" s="1">
        <f ca="1">IFERROR(__xludf.DUMMYFUNCTION("""COMPUTED_VALUE"""),212.2)</f>
        <v>212.2</v>
      </c>
      <c r="E2220" s="1">
        <f ca="1">IFERROR(__xludf.DUMMYFUNCTION("""COMPUTED_VALUE"""),212.42)</f>
        <v>212.42</v>
      </c>
      <c r="F2220" s="1">
        <f ca="1">IFERROR(__xludf.DUMMYFUNCTION("""COMPUTED_VALUE"""),107065087)</f>
        <v>107065087</v>
      </c>
    </row>
    <row r="2221" spans="1:6" x14ac:dyDescent="0.35">
      <c r="A2221" s="2">
        <f ca="1">IFERROR(__xludf.DUMMYFUNCTION("""COMPUTED_VALUE"""),45225.6666666666)</f>
        <v>45225.666666666599</v>
      </c>
      <c r="B2221" s="1">
        <f ca="1">IFERROR(__xludf.DUMMYFUNCTION("""COMPUTED_VALUE"""),211.32)</f>
        <v>211.32</v>
      </c>
      <c r="C2221" s="1">
        <f ca="1">IFERROR(__xludf.DUMMYFUNCTION("""COMPUTED_VALUE"""),214.8)</f>
        <v>214.8</v>
      </c>
      <c r="D2221" s="1">
        <f ca="1">IFERROR(__xludf.DUMMYFUNCTION("""COMPUTED_VALUE"""),204.88)</f>
        <v>204.88</v>
      </c>
      <c r="E2221" s="1">
        <f ca="1">IFERROR(__xludf.DUMMYFUNCTION("""COMPUTED_VALUE"""),205.76)</f>
        <v>205.76</v>
      </c>
      <c r="F2221" s="1">
        <f ca="1">IFERROR(__xludf.DUMMYFUNCTION("""COMPUTED_VALUE"""),115112635)</f>
        <v>115112635</v>
      </c>
    </row>
    <row r="2222" spans="1:6" x14ac:dyDescent="0.35">
      <c r="A2222" s="2">
        <f ca="1">IFERROR(__xludf.DUMMYFUNCTION("""COMPUTED_VALUE"""),45226.6666666666)</f>
        <v>45226.666666666599</v>
      </c>
      <c r="B2222" s="1">
        <f ca="1">IFERROR(__xludf.DUMMYFUNCTION("""COMPUTED_VALUE"""),210.6)</f>
        <v>210.6</v>
      </c>
      <c r="C2222" s="1">
        <f ca="1">IFERROR(__xludf.DUMMYFUNCTION("""COMPUTED_VALUE"""),212.41)</f>
        <v>212.41</v>
      </c>
      <c r="D2222" s="1">
        <f ca="1">IFERROR(__xludf.DUMMYFUNCTION("""COMPUTED_VALUE"""),205.77)</f>
        <v>205.77</v>
      </c>
      <c r="E2222" s="1">
        <f ca="1">IFERROR(__xludf.DUMMYFUNCTION("""COMPUTED_VALUE"""),207.3)</f>
        <v>207.3</v>
      </c>
      <c r="F2222" s="1">
        <f ca="1">IFERROR(__xludf.DUMMYFUNCTION("""COMPUTED_VALUE"""),94881173)</f>
        <v>94881173</v>
      </c>
    </row>
    <row r="2223" spans="1:6" x14ac:dyDescent="0.35">
      <c r="A2223" s="2">
        <f ca="1">IFERROR(__xludf.DUMMYFUNCTION("""COMPUTED_VALUE"""),45229.6666666666)</f>
        <v>45229.666666666599</v>
      </c>
      <c r="B2223" s="1">
        <f ca="1">IFERROR(__xludf.DUMMYFUNCTION("""COMPUTED_VALUE"""),209.28)</f>
        <v>209.28</v>
      </c>
      <c r="C2223" s="1">
        <f ca="1">IFERROR(__xludf.DUMMYFUNCTION("""COMPUTED_VALUE"""),210.88)</f>
        <v>210.88</v>
      </c>
      <c r="D2223" s="1">
        <f ca="1">IFERROR(__xludf.DUMMYFUNCTION("""COMPUTED_VALUE"""),194.67)</f>
        <v>194.67</v>
      </c>
      <c r="E2223" s="1">
        <f ca="1">IFERROR(__xludf.DUMMYFUNCTION("""COMPUTED_VALUE"""),197.36)</f>
        <v>197.36</v>
      </c>
      <c r="F2223" s="1">
        <f ca="1">IFERROR(__xludf.DUMMYFUNCTION("""COMPUTED_VALUE"""),136448167)</f>
        <v>136448167</v>
      </c>
    </row>
    <row r="2224" spans="1:6" x14ac:dyDescent="0.35">
      <c r="A2224" s="2">
        <f ca="1">IFERROR(__xludf.DUMMYFUNCTION("""COMPUTED_VALUE"""),45230.6666666666)</f>
        <v>45230.666666666599</v>
      </c>
      <c r="B2224" s="1">
        <f ca="1">IFERROR(__xludf.DUMMYFUNCTION("""COMPUTED_VALUE"""),196.12)</f>
        <v>196.12</v>
      </c>
      <c r="C2224" s="1">
        <f ca="1">IFERROR(__xludf.DUMMYFUNCTION("""COMPUTED_VALUE"""),202.8)</f>
        <v>202.8</v>
      </c>
      <c r="D2224" s="1">
        <f ca="1">IFERROR(__xludf.DUMMYFUNCTION("""COMPUTED_VALUE"""),194.07)</f>
        <v>194.07</v>
      </c>
      <c r="E2224" s="1">
        <f ca="1">IFERROR(__xludf.DUMMYFUNCTION("""COMPUTED_VALUE"""),200.84)</f>
        <v>200.84</v>
      </c>
      <c r="F2224" s="1">
        <f ca="1">IFERROR(__xludf.DUMMYFUNCTION("""COMPUTED_VALUE"""),118068273)</f>
        <v>118068273</v>
      </c>
    </row>
    <row r="2225" spans="1:6" x14ac:dyDescent="0.35">
      <c r="A2225" s="2">
        <f ca="1">IFERROR(__xludf.DUMMYFUNCTION("""COMPUTED_VALUE"""),45231.6666666666)</f>
        <v>45231.666666666599</v>
      </c>
      <c r="B2225" s="1">
        <f ca="1">IFERROR(__xludf.DUMMYFUNCTION("""COMPUTED_VALUE"""),204.04)</f>
        <v>204.04</v>
      </c>
      <c r="C2225" s="1">
        <f ca="1">IFERROR(__xludf.DUMMYFUNCTION("""COMPUTED_VALUE"""),205.99)</f>
        <v>205.99</v>
      </c>
      <c r="D2225" s="1">
        <f ca="1">IFERROR(__xludf.DUMMYFUNCTION("""COMPUTED_VALUE"""),197.85)</f>
        <v>197.85</v>
      </c>
      <c r="E2225" s="1">
        <f ca="1">IFERROR(__xludf.DUMMYFUNCTION("""COMPUTED_VALUE"""),205.66)</f>
        <v>205.66</v>
      </c>
      <c r="F2225" s="1">
        <f ca="1">IFERROR(__xludf.DUMMYFUNCTION("""COMPUTED_VALUE"""),121661656)</f>
        <v>121661656</v>
      </c>
    </row>
    <row r="2226" spans="1:6" x14ac:dyDescent="0.35">
      <c r="A2226" s="2">
        <f ca="1">IFERROR(__xludf.DUMMYFUNCTION("""COMPUTED_VALUE"""),45232.6666666666)</f>
        <v>45232.666666666599</v>
      </c>
      <c r="B2226" s="1">
        <f ca="1">IFERROR(__xludf.DUMMYFUNCTION("""COMPUTED_VALUE"""),212.97)</f>
        <v>212.97</v>
      </c>
      <c r="C2226" s="1">
        <f ca="1">IFERROR(__xludf.DUMMYFUNCTION("""COMPUTED_VALUE"""),219.2)</f>
        <v>219.2</v>
      </c>
      <c r="D2226" s="1">
        <f ca="1">IFERROR(__xludf.DUMMYFUNCTION("""COMPUTED_VALUE"""),211.45)</f>
        <v>211.45</v>
      </c>
      <c r="E2226" s="1">
        <f ca="1">IFERROR(__xludf.DUMMYFUNCTION("""COMPUTED_VALUE"""),218.51)</f>
        <v>218.51</v>
      </c>
      <c r="F2226" s="1">
        <f ca="1">IFERROR(__xludf.DUMMYFUNCTION("""COMPUTED_VALUE"""),125987621)</f>
        <v>125987621</v>
      </c>
    </row>
    <row r="2227" spans="1:6" x14ac:dyDescent="0.35">
      <c r="A2227" s="2">
        <f ca="1">IFERROR(__xludf.DUMMYFUNCTION("""COMPUTED_VALUE"""),45233.6666666666)</f>
        <v>45233.666666666599</v>
      </c>
      <c r="B2227" s="1">
        <f ca="1">IFERROR(__xludf.DUMMYFUNCTION("""COMPUTED_VALUE"""),221.15)</f>
        <v>221.15</v>
      </c>
      <c r="C2227" s="1">
        <f ca="1">IFERROR(__xludf.DUMMYFUNCTION("""COMPUTED_VALUE"""),226.37)</f>
        <v>226.37</v>
      </c>
      <c r="D2227" s="1">
        <f ca="1">IFERROR(__xludf.DUMMYFUNCTION("""COMPUTED_VALUE"""),218.4)</f>
        <v>218.4</v>
      </c>
      <c r="E2227" s="1">
        <f ca="1">IFERROR(__xludf.DUMMYFUNCTION("""COMPUTED_VALUE"""),219.96)</f>
        <v>219.96</v>
      </c>
      <c r="F2227" s="1">
        <f ca="1">IFERROR(__xludf.DUMMYFUNCTION("""COMPUTED_VALUE"""),119534790)</f>
        <v>119534790</v>
      </c>
    </row>
    <row r="2228" spans="1:6" x14ac:dyDescent="0.35">
      <c r="A2228" s="2">
        <f ca="1">IFERROR(__xludf.DUMMYFUNCTION("""COMPUTED_VALUE"""),45236.6666666666)</f>
        <v>45236.666666666599</v>
      </c>
      <c r="B2228" s="1">
        <f ca="1">IFERROR(__xludf.DUMMYFUNCTION("""COMPUTED_VALUE"""),223.98)</f>
        <v>223.98</v>
      </c>
      <c r="C2228" s="1">
        <f ca="1">IFERROR(__xludf.DUMMYFUNCTION("""COMPUTED_VALUE"""),226.32)</f>
        <v>226.32</v>
      </c>
      <c r="D2228" s="1">
        <f ca="1">IFERROR(__xludf.DUMMYFUNCTION("""COMPUTED_VALUE"""),215)</f>
        <v>215</v>
      </c>
      <c r="E2228" s="1">
        <f ca="1">IFERROR(__xludf.DUMMYFUNCTION("""COMPUTED_VALUE"""),219.27)</f>
        <v>219.27</v>
      </c>
      <c r="F2228" s="1">
        <f ca="1">IFERROR(__xludf.DUMMYFUNCTION("""COMPUTED_VALUE"""),117335820)</f>
        <v>117335820</v>
      </c>
    </row>
    <row r="2229" spans="1:6" x14ac:dyDescent="0.35">
      <c r="A2229" s="2">
        <f ca="1">IFERROR(__xludf.DUMMYFUNCTION("""COMPUTED_VALUE"""),45237.6666666666)</f>
        <v>45237.666666666599</v>
      </c>
      <c r="B2229" s="1">
        <f ca="1">IFERROR(__xludf.DUMMYFUNCTION("""COMPUTED_VALUE"""),219.98)</f>
        <v>219.98</v>
      </c>
      <c r="C2229" s="1">
        <f ca="1">IFERROR(__xludf.DUMMYFUNCTION("""COMPUTED_VALUE"""),223.12)</f>
        <v>223.12</v>
      </c>
      <c r="D2229" s="1">
        <f ca="1">IFERROR(__xludf.DUMMYFUNCTION("""COMPUTED_VALUE"""),215.72)</f>
        <v>215.72</v>
      </c>
      <c r="E2229" s="1">
        <f ca="1">IFERROR(__xludf.DUMMYFUNCTION("""COMPUTED_VALUE"""),222.18)</f>
        <v>222.18</v>
      </c>
      <c r="F2229" s="1">
        <f ca="1">IFERROR(__xludf.DUMMYFUNCTION("""COMPUTED_VALUE"""),116900130)</f>
        <v>116900130</v>
      </c>
    </row>
    <row r="2230" spans="1:6" x14ac:dyDescent="0.35">
      <c r="A2230" s="2">
        <f ca="1">IFERROR(__xludf.DUMMYFUNCTION("""COMPUTED_VALUE"""),45238.6666666666)</f>
        <v>45238.666666666599</v>
      </c>
      <c r="B2230" s="1">
        <f ca="1">IFERROR(__xludf.DUMMYFUNCTION("""COMPUTED_VALUE"""),223.15)</f>
        <v>223.15</v>
      </c>
      <c r="C2230" s="1">
        <f ca="1">IFERROR(__xludf.DUMMYFUNCTION("""COMPUTED_VALUE"""),224.15)</f>
        <v>224.15</v>
      </c>
      <c r="D2230" s="1">
        <f ca="1">IFERROR(__xludf.DUMMYFUNCTION("""COMPUTED_VALUE"""),217.64)</f>
        <v>217.64</v>
      </c>
      <c r="E2230" s="1">
        <f ca="1">IFERROR(__xludf.DUMMYFUNCTION("""COMPUTED_VALUE"""),222.11)</f>
        <v>222.11</v>
      </c>
      <c r="F2230" s="1">
        <f ca="1">IFERROR(__xludf.DUMMYFUNCTION("""COMPUTED_VALUE"""),106584841)</f>
        <v>106584841</v>
      </c>
    </row>
    <row r="2231" spans="1:6" x14ac:dyDescent="0.35">
      <c r="A2231" s="2">
        <f ca="1">IFERROR(__xludf.DUMMYFUNCTION("""COMPUTED_VALUE"""),45239.6666666666)</f>
        <v>45239.666666666599</v>
      </c>
      <c r="B2231" s="1">
        <f ca="1">IFERROR(__xludf.DUMMYFUNCTION("""COMPUTED_VALUE"""),219.75)</f>
        <v>219.75</v>
      </c>
      <c r="C2231" s="1">
        <f ca="1">IFERROR(__xludf.DUMMYFUNCTION("""COMPUTED_VALUE"""),220.8)</f>
        <v>220.8</v>
      </c>
      <c r="D2231" s="1">
        <f ca="1">IFERROR(__xludf.DUMMYFUNCTION("""COMPUTED_VALUE"""),206.68)</f>
        <v>206.68</v>
      </c>
      <c r="E2231" s="1">
        <f ca="1">IFERROR(__xludf.DUMMYFUNCTION("""COMPUTED_VALUE"""),209.98)</f>
        <v>209.98</v>
      </c>
      <c r="F2231" s="1">
        <f ca="1">IFERROR(__xludf.DUMMYFUNCTION("""COMPUTED_VALUE"""),142110454)</f>
        <v>142110454</v>
      </c>
    </row>
    <row r="2232" spans="1:6" x14ac:dyDescent="0.35">
      <c r="A2232" s="2">
        <f ca="1">IFERROR(__xludf.DUMMYFUNCTION("""COMPUTED_VALUE"""),45240.6666666666)</f>
        <v>45240.666666666599</v>
      </c>
      <c r="B2232" s="1">
        <f ca="1">IFERROR(__xludf.DUMMYFUNCTION("""COMPUTED_VALUE"""),210.03)</f>
        <v>210.03</v>
      </c>
      <c r="C2232" s="1">
        <f ca="1">IFERROR(__xludf.DUMMYFUNCTION("""COMPUTED_VALUE"""),215.38)</f>
        <v>215.38</v>
      </c>
      <c r="D2232" s="1">
        <f ca="1">IFERROR(__xludf.DUMMYFUNCTION("""COMPUTED_VALUE"""),205.69)</f>
        <v>205.69</v>
      </c>
      <c r="E2232" s="1">
        <f ca="1">IFERROR(__xludf.DUMMYFUNCTION("""COMPUTED_VALUE"""),214.65)</f>
        <v>214.65</v>
      </c>
      <c r="F2232" s="1">
        <f ca="1">IFERROR(__xludf.DUMMYFUNCTION("""COMPUTED_VALUE"""),131310128)</f>
        <v>131310128</v>
      </c>
    </row>
    <row r="2233" spans="1:6" x14ac:dyDescent="0.35">
      <c r="A2233" s="2">
        <f ca="1">IFERROR(__xludf.DUMMYFUNCTION("""COMPUTED_VALUE"""),45243.6666666666)</f>
        <v>45243.666666666599</v>
      </c>
      <c r="B2233" s="1">
        <f ca="1">IFERROR(__xludf.DUMMYFUNCTION("""COMPUTED_VALUE"""),215.6)</f>
        <v>215.6</v>
      </c>
      <c r="C2233" s="1">
        <f ca="1">IFERROR(__xludf.DUMMYFUNCTION("""COMPUTED_VALUE"""),225.4)</f>
        <v>225.4</v>
      </c>
      <c r="D2233" s="1">
        <f ca="1">IFERROR(__xludf.DUMMYFUNCTION("""COMPUTED_VALUE"""),211.61)</f>
        <v>211.61</v>
      </c>
      <c r="E2233" s="1">
        <f ca="1">IFERROR(__xludf.DUMMYFUNCTION("""COMPUTED_VALUE"""),223.71)</f>
        <v>223.71</v>
      </c>
      <c r="F2233" s="1">
        <f ca="1">IFERROR(__xludf.DUMMYFUNCTION("""COMPUTED_VALUE"""),140447569)</f>
        <v>140447569</v>
      </c>
    </row>
    <row r="2234" spans="1:6" x14ac:dyDescent="0.35">
      <c r="A2234" s="2">
        <f ca="1">IFERROR(__xludf.DUMMYFUNCTION("""COMPUTED_VALUE"""),45244.6666666666)</f>
        <v>45244.666666666599</v>
      </c>
      <c r="B2234" s="1">
        <f ca="1">IFERROR(__xludf.DUMMYFUNCTION("""COMPUTED_VALUE"""),235.03)</f>
        <v>235.03</v>
      </c>
      <c r="C2234" s="1">
        <f ca="1">IFERROR(__xludf.DUMMYFUNCTION("""COMPUTED_VALUE"""),238.14)</f>
        <v>238.14</v>
      </c>
      <c r="D2234" s="1">
        <f ca="1">IFERROR(__xludf.DUMMYFUNCTION("""COMPUTED_VALUE"""),230.72)</f>
        <v>230.72</v>
      </c>
      <c r="E2234" s="1">
        <f ca="1">IFERROR(__xludf.DUMMYFUNCTION("""COMPUTED_VALUE"""),237.41)</f>
        <v>237.41</v>
      </c>
      <c r="F2234" s="1">
        <f ca="1">IFERROR(__xludf.DUMMYFUNCTION("""COMPUTED_VALUE"""),149771642)</f>
        <v>149771642</v>
      </c>
    </row>
    <row r="2235" spans="1:6" x14ac:dyDescent="0.35">
      <c r="A2235" s="2">
        <f ca="1">IFERROR(__xludf.DUMMYFUNCTION("""COMPUTED_VALUE"""),45245.6666666666)</f>
        <v>45245.666666666599</v>
      </c>
      <c r="B2235" s="1">
        <f ca="1">IFERROR(__xludf.DUMMYFUNCTION("""COMPUTED_VALUE"""),239.29)</f>
        <v>239.29</v>
      </c>
      <c r="C2235" s="1">
        <f ca="1">IFERROR(__xludf.DUMMYFUNCTION("""COMPUTED_VALUE"""),246.7)</f>
        <v>246.7</v>
      </c>
      <c r="D2235" s="1">
        <f ca="1">IFERROR(__xludf.DUMMYFUNCTION("""COMPUTED_VALUE"""),236.45)</f>
        <v>236.45</v>
      </c>
      <c r="E2235" s="1">
        <f ca="1">IFERROR(__xludf.DUMMYFUNCTION("""COMPUTED_VALUE"""),242.84)</f>
        <v>242.84</v>
      </c>
      <c r="F2235" s="1">
        <f ca="1">IFERROR(__xludf.DUMMYFUNCTION("""COMPUTED_VALUE"""),150353975)</f>
        <v>150353975</v>
      </c>
    </row>
    <row r="2236" spans="1:6" x14ac:dyDescent="0.35">
      <c r="A2236" s="2">
        <f ca="1">IFERROR(__xludf.DUMMYFUNCTION("""COMPUTED_VALUE"""),45246.6666666666)</f>
        <v>45246.666666666599</v>
      </c>
      <c r="B2236" s="1">
        <f ca="1">IFERROR(__xludf.DUMMYFUNCTION("""COMPUTED_VALUE"""),239.49)</f>
        <v>239.49</v>
      </c>
      <c r="C2236" s="1">
        <f ca="1">IFERROR(__xludf.DUMMYFUNCTION("""COMPUTED_VALUE"""),240.88)</f>
        <v>240.88</v>
      </c>
      <c r="D2236" s="1">
        <f ca="1">IFERROR(__xludf.DUMMYFUNCTION("""COMPUTED_VALUE"""),230.96)</f>
        <v>230.96</v>
      </c>
      <c r="E2236" s="1">
        <f ca="1">IFERROR(__xludf.DUMMYFUNCTION("""COMPUTED_VALUE"""),233.59)</f>
        <v>233.59</v>
      </c>
      <c r="F2236" s="1">
        <f ca="1">IFERROR(__xludf.DUMMYFUNCTION("""COMPUTED_VALUE"""),136816819)</f>
        <v>136816819</v>
      </c>
    </row>
    <row r="2237" spans="1:6" x14ac:dyDescent="0.35">
      <c r="A2237" s="2">
        <f ca="1">IFERROR(__xludf.DUMMYFUNCTION("""COMPUTED_VALUE"""),45247.6666666666)</f>
        <v>45247.666666666599</v>
      </c>
      <c r="B2237" s="1">
        <f ca="1">IFERROR(__xludf.DUMMYFUNCTION("""COMPUTED_VALUE"""),232)</f>
        <v>232</v>
      </c>
      <c r="C2237" s="1">
        <f ca="1">IFERROR(__xludf.DUMMYFUNCTION("""COMPUTED_VALUE"""),237.39)</f>
        <v>237.39</v>
      </c>
      <c r="D2237" s="1">
        <f ca="1">IFERROR(__xludf.DUMMYFUNCTION("""COMPUTED_VALUE"""),226.54)</f>
        <v>226.54</v>
      </c>
      <c r="E2237" s="1">
        <f ca="1">IFERROR(__xludf.DUMMYFUNCTION("""COMPUTED_VALUE"""),234.3)</f>
        <v>234.3</v>
      </c>
      <c r="F2237" s="1">
        <f ca="1">IFERROR(__xludf.DUMMYFUNCTION("""COMPUTED_VALUE"""),142766234)</f>
        <v>142766234</v>
      </c>
    </row>
    <row r="2238" spans="1:6" x14ac:dyDescent="0.35">
      <c r="A2238" s="2">
        <f ca="1">IFERROR(__xludf.DUMMYFUNCTION("""COMPUTED_VALUE"""),45250.6666666666)</f>
        <v>45250.666666666599</v>
      </c>
      <c r="B2238" s="1">
        <f ca="1">IFERROR(__xludf.DUMMYFUNCTION("""COMPUTED_VALUE"""),234.04)</f>
        <v>234.04</v>
      </c>
      <c r="C2238" s="1">
        <f ca="1">IFERROR(__xludf.DUMMYFUNCTION("""COMPUTED_VALUE"""),237.1)</f>
        <v>237.1</v>
      </c>
      <c r="D2238" s="1">
        <f ca="1">IFERROR(__xludf.DUMMYFUNCTION("""COMPUTED_VALUE"""),231.02)</f>
        <v>231.02</v>
      </c>
      <c r="E2238" s="1">
        <f ca="1">IFERROR(__xludf.DUMMYFUNCTION("""COMPUTED_VALUE"""),235.6)</f>
        <v>235.6</v>
      </c>
      <c r="F2238" s="1">
        <f ca="1">IFERROR(__xludf.DUMMYFUNCTION("""COMPUTED_VALUE"""),116562402)</f>
        <v>116562402</v>
      </c>
    </row>
    <row r="2239" spans="1:6" x14ac:dyDescent="0.35">
      <c r="A2239" s="2">
        <f ca="1">IFERROR(__xludf.DUMMYFUNCTION("""COMPUTED_VALUE"""),45251.6666666666)</f>
        <v>45251.666666666599</v>
      </c>
      <c r="B2239" s="1">
        <f ca="1">IFERROR(__xludf.DUMMYFUNCTION("""COMPUTED_VALUE"""),235.04)</f>
        <v>235.04</v>
      </c>
      <c r="C2239" s="1">
        <f ca="1">IFERROR(__xludf.DUMMYFUNCTION("""COMPUTED_VALUE"""),243.62)</f>
        <v>243.62</v>
      </c>
      <c r="D2239" s="1">
        <f ca="1">IFERROR(__xludf.DUMMYFUNCTION("""COMPUTED_VALUE"""),233.34)</f>
        <v>233.34</v>
      </c>
      <c r="E2239" s="1">
        <f ca="1">IFERROR(__xludf.DUMMYFUNCTION("""COMPUTED_VALUE"""),241.2)</f>
        <v>241.2</v>
      </c>
      <c r="F2239" s="1">
        <f ca="1">IFERROR(__xludf.DUMMYFUNCTION("""COMPUTED_VALUE"""),122288000)</f>
        <v>122288000</v>
      </c>
    </row>
    <row r="2240" spans="1:6" x14ac:dyDescent="0.35">
      <c r="A2240" s="2">
        <f ca="1">IFERROR(__xludf.DUMMYFUNCTION("""COMPUTED_VALUE"""),45252.6666666666)</f>
        <v>45252.666666666599</v>
      </c>
      <c r="B2240" s="1">
        <f ca="1">IFERROR(__xludf.DUMMYFUNCTION("""COMPUTED_VALUE"""),242.04)</f>
        <v>242.04</v>
      </c>
      <c r="C2240" s="1">
        <f ca="1">IFERROR(__xludf.DUMMYFUNCTION("""COMPUTED_VALUE"""),244.01)</f>
        <v>244.01</v>
      </c>
      <c r="D2240" s="1">
        <f ca="1">IFERROR(__xludf.DUMMYFUNCTION("""COMPUTED_VALUE"""),231.4)</f>
        <v>231.4</v>
      </c>
      <c r="E2240" s="1">
        <f ca="1">IFERROR(__xludf.DUMMYFUNCTION("""COMPUTED_VALUE"""),234.21)</f>
        <v>234.21</v>
      </c>
      <c r="F2240" s="1">
        <f ca="1">IFERROR(__xludf.DUMMYFUNCTION("""COMPUTED_VALUE"""),118117078)</f>
        <v>118117078</v>
      </c>
    </row>
    <row r="2241" spans="1:6" x14ac:dyDescent="0.35">
      <c r="A2241" s="2">
        <f ca="1">IFERROR(__xludf.DUMMYFUNCTION("""COMPUTED_VALUE"""),45254.5451388888)</f>
        <v>45254.545138888803</v>
      </c>
      <c r="B2241" s="1">
        <f ca="1">IFERROR(__xludf.DUMMYFUNCTION("""COMPUTED_VALUE"""),233.75)</f>
        <v>233.75</v>
      </c>
      <c r="C2241" s="1">
        <f ca="1">IFERROR(__xludf.DUMMYFUNCTION("""COMPUTED_VALUE"""),238.75)</f>
        <v>238.75</v>
      </c>
      <c r="D2241" s="1">
        <f ca="1">IFERROR(__xludf.DUMMYFUNCTION("""COMPUTED_VALUE"""),232.33)</f>
        <v>232.33</v>
      </c>
      <c r="E2241" s="1">
        <f ca="1">IFERROR(__xludf.DUMMYFUNCTION("""COMPUTED_VALUE"""),235.45)</f>
        <v>235.45</v>
      </c>
      <c r="F2241" s="1">
        <f ca="1">IFERROR(__xludf.DUMMYFUNCTION("""COMPUTED_VALUE"""),65125203)</f>
        <v>65125203</v>
      </c>
    </row>
    <row r="2242" spans="1:6" x14ac:dyDescent="0.35">
      <c r="A2242" s="2">
        <f ca="1">IFERROR(__xludf.DUMMYFUNCTION("""COMPUTED_VALUE"""),45257.6666666666)</f>
        <v>45257.666666666599</v>
      </c>
      <c r="B2242" s="1">
        <f ca="1">IFERROR(__xludf.DUMMYFUNCTION("""COMPUTED_VALUE"""),236.89)</f>
        <v>236.89</v>
      </c>
      <c r="C2242" s="1">
        <f ca="1">IFERROR(__xludf.DUMMYFUNCTION("""COMPUTED_VALUE"""),238.33)</f>
        <v>238.33</v>
      </c>
      <c r="D2242" s="1">
        <f ca="1">IFERROR(__xludf.DUMMYFUNCTION("""COMPUTED_VALUE"""),232.1)</f>
        <v>232.1</v>
      </c>
      <c r="E2242" s="1">
        <f ca="1">IFERROR(__xludf.DUMMYFUNCTION("""COMPUTED_VALUE"""),236.08)</f>
        <v>236.08</v>
      </c>
      <c r="F2242" s="1">
        <f ca="1">IFERROR(__xludf.DUMMYFUNCTION("""COMPUTED_VALUE"""),112031763)</f>
        <v>112031763</v>
      </c>
    </row>
    <row r="2243" spans="1:6" x14ac:dyDescent="0.35">
      <c r="A2243" s="2">
        <f ca="1">IFERROR(__xludf.DUMMYFUNCTION("""COMPUTED_VALUE"""),45258.6666666666)</f>
        <v>45258.666666666599</v>
      </c>
      <c r="B2243" s="1">
        <f ca="1">IFERROR(__xludf.DUMMYFUNCTION("""COMPUTED_VALUE"""),236.68)</f>
        <v>236.68</v>
      </c>
      <c r="C2243" s="1">
        <f ca="1">IFERROR(__xludf.DUMMYFUNCTION("""COMPUTED_VALUE"""),247)</f>
        <v>247</v>
      </c>
      <c r="D2243" s="1">
        <f ca="1">IFERROR(__xludf.DUMMYFUNCTION("""COMPUTED_VALUE"""),234.01)</f>
        <v>234.01</v>
      </c>
      <c r="E2243" s="1">
        <f ca="1">IFERROR(__xludf.DUMMYFUNCTION("""COMPUTED_VALUE"""),246.72)</f>
        <v>246.72</v>
      </c>
      <c r="F2243" s="1">
        <f ca="1">IFERROR(__xludf.DUMMYFUNCTION("""COMPUTED_VALUE"""),148549913)</f>
        <v>148549913</v>
      </c>
    </row>
    <row r="2244" spans="1:6" x14ac:dyDescent="0.35">
      <c r="A2244" s="2">
        <f ca="1">IFERROR(__xludf.DUMMYFUNCTION("""COMPUTED_VALUE"""),45259.6666666666)</f>
        <v>45259.666666666599</v>
      </c>
      <c r="B2244" s="1">
        <f ca="1">IFERROR(__xludf.DUMMYFUNCTION("""COMPUTED_VALUE"""),249.21)</f>
        <v>249.21</v>
      </c>
      <c r="C2244" s="1">
        <f ca="1">IFERROR(__xludf.DUMMYFUNCTION("""COMPUTED_VALUE"""),252.75)</f>
        <v>252.75</v>
      </c>
      <c r="D2244" s="1">
        <f ca="1">IFERROR(__xludf.DUMMYFUNCTION("""COMPUTED_VALUE"""),242.76)</f>
        <v>242.76</v>
      </c>
      <c r="E2244" s="1">
        <f ca="1">IFERROR(__xludf.DUMMYFUNCTION("""COMPUTED_VALUE"""),244.14)</f>
        <v>244.14</v>
      </c>
      <c r="F2244" s="1">
        <f ca="1">IFERROR(__xludf.DUMMYFUNCTION("""COMPUTED_VALUE"""),135401335)</f>
        <v>135401335</v>
      </c>
    </row>
    <row r="2245" spans="1:6" x14ac:dyDescent="0.35">
      <c r="A2245" s="2">
        <f ca="1">IFERROR(__xludf.DUMMYFUNCTION("""COMPUTED_VALUE"""),45260.6666666666)</f>
        <v>45260.666666666599</v>
      </c>
      <c r="B2245" s="1">
        <f ca="1">IFERROR(__xludf.DUMMYFUNCTION("""COMPUTED_VALUE"""),245.14)</f>
        <v>245.14</v>
      </c>
      <c r="C2245" s="1">
        <f ca="1">IFERROR(__xludf.DUMMYFUNCTION("""COMPUTED_VALUE"""),245.22)</f>
        <v>245.22</v>
      </c>
      <c r="D2245" s="1">
        <f ca="1">IFERROR(__xludf.DUMMYFUNCTION("""COMPUTED_VALUE"""),236.91)</f>
        <v>236.91</v>
      </c>
      <c r="E2245" s="1">
        <f ca="1">IFERROR(__xludf.DUMMYFUNCTION("""COMPUTED_VALUE"""),240.08)</f>
        <v>240.08</v>
      </c>
      <c r="F2245" s="1">
        <f ca="1">IFERROR(__xludf.DUMMYFUNCTION("""COMPUTED_VALUE"""),132353196)</f>
        <v>132353196</v>
      </c>
    </row>
    <row r="2246" spans="1:6" x14ac:dyDescent="0.35">
      <c r="A2246" s="2">
        <f ca="1">IFERROR(__xludf.DUMMYFUNCTION("""COMPUTED_VALUE"""),45261.6666666666)</f>
        <v>45261.666666666599</v>
      </c>
      <c r="B2246" s="1">
        <f ca="1">IFERROR(__xludf.DUMMYFUNCTION("""COMPUTED_VALUE"""),233.14)</f>
        <v>233.14</v>
      </c>
      <c r="C2246" s="1">
        <f ca="1">IFERROR(__xludf.DUMMYFUNCTION("""COMPUTED_VALUE"""),240.19)</f>
        <v>240.19</v>
      </c>
      <c r="D2246" s="1">
        <f ca="1">IFERROR(__xludf.DUMMYFUNCTION("""COMPUTED_VALUE"""),231.9)</f>
        <v>231.9</v>
      </c>
      <c r="E2246" s="1">
        <f ca="1">IFERROR(__xludf.DUMMYFUNCTION("""COMPUTED_VALUE"""),238.83)</f>
        <v>238.83</v>
      </c>
      <c r="F2246" s="1">
        <f ca="1">IFERROR(__xludf.DUMMYFUNCTION("""COMPUTED_VALUE"""),121331709)</f>
        <v>121331709</v>
      </c>
    </row>
    <row r="2247" spans="1:6" x14ac:dyDescent="0.35">
      <c r="A2247" s="2">
        <f ca="1">IFERROR(__xludf.DUMMYFUNCTION("""COMPUTED_VALUE"""),45264.6666666666)</f>
        <v>45264.666666666599</v>
      </c>
      <c r="B2247" s="1">
        <f ca="1">IFERROR(__xludf.DUMMYFUNCTION("""COMPUTED_VALUE"""),235.75)</f>
        <v>235.75</v>
      </c>
      <c r="C2247" s="1">
        <f ca="1">IFERROR(__xludf.DUMMYFUNCTION("""COMPUTED_VALUE"""),239.37)</f>
        <v>239.37</v>
      </c>
      <c r="D2247" s="1">
        <f ca="1">IFERROR(__xludf.DUMMYFUNCTION("""COMPUTED_VALUE"""),233.29)</f>
        <v>233.29</v>
      </c>
      <c r="E2247" s="1">
        <f ca="1">IFERROR(__xludf.DUMMYFUNCTION("""COMPUTED_VALUE"""),235.58)</f>
        <v>235.58</v>
      </c>
      <c r="F2247" s="1">
        <f ca="1">IFERROR(__xludf.DUMMYFUNCTION("""COMPUTED_VALUE"""),104099817)</f>
        <v>104099817</v>
      </c>
    </row>
    <row r="2248" spans="1:6" x14ac:dyDescent="0.35">
      <c r="A2248" s="2">
        <f ca="1">IFERROR(__xludf.DUMMYFUNCTION("""COMPUTED_VALUE"""),45265.6666666666)</f>
        <v>45265.666666666599</v>
      </c>
      <c r="B2248" s="1">
        <f ca="1">IFERROR(__xludf.DUMMYFUNCTION("""COMPUTED_VALUE"""),233.87)</f>
        <v>233.87</v>
      </c>
      <c r="C2248" s="1">
        <f ca="1">IFERROR(__xludf.DUMMYFUNCTION("""COMPUTED_VALUE"""),246.66)</f>
        <v>246.66</v>
      </c>
      <c r="D2248" s="1">
        <f ca="1">IFERROR(__xludf.DUMMYFUNCTION("""COMPUTED_VALUE"""),233.7)</f>
        <v>233.7</v>
      </c>
      <c r="E2248" s="1">
        <f ca="1">IFERROR(__xludf.DUMMYFUNCTION("""COMPUTED_VALUE"""),238.72)</f>
        <v>238.72</v>
      </c>
      <c r="F2248" s="1">
        <f ca="1">IFERROR(__xludf.DUMMYFUNCTION("""COMPUTED_VALUE"""),137971115)</f>
        <v>137971115</v>
      </c>
    </row>
    <row r="2249" spans="1:6" x14ac:dyDescent="0.35">
      <c r="A2249" s="2">
        <f ca="1">IFERROR(__xludf.DUMMYFUNCTION("""COMPUTED_VALUE"""),45266.6666666666)</f>
        <v>45266.666666666599</v>
      </c>
      <c r="B2249" s="1">
        <f ca="1">IFERROR(__xludf.DUMMYFUNCTION("""COMPUTED_VALUE"""),242.92)</f>
        <v>242.92</v>
      </c>
      <c r="C2249" s="1">
        <f ca="1">IFERROR(__xludf.DUMMYFUNCTION("""COMPUTED_VALUE"""),246.57)</f>
        <v>246.57</v>
      </c>
      <c r="D2249" s="1">
        <f ca="1">IFERROR(__xludf.DUMMYFUNCTION("""COMPUTED_VALUE"""),239.17)</f>
        <v>239.17</v>
      </c>
      <c r="E2249" s="1">
        <f ca="1">IFERROR(__xludf.DUMMYFUNCTION("""COMPUTED_VALUE"""),239.37)</f>
        <v>239.37</v>
      </c>
      <c r="F2249" s="1">
        <f ca="1">IFERROR(__xludf.DUMMYFUNCTION("""COMPUTED_VALUE"""),126436179)</f>
        <v>126436179</v>
      </c>
    </row>
    <row r="2250" spans="1:6" x14ac:dyDescent="0.35">
      <c r="A2250" s="2">
        <f ca="1">IFERROR(__xludf.DUMMYFUNCTION("""COMPUTED_VALUE"""),45267.6666666666)</f>
        <v>45267.666666666599</v>
      </c>
      <c r="B2250" s="1">
        <f ca="1">IFERROR(__xludf.DUMMYFUNCTION("""COMPUTED_VALUE"""),241.55)</f>
        <v>241.55</v>
      </c>
      <c r="C2250" s="1">
        <f ca="1">IFERROR(__xludf.DUMMYFUNCTION("""COMPUTED_VALUE"""),244.08)</f>
        <v>244.08</v>
      </c>
      <c r="D2250" s="1">
        <f ca="1">IFERROR(__xludf.DUMMYFUNCTION("""COMPUTED_VALUE"""),236.98)</f>
        <v>236.98</v>
      </c>
      <c r="E2250" s="1">
        <f ca="1">IFERROR(__xludf.DUMMYFUNCTION("""COMPUTED_VALUE"""),242.64)</f>
        <v>242.64</v>
      </c>
      <c r="F2250" s="1">
        <f ca="1">IFERROR(__xludf.DUMMYFUNCTION("""COMPUTED_VALUE"""),107142262)</f>
        <v>107142262</v>
      </c>
    </row>
    <row r="2251" spans="1:6" x14ac:dyDescent="0.35">
      <c r="A2251" s="2">
        <f ca="1">IFERROR(__xludf.DUMMYFUNCTION("""COMPUTED_VALUE"""),45268.6666666666)</f>
        <v>45268.666666666599</v>
      </c>
      <c r="B2251" s="1">
        <f ca="1">IFERROR(__xludf.DUMMYFUNCTION("""COMPUTED_VALUE"""),240.27)</f>
        <v>240.27</v>
      </c>
      <c r="C2251" s="1">
        <f ca="1">IFERROR(__xludf.DUMMYFUNCTION("""COMPUTED_VALUE"""),245.27)</f>
        <v>245.27</v>
      </c>
      <c r="D2251" s="1">
        <f ca="1">IFERROR(__xludf.DUMMYFUNCTION("""COMPUTED_VALUE"""),239.27)</f>
        <v>239.27</v>
      </c>
      <c r="E2251" s="1">
        <f ca="1">IFERROR(__xludf.DUMMYFUNCTION("""COMPUTED_VALUE"""),243.84)</f>
        <v>243.84</v>
      </c>
      <c r="F2251" s="1">
        <f ca="1">IFERROR(__xludf.DUMMYFUNCTION("""COMPUTED_VALUE"""),103126829)</f>
        <v>103126829</v>
      </c>
    </row>
    <row r="2252" spans="1:6" x14ac:dyDescent="0.35">
      <c r="A2252" s="2">
        <f ca="1">IFERROR(__xludf.DUMMYFUNCTION("""COMPUTED_VALUE"""),45271.6666666666)</f>
        <v>45271.666666666599</v>
      </c>
      <c r="B2252" s="1">
        <f ca="1">IFERROR(__xludf.DUMMYFUNCTION("""COMPUTED_VALUE"""),242.74)</f>
        <v>242.74</v>
      </c>
      <c r="C2252" s="1">
        <f ca="1">IFERROR(__xludf.DUMMYFUNCTION("""COMPUTED_VALUE"""),243.44)</f>
        <v>243.44</v>
      </c>
      <c r="D2252" s="1">
        <f ca="1">IFERROR(__xludf.DUMMYFUNCTION("""COMPUTED_VALUE"""),237.45)</f>
        <v>237.45</v>
      </c>
      <c r="E2252" s="1">
        <f ca="1">IFERROR(__xludf.DUMMYFUNCTION("""COMPUTED_VALUE"""),239.74)</f>
        <v>239.74</v>
      </c>
      <c r="F2252" s="1">
        <f ca="1">IFERROR(__xludf.DUMMYFUNCTION("""COMPUTED_VALUE"""),97913888)</f>
        <v>97913888</v>
      </c>
    </row>
    <row r="2253" spans="1:6" x14ac:dyDescent="0.35">
      <c r="A2253" s="2">
        <f ca="1">IFERROR(__xludf.DUMMYFUNCTION("""COMPUTED_VALUE"""),45272.6666666666)</f>
        <v>45272.666666666599</v>
      </c>
      <c r="B2253" s="1">
        <f ca="1">IFERROR(__xludf.DUMMYFUNCTION("""COMPUTED_VALUE"""),238.55)</f>
        <v>238.55</v>
      </c>
      <c r="C2253" s="1">
        <f ca="1">IFERROR(__xludf.DUMMYFUNCTION("""COMPUTED_VALUE"""),238.99)</f>
        <v>238.99</v>
      </c>
      <c r="D2253" s="1">
        <f ca="1">IFERROR(__xludf.DUMMYFUNCTION("""COMPUTED_VALUE"""),233.87)</f>
        <v>233.87</v>
      </c>
      <c r="E2253" s="1">
        <f ca="1">IFERROR(__xludf.DUMMYFUNCTION("""COMPUTED_VALUE"""),237.01)</f>
        <v>237.01</v>
      </c>
      <c r="F2253" s="1">
        <f ca="1">IFERROR(__xludf.DUMMYFUNCTION("""COMPUTED_VALUE"""),95328313)</f>
        <v>95328313</v>
      </c>
    </row>
    <row r="2254" spans="1:6" x14ac:dyDescent="0.35">
      <c r="A2254" s="2">
        <f ca="1">IFERROR(__xludf.DUMMYFUNCTION("""COMPUTED_VALUE"""),45273.6666666666)</f>
        <v>45273.666666666599</v>
      </c>
      <c r="B2254" s="1">
        <f ca="1">IFERROR(__xludf.DUMMYFUNCTION("""COMPUTED_VALUE"""),234.19)</f>
        <v>234.19</v>
      </c>
      <c r="C2254" s="1">
        <f ca="1">IFERROR(__xludf.DUMMYFUNCTION("""COMPUTED_VALUE"""),240.3)</f>
        <v>240.3</v>
      </c>
      <c r="D2254" s="1">
        <f ca="1">IFERROR(__xludf.DUMMYFUNCTION("""COMPUTED_VALUE"""),228.2)</f>
        <v>228.2</v>
      </c>
      <c r="E2254" s="1">
        <f ca="1">IFERROR(__xludf.DUMMYFUNCTION("""COMPUTED_VALUE"""),239.29)</f>
        <v>239.29</v>
      </c>
      <c r="F2254" s="1">
        <f ca="1">IFERROR(__xludf.DUMMYFUNCTION("""COMPUTED_VALUE"""),146286348)</f>
        <v>146286348</v>
      </c>
    </row>
    <row r="2255" spans="1:6" x14ac:dyDescent="0.35">
      <c r="A2255" s="2">
        <f ca="1">IFERROR(__xludf.DUMMYFUNCTION("""COMPUTED_VALUE"""),45274.6666666666)</f>
        <v>45274.666666666599</v>
      </c>
      <c r="B2255" s="1">
        <f ca="1">IFERROR(__xludf.DUMMYFUNCTION("""COMPUTED_VALUE"""),241.22)</f>
        <v>241.22</v>
      </c>
      <c r="C2255" s="1">
        <f ca="1">IFERROR(__xludf.DUMMYFUNCTION("""COMPUTED_VALUE"""),253.88)</f>
        <v>253.88</v>
      </c>
      <c r="D2255" s="1">
        <f ca="1">IFERROR(__xludf.DUMMYFUNCTION("""COMPUTED_VALUE"""),240.79)</f>
        <v>240.79</v>
      </c>
      <c r="E2255" s="1">
        <f ca="1">IFERROR(__xludf.DUMMYFUNCTION("""COMPUTED_VALUE"""),251.05)</f>
        <v>251.05</v>
      </c>
      <c r="F2255" s="1">
        <f ca="1">IFERROR(__xludf.DUMMYFUNCTION("""COMPUTED_VALUE"""),160829239)</f>
        <v>160829239</v>
      </c>
    </row>
    <row r="2256" spans="1:6" x14ac:dyDescent="0.35">
      <c r="A2256" s="2">
        <f ca="1">IFERROR(__xludf.DUMMYFUNCTION("""COMPUTED_VALUE"""),45275.6666666666)</f>
        <v>45275.666666666599</v>
      </c>
      <c r="B2256" s="1">
        <f ca="1">IFERROR(__xludf.DUMMYFUNCTION("""COMPUTED_VALUE"""),251.21)</f>
        <v>251.21</v>
      </c>
      <c r="C2256" s="1">
        <f ca="1">IFERROR(__xludf.DUMMYFUNCTION("""COMPUTED_VALUE"""),254.13)</f>
        <v>254.13</v>
      </c>
      <c r="D2256" s="1">
        <f ca="1">IFERROR(__xludf.DUMMYFUNCTION("""COMPUTED_VALUE"""),248.3)</f>
        <v>248.3</v>
      </c>
      <c r="E2256" s="1">
        <f ca="1">IFERROR(__xludf.DUMMYFUNCTION("""COMPUTED_VALUE"""),253.5)</f>
        <v>253.5</v>
      </c>
      <c r="F2256" s="1">
        <f ca="1">IFERROR(__xludf.DUMMYFUNCTION("""COMPUTED_VALUE"""),135932762)</f>
        <v>135932762</v>
      </c>
    </row>
    <row r="2257" spans="1:6" x14ac:dyDescent="0.35">
      <c r="A2257" s="2">
        <f ca="1">IFERROR(__xludf.DUMMYFUNCTION("""COMPUTED_VALUE"""),45278.6666666666)</f>
        <v>45278.666666666599</v>
      </c>
      <c r="B2257" s="1">
        <f ca="1">IFERROR(__xludf.DUMMYFUNCTION("""COMPUTED_VALUE"""),253.78)</f>
        <v>253.78</v>
      </c>
      <c r="C2257" s="1">
        <f ca="1">IFERROR(__xludf.DUMMYFUNCTION("""COMPUTED_VALUE"""),258.74)</f>
        <v>258.74</v>
      </c>
      <c r="D2257" s="1">
        <f ca="1">IFERROR(__xludf.DUMMYFUNCTION("""COMPUTED_VALUE"""),251.36)</f>
        <v>251.36</v>
      </c>
      <c r="E2257" s="1">
        <f ca="1">IFERROR(__xludf.DUMMYFUNCTION("""COMPUTED_VALUE"""),252.08)</f>
        <v>252.08</v>
      </c>
      <c r="F2257" s="1">
        <f ca="1">IFERROR(__xludf.DUMMYFUNCTION("""COMPUTED_VALUE"""),116416490)</f>
        <v>116416490</v>
      </c>
    </row>
    <row r="2258" spans="1:6" x14ac:dyDescent="0.35">
      <c r="A2258" s="2">
        <f ca="1">IFERROR(__xludf.DUMMYFUNCTION("""COMPUTED_VALUE"""),45279.6666666666)</f>
        <v>45279.666666666599</v>
      </c>
      <c r="B2258" s="1">
        <f ca="1">IFERROR(__xludf.DUMMYFUNCTION("""COMPUTED_VALUE"""),253.48)</f>
        <v>253.48</v>
      </c>
      <c r="C2258" s="1">
        <f ca="1">IFERROR(__xludf.DUMMYFUNCTION("""COMPUTED_VALUE"""),258.34)</f>
        <v>258.33999999999997</v>
      </c>
      <c r="D2258" s="1">
        <f ca="1">IFERROR(__xludf.DUMMYFUNCTION("""COMPUTED_VALUE"""),253.01)</f>
        <v>253.01</v>
      </c>
      <c r="E2258" s="1">
        <f ca="1">IFERROR(__xludf.DUMMYFUNCTION("""COMPUTED_VALUE"""),257.22)</f>
        <v>257.22000000000003</v>
      </c>
      <c r="F2258" s="1">
        <f ca="1">IFERROR(__xludf.DUMMYFUNCTION("""COMPUTED_VALUE"""),106737369)</f>
        <v>106737369</v>
      </c>
    </row>
    <row r="2259" spans="1:6" x14ac:dyDescent="0.35">
      <c r="A2259" s="2">
        <f ca="1">IFERROR(__xludf.DUMMYFUNCTION("""COMPUTED_VALUE"""),45280.6666666666)</f>
        <v>45280.666666666599</v>
      </c>
      <c r="B2259" s="1">
        <f ca="1">IFERROR(__xludf.DUMMYFUNCTION("""COMPUTED_VALUE"""),256.41)</f>
        <v>256.41000000000003</v>
      </c>
      <c r="C2259" s="1">
        <f ca="1">IFERROR(__xludf.DUMMYFUNCTION("""COMPUTED_VALUE"""),259.84)</f>
        <v>259.83999999999997</v>
      </c>
      <c r="D2259" s="1">
        <f ca="1">IFERROR(__xludf.DUMMYFUNCTION("""COMPUTED_VALUE"""),247)</f>
        <v>247</v>
      </c>
      <c r="E2259" s="1">
        <f ca="1">IFERROR(__xludf.DUMMYFUNCTION("""COMPUTED_VALUE"""),247.14)</f>
        <v>247.14</v>
      </c>
      <c r="F2259" s="1">
        <f ca="1">IFERROR(__xludf.DUMMYFUNCTION("""COMPUTED_VALUE"""),125096987)</f>
        <v>125096987</v>
      </c>
    </row>
    <row r="2260" spans="1:6" x14ac:dyDescent="0.35">
      <c r="A2260" s="2">
        <f ca="1">IFERROR(__xludf.DUMMYFUNCTION("""COMPUTED_VALUE"""),45281.6666666666)</f>
        <v>45281.666666666599</v>
      </c>
      <c r="B2260" s="1">
        <f ca="1">IFERROR(__xludf.DUMMYFUNCTION("""COMPUTED_VALUE"""),251.9)</f>
        <v>251.9</v>
      </c>
      <c r="C2260" s="1">
        <f ca="1">IFERROR(__xludf.DUMMYFUNCTION("""COMPUTED_VALUE"""),254.8)</f>
        <v>254.8</v>
      </c>
      <c r="D2260" s="1">
        <f ca="1">IFERROR(__xludf.DUMMYFUNCTION("""COMPUTED_VALUE"""),248.55)</f>
        <v>248.55</v>
      </c>
      <c r="E2260" s="1">
        <f ca="1">IFERROR(__xludf.DUMMYFUNCTION("""COMPUTED_VALUE"""),254.5)</f>
        <v>254.5</v>
      </c>
      <c r="F2260" s="1">
        <f ca="1">IFERROR(__xludf.DUMMYFUNCTION("""COMPUTED_VALUE"""),109594227)</f>
        <v>109594227</v>
      </c>
    </row>
    <row r="2261" spans="1:6" x14ac:dyDescent="0.35">
      <c r="A2261" s="2">
        <f ca="1">IFERROR(__xludf.DUMMYFUNCTION("""COMPUTED_VALUE"""),45282.6666666666)</f>
        <v>45282.666666666599</v>
      </c>
      <c r="B2261" s="1">
        <f ca="1">IFERROR(__xludf.DUMMYFUNCTION("""COMPUTED_VALUE"""),256.76)</f>
        <v>256.76</v>
      </c>
      <c r="C2261" s="1">
        <f ca="1">IFERROR(__xludf.DUMMYFUNCTION("""COMPUTED_VALUE"""),258.22)</f>
        <v>258.22000000000003</v>
      </c>
      <c r="D2261" s="1">
        <f ca="1">IFERROR(__xludf.DUMMYFUNCTION("""COMPUTED_VALUE"""),251.37)</f>
        <v>251.37</v>
      </c>
      <c r="E2261" s="1">
        <f ca="1">IFERROR(__xludf.DUMMYFUNCTION("""COMPUTED_VALUE"""),252.54)</f>
        <v>252.54</v>
      </c>
      <c r="F2261" s="1">
        <f ca="1">IFERROR(__xludf.DUMMYFUNCTION("""COMPUTED_VALUE"""),93370094)</f>
        <v>93370094</v>
      </c>
    </row>
    <row r="2262" spans="1:6" x14ac:dyDescent="0.35">
      <c r="A2262" s="2">
        <f ca="1">IFERROR(__xludf.DUMMYFUNCTION("""COMPUTED_VALUE"""),45286.6666666666)</f>
        <v>45286.666666666599</v>
      </c>
      <c r="B2262" s="1">
        <f ca="1">IFERROR(__xludf.DUMMYFUNCTION("""COMPUTED_VALUE"""),254.49)</f>
        <v>254.49</v>
      </c>
      <c r="C2262" s="1">
        <f ca="1">IFERROR(__xludf.DUMMYFUNCTION("""COMPUTED_VALUE"""),257.97)</f>
        <v>257.97000000000003</v>
      </c>
      <c r="D2262" s="1">
        <f ca="1">IFERROR(__xludf.DUMMYFUNCTION("""COMPUTED_VALUE"""),252.91)</f>
        <v>252.91</v>
      </c>
      <c r="E2262" s="1">
        <f ca="1">IFERROR(__xludf.DUMMYFUNCTION("""COMPUTED_VALUE"""),256.61)</f>
        <v>256.61</v>
      </c>
      <c r="F2262" s="1">
        <f ca="1">IFERROR(__xludf.DUMMYFUNCTION("""COMPUTED_VALUE"""),86892382)</f>
        <v>86892382</v>
      </c>
    </row>
    <row r="2263" spans="1:6" x14ac:dyDescent="0.35">
      <c r="A2263" s="2">
        <f ca="1">IFERROR(__xludf.DUMMYFUNCTION("""COMPUTED_VALUE"""),45287.6666666666)</f>
        <v>45287.666666666599</v>
      </c>
      <c r="B2263" s="1">
        <f ca="1">IFERROR(__xludf.DUMMYFUNCTION("""COMPUTED_VALUE"""),258.35)</f>
        <v>258.35000000000002</v>
      </c>
      <c r="C2263" s="1">
        <f ca="1">IFERROR(__xludf.DUMMYFUNCTION("""COMPUTED_VALUE"""),263.34)</f>
        <v>263.33999999999997</v>
      </c>
      <c r="D2263" s="1">
        <f ca="1">IFERROR(__xludf.DUMMYFUNCTION("""COMPUTED_VALUE"""),257.52)</f>
        <v>257.52</v>
      </c>
      <c r="E2263" s="1">
        <f ca="1">IFERROR(__xludf.DUMMYFUNCTION("""COMPUTED_VALUE"""),261.44)</f>
        <v>261.44</v>
      </c>
      <c r="F2263" s="1">
        <f ca="1">IFERROR(__xludf.DUMMYFUNCTION("""COMPUTED_VALUE"""),106494359)</f>
        <v>106494359</v>
      </c>
    </row>
    <row r="2264" spans="1:6" x14ac:dyDescent="0.35">
      <c r="A2264" s="2">
        <f ca="1">IFERROR(__xludf.DUMMYFUNCTION("""COMPUTED_VALUE"""),45288.6666666666)</f>
        <v>45288.666666666599</v>
      </c>
      <c r="B2264" s="1">
        <f ca="1">IFERROR(__xludf.DUMMYFUNCTION("""COMPUTED_VALUE"""),263.66)</f>
        <v>263.66000000000003</v>
      </c>
      <c r="C2264" s="1">
        <f ca="1">IFERROR(__xludf.DUMMYFUNCTION("""COMPUTED_VALUE"""),265.13)</f>
        <v>265.13</v>
      </c>
      <c r="D2264" s="1">
        <f ca="1">IFERROR(__xludf.DUMMYFUNCTION("""COMPUTED_VALUE"""),252.71)</f>
        <v>252.71</v>
      </c>
      <c r="E2264" s="1">
        <f ca="1">IFERROR(__xludf.DUMMYFUNCTION("""COMPUTED_VALUE"""),253.18)</f>
        <v>253.18</v>
      </c>
      <c r="F2264" s="1">
        <f ca="1">IFERROR(__xludf.DUMMYFUNCTION("""COMPUTED_VALUE"""),113619943)</f>
        <v>113619943</v>
      </c>
    </row>
    <row r="2265" spans="1:6" x14ac:dyDescent="0.35">
      <c r="A2265" s="2">
        <f ca="1">IFERROR(__xludf.DUMMYFUNCTION("""COMPUTED_VALUE"""),45289.6666666666)</f>
        <v>45289.666666666599</v>
      </c>
      <c r="B2265" s="1">
        <f ca="1">IFERROR(__xludf.DUMMYFUNCTION("""COMPUTED_VALUE"""),255.1)</f>
        <v>255.1</v>
      </c>
      <c r="C2265" s="1">
        <f ca="1">IFERROR(__xludf.DUMMYFUNCTION("""COMPUTED_VALUE"""),255.19)</f>
        <v>255.19</v>
      </c>
      <c r="D2265" s="1">
        <f ca="1">IFERROR(__xludf.DUMMYFUNCTION("""COMPUTED_VALUE"""),247.43)</f>
        <v>247.43</v>
      </c>
      <c r="E2265" s="1">
        <f ca="1">IFERROR(__xludf.DUMMYFUNCTION("""COMPUTED_VALUE"""),248.48)</f>
        <v>248.48</v>
      </c>
      <c r="F2265" s="1">
        <f ca="1">IFERROR(__xludf.DUMMYFUNCTION("""COMPUTED_VALUE"""),100891578)</f>
        <v>100891578</v>
      </c>
    </row>
    <row r="2266" spans="1:6" x14ac:dyDescent="0.35">
      <c r="A2266" s="2">
        <f ca="1">IFERROR(__xludf.DUMMYFUNCTION("""COMPUTED_VALUE"""),45293.6666666666)</f>
        <v>45293.666666666599</v>
      </c>
      <c r="B2266" s="1">
        <f ca="1">IFERROR(__xludf.DUMMYFUNCTION("""COMPUTED_VALUE"""),250.08)</f>
        <v>250.08</v>
      </c>
      <c r="C2266" s="1">
        <f ca="1">IFERROR(__xludf.DUMMYFUNCTION("""COMPUTED_VALUE"""),251.25)</f>
        <v>251.25</v>
      </c>
      <c r="D2266" s="1">
        <f ca="1">IFERROR(__xludf.DUMMYFUNCTION("""COMPUTED_VALUE"""),244.41)</f>
        <v>244.41</v>
      </c>
      <c r="E2266" s="1">
        <f ca="1">IFERROR(__xludf.DUMMYFUNCTION("""COMPUTED_VALUE"""),248.42)</f>
        <v>248.42</v>
      </c>
      <c r="F2266" s="1">
        <f ca="1">IFERROR(__xludf.DUMMYFUNCTION("""COMPUTED_VALUE"""),104654163)</f>
        <v>104654163</v>
      </c>
    </row>
    <row r="2267" spans="1:6" x14ac:dyDescent="0.35">
      <c r="A2267" s="2">
        <f ca="1">IFERROR(__xludf.DUMMYFUNCTION("""COMPUTED_VALUE"""),45294.6666666666)</f>
        <v>45294.666666666599</v>
      </c>
      <c r="B2267" s="1">
        <f ca="1">IFERROR(__xludf.DUMMYFUNCTION("""COMPUTED_VALUE"""),244.98)</f>
        <v>244.98</v>
      </c>
      <c r="C2267" s="1">
        <f ca="1">IFERROR(__xludf.DUMMYFUNCTION("""COMPUTED_VALUE"""),245.68)</f>
        <v>245.68</v>
      </c>
      <c r="D2267" s="1">
        <f ca="1">IFERROR(__xludf.DUMMYFUNCTION("""COMPUTED_VALUE"""),236.32)</f>
        <v>236.32</v>
      </c>
      <c r="E2267" s="1">
        <f ca="1">IFERROR(__xludf.DUMMYFUNCTION("""COMPUTED_VALUE"""),238.45)</f>
        <v>238.45</v>
      </c>
      <c r="F2267" s="1">
        <f ca="1">IFERROR(__xludf.DUMMYFUNCTION("""COMPUTED_VALUE"""),121082599)</f>
        <v>121082599</v>
      </c>
    </row>
    <row r="2268" spans="1:6" x14ac:dyDescent="0.35">
      <c r="A2268" s="2">
        <f ca="1">IFERROR(__xludf.DUMMYFUNCTION("""COMPUTED_VALUE"""),45295.6666666666)</f>
        <v>45295.666666666599</v>
      </c>
      <c r="B2268" s="1">
        <f ca="1">IFERROR(__xludf.DUMMYFUNCTION("""COMPUTED_VALUE"""),239.25)</f>
        <v>239.25</v>
      </c>
      <c r="C2268" s="1">
        <f ca="1">IFERROR(__xludf.DUMMYFUNCTION("""COMPUTED_VALUE"""),242.7)</f>
        <v>242.7</v>
      </c>
      <c r="D2268" s="1">
        <f ca="1">IFERROR(__xludf.DUMMYFUNCTION("""COMPUTED_VALUE"""),237.73)</f>
        <v>237.73</v>
      </c>
      <c r="E2268" s="1">
        <f ca="1">IFERROR(__xludf.DUMMYFUNCTION("""COMPUTED_VALUE"""),237.93)</f>
        <v>237.93</v>
      </c>
      <c r="F2268" s="1">
        <f ca="1">IFERROR(__xludf.DUMMYFUNCTION("""COMPUTED_VALUE"""),102629283)</f>
        <v>102629283</v>
      </c>
    </row>
    <row r="2269" spans="1:6" x14ac:dyDescent="0.35">
      <c r="A2269" s="2">
        <f ca="1">IFERROR(__xludf.DUMMYFUNCTION("""COMPUTED_VALUE"""),45296.6666666666)</f>
        <v>45296.666666666599</v>
      </c>
      <c r="B2269" s="1">
        <f ca="1">IFERROR(__xludf.DUMMYFUNCTION("""COMPUTED_VALUE"""),236.86)</f>
        <v>236.86</v>
      </c>
      <c r="C2269" s="1">
        <f ca="1">IFERROR(__xludf.DUMMYFUNCTION("""COMPUTED_VALUE"""),240.12)</f>
        <v>240.12</v>
      </c>
      <c r="D2269" s="1">
        <f ca="1">IFERROR(__xludf.DUMMYFUNCTION("""COMPUTED_VALUE"""),234.9)</f>
        <v>234.9</v>
      </c>
      <c r="E2269" s="1">
        <f ca="1">IFERROR(__xludf.DUMMYFUNCTION("""COMPUTED_VALUE"""),237.49)</f>
        <v>237.49</v>
      </c>
      <c r="F2269" s="1">
        <f ca="1">IFERROR(__xludf.DUMMYFUNCTION("""COMPUTED_VALUE"""),92488939)</f>
        <v>92488939</v>
      </c>
    </row>
    <row r="2270" spans="1:6" x14ac:dyDescent="0.35">
      <c r="A2270" s="2">
        <f ca="1">IFERROR(__xludf.DUMMYFUNCTION("""COMPUTED_VALUE"""),45299.6666666666)</f>
        <v>45299.666666666599</v>
      </c>
      <c r="B2270" s="1">
        <f ca="1">IFERROR(__xludf.DUMMYFUNCTION("""COMPUTED_VALUE"""),236.14)</f>
        <v>236.14</v>
      </c>
      <c r="C2270" s="1">
        <f ca="1">IFERROR(__xludf.DUMMYFUNCTION("""COMPUTED_VALUE"""),241.25)</f>
        <v>241.25</v>
      </c>
      <c r="D2270" s="1">
        <f ca="1">IFERROR(__xludf.DUMMYFUNCTION("""COMPUTED_VALUE"""),235.3)</f>
        <v>235.3</v>
      </c>
      <c r="E2270" s="1">
        <f ca="1">IFERROR(__xludf.DUMMYFUNCTION("""COMPUTED_VALUE"""),240.45)</f>
        <v>240.45</v>
      </c>
      <c r="F2270" s="1">
        <f ca="1">IFERROR(__xludf.DUMMYFUNCTION("""COMPUTED_VALUE"""),85166580)</f>
        <v>85166580</v>
      </c>
    </row>
    <row r="2271" spans="1:6" x14ac:dyDescent="0.35">
      <c r="A2271" s="2">
        <f ca="1">IFERROR(__xludf.DUMMYFUNCTION("""COMPUTED_VALUE"""),45300.6666666666)</f>
        <v>45300.666666666599</v>
      </c>
      <c r="B2271" s="1">
        <f ca="1">IFERROR(__xludf.DUMMYFUNCTION("""COMPUTED_VALUE"""),238.11)</f>
        <v>238.11</v>
      </c>
      <c r="C2271" s="1">
        <f ca="1">IFERROR(__xludf.DUMMYFUNCTION("""COMPUTED_VALUE"""),238.96)</f>
        <v>238.96</v>
      </c>
      <c r="D2271" s="1">
        <f ca="1">IFERROR(__xludf.DUMMYFUNCTION("""COMPUTED_VALUE"""),232.04)</f>
        <v>232.04</v>
      </c>
      <c r="E2271" s="1">
        <f ca="1">IFERROR(__xludf.DUMMYFUNCTION("""COMPUTED_VALUE"""),234.96)</f>
        <v>234.96</v>
      </c>
      <c r="F2271" s="1">
        <f ca="1">IFERROR(__xludf.DUMMYFUNCTION("""COMPUTED_VALUE"""),96705664)</f>
        <v>96705664</v>
      </c>
    </row>
    <row r="2272" spans="1:6" x14ac:dyDescent="0.35">
      <c r="A2272" s="2">
        <f ca="1">IFERROR(__xludf.DUMMYFUNCTION("""COMPUTED_VALUE"""),45301.6666666666)</f>
        <v>45301.666666666599</v>
      </c>
      <c r="B2272" s="1">
        <f ca="1">IFERROR(__xludf.DUMMYFUNCTION("""COMPUTED_VALUE"""),235.1)</f>
        <v>235.1</v>
      </c>
      <c r="C2272" s="1">
        <f ca="1">IFERROR(__xludf.DUMMYFUNCTION("""COMPUTED_VALUE"""),235.5)</f>
        <v>235.5</v>
      </c>
      <c r="D2272" s="1">
        <f ca="1">IFERROR(__xludf.DUMMYFUNCTION("""COMPUTED_VALUE"""),231.29)</f>
        <v>231.29</v>
      </c>
      <c r="E2272" s="1">
        <f ca="1">IFERROR(__xludf.DUMMYFUNCTION("""COMPUTED_VALUE"""),233.94)</f>
        <v>233.94</v>
      </c>
      <c r="F2272" s="1">
        <f ca="1">IFERROR(__xludf.DUMMYFUNCTION("""COMPUTED_VALUE"""),91628502)</f>
        <v>91628502</v>
      </c>
    </row>
    <row r="2273" spans="1:6" x14ac:dyDescent="0.35">
      <c r="A2273" s="2">
        <f ca="1">IFERROR(__xludf.DUMMYFUNCTION("""COMPUTED_VALUE"""),45302.6666666666)</f>
        <v>45302.666666666599</v>
      </c>
      <c r="B2273" s="1">
        <f ca="1">IFERROR(__xludf.DUMMYFUNCTION("""COMPUTED_VALUE"""),230.57)</f>
        <v>230.57</v>
      </c>
      <c r="C2273" s="1">
        <f ca="1">IFERROR(__xludf.DUMMYFUNCTION("""COMPUTED_VALUE"""),230.93)</f>
        <v>230.93</v>
      </c>
      <c r="D2273" s="1">
        <f ca="1">IFERROR(__xludf.DUMMYFUNCTION("""COMPUTED_VALUE"""),225.37)</f>
        <v>225.37</v>
      </c>
      <c r="E2273" s="1">
        <f ca="1">IFERROR(__xludf.DUMMYFUNCTION("""COMPUTED_VALUE"""),227.22)</f>
        <v>227.22</v>
      </c>
      <c r="F2273" s="1">
        <f ca="1">IFERROR(__xludf.DUMMYFUNCTION("""COMPUTED_VALUE"""),105873612)</f>
        <v>105873612</v>
      </c>
    </row>
    <row r="2274" spans="1:6" x14ac:dyDescent="0.35">
      <c r="A2274" s="2">
        <f ca="1">IFERROR(__xludf.DUMMYFUNCTION("""COMPUTED_VALUE"""),45303.6666666666)</f>
        <v>45303.666666666599</v>
      </c>
      <c r="B2274" s="1">
        <f ca="1">IFERROR(__xludf.DUMMYFUNCTION("""COMPUTED_VALUE"""),220.08)</f>
        <v>220.08</v>
      </c>
      <c r="C2274" s="1">
        <f ca="1">IFERROR(__xludf.DUMMYFUNCTION("""COMPUTED_VALUE"""),225.34)</f>
        <v>225.34</v>
      </c>
      <c r="D2274" s="1">
        <f ca="1">IFERROR(__xludf.DUMMYFUNCTION("""COMPUTED_VALUE"""),217.15)</f>
        <v>217.15</v>
      </c>
      <c r="E2274" s="1">
        <f ca="1">IFERROR(__xludf.DUMMYFUNCTION("""COMPUTED_VALUE"""),218.89)</f>
        <v>218.89</v>
      </c>
      <c r="F2274" s="1">
        <f ca="1">IFERROR(__xludf.DUMMYFUNCTION("""COMPUTED_VALUE"""),123043812)</f>
        <v>123043812</v>
      </c>
    </row>
    <row r="2275" spans="1:6" x14ac:dyDescent="0.35">
      <c r="A2275" s="2">
        <f ca="1">IFERROR(__xludf.DUMMYFUNCTION("""COMPUTED_VALUE"""),45307.6666666666)</f>
        <v>45307.666666666599</v>
      </c>
      <c r="B2275" s="1">
        <f ca="1">IFERROR(__xludf.DUMMYFUNCTION("""COMPUTED_VALUE"""),215.1)</f>
        <v>215.1</v>
      </c>
      <c r="C2275" s="1">
        <f ca="1">IFERROR(__xludf.DUMMYFUNCTION("""COMPUTED_VALUE"""),223.49)</f>
        <v>223.49</v>
      </c>
      <c r="D2275" s="1">
        <f ca="1">IFERROR(__xludf.DUMMYFUNCTION("""COMPUTED_VALUE"""),212.18)</f>
        <v>212.18</v>
      </c>
      <c r="E2275" s="1">
        <f ca="1">IFERROR(__xludf.DUMMYFUNCTION("""COMPUTED_VALUE"""),219.91)</f>
        <v>219.91</v>
      </c>
      <c r="F2275" s="1">
        <f ca="1">IFERROR(__xludf.DUMMYFUNCTION("""COMPUTED_VALUE"""),115355046)</f>
        <v>115355046</v>
      </c>
    </row>
    <row r="2276" spans="1:6" x14ac:dyDescent="0.35">
      <c r="A2276" s="2">
        <f ca="1">IFERROR(__xludf.DUMMYFUNCTION("""COMPUTED_VALUE"""),45308.6666666666)</f>
        <v>45308.666666666599</v>
      </c>
      <c r="B2276" s="1">
        <f ca="1">IFERROR(__xludf.DUMMYFUNCTION("""COMPUTED_VALUE"""),214.86)</f>
        <v>214.86</v>
      </c>
      <c r="C2276" s="1">
        <f ca="1">IFERROR(__xludf.DUMMYFUNCTION("""COMPUTED_VALUE"""),215.67)</f>
        <v>215.67</v>
      </c>
      <c r="D2276" s="1">
        <f ca="1">IFERROR(__xludf.DUMMYFUNCTION("""COMPUTED_VALUE"""),212.01)</f>
        <v>212.01</v>
      </c>
      <c r="E2276" s="1">
        <f ca="1">IFERROR(__xludf.DUMMYFUNCTION("""COMPUTED_VALUE"""),215.55)</f>
        <v>215.55</v>
      </c>
      <c r="F2276" s="1">
        <f ca="1">IFERROR(__xludf.DUMMYFUNCTION("""COMPUTED_VALUE"""),103164400)</f>
        <v>103164400</v>
      </c>
    </row>
    <row r="2277" spans="1:6" x14ac:dyDescent="0.35">
      <c r="A2277" s="2">
        <f ca="1">IFERROR(__xludf.DUMMYFUNCTION("""COMPUTED_VALUE"""),45309.6666666666)</f>
        <v>45309.666666666599</v>
      </c>
      <c r="B2277" s="1">
        <f ca="1">IFERROR(__xludf.DUMMYFUNCTION("""COMPUTED_VALUE"""),216.88)</f>
        <v>216.88</v>
      </c>
      <c r="C2277" s="1">
        <f ca="1">IFERROR(__xludf.DUMMYFUNCTION("""COMPUTED_VALUE"""),217.45)</f>
        <v>217.45</v>
      </c>
      <c r="D2277" s="1">
        <f ca="1">IFERROR(__xludf.DUMMYFUNCTION("""COMPUTED_VALUE"""),208.74)</f>
        <v>208.74</v>
      </c>
      <c r="E2277" s="1">
        <f ca="1">IFERROR(__xludf.DUMMYFUNCTION("""COMPUTED_VALUE"""),211.88)</f>
        <v>211.88</v>
      </c>
      <c r="F2277" s="1">
        <f ca="1">IFERROR(__xludf.DUMMYFUNCTION("""COMPUTED_VALUE"""),108595431)</f>
        <v>108595431</v>
      </c>
    </row>
    <row r="2278" spans="1:6" x14ac:dyDescent="0.35">
      <c r="A2278" s="2">
        <f ca="1">IFERROR(__xludf.DUMMYFUNCTION("""COMPUTED_VALUE"""),45310.6666666666)</f>
        <v>45310.666666666599</v>
      </c>
      <c r="B2278" s="1">
        <f ca="1">IFERROR(__xludf.DUMMYFUNCTION("""COMPUTED_VALUE"""),209.99)</f>
        <v>209.99</v>
      </c>
      <c r="C2278" s="1">
        <f ca="1">IFERROR(__xludf.DUMMYFUNCTION("""COMPUTED_VALUE"""),213.19)</f>
        <v>213.19</v>
      </c>
      <c r="D2278" s="1">
        <f ca="1">IFERROR(__xludf.DUMMYFUNCTION("""COMPUTED_VALUE"""),207.56)</f>
        <v>207.56</v>
      </c>
      <c r="E2278" s="1">
        <f ca="1">IFERROR(__xludf.DUMMYFUNCTION("""COMPUTED_VALUE"""),212.19)</f>
        <v>212.19</v>
      </c>
      <c r="F2278" s="1">
        <f ca="1">IFERROR(__xludf.DUMMYFUNCTION("""COMPUTED_VALUE"""),102260343)</f>
        <v>102260343</v>
      </c>
    </row>
    <row r="2279" spans="1:6" x14ac:dyDescent="0.35">
      <c r="A2279" s="2">
        <f ca="1">IFERROR(__xludf.DUMMYFUNCTION("""COMPUTED_VALUE"""),45313.6666666666)</f>
        <v>45313.666666666599</v>
      </c>
      <c r="B2279" s="1">
        <f ca="1">IFERROR(__xludf.DUMMYFUNCTION("""COMPUTED_VALUE"""),212.26)</f>
        <v>212.26</v>
      </c>
      <c r="C2279" s="1">
        <f ca="1">IFERROR(__xludf.DUMMYFUNCTION("""COMPUTED_VALUE"""),217.8)</f>
        <v>217.8</v>
      </c>
      <c r="D2279" s="1">
        <f ca="1">IFERROR(__xludf.DUMMYFUNCTION("""COMPUTED_VALUE"""),206.27)</f>
        <v>206.27</v>
      </c>
      <c r="E2279" s="1">
        <f ca="1">IFERROR(__xludf.DUMMYFUNCTION("""COMPUTED_VALUE"""),208.8)</f>
        <v>208.8</v>
      </c>
      <c r="F2279" s="1">
        <f ca="1">IFERROR(__xludf.DUMMYFUNCTION("""COMPUTED_VALUE"""),117952527)</f>
        <v>117952527</v>
      </c>
    </row>
    <row r="2280" spans="1:6" x14ac:dyDescent="0.35">
      <c r="A2280" s="2">
        <f ca="1">IFERROR(__xludf.DUMMYFUNCTION("""COMPUTED_VALUE"""),45314.6666666666)</f>
        <v>45314.666666666599</v>
      </c>
      <c r="B2280" s="1">
        <f ca="1">IFERROR(__xludf.DUMMYFUNCTION("""COMPUTED_VALUE"""),211.3)</f>
        <v>211.3</v>
      </c>
      <c r="C2280" s="1">
        <f ca="1">IFERROR(__xludf.DUMMYFUNCTION("""COMPUTED_VALUE"""),215.65)</f>
        <v>215.65</v>
      </c>
      <c r="D2280" s="1">
        <f ca="1">IFERROR(__xludf.DUMMYFUNCTION("""COMPUTED_VALUE"""),207.75)</f>
        <v>207.75</v>
      </c>
      <c r="E2280" s="1">
        <f ca="1">IFERROR(__xludf.DUMMYFUNCTION("""COMPUTED_VALUE"""),209.14)</f>
        <v>209.14</v>
      </c>
      <c r="F2280" s="1">
        <f ca="1">IFERROR(__xludf.DUMMYFUNCTION("""COMPUTED_VALUE"""),106605946)</f>
        <v>106605946</v>
      </c>
    </row>
    <row r="2281" spans="1:6" x14ac:dyDescent="0.35">
      <c r="A2281" s="2">
        <f ca="1">IFERROR(__xludf.DUMMYFUNCTION("""COMPUTED_VALUE"""),45315.6666666666)</f>
        <v>45315.666666666599</v>
      </c>
      <c r="B2281" s="1">
        <f ca="1">IFERROR(__xludf.DUMMYFUNCTION("""COMPUTED_VALUE"""),211.88)</f>
        <v>211.88</v>
      </c>
      <c r="C2281" s="1">
        <f ca="1">IFERROR(__xludf.DUMMYFUNCTION("""COMPUTED_VALUE"""),212.73)</f>
        <v>212.73</v>
      </c>
      <c r="D2281" s="1">
        <f ca="1">IFERROR(__xludf.DUMMYFUNCTION("""COMPUTED_VALUE"""),206.77)</f>
        <v>206.77</v>
      </c>
      <c r="E2281" s="1">
        <f ca="1">IFERROR(__xludf.DUMMYFUNCTION("""COMPUTED_VALUE"""),207.83)</f>
        <v>207.83</v>
      </c>
      <c r="F2281" s="1">
        <f ca="1">IFERROR(__xludf.DUMMYFUNCTION("""COMPUTED_VALUE"""),123369932)</f>
        <v>123369932</v>
      </c>
    </row>
    <row r="2282" spans="1:6" x14ac:dyDescent="0.35">
      <c r="A2282" s="2">
        <f ca="1">IFERROR(__xludf.DUMMYFUNCTION("""COMPUTED_VALUE"""),45316.6666666666)</f>
        <v>45316.666666666599</v>
      </c>
      <c r="B2282" s="1">
        <f ca="1">IFERROR(__xludf.DUMMYFUNCTION("""COMPUTED_VALUE"""),189.7)</f>
        <v>189.7</v>
      </c>
      <c r="C2282" s="1">
        <f ca="1">IFERROR(__xludf.DUMMYFUNCTION("""COMPUTED_VALUE"""),193)</f>
        <v>193</v>
      </c>
      <c r="D2282" s="1">
        <f ca="1">IFERROR(__xludf.DUMMYFUNCTION("""COMPUTED_VALUE"""),180.06)</f>
        <v>180.06</v>
      </c>
      <c r="E2282" s="1">
        <f ca="1">IFERROR(__xludf.DUMMYFUNCTION("""COMPUTED_VALUE"""),182.63)</f>
        <v>182.63</v>
      </c>
      <c r="F2282" s="1">
        <f ca="1">IFERROR(__xludf.DUMMYFUNCTION("""COMPUTED_VALUE"""),198076787)</f>
        <v>198076787</v>
      </c>
    </row>
    <row r="2283" spans="1:6" x14ac:dyDescent="0.35">
      <c r="A2283" s="2">
        <f ca="1">IFERROR(__xludf.DUMMYFUNCTION("""COMPUTED_VALUE"""),45317.6666666666)</f>
        <v>45317.666666666599</v>
      </c>
      <c r="B2283" s="1">
        <f ca="1">IFERROR(__xludf.DUMMYFUNCTION("""COMPUTED_VALUE"""),185.5)</f>
        <v>185.5</v>
      </c>
      <c r="C2283" s="1">
        <f ca="1">IFERROR(__xludf.DUMMYFUNCTION("""COMPUTED_VALUE"""),186.78)</f>
        <v>186.78</v>
      </c>
      <c r="D2283" s="1">
        <f ca="1">IFERROR(__xludf.DUMMYFUNCTION("""COMPUTED_VALUE"""),182.1)</f>
        <v>182.1</v>
      </c>
      <c r="E2283" s="1">
        <f ca="1">IFERROR(__xludf.DUMMYFUNCTION("""COMPUTED_VALUE"""),183.25)</f>
        <v>183.25</v>
      </c>
      <c r="F2283" s="1">
        <f ca="1">IFERROR(__xludf.DUMMYFUNCTION("""COMPUTED_VALUE"""),107343231)</f>
        <v>107343231</v>
      </c>
    </row>
    <row r="2284" spans="1:6" x14ac:dyDescent="0.35">
      <c r="A2284" s="2">
        <f ca="1">IFERROR(__xludf.DUMMYFUNCTION("""COMPUTED_VALUE"""),45320.6666666666)</f>
        <v>45320.666666666599</v>
      </c>
      <c r="B2284" s="1">
        <f ca="1">IFERROR(__xludf.DUMMYFUNCTION("""COMPUTED_VALUE"""),185.63)</f>
        <v>185.63</v>
      </c>
      <c r="C2284" s="1">
        <f ca="1">IFERROR(__xludf.DUMMYFUNCTION("""COMPUTED_VALUE"""),191.48)</f>
        <v>191.48</v>
      </c>
      <c r="D2284" s="1">
        <f ca="1">IFERROR(__xludf.DUMMYFUNCTION("""COMPUTED_VALUE"""),183.67)</f>
        <v>183.67</v>
      </c>
      <c r="E2284" s="1">
        <f ca="1">IFERROR(__xludf.DUMMYFUNCTION("""COMPUTED_VALUE"""),190.93)</f>
        <v>190.93</v>
      </c>
      <c r="F2284" s="1">
        <f ca="1">IFERROR(__xludf.DUMMYFUNCTION("""COMPUTED_VALUE"""),125013148)</f>
        <v>125013148</v>
      </c>
    </row>
    <row r="2285" spans="1:6" x14ac:dyDescent="0.35">
      <c r="A2285" s="2">
        <f ca="1">IFERROR(__xludf.DUMMYFUNCTION("""COMPUTED_VALUE"""),45321.6666666666)</f>
        <v>45321.666666666599</v>
      </c>
      <c r="B2285" s="1">
        <f ca="1">IFERROR(__xludf.DUMMYFUNCTION("""COMPUTED_VALUE"""),195.33)</f>
        <v>195.33</v>
      </c>
      <c r="C2285" s="1">
        <f ca="1">IFERROR(__xludf.DUMMYFUNCTION("""COMPUTED_VALUE"""),196.36)</f>
        <v>196.36</v>
      </c>
      <c r="D2285" s="1">
        <f ca="1">IFERROR(__xludf.DUMMYFUNCTION("""COMPUTED_VALUE"""),190.61)</f>
        <v>190.61</v>
      </c>
      <c r="E2285" s="1">
        <f ca="1">IFERROR(__xludf.DUMMYFUNCTION("""COMPUTED_VALUE"""),191.59)</f>
        <v>191.59</v>
      </c>
      <c r="F2285" s="1">
        <f ca="1">IFERROR(__xludf.DUMMYFUNCTION("""COMPUTED_VALUE"""),109982327)</f>
        <v>109982327</v>
      </c>
    </row>
    <row r="2286" spans="1:6" x14ac:dyDescent="0.35">
      <c r="A2286" s="2">
        <f ca="1">IFERROR(__xludf.DUMMYFUNCTION("""COMPUTED_VALUE"""),45322.6666666666)</f>
        <v>45322.666666666599</v>
      </c>
      <c r="B2286" s="1">
        <f ca="1">IFERROR(__xludf.DUMMYFUNCTION("""COMPUTED_VALUE"""),187)</f>
        <v>187</v>
      </c>
      <c r="C2286" s="1">
        <f ca="1">IFERROR(__xludf.DUMMYFUNCTION("""COMPUTED_VALUE"""),193.97)</f>
        <v>193.97</v>
      </c>
      <c r="D2286" s="1">
        <f ca="1">IFERROR(__xludf.DUMMYFUNCTION("""COMPUTED_VALUE"""),185.85)</f>
        <v>185.85</v>
      </c>
      <c r="E2286" s="1">
        <f ca="1">IFERROR(__xludf.DUMMYFUNCTION("""COMPUTED_VALUE"""),187.29)</f>
        <v>187.29</v>
      </c>
      <c r="F2286" s="1">
        <f ca="1">IFERROR(__xludf.DUMMYFUNCTION("""COMPUTED_VALUE"""),103221430)</f>
        <v>103221430</v>
      </c>
    </row>
    <row r="2287" spans="1:6" x14ac:dyDescent="0.35">
      <c r="A2287" s="2">
        <f ca="1">IFERROR(__xludf.DUMMYFUNCTION("""COMPUTED_VALUE"""),45323.6666666666)</f>
        <v>45323.666666666599</v>
      </c>
      <c r="B2287" s="1">
        <f ca="1">IFERROR(__xludf.DUMMYFUNCTION("""COMPUTED_VALUE"""),188.5)</f>
        <v>188.5</v>
      </c>
      <c r="C2287" s="1">
        <f ca="1">IFERROR(__xludf.DUMMYFUNCTION("""COMPUTED_VALUE"""),189.88)</f>
        <v>189.88</v>
      </c>
      <c r="D2287" s="1">
        <f ca="1">IFERROR(__xludf.DUMMYFUNCTION("""COMPUTED_VALUE"""),184.28)</f>
        <v>184.28</v>
      </c>
      <c r="E2287" s="1">
        <f ca="1">IFERROR(__xludf.DUMMYFUNCTION("""COMPUTED_VALUE"""),188.86)</f>
        <v>188.86</v>
      </c>
      <c r="F2287" s="1">
        <f ca="1">IFERROR(__xludf.DUMMYFUNCTION("""COMPUTED_VALUE"""),91843275)</f>
        <v>91843275</v>
      </c>
    </row>
    <row r="2288" spans="1:6" x14ac:dyDescent="0.35">
      <c r="A2288" s="2">
        <f ca="1">IFERROR(__xludf.DUMMYFUNCTION("""COMPUTED_VALUE"""),45324.6666666666)</f>
        <v>45324.666666666599</v>
      </c>
      <c r="B2288" s="1">
        <f ca="1">IFERROR(__xludf.DUMMYFUNCTION("""COMPUTED_VALUE"""),185.04)</f>
        <v>185.04</v>
      </c>
      <c r="C2288" s="1">
        <f ca="1">IFERROR(__xludf.DUMMYFUNCTION("""COMPUTED_VALUE"""),188.69)</f>
        <v>188.69</v>
      </c>
      <c r="D2288" s="1">
        <f ca="1">IFERROR(__xludf.DUMMYFUNCTION("""COMPUTED_VALUE"""),182)</f>
        <v>182</v>
      </c>
      <c r="E2288" s="1">
        <f ca="1">IFERROR(__xludf.DUMMYFUNCTION("""COMPUTED_VALUE"""),187.91)</f>
        <v>187.91</v>
      </c>
      <c r="F2288" s="1">
        <f ca="1">IFERROR(__xludf.DUMMYFUNCTION("""COMPUTED_VALUE"""),110612672)</f>
        <v>110612672</v>
      </c>
    </row>
    <row r="2289" spans="1:6" x14ac:dyDescent="0.35">
      <c r="A2289" s="2">
        <f ca="1">IFERROR(__xludf.DUMMYFUNCTION("""COMPUTED_VALUE"""),45327.6666666666)</f>
        <v>45327.666666666599</v>
      </c>
      <c r="B2289" s="1">
        <f ca="1">IFERROR(__xludf.DUMMYFUNCTION("""COMPUTED_VALUE"""),184.26)</f>
        <v>184.26</v>
      </c>
      <c r="C2289" s="1">
        <f ca="1">IFERROR(__xludf.DUMMYFUNCTION("""COMPUTED_VALUE"""),184.68)</f>
        <v>184.68</v>
      </c>
      <c r="D2289" s="1">
        <f ca="1">IFERROR(__xludf.DUMMYFUNCTION("""COMPUTED_VALUE"""),175.01)</f>
        <v>175.01</v>
      </c>
      <c r="E2289" s="1">
        <f ca="1">IFERROR(__xludf.DUMMYFUNCTION("""COMPUTED_VALUE"""),181.06)</f>
        <v>181.06</v>
      </c>
      <c r="F2289" s="1">
        <f ca="1">IFERROR(__xludf.DUMMYFUNCTION("""COMPUTED_VALUE"""),134294447)</f>
        <v>134294447</v>
      </c>
    </row>
    <row r="2290" spans="1:6" x14ac:dyDescent="0.35">
      <c r="A2290" s="2">
        <f ca="1">IFERROR(__xludf.DUMMYFUNCTION("""COMPUTED_VALUE"""),45328.6666666666)</f>
        <v>45328.666666666599</v>
      </c>
      <c r="B2290" s="1">
        <f ca="1">IFERROR(__xludf.DUMMYFUNCTION("""COMPUTED_VALUE"""),177.21)</f>
        <v>177.21</v>
      </c>
      <c r="C2290" s="1">
        <f ca="1">IFERROR(__xludf.DUMMYFUNCTION("""COMPUTED_VALUE"""),186.49)</f>
        <v>186.49</v>
      </c>
      <c r="D2290" s="1">
        <f ca="1">IFERROR(__xludf.DUMMYFUNCTION("""COMPUTED_VALUE"""),177.11)</f>
        <v>177.11</v>
      </c>
      <c r="E2290" s="1">
        <f ca="1">IFERROR(__xludf.DUMMYFUNCTION("""COMPUTED_VALUE"""),185.1)</f>
        <v>185.1</v>
      </c>
      <c r="F2290" s="1">
        <f ca="1">IFERROR(__xludf.DUMMYFUNCTION("""COMPUTED_VALUE"""),122675954)</f>
        <v>122675954</v>
      </c>
    </row>
    <row r="2291" spans="1:6" x14ac:dyDescent="0.35">
      <c r="A2291" s="2">
        <f ca="1">IFERROR(__xludf.DUMMYFUNCTION("""COMPUTED_VALUE"""),45329.6666666666)</f>
        <v>45329.666666666599</v>
      </c>
      <c r="B2291" s="1">
        <f ca="1">IFERROR(__xludf.DUMMYFUNCTION("""COMPUTED_VALUE"""),188.18)</f>
        <v>188.18</v>
      </c>
      <c r="C2291" s="1">
        <f ca="1">IFERROR(__xludf.DUMMYFUNCTION("""COMPUTED_VALUE"""),189.79)</f>
        <v>189.79</v>
      </c>
      <c r="D2291" s="1">
        <f ca="1">IFERROR(__xludf.DUMMYFUNCTION("""COMPUTED_VALUE"""),182.68)</f>
        <v>182.68</v>
      </c>
      <c r="E2291" s="1">
        <f ca="1">IFERROR(__xludf.DUMMYFUNCTION("""COMPUTED_VALUE"""),187.58)</f>
        <v>187.58</v>
      </c>
      <c r="F2291" s="1">
        <f ca="1">IFERROR(__xludf.DUMMYFUNCTION("""COMPUTED_VALUE"""),111535217)</f>
        <v>111535217</v>
      </c>
    </row>
    <row r="2292" spans="1:6" x14ac:dyDescent="0.35">
      <c r="A2292" s="2">
        <f ca="1">IFERROR(__xludf.DUMMYFUNCTION("""COMPUTED_VALUE"""),45330.6666666666)</f>
        <v>45330.666666666599</v>
      </c>
      <c r="B2292" s="1">
        <f ca="1">IFERROR(__xludf.DUMMYFUNCTION("""COMPUTED_VALUE"""),189)</f>
        <v>189</v>
      </c>
      <c r="C2292" s="1">
        <f ca="1">IFERROR(__xludf.DUMMYFUNCTION("""COMPUTED_VALUE"""),191.62)</f>
        <v>191.62</v>
      </c>
      <c r="D2292" s="1">
        <f ca="1">IFERROR(__xludf.DUMMYFUNCTION("""COMPUTED_VALUE"""),185.58)</f>
        <v>185.58</v>
      </c>
      <c r="E2292" s="1">
        <f ca="1">IFERROR(__xludf.DUMMYFUNCTION("""COMPUTED_VALUE"""),189.56)</f>
        <v>189.56</v>
      </c>
      <c r="F2292" s="1">
        <f ca="1">IFERROR(__xludf.DUMMYFUNCTION("""COMPUTED_VALUE"""),83034043)</f>
        <v>83034043</v>
      </c>
    </row>
    <row r="2293" spans="1:6" x14ac:dyDescent="0.35">
      <c r="A2293" s="2">
        <f ca="1">IFERROR(__xludf.DUMMYFUNCTION("""COMPUTED_VALUE"""),45331.6666666666)</f>
        <v>45331.666666666599</v>
      </c>
      <c r="B2293" s="1">
        <f ca="1">IFERROR(__xludf.DUMMYFUNCTION("""COMPUTED_VALUE"""),190.18)</f>
        <v>190.18</v>
      </c>
      <c r="C2293" s="1">
        <f ca="1">IFERROR(__xludf.DUMMYFUNCTION("""COMPUTED_VALUE"""),194.12)</f>
        <v>194.12</v>
      </c>
      <c r="D2293" s="1">
        <f ca="1">IFERROR(__xludf.DUMMYFUNCTION("""COMPUTED_VALUE"""),189.48)</f>
        <v>189.48</v>
      </c>
      <c r="E2293" s="1">
        <f ca="1">IFERROR(__xludf.DUMMYFUNCTION("""COMPUTED_VALUE"""),193.57)</f>
        <v>193.57</v>
      </c>
      <c r="F2293" s="1">
        <f ca="1">IFERROR(__xludf.DUMMYFUNCTION("""COMPUTED_VALUE"""),84476347)</f>
        <v>84476347</v>
      </c>
    </row>
    <row r="2294" spans="1:6" x14ac:dyDescent="0.35">
      <c r="A2294" s="2">
        <f ca="1">IFERROR(__xludf.DUMMYFUNCTION("""COMPUTED_VALUE"""),45334.6666666666)</f>
        <v>45334.666666666599</v>
      </c>
      <c r="B2294" s="1">
        <f ca="1">IFERROR(__xludf.DUMMYFUNCTION("""COMPUTED_VALUE"""),192.11)</f>
        <v>192.11</v>
      </c>
      <c r="C2294" s="1">
        <f ca="1">IFERROR(__xludf.DUMMYFUNCTION("""COMPUTED_VALUE"""),194.73)</f>
        <v>194.73</v>
      </c>
      <c r="D2294" s="1">
        <f ca="1">IFERROR(__xludf.DUMMYFUNCTION("""COMPUTED_VALUE"""),187.28)</f>
        <v>187.28</v>
      </c>
      <c r="E2294" s="1">
        <f ca="1">IFERROR(__xludf.DUMMYFUNCTION("""COMPUTED_VALUE"""),188.13)</f>
        <v>188.13</v>
      </c>
      <c r="F2294" s="1">
        <f ca="1">IFERROR(__xludf.DUMMYFUNCTION("""COMPUTED_VALUE"""),95498597)</f>
        <v>95498597</v>
      </c>
    </row>
    <row r="2295" spans="1:6" x14ac:dyDescent="0.35">
      <c r="A2295" s="2">
        <f ca="1">IFERROR(__xludf.DUMMYFUNCTION("""COMPUTED_VALUE"""),45335.6666666666)</f>
        <v>45335.666666666599</v>
      </c>
      <c r="B2295" s="1">
        <f ca="1">IFERROR(__xludf.DUMMYFUNCTION("""COMPUTED_VALUE"""),183.99)</f>
        <v>183.99</v>
      </c>
      <c r="C2295" s="1">
        <f ca="1">IFERROR(__xludf.DUMMYFUNCTION("""COMPUTED_VALUE"""),187.26)</f>
        <v>187.26</v>
      </c>
      <c r="D2295" s="1">
        <f ca="1">IFERROR(__xludf.DUMMYFUNCTION("""COMPUTED_VALUE"""),182.11)</f>
        <v>182.11</v>
      </c>
      <c r="E2295" s="1">
        <f ca="1">IFERROR(__xludf.DUMMYFUNCTION("""COMPUTED_VALUE"""),184.02)</f>
        <v>184.02</v>
      </c>
      <c r="F2295" s="1">
        <f ca="1">IFERROR(__xludf.DUMMYFUNCTION("""COMPUTED_VALUE"""),86759478)</f>
        <v>86759478</v>
      </c>
    </row>
    <row r="2296" spans="1:6" x14ac:dyDescent="0.35">
      <c r="A2296" s="2">
        <f ca="1">IFERROR(__xludf.DUMMYFUNCTION("""COMPUTED_VALUE"""),45336.6666666666)</f>
        <v>45336.666666666599</v>
      </c>
      <c r="B2296" s="1">
        <f ca="1">IFERROR(__xludf.DUMMYFUNCTION("""COMPUTED_VALUE"""),185.3)</f>
        <v>185.3</v>
      </c>
      <c r="C2296" s="1">
        <f ca="1">IFERROR(__xludf.DUMMYFUNCTION("""COMPUTED_VALUE"""),188.89)</f>
        <v>188.89</v>
      </c>
      <c r="D2296" s="1">
        <f ca="1">IFERROR(__xludf.DUMMYFUNCTION("""COMPUTED_VALUE"""),183.35)</f>
        <v>183.35</v>
      </c>
      <c r="E2296" s="1">
        <f ca="1">IFERROR(__xludf.DUMMYFUNCTION("""COMPUTED_VALUE"""),188.71)</f>
        <v>188.71</v>
      </c>
      <c r="F2296" s="1">
        <f ca="1">IFERROR(__xludf.DUMMYFUNCTION("""COMPUTED_VALUE"""),81202987)</f>
        <v>81202987</v>
      </c>
    </row>
    <row r="2297" spans="1:6" x14ac:dyDescent="0.35">
      <c r="A2297" s="2">
        <f ca="1">IFERROR(__xludf.DUMMYFUNCTION("""COMPUTED_VALUE"""),45337.6666666666)</f>
        <v>45337.666666666599</v>
      </c>
      <c r="B2297" s="1">
        <f ca="1">IFERROR(__xludf.DUMMYFUNCTION("""COMPUTED_VALUE"""),189.16)</f>
        <v>189.16</v>
      </c>
      <c r="C2297" s="1">
        <f ca="1">IFERROR(__xludf.DUMMYFUNCTION("""COMPUTED_VALUE"""),200.88)</f>
        <v>200.88</v>
      </c>
      <c r="D2297" s="1">
        <f ca="1">IFERROR(__xludf.DUMMYFUNCTION("""COMPUTED_VALUE"""),188.86)</f>
        <v>188.86</v>
      </c>
      <c r="E2297" s="1">
        <f ca="1">IFERROR(__xludf.DUMMYFUNCTION("""COMPUTED_VALUE"""),200.45)</f>
        <v>200.45</v>
      </c>
      <c r="F2297" s="1">
        <f ca="1">IFERROR(__xludf.DUMMYFUNCTION("""COMPUTED_VALUE"""),120831762)</f>
        <v>120831762</v>
      </c>
    </row>
    <row r="2298" spans="1:6" x14ac:dyDescent="0.35">
      <c r="A2298" s="2">
        <f ca="1">IFERROR(__xludf.DUMMYFUNCTION("""COMPUTED_VALUE"""),45338.6666666666)</f>
        <v>45338.666666666599</v>
      </c>
      <c r="B2298" s="1">
        <f ca="1">IFERROR(__xludf.DUMMYFUNCTION("""COMPUTED_VALUE"""),202.06)</f>
        <v>202.06</v>
      </c>
      <c r="C2298" s="1">
        <f ca="1">IFERROR(__xludf.DUMMYFUNCTION("""COMPUTED_VALUE"""),203.17)</f>
        <v>203.17</v>
      </c>
      <c r="D2298" s="1">
        <f ca="1">IFERROR(__xludf.DUMMYFUNCTION("""COMPUTED_VALUE"""),197.4)</f>
        <v>197.4</v>
      </c>
      <c r="E2298" s="1">
        <f ca="1">IFERROR(__xludf.DUMMYFUNCTION("""COMPUTED_VALUE"""),199.95)</f>
        <v>199.95</v>
      </c>
      <c r="F2298" s="1">
        <f ca="1">IFERROR(__xludf.DUMMYFUNCTION("""COMPUTED_VALUE"""),111346705)</f>
        <v>111346705</v>
      </c>
    </row>
    <row r="2299" spans="1:6" x14ac:dyDescent="0.35">
      <c r="A2299" s="2">
        <f ca="1">IFERROR(__xludf.DUMMYFUNCTION("""COMPUTED_VALUE"""),45342.6666666666)</f>
        <v>45342.666666666599</v>
      </c>
      <c r="B2299" s="1">
        <f ca="1">IFERROR(__xludf.DUMMYFUNCTION("""COMPUTED_VALUE"""),196.13)</f>
        <v>196.13</v>
      </c>
      <c r="C2299" s="1">
        <f ca="1">IFERROR(__xludf.DUMMYFUNCTION("""COMPUTED_VALUE"""),198.6)</f>
        <v>198.6</v>
      </c>
      <c r="D2299" s="1">
        <f ca="1">IFERROR(__xludf.DUMMYFUNCTION("""COMPUTED_VALUE"""),189.13)</f>
        <v>189.13</v>
      </c>
      <c r="E2299" s="1">
        <f ca="1">IFERROR(__xludf.DUMMYFUNCTION("""COMPUTED_VALUE"""),193.76)</f>
        <v>193.76</v>
      </c>
      <c r="F2299" s="1">
        <f ca="1">IFERROR(__xludf.DUMMYFUNCTION("""COMPUTED_VALUE"""),104545762)</f>
        <v>104545762</v>
      </c>
    </row>
    <row r="2300" spans="1:6" x14ac:dyDescent="0.35">
      <c r="A2300" s="2">
        <f ca="1">IFERROR(__xludf.DUMMYFUNCTION("""COMPUTED_VALUE"""),45343.6666666666)</f>
        <v>45343.666666666599</v>
      </c>
      <c r="B2300" s="1">
        <f ca="1">IFERROR(__xludf.DUMMYFUNCTION("""COMPUTED_VALUE"""),193.36)</f>
        <v>193.36</v>
      </c>
      <c r="C2300" s="1">
        <f ca="1">IFERROR(__xludf.DUMMYFUNCTION("""COMPUTED_VALUE"""),199.44)</f>
        <v>199.44</v>
      </c>
      <c r="D2300" s="1">
        <f ca="1">IFERROR(__xludf.DUMMYFUNCTION("""COMPUTED_VALUE"""),191.95)</f>
        <v>191.95</v>
      </c>
      <c r="E2300" s="1">
        <f ca="1">IFERROR(__xludf.DUMMYFUNCTION("""COMPUTED_VALUE"""),194.77)</f>
        <v>194.77</v>
      </c>
      <c r="F2300" s="1">
        <f ca="1">IFERROR(__xludf.DUMMYFUNCTION("""COMPUTED_VALUE"""),103844008)</f>
        <v>103844008</v>
      </c>
    </row>
    <row r="2301" spans="1:6" x14ac:dyDescent="0.35">
      <c r="A2301" s="2">
        <f ca="1">IFERROR(__xludf.DUMMYFUNCTION("""COMPUTED_VALUE"""),45344.6666666666)</f>
        <v>45344.666666666599</v>
      </c>
      <c r="B2301" s="1">
        <f ca="1">IFERROR(__xludf.DUMMYFUNCTION("""COMPUTED_VALUE"""),194)</f>
        <v>194</v>
      </c>
      <c r="C2301" s="1">
        <f ca="1">IFERROR(__xludf.DUMMYFUNCTION("""COMPUTED_VALUE"""),198.32)</f>
        <v>198.32</v>
      </c>
      <c r="D2301" s="1">
        <f ca="1">IFERROR(__xludf.DUMMYFUNCTION("""COMPUTED_VALUE"""),191.36)</f>
        <v>191.36</v>
      </c>
      <c r="E2301" s="1">
        <f ca="1">IFERROR(__xludf.DUMMYFUNCTION("""COMPUTED_VALUE"""),197.41)</f>
        <v>197.41</v>
      </c>
      <c r="F2301" s="1">
        <f ca="1">IFERROR(__xludf.DUMMYFUNCTION("""COMPUTED_VALUE"""),92739461)</f>
        <v>92739461</v>
      </c>
    </row>
    <row r="2302" spans="1:6" x14ac:dyDescent="0.35">
      <c r="A2302" s="2">
        <f ca="1">IFERROR(__xludf.DUMMYFUNCTION("""COMPUTED_VALUE"""),45345.6666666666)</f>
        <v>45345.666666666599</v>
      </c>
      <c r="B2302" s="1">
        <f ca="1">IFERROR(__xludf.DUMMYFUNCTION("""COMPUTED_VALUE"""),195.31)</f>
        <v>195.31</v>
      </c>
      <c r="C2302" s="1">
        <f ca="1">IFERROR(__xludf.DUMMYFUNCTION("""COMPUTED_VALUE"""),197.57)</f>
        <v>197.57</v>
      </c>
      <c r="D2302" s="1">
        <f ca="1">IFERROR(__xludf.DUMMYFUNCTION("""COMPUTED_VALUE"""),191.5)</f>
        <v>191.5</v>
      </c>
      <c r="E2302" s="1">
        <f ca="1">IFERROR(__xludf.DUMMYFUNCTION("""COMPUTED_VALUE"""),191.97)</f>
        <v>191.97</v>
      </c>
      <c r="F2302" s="1">
        <f ca="1">IFERROR(__xludf.DUMMYFUNCTION("""COMPUTED_VALUE"""),78841917)</f>
        <v>78841917</v>
      </c>
    </row>
    <row r="2303" spans="1:6" x14ac:dyDescent="0.35">
      <c r="A2303" s="2">
        <f ca="1">IFERROR(__xludf.DUMMYFUNCTION("""COMPUTED_VALUE"""),45348.6666666666)</f>
        <v>45348.666666666599</v>
      </c>
      <c r="B2303" s="1">
        <f ca="1">IFERROR(__xludf.DUMMYFUNCTION("""COMPUTED_VALUE"""),192.29)</f>
        <v>192.29</v>
      </c>
      <c r="C2303" s="1">
        <f ca="1">IFERROR(__xludf.DUMMYFUNCTION("""COMPUTED_VALUE"""),201.78)</f>
        <v>201.78</v>
      </c>
      <c r="D2303" s="1">
        <f ca="1">IFERROR(__xludf.DUMMYFUNCTION("""COMPUTED_VALUE"""),192)</f>
        <v>192</v>
      </c>
      <c r="E2303" s="1">
        <f ca="1">IFERROR(__xludf.DUMMYFUNCTION("""COMPUTED_VALUE"""),199.4)</f>
        <v>199.4</v>
      </c>
      <c r="F2303" s="1">
        <f ca="1">IFERROR(__xludf.DUMMYFUNCTION("""COMPUTED_VALUE"""),111747116)</f>
        <v>111747116</v>
      </c>
    </row>
    <row r="2304" spans="1:6" x14ac:dyDescent="0.35">
      <c r="A2304" s="2">
        <f ca="1">IFERROR(__xludf.DUMMYFUNCTION("""COMPUTED_VALUE"""),45349.6666666666)</f>
        <v>45349.666666666599</v>
      </c>
      <c r="B2304" s="1">
        <f ca="1">IFERROR(__xludf.DUMMYFUNCTION("""COMPUTED_VALUE"""),204.04)</f>
        <v>204.04</v>
      </c>
      <c r="C2304" s="1">
        <f ca="1">IFERROR(__xludf.DUMMYFUNCTION("""COMPUTED_VALUE"""),205.6)</f>
        <v>205.6</v>
      </c>
      <c r="D2304" s="1">
        <f ca="1">IFERROR(__xludf.DUMMYFUNCTION("""COMPUTED_VALUE"""),198.26)</f>
        <v>198.26</v>
      </c>
      <c r="E2304" s="1">
        <f ca="1">IFERROR(__xludf.DUMMYFUNCTION("""COMPUTED_VALUE"""),199.73)</f>
        <v>199.73</v>
      </c>
      <c r="F2304" s="1">
        <f ca="1">IFERROR(__xludf.DUMMYFUNCTION("""COMPUTED_VALUE"""),108645412)</f>
        <v>108645412</v>
      </c>
    </row>
    <row r="2305" spans="1:6" x14ac:dyDescent="0.35">
      <c r="A2305" s="2">
        <f ca="1">IFERROR(__xludf.DUMMYFUNCTION("""COMPUTED_VALUE"""),45350.6666666666)</f>
        <v>45350.666666666599</v>
      </c>
      <c r="B2305" s="1">
        <f ca="1">IFERROR(__xludf.DUMMYFUNCTION("""COMPUTED_VALUE"""),200.42)</f>
        <v>200.42</v>
      </c>
      <c r="C2305" s="1">
        <f ca="1">IFERROR(__xludf.DUMMYFUNCTION("""COMPUTED_VALUE"""),205.3)</f>
        <v>205.3</v>
      </c>
      <c r="D2305" s="1">
        <f ca="1">IFERROR(__xludf.DUMMYFUNCTION("""COMPUTED_VALUE"""),198.44)</f>
        <v>198.44</v>
      </c>
      <c r="E2305" s="1">
        <f ca="1">IFERROR(__xludf.DUMMYFUNCTION("""COMPUTED_VALUE"""),202.04)</f>
        <v>202.04</v>
      </c>
      <c r="F2305" s="1">
        <f ca="1">IFERROR(__xludf.DUMMYFUNCTION("""COMPUTED_VALUE"""),99806173)</f>
        <v>99806173</v>
      </c>
    </row>
    <row r="2306" spans="1:6" x14ac:dyDescent="0.35">
      <c r="A2306" s="2">
        <f ca="1">IFERROR(__xludf.DUMMYFUNCTION("""COMPUTED_VALUE"""),45351.6666666666)</f>
        <v>45351.666666666599</v>
      </c>
      <c r="B2306" s="1">
        <f ca="1">IFERROR(__xludf.DUMMYFUNCTION("""COMPUTED_VALUE"""),204.18)</f>
        <v>204.18</v>
      </c>
      <c r="C2306" s="1">
        <f ca="1">IFERROR(__xludf.DUMMYFUNCTION("""COMPUTED_VALUE"""),205.28)</f>
        <v>205.28</v>
      </c>
      <c r="D2306" s="1">
        <f ca="1">IFERROR(__xludf.DUMMYFUNCTION("""COMPUTED_VALUE"""),198.45)</f>
        <v>198.45</v>
      </c>
      <c r="E2306" s="1">
        <f ca="1">IFERROR(__xludf.DUMMYFUNCTION("""COMPUTED_VALUE"""),201.88)</f>
        <v>201.88</v>
      </c>
      <c r="F2306" s="1">
        <f ca="1">IFERROR(__xludf.DUMMYFUNCTION("""COMPUTED_VALUE"""),85906974)</f>
        <v>85906974</v>
      </c>
    </row>
    <row r="2307" spans="1:6" x14ac:dyDescent="0.35">
      <c r="A2307" s="2">
        <f ca="1">IFERROR(__xludf.DUMMYFUNCTION("""COMPUTED_VALUE"""),45352.6666666666)</f>
        <v>45352.666666666599</v>
      </c>
      <c r="B2307" s="1">
        <f ca="1">IFERROR(__xludf.DUMMYFUNCTION("""COMPUTED_VALUE"""),200.52)</f>
        <v>200.52</v>
      </c>
      <c r="C2307" s="1">
        <f ca="1">IFERROR(__xludf.DUMMYFUNCTION("""COMPUTED_VALUE"""),204.52)</f>
        <v>204.52</v>
      </c>
      <c r="D2307" s="1">
        <f ca="1">IFERROR(__xludf.DUMMYFUNCTION("""COMPUTED_VALUE"""),198.5)</f>
        <v>198.5</v>
      </c>
      <c r="E2307" s="1">
        <f ca="1">IFERROR(__xludf.DUMMYFUNCTION("""COMPUTED_VALUE"""),202.64)</f>
        <v>202.64</v>
      </c>
      <c r="F2307" s="1">
        <f ca="1">IFERROR(__xludf.DUMMYFUNCTION("""COMPUTED_VALUE"""),82243119)</f>
        <v>82243119</v>
      </c>
    </row>
    <row r="2308" spans="1:6" x14ac:dyDescent="0.35">
      <c r="A2308" s="2">
        <f ca="1">IFERROR(__xludf.DUMMYFUNCTION("""COMPUTED_VALUE"""),45355.6666666666)</f>
        <v>45355.666666666599</v>
      </c>
      <c r="B2308" s="1">
        <f ca="1">IFERROR(__xludf.DUMMYFUNCTION("""COMPUTED_VALUE"""),198.73)</f>
        <v>198.73</v>
      </c>
      <c r="C2308" s="1">
        <f ca="1">IFERROR(__xludf.DUMMYFUNCTION("""COMPUTED_VALUE"""),199.75)</f>
        <v>199.75</v>
      </c>
      <c r="D2308" s="1">
        <f ca="1">IFERROR(__xludf.DUMMYFUNCTION("""COMPUTED_VALUE"""),186.72)</f>
        <v>186.72</v>
      </c>
      <c r="E2308" s="1">
        <f ca="1">IFERROR(__xludf.DUMMYFUNCTION("""COMPUTED_VALUE"""),188.14)</f>
        <v>188.14</v>
      </c>
      <c r="F2308" s="1">
        <f ca="1">IFERROR(__xludf.DUMMYFUNCTION("""COMPUTED_VALUE"""),134334869)</f>
        <v>134334869</v>
      </c>
    </row>
    <row r="2309" spans="1:6" x14ac:dyDescent="0.35">
      <c r="A2309" s="2">
        <f ca="1">IFERROR(__xludf.DUMMYFUNCTION("""COMPUTED_VALUE"""),45356.6666666666)</f>
        <v>45356.666666666599</v>
      </c>
      <c r="B2309" s="1">
        <f ca="1">IFERROR(__xludf.DUMMYFUNCTION("""COMPUTED_VALUE"""),183.05)</f>
        <v>183.05</v>
      </c>
      <c r="C2309" s="1">
        <f ca="1">IFERROR(__xludf.DUMMYFUNCTION("""COMPUTED_VALUE"""),184.59)</f>
        <v>184.59</v>
      </c>
      <c r="D2309" s="1">
        <f ca="1">IFERROR(__xludf.DUMMYFUNCTION("""COMPUTED_VALUE"""),177.57)</f>
        <v>177.57</v>
      </c>
      <c r="E2309" s="1">
        <f ca="1">IFERROR(__xludf.DUMMYFUNCTION("""COMPUTED_VALUE"""),180.74)</f>
        <v>180.74</v>
      </c>
      <c r="F2309" s="1">
        <f ca="1">IFERROR(__xludf.DUMMYFUNCTION("""COMPUTED_VALUE"""),119660758)</f>
        <v>119660758</v>
      </c>
    </row>
    <row r="2310" spans="1:6" x14ac:dyDescent="0.35">
      <c r="A2310" s="2">
        <f ca="1">IFERROR(__xludf.DUMMYFUNCTION("""COMPUTED_VALUE"""),45357.6666666666)</f>
        <v>45357.666666666599</v>
      </c>
      <c r="B2310" s="1">
        <f ca="1">IFERROR(__xludf.DUMMYFUNCTION("""COMPUTED_VALUE"""),179.99)</f>
        <v>179.99</v>
      </c>
      <c r="C2310" s="1">
        <f ca="1">IFERROR(__xludf.DUMMYFUNCTION("""COMPUTED_VALUE"""),181.58)</f>
        <v>181.58</v>
      </c>
      <c r="D2310" s="1">
        <f ca="1">IFERROR(__xludf.DUMMYFUNCTION("""COMPUTED_VALUE"""),173.7)</f>
        <v>173.7</v>
      </c>
      <c r="E2310" s="1">
        <f ca="1">IFERROR(__xludf.DUMMYFUNCTION("""COMPUTED_VALUE"""),176.54)</f>
        <v>176.54</v>
      </c>
      <c r="F2310" s="1">
        <f ca="1">IFERROR(__xludf.DUMMYFUNCTION("""COMPUTED_VALUE"""),107920944)</f>
        <v>107920944</v>
      </c>
    </row>
    <row r="2311" spans="1:6" x14ac:dyDescent="0.35">
      <c r="A2311" s="2">
        <f ca="1">IFERROR(__xludf.DUMMYFUNCTION("""COMPUTED_VALUE"""),45358.6666666666)</f>
        <v>45358.666666666599</v>
      </c>
      <c r="B2311" s="1">
        <f ca="1">IFERROR(__xludf.DUMMYFUNCTION("""COMPUTED_VALUE"""),174.35)</f>
        <v>174.35</v>
      </c>
      <c r="C2311" s="1">
        <f ca="1">IFERROR(__xludf.DUMMYFUNCTION("""COMPUTED_VALUE"""),180.04)</f>
        <v>180.04</v>
      </c>
      <c r="D2311" s="1">
        <f ca="1">IFERROR(__xludf.DUMMYFUNCTION("""COMPUTED_VALUE"""),173.7)</f>
        <v>173.7</v>
      </c>
      <c r="E2311" s="1">
        <f ca="1">IFERROR(__xludf.DUMMYFUNCTION("""COMPUTED_VALUE"""),178.65)</f>
        <v>178.65</v>
      </c>
      <c r="F2311" s="1">
        <f ca="1">IFERROR(__xludf.DUMMYFUNCTION("""COMPUTED_VALUE"""),102129004)</f>
        <v>102129004</v>
      </c>
    </row>
    <row r="2312" spans="1:6" x14ac:dyDescent="0.35">
      <c r="A2312" s="2">
        <f ca="1">IFERROR(__xludf.DUMMYFUNCTION("""COMPUTED_VALUE"""),45359.6666666666)</f>
        <v>45359.666666666599</v>
      </c>
      <c r="B2312" s="1">
        <f ca="1">IFERROR(__xludf.DUMMYFUNCTION("""COMPUTED_VALUE"""),181.5)</f>
        <v>181.5</v>
      </c>
      <c r="C2312" s="1">
        <f ca="1">IFERROR(__xludf.DUMMYFUNCTION("""COMPUTED_VALUE"""),182.73)</f>
        <v>182.73</v>
      </c>
      <c r="D2312" s="1">
        <f ca="1">IFERROR(__xludf.DUMMYFUNCTION("""COMPUTED_VALUE"""),174.7)</f>
        <v>174.7</v>
      </c>
      <c r="E2312" s="1">
        <f ca="1">IFERROR(__xludf.DUMMYFUNCTION("""COMPUTED_VALUE"""),175.34)</f>
        <v>175.34</v>
      </c>
      <c r="F2312" s="1">
        <f ca="1">IFERROR(__xludf.DUMMYFUNCTION("""COMPUTED_VALUE"""),85544644)</f>
        <v>85544644</v>
      </c>
    </row>
    <row r="2313" spans="1:6" x14ac:dyDescent="0.35">
      <c r="A2313" s="2">
        <f ca="1">IFERROR(__xludf.DUMMYFUNCTION("""COMPUTED_VALUE"""),45362.6666666666)</f>
        <v>45362.666666666599</v>
      </c>
      <c r="B2313" s="1">
        <f ca="1">IFERROR(__xludf.DUMMYFUNCTION("""COMPUTED_VALUE"""),175.45)</f>
        <v>175.45</v>
      </c>
      <c r="C2313" s="1">
        <f ca="1">IFERROR(__xludf.DUMMYFUNCTION("""COMPUTED_VALUE"""),182.87)</f>
        <v>182.87</v>
      </c>
      <c r="D2313" s="1">
        <f ca="1">IFERROR(__xludf.DUMMYFUNCTION("""COMPUTED_VALUE"""),174.8)</f>
        <v>174.8</v>
      </c>
      <c r="E2313" s="1">
        <f ca="1">IFERROR(__xludf.DUMMYFUNCTION("""COMPUTED_VALUE"""),177.77)</f>
        <v>177.77</v>
      </c>
      <c r="F2313" s="1">
        <f ca="1">IFERROR(__xludf.DUMMYFUNCTION("""COMPUTED_VALUE"""),85391528)</f>
        <v>85391528</v>
      </c>
    </row>
    <row r="2314" spans="1:6" x14ac:dyDescent="0.35">
      <c r="A2314" s="2">
        <f ca="1">IFERROR(__xludf.DUMMYFUNCTION("""COMPUTED_VALUE"""),45363.6666666666)</f>
        <v>45363.666666666599</v>
      </c>
      <c r="B2314" s="1">
        <f ca="1">IFERROR(__xludf.DUMMYFUNCTION("""COMPUTED_VALUE"""),177.77)</f>
        <v>177.77</v>
      </c>
      <c r="C2314" s="1">
        <f ca="1">IFERROR(__xludf.DUMMYFUNCTION("""COMPUTED_VALUE"""),179.43)</f>
        <v>179.43</v>
      </c>
      <c r="D2314" s="1">
        <f ca="1">IFERROR(__xludf.DUMMYFUNCTION("""COMPUTED_VALUE"""),172.41)</f>
        <v>172.41</v>
      </c>
      <c r="E2314" s="1">
        <f ca="1">IFERROR(__xludf.DUMMYFUNCTION("""COMPUTED_VALUE"""),177.54)</f>
        <v>177.54</v>
      </c>
      <c r="F2314" s="1">
        <f ca="1">IFERROR(__xludf.DUMMYFUNCTION("""COMPUTED_VALUE"""),87391684)</f>
        <v>87391684</v>
      </c>
    </row>
    <row r="2315" spans="1:6" x14ac:dyDescent="0.35">
      <c r="A2315" s="2">
        <f ca="1">IFERROR(__xludf.DUMMYFUNCTION("""COMPUTED_VALUE"""),45364.6666666666)</f>
        <v>45364.666666666599</v>
      </c>
      <c r="B2315" s="1">
        <f ca="1">IFERROR(__xludf.DUMMYFUNCTION("""COMPUTED_VALUE"""),173.05)</f>
        <v>173.05</v>
      </c>
      <c r="C2315" s="1">
        <f ca="1">IFERROR(__xludf.DUMMYFUNCTION("""COMPUTED_VALUE"""),176.05)</f>
        <v>176.05</v>
      </c>
      <c r="D2315" s="1">
        <f ca="1">IFERROR(__xludf.DUMMYFUNCTION("""COMPUTED_VALUE"""),169.15)</f>
        <v>169.15</v>
      </c>
      <c r="E2315" s="1">
        <f ca="1">IFERROR(__xludf.DUMMYFUNCTION("""COMPUTED_VALUE"""),169.48)</f>
        <v>169.48</v>
      </c>
      <c r="F2315" s="1">
        <f ca="1">IFERROR(__xludf.DUMMYFUNCTION("""COMPUTED_VALUE"""),106524518)</f>
        <v>106524518</v>
      </c>
    </row>
    <row r="2316" spans="1:6" x14ac:dyDescent="0.35">
      <c r="A2316" s="2">
        <f ca="1">IFERROR(__xludf.DUMMYFUNCTION("""COMPUTED_VALUE"""),45365.6666666666)</f>
        <v>45365.666666666599</v>
      </c>
      <c r="B2316" s="1">
        <f ca="1">IFERROR(__xludf.DUMMYFUNCTION("""COMPUTED_VALUE"""),167.77)</f>
        <v>167.77</v>
      </c>
      <c r="C2316" s="1">
        <f ca="1">IFERROR(__xludf.DUMMYFUNCTION("""COMPUTED_VALUE"""),171.17)</f>
        <v>171.17</v>
      </c>
      <c r="D2316" s="1">
        <f ca="1">IFERROR(__xludf.DUMMYFUNCTION("""COMPUTED_VALUE"""),160.51)</f>
        <v>160.51</v>
      </c>
      <c r="E2316" s="1">
        <f ca="1">IFERROR(__xludf.DUMMYFUNCTION("""COMPUTED_VALUE"""),162.5)</f>
        <v>162.5</v>
      </c>
      <c r="F2316" s="1">
        <f ca="1">IFERROR(__xludf.DUMMYFUNCTION("""COMPUTED_VALUE"""),126325696)</f>
        <v>126325696</v>
      </c>
    </row>
    <row r="2317" spans="1:6" x14ac:dyDescent="0.35">
      <c r="A2317" s="2">
        <f ca="1">IFERROR(__xludf.DUMMYFUNCTION("""COMPUTED_VALUE"""),45366.6666666666)</f>
        <v>45366.666666666599</v>
      </c>
      <c r="B2317" s="1">
        <f ca="1">IFERROR(__xludf.DUMMYFUNCTION("""COMPUTED_VALUE"""),163.16)</f>
        <v>163.16</v>
      </c>
      <c r="C2317" s="1">
        <f ca="1">IFERROR(__xludf.DUMMYFUNCTION("""COMPUTED_VALUE"""),165.18)</f>
        <v>165.18</v>
      </c>
      <c r="D2317" s="1">
        <f ca="1">IFERROR(__xludf.DUMMYFUNCTION("""COMPUTED_VALUE"""),160.76)</f>
        <v>160.76</v>
      </c>
      <c r="E2317" s="1">
        <f ca="1">IFERROR(__xludf.DUMMYFUNCTION("""COMPUTED_VALUE"""),163.57)</f>
        <v>163.57</v>
      </c>
      <c r="F2317" s="1">
        <f ca="1">IFERROR(__xludf.DUMMYFUNCTION("""COMPUTED_VALUE"""),97146832)</f>
        <v>97146832</v>
      </c>
    </row>
    <row r="2318" spans="1:6" x14ac:dyDescent="0.35">
      <c r="A2318" s="2">
        <f ca="1">IFERROR(__xludf.DUMMYFUNCTION("""COMPUTED_VALUE"""),45369.6666666666)</f>
        <v>45369.666666666599</v>
      </c>
      <c r="B2318" s="1">
        <f ca="1">IFERROR(__xludf.DUMMYFUNCTION("""COMPUTED_VALUE"""),170.02)</f>
        <v>170.02</v>
      </c>
      <c r="C2318" s="1">
        <f ca="1">IFERROR(__xludf.DUMMYFUNCTION("""COMPUTED_VALUE"""),174.72)</f>
        <v>174.72</v>
      </c>
      <c r="D2318" s="1">
        <f ca="1">IFERROR(__xludf.DUMMYFUNCTION("""COMPUTED_VALUE"""),165.9)</f>
        <v>165.9</v>
      </c>
      <c r="E2318" s="1">
        <f ca="1">IFERROR(__xludf.DUMMYFUNCTION("""COMPUTED_VALUE"""),173.8)</f>
        <v>173.8</v>
      </c>
      <c r="F2318" s="1">
        <f ca="1">IFERROR(__xludf.DUMMYFUNCTION("""COMPUTED_VALUE"""),108214358)</f>
        <v>108214358</v>
      </c>
    </row>
    <row r="2319" spans="1:6" x14ac:dyDescent="0.35">
      <c r="A2319" s="2">
        <f ca="1">IFERROR(__xludf.DUMMYFUNCTION("""COMPUTED_VALUE"""),45370.6666666666)</f>
        <v>45370.666666666599</v>
      </c>
      <c r="B2319" s="1">
        <f ca="1">IFERROR(__xludf.DUMMYFUNCTION("""COMPUTED_VALUE"""),172.36)</f>
        <v>172.36</v>
      </c>
      <c r="C2319" s="1">
        <f ca="1">IFERROR(__xludf.DUMMYFUNCTION("""COMPUTED_VALUE"""),172.82)</f>
        <v>172.82</v>
      </c>
      <c r="D2319" s="1">
        <f ca="1">IFERROR(__xludf.DUMMYFUNCTION("""COMPUTED_VALUE"""),167.42)</f>
        <v>167.42</v>
      </c>
      <c r="E2319" s="1">
        <f ca="1">IFERROR(__xludf.DUMMYFUNCTION("""COMPUTED_VALUE"""),171.32)</f>
        <v>171.32</v>
      </c>
      <c r="F2319" s="1">
        <f ca="1">IFERROR(__xludf.DUMMYFUNCTION("""COMPUTED_VALUE"""),77271428)</f>
        <v>77271428</v>
      </c>
    </row>
    <row r="2320" spans="1:6" x14ac:dyDescent="0.35">
      <c r="A2320" s="2">
        <f ca="1">IFERROR(__xludf.DUMMYFUNCTION("""COMPUTED_VALUE"""),45371.6666666666)</f>
        <v>45371.666666666599</v>
      </c>
      <c r="B2320" s="1">
        <f ca="1">IFERROR(__xludf.DUMMYFUNCTION("""COMPUTED_VALUE"""),173)</f>
        <v>173</v>
      </c>
      <c r="C2320" s="1">
        <f ca="1">IFERROR(__xludf.DUMMYFUNCTION("""COMPUTED_VALUE"""),176.25)</f>
        <v>176.25</v>
      </c>
      <c r="D2320" s="1">
        <f ca="1">IFERROR(__xludf.DUMMYFUNCTION("""COMPUTED_VALUE"""),170.82)</f>
        <v>170.82</v>
      </c>
      <c r="E2320" s="1">
        <f ca="1">IFERROR(__xludf.DUMMYFUNCTION("""COMPUTED_VALUE"""),175.66)</f>
        <v>175.66</v>
      </c>
      <c r="F2320" s="1">
        <f ca="1">IFERROR(__xludf.DUMMYFUNCTION("""COMPUTED_VALUE"""),83846726)</f>
        <v>83846726</v>
      </c>
    </row>
    <row r="2321" spans="1:6" x14ac:dyDescent="0.35">
      <c r="A2321" s="2">
        <f ca="1">IFERROR(__xludf.DUMMYFUNCTION("""COMPUTED_VALUE"""),45372.6666666666)</f>
        <v>45372.666666666599</v>
      </c>
      <c r="B2321" s="1">
        <f ca="1">IFERROR(__xludf.DUMMYFUNCTION("""COMPUTED_VALUE"""),176.39)</f>
        <v>176.39</v>
      </c>
      <c r="C2321" s="1">
        <f ca="1">IFERROR(__xludf.DUMMYFUNCTION("""COMPUTED_VALUE"""),178.18)</f>
        <v>178.18</v>
      </c>
      <c r="D2321" s="1">
        <f ca="1">IFERROR(__xludf.DUMMYFUNCTION("""COMPUTED_VALUE"""),171.8)</f>
        <v>171.8</v>
      </c>
      <c r="E2321" s="1">
        <f ca="1">IFERROR(__xludf.DUMMYFUNCTION("""COMPUTED_VALUE"""),172.82)</f>
        <v>172.82</v>
      </c>
      <c r="F2321" s="1">
        <f ca="1">IFERROR(__xludf.DUMMYFUNCTION("""COMPUTED_VALUE"""),73178014)</f>
        <v>73178014</v>
      </c>
    </row>
    <row r="2322" spans="1:6" x14ac:dyDescent="0.35">
      <c r="A2322" s="2">
        <f ca="1">IFERROR(__xludf.DUMMYFUNCTION("""COMPUTED_VALUE"""),45373.6666666666)</f>
        <v>45373.666666666599</v>
      </c>
      <c r="B2322" s="1">
        <f ca="1">IFERROR(__xludf.DUMMYFUNCTION("""COMPUTED_VALUE"""),166.69)</f>
        <v>166.69</v>
      </c>
      <c r="C2322" s="1">
        <f ca="1">IFERROR(__xludf.DUMMYFUNCTION("""COMPUTED_VALUE"""),171.2)</f>
        <v>171.2</v>
      </c>
      <c r="D2322" s="1">
        <f ca="1">IFERROR(__xludf.DUMMYFUNCTION("""COMPUTED_VALUE"""),166.3)</f>
        <v>166.3</v>
      </c>
      <c r="E2322" s="1">
        <f ca="1">IFERROR(__xludf.DUMMYFUNCTION("""COMPUTED_VALUE"""),170.83)</f>
        <v>170.83</v>
      </c>
      <c r="F2322" s="1">
        <f ca="1">IFERROR(__xludf.DUMMYFUNCTION("""COMPUTED_VALUE"""),75580637)</f>
        <v>75580637</v>
      </c>
    </row>
    <row r="2323" spans="1:6" x14ac:dyDescent="0.35">
      <c r="A2323" s="2">
        <f ca="1">IFERROR(__xludf.DUMMYFUNCTION("""COMPUTED_VALUE"""),45376.6666666666)</f>
        <v>45376.666666666599</v>
      </c>
      <c r="B2323" s="1">
        <f ca="1">IFERROR(__xludf.DUMMYFUNCTION("""COMPUTED_VALUE"""),168.76)</f>
        <v>168.76</v>
      </c>
      <c r="C2323" s="1">
        <f ca="1">IFERROR(__xludf.DUMMYFUNCTION("""COMPUTED_VALUE"""),175.24)</f>
        <v>175.24</v>
      </c>
      <c r="D2323" s="1">
        <f ca="1">IFERROR(__xludf.DUMMYFUNCTION("""COMPUTED_VALUE"""),168.73)</f>
        <v>168.73</v>
      </c>
      <c r="E2323" s="1">
        <f ca="1">IFERROR(__xludf.DUMMYFUNCTION("""COMPUTED_VALUE"""),172.63)</f>
        <v>172.63</v>
      </c>
      <c r="F2323" s="1">
        <f ca="1">IFERROR(__xludf.DUMMYFUNCTION("""COMPUTED_VALUE"""),74228615)</f>
        <v>74228615</v>
      </c>
    </row>
    <row r="2324" spans="1:6" x14ac:dyDescent="0.35">
      <c r="A2324" s="2">
        <f ca="1">IFERROR(__xludf.DUMMYFUNCTION("""COMPUTED_VALUE"""),45377.6666666666)</f>
        <v>45377.666666666599</v>
      </c>
      <c r="B2324" s="1">
        <f ca="1">IFERROR(__xludf.DUMMYFUNCTION("""COMPUTED_VALUE"""),178.58)</f>
        <v>178.58</v>
      </c>
      <c r="C2324" s="1">
        <f ca="1">IFERROR(__xludf.DUMMYFUNCTION("""COMPUTED_VALUE"""),184.25)</f>
        <v>184.25</v>
      </c>
      <c r="D2324" s="1">
        <f ca="1">IFERROR(__xludf.DUMMYFUNCTION("""COMPUTED_VALUE"""),177.38)</f>
        <v>177.38</v>
      </c>
      <c r="E2324" s="1">
        <f ca="1">IFERROR(__xludf.DUMMYFUNCTION("""COMPUTED_VALUE"""),177.67)</f>
        <v>177.67</v>
      </c>
      <c r="F2324" s="1">
        <f ca="1">IFERROR(__xludf.DUMMYFUNCTION("""COMPUTED_VALUE"""),113186227)</f>
        <v>113186227</v>
      </c>
    </row>
    <row r="2325" spans="1:6" x14ac:dyDescent="0.35">
      <c r="A2325" s="2">
        <f ca="1">IFERROR(__xludf.DUMMYFUNCTION("""COMPUTED_VALUE"""),45378.6666666666)</f>
        <v>45378.666666666599</v>
      </c>
      <c r="B2325" s="1">
        <f ca="1">IFERROR(__xludf.DUMMYFUNCTION("""COMPUTED_VALUE"""),181.41)</f>
        <v>181.41</v>
      </c>
      <c r="C2325" s="1">
        <f ca="1">IFERROR(__xludf.DUMMYFUNCTION("""COMPUTED_VALUE"""),181.91)</f>
        <v>181.91</v>
      </c>
      <c r="D2325" s="1">
        <f ca="1">IFERROR(__xludf.DUMMYFUNCTION("""COMPUTED_VALUE"""),176)</f>
        <v>176</v>
      </c>
      <c r="E2325" s="1">
        <f ca="1">IFERROR(__xludf.DUMMYFUNCTION("""COMPUTED_VALUE"""),179.83)</f>
        <v>179.83</v>
      </c>
      <c r="F2325" s="1">
        <f ca="1">IFERROR(__xludf.DUMMYFUNCTION("""COMPUTED_VALUE"""),81804043)</f>
        <v>81804043</v>
      </c>
    </row>
    <row r="2326" spans="1:6" x14ac:dyDescent="0.35">
      <c r="A2326" s="2">
        <f ca="1">IFERROR(__xludf.DUMMYFUNCTION("""COMPUTED_VALUE"""),45379.6666666666)</f>
        <v>45379.666666666599</v>
      </c>
      <c r="B2326" s="1">
        <f ca="1">IFERROR(__xludf.DUMMYFUNCTION("""COMPUTED_VALUE"""),177.45)</f>
        <v>177.45</v>
      </c>
      <c r="C2326" s="1">
        <f ca="1">IFERROR(__xludf.DUMMYFUNCTION("""COMPUTED_VALUE"""),179.57)</f>
        <v>179.57</v>
      </c>
      <c r="D2326" s="1">
        <f ca="1">IFERROR(__xludf.DUMMYFUNCTION("""COMPUTED_VALUE"""),175.3)</f>
        <v>175.3</v>
      </c>
      <c r="E2326" s="1">
        <f ca="1">IFERROR(__xludf.DUMMYFUNCTION("""COMPUTED_VALUE"""),175.79)</f>
        <v>175.79</v>
      </c>
      <c r="F2326" s="1">
        <f ca="1">IFERROR(__xludf.DUMMYFUNCTION("""COMPUTED_VALUE"""),77654838)</f>
        <v>77654838</v>
      </c>
    </row>
    <row r="2327" spans="1:6" x14ac:dyDescent="0.35">
      <c r="A2327" s="2">
        <f ca="1">IFERROR(__xludf.DUMMYFUNCTION("""COMPUTED_VALUE"""),45383.6666666666)</f>
        <v>45383.666666666599</v>
      </c>
      <c r="B2327" s="1">
        <f ca="1">IFERROR(__xludf.DUMMYFUNCTION("""COMPUTED_VALUE"""),176.17)</f>
        <v>176.17</v>
      </c>
      <c r="C2327" s="1">
        <f ca="1">IFERROR(__xludf.DUMMYFUNCTION("""COMPUTED_VALUE"""),176.75)</f>
        <v>176.75</v>
      </c>
      <c r="D2327" s="1">
        <f ca="1">IFERROR(__xludf.DUMMYFUNCTION("""COMPUTED_VALUE"""),170.21)</f>
        <v>170.21</v>
      </c>
      <c r="E2327" s="1">
        <f ca="1">IFERROR(__xludf.DUMMYFUNCTION("""COMPUTED_VALUE"""),175.22)</f>
        <v>175.22</v>
      </c>
      <c r="F2327" s="1">
        <f ca="1">IFERROR(__xludf.DUMMYFUNCTION("""COMPUTED_VALUE"""),81562127)</f>
        <v>81562127</v>
      </c>
    </row>
    <row r="2328" spans="1:6" x14ac:dyDescent="0.35">
      <c r="A2328" s="2">
        <f ca="1">IFERROR(__xludf.DUMMYFUNCTION("""COMPUTED_VALUE"""),45384.6666666666)</f>
        <v>45384.666666666599</v>
      </c>
      <c r="B2328" s="1">
        <f ca="1">IFERROR(__xludf.DUMMYFUNCTION("""COMPUTED_VALUE"""),164.75)</f>
        <v>164.75</v>
      </c>
      <c r="C2328" s="1">
        <f ca="1">IFERROR(__xludf.DUMMYFUNCTION("""COMPUTED_VALUE"""),167.69)</f>
        <v>167.69</v>
      </c>
      <c r="D2328" s="1">
        <f ca="1">IFERROR(__xludf.DUMMYFUNCTION("""COMPUTED_VALUE"""),163.43)</f>
        <v>163.43</v>
      </c>
      <c r="E2328" s="1">
        <f ca="1">IFERROR(__xludf.DUMMYFUNCTION("""COMPUTED_VALUE"""),166.63)</f>
        <v>166.63</v>
      </c>
      <c r="F2328" s="1">
        <f ca="1">IFERROR(__xludf.DUMMYFUNCTION("""COMPUTED_VALUE"""),116650594)</f>
        <v>116650594</v>
      </c>
    </row>
    <row r="2329" spans="1:6" x14ac:dyDescent="0.35">
      <c r="A2329" s="2">
        <f ca="1">IFERROR(__xludf.DUMMYFUNCTION("""COMPUTED_VALUE"""),45385.6666666666)</f>
        <v>45385.666666666599</v>
      </c>
      <c r="B2329" s="1">
        <f ca="1">IFERROR(__xludf.DUMMYFUNCTION("""COMPUTED_VALUE"""),164.02)</f>
        <v>164.02</v>
      </c>
      <c r="C2329" s="1">
        <f ca="1">IFERROR(__xludf.DUMMYFUNCTION("""COMPUTED_VALUE"""),168.82)</f>
        <v>168.82</v>
      </c>
      <c r="D2329" s="1">
        <f ca="1">IFERROR(__xludf.DUMMYFUNCTION("""COMPUTED_VALUE"""),163.28)</f>
        <v>163.28</v>
      </c>
      <c r="E2329" s="1">
        <f ca="1">IFERROR(__xludf.DUMMYFUNCTION("""COMPUTED_VALUE"""),168.38)</f>
        <v>168.38</v>
      </c>
      <c r="F2329" s="1">
        <f ca="1">IFERROR(__xludf.DUMMYFUNCTION("""COMPUTED_VALUE"""),82950141)</f>
        <v>82950141</v>
      </c>
    </row>
    <row r="2330" spans="1:6" x14ac:dyDescent="0.35">
      <c r="A2330" s="2">
        <f ca="1">IFERROR(__xludf.DUMMYFUNCTION("""COMPUTED_VALUE"""),45386.6666666666)</f>
        <v>45386.666666666599</v>
      </c>
      <c r="B2330" s="1">
        <f ca="1">IFERROR(__xludf.DUMMYFUNCTION("""COMPUTED_VALUE"""),170.07)</f>
        <v>170.07</v>
      </c>
      <c r="C2330" s="1">
        <f ca="1">IFERROR(__xludf.DUMMYFUNCTION("""COMPUTED_VALUE"""),177.19)</f>
        <v>177.19</v>
      </c>
      <c r="D2330" s="1">
        <f ca="1">IFERROR(__xludf.DUMMYFUNCTION("""COMPUTED_VALUE"""),168.01)</f>
        <v>168.01</v>
      </c>
      <c r="E2330" s="1">
        <f ca="1">IFERROR(__xludf.DUMMYFUNCTION("""COMPUTED_VALUE"""),171.11)</f>
        <v>171.11</v>
      </c>
      <c r="F2330" s="1">
        <f ca="1">IFERROR(__xludf.DUMMYFUNCTION("""COMPUTED_VALUE"""),123161960)</f>
        <v>123161960</v>
      </c>
    </row>
    <row r="2331" spans="1:6" x14ac:dyDescent="0.35">
      <c r="A2331" s="2">
        <f ca="1">IFERROR(__xludf.DUMMYFUNCTION("""COMPUTED_VALUE"""),45387.6666666666)</f>
        <v>45387.666666666599</v>
      </c>
      <c r="B2331" s="1">
        <f ca="1">IFERROR(__xludf.DUMMYFUNCTION("""COMPUTED_VALUE"""),169.08)</f>
        <v>169.08</v>
      </c>
      <c r="C2331" s="1">
        <f ca="1">IFERROR(__xludf.DUMMYFUNCTION("""COMPUTED_VALUE"""),170.86)</f>
        <v>170.86</v>
      </c>
      <c r="D2331" s="1">
        <f ca="1">IFERROR(__xludf.DUMMYFUNCTION("""COMPUTED_VALUE"""),160.51)</f>
        <v>160.51</v>
      </c>
      <c r="E2331" s="1">
        <f ca="1">IFERROR(__xludf.DUMMYFUNCTION("""COMPUTED_VALUE"""),164.9)</f>
        <v>164.9</v>
      </c>
      <c r="F2331" s="1">
        <f ca="1">IFERROR(__xludf.DUMMYFUNCTION("""COMPUTED_VALUE"""),143157603)</f>
        <v>143157603</v>
      </c>
    </row>
    <row r="2332" spans="1:6" x14ac:dyDescent="0.35">
      <c r="A2332" s="2">
        <f ca="1">IFERROR(__xludf.DUMMYFUNCTION("""COMPUTED_VALUE"""),45390.6666666666)</f>
        <v>45390.666666666599</v>
      </c>
      <c r="B2332" s="1">
        <f ca="1">IFERROR(__xludf.DUMMYFUNCTION("""COMPUTED_VALUE"""),169.34)</f>
        <v>169.34</v>
      </c>
      <c r="C2332" s="1">
        <f ca="1">IFERROR(__xludf.DUMMYFUNCTION("""COMPUTED_VALUE"""),174.5)</f>
        <v>174.5</v>
      </c>
      <c r="D2332" s="1">
        <f ca="1">IFERROR(__xludf.DUMMYFUNCTION("""COMPUTED_VALUE"""),167.79)</f>
        <v>167.79</v>
      </c>
      <c r="E2332" s="1">
        <f ca="1">IFERROR(__xludf.DUMMYFUNCTION("""COMPUTED_VALUE"""),172.98)</f>
        <v>172.98</v>
      </c>
      <c r="F2332" s="1">
        <f ca="1">IFERROR(__xludf.DUMMYFUNCTION("""COMPUTED_VALUE"""),104423320)</f>
        <v>104423320</v>
      </c>
    </row>
    <row r="2333" spans="1:6" x14ac:dyDescent="0.35">
      <c r="A2333" s="2">
        <f ca="1">IFERROR(__xludf.DUMMYFUNCTION("""COMPUTED_VALUE"""),45391.6666666666)</f>
        <v>45391.666666666599</v>
      </c>
      <c r="B2333" s="1">
        <f ca="1">IFERROR(__xludf.DUMMYFUNCTION("""COMPUTED_VALUE"""),172.91)</f>
        <v>172.91</v>
      </c>
      <c r="C2333" s="1">
        <f ca="1">IFERROR(__xludf.DUMMYFUNCTION("""COMPUTED_VALUE"""),179.22)</f>
        <v>179.22</v>
      </c>
      <c r="D2333" s="1">
        <f ca="1">IFERROR(__xludf.DUMMYFUNCTION("""COMPUTED_VALUE"""),171.92)</f>
        <v>171.92</v>
      </c>
      <c r="E2333" s="1">
        <f ca="1">IFERROR(__xludf.DUMMYFUNCTION("""COMPUTED_VALUE"""),176.88)</f>
        <v>176.88</v>
      </c>
      <c r="F2333" s="1">
        <f ca="1">IFERROR(__xludf.DUMMYFUNCTION("""COMPUTED_VALUE"""),103232675)</f>
        <v>103232675</v>
      </c>
    </row>
    <row r="2334" spans="1:6" x14ac:dyDescent="0.35">
      <c r="A2334" s="2">
        <f ca="1">IFERROR(__xludf.DUMMYFUNCTION("""COMPUTED_VALUE"""),45392.6666666666)</f>
        <v>45392.666666666599</v>
      </c>
      <c r="B2334" s="1">
        <f ca="1">IFERROR(__xludf.DUMMYFUNCTION("""COMPUTED_VALUE"""),173.04)</f>
        <v>173.04</v>
      </c>
      <c r="C2334" s="1">
        <f ca="1">IFERROR(__xludf.DUMMYFUNCTION("""COMPUTED_VALUE"""),174.93)</f>
        <v>174.93</v>
      </c>
      <c r="D2334" s="1">
        <f ca="1">IFERROR(__xludf.DUMMYFUNCTION("""COMPUTED_VALUE"""),170.01)</f>
        <v>170.01</v>
      </c>
      <c r="E2334" s="1">
        <f ca="1">IFERROR(__xludf.DUMMYFUNCTION("""COMPUTED_VALUE"""),171.76)</f>
        <v>171.76</v>
      </c>
      <c r="F2334" s="1">
        <f ca="1">IFERROR(__xludf.DUMMYFUNCTION("""COMPUTED_VALUE"""),84532407)</f>
        <v>84532407</v>
      </c>
    </row>
    <row r="2335" spans="1:6" x14ac:dyDescent="0.35">
      <c r="A2335" s="2">
        <f ca="1">IFERROR(__xludf.DUMMYFUNCTION("""COMPUTED_VALUE"""),45393.6666666666)</f>
        <v>45393.666666666599</v>
      </c>
      <c r="B2335" s="1">
        <f ca="1">IFERROR(__xludf.DUMMYFUNCTION("""COMPUTED_VALUE"""),172.55)</f>
        <v>172.55</v>
      </c>
      <c r="C2335" s="1">
        <f ca="1">IFERROR(__xludf.DUMMYFUNCTION("""COMPUTED_VALUE"""),175.88)</f>
        <v>175.88</v>
      </c>
      <c r="D2335" s="1">
        <f ca="1">IFERROR(__xludf.DUMMYFUNCTION("""COMPUTED_VALUE"""),168.51)</f>
        <v>168.51</v>
      </c>
      <c r="E2335" s="1">
        <f ca="1">IFERROR(__xludf.DUMMYFUNCTION("""COMPUTED_VALUE"""),174.6)</f>
        <v>174.6</v>
      </c>
      <c r="F2335" s="1">
        <f ca="1">IFERROR(__xludf.DUMMYFUNCTION("""COMPUTED_VALUE"""),94515987)</f>
        <v>94515987</v>
      </c>
    </row>
    <row r="2336" spans="1:6" x14ac:dyDescent="0.35">
      <c r="A2336" s="2">
        <f ca="1">IFERROR(__xludf.DUMMYFUNCTION("""COMPUTED_VALUE"""),45394.6666666666)</f>
        <v>45394.666666666599</v>
      </c>
      <c r="B2336" s="1">
        <f ca="1">IFERROR(__xludf.DUMMYFUNCTION("""COMPUTED_VALUE"""),172.34)</f>
        <v>172.34</v>
      </c>
      <c r="C2336" s="1">
        <f ca="1">IFERROR(__xludf.DUMMYFUNCTION("""COMPUTED_VALUE"""),173.81)</f>
        <v>173.81</v>
      </c>
      <c r="D2336" s="1">
        <f ca="1">IFERROR(__xludf.DUMMYFUNCTION("""COMPUTED_VALUE"""),170.36)</f>
        <v>170.36</v>
      </c>
      <c r="E2336" s="1">
        <f ca="1">IFERROR(__xludf.DUMMYFUNCTION("""COMPUTED_VALUE"""),171.05)</f>
        <v>171.05</v>
      </c>
      <c r="F2336" s="1">
        <f ca="1">IFERROR(__xludf.DUMMYFUNCTION("""COMPUTED_VALUE"""),64722669)</f>
        <v>64722669</v>
      </c>
    </row>
    <row r="2337" spans="1:6" x14ac:dyDescent="0.35">
      <c r="A2337" s="2">
        <f ca="1">IFERROR(__xludf.DUMMYFUNCTION("""COMPUTED_VALUE"""),45397.6666666666)</f>
        <v>45397.666666666599</v>
      </c>
      <c r="B2337" s="1">
        <f ca="1">IFERROR(__xludf.DUMMYFUNCTION("""COMPUTED_VALUE"""),170.24)</f>
        <v>170.24</v>
      </c>
      <c r="C2337" s="1">
        <f ca="1">IFERROR(__xludf.DUMMYFUNCTION("""COMPUTED_VALUE"""),170.69)</f>
        <v>170.69</v>
      </c>
      <c r="D2337" s="1">
        <f ca="1">IFERROR(__xludf.DUMMYFUNCTION("""COMPUTED_VALUE"""),161.38)</f>
        <v>161.38</v>
      </c>
      <c r="E2337" s="1">
        <f ca="1">IFERROR(__xludf.DUMMYFUNCTION("""COMPUTED_VALUE"""),161.48)</f>
        <v>161.47999999999999</v>
      </c>
      <c r="F2337" s="1">
        <f ca="1">IFERROR(__xludf.DUMMYFUNCTION("""COMPUTED_VALUE"""),100245310)</f>
        <v>100245310</v>
      </c>
    </row>
    <row r="2338" spans="1:6" x14ac:dyDescent="0.35">
      <c r="A2338" s="2">
        <f ca="1">IFERROR(__xludf.DUMMYFUNCTION("""COMPUTED_VALUE"""),45398.6666666666)</f>
        <v>45398.666666666599</v>
      </c>
      <c r="B2338" s="1">
        <f ca="1">IFERROR(__xludf.DUMMYFUNCTION("""COMPUTED_VALUE"""),156.74)</f>
        <v>156.74</v>
      </c>
      <c r="C2338" s="1">
        <f ca="1">IFERROR(__xludf.DUMMYFUNCTION("""COMPUTED_VALUE"""),158.19)</f>
        <v>158.19</v>
      </c>
      <c r="D2338" s="1">
        <f ca="1">IFERROR(__xludf.DUMMYFUNCTION("""COMPUTED_VALUE"""),153.75)</f>
        <v>153.75</v>
      </c>
      <c r="E2338" s="1">
        <f ca="1">IFERROR(__xludf.DUMMYFUNCTION("""COMPUTED_VALUE"""),157.11)</f>
        <v>157.11000000000001</v>
      </c>
      <c r="F2338" s="1">
        <f ca="1">IFERROR(__xludf.DUMMYFUNCTION("""COMPUTED_VALUE"""),96999956)</f>
        <v>96999956</v>
      </c>
    </row>
    <row r="2339" spans="1:6" x14ac:dyDescent="0.35">
      <c r="A2339" s="2">
        <f ca="1">IFERROR(__xludf.DUMMYFUNCTION("""COMPUTED_VALUE"""),45399.6666666666)</f>
        <v>45399.666666666599</v>
      </c>
      <c r="B2339" s="1">
        <f ca="1">IFERROR(__xludf.DUMMYFUNCTION("""COMPUTED_VALUE"""),157.64)</f>
        <v>157.63999999999999</v>
      </c>
      <c r="C2339" s="1">
        <f ca="1">IFERROR(__xludf.DUMMYFUNCTION("""COMPUTED_VALUE"""),158.33)</f>
        <v>158.33000000000001</v>
      </c>
      <c r="D2339" s="1">
        <f ca="1">IFERROR(__xludf.DUMMYFUNCTION("""COMPUTED_VALUE"""),153.78)</f>
        <v>153.78</v>
      </c>
      <c r="E2339" s="1">
        <f ca="1">IFERROR(__xludf.DUMMYFUNCTION("""COMPUTED_VALUE"""),155.45)</f>
        <v>155.44999999999999</v>
      </c>
      <c r="F2339" s="1">
        <f ca="1">IFERROR(__xludf.DUMMYFUNCTION("""COMPUTED_VALUE"""),82439718)</f>
        <v>82439718</v>
      </c>
    </row>
    <row r="2340" spans="1:6" x14ac:dyDescent="0.35">
      <c r="A2340" s="2">
        <f ca="1">IFERROR(__xludf.DUMMYFUNCTION("""COMPUTED_VALUE"""),45400.6666666666)</f>
        <v>45400.666666666599</v>
      </c>
      <c r="B2340" s="1">
        <f ca="1">IFERROR(__xludf.DUMMYFUNCTION("""COMPUTED_VALUE"""),151.25)</f>
        <v>151.25</v>
      </c>
      <c r="C2340" s="1">
        <f ca="1">IFERROR(__xludf.DUMMYFUNCTION("""COMPUTED_VALUE"""),152.2)</f>
        <v>152.19999999999999</v>
      </c>
      <c r="D2340" s="1">
        <f ca="1">IFERROR(__xludf.DUMMYFUNCTION("""COMPUTED_VALUE"""),148.7)</f>
        <v>148.69999999999999</v>
      </c>
      <c r="E2340" s="1">
        <f ca="1">IFERROR(__xludf.DUMMYFUNCTION("""COMPUTED_VALUE"""),149.93)</f>
        <v>149.93</v>
      </c>
      <c r="F2340" s="1">
        <f ca="1">IFERROR(__xludf.DUMMYFUNCTION("""COMPUTED_VALUE"""),96098830)</f>
        <v>96098830</v>
      </c>
    </row>
    <row r="2341" spans="1:6" x14ac:dyDescent="0.35">
      <c r="A2341" s="2">
        <f ca="1">IFERROR(__xludf.DUMMYFUNCTION("""COMPUTED_VALUE"""),45401.6666666666)</f>
        <v>45401.666666666599</v>
      </c>
      <c r="B2341" s="1">
        <f ca="1">IFERROR(__xludf.DUMMYFUNCTION("""COMPUTED_VALUE"""),148.97)</f>
        <v>148.97</v>
      </c>
      <c r="C2341" s="1">
        <f ca="1">IFERROR(__xludf.DUMMYFUNCTION("""COMPUTED_VALUE"""),150.94)</f>
        <v>150.94</v>
      </c>
      <c r="D2341" s="1">
        <f ca="1">IFERROR(__xludf.DUMMYFUNCTION("""COMPUTED_VALUE"""),146.22)</f>
        <v>146.22</v>
      </c>
      <c r="E2341" s="1">
        <f ca="1">IFERROR(__xludf.DUMMYFUNCTION("""COMPUTED_VALUE"""),147.05)</f>
        <v>147.05000000000001</v>
      </c>
      <c r="F2341" s="1">
        <f ca="1">IFERROR(__xludf.DUMMYFUNCTION("""COMPUTED_VALUE"""),87074500)</f>
        <v>87074500</v>
      </c>
    </row>
    <row r="2342" spans="1:6" x14ac:dyDescent="0.35">
      <c r="A2342" s="2">
        <f ca="1">IFERROR(__xludf.DUMMYFUNCTION("""COMPUTED_VALUE"""),45404.6666666666)</f>
        <v>45404.666666666599</v>
      </c>
      <c r="B2342" s="1">
        <f ca="1">IFERROR(__xludf.DUMMYFUNCTION("""COMPUTED_VALUE"""),140.56)</f>
        <v>140.56</v>
      </c>
      <c r="C2342" s="1">
        <f ca="1">IFERROR(__xludf.DUMMYFUNCTION("""COMPUTED_VALUE"""),144.44)</f>
        <v>144.44</v>
      </c>
      <c r="D2342" s="1">
        <f ca="1">IFERROR(__xludf.DUMMYFUNCTION("""COMPUTED_VALUE"""),138.8)</f>
        <v>138.80000000000001</v>
      </c>
      <c r="E2342" s="1">
        <f ca="1">IFERROR(__xludf.DUMMYFUNCTION("""COMPUTED_VALUE"""),142.05)</f>
        <v>142.05000000000001</v>
      </c>
      <c r="F2342" s="1">
        <f ca="1">IFERROR(__xludf.DUMMYFUNCTION("""COMPUTED_VALUE"""),107097564)</f>
        <v>107097564</v>
      </c>
    </row>
    <row r="2343" spans="1:6" x14ac:dyDescent="0.35">
      <c r="A2343" s="2">
        <f ca="1">IFERROR(__xludf.DUMMYFUNCTION("""COMPUTED_VALUE"""),45405.6666666666)</f>
        <v>45405.666666666599</v>
      </c>
      <c r="B2343" s="1">
        <f ca="1">IFERROR(__xludf.DUMMYFUNCTION("""COMPUTED_VALUE"""),143.33)</f>
        <v>143.33000000000001</v>
      </c>
      <c r="C2343" s="1">
        <f ca="1">IFERROR(__xludf.DUMMYFUNCTION("""COMPUTED_VALUE"""),147.26)</f>
        <v>147.26</v>
      </c>
      <c r="D2343" s="1">
        <f ca="1">IFERROR(__xludf.DUMMYFUNCTION("""COMPUTED_VALUE"""),141.11)</f>
        <v>141.11000000000001</v>
      </c>
      <c r="E2343" s="1">
        <f ca="1">IFERROR(__xludf.DUMMYFUNCTION("""COMPUTED_VALUE"""),144.68)</f>
        <v>144.68</v>
      </c>
      <c r="F2343" s="1">
        <f ca="1">IFERROR(__xludf.DUMMYFUNCTION("""COMPUTED_VALUE"""),124545104)</f>
        <v>124545104</v>
      </c>
    </row>
    <row r="2344" spans="1:6" x14ac:dyDescent="0.35">
      <c r="A2344" s="2">
        <f ca="1">IFERROR(__xludf.DUMMYFUNCTION("""COMPUTED_VALUE"""),45406.6666666666)</f>
        <v>45406.666666666599</v>
      </c>
      <c r="B2344" s="1">
        <f ca="1">IFERROR(__xludf.DUMMYFUNCTION("""COMPUTED_VALUE"""),162.84)</f>
        <v>162.84</v>
      </c>
      <c r="C2344" s="1">
        <f ca="1">IFERROR(__xludf.DUMMYFUNCTION("""COMPUTED_VALUE"""),167.97)</f>
        <v>167.97</v>
      </c>
      <c r="D2344" s="1">
        <f ca="1">IFERROR(__xludf.DUMMYFUNCTION("""COMPUTED_VALUE"""),157.51)</f>
        <v>157.51</v>
      </c>
      <c r="E2344" s="1">
        <f ca="1">IFERROR(__xludf.DUMMYFUNCTION("""COMPUTED_VALUE"""),162.13)</f>
        <v>162.13</v>
      </c>
      <c r="F2344" s="1">
        <f ca="1">IFERROR(__xludf.DUMMYFUNCTION("""COMPUTED_VALUE"""),181178020)</f>
        <v>181178020</v>
      </c>
    </row>
    <row r="2345" spans="1:6" x14ac:dyDescent="0.35">
      <c r="A2345" s="2">
        <f ca="1">IFERROR(__xludf.DUMMYFUNCTION("""COMPUTED_VALUE"""),45407.6666666666)</f>
        <v>45407.666666666599</v>
      </c>
      <c r="B2345" s="1">
        <f ca="1">IFERROR(__xludf.DUMMYFUNCTION("""COMPUTED_VALUE"""),158.96)</f>
        <v>158.96</v>
      </c>
      <c r="C2345" s="1">
        <f ca="1">IFERROR(__xludf.DUMMYFUNCTION("""COMPUTED_VALUE"""),170.88)</f>
        <v>170.88</v>
      </c>
      <c r="D2345" s="1">
        <f ca="1">IFERROR(__xludf.DUMMYFUNCTION("""COMPUTED_VALUE"""),158.36)</f>
        <v>158.36000000000001</v>
      </c>
      <c r="E2345" s="1">
        <f ca="1">IFERROR(__xludf.DUMMYFUNCTION("""COMPUTED_VALUE"""),170.18)</f>
        <v>170.18</v>
      </c>
      <c r="F2345" s="1">
        <f ca="1">IFERROR(__xludf.DUMMYFUNCTION("""COMPUTED_VALUE"""),126427521)</f>
        <v>126427521</v>
      </c>
    </row>
    <row r="2346" spans="1:6" x14ac:dyDescent="0.35">
      <c r="A2346" s="2">
        <f ca="1">IFERROR(__xludf.DUMMYFUNCTION("""COMPUTED_VALUE"""),45408.6666666666)</f>
        <v>45408.666666666599</v>
      </c>
      <c r="B2346" s="1">
        <f ca="1">IFERROR(__xludf.DUMMYFUNCTION("""COMPUTED_VALUE"""),168.85)</f>
        <v>168.85</v>
      </c>
      <c r="C2346" s="1">
        <f ca="1">IFERROR(__xludf.DUMMYFUNCTION("""COMPUTED_VALUE"""),172.12)</f>
        <v>172.12</v>
      </c>
      <c r="D2346" s="1">
        <f ca="1">IFERROR(__xludf.DUMMYFUNCTION("""COMPUTED_VALUE"""),166.37)</f>
        <v>166.37</v>
      </c>
      <c r="E2346" s="1">
        <f ca="1">IFERROR(__xludf.DUMMYFUNCTION("""COMPUTED_VALUE"""),168.29)</f>
        <v>168.29</v>
      </c>
      <c r="F2346" s="1">
        <f ca="1">IFERROR(__xludf.DUMMYFUNCTION("""COMPUTED_VALUE"""),109815725)</f>
        <v>109815725</v>
      </c>
    </row>
    <row r="2347" spans="1:6" x14ac:dyDescent="0.35">
      <c r="A2347" s="2">
        <f ca="1">IFERROR(__xludf.DUMMYFUNCTION("""COMPUTED_VALUE"""),45411.6666666666)</f>
        <v>45411.666666666599</v>
      </c>
      <c r="B2347" s="1">
        <f ca="1">IFERROR(__xludf.DUMMYFUNCTION("""COMPUTED_VALUE"""),188.42)</f>
        <v>188.42</v>
      </c>
      <c r="C2347" s="1">
        <f ca="1">IFERROR(__xludf.DUMMYFUNCTION("""COMPUTED_VALUE"""),198.87)</f>
        <v>198.87</v>
      </c>
      <c r="D2347" s="1">
        <f ca="1">IFERROR(__xludf.DUMMYFUNCTION("""COMPUTED_VALUE"""),184.54)</f>
        <v>184.54</v>
      </c>
      <c r="E2347" s="1">
        <f ca="1">IFERROR(__xludf.DUMMYFUNCTION("""COMPUTED_VALUE"""),194.05)</f>
        <v>194.05</v>
      </c>
      <c r="F2347" s="1">
        <f ca="1">IFERROR(__xludf.DUMMYFUNCTION("""COMPUTED_VALUE"""),243869678)</f>
        <v>243869678</v>
      </c>
    </row>
    <row r="2348" spans="1:6" x14ac:dyDescent="0.35">
      <c r="A2348" s="2">
        <f ca="1">IFERROR(__xludf.DUMMYFUNCTION("""COMPUTED_VALUE"""),45412.6666666666)</f>
        <v>45412.666666666599</v>
      </c>
      <c r="B2348" s="1">
        <f ca="1">IFERROR(__xludf.DUMMYFUNCTION("""COMPUTED_VALUE"""),186.98)</f>
        <v>186.98</v>
      </c>
      <c r="C2348" s="1">
        <f ca="1">IFERROR(__xludf.DUMMYFUNCTION("""COMPUTED_VALUE"""),190.95)</f>
        <v>190.95</v>
      </c>
      <c r="D2348" s="1">
        <f ca="1">IFERROR(__xludf.DUMMYFUNCTION("""COMPUTED_VALUE"""),182.84)</f>
        <v>182.84</v>
      </c>
      <c r="E2348" s="1">
        <f ca="1">IFERROR(__xludf.DUMMYFUNCTION("""COMPUTED_VALUE"""),183.28)</f>
        <v>183.28</v>
      </c>
      <c r="F2348" s="1">
        <f ca="1">IFERROR(__xludf.DUMMYFUNCTION("""COMPUTED_VALUE"""),127031787)</f>
        <v>127031787</v>
      </c>
    </row>
    <row r="2349" spans="1:6" x14ac:dyDescent="0.35">
      <c r="A2349" s="2">
        <f ca="1">IFERROR(__xludf.DUMMYFUNCTION("""COMPUTED_VALUE"""),45413.6666666666)</f>
        <v>45413.666666666599</v>
      </c>
      <c r="B2349" s="1">
        <f ca="1">IFERROR(__xludf.DUMMYFUNCTION("""COMPUTED_VALUE"""),182)</f>
        <v>182</v>
      </c>
      <c r="C2349" s="1">
        <f ca="1">IFERROR(__xludf.DUMMYFUNCTION("""COMPUTED_VALUE"""),185.86)</f>
        <v>185.86</v>
      </c>
      <c r="D2349" s="1">
        <f ca="1">IFERROR(__xludf.DUMMYFUNCTION("""COMPUTED_VALUE"""),179.01)</f>
        <v>179.01</v>
      </c>
      <c r="E2349" s="1">
        <f ca="1">IFERROR(__xludf.DUMMYFUNCTION("""COMPUTED_VALUE"""),179.99)</f>
        <v>179.99</v>
      </c>
      <c r="F2349" s="1">
        <f ca="1">IFERROR(__xludf.DUMMYFUNCTION("""COMPUTED_VALUE"""),92829719)</f>
        <v>92829719</v>
      </c>
    </row>
    <row r="2350" spans="1:6" x14ac:dyDescent="0.35">
      <c r="A2350" s="2">
        <f ca="1">IFERROR(__xludf.DUMMYFUNCTION("""COMPUTED_VALUE"""),45414.6666666666)</f>
        <v>45414.666666666599</v>
      </c>
      <c r="B2350" s="1">
        <f ca="1">IFERROR(__xludf.DUMMYFUNCTION("""COMPUTED_VALUE"""),182.86)</f>
        <v>182.86</v>
      </c>
      <c r="C2350" s="1">
        <f ca="1">IFERROR(__xludf.DUMMYFUNCTION("""COMPUTED_VALUE"""),184.6)</f>
        <v>184.6</v>
      </c>
      <c r="D2350" s="1">
        <f ca="1">IFERROR(__xludf.DUMMYFUNCTION("""COMPUTED_VALUE"""),176.02)</f>
        <v>176.02</v>
      </c>
      <c r="E2350" s="1">
        <f ca="1">IFERROR(__xludf.DUMMYFUNCTION("""COMPUTED_VALUE"""),180.01)</f>
        <v>180.01</v>
      </c>
      <c r="F2350" s="1">
        <f ca="1">IFERROR(__xludf.DUMMYFUNCTION("""COMPUTED_VALUE"""),89148041)</f>
        <v>89148041</v>
      </c>
    </row>
    <row r="2351" spans="1:6" x14ac:dyDescent="0.35">
      <c r="A2351" s="2">
        <f ca="1">IFERROR(__xludf.DUMMYFUNCTION("""COMPUTED_VALUE"""),45415.6666666666)</f>
        <v>45415.666666666599</v>
      </c>
      <c r="B2351" s="1">
        <f ca="1">IFERROR(__xludf.DUMMYFUNCTION("""COMPUTED_VALUE"""),182.1)</f>
        <v>182.1</v>
      </c>
      <c r="C2351" s="1">
        <f ca="1">IFERROR(__xludf.DUMMYFUNCTION("""COMPUTED_VALUE"""),184.78)</f>
        <v>184.78</v>
      </c>
      <c r="D2351" s="1">
        <f ca="1">IFERROR(__xludf.DUMMYFUNCTION("""COMPUTED_VALUE"""),178.42)</f>
        <v>178.42</v>
      </c>
      <c r="E2351" s="1">
        <f ca="1">IFERROR(__xludf.DUMMYFUNCTION("""COMPUTED_VALUE"""),181.19)</f>
        <v>181.19</v>
      </c>
      <c r="F2351" s="1">
        <f ca="1">IFERROR(__xludf.DUMMYFUNCTION("""COMPUTED_VALUE"""),75491539)</f>
        <v>75491539</v>
      </c>
    </row>
    <row r="2352" spans="1:6" x14ac:dyDescent="0.35">
      <c r="A2352" s="2">
        <f ca="1">IFERROR(__xludf.DUMMYFUNCTION("""COMPUTED_VALUE"""),45418.6666666666)</f>
        <v>45418.666666666599</v>
      </c>
      <c r="B2352" s="1">
        <f ca="1">IFERROR(__xludf.DUMMYFUNCTION("""COMPUTED_VALUE"""),183.8)</f>
        <v>183.8</v>
      </c>
      <c r="C2352" s="1">
        <f ca="1">IFERROR(__xludf.DUMMYFUNCTION("""COMPUTED_VALUE"""),187.56)</f>
        <v>187.56</v>
      </c>
      <c r="D2352" s="1">
        <f ca="1">IFERROR(__xludf.DUMMYFUNCTION("""COMPUTED_VALUE"""),182.2)</f>
        <v>182.2</v>
      </c>
      <c r="E2352" s="1">
        <f ca="1">IFERROR(__xludf.DUMMYFUNCTION("""COMPUTED_VALUE"""),184.76)</f>
        <v>184.76</v>
      </c>
      <c r="F2352" s="1">
        <f ca="1">IFERROR(__xludf.DUMMYFUNCTION("""COMPUTED_VALUE"""),84390253)</f>
        <v>84390253</v>
      </c>
    </row>
    <row r="2353" spans="1:6" x14ac:dyDescent="0.35">
      <c r="A2353" s="2">
        <f ca="1">IFERROR(__xludf.DUMMYFUNCTION("""COMPUTED_VALUE"""),45419.6666666666)</f>
        <v>45419.666666666599</v>
      </c>
      <c r="B2353" s="1">
        <f ca="1">IFERROR(__xludf.DUMMYFUNCTION("""COMPUTED_VALUE"""),182.4)</f>
        <v>182.4</v>
      </c>
      <c r="C2353" s="1">
        <f ca="1">IFERROR(__xludf.DUMMYFUNCTION("""COMPUTED_VALUE"""),183.26)</f>
        <v>183.26</v>
      </c>
      <c r="D2353" s="1">
        <f ca="1">IFERROR(__xludf.DUMMYFUNCTION("""COMPUTED_VALUE"""),177.4)</f>
        <v>177.4</v>
      </c>
      <c r="E2353" s="1">
        <f ca="1">IFERROR(__xludf.DUMMYFUNCTION("""COMPUTED_VALUE"""),177.81)</f>
        <v>177.81</v>
      </c>
      <c r="F2353" s="1">
        <f ca="1">IFERROR(__xludf.DUMMYFUNCTION("""COMPUTED_VALUE"""),75045854)</f>
        <v>75045854</v>
      </c>
    </row>
    <row r="2354" spans="1:6" x14ac:dyDescent="0.35">
      <c r="A2354" s="2">
        <f ca="1">IFERROR(__xludf.DUMMYFUNCTION("""COMPUTED_VALUE"""),45420.6666666666)</f>
        <v>45420.666666666599</v>
      </c>
      <c r="B2354" s="1">
        <f ca="1">IFERROR(__xludf.DUMMYFUNCTION("""COMPUTED_VALUE"""),171.59)</f>
        <v>171.59</v>
      </c>
      <c r="C2354" s="1">
        <f ca="1">IFERROR(__xludf.DUMMYFUNCTION("""COMPUTED_VALUE"""),176.06)</f>
        <v>176.06</v>
      </c>
      <c r="D2354" s="1">
        <f ca="1">IFERROR(__xludf.DUMMYFUNCTION("""COMPUTED_VALUE"""),170.15)</f>
        <v>170.15</v>
      </c>
      <c r="E2354" s="1">
        <f ca="1">IFERROR(__xludf.DUMMYFUNCTION("""COMPUTED_VALUE"""),174.72)</f>
        <v>174.72</v>
      </c>
      <c r="F2354" s="1">
        <f ca="1">IFERROR(__xludf.DUMMYFUNCTION("""COMPUTED_VALUE"""),79969488)</f>
        <v>79969488</v>
      </c>
    </row>
    <row r="2355" spans="1:6" x14ac:dyDescent="0.35">
      <c r="A2355" s="2">
        <f ca="1">IFERROR(__xludf.DUMMYFUNCTION("""COMPUTED_VALUE"""),45421.6666666666)</f>
        <v>45421.666666666599</v>
      </c>
      <c r="B2355" s="1">
        <f ca="1">IFERROR(__xludf.DUMMYFUNCTION("""COMPUTED_VALUE"""),175.01)</f>
        <v>175.01</v>
      </c>
      <c r="C2355" s="1">
        <f ca="1">IFERROR(__xludf.DUMMYFUNCTION("""COMPUTED_VALUE"""),175.62)</f>
        <v>175.62</v>
      </c>
      <c r="D2355" s="1">
        <f ca="1">IFERROR(__xludf.DUMMYFUNCTION("""COMPUTED_VALUE"""),171.37)</f>
        <v>171.37</v>
      </c>
      <c r="E2355" s="1">
        <f ca="1">IFERROR(__xludf.DUMMYFUNCTION("""COMPUTED_VALUE"""),171.97)</f>
        <v>171.97</v>
      </c>
      <c r="F2355" s="1">
        <f ca="1">IFERROR(__xludf.DUMMYFUNCTION("""COMPUTED_VALUE"""),65950292)</f>
        <v>65950292</v>
      </c>
    </row>
    <row r="2356" spans="1:6" x14ac:dyDescent="0.35">
      <c r="A2356" s="2">
        <f ca="1">IFERROR(__xludf.DUMMYFUNCTION("""COMPUTED_VALUE"""),45422.6666666666)</f>
        <v>45422.666666666599</v>
      </c>
      <c r="B2356" s="1">
        <f ca="1">IFERROR(__xludf.DUMMYFUNCTION("""COMPUTED_VALUE"""),173.05)</f>
        <v>173.05</v>
      </c>
      <c r="C2356" s="1">
        <f ca="1">IFERROR(__xludf.DUMMYFUNCTION("""COMPUTED_VALUE"""),173.06)</f>
        <v>173.06</v>
      </c>
      <c r="D2356" s="1">
        <f ca="1">IFERROR(__xludf.DUMMYFUNCTION("""COMPUTED_VALUE"""),167.75)</f>
        <v>167.75</v>
      </c>
      <c r="E2356" s="1">
        <f ca="1">IFERROR(__xludf.DUMMYFUNCTION("""COMPUTED_VALUE"""),168.47)</f>
        <v>168.47</v>
      </c>
      <c r="F2356" s="1">
        <f ca="1">IFERROR(__xludf.DUMMYFUNCTION("""COMPUTED_VALUE"""),72627178)</f>
        <v>72627178</v>
      </c>
    </row>
    <row r="2357" spans="1:6" x14ac:dyDescent="0.35">
      <c r="A2357" s="2">
        <f ca="1">IFERROR(__xludf.DUMMYFUNCTION("""COMPUTED_VALUE"""),45425.6666666666)</f>
        <v>45425.666666666599</v>
      </c>
      <c r="B2357" s="1">
        <f ca="1">IFERROR(__xludf.DUMMYFUNCTION("""COMPUTED_VALUE"""),170)</f>
        <v>170</v>
      </c>
      <c r="C2357" s="1">
        <f ca="1">IFERROR(__xludf.DUMMYFUNCTION("""COMPUTED_VALUE"""),175.4)</f>
        <v>175.4</v>
      </c>
      <c r="D2357" s="1">
        <f ca="1">IFERROR(__xludf.DUMMYFUNCTION("""COMPUTED_VALUE"""),169)</f>
        <v>169</v>
      </c>
      <c r="E2357" s="1">
        <f ca="1">IFERROR(__xludf.DUMMYFUNCTION("""COMPUTED_VALUE"""),171.89)</f>
        <v>171.89</v>
      </c>
      <c r="F2357" s="1">
        <f ca="1">IFERROR(__xludf.DUMMYFUNCTION("""COMPUTED_VALUE"""),67018903)</f>
        <v>67018903</v>
      </c>
    </row>
    <row r="2358" spans="1:6" x14ac:dyDescent="0.35">
      <c r="A2358" s="2">
        <f ca="1">IFERROR(__xludf.DUMMYFUNCTION("""COMPUTED_VALUE"""),45426.6666666666)</f>
        <v>45426.666666666599</v>
      </c>
      <c r="B2358" s="1">
        <f ca="1">IFERROR(__xludf.DUMMYFUNCTION("""COMPUTED_VALUE"""),174.5)</f>
        <v>174.5</v>
      </c>
      <c r="C2358" s="1">
        <f ca="1">IFERROR(__xludf.DUMMYFUNCTION("""COMPUTED_VALUE"""),179.49)</f>
        <v>179.49</v>
      </c>
      <c r="D2358" s="1">
        <f ca="1">IFERROR(__xludf.DUMMYFUNCTION("""COMPUTED_VALUE"""),174.07)</f>
        <v>174.07</v>
      </c>
      <c r="E2358" s="1">
        <f ca="1">IFERROR(__xludf.DUMMYFUNCTION("""COMPUTED_VALUE"""),177.55)</f>
        <v>177.55</v>
      </c>
      <c r="F2358" s="1">
        <f ca="1">IFERROR(__xludf.DUMMYFUNCTION("""COMPUTED_VALUE"""),86407422)</f>
        <v>86407422</v>
      </c>
    </row>
    <row r="2359" spans="1:6" x14ac:dyDescent="0.35">
      <c r="A2359" s="2">
        <f ca="1">IFERROR(__xludf.DUMMYFUNCTION("""COMPUTED_VALUE"""),45427.6666666666)</f>
        <v>45427.666666666599</v>
      </c>
      <c r="B2359" s="1">
        <f ca="1">IFERROR(__xludf.DUMMYFUNCTION("""COMPUTED_VALUE"""),179.9)</f>
        <v>179.9</v>
      </c>
      <c r="C2359" s="1">
        <f ca="1">IFERROR(__xludf.DUMMYFUNCTION("""COMPUTED_VALUE"""),180)</f>
        <v>180</v>
      </c>
      <c r="D2359" s="1">
        <f ca="1">IFERROR(__xludf.DUMMYFUNCTION("""COMPUTED_VALUE"""),173.11)</f>
        <v>173.11</v>
      </c>
      <c r="E2359" s="1">
        <f ca="1">IFERROR(__xludf.DUMMYFUNCTION("""COMPUTED_VALUE"""),173.99)</f>
        <v>173.99</v>
      </c>
      <c r="F2359" s="1">
        <f ca="1">IFERROR(__xludf.DUMMYFUNCTION("""COMPUTED_VALUE"""),79662993)</f>
        <v>79662993</v>
      </c>
    </row>
    <row r="2360" spans="1:6" x14ac:dyDescent="0.35">
      <c r="A2360" s="2">
        <f ca="1">IFERROR(__xludf.DUMMYFUNCTION("""COMPUTED_VALUE"""),45428.6666666666)</f>
        <v>45428.666666666599</v>
      </c>
      <c r="B2360" s="1">
        <f ca="1">IFERROR(__xludf.DUMMYFUNCTION("""COMPUTED_VALUE"""),174.1)</f>
        <v>174.1</v>
      </c>
      <c r="C2360" s="1">
        <f ca="1">IFERROR(__xludf.DUMMYFUNCTION("""COMPUTED_VALUE"""),175.79)</f>
        <v>175.79</v>
      </c>
      <c r="D2360" s="1">
        <f ca="1">IFERROR(__xludf.DUMMYFUNCTION("""COMPUTED_VALUE"""),171.43)</f>
        <v>171.43</v>
      </c>
      <c r="E2360" s="1">
        <f ca="1">IFERROR(__xludf.DUMMYFUNCTION("""COMPUTED_VALUE"""),174.84)</f>
        <v>174.84</v>
      </c>
      <c r="F2360" s="1">
        <f ca="1">IFERROR(__xludf.DUMMYFUNCTION("""COMPUTED_VALUE"""),59812220)</f>
        <v>59812220</v>
      </c>
    </row>
    <row r="2361" spans="1:6" x14ac:dyDescent="0.35">
      <c r="A2361" s="2">
        <f ca="1">IFERROR(__xludf.DUMMYFUNCTION("""COMPUTED_VALUE"""),45429.6666666666)</f>
        <v>45429.666666666599</v>
      </c>
      <c r="B2361" s="1">
        <f ca="1">IFERROR(__xludf.DUMMYFUNCTION("""COMPUTED_VALUE"""),173.55)</f>
        <v>173.55</v>
      </c>
      <c r="C2361" s="1">
        <f ca="1">IFERROR(__xludf.DUMMYFUNCTION("""COMPUTED_VALUE"""),179.63)</f>
        <v>179.63</v>
      </c>
      <c r="D2361" s="1">
        <f ca="1">IFERROR(__xludf.DUMMYFUNCTION("""COMPUTED_VALUE"""),172.75)</f>
        <v>172.75</v>
      </c>
      <c r="E2361" s="1">
        <f ca="1">IFERROR(__xludf.DUMMYFUNCTION("""COMPUTED_VALUE"""),177.46)</f>
        <v>177.46</v>
      </c>
      <c r="F2361" s="1">
        <f ca="1">IFERROR(__xludf.DUMMYFUNCTION("""COMPUTED_VALUE"""),77445845)</f>
        <v>77445845</v>
      </c>
    </row>
    <row r="2362" spans="1:6" x14ac:dyDescent="0.35">
      <c r="A2362" s="2">
        <f ca="1">IFERROR(__xludf.DUMMYFUNCTION("""COMPUTED_VALUE"""),45432.6666666666)</f>
        <v>45432.666666666599</v>
      </c>
      <c r="B2362" s="1">
        <f ca="1">IFERROR(__xludf.DUMMYFUNCTION("""COMPUTED_VALUE"""),177.56)</f>
        <v>177.56</v>
      </c>
      <c r="C2362" s="1">
        <f ca="1">IFERROR(__xludf.DUMMYFUNCTION("""COMPUTED_VALUE"""),177.75)</f>
        <v>177.75</v>
      </c>
      <c r="D2362" s="1">
        <f ca="1">IFERROR(__xludf.DUMMYFUNCTION("""COMPUTED_VALUE"""),173.52)</f>
        <v>173.52</v>
      </c>
      <c r="E2362" s="1">
        <f ca="1">IFERROR(__xludf.DUMMYFUNCTION("""COMPUTED_VALUE"""),174.95)</f>
        <v>174.95</v>
      </c>
      <c r="F2362" s="1">
        <f ca="1">IFERROR(__xludf.DUMMYFUNCTION("""COMPUTED_VALUE"""),61727425)</f>
        <v>61727425</v>
      </c>
    </row>
    <row r="2363" spans="1:6" x14ac:dyDescent="0.35">
      <c r="A2363" s="2">
        <f ca="1">IFERROR(__xludf.DUMMYFUNCTION("""COMPUTED_VALUE"""),45433.6666666666)</f>
        <v>45433.666666666599</v>
      </c>
      <c r="B2363" s="1">
        <f ca="1">IFERROR(__xludf.DUMMYFUNCTION("""COMPUTED_VALUE"""),175.51)</f>
        <v>175.51</v>
      </c>
      <c r="C2363" s="1">
        <f ca="1">IFERROR(__xludf.DUMMYFUNCTION("""COMPUTED_VALUE"""),186.88)</f>
        <v>186.88</v>
      </c>
      <c r="D2363" s="1">
        <f ca="1">IFERROR(__xludf.DUMMYFUNCTION("""COMPUTED_VALUE"""),174.71)</f>
        <v>174.71</v>
      </c>
      <c r="E2363" s="1">
        <f ca="1">IFERROR(__xludf.DUMMYFUNCTION("""COMPUTED_VALUE"""),186.6)</f>
        <v>186.6</v>
      </c>
      <c r="F2363" s="1">
        <f ca="1">IFERROR(__xludf.DUMMYFUNCTION("""COMPUTED_VALUE"""),115266512)</f>
        <v>115266512</v>
      </c>
    </row>
    <row r="2364" spans="1:6" x14ac:dyDescent="0.35">
      <c r="A2364" s="2">
        <f ca="1">IFERROR(__xludf.DUMMYFUNCTION("""COMPUTED_VALUE"""),45434.6666666666)</f>
        <v>45434.666666666599</v>
      </c>
      <c r="B2364" s="1">
        <f ca="1">IFERROR(__xludf.DUMMYFUNCTION("""COMPUTED_VALUE"""),182.85)</f>
        <v>182.85</v>
      </c>
      <c r="C2364" s="1">
        <f ca="1">IFERROR(__xludf.DUMMYFUNCTION("""COMPUTED_VALUE"""),183.8)</f>
        <v>183.8</v>
      </c>
      <c r="D2364" s="1">
        <f ca="1">IFERROR(__xludf.DUMMYFUNCTION("""COMPUTED_VALUE"""),178.12)</f>
        <v>178.12</v>
      </c>
      <c r="E2364" s="1">
        <f ca="1">IFERROR(__xludf.DUMMYFUNCTION("""COMPUTED_VALUE"""),180.11)</f>
        <v>180.11</v>
      </c>
      <c r="F2364" s="1">
        <f ca="1">IFERROR(__xludf.DUMMYFUNCTION("""COMPUTED_VALUE"""),88313477)</f>
        <v>88313477</v>
      </c>
    </row>
    <row r="2365" spans="1:6" x14ac:dyDescent="0.35">
      <c r="A2365" s="2">
        <f ca="1">IFERROR(__xludf.DUMMYFUNCTION("""COMPUTED_VALUE"""),45435.6666666666)</f>
        <v>45435.666666666599</v>
      </c>
      <c r="B2365" s="1">
        <f ca="1">IFERROR(__xludf.DUMMYFUNCTION("""COMPUTED_VALUE"""),181.8)</f>
        <v>181.8</v>
      </c>
      <c r="C2365" s="1">
        <f ca="1">IFERROR(__xludf.DUMMYFUNCTION("""COMPUTED_VALUE"""),181.9)</f>
        <v>181.9</v>
      </c>
      <c r="D2365" s="1">
        <f ca="1">IFERROR(__xludf.DUMMYFUNCTION("""COMPUTED_VALUE"""),173.26)</f>
        <v>173.26</v>
      </c>
      <c r="E2365" s="1">
        <f ca="1">IFERROR(__xludf.DUMMYFUNCTION("""COMPUTED_VALUE"""),173.74)</f>
        <v>173.74</v>
      </c>
      <c r="F2365" s="1">
        <f ca="1">IFERROR(__xludf.DUMMYFUNCTION("""COMPUTED_VALUE"""),71975496)</f>
        <v>71975496</v>
      </c>
    </row>
    <row r="2366" spans="1:6" x14ac:dyDescent="0.35">
      <c r="A2366" s="2">
        <f ca="1">IFERROR(__xludf.DUMMYFUNCTION("""COMPUTED_VALUE"""),45436.6666666666)</f>
        <v>45436.666666666599</v>
      </c>
      <c r="B2366" s="1">
        <f ca="1">IFERROR(__xludf.DUMMYFUNCTION("""COMPUTED_VALUE"""),174.84)</f>
        <v>174.84</v>
      </c>
      <c r="C2366" s="1">
        <f ca="1">IFERROR(__xludf.DUMMYFUNCTION("""COMPUTED_VALUE"""),180.08)</f>
        <v>180.08</v>
      </c>
      <c r="D2366" s="1">
        <f ca="1">IFERROR(__xludf.DUMMYFUNCTION("""COMPUTED_VALUE"""),173.73)</f>
        <v>173.73</v>
      </c>
      <c r="E2366" s="1">
        <f ca="1">IFERROR(__xludf.DUMMYFUNCTION("""COMPUTED_VALUE"""),179.24)</f>
        <v>179.24</v>
      </c>
      <c r="F2366" s="1">
        <f ca="1">IFERROR(__xludf.DUMMYFUNCTION("""COMPUTED_VALUE"""),65584478)</f>
        <v>65584478</v>
      </c>
    </row>
    <row r="2367" spans="1:6" x14ac:dyDescent="0.35">
      <c r="A2367" s="2">
        <f ca="1">IFERROR(__xludf.DUMMYFUNCTION("""COMPUTED_VALUE"""),45440.6666666666)</f>
        <v>45440.666666666599</v>
      </c>
      <c r="B2367" s="1">
        <f ca="1">IFERROR(__xludf.DUMMYFUNCTION("""COMPUTED_VALUE"""),176.4)</f>
        <v>176.4</v>
      </c>
      <c r="C2367" s="1">
        <f ca="1">IFERROR(__xludf.DUMMYFUNCTION("""COMPUTED_VALUE"""),178.25)</f>
        <v>178.25</v>
      </c>
      <c r="D2367" s="1">
        <f ca="1">IFERROR(__xludf.DUMMYFUNCTION("""COMPUTED_VALUE"""),173.16)</f>
        <v>173.16</v>
      </c>
      <c r="E2367" s="1">
        <f ca="1">IFERROR(__xludf.DUMMYFUNCTION("""COMPUTED_VALUE"""),176.75)</f>
        <v>176.75</v>
      </c>
      <c r="F2367" s="1">
        <f ca="1">IFERROR(__xludf.DUMMYFUNCTION("""COMPUTED_VALUE"""),59736620)</f>
        <v>59736620</v>
      </c>
    </row>
    <row r="2368" spans="1:6" x14ac:dyDescent="0.35">
      <c r="A2368" s="2">
        <f ca="1">IFERROR(__xludf.DUMMYFUNCTION("""COMPUTED_VALUE"""),45441.6666666666)</f>
        <v>45441.666666666599</v>
      </c>
      <c r="B2368" s="1">
        <f ca="1">IFERROR(__xludf.DUMMYFUNCTION("""COMPUTED_VALUE"""),174.19)</f>
        <v>174.19</v>
      </c>
      <c r="C2368" s="1">
        <f ca="1">IFERROR(__xludf.DUMMYFUNCTION("""COMPUTED_VALUE"""),178.15)</f>
        <v>178.15</v>
      </c>
      <c r="D2368" s="1">
        <f ca="1">IFERROR(__xludf.DUMMYFUNCTION("""COMPUTED_VALUE"""),173.93)</f>
        <v>173.93</v>
      </c>
      <c r="E2368" s="1">
        <f ca="1">IFERROR(__xludf.DUMMYFUNCTION("""COMPUTED_VALUE"""),176.19)</f>
        <v>176.19</v>
      </c>
      <c r="F2368" s="1">
        <f ca="1">IFERROR(__xludf.DUMMYFUNCTION("""COMPUTED_VALUE"""),54782649)</f>
        <v>54782649</v>
      </c>
    </row>
    <row r="2369" spans="1:6" x14ac:dyDescent="0.35">
      <c r="A2369" s="2">
        <f ca="1">IFERROR(__xludf.DUMMYFUNCTION("""COMPUTED_VALUE"""),45442.6666666666)</f>
        <v>45442.666666666599</v>
      </c>
      <c r="B2369" s="1">
        <f ca="1">IFERROR(__xludf.DUMMYFUNCTION("""COMPUTED_VALUE"""),178.58)</f>
        <v>178.58</v>
      </c>
      <c r="C2369" s="1">
        <f ca="1">IFERROR(__xludf.DUMMYFUNCTION("""COMPUTED_VALUE"""),182.67)</f>
        <v>182.67</v>
      </c>
      <c r="D2369" s="1">
        <f ca="1">IFERROR(__xludf.DUMMYFUNCTION("""COMPUTED_VALUE"""),175.38)</f>
        <v>175.38</v>
      </c>
      <c r="E2369" s="1">
        <f ca="1">IFERROR(__xludf.DUMMYFUNCTION("""COMPUTED_VALUE"""),178.79)</f>
        <v>178.79</v>
      </c>
      <c r="F2369" s="1">
        <f ca="1">IFERROR(__xludf.DUMMYFUNCTION("""COMPUTED_VALUE"""),77784755)</f>
        <v>77784755</v>
      </c>
    </row>
    <row r="2370" spans="1:6" x14ac:dyDescent="0.35">
      <c r="A2370" s="2">
        <f ca="1">IFERROR(__xludf.DUMMYFUNCTION("""COMPUTED_VALUE"""),45443.6666666666)</f>
        <v>45443.666666666599</v>
      </c>
      <c r="B2370" s="1">
        <f ca="1">IFERROR(__xludf.DUMMYFUNCTION("""COMPUTED_VALUE"""),178.5)</f>
        <v>178.5</v>
      </c>
      <c r="C2370" s="1">
        <f ca="1">IFERROR(__xludf.DUMMYFUNCTION("""COMPUTED_VALUE"""),180.32)</f>
        <v>180.32</v>
      </c>
      <c r="D2370" s="1">
        <f ca="1">IFERROR(__xludf.DUMMYFUNCTION("""COMPUTED_VALUE"""),173.82)</f>
        <v>173.82</v>
      </c>
      <c r="E2370" s="1">
        <f ca="1">IFERROR(__xludf.DUMMYFUNCTION("""COMPUTED_VALUE"""),178.08)</f>
        <v>178.08</v>
      </c>
      <c r="F2370" s="1">
        <f ca="1">IFERROR(__xludf.DUMMYFUNCTION("""COMPUTED_VALUE"""),67314602)</f>
        <v>67314602</v>
      </c>
    </row>
    <row r="2371" spans="1:6" x14ac:dyDescent="0.35">
      <c r="A2371" s="2">
        <f ca="1">IFERROR(__xludf.DUMMYFUNCTION("""COMPUTED_VALUE"""),45446.6666666666)</f>
        <v>45446.666666666599</v>
      </c>
      <c r="B2371" s="1">
        <f ca="1">IFERROR(__xludf.DUMMYFUNCTION("""COMPUTED_VALUE"""),178.13)</f>
        <v>178.13</v>
      </c>
      <c r="C2371" s="1">
        <f ca="1">IFERROR(__xludf.DUMMYFUNCTION("""COMPUTED_VALUE"""),182.64)</f>
        <v>182.64</v>
      </c>
      <c r="D2371" s="1">
        <f ca="1">IFERROR(__xludf.DUMMYFUNCTION("""COMPUTED_VALUE"""),174.49)</f>
        <v>174.49</v>
      </c>
      <c r="E2371" s="1">
        <f ca="1">IFERROR(__xludf.DUMMYFUNCTION("""COMPUTED_VALUE"""),176.29)</f>
        <v>176.29</v>
      </c>
      <c r="F2371" s="1">
        <f ca="1">IFERROR(__xludf.DUMMYFUNCTION("""COMPUTED_VALUE"""),68568920)</f>
        <v>68568920</v>
      </c>
    </row>
    <row r="2372" spans="1:6" x14ac:dyDescent="0.35">
      <c r="A2372" s="2">
        <f ca="1">IFERROR(__xludf.DUMMYFUNCTION("""COMPUTED_VALUE"""),45447.6666666666)</f>
        <v>45447.666666666599</v>
      </c>
      <c r="B2372" s="1">
        <f ca="1">IFERROR(__xludf.DUMMYFUNCTION("""COMPUTED_VALUE"""),174.78)</f>
        <v>174.78</v>
      </c>
      <c r="C2372" s="1">
        <f ca="1">IFERROR(__xludf.DUMMYFUNCTION("""COMPUTED_VALUE"""),177.76)</f>
        <v>177.76</v>
      </c>
      <c r="D2372" s="1">
        <f ca="1">IFERROR(__xludf.DUMMYFUNCTION("""COMPUTED_VALUE"""),174)</f>
        <v>174</v>
      </c>
      <c r="E2372" s="1">
        <f ca="1">IFERROR(__xludf.DUMMYFUNCTION("""COMPUTED_VALUE"""),174.77)</f>
        <v>174.77</v>
      </c>
      <c r="F2372" s="1">
        <f ca="1">IFERROR(__xludf.DUMMYFUNCTION("""COMPUTED_VALUE"""),60056340)</f>
        <v>60056340</v>
      </c>
    </row>
    <row r="2373" spans="1:6" x14ac:dyDescent="0.35">
      <c r="A2373" s="2">
        <f ca="1">IFERROR(__xludf.DUMMYFUNCTION("""COMPUTED_VALUE"""),45448.6666666666)</f>
        <v>45448.666666666599</v>
      </c>
      <c r="B2373" s="1">
        <f ca="1">IFERROR(__xludf.DUMMYFUNCTION("""COMPUTED_VALUE"""),175.35)</f>
        <v>175.35</v>
      </c>
      <c r="C2373" s="1">
        <f ca="1">IFERROR(__xludf.DUMMYFUNCTION("""COMPUTED_VALUE"""),176.15)</f>
        <v>176.15</v>
      </c>
      <c r="D2373" s="1">
        <f ca="1">IFERROR(__xludf.DUMMYFUNCTION("""COMPUTED_VALUE"""),172.13)</f>
        <v>172.13</v>
      </c>
      <c r="E2373" s="1">
        <f ca="1">IFERROR(__xludf.DUMMYFUNCTION("""COMPUTED_VALUE"""),175)</f>
        <v>175</v>
      </c>
      <c r="F2373" s="1">
        <f ca="1">IFERROR(__xludf.DUMMYFUNCTION("""COMPUTED_VALUE"""),57953756)</f>
        <v>57953756</v>
      </c>
    </row>
    <row r="2374" spans="1:6" x14ac:dyDescent="0.35">
      <c r="A2374" s="2">
        <f ca="1">IFERROR(__xludf.DUMMYFUNCTION("""COMPUTED_VALUE"""),45449.6666666666)</f>
        <v>45449.666666666599</v>
      </c>
      <c r="B2374" s="1">
        <f ca="1">IFERROR(__xludf.DUMMYFUNCTION("""COMPUTED_VALUE"""),174.6)</f>
        <v>174.6</v>
      </c>
      <c r="C2374" s="1">
        <f ca="1">IFERROR(__xludf.DUMMYFUNCTION("""COMPUTED_VALUE"""),179.73)</f>
        <v>179.73</v>
      </c>
      <c r="D2374" s="1">
        <f ca="1">IFERROR(__xludf.DUMMYFUNCTION("""COMPUTED_VALUE"""),172.73)</f>
        <v>172.73</v>
      </c>
      <c r="E2374" s="1">
        <f ca="1">IFERROR(__xludf.DUMMYFUNCTION("""COMPUTED_VALUE"""),177.94)</f>
        <v>177.94</v>
      </c>
      <c r="F2374" s="1">
        <f ca="1">IFERROR(__xludf.DUMMYFUNCTION("""COMPUTED_VALUE"""),69887024)</f>
        <v>69887024</v>
      </c>
    </row>
    <row r="2375" spans="1:6" x14ac:dyDescent="0.35">
      <c r="A2375" s="2">
        <f ca="1">IFERROR(__xludf.DUMMYFUNCTION("""COMPUTED_VALUE"""),45450.6666666666)</f>
        <v>45450.666666666599</v>
      </c>
      <c r="B2375" s="1">
        <f ca="1">IFERROR(__xludf.DUMMYFUNCTION("""COMPUTED_VALUE"""),176.13)</f>
        <v>176.13</v>
      </c>
      <c r="C2375" s="1">
        <f ca="1">IFERROR(__xludf.DUMMYFUNCTION("""COMPUTED_VALUE"""),179.35)</f>
        <v>179.35</v>
      </c>
      <c r="D2375" s="1">
        <f ca="1">IFERROR(__xludf.DUMMYFUNCTION("""COMPUTED_VALUE"""),175.58)</f>
        <v>175.58</v>
      </c>
      <c r="E2375" s="1">
        <f ca="1">IFERROR(__xludf.DUMMYFUNCTION("""COMPUTED_VALUE"""),177.48)</f>
        <v>177.48</v>
      </c>
      <c r="F2375" s="1">
        <f ca="1">IFERROR(__xludf.DUMMYFUNCTION("""COMPUTED_VALUE"""),56244932)</f>
        <v>56244932</v>
      </c>
    </row>
    <row r="2376" spans="1:6" x14ac:dyDescent="0.35">
      <c r="A2376" s="2">
        <f ca="1">IFERROR(__xludf.DUMMYFUNCTION("""COMPUTED_VALUE"""),45453.6666666666)</f>
        <v>45453.666666666599</v>
      </c>
      <c r="B2376" s="1">
        <f ca="1">IFERROR(__xludf.DUMMYFUNCTION("""COMPUTED_VALUE"""),176.06)</f>
        <v>176.06</v>
      </c>
      <c r="C2376" s="1">
        <f ca="1">IFERROR(__xludf.DUMMYFUNCTION("""COMPUTED_VALUE"""),178.57)</f>
        <v>178.57</v>
      </c>
      <c r="D2376" s="1">
        <f ca="1">IFERROR(__xludf.DUMMYFUNCTION("""COMPUTED_VALUE"""),173.17)</f>
        <v>173.17</v>
      </c>
      <c r="E2376" s="1">
        <f ca="1">IFERROR(__xludf.DUMMYFUNCTION("""COMPUTED_VALUE"""),173.79)</f>
        <v>173.79</v>
      </c>
      <c r="F2376" s="1">
        <f ca="1">IFERROR(__xludf.DUMMYFUNCTION("""COMPUTED_VALUE"""),50869682)</f>
        <v>50869682</v>
      </c>
    </row>
    <row r="2377" spans="1:6" x14ac:dyDescent="0.35">
      <c r="A2377" s="2">
        <f ca="1">IFERROR(__xludf.DUMMYFUNCTION("""COMPUTED_VALUE"""),45454.6666666666)</f>
        <v>45454.666666666599</v>
      </c>
      <c r="B2377" s="1">
        <f ca="1">IFERROR(__xludf.DUMMYFUNCTION("""COMPUTED_VALUE"""),173.92)</f>
        <v>173.92</v>
      </c>
      <c r="C2377" s="1">
        <f ca="1">IFERROR(__xludf.DUMMYFUNCTION("""COMPUTED_VALUE"""),174.75)</f>
        <v>174.75</v>
      </c>
      <c r="D2377" s="1">
        <f ca="1">IFERROR(__xludf.DUMMYFUNCTION("""COMPUTED_VALUE"""),167.41)</f>
        <v>167.41</v>
      </c>
      <c r="E2377" s="1">
        <f ca="1">IFERROR(__xludf.DUMMYFUNCTION("""COMPUTED_VALUE"""),170.66)</f>
        <v>170.66</v>
      </c>
      <c r="F2377" s="1">
        <f ca="1">IFERROR(__xludf.DUMMYFUNCTION("""COMPUTED_VALUE"""),64761928)</f>
        <v>64761928</v>
      </c>
    </row>
    <row r="2378" spans="1:6" x14ac:dyDescent="0.35">
      <c r="A2378" s="2">
        <f ca="1">IFERROR(__xludf.DUMMYFUNCTION("""COMPUTED_VALUE"""),45455.6666666666)</f>
        <v>45455.666666666599</v>
      </c>
      <c r="B2378" s="1">
        <f ca="1">IFERROR(__xludf.DUMMYFUNCTION("""COMPUTED_VALUE"""),171.12)</f>
        <v>171.12</v>
      </c>
      <c r="C2378" s="1">
        <f ca="1">IFERROR(__xludf.DUMMYFUNCTION("""COMPUTED_VALUE"""),180.55)</f>
        <v>180.55</v>
      </c>
      <c r="D2378" s="1">
        <f ca="1">IFERROR(__xludf.DUMMYFUNCTION("""COMPUTED_VALUE"""),169.8)</f>
        <v>169.8</v>
      </c>
      <c r="E2378" s="1">
        <f ca="1">IFERROR(__xludf.DUMMYFUNCTION("""COMPUTED_VALUE"""),177.29)</f>
        <v>177.29</v>
      </c>
      <c r="F2378" s="1">
        <f ca="1">IFERROR(__xludf.DUMMYFUNCTION("""COMPUTED_VALUE"""),90389446)</f>
        <v>90389446</v>
      </c>
    </row>
    <row r="2379" spans="1:6" x14ac:dyDescent="0.35">
      <c r="A2379" s="2">
        <f ca="1">IFERROR(__xludf.DUMMYFUNCTION("""COMPUTED_VALUE"""),45456.6666666666)</f>
        <v>45456.666666666599</v>
      </c>
      <c r="B2379" s="1">
        <f ca="1">IFERROR(__xludf.DUMMYFUNCTION("""COMPUTED_VALUE"""),188.39)</f>
        <v>188.39</v>
      </c>
      <c r="C2379" s="1">
        <f ca="1">IFERROR(__xludf.DUMMYFUNCTION("""COMPUTED_VALUE"""),191.08)</f>
        <v>191.08</v>
      </c>
      <c r="D2379" s="1">
        <f ca="1">IFERROR(__xludf.DUMMYFUNCTION("""COMPUTED_VALUE"""),181.23)</f>
        <v>181.23</v>
      </c>
      <c r="E2379" s="1">
        <f ca="1">IFERROR(__xludf.DUMMYFUNCTION("""COMPUTED_VALUE"""),182.47)</f>
        <v>182.47</v>
      </c>
      <c r="F2379" s="1">
        <f ca="1">IFERROR(__xludf.DUMMYFUNCTION("""COMPUTED_VALUE"""),118984122)</f>
        <v>118984122</v>
      </c>
    </row>
    <row r="2380" spans="1:6" x14ac:dyDescent="0.35">
      <c r="A2380" s="2">
        <f ca="1">IFERROR(__xludf.DUMMYFUNCTION("""COMPUTED_VALUE"""),45457.6666666666)</f>
        <v>45457.666666666599</v>
      </c>
      <c r="B2380" s="1">
        <f ca="1">IFERROR(__xludf.DUMMYFUNCTION("""COMPUTED_VALUE"""),185.8)</f>
        <v>185.8</v>
      </c>
      <c r="C2380" s="1">
        <f ca="1">IFERROR(__xludf.DUMMYFUNCTION("""COMPUTED_VALUE"""),186)</f>
        <v>186</v>
      </c>
      <c r="D2380" s="1">
        <f ca="1">IFERROR(__xludf.DUMMYFUNCTION("""COMPUTED_VALUE"""),176.92)</f>
        <v>176.92</v>
      </c>
      <c r="E2380" s="1">
        <f ca="1">IFERROR(__xludf.DUMMYFUNCTION("""COMPUTED_VALUE"""),178.01)</f>
        <v>178.01</v>
      </c>
      <c r="F2380" s="1">
        <f ca="1">IFERROR(__xludf.DUMMYFUNCTION("""COMPUTED_VALUE"""),82038194)</f>
        <v>82038194</v>
      </c>
    </row>
    <row r="2381" spans="1:6" x14ac:dyDescent="0.35">
      <c r="A2381" s="2">
        <f ca="1">IFERROR(__xludf.DUMMYFUNCTION("""COMPUTED_VALUE"""),45460.6666666666)</f>
        <v>45460.666666666599</v>
      </c>
      <c r="B2381" s="1">
        <f ca="1">IFERROR(__xludf.DUMMYFUNCTION("""COMPUTED_VALUE"""),177.92)</f>
        <v>177.92</v>
      </c>
      <c r="C2381" s="1">
        <f ca="1">IFERROR(__xludf.DUMMYFUNCTION("""COMPUTED_VALUE"""),188.81)</f>
        <v>188.81</v>
      </c>
      <c r="D2381" s="1">
        <f ca="1">IFERROR(__xludf.DUMMYFUNCTION("""COMPUTED_VALUE"""),177)</f>
        <v>177</v>
      </c>
      <c r="E2381" s="1">
        <f ca="1">IFERROR(__xludf.DUMMYFUNCTION("""COMPUTED_VALUE"""),187.44)</f>
        <v>187.44</v>
      </c>
      <c r="F2381" s="1">
        <f ca="1">IFERROR(__xludf.DUMMYFUNCTION("""COMPUTED_VALUE"""),109786083)</f>
        <v>109786083</v>
      </c>
    </row>
    <row r="2382" spans="1:6" x14ac:dyDescent="0.35">
      <c r="A2382" s="2">
        <f ca="1">IFERROR(__xludf.DUMMYFUNCTION("""COMPUTED_VALUE"""),45461.6666666666)</f>
        <v>45461.666666666599</v>
      </c>
      <c r="B2382" s="1">
        <f ca="1">IFERROR(__xludf.DUMMYFUNCTION("""COMPUTED_VALUE"""),186.56)</f>
        <v>186.56</v>
      </c>
      <c r="C2382" s="1">
        <f ca="1">IFERROR(__xludf.DUMMYFUNCTION("""COMPUTED_VALUE"""),187.2)</f>
        <v>187.2</v>
      </c>
      <c r="D2382" s="1">
        <f ca="1">IFERROR(__xludf.DUMMYFUNCTION("""COMPUTED_VALUE"""),182.37)</f>
        <v>182.37</v>
      </c>
      <c r="E2382" s="1">
        <f ca="1">IFERROR(__xludf.DUMMYFUNCTION("""COMPUTED_VALUE"""),184.86)</f>
        <v>184.86</v>
      </c>
      <c r="F2382" s="1">
        <f ca="1">IFERROR(__xludf.DUMMYFUNCTION("""COMPUTED_VALUE"""),68982265)</f>
        <v>68982265</v>
      </c>
    </row>
    <row r="2383" spans="1:6" x14ac:dyDescent="0.35">
      <c r="A2383" s="2">
        <f ca="1">IFERROR(__xludf.DUMMYFUNCTION("""COMPUTED_VALUE"""),45463.6666666666)</f>
        <v>45463.666666666599</v>
      </c>
      <c r="B2383" s="1">
        <f ca="1">IFERROR(__xludf.DUMMYFUNCTION("""COMPUTED_VALUE"""),184.68)</f>
        <v>184.68</v>
      </c>
      <c r="C2383" s="1">
        <f ca="1">IFERROR(__xludf.DUMMYFUNCTION("""COMPUTED_VALUE"""),185.21)</f>
        <v>185.21</v>
      </c>
      <c r="D2383" s="1">
        <f ca="1">IFERROR(__xludf.DUMMYFUNCTION("""COMPUTED_VALUE"""),179.66)</f>
        <v>179.66</v>
      </c>
      <c r="E2383" s="1">
        <f ca="1">IFERROR(__xludf.DUMMYFUNCTION("""COMPUTED_VALUE"""),181.57)</f>
        <v>181.57</v>
      </c>
      <c r="F2383" s="1">
        <f ca="1">IFERROR(__xludf.DUMMYFUNCTION("""COMPUTED_VALUE"""),55893139)</f>
        <v>55893139</v>
      </c>
    </row>
    <row r="2384" spans="1:6" x14ac:dyDescent="0.35">
      <c r="A2384" s="2">
        <f ca="1">IFERROR(__xludf.DUMMYFUNCTION("""COMPUTED_VALUE"""),45464.6666666666)</f>
        <v>45464.666666666599</v>
      </c>
      <c r="B2384" s="1">
        <f ca="1">IFERROR(__xludf.DUMMYFUNCTION("""COMPUTED_VALUE"""),182.3)</f>
        <v>182.3</v>
      </c>
      <c r="C2384" s="1">
        <f ca="1">IFERROR(__xludf.DUMMYFUNCTION("""COMPUTED_VALUE"""),183.95)</f>
        <v>183.95</v>
      </c>
      <c r="D2384" s="1">
        <f ca="1">IFERROR(__xludf.DUMMYFUNCTION("""COMPUTED_VALUE"""),180.69)</f>
        <v>180.69</v>
      </c>
      <c r="E2384" s="1">
        <f ca="1">IFERROR(__xludf.DUMMYFUNCTION("""COMPUTED_VALUE"""),183.01)</f>
        <v>183.01</v>
      </c>
      <c r="F2384" s="1">
        <f ca="1">IFERROR(__xludf.DUMMYFUNCTION("""COMPUTED_VALUE"""),63029482)</f>
        <v>63029482</v>
      </c>
    </row>
    <row r="2385" spans="1:6" x14ac:dyDescent="0.35">
      <c r="A2385" s="2">
        <f ca="1">IFERROR(__xludf.DUMMYFUNCTION("""COMPUTED_VALUE"""),45467.6666666666)</f>
        <v>45467.666666666599</v>
      </c>
      <c r="B2385" s="1">
        <f ca="1">IFERROR(__xludf.DUMMYFUNCTION("""COMPUTED_VALUE"""),184.97)</f>
        <v>184.97</v>
      </c>
      <c r="C2385" s="1">
        <f ca="1">IFERROR(__xludf.DUMMYFUNCTION("""COMPUTED_VALUE"""),188.8)</f>
        <v>188.8</v>
      </c>
      <c r="D2385" s="1">
        <f ca="1">IFERROR(__xludf.DUMMYFUNCTION("""COMPUTED_VALUE"""),182.55)</f>
        <v>182.55</v>
      </c>
      <c r="E2385" s="1">
        <f ca="1">IFERROR(__xludf.DUMMYFUNCTION("""COMPUTED_VALUE"""),182.58)</f>
        <v>182.58</v>
      </c>
      <c r="F2385" s="1">
        <f ca="1">IFERROR(__xludf.DUMMYFUNCTION("""COMPUTED_VALUE"""),61992070)</f>
        <v>61992070</v>
      </c>
    </row>
    <row r="2386" spans="1:6" x14ac:dyDescent="0.35">
      <c r="A2386" s="2">
        <f ca="1">IFERROR(__xludf.DUMMYFUNCTION("""COMPUTED_VALUE"""),45468.6666666666)</f>
        <v>45468.666666666599</v>
      </c>
      <c r="B2386" s="1">
        <f ca="1">IFERROR(__xludf.DUMMYFUNCTION("""COMPUTED_VALUE"""),184.4)</f>
        <v>184.4</v>
      </c>
      <c r="C2386" s="1">
        <f ca="1">IFERROR(__xludf.DUMMYFUNCTION("""COMPUTED_VALUE"""),187.97)</f>
        <v>187.97</v>
      </c>
      <c r="D2386" s="1">
        <f ca="1">IFERROR(__xludf.DUMMYFUNCTION("""COMPUTED_VALUE"""),182.01)</f>
        <v>182.01</v>
      </c>
      <c r="E2386" s="1">
        <f ca="1">IFERROR(__xludf.DUMMYFUNCTION("""COMPUTED_VALUE"""),187.35)</f>
        <v>187.35</v>
      </c>
      <c r="F2386" s="1">
        <f ca="1">IFERROR(__xludf.DUMMYFUNCTION("""COMPUTED_VALUE"""),63678265)</f>
        <v>63678265</v>
      </c>
    </row>
    <row r="2387" spans="1:6" x14ac:dyDescent="0.35">
      <c r="A2387" s="2">
        <f ca="1">IFERROR(__xludf.DUMMYFUNCTION("""COMPUTED_VALUE"""),45469.6666666666)</f>
        <v>45469.666666666599</v>
      </c>
      <c r="B2387" s="1">
        <f ca="1">IFERROR(__xludf.DUMMYFUNCTION("""COMPUTED_VALUE"""),186.54)</f>
        <v>186.54</v>
      </c>
      <c r="C2387" s="1">
        <f ca="1">IFERROR(__xludf.DUMMYFUNCTION("""COMPUTED_VALUE"""),197.76)</f>
        <v>197.76</v>
      </c>
      <c r="D2387" s="1">
        <f ca="1">IFERROR(__xludf.DUMMYFUNCTION("""COMPUTED_VALUE"""),186.36)</f>
        <v>186.36</v>
      </c>
      <c r="E2387" s="1">
        <f ca="1">IFERROR(__xludf.DUMMYFUNCTION("""COMPUTED_VALUE"""),196.37)</f>
        <v>196.37</v>
      </c>
      <c r="F2387" s="1">
        <f ca="1">IFERROR(__xludf.DUMMYFUNCTION("""COMPUTED_VALUE"""),95737066)</f>
        <v>95737066</v>
      </c>
    </row>
    <row r="2388" spans="1:6" x14ac:dyDescent="0.35">
      <c r="A2388" s="2">
        <f ca="1">IFERROR(__xludf.DUMMYFUNCTION("""COMPUTED_VALUE"""),45470.6666666666)</f>
        <v>45470.666666666599</v>
      </c>
      <c r="B2388" s="1">
        <f ca="1">IFERROR(__xludf.DUMMYFUNCTION("""COMPUTED_VALUE"""),195.17)</f>
        <v>195.17</v>
      </c>
      <c r="C2388" s="1">
        <f ca="1">IFERROR(__xludf.DUMMYFUNCTION("""COMPUTED_VALUE"""),198.72)</f>
        <v>198.72</v>
      </c>
      <c r="D2388" s="1">
        <f ca="1">IFERROR(__xludf.DUMMYFUNCTION("""COMPUTED_VALUE"""),194.05)</f>
        <v>194.05</v>
      </c>
      <c r="E2388" s="1">
        <f ca="1">IFERROR(__xludf.DUMMYFUNCTION("""COMPUTED_VALUE"""),197.42)</f>
        <v>197.42</v>
      </c>
      <c r="F2388" s="1">
        <f ca="1">IFERROR(__xludf.DUMMYFUNCTION("""COMPUTED_VALUE"""),72746521)</f>
        <v>72746521</v>
      </c>
    </row>
    <row r="2389" spans="1:6" x14ac:dyDescent="0.35">
      <c r="A2389" s="2">
        <f ca="1">IFERROR(__xludf.DUMMYFUNCTION("""COMPUTED_VALUE"""),45471.6666666666)</f>
        <v>45471.666666666599</v>
      </c>
      <c r="B2389" s="1">
        <f ca="1">IFERROR(__xludf.DUMMYFUNCTION("""COMPUTED_VALUE"""),199.55)</f>
        <v>199.55</v>
      </c>
      <c r="C2389" s="1">
        <f ca="1">IFERROR(__xludf.DUMMYFUNCTION("""COMPUTED_VALUE"""),203.2)</f>
        <v>203.2</v>
      </c>
      <c r="D2389" s="1">
        <f ca="1">IFERROR(__xludf.DUMMYFUNCTION("""COMPUTED_VALUE"""),195.26)</f>
        <v>195.26</v>
      </c>
      <c r="E2389" s="1">
        <f ca="1">IFERROR(__xludf.DUMMYFUNCTION("""COMPUTED_VALUE"""),197.88)</f>
        <v>197.88</v>
      </c>
      <c r="F2389" s="1">
        <f ca="1">IFERROR(__xludf.DUMMYFUNCTION("""COMPUTED_VALUE"""),95438068)</f>
        <v>95438068</v>
      </c>
    </row>
    <row r="2390" spans="1:6" x14ac:dyDescent="0.35">
      <c r="A2390" s="2">
        <f ca="1">IFERROR(__xludf.DUMMYFUNCTION("""COMPUTED_VALUE"""),45474.6666666666)</f>
        <v>45474.666666666599</v>
      </c>
      <c r="B2390" s="1">
        <f ca="1">IFERROR(__xludf.DUMMYFUNCTION("""COMPUTED_VALUE"""),201.02)</f>
        <v>201.02</v>
      </c>
      <c r="C2390" s="1">
        <f ca="1">IFERROR(__xludf.DUMMYFUNCTION("""COMPUTED_VALUE"""),213.23)</f>
        <v>213.23</v>
      </c>
      <c r="D2390" s="1">
        <f ca="1">IFERROR(__xludf.DUMMYFUNCTION("""COMPUTED_VALUE"""),200.85)</f>
        <v>200.85</v>
      </c>
      <c r="E2390" s="1">
        <f ca="1">IFERROR(__xludf.DUMMYFUNCTION("""COMPUTED_VALUE"""),209.86)</f>
        <v>209.86</v>
      </c>
      <c r="F2390" s="1">
        <f ca="1">IFERROR(__xludf.DUMMYFUNCTION("""COMPUTED_VALUE"""),135691395)</f>
        <v>135691395</v>
      </c>
    </row>
    <row r="2391" spans="1:6" x14ac:dyDescent="0.35">
      <c r="A2391" s="2">
        <f ca="1">IFERROR(__xludf.DUMMYFUNCTION("""COMPUTED_VALUE"""),45475.6666666666)</f>
        <v>45475.666666666599</v>
      </c>
      <c r="B2391" s="1">
        <f ca="1">IFERROR(__xludf.DUMMYFUNCTION("""COMPUTED_VALUE"""),218.89)</f>
        <v>218.89</v>
      </c>
      <c r="C2391" s="1">
        <f ca="1">IFERROR(__xludf.DUMMYFUNCTION("""COMPUTED_VALUE"""),231.3)</f>
        <v>231.3</v>
      </c>
      <c r="D2391" s="1">
        <f ca="1">IFERROR(__xludf.DUMMYFUNCTION("""COMPUTED_VALUE"""),218.06)</f>
        <v>218.06</v>
      </c>
      <c r="E2391" s="1">
        <f ca="1">IFERROR(__xludf.DUMMYFUNCTION("""COMPUTED_VALUE"""),231.26)</f>
        <v>231.26</v>
      </c>
      <c r="F2391" s="1">
        <f ca="1">IFERROR(__xludf.DUMMYFUNCTION("""COMPUTED_VALUE"""),205047920)</f>
        <v>205047920</v>
      </c>
    </row>
    <row r="2392" spans="1:6" x14ac:dyDescent="0.35">
      <c r="A2392" s="2">
        <f ca="1">IFERROR(__xludf.DUMMYFUNCTION("""COMPUTED_VALUE"""),45476.5451388888)</f>
        <v>45476.545138888803</v>
      </c>
      <c r="B2392" s="1">
        <f ca="1">IFERROR(__xludf.DUMMYFUNCTION("""COMPUTED_VALUE"""),234.56)</f>
        <v>234.56</v>
      </c>
      <c r="C2392" s="1">
        <f ca="1">IFERROR(__xludf.DUMMYFUNCTION("""COMPUTED_VALUE"""),248.35)</f>
        <v>248.35</v>
      </c>
      <c r="D2392" s="1">
        <f ca="1">IFERROR(__xludf.DUMMYFUNCTION("""COMPUTED_VALUE"""),234.25)</f>
        <v>234.25</v>
      </c>
      <c r="E2392" s="1">
        <f ca="1">IFERROR(__xludf.DUMMYFUNCTION("""COMPUTED_VALUE"""),246.39)</f>
        <v>246.39</v>
      </c>
      <c r="F2392" s="1">
        <f ca="1">IFERROR(__xludf.DUMMYFUNCTION("""COMPUTED_VALUE"""),166561471)</f>
        <v>166561471</v>
      </c>
    </row>
    <row r="2393" spans="1:6" x14ac:dyDescent="0.35">
      <c r="A2393" s="2">
        <f ca="1">IFERROR(__xludf.DUMMYFUNCTION("""COMPUTED_VALUE"""),45478.6666666666)</f>
        <v>45478.666666666599</v>
      </c>
      <c r="B2393" s="1">
        <f ca="1">IFERROR(__xludf.DUMMYFUNCTION("""COMPUTED_VALUE"""),249.81)</f>
        <v>249.81</v>
      </c>
      <c r="C2393" s="1">
        <f ca="1">IFERROR(__xludf.DUMMYFUNCTION("""COMPUTED_VALUE"""),252.37)</f>
        <v>252.37</v>
      </c>
      <c r="D2393" s="1">
        <f ca="1">IFERROR(__xludf.DUMMYFUNCTION("""COMPUTED_VALUE"""),242.46)</f>
        <v>242.46</v>
      </c>
      <c r="E2393" s="1">
        <f ca="1">IFERROR(__xludf.DUMMYFUNCTION("""COMPUTED_VALUE"""),251.52)</f>
        <v>251.52</v>
      </c>
      <c r="F2393" s="1">
        <f ca="1">IFERROR(__xludf.DUMMYFUNCTION("""COMPUTED_VALUE"""),154501152)</f>
        <v>154501152</v>
      </c>
    </row>
    <row r="2394" spans="1:6" x14ac:dyDescent="0.35">
      <c r="A2394" s="2">
        <f ca="1">IFERROR(__xludf.DUMMYFUNCTION("""COMPUTED_VALUE"""),45481.6666666666)</f>
        <v>45481.666666666599</v>
      </c>
      <c r="B2394" s="1">
        <f ca="1">IFERROR(__xludf.DUMMYFUNCTION("""COMPUTED_VALUE"""),247.71)</f>
        <v>247.71</v>
      </c>
      <c r="C2394" s="1">
        <f ca="1">IFERROR(__xludf.DUMMYFUNCTION("""COMPUTED_VALUE"""),259.44)</f>
        <v>259.44</v>
      </c>
      <c r="D2394" s="1">
        <f ca="1">IFERROR(__xludf.DUMMYFUNCTION("""COMPUTED_VALUE"""),244.57)</f>
        <v>244.57</v>
      </c>
      <c r="E2394" s="1">
        <f ca="1">IFERROR(__xludf.DUMMYFUNCTION("""COMPUTED_VALUE"""),252.94)</f>
        <v>252.94</v>
      </c>
      <c r="F2394" s="1">
        <f ca="1">IFERROR(__xludf.DUMMYFUNCTION("""COMPUTED_VALUE"""),157219580)</f>
        <v>157219580</v>
      </c>
    </row>
    <row r="2395" spans="1:6" x14ac:dyDescent="0.35">
      <c r="A2395" s="2">
        <f ca="1">IFERROR(__xludf.DUMMYFUNCTION("""COMPUTED_VALUE"""),45482.6666666666)</f>
        <v>45482.666666666599</v>
      </c>
      <c r="B2395" s="1">
        <f ca="1">IFERROR(__xludf.DUMMYFUNCTION("""COMPUTED_VALUE"""),251)</f>
        <v>251</v>
      </c>
      <c r="C2395" s="1">
        <f ca="1">IFERROR(__xludf.DUMMYFUNCTION("""COMPUTED_VALUE"""),265.61)</f>
        <v>265.61</v>
      </c>
      <c r="D2395" s="1">
        <f ca="1">IFERROR(__xludf.DUMMYFUNCTION("""COMPUTED_VALUE"""),250.3)</f>
        <v>250.3</v>
      </c>
      <c r="E2395" s="1">
        <f ca="1">IFERROR(__xludf.DUMMYFUNCTION("""COMPUTED_VALUE"""),262.33)</f>
        <v>262.33</v>
      </c>
      <c r="F2395" s="1">
        <f ca="1">IFERROR(__xludf.DUMMYFUNCTION("""COMPUTED_VALUE"""),160742516)</f>
        <v>160742516</v>
      </c>
    </row>
    <row r="2396" spans="1:6" x14ac:dyDescent="0.35">
      <c r="A2396" s="2">
        <f ca="1">IFERROR(__xludf.DUMMYFUNCTION("""COMPUTED_VALUE"""),45483.6666666666)</f>
        <v>45483.666666666599</v>
      </c>
      <c r="B2396" s="1">
        <f ca="1">IFERROR(__xludf.DUMMYFUNCTION("""COMPUTED_VALUE"""),262.8)</f>
        <v>262.8</v>
      </c>
      <c r="C2396" s="1">
        <f ca="1">IFERROR(__xludf.DUMMYFUNCTION("""COMPUTED_VALUE"""),267.59)</f>
        <v>267.58999999999997</v>
      </c>
      <c r="D2396" s="1">
        <f ca="1">IFERROR(__xludf.DUMMYFUNCTION("""COMPUTED_VALUE"""),257.86)</f>
        <v>257.86</v>
      </c>
      <c r="E2396" s="1">
        <f ca="1">IFERROR(__xludf.DUMMYFUNCTION("""COMPUTED_VALUE"""),263.26)</f>
        <v>263.26</v>
      </c>
      <c r="F2396" s="1">
        <f ca="1">IFERROR(__xludf.DUMMYFUNCTION("""COMPUTED_VALUE"""),128519430)</f>
        <v>128519430</v>
      </c>
    </row>
    <row r="2397" spans="1:6" x14ac:dyDescent="0.35">
      <c r="A2397" s="2">
        <f ca="1">IFERROR(__xludf.DUMMYFUNCTION("""COMPUTED_VALUE"""),45484.6666666666)</f>
        <v>45484.666666666599</v>
      </c>
      <c r="B2397" s="1">
        <f ca="1">IFERROR(__xludf.DUMMYFUNCTION("""COMPUTED_VALUE"""),263.3)</f>
        <v>263.3</v>
      </c>
      <c r="C2397" s="1">
        <f ca="1">IFERROR(__xludf.DUMMYFUNCTION("""COMPUTED_VALUE"""),271)</f>
        <v>271</v>
      </c>
      <c r="D2397" s="1">
        <f ca="1">IFERROR(__xludf.DUMMYFUNCTION("""COMPUTED_VALUE"""),239.65)</f>
        <v>239.65</v>
      </c>
      <c r="E2397" s="1">
        <f ca="1">IFERROR(__xludf.DUMMYFUNCTION("""COMPUTED_VALUE"""),241.03)</f>
        <v>241.03</v>
      </c>
      <c r="F2397" s="1">
        <f ca="1">IFERROR(__xludf.DUMMYFUNCTION("""COMPUTED_VALUE"""),221707273)</f>
        <v>221707273</v>
      </c>
    </row>
    <row r="2398" spans="1:6" x14ac:dyDescent="0.35">
      <c r="A2398" s="2">
        <f ca="1">IFERROR(__xludf.DUMMYFUNCTION("""COMPUTED_VALUE"""),45485.6666666666)</f>
        <v>45485.666666666599</v>
      </c>
      <c r="B2398" s="1">
        <f ca="1">IFERROR(__xludf.DUMMYFUNCTION("""COMPUTED_VALUE"""),235.8)</f>
        <v>235.8</v>
      </c>
      <c r="C2398" s="1">
        <f ca="1">IFERROR(__xludf.DUMMYFUNCTION("""COMPUTED_VALUE"""),251.84)</f>
        <v>251.84</v>
      </c>
      <c r="D2398" s="1">
        <f ca="1">IFERROR(__xludf.DUMMYFUNCTION("""COMPUTED_VALUE"""),233.09)</f>
        <v>233.09</v>
      </c>
      <c r="E2398" s="1">
        <f ca="1">IFERROR(__xludf.DUMMYFUNCTION("""COMPUTED_VALUE"""),248.23)</f>
        <v>248.23</v>
      </c>
      <c r="F2398" s="1">
        <f ca="1">IFERROR(__xludf.DUMMYFUNCTION("""COMPUTED_VALUE"""),155955773)</f>
        <v>155955773</v>
      </c>
    </row>
    <row r="2399" spans="1:6" x14ac:dyDescent="0.35">
      <c r="A2399" s="2">
        <f ca="1">IFERROR(__xludf.DUMMYFUNCTION("""COMPUTED_VALUE"""),45488.6666666666)</f>
        <v>45488.666666666599</v>
      </c>
      <c r="B2399" s="1">
        <f ca="1">IFERROR(__xludf.DUMMYFUNCTION("""COMPUTED_VALUE"""),255.97)</f>
        <v>255.97</v>
      </c>
      <c r="C2399" s="1">
        <f ca="1">IFERROR(__xludf.DUMMYFUNCTION("""COMPUTED_VALUE"""),265.6)</f>
        <v>265.60000000000002</v>
      </c>
      <c r="D2399" s="1">
        <f ca="1">IFERROR(__xludf.DUMMYFUNCTION("""COMPUTED_VALUE"""),251.73)</f>
        <v>251.73</v>
      </c>
      <c r="E2399" s="1">
        <f ca="1">IFERROR(__xludf.DUMMYFUNCTION("""COMPUTED_VALUE"""),252.64)</f>
        <v>252.64</v>
      </c>
      <c r="F2399" s="1">
        <f ca="1">IFERROR(__xludf.DUMMYFUNCTION("""COMPUTED_VALUE"""),146912920)</f>
        <v>146912920</v>
      </c>
    </row>
    <row r="2400" spans="1:6" x14ac:dyDescent="0.35">
      <c r="A2400" s="2">
        <f ca="1">IFERROR(__xludf.DUMMYFUNCTION("""COMPUTED_VALUE"""),45489.6666666666)</f>
        <v>45489.666666666599</v>
      </c>
      <c r="B2400" s="1">
        <f ca="1">IFERROR(__xludf.DUMMYFUNCTION("""COMPUTED_VALUE"""),255.31)</f>
        <v>255.31</v>
      </c>
      <c r="C2400" s="1">
        <f ca="1">IFERROR(__xludf.DUMMYFUNCTION("""COMPUTED_VALUE"""),258.62)</f>
        <v>258.62</v>
      </c>
      <c r="D2400" s="1">
        <f ca="1">IFERROR(__xludf.DUMMYFUNCTION("""COMPUTED_VALUE"""),245.8)</f>
        <v>245.8</v>
      </c>
      <c r="E2400" s="1">
        <f ca="1">IFERROR(__xludf.DUMMYFUNCTION("""COMPUTED_VALUE"""),256.56)</f>
        <v>256.56</v>
      </c>
      <c r="F2400" s="1">
        <f ca="1">IFERROR(__xludf.DUMMYFUNCTION("""COMPUTED_VALUE"""),126332470)</f>
        <v>126332470</v>
      </c>
    </row>
    <row r="2401" spans="1:6" x14ac:dyDescent="0.35">
      <c r="A2401" s="2">
        <f ca="1">IFERROR(__xludf.DUMMYFUNCTION("""COMPUTED_VALUE"""),45490.6666666666)</f>
        <v>45490.666666666599</v>
      </c>
      <c r="B2401" s="1">
        <f ca="1">IFERROR(__xludf.DUMMYFUNCTION("""COMPUTED_VALUE"""),252.73)</f>
        <v>252.73</v>
      </c>
      <c r="C2401" s="1">
        <f ca="1">IFERROR(__xludf.DUMMYFUNCTION("""COMPUTED_VALUE"""),258.47)</f>
        <v>258.47000000000003</v>
      </c>
      <c r="D2401" s="1">
        <f ca="1">IFERROR(__xludf.DUMMYFUNCTION("""COMPUTED_VALUE"""),246.18)</f>
        <v>246.18</v>
      </c>
      <c r="E2401" s="1">
        <f ca="1">IFERROR(__xludf.DUMMYFUNCTION("""COMPUTED_VALUE"""),248.5)</f>
        <v>248.5</v>
      </c>
      <c r="F2401" s="1">
        <f ca="1">IFERROR(__xludf.DUMMYFUNCTION("""COMPUTED_VALUE"""),115584810)</f>
        <v>115584810</v>
      </c>
    </row>
    <row r="2402" spans="1:6" x14ac:dyDescent="0.35">
      <c r="A2402" s="2">
        <f ca="1">IFERROR(__xludf.DUMMYFUNCTION("""COMPUTED_VALUE"""),45491.6666666666)</f>
        <v>45491.666666666599</v>
      </c>
      <c r="B2402" s="1">
        <f ca="1">IFERROR(__xludf.DUMMYFUNCTION("""COMPUTED_VALUE"""),251.09)</f>
        <v>251.09</v>
      </c>
      <c r="C2402" s="1">
        <f ca="1">IFERROR(__xludf.DUMMYFUNCTION("""COMPUTED_VALUE"""),257.14)</f>
        <v>257.14</v>
      </c>
      <c r="D2402" s="1">
        <f ca="1">IFERROR(__xludf.DUMMYFUNCTION("""COMPUTED_VALUE"""),247.2)</f>
        <v>247.2</v>
      </c>
      <c r="E2402" s="1">
        <f ca="1">IFERROR(__xludf.DUMMYFUNCTION("""COMPUTED_VALUE"""),249.23)</f>
        <v>249.23</v>
      </c>
      <c r="F2402" s="1">
        <f ca="1">IFERROR(__xludf.DUMMYFUNCTION("""COMPUTED_VALUE"""),110869037)</f>
        <v>110869037</v>
      </c>
    </row>
    <row r="2403" spans="1:6" x14ac:dyDescent="0.35">
      <c r="A2403" s="2">
        <f ca="1">IFERROR(__xludf.DUMMYFUNCTION("""COMPUTED_VALUE"""),45492.6666666666)</f>
        <v>45492.666666666599</v>
      </c>
      <c r="B2403" s="1">
        <f ca="1">IFERROR(__xludf.DUMMYFUNCTION("""COMPUTED_VALUE"""),247.79)</f>
        <v>247.79</v>
      </c>
      <c r="C2403" s="1">
        <f ca="1">IFERROR(__xludf.DUMMYFUNCTION("""COMPUTED_VALUE"""),249.44)</f>
        <v>249.44</v>
      </c>
      <c r="D2403" s="1">
        <f ca="1">IFERROR(__xludf.DUMMYFUNCTION("""COMPUTED_VALUE"""),236.83)</f>
        <v>236.83</v>
      </c>
      <c r="E2403" s="1">
        <f ca="1">IFERROR(__xludf.DUMMYFUNCTION("""COMPUTED_VALUE"""),239.2)</f>
        <v>239.2</v>
      </c>
      <c r="F2403" s="1">
        <f ca="1">IFERROR(__xludf.DUMMYFUNCTION("""COMPUTED_VALUE"""),87403903)</f>
        <v>87403903</v>
      </c>
    </row>
    <row r="2404" spans="1:6" x14ac:dyDescent="0.35">
      <c r="A2404" s="2">
        <f ca="1">IFERROR(__xludf.DUMMYFUNCTION("""COMPUTED_VALUE"""),45495.6666666666)</f>
        <v>45495.666666666599</v>
      </c>
      <c r="B2404" s="1">
        <f ca="1">IFERROR(__xludf.DUMMYFUNCTION("""COMPUTED_VALUE"""),244.21)</f>
        <v>244.21</v>
      </c>
      <c r="C2404" s="1">
        <f ca="1">IFERROR(__xludf.DUMMYFUNCTION("""COMPUTED_VALUE"""),253.21)</f>
        <v>253.21</v>
      </c>
      <c r="D2404" s="1">
        <f ca="1">IFERROR(__xludf.DUMMYFUNCTION("""COMPUTED_VALUE"""),243.75)</f>
        <v>243.75</v>
      </c>
      <c r="E2404" s="1">
        <f ca="1">IFERROR(__xludf.DUMMYFUNCTION("""COMPUTED_VALUE"""),251.51)</f>
        <v>251.51</v>
      </c>
      <c r="F2404" s="1">
        <f ca="1">IFERROR(__xludf.DUMMYFUNCTION("""COMPUTED_VALUE"""),101225430)</f>
        <v>101225430</v>
      </c>
    </row>
    <row r="2405" spans="1:6" x14ac:dyDescent="0.35">
      <c r="A2405" s="2">
        <f ca="1">IFERROR(__xludf.DUMMYFUNCTION("""COMPUTED_VALUE"""),45496.6666666666)</f>
        <v>45496.666666666599</v>
      </c>
      <c r="B2405" s="1">
        <f ca="1">IFERROR(__xludf.DUMMYFUNCTION("""COMPUTED_VALUE"""),253.6)</f>
        <v>253.6</v>
      </c>
      <c r="C2405" s="1">
        <f ca="1">IFERROR(__xludf.DUMMYFUNCTION("""COMPUTED_VALUE"""),255.76)</f>
        <v>255.76</v>
      </c>
      <c r="D2405" s="1">
        <f ca="1">IFERROR(__xludf.DUMMYFUNCTION("""COMPUTED_VALUE"""),245.63)</f>
        <v>245.63</v>
      </c>
      <c r="E2405" s="1">
        <f ca="1">IFERROR(__xludf.DUMMYFUNCTION("""COMPUTED_VALUE"""),246.38)</f>
        <v>246.38</v>
      </c>
      <c r="F2405" s="1">
        <f ca="1">IFERROR(__xludf.DUMMYFUNCTION("""COMPUTED_VALUE"""),111928192)</f>
        <v>111928192</v>
      </c>
    </row>
    <row r="2406" spans="1:6" x14ac:dyDescent="0.35">
      <c r="A2406" s="2">
        <f ca="1">IFERROR(__xludf.DUMMYFUNCTION("""COMPUTED_VALUE"""),45497.6666666666)</f>
        <v>45497.666666666599</v>
      </c>
      <c r="B2406" s="1">
        <f ca="1">IFERROR(__xludf.DUMMYFUNCTION("""COMPUTED_VALUE"""),225.42)</f>
        <v>225.42</v>
      </c>
      <c r="C2406" s="1">
        <f ca="1">IFERROR(__xludf.DUMMYFUNCTION("""COMPUTED_VALUE"""),225.99)</f>
        <v>225.99</v>
      </c>
      <c r="D2406" s="1">
        <f ca="1">IFERROR(__xludf.DUMMYFUNCTION("""COMPUTED_VALUE"""),214.71)</f>
        <v>214.71</v>
      </c>
      <c r="E2406" s="1">
        <f ca="1">IFERROR(__xludf.DUMMYFUNCTION("""COMPUTED_VALUE"""),215.99)</f>
        <v>215.99</v>
      </c>
      <c r="F2406" s="1">
        <f ca="1">IFERROR(__xludf.DUMMYFUNCTION("""COMPUTED_VALUE"""),167942939)</f>
        <v>167942939</v>
      </c>
    </row>
    <row r="2407" spans="1:6" x14ac:dyDescent="0.35">
      <c r="A2407" s="2">
        <f ca="1">IFERROR(__xludf.DUMMYFUNCTION("""COMPUTED_VALUE"""),45498.6666666666)</f>
        <v>45498.666666666599</v>
      </c>
      <c r="B2407" s="1">
        <f ca="1">IFERROR(__xludf.DUMMYFUNCTION("""COMPUTED_VALUE"""),216.8)</f>
        <v>216.8</v>
      </c>
      <c r="C2407" s="1">
        <f ca="1">IFERROR(__xludf.DUMMYFUNCTION("""COMPUTED_VALUE"""),226)</f>
        <v>226</v>
      </c>
      <c r="D2407" s="1">
        <f ca="1">IFERROR(__xludf.DUMMYFUNCTION("""COMPUTED_VALUE"""),216.23)</f>
        <v>216.23</v>
      </c>
      <c r="E2407" s="1">
        <f ca="1">IFERROR(__xludf.DUMMYFUNCTION("""COMPUTED_VALUE"""),220.25)</f>
        <v>220.25</v>
      </c>
      <c r="F2407" s="1">
        <f ca="1">IFERROR(__xludf.DUMMYFUNCTION("""COMPUTED_VALUE"""),100636466)</f>
        <v>100636466</v>
      </c>
    </row>
    <row r="2408" spans="1:6" x14ac:dyDescent="0.35">
      <c r="A2408" s="2">
        <f ca="1">IFERROR(__xludf.DUMMYFUNCTION("""COMPUTED_VALUE"""),45499.6666666666)</f>
        <v>45499.666666666599</v>
      </c>
      <c r="B2408" s="1">
        <f ca="1">IFERROR(__xludf.DUMMYFUNCTION("""COMPUTED_VALUE"""),221.19)</f>
        <v>221.19</v>
      </c>
      <c r="C2408" s="1">
        <f ca="1">IFERROR(__xludf.DUMMYFUNCTION("""COMPUTED_VALUE"""),222.28)</f>
        <v>222.28</v>
      </c>
      <c r="D2408" s="1">
        <f ca="1">IFERROR(__xludf.DUMMYFUNCTION("""COMPUTED_VALUE"""),215.33)</f>
        <v>215.33</v>
      </c>
      <c r="E2408" s="1">
        <f ca="1">IFERROR(__xludf.DUMMYFUNCTION("""COMPUTED_VALUE"""),219.8)</f>
        <v>219.8</v>
      </c>
      <c r="F2408" s="1">
        <f ca="1">IFERROR(__xludf.DUMMYFUNCTION("""COMPUTED_VALUE"""),94604145)</f>
        <v>94604145</v>
      </c>
    </row>
    <row r="2409" spans="1:6" x14ac:dyDescent="0.35">
      <c r="A2409" s="2">
        <f ca="1">IFERROR(__xludf.DUMMYFUNCTION("""COMPUTED_VALUE"""),45502.6666666666)</f>
        <v>45502.666666666599</v>
      </c>
      <c r="B2409" s="1">
        <f ca="1">IFERROR(__xludf.DUMMYFUNCTION("""COMPUTED_VALUE"""),224.9)</f>
        <v>224.9</v>
      </c>
      <c r="C2409" s="1">
        <f ca="1">IFERROR(__xludf.DUMMYFUNCTION("""COMPUTED_VALUE"""),234.27)</f>
        <v>234.27</v>
      </c>
      <c r="D2409" s="1">
        <f ca="1">IFERROR(__xludf.DUMMYFUNCTION("""COMPUTED_VALUE"""),224.7)</f>
        <v>224.7</v>
      </c>
      <c r="E2409" s="1">
        <f ca="1">IFERROR(__xludf.DUMMYFUNCTION("""COMPUTED_VALUE"""),232.1)</f>
        <v>232.1</v>
      </c>
      <c r="F2409" s="1">
        <f ca="1">IFERROR(__xludf.DUMMYFUNCTION("""COMPUTED_VALUE"""),129201789)</f>
        <v>129201789</v>
      </c>
    </row>
    <row r="2410" spans="1:6" x14ac:dyDescent="0.35">
      <c r="A2410" s="2">
        <f ca="1">IFERROR(__xludf.DUMMYFUNCTION("""COMPUTED_VALUE"""),45503.6666666666)</f>
        <v>45503.666666666599</v>
      </c>
      <c r="B2410" s="1">
        <f ca="1">IFERROR(__xludf.DUMMYFUNCTION("""COMPUTED_VALUE"""),232.25)</f>
        <v>232.25</v>
      </c>
      <c r="C2410" s="1">
        <f ca="1">IFERROR(__xludf.DUMMYFUNCTION("""COMPUTED_VALUE"""),232.41)</f>
        <v>232.41</v>
      </c>
      <c r="D2410" s="1">
        <f ca="1">IFERROR(__xludf.DUMMYFUNCTION("""COMPUTED_VALUE"""),220)</f>
        <v>220</v>
      </c>
      <c r="E2410" s="1">
        <f ca="1">IFERROR(__xludf.DUMMYFUNCTION("""COMPUTED_VALUE"""),222.62)</f>
        <v>222.62</v>
      </c>
      <c r="F2410" s="1">
        <f ca="1">IFERROR(__xludf.DUMMYFUNCTION("""COMPUTED_VALUE"""),100560334)</f>
        <v>100560334</v>
      </c>
    </row>
    <row r="2411" spans="1:6" x14ac:dyDescent="0.35">
      <c r="A2411" s="2">
        <f ca="1">IFERROR(__xludf.DUMMYFUNCTION("""COMPUTED_VALUE"""),45504.6666666666)</f>
        <v>45504.666666666599</v>
      </c>
      <c r="B2411" s="1">
        <f ca="1">IFERROR(__xludf.DUMMYFUNCTION("""COMPUTED_VALUE"""),227.9)</f>
        <v>227.9</v>
      </c>
      <c r="C2411" s="1">
        <f ca="1">IFERROR(__xludf.DUMMYFUNCTION("""COMPUTED_VALUE"""),234.68)</f>
        <v>234.68</v>
      </c>
      <c r="D2411" s="1">
        <f ca="1">IFERROR(__xludf.DUMMYFUNCTION("""COMPUTED_VALUE"""),226.79)</f>
        <v>226.79</v>
      </c>
      <c r="E2411" s="1">
        <f ca="1">IFERROR(__xludf.DUMMYFUNCTION("""COMPUTED_VALUE"""),232.07)</f>
        <v>232.07</v>
      </c>
      <c r="F2411" s="1">
        <f ca="1">IFERROR(__xludf.DUMMYFUNCTION("""COMPUTED_VALUE"""),67497011)</f>
        <v>67497011</v>
      </c>
    </row>
    <row r="2412" spans="1:6" x14ac:dyDescent="0.35">
      <c r="A2412" s="2">
        <f ca="1">IFERROR(__xludf.DUMMYFUNCTION("""COMPUTED_VALUE"""),45505.6666666666)</f>
        <v>45505.666666666599</v>
      </c>
      <c r="B2412" s="1">
        <f ca="1">IFERROR(__xludf.DUMMYFUNCTION("""COMPUTED_VALUE"""),227.69)</f>
        <v>227.69</v>
      </c>
      <c r="C2412" s="1">
        <f ca="1">IFERROR(__xludf.DUMMYFUNCTION("""COMPUTED_VALUE"""),231.87)</f>
        <v>231.87</v>
      </c>
      <c r="D2412" s="1">
        <f ca="1">IFERROR(__xludf.DUMMYFUNCTION("""COMPUTED_VALUE"""),214.33)</f>
        <v>214.33</v>
      </c>
      <c r="E2412" s="1">
        <f ca="1">IFERROR(__xludf.DUMMYFUNCTION("""COMPUTED_VALUE"""),216.86)</f>
        <v>216.86</v>
      </c>
      <c r="F2412" s="1">
        <f ca="1">IFERROR(__xludf.DUMMYFUNCTION("""COMPUTED_VALUE"""),83861898)</f>
        <v>83861898</v>
      </c>
    </row>
    <row r="2413" spans="1:6" x14ac:dyDescent="0.35">
      <c r="A2413" s="2">
        <f ca="1">IFERROR(__xludf.DUMMYFUNCTION("""COMPUTED_VALUE"""),45506.6666666666)</f>
        <v>45506.666666666599</v>
      </c>
      <c r="B2413" s="1">
        <f ca="1">IFERROR(__xludf.DUMMYFUNCTION("""COMPUTED_VALUE"""),214.88)</f>
        <v>214.88</v>
      </c>
      <c r="C2413" s="1">
        <f ca="1">IFERROR(__xludf.DUMMYFUNCTION("""COMPUTED_VALUE"""),216.13)</f>
        <v>216.13</v>
      </c>
      <c r="D2413" s="1">
        <f ca="1">IFERROR(__xludf.DUMMYFUNCTION("""COMPUTED_VALUE"""),205.78)</f>
        <v>205.78</v>
      </c>
      <c r="E2413" s="1">
        <f ca="1">IFERROR(__xludf.DUMMYFUNCTION("""COMPUTED_VALUE"""),207.67)</f>
        <v>207.67</v>
      </c>
      <c r="F2413" s="1">
        <f ca="1">IFERROR(__xludf.DUMMYFUNCTION("""COMPUTED_VALUE"""),82880120)</f>
        <v>82880120</v>
      </c>
    </row>
    <row r="2414" spans="1:6" x14ac:dyDescent="0.35">
      <c r="A2414" s="2">
        <f ca="1">IFERROR(__xludf.DUMMYFUNCTION("""COMPUTED_VALUE"""),45509.6666666666)</f>
        <v>45509.666666666599</v>
      </c>
      <c r="B2414" s="1">
        <f ca="1">IFERROR(__xludf.DUMMYFUNCTION("""COMPUTED_VALUE"""),185.22)</f>
        <v>185.22</v>
      </c>
      <c r="C2414" s="1">
        <f ca="1">IFERROR(__xludf.DUMMYFUNCTION("""COMPUTED_VALUE"""),203.88)</f>
        <v>203.88</v>
      </c>
      <c r="D2414" s="1">
        <f ca="1">IFERROR(__xludf.DUMMYFUNCTION("""COMPUTED_VALUE"""),182)</f>
        <v>182</v>
      </c>
      <c r="E2414" s="1">
        <f ca="1">IFERROR(__xludf.DUMMYFUNCTION("""COMPUTED_VALUE"""),198.88)</f>
        <v>198.88</v>
      </c>
      <c r="F2414" s="1">
        <f ca="1">IFERROR(__xludf.DUMMYFUNCTION("""COMPUTED_VALUE"""),100308836)</f>
        <v>100308836</v>
      </c>
    </row>
    <row r="2415" spans="1:6" x14ac:dyDescent="0.35">
      <c r="A2415" s="2">
        <f ca="1">IFERROR(__xludf.DUMMYFUNCTION("""COMPUTED_VALUE"""),45510.6666666666)</f>
        <v>45510.666666666599</v>
      </c>
      <c r="B2415" s="1">
        <f ca="1">IFERROR(__xludf.DUMMYFUNCTION("""COMPUTED_VALUE"""),200.75)</f>
        <v>200.75</v>
      </c>
      <c r="C2415" s="1">
        <f ca="1">IFERROR(__xludf.DUMMYFUNCTION("""COMPUTED_VALUE"""),202.9)</f>
        <v>202.9</v>
      </c>
      <c r="D2415" s="1">
        <f ca="1">IFERROR(__xludf.DUMMYFUNCTION("""COMPUTED_VALUE"""),192.67)</f>
        <v>192.67</v>
      </c>
      <c r="E2415" s="1">
        <f ca="1">IFERROR(__xludf.DUMMYFUNCTION("""COMPUTED_VALUE"""),200.64)</f>
        <v>200.64</v>
      </c>
      <c r="F2415" s="1">
        <f ca="1">IFERROR(__xludf.DUMMYFUNCTION("""COMPUTED_VALUE"""),73783942)</f>
        <v>73783942</v>
      </c>
    </row>
    <row r="2416" spans="1:6" x14ac:dyDescent="0.35">
      <c r="A2416" s="2">
        <f ca="1">IFERROR(__xludf.DUMMYFUNCTION("""COMPUTED_VALUE"""),45511.6666666666)</f>
        <v>45511.666666666599</v>
      </c>
      <c r="B2416" s="1">
        <f ca="1">IFERROR(__xludf.DUMMYFUNCTION("""COMPUTED_VALUE"""),200.77)</f>
        <v>200.77</v>
      </c>
      <c r="C2416" s="1">
        <f ca="1">IFERROR(__xludf.DUMMYFUNCTION("""COMPUTED_VALUE"""),203.49)</f>
        <v>203.49</v>
      </c>
      <c r="D2416" s="1">
        <f ca="1">IFERROR(__xludf.DUMMYFUNCTION("""COMPUTED_VALUE"""),191.48)</f>
        <v>191.48</v>
      </c>
      <c r="E2416" s="1">
        <f ca="1">IFERROR(__xludf.DUMMYFUNCTION("""COMPUTED_VALUE"""),191.76)</f>
        <v>191.76</v>
      </c>
      <c r="F2416" s="1">
        <f ca="1">IFERROR(__xludf.DUMMYFUNCTION("""COMPUTED_VALUE"""),71159778)</f>
        <v>71159778</v>
      </c>
    </row>
    <row r="2417" spans="1:6" x14ac:dyDescent="0.35">
      <c r="A2417" s="2">
        <f ca="1">IFERROR(__xludf.DUMMYFUNCTION("""COMPUTED_VALUE"""),45512.6666666666)</f>
        <v>45512.666666666599</v>
      </c>
      <c r="B2417" s="1">
        <f ca="1">IFERROR(__xludf.DUMMYFUNCTION("""COMPUTED_VALUE"""),195.7)</f>
        <v>195.7</v>
      </c>
      <c r="C2417" s="1">
        <f ca="1">IFERROR(__xludf.DUMMYFUNCTION("""COMPUTED_VALUE"""),200.7)</f>
        <v>200.7</v>
      </c>
      <c r="D2417" s="1">
        <f ca="1">IFERROR(__xludf.DUMMYFUNCTION("""COMPUTED_VALUE"""),192.04)</f>
        <v>192.04</v>
      </c>
      <c r="E2417" s="1">
        <f ca="1">IFERROR(__xludf.DUMMYFUNCTION("""COMPUTED_VALUE"""),198.84)</f>
        <v>198.84</v>
      </c>
      <c r="F2417" s="1">
        <f ca="1">IFERROR(__xludf.DUMMYFUNCTION("""COMPUTED_VALUE"""),65033874)</f>
        <v>65033874</v>
      </c>
    </row>
    <row r="2418" spans="1:6" x14ac:dyDescent="0.35">
      <c r="A2418" s="2">
        <f ca="1">IFERROR(__xludf.DUMMYFUNCTION("""COMPUTED_VALUE"""),45513.6666666666)</f>
        <v>45513.666666666599</v>
      </c>
      <c r="B2418" s="1">
        <f ca="1">IFERROR(__xludf.DUMMYFUNCTION("""COMPUTED_VALUE"""),197.05)</f>
        <v>197.05</v>
      </c>
      <c r="C2418" s="1">
        <f ca="1">IFERROR(__xludf.DUMMYFUNCTION("""COMPUTED_VALUE"""),200.88)</f>
        <v>200.88</v>
      </c>
      <c r="D2418" s="1">
        <f ca="1">IFERROR(__xludf.DUMMYFUNCTION("""COMPUTED_VALUE"""),195.11)</f>
        <v>195.11</v>
      </c>
      <c r="E2418" s="1">
        <f ca="1">IFERROR(__xludf.DUMMYFUNCTION("""COMPUTED_VALUE"""),200)</f>
        <v>200</v>
      </c>
      <c r="F2418" s="1">
        <f ca="1">IFERROR(__xludf.DUMMYFUNCTION("""COMPUTED_VALUE"""),58648274)</f>
        <v>58648274</v>
      </c>
    </row>
    <row r="2419" spans="1:6" x14ac:dyDescent="0.35">
      <c r="A2419" s="2">
        <f ca="1">IFERROR(__xludf.DUMMYFUNCTION("""COMPUTED_VALUE"""),45516.6666666666)</f>
        <v>45516.666666666599</v>
      </c>
      <c r="B2419" s="1">
        <f ca="1">IFERROR(__xludf.DUMMYFUNCTION("""COMPUTED_VALUE"""),199.02)</f>
        <v>199.02</v>
      </c>
      <c r="C2419" s="1">
        <f ca="1">IFERROR(__xludf.DUMMYFUNCTION("""COMPUTED_VALUE"""),199.26)</f>
        <v>199.26</v>
      </c>
      <c r="D2419" s="1">
        <f ca="1">IFERROR(__xludf.DUMMYFUNCTION("""COMPUTED_VALUE"""),194.67)</f>
        <v>194.67</v>
      </c>
      <c r="E2419" s="1">
        <f ca="1">IFERROR(__xludf.DUMMYFUNCTION("""COMPUTED_VALUE"""),197.49)</f>
        <v>197.49</v>
      </c>
      <c r="F2419" s="1">
        <f ca="1">IFERROR(__xludf.DUMMYFUNCTION("""COMPUTED_VALUE"""),64044903)</f>
        <v>64044903</v>
      </c>
    </row>
    <row r="2420" spans="1:6" x14ac:dyDescent="0.35">
      <c r="A2420" s="2">
        <f ca="1">IFERROR(__xludf.DUMMYFUNCTION("""COMPUTED_VALUE"""),45517.6666666666)</f>
        <v>45517.666666666599</v>
      </c>
      <c r="B2420" s="1">
        <f ca="1">IFERROR(__xludf.DUMMYFUNCTION("""COMPUTED_VALUE"""),198.47)</f>
        <v>198.47</v>
      </c>
      <c r="C2420" s="1">
        <f ca="1">IFERROR(__xludf.DUMMYFUNCTION("""COMPUTED_VALUE"""),208.49)</f>
        <v>208.49</v>
      </c>
      <c r="D2420" s="1">
        <f ca="1">IFERROR(__xludf.DUMMYFUNCTION("""COMPUTED_VALUE"""),197.06)</f>
        <v>197.06</v>
      </c>
      <c r="E2420" s="1">
        <f ca="1">IFERROR(__xludf.DUMMYFUNCTION("""COMPUTED_VALUE"""),207.83)</f>
        <v>207.83</v>
      </c>
      <c r="F2420" s="1">
        <f ca="1">IFERROR(__xludf.DUMMYFUNCTION("""COMPUTED_VALUE"""),76247387)</f>
        <v>76247387</v>
      </c>
    </row>
    <row r="2421" spans="1:6" x14ac:dyDescent="0.35">
      <c r="A2421" s="2">
        <f ca="1">IFERROR(__xludf.DUMMYFUNCTION("""COMPUTED_VALUE"""),45518.6666666666)</f>
        <v>45518.666666666599</v>
      </c>
      <c r="B2421" s="1">
        <f ca="1">IFERROR(__xludf.DUMMYFUNCTION("""COMPUTED_VALUE"""),207.39)</f>
        <v>207.39</v>
      </c>
      <c r="C2421" s="1">
        <f ca="1">IFERROR(__xludf.DUMMYFUNCTION("""COMPUTED_VALUE"""),208.44)</f>
        <v>208.44</v>
      </c>
      <c r="D2421" s="1">
        <f ca="1">IFERROR(__xludf.DUMMYFUNCTION("""COMPUTED_VALUE"""),198.75)</f>
        <v>198.75</v>
      </c>
      <c r="E2421" s="1">
        <f ca="1">IFERROR(__xludf.DUMMYFUNCTION("""COMPUTED_VALUE"""),201.38)</f>
        <v>201.38</v>
      </c>
      <c r="F2421" s="1">
        <f ca="1">IFERROR(__xludf.DUMMYFUNCTION("""COMPUTED_VALUE"""),70250014)</f>
        <v>70250014</v>
      </c>
    </row>
    <row r="2422" spans="1:6" x14ac:dyDescent="0.35">
      <c r="A2422" s="2">
        <f ca="1">IFERROR(__xludf.DUMMYFUNCTION("""COMPUTED_VALUE"""),45519.6666666666)</f>
        <v>45519.666666666599</v>
      </c>
      <c r="B2422" s="1">
        <f ca="1">IFERROR(__xludf.DUMMYFUNCTION("""COMPUTED_VALUE"""),205.02)</f>
        <v>205.02</v>
      </c>
      <c r="C2422" s="1">
        <f ca="1">IFERROR(__xludf.DUMMYFUNCTION("""COMPUTED_VALUE"""),215.88)</f>
        <v>215.88</v>
      </c>
      <c r="D2422" s="1">
        <f ca="1">IFERROR(__xludf.DUMMYFUNCTION("""COMPUTED_VALUE"""),204.82)</f>
        <v>204.82</v>
      </c>
      <c r="E2422" s="1">
        <f ca="1">IFERROR(__xludf.DUMMYFUNCTION("""COMPUTED_VALUE"""),214.14)</f>
        <v>214.14</v>
      </c>
      <c r="F2422" s="1">
        <f ca="1">IFERROR(__xludf.DUMMYFUNCTION("""COMPUTED_VALUE"""),89848530)</f>
        <v>89848530</v>
      </c>
    </row>
    <row r="2423" spans="1:6" x14ac:dyDescent="0.35">
      <c r="A2423" s="2">
        <f ca="1">IFERROR(__xludf.DUMMYFUNCTION("""COMPUTED_VALUE"""),45520.6666666666)</f>
        <v>45520.666666666599</v>
      </c>
      <c r="B2423" s="1">
        <f ca="1">IFERROR(__xludf.DUMMYFUNCTION("""COMPUTED_VALUE"""),211.15)</f>
        <v>211.15</v>
      </c>
      <c r="C2423" s="1">
        <f ca="1">IFERROR(__xludf.DUMMYFUNCTION("""COMPUTED_VALUE"""),219.8)</f>
        <v>219.8</v>
      </c>
      <c r="D2423" s="1">
        <f ca="1">IFERROR(__xludf.DUMMYFUNCTION("""COMPUTED_VALUE"""),210.8)</f>
        <v>210.8</v>
      </c>
      <c r="E2423" s="1">
        <f ca="1">IFERROR(__xludf.DUMMYFUNCTION("""COMPUTED_VALUE"""),216.12)</f>
        <v>216.12</v>
      </c>
      <c r="F2423" s="1">
        <f ca="1">IFERROR(__xludf.DUMMYFUNCTION("""COMPUTED_VALUE"""),88765122)</f>
        <v>88765122</v>
      </c>
    </row>
    <row r="2424" spans="1:6" x14ac:dyDescent="0.35">
      <c r="A2424" s="2">
        <f ca="1">IFERROR(__xludf.DUMMYFUNCTION("""COMPUTED_VALUE"""),45523.6666666666)</f>
        <v>45523.666666666599</v>
      </c>
      <c r="B2424" s="1">
        <f ca="1">IFERROR(__xludf.DUMMYFUNCTION("""COMPUTED_VALUE"""),217.07)</f>
        <v>217.07</v>
      </c>
      <c r="C2424" s="1">
        <f ca="1">IFERROR(__xludf.DUMMYFUNCTION("""COMPUTED_VALUE"""),222.98)</f>
        <v>222.98</v>
      </c>
      <c r="D2424" s="1">
        <f ca="1">IFERROR(__xludf.DUMMYFUNCTION("""COMPUTED_VALUE"""),214.09)</f>
        <v>214.09</v>
      </c>
      <c r="E2424" s="1">
        <f ca="1">IFERROR(__xludf.DUMMYFUNCTION("""COMPUTED_VALUE"""),222.72)</f>
        <v>222.72</v>
      </c>
      <c r="F2424" s="1">
        <f ca="1">IFERROR(__xludf.DUMMYFUNCTION("""COMPUTED_VALUE"""),76435222)</f>
        <v>76435222</v>
      </c>
    </row>
    <row r="2425" spans="1:6" x14ac:dyDescent="0.35">
      <c r="A2425" s="2">
        <f ca="1">IFERROR(__xludf.DUMMYFUNCTION("""COMPUTED_VALUE"""),45524.6666666666)</f>
        <v>45524.666666666599</v>
      </c>
      <c r="B2425" s="1">
        <f ca="1">IFERROR(__xludf.DUMMYFUNCTION("""COMPUTED_VALUE"""),224.88)</f>
        <v>224.88</v>
      </c>
      <c r="C2425" s="1">
        <f ca="1">IFERROR(__xludf.DUMMYFUNCTION("""COMPUTED_VALUE"""),228.22)</f>
        <v>228.22</v>
      </c>
      <c r="D2425" s="1">
        <f ca="1">IFERROR(__xludf.DUMMYFUNCTION("""COMPUTED_VALUE"""),219.56)</f>
        <v>219.56</v>
      </c>
      <c r="E2425" s="1">
        <f ca="1">IFERROR(__xludf.DUMMYFUNCTION("""COMPUTED_VALUE"""),221.1)</f>
        <v>221.1</v>
      </c>
      <c r="F2425" s="1">
        <f ca="1">IFERROR(__xludf.DUMMYFUNCTION("""COMPUTED_VALUE"""),74001182)</f>
        <v>74001182</v>
      </c>
    </row>
    <row r="2426" spans="1:6" x14ac:dyDescent="0.35">
      <c r="A2426" s="2">
        <f ca="1">IFERROR(__xludf.DUMMYFUNCTION("""COMPUTED_VALUE"""),45525.6666666666)</f>
        <v>45525.666666666599</v>
      </c>
      <c r="B2426" s="1">
        <f ca="1">IFERROR(__xludf.DUMMYFUNCTION("""COMPUTED_VALUE"""),222.67)</f>
        <v>222.67</v>
      </c>
      <c r="C2426" s="1">
        <f ca="1">IFERROR(__xludf.DUMMYFUNCTION("""COMPUTED_VALUE"""),224.66)</f>
        <v>224.66</v>
      </c>
      <c r="D2426" s="1">
        <f ca="1">IFERROR(__xludf.DUMMYFUNCTION("""COMPUTED_VALUE"""),218.86)</f>
        <v>218.86</v>
      </c>
      <c r="E2426" s="1">
        <f ca="1">IFERROR(__xludf.DUMMYFUNCTION("""COMPUTED_VALUE"""),223.27)</f>
        <v>223.27</v>
      </c>
      <c r="F2426" s="1">
        <f ca="1">IFERROR(__xludf.DUMMYFUNCTION("""COMPUTED_VALUE"""),70145964)</f>
        <v>70145964</v>
      </c>
    </row>
    <row r="2427" spans="1:6" x14ac:dyDescent="0.35">
      <c r="A2427" s="2">
        <f ca="1">IFERROR(__xludf.DUMMYFUNCTION("""COMPUTED_VALUE"""),45526.6666666666)</f>
        <v>45526.666666666599</v>
      </c>
      <c r="B2427" s="1">
        <f ca="1">IFERROR(__xludf.DUMMYFUNCTION("""COMPUTED_VALUE"""),223.82)</f>
        <v>223.82</v>
      </c>
      <c r="C2427" s="1">
        <f ca="1">IFERROR(__xludf.DUMMYFUNCTION("""COMPUTED_VALUE"""),224.8)</f>
        <v>224.8</v>
      </c>
      <c r="D2427" s="1">
        <f ca="1">IFERROR(__xludf.DUMMYFUNCTION("""COMPUTED_VALUE"""),210.32)</f>
        <v>210.32</v>
      </c>
      <c r="E2427" s="1">
        <f ca="1">IFERROR(__xludf.DUMMYFUNCTION("""COMPUTED_VALUE"""),210.66)</f>
        <v>210.66</v>
      </c>
      <c r="F2427" s="1">
        <f ca="1">IFERROR(__xludf.DUMMYFUNCTION("""COMPUTED_VALUE"""),79514482)</f>
        <v>79514482</v>
      </c>
    </row>
    <row r="2428" spans="1:6" x14ac:dyDescent="0.35">
      <c r="A2428" s="2">
        <f ca="1">IFERROR(__xludf.DUMMYFUNCTION("""COMPUTED_VALUE"""),45527.6666666666)</f>
        <v>45527.666666666599</v>
      </c>
      <c r="B2428" s="1">
        <f ca="1">IFERROR(__xludf.DUMMYFUNCTION("""COMPUTED_VALUE"""),214.46)</f>
        <v>214.46</v>
      </c>
      <c r="C2428" s="1">
        <f ca="1">IFERROR(__xludf.DUMMYFUNCTION("""COMPUTED_VALUE"""),221.48)</f>
        <v>221.48</v>
      </c>
      <c r="D2428" s="1">
        <f ca="1">IFERROR(__xludf.DUMMYFUNCTION("""COMPUTED_VALUE"""),214.21)</f>
        <v>214.21</v>
      </c>
      <c r="E2428" s="1">
        <f ca="1">IFERROR(__xludf.DUMMYFUNCTION("""COMPUTED_VALUE"""),220.32)</f>
        <v>220.32</v>
      </c>
      <c r="F2428" s="1">
        <f ca="1">IFERROR(__xludf.DUMMYFUNCTION("""COMPUTED_VALUE"""),81525207)</f>
        <v>81525207</v>
      </c>
    </row>
    <row r="2429" spans="1:6" x14ac:dyDescent="0.35">
      <c r="A2429" s="2">
        <f ca="1">IFERROR(__xludf.DUMMYFUNCTION("""COMPUTED_VALUE"""),45530.6666666666)</f>
        <v>45530.666666666599</v>
      </c>
      <c r="B2429" s="1">
        <f ca="1">IFERROR(__xludf.DUMMYFUNCTION("""COMPUTED_VALUE"""),218.75)</f>
        <v>218.75</v>
      </c>
      <c r="C2429" s="1">
        <f ca="1">IFERROR(__xludf.DUMMYFUNCTION("""COMPUTED_VALUE"""),219.09)</f>
        <v>219.09</v>
      </c>
      <c r="D2429" s="1">
        <f ca="1">IFERROR(__xludf.DUMMYFUNCTION("""COMPUTED_VALUE"""),211.01)</f>
        <v>211.01</v>
      </c>
      <c r="E2429" s="1">
        <f ca="1">IFERROR(__xludf.DUMMYFUNCTION("""COMPUTED_VALUE"""),213.21)</f>
        <v>213.21</v>
      </c>
      <c r="F2429" s="1">
        <f ca="1">IFERROR(__xludf.DUMMYFUNCTION("""COMPUTED_VALUE"""),59301187)</f>
        <v>59301187</v>
      </c>
    </row>
    <row r="2430" spans="1:6" x14ac:dyDescent="0.35">
      <c r="A2430" s="2">
        <f ca="1">IFERROR(__xludf.DUMMYFUNCTION("""COMPUTED_VALUE"""),45531.6666666666)</f>
        <v>45531.666666666599</v>
      </c>
      <c r="B2430" s="1">
        <f ca="1">IFERROR(__xludf.DUMMYFUNCTION("""COMPUTED_VALUE"""),213.25)</f>
        <v>213.25</v>
      </c>
      <c r="C2430" s="1">
        <f ca="1">IFERROR(__xludf.DUMMYFUNCTION("""COMPUTED_VALUE"""),215.66)</f>
        <v>215.66</v>
      </c>
      <c r="D2430" s="1">
        <f ca="1">IFERROR(__xludf.DUMMYFUNCTION("""COMPUTED_VALUE"""),206.94)</f>
        <v>206.94</v>
      </c>
      <c r="E2430" s="1">
        <f ca="1">IFERROR(__xludf.DUMMYFUNCTION("""COMPUTED_VALUE"""),209.21)</f>
        <v>209.21</v>
      </c>
      <c r="F2430" s="1">
        <f ca="1">IFERROR(__xludf.DUMMYFUNCTION("""COMPUTED_VALUE"""),62821390)</f>
        <v>62821390</v>
      </c>
    </row>
    <row r="2431" spans="1:6" x14ac:dyDescent="0.35">
      <c r="A2431" s="2">
        <f ca="1">IFERROR(__xludf.DUMMYFUNCTION("""COMPUTED_VALUE"""),45532.6666666666)</f>
        <v>45532.666666666599</v>
      </c>
      <c r="B2431" s="1">
        <f ca="1">IFERROR(__xludf.DUMMYFUNCTION("""COMPUTED_VALUE"""),209.72)</f>
        <v>209.72</v>
      </c>
      <c r="C2431" s="1">
        <f ca="1">IFERROR(__xludf.DUMMYFUNCTION("""COMPUTED_VALUE"""),211.84)</f>
        <v>211.84</v>
      </c>
      <c r="D2431" s="1">
        <f ca="1">IFERROR(__xludf.DUMMYFUNCTION("""COMPUTED_VALUE"""),202.59)</f>
        <v>202.59</v>
      </c>
      <c r="E2431" s="1">
        <f ca="1">IFERROR(__xludf.DUMMYFUNCTION("""COMPUTED_VALUE"""),205.75)</f>
        <v>205.75</v>
      </c>
      <c r="F2431" s="1">
        <f ca="1">IFERROR(__xludf.DUMMYFUNCTION("""COMPUTED_VALUE"""),64116350)</f>
        <v>64116350</v>
      </c>
    </row>
    <row r="2432" spans="1:6" x14ac:dyDescent="0.35">
      <c r="A2432" s="2">
        <f ca="1">IFERROR(__xludf.DUMMYFUNCTION("""COMPUTED_VALUE"""),45533.6666666666)</f>
        <v>45533.666666666599</v>
      </c>
      <c r="B2432" s="1">
        <f ca="1">IFERROR(__xludf.DUMMYFUNCTION("""COMPUTED_VALUE"""),209.8)</f>
        <v>209.8</v>
      </c>
      <c r="C2432" s="1">
        <f ca="1">IFERROR(__xludf.DUMMYFUNCTION("""COMPUTED_VALUE"""),214.89)</f>
        <v>214.89</v>
      </c>
      <c r="D2432" s="1">
        <f ca="1">IFERROR(__xludf.DUMMYFUNCTION("""COMPUTED_VALUE"""),205.97)</f>
        <v>205.97</v>
      </c>
      <c r="E2432" s="1">
        <f ca="1">IFERROR(__xludf.DUMMYFUNCTION("""COMPUTED_VALUE"""),206.28)</f>
        <v>206.28</v>
      </c>
      <c r="F2432" s="1">
        <f ca="1">IFERROR(__xludf.DUMMYFUNCTION("""COMPUTED_VALUE"""),62308818)</f>
        <v>62308818</v>
      </c>
    </row>
    <row r="2433" spans="1:6" x14ac:dyDescent="0.35">
      <c r="A2433" s="2">
        <f ca="1">IFERROR(__xludf.DUMMYFUNCTION("""COMPUTED_VALUE"""),45534.6666666666)</f>
        <v>45534.666666666599</v>
      </c>
      <c r="B2433" s="1">
        <f ca="1">IFERROR(__xludf.DUMMYFUNCTION("""COMPUTED_VALUE"""),208.63)</f>
        <v>208.63</v>
      </c>
      <c r="C2433" s="1">
        <f ca="1">IFERROR(__xludf.DUMMYFUNCTION("""COMPUTED_VALUE"""),214.57)</f>
        <v>214.57</v>
      </c>
      <c r="D2433" s="1">
        <f ca="1">IFERROR(__xludf.DUMMYFUNCTION("""COMPUTED_VALUE"""),207.03)</f>
        <v>207.03</v>
      </c>
      <c r="E2433" s="1">
        <f ca="1">IFERROR(__xludf.DUMMYFUNCTION("""COMPUTED_VALUE"""),214.11)</f>
        <v>214.11</v>
      </c>
      <c r="F2433" s="1">
        <f ca="1">IFERROR(__xludf.DUMMYFUNCTION("""COMPUTED_VALUE"""),63370608)</f>
        <v>63370608</v>
      </c>
    </row>
    <row r="2434" spans="1:6" x14ac:dyDescent="0.35">
      <c r="A2434" s="2">
        <f ca="1">IFERROR(__xludf.DUMMYFUNCTION("""COMPUTED_VALUE"""),45538.6666666666)</f>
        <v>45538.666666666599</v>
      </c>
      <c r="B2434" s="1">
        <f ca="1">IFERROR(__xludf.DUMMYFUNCTION("""COMPUTED_VALUE"""),215.26)</f>
        <v>215.26</v>
      </c>
      <c r="C2434" s="1">
        <f ca="1">IFERROR(__xludf.DUMMYFUNCTION("""COMPUTED_VALUE"""),219.9)</f>
        <v>219.9</v>
      </c>
      <c r="D2434" s="1">
        <f ca="1">IFERROR(__xludf.DUMMYFUNCTION("""COMPUTED_VALUE"""),209.64)</f>
        <v>209.64</v>
      </c>
      <c r="E2434" s="1">
        <f ca="1">IFERROR(__xludf.DUMMYFUNCTION("""COMPUTED_VALUE"""),210.6)</f>
        <v>210.6</v>
      </c>
      <c r="F2434" s="1">
        <f ca="1">IFERROR(__xludf.DUMMYFUNCTION("""COMPUTED_VALUE"""),76714222)</f>
        <v>76714222</v>
      </c>
    </row>
    <row r="2435" spans="1:6" x14ac:dyDescent="0.35">
      <c r="A2435" s="2">
        <f ca="1">IFERROR(__xludf.DUMMYFUNCTION("""COMPUTED_VALUE"""),45539.6666666666)</f>
        <v>45539.666666666599</v>
      </c>
      <c r="B2435" s="1">
        <f ca="1">IFERROR(__xludf.DUMMYFUNCTION("""COMPUTED_VALUE"""),210.59)</f>
        <v>210.59</v>
      </c>
      <c r="C2435" s="1">
        <f ca="1">IFERROR(__xludf.DUMMYFUNCTION("""COMPUTED_VALUE"""),222.22)</f>
        <v>222.22</v>
      </c>
      <c r="D2435" s="1">
        <f ca="1">IFERROR(__xludf.DUMMYFUNCTION("""COMPUTED_VALUE"""),210.57)</f>
        <v>210.57</v>
      </c>
      <c r="E2435" s="1">
        <f ca="1">IFERROR(__xludf.DUMMYFUNCTION("""COMPUTED_VALUE"""),219.41)</f>
        <v>219.41</v>
      </c>
      <c r="F2435" s="1">
        <f ca="1">IFERROR(__xludf.DUMMYFUNCTION("""COMPUTED_VALUE"""),80651767)</f>
        <v>80651767</v>
      </c>
    </row>
    <row r="2436" spans="1:6" x14ac:dyDescent="0.35">
      <c r="A2436" s="2">
        <f ca="1">IFERROR(__xludf.DUMMYFUNCTION("""COMPUTED_VALUE"""),45540.6666666666)</f>
        <v>45540.666666666599</v>
      </c>
      <c r="B2436" s="1">
        <f ca="1">IFERROR(__xludf.DUMMYFUNCTION("""COMPUTED_VALUE"""),223.49)</f>
        <v>223.49</v>
      </c>
      <c r="C2436" s="1">
        <f ca="1">IFERROR(__xludf.DUMMYFUNCTION("""COMPUTED_VALUE"""),235)</f>
        <v>235</v>
      </c>
      <c r="D2436" s="1">
        <f ca="1">IFERROR(__xludf.DUMMYFUNCTION("""COMPUTED_VALUE"""),222.25)</f>
        <v>222.25</v>
      </c>
      <c r="E2436" s="1">
        <f ca="1">IFERROR(__xludf.DUMMYFUNCTION("""COMPUTED_VALUE"""),230.17)</f>
        <v>230.17</v>
      </c>
      <c r="F2436" s="1">
        <f ca="1">IFERROR(__xludf.DUMMYFUNCTION("""COMPUTED_VALUE"""),119355013)</f>
        <v>119355013</v>
      </c>
    </row>
    <row r="2437" spans="1:6" x14ac:dyDescent="0.35">
      <c r="A2437" s="2">
        <f ca="1">IFERROR(__xludf.DUMMYFUNCTION("""COMPUTED_VALUE"""),45541.6666666666)</f>
        <v>45541.666666666599</v>
      </c>
      <c r="B2437" s="1">
        <f ca="1">IFERROR(__xludf.DUMMYFUNCTION("""COMPUTED_VALUE"""),232.6)</f>
        <v>232.6</v>
      </c>
      <c r="C2437" s="1">
        <f ca="1">IFERROR(__xludf.DUMMYFUNCTION("""COMPUTED_VALUE"""),233.6)</f>
        <v>233.6</v>
      </c>
      <c r="D2437" s="1">
        <f ca="1">IFERROR(__xludf.DUMMYFUNCTION("""COMPUTED_VALUE"""),210.51)</f>
        <v>210.51</v>
      </c>
      <c r="E2437" s="1">
        <f ca="1">IFERROR(__xludf.DUMMYFUNCTION("""COMPUTED_VALUE"""),210.73)</f>
        <v>210.73</v>
      </c>
      <c r="F2437" s="1">
        <f ca="1">IFERROR(__xludf.DUMMYFUNCTION("""COMPUTED_VALUE"""),112177004)</f>
        <v>112177004</v>
      </c>
    </row>
    <row r="2438" spans="1:6" x14ac:dyDescent="0.35">
      <c r="A2438" s="2">
        <f ca="1">IFERROR(__xludf.DUMMYFUNCTION("""COMPUTED_VALUE"""),45544.6666666666)</f>
        <v>45544.666666666599</v>
      </c>
      <c r="B2438" s="1">
        <f ca="1">IFERROR(__xludf.DUMMYFUNCTION("""COMPUTED_VALUE"""),216.2)</f>
        <v>216.2</v>
      </c>
      <c r="C2438" s="1">
        <f ca="1">IFERROR(__xludf.DUMMYFUNCTION("""COMPUTED_VALUE"""),219.87)</f>
        <v>219.87</v>
      </c>
      <c r="D2438" s="1">
        <f ca="1">IFERROR(__xludf.DUMMYFUNCTION("""COMPUTED_VALUE"""),213.67)</f>
        <v>213.67</v>
      </c>
      <c r="E2438" s="1">
        <f ca="1">IFERROR(__xludf.DUMMYFUNCTION("""COMPUTED_VALUE"""),216.27)</f>
        <v>216.27</v>
      </c>
      <c r="F2438" s="1">
        <f ca="1">IFERROR(__xludf.DUMMYFUNCTION("""COMPUTED_VALUE"""),67443518)</f>
        <v>67443518</v>
      </c>
    </row>
    <row r="2439" spans="1:6" x14ac:dyDescent="0.35">
      <c r="A2439" s="2">
        <f ca="1">IFERROR(__xludf.DUMMYFUNCTION("""COMPUTED_VALUE"""),45545.6666666666)</f>
        <v>45545.666666666599</v>
      </c>
      <c r="B2439" s="1">
        <f ca="1">IFERROR(__xludf.DUMMYFUNCTION("""COMPUTED_VALUE"""),220.07)</f>
        <v>220.07</v>
      </c>
      <c r="C2439" s="1">
        <f ca="1">IFERROR(__xludf.DUMMYFUNCTION("""COMPUTED_VALUE"""),226.4)</f>
        <v>226.4</v>
      </c>
      <c r="D2439" s="1">
        <f ca="1">IFERROR(__xludf.DUMMYFUNCTION("""COMPUTED_VALUE"""),218.64)</f>
        <v>218.64</v>
      </c>
      <c r="E2439" s="1">
        <f ca="1">IFERROR(__xludf.DUMMYFUNCTION("""COMPUTED_VALUE"""),226.17)</f>
        <v>226.17</v>
      </c>
      <c r="F2439" s="1">
        <f ca="1">IFERROR(__xludf.DUMMYFUNCTION("""COMPUTED_VALUE"""),78891136)</f>
        <v>78891136</v>
      </c>
    </row>
    <row r="2440" spans="1:6" x14ac:dyDescent="0.35">
      <c r="A2440" s="2">
        <f ca="1">IFERROR(__xludf.DUMMYFUNCTION("""COMPUTED_VALUE"""),45546.6666666666)</f>
        <v>45546.666666666599</v>
      </c>
      <c r="B2440" s="1">
        <f ca="1">IFERROR(__xludf.DUMMYFUNCTION("""COMPUTED_VALUE"""),224.55)</f>
        <v>224.55</v>
      </c>
      <c r="C2440" s="1">
        <f ca="1">IFERROR(__xludf.DUMMYFUNCTION("""COMPUTED_VALUE"""),228.47)</f>
        <v>228.47</v>
      </c>
      <c r="D2440" s="1">
        <f ca="1">IFERROR(__xludf.DUMMYFUNCTION("""COMPUTED_VALUE"""),216.8)</f>
        <v>216.8</v>
      </c>
      <c r="E2440" s="1">
        <f ca="1">IFERROR(__xludf.DUMMYFUNCTION("""COMPUTED_VALUE"""),228.13)</f>
        <v>228.13</v>
      </c>
      <c r="F2440" s="1">
        <f ca="1">IFERROR(__xludf.DUMMYFUNCTION("""COMPUTED_VALUE"""),83548633)</f>
        <v>83548633</v>
      </c>
    </row>
    <row r="2441" spans="1:6" x14ac:dyDescent="0.35">
      <c r="A2441" s="2">
        <f ca="1">IFERROR(__xludf.DUMMYFUNCTION("""COMPUTED_VALUE"""),45547.6666666666)</f>
        <v>45547.666666666599</v>
      </c>
      <c r="B2441" s="1">
        <f ca="1">IFERROR(__xludf.DUMMYFUNCTION("""COMPUTED_VALUE"""),224.66)</f>
        <v>224.66</v>
      </c>
      <c r="C2441" s="1">
        <f ca="1">IFERROR(__xludf.DUMMYFUNCTION("""COMPUTED_VALUE"""),231.45)</f>
        <v>231.45</v>
      </c>
      <c r="D2441" s="1">
        <f ca="1">IFERROR(__xludf.DUMMYFUNCTION("""COMPUTED_VALUE"""),223.83)</f>
        <v>223.83</v>
      </c>
      <c r="E2441" s="1">
        <f ca="1">IFERROR(__xludf.DUMMYFUNCTION("""COMPUTED_VALUE"""),229.81)</f>
        <v>229.81</v>
      </c>
      <c r="F2441" s="1">
        <f ca="1">IFERROR(__xludf.DUMMYFUNCTION("""COMPUTED_VALUE"""),72020042)</f>
        <v>72020042</v>
      </c>
    </row>
    <row r="2442" spans="1:6" x14ac:dyDescent="0.35">
      <c r="A2442" s="2">
        <f ca="1">IFERROR(__xludf.DUMMYFUNCTION("""COMPUTED_VALUE"""),45548.6666666666)</f>
        <v>45548.666666666599</v>
      </c>
      <c r="B2442" s="1">
        <f ca="1">IFERROR(__xludf.DUMMYFUNCTION("""COMPUTED_VALUE"""),228)</f>
        <v>228</v>
      </c>
      <c r="C2442" s="1">
        <f ca="1">IFERROR(__xludf.DUMMYFUNCTION("""COMPUTED_VALUE"""),232.67)</f>
        <v>232.67</v>
      </c>
      <c r="D2442" s="1">
        <f ca="1">IFERROR(__xludf.DUMMYFUNCTION("""COMPUTED_VALUE"""),226.32)</f>
        <v>226.32</v>
      </c>
      <c r="E2442" s="1">
        <f ca="1">IFERROR(__xludf.DUMMYFUNCTION("""COMPUTED_VALUE"""),230.29)</f>
        <v>230.29</v>
      </c>
      <c r="F2442" s="1">
        <f ca="1">IFERROR(__xludf.DUMMYFUNCTION("""COMPUTED_VALUE"""),59515114)</f>
        <v>59515114</v>
      </c>
    </row>
    <row r="2443" spans="1:6" x14ac:dyDescent="0.35">
      <c r="A2443" s="2">
        <f ca="1">IFERROR(__xludf.DUMMYFUNCTION("""COMPUTED_VALUE"""),45551.6666666666)</f>
        <v>45551.666666666599</v>
      </c>
      <c r="B2443" s="1">
        <f ca="1">IFERROR(__xludf.DUMMYFUNCTION("""COMPUTED_VALUE"""),229.3)</f>
        <v>229.3</v>
      </c>
      <c r="C2443" s="1">
        <f ca="1">IFERROR(__xludf.DUMMYFUNCTION("""COMPUTED_VALUE"""),229.96)</f>
        <v>229.96</v>
      </c>
      <c r="D2443" s="1">
        <f ca="1">IFERROR(__xludf.DUMMYFUNCTION("""COMPUTED_VALUE"""),223.53)</f>
        <v>223.53</v>
      </c>
      <c r="E2443" s="1">
        <f ca="1">IFERROR(__xludf.DUMMYFUNCTION("""COMPUTED_VALUE"""),226.78)</f>
        <v>226.78</v>
      </c>
      <c r="F2443" s="1">
        <f ca="1">IFERROR(__xludf.DUMMYFUNCTION("""COMPUTED_VALUE"""),54322995)</f>
        <v>54322995</v>
      </c>
    </row>
    <row r="2444" spans="1:6" x14ac:dyDescent="0.35">
      <c r="A2444" s="2">
        <f ca="1">IFERROR(__xludf.DUMMYFUNCTION("""COMPUTED_VALUE"""),45552.6666666666)</f>
        <v>45552.666666666599</v>
      </c>
      <c r="B2444" s="1">
        <f ca="1">IFERROR(__xludf.DUMMYFUNCTION("""COMPUTED_VALUE"""),229.45)</f>
        <v>229.45</v>
      </c>
      <c r="C2444" s="1">
        <f ca="1">IFERROR(__xludf.DUMMYFUNCTION("""COMPUTED_VALUE"""),234.57)</f>
        <v>234.57</v>
      </c>
      <c r="D2444" s="1">
        <f ca="1">IFERROR(__xludf.DUMMYFUNCTION("""COMPUTED_VALUE"""),226.55)</f>
        <v>226.55</v>
      </c>
      <c r="E2444" s="1">
        <f ca="1">IFERROR(__xludf.DUMMYFUNCTION("""COMPUTED_VALUE"""),227.87)</f>
        <v>227.87</v>
      </c>
      <c r="F2444" s="1">
        <f ca="1">IFERROR(__xludf.DUMMYFUNCTION("""COMPUTED_VALUE"""),66761636)</f>
        <v>66761636</v>
      </c>
    </row>
    <row r="2445" spans="1:6" x14ac:dyDescent="0.35">
      <c r="A2445" s="2">
        <f ca="1">IFERROR(__xludf.DUMMYFUNCTION("""COMPUTED_VALUE"""),45553.6666666666)</f>
        <v>45553.666666666599</v>
      </c>
      <c r="B2445" s="1">
        <f ca="1">IFERROR(__xludf.DUMMYFUNCTION("""COMPUTED_VALUE"""),230.09)</f>
        <v>230.09</v>
      </c>
      <c r="C2445" s="1">
        <f ca="1">IFERROR(__xludf.DUMMYFUNCTION("""COMPUTED_VALUE"""),235.68)</f>
        <v>235.68</v>
      </c>
      <c r="D2445" s="1">
        <f ca="1">IFERROR(__xludf.DUMMYFUNCTION("""COMPUTED_VALUE"""),226.88)</f>
        <v>226.88</v>
      </c>
      <c r="E2445" s="1">
        <f ca="1">IFERROR(__xludf.DUMMYFUNCTION("""COMPUTED_VALUE"""),227.2)</f>
        <v>227.2</v>
      </c>
      <c r="F2445" s="1">
        <f ca="1">IFERROR(__xludf.DUMMYFUNCTION("""COMPUTED_VALUE"""),78010204)</f>
        <v>78010204</v>
      </c>
    </row>
    <row r="2446" spans="1:6" x14ac:dyDescent="0.35">
      <c r="A2446" s="2">
        <f ca="1">IFERROR(__xludf.DUMMYFUNCTION("""COMPUTED_VALUE"""),45554.6666666666)</f>
        <v>45554.666666666599</v>
      </c>
      <c r="B2446" s="1">
        <f ca="1">IFERROR(__xludf.DUMMYFUNCTION("""COMPUTED_VALUE"""),234)</f>
        <v>234</v>
      </c>
      <c r="C2446" s="1">
        <f ca="1">IFERROR(__xludf.DUMMYFUNCTION("""COMPUTED_VALUE"""),244.24)</f>
        <v>244.24</v>
      </c>
      <c r="D2446" s="1">
        <f ca="1">IFERROR(__xludf.DUMMYFUNCTION("""COMPUTED_VALUE"""),232.13)</f>
        <v>232.13</v>
      </c>
      <c r="E2446" s="1">
        <f ca="1">IFERROR(__xludf.DUMMYFUNCTION("""COMPUTED_VALUE"""),243.92)</f>
        <v>243.92</v>
      </c>
      <c r="F2446" s="1">
        <f ca="1">IFERROR(__xludf.DUMMYFUNCTION("""COMPUTED_VALUE"""),102694576)</f>
        <v>102694576</v>
      </c>
    </row>
    <row r="2447" spans="1:6" x14ac:dyDescent="0.35">
      <c r="A2447" s="2">
        <f ca="1">IFERROR(__xludf.DUMMYFUNCTION("""COMPUTED_VALUE"""),45555.6666666666)</f>
        <v>45555.666666666599</v>
      </c>
      <c r="B2447" s="1">
        <f ca="1">IFERROR(__xludf.DUMMYFUNCTION("""COMPUTED_VALUE"""),241.52)</f>
        <v>241.52</v>
      </c>
      <c r="C2447" s="1">
        <f ca="1">IFERROR(__xludf.DUMMYFUNCTION("""COMPUTED_VALUE"""),243.99)</f>
        <v>243.99</v>
      </c>
      <c r="D2447" s="1">
        <f ca="1">IFERROR(__xludf.DUMMYFUNCTION("""COMPUTED_VALUE"""),235.92)</f>
        <v>235.92</v>
      </c>
      <c r="E2447" s="1">
        <f ca="1">IFERROR(__xludf.DUMMYFUNCTION("""COMPUTED_VALUE"""),238.25)</f>
        <v>238.25</v>
      </c>
      <c r="F2447" s="1">
        <f ca="1">IFERROR(__xludf.DUMMYFUNCTION("""COMPUTED_VALUE"""),99879070)</f>
        <v>99879070</v>
      </c>
    </row>
    <row r="2448" spans="1:6" x14ac:dyDescent="0.35">
      <c r="A2448" s="2">
        <f ca="1">IFERROR(__xludf.DUMMYFUNCTION("""COMPUTED_VALUE"""),45558.6666666666)</f>
        <v>45558.666666666599</v>
      </c>
      <c r="B2448" s="1">
        <f ca="1">IFERROR(__xludf.DUMMYFUNCTION("""COMPUTED_VALUE"""),242.61)</f>
        <v>242.61</v>
      </c>
      <c r="C2448" s="1">
        <f ca="1">IFERROR(__xludf.DUMMYFUNCTION("""COMPUTED_VALUE"""),250)</f>
        <v>250</v>
      </c>
      <c r="D2448" s="1">
        <f ca="1">IFERROR(__xludf.DUMMYFUNCTION("""COMPUTED_VALUE"""),241.92)</f>
        <v>241.92</v>
      </c>
      <c r="E2448" s="1">
        <f ca="1">IFERROR(__xludf.DUMMYFUNCTION("""COMPUTED_VALUE"""),250)</f>
        <v>250</v>
      </c>
      <c r="F2448" s="1">
        <f ca="1">IFERROR(__xludf.DUMMYFUNCTION("""COMPUTED_VALUE"""),86927194)</f>
        <v>86927194</v>
      </c>
    </row>
    <row r="2449" spans="1:6" x14ac:dyDescent="0.35">
      <c r="A2449" s="2">
        <f ca="1">IFERROR(__xludf.DUMMYFUNCTION("""COMPUTED_VALUE"""),45559.6666666666)</f>
        <v>45559.666666666599</v>
      </c>
      <c r="B2449" s="1">
        <f ca="1">IFERROR(__xludf.DUMMYFUNCTION("""COMPUTED_VALUE"""),254.08)</f>
        <v>254.08</v>
      </c>
      <c r="C2449" s="1">
        <f ca="1">IFERROR(__xludf.DUMMYFUNCTION("""COMPUTED_VALUE"""),257.19)</f>
        <v>257.19</v>
      </c>
      <c r="D2449" s="1">
        <f ca="1">IFERROR(__xludf.DUMMYFUNCTION("""COMPUTED_VALUE"""),249.05)</f>
        <v>249.05</v>
      </c>
      <c r="E2449" s="1">
        <f ca="1">IFERROR(__xludf.DUMMYFUNCTION("""COMPUTED_VALUE"""),254.27)</f>
        <v>254.27</v>
      </c>
      <c r="F2449" s="1">
        <f ca="1">IFERROR(__xludf.DUMMYFUNCTION("""COMPUTED_VALUE"""),88490999)</f>
        <v>88490999</v>
      </c>
    </row>
    <row r="2450" spans="1:6" x14ac:dyDescent="0.35">
      <c r="A2450" s="2">
        <f ca="1">IFERROR(__xludf.DUMMYFUNCTION("""COMPUTED_VALUE"""),45560.6666666666)</f>
        <v>45560.666666666599</v>
      </c>
      <c r="B2450" s="1">
        <f ca="1">IFERROR(__xludf.DUMMYFUNCTION("""COMPUTED_VALUE"""),252.54)</f>
        <v>252.54</v>
      </c>
      <c r="C2450" s="1">
        <f ca="1">IFERROR(__xludf.DUMMYFUNCTION("""COMPUTED_VALUE"""),257.05)</f>
        <v>257.05</v>
      </c>
      <c r="D2450" s="1">
        <f ca="1">IFERROR(__xludf.DUMMYFUNCTION("""COMPUTED_VALUE"""),252.28)</f>
        <v>252.28</v>
      </c>
      <c r="E2450" s="1">
        <f ca="1">IFERROR(__xludf.DUMMYFUNCTION("""COMPUTED_VALUE"""),257.02)</f>
        <v>257.02</v>
      </c>
      <c r="F2450" s="1">
        <f ca="1">IFERROR(__xludf.DUMMYFUNCTION("""COMPUTED_VALUE"""),65034318)</f>
        <v>65034318</v>
      </c>
    </row>
    <row r="2451" spans="1:6" x14ac:dyDescent="0.35">
      <c r="A2451" s="2">
        <f ca="1">IFERROR(__xludf.DUMMYFUNCTION("""COMPUTED_VALUE"""),45561.6666666666)</f>
        <v>45561.666666666599</v>
      </c>
      <c r="B2451" s="1">
        <f ca="1">IFERROR(__xludf.DUMMYFUNCTION("""COMPUTED_VALUE"""),260.6)</f>
        <v>260.60000000000002</v>
      </c>
      <c r="C2451" s="1">
        <f ca="1">IFERROR(__xludf.DUMMYFUNCTION("""COMPUTED_VALUE"""),261.75)</f>
        <v>261.75</v>
      </c>
      <c r="D2451" s="1">
        <f ca="1">IFERROR(__xludf.DUMMYFUNCTION("""COMPUTED_VALUE"""),251.53)</f>
        <v>251.53</v>
      </c>
      <c r="E2451" s="1">
        <f ca="1">IFERROR(__xludf.DUMMYFUNCTION("""COMPUTED_VALUE"""),254.22)</f>
        <v>254.22</v>
      </c>
      <c r="F2451" s="1">
        <f ca="1">IFERROR(__xludf.DUMMYFUNCTION("""COMPUTED_VALUE"""),67142193)</f>
        <v>67142193</v>
      </c>
    </row>
    <row r="2452" spans="1:6" x14ac:dyDescent="0.35">
      <c r="A2452" s="2">
        <f ca="1">IFERROR(__xludf.DUMMYFUNCTION("""COMPUTED_VALUE"""),45562.6666666666)</f>
        <v>45562.666666666599</v>
      </c>
      <c r="B2452" s="1">
        <f ca="1">IFERROR(__xludf.DUMMYFUNCTION("""COMPUTED_VALUE"""),257.38)</f>
        <v>257.38</v>
      </c>
      <c r="C2452" s="1">
        <f ca="1">IFERROR(__xludf.DUMMYFUNCTION("""COMPUTED_VALUE"""),260.7)</f>
        <v>260.7</v>
      </c>
      <c r="D2452" s="1">
        <f ca="1">IFERROR(__xludf.DUMMYFUNCTION("""COMPUTED_VALUE"""),254.12)</f>
        <v>254.12</v>
      </c>
      <c r="E2452" s="1">
        <f ca="1">IFERROR(__xludf.DUMMYFUNCTION("""COMPUTED_VALUE"""),260.46)</f>
        <v>260.45999999999998</v>
      </c>
      <c r="F2452" s="1">
        <f ca="1">IFERROR(__xludf.DUMMYFUNCTION("""COMPUTED_VALUE"""),70988067)</f>
        <v>70988067</v>
      </c>
    </row>
    <row r="2453" spans="1:6" x14ac:dyDescent="0.35">
      <c r="A2453" s="2">
        <f ca="1">IFERROR(__xludf.DUMMYFUNCTION("""COMPUTED_VALUE"""),45565.6666666666)</f>
        <v>45565.666666666599</v>
      </c>
      <c r="B2453" s="1">
        <f ca="1">IFERROR(__xludf.DUMMYFUNCTION("""COMPUTED_VALUE"""),259.04)</f>
        <v>259.04000000000002</v>
      </c>
      <c r="C2453" s="1">
        <f ca="1">IFERROR(__xludf.DUMMYFUNCTION("""COMPUTED_VALUE"""),264.86)</f>
        <v>264.86</v>
      </c>
      <c r="D2453" s="1">
        <f ca="1">IFERROR(__xludf.DUMMYFUNCTION("""COMPUTED_VALUE"""),255.77)</f>
        <v>255.77</v>
      </c>
      <c r="E2453" s="1">
        <f ca="1">IFERROR(__xludf.DUMMYFUNCTION("""COMPUTED_VALUE"""),261.63)</f>
        <v>261.63</v>
      </c>
      <c r="F2453" s="1">
        <f ca="1">IFERROR(__xludf.DUMMYFUNCTION("""COMPUTED_VALUE"""),80873381)</f>
        <v>80873381</v>
      </c>
    </row>
    <row r="2454" spans="1:6" x14ac:dyDescent="0.35">
      <c r="A2454" s="2">
        <f ca="1">IFERROR(__xludf.DUMMYFUNCTION("""COMPUTED_VALUE"""),45566.6666666666)</f>
        <v>45566.666666666599</v>
      </c>
      <c r="B2454" s="1">
        <f ca="1">IFERROR(__xludf.DUMMYFUNCTION("""COMPUTED_VALUE"""),262.67)</f>
        <v>262.67</v>
      </c>
      <c r="C2454" s="1">
        <f ca="1">IFERROR(__xludf.DUMMYFUNCTION("""COMPUTED_VALUE"""),263.98)</f>
        <v>263.98</v>
      </c>
      <c r="D2454" s="1">
        <f ca="1">IFERROR(__xludf.DUMMYFUNCTION("""COMPUTED_VALUE"""),248.53)</f>
        <v>248.53</v>
      </c>
      <c r="E2454" s="1">
        <f ca="1">IFERROR(__xludf.DUMMYFUNCTION("""COMPUTED_VALUE"""),258.02)</f>
        <v>258.02</v>
      </c>
      <c r="F2454" s="1">
        <f ca="1">IFERROR(__xludf.DUMMYFUNCTION("""COMPUTED_VALUE"""),87397613)</f>
        <v>87397613</v>
      </c>
    </row>
    <row r="2455" spans="1:6" x14ac:dyDescent="0.35">
      <c r="A2455" s="2">
        <f ca="1">IFERROR(__xludf.DUMMYFUNCTION("""COMPUTED_VALUE"""),45567.6666666666)</f>
        <v>45567.666666666599</v>
      </c>
      <c r="B2455" s="1">
        <f ca="1">IFERROR(__xludf.DUMMYFUNCTION("""COMPUTED_VALUE"""),247.55)</f>
        <v>247.55</v>
      </c>
      <c r="C2455" s="1">
        <f ca="1">IFERROR(__xludf.DUMMYFUNCTION("""COMPUTED_VALUE"""),251.16)</f>
        <v>251.16</v>
      </c>
      <c r="D2455" s="1">
        <f ca="1">IFERROR(__xludf.DUMMYFUNCTION("""COMPUTED_VALUE"""),241.5)</f>
        <v>241.5</v>
      </c>
      <c r="E2455" s="1">
        <f ca="1">IFERROR(__xludf.DUMMYFUNCTION("""COMPUTED_VALUE"""),249.02)</f>
        <v>249.02</v>
      </c>
      <c r="F2455" s="1">
        <f ca="1">IFERROR(__xludf.DUMMYFUNCTION("""COMPUTED_VALUE"""),93983930)</f>
        <v>93983930</v>
      </c>
    </row>
    <row r="2456" spans="1:6" x14ac:dyDescent="0.35">
      <c r="A2456" s="2">
        <f ca="1">IFERROR(__xludf.DUMMYFUNCTION("""COMPUTED_VALUE"""),45568.6666666666)</f>
        <v>45568.666666666599</v>
      </c>
      <c r="B2456" s="1">
        <f ca="1">IFERROR(__xludf.DUMMYFUNCTION("""COMPUTED_VALUE"""),244.48)</f>
        <v>244.48</v>
      </c>
      <c r="C2456" s="1">
        <f ca="1">IFERROR(__xludf.DUMMYFUNCTION("""COMPUTED_VALUE"""),249.79)</f>
        <v>249.79</v>
      </c>
      <c r="D2456" s="1">
        <f ca="1">IFERROR(__xludf.DUMMYFUNCTION("""COMPUTED_VALUE"""),237.81)</f>
        <v>237.81</v>
      </c>
      <c r="E2456" s="1">
        <f ca="1">IFERROR(__xludf.DUMMYFUNCTION("""COMPUTED_VALUE"""),240.66)</f>
        <v>240.66</v>
      </c>
      <c r="F2456" s="1">
        <f ca="1">IFERROR(__xludf.DUMMYFUNCTION("""COMPUTED_VALUE"""),80729240)</f>
        <v>80729240</v>
      </c>
    </row>
    <row r="2457" spans="1:6" x14ac:dyDescent="0.35">
      <c r="A2457" s="2">
        <f ca="1">IFERROR(__xludf.DUMMYFUNCTION("""COMPUTED_VALUE"""),45569.6666666666)</f>
        <v>45569.666666666599</v>
      </c>
      <c r="B2457" s="1">
        <f ca="1">IFERROR(__xludf.DUMMYFUNCTION("""COMPUTED_VALUE"""),246.69)</f>
        <v>246.69</v>
      </c>
      <c r="C2457" s="1">
        <f ca="1">IFERROR(__xludf.DUMMYFUNCTION("""COMPUTED_VALUE"""),250.96)</f>
        <v>250.96</v>
      </c>
      <c r="D2457" s="1">
        <f ca="1">IFERROR(__xludf.DUMMYFUNCTION("""COMPUTED_VALUE"""),244.58)</f>
        <v>244.58</v>
      </c>
      <c r="E2457" s="1">
        <f ca="1">IFERROR(__xludf.DUMMYFUNCTION("""COMPUTED_VALUE"""),250.08)</f>
        <v>250.08</v>
      </c>
      <c r="F2457" s="1">
        <f ca="1">IFERROR(__xludf.DUMMYFUNCTION("""COMPUTED_VALUE"""),86726285)</f>
        <v>86726285</v>
      </c>
    </row>
    <row r="2458" spans="1:6" x14ac:dyDescent="0.35">
      <c r="A2458" s="2">
        <f ca="1">IFERROR(__xludf.DUMMYFUNCTION("""COMPUTED_VALUE"""),45572.6666666666)</f>
        <v>45572.666666666599</v>
      </c>
      <c r="B2458" s="1">
        <f ca="1">IFERROR(__xludf.DUMMYFUNCTION("""COMPUTED_VALUE"""),249)</f>
        <v>249</v>
      </c>
      <c r="C2458" s="1">
        <f ca="1">IFERROR(__xludf.DUMMYFUNCTION("""COMPUTED_VALUE"""),249.83)</f>
        <v>249.83</v>
      </c>
      <c r="D2458" s="1">
        <f ca="1">IFERROR(__xludf.DUMMYFUNCTION("""COMPUTED_VALUE"""),240.7)</f>
        <v>240.7</v>
      </c>
      <c r="E2458" s="1">
        <f ca="1">IFERROR(__xludf.DUMMYFUNCTION("""COMPUTED_VALUE"""),240.83)</f>
        <v>240.83</v>
      </c>
      <c r="F2458" s="1">
        <f ca="1">IFERROR(__xludf.DUMMYFUNCTION("""COMPUTED_VALUE"""),68113270)</f>
        <v>68113270</v>
      </c>
    </row>
    <row r="2459" spans="1:6" x14ac:dyDescent="0.35">
      <c r="A2459" s="2">
        <f ca="1">IFERROR(__xludf.DUMMYFUNCTION("""COMPUTED_VALUE"""),45573.6666666666)</f>
        <v>45573.666666666599</v>
      </c>
      <c r="B2459" s="1">
        <f ca="1">IFERROR(__xludf.DUMMYFUNCTION("""COMPUTED_VALUE"""),243.56)</f>
        <v>243.56</v>
      </c>
      <c r="C2459" s="1">
        <f ca="1">IFERROR(__xludf.DUMMYFUNCTION("""COMPUTED_VALUE"""),246.21)</f>
        <v>246.21</v>
      </c>
      <c r="D2459" s="1">
        <f ca="1">IFERROR(__xludf.DUMMYFUNCTION("""COMPUTED_VALUE"""),240.56)</f>
        <v>240.56</v>
      </c>
      <c r="E2459" s="1">
        <f ca="1">IFERROR(__xludf.DUMMYFUNCTION("""COMPUTED_VALUE"""),244.5)</f>
        <v>244.5</v>
      </c>
      <c r="F2459" s="1">
        <f ca="1">IFERROR(__xludf.DUMMYFUNCTION("""COMPUTED_VALUE"""),56303160)</f>
        <v>56303160</v>
      </c>
    </row>
    <row r="2460" spans="1:6" x14ac:dyDescent="0.35">
      <c r="A2460" s="2">
        <f ca="1">IFERROR(__xludf.DUMMYFUNCTION("""COMPUTED_VALUE"""),45574.6666666666)</f>
        <v>45574.666666666599</v>
      </c>
      <c r="B2460" s="1">
        <f ca="1">IFERROR(__xludf.DUMMYFUNCTION("""COMPUTED_VALUE"""),243.82)</f>
        <v>243.82</v>
      </c>
      <c r="C2460" s="1">
        <f ca="1">IFERROR(__xludf.DUMMYFUNCTION("""COMPUTED_VALUE"""),247.43)</f>
        <v>247.43</v>
      </c>
      <c r="D2460" s="1">
        <f ca="1">IFERROR(__xludf.DUMMYFUNCTION("""COMPUTED_VALUE"""),239.51)</f>
        <v>239.51</v>
      </c>
      <c r="E2460" s="1">
        <f ca="1">IFERROR(__xludf.DUMMYFUNCTION("""COMPUTED_VALUE"""),241.05)</f>
        <v>241.05</v>
      </c>
      <c r="F2460" s="1">
        <f ca="1">IFERROR(__xludf.DUMMYFUNCTION("""COMPUTED_VALUE"""),66289529)</f>
        <v>66289529</v>
      </c>
    </row>
    <row r="2461" spans="1:6" x14ac:dyDescent="0.35">
      <c r="A2461" s="2">
        <f ca="1">IFERROR(__xludf.DUMMYFUNCTION("""COMPUTED_VALUE"""),45575.6666666666)</f>
        <v>45575.666666666599</v>
      </c>
      <c r="B2461" s="1">
        <f ca="1">IFERROR(__xludf.DUMMYFUNCTION("""COMPUTED_VALUE"""),241.81)</f>
        <v>241.81</v>
      </c>
      <c r="C2461" s="1">
        <f ca="1">IFERROR(__xludf.DUMMYFUNCTION("""COMPUTED_VALUE"""),242.79)</f>
        <v>242.79</v>
      </c>
      <c r="D2461" s="1">
        <f ca="1">IFERROR(__xludf.DUMMYFUNCTION("""COMPUTED_VALUE"""),232.34)</f>
        <v>232.34</v>
      </c>
      <c r="E2461" s="1">
        <f ca="1">IFERROR(__xludf.DUMMYFUNCTION("""COMPUTED_VALUE"""),238.77)</f>
        <v>238.77</v>
      </c>
      <c r="F2461" s="1">
        <f ca="1">IFERROR(__xludf.DUMMYFUNCTION("""COMPUTED_VALUE"""),83087063)</f>
        <v>83087063</v>
      </c>
    </row>
    <row r="2462" spans="1:6" x14ac:dyDescent="0.35">
      <c r="A2462" s="2">
        <f ca="1">IFERROR(__xludf.DUMMYFUNCTION("""COMPUTED_VALUE"""),45576.6666666666)</f>
        <v>45576.666666666599</v>
      </c>
      <c r="B2462" s="1">
        <f ca="1">IFERROR(__xludf.DUMMYFUNCTION("""COMPUTED_VALUE"""),220.13)</f>
        <v>220.13</v>
      </c>
      <c r="C2462" s="1">
        <f ca="1">IFERROR(__xludf.DUMMYFUNCTION("""COMPUTED_VALUE"""),223.34)</f>
        <v>223.34</v>
      </c>
      <c r="D2462" s="1">
        <f ca="1">IFERROR(__xludf.DUMMYFUNCTION("""COMPUTED_VALUE"""),214.38)</f>
        <v>214.38</v>
      </c>
      <c r="E2462" s="1">
        <f ca="1">IFERROR(__xludf.DUMMYFUNCTION("""COMPUTED_VALUE"""),217.8)</f>
        <v>217.8</v>
      </c>
      <c r="F2462" s="1">
        <f ca="1">IFERROR(__xludf.DUMMYFUNCTION("""COMPUTED_VALUE"""),142628874)</f>
        <v>142628874</v>
      </c>
    </row>
    <row r="2463" spans="1:6" x14ac:dyDescent="0.35">
      <c r="A2463" s="2">
        <f ca="1">IFERROR(__xludf.DUMMYFUNCTION("""COMPUTED_VALUE"""),45579.6666666666)</f>
        <v>45579.666666666599</v>
      </c>
      <c r="B2463" s="1">
        <f ca="1">IFERROR(__xludf.DUMMYFUNCTION("""COMPUTED_VALUE"""),220.13)</f>
        <v>220.13</v>
      </c>
      <c r="C2463" s="1">
        <f ca="1">IFERROR(__xludf.DUMMYFUNCTION("""COMPUTED_VALUE"""),221.91)</f>
        <v>221.91</v>
      </c>
      <c r="D2463" s="1">
        <f ca="1">IFERROR(__xludf.DUMMYFUNCTION("""COMPUTED_VALUE"""),213.74)</f>
        <v>213.74</v>
      </c>
      <c r="E2463" s="1">
        <f ca="1">IFERROR(__xludf.DUMMYFUNCTION("""COMPUTED_VALUE"""),219.16)</f>
        <v>219.16</v>
      </c>
      <c r="F2463" s="1">
        <f ca="1">IFERROR(__xludf.DUMMYFUNCTION("""COMPUTED_VALUE"""),86291923)</f>
        <v>86291923</v>
      </c>
    </row>
    <row r="2464" spans="1:6" x14ac:dyDescent="0.35">
      <c r="A2464" s="2">
        <f ca="1">IFERROR(__xludf.DUMMYFUNCTION("""COMPUTED_VALUE"""),45580.6666666666)</f>
        <v>45580.666666666599</v>
      </c>
      <c r="B2464" s="1">
        <f ca="1">IFERROR(__xludf.DUMMYFUNCTION("""COMPUTED_VALUE"""),220.01)</f>
        <v>220.01</v>
      </c>
      <c r="C2464" s="1">
        <f ca="1">IFERROR(__xludf.DUMMYFUNCTION("""COMPUTED_VALUE"""),224.26)</f>
        <v>224.26</v>
      </c>
      <c r="D2464" s="1">
        <f ca="1">IFERROR(__xludf.DUMMYFUNCTION("""COMPUTED_VALUE"""),217.12)</f>
        <v>217.12</v>
      </c>
      <c r="E2464" s="1">
        <f ca="1">IFERROR(__xludf.DUMMYFUNCTION("""COMPUTED_VALUE"""),219.57)</f>
        <v>219.57</v>
      </c>
      <c r="F2464" s="1">
        <f ca="1">IFERROR(__xludf.DUMMYFUNCTION("""COMPUTED_VALUE"""),62988787)</f>
        <v>62988787</v>
      </c>
    </row>
    <row r="2465" spans="1:6" x14ac:dyDescent="0.35">
      <c r="A2465" s="2">
        <f ca="1">IFERROR(__xludf.DUMMYFUNCTION("""COMPUTED_VALUE"""),45581.6666666666)</f>
        <v>45581.666666666599</v>
      </c>
      <c r="B2465" s="1">
        <f ca="1">IFERROR(__xludf.DUMMYFUNCTION("""COMPUTED_VALUE"""),221.4)</f>
        <v>221.4</v>
      </c>
      <c r="C2465" s="1">
        <f ca="1">IFERROR(__xludf.DUMMYFUNCTION("""COMPUTED_VALUE"""),222.82)</f>
        <v>222.82</v>
      </c>
      <c r="D2465" s="1">
        <f ca="1">IFERROR(__xludf.DUMMYFUNCTION("""COMPUTED_VALUE"""),218.93)</f>
        <v>218.93</v>
      </c>
      <c r="E2465" s="1">
        <f ca="1">IFERROR(__xludf.DUMMYFUNCTION("""COMPUTED_VALUE"""),221.33)</f>
        <v>221.33</v>
      </c>
      <c r="F2465" s="1">
        <f ca="1">IFERROR(__xludf.DUMMYFUNCTION("""COMPUTED_VALUE"""),49632824)</f>
        <v>49632824</v>
      </c>
    </row>
    <row r="2466" spans="1:6" x14ac:dyDescent="0.35">
      <c r="A2466" s="2">
        <f ca="1">IFERROR(__xludf.DUMMYFUNCTION("""COMPUTED_VALUE"""),45582.6666666666)</f>
        <v>45582.666666666599</v>
      </c>
      <c r="B2466" s="1">
        <f ca="1">IFERROR(__xludf.DUMMYFUNCTION("""COMPUTED_VALUE"""),221.59)</f>
        <v>221.59</v>
      </c>
      <c r="C2466" s="1">
        <f ca="1">IFERROR(__xludf.DUMMYFUNCTION("""COMPUTED_VALUE"""),222.08)</f>
        <v>222.08</v>
      </c>
      <c r="D2466" s="1">
        <f ca="1">IFERROR(__xludf.DUMMYFUNCTION("""COMPUTED_VALUE"""),217.9)</f>
        <v>217.9</v>
      </c>
      <c r="E2466" s="1">
        <f ca="1">IFERROR(__xludf.DUMMYFUNCTION("""COMPUTED_VALUE"""),220.89)</f>
        <v>220.89</v>
      </c>
      <c r="F2466" s="1">
        <f ca="1">IFERROR(__xludf.DUMMYFUNCTION("""COMPUTED_VALUE"""),50791784)</f>
        <v>50791784</v>
      </c>
    </row>
    <row r="2467" spans="1:6" x14ac:dyDescent="0.35">
      <c r="A2467" s="2">
        <f ca="1">IFERROR(__xludf.DUMMYFUNCTION("""COMPUTED_VALUE"""),45583.6666666666)</f>
        <v>45583.666666666599</v>
      </c>
      <c r="B2467" s="1">
        <f ca="1">IFERROR(__xludf.DUMMYFUNCTION("""COMPUTED_VALUE"""),220.71)</f>
        <v>220.71</v>
      </c>
      <c r="C2467" s="1">
        <f ca="1">IFERROR(__xludf.DUMMYFUNCTION("""COMPUTED_VALUE"""),222.28)</f>
        <v>222.28</v>
      </c>
      <c r="D2467" s="1">
        <f ca="1">IFERROR(__xludf.DUMMYFUNCTION("""COMPUTED_VALUE"""),219.23)</f>
        <v>219.23</v>
      </c>
      <c r="E2467" s="1">
        <f ca="1">IFERROR(__xludf.DUMMYFUNCTION("""COMPUTED_VALUE"""),220.7)</f>
        <v>220.7</v>
      </c>
      <c r="F2467" s="1">
        <f ca="1">IFERROR(__xludf.DUMMYFUNCTION("""COMPUTED_VALUE"""),49611867)</f>
        <v>49611867</v>
      </c>
    </row>
    <row r="2468" spans="1:6" x14ac:dyDescent="0.35">
      <c r="A2468" s="2">
        <f ca="1">IFERROR(__xludf.DUMMYFUNCTION("""COMPUTED_VALUE"""),45586.6666666666)</f>
        <v>45586.666666666599</v>
      </c>
      <c r="B2468" s="1">
        <f ca="1">IFERROR(__xludf.DUMMYFUNCTION("""COMPUTED_VALUE"""),218.9)</f>
        <v>218.9</v>
      </c>
      <c r="C2468" s="1">
        <f ca="1">IFERROR(__xludf.DUMMYFUNCTION("""COMPUTED_VALUE"""),220.48)</f>
        <v>220.48</v>
      </c>
      <c r="D2468" s="1">
        <f ca="1">IFERROR(__xludf.DUMMYFUNCTION("""COMPUTED_VALUE"""),215.73)</f>
        <v>215.73</v>
      </c>
      <c r="E2468" s="1">
        <f ca="1">IFERROR(__xludf.DUMMYFUNCTION("""COMPUTED_VALUE"""),218.85)</f>
        <v>218.85</v>
      </c>
      <c r="F2468" s="1">
        <f ca="1">IFERROR(__xludf.DUMMYFUNCTION("""COMPUTED_VALUE"""),47328988)</f>
        <v>47328988</v>
      </c>
    </row>
    <row r="2469" spans="1:6" x14ac:dyDescent="0.35">
      <c r="A2469" s="2">
        <f ca="1">IFERROR(__xludf.DUMMYFUNCTION("""COMPUTED_VALUE"""),45587.6666666666)</f>
        <v>45587.666666666599</v>
      </c>
      <c r="B2469" s="1">
        <f ca="1">IFERROR(__xludf.DUMMYFUNCTION("""COMPUTED_VALUE"""),217.31)</f>
        <v>217.31</v>
      </c>
      <c r="C2469" s="1">
        <f ca="1">IFERROR(__xludf.DUMMYFUNCTION("""COMPUTED_VALUE"""),218.22)</f>
        <v>218.22</v>
      </c>
      <c r="D2469" s="1">
        <f ca="1">IFERROR(__xludf.DUMMYFUNCTION("""COMPUTED_VALUE"""),215.26)</f>
        <v>215.26</v>
      </c>
      <c r="E2469" s="1">
        <f ca="1">IFERROR(__xludf.DUMMYFUNCTION("""COMPUTED_VALUE"""),217.97)</f>
        <v>217.97</v>
      </c>
      <c r="F2469" s="1">
        <f ca="1">IFERROR(__xludf.DUMMYFUNCTION("""COMPUTED_VALUE"""),43268741)</f>
        <v>43268741</v>
      </c>
    </row>
    <row r="2470" spans="1:6" x14ac:dyDescent="0.35">
      <c r="A2470" s="2">
        <f ca="1">IFERROR(__xludf.DUMMYFUNCTION("""COMPUTED_VALUE"""),45588.6666666666)</f>
        <v>45588.666666666599</v>
      </c>
      <c r="B2470" s="1">
        <f ca="1">IFERROR(__xludf.DUMMYFUNCTION("""COMPUTED_VALUE"""),217.13)</f>
        <v>217.13</v>
      </c>
      <c r="C2470" s="1">
        <f ca="1">IFERROR(__xludf.DUMMYFUNCTION("""COMPUTED_VALUE"""),218.72)</f>
        <v>218.72</v>
      </c>
      <c r="D2470" s="1">
        <f ca="1">IFERROR(__xludf.DUMMYFUNCTION("""COMPUTED_VALUE"""),212.11)</f>
        <v>212.11</v>
      </c>
      <c r="E2470" s="1">
        <f ca="1">IFERROR(__xludf.DUMMYFUNCTION("""COMPUTED_VALUE"""),213.65)</f>
        <v>213.65</v>
      </c>
      <c r="F2470" s="1">
        <f ca="1">IFERROR(__xludf.DUMMYFUNCTION("""COMPUTED_VALUE"""),80938892)</f>
        <v>80938892</v>
      </c>
    </row>
    <row r="2471" spans="1:6" x14ac:dyDescent="0.35">
      <c r="A2471" s="2">
        <f ca="1">IFERROR(__xludf.DUMMYFUNCTION("""COMPUTED_VALUE"""),45589.6666666666)</f>
        <v>45589.666666666599</v>
      </c>
      <c r="B2471" s="1">
        <f ca="1">IFERROR(__xludf.DUMMYFUNCTION("""COMPUTED_VALUE"""),244.68)</f>
        <v>244.68</v>
      </c>
      <c r="C2471" s="1">
        <f ca="1">IFERROR(__xludf.DUMMYFUNCTION("""COMPUTED_VALUE"""),262.12)</f>
        <v>262.12</v>
      </c>
      <c r="D2471" s="1">
        <f ca="1">IFERROR(__xludf.DUMMYFUNCTION("""COMPUTED_VALUE"""),242.65)</f>
        <v>242.65</v>
      </c>
      <c r="E2471" s="1">
        <f ca="1">IFERROR(__xludf.DUMMYFUNCTION("""COMPUTED_VALUE"""),260.48)</f>
        <v>260.48</v>
      </c>
      <c r="F2471" s="1">
        <f ca="1">IFERROR(__xludf.DUMMYFUNCTION("""COMPUTED_VALUE"""),204491903)</f>
        <v>204491903</v>
      </c>
    </row>
    <row r="2472" spans="1:6" x14ac:dyDescent="0.35">
      <c r="A2472" s="2">
        <f ca="1">IFERROR(__xludf.DUMMYFUNCTION("""COMPUTED_VALUE"""),45590.6666666666)</f>
        <v>45590.666666666599</v>
      </c>
      <c r="B2472" s="1">
        <f ca="1">IFERROR(__xludf.DUMMYFUNCTION("""COMPUTED_VALUE"""),256.01)</f>
        <v>256.01</v>
      </c>
      <c r="C2472" s="1">
        <f ca="1">IFERROR(__xludf.DUMMYFUNCTION("""COMPUTED_VALUE"""),269.49)</f>
        <v>269.49</v>
      </c>
      <c r="D2472" s="1">
        <f ca="1">IFERROR(__xludf.DUMMYFUNCTION("""COMPUTED_VALUE"""),255.32)</f>
        <v>255.32</v>
      </c>
      <c r="E2472" s="1">
        <f ca="1">IFERROR(__xludf.DUMMYFUNCTION("""COMPUTED_VALUE"""),269.19)</f>
        <v>269.19</v>
      </c>
      <c r="F2472" s="1">
        <f ca="1">IFERROR(__xludf.DUMMYFUNCTION("""COMPUTED_VALUE"""),161611931)</f>
        <v>161611931</v>
      </c>
    </row>
    <row r="2473" spans="1:6" x14ac:dyDescent="0.35">
      <c r="A2473" s="2">
        <f ca="1">IFERROR(__xludf.DUMMYFUNCTION("""COMPUTED_VALUE"""),45593.6666666666)</f>
        <v>45593.666666666599</v>
      </c>
      <c r="B2473" s="1">
        <f ca="1">IFERROR(__xludf.DUMMYFUNCTION("""COMPUTED_VALUE"""),270)</f>
        <v>270</v>
      </c>
      <c r="C2473" s="1">
        <f ca="1">IFERROR(__xludf.DUMMYFUNCTION("""COMPUTED_VALUE"""),273.54)</f>
        <v>273.54000000000002</v>
      </c>
      <c r="D2473" s="1">
        <f ca="1">IFERROR(__xludf.DUMMYFUNCTION("""COMPUTED_VALUE"""),262.24)</f>
        <v>262.24</v>
      </c>
      <c r="E2473" s="1">
        <f ca="1">IFERROR(__xludf.DUMMYFUNCTION("""COMPUTED_VALUE"""),262.51)</f>
        <v>262.51</v>
      </c>
      <c r="F2473" s="1">
        <f ca="1">IFERROR(__xludf.DUMMYFUNCTION("""COMPUTED_VALUE"""),107653603)</f>
        <v>107653603</v>
      </c>
    </row>
    <row r="2474" spans="1:6" x14ac:dyDescent="0.35">
      <c r="A2474" s="2">
        <f ca="1">IFERROR(__xludf.DUMMYFUNCTION("""COMPUTED_VALUE"""),45594.6666666666)</f>
        <v>45594.666666666599</v>
      </c>
      <c r="B2474" s="1">
        <f ca="1">IFERROR(__xludf.DUMMYFUNCTION("""COMPUTED_VALUE"""),264.51)</f>
        <v>264.51</v>
      </c>
      <c r="C2474" s="1">
        <f ca="1">IFERROR(__xludf.DUMMYFUNCTION("""COMPUTED_VALUE"""),264.98)</f>
        <v>264.98</v>
      </c>
      <c r="D2474" s="1">
        <f ca="1">IFERROR(__xludf.DUMMYFUNCTION("""COMPUTED_VALUE"""),255.51)</f>
        <v>255.51</v>
      </c>
      <c r="E2474" s="1">
        <f ca="1">IFERROR(__xludf.DUMMYFUNCTION("""COMPUTED_VALUE"""),259.52)</f>
        <v>259.52</v>
      </c>
      <c r="F2474" s="1">
        <f ca="1">IFERROR(__xludf.DUMMYFUNCTION("""COMPUTED_VALUE"""),80521751)</f>
        <v>80521751</v>
      </c>
    </row>
    <row r="2475" spans="1:6" x14ac:dyDescent="0.35">
      <c r="A2475" s="2">
        <f ca="1">IFERROR(__xludf.DUMMYFUNCTION("""COMPUTED_VALUE"""),45595.6666666666)</f>
        <v>45595.666666666599</v>
      </c>
      <c r="B2475" s="1">
        <f ca="1">IFERROR(__xludf.DUMMYFUNCTION("""COMPUTED_VALUE"""),258.04)</f>
        <v>258.04000000000002</v>
      </c>
      <c r="C2475" s="1">
        <f ca="1">IFERROR(__xludf.DUMMYFUNCTION("""COMPUTED_VALUE"""),263.35)</f>
        <v>263.35000000000002</v>
      </c>
      <c r="D2475" s="1">
        <f ca="1">IFERROR(__xludf.DUMMYFUNCTION("""COMPUTED_VALUE"""),255.82)</f>
        <v>255.82</v>
      </c>
      <c r="E2475" s="1">
        <f ca="1">IFERROR(__xludf.DUMMYFUNCTION("""COMPUTED_VALUE"""),257.55)</f>
        <v>257.55</v>
      </c>
      <c r="F2475" s="1">
        <f ca="1">IFERROR(__xludf.DUMMYFUNCTION("""COMPUTED_VALUE"""),53993576)</f>
        <v>53993576</v>
      </c>
    </row>
    <row r="2476" spans="1:6" x14ac:dyDescent="0.35">
      <c r="A2476" s="2">
        <f ca="1">IFERROR(__xludf.DUMMYFUNCTION("""COMPUTED_VALUE"""),45596.6666666666)</f>
        <v>45596.666666666599</v>
      </c>
      <c r="B2476" s="1">
        <f ca="1">IFERROR(__xludf.DUMMYFUNCTION("""COMPUTED_VALUE"""),257.99)</f>
        <v>257.99</v>
      </c>
      <c r="C2476" s="1">
        <f ca="1">IFERROR(__xludf.DUMMYFUNCTION("""COMPUTED_VALUE"""),259.75)</f>
        <v>259.75</v>
      </c>
      <c r="D2476" s="1">
        <f ca="1">IFERROR(__xludf.DUMMYFUNCTION("""COMPUTED_VALUE"""),249.25)</f>
        <v>249.25</v>
      </c>
      <c r="E2476" s="1">
        <f ca="1">IFERROR(__xludf.DUMMYFUNCTION("""COMPUTED_VALUE"""),249.85)</f>
        <v>249.85</v>
      </c>
      <c r="F2476" s="1">
        <f ca="1">IFERROR(__xludf.DUMMYFUNCTION("""COMPUTED_VALUE"""),66575292)</f>
        <v>66575292</v>
      </c>
    </row>
    <row r="2477" spans="1:6" x14ac:dyDescent="0.35">
      <c r="A2477" s="2">
        <f ca="1">IFERROR(__xludf.DUMMYFUNCTION("""COMPUTED_VALUE"""),45597.6666666666)</f>
        <v>45597.666666666599</v>
      </c>
      <c r="B2477" s="1">
        <f ca="1">IFERROR(__xludf.DUMMYFUNCTION("""COMPUTED_VALUE"""),252.04)</f>
        <v>252.04</v>
      </c>
      <c r="C2477" s="1">
        <f ca="1">IFERROR(__xludf.DUMMYFUNCTION("""COMPUTED_VALUE"""),254)</f>
        <v>254</v>
      </c>
      <c r="D2477" s="1">
        <f ca="1">IFERROR(__xludf.DUMMYFUNCTION("""COMPUTED_VALUE"""),246.63)</f>
        <v>246.63</v>
      </c>
      <c r="E2477" s="1">
        <f ca="1">IFERROR(__xludf.DUMMYFUNCTION("""COMPUTED_VALUE"""),248.98)</f>
        <v>248.98</v>
      </c>
      <c r="F2477" s="1">
        <f ca="1">IFERROR(__xludf.DUMMYFUNCTION("""COMPUTED_VALUE"""),57544757)</f>
        <v>57544757</v>
      </c>
    </row>
    <row r="2478" spans="1:6" x14ac:dyDescent="0.35">
      <c r="A2478" s="2">
        <f ca="1">IFERROR(__xludf.DUMMYFUNCTION("""COMPUTED_VALUE"""),45600.6666666666)</f>
        <v>45600.666666666599</v>
      </c>
      <c r="B2478" s="1">
        <f ca="1">IFERROR(__xludf.DUMMYFUNCTION("""COMPUTED_VALUE"""),244.56)</f>
        <v>244.56</v>
      </c>
      <c r="C2478" s="1">
        <f ca="1">IFERROR(__xludf.DUMMYFUNCTION("""COMPUTED_VALUE"""),248.9)</f>
        <v>248.9</v>
      </c>
      <c r="D2478" s="1">
        <f ca="1">IFERROR(__xludf.DUMMYFUNCTION("""COMPUTED_VALUE"""),238.88)</f>
        <v>238.88</v>
      </c>
      <c r="E2478" s="1">
        <f ca="1">IFERROR(__xludf.DUMMYFUNCTION("""COMPUTED_VALUE"""),242.84)</f>
        <v>242.84</v>
      </c>
      <c r="F2478" s="1">
        <f ca="1">IFERROR(__xludf.DUMMYFUNCTION("""COMPUTED_VALUE"""),68802354)</f>
        <v>68802354</v>
      </c>
    </row>
    <row r="2479" spans="1:6" x14ac:dyDescent="0.35">
      <c r="A2479" s="2">
        <f ca="1">IFERROR(__xludf.DUMMYFUNCTION("""COMPUTED_VALUE"""),45601.6666666666)</f>
        <v>45601.666666666599</v>
      </c>
      <c r="B2479" s="1">
        <f ca="1">IFERROR(__xludf.DUMMYFUNCTION("""COMPUTED_VALUE"""),247.34)</f>
        <v>247.34</v>
      </c>
      <c r="C2479" s="1">
        <f ca="1">IFERROR(__xludf.DUMMYFUNCTION("""COMPUTED_VALUE"""),255.28)</f>
        <v>255.28</v>
      </c>
      <c r="D2479" s="1">
        <f ca="1">IFERROR(__xludf.DUMMYFUNCTION("""COMPUTED_VALUE"""),246.21)</f>
        <v>246.21</v>
      </c>
      <c r="E2479" s="1">
        <f ca="1">IFERROR(__xludf.DUMMYFUNCTION("""COMPUTED_VALUE"""),251.44)</f>
        <v>251.44</v>
      </c>
      <c r="F2479" s="1">
        <f ca="1">IFERROR(__xludf.DUMMYFUNCTION("""COMPUTED_VALUE"""),69282505)</f>
        <v>69282505</v>
      </c>
    </row>
    <row r="2480" spans="1:6" x14ac:dyDescent="0.35">
      <c r="A2480" s="2">
        <f ca="1">IFERROR(__xludf.DUMMYFUNCTION("""COMPUTED_VALUE"""),45602.6666666666)</f>
        <v>45602.666666666599</v>
      </c>
      <c r="B2480" s="1">
        <f ca="1">IFERROR(__xludf.DUMMYFUNCTION("""COMPUTED_VALUE"""),284.67)</f>
        <v>284.67</v>
      </c>
      <c r="C2480" s="1">
        <f ca="1">IFERROR(__xludf.DUMMYFUNCTION("""COMPUTED_VALUE"""),289.59)</f>
        <v>289.58999999999997</v>
      </c>
      <c r="D2480" s="1">
        <f ca="1">IFERROR(__xludf.DUMMYFUNCTION("""COMPUTED_VALUE"""),275.62)</f>
        <v>275.62</v>
      </c>
      <c r="E2480" s="1">
        <f ca="1">IFERROR(__xludf.DUMMYFUNCTION("""COMPUTED_VALUE"""),288.53)</f>
        <v>288.52999999999997</v>
      </c>
      <c r="F2480" s="1">
        <f ca="1">IFERROR(__xludf.DUMMYFUNCTION("""COMPUTED_VALUE"""),165228710)</f>
        <v>165228710</v>
      </c>
    </row>
    <row r="2481" spans="1:6" x14ac:dyDescent="0.35">
      <c r="A2481" s="2">
        <f ca="1">IFERROR(__xludf.DUMMYFUNCTION("""COMPUTED_VALUE"""),45603.6666666666)</f>
        <v>45603.666666666599</v>
      </c>
      <c r="B2481" s="1">
        <f ca="1">IFERROR(__xludf.DUMMYFUNCTION("""COMPUTED_VALUE"""),288.89)</f>
        <v>288.89</v>
      </c>
      <c r="C2481" s="1">
        <f ca="1">IFERROR(__xludf.DUMMYFUNCTION("""COMPUTED_VALUE"""),299.75)</f>
        <v>299.75</v>
      </c>
      <c r="D2481" s="1">
        <f ca="1">IFERROR(__xludf.DUMMYFUNCTION("""COMPUTED_VALUE"""),285.52)</f>
        <v>285.52</v>
      </c>
      <c r="E2481" s="1">
        <f ca="1">IFERROR(__xludf.DUMMYFUNCTION("""COMPUTED_VALUE"""),296.91)</f>
        <v>296.91000000000003</v>
      </c>
      <c r="F2481" s="1">
        <f ca="1">IFERROR(__xludf.DUMMYFUNCTION("""COMPUTED_VALUE"""),117309232)</f>
        <v>117309232</v>
      </c>
    </row>
    <row r="2482" spans="1:6" x14ac:dyDescent="0.35">
      <c r="A2482" s="2">
        <f ca="1">IFERROR(__xludf.DUMMYFUNCTION("""COMPUTED_VALUE"""),45604.6666666666)</f>
        <v>45604.666666666599</v>
      </c>
      <c r="B2482" s="1">
        <f ca="1">IFERROR(__xludf.DUMMYFUNCTION("""COMPUTED_VALUE"""),299.14)</f>
        <v>299.14</v>
      </c>
      <c r="C2482" s="1">
        <f ca="1">IFERROR(__xludf.DUMMYFUNCTION("""COMPUTED_VALUE"""),328.71)</f>
        <v>328.71</v>
      </c>
      <c r="D2482" s="1">
        <f ca="1">IFERROR(__xludf.DUMMYFUNCTION("""COMPUTED_VALUE"""),297.66)</f>
        <v>297.66000000000003</v>
      </c>
      <c r="E2482" s="1">
        <f ca="1">IFERROR(__xludf.DUMMYFUNCTION("""COMPUTED_VALUE"""),321.22)</f>
        <v>321.22000000000003</v>
      </c>
      <c r="F2482" s="1">
        <f ca="1">IFERROR(__xludf.DUMMYFUNCTION("""COMPUTED_VALUE"""),204782763)</f>
        <v>204782763</v>
      </c>
    </row>
    <row r="2483" spans="1:6" x14ac:dyDescent="0.35">
      <c r="A2483" s="2">
        <f ca="1">IFERROR(__xludf.DUMMYFUNCTION("""COMPUTED_VALUE"""),45607.6666666666)</f>
        <v>45607.666666666599</v>
      </c>
      <c r="B2483" s="1">
        <f ca="1">IFERROR(__xludf.DUMMYFUNCTION("""COMPUTED_VALUE"""),346.3)</f>
        <v>346.3</v>
      </c>
      <c r="C2483" s="1">
        <f ca="1">IFERROR(__xludf.DUMMYFUNCTION("""COMPUTED_VALUE"""),358.64)</f>
        <v>358.64</v>
      </c>
      <c r="D2483" s="1">
        <f ca="1">IFERROR(__xludf.DUMMYFUNCTION("""COMPUTED_VALUE"""),336)</f>
        <v>336</v>
      </c>
      <c r="E2483" s="1">
        <f ca="1">IFERROR(__xludf.DUMMYFUNCTION("""COMPUTED_VALUE"""),350)</f>
        <v>350</v>
      </c>
      <c r="F2483" s="1">
        <f ca="1">IFERROR(__xludf.DUMMYFUNCTION("""COMPUTED_VALUE"""),210521625)</f>
        <v>210521625</v>
      </c>
    </row>
    <row r="2484" spans="1:6" x14ac:dyDescent="0.35">
      <c r="A2484" s="2">
        <f ca="1">IFERROR(__xludf.DUMMYFUNCTION("""COMPUTED_VALUE"""),45608.6666666666)</f>
        <v>45608.666666666599</v>
      </c>
      <c r="B2484" s="1">
        <f ca="1">IFERROR(__xludf.DUMMYFUNCTION("""COMPUTED_VALUE"""),342.74)</f>
        <v>342.74</v>
      </c>
      <c r="C2484" s="1">
        <f ca="1">IFERROR(__xludf.DUMMYFUNCTION("""COMPUTED_VALUE"""),345.84)</f>
        <v>345.84</v>
      </c>
      <c r="D2484" s="1">
        <f ca="1">IFERROR(__xludf.DUMMYFUNCTION("""COMPUTED_VALUE"""),323.31)</f>
        <v>323.31</v>
      </c>
      <c r="E2484" s="1">
        <f ca="1">IFERROR(__xludf.DUMMYFUNCTION("""COMPUTED_VALUE"""),328.49)</f>
        <v>328.49</v>
      </c>
      <c r="F2484" s="1">
        <f ca="1">IFERROR(__xludf.DUMMYFUNCTION("""COMPUTED_VALUE"""),155726016)</f>
        <v>155726016</v>
      </c>
    </row>
    <row r="2485" spans="1:6" x14ac:dyDescent="0.35">
      <c r="A2485" s="2">
        <f ca="1">IFERROR(__xludf.DUMMYFUNCTION("""COMPUTED_VALUE"""),45609.6666666666)</f>
        <v>45609.666666666599</v>
      </c>
      <c r="B2485" s="1">
        <f ca="1">IFERROR(__xludf.DUMMYFUNCTION("""COMPUTED_VALUE"""),335.85)</f>
        <v>335.85</v>
      </c>
      <c r="C2485" s="1">
        <f ca="1">IFERROR(__xludf.DUMMYFUNCTION("""COMPUTED_VALUE"""),344.6)</f>
        <v>344.6</v>
      </c>
      <c r="D2485" s="1">
        <f ca="1">IFERROR(__xludf.DUMMYFUNCTION("""COMPUTED_VALUE"""),322.5)</f>
        <v>322.5</v>
      </c>
      <c r="E2485" s="1">
        <f ca="1">IFERROR(__xludf.DUMMYFUNCTION("""COMPUTED_VALUE"""),330.24)</f>
        <v>330.24</v>
      </c>
      <c r="F2485" s="1">
        <f ca="1">IFERROR(__xludf.DUMMYFUNCTION("""COMPUTED_VALUE"""),125405599)</f>
        <v>125405599</v>
      </c>
    </row>
    <row r="2486" spans="1:6" x14ac:dyDescent="0.35">
      <c r="A2486" s="2">
        <f ca="1">IFERROR(__xludf.DUMMYFUNCTION("""COMPUTED_VALUE"""),45610.6666666666)</f>
        <v>45610.666666666599</v>
      </c>
      <c r="B2486" s="1">
        <f ca="1">IFERROR(__xludf.DUMMYFUNCTION("""COMPUTED_VALUE"""),327.69)</f>
        <v>327.69</v>
      </c>
      <c r="C2486" s="1">
        <f ca="1">IFERROR(__xludf.DUMMYFUNCTION("""COMPUTED_VALUE"""),329.98)</f>
        <v>329.98</v>
      </c>
      <c r="D2486" s="1">
        <f ca="1">IFERROR(__xludf.DUMMYFUNCTION("""COMPUTED_VALUE"""),310.37)</f>
        <v>310.37</v>
      </c>
      <c r="E2486" s="1">
        <f ca="1">IFERROR(__xludf.DUMMYFUNCTION("""COMPUTED_VALUE"""),311.18)</f>
        <v>311.18</v>
      </c>
      <c r="F2486" s="1">
        <f ca="1">IFERROR(__xludf.DUMMYFUNCTION("""COMPUTED_VALUE"""),120726109)</f>
        <v>120726109</v>
      </c>
    </row>
    <row r="2487" spans="1:6" x14ac:dyDescent="0.35">
      <c r="A2487" s="2">
        <f ca="1">IFERROR(__xludf.DUMMYFUNCTION("""COMPUTED_VALUE"""),45611.6666666666)</f>
        <v>45611.666666666599</v>
      </c>
      <c r="B2487" s="1">
        <f ca="1">IFERROR(__xludf.DUMMYFUNCTION("""COMPUTED_VALUE"""),310.57)</f>
        <v>310.57</v>
      </c>
      <c r="C2487" s="1">
        <f ca="1">IFERROR(__xludf.DUMMYFUNCTION("""COMPUTED_VALUE"""),324.68)</f>
        <v>324.68</v>
      </c>
      <c r="D2487" s="1">
        <f ca="1">IFERROR(__xludf.DUMMYFUNCTION("""COMPUTED_VALUE"""),309.22)</f>
        <v>309.22000000000003</v>
      </c>
      <c r="E2487" s="1">
        <f ca="1">IFERROR(__xludf.DUMMYFUNCTION("""COMPUTED_VALUE"""),320.72)</f>
        <v>320.72000000000003</v>
      </c>
      <c r="F2487" s="1">
        <f ca="1">IFERROR(__xludf.DUMMYFUNCTION("""COMPUTED_VALUE"""),114440286)</f>
        <v>114440286</v>
      </c>
    </row>
    <row r="2488" spans="1:6" x14ac:dyDescent="0.35">
      <c r="A2488" s="2">
        <f ca="1">IFERROR(__xludf.DUMMYFUNCTION("""COMPUTED_VALUE"""),45614.6666666666)</f>
        <v>45614.666666666599</v>
      </c>
      <c r="B2488" s="1">
        <f ca="1">IFERROR(__xludf.DUMMYFUNCTION("""COMPUTED_VALUE"""),340.73)</f>
        <v>340.73</v>
      </c>
      <c r="C2488" s="1">
        <f ca="1">IFERROR(__xludf.DUMMYFUNCTION("""COMPUTED_VALUE"""),348.55)</f>
        <v>348.55</v>
      </c>
      <c r="D2488" s="1">
        <f ca="1">IFERROR(__xludf.DUMMYFUNCTION("""COMPUTED_VALUE"""),330.01)</f>
        <v>330.01</v>
      </c>
      <c r="E2488" s="1">
        <f ca="1">IFERROR(__xludf.DUMMYFUNCTION("""COMPUTED_VALUE"""),338.74)</f>
        <v>338.74</v>
      </c>
      <c r="F2488" s="1">
        <f ca="1">IFERROR(__xludf.DUMMYFUNCTION("""COMPUTED_VALUE"""),126547455)</f>
        <v>126547455</v>
      </c>
    </row>
    <row r="2489" spans="1:6" x14ac:dyDescent="0.35">
      <c r="A2489" s="2">
        <f ca="1">IFERROR(__xludf.DUMMYFUNCTION("""COMPUTED_VALUE"""),45615.6666666666)</f>
        <v>45615.666666666599</v>
      </c>
      <c r="B2489" s="1">
        <f ca="1">IFERROR(__xludf.DUMMYFUNCTION("""COMPUTED_VALUE"""),335.76)</f>
        <v>335.76</v>
      </c>
      <c r="C2489" s="1">
        <f ca="1">IFERROR(__xludf.DUMMYFUNCTION("""COMPUTED_VALUE"""),347.38)</f>
        <v>347.38</v>
      </c>
      <c r="D2489" s="1">
        <f ca="1">IFERROR(__xludf.DUMMYFUNCTION("""COMPUTED_VALUE"""),332.75)</f>
        <v>332.75</v>
      </c>
      <c r="E2489" s="1">
        <f ca="1">IFERROR(__xludf.DUMMYFUNCTION("""COMPUTED_VALUE"""),346)</f>
        <v>346</v>
      </c>
      <c r="F2489" s="1">
        <f ca="1">IFERROR(__xludf.DUMMYFUNCTION("""COMPUTED_VALUE"""),88852452)</f>
        <v>88852452</v>
      </c>
    </row>
    <row r="2490" spans="1:6" x14ac:dyDescent="0.35">
      <c r="A2490" s="2">
        <f ca="1">IFERROR(__xludf.DUMMYFUNCTION("""COMPUTED_VALUE"""),45616.6666666666)</f>
        <v>45616.666666666599</v>
      </c>
      <c r="B2490" s="1">
        <f ca="1">IFERROR(__xludf.DUMMYFUNCTION("""COMPUTED_VALUE"""),345)</f>
        <v>345</v>
      </c>
      <c r="C2490" s="1">
        <f ca="1">IFERROR(__xludf.DUMMYFUNCTION("""COMPUTED_VALUE"""),346.6)</f>
        <v>346.6</v>
      </c>
      <c r="D2490" s="1">
        <f ca="1">IFERROR(__xludf.DUMMYFUNCTION("""COMPUTED_VALUE"""),334.3)</f>
        <v>334.3</v>
      </c>
      <c r="E2490" s="1">
        <f ca="1">IFERROR(__xludf.DUMMYFUNCTION("""COMPUTED_VALUE"""),342.03)</f>
        <v>342.03</v>
      </c>
      <c r="F2490" s="1">
        <f ca="1">IFERROR(__xludf.DUMMYFUNCTION("""COMPUTED_VALUE"""),66340650)</f>
        <v>66340650</v>
      </c>
    </row>
    <row r="2491" spans="1:6" x14ac:dyDescent="0.35">
      <c r="A2491" s="2">
        <f ca="1">IFERROR(__xludf.DUMMYFUNCTION("""COMPUTED_VALUE"""),45617.6666666666)</f>
        <v>45617.666666666599</v>
      </c>
      <c r="B2491" s="1">
        <f ca="1">IFERROR(__xludf.DUMMYFUNCTION("""COMPUTED_VALUE"""),343.81)</f>
        <v>343.81</v>
      </c>
      <c r="C2491" s="1">
        <f ca="1">IFERROR(__xludf.DUMMYFUNCTION("""COMPUTED_VALUE"""),347.99)</f>
        <v>347.99</v>
      </c>
      <c r="D2491" s="1">
        <f ca="1">IFERROR(__xludf.DUMMYFUNCTION("""COMPUTED_VALUE"""),335.28)</f>
        <v>335.28</v>
      </c>
      <c r="E2491" s="1">
        <f ca="1">IFERROR(__xludf.DUMMYFUNCTION("""COMPUTED_VALUE"""),339.64)</f>
        <v>339.64</v>
      </c>
      <c r="F2491" s="1">
        <f ca="1">IFERROR(__xludf.DUMMYFUNCTION("""COMPUTED_VALUE"""),58011719)</f>
        <v>58011719</v>
      </c>
    </row>
    <row r="2492" spans="1:6" x14ac:dyDescent="0.35">
      <c r="A2492" s="2">
        <f ca="1">IFERROR(__xludf.DUMMYFUNCTION("""COMPUTED_VALUE"""),45618.6666666666)</f>
        <v>45618.666666666599</v>
      </c>
      <c r="B2492" s="1">
        <f ca="1">IFERROR(__xludf.DUMMYFUNCTION("""COMPUTED_VALUE"""),341.09)</f>
        <v>341.09</v>
      </c>
      <c r="C2492" s="1">
        <f ca="1">IFERROR(__xludf.DUMMYFUNCTION("""COMPUTED_VALUE"""),361.53)</f>
        <v>361.53</v>
      </c>
      <c r="D2492" s="1">
        <f ca="1">IFERROR(__xludf.DUMMYFUNCTION("""COMPUTED_VALUE"""),337.7)</f>
        <v>337.7</v>
      </c>
      <c r="E2492" s="1">
        <f ca="1">IFERROR(__xludf.DUMMYFUNCTION("""COMPUTED_VALUE"""),352.56)</f>
        <v>352.56</v>
      </c>
      <c r="F2492" s="1">
        <f ca="1">IFERROR(__xludf.DUMMYFUNCTION("""COMPUTED_VALUE"""),89140722)</f>
        <v>89140722</v>
      </c>
    </row>
    <row r="2493" spans="1:6" x14ac:dyDescent="0.35">
      <c r="A2493" s="2">
        <f ca="1">IFERROR(__xludf.DUMMYFUNCTION("""COMPUTED_VALUE"""),45621.6666666666)</f>
        <v>45621.666666666599</v>
      </c>
      <c r="B2493" s="1">
        <f ca="1">IFERROR(__xludf.DUMMYFUNCTION("""COMPUTED_VALUE"""),360.14)</f>
        <v>360.14</v>
      </c>
      <c r="C2493" s="1">
        <f ca="1">IFERROR(__xludf.DUMMYFUNCTION("""COMPUTED_VALUE"""),361.93)</f>
        <v>361.93</v>
      </c>
      <c r="D2493" s="1">
        <f ca="1">IFERROR(__xludf.DUMMYFUNCTION("""COMPUTED_VALUE"""),338.2)</f>
        <v>338.2</v>
      </c>
      <c r="E2493" s="1">
        <f ca="1">IFERROR(__xludf.DUMMYFUNCTION("""COMPUTED_VALUE"""),338.59)</f>
        <v>338.59</v>
      </c>
      <c r="F2493" s="1">
        <f ca="1">IFERROR(__xludf.DUMMYFUNCTION("""COMPUTED_VALUE"""),95890899)</f>
        <v>95890899</v>
      </c>
    </row>
    <row r="2494" spans="1:6" x14ac:dyDescent="0.35">
      <c r="A2494" s="2">
        <f ca="1">IFERROR(__xludf.DUMMYFUNCTION("""COMPUTED_VALUE"""),45622.6666666666)</f>
        <v>45622.666666666599</v>
      </c>
      <c r="B2494" s="1">
        <f ca="1">IFERROR(__xludf.DUMMYFUNCTION("""COMPUTED_VALUE"""),341)</f>
        <v>341</v>
      </c>
      <c r="C2494" s="1">
        <f ca="1">IFERROR(__xludf.DUMMYFUNCTION("""COMPUTED_VALUE"""),346.96)</f>
        <v>346.96</v>
      </c>
      <c r="D2494" s="1">
        <f ca="1">IFERROR(__xludf.DUMMYFUNCTION("""COMPUTED_VALUE"""),335.66)</f>
        <v>335.66</v>
      </c>
      <c r="E2494" s="1">
        <f ca="1">IFERROR(__xludf.DUMMYFUNCTION("""COMPUTED_VALUE"""),338.23)</f>
        <v>338.23</v>
      </c>
      <c r="F2494" s="1">
        <f ca="1">IFERROR(__xludf.DUMMYFUNCTION("""COMPUTED_VALUE"""),62295857)</f>
        <v>62295857</v>
      </c>
    </row>
    <row r="2495" spans="1:6" x14ac:dyDescent="0.35">
      <c r="A2495" s="2">
        <f ca="1">IFERROR(__xludf.DUMMYFUNCTION("""COMPUTED_VALUE"""),45623.6666666666)</f>
        <v>45623.666666666599</v>
      </c>
      <c r="B2495" s="1">
        <f ca="1">IFERROR(__xludf.DUMMYFUNCTION("""COMPUTED_VALUE"""),341.8)</f>
        <v>341.8</v>
      </c>
      <c r="C2495" s="1">
        <f ca="1">IFERROR(__xludf.DUMMYFUNCTION("""COMPUTED_VALUE"""),342.55)</f>
        <v>342.55</v>
      </c>
      <c r="D2495" s="1">
        <f ca="1">IFERROR(__xludf.DUMMYFUNCTION("""COMPUTED_VALUE"""),326.59)</f>
        <v>326.58999999999997</v>
      </c>
      <c r="E2495" s="1">
        <f ca="1">IFERROR(__xludf.DUMMYFUNCTION("""COMPUTED_VALUE"""),332.89)</f>
        <v>332.89</v>
      </c>
      <c r="F2495" s="1">
        <f ca="1">IFERROR(__xludf.DUMMYFUNCTION("""COMPUTED_VALUE"""),57896439)</f>
        <v>57896439</v>
      </c>
    </row>
    <row r="2496" spans="1:6" x14ac:dyDescent="0.35">
      <c r="A2496" s="2">
        <f ca="1">IFERROR(__xludf.DUMMYFUNCTION("""COMPUTED_VALUE"""),45625.5451388888)</f>
        <v>45625.545138888803</v>
      </c>
      <c r="B2496" s="1">
        <f ca="1">IFERROR(__xludf.DUMMYFUNCTION("""COMPUTED_VALUE"""),336.08)</f>
        <v>336.08</v>
      </c>
      <c r="C2496" s="1">
        <f ca="1">IFERROR(__xludf.DUMMYFUNCTION("""COMPUTED_VALUE"""),345.45)</f>
        <v>345.45</v>
      </c>
      <c r="D2496" s="1">
        <f ca="1">IFERROR(__xludf.DUMMYFUNCTION("""COMPUTED_VALUE"""),334.65)</f>
        <v>334.65</v>
      </c>
      <c r="E2496" s="1">
        <f ca="1">IFERROR(__xludf.DUMMYFUNCTION("""COMPUTED_VALUE"""),345.16)</f>
        <v>345.16</v>
      </c>
      <c r="F2496" s="1">
        <f ca="1">IFERROR(__xludf.DUMMYFUNCTION("""COMPUTED_VALUE"""),37167621)</f>
        <v>37167621</v>
      </c>
    </row>
    <row r="2497" spans="1:6" x14ac:dyDescent="0.35">
      <c r="A2497" s="2">
        <f ca="1">IFERROR(__xludf.DUMMYFUNCTION("""COMPUTED_VALUE"""),45628.6666666666)</f>
        <v>45628.666666666599</v>
      </c>
      <c r="B2497" s="1">
        <f ca="1">IFERROR(__xludf.DUMMYFUNCTION("""COMPUTED_VALUE"""),352.38)</f>
        <v>352.38</v>
      </c>
      <c r="C2497" s="1">
        <f ca="1">IFERROR(__xludf.DUMMYFUNCTION("""COMPUTED_VALUE"""),360)</f>
        <v>360</v>
      </c>
      <c r="D2497" s="1">
        <f ca="1">IFERROR(__xludf.DUMMYFUNCTION("""COMPUTED_VALUE"""),351.15)</f>
        <v>351.15</v>
      </c>
      <c r="E2497" s="1">
        <f ca="1">IFERROR(__xludf.DUMMYFUNCTION("""COMPUTED_VALUE"""),357.09)</f>
        <v>357.09</v>
      </c>
      <c r="F2497" s="1">
        <f ca="1">IFERROR(__xludf.DUMMYFUNCTION("""COMPUTED_VALUE"""),77986478)</f>
        <v>77986478</v>
      </c>
    </row>
    <row r="2498" spans="1:6" x14ac:dyDescent="0.35">
      <c r="A2498" s="2">
        <f ca="1">IFERROR(__xludf.DUMMYFUNCTION("""COMPUTED_VALUE"""),45629.6666666666)</f>
        <v>45629.666666666599</v>
      </c>
      <c r="B2498" s="1">
        <f ca="1">IFERROR(__xludf.DUMMYFUNCTION("""COMPUTED_VALUE"""),351.8)</f>
        <v>351.8</v>
      </c>
      <c r="C2498" s="1">
        <f ca="1">IFERROR(__xludf.DUMMYFUNCTION("""COMPUTED_VALUE"""),355.69)</f>
        <v>355.69</v>
      </c>
      <c r="D2498" s="1">
        <f ca="1">IFERROR(__xludf.DUMMYFUNCTION("""COMPUTED_VALUE"""),348.2)</f>
        <v>348.2</v>
      </c>
      <c r="E2498" s="1">
        <f ca="1">IFERROR(__xludf.DUMMYFUNCTION("""COMPUTED_VALUE"""),351.42)</f>
        <v>351.42</v>
      </c>
      <c r="F2498" s="1">
        <f ca="1">IFERROR(__xludf.DUMMYFUNCTION("""COMPUTED_VALUE"""),58267196)</f>
        <v>58267196</v>
      </c>
    </row>
    <row r="2499" spans="1:6" x14ac:dyDescent="0.35">
      <c r="A2499" s="2">
        <f ca="1">IFERROR(__xludf.DUMMYFUNCTION("""COMPUTED_VALUE"""),45630.6666666666)</f>
        <v>45630.666666666599</v>
      </c>
      <c r="B2499" s="1">
        <f ca="1">IFERROR(__xludf.DUMMYFUNCTION("""COMPUTED_VALUE"""),353)</f>
        <v>353</v>
      </c>
      <c r="C2499" s="1">
        <f ca="1">IFERROR(__xludf.DUMMYFUNCTION("""COMPUTED_VALUE"""),358.1)</f>
        <v>358.1</v>
      </c>
      <c r="D2499" s="1">
        <f ca="1">IFERROR(__xludf.DUMMYFUNCTION("""COMPUTED_VALUE"""),348.6)</f>
        <v>348.6</v>
      </c>
      <c r="E2499" s="1">
        <f ca="1">IFERROR(__xludf.DUMMYFUNCTION("""COMPUTED_VALUE"""),357.93)</f>
        <v>357.93</v>
      </c>
      <c r="F2499" s="1">
        <f ca="1">IFERROR(__xludf.DUMMYFUNCTION("""COMPUTED_VALUE"""),50810874)</f>
        <v>50810874</v>
      </c>
    </row>
    <row r="2500" spans="1:6" x14ac:dyDescent="0.35">
      <c r="A2500" s="2">
        <f ca="1">IFERROR(__xludf.DUMMYFUNCTION("""COMPUTED_VALUE"""),45631.6666666666)</f>
        <v>45631.666666666599</v>
      </c>
      <c r="B2500" s="1">
        <f ca="1">IFERROR(__xludf.DUMMYFUNCTION("""COMPUTED_VALUE"""),359.87)</f>
        <v>359.87</v>
      </c>
      <c r="C2500" s="1">
        <f ca="1">IFERROR(__xludf.DUMMYFUNCTION("""COMPUTED_VALUE"""),375.43)</f>
        <v>375.43</v>
      </c>
      <c r="D2500" s="1">
        <f ca="1">IFERROR(__xludf.DUMMYFUNCTION("""COMPUTED_VALUE"""),359.5)</f>
        <v>359.5</v>
      </c>
      <c r="E2500" s="1">
        <f ca="1">IFERROR(__xludf.DUMMYFUNCTION("""COMPUTED_VALUE"""),369.49)</f>
        <v>369.49</v>
      </c>
      <c r="F2500" s="1">
        <f ca="1">IFERROR(__xludf.DUMMYFUNCTION("""COMPUTED_VALUE"""),81403569)</f>
        <v>81403569</v>
      </c>
    </row>
    <row r="2501" spans="1:6" x14ac:dyDescent="0.35">
      <c r="A2501" s="2">
        <f ca="1">IFERROR(__xludf.DUMMYFUNCTION("""COMPUTED_VALUE"""),45632.6666666666)</f>
        <v>45632.666666666599</v>
      </c>
      <c r="B2501" s="1">
        <f ca="1">IFERROR(__xludf.DUMMYFUNCTION("""COMPUTED_VALUE"""),377.42)</f>
        <v>377.42</v>
      </c>
      <c r="C2501" s="1">
        <f ca="1">IFERROR(__xludf.DUMMYFUNCTION("""COMPUTED_VALUE"""),389.49)</f>
        <v>389.49</v>
      </c>
      <c r="D2501" s="1">
        <f ca="1">IFERROR(__xludf.DUMMYFUNCTION("""COMPUTED_VALUE"""),370.8)</f>
        <v>370.8</v>
      </c>
      <c r="E2501" s="1">
        <f ca="1">IFERROR(__xludf.DUMMYFUNCTION("""COMPUTED_VALUE"""),389.22)</f>
        <v>389.22</v>
      </c>
      <c r="F2501" s="1">
        <f ca="1">IFERROR(__xludf.DUMMYFUNCTION("""COMPUTED_VALUE"""),81455834)</f>
        <v>81455834</v>
      </c>
    </row>
    <row r="2502" spans="1:6" x14ac:dyDescent="0.35">
      <c r="A2502" s="2">
        <f ca="1">IFERROR(__xludf.DUMMYFUNCTION("""COMPUTED_VALUE"""),45635.6666666666)</f>
        <v>45635.666666666599</v>
      </c>
      <c r="B2502" s="1">
        <f ca="1">IFERROR(__xludf.DUMMYFUNCTION("""COMPUTED_VALUE"""),397.61)</f>
        <v>397.61</v>
      </c>
      <c r="C2502" s="1">
        <f ca="1">IFERROR(__xludf.DUMMYFUNCTION("""COMPUTED_VALUE"""),404.8)</f>
        <v>404.8</v>
      </c>
      <c r="D2502" s="1">
        <f ca="1">IFERROR(__xludf.DUMMYFUNCTION("""COMPUTED_VALUE"""),378.01)</f>
        <v>378.01</v>
      </c>
      <c r="E2502" s="1">
        <f ca="1">IFERROR(__xludf.DUMMYFUNCTION("""COMPUTED_VALUE"""),389.79)</f>
        <v>389.79</v>
      </c>
      <c r="F2502" s="1">
        <f ca="1">IFERROR(__xludf.DUMMYFUNCTION("""COMPUTED_VALUE"""),96359173)</f>
        <v>96359173</v>
      </c>
    </row>
    <row r="2503" spans="1:6" x14ac:dyDescent="0.35">
      <c r="A2503" s="2">
        <f ca="1">IFERROR(__xludf.DUMMYFUNCTION("""COMPUTED_VALUE"""),45636.6666666666)</f>
        <v>45636.666666666599</v>
      </c>
      <c r="B2503" s="1">
        <f ca="1">IFERROR(__xludf.DUMMYFUNCTION("""COMPUTED_VALUE"""),392.68)</f>
        <v>392.68</v>
      </c>
      <c r="C2503" s="1">
        <f ca="1">IFERROR(__xludf.DUMMYFUNCTION("""COMPUTED_VALUE"""),409.73)</f>
        <v>409.73</v>
      </c>
      <c r="D2503" s="1">
        <f ca="1">IFERROR(__xludf.DUMMYFUNCTION("""COMPUTED_VALUE"""),390.85)</f>
        <v>390.85</v>
      </c>
      <c r="E2503" s="1">
        <f ca="1">IFERROR(__xludf.DUMMYFUNCTION("""COMPUTED_VALUE"""),400.99)</f>
        <v>400.99</v>
      </c>
      <c r="F2503" s="1">
        <f ca="1">IFERROR(__xludf.DUMMYFUNCTION("""COMPUTED_VALUE"""),97563578)</f>
        <v>97563578</v>
      </c>
    </row>
    <row r="2504" spans="1:6" x14ac:dyDescent="0.35">
      <c r="A2504" s="2">
        <f ca="1">IFERROR(__xludf.DUMMYFUNCTION("""COMPUTED_VALUE"""),45637.6666666666)</f>
        <v>45637.666666666599</v>
      </c>
      <c r="B2504" s="1">
        <f ca="1">IFERROR(__xludf.DUMMYFUNCTION("""COMPUTED_VALUE"""),409.7)</f>
        <v>409.7</v>
      </c>
      <c r="C2504" s="1">
        <f ca="1">IFERROR(__xludf.DUMMYFUNCTION("""COMPUTED_VALUE"""),424.88)</f>
        <v>424.88</v>
      </c>
      <c r="D2504" s="1">
        <f ca="1">IFERROR(__xludf.DUMMYFUNCTION("""COMPUTED_VALUE"""),402.38)</f>
        <v>402.38</v>
      </c>
      <c r="E2504" s="1">
        <f ca="1">IFERROR(__xludf.DUMMYFUNCTION("""COMPUTED_VALUE"""),424.77)</f>
        <v>424.77</v>
      </c>
      <c r="F2504" s="1">
        <f ca="1">IFERROR(__xludf.DUMMYFUNCTION("""COMPUTED_VALUE"""),104287559)</f>
        <v>104287559</v>
      </c>
    </row>
    <row r="2505" spans="1:6" x14ac:dyDescent="0.35">
      <c r="A2505" s="2">
        <f ca="1">IFERROR(__xludf.DUMMYFUNCTION("""COMPUTED_VALUE"""),45638.6666666666)</f>
        <v>45638.666666666599</v>
      </c>
      <c r="B2505" s="1">
        <f ca="1">IFERROR(__xludf.DUMMYFUNCTION("""COMPUTED_VALUE"""),424.84)</f>
        <v>424.84</v>
      </c>
      <c r="C2505" s="1">
        <f ca="1">IFERROR(__xludf.DUMMYFUNCTION("""COMPUTED_VALUE"""),429.3)</f>
        <v>429.3</v>
      </c>
      <c r="D2505" s="1">
        <f ca="1">IFERROR(__xludf.DUMMYFUNCTION("""COMPUTED_VALUE"""),415)</f>
        <v>415</v>
      </c>
      <c r="E2505" s="1">
        <f ca="1">IFERROR(__xludf.DUMMYFUNCTION("""COMPUTED_VALUE"""),418.1)</f>
        <v>418.1</v>
      </c>
      <c r="F2505" s="1">
        <f ca="1">IFERROR(__xludf.DUMMYFUNCTION("""COMPUTED_VALUE"""),87752225)</f>
        <v>87752225</v>
      </c>
    </row>
    <row r="2506" spans="1:6" x14ac:dyDescent="0.35">
      <c r="A2506" s="2">
        <f ca="1">IFERROR(__xludf.DUMMYFUNCTION("""COMPUTED_VALUE"""),45639.6666666666)</f>
        <v>45639.666666666599</v>
      </c>
      <c r="B2506" s="1">
        <f ca="1">IFERROR(__xludf.DUMMYFUNCTION("""COMPUTED_VALUE"""),420)</f>
        <v>420</v>
      </c>
      <c r="C2506" s="1">
        <f ca="1">IFERROR(__xludf.DUMMYFUNCTION("""COMPUTED_VALUE"""),436.3)</f>
        <v>436.3</v>
      </c>
      <c r="D2506" s="1">
        <f ca="1">IFERROR(__xludf.DUMMYFUNCTION("""COMPUTED_VALUE"""),415.71)</f>
        <v>415.71</v>
      </c>
      <c r="E2506" s="1">
        <f ca="1">IFERROR(__xludf.DUMMYFUNCTION("""COMPUTED_VALUE"""),436.23)</f>
        <v>436.23</v>
      </c>
      <c r="F2506" s="1">
        <f ca="1">IFERROR(__xludf.DUMMYFUNCTION("""COMPUTED_VALUE"""),89000158)</f>
        <v>89000158</v>
      </c>
    </row>
    <row r="2507" spans="1:6" x14ac:dyDescent="0.35">
      <c r="A2507" s="2">
        <f ca="1">IFERROR(__xludf.DUMMYFUNCTION("""COMPUTED_VALUE"""),45642.6666666666)</f>
        <v>45642.666666666599</v>
      </c>
      <c r="B2507" s="1">
        <f ca="1">IFERROR(__xludf.DUMMYFUNCTION("""COMPUTED_VALUE"""),441.09)</f>
        <v>441.09</v>
      </c>
      <c r="C2507" s="1">
        <f ca="1">IFERROR(__xludf.DUMMYFUNCTION("""COMPUTED_VALUE"""),463.19)</f>
        <v>463.19</v>
      </c>
      <c r="D2507" s="1">
        <f ca="1">IFERROR(__xludf.DUMMYFUNCTION("""COMPUTED_VALUE"""),436.15)</f>
        <v>436.15</v>
      </c>
      <c r="E2507" s="1">
        <f ca="1">IFERROR(__xludf.DUMMYFUNCTION("""COMPUTED_VALUE"""),463.02)</f>
        <v>463.02</v>
      </c>
      <c r="F2507" s="1">
        <f ca="1">IFERROR(__xludf.DUMMYFUNCTION("""COMPUTED_VALUE"""),114083811)</f>
        <v>114083811</v>
      </c>
    </row>
    <row r="2508" spans="1:6" x14ac:dyDescent="0.35">
      <c r="A2508" s="2">
        <f ca="1">IFERROR(__xludf.DUMMYFUNCTION("""COMPUTED_VALUE"""),45643.6666666666)</f>
        <v>45643.666666666599</v>
      </c>
      <c r="B2508" s="1">
        <f ca="1">IFERROR(__xludf.DUMMYFUNCTION("""COMPUTED_VALUE"""),475.9)</f>
        <v>475.9</v>
      </c>
      <c r="C2508" s="1">
        <f ca="1">IFERROR(__xludf.DUMMYFUNCTION("""COMPUTED_VALUE"""),483.99)</f>
        <v>483.99</v>
      </c>
      <c r="D2508" s="1">
        <f ca="1">IFERROR(__xludf.DUMMYFUNCTION("""COMPUTED_VALUE"""),457.51)</f>
        <v>457.51</v>
      </c>
      <c r="E2508" s="1">
        <f ca="1">IFERROR(__xludf.DUMMYFUNCTION("""COMPUTED_VALUE"""),479.86)</f>
        <v>479.86</v>
      </c>
      <c r="F2508" s="1">
        <f ca="1">IFERROR(__xludf.DUMMYFUNCTION("""COMPUTED_VALUE"""),131222978)</f>
        <v>131222978</v>
      </c>
    </row>
    <row r="2509" spans="1:6" x14ac:dyDescent="0.35">
      <c r="A2509" s="2">
        <f ca="1">IFERROR(__xludf.DUMMYFUNCTION("""COMPUTED_VALUE"""),45644.6666666666)</f>
        <v>45644.666666666599</v>
      </c>
      <c r="B2509" s="1">
        <f ca="1">IFERROR(__xludf.DUMMYFUNCTION("""COMPUTED_VALUE"""),466.5)</f>
        <v>466.5</v>
      </c>
      <c r="C2509" s="1">
        <f ca="1">IFERROR(__xludf.DUMMYFUNCTION("""COMPUTED_VALUE"""),488.54)</f>
        <v>488.54</v>
      </c>
      <c r="D2509" s="1">
        <f ca="1">IFERROR(__xludf.DUMMYFUNCTION("""COMPUTED_VALUE"""),427.01)</f>
        <v>427.01</v>
      </c>
      <c r="E2509" s="1">
        <f ca="1">IFERROR(__xludf.DUMMYFUNCTION("""COMPUTED_VALUE"""),440.13)</f>
        <v>440.13</v>
      </c>
      <c r="F2509" s="1">
        <f ca="1">IFERROR(__xludf.DUMMYFUNCTION("""COMPUTED_VALUE"""),149340788)</f>
        <v>149340788</v>
      </c>
    </row>
    <row r="2510" spans="1:6" x14ac:dyDescent="0.35">
      <c r="A2510" s="2">
        <f ca="1">IFERROR(__xludf.DUMMYFUNCTION("""COMPUTED_VALUE"""),45645.6666666666)</f>
        <v>45645.666666666599</v>
      </c>
      <c r="B2510" s="1">
        <f ca="1">IFERROR(__xludf.DUMMYFUNCTION("""COMPUTED_VALUE"""),451.88)</f>
        <v>451.88</v>
      </c>
      <c r="C2510" s="1">
        <f ca="1">IFERROR(__xludf.DUMMYFUNCTION("""COMPUTED_VALUE"""),456.36)</f>
        <v>456.36</v>
      </c>
      <c r="D2510" s="1">
        <f ca="1">IFERROR(__xludf.DUMMYFUNCTION("""COMPUTED_VALUE"""),420.02)</f>
        <v>420.02</v>
      </c>
      <c r="E2510" s="1">
        <f ca="1">IFERROR(__xludf.DUMMYFUNCTION("""COMPUTED_VALUE"""),436.17)</f>
        <v>436.17</v>
      </c>
      <c r="F2510" s="1">
        <f ca="1">IFERROR(__xludf.DUMMYFUNCTION("""COMPUTED_VALUE"""),118566146)</f>
        <v>118566146</v>
      </c>
    </row>
    <row r="2511" spans="1:6" x14ac:dyDescent="0.35">
      <c r="A2511" s="2">
        <f ca="1">IFERROR(__xludf.DUMMYFUNCTION("""COMPUTED_VALUE"""),45646.6666666666)</f>
        <v>45646.666666666599</v>
      </c>
      <c r="B2511" s="1">
        <f ca="1">IFERROR(__xludf.DUMMYFUNCTION("""COMPUTED_VALUE"""),425.51)</f>
        <v>425.51</v>
      </c>
      <c r="C2511" s="1">
        <f ca="1">IFERROR(__xludf.DUMMYFUNCTION("""COMPUTED_VALUE"""),447.08)</f>
        <v>447.08</v>
      </c>
      <c r="D2511" s="1">
        <f ca="1">IFERROR(__xludf.DUMMYFUNCTION("""COMPUTED_VALUE"""),417.64)</f>
        <v>417.64</v>
      </c>
      <c r="E2511" s="1">
        <f ca="1">IFERROR(__xludf.DUMMYFUNCTION("""COMPUTED_VALUE"""),421.06)</f>
        <v>421.06</v>
      </c>
      <c r="F2511" s="1">
        <f ca="1">IFERROR(__xludf.DUMMYFUNCTION("""COMPUTED_VALUE"""),132216176)</f>
        <v>132216176</v>
      </c>
    </row>
    <row r="2512" spans="1:6" x14ac:dyDescent="0.35">
      <c r="A2512" s="2">
        <f ca="1">IFERROR(__xludf.DUMMYFUNCTION("""COMPUTED_VALUE"""),45649.6666666666)</f>
        <v>45649.666666666599</v>
      </c>
      <c r="B2512" s="1">
        <f ca="1">IFERROR(__xludf.DUMMYFUNCTION("""COMPUTED_VALUE"""),431)</f>
        <v>431</v>
      </c>
      <c r="C2512" s="1">
        <f ca="1">IFERROR(__xludf.DUMMYFUNCTION("""COMPUTED_VALUE"""),434.51)</f>
        <v>434.51</v>
      </c>
      <c r="D2512" s="1">
        <f ca="1">IFERROR(__xludf.DUMMYFUNCTION("""COMPUTED_VALUE"""),415.41)</f>
        <v>415.41</v>
      </c>
      <c r="E2512" s="1">
        <f ca="1">IFERROR(__xludf.DUMMYFUNCTION("""COMPUTED_VALUE"""),430.6)</f>
        <v>430.6</v>
      </c>
      <c r="F2512" s="1">
        <f ca="1">IFERROR(__xludf.DUMMYFUNCTION("""COMPUTED_VALUE"""),72698055)</f>
        <v>72698055</v>
      </c>
    </row>
    <row r="2513" spans="1:6" x14ac:dyDescent="0.35">
      <c r="A2513" s="2">
        <f ca="1">IFERROR(__xludf.DUMMYFUNCTION("""COMPUTED_VALUE"""),45650.5451388888)</f>
        <v>45650.545138888803</v>
      </c>
      <c r="B2513" s="1">
        <f ca="1">IFERROR(__xludf.DUMMYFUNCTION("""COMPUTED_VALUE"""),435.9)</f>
        <v>435.9</v>
      </c>
      <c r="C2513" s="1">
        <f ca="1">IFERROR(__xludf.DUMMYFUNCTION("""COMPUTED_VALUE"""),462.78)</f>
        <v>462.78</v>
      </c>
      <c r="D2513" s="1">
        <f ca="1">IFERROR(__xludf.DUMMYFUNCTION("""COMPUTED_VALUE"""),435.14)</f>
        <v>435.14</v>
      </c>
      <c r="E2513" s="1">
        <f ca="1">IFERROR(__xludf.DUMMYFUNCTION("""COMPUTED_VALUE"""),462.28)</f>
        <v>462.28</v>
      </c>
      <c r="F2513" s="1">
        <f ca="1">IFERROR(__xludf.DUMMYFUNCTION("""COMPUTED_VALUE"""),59551750)</f>
        <v>59551750</v>
      </c>
    </row>
    <row r="2514" spans="1:6" x14ac:dyDescent="0.35">
      <c r="A2514" s="2">
        <f ca="1">IFERROR(__xludf.DUMMYFUNCTION("""COMPUTED_VALUE"""),45652.6666666666)</f>
        <v>45652.666666666599</v>
      </c>
      <c r="B2514" s="1">
        <f ca="1">IFERROR(__xludf.DUMMYFUNCTION("""COMPUTED_VALUE"""),465.16)</f>
        <v>465.16</v>
      </c>
      <c r="C2514" s="1">
        <f ca="1">IFERROR(__xludf.DUMMYFUNCTION("""COMPUTED_VALUE"""),465.33)</f>
        <v>465.33</v>
      </c>
      <c r="D2514" s="1">
        <f ca="1">IFERROR(__xludf.DUMMYFUNCTION("""COMPUTED_VALUE"""),451.02)</f>
        <v>451.02</v>
      </c>
      <c r="E2514" s="1">
        <f ca="1">IFERROR(__xludf.DUMMYFUNCTION("""COMPUTED_VALUE"""),454.13)</f>
        <v>454.13</v>
      </c>
      <c r="F2514" s="1">
        <f ca="1">IFERROR(__xludf.DUMMYFUNCTION("""COMPUTED_VALUE"""),76651210)</f>
        <v>76651210</v>
      </c>
    </row>
    <row r="2515" spans="1:6" x14ac:dyDescent="0.35">
      <c r="A2515" s="2">
        <f ca="1">IFERROR(__xludf.DUMMYFUNCTION("""COMPUTED_VALUE"""),45653.6666666666)</f>
        <v>45653.666666666599</v>
      </c>
      <c r="B2515" s="1">
        <f ca="1">IFERROR(__xludf.DUMMYFUNCTION("""COMPUTED_VALUE"""),449.52)</f>
        <v>449.52</v>
      </c>
      <c r="C2515" s="1">
        <f ca="1">IFERROR(__xludf.DUMMYFUNCTION("""COMPUTED_VALUE"""),450)</f>
        <v>450</v>
      </c>
      <c r="D2515" s="1">
        <f ca="1">IFERROR(__xludf.DUMMYFUNCTION("""COMPUTED_VALUE"""),426.5)</f>
        <v>426.5</v>
      </c>
      <c r="E2515" s="1">
        <f ca="1">IFERROR(__xludf.DUMMYFUNCTION("""COMPUTED_VALUE"""),431.66)</f>
        <v>431.66</v>
      </c>
      <c r="F2515" s="1">
        <f ca="1">IFERROR(__xludf.DUMMYFUNCTION("""COMPUTED_VALUE"""),82666821)</f>
        <v>82666821</v>
      </c>
    </row>
    <row r="2516" spans="1:6" x14ac:dyDescent="0.35">
      <c r="A2516" s="2">
        <f ca="1">IFERROR(__xludf.DUMMYFUNCTION("""COMPUTED_VALUE"""),45656.6666666666)</f>
        <v>45656.666666666599</v>
      </c>
      <c r="B2516" s="1">
        <f ca="1">IFERROR(__xludf.DUMMYFUNCTION("""COMPUTED_VALUE"""),419.4)</f>
        <v>419.4</v>
      </c>
      <c r="C2516" s="1">
        <f ca="1">IFERROR(__xludf.DUMMYFUNCTION("""COMPUTED_VALUE"""),427)</f>
        <v>427</v>
      </c>
      <c r="D2516" s="1">
        <f ca="1">IFERROR(__xludf.DUMMYFUNCTION("""COMPUTED_VALUE"""),415.75)</f>
        <v>415.75</v>
      </c>
      <c r="E2516" s="1">
        <f ca="1">IFERROR(__xludf.DUMMYFUNCTION("""COMPUTED_VALUE"""),417.41)</f>
        <v>417.41</v>
      </c>
      <c r="F2516" s="1">
        <f ca="1">IFERROR(__xludf.DUMMYFUNCTION("""COMPUTED_VALUE"""),64941012)</f>
        <v>64941012</v>
      </c>
    </row>
    <row r="2517" spans="1:6" x14ac:dyDescent="0.35">
      <c r="A2517" s="2">
        <f ca="1">IFERROR(__xludf.DUMMYFUNCTION("""COMPUTED_VALUE"""),45657.6666666666)</f>
        <v>45657.666666666599</v>
      </c>
      <c r="B2517" s="1">
        <f ca="1">IFERROR(__xludf.DUMMYFUNCTION("""COMPUTED_VALUE"""),423.79)</f>
        <v>423.79</v>
      </c>
      <c r="C2517" s="1">
        <f ca="1">IFERROR(__xludf.DUMMYFUNCTION("""COMPUTED_VALUE"""),427.93)</f>
        <v>427.93</v>
      </c>
      <c r="D2517" s="1">
        <f ca="1">IFERROR(__xludf.DUMMYFUNCTION("""COMPUTED_VALUE"""),402.54)</f>
        <v>402.54</v>
      </c>
      <c r="E2517" s="1">
        <f ca="1">IFERROR(__xludf.DUMMYFUNCTION("""COMPUTED_VALUE"""),403.84)</f>
        <v>403.84</v>
      </c>
      <c r="F2517" s="1">
        <f ca="1">IFERROR(__xludf.DUMMYFUNCTION("""COMPUTED_VALUE"""),76825121)</f>
        <v>76825121</v>
      </c>
    </row>
    <row r="2518" spans="1:6" x14ac:dyDescent="0.35">
      <c r="A2518" s="2">
        <f ca="1">IFERROR(__xludf.DUMMYFUNCTION("""COMPUTED_VALUE"""),45659.6666666666)</f>
        <v>45659.666666666599</v>
      </c>
      <c r="B2518" s="1">
        <f ca="1">IFERROR(__xludf.DUMMYFUNCTION("""COMPUTED_VALUE"""),390.1)</f>
        <v>390.1</v>
      </c>
      <c r="C2518" s="1">
        <f ca="1">IFERROR(__xludf.DUMMYFUNCTION("""COMPUTED_VALUE"""),392.73)</f>
        <v>392.73</v>
      </c>
      <c r="D2518" s="1">
        <f ca="1">IFERROR(__xludf.DUMMYFUNCTION("""COMPUTED_VALUE"""),373.04)</f>
        <v>373.04</v>
      </c>
      <c r="E2518" s="1">
        <f ca="1">IFERROR(__xludf.DUMMYFUNCTION("""COMPUTED_VALUE"""),379.28)</f>
        <v>379.28</v>
      </c>
      <c r="F2518" s="1">
        <f ca="1">IFERROR(__xludf.DUMMYFUNCTION("""COMPUTED_VALUE"""),109710749)</f>
        <v>109710749</v>
      </c>
    </row>
    <row r="2519" spans="1:6" x14ac:dyDescent="0.35">
      <c r="A2519" s="2">
        <f ca="1">IFERROR(__xludf.DUMMYFUNCTION("""COMPUTED_VALUE"""),45660.6666666666)</f>
        <v>45660.666666666599</v>
      </c>
      <c r="B2519" s="1">
        <f ca="1">IFERROR(__xludf.DUMMYFUNCTION("""COMPUTED_VALUE"""),381.48)</f>
        <v>381.48</v>
      </c>
      <c r="C2519" s="1">
        <f ca="1">IFERROR(__xludf.DUMMYFUNCTION("""COMPUTED_VALUE"""),411.88)</f>
        <v>411.88</v>
      </c>
      <c r="D2519" s="1">
        <f ca="1">IFERROR(__xludf.DUMMYFUNCTION("""COMPUTED_VALUE"""),379.45)</f>
        <v>379.45</v>
      </c>
      <c r="E2519" s="1">
        <f ca="1">IFERROR(__xludf.DUMMYFUNCTION("""COMPUTED_VALUE"""),410.44)</f>
        <v>410.44</v>
      </c>
      <c r="F2519" s="1">
        <f ca="1">IFERROR(__xludf.DUMMYFUNCTION("""COMPUTED_VALUE"""),95423329)</f>
        <v>95423329</v>
      </c>
    </row>
    <row r="2520" spans="1:6" x14ac:dyDescent="0.35">
      <c r="A2520" s="2">
        <f ca="1">IFERROR(__xludf.DUMMYFUNCTION("""COMPUTED_VALUE"""),45663.6666666666)</f>
        <v>45663.666666666599</v>
      </c>
      <c r="B2520" s="1">
        <f ca="1">IFERROR(__xludf.DUMMYFUNCTION("""COMPUTED_VALUE"""),423.2)</f>
        <v>423.2</v>
      </c>
      <c r="C2520" s="1">
        <f ca="1">IFERROR(__xludf.DUMMYFUNCTION("""COMPUTED_VALUE"""),426.43)</f>
        <v>426.43</v>
      </c>
      <c r="D2520" s="1">
        <f ca="1">IFERROR(__xludf.DUMMYFUNCTION("""COMPUTED_VALUE"""),401.7)</f>
        <v>401.7</v>
      </c>
      <c r="E2520" s="1">
        <f ca="1">IFERROR(__xludf.DUMMYFUNCTION("""COMPUTED_VALUE"""),411.05)</f>
        <v>411.05</v>
      </c>
      <c r="F2520" s="1">
        <f ca="1">IFERROR(__xludf.DUMMYFUNCTION("""COMPUTED_VALUE"""),85516534)</f>
        <v>85516534</v>
      </c>
    </row>
    <row r="2521" spans="1:6" x14ac:dyDescent="0.35">
      <c r="A2521" s="2">
        <f ca="1">IFERROR(__xludf.DUMMYFUNCTION("""COMPUTED_VALUE"""),45664.6666666666)</f>
        <v>45664.666666666599</v>
      </c>
      <c r="B2521" s="1">
        <f ca="1">IFERROR(__xludf.DUMMYFUNCTION("""COMPUTED_VALUE"""),405.83)</f>
        <v>405.83</v>
      </c>
      <c r="C2521" s="1">
        <f ca="1">IFERROR(__xludf.DUMMYFUNCTION("""COMPUTED_VALUE"""),414.33)</f>
        <v>414.33</v>
      </c>
      <c r="D2521" s="1">
        <f ca="1">IFERROR(__xludf.DUMMYFUNCTION("""COMPUTED_VALUE"""),390)</f>
        <v>390</v>
      </c>
      <c r="E2521" s="1">
        <f ca="1">IFERROR(__xludf.DUMMYFUNCTION("""COMPUTED_VALUE"""),394.36)</f>
        <v>394.36</v>
      </c>
      <c r="F2521" s="1">
        <f ca="1">IFERROR(__xludf.DUMMYFUNCTION("""COMPUTED_VALUE"""),75699525)</f>
        <v>75699525</v>
      </c>
    </row>
    <row r="2522" spans="1:6" x14ac:dyDescent="0.35">
      <c r="A2522" s="2">
        <f ca="1">IFERROR(__xludf.DUMMYFUNCTION("""COMPUTED_VALUE"""),45665.6666666666)</f>
        <v>45665.666666666599</v>
      </c>
      <c r="B2522" s="1">
        <f ca="1">IFERROR(__xludf.DUMMYFUNCTION("""COMPUTED_VALUE"""),392.95)</f>
        <v>392.95</v>
      </c>
      <c r="C2522" s="1">
        <f ca="1">IFERROR(__xludf.DUMMYFUNCTION("""COMPUTED_VALUE"""),402.5)</f>
        <v>402.5</v>
      </c>
      <c r="D2522" s="1">
        <f ca="1">IFERROR(__xludf.DUMMYFUNCTION("""COMPUTED_VALUE"""),387.4)</f>
        <v>387.4</v>
      </c>
      <c r="E2522" s="1">
        <f ca="1">IFERROR(__xludf.DUMMYFUNCTION("""COMPUTED_VALUE"""),394.94)</f>
        <v>394.94</v>
      </c>
      <c r="F2522" s="1">
        <f ca="1">IFERROR(__xludf.DUMMYFUNCTION("""COMPUTED_VALUE"""),73038805)</f>
        <v>73038805</v>
      </c>
    </row>
    <row r="2523" spans="1:6" x14ac:dyDescent="0.35">
      <c r="A2523" s="2">
        <f ca="1">IFERROR(__xludf.DUMMYFUNCTION("""COMPUTED_VALUE"""),45667.6666666666)</f>
        <v>45667.666666666599</v>
      </c>
      <c r="B2523" s="1">
        <f ca="1">IFERROR(__xludf.DUMMYFUNCTION("""COMPUTED_VALUE"""),391.4)</f>
        <v>391.4</v>
      </c>
      <c r="C2523" s="1">
        <f ca="1">IFERROR(__xludf.DUMMYFUNCTION("""COMPUTED_VALUE"""),399.28)</f>
        <v>399.28</v>
      </c>
      <c r="D2523" s="1">
        <f ca="1">IFERROR(__xludf.DUMMYFUNCTION("""COMPUTED_VALUE"""),377.29)</f>
        <v>377.29</v>
      </c>
      <c r="E2523" s="1">
        <f ca="1">IFERROR(__xludf.DUMMYFUNCTION("""COMPUTED_VALUE"""),394.74)</f>
        <v>394.74</v>
      </c>
      <c r="F2523" s="1">
        <f ca="1">IFERROR(__xludf.DUMMYFUNCTION("""COMPUTED_VALUE"""),62287333)</f>
        <v>62287333</v>
      </c>
    </row>
    <row r="2524" spans="1:6" x14ac:dyDescent="0.35">
      <c r="A2524" s="2">
        <f ca="1">IFERROR(__xludf.DUMMYFUNCTION("""COMPUTED_VALUE"""),45670.6666666666)</f>
        <v>45670.666666666599</v>
      </c>
      <c r="B2524" s="1">
        <f ca="1">IFERROR(__xludf.DUMMYFUNCTION("""COMPUTED_VALUE"""),383.21)</f>
        <v>383.21</v>
      </c>
      <c r="C2524" s="1">
        <f ca="1">IFERROR(__xludf.DUMMYFUNCTION("""COMPUTED_VALUE"""),403.79)</f>
        <v>403.79</v>
      </c>
      <c r="D2524" s="1">
        <f ca="1">IFERROR(__xludf.DUMMYFUNCTION("""COMPUTED_VALUE"""),380.07)</f>
        <v>380.07</v>
      </c>
      <c r="E2524" s="1">
        <f ca="1">IFERROR(__xludf.DUMMYFUNCTION("""COMPUTED_VALUE"""),403.31)</f>
        <v>403.31</v>
      </c>
      <c r="F2524" s="1">
        <f ca="1">IFERROR(__xludf.DUMMYFUNCTION("""COMPUTED_VALUE"""),67580494)</f>
        <v>67580494</v>
      </c>
    </row>
    <row r="2525" spans="1:6" x14ac:dyDescent="0.35">
      <c r="A2525" s="2">
        <f ca="1">IFERROR(__xludf.DUMMYFUNCTION("""COMPUTED_VALUE"""),45671.6666666666)</f>
        <v>45671.666666666599</v>
      </c>
      <c r="B2525" s="1">
        <f ca="1">IFERROR(__xludf.DUMMYFUNCTION("""COMPUTED_VALUE"""),414.34)</f>
        <v>414.34</v>
      </c>
      <c r="C2525" s="1">
        <f ca="1">IFERROR(__xludf.DUMMYFUNCTION("""COMPUTED_VALUE"""),422.64)</f>
        <v>422.64</v>
      </c>
      <c r="D2525" s="1">
        <f ca="1">IFERROR(__xludf.DUMMYFUNCTION("""COMPUTED_VALUE"""),394.54)</f>
        <v>394.54</v>
      </c>
      <c r="E2525" s="1">
        <f ca="1">IFERROR(__xludf.DUMMYFUNCTION("""COMPUTED_VALUE"""),396.36)</f>
        <v>396.36</v>
      </c>
      <c r="F2525" s="1">
        <f ca="1">IFERROR(__xludf.DUMMYFUNCTION("""COMPUTED_VALUE"""),84565022)</f>
        <v>84565022</v>
      </c>
    </row>
    <row r="2526" spans="1:6" x14ac:dyDescent="0.35">
      <c r="A2526" s="2">
        <f ca="1">IFERROR(__xludf.DUMMYFUNCTION("""COMPUTED_VALUE"""),45672.6666666666)</f>
        <v>45672.666666666599</v>
      </c>
      <c r="B2526" s="1">
        <f ca="1">IFERROR(__xludf.DUMMYFUNCTION("""COMPUTED_VALUE"""),409.9)</f>
        <v>409.9</v>
      </c>
      <c r="C2526" s="1">
        <f ca="1">IFERROR(__xludf.DUMMYFUNCTION("""COMPUTED_VALUE"""),429.8)</f>
        <v>429.8</v>
      </c>
      <c r="D2526" s="1">
        <f ca="1">IFERROR(__xludf.DUMMYFUNCTION("""COMPUTED_VALUE"""),405.66)</f>
        <v>405.66</v>
      </c>
      <c r="E2526" s="1">
        <f ca="1">IFERROR(__xludf.DUMMYFUNCTION("""COMPUTED_VALUE"""),428.22)</f>
        <v>428.22</v>
      </c>
      <c r="F2526" s="1">
        <f ca="1">IFERROR(__xludf.DUMMYFUNCTION("""COMPUTED_VALUE"""),81375460)</f>
        <v>81375460</v>
      </c>
    </row>
    <row r="2527" spans="1:6" x14ac:dyDescent="0.35">
      <c r="A2527" s="2">
        <f ca="1">IFERROR(__xludf.DUMMYFUNCTION("""COMPUTED_VALUE"""),45673.6666666666)</f>
        <v>45673.666666666599</v>
      </c>
      <c r="B2527" s="1">
        <f ca="1">IFERROR(__xludf.DUMMYFUNCTION("""COMPUTED_VALUE"""),423.49)</f>
        <v>423.49</v>
      </c>
      <c r="C2527" s="1">
        <f ca="1">IFERROR(__xludf.DUMMYFUNCTION("""COMPUTED_VALUE"""),424)</f>
        <v>424</v>
      </c>
      <c r="D2527" s="1">
        <f ca="1">IFERROR(__xludf.DUMMYFUNCTION("""COMPUTED_VALUE"""),409.13)</f>
        <v>409.13</v>
      </c>
      <c r="E2527" s="1">
        <f ca="1">IFERROR(__xludf.DUMMYFUNCTION("""COMPUTED_VALUE"""),413.82)</f>
        <v>413.82</v>
      </c>
      <c r="F2527" s="1">
        <f ca="1">IFERROR(__xludf.DUMMYFUNCTION("""COMPUTED_VALUE"""),68335151)</f>
        <v>68335151</v>
      </c>
    </row>
    <row r="2528" spans="1:6" x14ac:dyDescent="0.35">
      <c r="A2528" s="2">
        <f ca="1">IFERROR(__xludf.DUMMYFUNCTION("""COMPUTED_VALUE"""),45674.6666666666)</f>
        <v>45674.666666666599</v>
      </c>
      <c r="B2528" s="1">
        <f ca="1">IFERROR(__xludf.DUMMYFUNCTION("""COMPUTED_VALUE"""),421.5)</f>
        <v>421.5</v>
      </c>
      <c r="C2528" s="1">
        <f ca="1">IFERROR(__xludf.DUMMYFUNCTION("""COMPUTED_VALUE"""),439.74)</f>
        <v>439.74</v>
      </c>
      <c r="D2528" s="1">
        <f ca="1">IFERROR(__xludf.DUMMYFUNCTION("""COMPUTED_VALUE"""),419.75)</f>
        <v>419.75</v>
      </c>
      <c r="E2528" s="1">
        <f ca="1">IFERROR(__xludf.DUMMYFUNCTION("""COMPUTED_VALUE"""),426.5)</f>
        <v>426.5</v>
      </c>
      <c r="F2528" s="1">
        <f ca="1">IFERROR(__xludf.DUMMYFUNCTION("""COMPUTED_VALUE"""),94991429)</f>
        <v>94991429</v>
      </c>
    </row>
    <row r="2529" spans="1:6" x14ac:dyDescent="0.35">
      <c r="A2529" s="2">
        <f ca="1">IFERROR(__xludf.DUMMYFUNCTION("""COMPUTED_VALUE"""),45678.6666666666)</f>
        <v>45678.666666666599</v>
      </c>
      <c r="B2529" s="1">
        <f ca="1">IFERROR(__xludf.DUMMYFUNCTION("""COMPUTED_VALUE"""),432.64)</f>
        <v>432.64</v>
      </c>
      <c r="C2529" s="1">
        <f ca="1">IFERROR(__xludf.DUMMYFUNCTION("""COMPUTED_VALUE"""),433.2)</f>
        <v>433.2</v>
      </c>
      <c r="D2529" s="1">
        <f ca="1">IFERROR(__xludf.DUMMYFUNCTION("""COMPUTED_VALUE"""),406.31)</f>
        <v>406.31</v>
      </c>
      <c r="E2529" s="1">
        <f ca="1">IFERROR(__xludf.DUMMYFUNCTION("""COMPUTED_VALUE"""),424.07)</f>
        <v>424.07</v>
      </c>
      <c r="F2529" s="1">
        <f ca="1">IFERROR(__xludf.DUMMYFUNCTION("""COMPUTED_VALUE"""),87320894)</f>
        <v>87320894</v>
      </c>
    </row>
    <row r="2530" spans="1:6" x14ac:dyDescent="0.35">
      <c r="A2530" s="2">
        <f ca="1">IFERROR(__xludf.DUMMYFUNCTION("""COMPUTED_VALUE"""),45679.6666666666)</f>
        <v>45679.666666666599</v>
      </c>
      <c r="B2530" s="1">
        <f ca="1">IFERROR(__xludf.DUMMYFUNCTION("""COMPUTED_VALUE"""),416.81)</f>
        <v>416.81</v>
      </c>
      <c r="C2530" s="1">
        <f ca="1">IFERROR(__xludf.DUMMYFUNCTION("""COMPUTED_VALUE"""),428)</f>
        <v>428</v>
      </c>
      <c r="D2530" s="1">
        <f ca="1">IFERROR(__xludf.DUMMYFUNCTION("""COMPUTED_VALUE"""),414.59)</f>
        <v>414.59</v>
      </c>
      <c r="E2530" s="1">
        <f ca="1">IFERROR(__xludf.DUMMYFUNCTION("""COMPUTED_VALUE"""),415.11)</f>
        <v>415.11</v>
      </c>
      <c r="F2530" s="1">
        <f ca="1">IFERROR(__xludf.DUMMYFUNCTION("""COMPUTED_VALUE"""),60963342)</f>
        <v>60963342</v>
      </c>
    </row>
    <row r="2531" spans="1:6" x14ac:dyDescent="0.35">
      <c r="A2531" s="2">
        <f ca="1">IFERROR(__xludf.DUMMYFUNCTION("""COMPUTED_VALUE"""),45680.6666666666)</f>
        <v>45680.666666666599</v>
      </c>
      <c r="B2531" s="1">
        <f ca="1">IFERROR(__xludf.DUMMYFUNCTION("""COMPUTED_VALUE"""),416.06)</f>
        <v>416.06</v>
      </c>
      <c r="C2531" s="1">
        <f ca="1">IFERROR(__xludf.DUMMYFUNCTION("""COMPUTED_VALUE"""),420.73)</f>
        <v>420.73</v>
      </c>
      <c r="D2531" s="1">
        <f ca="1">IFERROR(__xludf.DUMMYFUNCTION("""COMPUTED_VALUE"""),408.95)</f>
        <v>408.95</v>
      </c>
      <c r="E2531" s="1">
        <f ca="1">IFERROR(__xludf.DUMMYFUNCTION("""COMPUTED_VALUE"""),412.38)</f>
        <v>412.38</v>
      </c>
      <c r="F2531" s="1">
        <f ca="1">IFERROR(__xludf.DUMMYFUNCTION("""COMPUTED_VALUE"""),50690592)</f>
        <v>50690592</v>
      </c>
    </row>
    <row r="2532" spans="1:6" x14ac:dyDescent="0.35">
      <c r="A2532" s="2">
        <f ca="1">IFERROR(__xludf.DUMMYFUNCTION("""COMPUTED_VALUE"""),45681.6666666666)</f>
        <v>45681.666666666599</v>
      </c>
      <c r="B2532" s="1">
        <f ca="1">IFERROR(__xludf.DUMMYFUNCTION("""COMPUTED_VALUE"""),414.45)</f>
        <v>414.45</v>
      </c>
      <c r="C2532" s="1">
        <f ca="1">IFERROR(__xludf.DUMMYFUNCTION("""COMPUTED_VALUE"""),418.88)</f>
        <v>418.88</v>
      </c>
      <c r="D2532" s="1">
        <f ca="1">IFERROR(__xludf.DUMMYFUNCTION("""COMPUTED_VALUE"""),405.78)</f>
        <v>405.78</v>
      </c>
      <c r="E2532" s="1">
        <f ca="1">IFERROR(__xludf.DUMMYFUNCTION("""COMPUTED_VALUE"""),406.58)</f>
        <v>406.58</v>
      </c>
      <c r="F2532" s="1">
        <f ca="1">IFERROR(__xludf.DUMMYFUNCTION("""COMPUTED_VALUE"""),56427149)</f>
        <v>56427149</v>
      </c>
    </row>
    <row r="2533" spans="1:6" x14ac:dyDescent="0.35">
      <c r="A2533" s="2">
        <f ca="1">IFERROR(__xludf.DUMMYFUNCTION("""COMPUTED_VALUE"""),45684.6666666666)</f>
        <v>45684.666666666599</v>
      </c>
      <c r="B2533" s="1">
        <f ca="1">IFERROR(__xludf.DUMMYFUNCTION("""COMPUTED_VALUE"""),394.8)</f>
        <v>394.8</v>
      </c>
      <c r="C2533" s="1">
        <f ca="1">IFERROR(__xludf.DUMMYFUNCTION("""COMPUTED_VALUE"""),406.69)</f>
        <v>406.69</v>
      </c>
      <c r="D2533" s="1">
        <f ca="1">IFERROR(__xludf.DUMMYFUNCTION("""COMPUTED_VALUE"""),389)</f>
        <v>389</v>
      </c>
      <c r="E2533" s="1">
        <f ca="1">IFERROR(__xludf.DUMMYFUNCTION("""COMPUTED_VALUE"""),397.15)</f>
        <v>397.15</v>
      </c>
      <c r="F2533" s="1">
        <f ca="1">IFERROR(__xludf.DUMMYFUNCTION("""COMPUTED_VALUE"""),58125510)</f>
        <v>58125510</v>
      </c>
    </row>
    <row r="2534" spans="1:6" x14ac:dyDescent="0.35">
      <c r="A2534" s="2">
        <f ca="1">IFERROR(__xludf.DUMMYFUNCTION("""COMPUTED_VALUE"""),45685.6666666666)</f>
        <v>45685.666666666599</v>
      </c>
      <c r="B2534" s="1">
        <f ca="1">IFERROR(__xludf.DUMMYFUNCTION("""COMPUTED_VALUE"""),396.91)</f>
        <v>396.91</v>
      </c>
      <c r="C2534" s="1">
        <f ca="1">IFERROR(__xludf.DUMMYFUNCTION("""COMPUTED_VALUE"""),400.59)</f>
        <v>400.59</v>
      </c>
      <c r="D2534" s="1">
        <f ca="1">IFERROR(__xludf.DUMMYFUNCTION("""COMPUTED_VALUE"""),386.5)</f>
        <v>386.5</v>
      </c>
      <c r="E2534" s="1">
        <f ca="1">IFERROR(__xludf.DUMMYFUNCTION("""COMPUTED_VALUE"""),398.09)</f>
        <v>398.09</v>
      </c>
      <c r="F2534" s="1">
        <f ca="1">IFERROR(__xludf.DUMMYFUNCTION("""COMPUTED_VALUE"""),48910676)</f>
        <v>48910676</v>
      </c>
    </row>
    <row r="2535" spans="1:6" x14ac:dyDescent="0.35">
      <c r="A2535" s="2">
        <f ca="1">IFERROR(__xludf.DUMMYFUNCTION("""COMPUTED_VALUE"""),45686.6666666666)</f>
        <v>45686.666666666599</v>
      </c>
      <c r="B2535" s="1">
        <f ca="1">IFERROR(__xludf.DUMMYFUNCTION("""COMPUTED_VALUE"""),395.21)</f>
        <v>395.21</v>
      </c>
      <c r="C2535" s="1">
        <f ca="1">IFERROR(__xludf.DUMMYFUNCTION("""COMPUTED_VALUE"""),398.59)</f>
        <v>398.59</v>
      </c>
      <c r="D2535" s="1">
        <f ca="1">IFERROR(__xludf.DUMMYFUNCTION("""COMPUTED_VALUE"""),384.48)</f>
        <v>384.48</v>
      </c>
      <c r="E2535" s="1">
        <f ca="1">IFERROR(__xludf.DUMMYFUNCTION("""COMPUTED_VALUE"""),389.1)</f>
        <v>389.1</v>
      </c>
      <c r="F2535" s="1">
        <f ca="1">IFERROR(__xludf.DUMMYFUNCTION("""COMPUTED_VALUE"""),68033648)</f>
        <v>68033648</v>
      </c>
    </row>
    <row r="2536" spans="1:6" x14ac:dyDescent="0.35">
      <c r="A2536" s="2">
        <f ca="1">IFERROR(__xludf.DUMMYFUNCTION("""COMPUTED_VALUE"""),45687.6666666666)</f>
        <v>45687.666666666599</v>
      </c>
      <c r="B2536" s="1">
        <f ca="1">IFERROR(__xludf.DUMMYFUNCTION("""COMPUTED_VALUE"""),410.78)</f>
        <v>410.78</v>
      </c>
      <c r="C2536" s="1">
        <f ca="1">IFERROR(__xludf.DUMMYFUNCTION("""COMPUTED_VALUE"""),412.5)</f>
        <v>412.5</v>
      </c>
      <c r="D2536" s="1">
        <f ca="1">IFERROR(__xludf.DUMMYFUNCTION("""COMPUTED_VALUE"""),384.41)</f>
        <v>384.41</v>
      </c>
      <c r="E2536" s="1">
        <f ca="1">IFERROR(__xludf.DUMMYFUNCTION("""COMPUTED_VALUE"""),400.28)</f>
        <v>400.28</v>
      </c>
      <c r="F2536" s="1">
        <f ca="1">IFERROR(__xludf.DUMMYFUNCTION("""COMPUTED_VALUE"""),98092879)</f>
        <v>98092879</v>
      </c>
    </row>
    <row r="2537" spans="1:6" x14ac:dyDescent="0.35">
      <c r="A2537" s="2">
        <f ca="1">IFERROR(__xludf.DUMMYFUNCTION("""COMPUTED_VALUE"""),45688.6666666666)</f>
        <v>45688.666666666599</v>
      </c>
      <c r="B2537" s="1">
        <f ca="1">IFERROR(__xludf.DUMMYFUNCTION("""COMPUTED_VALUE"""),401.53)</f>
        <v>401.53</v>
      </c>
      <c r="C2537" s="1">
        <f ca="1">IFERROR(__xludf.DUMMYFUNCTION("""COMPUTED_VALUE"""),419.99)</f>
        <v>419.99</v>
      </c>
      <c r="D2537" s="1">
        <f ca="1">IFERROR(__xludf.DUMMYFUNCTION("""COMPUTED_VALUE"""),401.34)</f>
        <v>401.34</v>
      </c>
      <c r="E2537" s="1">
        <f ca="1">IFERROR(__xludf.DUMMYFUNCTION("""COMPUTED_VALUE"""),404.6)</f>
        <v>404.6</v>
      </c>
      <c r="F2537" s="1">
        <f ca="1">IFERROR(__xludf.DUMMYFUNCTION("""COMPUTED_VALUE"""),83568219)</f>
        <v>83568219</v>
      </c>
    </row>
    <row r="2538" spans="1:6" x14ac:dyDescent="0.35">
      <c r="A2538" s="2">
        <f ca="1">IFERROR(__xludf.DUMMYFUNCTION("""COMPUTED_VALUE"""),45691.6666666666)</f>
        <v>45691.666666666599</v>
      </c>
      <c r="B2538" s="1">
        <f ca="1">IFERROR(__xludf.DUMMYFUNCTION("""COMPUTED_VALUE"""),386.68)</f>
        <v>386.68</v>
      </c>
      <c r="C2538" s="1">
        <f ca="1">IFERROR(__xludf.DUMMYFUNCTION("""COMPUTED_VALUE"""),389.17)</f>
        <v>389.17</v>
      </c>
      <c r="D2538" s="1">
        <f ca="1">IFERROR(__xludf.DUMMYFUNCTION("""COMPUTED_VALUE"""),374.36)</f>
        <v>374.36</v>
      </c>
      <c r="E2538" s="1">
        <f ca="1">IFERROR(__xludf.DUMMYFUNCTION("""COMPUTED_VALUE"""),383.68)</f>
        <v>383.68</v>
      </c>
      <c r="F2538" s="1">
        <f ca="1">IFERROR(__xludf.DUMMYFUNCTION("""COMPUTED_VALUE"""),93732122)</f>
        <v>93732122</v>
      </c>
    </row>
    <row r="2539" spans="1:6" x14ac:dyDescent="0.35">
      <c r="A2539" s="2">
        <f ca="1">IFERROR(__xludf.DUMMYFUNCTION("""COMPUTED_VALUE"""),45692.6666666666)</f>
        <v>45692.666666666599</v>
      </c>
      <c r="B2539" s="1">
        <f ca="1">IFERROR(__xludf.DUMMYFUNCTION("""COMPUTED_VALUE"""),382.63)</f>
        <v>382.63</v>
      </c>
      <c r="C2539" s="1">
        <f ca="1">IFERROR(__xludf.DUMMYFUNCTION("""COMPUTED_VALUE"""),394)</f>
        <v>394</v>
      </c>
      <c r="D2539" s="1">
        <f ca="1">IFERROR(__xludf.DUMMYFUNCTION("""COMPUTED_VALUE"""),381.4)</f>
        <v>381.4</v>
      </c>
      <c r="E2539" s="1">
        <f ca="1">IFERROR(__xludf.DUMMYFUNCTION("""COMPUTED_VALUE"""),392.21)</f>
        <v>392.21</v>
      </c>
      <c r="F2539" s="1">
        <f ca="1">IFERROR(__xludf.DUMMYFUNCTION("""COMPUTED_VALUE"""),57072235)</f>
        <v>57072235</v>
      </c>
    </row>
    <row r="2540" spans="1:6" x14ac:dyDescent="0.35">
      <c r="A2540" s="2">
        <f ca="1">IFERROR(__xludf.DUMMYFUNCTION("""COMPUTED_VALUE"""),45693.6666666666)</f>
        <v>45693.666666666599</v>
      </c>
      <c r="B2540" s="1">
        <f ca="1">IFERROR(__xludf.DUMMYFUNCTION("""COMPUTED_VALUE"""),387.51)</f>
        <v>387.51</v>
      </c>
      <c r="C2540" s="1">
        <f ca="1">IFERROR(__xludf.DUMMYFUNCTION("""COMPUTED_VALUE"""),388.39)</f>
        <v>388.39</v>
      </c>
      <c r="D2540" s="1">
        <f ca="1">IFERROR(__xludf.DUMMYFUNCTION("""COMPUTED_VALUE"""),375.53)</f>
        <v>375.53</v>
      </c>
      <c r="E2540" s="1">
        <f ca="1">IFERROR(__xludf.DUMMYFUNCTION("""COMPUTED_VALUE"""),378.17)</f>
        <v>378.17</v>
      </c>
      <c r="F2540" s="1">
        <f ca="1">IFERROR(__xludf.DUMMYFUNCTION("""COMPUTED_VALUE"""),57614721)</f>
        <v>57614721</v>
      </c>
    </row>
    <row r="2541" spans="1:6" x14ac:dyDescent="0.35">
      <c r="A2541" s="2">
        <f ca="1">IFERROR(__xludf.DUMMYFUNCTION("""COMPUTED_VALUE"""),45694.6666666666)</f>
        <v>45694.666666666599</v>
      </c>
      <c r="B2541" s="1">
        <f ca="1">IFERROR(__xludf.DUMMYFUNCTION("""COMPUTED_VALUE"""),373.03)</f>
        <v>373.03</v>
      </c>
      <c r="C2541" s="1">
        <f ca="1">IFERROR(__xludf.DUMMYFUNCTION("""COMPUTED_VALUE"""),375.4)</f>
        <v>375.4</v>
      </c>
      <c r="D2541" s="1">
        <f ca="1">IFERROR(__xludf.DUMMYFUNCTION("""COMPUTED_VALUE"""),363.18)</f>
        <v>363.18</v>
      </c>
      <c r="E2541" s="1">
        <f ca="1">IFERROR(__xludf.DUMMYFUNCTION("""COMPUTED_VALUE"""),374.32)</f>
        <v>374.32</v>
      </c>
      <c r="F2541" s="1">
        <f ca="1">IFERROR(__xludf.DUMMYFUNCTION("""COMPUTED_VALUE"""),77918230)</f>
        <v>77918230</v>
      </c>
    </row>
    <row r="2542" spans="1:6" x14ac:dyDescent="0.35">
      <c r="A2542" s="2">
        <f ca="1">IFERROR(__xludf.DUMMYFUNCTION("""COMPUTED_VALUE"""),45695.6666666666)</f>
        <v>45695.666666666599</v>
      </c>
      <c r="B2542" s="1">
        <f ca="1">IFERROR(__xludf.DUMMYFUNCTION("""COMPUTED_VALUE"""),370.19)</f>
        <v>370.19</v>
      </c>
      <c r="C2542" s="1">
        <f ca="1">IFERROR(__xludf.DUMMYFUNCTION("""COMPUTED_VALUE"""),380.55)</f>
        <v>380.55</v>
      </c>
      <c r="D2542" s="1">
        <f ca="1">IFERROR(__xludf.DUMMYFUNCTION("""COMPUTED_VALUE"""),360.34)</f>
        <v>360.34</v>
      </c>
      <c r="E2542" s="1">
        <f ca="1">IFERROR(__xludf.DUMMYFUNCTION("""COMPUTED_VALUE"""),361.62)</f>
        <v>361.62</v>
      </c>
      <c r="F2542" s="1">
        <f ca="1">IFERROR(__xludf.DUMMYFUNCTION("""COMPUTED_VALUE"""),70298258)</f>
        <v>70298258</v>
      </c>
    </row>
    <row r="2543" spans="1:6" x14ac:dyDescent="0.35">
      <c r="A2543" s="2">
        <f ca="1">IFERROR(__xludf.DUMMYFUNCTION("""COMPUTED_VALUE"""),45698.6666666666)</f>
        <v>45698.666666666599</v>
      </c>
      <c r="B2543" s="1">
        <f ca="1">IFERROR(__xludf.DUMMYFUNCTION("""COMPUTED_VALUE"""),356.21)</f>
        <v>356.21</v>
      </c>
      <c r="C2543" s="1">
        <f ca="1">IFERROR(__xludf.DUMMYFUNCTION("""COMPUTED_VALUE"""),362.7)</f>
        <v>362.7</v>
      </c>
      <c r="D2543" s="1">
        <f ca="1">IFERROR(__xludf.DUMMYFUNCTION("""COMPUTED_VALUE"""),350.51)</f>
        <v>350.51</v>
      </c>
      <c r="E2543" s="1">
        <f ca="1">IFERROR(__xludf.DUMMYFUNCTION("""COMPUTED_VALUE"""),350.73)</f>
        <v>350.73</v>
      </c>
      <c r="F2543" s="1">
        <f ca="1">IFERROR(__xludf.DUMMYFUNCTION("""COMPUTED_VALUE"""),77514903)</f>
        <v>77514903</v>
      </c>
    </row>
    <row r="2544" spans="1:6" x14ac:dyDescent="0.35">
      <c r="A2544" s="2">
        <f ca="1">IFERROR(__xludf.DUMMYFUNCTION("""COMPUTED_VALUE"""),45699.6666666666)</f>
        <v>45699.666666666599</v>
      </c>
      <c r="B2544" s="1">
        <f ca="1">IFERROR(__xludf.DUMMYFUNCTION("""COMPUTED_VALUE"""),345.8)</f>
        <v>345.8</v>
      </c>
      <c r="C2544" s="1">
        <f ca="1">IFERROR(__xludf.DUMMYFUNCTION("""COMPUTED_VALUE"""),349.37)</f>
        <v>349.37</v>
      </c>
      <c r="D2544" s="1">
        <f ca="1">IFERROR(__xludf.DUMMYFUNCTION("""COMPUTED_VALUE"""),325.1)</f>
        <v>325.10000000000002</v>
      </c>
      <c r="E2544" s="1">
        <f ca="1">IFERROR(__xludf.DUMMYFUNCTION("""COMPUTED_VALUE"""),328.5)</f>
        <v>328.5</v>
      </c>
      <c r="F2544" s="1">
        <f ca="1">IFERROR(__xludf.DUMMYFUNCTION("""COMPUTED_VALUE"""),118543400)</f>
        <v>118543400</v>
      </c>
    </row>
    <row r="2545" spans="1:6" x14ac:dyDescent="0.35">
      <c r="A2545" s="2">
        <f ca="1">IFERROR(__xludf.DUMMYFUNCTION("""COMPUTED_VALUE"""),45700.6666666666)</f>
        <v>45700.666666666599</v>
      </c>
      <c r="B2545" s="1">
        <f ca="1">IFERROR(__xludf.DUMMYFUNCTION("""COMPUTED_VALUE"""),329.94)</f>
        <v>329.94</v>
      </c>
      <c r="C2545" s="1">
        <f ca="1">IFERROR(__xludf.DUMMYFUNCTION("""COMPUTED_VALUE"""),346.4)</f>
        <v>346.4</v>
      </c>
      <c r="D2545" s="1">
        <f ca="1">IFERROR(__xludf.DUMMYFUNCTION("""COMPUTED_VALUE"""),329.12)</f>
        <v>329.12</v>
      </c>
      <c r="E2545" s="1">
        <f ca="1">IFERROR(__xludf.DUMMYFUNCTION("""COMPUTED_VALUE"""),336.51)</f>
        <v>336.51</v>
      </c>
      <c r="F2545" s="1">
        <f ca="1">IFERROR(__xludf.DUMMYFUNCTION("""COMPUTED_VALUE"""),105382729)</f>
        <v>105382729</v>
      </c>
    </row>
    <row r="2546" spans="1:6" x14ac:dyDescent="0.35">
      <c r="A2546" s="2">
        <f ca="1">IFERROR(__xludf.DUMMYFUNCTION("""COMPUTED_VALUE"""),45701.6666666666)</f>
        <v>45701.666666666599</v>
      </c>
      <c r="B2546" s="1">
        <f ca="1">IFERROR(__xludf.DUMMYFUNCTION("""COMPUTED_VALUE"""),345)</f>
        <v>345</v>
      </c>
      <c r="C2546" s="1">
        <f ca="1">IFERROR(__xludf.DUMMYFUNCTION("""COMPUTED_VALUE"""),358.69)</f>
        <v>358.69</v>
      </c>
      <c r="D2546" s="1">
        <f ca="1">IFERROR(__xludf.DUMMYFUNCTION("""COMPUTED_VALUE"""),342.85)</f>
        <v>342.85</v>
      </c>
      <c r="E2546" s="1">
        <f ca="1">IFERROR(__xludf.DUMMYFUNCTION("""COMPUTED_VALUE"""),355.94)</f>
        <v>355.94</v>
      </c>
      <c r="F2546" s="1">
        <f ca="1">IFERROR(__xludf.DUMMYFUNCTION("""COMPUTED_VALUE"""),89441519)</f>
        <v>89441519</v>
      </c>
    </row>
    <row r="2547" spans="1:6" x14ac:dyDescent="0.35">
      <c r="A2547" s="2">
        <f ca="1">IFERROR(__xludf.DUMMYFUNCTION("""COMPUTED_VALUE"""),45702.6666666666)</f>
        <v>45702.666666666599</v>
      </c>
      <c r="B2547" s="1">
        <f ca="1">IFERROR(__xludf.DUMMYFUNCTION("""COMPUTED_VALUE"""),360.62)</f>
        <v>360.62</v>
      </c>
      <c r="C2547" s="1">
        <f ca="1">IFERROR(__xludf.DUMMYFUNCTION("""COMPUTED_VALUE"""),362)</f>
        <v>362</v>
      </c>
      <c r="D2547" s="1">
        <f ca="1">IFERROR(__xludf.DUMMYFUNCTION("""COMPUTED_VALUE"""),347.5)</f>
        <v>347.5</v>
      </c>
      <c r="E2547" s="1">
        <f ca="1">IFERROR(__xludf.DUMMYFUNCTION("""COMPUTED_VALUE"""),355.84)</f>
        <v>355.84</v>
      </c>
      <c r="F2547" s="1">
        <f ca="1">IFERROR(__xludf.DUMMYFUNCTION("""COMPUTED_VALUE"""),68277279)</f>
        <v>68277279</v>
      </c>
    </row>
    <row r="2548" spans="1:6" x14ac:dyDescent="0.35">
      <c r="A2548" s="2">
        <f ca="1">IFERROR(__xludf.DUMMYFUNCTION("""COMPUTED_VALUE"""),45706.6666666666)</f>
        <v>45706.666666666599</v>
      </c>
      <c r="B2548" s="1">
        <f ca="1">IFERROR(__xludf.DUMMYFUNCTION("""COMPUTED_VALUE"""),355.01)</f>
        <v>355.01</v>
      </c>
      <c r="C2548" s="1">
        <f ca="1">IFERROR(__xludf.DUMMYFUNCTION("""COMPUTED_VALUE"""),359.1)</f>
        <v>359.1</v>
      </c>
      <c r="D2548" s="1">
        <f ca="1">IFERROR(__xludf.DUMMYFUNCTION("""COMPUTED_VALUE"""),350.02)</f>
        <v>350.02</v>
      </c>
      <c r="E2548" s="1">
        <f ca="1">IFERROR(__xludf.DUMMYFUNCTION("""COMPUTED_VALUE"""),354.11)</f>
        <v>354.11</v>
      </c>
      <c r="F2548" s="1">
        <f ca="1">IFERROR(__xludf.DUMMYFUNCTION("""COMPUTED_VALUE"""),51631702)</f>
        <v>51631702</v>
      </c>
    </row>
    <row r="2549" spans="1:6" x14ac:dyDescent="0.35">
      <c r="A2549" s="2">
        <f ca="1">IFERROR(__xludf.DUMMYFUNCTION("""COMPUTED_VALUE"""),45707.6666666666)</f>
        <v>45707.666666666599</v>
      </c>
      <c r="B2549" s="1">
        <f ca="1">IFERROR(__xludf.DUMMYFUNCTION("""COMPUTED_VALUE"""),354)</f>
        <v>354</v>
      </c>
      <c r="C2549" s="1">
        <f ca="1">IFERROR(__xludf.DUMMYFUNCTION("""COMPUTED_VALUE"""),367.34)</f>
        <v>367.34</v>
      </c>
      <c r="D2549" s="1">
        <f ca="1">IFERROR(__xludf.DUMMYFUNCTION("""COMPUTED_VALUE"""),353.67)</f>
        <v>353.67</v>
      </c>
      <c r="E2549" s="1">
        <f ca="1">IFERROR(__xludf.DUMMYFUNCTION("""COMPUTED_VALUE"""),360.56)</f>
        <v>360.56</v>
      </c>
      <c r="F2549" s="1">
        <f ca="1">IFERROR(__xludf.DUMMYFUNCTION("""COMPUTED_VALUE"""),67094374)</f>
        <v>67094374</v>
      </c>
    </row>
    <row r="2550" spans="1:6" x14ac:dyDescent="0.35">
      <c r="A2550" s="2">
        <f ca="1">IFERROR(__xludf.DUMMYFUNCTION("""COMPUTED_VALUE"""),45708.6666666666)</f>
        <v>45708.666666666599</v>
      </c>
      <c r="B2550" s="1">
        <f ca="1">IFERROR(__xludf.DUMMYFUNCTION("""COMPUTED_VALUE"""),361.51)</f>
        <v>361.51</v>
      </c>
      <c r="C2550" s="1">
        <f ca="1">IFERROR(__xludf.DUMMYFUNCTION("""COMPUTED_VALUE"""),362.3)</f>
        <v>362.3</v>
      </c>
      <c r="D2550" s="1">
        <f ca="1">IFERROR(__xludf.DUMMYFUNCTION("""COMPUTED_VALUE"""),348)</f>
        <v>348</v>
      </c>
      <c r="E2550" s="1">
        <f ca="1">IFERROR(__xludf.DUMMYFUNCTION("""COMPUTED_VALUE"""),354.4)</f>
        <v>354.4</v>
      </c>
      <c r="F2550" s="1">
        <f ca="1">IFERROR(__xludf.DUMMYFUNCTION("""COMPUTED_VALUE"""),45965354)</f>
        <v>45965354</v>
      </c>
    </row>
    <row r="2551" spans="1:6" x14ac:dyDescent="0.35">
      <c r="A2551" s="2">
        <f ca="1">IFERROR(__xludf.DUMMYFUNCTION("""COMPUTED_VALUE"""),45709.6666666666)</f>
        <v>45709.666666666599</v>
      </c>
      <c r="B2551" s="1">
        <f ca="1">IFERROR(__xludf.DUMMYFUNCTION("""COMPUTED_VALUE"""),353.44)</f>
        <v>353.44</v>
      </c>
      <c r="C2551" s="1">
        <f ca="1">IFERROR(__xludf.DUMMYFUNCTION("""COMPUTED_VALUE"""),354.98)</f>
        <v>354.98</v>
      </c>
      <c r="D2551" s="1">
        <f ca="1">IFERROR(__xludf.DUMMYFUNCTION("""COMPUTED_VALUE"""),334.42)</f>
        <v>334.42</v>
      </c>
      <c r="E2551" s="1">
        <f ca="1">IFERROR(__xludf.DUMMYFUNCTION("""COMPUTED_VALUE"""),337.8)</f>
        <v>337.8</v>
      </c>
      <c r="F2551" s="1">
        <f ca="1">IFERROR(__xludf.DUMMYFUNCTION("""COMPUTED_VALUE"""),74058648)</f>
        <v>74058648</v>
      </c>
    </row>
    <row r="2552" spans="1:6" x14ac:dyDescent="0.35">
      <c r="A2552" s="2">
        <f ca="1">IFERROR(__xludf.DUMMYFUNCTION("""COMPUTED_VALUE"""),45712.6666666666)</f>
        <v>45712.666666666599</v>
      </c>
      <c r="B2552" s="1">
        <f ca="1">IFERROR(__xludf.DUMMYFUNCTION("""COMPUTED_VALUE"""),338.14)</f>
        <v>338.14</v>
      </c>
      <c r="C2552" s="1">
        <f ca="1">IFERROR(__xludf.DUMMYFUNCTION("""COMPUTED_VALUE"""),342.4)</f>
        <v>342.4</v>
      </c>
      <c r="D2552" s="1">
        <f ca="1">IFERROR(__xludf.DUMMYFUNCTION("""COMPUTED_VALUE"""),324.7)</f>
        <v>324.7</v>
      </c>
      <c r="E2552" s="1">
        <f ca="1">IFERROR(__xludf.DUMMYFUNCTION("""COMPUTED_VALUE"""),330.53)</f>
        <v>330.53</v>
      </c>
      <c r="F2552" s="1">
        <f ca="1">IFERROR(__xludf.DUMMYFUNCTION("""COMPUTED_VALUE"""),76052321)</f>
        <v>76052321</v>
      </c>
    </row>
    <row r="2553" spans="1:6" x14ac:dyDescent="0.35">
      <c r="A2553" s="2">
        <f ca="1">IFERROR(__xludf.DUMMYFUNCTION("""COMPUTED_VALUE"""),45713.6666666666)</f>
        <v>45713.666666666599</v>
      </c>
      <c r="B2553" s="1">
        <f ca="1">IFERROR(__xludf.DUMMYFUNCTION("""COMPUTED_VALUE"""),327.02)</f>
        <v>327.02</v>
      </c>
      <c r="C2553" s="1">
        <f ca="1">IFERROR(__xludf.DUMMYFUNCTION("""COMPUTED_VALUE"""),328.89)</f>
        <v>328.89</v>
      </c>
      <c r="D2553" s="1">
        <f ca="1">IFERROR(__xludf.DUMMYFUNCTION("""COMPUTED_VALUE"""),297.25)</f>
        <v>297.25</v>
      </c>
      <c r="E2553" s="1">
        <f ca="1">IFERROR(__xludf.DUMMYFUNCTION("""COMPUTED_VALUE"""),302.8)</f>
        <v>302.8</v>
      </c>
      <c r="F2553" s="1">
        <f ca="1">IFERROR(__xludf.DUMMYFUNCTION("""COMPUTED_VALUE"""),134228777)</f>
        <v>134228777</v>
      </c>
    </row>
    <row r="2554" spans="1:6" x14ac:dyDescent="0.35">
      <c r="A2554" s="2">
        <f ca="1">IFERROR(__xludf.DUMMYFUNCTION("""COMPUTED_VALUE"""),45714.6666666666)</f>
        <v>45714.666666666599</v>
      </c>
      <c r="B2554" s="1">
        <f ca="1">IFERROR(__xludf.DUMMYFUNCTION("""COMPUTED_VALUE"""),303.71)</f>
        <v>303.70999999999998</v>
      </c>
      <c r="C2554" s="1">
        <f ca="1">IFERROR(__xludf.DUMMYFUNCTION("""COMPUTED_VALUE"""),309)</f>
        <v>309</v>
      </c>
      <c r="D2554" s="1">
        <f ca="1">IFERROR(__xludf.DUMMYFUNCTION("""COMPUTED_VALUE"""),288.04)</f>
        <v>288.04000000000002</v>
      </c>
      <c r="E2554" s="1">
        <f ca="1">IFERROR(__xludf.DUMMYFUNCTION("""COMPUTED_VALUE"""),290.8)</f>
        <v>290.8</v>
      </c>
      <c r="F2554" s="1">
        <f ca="1">IFERROR(__xludf.DUMMYFUNCTION("""COMPUTED_VALUE"""),100118276)</f>
        <v>100118276</v>
      </c>
    </row>
    <row r="2555" spans="1:6" x14ac:dyDescent="0.35">
      <c r="A2555" s="2">
        <f ca="1">IFERROR(__xludf.DUMMYFUNCTION("""COMPUTED_VALUE"""),45715.6666666666)</f>
        <v>45715.666666666599</v>
      </c>
      <c r="B2555" s="1">
        <f ca="1">IFERROR(__xludf.DUMMYFUNCTION("""COMPUTED_VALUE"""),291.16)</f>
        <v>291.16000000000003</v>
      </c>
      <c r="C2555" s="1">
        <f ca="1">IFERROR(__xludf.DUMMYFUNCTION("""COMPUTED_VALUE"""),297.23)</f>
        <v>297.23</v>
      </c>
      <c r="D2555" s="1">
        <f ca="1">IFERROR(__xludf.DUMMYFUNCTION("""COMPUTED_VALUE"""),280.88)</f>
        <v>280.88</v>
      </c>
      <c r="E2555" s="1">
        <f ca="1">IFERROR(__xludf.DUMMYFUNCTION("""COMPUTED_VALUE"""),281.95)</f>
        <v>281.95</v>
      </c>
      <c r="F2555" s="1">
        <f ca="1">IFERROR(__xludf.DUMMYFUNCTION("""COMPUTED_VALUE"""),101748197)</f>
        <v>101748197</v>
      </c>
    </row>
    <row r="2556" spans="1:6" x14ac:dyDescent="0.35">
      <c r="A2556" s="2">
        <f ca="1">IFERROR(__xludf.DUMMYFUNCTION("""COMPUTED_VALUE"""),45716.6666666666)</f>
        <v>45716.666666666599</v>
      </c>
      <c r="B2556" s="1">
        <f ca="1">IFERROR(__xludf.DUMMYFUNCTION("""COMPUTED_VALUE"""),279.5)</f>
        <v>279.5</v>
      </c>
      <c r="C2556" s="1">
        <f ca="1">IFERROR(__xludf.DUMMYFUNCTION("""COMPUTED_VALUE"""),293.88)</f>
        <v>293.88</v>
      </c>
      <c r="D2556" s="1">
        <f ca="1">IFERROR(__xludf.DUMMYFUNCTION("""COMPUTED_VALUE"""),273.6)</f>
        <v>273.60000000000002</v>
      </c>
      <c r="E2556" s="1">
        <f ca="1">IFERROR(__xludf.DUMMYFUNCTION("""COMPUTED_VALUE"""),292.98)</f>
        <v>292.98</v>
      </c>
      <c r="F2556" s="1">
        <f ca="1">IFERROR(__xludf.DUMMYFUNCTION("""COMPUTED_VALUE"""),115696968)</f>
        <v>115696968</v>
      </c>
    </row>
    <row r="2557" spans="1:6" x14ac:dyDescent="0.35">
      <c r="A2557" s="2">
        <f ca="1">IFERROR(__xludf.DUMMYFUNCTION("""COMPUTED_VALUE"""),45719.6666666666)</f>
        <v>45719.666666666599</v>
      </c>
      <c r="B2557" s="1">
        <f ca="1">IFERROR(__xludf.DUMMYFUNCTION("""COMPUTED_VALUE"""),300.34)</f>
        <v>300.33999999999997</v>
      </c>
      <c r="C2557" s="1">
        <f ca="1">IFERROR(__xludf.DUMMYFUNCTION("""COMPUTED_VALUE"""),303.94)</f>
        <v>303.94</v>
      </c>
      <c r="D2557" s="1">
        <f ca="1">IFERROR(__xludf.DUMMYFUNCTION("""COMPUTED_VALUE"""),277.3)</f>
        <v>277.3</v>
      </c>
      <c r="E2557" s="1">
        <f ca="1">IFERROR(__xludf.DUMMYFUNCTION("""COMPUTED_VALUE"""),284.65)</f>
        <v>284.64999999999998</v>
      </c>
      <c r="F2557" s="1">
        <f ca="1">IFERROR(__xludf.DUMMYFUNCTION("""COMPUTED_VALUE"""),115551414)</f>
        <v>115551414</v>
      </c>
    </row>
    <row r="2558" spans="1:6" x14ac:dyDescent="0.35">
      <c r="A2558" s="2">
        <f ca="1">IFERROR(__xludf.DUMMYFUNCTION("""COMPUTED_VALUE"""),45720.6666666666)</f>
        <v>45720.666666666599</v>
      </c>
      <c r="B2558" s="1">
        <f ca="1">IFERROR(__xludf.DUMMYFUNCTION("""COMPUTED_VALUE"""),270.93)</f>
        <v>270.93</v>
      </c>
      <c r="C2558" s="1">
        <f ca="1">IFERROR(__xludf.DUMMYFUNCTION("""COMPUTED_VALUE"""),284.35)</f>
        <v>284.35000000000002</v>
      </c>
      <c r="D2558" s="1">
        <f ca="1">IFERROR(__xludf.DUMMYFUNCTION("""COMPUTED_VALUE"""),261.84)</f>
        <v>261.83999999999997</v>
      </c>
      <c r="E2558" s="1">
        <f ca="1">IFERROR(__xludf.DUMMYFUNCTION("""COMPUTED_VALUE"""),272.04)</f>
        <v>272.04000000000002</v>
      </c>
      <c r="F2558" s="1">
        <f ca="1">IFERROR(__xludf.DUMMYFUNCTION("""COMPUTED_VALUE"""),126706623)</f>
        <v>126706623</v>
      </c>
    </row>
    <row r="2559" spans="1:6" x14ac:dyDescent="0.35">
      <c r="A2559" s="2">
        <f ca="1">IFERROR(__xludf.DUMMYFUNCTION("""COMPUTED_VALUE"""),45721.6666666666)</f>
        <v>45721.666666666599</v>
      </c>
      <c r="B2559" s="1">
        <f ca="1">IFERROR(__xludf.DUMMYFUNCTION("""COMPUTED_VALUE"""),272.92)</f>
        <v>272.92</v>
      </c>
      <c r="C2559" s="1">
        <f ca="1">IFERROR(__xludf.DUMMYFUNCTION("""COMPUTED_VALUE"""),279.55)</f>
        <v>279.55</v>
      </c>
      <c r="D2559" s="1">
        <f ca="1">IFERROR(__xludf.DUMMYFUNCTION("""COMPUTED_VALUE"""),267.71)</f>
        <v>267.70999999999998</v>
      </c>
      <c r="E2559" s="1">
        <f ca="1">IFERROR(__xludf.DUMMYFUNCTION("""COMPUTED_VALUE"""),279.1)</f>
        <v>279.10000000000002</v>
      </c>
      <c r="F2559" s="1">
        <f ca="1">IFERROR(__xludf.DUMMYFUNCTION("""COMPUTED_VALUE"""),94042913)</f>
        <v>94042913</v>
      </c>
    </row>
    <row r="2560" spans="1:6" x14ac:dyDescent="0.35">
      <c r="A2560" s="2">
        <f ca="1">IFERROR(__xludf.DUMMYFUNCTION("""COMPUTED_VALUE"""),45722.6666666666)</f>
        <v>45722.666666666599</v>
      </c>
      <c r="B2560" s="1">
        <f ca="1">IFERROR(__xludf.DUMMYFUNCTION("""COMPUTED_VALUE"""),272.06)</f>
        <v>272.06</v>
      </c>
      <c r="C2560" s="1">
        <f ca="1">IFERROR(__xludf.DUMMYFUNCTION("""COMPUTED_VALUE"""),272.65)</f>
        <v>272.64999999999998</v>
      </c>
      <c r="D2560" s="1">
        <f ca="1">IFERROR(__xludf.DUMMYFUNCTION("""COMPUTED_VALUE"""),260.02)</f>
        <v>260.02</v>
      </c>
      <c r="E2560" s="1">
        <f ca="1">IFERROR(__xludf.DUMMYFUNCTION("""COMPUTED_VALUE"""),263.45)</f>
        <v>263.45</v>
      </c>
      <c r="F2560" s="1">
        <f ca="1">IFERROR(__xludf.DUMMYFUNCTION("""COMPUTED_VALUE"""),98451566)</f>
        <v>98451566</v>
      </c>
    </row>
    <row r="2561" spans="1:6" x14ac:dyDescent="0.35">
      <c r="A2561" s="2">
        <f ca="1">IFERROR(__xludf.DUMMYFUNCTION("""COMPUTED_VALUE"""),45723.6666666666)</f>
        <v>45723.666666666599</v>
      </c>
      <c r="B2561" s="1">
        <f ca="1">IFERROR(__xludf.DUMMYFUNCTION("""COMPUTED_VALUE"""),259.32)</f>
        <v>259.32</v>
      </c>
      <c r="C2561" s="1">
        <f ca="1">IFERROR(__xludf.DUMMYFUNCTION("""COMPUTED_VALUE"""),266.25)</f>
        <v>266.25</v>
      </c>
      <c r="D2561" s="1">
        <f ca="1">IFERROR(__xludf.DUMMYFUNCTION("""COMPUTED_VALUE"""),250.73)</f>
        <v>250.73</v>
      </c>
      <c r="E2561" s="1">
        <f ca="1">IFERROR(__xludf.DUMMYFUNCTION("""COMPUTED_VALUE"""),262.67)</f>
        <v>262.67</v>
      </c>
      <c r="F2561" s="1">
        <f ca="1">IFERROR(__xludf.DUMMYFUNCTION("""COMPUTED_VALUE"""),102369640)</f>
        <v>102369640</v>
      </c>
    </row>
    <row r="2562" spans="1:6" x14ac:dyDescent="0.35">
      <c r="A2562" s="2">
        <f ca="1">IFERROR(__xludf.DUMMYFUNCTION("""COMPUTED_VALUE"""),45726.6666666666)</f>
        <v>45726.666666666599</v>
      </c>
      <c r="B2562" s="1">
        <f ca="1">IFERROR(__xludf.DUMMYFUNCTION("""COMPUTED_VALUE"""),252.54)</f>
        <v>252.54</v>
      </c>
      <c r="C2562" s="1">
        <f ca="1">IFERROR(__xludf.DUMMYFUNCTION("""COMPUTED_VALUE"""),253.37)</f>
        <v>253.37</v>
      </c>
      <c r="D2562" s="1">
        <f ca="1">IFERROR(__xludf.DUMMYFUNCTION("""COMPUTED_VALUE"""),220)</f>
        <v>220</v>
      </c>
      <c r="E2562" s="1">
        <f ca="1">IFERROR(__xludf.DUMMYFUNCTION("""COMPUTED_VALUE"""),222.15)</f>
        <v>222.15</v>
      </c>
      <c r="F2562" s="1">
        <f ca="1">IFERROR(__xludf.DUMMYFUNCTION("""COMPUTED_VALUE"""),189076948)</f>
        <v>189076948</v>
      </c>
    </row>
    <row r="2563" spans="1:6" x14ac:dyDescent="0.35">
      <c r="A2563" s="2">
        <f ca="1">IFERROR(__xludf.DUMMYFUNCTION("""COMPUTED_VALUE"""),45727.6666666666)</f>
        <v>45727.666666666599</v>
      </c>
      <c r="B2563" s="1">
        <f ca="1">IFERROR(__xludf.DUMMYFUNCTION("""COMPUTED_VALUE"""),225.31)</f>
        <v>225.31</v>
      </c>
      <c r="C2563" s="1">
        <f ca="1">IFERROR(__xludf.DUMMYFUNCTION("""COMPUTED_VALUE"""),237.06)</f>
        <v>237.06</v>
      </c>
      <c r="D2563" s="1">
        <f ca="1">IFERROR(__xludf.DUMMYFUNCTION("""COMPUTED_VALUE"""),217.02)</f>
        <v>217.02</v>
      </c>
      <c r="E2563" s="1">
        <f ca="1">IFERROR(__xludf.DUMMYFUNCTION("""COMPUTED_VALUE"""),230.58)</f>
        <v>230.58</v>
      </c>
      <c r="F2563" s="1">
        <f ca="1">IFERROR(__xludf.DUMMYFUNCTION("""COMPUTED_VALUE"""),174896415)</f>
        <v>174896415</v>
      </c>
    </row>
    <row r="2564" spans="1:6" x14ac:dyDescent="0.35">
      <c r="A2564" s="2">
        <f ca="1">IFERROR(__xludf.DUMMYFUNCTION("""COMPUTED_VALUE"""),45728.6666666666)</f>
        <v>45728.666666666599</v>
      </c>
      <c r="B2564" s="1">
        <f ca="1">IFERROR(__xludf.DUMMYFUNCTION("""COMPUTED_VALUE"""),247.22)</f>
        <v>247.22</v>
      </c>
      <c r="C2564" s="1">
        <f ca="1">IFERROR(__xludf.DUMMYFUNCTION("""COMPUTED_VALUE"""),251.84)</f>
        <v>251.84</v>
      </c>
      <c r="D2564" s="1">
        <f ca="1">IFERROR(__xludf.DUMMYFUNCTION("""COMPUTED_VALUE"""),241.1)</f>
        <v>241.1</v>
      </c>
      <c r="E2564" s="1">
        <f ca="1">IFERROR(__xludf.DUMMYFUNCTION("""COMPUTED_VALUE"""),248.09)</f>
        <v>248.09</v>
      </c>
      <c r="F2564" s="1">
        <f ca="1">IFERROR(__xludf.DUMMYFUNCTION("""COMPUTED_VALUE"""),142215681)</f>
        <v>142215681</v>
      </c>
    </row>
    <row r="2565" spans="1:6" x14ac:dyDescent="0.35">
      <c r="A2565" s="2">
        <f ca="1">IFERROR(__xludf.DUMMYFUNCTION("""COMPUTED_VALUE"""),45729.6666666666)</f>
        <v>45729.666666666599</v>
      </c>
      <c r="B2565" s="1">
        <f ca="1">IFERROR(__xludf.DUMMYFUNCTION("""COMPUTED_VALUE"""),248.13)</f>
        <v>248.13</v>
      </c>
      <c r="C2565" s="1">
        <f ca="1">IFERROR(__xludf.DUMMYFUNCTION("""COMPUTED_VALUE"""),248.29)</f>
        <v>248.29</v>
      </c>
      <c r="D2565" s="1">
        <f ca="1">IFERROR(__xludf.DUMMYFUNCTION("""COMPUTED_VALUE"""),232.6)</f>
        <v>232.6</v>
      </c>
      <c r="E2565" s="1">
        <f ca="1">IFERROR(__xludf.DUMMYFUNCTION("""COMPUTED_VALUE"""),240.68)</f>
        <v>240.68</v>
      </c>
      <c r="F2565" s="1">
        <f ca="1">IFERROR(__xludf.DUMMYFUNCTION("""COMPUTED_VALUE"""),114813525)</f>
        <v>114813525</v>
      </c>
    </row>
    <row r="2566" spans="1:6" x14ac:dyDescent="0.35">
      <c r="A2566" s="2">
        <f ca="1">IFERROR(__xludf.DUMMYFUNCTION("""COMPUTED_VALUE"""),45730.6666666666)</f>
        <v>45730.666666666599</v>
      </c>
      <c r="B2566" s="1">
        <f ca="1">IFERROR(__xludf.DUMMYFUNCTION("""COMPUTED_VALUE"""),247.31)</f>
        <v>247.31</v>
      </c>
      <c r="C2566" s="1">
        <f ca="1">IFERROR(__xludf.DUMMYFUNCTION("""COMPUTED_VALUE"""),251.58)</f>
        <v>251.58</v>
      </c>
      <c r="D2566" s="1">
        <f ca="1">IFERROR(__xludf.DUMMYFUNCTION("""COMPUTED_VALUE"""),240.73)</f>
        <v>240.73</v>
      </c>
      <c r="E2566" s="1">
        <f ca="1">IFERROR(__xludf.DUMMYFUNCTION("""COMPUTED_VALUE"""),249.98)</f>
        <v>249.98</v>
      </c>
      <c r="F2566" s="1">
        <f ca="1">IFERROR(__xludf.DUMMYFUNCTION("""COMPUTED_VALUE"""),100242264)</f>
        <v>100242264</v>
      </c>
    </row>
    <row r="2567" spans="1:6" x14ac:dyDescent="0.35">
      <c r="A2567" s="2">
        <f ca="1">IFERROR(__xludf.DUMMYFUNCTION("""COMPUTED_VALUE"""),45733.6666666666)</f>
        <v>45733.666666666599</v>
      </c>
      <c r="B2567" s="1">
        <f ca="1">IFERROR(__xludf.DUMMYFUNCTION("""COMPUTED_VALUE"""),245.06)</f>
        <v>245.06</v>
      </c>
      <c r="C2567" s="1">
        <f ca="1">IFERROR(__xludf.DUMMYFUNCTION("""COMPUTED_VALUE"""),245.4)</f>
        <v>245.4</v>
      </c>
      <c r="D2567" s="1">
        <f ca="1">IFERROR(__xludf.DUMMYFUNCTION("""COMPUTED_VALUE"""),232.8)</f>
        <v>232.8</v>
      </c>
      <c r="E2567" s="1">
        <f ca="1">IFERROR(__xludf.DUMMYFUNCTION("""COMPUTED_VALUE"""),238.01)</f>
        <v>238.01</v>
      </c>
      <c r="F2567" s="1">
        <f ca="1">IFERROR(__xludf.DUMMYFUNCTION("""COMPUTED_VALUE"""),111900565)</f>
        <v>111900565</v>
      </c>
    </row>
    <row r="2568" spans="1:6" x14ac:dyDescent="0.35">
      <c r="A2568" s="2">
        <f ca="1">IFERROR(__xludf.DUMMYFUNCTION("""COMPUTED_VALUE"""),45734.6666666666)</f>
        <v>45734.666666666599</v>
      </c>
      <c r="B2568" s="1">
        <f ca="1">IFERROR(__xludf.DUMMYFUNCTION("""COMPUTED_VALUE"""),228.16)</f>
        <v>228.16</v>
      </c>
      <c r="C2568" s="1">
        <f ca="1">IFERROR(__xludf.DUMMYFUNCTION("""COMPUTED_VALUE"""),230.1)</f>
        <v>230.1</v>
      </c>
      <c r="D2568" s="1">
        <f ca="1">IFERROR(__xludf.DUMMYFUNCTION("""COMPUTED_VALUE"""),222.28)</f>
        <v>222.28</v>
      </c>
      <c r="E2568" s="1">
        <f ca="1">IFERROR(__xludf.DUMMYFUNCTION("""COMPUTED_VALUE"""),225.31)</f>
        <v>225.31</v>
      </c>
      <c r="F2568" s="1">
        <f ca="1">IFERROR(__xludf.DUMMYFUNCTION("""COMPUTED_VALUE"""),111477636)</f>
        <v>111477636</v>
      </c>
    </row>
    <row r="2569" spans="1:6" x14ac:dyDescent="0.35">
      <c r="A2569" s="2">
        <f ca="1">IFERROR(__xludf.DUMMYFUNCTION("""COMPUTED_VALUE"""),45735.6666666666)</f>
        <v>45735.666666666599</v>
      </c>
      <c r="B2569" s="1">
        <f ca="1">IFERROR(__xludf.DUMMYFUNCTION("""COMPUTED_VALUE"""),231.61)</f>
        <v>231.61</v>
      </c>
      <c r="C2569" s="1">
        <f ca="1">IFERROR(__xludf.DUMMYFUNCTION("""COMPUTED_VALUE"""),241.41)</f>
        <v>241.41</v>
      </c>
      <c r="D2569" s="1">
        <f ca="1">IFERROR(__xludf.DUMMYFUNCTION("""COMPUTED_VALUE"""),229.2)</f>
        <v>229.2</v>
      </c>
      <c r="E2569" s="1">
        <f ca="1">IFERROR(__xludf.DUMMYFUNCTION("""COMPUTED_VALUE"""),235.86)</f>
        <v>235.86</v>
      </c>
      <c r="F2569" s="1">
        <f ca="1">IFERROR(__xludf.DUMMYFUNCTION("""COMPUTED_VALUE"""),111993753)</f>
        <v>111993753</v>
      </c>
    </row>
    <row r="2570" spans="1:6" x14ac:dyDescent="0.35">
      <c r="A2570" s="2">
        <f ca="1">IFERROR(__xludf.DUMMYFUNCTION("""COMPUTED_VALUE"""),45736.6666666666)</f>
        <v>45736.666666666599</v>
      </c>
      <c r="B2570" s="1">
        <f ca="1">IFERROR(__xludf.DUMMYFUNCTION("""COMPUTED_VALUE"""),233.35)</f>
        <v>233.35</v>
      </c>
      <c r="C2570" s="1">
        <f ca="1">IFERROR(__xludf.DUMMYFUNCTION("""COMPUTED_VALUE"""),238)</f>
        <v>238</v>
      </c>
      <c r="D2570" s="1">
        <f ca="1">IFERROR(__xludf.DUMMYFUNCTION("""COMPUTED_VALUE"""),230.05)</f>
        <v>230.05</v>
      </c>
      <c r="E2570" s="1">
        <f ca="1">IFERROR(__xludf.DUMMYFUNCTION("""COMPUTED_VALUE"""),236.26)</f>
        <v>236.26</v>
      </c>
      <c r="F2570" s="1">
        <f ca="1">IFERROR(__xludf.DUMMYFUNCTION("""COMPUTED_VALUE"""),99028270)</f>
        <v>99028270</v>
      </c>
    </row>
    <row r="2571" spans="1:6" x14ac:dyDescent="0.35">
      <c r="A2571" s="2">
        <f ca="1">IFERROR(__xludf.DUMMYFUNCTION("""COMPUTED_VALUE"""),45737.6666666666)</f>
        <v>45737.666666666599</v>
      </c>
      <c r="B2571" s="1">
        <f ca="1">IFERROR(__xludf.DUMMYFUNCTION("""COMPUTED_VALUE"""),234.99)</f>
        <v>234.99</v>
      </c>
      <c r="C2571" s="1">
        <f ca="1">IFERROR(__xludf.DUMMYFUNCTION("""COMPUTED_VALUE"""),249.52)</f>
        <v>249.52</v>
      </c>
      <c r="D2571" s="1">
        <f ca="1">IFERROR(__xludf.DUMMYFUNCTION("""COMPUTED_VALUE"""),234.55)</f>
        <v>234.55</v>
      </c>
      <c r="E2571" s="1">
        <f ca="1">IFERROR(__xludf.DUMMYFUNCTION("""COMPUTED_VALUE"""),248.71)</f>
        <v>248.71</v>
      </c>
      <c r="F2571" s="1">
        <f ca="1">IFERROR(__xludf.DUMMYFUNCTION("""COMPUTED_VALUE"""),132728684)</f>
        <v>132728684</v>
      </c>
    </row>
    <row r="2572" spans="1:6" x14ac:dyDescent="0.35">
      <c r="A2572" s="2">
        <f ca="1">IFERROR(__xludf.DUMMYFUNCTION("""COMPUTED_VALUE"""),45740.6666666666)</f>
        <v>45740.666666666599</v>
      </c>
      <c r="B2572" s="1">
        <f ca="1">IFERROR(__xludf.DUMMYFUNCTION("""COMPUTED_VALUE"""),258.08)</f>
        <v>258.08</v>
      </c>
      <c r="C2572" s="1">
        <f ca="1">IFERROR(__xludf.DUMMYFUNCTION("""COMPUTED_VALUE"""),278.64)</f>
        <v>278.64</v>
      </c>
      <c r="D2572" s="1">
        <f ca="1">IFERROR(__xludf.DUMMYFUNCTION("""COMPUTED_VALUE"""),256.33)</f>
        <v>256.33</v>
      </c>
      <c r="E2572" s="1">
        <f ca="1">IFERROR(__xludf.DUMMYFUNCTION("""COMPUTED_VALUE"""),278.39)</f>
        <v>278.39</v>
      </c>
      <c r="F2572" s="1">
        <f ca="1">IFERROR(__xludf.DUMMYFUNCTION("""COMPUTED_VALUE"""),169079865)</f>
        <v>169079865</v>
      </c>
    </row>
    <row r="2573" spans="1:6" x14ac:dyDescent="0.35">
      <c r="A2573" s="2">
        <f ca="1">IFERROR(__xludf.DUMMYFUNCTION("""COMPUTED_VALUE"""),45741.6666666666)</f>
        <v>45741.666666666599</v>
      </c>
      <c r="B2573" s="1">
        <f ca="1">IFERROR(__xludf.DUMMYFUNCTION("""COMPUTED_VALUE"""),283.6)</f>
        <v>283.60000000000002</v>
      </c>
      <c r="C2573" s="1">
        <f ca="1">IFERROR(__xludf.DUMMYFUNCTION("""COMPUTED_VALUE"""),288.2)</f>
        <v>288.2</v>
      </c>
      <c r="D2573" s="1">
        <f ca="1">IFERROR(__xludf.DUMMYFUNCTION("""COMPUTED_VALUE"""),271.28)</f>
        <v>271.27999999999997</v>
      </c>
      <c r="E2573" s="1">
        <f ca="1">IFERROR(__xludf.DUMMYFUNCTION("""COMPUTED_VALUE"""),288.14)</f>
        <v>288.14</v>
      </c>
      <c r="F2573" s="1">
        <f ca="1">IFERROR(__xludf.DUMMYFUNCTION("""COMPUTED_VALUE"""),150361538)</f>
        <v>150361538</v>
      </c>
    </row>
    <row r="2574" spans="1:6" x14ac:dyDescent="0.35">
      <c r="A2574" s="2">
        <f ca="1">IFERROR(__xludf.DUMMYFUNCTION("""COMPUTED_VALUE"""),45742.6666666666)</f>
        <v>45742.666666666599</v>
      </c>
      <c r="B2574" s="1">
        <f ca="1">IFERROR(__xludf.DUMMYFUNCTION("""COMPUTED_VALUE"""),282.66)</f>
        <v>282.66000000000003</v>
      </c>
      <c r="C2574" s="1">
        <f ca="1">IFERROR(__xludf.DUMMYFUNCTION("""COMPUTED_VALUE"""),284.9)</f>
        <v>284.89999999999998</v>
      </c>
      <c r="D2574" s="1">
        <f ca="1">IFERROR(__xludf.DUMMYFUNCTION("""COMPUTED_VALUE"""),266.51)</f>
        <v>266.51</v>
      </c>
      <c r="E2574" s="1">
        <f ca="1">IFERROR(__xludf.DUMMYFUNCTION("""COMPUTED_VALUE"""),272.06)</f>
        <v>272.06</v>
      </c>
      <c r="F2574" s="1">
        <f ca="1">IFERROR(__xludf.DUMMYFUNCTION("""COMPUTED_VALUE"""),156254441)</f>
        <v>156254441</v>
      </c>
    </row>
    <row r="2575" spans="1:6" x14ac:dyDescent="0.35">
      <c r="A2575" s="2">
        <f ca="1">IFERROR(__xludf.DUMMYFUNCTION("""COMPUTED_VALUE"""),45743.6666666666)</f>
        <v>45743.666666666599</v>
      </c>
      <c r="B2575" s="1">
        <f ca="1">IFERROR(__xludf.DUMMYFUNCTION("""COMPUTED_VALUE"""),272.48)</f>
        <v>272.48</v>
      </c>
      <c r="C2575" s="1">
        <f ca="1">IFERROR(__xludf.DUMMYFUNCTION("""COMPUTED_VALUE"""),291.85)</f>
        <v>291.85000000000002</v>
      </c>
      <c r="D2575" s="1">
        <f ca="1">IFERROR(__xludf.DUMMYFUNCTION("""COMPUTED_VALUE"""),271.82)</f>
        <v>271.82</v>
      </c>
      <c r="E2575" s="1">
        <f ca="1">IFERROR(__xludf.DUMMYFUNCTION("""COMPUTED_VALUE"""),273.13)</f>
        <v>273.13</v>
      </c>
      <c r="F2575" s="1">
        <f ca="1">IFERROR(__xludf.DUMMYFUNCTION("""COMPUTED_VALUE"""),162572146)</f>
        <v>162572146</v>
      </c>
    </row>
    <row r="2576" spans="1:6" x14ac:dyDescent="0.35">
      <c r="A2576" s="2">
        <f ca="1">IFERROR(__xludf.DUMMYFUNCTION("""COMPUTED_VALUE"""),45744.6666666666)</f>
        <v>45744.666666666599</v>
      </c>
      <c r="B2576" s="1">
        <f ca="1">IFERROR(__xludf.DUMMYFUNCTION("""COMPUTED_VALUE"""),275.58)</f>
        <v>275.58</v>
      </c>
      <c r="C2576" s="1">
        <f ca="1">IFERROR(__xludf.DUMMYFUNCTION("""COMPUTED_VALUE"""),276.1)</f>
        <v>276.10000000000002</v>
      </c>
      <c r="D2576" s="1">
        <f ca="1">IFERROR(__xludf.DUMMYFUNCTION("""COMPUTED_VALUE"""),260.57)</f>
        <v>260.57</v>
      </c>
      <c r="E2576" s="1">
        <f ca="1">IFERROR(__xludf.DUMMYFUNCTION("""COMPUTED_VALUE"""),263.55)</f>
        <v>263.55</v>
      </c>
      <c r="F2576" s="1">
        <f ca="1">IFERROR(__xludf.DUMMYFUNCTION("""COMPUTED_VALUE"""),123809389)</f>
        <v>123809389</v>
      </c>
    </row>
    <row r="2577" spans="1:6" x14ac:dyDescent="0.35">
      <c r="A2577" s="2">
        <f ca="1">IFERROR(__xludf.DUMMYFUNCTION("""COMPUTED_VALUE"""),45747.6666666666)</f>
        <v>45747.666666666599</v>
      </c>
      <c r="B2577" s="1">
        <f ca="1">IFERROR(__xludf.DUMMYFUNCTION("""COMPUTED_VALUE"""),249.31)</f>
        <v>249.31</v>
      </c>
      <c r="C2577" s="1">
        <f ca="1">IFERROR(__xludf.DUMMYFUNCTION("""COMPUTED_VALUE"""),260.56)</f>
        <v>260.56</v>
      </c>
      <c r="D2577" s="1">
        <f ca="1">IFERROR(__xludf.DUMMYFUNCTION("""COMPUTED_VALUE"""),243.36)</f>
        <v>243.36</v>
      </c>
      <c r="E2577" s="1">
        <f ca="1">IFERROR(__xludf.DUMMYFUNCTION("""COMPUTED_VALUE"""),259.16)</f>
        <v>259.16000000000003</v>
      </c>
      <c r="F2577" s="1">
        <f ca="1">IFERROR(__xludf.DUMMYFUNCTION("""COMPUTED_VALUE"""),134008936)</f>
        <v>134008936</v>
      </c>
    </row>
    <row r="2578" spans="1:6" x14ac:dyDescent="0.35">
      <c r="A2578" s="2">
        <f ca="1">IFERROR(__xludf.DUMMYFUNCTION("""COMPUTED_VALUE"""),45748.6666666666)</f>
        <v>45748.666666666599</v>
      </c>
      <c r="B2578" s="1">
        <f ca="1">IFERROR(__xludf.DUMMYFUNCTION("""COMPUTED_VALUE"""),263.8)</f>
        <v>263.8</v>
      </c>
      <c r="C2578" s="1">
        <f ca="1">IFERROR(__xludf.DUMMYFUNCTION("""COMPUTED_VALUE"""),277.45)</f>
        <v>277.45</v>
      </c>
      <c r="D2578" s="1">
        <f ca="1">IFERROR(__xludf.DUMMYFUNCTION("""COMPUTED_VALUE"""),259.25)</f>
        <v>259.25</v>
      </c>
      <c r="E2578" s="1">
        <f ca="1">IFERROR(__xludf.DUMMYFUNCTION("""COMPUTED_VALUE"""),268.46)</f>
        <v>268.45999999999998</v>
      </c>
      <c r="F2578" s="1">
        <f ca="1">IFERROR(__xludf.DUMMYFUNCTION("""COMPUTED_VALUE"""),146486911)</f>
        <v>146486911</v>
      </c>
    </row>
    <row r="2579" spans="1:6" x14ac:dyDescent="0.35">
      <c r="A2579" s="2">
        <f ca="1">IFERROR(__xludf.DUMMYFUNCTION("""COMPUTED_VALUE"""),45749.6666666666)</f>
        <v>45749.666666666599</v>
      </c>
      <c r="B2579" s="1">
        <f ca="1">IFERROR(__xludf.DUMMYFUNCTION("""COMPUTED_VALUE"""),254.6)</f>
        <v>254.6</v>
      </c>
      <c r="C2579" s="1">
        <f ca="1">IFERROR(__xludf.DUMMYFUNCTION("""COMPUTED_VALUE"""),284.99)</f>
        <v>284.99</v>
      </c>
      <c r="D2579" s="1">
        <f ca="1">IFERROR(__xludf.DUMMYFUNCTION("""COMPUTED_VALUE"""),251.27)</f>
        <v>251.27</v>
      </c>
      <c r="E2579" s="1">
        <f ca="1">IFERROR(__xludf.DUMMYFUNCTION("""COMPUTED_VALUE"""),282.76)</f>
        <v>282.76</v>
      </c>
      <c r="F2579" s="1">
        <f ca="1">IFERROR(__xludf.DUMMYFUNCTION("""COMPUTED_VALUE"""),212787817)</f>
        <v>212787817</v>
      </c>
    </row>
    <row r="2580" spans="1:6" x14ac:dyDescent="0.35">
      <c r="A2580" s="2">
        <f ca="1">IFERROR(__xludf.DUMMYFUNCTION("""COMPUTED_VALUE"""),45750.6666666666)</f>
        <v>45750.666666666599</v>
      </c>
      <c r="B2580" s="1">
        <f ca="1">IFERROR(__xludf.DUMMYFUNCTION("""COMPUTED_VALUE"""),265.29)</f>
        <v>265.29000000000002</v>
      </c>
      <c r="C2580" s="1">
        <f ca="1">IFERROR(__xludf.DUMMYFUNCTION("""COMPUTED_VALUE"""),276.3)</f>
        <v>276.3</v>
      </c>
      <c r="D2580" s="1">
        <f ca="1">IFERROR(__xludf.DUMMYFUNCTION("""COMPUTED_VALUE"""),261.51)</f>
        <v>261.51</v>
      </c>
      <c r="E2580" s="1">
        <f ca="1">IFERROR(__xludf.DUMMYFUNCTION("""COMPUTED_VALUE"""),267.28)</f>
        <v>267.27999999999997</v>
      </c>
      <c r="F2580" s="1">
        <f ca="1">IFERROR(__xludf.DUMMYFUNCTION("""COMPUTED_VALUE"""),136174291)</f>
        <v>136174291</v>
      </c>
    </row>
    <row r="2581" spans="1:6" x14ac:dyDescent="0.35">
      <c r="A2581" s="2">
        <f ca="1">IFERROR(__xludf.DUMMYFUNCTION("""COMPUTED_VALUE"""),45751.6666666666)</f>
        <v>45751.666666666599</v>
      </c>
      <c r="B2581" s="1">
        <f ca="1">IFERROR(__xludf.DUMMYFUNCTION("""COMPUTED_VALUE"""),255.38)</f>
        <v>255.38</v>
      </c>
      <c r="C2581" s="1">
        <f ca="1">IFERROR(__xludf.DUMMYFUNCTION("""COMPUTED_VALUE"""),261)</f>
        <v>261</v>
      </c>
      <c r="D2581" s="1">
        <f ca="1">IFERROR(__xludf.DUMMYFUNCTION("""COMPUTED_VALUE"""),236)</f>
        <v>236</v>
      </c>
      <c r="E2581" s="1">
        <f ca="1">IFERROR(__xludf.DUMMYFUNCTION("""COMPUTED_VALUE"""),239.43)</f>
        <v>239.43</v>
      </c>
      <c r="F2581" s="1">
        <f ca="1">IFERROR(__xludf.DUMMYFUNCTION("""COMPUTED_VALUE"""),181229353)</f>
        <v>181229353</v>
      </c>
    </row>
    <row r="2582" spans="1:6" x14ac:dyDescent="0.35">
      <c r="A2582" s="2">
        <f ca="1">IFERROR(__xludf.DUMMYFUNCTION("""COMPUTED_VALUE"""),45754.6666666666)</f>
        <v>45754.666666666599</v>
      </c>
      <c r="B2582" s="1">
        <f ca="1">IFERROR(__xludf.DUMMYFUNCTION("""COMPUTED_VALUE"""),223.78)</f>
        <v>223.78</v>
      </c>
      <c r="C2582" s="1">
        <f ca="1">IFERROR(__xludf.DUMMYFUNCTION("""COMPUTED_VALUE"""),252)</f>
        <v>252</v>
      </c>
      <c r="D2582" s="1">
        <f ca="1">IFERROR(__xludf.DUMMYFUNCTION("""COMPUTED_VALUE"""),214.25)</f>
        <v>214.25</v>
      </c>
      <c r="E2582" s="1">
        <f ca="1">IFERROR(__xludf.DUMMYFUNCTION("""COMPUTED_VALUE"""),233.29)</f>
        <v>233.29</v>
      </c>
      <c r="F2582" s="1">
        <f ca="1">IFERROR(__xludf.DUMMYFUNCTION("""COMPUTED_VALUE"""),183453776)</f>
        <v>183453776</v>
      </c>
    </row>
    <row r="2583" spans="1:6" x14ac:dyDescent="0.35">
      <c r="A2583" s="2">
        <f ca="1">IFERROR(__xludf.DUMMYFUNCTION("""COMPUTED_VALUE"""),45755.6666666666)</f>
        <v>45755.666666666599</v>
      </c>
      <c r="B2583" s="1">
        <f ca="1">IFERROR(__xludf.DUMMYFUNCTION("""COMPUTED_VALUE"""),245)</f>
        <v>245</v>
      </c>
      <c r="C2583" s="1">
        <f ca="1">IFERROR(__xludf.DUMMYFUNCTION("""COMPUTED_VALUE"""),250.44)</f>
        <v>250.44</v>
      </c>
      <c r="D2583" s="1">
        <f ca="1">IFERROR(__xludf.DUMMYFUNCTION("""COMPUTED_VALUE"""),217.8)</f>
        <v>217.8</v>
      </c>
      <c r="E2583" s="1">
        <f ca="1">IFERROR(__xludf.DUMMYFUNCTION("""COMPUTED_VALUE"""),221.86)</f>
        <v>221.86</v>
      </c>
      <c r="F2583" s="1">
        <f ca="1">IFERROR(__xludf.DUMMYFUNCTION("""COMPUTED_VALUE"""),171603472)</f>
        <v>171603472</v>
      </c>
    </row>
    <row r="2584" spans="1:6" x14ac:dyDescent="0.35">
      <c r="A2584" s="2">
        <f ca="1">IFERROR(__xludf.DUMMYFUNCTION("""COMPUTED_VALUE"""),45756.6666666666)</f>
        <v>45756.666666666599</v>
      </c>
      <c r="B2584" s="1">
        <f ca="1">IFERROR(__xludf.DUMMYFUNCTION("""COMPUTED_VALUE"""),224.69)</f>
        <v>224.69</v>
      </c>
      <c r="C2584" s="1">
        <f ca="1">IFERROR(__xludf.DUMMYFUNCTION("""COMPUTED_VALUE"""),274.69)</f>
        <v>274.69</v>
      </c>
      <c r="D2584" s="1">
        <f ca="1">IFERROR(__xludf.DUMMYFUNCTION("""COMPUTED_VALUE"""),223.88)</f>
        <v>223.88</v>
      </c>
      <c r="E2584" s="1">
        <f ca="1">IFERROR(__xludf.DUMMYFUNCTION("""COMPUTED_VALUE"""),272.2)</f>
        <v>272.2</v>
      </c>
      <c r="F2584" s="1">
        <f ca="1">IFERROR(__xludf.DUMMYFUNCTION("""COMPUTED_VALUE"""),219433373)</f>
        <v>219433373</v>
      </c>
    </row>
    <row r="2585" spans="1:6" x14ac:dyDescent="0.35">
      <c r="A2585" s="2">
        <f ca="1">IFERROR(__xludf.DUMMYFUNCTION("""COMPUTED_VALUE"""),45757.6666666666)</f>
        <v>45757.666666666599</v>
      </c>
      <c r="B2585" s="1">
        <f ca="1">IFERROR(__xludf.DUMMYFUNCTION("""COMPUTED_VALUE"""),260)</f>
        <v>260</v>
      </c>
      <c r="C2585" s="1">
        <f ca="1">IFERROR(__xludf.DUMMYFUNCTION("""COMPUTED_VALUE"""),262.49)</f>
        <v>262.49</v>
      </c>
      <c r="D2585" s="1">
        <f ca="1">IFERROR(__xludf.DUMMYFUNCTION("""COMPUTED_VALUE"""),239.33)</f>
        <v>239.33</v>
      </c>
      <c r="E2585" s="1">
        <f ca="1">IFERROR(__xludf.DUMMYFUNCTION("""COMPUTED_VALUE"""),252.4)</f>
        <v>252.4</v>
      </c>
      <c r="F2585" s="1">
        <f ca="1">IFERROR(__xludf.DUMMYFUNCTION("""COMPUTED_VALUE"""),181722604)</f>
        <v>181722604</v>
      </c>
    </row>
    <row r="2586" spans="1:6" x14ac:dyDescent="0.35">
      <c r="A2586" s="2">
        <f ca="1">IFERROR(__xludf.DUMMYFUNCTION("""COMPUTED_VALUE"""),45758.6666666666)</f>
        <v>45758.666666666599</v>
      </c>
      <c r="B2586" s="1">
        <f ca="1">IFERROR(__xludf.DUMMYFUNCTION("""COMPUTED_VALUE"""),251.84)</f>
        <v>251.84</v>
      </c>
      <c r="C2586" s="1">
        <f ca="1">IFERROR(__xludf.DUMMYFUNCTION("""COMPUTED_VALUE"""),257.74)</f>
        <v>257.74</v>
      </c>
      <c r="D2586" s="1">
        <f ca="1">IFERROR(__xludf.DUMMYFUNCTION("""COMPUTED_VALUE"""),241.36)</f>
        <v>241.36</v>
      </c>
      <c r="E2586" s="1">
        <f ca="1">IFERROR(__xludf.DUMMYFUNCTION("""COMPUTED_VALUE"""),252.31)</f>
        <v>252.31</v>
      </c>
      <c r="F2586" s="1">
        <f ca="1">IFERROR(__xludf.DUMMYFUNCTION("""COMPUTED_VALUE"""),128948085)</f>
        <v>128948085</v>
      </c>
    </row>
    <row r="2587" spans="1:6" x14ac:dyDescent="0.35">
      <c r="A2587" s="2">
        <f ca="1">IFERROR(__xludf.DUMMYFUNCTION("""COMPUTED_VALUE"""),45761.6666666666)</f>
        <v>45761.666666666599</v>
      </c>
      <c r="B2587" s="1">
        <f ca="1">IFERROR(__xludf.DUMMYFUNCTION("""COMPUTED_VALUE"""),258.36)</f>
        <v>258.36</v>
      </c>
      <c r="C2587" s="1">
        <f ca="1">IFERROR(__xludf.DUMMYFUNCTION("""COMPUTED_VALUE"""),261.8)</f>
        <v>261.8</v>
      </c>
      <c r="D2587" s="1">
        <f ca="1">IFERROR(__xludf.DUMMYFUNCTION("""COMPUTED_VALUE"""),245.93)</f>
        <v>245.93</v>
      </c>
      <c r="E2587" s="1">
        <f ca="1">IFERROR(__xludf.DUMMYFUNCTION("""COMPUTED_VALUE"""),252.35)</f>
        <v>252.35</v>
      </c>
      <c r="F2587" s="1">
        <f ca="1">IFERROR(__xludf.DUMMYFUNCTION("""COMPUTED_VALUE"""),100135241)</f>
        <v>100135241</v>
      </c>
    </row>
    <row r="2588" spans="1:6" x14ac:dyDescent="0.35">
      <c r="A2588" s="2">
        <f ca="1">IFERROR(__xludf.DUMMYFUNCTION("""COMPUTED_VALUE"""),45762.6666666666)</f>
        <v>45762.666666666599</v>
      </c>
      <c r="B2588" s="1">
        <f ca="1">IFERROR(__xludf.DUMMYFUNCTION("""COMPUTED_VALUE"""),249.91)</f>
        <v>249.91</v>
      </c>
      <c r="C2588" s="1">
        <f ca="1">IFERROR(__xludf.DUMMYFUNCTION("""COMPUTED_VALUE"""),258.75)</f>
        <v>258.75</v>
      </c>
      <c r="D2588" s="1">
        <f ca="1">IFERROR(__xludf.DUMMYFUNCTION("""COMPUTED_VALUE"""),247.54)</f>
        <v>247.54</v>
      </c>
      <c r="E2588" s="1">
        <f ca="1">IFERROR(__xludf.DUMMYFUNCTION("""COMPUTED_VALUE"""),254.11)</f>
        <v>254.11</v>
      </c>
      <c r="F2588" s="1">
        <f ca="1">IFERROR(__xludf.DUMMYFUNCTION("""COMPUTED_VALUE"""),79594318)</f>
        <v>79594318</v>
      </c>
    </row>
    <row r="2589" spans="1:6" x14ac:dyDescent="0.35">
      <c r="A2589" s="2">
        <f ca="1">IFERROR(__xludf.DUMMYFUNCTION("""COMPUTED_VALUE"""),45763.6666666666)</f>
        <v>45763.666666666599</v>
      </c>
      <c r="B2589" s="1">
        <f ca="1">IFERROR(__xludf.DUMMYFUNCTION("""COMPUTED_VALUE"""),247.61)</f>
        <v>247.61</v>
      </c>
      <c r="C2589" s="1">
        <f ca="1">IFERROR(__xludf.DUMMYFUNCTION("""COMPUTED_VALUE"""),251.97)</f>
        <v>251.97</v>
      </c>
      <c r="D2589" s="1">
        <f ca="1">IFERROR(__xludf.DUMMYFUNCTION("""COMPUTED_VALUE"""),233.89)</f>
        <v>233.89</v>
      </c>
      <c r="E2589" s="1">
        <f ca="1">IFERROR(__xludf.DUMMYFUNCTION("""COMPUTED_VALUE"""),241.55)</f>
        <v>241.55</v>
      </c>
      <c r="F2589" s="1">
        <f ca="1">IFERROR(__xludf.DUMMYFUNCTION("""COMPUTED_VALUE"""),112378737)</f>
        <v>112378737</v>
      </c>
    </row>
    <row r="2590" spans="1:6" x14ac:dyDescent="0.35">
      <c r="A2590" s="2">
        <f ca="1">IFERROR(__xludf.DUMMYFUNCTION("""COMPUTED_VALUE"""),45764.6666666666)</f>
        <v>45764.666666666599</v>
      </c>
      <c r="B2590" s="1">
        <f ca="1">IFERROR(__xludf.DUMMYFUNCTION("""COMPUTED_VALUE"""),243.47)</f>
        <v>243.47</v>
      </c>
      <c r="C2590" s="1">
        <f ca="1">IFERROR(__xludf.DUMMYFUNCTION("""COMPUTED_VALUE"""),244.34)</f>
        <v>244.34</v>
      </c>
      <c r="D2590" s="1">
        <f ca="1">IFERROR(__xludf.DUMMYFUNCTION("""COMPUTED_VALUE"""),237.68)</f>
        <v>237.68</v>
      </c>
      <c r="E2590" s="1">
        <f ca="1">IFERROR(__xludf.DUMMYFUNCTION("""COMPUTED_VALUE"""),241.37)</f>
        <v>241.37</v>
      </c>
      <c r="F2590" s="1">
        <f ca="1">IFERROR(__xludf.DUMMYFUNCTION("""COMPUTED_VALUE"""),83404775)</f>
        <v>83404775</v>
      </c>
    </row>
    <row r="2591" spans="1:6" x14ac:dyDescent="0.35">
      <c r="A2591" s="2">
        <f ca="1">IFERROR(__xludf.DUMMYFUNCTION("""COMPUTED_VALUE"""),45768.6666666666)</f>
        <v>45768.666666666599</v>
      </c>
      <c r="B2591" s="1">
        <f ca="1">IFERROR(__xludf.DUMMYFUNCTION("""COMPUTED_VALUE"""),230.26)</f>
        <v>230.26</v>
      </c>
      <c r="C2591" s="1">
        <f ca="1">IFERROR(__xludf.DUMMYFUNCTION("""COMPUTED_VALUE"""),232.21)</f>
        <v>232.21</v>
      </c>
      <c r="D2591" s="1">
        <f ca="1">IFERROR(__xludf.DUMMYFUNCTION("""COMPUTED_VALUE"""),222.79)</f>
        <v>222.79</v>
      </c>
      <c r="E2591" s="1">
        <f ca="1">IFERROR(__xludf.DUMMYFUNCTION("""COMPUTED_VALUE"""),227.5)</f>
        <v>227.5</v>
      </c>
      <c r="F2591" s="1">
        <f ca="1">IFERROR(__xludf.DUMMYFUNCTION("""COMPUTED_VALUE"""),97768007)</f>
        <v>97768007</v>
      </c>
    </row>
    <row r="2592" spans="1:6" x14ac:dyDescent="0.35">
      <c r="A2592" s="2">
        <f ca="1">IFERROR(__xludf.DUMMYFUNCTION("""COMPUTED_VALUE"""),45769.6666666666)</f>
        <v>45769.666666666599</v>
      </c>
      <c r="B2592" s="1">
        <f ca="1">IFERROR(__xludf.DUMMYFUNCTION("""COMPUTED_VALUE"""),230.96)</f>
        <v>230.96</v>
      </c>
      <c r="C2592" s="1">
        <f ca="1">IFERROR(__xludf.DUMMYFUNCTION("""COMPUTED_VALUE"""),242.79)</f>
        <v>242.79</v>
      </c>
      <c r="D2592" s="1">
        <f ca="1">IFERROR(__xludf.DUMMYFUNCTION("""COMPUTED_VALUE"""),229.85)</f>
        <v>229.85</v>
      </c>
      <c r="E2592" s="1">
        <f ca="1">IFERROR(__xludf.DUMMYFUNCTION("""COMPUTED_VALUE"""),237.97)</f>
        <v>237.97</v>
      </c>
      <c r="F2592" s="1">
        <f ca="1">IFERROR(__xludf.DUMMYFUNCTION("""COMPUTED_VALUE"""),120858452)</f>
        <v>120858452</v>
      </c>
    </row>
    <row r="2593" spans="1:6" x14ac:dyDescent="0.35">
      <c r="A2593" s="2">
        <f ca="1">IFERROR(__xludf.DUMMYFUNCTION("""COMPUTED_VALUE"""),45770.6666666666)</f>
        <v>45770.666666666599</v>
      </c>
      <c r="B2593" s="1">
        <f ca="1">IFERROR(__xludf.DUMMYFUNCTION("""COMPUTED_VALUE"""),254.86)</f>
        <v>254.86</v>
      </c>
      <c r="C2593" s="1">
        <f ca="1">IFERROR(__xludf.DUMMYFUNCTION("""COMPUTED_VALUE"""),259.45)</f>
        <v>259.45</v>
      </c>
      <c r="D2593" s="1">
        <f ca="1">IFERROR(__xludf.DUMMYFUNCTION("""COMPUTED_VALUE"""),244.43)</f>
        <v>244.43</v>
      </c>
      <c r="E2593" s="1">
        <f ca="1">IFERROR(__xludf.DUMMYFUNCTION("""COMPUTED_VALUE"""),250.74)</f>
        <v>250.74</v>
      </c>
      <c r="F2593" s="1">
        <f ca="1">IFERROR(__xludf.DUMMYFUNCTION("""COMPUTED_VALUE"""),150381903)</f>
        <v>150381903</v>
      </c>
    </row>
    <row r="2594" spans="1:6" x14ac:dyDescent="0.35">
      <c r="A2594" s="2">
        <f ca="1">IFERROR(__xludf.DUMMYFUNCTION("""COMPUTED_VALUE"""),45771.6666666666)</f>
        <v>45771.666666666599</v>
      </c>
      <c r="B2594" s="1">
        <f ca="1">IFERROR(__xludf.DUMMYFUNCTION("""COMPUTED_VALUE"""),250.5)</f>
        <v>250.5</v>
      </c>
      <c r="C2594" s="1">
        <f ca="1">IFERROR(__xludf.DUMMYFUNCTION("""COMPUTED_VALUE"""),259.54)</f>
        <v>259.54000000000002</v>
      </c>
      <c r="D2594" s="1">
        <f ca="1">IFERROR(__xludf.DUMMYFUNCTION("""COMPUTED_VALUE"""),249.2)</f>
        <v>249.2</v>
      </c>
      <c r="E2594" s="1">
        <f ca="1">IFERROR(__xludf.DUMMYFUNCTION("""COMPUTED_VALUE"""),259.51)</f>
        <v>259.51</v>
      </c>
      <c r="F2594" s="1">
        <f ca="1">IFERROR(__xludf.DUMMYFUNCTION("""COMPUTED_VALUE"""),94464195)</f>
        <v>94464195</v>
      </c>
    </row>
    <row r="2595" spans="1:6" x14ac:dyDescent="0.35">
      <c r="A2595" s="2">
        <f ca="1">IFERROR(__xludf.DUMMYFUNCTION("""COMPUTED_VALUE"""),45772.6666666666)</f>
        <v>45772.666666666599</v>
      </c>
      <c r="B2595" s="1">
        <f ca="1">IFERROR(__xludf.DUMMYFUNCTION("""COMPUTED_VALUE"""),261.69)</f>
        <v>261.69</v>
      </c>
      <c r="C2595" s="1">
        <f ca="1">IFERROR(__xludf.DUMMYFUNCTION("""COMPUTED_VALUE"""),286.85)</f>
        <v>286.85000000000002</v>
      </c>
      <c r="D2595" s="1">
        <f ca="1">IFERROR(__xludf.DUMMYFUNCTION("""COMPUTED_VALUE"""),259.63)</f>
        <v>259.63</v>
      </c>
      <c r="E2595" s="1">
        <f ca="1">IFERROR(__xludf.DUMMYFUNCTION("""COMPUTED_VALUE"""),284.95)</f>
        <v>284.95</v>
      </c>
      <c r="F2595" s="1">
        <f ca="1">IFERROR(__xludf.DUMMYFUNCTION("""COMPUTED_VALUE"""),167560688)</f>
        <v>167560688</v>
      </c>
    </row>
    <row r="2596" spans="1:6" x14ac:dyDescent="0.35">
      <c r="A2596" s="2">
        <f ca="1">IFERROR(__xludf.DUMMYFUNCTION("""COMPUTED_VALUE"""),45775.6666666666)</f>
        <v>45775.666666666599</v>
      </c>
      <c r="B2596" s="1">
        <f ca="1">IFERROR(__xludf.DUMMYFUNCTION("""COMPUTED_VALUE"""),288.98)</f>
        <v>288.98</v>
      </c>
      <c r="C2596" s="1">
        <f ca="1">IFERROR(__xludf.DUMMYFUNCTION("""COMPUTED_VALUE"""),294.86)</f>
        <v>294.86</v>
      </c>
      <c r="D2596" s="1">
        <f ca="1">IFERROR(__xludf.DUMMYFUNCTION("""COMPUTED_VALUE"""),272.42)</f>
        <v>272.42</v>
      </c>
      <c r="E2596" s="1">
        <f ca="1">IFERROR(__xludf.DUMMYFUNCTION("""COMPUTED_VALUE"""),285.88)</f>
        <v>285.88</v>
      </c>
      <c r="F2596" s="1">
        <f ca="1">IFERROR(__xludf.DUMMYFUNCTION("""COMPUTED_VALUE"""),151731771)</f>
        <v>151731771</v>
      </c>
    </row>
    <row r="2597" spans="1:6" x14ac:dyDescent="0.35">
      <c r="A2597" s="2">
        <f ca="1">IFERROR(__xludf.DUMMYFUNCTION("""COMPUTED_VALUE"""),45776.6666666666)</f>
        <v>45776.666666666599</v>
      </c>
      <c r="B2597" s="1">
        <f ca="1">IFERROR(__xludf.DUMMYFUNCTION("""COMPUTED_VALUE"""),285.5)</f>
        <v>285.5</v>
      </c>
      <c r="C2597" s="1">
        <f ca="1">IFERROR(__xludf.DUMMYFUNCTION("""COMPUTED_VALUE"""),293.32)</f>
        <v>293.32</v>
      </c>
      <c r="D2597" s="1">
        <f ca="1">IFERROR(__xludf.DUMMYFUNCTION("""COMPUTED_VALUE"""),279.47)</f>
        <v>279.47000000000003</v>
      </c>
      <c r="E2597" s="1">
        <f ca="1">IFERROR(__xludf.DUMMYFUNCTION("""COMPUTED_VALUE"""),292.03)</f>
        <v>292.02999999999997</v>
      </c>
      <c r="F2597" s="1">
        <f ca="1">IFERROR(__xludf.DUMMYFUNCTION("""COMPUTED_VALUE"""),108906553)</f>
        <v>108906553</v>
      </c>
    </row>
    <row r="2598" spans="1:6" x14ac:dyDescent="0.35">
      <c r="A2598" s="2">
        <f ca="1">IFERROR(__xludf.DUMMYFUNCTION("""COMPUTED_VALUE"""),45777.6666666666)</f>
        <v>45777.666666666599</v>
      </c>
      <c r="B2598" s="1">
        <f ca="1">IFERROR(__xludf.DUMMYFUNCTION("""COMPUTED_VALUE"""),279.9)</f>
        <v>279.89999999999998</v>
      </c>
      <c r="C2598" s="1">
        <f ca="1">IFERROR(__xludf.DUMMYFUNCTION("""COMPUTED_VALUE"""),284.45)</f>
        <v>284.45</v>
      </c>
      <c r="D2598" s="1">
        <f ca="1">IFERROR(__xludf.DUMMYFUNCTION("""COMPUTED_VALUE"""),270.78)</f>
        <v>270.77999999999997</v>
      </c>
      <c r="E2598" s="1">
        <f ca="1">IFERROR(__xludf.DUMMYFUNCTION("""COMPUTED_VALUE"""),282.16)</f>
        <v>282.16000000000003</v>
      </c>
      <c r="F2598" s="1">
        <f ca="1">IFERROR(__xludf.DUMMYFUNCTION("""COMPUTED_VALUE"""),128961057)</f>
        <v>128961057</v>
      </c>
    </row>
    <row r="2599" spans="1:6" x14ac:dyDescent="0.35">
      <c r="A2599" s="2">
        <f ca="1">IFERROR(__xludf.DUMMYFUNCTION("""COMPUTED_VALUE"""),45778.6666666666)</f>
        <v>45778.666666666599</v>
      </c>
      <c r="B2599" s="1">
        <f ca="1">IFERROR(__xludf.DUMMYFUNCTION("""COMPUTED_VALUE"""),280.01)</f>
        <v>280.01</v>
      </c>
      <c r="C2599" s="1">
        <f ca="1">IFERROR(__xludf.DUMMYFUNCTION("""COMPUTED_VALUE"""),290.87)</f>
        <v>290.87</v>
      </c>
      <c r="D2599" s="1">
        <f ca="1">IFERROR(__xludf.DUMMYFUNCTION("""COMPUTED_VALUE"""),279.81)</f>
        <v>279.81</v>
      </c>
      <c r="E2599" s="1">
        <f ca="1">IFERROR(__xludf.DUMMYFUNCTION("""COMPUTED_VALUE"""),280.52)</f>
        <v>280.52</v>
      </c>
      <c r="F2599" s="1">
        <f ca="1">IFERROR(__xludf.DUMMYFUNCTION("""COMPUTED_VALUE"""),99658974)</f>
        <v>99658974</v>
      </c>
    </row>
    <row r="2600" spans="1:6" x14ac:dyDescent="0.35">
      <c r="A2600" s="2">
        <f ca="1">IFERROR(__xludf.DUMMYFUNCTION("""COMPUTED_VALUE"""),45779.6666666666)</f>
        <v>45779.666666666599</v>
      </c>
      <c r="B2600" s="1">
        <f ca="1">IFERROR(__xludf.DUMMYFUNCTION("""COMPUTED_VALUE"""),284.9)</f>
        <v>284.89999999999998</v>
      </c>
      <c r="C2600" s="1">
        <f ca="1">IFERROR(__xludf.DUMMYFUNCTION("""COMPUTED_VALUE"""),294.78)</f>
        <v>294.77999999999997</v>
      </c>
      <c r="D2600" s="1">
        <f ca="1">IFERROR(__xludf.DUMMYFUNCTION("""COMPUTED_VALUE"""),279.81)</f>
        <v>279.81</v>
      </c>
      <c r="E2600" s="1">
        <f ca="1">IFERROR(__xludf.DUMMYFUNCTION("""COMPUTED_VALUE"""),287.21)</f>
        <v>287.20999999999998</v>
      </c>
      <c r="F2600" s="1">
        <f ca="1">IFERROR(__xludf.DUMMYFUNCTION("""COMPUTED_VALUE"""),114454683)</f>
        <v>114454683</v>
      </c>
    </row>
    <row r="2601" spans="1:6" x14ac:dyDescent="0.35">
      <c r="A2601" s="2">
        <f ca="1">IFERROR(__xludf.DUMMYFUNCTION("""COMPUTED_VALUE"""),45782.6666666666)</f>
        <v>45782.666666666599</v>
      </c>
      <c r="B2601" s="1">
        <f ca="1">IFERROR(__xludf.DUMMYFUNCTION("""COMPUTED_VALUE"""),284.57)</f>
        <v>284.57</v>
      </c>
      <c r="C2601" s="1">
        <f ca="1">IFERROR(__xludf.DUMMYFUNCTION("""COMPUTED_VALUE"""),284.85)</f>
        <v>284.85000000000002</v>
      </c>
      <c r="D2601" s="1">
        <f ca="1">IFERROR(__xludf.DUMMYFUNCTION("""COMPUTED_VALUE"""),274.4)</f>
        <v>274.39999999999998</v>
      </c>
      <c r="E2601" s="1">
        <f ca="1">IFERROR(__xludf.DUMMYFUNCTION("""COMPUTED_VALUE"""),280.26)</f>
        <v>280.26</v>
      </c>
      <c r="F2601" s="1">
        <f ca="1">IFERROR(__xludf.DUMMYFUNCTION("""COMPUTED_VALUE"""),94618882)</f>
        <v>94618882</v>
      </c>
    </row>
    <row r="2602" spans="1:6" x14ac:dyDescent="0.35">
      <c r="A2602" s="2">
        <f ca="1">IFERROR(__xludf.DUMMYFUNCTION("""COMPUTED_VALUE"""),45783.6666666666)</f>
        <v>45783.666666666599</v>
      </c>
      <c r="B2602" s="1">
        <f ca="1">IFERROR(__xludf.DUMMYFUNCTION("""COMPUTED_VALUE"""),273.11)</f>
        <v>273.11</v>
      </c>
      <c r="C2602" s="1">
        <f ca="1">IFERROR(__xludf.DUMMYFUNCTION("""COMPUTED_VALUE"""),277.73)</f>
        <v>277.73</v>
      </c>
      <c r="D2602" s="1">
        <f ca="1">IFERROR(__xludf.DUMMYFUNCTION("""COMPUTED_VALUE"""),271.35)</f>
        <v>271.35000000000002</v>
      </c>
      <c r="E2602" s="1">
        <f ca="1">IFERROR(__xludf.DUMMYFUNCTION("""COMPUTED_VALUE"""),275.35)</f>
        <v>275.35000000000002</v>
      </c>
      <c r="F2602" s="1">
        <f ca="1">IFERROR(__xludf.DUMMYFUNCTION("""COMPUTED_VALUE"""),76715792)</f>
        <v>76715792</v>
      </c>
    </row>
    <row r="2603" spans="1:6" x14ac:dyDescent="0.35">
      <c r="A2603" s="2">
        <f ca="1">IFERROR(__xludf.DUMMYFUNCTION("""COMPUTED_VALUE"""),45784.6666666666)</f>
        <v>45784.666666666599</v>
      </c>
      <c r="B2603" s="1">
        <f ca="1">IFERROR(__xludf.DUMMYFUNCTION("""COMPUTED_VALUE"""),276.88)</f>
        <v>276.88</v>
      </c>
      <c r="C2603" s="1">
        <f ca="1">IFERROR(__xludf.DUMMYFUNCTION("""COMPUTED_VALUE"""),277.92)</f>
        <v>277.92</v>
      </c>
      <c r="D2603" s="1">
        <f ca="1">IFERROR(__xludf.DUMMYFUNCTION("""COMPUTED_VALUE"""),271)</f>
        <v>271</v>
      </c>
      <c r="E2603" s="1">
        <f ca="1">IFERROR(__xludf.DUMMYFUNCTION("""COMPUTED_VALUE"""),276.22)</f>
        <v>276.22000000000003</v>
      </c>
      <c r="F2603" s="1">
        <f ca="1">IFERROR(__xludf.DUMMYFUNCTION("""COMPUTED_VALUE"""),71882408)</f>
        <v>71882408</v>
      </c>
    </row>
    <row r="2604" spans="1:6" x14ac:dyDescent="0.35">
      <c r="A2604" s="2">
        <f ca="1">IFERROR(__xludf.DUMMYFUNCTION("""COMPUTED_VALUE"""),45785.6666666666)</f>
        <v>45785.666666666599</v>
      </c>
      <c r="B2604" s="1">
        <f ca="1">IFERROR(__xludf.DUMMYFUNCTION("""COMPUTED_VALUE"""),279.63)</f>
        <v>279.63</v>
      </c>
      <c r="C2604" s="1">
        <f ca="1">IFERROR(__xludf.DUMMYFUNCTION("""COMPUTED_VALUE"""),289.8)</f>
        <v>289.8</v>
      </c>
      <c r="D2604" s="1">
        <f ca="1">IFERROR(__xludf.DUMMYFUNCTION("""COMPUTED_VALUE"""),279.41)</f>
        <v>279.41000000000003</v>
      </c>
      <c r="E2604" s="1">
        <f ca="1">IFERROR(__xludf.DUMMYFUNCTION("""COMPUTED_VALUE"""),284.82)</f>
        <v>284.82</v>
      </c>
      <c r="F2604" s="1">
        <f ca="1">IFERROR(__xludf.DUMMYFUNCTION("""COMPUTED_VALUE"""),97539448)</f>
        <v>97539448</v>
      </c>
    </row>
    <row r="2605" spans="1:6" x14ac:dyDescent="0.35">
      <c r="A2605" s="2">
        <f ca="1">IFERROR(__xludf.DUMMYFUNCTION("""COMPUTED_VALUE"""),45786.6666666666)</f>
        <v>45786.666666666599</v>
      </c>
      <c r="B2605" s="1">
        <f ca="1">IFERROR(__xludf.DUMMYFUNCTION("""COMPUTED_VALUE"""),290.21)</f>
        <v>290.20999999999998</v>
      </c>
      <c r="C2605" s="1">
        <f ca="1">IFERROR(__xludf.DUMMYFUNCTION("""COMPUTED_VALUE"""),307.04)</f>
        <v>307.04000000000002</v>
      </c>
      <c r="D2605" s="1">
        <f ca="1">IFERROR(__xludf.DUMMYFUNCTION("""COMPUTED_VALUE"""),290)</f>
        <v>290</v>
      </c>
      <c r="E2605" s="1">
        <f ca="1">IFERROR(__xludf.DUMMYFUNCTION("""COMPUTED_VALUE"""),298.26)</f>
        <v>298.26</v>
      </c>
      <c r="F2605" s="1">
        <f ca="1">IFERROR(__xludf.DUMMYFUNCTION("""COMPUTED_VALUE"""),132387835)</f>
        <v>132387835</v>
      </c>
    </row>
    <row r="2606" spans="1:6" x14ac:dyDescent="0.35">
      <c r="A2606" s="2">
        <f ca="1">IFERROR(__xludf.DUMMYFUNCTION("""COMPUTED_VALUE"""),45789.6666666666)</f>
        <v>45789.666666666599</v>
      </c>
      <c r="B2606" s="1">
        <f ca="1">IFERROR(__xludf.DUMMYFUNCTION("""COMPUTED_VALUE"""),321.99)</f>
        <v>321.99</v>
      </c>
      <c r="C2606" s="1">
        <f ca="1">IFERROR(__xludf.DUMMYFUNCTION("""COMPUTED_VALUE"""),322.21)</f>
        <v>322.20999999999998</v>
      </c>
      <c r="D2606" s="1">
        <f ca="1">IFERROR(__xludf.DUMMYFUNCTION("""COMPUTED_VALUE"""),311.5)</f>
        <v>311.5</v>
      </c>
      <c r="E2606" s="1">
        <f ca="1">IFERROR(__xludf.DUMMYFUNCTION("""COMPUTED_VALUE"""),318.38)</f>
        <v>318.38</v>
      </c>
      <c r="F2606" s="1">
        <f ca="1">IFERROR(__xludf.DUMMYFUNCTION("""COMPUTED_VALUE"""),112826661)</f>
        <v>112826661</v>
      </c>
    </row>
    <row r="2607" spans="1:6" x14ac:dyDescent="0.35">
      <c r="A2607" s="2">
        <f ca="1">IFERROR(__xludf.DUMMYFUNCTION("""COMPUTED_VALUE"""),45790.6666666666)</f>
        <v>45790.666666666599</v>
      </c>
      <c r="B2607" s="1">
        <f ca="1">IFERROR(__xludf.DUMMYFUNCTION("""COMPUTED_VALUE"""),320)</f>
        <v>320</v>
      </c>
      <c r="C2607" s="1">
        <f ca="1">IFERROR(__xludf.DUMMYFUNCTION("""COMPUTED_VALUE"""),337.59)</f>
        <v>337.59</v>
      </c>
      <c r="D2607" s="1">
        <f ca="1">IFERROR(__xludf.DUMMYFUNCTION("""COMPUTED_VALUE"""),316.8)</f>
        <v>316.8</v>
      </c>
      <c r="E2607" s="1">
        <f ca="1">IFERROR(__xludf.DUMMYFUNCTION("""COMPUTED_VALUE"""),334.07)</f>
        <v>334.07</v>
      </c>
      <c r="F2607" s="1">
        <f ca="1">IFERROR(__xludf.DUMMYFUNCTION("""COMPUTED_VALUE"""),136992574)</f>
        <v>136992574</v>
      </c>
    </row>
    <row r="2608" spans="1:6" x14ac:dyDescent="0.35">
      <c r="A2608" s="2">
        <f ca="1">IFERROR(__xludf.DUMMYFUNCTION("""COMPUTED_VALUE"""),45791.6666666666)</f>
        <v>45791.666666666599</v>
      </c>
      <c r="B2608" s="1">
        <f ca="1">IFERROR(__xludf.DUMMYFUNCTION("""COMPUTED_VALUE"""),342.5)</f>
        <v>342.5</v>
      </c>
      <c r="C2608" s="1">
        <f ca="1">IFERROR(__xludf.DUMMYFUNCTION("""COMPUTED_VALUE"""),350)</f>
        <v>350</v>
      </c>
      <c r="D2608" s="1">
        <f ca="1">IFERROR(__xludf.DUMMYFUNCTION("""COMPUTED_VALUE"""),337)</f>
        <v>337</v>
      </c>
      <c r="E2608" s="1">
        <f ca="1">IFERROR(__xludf.DUMMYFUNCTION("""COMPUTED_VALUE"""),347.68)</f>
        <v>347.68</v>
      </c>
      <c r="F2608" s="1">
        <f ca="1">IFERROR(__xludf.DUMMYFUNCTION("""COMPUTED_VALUE"""),136997264)</f>
        <v>136997264</v>
      </c>
    </row>
    <row r="2609" spans="1:6" x14ac:dyDescent="0.35">
      <c r="A2609" s="2">
        <f ca="1">IFERROR(__xludf.DUMMYFUNCTION("""COMPUTED_VALUE"""),45792.6666666666)</f>
        <v>45792.666666666599</v>
      </c>
      <c r="B2609" s="1">
        <f ca="1">IFERROR(__xludf.DUMMYFUNCTION("""COMPUTED_VALUE"""),340.34)</f>
        <v>340.34</v>
      </c>
      <c r="C2609" s="1">
        <f ca="1">IFERROR(__xludf.DUMMYFUNCTION("""COMPUTED_VALUE"""),346.14)</f>
        <v>346.14</v>
      </c>
      <c r="D2609" s="1">
        <f ca="1">IFERROR(__xludf.DUMMYFUNCTION("""COMPUTED_VALUE"""),334.72)</f>
        <v>334.72</v>
      </c>
      <c r="E2609" s="1">
        <f ca="1">IFERROR(__xludf.DUMMYFUNCTION("""COMPUTED_VALUE"""),342.82)</f>
        <v>342.82</v>
      </c>
      <c r="F2609" s="1">
        <f ca="1">IFERROR(__xludf.DUMMYFUNCTION("""COMPUTED_VALUE"""),97882596)</f>
        <v>97882596</v>
      </c>
    </row>
    <row r="2610" spans="1:6" x14ac:dyDescent="0.35">
      <c r="A2610" s="2">
        <f ca="1">IFERROR(__xludf.DUMMYFUNCTION("""COMPUTED_VALUE"""),45793.6666666666)</f>
        <v>45793.666666666599</v>
      </c>
      <c r="B2610" s="1">
        <f ca="1">IFERROR(__xludf.DUMMYFUNCTION("""COMPUTED_VALUE"""),346.24)</f>
        <v>346.24</v>
      </c>
      <c r="C2610" s="1">
        <f ca="1">IFERROR(__xludf.DUMMYFUNCTION("""COMPUTED_VALUE"""),351.62)</f>
        <v>351.62</v>
      </c>
      <c r="D2610" s="1">
        <f ca="1">IFERROR(__xludf.DUMMYFUNCTION("""COMPUTED_VALUE"""),342.33)</f>
        <v>342.33</v>
      </c>
      <c r="E2610" s="1">
        <f ca="1">IFERROR(__xludf.DUMMYFUNCTION("""COMPUTED_VALUE"""),349.98)</f>
        <v>349.98</v>
      </c>
      <c r="F2610" s="1">
        <f ca="1">IFERROR(__xludf.DUMMYFUNCTION("""COMPUTED_VALUE"""),95895665)</f>
        <v>95895665</v>
      </c>
    </row>
    <row r="2611" spans="1:6" x14ac:dyDescent="0.35">
      <c r="A2611" s="2">
        <f ca="1">IFERROR(__xludf.DUMMYFUNCTION("""COMPUTED_VALUE"""),45796.6666666666)</f>
        <v>45796.666666666599</v>
      </c>
      <c r="B2611" s="1">
        <f ca="1">IFERROR(__xludf.DUMMYFUNCTION("""COMPUTED_VALUE"""),336.3)</f>
        <v>336.3</v>
      </c>
      <c r="C2611" s="1">
        <f ca="1">IFERROR(__xludf.DUMMYFUNCTION("""COMPUTED_VALUE"""),343)</f>
        <v>343</v>
      </c>
      <c r="D2611" s="1">
        <f ca="1">IFERROR(__xludf.DUMMYFUNCTION("""COMPUTED_VALUE"""),333.37)</f>
        <v>333.37</v>
      </c>
      <c r="E2611" s="1">
        <f ca="1">IFERROR(__xludf.DUMMYFUNCTION("""COMPUTED_VALUE"""),342.09)</f>
        <v>342.09</v>
      </c>
      <c r="F2611" s="1">
        <f ca="1">IFERROR(__xludf.DUMMYFUNCTION("""COMPUTED_VALUE"""),88869853)</f>
        <v>88869853</v>
      </c>
    </row>
    <row r="2612" spans="1:6" x14ac:dyDescent="0.35">
      <c r="A2612" s="2">
        <f ca="1">IFERROR(__xludf.DUMMYFUNCTION("""COMPUTED_VALUE"""),45797.6666666666)</f>
        <v>45797.666666666599</v>
      </c>
      <c r="B2612" s="1">
        <f ca="1">IFERROR(__xludf.DUMMYFUNCTION("""COMPUTED_VALUE"""),347.87)</f>
        <v>347.87</v>
      </c>
      <c r="C2612" s="1">
        <f ca="1">IFERROR(__xludf.DUMMYFUNCTION("""COMPUTED_VALUE"""),354.99)</f>
        <v>354.99</v>
      </c>
      <c r="D2612" s="1">
        <f ca="1">IFERROR(__xludf.DUMMYFUNCTION("""COMPUTED_VALUE"""),341.63)</f>
        <v>341.63</v>
      </c>
      <c r="E2612" s="1">
        <f ca="1">IFERROR(__xludf.DUMMYFUNCTION("""COMPUTED_VALUE"""),343.82)</f>
        <v>343.82</v>
      </c>
      <c r="F2612" s="1">
        <f ca="1">IFERROR(__xludf.DUMMYFUNCTION("""COMPUTED_VALUE"""),131715548)</f>
        <v>131715548</v>
      </c>
    </row>
    <row r="2613" spans="1:6" x14ac:dyDescent="0.35">
      <c r="A2613" s="2">
        <f ca="1">IFERROR(__xludf.DUMMYFUNCTION("""COMPUTED_VALUE"""),45798.6666666666)</f>
        <v>45798.666666666599</v>
      </c>
      <c r="B2613" s="1">
        <f ca="1">IFERROR(__xludf.DUMMYFUNCTION("""COMPUTED_VALUE"""),344.43)</f>
        <v>344.43</v>
      </c>
      <c r="C2613" s="1">
        <f ca="1">IFERROR(__xludf.DUMMYFUNCTION("""COMPUTED_VALUE"""),347.35)</f>
        <v>347.35</v>
      </c>
      <c r="D2613" s="1">
        <f ca="1">IFERROR(__xludf.DUMMYFUNCTION("""COMPUTED_VALUE"""),332.2)</f>
        <v>332.2</v>
      </c>
      <c r="E2613" s="1">
        <f ca="1">IFERROR(__xludf.DUMMYFUNCTION("""COMPUTED_VALUE"""),334.62)</f>
        <v>334.62</v>
      </c>
      <c r="F2613" s="1">
        <f ca="1">IFERROR(__xludf.DUMMYFUNCTION("""COMPUTED_VALUE"""),102354844)</f>
        <v>102354844</v>
      </c>
    </row>
    <row r="2614" spans="1:6" x14ac:dyDescent="0.35">
      <c r="A2614" s="2">
        <f ca="1">IFERROR(__xludf.DUMMYFUNCTION("""COMPUTED_VALUE"""),45799.6666666666)</f>
        <v>45799.666666666599</v>
      </c>
      <c r="B2614" s="1">
        <f ca="1">IFERROR(__xludf.DUMMYFUNCTION("""COMPUTED_VALUE"""),344.43)</f>
        <v>344.43</v>
      </c>
      <c r="C2614" s="1">
        <f ca="1">IFERROR(__xludf.DUMMYFUNCTION("""COMPUTED_VALUE"""),347.35)</f>
        <v>347.35</v>
      </c>
      <c r="D2614" s="1">
        <f ca="1">IFERROR(__xludf.DUMMYFUNCTION("""COMPUTED_VALUE"""),332.2)</f>
        <v>332.2</v>
      </c>
      <c r="E2614" s="1">
        <f ca="1">IFERROR(__xludf.DUMMYFUNCTION("""COMPUTED_VALUE"""),334.62)</f>
        <v>334.62</v>
      </c>
      <c r="F2614" s="1">
        <f ca="1">IFERROR(__xludf.DUMMYFUNCTION("""COMPUTED_VALUE"""),5462213)</f>
        <v>5462213</v>
      </c>
    </row>
    <row r="2615" spans="1:6" x14ac:dyDescent="0.35">
      <c r="A2615" s="2">
        <f ca="1">IFERROR(__xludf.DUMMYFUNCTION("""COMPUTED_VALUE"""),45800.6666666666)</f>
        <v>45800.666666666599</v>
      </c>
      <c r="B2615" s="1">
        <f ca="1">IFERROR(__xludf.DUMMYFUNCTION("""COMPUTED_VALUE"""),337.92)</f>
        <v>337.92</v>
      </c>
      <c r="C2615" s="1">
        <f ca="1">IFERROR(__xludf.DUMMYFUNCTION("""COMPUTED_VALUE"""),343.18)</f>
        <v>343.18</v>
      </c>
      <c r="D2615" s="1">
        <f ca="1">IFERROR(__xludf.DUMMYFUNCTION("""COMPUTED_VALUE"""),333.21)</f>
        <v>333.21</v>
      </c>
      <c r="E2615" s="1">
        <f ca="1">IFERROR(__xludf.DUMMYFUNCTION("""COMPUTED_VALUE"""),339.34)</f>
        <v>339.34</v>
      </c>
      <c r="F2615" s="1">
        <f ca="1">IFERROR(__xludf.DUMMYFUNCTION("""COMPUTED_VALUE"""),84654818)</f>
        <v>84654818</v>
      </c>
    </row>
    <row r="2616" spans="1:6" x14ac:dyDescent="0.35">
      <c r="A2616" s="2">
        <f ca="1">IFERROR(__xludf.DUMMYFUNCTION("""COMPUTED_VALUE"""),45804.6666666666)</f>
        <v>45804.666666666599</v>
      </c>
      <c r="B2616" s="1">
        <f ca="1">IFERROR(__xludf.DUMMYFUNCTION("""COMPUTED_VALUE"""),347.35)</f>
        <v>347.35</v>
      </c>
      <c r="C2616" s="1">
        <f ca="1">IFERROR(__xludf.DUMMYFUNCTION("""COMPUTED_VALUE"""),363.79)</f>
        <v>363.79</v>
      </c>
      <c r="D2616" s="1">
        <f ca="1">IFERROR(__xludf.DUMMYFUNCTION("""COMPUTED_VALUE"""),347.32)</f>
        <v>347.32</v>
      </c>
      <c r="E2616" s="1">
        <f ca="1">IFERROR(__xludf.DUMMYFUNCTION("""COMPUTED_VALUE"""),362.89)</f>
        <v>362.89</v>
      </c>
      <c r="F2616" s="1">
        <f ca="1">IFERROR(__xludf.DUMMYFUNCTION("""COMPUTED_VALUE"""),120146414)</f>
        <v>120146414</v>
      </c>
    </row>
    <row r="2617" spans="1:6" x14ac:dyDescent="0.35">
      <c r="A2617" s="2">
        <f ca="1">IFERROR(__xludf.DUMMYFUNCTION("""COMPUTED_VALUE"""),45805.6666666666)</f>
        <v>45805.666666666599</v>
      </c>
      <c r="B2617" s="1">
        <f ca="1">IFERROR(__xludf.DUMMYFUNCTION("""COMPUTED_VALUE"""),364.84)</f>
        <v>364.84</v>
      </c>
      <c r="C2617" s="1">
        <f ca="1">IFERROR(__xludf.DUMMYFUNCTION("""COMPUTED_VALUE"""),365)</f>
        <v>365</v>
      </c>
      <c r="D2617" s="1">
        <f ca="1">IFERROR(__xludf.DUMMYFUNCTION("""COMPUTED_VALUE"""),355.91)</f>
        <v>355.91</v>
      </c>
      <c r="E2617" s="1">
        <f ca="1">IFERROR(__xludf.DUMMYFUNCTION("""COMPUTED_VALUE"""),356.9)</f>
        <v>356.9</v>
      </c>
      <c r="F2617" s="1">
        <f ca="1">IFERROR(__xludf.DUMMYFUNCTION("""COMPUTED_VALUE"""),91404309)</f>
        <v>91404309</v>
      </c>
    </row>
    <row r="2618" spans="1:6" x14ac:dyDescent="0.35">
      <c r="A2618" s="2">
        <f ca="1">IFERROR(__xludf.DUMMYFUNCTION("""COMPUTED_VALUE"""),45806.6666666666)</f>
        <v>45806.666666666599</v>
      </c>
      <c r="B2618" s="1">
        <f ca="1">IFERROR(__xludf.DUMMYFUNCTION("""COMPUTED_VALUE"""),365.29)</f>
        <v>365.29</v>
      </c>
      <c r="C2618" s="1">
        <f ca="1">IFERROR(__xludf.DUMMYFUNCTION("""COMPUTED_VALUE"""),367.71)</f>
        <v>367.71</v>
      </c>
      <c r="D2618" s="1">
        <f ca="1">IFERROR(__xludf.DUMMYFUNCTION("""COMPUTED_VALUE"""),356)</f>
        <v>356</v>
      </c>
      <c r="E2618" s="1">
        <f ca="1">IFERROR(__xludf.DUMMYFUNCTION("""COMPUTED_VALUE"""),358.43)</f>
        <v>358.43</v>
      </c>
      <c r="F2618" s="1">
        <f ca="1">IFERROR(__xludf.DUMMYFUNCTION("""COMPUTED_VALUE"""),88545666)</f>
        <v>88545666</v>
      </c>
    </row>
    <row r="2619" spans="1:6" x14ac:dyDescent="0.35">
      <c r="A2619" s="2">
        <f ca="1">IFERROR(__xludf.DUMMYFUNCTION("""COMPUTED_VALUE"""),45807.6666666666)</f>
        <v>45807.666666666599</v>
      </c>
      <c r="B2619" s="1">
        <f ca="1">IFERROR(__xludf.DUMMYFUNCTION("""COMPUTED_VALUE"""),355.52)</f>
        <v>355.52</v>
      </c>
      <c r="C2619" s="1">
        <f ca="1">IFERROR(__xludf.DUMMYFUNCTION("""COMPUTED_VALUE"""),363.68)</f>
        <v>363.68</v>
      </c>
      <c r="D2619" s="1">
        <f ca="1">IFERROR(__xludf.DUMMYFUNCTION("""COMPUTED_VALUE"""),345.29)</f>
        <v>345.29</v>
      </c>
      <c r="E2619" s="1">
        <f ca="1">IFERROR(__xludf.DUMMYFUNCTION("""COMPUTED_VALUE"""),346.46)</f>
        <v>346.46</v>
      </c>
      <c r="F2619" s="1">
        <f ca="1">IFERROR(__xludf.DUMMYFUNCTION("""COMPUTED_VALUE"""),123474938)</f>
        <v>123474938</v>
      </c>
    </row>
    <row r="2620" spans="1:6" x14ac:dyDescent="0.35">
      <c r="A2620" s="2">
        <f ca="1">IFERROR(__xludf.DUMMYFUNCTION("""COMPUTED_VALUE"""),45810.6666666666)</f>
        <v>45810.666666666599</v>
      </c>
      <c r="B2620" s="1">
        <f ca="1">IFERROR(__xludf.DUMMYFUNCTION("""COMPUTED_VALUE"""),343.5)</f>
        <v>343.5</v>
      </c>
      <c r="C2620" s="1">
        <f ca="1">IFERROR(__xludf.DUMMYFUNCTION("""COMPUTED_VALUE"""),348.02)</f>
        <v>348.02</v>
      </c>
      <c r="D2620" s="1">
        <f ca="1">IFERROR(__xludf.DUMMYFUNCTION("""COMPUTED_VALUE"""),333.33)</f>
        <v>333.33</v>
      </c>
      <c r="E2620" s="1">
        <f ca="1">IFERROR(__xludf.DUMMYFUNCTION("""COMPUTED_VALUE"""),342.69)</f>
        <v>342.69</v>
      </c>
      <c r="F2620" s="1">
        <f ca="1">IFERROR(__xludf.DUMMYFUNCTION("""COMPUTED_VALUE"""),81873829)</f>
        <v>81873829</v>
      </c>
    </row>
    <row r="2621" spans="1:6" x14ac:dyDescent="0.35">
      <c r="A2621" s="2">
        <f ca="1">IFERROR(__xludf.DUMMYFUNCTION("""COMPUTED_VALUE"""),45811.6666666666)</f>
        <v>45811.666666666599</v>
      </c>
      <c r="B2621" s="1">
        <f ca="1">IFERROR(__xludf.DUMMYFUNCTION("""COMPUTED_VALUE"""),346.6)</f>
        <v>346.6</v>
      </c>
      <c r="C2621" s="1">
        <f ca="1">IFERROR(__xludf.DUMMYFUNCTION("""COMPUTED_VALUE"""),355.4)</f>
        <v>355.4</v>
      </c>
      <c r="D2621" s="1">
        <f ca="1">IFERROR(__xludf.DUMMYFUNCTION("""COMPUTED_VALUE"""),343.04)</f>
        <v>343.04</v>
      </c>
      <c r="E2621" s="1">
        <f ca="1">IFERROR(__xludf.DUMMYFUNCTION("""COMPUTED_VALUE"""),344.27)</f>
        <v>344.27</v>
      </c>
      <c r="F2621" s="1">
        <f ca="1">IFERROR(__xludf.DUMMYFUNCTION("""COMPUTED_VALUE"""),99324544)</f>
        <v>99324544</v>
      </c>
    </row>
    <row r="2622" spans="1:6" x14ac:dyDescent="0.35">
      <c r="A2622" s="2">
        <f ca="1">IFERROR(__xludf.DUMMYFUNCTION("""COMPUTED_VALUE"""),45812.6666666666)</f>
        <v>45812.666666666599</v>
      </c>
      <c r="B2622" s="1">
        <f ca="1">IFERROR(__xludf.DUMMYFUNCTION("""COMPUTED_VALUE"""),345.1)</f>
        <v>345.1</v>
      </c>
      <c r="C2622" s="1">
        <f ca="1">IFERROR(__xludf.DUMMYFUNCTION("""COMPUTED_VALUE"""),345.6)</f>
        <v>345.6</v>
      </c>
      <c r="D2622" s="1">
        <f ca="1">IFERROR(__xludf.DUMMYFUNCTION("""COMPUTED_VALUE"""),327.33)</f>
        <v>327.33</v>
      </c>
      <c r="E2622" s="1">
        <f ca="1">IFERROR(__xludf.DUMMYFUNCTION("""COMPUTED_VALUE"""),332.05)</f>
        <v>332.05</v>
      </c>
      <c r="F2622" s="1">
        <f ca="1">IFERROR(__xludf.DUMMYFUNCTION("""COMPUTED_VALUE"""),98912075)</f>
        <v>98912075</v>
      </c>
    </row>
    <row r="2623" spans="1:6" x14ac:dyDescent="0.35">
      <c r="A2623" s="2">
        <f ca="1">IFERROR(__xludf.DUMMYFUNCTION("""COMPUTED_VALUE"""),45813.6666666666)</f>
        <v>45813.666666666599</v>
      </c>
      <c r="B2623" s="1">
        <f ca="1">IFERROR(__xludf.DUMMYFUNCTION("""COMPUTED_VALUE"""),322.49)</f>
        <v>322.49</v>
      </c>
      <c r="C2623" s="1">
        <f ca="1">IFERROR(__xludf.DUMMYFUNCTION("""COMPUTED_VALUE"""),324.55)</f>
        <v>324.55</v>
      </c>
      <c r="D2623" s="1">
        <f ca="1">IFERROR(__xludf.DUMMYFUNCTION("""COMPUTED_VALUE"""),273.21)</f>
        <v>273.20999999999998</v>
      </c>
      <c r="E2623" s="1">
        <f ca="1">IFERROR(__xludf.DUMMYFUNCTION("""COMPUTED_VALUE"""),284.7)</f>
        <v>284.7</v>
      </c>
      <c r="F2623" s="1">
        <f ca="1">IFERROR(__xludf.DUMMYFUNCTION("""COMPUTED_VALUE"""),292818655)</f>
        <v>292818655</v>
      </c>
    </row>
    <row r="2624" spans="1:6" x14ac:dyDescent="0.35">
      <c r="A2624" s="2">
        <f ca="1">IFERROR(__xludf.DUMMYFUNCTION("""COMPUTED_VALUE"""),45814.6666666666)</f>
        <v>45814.666666666599</v>
      </c>
      <c r="B2624" s="1">
        <f ca="1">IFERROR(__xludf.DUMMYFUNCTION("""COMPUTED_VALUE"""),298.83)</f>
        <v>298.83</v>
      </c>
      <c r="C2624" s="1">
        <f ca="1">IFERROR(__xludf.DUMMYFUNCTION("""COMPUTED_VALUE"""),305.5)</f>
        <v>305.5</v>
      </c>
      <c r="D2624" s="1">
        <f ca="1">IFERROR(__xludf.DUMMYFUNCTION("""COMPUTED_VALUE"""),291.14)</f>
        <v>291.14</v>
      </c>
      <c r="E2624" s="1">
        <f ca="1">IFERROR(__xludf.DUMMYFUNCTION("""COMPUTED_VALUE"""),295.14)</f>
        <v>295.14</v>
      </c>
      <c r="F2624" s="1">
        <f ca="1">IFERROR(__xludf.DUMMYFUNCTION("""COMPUTED_VALUE"""),164747685)</f>
        <v>164747685</v>
      </c>
    </row>
    <row r="2625" spans="1:6" x14ac:dyDescent="0.35">
      <c r="A2625" s="2">
        <f ca="1">IFERROR(__xludf.DUMMYFUNCTION("""COMPUTED_VALUE"""),45817.6666666666)</f>
        <v>45817.666666666599</v>
      </c>
      <c r="B2625" s="1">
        <f ca="1">IFERROR(__xludf.DUMMYFUNCTION("""COMPUTED_VALUE"""),285.96)</f>
        <v>285.95999999999998</v>
      </c>
      <c r="C2625" s="1">
        <f ca="1">IFERROR(__xludf.DUMMYFUNCTION("""COMPUTED_VALUE"""),309.83)</f>
        <v>309.83</v>
      </c>
      <c r="D2625" s="1">
        <f ca="1">IFERROR(__xludf.DUMMYFUNCTION("""COMPUTED_VALUE"""),281.85)</f>
        <v>281.85000000000002</v>
      </c>
      <c r="E2625" s="1">
        <f ca="1">IFERROR(__xludf.DUMMYFUNCTION("""COMPUTED_VALUE"""),308.58)</f>
        <v>308.58</v>
      </c>
      <c r="F2625" s="1">
        <f ca="1">IFERROR(__xludf.DUMMYFUNCTION("""COMPUTED_VALUE"""),140908876)</f>
        <v>140908876</v>
      </c>
    </row>
    <row r="2626" spans="1:6" x14ac:dyDescent="0.35">
      <c r="A2626" s="2">
        <f ca="1">IFERROR(__xludf.DUMMYFUNCTION("""COMPUTED_VALUE"""),45818.6666666666)</f>
        <v>45818.666666666599</v>
      </c>
      <c r="B2626" s="1">
        <f ca="1">IFERROR(__xludf.DUMMYFUNCTION("""COMPUTED_VALUE"""),314.94)</f>
        <v>314.94</v>
      </c>
      <c r="C2626" s="1">
        <f ca="1">IFERROR(__xludf.DUMMYFUNCTION("""COMPUTED_VALUE"""),327.83)</f>
        <v>327.83</v>
      </c>
      <c r="D2626" s="1">
        <f ca="1">IFERROR(__xludf.DUMMYFUNCTION("""COMPUTED_VALUE"""),310.67)</f>
        <v>310.67</v>
      </c>
      <c r="E2626" s="1">
        <f ca="1">IFERROR(__xludf.DUMMYFUNCTION("""COMPUTED_VALUE"""),326.09)</f>
        <v>326.08999999999997</v>
      </c>
      <c r="F2626" s="1">
        <f ca="1">IFERROR(__xludf.DUMMYFUNCTION("""COMPUTED_VALUE"""),151256520)</f>
        <v>151256520</v>
      </c>
    </row>
    <row r="2627" spans="1:6" x14ac:dyDescent="0.35">
      <c r="A2627" s="2">
        <f ca="1">IFERROR(__xludf.DUMMYFUNCTION("""COMPUTED_VALUE"""),45819.6666666666)</f>
        <v>45819.666666666599</v>
      </c>
      <c r="B2627" s="1">
        <f ca="1">IFERROR(__xludf.DUMMYFUNCTION("""COMPUTED_VALUE"""),334.4)</f>
        <v>334.4</v>
      </c>
      <c r="C2627" s="1">
        <f ca="1">IFERROR(__xludf.DUMMYFUNCTION("""COMPUTED_VALUE"""),335.5)</f>
        <v>335.5</v>
      </c>
      <c r="D2627" s="1">
        <f ca="1">IFERROR(__xludf.DUMMYFUNCTION("""COMPUTED_VALUE"""),322.5)</f>
        <v>322.5</v>
      </c>
      <c r="E2627" s="1">
        <f ca="1">IFERROR(__xludf.DUMMYFUNCTION("""COMPUTED_VALUE"""),326.43)</f>
        <v>326.43</v>
      </c>
      <c r="F2627" s="1">
        <f ca="1">IFERROR(__xludf.DUMMYFUNCTION("""COMPUTED_VALUE"""),122611360)</f>
        <v>122611360</v>
      </c>
    </row>
    <row r="2628" spans="1:6" x14ac:dyDescent="0.35">
      <c r="A2628" s="2">
        <f ca="1">IFERROR(__xludf.DUMMYFUNCTION("""COMPUTED_VALUE"""),45820.6666666666)</f>
        <v>45820.666666666599</v>
      </c>
      <c r="B2628" s="1">
        <f ca="1">IFERROR(__xludf.DUMMYFUNCTION("""COMPUTED_VALUE"""),323.08)</f>
        <v>323.08</v>
      </c>
      <c r="C2628" s="1">
        <f ca="1">IFERROR(__xludf.DUMMYFUNCTION("""COMPUTED_VALUE"""),332.56)</f>
        <v>332.56</v>
      </c>
      <c r="D2628" s="1">
        <f ca="1">IFERROR(__xludf.DUMMYFUNCTION("""COMPUTED_VALUE"""),316.86)</f>
        <v>316.86</v>
      </c>
      <c r="E2628" s="1">
        <f ca="1">IFERROR(__xludf.DUMMYFUNCTION("""COMPUTED_VALUE"""),319.11)</f>
        <v>319.11</v>
      </c>
      <c r="F2628" s="1">
        <f ca="1">IFERROR(__xludf.DUMMYFUNCTION("""COMPUTED_VALUE"""),105127536)</f>
        <v>105127536</v>
      </c>
    </row>
    <row r="2629" spans="1:6" x14ac:dyDescent="0.35">
      <c r="A2629" s="2">
        <f ca="1">IFERROR(__xludf.DUMMYFUNCTION("""COMPUTED_VALUE"""),45821.6666666666)</f>
        <v>45821.666666666599</v>
      </c>
      <c r="B2629" s="1">
        <f ca="1">IFERROR(__xludf.DUMMYFUNCTION("""COMPUTED_VALUE"""),313.97)</f>
        <v>313.97000000000003</v>
      </c>
      <c r="C2629" s="1">
        <f ca="1">IFERROR(__xludf.DUMMYFUNCTION("""COMPUTED_VALUE"""),332.99)</f>
        <v>332.99</v>
      </c>
      <c r="D2629" s="1">
        <f ca="1">IFERROR(__xludf.DUMMYFUNCTION("""COMPUTED_VALUE"""),313.3)</f>
        <v>313.3</v>
      </c>
      <c r="E2629" s="1">
        <f ca="1">IFERROR(__xludf.DUMMYFUNCTION("""COMPUTED_VALUE"""),325.31)</f>
        <v>325.31</v>
      </c>
      <c r="F2629" s="1">
        <f ca="1">IFERROR(__xludf.DUMMYFUNCTION("""COMPUTED_VALUE"""),128964279)</f>
        <v>128964279</v>
      </c>
    </row>
    <row r="2630" spans="1:6" x14ac:dyDescent="0.35">
      <c r="A2630" s="2">
        <f ca="1">IFERROR(__xludf.DUMMYFUNCTION("""COMPUTED_VALUE"""),45824.6666666666)</f>
        <v>45824.666666666599</v>
      </c>
      <c r="B2630" s="1">
        <f ca="1">IFERROR(__xludf.DUMMYFUNCTION("""COMPUTED_VALUE"""),331.29)</f>
        <v>331.29</v>
      </c>
      <c r="C2630" s="1">
        <f ca="1">IFERROR(__xludf.DUMMYFUNCTION("""COMPUTED_VALUE"""),332.05)</f>
        <v>332.05</v>
      </c>
      <c r="D2630" s="1">
        <f ca="1">IFERROR(__xludf.DUMMYFUNCTION("""COMPUTED_VALUE"""),326.41)</f>
        <v>326.41000000000003</v>
      </c>
      <c r="E2630" s="1">
        <f ca="1">IFERROR(__xludf.DUMMYFUNCTION("""COMPUTED_VALUE"""),329.13)</f>
        <v>329.13</v>
      </c>
      <c r="F2630" s="1">
        <f ca="1">IFERROR(__xludf.DUMMYFUNCTION("""COMPUTED_VALUE"""),83925858)</f>
        <v>83925858</v>
      </c>
    </row>
    <row r="2631" spans="1:6" x14ac:dyDescent="0.35">
      <c r="A2631" s="2">
        <f ca="1">IFERROR(__xludf.DUMMYFUNCTION("""COMPUTED_VALUE"""),45825.6666666666)</f>
        <v>45825.666666666599</v>
      </c>
      <c r="B2631" s="1">
        <f ca="1">IFERROR(__xludf.DUMMYFUNCTION("""COMPUTED_VALUE"""),326.09)</f>
        <v>326.08999999999997</v>
      </c>
      <c r="C2631" s="1">
        <f ca="1">IFERROR(__xludf.DUMMYFUNCTION("""COMPUTED_VALUE"""),327.26)</f>
        <v>327.26</v>
      </c>
      <c r="D2631" s="1">
        <f ca="1">IFERROR(__xludf.DUMMYFUNCTION("""COMPUTED_VALUE"""),314.74)</f>
        <v>314.74</v>
      </c>
      <c r="E2631" s="1">
        <f ca="1">IFERROR(__xludf.DUMMYFUNCTION("""COMPUTED_VALUE"""),316.35)</f>
        <v>316.35000000000002</v>
      </c>
      <c r="F2631" s="1">
        <f ca="1">IFERROR(__xludf.DUMMYFUNCTION("""COMPUTED_VALUE"""),88282669)</f>
        <v>88282669</v>
      </c>
    </row>
    <row r="2632" spans="1:6" x14ac:dyDescent="0.35">
      <c r="A2632" s="2">
        <f ca="1">IFERROR(__xludf.DUMMYFUNCTION("""COMPUTED_VALUE"""),45826.6666666666)</f>
        <v>45826.666666666599</v>
      </c>
      <c r="B2632" s="1">
        <f ca="1">IFERROR(__xludf.DUMMYFUNCTION("""COMPUTED_VALUE"""),317.31)</f>
        <v>317.31</v>
      </c>
      <c r="C2632" s="1">
        <f ca="1">IFERROR(__xludf.DUMMYFUNCTION("""COMPUTED_VALUE"""),329.32)</f>
        <v>329.32</v>
      </c>
      <c r="D2632" s="1">
        <f ca="1">IFERROR(__xludf.DUMMYFUNCTION("""COMPUTED_VALUE"""),315.45)</f>
        <v>315.45</v>
      </c>
      <c r="E2632" s="1">
        <f ca="1">IFERROR(__xludf.DUMMYFUNCTION("""COMPUTED_VALUE"""),322.05)</f>
        <v>322.05</v>
      </c>
      <c r="F2632" s="1">
        <f ca="1">IFERROR(__xludf.DUMMYFUNCTION("""COMPUTED_VALUE"""),95137686)</f>
        <v>95137686</v>
      </c>
    </row>
    <row r="2633" spans="1:6" x14ac:dyDescent="0.35">
      <c r="A2633" s="2">
        <f ca="1">IFERROR(__xludf.DUMMYFUNCTION("""COMPUTED_VALUE"""),45828.6666666666)</f>
        <v>45828.666666666599</v>
      </c>
      <c r="B2633" s="1">
        <f ca="1">IFERROR(__xludf.DUMMYFUNCTION("""COMPUTED_VALUE"""),327.95)</f>
        <v>327.95</v>
      </c>
      <c r="C2633" s="1">
        <f ca="1">IFERROR(__xludf.DUMMYFUNCTION("""COMPUTED_VALUE"""),332.36)</f>
        <v>332.36</v>
      </c>
      <c r="D2633" s="1">
        <f ca="1">IFERROR(__xludf.DUMMYFUNCTION("""COMPUTED_VALUE"""),317.78)</f>
        <v>317.77999999999997</v>
      </c>
      <c r="E2633" s="1">
        <f ca="1">IFERROR(__xludf.DUMMYFUNCTION("""COMPUTED_VALUE"""),322.16)</f>
        <v>322.16000000000003</v>
      </c>
      <c r="F2633" s="1">
        <f ca="1">IFERROR(__xludf.DUMMYFUNCTION("""COMPUTED_VALUE"""),108688008)</f>
        <v>108688008</v>
      </c>
    </row>
    <row r="2634" spans="1:6" x14ac:dyDescent="0.35">
      <c r="A2634" s="2">
        <f ca="1">IFERROR(__xludf.DUMMYFUNCTION("""COMPUTED_VALUE"""),45831.6666666666)</f>
        <v>45831.666666666599</v>
      </c>
      <c r="B2634" s="1">
        <f ca="1">IFERROR(__xludf.DUMMYFUNCTION("""COMPUTED_VALUE"""),327.54)</f>
        <v>327.54000000000002</v>
      </c>
      <c r="C2634" s="1">
        <f ca="1">IFERROR(__xludf.DUMMYFUNCTION("""COMPUTED_VALUE"""),357.54)</f>
        <v>357.54</v>
      </c>
      <c r="D2634" s="1">
        <f ca="1">IFERROR(__xludf.DUMMYFUNCTION("""COMPUTED_VALUE"""),327.48)</f>
        <v>327.48</v>
      </c>
      <c r="E2634" s="1">
        <f ca="1">IFERROR(__xludf.DUMMYFUNCTION("""COMPUTED_VALUE"""),348.68)</f>
        <v>348.68</v>
      </c>
      <c r="F2634" s="1">
        <f ca="1">IFERROR(__xludf.DUMMYFUNCTION("""COMPUTED_VALUE"""),190716815)</f>
        <v>190716815</v>
      </c>
    </row>
    <row r="2635" spans="1:6" x14ac:dyDescent="0.35">
      <c r="A2635" s="2">
        <f ca="1">IFERROR(__xludf.DUMMYFUNCTION("""COMPUTED_VALUE"""),45832.6666666666)</f>
        <v>45832.666666666599</v>
      </c>
      <c r="B2635" s="1">
        <f ca="1">IFERROR(__xludf.DUMMYFUNCTION("""COMPUTED_VALUE"""),356.17)</f>
        <v>356.17</v>
      </c>
      <c r="C2635" s="1">
        <f ca="1">IFERROR(__xludf.DUMMYFUNCTION("""COMPUTED_VALUE"""),356.26)</f>
        <v>356.26</v>
      </c>
      <c r="D2635" s="1">
        <f ca="1">IFERROR(__xludf.DUMMYFUNCTION("""COMPUTED_VALUE"""),340.44)</f>
        <v>340.44</v>
      </c>
      <c r="E2635" s="1">
        <f ca="1">IFERROR(__xludf.DUMMYFUNCTION("""COMPUTED_VALUE"""),340.47)</f>
        <v>340.47</v>
      </c>
      <c r="F2635" s="1">
        <f ca="1">IFERROR(__xludf.DUMMYFUNCTION("""COMPUTED_VALUE"""),114736245)</f>
        <v>114736245</v>
      </c>
    </row>
    <row r="2636" spans="1:6" x14ac:dyDescent="0.35">
      <c r="A2636" s="2">
        <f ca="1">IFERROR(__xludf.DUMMYFUNCTION("""COMPUTED_VALUE"""),45833.6666666666)</f>
        <v>45833.666666666599</v>
      </c>
      <c r="B2636" s="1">
        <f ca="1">IFERROR(__xludf.DUMMYFUNCTION("""COMPUTED_VALUE"""),342.7)</f>
        <v>342.7</v>
      </c>
      <c r="C2636" s="1">
        <f ca="1">IFERROR(__xludf.DUMMYFUNCTION("""COMPUTED_VALUE"""),343)</f>
        <v>343</v>
      </c>
      <c r="D2636" s="1">
        <f ca="1">IFERROR(__xludf.DUMMYFUNCTION("""COMPUTED_VALUE"""),320.4)</f>
        <v>320.39999999999998</v>
      </c>
      <c r="E2636" s="1">
        <f ca="1">IFERROR(__xludf.DUMMYFUNCTION("""COMPUTED_VALUE"""),327.55)</f>
        <v>327.55</v>
      </c>
      <c r="F2636" s="1">
        <f ca="1">IFERROR(__xludf.DUMMYFUNCTION("""COMPUTED_VALUE"""),119845050)</f>
        <v>119845050</v>
      </c>
    </row>
    <row r="2637" spans="1:6" x14ac:dyDescent="0.35">
      <c r="A2637" s="2">
        <f ca="1">IFERROR(__xludf.DUMMYFUNCTION("""COMPUTED_VALUE"""),45834.6666666666)</f>
        <v>45834.666666666599</v>
      </c>
      <c r="B2637" s="1">
        <f ca="1">IFERROR(__xludf.DUMMYFUNCTION("""COMPUTED_VALUE"""),324.61)</f>
        <v>324.61</v>
      </c>
      <c r="C2637" s="1">
        <f ca="1">IFERROR(__xludf.DUMMYFUNCTION("""COMPUTED_VALUE"""),331.05)</f>
        <v>331.05</v>
      </c>
      <c r="D2637" s="1">
        <f ca="1">IFERROR(__xludf.DUMMYFUNCTION("""COMPUTED_VALUE"""),323.61)</f>
        <v>323.61</v>
      </c>
      <c r="E2637" s="1">
        <f ca="1">IFERROR(__xludf.DUMMYFUNCTION("""COMPUTED_VALUE"""),325.78)</f>
        <v>325.77999999999997</v>
      </c>
      <c r="F2637" s="1">
        <f ca="1">IFERROR(__xludf.DUMMYFUNCTION("""COMPUTED_VALUE"""),80440907)</f>
        <v>80440907</v>
      </c>
    </row>
    <row r="2638" spans="1:6" x14ac:dyDescent="0.35">
      <c r="A2638" s="2">
        <f ca="1">IFERROR(__xludf.DUMMYFUNCTION("""COMPUTED_VALUE"""),45835.6666666666)</f>
        <v>45835.666666666599</v>
      </c>
      <c r="B2638" s="1">
        <f ca="1">IFERROR(__xludf.DUMMYFUNCTION("""COMPUTED_VALUE"""),324.51)</f>
        <v>324.51</v>
      </c>
      <c r="C2638" s="1">
        <f ca="1">IFERROR(__xludf.DUMMYFUNCTION("""COMPUTED_VALUE"""),329.34)</f>
        <v>329.34</v>
      </c>
      <c r="D2638" s="1">
        <f ca="1">IFERROR(__xludf.DUMMYFUNCTION("""COMPUTED_VALUE"""),317.5)</f>
        <v>317.5</v>
      </c>
      <c r="E2638" s="1">
        <f ca="1">IFERROR(__xludf.DUMMYFUNCTION("""COMPUTED_VALUE"""),323.63)</f>
        <v>323.63</v>
      </c>
      <c r="F2638" s="1">
        <f ca="1">IFERROR(__xludf.DUMMYFUNCTION("""COMPUTED_VALUE"""),89067049)</f>
        <v>89067049</v>
      </c>
    </row>
    <row r="2639" spans="1:6" x14ac:dyDescent="0.35">
      <c r="A2639" s="2">
        <f ca="1">IFERROR(__xludf.DUMMYFUNCTION("""COMPUTED_VALUE"""),45838.6666666666)</f>
        <v>45838.666666666599</v>
      </c>
      <c r="B2639" s="1">
        <f ca="1">IFERROR(__xludf.DUMMYFUNCTION("""COMPUTED_VALUE"""),319.9)</f>
        <v>319.89999999999998</v>
      </c>
      <c r="C2639" s="1">
        <f ca="1">IFERROR(__xludf.DUMMYFUNCTION("""COMPUTED_VALUE"""),325.58)</f>
        <v>325.58</v>
      </c>
      <c r="D2639" s="1">
        <f ca="1">IFERROR(__xludf.DUMMYFUNCTION("""COMPUTED_VALUE"""),316.6)</f>
        <v>316.60000000000002</v>
      </c>
      <c r="E2639" s="1">
        <f ca="1">IFERROR(__xludf.DUMMYFUNCTION("""COMPUTED_VALUE"""),317.66)</f>
        <v>317.66000000000003</v>
      </c>
      <c r="F2639" s="1">
        <f ca="1">IFERROR(__xludf.DUMMYFUNCTION("""COMPUTED_VALUE"""),76695081)</f>
        <v>76695081</v>
      </c>
    </row>
    <row r="2640" spans="1:6" x14ac:dyDescent="0.35">
      <c r="A2640" s="2">
        <f ca="1">IFERROR(__xludf.DUMMYFUNCTION("""COMPUTED_VALUE"""),45839.6666666666)</f>
        <v>45839.666666666599</v>
      </c>
      <c r="B2640" s="1">
        <f ca="1">IFERROR(__xludf.DUMMYFUNCTION("""COMPUTED_VALUE"""),298.46)</f>
        <v>298.45999999999998</v>
      </c>
      <c r="C2640" s="1">
        <f ca="1">IFERROR(__xludf.DUMMYFUNCTION("""COMPUTED_VALUE"""),305.89)</f>
        <v>305.89</v>
      </c>
      <c r="D2640" s="1">
        <f ca="1">IFERROR(__xludf.DUMMYFUNCTION("""COMPUTED_VALUE"""),293.21)</f>
        <v>293.20999999999998</v>
      </c>
      <c r="E2640" s="1">
        <f ca="1">IFERROR(__xludf.DUMMYFUNCTION("""COMPUTED_VALUE"""),300.71)</f>
        <v>300.70999999999998</v>
      </c>
      <c r="F2640" s="1">
        <f ca="1">IFERROR(__xludf.DUMMYFUNCTION("""COMPUTED_VALUE"""),145085665)</f>
        <v>145085665</v>
      </c>
    </row>
    <row r="2641" spans="1:6" x14ac:dyDescent="0.35">
      <c r="A2641" s="2">
        <f ca="1">IFERROR(__xludf.DUMMYFUNCTION("""COMPUTED_VALUE"""),45840.6666666666)</f>
        <v>45840.666666666599</v>
      </c>
      <c r="B2641" s="1">
        <f ca="1">IFERROR(__xludf.DUMMYFUNCTION("""COMPUTED_VALUE"""),312.63)</f>
        <v>312.63</v>
      </c>
      <c r="C2641" s="1">
        <f ca="1">IFERROR(__xludf.DUMMYFUNCTION("""COMPUTED_VALUE"""),316.83)</f>
        <v>316.83</v>
      </c>
      <c r="D2641" s="1">
        <f ca="1">IFERROR(__xludf.DUMMYFUNCTION("""COMPUTED_VALUE"""),303.82)</f>
        <v>303.82</v>
      </c>
      <c r="E2641" s="1">
        <f ca="1">IFERROR(__xludf.DUMMYFUNCTION("""COMPUTED_VALUE"""),315.65)</f>
        <v>315.64999999999998</v>
      </c>
      <c r="F2641" s="1">
        <f ca="1">IFERROR(__xludf.DUMMYFUNCTION("""COMPUTED_VALUE"""),119483730)</f>
        <v>119483730</v>
      </c>
    </row>
    <row r="2642" spans="1:6" x14ac:dyDescent="0.35">
      <c r="A2642" s="2">
        <f ca="1">IFERROR(__xludf.DUMMYFUNCTION("""COMPUTED_VALUE"""),45841.5451388888)</f>
        <v>45841.545138888803</v>
      </c>
      <c r="B2642" s="1">
        <f ca="1">IFERROR(__xludf.DUMMYFUNCTION("""COMPUTED_VALUE"""),317.99)</f>
        <v>317.99</v>
      </c>
      <c r="C2642" s="1">
        <f ca="1">IFERROR(__xludf.DUMMYFUNCTION("""COMPUTED_VALUE"""),318.45)</f>
        <v>318.45</v>
      </c>
      <c r="D2642" s="1">
        <f ca="1">IFERROR(__xludf.DUMMYFUNCTION("""COMPUTED_VALUE"""),312.76)</f>
        <v>312.76</v>
      </c>
      <c r="E2642" s="1">
        <f ca="1">IFERROR(__xludf.DUMMYFUNCTION("""COMPUTED_VALUE"""),315.35)</f>
        <v>315.35000000000002</v>
      </c>
      <c r="F2642" s="1">
        <f ca="1">IFERROR(__xludf.DUMMYFUNCTION("""COMPUTED_VALUE"""),58042302)</f>
        <v>58042302</v>
      </c>
    </row>
    <row r="2643" spans="1:6" x14ac:dyDescent="0.35">
      <c r="A2643" s="2">
        <f ca="1">IFERROR(__xludf.DUMMYFUNCTION("""COMPUTED_VALUE"""),45845.6666666666)</f>
        <v>45845.666666666599</v>
      </c>
      <c r="B2643" s="1">
        <f ca="1">IFERROR(__xludf.DUMMYFUNCTION("""COMPUTED_VALUE"""),291.37)</f>
        <v>291.37</v>
      </c>
      <c r="C2643" s="1">
        <f ca="1">IFERROR(__xludf.DUMMYFUNCTION("""COMPUTED_VALUE"""),296.15)</f>
        <v>296.14999999999998</v>
      </c>
      <c r="D2643" s="1">
        <f ca="1">IFERROR(__xludf.DUMMYFUNCTION("""COMPUTED_VALUE"""),288.77)</f>
        <v>288.77</v>
      </c>
      <c r="E2643" s="1">
        <f ca="1">IFERROR(__xludf.DUMMYFUNCTION("""COMPUTED_VALUE"""),293.94)</f>
        <v>293.94</v>
      </c>
      <c r="F2643" s="1">
        <f ca="1">IFERROR(__xludf.DUMMYFUNCTION("""COMPUTED_VALUE"""),131177949)</f>
        <v>131177949</v>
      </c>
    </row>
    <row r="2644" spans="1:6" x14ac:dyDescent="0.35">
      <c r="A2644" s="2">
        <f ca="1">IFERROR(__xludf.DUMMYFUNCTION("""COMPUTED_VALUE"""),45846.6666666666)</f>
        <v>45846.666666666599</v>
      </c>
      <c r="B2644" s="1">
        <f ca="1">IFERROR(__xludf.DUMMYFUNCTION("""COMPUTED_VALUE"""),297)</f>
        <v>297</v>
      </c>
      <c r="C2644" s="1">
        <f ca="1">IFERROR(__xludf.DUMMYFUNCTION("""COMPUTED_VALUE"""),304.05)</f>
        <v>304.05</v>
      </c>
      <c r="D2644" s="1">
        <f ca="1">IFERROR(__xludf.DUMMYFUNCTION("""COMPUTED_VALUE"""),294.35)</f>
        <v>294.35000000000002</v>
      </c>
      <c r="E2644" s="1">
        <f ca="1">IFERROR(__xludf.DUMMYFUNCTION("""COMPUTED_VALUE"""),297.81)</f>
        <v>297.81</v>
      </c>
      <c r="F2644" s="1">
        <f ca="1">IFERROR(__xludf.DUMMYFUNCTION("""COMPUTED_VALUE"""),103246742)</f>
        <v>103246742</v>
      </c>
    </row>
    <row r="2645" spans="1:6" x14ac:dyDescent="0.35">
      <c r="A2645" s="2">
        <f ca="1">IFERROR(__xludf.DUMMYFUNCTION("""COMPUTED_VALUE"""),45847.6666666666)</f>
        <v>45847.666666666599</v>
      </c>
      <c r="B2645" s="1">
        <f ca="1">IFERROR(__xludf.DUMMYFUNCTION("""COMPUTED_VALUE"""),297.55)</f>
        <v>297.55</v>
      </c>
      <c r="C2645" s="1">
        <f ca="1">IFERROR(__xludf.DUMMYFUNCTION("""COMPUTED_VALUE"""),300.15)</f>
        <v>300.14999999999998</v>
      </c>
      <c r="D2645" s="1">
        <f ca="1">IFERROR(__xludf.DUMMYFUNCTION("""COMPUTED_VALUE"""),293.55)</f>
        <v>293.55</v>
      </c>
      <c r="E2645" s="1">
        <f ca="1">IFERROR(__xludf.DUMMYFUNCTION("""COMPUTED_VALUE"""),295.88)</f>
        <v>295.88</v>
      </c>
      <c r="F2645" s="1">
        <f ca="1">IFERROR(__xludf.DUMMYFUNCTION("""COMPUTED_VALUE"""),75586771)</f>
        <v>75586771</v>
      </c>
    </row>
    <row r="2646" spans="1:6" x14ac:dyDescent="0.35">
      <c r="A2646" s="2">
        <f ca="1">IFERROR(__xludf.DUMMYFUNCTION("""COMPUTED_VALUE"""),45848.6666666666)</f>
        <v>45848.666666666599</v>
      </c>
      <c r="B2646" s="1">
        <f ca="1">IFERROR(__xludf.DUMMYFUNCTION("""COMPUTED_VALUE"""),300.05)</f>
        <v>300.05</v>
      </c>
      <c r="C2646" s="1">
        <f ca="1">IFERROR(__xludf.DUMMYFUNCTION("""COMPUTED_VALUE"""),310.48)</f>
        <v>310.48</v>
      </c>
      <c r="D2646" s="1">
        <f ca="1">IFERROR(__xludf.DUMMYFUNCTION("""COMPUTED_VALUE"""),300)</f>
        <v>300</v>
      </c>
      <c r="E2646" s="1">
        <f ca="1">IFERROR(__xludf.DUMMYFUNCTION("""COMPUTED_VALUE"""),309.87)</f>
        <v>309.87</v>
      </c>
      <c r="F2646" s="1">
        <f ca="1">IFERROR(__xludf.DUMMYFUNCTION("""COMPUTED_VALUE"""),104365271)</f>
        <v>104365271</v>
      </c>
    </row>
    <row r="2647" spans="1:6" x14ac:dyDescent="0.35">
      <c r="A2647" s="2">
        <f ca="1">IFERROR(__xludf.DUMMYFUNCTION("""COMPUTED_VALUE"""),45849.6666666666)</f>
        <v>45849.666666666599</v>
      </c>
      <c r="B2647" s="1">
        <f ca="1">IFERROR(__xludf.DUMMYFUNCTION("""COMPUTED_VALUE"""),307.89)</f>
        <v>307.89</v>
      </c>
      <c r="C2647" s="1">
        <f ca="1">IFERROR(__xludf.DUMMYFUNCTION("""COMPUTED_VALUE"""),314.09)</f>
        <v>314.08999999999997</v>
      </c>
      <c r="D2647" s="1">
        <f ca="1">IFERROR(__xludf.DUMMYFUNCTION("""COMPUTED_VALUE"""),305.65)</f>
        <v>305.64999999999998</v>
      </c>
      <c r="E2647" s="1">
        <f ca="1">IFERROR(__xludf.DUMMYFUNCTION("""COMPUTED_VALUE"""),313.51)</f>
        <v>313.51</v>
      </c>
      <c r="F2647" s="1">
        <f ca="1">IFERROR(__xludf.DUMMYFUNCTION("""COMPUTED_VALUE"""),79236442)</f>
        <v>79236442</v>
      </c>
    </row>
    <row r="2648" spans="1:6" x14ac:dyDescent="0.35">
      <c r="A2648" s="2">
        <f ca="1">IFERROR(__xludf.DUMMYFUNCTION("""COMPUTED_VALUE"""),45852.6666666666)</f>
        <v>45852.666666666599</v>
      </c>
      <c r="B2648" s="1">
        <f ca="1">IFERROR(__xludf.DUMMYFUNCTION("""COMPUTED_VALUE"""),317.73)</f>
        <v>317.73</v>
      </c>
      <c r="C2648" s="1">
        <f ca="1">IFERROR(__xludf.DUMMYFUNCTION("""COMPUTED_VALUE"""),322.6)</f>
        <v>322.60000000000002</v>
      </c>
      <c r="D2648" s="1">
        <f ca="1">IFERROR(__xludf.DUMMYFUNCTION("""COMPUTED_VALUE"""),312.67)</f>
        <v>312.67</v>
      </c>
      <c r="E2648" s="1">
        <f ca="1">IFERROR(__xludf.DUMMYFUNCTION("""COMPUTED_VALUE"""),316.9)</f>
        <v>316.89999999999998</v>
      </c>
      <c r="F2648" s="1">
        <f ca="1">IFERROR(__xludf.DUMMYFUNCTION("""COMPUTED_VALUE"""),78043430)</f>
        <v>78043430</v>
      </c>
    </row>
    <row r="2649" spans="1:6" x14ac:dyDescent="0.35">
      <c r="A2649" s="2">
        <f ca="1">IFERROR(__xludf.DUMMYFUNCTION("""COMPUTED_VALUE"""),45853.6666666666)</f>
        <v>45853.666666666599</v>
      </c>
      <c r="B2649" s="1">
        <f ca="1">IFERROR(__xludf.DUMMYFUNCTION("""COMPUTED_VALUE"""),319.68)</f>
        <v>319.68</v>
      </c>
      <c r="C2649" s="1">
        <f ca="1">IFERROR(__xludf.DUMMYFUNCTION("""COMPUTED_VALUE"""),321.2)</f>
        <v>321.2</v>
      </c>
      <c r="D2649" s="1">
        <f ca="1">IFERROR(__xludf.DUMMYFUNCTION("""COMPUTED_VALUE"""),310.5)</f>
        <v>310.5</v>
      </c>
      <c r="E2649" s="1">
        <f ca="1">IFERROR(__xludf.DUMMYFUNCTION("""COMPUTED_VALUE"""),310.78)</f>
        <v>310.77999999999997</v>
      </c>
      <c r="F2649" s="1">
        <f ca="1">IFERROR(__xludf.DUMMYFUNCTION("""COMPUTED_VALUE"""),77556346)</f>
        <v>77556346</v>
      </c>
    </row>
    <row r="2650" spans="1:6" x14ac:dyDescent="0.35">
      <c r="A2650" s="2">
        <f ca="1">IFERROR(__xludf.DUMMYFUNCTION("""COMPUTED_VALUE"""),45854.6666666666)</f>
        <v>45854.666666666599</v>
      </c>
      <c r="B2650" s="1">
        <f ca="1">IFERROR(__xludf.DUMMYFUNCTION("""COMPUTED_VALUE"""),312.8)</f>
        <v>312.8</v>
      </c>
      <c r="C2650" s="1">
        <f ca="1">IFERROR(__xludf.DUMMYFUNCTION("""COMPUTED_VALUE"""),323.5)</f>
        <v>323.5</v>
      </c>
      <c r="D2650" s="1">
        <f ca="1">IFERROR(__xludf.DUMMYFUNCTION("""COMPUTED_VALUE"""),312.62)</f>
        <v>312.62</v>
      </c>
      <c r="E2650" s="1">
        <f ca="1">IFERROR(__xludf.DUMMYFUNCTION("""COMPUTED_VALUE"""),321.67)</f>
        <v>321.67</v>
      </c>
      <c r="F2650" s="1">
        <f ca="1">IFERROR(__xludf.DUMMYFUNCTION("""COMPUTED_VALUE"""),97284786)</f>
        <v>97284786</v>
      </c>
    </row>
    <row r="2651" spans="1:6" x14ac:dyDescent="0.35">
      <c r="A2651" s="2">
        <f ca="1">IFERROR(__xludf.DUMMYFUNCTION("""COMPUTED_VALUE"""),45855.6666666666)</f>
        <v>45855.666666666599</v>
      </c>
      <c r="B2651" s="1">
        <f ca="1">IFERROR(__xludf.DUMMYFUNCTION("""COMPUTED_VALUE"""),323.15)</f>
        <v>323.14999999999998</v>
      </c>
      <c r="C2651" s="1">
        <f ca="1">IFERROR(__xludf.DUMMYFUNCTION("""COMPUTED_VALUE"""),324.34)</f>
        <v>324.33999999999997</v>
      </c>
      <c r="D2651" s="1">
        <f ca="1">IFERROR(__xludf.DUMMYFUNCTION("""COMPUTED_VALUE"""),317.06)</f>
        <v>317.06</v>
      </c>
      <c r="E2651" s="1">
        <f ca="1">IFERROR(__xludf.DUMMYFUNCTION("""COMPUTED_VALUE"""),319.41)</f>
        <v>319.41000000000003</v>
      </c>
      <c r="F2651" s="1">
        <f ca="1">IFERROR(__xludf.DUMMYFUNCTION("""COMPUTED_VALUE"""),73922870)</f>
        <v>73922870</v>
      </c>
    </row>
    <row r="2652" spans="1:6" x14ac:dyDescent="0.35">
      <c r="A2652" s="2">
        <f ca="1">IFERROR(__xludf.DUMMYFUNCTION("""COMPUTED_VALUE"""),45856.6666666666)</f>
        <v>45856.666666666599</v>
      </c>
      <c r="B2652" s="1">
        <f ca="1">IFERROR(__xludf.DUMMYFUNCTION("""COMPUTED_VALUE"""),321.66)</f>
        <v>321.66000000000003</v>
      </c>
      <c r="C2652" s="1">
        <f ca="1">IFERROR(__xludf.DUMMYFUNCTION("""COMPUTED_VALUE"""),330.9)</f>
        <v>330.9</v>
      </c>
      <c r="D2652" s="1">
        <f ca="1">IFERROR(__xludf.DUMMYFUNCTION("""COMPUTED_VALUE"""),321.42)</f>
        <v>321.42</v>
      </c>
      <c r="E2652" s="1">
        <f ca="1">IFERROR(__xludf.DUMMYFUNCTION("""COMPUTED_VALUE"""),329.65)</f>
        <v>329.65</v>
      </c>
      <c r="F2652" s="1">
        <f ca="1">IFERROR(__xludf.DUMMYFUNCTION("""COMPUTED_VALUE"""),94254993)</f>
        <v>94254993</v>
      </c>
    </row>
    <row r="2653" spans="1:6" x14ac:dyDescent="0.35">
      <c r="A2653" s="2">
        <f ca="1">IFERROR(__xludf.DUMMYFUNCTION("""COMPUTED_VALUE"""),45859.6666666666)</f>
        <v>45859.666666666599</v>
      </c>
      <c r="B2653" s="1">
        <f ca="1">IFERROR(__xludf.DUMMYFUNCTION("""COMPUTED_VALUE"""),334.4)</f>
        <v>334.4</v>
      </c>
      <c r="C2653" s="1">
        <f ca="1">IFERROR(__xludf.DUMMYFUNCTION("""COMPUTED_VALUE"""),338)</f>
        <v>338</v>
      </c>
      <c r="D2653" s="1">
        <f ca="1">IFERROR(__xludf.DUMMYFUNCTION("""COMPUTED_VALUE"""),326.88)</f>
        <v>326.88</v>
      </c>
      <c r="E2653" s="1">
        <f ca="1">IFERROR(__xludf.DUMMYFUNCTION("""COMPUTED_VALUE"""),328.49)</f>
        <v>328.49</v>
      </c>
      <c r="F2653" s="1">
        <f ca="1">IFERROR(__xludf.DUMMYFUNCTION("""COMPUTED_VALUE"""),75768797)</f>
        <v>75768797</v>
      </c>
    </row>
    <row r="2654" spans="1:6" x14ac:dyDescent="0.35">
      <c r="A2654" s="2">
        <f ca="1">IFERROR(__xludf.DUMMYFUNCTION("""COMPUTED_VALUE"""),45860.6666666666)</f>
        <v>45860.666666666599</v>
      </c>
      <c r="B2654" s="1">
        <f ca="1">IFERROR(__xludf.DUMMYFUNCTION("""COMPUTED_VALUE"""),329.74)</f>
        <v>329.74</v>
      </c>
      <c r="C2654" s="1">
        <f ca="1">IFERROR(__xludf.DUMMYFUNCTION("""COMPUTED_VALUE"""),335.41)</f>
        <v>335.41</v>
      </c>
      <c r="D2654" s="1">
        <f ca="1">IFERROR(__xludf.DUMMYFUNCTION("""COMPUTED_VALUE"""),321.55)</f>
        <v>321.55</v>
      </c>
      <c r="E2654" s="1">
        <f ca="1">IFERROR(__xludf.DUMMYFUNCTION("""COMPUTED_VALUE"""),332.11)</f>
        <v>332.11</v>
      </c>
      <c r="F2654" s="1">
        <f ca="1">IFERROR(__xludf.DUMMYFUNCTION("""COMPUTED_VALUE"""),77370371)</f>
        <v>77370371</v>
      </c>
    </row>
    <row r="2655" spans="1:6" x14ac:dyDescent="0.35">
      <c r="A2655" s="2">
        <f ca="1">IFERROR(__xludf.DUMMYFUNCTION("""COMPUTED_VALUE"""),45861.6666666666)</f>
        <v>45861.666666666599</v>
      </c>
      <c r="B2655" s="1">
        <f ca="1">IFERROR(__xludf.DUMMYFUNCTION("""COMPUTED_VALUE"""),330.9)</f>
        <v>330.9</v>
      </c>
      <c r="C2655" s="1">
        <f ca="1">IFERROR(__xludf.DUMMYFUNCTION("""COMPUTED_VALUE"""),336.2)</f>
        <v>336.2</v>
      </c>
      <c r="D2655" s="1">
        <f ca="1">IFERROR(__xludf.DUMMYFUNCTION("""COMPUTED_VALUE"""),328.67)</f>
        <v>328.67</v>
      </c>
      <c r="E2655" s="1">
        <f ca="1">IFERROR(__xludf.DUMMYFUNCTION("""COMPUTED_VALUE"""),332.56)</f>
        <v>332.56</v>
      </c>
      <c r="F2655" s="1">
        <f ca="1">IFERROR(__xludf.DUMMYFUNCTION("""COMPUTED_VALUE"""),92553756)</f>
        <v>92553756</v>
      </c>
    </row>
    <row r="2656" spans="1:6" x14ac:dyDescent="0.35">
      <c r="A2656" s="2">
        <f ca="1">IFERROR(__xludf.DUMMYFUNCTION("""COMPUTED_VALUE"""),45862.6666666666)</f>
        <v>45862.666666666599</v>
      </c>
      <c r="B2656" s="1">
        <f ca="1">IFERROR(__xludf.DUMMYFUNCTION("""COMPUTED_VALUE"""),310)</f>
        <v>310</v>
      </c>
      <c r="C2656" s="1">
        <f ca="1">IFERROR(__xludf.DUMMYFUNCTION("""COMPUTED_VALUE"""),310.15)</f>
        <v>310.14999999999998</v>
      </c>
      <c r="D2656" s="1">
        <f ca="1">IFERROR(__xludf.DUMMYFUNCTION("""COMPUTED_VALUE"""),300.41)</f>
        <v>300.41000000000003</v>
      </c>
      <c r="E2656" s="1">
        <f ca="1">IFERROR(__xludf.DUMMYFUNCTION("""COMPUTED_VALUE"""),305.3)</f>
        <v>305.3</v>
      </c>
      <c r="F2656" s="1">
        <f ca="1">IFERROR(__xludf.DUMMYFUNCTION("""COMPUTED_VALUE"""),156966023)</f>
        <v>156966023</v>
      </c>
    </row>
    <row r="2657" spans="1:6" x14ac:dyDescent="0.35">
      <c r="A2657" s="2">
        <f ca="1">IFERROR(__xludf.DUMMYFUNCTION("""COMPUTED_VALUE"""),45863.6666666666)</f>
        <v>45863.666666666599</v>
      </c>
      <c r="B2657" s="1">
        <f ca="1">IFERROR(__xludf.DUMMYFUNCTION("""COMPUTED_VALUE"""),308.74)</f>
        <v>308.74</v>
      </c>
      <c r="C2657" s="1">
        <f ca="1">IFERROR(__xludf.DUMMYFUNCTION("""COMPUTED_VALUE"""),323.63)</f>
        <v>323.63</v>
      </c>
      <c r="D2657" s="1">
        <f ca="1">IFERROR(__xludf.DUMMYFUNCTION("""COMPUTED_VALUE"""),308.01)</f>
        <v>308.01</v>
      </c>
      <c r="E2657" s="1">
        <f ca="1">IFERROR(__xludf.DUMMYFUNCTION("""COMPUTED_VALUE"""),316.06)</f>
        <v>316.06</v>
      </c>
      <c r="F2657" s="1">
        <f ca="1">IFERROR(__xludf.DUMMYFUNCTION("""COMPUTED_VALUE"""),148227027)</f>
        <v>148227027</v>
      </c>
    </row>
    <row r="2658" spans="1:6" x14ac:dyDescent="0.35">
      <c r="A2658" s="2">
        <f ca="1">IFERROR(__xludf.DUMMYFUNCTION("""COMPUTED_VALUE"""),45866.6666666666)</f>
        <v>45866.666666666599</v>
      </c>
      <c r="B2658" s="1">
        <f ca="1">IFERROR(__xludf.DUMMYFUNCTION("""COMPUTED_VALUE"""),318.45)</f>
        <v>318.45</v>
      </c>
      <c r="C2658" s="1">
        <f ca="1">IFERROR(__xludf.DUMMYFUNCTION("""COMPUTED_VALUE"""),330.49)</f>
        <v>330.49</v>
      </c>
      <c r="D2658" s="1">
        <f ca="1">IFERROR(__xludf.DUMMYFUNCTION("""COMPUTED_VALUE"""),315.69)</f>
        <v>315.69</v>
      </c>
      <c r="E2658" s="1">
        <f ca="1">IFERROR(__xludf.DUMMYFUNCTION("""COMPUTED_VALUE"""),325.59)</f>
        <v>325.58999999999997</v>
      </c>
      <c r="F2658" s="1">
        <f ca="1">IFERROR(__xludf.DUMMYFUNCTION("""COMPUTED_VALUE"""),112673755)</f>
        <v>112673755</v>
      </c>
    </row>
    <row r="2659" spans="1:6" x14ac:dyDescent="0.35">
      <c r="A2659" s="2">
        <f ca="1">IFERROR(__xludf.DUMMYFUNCTION("""COMPUTED_VALUE"""),45867.6666666666)</f>
        <v>45867.666666666599</v>
      </c>
      <c r="B2659" s="1">
        <f ca="1">IFERROR(__xludf.DUMMYFUNCTION("""COMPUTED_VALUE"""),325.55)</f>
        <v>325.55</v>
      </c>
      <c r="C2659" s="1">
        <f ca="1">IFERROR(__xludf.DUMMYFUNCTION("""COMPUTED_VALUE"""),326.25)</f>
        <v>326.25</v>
      </c>
      <c r="D2659" s="1">
        <f ca="1">IFERROR(__xludf.DUMMYFUNCTION("""COMPUTED_VALUE"""),318.25)</f>
        <v>318.25</v>
      </c>
      <c r="E2659" s="1">
        <f ca="1">IFERROR(__xludf.DUMMYFUNCTION("""COMPUTED_VALUE"""),321.2)</f>
        <v>321.2</v>
      </c>
      <c r="F2659" s="1">
        <f ca="1">IFERROR(__xludf.DUMMYFUNCTION("""COMPUTED_VALUE"""),87358861)</f>
        <v>87358861</v>
      </c>
    </row>
    <row r="2660" spans="1:6" x14ac:dyDescent="0.35">
      <c r="A2660" s="2">
        <f ca="1">IFERROR(__xludf.DUMMYFUNCTION("""COMPUTED_VALUE"""),45868.6666666666)</f>
        <v>45868.666666666599</v>
      </c>
      <c r="B2660" s="1">
        <f ca="1">IFERROR(__xludf.DUMMYFUNCTION("""COMPUTED_VALUE"""),322.18)</f>
        <v>322.18</v>
      </c>
      <c r="C2660" s="1">
        <f ca="1">IFERROR(__xludf.DUMMYFUNCTION("""COMPUTED_VALUE"""),324.45)</f>
        <v>324.45</v>
      </c>
      <c r="D2660" s="1">
        <f ca="1">IFERROR(__xludf.DUMMYFUNCTION("""COMPUTED_VALUE"""),311.62)</f>
        <v>311.62</v>
      </c>
      <c r="E2660" s="1">
        <f ca="1">IFERROR(__xludf.DUMMYFUNCTION("""COMPUTED_VALUE"""),319.04)</f>
        <v>319.04000000000002</v>
      </c>
      <c r="F2660" s="1">
        <f ca="1">IFERROR(__xludf.DUMMYFUNCTION("""COMPUTED_VALUE"""),83931942)</f>
        <v>83931942</v>
      </c>
    </row>
    <row r="2661" spans="1:6" x14ac:dyDescent="0.35">
      <c r="A2661" s="2">
        <f ca="1">IFERROR(__xludf.DUMMYFUNCTION("""COMPUTED_VALUE"""),45869.6666666666)</f>
        <v>45869.666666666599</v>
      </c>
      <c r="B2661" s="1">
        <f ca="1">IFERROR(__xludf.DUMMYFUNCTION("""COMPUTED_VALUE"""),319.61)</f>
        <v>319.61</v>
      </c>
      <c r="C2661" s="1">
        <f ca="1">IFERROR(__xludf.DUMMYFUNCTION("""COMPUTED_VALUE"""),321.37)</f>
        <v>321.37</v>
      </c>
      <c r="D2661" s="1">
        <f ca="1">IFERROR(__xludf.DUMMYFUNCTION("""COMPUTED_VALUE"""),306.1)</f>
        <v>306.10000000000002</v>
      </c>
      <c r="E2661" s="1">
        <f ca="1">IFERROR(__xludf.DUMMYFUNCTION("""COMPUTED_VALUE"""),308.27)</f>
        <v>308.27</v>
      </c>
      <c r="F2661" s="1">
        <f ca="1">IFERROR(__xludf.DUMMYFUNCTION("""COMPUTED_VALUE"""),85270919)</f>
        <v>85270919</v>
      </c>
    </row>
    <row r="2662" spans="1:6" x14ac:dyDescent="0.35">
      <c r="A2662" s="2">
        <f ca="1">IFERROR(__xludf.DUMMYFUNCTION("""COMPUTED_VALUE"""),45870.6666666666)</f>
        <v>45870.666666666599</v>
      </c>
      <c r="B2662" s="1">
        <f ca="1">IFERROR(__xludf.DUMMYFUNCTION("""COMPUTED_VALUE"""),306.21)</f>
        <v>306.20999999999998</v>
      </c>
      <c r="C2662" s="1">
        <f ca="1">IFERROR(__xludf.DUMMYFUNCTION("""COMPUTED_VALUE"""),309.31)</f>
        <v>309.31</v>
      </c>
      <c r="D2662" s="1">
        <f ca="1">IFERROR(__xludf.DUMMYFUNCTION("""COMPUTED_VALUE"""),297.82)</f>
        <v>297.82</v>
      </c>
      <c r="E2662" s="1">
        <f ca="1">IFERROR(__xludf.DUMMYFUNCTION("""COMPUTED_VALUE"""),302.63)</f>
        <v>302.63</v>
      </c>
      <c r="F2662" s="1">
        <f ca="1">IFERROR(__xludf.DUMMYFUNCTION("""COMPUTED_VALUE"""),89121446)</f>
        <v>89121446</v>
      </c>
    </row>
    <row r="2663" spans="1:6" x14ac:dyDescent="0.35">
      <c r="A2663" s="2">
        <f ca="1">IFERROR(__xludf.DUMMYFUNCTION("""COMPUTED_VALUE"""),45873.6666666666)</f>
        <v>45873.666666666599</v>
      </c>
      <c r="B2663" s="1">
        <f ca="1">IFERROR(__xludf.DUMMYFUNCTION("""COMPUTED_VALUE"""),309.08)</f>
        <v>309.08</v>
      </c>
      <c r="C2663" s="1">
        <f ca="1">IFERROR(__xludf.DUMMYFUNCTION("""COMPUTED_VALUE"""),312.12)</f>
        <v>312.12</v>
      </c>
      <c r="D2663" s="1">
        <f ca="1">IFERROR(__xludf.DUMMYFUNCTION("""COMPUTED_VALUE"""),303)</f>
        <v>303</v>
      </c>
      <c r="E2663" s="1">
        <f ca="1">IFERROR(__xludf.DUMMYFUNCTION("""COMPUTED_VALUE"""),309.26)</f>
        <v>309.26</v>
      </c>
      <c r="F2663" s="1">
        <f ca="1">IFERROR(__xludf.DUMMYFUNCTION("""COMPUTED_VALUE"""),78683905)</f>
        <v>78683905</v>
      </c>
    </row>
    <row r="2664" spans="1:6" x14ac:dyDescent="0.35">
      <c r="A2664" s="2">
        <f ca="1">IFERROR(__xludf.DUMMYFUNCTION("""COMPUTED_VALUE"""),45874.6666666666)</f>
        <v>45874.666666666599</v>
      </c>
      <c r="B2664" s="1">
        <f ca="1">IFERROR(__xludf.DUMMYFUNCTION("""COMPUTED_VALUE"""),308.95)</f>
        <v>308.95</v>
      </c>
      <c r="C2664" s="1">
        <f ca="1">IFERROR(__xludf.DUMMYFUNCTION("""COMPUTED_VALUE"""),312.45)</f>
        <v>312.45</v>
      </c>
      <c r="D2664" s="1">
        <f ca="1">IFERROR(__xludf.DUMMYFUNCTION("""COMPUTED_VALUE"""),305.5)</f>
        <v>305.5</v>
      </c>
      <c r="E2664" s="1">
        <f ca="1">IFERROR(__xludf.DUMMYFUNCTION("""COMPUTED_VALUE"""),308.72)</f>
        <v>308.72000000000003</v>
      </c>
      <c r="F2664" s="1">
        <f ca="1">IFERROR(__xludf.DUMMYFUNCTION("""COMPUTED_VALUE"""),57961278)</f>
        <v>57961278</v>
      </c>
    </row>
    <row r="2665" spans="1:6" x14ac:dyDescent="0.35">
      <c r="A2665" s="2">
        <f ca="1">IFERROR(__xludf.DUMMYFUNCTION("""COMPUTED_VALUE"""),45875.6666666666)</f>
        <v>45875.666666666599</v>
      </c>
      <c r="B2665" s="1">
        <f ca="1">IFERROR(__xludf.DUMMYFUNCTION("""COMPUTED_VALUE"""),307.89)</f>
        <v>307.89</v>
      </c>
      <c r="C2665" s="1">
        <f ca="1">IFERROR(__xludf.DUMMYFUNCTION("""COMPUTED_VALUE"""),320.47)</f>
        <v>320.47000000000003</v>
      </c>
      <c r="D2665" s="1">
        <f ca="1">IFERROR(__xludf.DUMMYFUNCTION("""COMPUTED_VALUE"""),306.93)</f>
        <v>306.93</v>
      </c>
      <c r="E2665" s="1">
        <f ca="1">IFERROR(__xludf.DUMMYFUNCTION("""COMPUTED_VALUE"""),319.91)</f>
        <v>319.91000000000003</v>
      </c>
      <c r="F2665" s="1">
        <f ca="1">IFERROR(__xludf.DUMMYFUNCTION("""COMPUTED_VALUE"""),78523579)</f>
        <v>78523579</v>
      </c>
    </row>
    <row r="2666" spans="1:6" x14ac:dyDescent="0.35">
      <c r="A2666" s="2">
        <f ca="1">IFERROR(__xludf.DUMMYFUNCTION("""COMPUTED_VALUE"""),45876.6666666666)</f>
        <v>45876.666666666599</v>
      </c>
      <c r="B2666" s="1">
        <f ca="1">IFERROR(__xludf.DUMMYFUNCTION("""COMPUTED_VALUE"""),319.79)</f>
        <v>319.79000000000002</v>
      </c>
      <c r="C2666" s="1">
        <f ca="1">IFERROR(__xludf.DUMMYFUNCTION("""COMPUTED_VALUE"""),322.4)</f>
        <v>322.39999999999998</v>
      </c>
      <c r="D2666" s="1">
        <f ca="1">IFERROR(__xludf.DUMMYFUNCTION("""COMPUTED_VALUE"""),316.16)</f>
        <v>316.16000000000003</v>
      </c>
      <c r="E2666" s="1">
        <f ca="1">IFERROR(__xludf.DUMMYFUNCTION("""COMPUTED_VALUE"""),322.27)</f>
        <v>322.27</v>
      </c>
      <c r="F2666" s="1">
        <f ca="1">IFERROR(__xludf.DUMMYFUNCTION("""COMPUTED_VALUE"""),66658672)</f>
        <v>66658672</v>
      </c>
    </row>
    <row r="2667" spans="1:6" x14ac:dyDescent="0.35">
      <c r="A2667" s="2">
        <f ca="1">IFERROR(__xludf.DUMMYFUNCTION("""COMPUTED_VALUE"""),45877.6666666666)</f>
        <v>45877.666666666599</v>
      </c>
      <c r="B2667" s="1">
        <f ca="1">IFERROR(__xludf.DUMMYFUNCTION("""COMPUTED_VALUE"""),321.43)</f>
        <v>321.43</v>
      </c>
      <c r="C2667" s="1">
        <f ca="1">IFERROR(__xludf.DUMMYFUNCTION("""COMPUTED_VALUE"""),335.15)</f>
        <v>335.15</v>
      </c>
      <c r="D2667" s="1">
        <f ca="1">IFERROR(__xludf.DUMMYFUNCTION("""COMPUTED_VALUE"""),320.98)</f>
        <v>320.98</v>
      </c>
      <c r="E2667" s="1">
        <f ca="1">IFERROR(__xludf.DUMMYFUNCTION("""COMPUTED_VALUE"""),329.65)</f>
        <v>329.65</v>
      </c>
      <c r="F2667" s="1">
        <f ca="1">IFERROR(__xludf.DUMMYFUNCTION("""COMPUTED_VALUE"""),91200319)</f>
        <v>91200319</v>
      </c>
    </row>
    <row r="2668" spans="1:6" x14ac:dyDescent="0.35">
      <c r="A2668" s="2">
        <f ca="1">IFERROR(__xludf.DUMMYFUNCTION("""COMPUTED_VALUE"""),45880.6666666666)</f>
        <v>45880.666666666599</v>
      </c>
      <c r="B2668" s="1">
        <f ca="1">IFERROR(__xludf.DUMMYFUNCTION("""COMPUTED_VALUE"""),335)</f>
        <v>335</v>
      </c>
      <c r="C2668" s="1">
        <f ca="1">IFERROR(__xludf.DUMMYFUNCTION("""COMPUTED_VALUE"""),346.64)</f>
        <v>346.64</v>
      </c>
      <c r="D2668" s="1">
        <f ca="1">IFERROR(__xludf.DUMMYFUNCTION("""COMPUTED_VALUE"""),334.15)</f>
        <v>334.15</v>
      </c>
      <c r="E2668" s="1">
        <f ca="1">IFERROR(__xludf.DUMMYFUNCTION("""COMPUTED_VALUE"""),339.03)</f>
        <v>339.03</v>
      </c>
      <c r="F2668" s="1">
        <f ca="1">IFERROR(__xludf.DUMMYFUNCTION("""COMPUTED_VALUE"""),105320174)</f>
        <v>105320174</v>
      </c>
    </row>
    <row r="2669" spans="1:6" x14ac:dyDescent="0.35">
      <c r="A2669" s="2">
        <f ca="1">IFERROR(__xludf.DUMMYFUNCTION("""COMPUTED_VALUE"""),45881.6666666666)</f>
        <v>45881.666666666599</v>
      </c>
      <c r="B2669" s="1">
        <f ca="1">IFERROR(__xludf.DUMMYFUNCTION("""COMPUTED_VALUE"""),345)</f>
        <v>345</v>
      </c>
      <c r="C2669" s="1">
        <f ca="1">IFERROR(__xludf.DUMMYFUNCTION("""COMPUTED_VALUE"""),345.26)</f>
        <v>345.26</v>
      </c>
      <c r="D2669" s="1">
        <f ca="1">IFERROR(__xludf.DUMMYFUNCTION("""COMPUTED_VALUE"""),332.94)</f>
        <v>332.94</v>
      </c>
      <c r="E2669" s="1">
        <f ca="1">IFERROR(__xludf.DUMMYFUNCTION("""COMPUTED_VALUE"""),340.84)</f>
        <v>340.84</v>
      </c>
      <c r="F2669" s="1">
        <f ca="1">IFERROR(__xludf.DUMMYFUNCTION("""COMPUTED_VALUE"""),80690111)</f>
        <v>80690111</v>
      </c>
    </row>
    <row r="2670" spans="1:6" x14ac:dyDescent="0.35">
      <c r="A2670" s="2">
        <f ca="1">IFERROR(__xludf.DUMMYFUNCTION("""COMPUTED_VALUE"""),45882.6666666666)</f>
        <v>45882.666666666599</v>
      </c>
      <c r="B2670" s="1">
        <f ca="1">IFERROR(__xludf.DUMMYFUNCTION("""COMPUTED_VALUE"""),341.5)</f>
        <v>341.5</v>
      </c>
      <c r="C2670" s="1">
        <f ca="1">IFERROR(__xludf.DUMMYFUNCTION("""COMPUTED_VALUE"""),348.98)</f>
        <v>348.98</v>
      </c>
      <c r="D2670" s="1">
        <f ca="1">IFERROR(__xludf.DUMMYFUNCTION("""COMPUTED_VALUE"""),338.2)</f>
        <v>338.2</v>
      </c>
      <c r="E2670" s="1">
        <f ca="1">IFERROR(__xludf.DUMMYFUNCTION("""COMPUTED_VALUE"""),339.38)</f>
        <v>339.38</v>
      </c>
      <c r="F2670" s="1">
        <f ca="1">IFERROR(__xludf.DUMMYFUNCTION("""COMPUTED_VALUE"""),67838892)</f>
        <v>67838892</v>
      </c>
    </row>
    <row r="2671" spans="1:6" x14ac:dyDescent="0.35">
      <c r="A2671" s="2">
        <f ca="1">IFERROR(__xludf.DUMMYFUNCTION("""COMPUTED_VALUE"""),45883.6666666666)</f>
        <v>45883.666666666599</v>
      </c>
      <c r="B2671" s="1">
        <f ca="1">IFERROR(__xludf.DUMMYFUNCTION("""COMPUTED_VALUE"""),335.76)</f>
        <v>335.76</v>
      </c>
      <c r="C2671" s="1">
        <f ca="1">IFERROR(__xludf.DUMMYFUNCTION("""COMPUTED_VALUE"""),340.47)</f>
        <v>340.47</v>
      </c>
      <c r="D2671" s="1">
        <f ca="1">IFERROR(__xludf.DUMMYFUNCTION("""COMPUTED_VALUE"""),330.4)</f>
        <v>330.4</v>
      </c>
      <c r="E2671" s="1">
        <f ca="1">IFERROR(__xludf.DUMMYFUNCTION("""COMPUTED_VALUE"""),335.58)</f>
        <v>335.58</v>
      </c>
      <c r="F2671" s="1">
        <f ca="1">IFERROR(__xludf.DUMMYFUNCTION("""COMPUTED_VALUE"""),75000662)</f>
        <v>75000662</v>
      </c>
    </row>
    <row r="2672" spans="1:6" x14ac:dyDescent="0.35">
      <c r="A2672" s="2">
        <f ca="1">IFERROR(__xludf.DUMMYFUNCTION("""COMPUTED_VALUE"""),45884.6666666666)</f>
        <v>45884.666666666599</v>
      </c>
      <c r="B2672" s="1">
        <f ca="1">IFERROR(__xludf.DUMMYFUNCTION("""COMPUTED_VALUE"""),337.66)</f>
        <v>337.66</v>
      </c>
      <c r="C2672" s="1">
        <f ca="1">IFERROR(__xludf.DUMMYFUNCTION("""COMPUTED_VALUE"""),339.3)</f>
        <v>339.3</v>
      </c>
      <c r="D2672" s="1">
        <f ca="1">IFERROR(__xludf.DUMMYFUNCTION("""COMPUTED_VALUE"""),327.02)</f>
        <v>327.02</v>
      </c>
      <c r="E2672" s="1">
        <f ca="1">IFERROR(__xludf.DUMMYFUNCTION("""COMPUTED_VALUE"""),330.56)</f>
        <v>330.56</v>
      </c>
      <c r="F2672" s="1">
        <f ca="1">IFERROR(__xludf.DUMMYFUNCTION("""COMPUTED_VALUE"""),74319792)</f>
        <v>74319792</v>
      </c>
    </row>
    <row r="2673" spans="1:6" x14ac:dyDescent="0.35">
      <c r="A2673" s="2">
        <f ca="1">IFERROR(__xludf.DUMMYFUNCTION("""COMPUTED_VALUE"""),45887.6666666666)</f>
        <v>45887.666666666599</v>
      </c>
      <c r="B2673" s="1">
        <f ca="1">IFERROR(__xludf.DUMMYFUNCTION("""COMPUTED_VALUE"""),329.62)</f>
        <v>329.62</v>
      </c>
      <c r="C2673" s="1">
        <f ca="1">IFERROR(__xludf.DUMMYFUNCTION("""COMPUTED_VALUE"""),336.27)</f>
        <v>336.27</v>
      </c>
      <c r="D2673" s="1">
        <f ca="1">IFERROR(__xludf.DUMMYFUNCTION("""COMPUTED_VALUE"""),329.59)</f>
        <v>329.59</v>
      </c>
      <c r="E2673" s="1">
        <f ca="1">IFERROR(__xludf.DUMMYFUNCTION("""COMPUTED_VALUE"""),335.16)</f>
        <v>335.16</v>
      </c>
      <c r="F2673" s="1">
        <f ca="1">IFERROR(__xludf.DUMMYFUNCTION("""COMPUTED_VALUE"""),56956552)</f>
        <v>56956552</v>
      </c>
    </row>
    <row r="2674" spans="1:6" x14ac:dyDescent="0.35">
      <c r="A2674" s="2">
        <f ca="1">IFERROR(__xludf.DUMMYFUNCTION("""COMPUTED_VALUE"""),45888.6666666666)</f>
        <v>45888.666666666599</v>
      </c>
      <c r="B2674" s="1">
        <f ca="1">IFERROR(__xludf.DUMMYFUNCTION("""COMPUTED_VALUE"""),335.79)</f>
        <v>335.79</v>
      </c>
      <c r="C2674" s="1">
        <f ca="1">IFERROR(__xludf.DUMMYFUNCTION("""COMPUTED_VALUE"""),340.55)</f>
        <v>340.55</v>
      </c>
      <c r="D2674" s="1">
        <f ca="1">IFERROR(__xludf.DUMMYFUNCTION("""COMPUTED_VALUE"""),327.85)</f>
        <v>327.85</v>
      </c>
      <c r="E2674" s="1">
        <f ca="1">IFERROR(__xludf.DUMMYFUNCTION("""COMPUTED_VALUE"""),329.31)</f>
        <v>329.31</v>
      </c>
      <c r="F2674" s="1">
        <f ca="1">IFERROR(__xludf.DUMMYFUNCTION("""COMPUTED_VALUE"""),75956002)</f>
        <v>75956002</v>
      </c>
    </row>
    <row r="2675" spans="1:6" x14ac:dyDescent="0.35">
      <c r="A2675" s="2">
        <f ca="1">IFERROR(__xludf.DUMMYFUNCTION("""COMPUTED_VALUE"""),45889.6666666666)</f>
        <v>45889.666666666599</v>
      </c>
      <c r="B2675" s="1">
        <f ca="1">IFERROR(__xludf.DUMMYFUNCTION("""COMPUTED_VALUE"""),329.22)</f>
        <v>329.22</v>
      </c>
      <c r="C2675" s="1">
        <f ca="1">IFERROR(__xludf.DUMMYFUNCTION("""COMPUTED_VALUE"""),331.37)</f>
        <v>331.37</v>
      </c>
      <c r="D2675" s="1">
        <f ca="1">IFERROR(__xludf.DUMMYFUNCTION("""COMPUTED_VALUE"""),314.6)</f>
        <v>314.60000000000002</v>
      </c>
      <c r="E2675" s="1">
        <f ca="1">IFERROR(__xludf.DUMMYFUNCTION("""COMPUTED_VALUE"""),323.9)</f>
        <v>323.89999999999998</v>
      </c>
      <c r="F2675" s="1">
        <f ca="1">IFERROR(__xludf.DUMMYFUNCTION("""COMPUTED_VALUE"""),77481768)</f>
        <v>77481768</v>
      </c>
    </row>
    <row r="2676" spans="1:6" x14ac:dyDescent="0.35">
      <c r="A2676" s="2">
        <f ca="1">IFERROR(__xludf.DUMMYFUNCTION("""COMPUTED_VALUE"""),45890.6666666666)</f>
        <v>45890.666666666599</v>
      </c>
      <c r="B2676" s="1">
        <f ca="1">IFERROR(__xludf.DUMMYFUNCTION("""COMPUTED_VALUE"""),322.08)</f>
        <v>322.08</v>
      </c>
      <c r="C2676" s="1">
        <f ca="1">IFERROR(__xludf.DUMMYFUNCTION("""COMPUTED_VALUE"""),324.9)</f>
        <v>324.89999999999998</v>
      </c>
      <c r="D2676" s="1">
        <f ca="1">IFERROR(__xludf.DUMMYFUNCTION("""COMPUTED_VALUE"""),318.68)</f>
        <v>318.68</v>
      </c>
      <c r="E2676" s="1">
        <f ca="1">IFERROR(__xludf.DUMMYFUNCTION("""COMPUTED_VALUE"""),320.11)</f>
        <v>320.11</v>
      </c>
      <c r="F2676" s="1">
        <f ca="1">IFERROR(__xludf.DUMMYFUNCTION("""COMPUTED_VALUE"""),55744445)</f>
        <v>55744445</v>
      </c>
    </row>
    <row r="2677" spans="1:6" x14ac:dyDescent="0.35">
      <c r="A2677" s="2">
        <f ca="1">IFERROR(__xludf.DUMMYFUNCTION("""COMPUTED_VALUE"""),45891.6666666666)</f>
        <v>45891.666666666599</v>
      </c>
      <c r="B2677" s="1">
        <f ca="1">IFERROR(__xludf.DUMMYFUNCTION("""COMPUTED_VALUE"""),321.66)</f>
        <v>321.66000000000003</v>
      </c>
      <c r="C2677" s="1">
        <f ca="1">IFERROR(__xludf.DUMMYFUNCTION("""COMPUTED_VALUE"""),340.25)</f>
        <v>340.25</v>
      </c>
      <c r="D2677" s="1">
        <f ca="1">IFERROR(__xludf.DUMMYFUNCTION("""COMPUTED_VALUE"""),319.69)</f>
        <v>319.69</v>
      </c>
      <c r="E2677" s="1">
        <f ca="1">IFERROR(__xludf.DUMMYFUNCTION("""COMPUTED_VALUE"""),340.01)</f>
        <v>340.01</v>
      </c>
      <c r="F2677" s="1">
        <f ca="1">IFERROR(__xludf.DUMMYFUNCTION("""COMPUTED_VALUE"""),94016347)</f>
        <v>94016347</v>
      </c>
    </row>
    <row r="2678" spans="1:6" x14ac:dyDescent="0.35">
      <c r="A2678" s="2">
        <f ca="1">IFERROR(__xludf.DUMMYFUNCTION("""COMPUTED_VALUE"""),45894.6666666666)</f>
        <v>45894.666666666599</v>
      </c>
      <c r="B2678" s="1">
        <f ca="1">IFERROR(__xludf.DUMMYFUNCTION("""COMPUTED_VALUE"""),338.9)</f>
        <v>338.9</v>
      </c>
      <c r="C2678" s="1">
        <f ca="1">IFERROR(__xludf.DUMMYFUNCTION("""COMPUTED_VALUE"""),349.53)</f>
        <v>349.53</v>
      </c>
      <c r="D2678" s="1">
        <f ca="1">IFERROR(__xludf.DUMMYFUNCTION("""COMPUTED_VALUE"""),335.03)</f>
        <v>335.03</v>
      </c>
      <c r="E2678" s="1">
        <f ca="1">IFERROR(__xludf.DUMMYFUNCTION("""COMPUTED_VALUE"""),346.6)</f>
        <v>346.6</v>
      </c>
      <c r="F2678" s="1">
        <f ca="1">IFERROR(__xludf.DUMMYFUNCTION("""COMPUTED_VALUE"""),86670037)</f>
        <v>86670037</v>
      </c>
    </row>
    <row r="2679" spans="1:6" x14ac:dyDescent="0.35">
      <c r="A2679" s="2">
        <f ca="1">IFERROR(__xludf.DUMMYFUNCTION("""COMPUTED_VALUE"""),45895.6666666666)</f>
        <v>45895.666666666599</v>
      </c>
      <c r="B2679" s="1">
        <f ca="1">IFERROR(__xludf.DUMMYFUNCTION("""COMPUTED_VALUE"""),344.93)</f>
        <v>344.93</v>
      </c>
      <c r="C2679" s="1">
        <f ca="1">IFERROR(__xludf.DUMMYFUNCTION("""COMPUTED_VALUE"""),351.9)</f>
        <v>351.9</v>
      </c>
      <c r="D2679" s="1">
        <f ca="1">IFERROR(__xludf.DUMMYFUNCTION("""COMPUTED_VALUE"""),343.72)</f>
        <v>343.72</v>
      </c>
      <c r="E2679" s="1">
        <f ca="1">IFERROR(__xludf.DUMMYFUNCTION("""COMPUTED_VALUE"""),351.67)</f>
        <v>351.67</v>
      </c>
      <c r="F2679" s="1">
        <f ca="1">IFERROR(__xludf.DUMMYFUNCTION("""COMPUTED_VALUE"""),76651550)</f>
        <v>76651550</v>
      </c>
    </row>
    <row r="2680" spans="1:6" x14ac:dyDescent="0.35">
      <c r="A2680" s="2">
        <f ca="1">IFERROR(__xludf.DUMMYFUNCTION("""COMPUTED_VALUE"""),45896.6666666666)</f>
        <v>45896.666666666599</v>
      </c>
      <c r="B2680" s="1">
        <f ca="1">IFERROR(__xludf.DUMMYFUNCTION("""COMPUTED_VALUE"""),351.94)</f>
        <v>351.94</v>
      </c>
      <c r="C2680" s="1">
        <f ca="1">IFERROR(__xludf.DUMMYFUNCTION("""COMPUTED_VALUE"""),355.39)</f>
        <v>355.39</v>
      </c>
      <c r="D2680" s="1">
        <f ca="1">IFERROR(__xludf.DUMMYFUNCTION("""COMPUTED_VALUE"""),349.16)</f>
        <v>349.16</v>
      </c>
      <c r="E2680" s="1">
        <f ca="1">IFERROR(__xludf.DUMMYFUNCTION("""COMPUTED_VALUE"""),349.6)</f>
        <v>349.6</v>
      </c>
      <c r="F2680" s="1">
        <f ca="1">IFERROR(__xludf.DUMMYFUNCTION("""COMPUTED_VALUE"""),65519012)</f>
        <v>65519012</v>
      </c>
    </row>
    <row r="2681" spans="1:6" x14ac:dyDescent="0.35">
      <c r="A2681" s="2">
        <f ca="1">IFERROR(__xludf.DUMMYFUNCTION("""COMPUTED_VALUE"""),45897.6666666666)</f>
        <v>45897.666666666599</v>
      </c>
      <c r="B2681" s="1">
        <f ca="1">IFERROR(__xludf.DUMMYFUNCTION("""COMPUTED_VALUE"""),350.91)</f>
        <v>350.91</v>
      </c>
      <c r="C2681" s="1">
        <f ca="1">IFERROR(__xludf.DUMMYFUNCTION("""COMPUTED_VALUE"""),353.55)</f>
        <v>353.55</v>
      </c>
      <c r="D2681" s="1">
        <f ca="1">IFERROR(__xludf.DUMMYFUNCTION("""COMPUTED_VALUE"""),340.26)</f>
        <v>340.26</v>
      </c>
      <c r="E2681" s="1">
        <f ca="1">IFERROR(__xludf.DUMMYFUNCTION("""COMPUTED_VALUE"""),345.98)</f>
        <v>345.98</v>
      </c>
      <c r="F2681" s="1">
        <f ca="1">IFERROR(__xludf.DUMMYFUNCTION("""COMPUTED_VALUE"""),67903224)</f>
        <v>67903224</v>
      </c>
    </row>
    <row r="2682" spans="1:6" x14ac:dyDescent="0.35">
      <c r="A2682" s="2">
        <f ca="1">IFERROR(__xludf.DUMMYFUNCTION("""COMPUTED_VALUE"""),45898.6666666666)</f>
        <v>45898.666666666599</v>
      </c>
      <c r="B2682" s="1">
        <f ca="1">IFERROR(__xludf.DUMMYFUNCTION("""COMPUTED_VALUE"""),347.23)</f>
        <v>347.23</v>
      </c>
      <c r="C2682" s="1">
        <f ca="1">IFERROR(__xludf.DUMMYFUNCTION("""COMPUTED_VALUE"""),348.75)</f>
        <v>348.75</v>
      </c>
      <c r="D2682" s="1">
        <f ca="1">IFERROR(__xludf.DUMMYFUNCTION("""COMPUTED_VALUE"""),331.7)</f>
        <v>331.7</v>
      </c>
      <c r="E2682" s="1">
        <f ca="1">IFERROR(__xludf.DUMMYFUNCTION("""COMPUTED_VALUE"""),333.87)</f>
        <v>333.87</v>
      </c>
      <c r="F2682" s="1">
        <f ca="1">IFERROR(__xludf.DUMMYFUNCTION("""COMPUTED_VALUE"""),81145660)</f>
        <v>81145660</v>
      </c>
    </row>
    <row r="2683" spans="1:6" x14ac:dyDescent="0.35">
      <c r="A2683" s="2">
        <f ca="1">IFERROR(__xludf.DUMMYFUNCTION("""COMPUTED_VALUE"""),45902.6666666666)</f>
        <v>45902.666666666599</v>
      </c>
      <c r="B2683" s="1">
        <f ca="1">IFERROR(__xludf.DUMMYFUNCTION("""COMPUTED_VALUE"""),328.23)</f>
        <v>328.23</v>
      </c>
      <c r="C2683" s="1">
        <f ca="1">IFERROR(__xludf.DUMMYFUNCTION("""COMPUTED_VALUE"""),333.33)</f>
        <v>333.33</v>
      </c>
      <c r="D2683" s="1">
        <f ca="1">IFERROR(__xludf.DUMMYFUNCTION("""COMPUTED_VALUE"""),325.6)</f>
        <v>325.60000000000002</v>
      </c>
      <c r="E2683" s="1">
        <f ca="1">IFERROR(__xludf.DUMMYFUNCTION("""COMPUTED_VALUE"""),329.36)</f>
        <v>329.36</v>
      </c>
      <c r="F2683" s="1">
        <f ca="1">IFERROR(__xludf.DUMMYFUNCTION("""COMPUTED_VALUE"""),58391952)</f>
        <v>58391952</v>
      </c>
    </row>
    <row r="2684" spans="1:6" x14ac:dyDescent="0.35">
      <c r="A2684" s="2">
        <f ca="1">IFERROR(__xludf.DUMMYFUNCTION("""COMPUTED_VALUE"""),45903.6666666666)</f>
        <v>45903.666666666599</v>
      </c>
      <c r="B2684" s="1">
        <f ca="1">IFERROR(__xludf.DUMMYFUNCTION("""COMPUTED_VALUE"""),335.2)</f>
        <v>335.2</v>
      </c>
      <c r="C2684" s="1">
        <f ca="1">IFERROR(__xludf.DUMMYFUNCTION("""COMPUTED_VALUE"""),343.33)</f>
        <v>343.33</v>
      </c>
      <c r="D2684" s="1">
        <f ca="1">IFERROR(__xludf.DUMMYFUNCTION("""COMPUTED_VALUE"""),328.51)</f>
        <v>328.51</v>
      </c>
      <c r="E2684" s="1">
        <f ca="1">IFERROR(__xludf.DUMMYFUNCTION("""COMPUTED_VALUE"""),334.09)</f>
        <v>334.09</v>
      </c>
      <c r="F2684" s="1">
        <f ca="1">IFERROR(__xludf.DUMMYFUNCTION("""COMPUTED_VALUE"""),88733288)</f>
        <v>88733288</v>
      </c>
    </row>
    <row r="2685" spans="1:6" x14ac:dyDescent="0.35">
      <c r="A2685" s="2">
        <f ca="1">IFERROR(__xludf.DUMMYFUNCTION("""COMPUTED_VALUE"""),45904.6666666666)</f>
        <v>45904.666666666599</v>
      </c>
      <c r="B2685" s="1">
        <f ca="1">IFERROR(__xludf.DUMMYFUNCTION("""COMPUTED_VALUE"""),336.15)</f>
        <v>336.15</v>
      </c>
      <c r="C2685" s="1">
        <f ca="1">IFERROR(__xludf.DUMMYFUNCTION("""COMPUTED_VALUE"""),338.89)</f>
        <v>338.89</v>
      </c>
      <c r="D2685" s="1">
        <f ca="1">IFERROR(__xludf.DUMMYFUNCTION("""COMPUTED_VALUE"""),331.48)</f>
        <v>331.48</v>
      </c>
      <c r="E2685" s="1">
        <f ca="1">IFERROR(__xludf.DUMMYFUNCTION("""COMPUTED_VALUE"""),338.53)</f>
        <v>338.53</v>
      </c>
      <c r="F2685" s="1">
        <f ca="1">IFERROR(__xludf.DUMMYFUNCTION("""COMPUTED_VALUE"""),60711033)</f>
        <v>60711033</v>
      </c>
    </row>
    <row r="2686" spans="1:6" x14ac:dyDescent="0.35">
      <c r="A2686" s="2">
        <f ca="1">IFERROR(__xludf.DUMMYFUNCTION("""COMPUTED_VALUE"""),45905.6666666666)</f>
        <v>45905.666666666599</v>
      </c>
      <c r="B2686" s="1">
        <f ca="1">IFERROR(__xludf.DUMMYFUNCTION("""COMPUTED_VALUE"""),348)</f>
        <v>348</v>
      </c>
      <c r="C2686" s="1">
        <f ca="1">IFERROR(__xludf.DUMMYFUNCTION("""COMPUTED_VALUE"""),355.87)</f>
        <v>355.87</v>
      </c>
      <c r="D2686" s="1">
        <f ca="1">IFERROR(__xludf.DUMMYFUNCTION("""COMPUTED_VALUE"""),344.68)</f>
        <v>344.68</v>
      </c>
      <c r="E2686" s="1">
        <f ca="1">IFERROR(__xludf.DUMMYFUNCTION("""COMPUTED_VALUE"""),350.84)</f>
        <v>350.84</v>
      </c>
      <c r="F2686" s="1">
        <f ca="1">IFERROR(__xludf.DUMMYFUNCTION("""COMPUTED_VALUE"""),108989785)</f>
        <v>108989785</v>
      </c>
    </row>
    <row r="2687" spans="1:6" x14ac:dyDescent="0.35">
      <c r="A2687" s="2">
        <f ca="1">IFERROR(__xludf.DUMMYFUNCTION("""COMPUTED_VALUE"""),45908.6666666666)</f>
        <v>45908.666666666599</v>
      </c>
      <c r="B2687" s="1">
        <f ca="1">IFERROR(__xludf.DUMMYFUNCTION("""COMPUTED_VALUE"""),354.64)</f>
        <v>354.64</v>
      </c>
      <c r="C2687" s="1">
        <f ca="1">IFERROR(__xludf.DUMMYFUNCTION("""COMPUTED_VALUE"""),358.44)</f>
        <v>358.44</v>
      </c>
      <c r="D2687" s="1">
        <f ca="1">IFERROR(__xludf.DUMMYFUNCTION("""COMPUTED_VALUE"""),344.84)</f>
        <v>344.84</v>
      </c>
      <c r="E2687" s="1">
        <f ca="1">IFERROR(__xludf.DUMMYFUNCTION("""COMPUTED_VALUE"""),346.4)</f>
        <v>346.4</v>
      </c>
      <c r="F2687" s="1">
        <f ca="1">IFERROR(__xludf.DUMMYFUNCTION("""COMPUTED_VALUE"""),75208290)</f>
        <v>75208290</v>
      </c>
    </row>
    <row r="2688" spans="1:6" x14ac:dyDescent="0.35">
      <c r="A2688" s="2">
        <f ca="1">IFERROR(__xludf.DUMMYFUNCTION("""COMPUTED_VALUE"""),45909.6666666666)</f>
        <v>45909.666666666599</v>
      </c>
      <c r="B2688" s="1">
        <f ca="1">IFERROR(__xludf.DUMMYFUNCTION("""COMPUTED_VALUE"""),348.44)</f>
        <v>348.44</v>
      </c>
      <c r="C2688" s="1">
        <f ca="1">IFERROR(__xludf.DUMMYFUNCTION("""COMPUTED_VALUE"""),350.77)</f>
        <v>350.77</v>
      </c>
      <c r="D2688" s="1">
        <f ca="1">IFERROR(__xludf.DUMMYFUNCTION("""COMPUTED_VALUE"""),343.82)</f>
        <v>343.82</v>
      </c>
      <c r="E2688" s="1">
        <f ca="1">IFERROR(__xludf.DUMMYFUNCTION("""COMPUTED_VALUE"""),346.97)</f>
        <v>346.97</v>
      </c>
      <c r="F2688" s="1">
        <f ca="1">IFERROR(__xludf.DUMMYFUNCTION("""COMPUTED_VALUE"""),53815991)</f>
        <v>53815991</v>
      </c>
    </row>
    <row r="2689" spans="1:6" x14ac:dyDescent="0.35">
      <c r="A2689" s="2">
        <f ca="1">IFERROR(__xludf.DUMMYFUNCTION("""COMPUTED_VALUE"""),45910.6666666666)</f>
        <v>45910.666666666599</v>
      </c>
      <c r="B2689" s="1">
        <f ca="1">IFERROR(__xludf.DUMMYFUNCTION("""COMPUTED_VALUE"""),350.55)</f>
        <v>350.55</v>
      </c>
      <c r="C2689" s="1">
        <f ca="1">IFERROR(__xludf.DUMMYFUNCTION("""COMPUTED_VALUE"""),356.33)</f>
        <v>356.33</v>
      </c>
      <c r="D2689" s="1">
        <f ca="1">IFERROR(__xludf.DUMMYFUNCTION("""COMPUTED_VALUE"""),346.07)</f>
        <v>346.07</v>
      </c>
      <c r="E2689" s="1">
        <f ca="1">IFERROR(__xludf.DUMMYFUNCTION("""COMPUTED_VALUE"""),347.79)</f>
        <v>347.79</v>
      </c>
      <c r="F2689" s="1">
        <f ca="1">IFERROR(__xludf.DUMMYFUNCTION("""COMPUTED_VALUE"""),72121679)</f>
        <v>72121679</v>
      </c>
    </row>
    <row r="2690" spans="1:6" x14ac:dyDescent="0.35">
      <c r="A2690" s="2">
        <f ca="1">IFERROR(__xludf.DUMMYFUNCTION("""COMPUTED_VALUE"""),45911.6666666666)</f>
        <v>45911.666666666599</v>
      </c>
      <c r="B2690" s="1">
        <f ca="1">IFERROR(__xludf.DUMMYFUNCTION("""COMPUTED_VALUE"""),350.17)</f>
        <v>350.17</v>
      </c>
      <c r="C2690" s="1">
        <f ca="1">IFERROR(__xludf.DUMMYFUNCTION("""COMPUTED_VALUE"""),368.99)</f>
        <v>368.99</v>
      </c>
      <c r="D2690" s="1">
        <f ca="1">IFERROR(__xludf.DUMMYFUNCTION("""COMPUTED_VALUE"""),347.6)</f>
        <v>347.6</v>
      </c>
      <c r="E2690" s="1">
        <f ca="1">IFERROR(__xludf.DUMMYFUNCTION("""COMPUTED_VALUE"""),368.81)</f>
        <v>368.81</v>
      </c>
      <c r="F2690" s="1">
        <f ca="1">IFERROR(__xludf.DUMMYFUNCTION("""COMPUTED_VALUE"""),103756010)</f>
        <v>103756010</v>
      </c>
    </row>
    <row r="2691" spans="1:6" x14ac:dyDescent="0.35">
      <c r="A2691" s="2">
        <f ca="1">IFERROR(__xludf.DUMMYFUNCTION("""COMPUTED_VALUE"""),45912.6666666666)</f>
        <v>45912.666666666599</v>
      </c>
      <c r="B2691" s="1">
        <f ca="1">IFERROR(__xludf.DUMMYFUNCTION("""COMPUTED_VALUE"""),370.94)</f>
        <v>370.94</v>
      </c>
      <c r="C2691" s="1">
        <f ca="1">IFERROR(__xludf.DUMMYFUNCTION("""COMPUTED_VALUE"""),396.69)</f>
        <v>396.69</v>
      </c>
      <c r="D2691" s="1">
        <f ca="1">IFERROR(__xludf.DUMMYFUNCTION("""COMPUTED_VALUE"""),370.24)</f>
        <v>370.24</v>
      </c>
      <c r="E2691" s="1">
        <f ca="1">IFERROR(__xludf.DUMMYFUNCTION("""COMPUTED_VALUE"""),395.94)</f>
        <v>395.94</v>
      </c>
      <c r="F2691" s="1">
        <f ca="1">IFERROR(__xludf.DUMMYFUNCTION("""COMPUTED_VALUE"""),168156391)</f>
        <v>168156391</v>
      </c>
    </row>
    <row r="2692" spans="1:6" x14ac:dyDescent="0.35">
      <c r="A2692" s="2">
        <f ca="1">IFERROR(__xludf.DUMMYFUNCTION("""COMPUTED_VALUE"""),45915.6666666666)</f>
        <v>45915.666666666599</v>
      </c>
      <c r="B2692" s="1">
        <f ca="1">IFERROR(__xludf.DUMMYFUNCTION("""COMPUTED_VALUE"""),423.13)</f>
        <v>423.13</v>
      </c>
      <c r="C2692" s="1">
        <f ca="1">IFERROR(__xludf.DUMMYFUNCTION("""COMPUTED_VALUE"""),425.7)</f>
        <v>425.7</v>
      </c>
      <c r="D2692" s="1">
        <f ca="1">IFERROR(__xludf.DUMMYFUNCTION("""COMPUTED_VALUE"""),402.43)</f>
        <v>402.43</v>
      </c>
      <c r="E2692" s="1">
        <f ca="1">IFERROR(__xludf.DUMMYFUNCTION("""COMPUTED_VALUE"""),410.04)</f>
        <v>410.04</v>
      </c>
      <c r="F2692" s="1">
        <f ca="1">IFERROR(__xludf.DUMMYFUNCTION("""COMPUTED_VALUE"""),163823667)</f>
        <v>163823667</v>
      </c>
    </row>
    <row r="2693" spans="1:6" x14ac:dyDescent="0.35">
      <c r="A2693" s="2">
        <f ca="1">IFERROR(__xludf.DUMMYFUNCTION("""COMPUTED_VALUE"""),45916.6666666666)</f>
        <v>45916.666666666599</v>
      </c>
      <c r="B2693" s="1">
        <f ca="1">IFERROR(__xludf.DUMMYFUNCTION("""COMPUTED_VALUE"""),414.5)</f>
        <v>414.5</v>
      </c>
      <c r="C2693" s="1">
        <f ca="1">IFERROR(__xludf.DUMMYFUNCTION("""COMPUTED_VALUE"""),423.25)</f>
        <v>423.25</v>
      </c>
      <c r="D2693" s="1">
        <f ca="1">IFERROR(__xludf.DUMMYFUNCTION("""COMPUTED_VALUE"""),411.43)</f>
        <v>411.43</v>
      </c>
      <c r="E2693" s="1">
        <f ca="1">IFERROR(__xludf.DUMMYFUNCTION("""COMPUTED_VALUE"""),421.62)</f>
        <v>421.62</v>
      </c>
      <c r="F2693" s="1">
        <f ca="1">IFERROR(__xludf.DUMMYFUNCTION("""COMPUTED_VALUE"""),104285721)</f>
        <v>104285721</v>
      </c>
    </row>
    <row r="2694" spans="1:6" x14ac:dyDescent="0.35">
      <c r="A2694" s="2">
        <f ca="1">IFERROR(__xludf.DUMMYFUNCTION("""COMPUTED_VALUE"""),45917.6666666666)</f>
        <v>45917.666666666599</v>
      </c>
      <c r="B2694" s="1">
        <f ca="1">IFERROR(__xludf.DUMMYFUNCTION("""COMPUTED_VALUE"""),415.75)</f>
        <v>415.75</v>
      </c>
      <c r="C2694" s="1">
        <f ca="1">IFERROR(__xludf.DUMMYFUNCTION("""COMPUTED_VALUE"""),428.31)</f>
        <v>428.31</v>
      </c>
      <c r="D2694" s="1">
        <f ca="1">IFERROR(__xludf.DUMMYFUNCTION("""COMPUTED_VALUE"""),409.67)</f>
        <v>409.67</v>
      </c>
      <c r="E2694" s="1">
        <f ca="1">IFERROR(__xludf.DUMMYFUNCTION("""COMPUTED_VALUE"""),425.86)</f>
        <v>425.86</v>
      </c>
      <c r="F2694" s="1">
        <f ca="1">IFERROR(__xludf.DUMMYFUNCTION("""COMPUTED_VALUE"""),106133532)</f>
        <v>106133532</v>
      </c>
    </row>
    <row r="2695" spans="1:6" x14ac:dyDescent="0.35">
      <c r="A2695" s="2">
        <f ca="1">IFERROR(__xludf.DUMMYFUNCTION("""COMPUTED_VALUE"""),45918.6666666666)</f>
        <v>45918.666666666599</v>
      </c>
      <c r="B2695" s="1">
        <f ca="1">IFERROR(__xludf.DUMMYFUNCTION("""COMPUTED_VALUE"""),428.87)</f>
        <v>428.87</v>
      </c>
      <c r="C2695" s="1">
        <f ca="1">IFERROR(__xludf.DUMMYFUNCTION("""COMPUTED_VALUE"""),432.22)</f>
        <v>432.22</v>
      </c>
      <c r="D2695" s="1">
        <f ca="1">IFERROR(__xludf.DUMMYFUNCTION("""COMPUTED_VALUE"""),416.56)</f>
        <v>416.56</v>
      </c>
      <c r="E2695" s="1">
        <f ca="1">IFERROR(__xludf.DUMMYFUNCTION("""COMPUTED_VALUE"""),416.85)</f>
        <v>416.85</v>
      </c>
      <c r="F2695" s="1">
        <f ca="1">IFERROR(__xludf.DUMMYFUNCTION("""COMPUTED_VALUE"""),90454509)</f>
        <v>90454509</v>
      </c>
    </row>
    <row r="2696" spans="1:6" x14ac:dyDescent="0.35">
      <c r="A2696" s="2">
        <f ca="1">IFERROR(__xludf.DUMMYFUNCTION("""COMPUTED_VALUE"""),45919.6666666666)</f>
        <v>45919.666666666599</v>
      </c>
      <c r="B2696" s="1">
        <f ca="1">IFERROR(__xludf.DUMMYFUNCTION("""COMPUTED_VALUE"""),421.82)</f>
        <v>421.82</v>
      </c>
      <c r="C2696" s="1">
        <f ca="1">IFERROR(__xludf.DUMMYFUNCTION("""COMPUTED_VALUE"""),429.47)</f>
        <v>429.47</v>
      </c>
      <c r="D2696" s="1">
        <f ca="1">IFERROR(__xludf.DUMMYFUNCTION("""COMPUTED_VALUE"""),421.72)</f>
        <v>421.72</v>
      </c>
      <c r="E2696" s="1">
        <f ca="1">IFERROR(__xludf.DUMMYFUNCTION("""COMPUTED_VALUE"""),426.07)</f>
        <v>426.07</v>
      </c>
      <c r="F2696" s="1">
        <f ca="1">IFERROR(__xludf.DUMMYFUNCTION("""COMPUTED_VALUE"""),93131034)</f>
        <v>93131034</v>
      </c>
    </row>
    <row r="2697" spans="1:6" x14ac:dyDescent="0.35">
      <c r="A2697" s="2">
        <f ca="1">IFERROR(__xludf.DUMMYFUNCTION("""COMPUTED_VALUE"""),45922.6666666666)</f>
        <v>45922.666666666599</v>
      </c>
      <c r="B2697" s="1">
        <f ca="1">IFERROR(__xludf.DUMMYFUNCTION("""COMPUTED_VALUE"""),431.11)</f>
        <v>431.11</v>
      </c>
      <c r="C2697" s="1">
        <f ca="1">IFERROR(__xludf.DUMMYFUNCTION("""COMPUTED_VALUE"""),444.98)</f>
        <v>444.98</v>
      </c>
      <c r="D2697" s="1">
        <f ca="1">IFERROR(__xludf.DUMMYFUNCTION("""COMPUTED_VALUE"""),429.13)</f>
        <v>429.13</v>
      </c>
      <c r="E2697" s="1">
        <f ca="1">IFERROR(__xludf.DUMMYFUNCTION("""COMPUTED_VALUE"""),434.21)</f>
        <v>434.21</v>
      </c>
      <c r="F2697" s="1">
        <f ca="1">IFERROR(__xludf.DUMMYFUNCTION("""COMPUTED_VALUE"""),97108777)</f>
        <v>97108777</v>
      </c>
    </row>
    <row r="2698" spans="1:6" x14ac:dyDescent="0.35">
      <c r="A2698" s="2">
        <f ca="1">IFERROR(__xludf.DUMMYFUNCTION("""COMPUTED_VALUE"""),45923.6666666666)</f>
        <v>45923.666666666599</v>
      </c>
      <c r="B2698" s="1">
        <f ca="1">IFERROR(__xludf.DUMMYFUNCTION("""COMPUTED_VALUE"""),439.88)</f>
        <v>439.88</v>
      </c>
      <c r="C2698" s="1">
        <f ca="1">IFERROR(__xludf.DUMMYFUNCTION("""COMPUTED_VALUE"""),440.97)</f>
        <v>440.97</v>
      </c>
      <c r="D2698" s="1">
        <f ca="1">IFERROR(__xludf.DUMMYFUNCTION("""COMPUTED_VALUE"""),423.72)</f>
        <v>423.72</v>
      </c>
      <c r="E2698" s="1">
        <f ca="1">IFERROR(__xludf.DUMMYFUNCTION("""COMPUTED_VALUE"""),425.85)</f>
        <v>425.85</v>
      </c>
      <c r="F2698" s="1">
        <f ca="1">IFERROR(__xludf.DUMMYFUNCTION("""COMPUTED_VALUE"""),83422691)</f>
        <v>83422691</v>
      </c>
    </row>
    <row r="2699" spans="1:6" x14ac:dyDescent="0.35">
      <c r="A2699" s="2">
        <f ca="1">IFERROR(__xludf.DUMMYFUNCTION("""COMPUTED_VALUE"""),45924.6666666666)</f>
        <v>45924.666666666599</v>
      </c>
      <c r="B2699" s="1">
        <f ca="1">IFERROR(__xludf.DUMMYFUNCTION("""COMPUTED_VALUE"""),429.83)</f>
        <v>429.83</v>
      </c>
      <c r="C2699" s="1">
        <f ca="1">IFERROR(__xludf.DUMMYFUNCTION("""COMPUTED_VALUE"""),444.21)</f>
        <v>444.21</v>
      </c>
      <c r="D2699" s="1">
        <f ca="1">IFERROR(__xludf.DUMMYFUNCTION("""COMPUTED_VALUE"""),429.03)</f>
        <v>429.03</v>
      </c>
      <c r="E2699" s="1">
        <f ca="1">IFERROR(__xludf.DUMMYFUNCTION("""COMPUTED_VALUE"""),442.79)</f>
        <v>442.79</v>
      </c>
      <c r="F2699" s="1">
        <f ca="1">IFERROR(__xludf.DUMMYFUNCTION("""COMPUTED_VALUE"""),93133570)</f>
        <v>93133570</v>
      </c>
    </row>
    <row r="2700" spans="1:6" x14ac:dyDescent="0.35">
      <c r="A2700" s="2">
        <f ca="1">IFERROR(__xludf.DUMMYFUNCTION("""COMPUTED_VALUE"""),45925.6666666666)</f>
        <v>45925.666666666599</v>
      </c>
      <c r="B2700" s="1">
        <f ca="1">IFERROR(__xludf.DUMMYFUNCTION("""COMPUTED_VALUE"""),435.24)</f>
        <v>435.24</v>
      </c>
      <c r="C2700" s="1">
        <f ca="1">IFERROR(__xludf.DUMMYFUNCTION("""COMPUTED_VALUE"""),435.35)</f>
        <v>435.35</v>
      </c>
      <c r="D2700" s="1">
        <f ca="1">IFERROR(__xludf.DUMMYFUNCTION("""COMPUTED_VALUE"""),419.08)</f>
        <v>419.08</v>
      </c>
      <c r="E2700" s="1">
        <f ca="1">IFERROR(__xludf.DUMMYFUNCTION("""COMPUTED_VALUE"""),423.39)</f>
        <v>423.39</v>
      </c>
      <c r="F2700" s="1">
        <f ca="1">IFERROR(__xludf.DUMMYFUNCTION("""COMPUTED_VALUE"""),96746426)</f>
        <v>96746426</v>
      </c>
    </row>
    <row r="2701" spans="1:6" x14ac:dyDescent="0.35">
      <c r="A2701" s="2">
        <f ca="1">IFERROR(__xludf.DUMMYFUNCTION("""COMPUTED_VALUE"""),45926.6666666666)</f>
        <v>45926.666666666599</v>
      </c>
      <c r="B2701" s="1">
        <f ca="1">IFERROR(__xludf.DUMMYFUNCTION("""COMPUTED_VALUE"""),428.3)</f>
        <v>428.3</v>
      </c>
      <c r="C2701" s="1">
        <f ca="1">IFERROR(__xludf.DUMMYFUNCTION("""COMPUTED_VALUE"""),440.47)</f>
        <v>440.47</v>
      </c>
      <c r="D2701" s="1">
        <f ca="1">IFERROR(__xludf.DUMMYFUNCTION("""COMPUTED_VALUE"""),421.02)</f>
        <v>421.02</v>
      </c>
      <c r="E2701" s="1">
        <f ca="1">IFERROR(__xludf.DUMMYFUNCTION("""COMPUTED_VALUE"""),440.4)</f>
        <v>440.4</v>
      </c>
      <c r="F2701" s="1">
        <f ca="1">IFERROR(__xludf.DUMMYFUNCTION("""COMPUTED_VALUE"""),101628160)</f>
        <v>101628160</v>
      </c>
    </row>
    <row r="2702" spans="1:6" x14ac:dyDescent="0.35">
      <c r="A2702" s="2">
        <f ca="1">IFERROR(__xludf.DUMMYFUNCTION("""COMPUTED_VALUE"""),45929.6666666666)</f>
        <v>45929.666666666599</v>
      </c>
      <c r="B2702" s="1">
        <f ca="1">IFERROR(__xludf.DUMMYFUNCTION("""COMPUTED_VALUE"""),444.35)</f>
        <v>444.35</v>
      </c>
      <c r="C2702" s="1">
        <f ca="1">IFERROR(__xludf.DUMMYFUNCTION("""COMPUTED_VALUE"""),450.98)</f>
        <v>450.98</v>
      </c>
      <c r="D2702" s="1">
        <f ca="1">IFERROR(__xludf.DUMMYFUNCTION("""COMPUTED_VALUE"""),439.5)</f>
        <v>439.5</v>
      </c>
      <c r="E2702" s="1">
        <f ca="1">IFERROR(__xludf.DUMMYFUNCTION("""COMPUTED_VALUE"""),443.21)</f>
        <v>443.21</v>
      </c>
      <c r="F2702" s="1">
        <f ca="1">IFERROR(__xludf.DUMMYFUNCTION("""COMPUTED_VALUE"""),79491510)</f>
        <v>79491510</v>
      </c>
    </row>
    <row r="2703" spans="1:6" x14ac:dyDescent="0.35">
      <c r="A2703" s="2">
        <f ca="1">IFERROR(__xludf.DUMMYFUNCTION("""COMPUTED_VALUE"""),45930.6666666666)</f>
        <v>45930.666666666599</v>
      </c>
      <c r="B2703" s="1">
        <f ca="1">IFERROR(__xludf.DUMMYFUNCTION("""COMPUTED_VALUE"""),441.52)</f>
        <v>441.52</v>
      </c>
      <c r="C2703" s="1">
        <f ca="1">IFERROR(__xludf.DUMMYFUNCTION("""COMPUTED_VALUE"""),445)</f>
        <v>445</v>
      </c>
      <c r="D2703" s="1">
        <f ca="1">IFERROR(__xludf.DUMMYFUNCTION("""COMPUTED_VALUE"""),433.12)</f>
        <v>433.12</v>
      </c>
      <c r="E2703" s="1">
        <f ca="1">IFERROR(__xludf.DUMMYFUNCTION("""COMPUTED_VALUE"""),444.72)</f>
        <v>444.72</v>
      </c>
      <c r="F2703" s="1">
        <f ca="1">IFERROR(__xludf.DUMMYFUNCTION("""COMPUTED_VALUE"""),74357960)</f>
        <v>74357960</v>
      </c>
    </row>
    <row r="2704" spans="1:6" x14ac:dyDescent="0.35">
      <c r="A2704" s="2">
        <f ca="1">IFERROR(__xludf.DUMMYFUNCTION("""COMPUTED_VALUE"""),45931.6666666666)</f>
        <v>45931.666666666599</v>
      </c>
      <c r="B2704" s="1">
        <f ca="1">IFERROR(__xludf.DUMMYFUNCTION("""COMPUTED_VALUE"""),443.8)</f>
        <v>443.8</v>
      </c>
      <c r="C2704" s="1">
        <f ca="1">IFERROR(__xludf.DUMMYFUNCTION("""COMPUTED_VALUE"""),462.29)</f>
        <v>462.29</v>
      </c>
      <c r="D2704" s="1">
        <f ca="1">IFERROR(__xludf.DUMMYFUNCTION("""COMPUTED_VALUE"""),440.75)</f>
        <v>440.75</v>
      </c>
      <c r="E2704" s="1">
        <f ca="1">IFERROR(__xludf.DUMMYFUNCTION("""COMPUTED_VALUE"""),459.46)</f>
        <v>459.46</v>
      </c>
      <c r="F2704" s="1">
        <f ca="1">IFERROR(__xludf.DUMMYFUNCTION("""COMPUTED_VALUE"""),98122285)</f>
        <v>98122285</v>
      </c>
    </row>
    <row r="2705" spans="1:6" x14ac:dyDescent="0.35">
      <c r="A2705" s="2">
        <f ca="1">IFERROR(__xludf.DUMMYFUNCTION("""COMPUTED_VALUE"""),45932.6666666666)</f>
        <v>45932.666666666599</v>
      </c>
      <c r="B2705" s="1">
        <f ca="1">IFERROR(__xludf.DUMMYFUNCTION("""COMPUTED_VALUE"""),470.54)</f>
        <v>470.54</v>
      </c>
      <c r="C2705" s="1">
        <f ca="1">IFERROR(__xludf.DUMMYFUNCTION("""COMPUTED_VALUE"""),470.75)</f>
        <v>470.75</v>
      </c>
      <c r="D2705" s="1">
        <f ca="1">IFERROR(__xludf.DUMMYFUNCTION("""COMPUTED_VALUE"""),435.57)</f>
        <v>435.57</v>
      </c>
      <c r="E2705" s="1">
        <f ca="1">IFERROR(__xludf.DUMMYFUNCTION("""COMPUTED_VALUE"""),436)</f>
        <v>436</v>
      </c>
      <c r="F2705" s="1">
        <f ca="1">IFERROR(__xludf.DUMMYFUNCTION("""COMPUTED_VALUE"""),137008950)</f>
        <v>137008950</v>
      </c>
    </row>
    <row r="2706" spans="1:6" x14ac:dyDescent="0.35">
      <c r="A2706" s="2">
        <f ca="1">IFERROR(__xludf.DUMMYFUNCTION("""COMPUTED_VALUE"""),45933.6666666666)</f>
        <v>45933.666666666599</v>
      </c>
      <c r="B2706" s="1">
        <f ca="1">IFERROR(__xludf.DUMMYFUNCTION("""COMPUTED_VALUE"""),443.29)</f>
        <v>443.29</v>
      </c>
      <c r="C2706" s="1">
        <f ca="1">IFERROR(__xludf.DUMMYFUNCTION("""COMPUTED_VALUE"""),446.77)</f>
        <v>446.77</v>
      </c>
      <c r="D2706" s="1">
        <f ca="1">IFERROR(__xludf.DUMMYFUNCTION("""COMPUTED_VALUE"""),416.58)</f>
        <v>416.58</v>
      </c>
      <c r="E2706" s="1">
        <f ca="1">IFERROR(__xludf.DUMMYFUNCTION("""COMPUTED_VALUE"""),429.83)</f>
        <v>429.83</v>
      </c>
      <c r="F2706" s="1">
        <f ca="1">IFERROR(__xludf.DUMMYFUNCTION("""COMPUTED_VALUE"""),133188180)</f>
        <v>133188180</v>
      </c>
    </row>
    <row r="2707" spans="1:6" x14ac:dyDescent="0.35">
      <c r="A2707" s="2">
        <f ca="1">IFERROR(__xludf.DUMMYFUNCTION("""COMPUTED_VALUE"""),45936.6666666666)</f>
        <v>45936.666666666599</v>
      </c>
      <c r="B2707" s="1">
        <f ca="1">IFERROR(__xludf.DUMMYFUNCTION("""COMPUTED_VALUE"""),440.75)</f>
        <v>440.75</v>
      </c>
      <c r="C2707" s="1">
        <f ca="1">IFERROR(__xludf.DUMMYFUNCTION("""COMPUTED_VALUE"""),453.55)</f>
        <v>453.55</v>
      </c>
      <c r="D2707" s="1">
        <f ca="1">IFERROR(__xludf.DUMMYFUNCTION("""COMPUTED_VALUE"""),436.69)</f>
        <v>436.69</v>
      </c>
      <c r="E2707" s="1">
        <f ca="1">IFERROR(__xludf.DUMMYFUNCTION("""COMPUTED_VALUE"""),453.25)</f>
        <v>453.25</v>
      </c>
      <c r="F2707" s="1">
        <f ca="1">IFERROR(__xludf.DUMMYFUNCTION("""COMPUTED_VALUE"""),85324878)</f>
        <v>85324878</v>
      </c>
    </row>
    <row r="2708" spans="1:6" x14ac:dyDescent="0.35">
      <c r="A2708" s="2">
        <f ca="1">IFERROR(__xludf.DUMMYFUNCTION("""COMPUTED_VALUE"""),45937.6666666666)</f>
        <v>45937.666666666599</v>
      </c>
      <c r="B2708" s="1">
        <f ca="1">IFERROR(__xludf.DUMMYFUNCTION("""COMPUTED_VALUE"""),447.82)</f>
        <v>447.82</v>
      </c>
      <c r="C2708" s="1">
        <f ca="1">IFERROR(__xludf.DUMMYFUNCTION("""COMPUTED_VALUE"""),452.68)</f>
        <v>452.68</v>
      </c>
      <c r="D2708" s="1">
        <f ca="1">IFERROR(__xludf.DUMMYFUNCTION("""COMPUTED_VALUE"""),432.45)</f>
        <v>432.45</v>
      </c>
      <c r="E2708" s="1">
        <f ca="1">IFERROR(__xludf.DUMMYFUNCTION("""COMPUTED_VALUE"""),433.09)</f>
        <v>433.09</v>
      </c>
      <c r="F2708" s="1">
        <f ca="1">IFERROR(__xludf.DUMMYFUNCTION("""COMPUTED_VALUE"""),102296082)</f>
        <v>102296082</v>
      </c>
    </row>
    <row r="2709" spans="1:6" x14ac:dyDescent="0.35">
      <c r="A2709" s="2">
        <f ca="1">IFERROR(__xludf.DUMMYFUNCTION("""COMPUTED_VALUE"""),45938.6666666666)</f>
        <v>45938.666666666599</v>
      </c>
      <c r="B2709" s="1">
        <f ca="1">IFERROR(__xludf.DUMMYFUNCTION("""COMPUTED_VALUE"""),437.57)</f>
        <v>437.57</v>
      </c>
      <c r="C2709" s="1">
        <f ca="1">IFERROR(__xludf.DUMMYFUNCTION("""COMPUTED_VALUE"""),441.33)</f>
        <v>441.33</v>
      </c>
      <c r="D2709" s="1">
        <f ca="1">IFERROR(__xludf.DUMMYFUNCTION("""COMPUTED_VALUE"""),425.23)</f>
        <v>425.23</v>
      </c>
      <c r="E2709" s="1">
        <f ca="1">IFERROR(__xludf.DUMMYFUNCTION("""COMPUTED_VALUE"""),438.69)</f>
        <v>438.69</v>
      </c>
      <c r="F2709" s="1">
        <f ca="1">IFERROR(__xludf.DUMMYFUNCTION("""COMPUTED_VALUE"""),71192128)</f>
        <v>71192128</v>
      </c>
    </row>
    <row r="2710" spans="1:6" x14ac:dyDescent="0.35">
      <c r="A2710" s="2">
        <f ca="1">IFERROR(__xludf.DUMMYFUNCTION("""COMPUTED_VALUE"""),45939.6666666666)</f>
        <v>45939.666666666599</v>
      </c>
      <c r="B2710" s="1">
        <f ca="1">IFERROR(__xludf.DUMMYFUNCTION("""COMPUTED_VALUE"""),431.81)</f>
        <v>431.81</v>
      </c>
      <c r="C2710" s="1">
        <f ca="1">IFERROR(__xludf.DUMMYFUNCTION("""COMPUTED_VALUE"""),436.35)</f>
        <v>436.35</v>
      </c>
      <c r="D2710" s="1">
        <f ca="1">IFERROR(__xludf.DUMMYFUNCTION("""COMPUTED_VALUE"""),426.18)</f>
        <v>426.18</v>
      </c>
      <c r="E2710" s="1">
        <f ca="1">IFERROR(__xludf.DUMMYFUNCTION("""COMPUTED_VALUE"""),435.54)</f>
        <v>435.54</v>
      </c>
      <c r="F2710" s="1">
        <f ca="1">IFERROR(__xludf.DUMMYFUNCTION("""COMPUTED_VALUE"""),69339928)</f>
        <v>69339928</v>
      </c>
    </row>
    <row r="2711" spans="1:6" x14ac:dyDescent="0.35">
      <c r="A2711" s="2">
        <f ca="1">IFERROR(__xludf.DUMMYFUNCTION("""COMPUTED_VALUE"""),45940.6666666666)</f>
        <v>45940.666666666599</v>
      </c>
      <c r="B2711" s="1">
        <f ca="1">IFERROR(__xludf.DUMMYFUNCTION("""COMPUTED_VALUE"""),436.54)</f>
        <v>436.54</v>
      </c>
      <c r="C2711" s="1">
        <f ca="1">IFERROR(__xludf.DUMMYFUNCTION("""COMPUTED_VALUE"""),443.13)</f>
        <v>443.13</v>
      </c>
      <c r="D2711" s="1">
        <f ca="1">IFERROR(__xludf.DUMMYFUNCTION("""COMPUTED_VALUE"""),411.45)</f>
        <v>411.45</v>
      </c>
      <c r="E2711" s="1">
        <f ca="1">IFERROR(__xludf.DUMMYFUNCTION("""COMPUTED_VALUE"""),413.49)</f>
        <v>413.49</v>
      </c>
      <c r="F2711" s="1">
        <f ca="1">IFERROR(__xludf.DUMMYFUNCTION("""COMPUTED_VALUE"""),112107870)</f>
        <v>112107870</v>
      </c>
    </row>
    <row r="2712" spans="1:6" x14ac:dyDescent="0.35">
      <c r="A2712" s="2">
        <f ca="1">IFERROR(__xludf.DUMMYFUNCTION("""COMPUTED_VALUE"""),45943.6666666666)</f>
        <v>45943.666666666599</v>
      </c>
      <c r="B2712" s="1">
        <f ca="1">IFERROR(__xludf.DUMMYFUNCTION("""COMPUTED_VALUE"""),423.53)</f>
        <v>423.53</v>
      </c>
      <c r="C2712" s="1">
        <f ca="1">IFERROR(__xludf.DUMMYFUNCTION("""COMPUTED_VALUE"""),436.89)</f>
        <v>436.89</v>
      </c>
      <c r="D2712" s="1">
        <f ca="1">IFERROR(__xludf.DUMMYFUNCTION("""COMPUTED_VALUE"""),419.7)</f>
        <v>419.7</v>
      </c>
      <c r="E2712" s="1">
        <f ca="1">IFERROR(__xludf.DUMMYFUNCTION("""COMPUTED_VALUE"""),435.9)</f>
        <v>435.9</v>
      </c>
      <c r="F2712" s="1">
        <f ca="1">IFERROR(__xludf.DUMMYFUNCTION("""COMPUTED_VALUE"""),79552785)</f>
        <v>79552785</v>
      </c>
    </row>
    <row r="2713" spans="1:6" x14ac:dyDescent="0.35">
      <c r="A2713" s="2">
        <f ca="1">IFERROR(__xludf.DUMMYFUNCTION("""COMPUTED_VALUE"""),45944.6666666666)</f>
        <v>45944.666666666599</v>
      </c>
      <c r="B2713" s="1">
        <f ca="1">IFERROR(__xludf.DUMMYFUNCTION("""COMPUTED_VALUE"""),426.79)</f>
        <v>426.79</v>
      </c>
      <c r="C2713" s="1">
        <f ca="1">IFERROR(__xludf.DUMMYFUNCTION("""COMPUTED_VALUE"""),434.2)</f>
        <v>434.2</v>
      </c>
      <c r="D2713" s="1">
        <f ca="1">IFERROR(__xludf.DUMMYFUNCTION("""COMPUTED_VALUE"""),417.86)</f>
        <v>417.86</v>
      </c>
      <c r="E2713" s="1">
        <f ca="1">IFERROR(__xludf.DUMMYFUNCTION("""COMPUTED_VALUE"""),429.24)</f>
        <v>429.24</v>
      </c>
      <c r="F2713" s="1">
        <f ca="1">IFERROR(__xludf.DUMMYFUNCTION("""COMPUTED_VALUE"""),72669438)</f>
        <v>72669438</v>
      </c>
    </row>
    <row r="2714" spans="1:6" x14ac:dyDescent="0.35">
      <c r="A2714" s="2">
        <f ca="1">IFERROR(__xludf.DUMMYFUNCTION("""COMPUTED_VALUE"""),45945.6666666666)</f>
        <v>45945.666666666599</v>
      </c>
      <c r="B2714" s="1">
        <f ca="1">IFERROR(__xludf.DUMMYFUNCTION("""COMPUTED_VALUE"""),434.9)</f>
        <v>434.9</v>
      </c>
      <c r="C2714" s="1">
        <f ca="1">IFERROR(__xludf.DUMMYFUNCTION("""COMPUTED_VALUE"""),440.51)</f>
        <v>440.51</v>
      </c>
      <c r="D2714" s="1">
        <f ca="1">IFERROR(__xludf.DUMMYFUNCTION("""COMPUTED_VALUE"""),426.33)</f>
        <v>426.33</v>
      </c>
      <c r="E2714" s="1">
        <f ca="1">IFERROR(__xludf.DUMMYFUNCTION("""COMPUTED_VALUE"""),435.15)</f>
        <v>435.15</v>
      </c>
      <c r="F2714" s="1">
        <f ca="1">IFERROR(__xludf.DUMMYFUNCTION("""COMPUTED_VALUE"""),71558185)</f>
        <v>71558185</v>
      </c>
    </row>
    <row r="2715" spans="1:6" x14ac:dyDescent="0.35">
      <c r="A2715" s="2">
        <f ca="1">IFERROR(__xludf.DUMMYFUNCTION("""COMPUTED_VALUE"""),45946.6666666666)</f>
        <v>45946.666666666599</v>
      </c>
      <c r="B2715" s="1">
        <f ca="1">IFERROR(__xludf.DUMMYFUNCTION("""COMPUTED_VALUE"""),434.73)</f>
        <v>434.73</v>
      </c>
      <c r="C2715" s="1">
        <f ca="1">IFERROR(__xludf.DUMMYFUNCTION("""COMPUTED_VALUE"""),439.35)</f>
        <v>439.35</v>
      </c>
      <c r="D2715" s="1">
        <f ca="1">IFERROR(__xludf.DUMMYFUNCTION("""COMPUTED_VALUE"""),421.31)</f>
        <v>421.31</v>
      </c>
      <c r="E2715" s="1">
        <f ca="1">IFERROR(__xludf.DUMMYFUNCTION("""COMPUTED_VALUE"""),428.75)</f>
        <v>428.75</v>
      </c>
      <c r="F2715" s="1">
        <f ca="1">IFERROR(__xludf.DUMMYFUNCTION("""COMPUTED_VALUE"""),77189889)</f>
        <v>77189889</v>
      </c>
    </row>
    <row r="2716" spans="1:6" x14ac:dyDescent="0.35">
      <c r="A2716" s="2">
        <f ca="1">IFERROR(__xludf.DUMMYFUNCTION("""COMPUTED_VALUE"""),45947.6666666666)</f>
        <v>45947.666666666599</v>
      </c>
      <c r="B2716" s="1">
        <f ca="1">IFERROR(__xludf.DUMMYFUNCTION("""COMPUTED_VALUE"""),425.5)</f>
        <v>425.5</v>
      </c>
      <c r="C2716" s="1">
        <f ca="1">IFERROR(__xludf.DUMMYFUNCTION("""COMPUTED_VALUE"""),441.46)</f>
        <v>441.46</v>
      </c>
      <c r="D2716" s="1">
        <f ca="1">IFERROR(__xludf.DUMMYFUNCTION("""COMPUTED_VALUE"""),423.6)</f>
        <v>423.6</v>
      </c>
      <c r="E2716" s="1">
        <f ca="1">IFERROR(__xludf.DUMMYFUNCTION("""COMPUTED_VALUE"""),439.31)</f>
        <v>439.31</v>
      </c>
      <c r="F2716" s="1">
        <f ca="1">IFERROR(__xludf.DUMMYFUNCTION("""COMPUTED_VALUE"""),89331578)</f>
        <v>89331578</v>
      </c>
    </row>
    <row r="2717" spans="1:6" x14ac:dyDescent="0.35">
      <c r="A2717" s="2">
        <f ca="1">IFERROR(__xludf.DUMMYFUNCTION("""COMPUTED_VALUE"""),45950.6666666666)</f>
        <v>45950.666666666599</v>
      </c>
      <c r="B2717" s="1">
        <f ca="1">IFERROR(__xludf.DUMMYFUNCTION("""COMPUTED_VALUE"""),443.87)</f>
        <v>443.87</v>
      </c>
      <c r="C2717" s="1">
        <f ca="1">IFERROR(__xludf.DUMMYFUNCTION("""COMPUTED_VALUE"""),449.8)</f>
        <v>449.8</v>
      </c>
      <c r="D2717" s="1">
        <f ca="1">IFERROR(__xludf.DUMMYFUNCTION("""COMPUTED_VALUE"""),440.61)</f>
        <v>440.61</v>
      </c>
      <c r="E2717" s="1">
        <f ca="1">IFERROR(__xludf.DUMMYFUNCTION("""COMPUTED_VALUE"""),447.43)</f>
        <v>447.43</v>
      </c>
      <c r="F2717" s="1">
        <f ca="1">IFERROR(__xludf.DUMMYFUNCTION("""COMPUTED_VALUE"""),63718971)</f>
        <v>63718971</v>
      </c>
    </row>
    <row r="2718" spans="1:6" x14ac:dyDescent="0.35">
      <c r="A2718" s="2">
        <f ca="1">IFERROR(__xludf.DUMMYFUNCTION("""COMPUTED_VALUE"""),45951.6666666666)</f>
        <v>45951.666666666599</v>
      </c>
      <c r="B2718" s="1">
        <f ca="1">IFERROR(__xludf.DUMMYFUNCTION("""COMPUTED_VALUE"""),445.76)</f>
        <v>445.76</v>
      </c>
      <c r="C2718" s="1">
        <f ca="1">IFERROR(__xludf.DUMMYFUNCTION("""COMPUTED_VALUE"""),449.3)</f>
        <v>449.3</v>
      </c>
      <c r="D2718" s="1">
        <f ca="1">IFERROR(__xludf.DUMMYFUNCTION("""COMPUTED_VALUE"""),442.05)</f>
        <v>442.05</v>
      </c>
      <c r="E2718" s="1">
        <f ca="1">IFERROR(__xludf.DUMMYFUNCTION("""COMPUTED_VALUE"""),442.6)</f>
        <v>442.6</v>
      </c>
      <c r="F2718" s="1">
        <f ca="1">IFERROR(__xludf.DUMMYFUNCTION("""COMPUTED_VALUE"""),54412169)</f>
        <v>54412169</v>
      </c>
    </row>
    <row r="2719" spans="1:6" x14ac:dyDescent="0.35">
      <c r="A2719" s="2">
        <f ca="1">IFERROR(__xludf.DUMMYFUNCTION("""COMPUTED_VALUE"""),45952.6666666666)</f>
        <v>45952.666666666599</v>
      </c>
      <c r="B2719" s="1">
        <f ca="1">IFERROR(__xludf.DUMMYFUNCTION("""COMPUTED_VALUE"""),443.45)</f>
        <v>443.45</v>
      </c>
      <c r="C2719" s="1">
        <f ca="1">IFERROR(__xludf.DUMMYFUNCTION("""COMPUTED_VALUE"""),445.54)</f>
        <v>445.54</v>
      </c>
      <c r="D2719" s="1">
        <f ca="1">IFERROR(__xludf.DUMMYFUNCTION("""COMPUTED_VALUE"""),429)</f>
        <v>429</v>
      </c>
      <c r="E2719" s="1">
        <f ca="1">IFERROR(__xludf.DUMMYFUNCTION("""COMPUTED_VALUE"""),438.97)</f>
        <v>438.97</v>
      </c>
      <c r="F2719" s="1">
        <f ca="1">IFERROR(__xludf.DUMMYFUNCTION("""COMPUTED_VALUE"""),84023458)</f>
        <v>84023458</v>
      </c>
    </row>
    <row r="2720" spans="1:6" x14ac:dyDescent="0.35">
      <c r="A2720" s="2">
        <f ca="1">IFERROR(__xludf.DUMMYFUNCTION("""COMPUTED_VALUE"""),45953.6666666666)</f>
        <v>45953.666666666599</v>
      </c>
      <c r="B2720" s="1">
        <f ca="1">IFERROR(__xludf.DUMMYFUNCTION("""COMPUTED_VALUE"""),420)</f>
        <v>420</v>
      </c>
      <c r="C2720" s="1">
        <f ca="1">IFERROR(__xludf.DUMMYFUNCTION("""COMPUTED_VALUE"""),449.4)</f>
        <v>449.4</v>
      </c>
      <c r="D2720" s="1">
        <f ca="1">IFERROR(__xludf.DUMMYFUNCTION("""COMPUTED_VALUE"""),413.9)</f>
        <v>413.9</v>
      </c>
      <c r="E2720" s="1">
        <f ca="1">IFERROR(__xludf.DUMMYFUNCTION("""COMPUTED_VALUE"""),448.98)</f>
        <v>448.98</v>
      </c>
      <c r="F2720" s="1">
        <f ca="1">IFERROR(__xludf.DUMMYFUNCTION("""COMPUTED_VALUE"""),126709833)</f>
        <v>126709833</v>
      </c>
    </row>
    <row r="2721" spans="1:6" x14ac:dyDescent="0.35">
      <c r="A2721" s="2">
        <f ca="1">IFERROR(__xludf.DUMMYFUNCTION("""COMPUTED_VALUE"""),45954.6666666666)</f>
        <v>45954.666666666599</v>
      </c>
      <c r="B2721" s="1">
        <f ca="1">IFERROR(__xludf.DUMMYFUNCTION("""COMPUTED_VALUE"""),446.83)</f>
        <v>446.83</v>
      </c>
      <c r="C2721" s="1">
        <f ca="1">IFERROR(__xludf.DUMMYFUNCTION("""COMPUTED_VALUE"""),451.68)</f>
        <v>451.68</v>
      </c>
      <c r="D2721" s="1">
        <f ca="1">IFERROR(__xludf.DUMMYFUNCTION("""COMPUTED_VALUE"""),430.17)</f>
        <v>430.17</v>
      </c>
      <c r="E2721" s="1">
        <f ca="1">IFERROR(__xludf.DUMMYFUNCTION("""COMPUTED_VALUE"""),433.72)</f>
        <v>433.72</v>
      </c>
      <c r="F2721" s="1">
        <f ca="1">IFERROR(__xludf.DUMMYFUNCTION("""COMPUTED_VALUE"""),94727774)</f>
        <v>94727774</v>
      </c>
    </row>
    <row r="2722" spans="1:6" x14ac:dyDescent="0.35">
      <c r="A2722" s="2">
        <f ca="1">IFERROR(__xludf.DUMMYFUNCTION("""COMPUTED_VALUE"""),45957.6666666666)</f>
        <v>45957.666666666599</v>
      </c>
      <c r="B2722" s="1">
        <f ca="1">IFERROR(__xludf.DUMMYFUNCTION("""COMPUTED_VALUE"""),439.98)</f>
        <v>439.98</v>
      </c>
      <c r="C2722" s="1">
        <f ca="1">IFERROR(__xludf.DUMMYFUNCTION("""COMPUTED_VALUE"""),460.16)</f>
        <v>460.16</v>
      </c>
      <c r="D2722" s="1">
        <f ca="1">IFERROR(__xludf.DUMMYFUNCTION("""COMPUTED_VALUE"""),438.69)</f>
        <v>438.69</v>
      </c>
      <c r="E2722" s="1">
        <f ca="1">IFERROR(__xludf.DUMMYFUNCTION("""COMPUTED_VALUE"""),452.42)</f>
        <v>452.42</v>
      </c>
      <c r="F2722" s="1">
        <f ca="1">IFERROR(__xludf.DUMMYFUNCTION("""COMPUTED_VALUE"""),105867547)</f>
        <v>105867547</v>
      </c>
    </row>
    <row r="2723" spans="1:6" x14ac:dyDescent="0.35">
      <c r="A2723" s="2">
        <f ca="1">IFERROR(__xludf.DUMMYFUNCTION("""COMPUTED_VALUE"""),45958.6666666666)</f>
        <v>45958.666666666599</v>
      </c>
      <c r="B2723" s="1">
        <f ca="1">IFERROR(__xludf.DUMMYFUNCTION("""COMPUTED_VALUE"""),454.78)</f>
        <v>454.78</v>
      </c>
      <c r="C2723" s="1">
        <f ca="1">IFERROR(__xludf.DUMMYFUNCTION("""COMPUTED_VALUE"""),467)</f>
        <v>467</v>
      </c>
      <c r="D2723" s="1">
        <f ca="1">IFERROR(__xludf.DUMMYFUNCTION("""COMPUTED_VALUE"""),451.6)</f>
        <v>451.6</v>
      </c>
      <c r="E2723" s="1">
        <f ca="1">IFERROR(__xludf.DUMMYFUNCTION("""COMPUTED_VALUE"""),460.55)</f>
        <v>460.55</v>
      </c>
      <c r="F2723" s="1">
        <f ca="1">IFERROR(__xludf.DUMMYFUNCTION("""COMPUTED_VALUE"""),80185667)</f>
        <v>80185667</v>
      </c>
    </row>
    <row r="2724" spans="1:6" x14ac:dyDescent="0.35">
      <c r="A2724" s="2">
        <f ca="1">IFERROR(__xludf.DUMMYFUNCTION("""COMPUTED_VALUE"""),45959.6666666666)</f>
        <v>45959.666666666599</v>
      </c>
      <c r="B2724" s="1">
        <f ca="1">IFERROR(__xludf.DUMMYFUNCTION("""COMPUTED_VALUE"""),462.5)</f>
        <v>462.5</v>
      </c>
      <c r="C2724" s="1">
        <f ca="1">IFERROR(__xludf.DUMMYFUNCTION("""COMPUTED_VALUE"""),465.7)</f>
        <v>465.7</v>
      </c>
      <c r="D2724" s="1">
        <f ca="1">IFERROR(__xludf.DUMMYFUNCTION("""COMPUTED_VALUE"""),452.65)</f>
        <v>452.65</v>
      </c>
      <c r="E2724" s="1">
        <f ca="1">IFERROR(__xludf.DUMMYFUNCTION("""COMPUTED_VALUE"""),461.51)</f>
        <v>461.51</v>
      </c>
      <c r="F2724" s="1">
        <f ca="1">IFERROR(__xludf.DUMMYFUNCTION("""COMPUTED_VALUE"""),67983544)</f>
        <v>67983544</v>
      </c>
    </row>
    <row r="2725" spans="1:6" x14ac:dyDescent="0.35">
      <c r="A2725" s="2">
        <f ca="1">IFERROR(__xludf.DUMMYFUNCTION("""COMPUTED_VALUE"""),45960.6666666666)</f>
        <v>45960.666666666599</v>
      </c>
      <c r="B2725" s="1">
        <f ca="1">IFERROR(__xludf.DUMMYFUNCTION("""COMPUTED_VALUE"""),451.05)</f>
        <v>451.05</v>
      </c>
      <c r="C2725" s="1">
        <f ca="1">IFERROR(__xludf.DUMMYFUNCTION("""COMPUTED_VALUE"""),455.06)</f>
        <v>455.06</v>
      </c>
      <c r="D2725" s="1">
        <f ca="1">IFERROR(__xludf.DUMMYFUNCTION("""COMPUTED_VALUE"""),439.61)</f>
        <v>439.61</v>
      </c>
      <c r="E2725" s="1">
        <f ca="1">IFERROR(__xludf.DUMMYFUNCTION("""COMPUTED_VALUE"""),440.1)</f>
        <v>440.1</v>
      </c>
      <c r="F2725" s="1">
        <f ca="1">IFERROR(__xludf.DUMMYFUNCTION("""COMPUTED_VALUE"""),72447938)</f>
        <v>72447938</v>
      </c>
    </row>
    <row r="2726" spans="1:6" x14ac:dyDescent="0.35">
      <c r="A2726" s="2">
        <f ca="1">IFERROR(__xludf.DUMMYFUNCTION("""COMPUTED_VALUE"""),45961.6666666666)</f>
        <v>45961.666666666599</v>
      </c>
      <c r="B2726" s="1">
        <f ca="1">IFERROR(__xludf.DUMMYFUNCTION("""COMPUTED_VALUE"""),446.75)</f>
        <v>446.75</v>
      </c>
      <c r="C2726" s="1">
        <f ca="1">IFERROR(__xludf.DUMMYFUNCTION("""COMPUTED_VALUE"""),458)</f>
        <v>458</v>
      </c>
      <c r="D2726" s="1">
        <f ca="1">IFERROR(__xludf.DUMMYFUNCTION("""COMPUTED_VALUE"""),443.69)</f>
        <v>443.69</v>
      </c>
      <c r="E2726" s="1">
        <f ca="1">IFERROR(__xludf.DUMMYFUNCTION("""COMPUTED_VALUE"""),456.56)</f>
        <v>456.56</v>
      </c>
      <c r="F2726" s="1">
        <f ca="1">IFERROR(__xludf.DUMMYFUNCTION("""COMPUTED_VALUE"""),83135787)</f>
        <v>83135787</v>
      </c>
    </row>
    <row r="2727" spans="1:6" x14ac:dyDescent="0.35">
      <c r="A2727" s="2">
        <f ca="1">IFERROR(__xludf.DUMMYFUNCTION("""COMPUTED_VALUE"""),45964.6666666666)</f>
        <v>45964.666666666599</v>
      </c>
      <c r="B2727" s="1">
        <f ca="1">IFERROR(__xludf.DUMMYFUNCTION("""COMPUTED_VALUE"""),455.99)</f>
        <v>455.99</v>
      </c>
      <c r="C2727" s="1">
        <f ca="1">IFERROR(__xludf.DUMMYFUNCTION("""COMPUTED_VALUE"""),474.07)</f>
        <v>474.07</v>
      </c>
      <c r="D2727" s="1">
        <f ca="1">IFERROR(__xludf.DUMMYFUNCTION("""COMPUTED_VALUE"""),453.8)</f>
        <v>453.8</v>
      </c>
      <c r="E2727" s="1">
        <f ca="1">IFERROR(__xludf.DUMMYFUNCTION("""COMPUTED_VALUE"""),468.37)</f>
        <v>468.37</v>
      </c>
      <c r="F2727" s="1">
        <f ca="1">IFERROR(__xludf.DUMMYFUNCTION("""COMPUTED_VALUE"""),84595244)</f>
        <v>84595244</v>
      </c>
    </row>
    <row r="2728" spans="1:6" x14ac:dyDescent="0.35">
      <c r="A2728" s="2">
        <f ca="1">IFERROR(__xludf.DUMMYFUNCTION("""COMPUTED_VALUE"""),45965.6666666666)</f>
        <v>45965.666666666599</v>
      </c>
      <c r="B2728" s="1">
        <f ca="1">IFERROR(__xludf.DUMMYFUNCTION("""COMPUTED_VALUE"""),454.46)</f>
        <v>454.46</v>
      </c>
      <c r="C2728" s="1">
        <f ca="1">IFERROR(__xludf.DUMMYFUNCTION("""COMPUTED_VALUE"""),460.22)</f>
        <v>460.22</v>
      </c>
      <c r="D2728" s="1">
        <f ca="1">IFERROR(__xludf.DUMMYFUNCTION("""COMPUTED_VALUE"""),443.6)</f>
        <v>443.6</v>
      </c>
      <c r="E2728" s="1">
        <f ca="1">IFERROR(__xludf.DUMMYFUNCTION("""COMPUTED_VALUE"""),444.26)</f>
        <v>444.26</v>
      </c>
      <c r="F2728" s="1">
        <f ca="1">IFERROR(__xludf.DUMMYFUNCTION("""COMPUTED_VALUE"""),87756644)</f>
        <v>87756644</v>
      </c>
    </row>
    <row r="2729" spans="1:6" x14ac:dyDescent="0.35">
      <c r="A2729" s="2">
        <f ca="1">IFERROR(__xludf.DUMMYFUNCTION("""COMPUTED_VALUE"""),45966.6666666666)</f>
        <v>45966.666666666599</v>
      </c>
      <c r="B2729" s="1">
        <f ca="1">IFERROR(__xludf.DUMMYFUNCTION("""COMPUTED_VALUE"""),452.05)</f>
        <v>452.05</v>
      </c>
      <c r="C2729" s="1">
        <f ca="1">IFERROR(__xludf.DUMMYFUNCTION("""COMPUTED_VALUE"""),466.33)</f>
        <v>466.33</v>
      </c>
      <c r="D2729" s="1">
        <f ca="1">IFERROR(__xludf.DUMMYFUNCTION("""COMPUTED_VALUE"""),440.71)</f>
        <v>440.71</v>
      </c>
      <c r="E2729" s="1">
        <f ca="1">IFERROR(__xludf.DUMMYFUNCTION("""COMPUTED_VALUE"""),462.07)</f>
        <v>462.07</v>
      </c>
      <c r="F2729" s="1">
        <f ca="1">IFERROR(__xludf.DUMMYFUNCTION("""COMPUTED_VALUE"""),85573015)</f>
        <v>85573015</v>
      </c>
    </row>
    <row r="2730" spans="1:6" x14ac:dyDescent="0.35">
      <c r="A2730" s="2">
        <f ca="1">IFERROR(__xludf.DUMMYFUNCTION("""COMPUTED_VALUE"""),45967.6666666666)</f>
        <v>45967.666666666599</v>
      </c>
      <c r="B2730" s="1">
        <f ca="1">IFERROR(__xludf.DUMMYFUNCTION("""COMPUTED_VALUE"""),461.96)</f>
        <v>461.96</v>
      </c>
      <c r="C2730" s="1">
        <f ca="1">IFERROR(__xludf.DUMMYFUNCTION("""COMPUTED_VALUE"""),467.45)</f>
        <v>467.45</v>
      </c>
      <c r="D2730" s="1">
        <f ca="1">IFERROR(__xludf.DUMMYFUNCTION("""COMPUTED_VALUE"""),435.09)</f>
        <v>435.09</v>
      </c>
      <c r="E2730" s="1">
        <f ca="1">IFERROR(__xludf.DUMMYFUNCTION("""COMPUTED_VALUE"""),445.91)</f>
        <v>445.91</v>
      </c>
      <c r="F2730" s="1">
        <f ca="1">IFERROR(__xludf.DUMMYFUNCTION("""COMPUTED_VALUE"""),109622907)</f>
        <v>109622907</v>
      </c>
    </row>
    <row r="2731" spans="1:6" x14ac:dyDescent="0.35">
      <c r="A2731" s="2">
        <f ca="1">IFERROR(__xludf.DUMMYFUNCTION("""COMPUTED_VALUE"""),45968.6666666666)</f>
        <v>45968.666666666599</v>
      </c>
      <c r="B2731" s="1">
        <f ca="1">IFERROR(__xludf.DUMMYFUNCTION("""COMPUTED_VALUE"""),437.92)</f>
        <v>437.92</v>
      </c>
      <c r="C2731" s="1">
        <f ca="1">IFERROR(__xludf.DUMMYFUNCTION("""COMPUTED_VALUE"""),439.36)</f>
        <v>439.36</v>
      </c>
      <c r="D2731" s="1">
        <f ca="1">IFERROR(__xludf.DUMMYFUNCTION("""COMPUTED_VALUE"""),421.88)</f>
        <v>421.88</v>
      </c>
      <c r="E2731" s="1">
        <f ca="1">IFERROR(__xludf.DUMMYFUNCTION("""COMPUTED_VALUE"""),429.52)</f>
        <v>429.52</v>
      </c>
      <c r="F2731" s="1">
        <f ca="1">IFERROR(__xludf.DUMMYFUNCTION("""COMPUTED_VALUE"""),103471495)</f>
        <v>103471495</v>
      </c>
    </row>
    <row r="2732" spans="1:6" x14ac:dyDescent="0.35">
      <c r="A2732" s="2">
        <f ca="1">IFERROR(__xludf.DUMMYFUNCTION("""COMPUTED_VALUE"""),45971.6666666666)</f>
        <v>45971.666666666599</v>
      </c>
      <c r="B2732" s="1">
        <f ca="1">IFERROR(__xludf.DUMMYFUNCTION("""COMPUTED_VALUE"""),439.6)</f>
        <v>439.6</v>
      </c>
      <c r="C2732" s="1">
        <f ca="1">IFERROR(__xludf.DUMMYFUNCTION("""COMPUTED_VALUE"""),449.67)</f>
        <v>449.67</v>
      </c>
      <c r="D2732" s="1">
        <f ca="1">IFERROR(__xludf.DUMMYFUNCTION("""COMPUTED_VALUE"""),433.36)</f>
        <v>433.36</v>
      </c>
      <c r="E2732" s="1">
        <f ca="1">IFERROR(__xludf.DUMMYFUNCTION("""COMPUTED_VALUE"""),445.23)</f>
        <v>445.23</v>
      </c>
      <c r="F2732" s="1">
        <f ca="1">IFERROR(__xludf.DUMMYFUNCTION("""COMPUTED_VALUE"""),76515907)</f>
        <v>76515907</v>
      </c>
    </row>
    <row r="2733" spans="1:6" x14ac:dyDescent="0.35">
      <c r="A2733" s="2">
        <f ca="1">IFERROR(__xludf.DUMMYFUNCTION("""COMPUTED_VALUE"""),45972.6666666666)</f>
        <v>45972.666666666599</v>
      </c>
      <c r="B2733" s="1">
        <f ca="1">IFERROR(__xludf.DUMMYFUNCTION("""COMPUTED_VALUE"""),439.4)</f>
        <v>439.4</v>
      </c>
      <c r="C2733" s="1">
        <f ca="1">IFERROR(__xludf.DUMMYFUNCTION("""COMPUTED_VALUE"""),442.49)</f>
        <v>442.49</v>
      </c>
      <c r="D2733" s="1">
        <f ca="1">IFERROR(__xludf.DUMMYFUNCTION("""COMPUTED_VALUE"""),432.36)</f>
        <v>432.36</v>
      </c>
      <c r="E2733" s="1">
        <f ca="1">IFERROR(__xludf.DUMMYFUNCTION("""COMPUTED_VALUE"""),439.62)</f>
        <v>439.62</v>
      </c>
      <c r="F2733" s="1">
        <f ca="1">IFERROR(__xludf.DUMMYFUNCTION("""COMPUTED_VALUE"""),60533237)</f>
        <v>60533237</v>
      </c>
    </row>
    <row r="2734" spans="1:6" x14ac:dyDescent="0.35">
      <c r="A2734" s="2">
        <f ca="1">IFERROR(__xludf.DUMMYFUNCTION("""COMPUTED_VALUE"""),45973.6666666666)</f>
        <v>45973.666666666599</v>
      </c>
      <c r="B2734" s="1">
        <f ca="1">IFERROR(__xludf.DUMMYFUNCTION("""COMPUTED_VALUE"""),442.15)</f>
        <v>442.15</v>
      </c>
      <c r="C2734" s="1">
        <f ca="1">IFERROR(__xludf.DUMMYFUNCTION("""COMPUTED_VALUE"""),442.33)</f>
        <v>442.33</v>
      </c>
      <c r="D2734" s="1">
        <f ca="1">IFERROR(__xludf.DUMMYFUNCTION("""COMPUTED_VALUE"""),426.56)</f>
        <v>426.56</v>
      </c>
      <c r="E2734" s="1">
        <f ca="1">IFERROR(__xludf.DUMMYFUNCTION("""COMPUTED_VALUE"""),430.6)</f>
        <v>430.6</v>
      </c>
      <c r="F2734" s="1">
        <f ca="1">IFERROR(__xludf.DUMMYFUNCTION("""COMPUTED_VALUE"""),58513520)</f>
        <v>58513520</v>
      </c>
    </row>
    <row r="2735" spans="1:6" x14ac:dyDescent="0.35">
      <c r="A2735" s="2">
        <f ca="1">IFERROR(__xludf.DUMMYFUNCTION("""COMPUTED_VALUE"""),45974.6666666666)</f>
        <v>45974.666666666599</v>
      </c>
      <c r="B2735" s="1">
        <f ca="1">IFERROR(__xludf.DUMMYFUNCTION("""COMPUTED_VALUE"""),423.13)</f>
        <v>423.13</v>
      </c>
      <c r="C2735" s="1">
        <f ca="1">IFERROR(__xludf.DUMMYFUNCTION("""COMPUTED_VALUE"""),424.5)</f>
        <v>424.5</v>
      </c>
      <c r="D2735" s="1">
        <f ca="1">IFERROR(__xludf.DUMMYFUNCTION("""COMPUTED_VALUE"""),396.34)</f>
        <v>396.34</v>
      </c>
      <c r="E2735" s="1">
        <f ca="1">IFERROR(__xludf.DUMMYFUNCTION("""COMPUTED_VALUE"""),401.99)</f>
        <v>401.99</v>
      </c>
      <c r="F2735" s="1">
        <f ca="1">IFERROR(__xludf.DUMMYFUNCTION("""COMPUTED_VALUE"""),118948032)</f>
        <v>118948032</v>
      </c>
    </row>
    <row r="2736" spans="1:6" x14ac:dyDescent="0.35">
      <c r="A2736" s="2">
        <f ca="1">IFERROR(__xludf.DUMMYFUNCTION("""COMPUTED_VALUE"""),45975.6666666666)</f>
        <v>45975.666666666599</v>
      </c>
      <c r="B2736" s="1">
        <f ca="1">IFERROR(__xludf.DUMMYFUNCTION("""COMPUTED_VALUE"""),386.3)</f>
        <v>386.3</v>
      </c>
      <c r="C2736" s="1">
        <f ca="1">IFERROR(__xludf.DUMMYFUNCTION("""COMPUTED_VALUE"""),412.19)</f>
        <v>412.19</v>
      </c>
      <c r="D2736" s="1">
        <f ca="1">IFERROR(__xludf.DUMMYFUNCTION("""COMPUTED_VALUE"""),382.78)</f>
        <v>382.78</v>
      </c>
      <c r="E2736" s="1">
        <f ca="1">IFERROR(__xludf.DUMMYFUNCTION("""COMPUTED_VALUE"""),404.35)</f>
        <v>404.35</v>
      </c>
      <c r="F2736" s="1">
        <f ca="1">IFERROR(__xludf.DUMMYFUNCTION("""COMPUTED_VALUE"""),105506682)</f>
        <v>105506682</v>
      </c>
    </row>
    <row r="2737" spans="1:6" x14ac:dyDescent="0.35">
      <c r="A2737" s="2">
        <f ca="1">IFERROR(__xludf.DUMMYFUNCTION("""COMPUTED_VALUE"""),45978.6666666666)</f>
        <v>45978.666666666599</v>
      </c>
      <c r="B2737" s="1">
        <f ca="1">IFERROR(__xludf.DUMMYFUNCTION("""COMPUTED_VALUE"""),398.74)</f>
        <v>398.74</v>
      </c>
      <c r="C2737" s="1">
        <f ca="1">IFERROR(__xludf.DUMMYFUNCTION("""COMPUTED_VALUE"""),423.96)</f>
        <v>423.96</v>
      </c>
      <c r="D2737" s="1">
        <f ca="1">IFERROR(__xludf.DUMMYFUNCTION("""COMPUTED_VALUE"""),398.74)</f>
        <v>398.74</v>
      </c>
      <c r="E2737" s="1">
        <f ca="1">IFERROR(__xludf.DUMMYFUNCTION("""COMPUTED_VALUE"""),408.92)</f>
        <v>408.92</v>
      </c>
      <c r="F2737" s="1">
        <f ca="1">IFERROR(__xludf.DUMMYFUNCTION("""COMPUTED_VALUE"""),102214259)</f>
        <v>102214259</v>
      </c>
    </row>
    <row r="2738" spans="1:6" x14ac:dyDescent="0.35">
      <c r="A2738" s="2">
        <f ca="1">IFERROR(__xludf.DUMMYFUNCTION("""COMPUTED_VALUE"""),45979.6666666666)</f>
        <v>45979.666666666599</v>
      </c>
      <c r="B2738" s="1">
        <f ca="1">IFERROR(__xludf.DUMMYFUNCTION("""COMPUTED_VALUE"""),405.38)</f>
        <v>405.38</v>
      </c>
      <c r="C2738" s="1">
        <f ca="1">IFERROR(__xludf.DUMMYFUNCTION("""COMPUTED_VALUE"""),408.9)</f>
        <v>408.9</v>
      </c>
      <c r="D2738" s="1">
        <f ca="1">IFERROR(__xludf.DUMMYFUNCTION("""COMPUTED_VALUE"""),393.71)</f>
        <v>393.71</v>
      </c>
      <c r="E2738" s="1">
        <f ca="1">IFERROR(__xludf.DUMMYFUNCTION("""COMPUTED_VALUE"""),401.25)</f>
        <v>401.25</v>
      </c>
      <c r="F2738" s="1">
        <f ca="1">IFERROR(__xludf.DUMMYFUNCTION("""COMPUTED_VALUE"""),80688637)</f>
        <v>80688637</v>
      </c>
    </row>
    <row r="2739" spans="1:6" x14ac:dyDescent="0.35">
      <c r="A2739" s="2">
        <f ca="1">IFERROR(__xludf.DUMMYFUNCTION("""COMPUTED_VALUE"""),45980.6666666666)</f>
        <v>45980.666666666599</v>
      </c>
      <c r="B2739" s="1">
        <f ca="1">IFERROR(__xludf.DUMMYFUNCTION("""COMPUTED_VALUE"""),406.18)</f>
        <v>406.18</v>
      </c>
      <c r="C2739" s="1">
        <f ca="1">IFERROR(__xludf.DUMMYFUNCTION("""COMPUTED_VALUE"""),411.78)</f>
        <v>411.78</v>
      </c>
      <c r="D2739" s="1">
        <f ca="1">IFERROR(__xludf.DUMMYFUNCTION("""COMPUTED_VALUE"""),398.5)</f>
        <v>398.5</v>
      </c>
      <c r="E2739" s="1">
        <f ca="1">IFERROR(__xludf.DUMMYFUNCTION("""COMPUTED_VALUE"""),403.99)</f>
        <v>403.99</v>
      </c>
      <c r="F2739" s="1">
        <f ca="1">IFERROR(__xludf.DUMMYFUNCTION("""COMPUTED_VALUE"""),72047704)</f>
        <v>72047704</v>
      </c>
    </row>
    <row r="2740" spans="1:6" x14ac:dyDescent="0.35">
      <c r="A2740" s="2">
        <f ca="1">IFERROR(__xludf.DUMMYFUNCTION("""COMPUTED_VALUE"""),45981.6666666666)</f>
        <v>45981.666666666599</v>
      </c>
      <c r="B2740" s="1">
        <f ca="1">IFERROR(__xludf.DUMMYFUNCTION("""COMPUTED_VALUE"""),414.63)</f>
        <v>414.63</v>
      </c>
      <c r="C2740" s="1">
        <f ca="1">IFERROR(__xludf.DUMMYFUNCTION("""COMPUTED_VALUE"""),428.94)</f>
        <v>428.94</v>
      </c>
      <c r="D2740" s="1">
        <f ca="1">IFERROR(__xludf.DUMMYFUNCTION("""COMPUTED_VALUE"""),394.74)</f>
        <v>394.74</v>
      </c>
      <c r="E2740" s="1">
        <f ca="1">IFERROR(__xludf.DUMMYFUNCTION("""COMPUTED_VALUE"""),395.23)</f>
        <v>395.23</v>
      </c>
      <c r="F2740" s="1">
        <f ca="1">IFERROR(__xludf.DUMMYFUNCTION("""COMPUTED_VALUE"""),113548827)</f>
        <v>113548827</v>
      </c>
    </row>
    <row r="2741" spans="1:6" x14ac:dyDescent="0.35">
      <c r="A2741" s="2">
        <f ca="1">IFERROR(__xludf.DUMMYFUNCTION("""COMPUTED_VALUE"""),45982.6666666666)</f>
        <v>45982.666666666599</v>
      </c>
      <c r="B2741" s="1">
        <f ca="1">IFERROR(__xludf.DUMMYFUNCTION("""COMPUTED_VALUE"""),402.32)</f>
        <v>402.32</v>
      </c>
      <c r="C2741" s="1">
        <f ca="1">IFERROR(__xludf.DUMMYFUNCTION("""COMPUTED_VALUE"""),402.8)</f>
        <v>402.8</v>
      </c>
      <c r="D2741" s="1">
        <f ca="1">IFERROR(__xludf.DUMMYFUNCTION("""COMPUTED_VALUE"""),383.76)</f>
        <v>383.76</v>
      </c>
      <c r="E2741" s="1">
        <f ca="1">IFERROR(__xludf.DUMMYFUNCTION("""COMPUTED_VALUE"""),391.09)</f>
        <v>391.09</v>
      </c>
      <c r="F2741" s="1">
        <f ca="1">IFERROR(__xludf.DUMMYFUNCTION("""COMPUTED_VALUE"""),100460633)</f>
        <v>100460633</v>
      </c>
    </row>
    <row r="2742" spans="1:6" x14ac:dyDescent="0.35">
      <c r="A2742" s="2">
        <f ca="1">IFERROR(__xludf.DUMMYFUNCTION("""COMPUTED_VALUE"""),45985.6666666666)</f>
        <v>45985.666666666599</v>
      </c>
      <c r="B2742" s="1">
        <f ca="1">IFERROR(__xludf.DUMMYFUNCTION("""COMPUTED_VALUE"""),402.17)</f>
        <v>402.17</v>
      </c>
      <c r="C2742" s="1">
        <f ca="1">IFERROR(__xludf.DUMMYFUNCTION("""COMPUTED_VALUE"""),421.72)</f>
        <v>421.72</v>
      </c>
      <c r="D2742" s="1">
        <f ca="1">IFERROR(__xludf.DUMMYFUNCTION("""COMPUTED_VALUE"""),401.09)</f>
        <v>401.09</v>
      </c>
      <c r="E2742" s="1">
        <f ca="1">IFERROR(__xludf.DUMMYFUNCTION("""COMPUTED_VALUE"""),417.78)</f>
        <v>417.78</v>
      </c>
      <c r="F2742" s="1">
        <f ca="1">IFERROR(__xludf.DUMMYFUNCTION("""COMPUTED_VALUE"""),95491764)</f>
        <v>95491764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AAPL</vt:lpstr>
      <vt:lpstr>AMZN</vt:lpstr>
      <vt:lpstr>GOOGL</vt:lpstr>
      <vt:lpstr>META</vt:lpstr>
      <vt:lpstr>MSFT</vt:lpstr>
      <vt:lpstr>NVDA</vt:lpstr>
      <vt:lpstr>TSLA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Seungil Kang</cp:lastModifiedBy>
  <dcterms:modified xsi:type="dcterms:W3CDTF">2025-11-25T00:47:39Z</dcterms:modified>
</cp:coreProperties>
</file>